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trlProps/ctrlProp12.xml" ContentType="application/vnd.ms-excel.controlproperties+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drawings/drawing28.xml" ContentType="application/vnd.openxmlformats-officedocument.drawing+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drawings/drawing2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129"/>
  <workbookPr codeName="ThisWorkbook"/>
  <mc:AlternateContent xmlns:mc="http://schemas.openxmlformats.org/markup-compatibility/2006">
    <mc:Choice Requires="x15">
      <x15ac:absPath xmlns:x15ac="http://schemas.microsoft.com/office/spreadsheetml/2010/11/ac" url="S:\StLouisMO\LOCAL\Business\LM EEP Midwest\Program Development\IN Program Development\Application Tool Development\NIPSCO\C&amp;I\Draft Tools\"/>
    </mc:Choice>
  </mc:AlternateContent>
  <xr:revisionPtr revIDLastSave="0" documentId="13_ncr:1_{63A98F7E-585E-4D21-B26F-07A01E33D5CC}" xr6:coauthVersionLast="47" xr6:coauthVersionMax="47" xr10:uidLastSave="{00000000-0000-0000-0000-000000000000}"/>
  <workbookProtection workbookAlgorithmName="SHA-512" workbookHashValue="OL51VMEOrYgGPCrFa1Wr756GKxQ9loGbTlmhg//RmxXFnrAQDc6lIJWFakTCKDrm2+7ibAtZ1aFAaH59Fnocyw==" workbookSaltValue="EU6+WAluAqm2NGxe8v234g==" workbookSpinCount="100000" lockStructure="1"/>
  <bookViews>
    <workbookView showSheetTabs="0" xWindow="38280" yWindow="-120" windowWidth="38640" windowHeight="21840" tabRatio="792" firstSheet="8" activeTab="8" xr2:uid="{00000000-000D-0000-FFFF-FFFF00000000}"/>
  </bookViews>
  <sheets>
    <sheet name="CHANGELOG" sheetId="107" state="hidden" r:id="rId1"/>
    <sheet name="CBDATA" sheetId="108" state="hidden" r:id="rId2"/>
    <sheet name="TEMPLATE" sheetId="3" state="hidden" r:id="rId3"/>
    <sheet name="EXPORT" sheetId="110" state="hidden" r:id="rId4"/>
    <sheet name="DATA TABLES" sheetId="109" state="hidden" r:id="rId5"/>
    <sheet name="PRESCRIPTIVE" sheetId="104" state="hidden" r:id="rId6"/>
    <sheet name="CUSTOMLIGHT" sheetId="106" state="hidden" r:id="rId7"/>
    <sheet name="CUSTOMNONLIGHT" sheetId="114" state="hidden" r:id="rId8"/>
    <sheet name="M01-S01" sheetId="8" r:id="rId9"/>
    <sheet name="M01-S02" sheetId="115" r:id="rId10"/>
    <sheet name="M01-S03" sheetId="49" r:id="rId11"/>
    <sheet name="M01-S04" sheetId="50" r:id="rId12"/>
    <sheet name="M01-S05" sheetId="51" r:id="rId13"/>
    <sheet name="M02-S01" sheetId="116" r:id="rId14"/>
    <sheet name="M02-S02" sheetId="55" r:id="rId15"/>
    <sheet name="M02-S03" sheetId="56" r:id="rId16"/>
    <sheet name="M02-S04" sheetId="57" r:id="rId17"/>
    <sheet name="M03-S01" sheetId="12" r:id="rId18"/>
    <sheet name="M03-S02" sheetId="62" r:id="rId19"/>
    <sheet name="M03-S03" sheetId="63" r:id="rId20"/>
    <sheet name="M03-S04" sheetId="64" r:id="rId21"/>
    <sheet name="M03-S05" sheetId="65" r:id="rId22"/>
    <sheet name="M03-S08" sheetId="117" r:id="rId23"/>
    <sheet name="M03-S09" sheetId="118" r:id="rId24"/>
    <sheet name="M03-S06" sheetId="66" r:id="rId25"/>
    <sheet name="M03-S07" sheetId="113" r:id="rId26"/>
    <sheet name="M04-S01" sheetId="13" r:id="rId27"/>
    <sheet name="M04-S02" sheetId="70" r:id="rId28"/>
    <sheet name="M04-S09" sheetId="111" r:id="rId29"/>
    <sheet name="M04-S03" sheetId="69" r:id="rId30"/>
    <sheet name="M04-S04" sheetId="71" r:id="rId31"/>
    <sheet name="M05-S01" sheetId="14" r:id="rId32"/>
    <sheet name="M05-S02" sheetId="76" r:id="rId33"/>
    <sheet name="M05-S04" sheetId="78" state="hidden" r:id="rId34"/>
    <sheet name="M05-S05" sheetId="79" state="hidden" r:id="rId35"/>
    <sheet name="M05-S06" sheetId="80" state="hidden" r:id="rId36"/>
    <sheet name="M05-S07" sheetId="81" state="hidden" r:id="rId37"/>
  </sheets>
  <definedNames>
    <definedName name="APPTITLE">TEMPLATE!$B$3</definedName>
    <definedName name="BLDGSPCTypeList">INDEX(BLDGSPCType[Space Type],MATCH(M02S02F52,BLDGSPCType[Building Type],0),1):INDEX(BLDGSPCType[Space Type],MATCH(M02S02F52,BLDGSPCType[Building Type],1),1)</definedName>
    <definedName name="BUILDING">LightingWHF[Building/Space Type]</definedName>
    <definedName name="Building_Area_Method">LPDValues[Building_Area_Method]</definedName>
    <definedName name="CAMeasureSelect">PRESCRIPTIVE!$AV$183:$AV$195</definedName>
    <definedName name="CAShift">CAShifts[Shift]</definedName>
    <definedName name="CBALL">TEMPLATE!$K$48</definedName>
    <definedName name="CBCUSE">TEMPLATE!$K$46</definedName>
    <definedName name="CBCUSG">TEMPLATE!$K$47</definedName>
    <definedName name="CBPRESE">TEMPLATE!$K$44</definedName>
    <definedName name="CBPRESG">TEMPLATE!$K$45</definedName>
    <definedName name="CMELIGHTACTUALW">CMLIGHTBASE[Base Watt 2]</definedName>
    <definedName name="CMELIGHTBASE1">CMLIGHTBASE[Base Desc 1]</definedName>
    <definedName name="CMELIGHTBASEW">CMLIGHTBASE[Base Watt 1]</definedName>
    <definedName name="CMELIGHTEFF1">CMLIGHTEFF[Eff Desc 1]</definedName>
    <definedName name="CMELIGHTEFF2">CMLIGHTEFF[Eff Desc 2]</definedName>
    <definedName name="CMELIGHTEFF3">CMLIGHTEFF[Eff Desc 3]</definedName>
    <definedName name="CMELIGHTEFFBASEW">CMLIGHTEFF[Eff Watt 1]</definedName>
    <definedName name="COSTTOTAL">TEMPLATE!$I$48</definedName>
    <definedName name="COSTTOTALCUSE">TEMPLATE!$I$46</definedName>
    <definedName name="COSTTOTALCUSG">TEMPLATE!$I$47</definedName>
    <definedName name="COSTTOTALPRESE">TEMPLATE!$I$44</definedName>
    <definedName name="COSTTOTALPRESG">TEMPLATE!$I$45</definedName>
    <definedName name="CUSTINFOLIST">CUSTINFO[Customer Info]</definedName>
    <definedName name="CUSTLIGHTUNIT">CMLIGHTBASE[Unit]</definedName>
    <definedName name="CUSTNONLIGHTEUNIT">PROGRAMECAT[Unit]</definedName>
    <definedName name="CUSTNONLIGHTGUNIT">PROGRAMGCAT[Unit]</definedName>
    <definedName name="DIVERSITYBUSTYPE">DIVERSITYTYPE[Diversity Business Type]</definedName>
    <definedName name="DIVERSITYORG">DIVERSITYISSUED[Diversity Issued Org]</definedName>
    <definedName name="DTBuildingType">BLDGSPCType[Building Type]</definedName>
    <definedName name="DTSpaceType">BLDGSPCType[Space Type]</definedName>
    <definedName name="EDR">CBDATA!$B$7</definedName>
    <definedName name="ELOSS">CBDATA!$B$6</definedName>
    <definedName name="ELOSSKW">CBDATA!$C$6</definedName>
    <definedName name="ENDDATE">'M05-S04'!#REF!</definedName>
    <definedName name="ENDUSECAT">ENDUSEALL[End Use]</definedName>
    <definedName name="ENGCALC">'M05-S04'!$O$43</definedName>
    <definedName name="ENGDATE">'M05-S04'!$AG$42</definedName>
    <definedName name="ENGINEERZNAME">ENGINEERZ[Engineer]</definedName>
    <definedName name="ENGSIGN">'M05-S04'!$O$42</definedName>
    <definedName name="EXPIRATION">'M01-S01'!$O$82</definedName>
    <definedName name="FACILITYOPHOURS">'M01-S05'!$AH$16</definedName>
    <definedName name="FOOT1">'M01-S01'!$B$200</definedName>
    <definedName name="FOOT2">'M01-S01'!$B$201</definedName>
    <definedName name="FOOT3">'M01-S01'!$B$202</definedName>
    <definedName name="FOOT4">'M01-S01'!$M$200:$AG$201</definedName>
    <definedName name="FOOT5">'M01-S01'!$AR$201</definedName>
    <definedName name="FOOT6">'M01-S01'!$AR$202</definedName>
    <definedName name="FOOTDISCLAIM">'M01-S01'!$AR$200</definedName>
    <definedName name="GDR">CBDATA!$N$7</definedName>
    <definedName name="GLOSS">CBDATA!$N$6</definedName>
    <definedName name="HEAD4">'M01-S01'!$AR$4</definedName>
    <definedName name="HP">PROGRAMECAT[Unit]</definedName>
    <definedName name="IMPLSPECNAME">IMPLSPEC[Impl. Specialist]</definedName>
    <definedName name="INCENSTATUS">TEMPLATE!$F$3</definedName>
    <definedName name="INCENTOTAL">TEMPLATE!$J$48</definedName>
    <definedName name="INCENTOTALCUSE">TEMPLATE!$J$46</definedName>
    <definedName name="INCENTOTALCUSG">TEMPLATE!$J$47</definedName>
    <definedName name="INCENTOTALPRESE">TEMPLATE!$J$44</definedName>
    <definedName name="INCENTOTALPRESG">TEMPLATE!$J$45</definedName>
    <definedName name="INSTALL">INSTALLER[Installer]</definedName>
    <definedName name="KWHSTATUS">TEMPLATE!$F$1</definedName>
    <definedName name="KWHTOTAL">TEMPLATE!$F$48</definedName>
    <definedName name="KWHTOTALCUSE">TEMPLATE!$F$46</definedName>
    <definedName name="KWHTOTALPRESE">TEMPLATE!$F$44</definedName>
    <definedName name="KWTOTAL">TEMPLATE!$G$48</definedName>
    <definedName name="KWTOTALCUSE">TEMPLATE!$G$46</definedName>
    <definedName name="KWTOTALPRESE">TEMPLATE!$G$44</definedName>
    <definedName name="LPDMethod">'DATA TABLES'!$H$105:$H$106</definedName>
    <definedName name="LPDOPHR">LPDWATT[Fixture Annual Operating Hours]</definedName>
    <definedName name="LPDSPACE">LPDWATT[Building Area Type]</definedName>
    <definedName name="M02S02F01">'M02-S02'!$C$15</definedName>
    <definedName name="M02S02F02">'M02-S02'!$J$15</definedName>
    <definedName name="M02S02F03">'M02-S02'!$Q$15</definedName>
    <definedName name="M02S02F04">'M02-S02'!$X$15</definedName>
    <definedName name="M02S02F05">'M02-S02'!$AE$15</definedName>
    <definedName name="M02S02F06">'M02-S02'!$AL$15</definedName>
    <definedName name="M02S02F07">'M02-S02'!$C$18</definedName>
    <definedName name="M02S02F08">'M02-S02'!$J$18</definedName>
    <definedName name="M02S02F09">'M02-S02'!$Q$18</definedName>
    <definedName name="M02S02F10">'M02-S02'!$X$18</definedName>
    <definedName name="M02S02F11">'M02-S02'!$AE$18</definedName>
    <definedName name="M02S02F11.1">'M02-S02'!$AL$18</definedName>
    <definedName name="M02S02F12">'M02-S02'!$C$31</definedName>
    <definedName name="M02S02F13">'M02-S02'!$J$31</definedName>
    <definedName name="M02S02F14">'M02-S02'!$AB$31</definedName>
    <definedName name="M02S02F15">'M02-S02'!$AP$31</definedName>
    <definedName name="M02S02F16">'M02-S02'!$C$34</definedName>
    <definedName name="M02S02F17">'M02-S02'!$J$34</definedName>
    <definedName name="M02S02F18">'M02-S02'!$Q$34</definedName>
    <definedName name="M02S02F19">'M02-S02'!$X$34</definedName>
    <definedName name="M02S02F20">'M02-S02'!$AE$34</definedName>
    <definedName name="M02S02F21">'M02-S02'!$AL$34</definedName>
    <definedName name="M02S02F22">'M02-S02'!$J$37</definedName>
    <definedName name="M02S02F23">'M02-S02'!$Q$37</definedName>
    <definedName name="M02S02F24">'M02-S02'!$X$37</definedName>
    <definedName name="M02S02F25">'M02-S02'!$AE$37</definedName>
    <definedName name="M02S02F26">'M02-S02'!$J$40</definedName>
    <definedName name="M02S02F27">'M02-S02'!$AL$37</definedName>
    <definedName name="M02S02F28">'M02-S02'!$Q$40</definedName>
    <definedName name="M02S02F29">'M02-S02'!$X$40</definedName>
    <definedName name="M02S02F30">'M02-S02'!$AE$40</definedName>
    <definedName name="M02S02F31">'M02-S02'!$AL$40</definedName>
    <definedName name="M02S02F32">'M02-S02'!$C$43</definedName>
    <definedName name="M02S02F33">'M02-S02'!$J$43</definedName>
    <definedName name="M02S02F34">'M02-S02'!$C$37</definedName>
    <definedName name="M02S02F35">'M02-S02'!$Q$43</definedName>
    <definedName name="M02S02F36">'M02-S02'!$X$43</definedName>
    <definedName name="M02S02F37">'M02-S02'!$C$46</definedName>
    <definedName name="M02S02F38">'M02-S02'!$J$46</definedName>
    <definedName name="M02S02F39">'M02-S02'!$Q$46</definedName>
    <definedName name="M02S02F40">'M02-S02'!$X$46</definedName>
    <definedName name="M02S02F45">'M02-S02'!$C$49</definedName>
    <definedName name="M02S02F46">'M02-S02'!$AE$43</definedName>
    <definedName name="M02S02F47">'M02-S02'!$C$24</definedName>
    <definedName name="M02S02F48">'M02-S02'!$Q$24</definedName>
    <definedName name="M02S02F49">'M02-S02'!$X$24</definedName>
    <definedName name="M02S02F50">'M02-S02'!$AE$24</definedName>
    <definedName name="M02S02F51">'M02-S02'!$AL$24</definedName>
    <definedName name="M02S02F52">'M02-S02'!$C$40</definedName>
    <definedName name="M02S03F01">'M02-S03'!$C$14</definedName>
    <definedName name="M02S03F02">'M02-S03'!$C$17</definedName>
    <definedName name="M02S03F03">'M02-S03'!$J$17</definedName>
    <definedName name="M02S03F04">'M02-S03'!$Q$17</definedName>
    <definedName name="M02S03F05">'M02-S03'!$X$17</definedName>
    <definedName name="M02S03F06">'M02-S03'!$AE$17</definedName>
    <definedName name="M02S03F07">'M02-S03'!$AL$17</definedName>
    <definedName name="M02S03F08">'M02-S03'!$C$20</definedName>
    <definedName name="M02S03F09">'M02-S03'!$J$20</definedName>
    <definedName name="M02S03F10">'M02-S03'!$Q$20</definedName>
    <definedName name="M02S03F11">'M02-S03'!$X$20</definedName>
    <definedName name="M02S03F12">'M02-S03'!$AE$20</definedName>
    <definedName name="M02S03F13">'M02-S03'!$C$26</definedName>
    <definedName name="M02S03F14">'M02-S03'!$Q$26</definedName>
    <definedName name="M02S03F15">'M02-S03'!$X$26</definedName>
    <definedName name="M02S03F16">'M02-S03'!$AE$26</definedName>
    <definedName name="M02S03F17">'M02-S03'!$AL$26</definedName>
    <definedName name="M02S04F01">'M02-S04'!$J$13</definedName>
    <definedName name="M02S04F02">'M02-S04'!$C$16</definedName>
    <definedName name="M02S04F03">'M02-S04'!$J$16</definedName>
    <definedName name="M02S04F04">'M02-S04'!$Q$16</definedName>
    <definedName name="M02S04F05">'M02-S04'!$X$16</definedName>
    <definedName name="M02S04F06">'M02-S04'!$AE$16</definedName>
    <definedName name="M02S04F06.1">'M02-S04'!$AL$16</definedName>
    <definedName name="M02S04F07">'M02-S04'!$C$19</definedName>
    <definedName name="M02S04F08">'M02-S04'!$J$19</definedName>
    <definedName name="M02S04F09">'M02-S04'!$Q$19</definedName>
    <definedName name="M02S04F10">'M02-S04'!$X$19</definedName>
    <definedName name="M02S04F11">'M02-S04'!$AE$19</definedName>
    <definedName name="M02S04F12">'M02-S04'!$AL$19</definedName>
    <definedName name="M02S04F12.1">'M02-S04'!$AN$19</definedName>
    <definedName name="M04S09F01">'M04-S09'!$D$6</definedName>
    <definedName name="M04S09F02">'M04-S09'!$H$39</definedName>
    <definedName name="M04S09F03">'M04-S09'!$M$6</definedName>
    <definedName name="M04S09F04">'M04-S09'!$Q$39</definedName>
    <definedName name="M04S09F05">'M04-S09'!$V$6</definedName>
    <definedName name="M04S09F06">'M04-S09'!$Z$39</definedName>
    <definedName name="M04S09F07">'M04-S09'!$D$43</definedName>
    <definedName name="M04S09F08">'M04-S09'!$H$76</definedName>
    <definedName name="M04S09F09">'M04-S09'!$M$43</definedName>
    <definedName name="M04S09F10">'M04-S09'!$Q$76</definedName>
    <definedName name="M04S09F11">'M04-S09'!$V$43</definedName>
    <definedName name="M04S09F12">'M04-S09'!$Z$76</definedName>
    <definedName name="M04S09F13">'M04-S09'!$D$80</definedName>
    <definedName name="M04S09F14">'M04-S09'!$H$113</definedName>
    <definedName name="M04S09F15">'M04-S09'!$M$80</definedName>
    <definedName name="M04S09F16">'M04-S09'!$Q$113</definedName>
    <definedName name="M04S09F17">'M04-S09'!$V$80</definedName>
    <definedName name="M04S09F18">'M04-S09'!$Z$113</definedName>
    <definedName name="M04S09F19">'M04-S09'!$D$117</definedName>
    <definedName name="M04S09F20">'M04-S09'!$H$150</definedName>
    <definedName name="M04S09F21">'M04-S09'!$M$117</definedName>
    <definedName name="M04S09F22">'M04-S09'!$Q$150</definedName>
    <definedName name="M04S09F23">'M04-S09'!$V$117</definedName>
    <definedName name="M04S09F24">'M04-S09'!$Z$150</definedName>
    <definedName name="M04S09F25">'M04-S09'!$D$154</definedName>
    <definedName name="M04S09F26">'M04-S09'!$H$187</definedName>
    <definedName name="M04S09F27">'M04-S09'!$M$154</definedName>
    <definedName name="M04S09F28">'M04-S09'!$Q$187</definedName>
    <definedName name="M04S09F29">'M04-S09'!$V$154</definedName>
    <definedName name="M04S09F30">'M04-S09'!$Z$187</definedName>
    <definedName name="M04S09F31">'M04-S09'!$D$191</definedName>
    <definedName name="M04S09F32">'M04-S09'!$H$224</definedName>
    <definedName name="M04S09F33">'M04-S09'!$M$191</definedName>
    <definedName name="M04S09F34">'M04-S09'!$Q$224</definedName>
    <definedName name="M04S09F35">'M04-S09'!$V$191</definedName>
    <definedName name="M04S09F36">'M04-S09'!$Z$224</definedName>
    <definedName name="M04S09F37">'M04-S09'!$D$228</definedName>
    <definedName name="M04S09F38">'M04-S09'!$H$261</definedName>
    <definedName name="M04S09F39">'M04-S09'!$M$228</definedName>
    <definedName name="M04S09F40">'M04-S09'!$Q$261</definedName>
    <definedName name="M05S02F01" comment="Customer Signature">'M02-S01'!$C$132</definedName>
    <definedName name="M05S02F02" comment="Signatory Title">'M02-S01'!$X$132</definedName>
    <definedName name="M05S02F03" comment="Signed date">'M02-S01'!$AL$132</definedName>
    <definedName name="M05S02F04">'M05-S02'!$R$31</definedName>
    <definedName name="M05S02F06">'M02-S01'!$K$139</definedName>
    <definedName name="M05S02F07">'M02-S01'!$AC$139</definedName>
    <definedName name="M05S03F01">'M05-S02'!$X$31</definedName>
    <definedName name="M05S05F01">'M05-S05'!$K$58</definedName>
    <definedName name="M05S05F02">'M05-S05'!$S$58</definedName>
    <definedName name="M05S07F02">'M05-S07'!$AI$15</definedName>
    <definedName name="M05S07F03">'M05-S07'!$AI$16</definedName>
    <definedName name="M05S07F04">'M05-S07'!$AI$17</definedName>
    <definedName name="M05S07F05">'M05-S07'!$AI$18</definedName>
    <definedName name="M05S07F06">'M05-S07'!$AI$19</definedName>
    <definedName name="M05S07F07">'M05-S07'!#REF!</definedName>
    <definedName name="M05S07F08">'M05-S07'!$AI$49</definedName>
    <definedName name="M05S07F09">'M05-S07'!$AI$50</definedName>
    <definedName name="M05S07F10">'M05-S07'!$AI$51</definedName>
    <definedName name="M05S07F11">'M05-S07'!$AI$53</definedName>
    <definedName name="M05S07F12">'M05-S07'!$AI$54</definedName>
    <definedName name="M1S1">TEMPLATE!$B$8</definedName>
    <definedName name="M1S2">TEMPLATE!$B$9</definedName>
    <definedName name="M1S3">TEMPLATE!$B$10</definedName>
    <definedName name="M1S4">TEMPLATE!$B$11</definedName>
    <definedName name="M1S5">TEMPLATE!$B$12</definedName>
    <definedName name="M1S6">TEMPLATE!$B$13</definedName>
    <definedName name="M1S7">TEMPLATE!$B$14</definedName>
    <definedName name="M1S8">TEMPLATE!$B$15</definedName>
    <definedName name="M2S1">TEMPLATE!$B$17</definedName>
    <definedName name="M2S2">TEMPLATE!$B$18</definedName>
    <definedName name="M2S3">TEMPLATE!$B$19</definedName>
    <definedName name="M2S4">TEMPLATE!$B$20</definedName>
    <definedName name="M2S5">TEMPLATE!$B$21</definedName>
    <definedName name="M2S6">TEMPLATE!$B$22</definedName>
    <definedName name="M2S7">TEMPLATE!$B$23</definedName>
    <definedName name="M2S8">TEMPLATE!$B$24</definedName>
    <definedName name="M3S1">TEMPLATE!$B$26</definedName>
    <definedName name="M3S2">TEMPLATE!$B$27</definedName>
    <definedName name="M3S3">TEMPLATE!$B$28</definedName>
    <definedName name="M3S4">TEMPLATE!$B$29</definedName>
    <definedName name="M3S5">TEMPLATE!$B$30</definedName>
    <definedName name="M3S6">TEMPLATE!$B$31</definedName>
    <definedName name="M3S7">TEMPLATE!$B$32</definedName>
    <definedName name="M3S8">TEMPLATE!$B$33</definedName>
    <definedName name="M3S9">TEMPLATE!$B$34</definedName>
    <definedName name="M4S1">TEMPLATE!$B$36</definedName>
    <definedName name="M4S2">TEMPLATE!$B$37</definedName>
    <definedName name="M4S3">TEMPLATE!$B$38</definedName>
    <definedName name="M4S4">TEMPLATE!$B$39</definedName>
    <definedName name="M4S5">TEMPLATE!$B$40</definedName>
    <definedName name="M4S6">TEMPLATE!$B$41</definedName>
    <definedName name="M4S7">TEMPLATE!$B$42</definedName>
    <definedName name="M4S8">TEMPLATE!$B$43</definedName>
    <definedName name="M5S1">TEMPLATE!$B$45</definedName>
    <definedName name="M5S2">TEMPLATE!$B$46</definedName>
    <definedName name="M5S3">TEMPLATE!$B$47</definedName>
    <definedName name="M5S4">TEMPLATE!$B$48</definedName>
    <definedName name="M5S5">TEMPLATE!$B$49</definedName>
    <definedName name="M5S6">TEMPLATE!$B$50</definedName>
    <definedName name="M5S7">TEMPLATE!$B$51</definedName>
    <definedName name="M5S8">TEMPLATE!$B$52</definedName>
    <definedName name="M6S1">TEMPLATE!$B$54</definedName>
    <definedName name="M6S2">TEMPLATE!$B$55</definedName>
    <definedName name="M6S3">TEMPLATE!$B$56</definedName>
    <definedName name="M6S4">TEMPLATE!$B$57</definedName>
    <definedName name="M6S5">TEMPLATE!$B$58</definedName>
    <definedName name="M6S6">TEMPLATE!$B$59</definedName>
    <definedName name="M6S7">TEMPLATE!$B$60</definedName>
    <definedName name="M6S8">TEMPLATE!$B$61</definedName>
    <definedName name="M7S1">TEMPLATE!$B$63</definedName>
    <definedName name="M7S2">TEMPLATE!$B$64</definedName>
    <definedName name="M7S3">TEMPLATE!$B$65</definedName>
    <definedName name="M7S4">TEMPLATE!$B$66</definedName>
    <definedName name="M7S5">TEMPLATE!$B$67</definedName>
    <definedName name="M7S6">TEMPLATE!$B$68</definedName>
    <definedName name="M7S7">TEMPLATE!$B$69</definedName>
    <definedName name="M7S8">TEMPLATE!$B$70</definedName>
    <definedName name="MAIN1">TEMPLATE!$B$7</definedName>
    <definedName name="MAIN2">TEMPLATE!$B$16</definedName>
    <definedName name="MAIN3">TEMPLATE!$B$25</definedName>
    <definedName name="MAIN4">TEMPLATE!$B$35</definedName>
    <definedName name="MAIN5">TEMPLATE!$B$44</definedName>
    <definedName name="MAIN6">TEMPLATE!$B$53</definedName>
    <definedName name="MAIN7">TEMPLATE!$B$62</definedName>
    <definedName name="MEASUREBLDG">'DATA TABLES'!$J$36</definedName>
    <definedName name="MEASURECB">'DATA TABLES'!$J$32</definedName>
    <definedName name="MEASUREELI">'DATA TABLES'!$J$29</definedName>
    <definedName name="MEASUREPAY">'DATA TABLES'!$J$31</definedName>
    <definedName name="MEASURERATE">'DATA TABLES'!$J$34</definedName>
    <definedName name="MEASURESAVE">'DATA TABLES'!$J$30</definedName>
    <definedName name="MEASURESUBMIT">'DATA TABLES'!$J$33</definedName>
    <definedName name="NONPRESCPROGRAM">PROGRAMTYPE[Program]</definedName>
    <definedName name="PAYALL">TEMPLATE!$L$48</definedName>
    <definedName name="PAYCUSE">TEMPLATE!$L$46</definedName>
    <definedName name="PAYCUSG">TEMPLATE!$L$47</definedName>
    <definedName name="PayeeChckBox">TEMPLATE!$C$169</definedName>
    <definedName name="PAYOPS">PAYMENT[Payment to]</definedName>
    <definedName name="PAYPRESE">TEMPLATE!$L$44</definedName>
    <definedName name="PAYPRESG">TEMPLATE!$L$45</definedName>
    <definedName name="PAYTO">PAYMENT[Payment to]</definedName>
    <definedName name="PEAKTD">CBDATA!$B$8</definedName>
    <definedName name="PMEAGGEFF1">PMEAGG[Eff Desc 1]</definedName>
    <definedName name="PMECAEFF1">INDEX(CABaseline[Baseline],MATCH('M03-S08'!XEX1,CABaseline[Option],0),1):INDEX(CABaseline[Baseline],MATCH('M03-S08'!XEX1,CABaseline[Option],1),1)</definedName>
    <definedName name="PMECAEFF2">PMECA[Eff Desc 1]</definedName>
    <definedName name="PMECAEFFW1">PMECA[Eff Watt]</definedName>
    <definedName name="PMECAEFFW2">PMECA[Eff Watt 2]</definedName>
    <definedName name="PMEHVACEFF1">PMEHVAC[Eff Desc 1]</definedName>
    <definedName name="PMEHVACEFFW1">PMEHVAC[Eff Watt]</definedName>
    <definedName name="PMEHVACEFFW2">PMEHVAC[Eff Watt 2]</definedName>
    <definedName name="PMEKITCHENEFF1">PMEKITCHEN[Eff Desc 1]</definedName>
    <definedName name="PMELIGHTBASE1">PMELIGHTTYPE[Base Desc 1]</definedName>
    <definedName name="PMELIGHTBASEAUTO">PMELIGHTTYPE[Base Autofill]</definedName>
    <definedName name="PMELIGHTBASEW1">PMELIGHTTYPE[Base Watt]</definedName>
    <definedName name="PMELIGHTBASEW2">PMELIGHTTYPE[Base W 2]</definedName>
    <definedName name="PMELIGHTCONEFF1">PMELIGHTCON[Eff Desc 1]</definedName>
    <definedName name="PMELIGHTCONEFFW1">PMELIGHTCON[Eff Watt]</definedName>
    <definedName name="PMELIGHTCONEFFW2">PMELIGHTCON[Eff Watt 2]</definedName>
    <definedName name="PMELIGHTEFF1">INDEX(PMELIGHT[Eff Desc 1],MATCH('M03-S01'!XEW1,PMELIGHT[Base Desc 1],0),1):INDEX(PMELIGHT[Eff Desc 1],MATCH('M03-S01'!XEW1,PMELIGHT[Base Desc 1],1),1)</definedName>
    <definedName name="PMELIGHTEFFLIST">PMELIGHT[Eff Desc 1]</definedName>
    <definedName name="PMELIGHTEFFW1">PMELIGHT[Eff Watt]</definedName>
    <definedName name="PMELIGHTEFFW2">PMELIGHT[Eff Watt 2]</definedName>
    <definedName name="PMELIGHTOPHR1">PMELIGHT[Op Hr 1]</definedName>
    <definedName name="PMELIGHTOPHR2">PMELIGHT[Order]</definedName>
    <definedName name="PMEMOTOREFF1">PMEHVAC[Eff Desc 1]</definedName>
    <definedName name="PMEMOTORLIM">PMEHVAC[Eff Watt]</definedName>
    <definedName name="PMEMOTORLIM2">PMEHVAC[Eff Watt 2]</definedName>
    <definedName name="PMEREFRIEFF1">PMEREFRI[Eff Desc 1]</definedName>
    <definedName name="PMGAGGEFF1">PMGAGG[Eff Desc 1]</definedName>
    <definedName name="PMGHVACEFF1">PMGHVAC[Eff Desc 1]</definedName>
    <definedName name="PMGHVACEFFW1">PMGHVAC[Eff Watt]</definedName>
    <definedName name="PMGHVACEFFW2">PMGHVAC[Eff Watt 2]</definedName>
    <definedName name="PMGKITCHENEFF1">PMGKITCHEN[Eff Desc 1]</definedName>
    <definedName name="PMGWATEREFF1">PMGWATER[Eff Desc 1]</definedName>
    <definedName name="PNAME">TEMPLATE!$B$2</definedName>
    <definedName name="_xlnm.Print_Area" localSheetId="11">'M01-S04'!$D$9:$AP$131</definedName>
    <definedName name="_xlnm.Print_Area" localSheetId="28">'M04-S09'!$1:$78</definedName>
    <definedName name="_xlnm.Print_Area" localSheetId="31">'M05-S01'!$J$14:$AJ$75</definedName>
    <definedName name="_xlnm.Print_Area" localSheetId="33">'M05-S04'!$J$14:$AJ$73</definedName>
    <definedName name="_xlnm.Print_Area" localSheetId="34">'M05-S05'!$J$15:$AJ$73</definedName>
    <definedName name="_xlnm.Print_Area" localSheetId="35">'M05-S06'!$J$14:$AJ$75</definedName>
    <definedName name="_xlnm.Print_Area" localSheetId="36">'M05-S07'!$C$10:$AQ$52</definedName>
    <definedName name="PROGRAM">PROGRAMS[Program]</definedName>
    <definedName name="PROGRAMECAT1">INDEX(PROGRAMECAT[Category 1],MATCH('M04-S03'!XFB1,PROGRAMECAT[Program],0),1):INDEX(PROGRAMECAT[Category 1],MATCH('M04-S03'!XFB1,PROGRAMECAT[Program],1),1)</definedName>
    <definedName name="PROGRAMGCAT1">INDEX(PROGRAMGCAT[Category 1],MATCH('M04-S04'!XFB1,PROGRAMGCAT[Program],0),1):INDEX(PROGRAMGCAT[Category 1],MATCH('M04-S04'!XFB1,PROGRAMGCAT[Program],1),1)</definedName>
    <definedName name="PROGRESSSTATUS">TEMPLATE!$F$5</definedName>
    <definedName name="PROJID">'M05-S07'!$AI$14</definedName>
    <definedName name="PROJSTATCAP">'DATA TABLES'!$A$84</definedName>
    <definedName name="PROJSTATELI">'DATA TABLES'!$A$82</definedName>
    <definedName name="PROJSTATEXP">'DATA TABLES'!$A$81</definedName>
    <definedName name="PROJSTATINSPECT">'DATA TABLES'!$A$79</definedName>
    <definedName name="PROJSTATMEASURE">'DATA TABLES'!$A$76</definedName>
    <definedName name="PROJSTATPREAPPROVE">'DATA TABLES'!$A$78</definedName>
    <definedName name="PROJSTATREVIEW">'DATA TABLES'!$A$80</definedName>
    <definedName name="PROJSTATSTANDARD">'DATA TABLES'!$A$77</definedName>
    <definedName name="PROJSTATUNDER">'DATA TABLES'!$A$83</definedName>
    <definedName name="PROJSTATUS">TEMPLATE!$F$4</definedName>
    <definedName name="RATECAT">RATECLASS[Rate Schedules]</definedName>
    <definedName name="SHEAT">SPACEHEAT[Space Conditioning]</definedName>
    <definedName name="Space_By_Space_Method">LPDValues[Space_By_Space_Method]</definedName>
    <definedName name="STATESABBREV">STATES[Abbrev]</definedName>
    <definedName name="STDHVACEFFMIN">PMEHVAC[Base Desc 2]</definedName>
    <definedName name="STDHVACEFFMIN2">PMEHVAC[Base Watt 2]</definedName>
    <definedName name="TAX">TAXENTITY[Tax Entity]</definedName>
    <definedName name="THERMSTATUS">TEMPLATE!$F$2</definedName>
    <definedName name="THERMTOTAL">TEMPLATE!$H$48</definedName>
    <definedName name="THERMTOTALCUSG">TEMPLATE!$H$47</definedName>
    <definedName name="THERMTOTALPRESG">TEMPLATE!$H$45</definedName>
    <definedName name="VERSION">'M01-S01'!$W$202</definedName>
    <definedName name="WHEAT">WATERHEAT[Water Heating]</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F16" i="71" l="1"/>
  <c r="AB16" i="71"/>
  <c r="BF18" i="71"/>
  <c r="BF20" i="71"/>
  <c r="BF22" i="71"/>
  <c r="BF24" i="71"/>
  <c r="BF26" i="71"/>
  <c r="BF28" i="71"/>
  <c r="BF30" i="71"/>
  <c r="BF32" i="71"/>
  <c r="BF34" i="71"/>
  <c r="BF16" i="71"/>
  <c r="L438" i="110"/>
  <c r="L439" i="110"/>
  <c r="L440" i="110"/>
  <c r="L441" i="110"/>
  <c r="L442" i="110"/>
  <c r="L443" i="110"/>
  <c r="L444" i="110"/>
  <c r="L445" i="110"/>
  <c r="L446" i="110"/>
  <c r="L267" i="110"/>
  <c r="L268" i="110"/>
  <c r="L269" i="110"/>
  <c r="L270" i="110"/>
  <c r="L271" i="110"/>
  <c r="L272" i="110"/>
  <c r="L273" i="110"/>
  <c r="L274" i="110"/>
  <c r="L275" i="110"/>
  <c r="L276" i="110"/>
  <c r="L277" i="110"/>
  <c r="L278" i="110"/>
  <c r="L279" i="110"/>
  <c r="L280" i="110"/>
  <c r="L266" i="110"/>
  <c r="T16" i="63"/>
  <c r="T18" i="63"/>
  <c r="T20" i="63"/>
  <c r="T22" i="63"/>
  <c r="T24" i="63"/>
  <c r="N16" i="63"/>
  <c r="N18" i="63"/>
  <c r="N20" i="63"/>
  <c r="N22" i="63"/>
  <c r="AW18" i="63"/>
  <c r="AW22" i="63"/>
  <c r="AW24" i="63"/>
  <c r="AW26" i="63"/>
  <c r="AW28" i="63"/>
  <c r="AW30" i="63"/>
  <c r="AW32" i="63"/>
  <c r="AW34" i="63"/>
  <c r="BA18" i="69" l="1"/>
  <c r="BA20" i="69"/>
  <c r="BA22" i="69"/>
  <c r="BA24" i="69"/>
  <c r="BA26" i="69"/>
  <c r="BA28" i="69"/>
  <c r="BA30" i="69"/>
  <c r="BA32" i="69"/>
  <c r="BA34" i="69"/>
  <c r="BA16" i="69"/>
  <c r="BE18" i="70"/>
  <c r="BE20" i="70"/>
  <c r="BE22" i="70"/>
  <c r="BE24" i="70"/>
  <c r="BE26" i="70"/>
  <c r="BE28" i="70"/>
  <c r="BE30" i="70"/>
  <c r="BE32" i="70"/>
  <c r="BE34" i="70"/>
  <c r="BE36" i="70"/>
  <c r="BE38" i="70"/>
  <c r="BE40" i="70"/>
  <c r="BE42" i="70"/>
  <c r="BE44" i="70"/>
  <c r="BE46" i="70"/>
  <c r="BE48" i="70"/>
  <c r="BE50" i="70"/>
  <c r="BE52" i="70"/>
  <c r="H380" i="110"/>
  <c r="H381" i="110"/>
  <c r="H382" i="110"/>
  <c r="H383" i="110"/>
  <c r="H384" i="110"/>
  <c r="AA52" i="70" l="1"/>
  <c r="AA50" i="70"/>
  <c r="AA48" i="70"/>
  <c r="AA46" i="70"/>
  <c r="AA44" i="70"/>
  <c r="AA42" i="70"/>
  <c r="AA40" i="70"/>
  <c r="AA38" i="70"/>
  <c r="AA36" i="70"/>
  <c r="AA34" i="70"/>
  <c r="AA32" i="70"/>
  <c r="AA30" i="70"/>
  <c r="AA28" i="70"/>
  <c r="H113" i="111"/>
  <c r="Q20" i="70" l="1"/>
  <c r="Y28" i="70"/>
  <c r="Y30" i="70"/>
  <c r="Y32" i="70"/>
  <c r="Y34" i="70"/>
  <c r="Y36" i="70"/>
  <c r="Y38" i="70"/>
  <c r="Y40" i="70"/>
  <c r="Y42" i="70"/>
  <c r="Y44" i="70"/>
  <c r="Y46" i="70"/>
  <c r="Y48" i="70"/>
  <c r="Y50" i="70"/>
  <c r="Y52" i="70"/>
  <c r="S52" i="70"/>
  <c r="S50" i="70"/>
  <c r="S48" i="70"/>
  <c r="S46" i="70"/>
  <c r="S44" i="70"/>
  <c r="S42" i="70"/>
  <c r="S40" i="70"/>
  <c r="S38" i="70"/>
  <c r="S36" i="70"/>
  <c r="S34" i="70"/>
  <c r="S32" i="70"/>
  <c r="S30" i="70"/>
  <c r="S28" i="70"/>
  <c r="Q28" i="70"/>
  <c r="Q30" i="70"/>
  <c r="Q32" i="70"/>
  <c r="Q34" i="70"/>
  <c r="Q36" i="70"/>
  <c r="Q38" i="70"/>
  <c r="Q40" i="70"/>
  <c r="Q42" i="70"/>
  <c r="Q44" i="70"/>
  <c r="Q46" i="70"/>
  <c r="Q48" i="70"/>
  <c r="Q50" i="70"/>
  <c r="Q52" i="70"/>
  <c r="N28" i="70"/>
  <c r="N30" i="70"/>
  <c r="N32" i="70"/>
  <c r="BA32" i="70" s="1"/>
  <c r="BB32" i="70" s="1"/>
  <c r="AZ32" i="70" s="1"/>
  <c r="N34" i="70"/>
  <c r="BA34" i="70" s="1"/>
  <c r="BB34" i="70" s="1"/>
  <c r="AZ34" i="70" s="1"/>
  <c r="N36" i="70"/>
  <c r="BA36" i="70" s="1"/>
  <c r="BB36" i="70" s="1"/>
  <c r="AZ36" i="70" s="1"/>
  <c r="N38" i="70"/>
  <c r="BA38" i="70" s="1"/>
  <c r="BB38" i="70" s="1"/>
  <c r="AZ38" i="70" s="1"/>
  <c r="N40" i="70"/>
  <c r="N42" i="70"/>
  <c r="BA42" i="70" s="1"/>
  <c r="BB42" i="70" s="1"/>
  <c r="AZ42" i="70" s="1"/>
  <c r="N44" i="70"/>
  <c r="N46" i="70"/>
  <c r="BA46" i="70" s="1"/>
  <c r="BB46" i="70" s="1"/>
  <c r="AZ46" i="70" s="1"/>
  <c r="N48" i="70"/>
  <c r="BA48" i="70" s="1"/>
  <c r="BB48" i="70" s="1"/>
  <c r="AZ48" i="70" s="1"/>
  <c r="N50" i="70"/>
  <c r="BA50" i="70" s="1"/>
  <c r="BB50" i="70" s="1"/>
  <c r="AZ50" i="70" s="1"/>
  <c r="N52" i="70"/>
  <c r="BA52" i="70" s="1"/>
  <c r="BB52" i="70" s="1"/>
  <c r="AZ52" i="70" s="1"/>
  <c r="L18" i="70"/>
  <c r="L20" i="70"/>
  <c r="L22" i="70"/>
  <c r="L24" i="70"/>
  <c r="L26" i="70"/>
  <c r="L28" i="70"/>
  <c r="L30" i="70"/>
  <c r="L32" i="70"/>
  <c r="L34" i="70"/>
  <c r="L36" i="70"/>
  <c r="L38" i="70"/>
  <c r="L40" i="70"/>
  <c r="L42" i="70"/>
  <c r="L44" i="70"/>
  <c r="L46" i="70"/>
  <c r="L48" i="70"/>
  <c r="L50" i="70"/>
  <c r="L52" i="70"/>
  <c r="F54" i="70"/>
  <c r="F52" i="70"/>
  <c r="F50" i="70"/>
  <c r="F48" i="70"/>
  <c r="F46" i="70"/>
  <c r="F44" i="70"/>
  <c r="F42" i="70"/>
  <c r="F40" i="70"/>
  <c r="F38" i="70"/>
  <c r="F36" i="70"/>
  <c r="F34" i="70"/>
  <c r="F32" i="70"/>
  <c r="F30" i="70"/>
  <c r="F28" i="70" a="1"/>
  <c r="F28" i="70" s="1"/>
  <c r="Q260" i="111"/>
  <c r="H260" i="111"/>
  <c r="Q259" i="111"/>
  <c r="H259" i="111"/>
  <c r="Q258" i="111"/>
  <c r="H258" i="111"/>
  <c r="Q257" i="111"/>
  <c r="H257" i="111"/>
  <c r="Q256" i="111"/>
  <c r="H256" i="111"/>
  <c r="Q255" i="111"/>
  <c r="H255" i="111"/>
  <c r="Q254" i="111"/>
  <c r="H254" i="111"/>
  <c r="Q253" i="111"/>
  <c r="H253" i="111"/>
  <c r="Q252" i="111"/>
  <c r="H252" i="111"/>
  <c r="Q251" i="111"/>
  <c r="H251" i="111"/>
  <c r="Q250" i="111"/>
  <c r="H250" i="111"/>
  <c r="Q249" i="111"/>
  <c r="H249" i="111"/>
  <c r="Q248" i="111"/>
  <c r="H248" i="111"/>
  <c r="Q247" i="111"/>
  <c r="H247" i="111"/>
  <c r="Q246" i="111"/>
  <c r="H246" i="111"/>
  <c r="Q245" i="111"/>
  <c r="H245" i="111"/>
  <c r="Q244" i="111"/>
  <c r="H244" i="111"/>
  <c r="Q243" i="111"/>
  <c r="H243" i="111"/>
  <c r="Q242" i="111"/>
  <c r="H242" i="111"/>
  <c r="Q241" i="111"/>
  <c r="H241" i="111"/>
  <c r="Q240" i="111"/>
  <c r="H240" i="111"/>
  <c r="Q239" i="111"/>
  <c r="H239" i="111"/>
  <c r="Q238" i="111"/>
  <c r="H238" i="111"/>
  <c r="Q237" i="111"/>
  <c r="H237" i="111"/>
  <c r="Q236" i="111"/>
  <c r="H236" i="111"/>
  <c r="Q235" i="111"/>
  <c r="H235" i="111"/>
  <c r="Q234" i="111"/>
  <c r="H234" i="111"/>
  <c r="Q233" i="111"/>
  <c r="H233" i="111"/>
  <c r="Q232" i="111"/>
  <c r="H232" i="111"/>
  <c r="Q231" i="111"/>
  <c r="H231" i="111"/>
  <c r="H261" i="111" s="1"/>
  <c r="Z223" i="111"/>
  <c r="Q223" i="111"/>
  <c r="H223" i="111"/>
  <c r="Z222" i="111"/>
  <c r="Q222" i="111"/>
  <c r="H222" i="111"/>
  <c r="Z221" i="111"/>
  <c r="Q221" i="111"/>
  <c r="H221" i="111"/>
  <c r="Z220" i="111"/>
  <c r="Q220" i="111"/>
  <c r="H220" i="111"/>
  <c r="Z219" i="111"/>
  <c r="Q219" i="111"/>
  <c r="H219" i="111"/>
  <c r="Z218" i="111"/>
  <c r="Q218" i="111"/>
  <c r="H218" i="111"/>
  <c r="Z217" i="111"/>
  <c r="Q217" i="111"/>
  <c r="H217" i="111"/>
  <c r="Z216" i="111"/>
  <c r="Q216" i="111"/>
  <c r="H216" i="111"/>
  <c r="Z215" i="111"/>
  <c r="Q215" i="111"/>
  <c r="H215" i="111"/>
  <c r="Z214" i="111"/>
  <c r="Q214" i="111"/>
  <c r="H214" i="111"/>
  <c r="Z213" i="111"/>
  <c r="Q213" i="111"/>
  <c r="H213" i="111"/>
  <c r="Z212" i="111"/>
  <c r="Q212" i="111"/>
  <c r="H212" i="111"/>
  <c r="Z211" i="111"/>
  <c r="Q211" i="111"/>
  <c r="H211" i="111"/>
  <c r="Z210" i="111"/>
  <c r="Q210" i="111"/>
  <c r="H210" i="111"/>
  <c r="Z209" i="111"/>
  <c r="Q209" i="111"/>
  <c r="H209" i="111"/>
  <c r="Z208" i="111"/>
  <c r="Q208" i="111"/>
  <c r="H208" i="111"/>
  <c r="Z207" i="111"/>
  <c r="Q207" i="111"/>
  <c r="H207" i="111"/>
  <c r="Z206" i="111"/>
  <c r="Q206" i="111"/>
  <c r="H206" i="111"/>
  <c r="Z205" i="111"/>
  <c r="Q205" i="111"/>
  <c r="H205" i="111"/>
  <c r="Z204" i="111"/>
  <c r="Q204" i="111"/>
  <c r="H204" i="111"/>
  <c r="Z203" i="111"/>
  <c r="Q203" i="111"/>
  <c r="H203" i="111"/>
  <c r="Z202" i="111"/>
  <c r="Q202" i="111"/>
  <c r="H202" i="111"/>
  <c r="Z201" i="111"/>
  <c r="Q201" i="111"/>
  <c r="H201" i="111"/>
  <c r="Z200" i="111"/>
  <c r="Q200" i="111"/>
  <c r="H200" i="111"/>
  <c r="Z199" i="111"/>
  <c r="Q199" i="111"/>
  <c r="H199" i="111"/>
  <c r="Z198" i="111"/>
  <c r="Q198" i="111"/>
  <c r="H198" i="111"/>
  <c r="Z197" i="111"/>
  <c r="Q197" i="111"/>
  <c r="H197" i="111"/>
  <c r="Z196" i="111"/>
  <c r="Q196" i="111"/>
  <c r="H196" i="111"/>
  <c r="H224" i="111" s="1"/>
  <c r="Z195" i="111"/>
  <c r="Q195" i="111"/>
  <c r="H195" i="111"/>
  <c r="Z194" i="111"/>
  <c r="Z224" i="111" s="1"/>
  <c r="Q194" i="111"/>
  <c r="Q224" i="111" s="1"/>
  <c r="H194" i="111"/>
  <c r="Z186" i="111"/>
  <c r="Q186" i="111"/>
  <c r="H186" i="111"/>
  <c r="Z185" i="111"/>
  <c r="Q185" i="111"/>
  <c r="H185" i="111"/>
  <c r="Z184" i="111"/>
  <c r="Q184" i="111"/>
  <c r="H184" i="111"/>
  <c r="Z183" i="111"/>
  <c r="Q183" i="111"/>
  <c r="H183" i="111"/>
  <c r="Z182" i="111"/>
  <c r="Q182" i="111"/>
  <c r="H182" i="111"/>
  <c r="Z181" i="111"/>
  <c r="Q181" i="111"/>
  <c r="H181" i="111"/>
  <c r="Z180" i="111"/>
  <c r="Q180" i="111"/>
  <c r="H180" i="111"/>
  <c r="Z179" i="111"/>
  <c r="Q179" i="111"/>
  <c r="H179" i="111"/>
  <c r="Z178" i="111"/>
  <c r="Q178" i="111"/>
  <c r="H178" i="111"/>
  <c r="Z177" i="111"/>
  <c r="Q177" i="111"/>
  <c r="H177" i="111"/>
  <c r="Z176" i="111"/>
  <c r="Q176" i="111"/>
  <c r="H176" i="111"/>
  <c r="Z175" i="111"/>
  <c r="Q175" i="111"/>
  <c r="H175" i="111"/>
  <c r="Z174" i="111"/>
  <c r="Q174" i="111"/>
  <c r="H174" i="111"/>
  <c r="Z173" i="111"/>
  <c r="Q173" i="111"/>
  <c r="H173" i="111"/>
  <c r="Z172" i="111"/>
  <c r="Q172" i="111"/>
  <c r="H172" i="111"/>
  <c r="Z171" i="111"/>
  <c r="Q171" i="111"/>
  <c r="H171" i="111"/>
  <c r="Z170" i="111"/>
  <c r="Q170" i="111"/>
  <c r="H170" i="111"/>
  <c r="Z169" i="111"/>
  <c r="Q169" i="111"/>
  <c r="H169" i="111"/>
  <c r="Z168" i="111"/>
  <c r="Q168" i="111"/>
  <c r="H168" i="111"/>
  <c r="Z167" i="111"/>
  <c r="Q167" i="111"/>
  <c r="H167" i="111"/>
  <c r="Z166" i="111"/>
  <c r="Q166" i="111"/>
  <c r="H166" i="111"/>
  <c r="Z165" i="111"/>
  <c r="Q165" i="111"/>
  <c r="H165" i="111"/>
  <c r="Z164" i="111"/>
  <c r="Q164" i="111"/>
  <c r="H164" i="111"/>
  <c r="Z163" i="111"/>
  <c r="Q163" i="111"/>
  <c r="H163" i="111"/>
  <c r="Z162" i="111"/>
  <c r="Q162" i="111"/>
  <c r="H162" i="111"/>
  <c r="Z161" i="111"/>
  <c r="Q161" i="111"/>
  <c r="H161" i="111"/>
  <c r="Z160" i="111"/>
  <c r="Q160" i="111"/>
  <c r="H160" i="111"/>
  <c r="Z159" i="111"/>
  <c r="Q159" i="111"/>
  <c r="H159" i="111"/>
  <c r="Z158" i="111"/>
  <c r="Q158" i="111"/>
  <c r="H158" i="111"/>
  <c r="Z157" i="111"/>
  <c r="Z187" i="111" s="1"/>
  <c r="Q157" i="111"/>
  <c r="Q187" i="111" s="1"/>
  <c r="H157" i="111"/>
  <c r="H187" i="111" s="1"/>
  <c r="Z149" i="111"/>
  <c r="Q149" i="111"/>
  <c r="H149" i="111"/>
  <c r="Z148" i="111"/>
  <c r="Q148" i="111"/>
  <c r="H148" i="111"/>
  <c r="Z147" i="111"/>
  <c r="Q147" i="111"/>
  <c r="H147" i="111"/>
  <c r="Z146" i="111"/>
  <c r="Q146" i="111"/>
  <c r="H146" i="111"/>
  <c r="Z145" i="111"/>
  <c r="Q145" i="111"/>
  <c r="H145" i="111"/>
  <c r="Z144" i="111"/>
  <c r="Q144" i="111"/>
  <c r="H144" i="111"/>
  <c r="Z143" i="111"/>
  <c r="Q143" i="111"/>
  <c r="H143" i="111"/>
  <c r="Z142" i="111"/>
  <c r="Q142" i="111"/>
  <c r="H142" i="111"/>
  <c r="Z141" i="111"/>
  <c r="Q141" i="111"/>
  <c r="H141" i="111"/>
  <c r="Z140" i="111"/>
  <c r="Q140" i="111"/>
  <c r="H140" i="111"/>
  <c r="Z139" i="111"/>
  <c r="Q139" i="111"/>
  <c r="H139" i="111"/>
  <c r="Z138" i="111"/>
  <c r="Q138" i="111"/>
  <c r="H138" i="111"/>
  <c r="Z137" i="111"/>
  <c r="Q137" i="111"/>
  <c r="H137" i="111"/>
  <c r="Z136" i="111"/>
  <c r="Q136" i="111"/>
  <c r="H136" i="111"/>
  <c r="Z135" i="111"/>
  <c r="Q135" i="111"/>
  <c r="H135" i="111"/>
  <c r="Z134" i="111"/>
  <c r="Q134" i="111"/>
  <c r="H134" i="111"/>
  <c r="Z133" i="111"/>
  <c r="Q133" i="111"/>
  <c r="H133" i="111"/>
  <c r="Z132" i="111"/>
  <c r="Q132" i="111"/>
  <c r="H132" i="111"/>
  <c r="Z131" i="111"/>
  <c r="Q131" i="111"/>
  <c r="H131" i="111"/>
  <c r="Z130" i="111"/>
  <c r="Q130" i="111"/>
  <c r="H130" i="111"/>
  <c r="Z129" i="111"/>
  <c r="Q129" i="111"/>
  <c r="H129" i="111"/>
  <c r="Z128" i="111"/>
  <c r="Q128" i="111"/>
  <c r="H128" i="111"/>
  <c r="Z127" i="111"/>
  <c r="Q127" i="111"/>
  <c r="H127" i="111"/>
  <c r="Z126" i="111"/>
  <c r="Q126" i="111"/>
  <c r="H126" i="111"/>
  <c r="Z125" i="111"/>
  <c r="Q125" i="111"/>
  <c r="H125" i="111"/>
  <c r="Z124" i="111"/>
  <c r="Q124" i="111"/>
  <c r="H124" i="111"/>
  <c r="Z123" i="111"/>
  <c r="Q123" i="111"/>
  <c r="H123" i="111"/>
  <c r="Z122" i="111"/>
  <c r="Q122" i="111"/>
  <c r="H122" i="111"/>
  <c r="H150" i="111" s="1"/>
  <c r="Z121" i="111"/>
  <c r="Q121" i="111"/>
  <c r="H121" i="111"/>
  <c r="Z120" i="111"/>
  <c r="Z150" i="111" s="1"/>
  <c r="Q120" i="111"/>
  <c r="Q150" i="111" s="1"/>
  <c r="H120" i="111"/>
  <c r="Z112" i="111"/>
  <c r="Q112" i="111"/>
  <c r="H112" i="111"/>
  <c r="Z111" i="111"/>
  <c r="Q111" i="111"/>
  <c r="H111" i="111"/>
  <c r="Z110" i="111"/>
  <c r="Q110" i="111"/>
  <c r="H110" i="111"/>
  <c r="Z109" i="111"/>
  <c r="Q109" i="111"/>
  <c r="H109" i="111"/>
  <c r="Z108" i="111"/>
  <c r="Q108" i="111"/>
  <c r="H108" i="111"/>
  <c r="Z107" i="111"/>
  <c r="Q107" i="111"/>
  <c r="H107" i="111"/>
  <c r="Z106" i="111"/>
  <c r="Q106" i="111"/>
  <c r="H106" i="111"/>
  <c r="Z105" i="111"/>
  <c r="Q105" i="111"/>
  <c r="H105" i="111"/>
  <c r="Z104" i="111"/>
  <c r="Q104" i="111"/>
  <c r="H104" i="111"/>
  <c r="Z103" i="111"/>
  <c r="Q103" i="111"/>
  <c r="H103" i="111"/>
  <c r="Z102" i="111"/>
  <c r="Q102" i="111"/>
  <c r="H102" i="111"/>
  <c r="Z101" i="111"/>
  <c r="Q101" i="111"/>
  <c r="H101" i="111"/>
  <c r="Z100" i="111"/>
  <c r="Q100" i="111"/>
  <c r="H100" i="111"/>
  <c r="Z99" i="111"/>
  <c r="Q99" i="111"/>
  <c r="H99" i="111"/>
  <c r="Z98" i="111"/>
  <c r="Q98" i="111"/>
  <c r="H98" i="111"/>
  <c r="Z97" i="111"/>
  <c r="Q97" i="111"/>
  <c r="H97" i="111"/>
  <c r="Z96" i="111"/>
  <c r="Q96" i="111"/>
  <c r="H96" i="111"/>
  <c r="Z95" i="111"/>
  <c r="Q95" i="111"/>
  <c r="H95" i="111"/>
  <c r="Z94" i="111"/>
  <c r="Q94" i="111"/>
  <c r="H94" i="111"/>
  <c r="Z93" i="111"/>
  <c r="Q93" i="111"/>
  <c r="H93" i="111"/>
  <c r="Z92" i="111"/>
  <c r="Q92" i="111"/>
  <c r="H92" i="111"/>
  <c r="Z91" i="111"/>
  <c r="Q91" i="111"/>
  <c r="H91" i="111"/>
  <c r="Z90" i="111"/>
  <c r="Q90" i="111"/>
  <c r="H90" i="111"/>
  <c r="Z89" i="111"/>
  <c r="Q89" i="111"/>
  <c r="H89" i="111"/>
  <c r="Z88" i="111"/>
  <c r="Q88" i="111"/>
  <c r="H88" i="111"/>
  <c r="Z87" i="111"/>
  <c r="Q87" i="111"/>
  <c r="H87" i="111"/>
  <c r="Z86" i="111"/>
  <c r="Q86" i="111"/>
  <c r="H86" i="111"/>
  <c r="Z85" i="111"/>
  <c r="Q85" i="111"/>
  <c r="H85" i="111"/>
  <c r="Z84" i="111"/>
  <c r="Q84" i="111"/>
  <c r="H84" i="111"/>
  <c r="Z83" i="111"/>
  <c r="Z113" i="111" s="1"/>
  <c r="Q83" i="111"/>
  <c r="Q113" i="111" s="1"/>
  <c r="H83" i="111"/>
  <c r="K137" i="109"/>
  <c r="AE24" i="12"/>
  <c r="AE26" i="12"/>
  <c r="AE28" i="12"/>
  <c r="AE30" i="12"/>
  <c r="AE32" i="12"/>
  <c r="AE34" i="12"/>
  <c r="Q24" i="12"/>
  <c r="Q26" i="12"/>
  <c r="Q28" i="12"/>
  <c r="Q30" i="12"/>
  <c r="Q32" i="12"/>
  <c r="Q34" i="12"/>
  <c r="AI22" i="65"/>
  <c r="T26" i="63"/>
  <c r="N24" i="63"/>
  <c r="AW42" i="64"/>
  <c r="AW38" i="64"/>
  <c r="AW18" i="64"/>
  <c r="AW20" i="64"/>
  <c r="AW22" i="64"/>
  <c r="AW24" i="64"/>
  <c r="AW26" i="64"/>
  <c r="AW28" i="64"/>
  <c r="AW30" i="64"/>
  <c r="AW32" i="64"/>
  <c r="AW34" i="64"/>
  <c r="AW16" i="64"/>
  <c r="A240" i="110"/>
  <c r="I240" i="110"/>
  <c r="J240" i="110"/>
  <c r="K240" i="110"/>
  <c r="Z240" i="110"/>
  <c r="AD240" i="110"/>
  <c r="Q16" i="12"/>
  <c r="Q18" i="12"/>
  <c r="Q20" i="12"/>
  <c r="AE16" i="12"/>
  <c r="AE18" i="12"/>
  <c r="AE20" i="12"/>
  <c r="AV18" i="64"/>
  <c r="AV20" i="64"/>
  <c r="AV22" i="64"/>
  <c r="AV24" i="64"/>
  <c r="AV26" i="64"/>
  <c r="AV28" i="64"/>
  <c r="AV30" i="64"/>
  <c r="AV32" i="64"/>
  <c r="AV34" i="64"/>
  <c r="AV16" i="64"/>
  <c r="X22" i="69"/>
  <c r="Z22" i="69"/>
  <c r="AB22" i="69"/>
  <c r="AF22" i="69"/>
  <c r="X24" i="69"/>
  <c r="Z24" i="69"/>
  <c r="AB24" i="69"/>
  <c r="AF24" i="69"/>
  <c r="T22" i="69"/>
  <c r="T24" i="69"/>
  <c r="T26" i="69"/>
  <c r="T28" i="69"/>
  <c r="P22" i="69"/>
  <c r="R22" i="69"/>
  <c r="P24" i="69"/>
  <c r="R24" i="69"/>
  <c r="L22" i="69"/>
  <c r="L24" i="69"/>
  <c r="O22" i="13"/>
  <c r="Q261" i="111" l="1"/>
  <c r="BC30" i="70"/>
  <c r="AW30" i="70" a="1"/>
  <c r="AW30" i="70" s="1"/>
  <c r="BF30" i="70"/>
  <c r="AV30" i="70"/>
  <c r="AV52" i="70"/>
  <c r="BC52" i="70"/>
  <c r="AW52" i="70" a="1"/>
  <c r="AW52" i="70" s="1"/>
  <c r="BF52" i="70"/>
  <c r="BF46" i="70"/>
  <c r="BC46" i="70"/>
  <c r="AV46" i="70"/>
  <c r="AW46" i="70" a="1"/>
  <c r="AW46" i="70" s="1"/>
  <c r="BF50" i="70"/>
  <c r="AW50" i="70" a="1"/>
  <c r="AW50" i="70" s="1"/>
  <c r="AV50" i="70"/>
  <c r="BC50" i="70"/>
  <c r="BC42" i="70"/>
  <c r="AW42" i="70" a="1"/>
  <c r="AW42" i="70" s="1"/>
  <c r="BF42" i="70"/>
  <c r="AV42" i="70"/>
  <c r="BC34" i="70"/>
  <c r="BF34" i="70"/>
  <c r="AV34" i="70"/>
  <c r="AW34" i="70" a="1"/>
  <c r="AW34" i="70" s="1"/>
  <c r="BG30" i="70"/>
  <c r="BA30" i="70"/>
  <c r="BB30" i="70" s="1"/>
  <c r="AZ30" i="70" s="1"/>
  <c r="BF38" i="70"/>
  <c r="AW38" i="70" a="1"/>
  <c r="AW38" i="70" s="1"/>
  <c r="AV38" i="70"/>
  <c r="BC38" i="70"/>
  <c r="BF44" i="70"/>
  <c r="AV44" i="70"/>
  <c r="AW44" i="70" a="1"/>
  <c r="AW44" i="70" s="1"/>
  <c r="BC44" i="70"/>
  <c r="AV36" i="70"/>
  <c r="BC36" i="70"/>
  <c r="BF36" i="70"/>
  <c r="AW36" i="70" a="1"/>
  <c r="AW36" i="70" s="1"/>
  <c r="BC28" i="70"/>
  <c r="AV28" i="70"/>
  <c r="AW28" i="70" a="1"/>
  <c r="AW28" i="70" s="1"/>
  <c r="BF28" i="70"/>
  <c r="BG40" i="70"/>
  <c r="BA40" i="70"/>
  <c r="BB40" i="70" s="1"/>
  <c r="AZ40" i="70" s="1"/>
  <c r="AV48" i="70"/>
  <c r="BF48" i="70"/>
  <c r="AW48" i="70" a="1"/>
  <c r="AW48" i="70" s="1"/>
  <c r="BC48" i="70"/>
  <c r="BC40" i="70"/>
  <c r="AV40" i="70"/>
  <c r="AW40" i="70" a="1"/>
  <c r="AW40" i="70" s="1"/>
  <c r="BF40" i="70"/>
  <c r="AV32" i="70"/>
  <c r="BC32" i="70"/>
  <c r="AW32" i="70" a="1"/>
  <c r="AW32" i="70" s="1"/>
  <c r="BF32" i="70"/>
  <c r="BG44" i="70"/>
  <c r="BA44" i="70"/>
  <c r="BB44" i="70" s="1"/>
  <c r="AZ44" i="70" s="1"/>
  <c r="BG28" i="70"/>
  <c r="BA28" i="70"/>
  <c r="BB28" i="70" s="1"/>
  <c r="AZ28" i="70" s="1"/>
  <c r="L54" i="70"/>
  <c r="S54" i="70"/>
  <c r="AA54" i="70" s="1"/>
  <c r="Y54" i="70" s="1"/>
  <c r="Q54" i="70"/>
  <c r="AU50" i="70"/>
  <c r="AN42" i="70"/>
  <c r="H373" i="110" s="1"/>
  <c r="AH32" i="70"/>
  <c r="BG34" i="70"/>
  <c r="AH40" i="70"/>
  <c r="BG48" i="70"/>
  <c r="BG38" i="70"/>
  <c r="AN48" i="70"/>
  <c r="H376" i="110" s="1"/>
  <c r="AN32" i="70"/>
  <c r="H368" i="110" s="1"/>
  <c r="AU40" i="70"/>
  <c r="AU32" i="70"/>
  <c r="AU36" i="70"/>
  <c r="AU28" i="70"/>
  <c r="AK42" i="70"/>
  <c r="AX42" i="70" s="1"/>
  <c r="AH48" i="70"/>
  <c r="AN40" i="70"/>
  <c r="H372" i="110" s="1"/>
  <c r="AU48" i="70"/>
  <c r="AK44" i="70"/>
  <c r="AX44" i="70" s="1"/>
  <c r="BG52" i="70"/>
  <c r="AU30" i="70"/>
  <c r="AH38" i="70"/>
  <c r="AH30" i="70"/>
  <c r="AK34" i="70"/>
  <c r="AX34" i="70" s="1"/>
  <c r="AN46" i="70"/>
  <c r="H375" i="110" s="1"/>
  <c r="BG42" i="70"/>
  <c r="AU34" i="70"/>
  <c r="AH52" i="70"/>
  <c r="AH44" i="70"/>
  <c r="BD44" i="70" s="1"/>
  <c r="AH36" i="70"/>
  <c r="AH28" i="70"/>
  <c r="AK48" i="70"/>
  <c r="AX48" i="70" s="1"/>
  <c r="AK40" i="70"/>
  <c r="AX40" i="70" s="1"/>
  <c r="AK32" i="70"/>
  <c r="AX32" i="70" s="1"/>
  <c r="AN52" i="70"/>
  <c r="H378" i="110" s="1"/>
  <c r="AN44" i="70"/>
  <c r="H374" i="110" s="1"/>
  <c r="AN36" i="70"/>
  <c r="H370" i="110" s="1"/>
  <c r="AN28" i="70"/>
  <c r="H366" i="110" s="1"/>
  <c r="BG50" i="70"/>
  <c r="BG46" i="70"/>
  <c r="AU46" i="70"/>
  <c r="AU42" i="70"/>
  <c r="BG36" i="70"/>
  <c r="BG32" i="70"/>
  <c r="AK52" i="70"/>
  <c r="AX52" i="70" s="1"/>
  <c r="AK36" i="70"/>
  <c r="AX36" i="70" s="1"/>
  <c r="AK28" i="70"/>
  <c r="AX28" i="70" s="1"/>
  <c r="AU44" i="70"/>
  <c r="AH46" i="70"/>
  <c r="AK50" i="70"/>
  <c r="AX50" i="70" s="1"/>
  <c r="AN38" i="70"/>
  <c r="H371" i="110" s="1"/>
  <c r="AN30" i="70"/>
  <c r="H367" i="110" s="1"/>
  <c r="AU52" i="70"/>
  <c r="AU38" i="70"/>
  <c r="AH50" i="70"/>
  <c r="AH42" i="70"/>
  <c r="AH34" i="70"/>
  <c r="BD34" i="70" s="1"/>
  <c r="AK46" i="70"/>
  <c r="AX46" i="70" s="1"/>
  <c r="AK38" i="70"/>
  <c r="AX38" i="70" s="1"/>
  <c r="AK30" i="70"/>
  <c r="AX30" i="70" s="1"/>
  <c r="AN50" i="70"/>
  <c r="H377" i="110" s="1"/>
  <c r="AN34" i="70"/>
  <c r="H369" i="110" s="1"/>
  <c r="V22" i="62"/>
  <c r="Q22" i="12"/>
  <c r="AE22" i="12"/>
  <c r="BD42" i="70" l="1"/>
  <c r="BD38" i="70"/>
  <c r="BD40" i="70"/>
  <c r="N54" i="70"/>
  <c r="BA54" i="70" s="1"/>
  <c r="BB54" i="70" s="1"/>
  <c r="AZ54" i="70" s="1"/>
  <c r="BD46" i="70"/>
  <c r="BD52" i="70"/>
  <c r="BD48" i="70"/>
  <c r="BD32" i="70"/>
  <c r="BD36" i="70"/>
  <c r="BD50" i="70"/>
  <c r="BD28" i="70"/>
  <c r="BD30" i="70"/>
  <c r="AH54" i="70"/>
  <c r="AZ40" i="117"/>
  <c r="AZ42" i="117"/>
  <c r="AZ38" i="117"/>
  <c r="AX40" i="117"/>
  <c r="AX42" i="117"/>
  <c r="AX38" i="117"/>
  <c r="AV54" i="70" l="1"/>
  <c r="BF54" i="70"/>
  <c r="AK54" i="70"/>
  <c r="AX54" i="70" s="1"/>
  <c r="AW54" i="70" a="1"/>
  <c r="AW54" i="70" s="1"/>
  <c r="BC54" i="70"/>
  <c r="AU54" i="70" s="1"/>
  <c r="A197" i="110"/>
  <c r="G197" i="110"/>
  <c r="K197" i="110"/>
  <c r="Z197" i="110"/>
  <c r="AD197" i="110"/>
  <c r="A195" i="110"/>
  <c r="G195" i="110"/>
  <c r="I195" i="110"/>
  <c r="J195" i="110"/>
  <c r="K195" i="110"/>
  <c r="M195" i="110"/>
  <c r="Z195" i="110"/>
  <c r="AB195" i="110"/>
  <c r="AO195" i="110" s="1"/>
  <c r="AD195" i="110"/>
  <c r="A196" i="110"/>
  <c r="G196" i="110"/>
  <c r="I196" i="110"/>
  <c r="J196" i="110"/>
  <c r="K196" i="110"/>
  <c r="M196" i="110"/>
  <c r="Z196" i="110"/>
  <c r="AB196" i="110"/>
  <c r="AO196" i="110" s="1"/>
  <c r="AD196" i="110"/>
  <c r="AU40" i="117"/>
  <c r="AU42" i="117"/>
  <c r="AU38" i="117"/>
  <c r="K210" i="110" s="1"/>
  <c r="AV40" i="117"/>
  <c r="AW40" i="117"/>
  <c r="AV42" i="117"/>
  <c r="AW42" i="117"/>
  <c r="AO40" i="117"/>
  <c r="O211" i="110" s="1"/>
  <c r="AO42" i="117"/>
  <c r="H212" i="110" s="1"/>
  <c r="AK40" i="117"/>
  <c r="AK42" i="117"/>
  <c r="AI40" i="117"/>
  <c r="AI42" i="117"/>
  <c r="AE40" i="117"/>
  <c r="AE42" i="117"/>
  <c r="T40" i="117"/>
  <c r="T42" i="117"/>
  <c r="P40" i="117"/>
  <c r="P42" i="117"/>
  <c r="AI38" i="117"/>
  <c r="AE38" i="117"/>
  <c r="AN38" i="117" s="1"/>
  <c r="T38" i="117"/>
  <c r="P38" i="117"/>
  <c r="A210" i="110"/>
  <c r="I210" i="110"/>
  <c r="J210" i="110"/>
  <c r="M210" i="110"/>
  <c r="Z210" i="110"/>
  <c r="AA210" i="110"/>
  <c r="AB210" i="110"/>
  <c r="AO210" i="110" s="1"/>
  <c r="AD210" i="110"/>
  <c r="A211" i="110"/>
  <c r="I211" i="110"/>
  <c r="J211" i="110"/>
  <c r="K211" i="110"/>
  <c r="M211" i="110"/>
  <c r="Z211" i="110"/>
  <c r="AA211" i="110"/>
  <c r="AB211" i="110"/>
  <c r="AO211" i="110" s="1"/>
  <c r="AD211" i="110"/>
  <c r="A212" i="110"/>
  <c r="I212" i="110"/>
  <c r="J212" i="110"/>
  <c r="K212" i="110"/>
  <c r="M212" i="110"/>
  <c r="Z212" i="110"/>
  <c r="AB212" i="110"/>
  <c r="AO212" i="110" s="1"/>
  <c r="AD212" i="110"/>
  <c r="AA212" i="110"/>
  <c r="AW18" i="117"/>
  <c r="AW20" i="117"/>
  <c r="AW22" i="117"/>
  <c r="AW24" i="117"/>
  <c r="AW26" i="117"/>
  <c r="AW28" i="117"/>
  <c r="AW30" i="117"/>
  <c r="AW32" i="117"/>
  <c r="AW16" i="117"/>
  <c r="AV18" i="117"/>
  <c r="AV20" i="117"/>
  <c r="AV30" i="117"/>
  <c r="AV32" i="117"/>
  <c r="AV16" i="117"/>
  <c r="BD54" i="70" l="1"/>
  <c r="BG54" i="70"/>
  <c r="AN54" i="70" s="1"/>
  <c r="BE54" i="70" s="1"/>
  <c r="N211" i="110"/>
  <c r="BC42" i="117"/>
  <c r="W212" i="110" s="1"/>
  <c r="H211" i="110"/>
  <c r="BC40" i="117"/>
  <c r="W211" i="110" s="1"/>
  <c r="AN40" i="117"/>
  <c r="R211" i="110"/>
  <c r="C211" i="110" s="1"/>
  <c r="B211" i="110" s="1"/>
  <c r="AN42" i="117"/>
  <c r="AY42" i="117"/>
  <c r="AY40" i="117"/>
  <c r="BC38" i="117"/>
  <c r="AV38" i="117" s="1"/>
  <c r="AK38" i="117" s="1"/>
  <c r="AY38" i="117" s="1"/>
  <c r="AO38" i="117" s="1"/>
  <c r="H210" i="110" s="1"/>
  <c r="N212" i="110"/>
  <c r="R212" i="110"/>
  <c r="C212" i="110" s="1"/>
  <c r="B212" i="110" s="1"/>
  <c r="O212" i="110"/>
  <c r="H379" i="110" l="1"/>
  <c r="W210" i="110"/>
  <c r="L211" i="110"/>
  <c r="N210" i="110"/>
  <c r="AW38" i="117"/>
  <c r="O210" i="110" s="1"/>
  <c r="R210" i="110"/>
  <c r="BE38" i="117"/>
  <c r="L212" i="110"/>
  <c r="C210" i="110" l="1"/>
  <c r="B210" i="110" s="1"/>
  <c r="L210" i="110"/>
  <c r="F52" i="110" l="1"/>
  <c r="G52" i="110"/>
  <c r="Z52" i="110"/>
  <c r="AD52" i="110"/>
  <c r="X16" i="69" l="1"/>
  <c r="Z16" i="69"/>
  <c r="AB16" i="69"/>
  <c r="AF16" i="69"/>
  <c r="T16" i="69"/>
  <c r="P16" i="69"/>
  <c r="R16" i="69"/>
  <c r="L16" i="69"/>
  <c r="D387" i="110"/>
  <c r="D388" i="110"/>
  <c r="D389" i="110"/>
  <c r="D390" i="110"/>
  <c r="D391" i="110"/>
  <c r="D392" i="110"/>
  <c r="D393" i="110"/>
  <c r="D394" i="110"/>
  <c r="D395" i="110"/>
  <c r="D438" i="110"/>
  <c r="D439" i="110"/>
  <c r="D440" i="110"/>
  <c r="D441" i="110"/>
  <c r="D442" i="110"/>
  <c r="D443" i="110"/>
  <c r="D444" i="110"/>
  <c r="D445" i="110"/>
  <c r="D446" i="110"/>
  <c r="DI2" i="110"/>
  <c r="A187" i="110"/>
  <c r="G187" i="110"/>
  <c r="I187" i="110"/>
  <c r="J187" i="110"/>
  <c r="K187" i="110"/>
  <c r="M187" i="110"/>
  <c r="Z187" i="110"/>
  <c r="AB187" i="110"/>
  <c r="AO187" i="110" s="1"/>
  <c r="AD187" i="110"/>
  <c r="A188" i="110"/>
  <c r="G188" i="110"/>
  <c r="I188" i="110"/>
  <c r="J188" i="110"/>
  <c r="K188" i="110"/>
  <c r="M188" i="110"/>
  <c r="Z188" i="110"/>
  <c r="AB188" i="110"/>
  <c r="AO188" i="110" s="1"/>
  <c r="AD188" i="110"/>
  <c r="A189" i="110"/>
  <c r="G189" i="110"/>
  <c r="I189" i="110"/>
  <c r="J189" i="110"/>
  <c r="M189" i="110"/>
  <c r="Z189" i="110"/>
  <c r="AB189" i="110"/>
  <c r="AO189" i="110" s="1"/>
  <c r="AD189" i="110"/>
  <c r="A190" i="110"/>
  <c r="G190" i="110"/>
  <c r="I190" i="110"/>
  <c r="J190" i="110"/>
  <c r="K190" i="110"/>
  <c r="M190" i="110"/>
  <c r="Z190" i="110"/>
  <c r="AB190" i="110"/>
  <c r="AO190" i="110" s="1"/>
  <c r="AD190" i="110"/>
  <c r="A191" i="110"/>
  <c r="G191" i="110"/>
  <c r="I191" i="110"/>
  <c r="J191" i="110"/>
  <c r="K191" i="110"/>
  <c r="M191" i="110"/>
  <c r="Z191" i="110"/>
  <c r="AB191" i="110"/>
  <c r="AO191" i="110" s="1"/>
  <c r="AD191" i="110"/>
  <c r="A192" i="110"/>
  <c r="G192" i="110"/>
  <c r="I192" i="110"/>
  <c r="J192" i="110"/>
  <c r="K192" i="110"/>
  <c r="M192" i="110"/>
  <c r="Z192" i="110"/>
  <c r="AB192" i="110"/>
  <c r="AO192" i="110" s="1"/>
  <c r="AD192" i="110"/>
  <c r="A193" i="110"/>
  <c r="G193" i="110"/>
  <c r="I193" i="110"/>
  <c r="J193" i="110"/>
  <c r="K193" i="110"/>
  <c r="M193" i="110"/>
  <c r="Z193" i="110"/>
  <c r="AB193" i="110"/>
  <c r="AO193" i="110" s="1"/>
  <c r="AD193" i="110"/>
  <c r="A194" i="110"/>
  <c r="G194" i="110"/>
  <c r="I194" i="110"/>
  <c r="J194" i="110"/>
  <c r="K194" i="110"/>
  <c r="M194" i="110"/>
  <c r="Z194" i="110"/>
  <c r="AB194" i="110"/>
  <c r="AO194" i="110" s="1"/>
  <c r="AD194" i="110"/>
  <c r="N42" i="65"/>
  <c r="AA187" i="110" s="1"/>
  <c r="N44" i="65"/>
  <c r="AA188" i="110" s="1"/>
  <c r="N46" i="65"/>
  <c r="AA189" i="110" s="1"/>
  <c r="N48" i="65"/>
  <c r="AA190" i="110" s="1"/>
  <c r="N50" i="65"/>
  <c r="AA191" i="110" s="1"/>
  <c r="N52" i="65"/>
  <c r="AA192" i="110" s="1"/>
  <c r="N54" i="65"/>
  <c r="AA193" i="110" s="1"/>
  <c r="N56" i="65"/>
  <c r="AA194" i="110" s="1"/>
  <c r="N58" i="65"/>
  <c r="AA195" i="110" s="1"/>
  <c r="N60" i="65"/>
  <c r="AA196" i="110" s="1"/>
  <c r="T42" i="65"/>
  <c r="BC42" i="65" s="1"/>
  <c r="T44" i="65"/>
  <c r="T46" i="65"/>
  <c r="T48" i="65"/>
  <c r="T50" i="65"/>
  <c r="BC50" i="65" s="1"/>
  <c r="T52" i="65"/>
  <c r="T54" i="65"/>
  <c r="T56" i="65"/>
  <c r="T58" i="65"/>
  <c r="BC58" i="65" s="1"/>
  <c r="T60" i="65"/>
  <c r="AI42" i="65"/>
  <c r="AI44" i="65"/>
  <c r="AI46" i="65"/>
  <c r="AI48" i="65"/>
  <c r="AI50" i="65"/>
  <c r="AI52" i="65"/>
  <c r="AI54" i="65"/>
  <c r="AI56" i="65"/>
  <c r="AI58" i="65"/>
  <c r="AI60" i="65"/>
  <c r="AK42" i="65"/>
  <c r="AK44" i="65"/>
  <c r="AK46" i="65"/>
  <c r="AK48" i="65"/>
  <c r="AK50" i="65"/>
  <c r="AK52" i="65"/>
  <c r="AK54" i="65"/>
  <c r="AK56" i="65"/>
  <c r="AK58" i="65"/>
  <c r="AK60" i="65"/>
  <c r="AN42" i="65"/>
  <c r="H187" i="110" s="1"/>
  <c r="AN44" i="65"/>
  <c r="H188" i="110" s="1"/>
  <c r="AN48" i="65"/>
  <c r="R190" i="110" s="1"/>
  <c r="L190" i="110" s="1"/>
  <c r="AN50" i="65"/>
  <c r="P191" i="110" s="1"/>
  <c r="AN52" i="65"/>
  <c r="AN54" i="65"/>
  <c r="R193" i="110" s="1"/>
  <c r="AN56" i="65"/>
  <c r="H194" i="110" s="1"/>
  <c r="AN58" i="65"/>
  <c r="AN60" i="65"/>
  <c r="AK40" i="65"/>
  <c r="AI40" i="65"/>
  <c r="T40" i="65"/>
  <c r="N40" i="65"/>
  <c r="AU44" i="65"/>
  <c r="AU46" i="65"/>
  <c r="K189" i="110" s="1"/>
  <c r="AU48" i="65"/>
  <c r="AU50" i="65"/>
  <c r="AU52" i="65"/>
  <c r="AU54" i="65"/>
  <c r="AU56" i="65"/>
  <c r="AU58" i="65"/>
  <c r="AU60" i="65"/>
  <c r="AN40" i="65"/>
  <c r="P186" i="110" s="1"/>
  <c r="AY50" i="118"/>
  <c r="P195" i="110" l="1"/>
  <c r="R195" i="110"/>
  <c r="W195" i="110"/>
  <c r="H195" i="110"/>
  <c r="H196" i="110"/>
  <c r="P196" i="110"/>
  <c r="R196" i="110"/>
  <c r="BC60" i="65"/>
  <c r="W196" i="110" s="1"/>
  <c r="BC52" i="65"/>
  <c r="W192" i="110" s="1"/>
  <c r="BC44" i="65"/>
  <c r="W188" i="110" s="1"/>
  <c r="BC54" i="65"/>
  <c r="W193" i="110" s="1"/>
  <c r="BC56" i="65"/>
  <c r="W194" i="110" s="1"/>
  <c r="BC48" i="65"/>
  <c r="W190" i="110" s="1"/>
  <c r="BC40" i="65"/>
  <c r="BC46" i="65"/>
  <c r="P193" i="110"/>
  <c r="H190" i="110"/>
  <c r="P190" i="110"/>
  <c r="R192" i="110"/>
  <c r="C192" i="110" s="1"/>
  <c r="B192" i="110" s="1"/>
  <c r="R188" i="110"/>
  <c r="L188" i="110" s="1"/>
  <c r="P188" i="110"/>
  <c r="H193" i="110"/>
  <c r="H192" i="110"/>
  <c r="P194" i="110"/>
  <c r="R194" i="110"/>
  <c r="L194" i="110" s="1"/>
  <c r="H191" i="110"/>
  <c r="R187" i="110"/>
  <c r="C187" i="110" s="1"/>
  <c r="B187" i="110" s="1"/>
  <c r="P192" i="110"/>
  <c r="P187" i="110"/>
  <c r="W191" i="110"/>
  <c r="R191" i="110"/>
  <c r="C191" i="110" s="1"/>
  <c r="B191" i="110" s="1"/>
  <c r="W187" i="110"/>
  <c r="AX200" i="65"/>
  <c r="C190" i="110"/>
  <c r="B190" i="110" s="1"/>
  <c r="C193" i="110"/>
  <c r="B193" i="110" s="1"/>
  <c r="L193" i="110"/>
  <c r="AW18" i="118"/>
  <c r="AW20" i="118"/>
  <c r="AW22" i="118"/>
  <c r="AW24" i="118"/>
  <c r="AW26" i="118"/>
  <c r="AW28" i="118"/>
  <c r="AW30" i="118"/>
  <c r="AW32" i="118"/>
  <c r="AW34" i="118"/>
  <c r="AW36" i="118"/>
  <c r="AW38" i="118"/>
  <c r="AW40" i="118"/>
  <c r="AW42" i="118"/>
  <c r="AW44" i="118"/>
  <c r="AW16" i="118"/>
  <c r="L195" i="110" l="1"/>
  <c r="C195" i="110"/>
  <c r="B195" i="110" s="1"/>
  <c r="C196" i="110"/>
  <c r="B196" i="110" s="1"/>
  <c r="L196" i="110"/>
  <c r="C188" i="110"/>
  <c r="B188" i="110" s="1"/>
  <c r="L191" i="110"/>
  <c r="L192" i="110"/>
  <c r="AN46" i="65"/>
  <c r="BA200" i="65" s="1"/>
  <c r="C194" i="110"/>
  <c r="B194" i="110" s="1"/>
  <c r="L187" i="110"/>
  <c r="AY52" i="118"/>
  <c r="AY54" i="118"/>
  <c r="AY56" i="118"/>
  <c r="AY58" i="118"/>
  <c r="AY60" i="118"/>
  <c r="AY62" i="118"/>
  <c r="AY64" i="118"/>
  <c r="H189" i="110" l="1"/>
  <c r="AE12" i="65"/>
  <c r="P189" i="110"/>
  <c r="R189" i="110"/>
  <c r="W189" i="110"/>
  <c r="T28" i="63"/>
  <c r="T30" i="63"/>
  <c r="T32" i="63"/>
  <c r="T34" i="63"/>
  <c r="H439" i="110"/>
  <c r="H440" i="110"/>
  <c r="H441" i="110"/>
  <c r="H442" i="110"/>
  <c r="H443" i="110"/>
  <c r="H445" i="110"/>
  <c r="H446" i="110"/>
  <c r="G304" i="110"/>
  <c r="G305" i="110"/>
  <c r="H276" i="110"/>
  <c r="H277" i="110"/>
  <c r="H278" i="110"/>
  <c r="H279" i="110"/>
  <c r="H280" i="110"/>
  <c r="H167" i="110"/>
  <c r="BC30" i="63"/>
  <c r="BC32" i="63"/>
  <c r="BC34" i="63"/>
  <c r="G29" i="81"/>
  <c r="BC40" i="64"/>
  <c r="BC42" i="64"/>
  <c r="BC44" i="64"/>
  <c r="BC38" i="64"/>
  <c r="J19" i="57"/>
  <c r="C19" i="57"/>
  <c r="AE16" i="57"/>
  <c r="X16" i="57"/>
  <c r="R8" i="109"/>
  <c r="S8" i="109"/>
  <c r="T8" i="109"/>
  <c r="U8" i="109"/>
  <c r="V8" i="109"/>
  <c r="W8" i="109"/>
  <c r="X8" i="109"/>
  <c r="V7" i="109"/>
  <c r="V6" i="109"/>
  <c r="V5" i="109"/>
  <c r="U7" i="109"/>
  <c r="U6" i="109"/>
  <c r="U5" i="109"/>
  <c r="T7" i="109"/>
  <c r="T6" i="109"/>
  <c r="T5" i="109"/>
  <c r="S7" i="109"/>
  <c r="S6" i="109"/>
  <c r="S5" i="109"/>
  <c r="L189" i="110" l="1"/>
  <c r="C189" i="110"/>
  <c r="B189" i="110" s="1"/>
  <c r="X20" i="69"/>
  <c r="Z20" i="69"/>
  <c r="AB20" i="69"/>
  <c r="AF20" i="69"/>
  <c r="T20" i="69"/>
  <c r="P20" i="69"/>
  <c r="R20" i="69"/>
  <c r="L20" i="69"/>
  <c r="BF20" i="69" s="1"/>
  <c r="AI22" i="64"/>
  <c r="N26" i="63"/>
  <c r="BC26" i="63" s="1"/>
  <c r="N28" i="63"/>
  <c r="N30" i="63"/>
  <c r="N32" i="63"/>
  <c r="BS2" i="110"/>
  <c r="BF18" i="69"/>
  <c r="BF26" i="69"/>
  <c r="BF28" i="69"/>
  <c r="BF30" i="69"/>
  <c r="BF32" i="69"/>
  <c r="BF34" i="69"/>
  <c r="H387" i="110"/>
  <c r="H391" i="110"/>
  <c r="H392" i="110"/>
  <c r="H393" i="110"/>
  <c r="H394" i="110"/>
  <c r="H395" i="110"/>
  <c r="H386" i="110"/>
  <c r="L366" i="110"/>
  <c r="L367" i="110"/>
  <c r="L368" i="110"/>
  <c r="L369" i="110"/>
  <c r="L370" i="110"/>
  <c r="L371" i="110"/>
  <c r="L372" i="110"/>
  <c r="L373" i="110"/>
  <c r="L374" i="110"/>
  <c r="L375" i="110"/>
  <c r="L376" i="110"/>
  <c r="L377" i="110"/>
  <c r="L378" i="110"/>
  <c r="L379" i="110"/>
  <c r="L380" i="110"/>
  <c r="L381" i="110"/>
  <c r="L382" i="110"/>
  <c r="L383" i="110"/>
  <c r="L384" i="110"/>
  <c r="Q18" i="70"/>
  <c r="Q22" i="70"/>
  <c r="Q24" i="70"/>
  <c r="Q26" i="70"/>
  <c r="C126" i="3"/>
  <c r="B126" i="3"/>
  <c r="E126" i="3"/>
  <c r="BC28" i="63" l="1"/>
  <c r="BC24" i="63"/>
  <c r="L98" i="109"/>
  <c r="L97" i="109"/>
  <c r="L96" i="109"/>
  <c r="L77" i="109"/>
  <c r="L91" i="109"/>
  <c r="L78" i="109"/>
  <c r="L79" i="109"/>
  <c r="L80" i="109"/>
  <c r="L81" i="109"/>
  <c r="L82" i="109"/>
  <c r="L83" i="109"/>
  <c r="L84" i="109"/>
  <c r="L85" i="109"/>
  <c r="L86" i="109"/>
  <c r="L87" i="109"/>
  <c r="L88" i="109"/>
  <c r="L89" i="109"/>
  <c r="L90" i="109"/>
  <c r="L92" i="109"/>
  <c r="L93" i="109"/>
  <c r="L94" i="109"/>
  <c r="L95" i="109"/>
  <c r="L99" i="109"/>
  <c r="L76" i="109"/>
  <c r="N34" i="63" l="1"/>
  <c r="BC18" i="63" l="1"/>
  <c r="X26" i="69"/>
  <c r="Z26" i="69"/>
  <c r="AB26" i="69"/>
  <c r="AF26" i="69"/>
  <c r="X28" i="69"/>
  <c r="Z28" i="69"/>
  <c r="AB28" i="69"/>
  <c r="AF28" i="69"/>
  <c r="X30" i="69"/>
  <c r="Z30" i="69"/>
  <c r="AB30" i="69"/>
  <c r="AF30" i="69"/>
  <c r="T30" i="69"/>
  <c r="R26" i="69"/>
  <c r="R28" i="69"/>
  <c r="R30" i="69"/>
  <c r="P26" i="69"/>
  <c r="P28" i="69"/>
  <c r="P30" i="69"/>
  <c r="L26" i="69"/>
  <c r="L28" i="69"/>
  <c r="L30" i="69"/>
  <c r="AZ114" i="69"/>
  <c r="AN114" i="69" s="1"/>
  <c r="H390" i="110" l="1"/>
  <c r="BF24" i="69"/>
  <c r="BH18" i="69"/>
  <c r="BH26" i="69"/>
  <c r="BH30" i="69"/>
  <c r="BH32" i="69"/>
  <c r="BH34" i="69"/>
  <c r="V24" i="62" l="1"/>
  <c r="AK30" i="117"/>
  <c r="AK32" i="117"/>
  <c r="AI62" i="81"/>
  <c r="H389" i="110" l="1"/>
  <c r="BH22" i="69"/>
  <c r="BH28" i="69"/>
  <c r="Z307" i="110"/>
  <c r="AD307" i="110"/>
  <c r="K307" i="110"/>
  <c r="J307" i="110"/>
  <c r="I307" i="110"/>
  <c r="G307" i="110"/>
  <c r="A307" i="110"/>
  <c r="A172" i="110"/>
  <c r="G172" i="110"/>
  <c r="I172" i="110"/>
  <c r="J172" i="110"/>
  <c r="K172" i="110"/>
  <c r="Z172" i="110"/>
  <c r="AD172" i="110"/>
  <c r="A213" i="110"/>
  <c r="I213" i="110"/>
  <c r="J213" i="110"/>
  <c r="K213" i="110"/>
  <c r="Z213" i="110"/>
  <c r="AD213" i="110"/>
  <c r="AB18" i="69" l="1"/>
  <c r="AF18" i="69" s="1"/>
  <c r="C137" i="116"/>
  <c r="K137" i="116"/>
  <c r="E78" i="3"/>
  <c r="B78" i="3"/>
  <c r="C79" i="3"/>
  <c r="B79" i="3"/>
  <c r="E79" i="3"/>
  <c r="D78" i="3"/>
  <c r="C78" i="3"/>
  <c r="D79" i="3"/>
  <c r="BG16" i="69" l="1"/>
  <c r="D386" i="110" s="1"/>
  <c r="BH16" i="69"/>
  <c r="X32" i="69"/>
  <c r="Z32" i="69"/>
  <c r="AB32" i="69"/>
  <c r="X34" i="69"/>
  <c r="Z34" i="69"/>
  <c r="AB34" i="69"/>
  <c r="AF34" i="69" s="1"/>
  <c r="AF32" i="69"/>
  <c r="H388" i="110" l="1"/>
  <c r="I24" i="12"/>
  <c r="D12" i="8"/>
  <c r="D10" i="8"/>
  <c r="O24" i="13"/>
  <c r="BH24" i="13" s="1"/>
  <c r="I22" i="12"/>
  <c r="BG22" i="12" l="1"/>
  <c r="BF22" i="12"/>
  <c r="BB22" i="12"/>
  <c r="BB24" i="12"/>
  <c r="Z18" i="69"/>
  <c r="X18" i="69"/>
  <c r="T18" i="69"/>
  <c r="T32" i="69"/>
  <c r="T34" i="69"/>
  <c r="R18" i="69"/>
  <c r="BE18" i="69" s="1" a="1"/>
  <c r="BE18" i="69" s="1"/>
  <c r="R32" i="69"/>
  <c r="R34" i="69"/>
  <c r="P18" i="69"/>
  <c r="AK28" i="69"/>
  <c r="P32" i="69"/>
  <c r="P34" i="69"/>
  <c r="L18" i="69"/>
  <c r="L32" i="69"/>
  <c r="L34" i="69"/>
  <c r="AK34" i="69"/>
  <c r="AU18" i="69"/>
  <c r="BB18" i="69"/>
  <c r="AU20" i="69"/>
  <c r="AX20" i="69"/>
  <c r="BB20" i="69"/>
  <c r="AU22" i="69"/>
  <c r="BB22" i="69"/>
  <c r="AU24" i="69"/>
  <c r="BB24" i="69"/>
  <c r="AU26" i="69"/>
  <c r="BB26" i="69"/>
  <c r="AU28" i="69"/>
  <c r="BB28" i="69"/>
  <c r="AU30" i="69"/>
  <c r="BB30" i="69"/>
  <c r="AU32" i="69"/>
  <c r="BB32" i="69"/>
  <c r="AU34" i="69"/>
  <c r="AV34" i="69"/>
  <c r="AX34" i="69"/>
  <c r="AY34" i="69"/>
  <c r="AZ34" i="69"/>
  <c r="BB34" i="69"/>
  <c r="BD34" i="69"/>
  <c r="BE34" i="69" a="1"/>
  <c r="BE34" i="69" s="1"/>
  <c r="AK20" i="69" l="1"/>
  <c r="BH20" i="69"/>
  <c r="AX28" i="69"/>
  <c r="AK22" i="69"/>
  <c r="AX22" i="69"/>
  <c r="AK32" i="69"/>
  <c r="BD32" i="69"/>
  <c r="BE32" i="69" a="1"/>
  <c r="BE32" i="69" s="1"/>
  <c r="AY32" i="69"/>
  <c r="AZ32" i="69"/>
  <c r="AX32" i="69"/>
  <c r="AV32" i="69"/>
  <c r="I56" i="110" l="1"/>
  <c r="J56" i="110"/>
  <c r="I57" i="110"/>
  <c r="J57" i="110"/>
  <c r="I58" i="110"/>
  <c r="J58" i="110"/>
  <c r="I59" i="110"/>
  <c r="J59" i="110"/>
  <c r="I60" i="110"/>
  <c r="J60" i="110"/>
  <c r="I61" i="110"/>
  <c r="J61" i="110"/>
  <c r="I62" i="110"/>
  <c r="J62" i="110"/>
  <c r="I63" i="110"/>
  <c r="J63" i="110"/>
  <c r="I64" i="110"/>
  <c r="J64" i="110"/>
  <c r="I65" i="110"/>
  <c r="J65" i="110"/>
  <c r="I66" i="110"/>
  <c r="J66" i="110"/>
  <c r="I67" i="110"/>
  <c r="J67" i="110"/>
  <c r="I68" i="110"/>
  <c r="J68" i="110"/>
  <c r="I69" i="110"/>
  <c r="J69" i="110"/>
  <c r="I70" i="110"/>
  <c r="J70" i="110"/>
  <c r="I71" i="110"/>
  <c r="J71" i="110"/>
  <c r="I72" i="110"/>
  <c r="J72" i="110"/>
  <c r="I73" i="110"/>
  <c r="J73" i="110"/>
  <c r="I74" i="110"/>
  <c r="J74" i="110"/>
  <c r="I75" i="110"/>
  <c r="J75" i="110"/>
  <c r="I76" i="110"/>
  <c r="J76" i="110"/>
  <c r="I77" i="110"/>
  <c r="J77" i="110"/>
  <c r="I78" i="110"/>
  <c r="J78" i="110"/>
  <c r="I79" i="110"/>
  <c r="J79" i="110"/>
  <c r="I80" i="110"/>
  <c r="J80" i="110"/>
  <c r="I81" i="110"/>
  <c r="J81" i="110"/>
  <c r="I82" i="110"/>
  <c r="J82" i="110"/>
  <c r="I83" i="110"/>
  <c r="J83" i="110"/>
  <c r="I84" i="110"/>
  <c r="J84" i="110"/>
  <c r="I85" i="110"/>
  <c r="J85" i="110"/>
  <c r="I86" i="110"/>
  <c r="J86" i="110"/>
  <c r="I87" i="110"/>
  <c r="J87" i="110"/>
  <c r="I88" i="110"/>
  <c r="J88" i="110"/>
  <c r="I89" i="110"/>
  <c r="J89" i="110"/>
  <c r="I90" i="110"/>
  <c r="J90" i="110"/>
  <c r="I91" i="110"/>
  <c r="J91" i="110"/>
  <c r="I92" i="110"/>
  <c r="J92" i="110"/>
  <c r="I93" i="110"/>
  <c r="J93" i="110"/>
  <c r="I94" i="110"/>
  <c r="J94" i="110"/>
  <c r="I95" i="110"/>
  <c r="J95" i="110"/>
  <c r="I96" i="110"/>
  <c r="J96" i="110"/>
  <c r="I97" i="110"/>
  <c r="J97" i="110"/>
  <c r="I98" i="110"/>
  <c r="J98" i="110"/>
  <c r="I99" i="110"/>
  <c r="J99" i="110"/>
  <c r="I100" i="110"/>
  <c r="J100" i="110"/>
  <c r="I101" i="110"/>
  <c r="J101" i="110"/>
  <c r="I102" i="110"/>
  <c r="J102" i="110"/>
  <c r="I103" i="110"/>
  <c r="J103" i="110"/>
  <c r="I104" i="110"/>
  <c r="J104" i="110"/>
  <c r="J55" i="110"/>
  <c r="I55" i="110"/>
  <c r="AV18" i="69" l="1"/>
  <c r="AX18" i="69"/>
  <c r="BD110" i="69"/>
  <c r="BB110" i="69"/>
  <c r="AU110" i="69"/>
  <c r="AV110" i="69"/>
  <c r="AX110" i="69"/>
  <c r="Y8" i="110"/>
  <c r="BE110" i="69"/>
  <c r="AH110" i="69"/>
  <c r="AK18" i="69" l="1"/>
  <c r="AK110" i="69"/>
  <c r="BC110" i="69" s="1"/>
  <c r="AN110" i="69"/>
  <c r="AI31" i="81" l="1"/>
  <c r="G31" i="81"/>
  <c r="DH2" i="110" l="1"/>
  <c r="DG2" i="110"/>
  <c r="AE37" i="55"/>
  <c r="Q37" i="55"/>
  <c r="J37" i="55"/>
  <c r="C37" i="55"/>
  <c r="AL34" i="55"/>
  <c r="AE34" i="55"/>
  <c r="X34" i="55"/>
  <c r="Q34" i="55"/>
  <c r="J34" i="55"/>
  <c r="C34" i="55"/>
  <c r="AU108" i="13"/>
  <c r="AU110" i="13"/>
  <c r="AU112" i="13"/>
  <c r="O108" i="13"/>
  <c r="O110" i="13"/>
  <c r="AK110" i="13" s="1"/>
  <c r="O112" i="13"/>
  <c r="D128" i="3"/>
  <c r="E125" i="3"/>
  <c r="C128" i="3"/>
  <c r="D129" i="3"/>
  <c r="D148" i="3"/>
  <c r="B150" i="3"/>
  <c r="C148" i="3"/>
  <c r="C151" i="3"/>
  <c r="E127" i="3"/>
  <c r="E130" i="3"/>
  <c r="D130" i="3"/>
  <c r="B147" i="3"/>
  <c r="E128" i="3"/>
  <c r="D125" i="3"/>
  <c r="B125" i="3"/>
  <c r="C129" i="3"/>
  <c r="B148" i="3"/>
  <c r="B129" i="3"/>
  <c r="E148" i="3"/>
  <c r="C147" i="3"/>
  <c r="D149" i="3"/>
  <c r="C149" i="3"/>
  <c r="C125" i="3"/>
  <c r="E147" i="3"/>
  <c r="B149" i="3"/>
  <c r="D150" i="3"/>
  <c r="D120" i="3"/>
  <c r="D147" i="3"/>
  <c r="B130" i="3"/>
  <c r="C150" i="3"/>
  <c r="E151" i="3"/>
  <c r="B151" i="3"/>
  <c r="E129" i="3"/>
  <c r="C130" i="3"/>
  <c r="E150" i="3"/>
  <c r="C127" i="3"/>
  <c r="E149" i="3"/>
  <c r="B127" i="3"/>
  <c r="D127" i="3"/>
  <c r="B128" i="3"/>
  <c r="D151" i="3"/>
  <c r="BE110" i="13" l="1"/>
  <c r="BH110" i="13"/>
  <c r="BF112" i="13"/>
  <c r="BH112" i="13"/>
  <c r="BD108" i="13"/>
  <c r="BH108" i="13"/>
  <c r="AH112" i="13"/>
  <c r="AX112" i="13"/>
  <c r="BB110" i="13"/>
  <c r="BE112" i="13"/>
  <c r="BB112" i="13"/>
  <c r="AX110" i="13"/>
  <c r="BD110" i="13"/>
  <c r="AX108" i="13"/>
  <c r="AH110" i="13"/>
  <c r="AN112" i="13"/>
  <c r="BA112" i="13"/>
  <c r="BC112" i="13" s="1"/>
  <c r="AW112" i="13"/>
  <c r="BA110" i="13"/>
  <c r="AW110" i="13"/>
  <c r="BA108" i="13"/>
  <c r="AW108" i="13"/>
  <c r="BD112" i="13"/>
  <c r="BF108" i="13"/>
  <c r="BB108" i="13"/>
  <c r="AK112" i="13"/>
  <c r="AK108" i="13"/>
  <c r="AN110" i="13"/>
  <c r="AZ112" i="13"/>
  <c r="AV112" i="13"/>
  <c r="AZ110" i="13"/>
  <c r="AV110" i="13"/>
  <c r="AZ108" i="13"/>
  <c r="AV108" i="13"/>
  <c r="BF110" i="13"/>
  <c r="BE108" i="13"/>
  <c r="AH108" i="13"/>
  <c r="AN108" i="13"/>
  <c r="AY112" i="13"/>
  <c r="AY110" i="13"/>
  <c r="AY108" i="13"/>
  <c r="BE18" i="71" a="1"/>
  <c r="BE18" i="71" s="1"/>
  <c r="BE20" i="71" a="1"/>
  <c r="BE20" i="71" s="1"/>
  <c r="BE22" i="71" a="1"/>
  <c r="BE22" i="71" s="1"/>
  <c r="BE24" i="71" a="1"/>
  <c r="BE24" i="71" s="1"/>
  <c r="BE26" i="71" a="1"/>
  <c r="BE26" i="71" s="1"/>
  <c r="BE28" i="71" a="1"/>
  <c r="BE28" i="71" s="1"/>
  <c r="BE30" i="71" a="1"/>
  <c r="BE30" i="71" s="1"/>
  <c r="BE32" i="71" a="1"/>
  <c r="BE32" i="71" s="1"/>
  <c r="BE34" i="71" a="1"/>
  <c r="BE34" i="71" s="1"/>
  <c r="I216" i="110"/>
  <c r="J216" i="110"/>
  <c r="I217" i="110"/>
  <c r="J217" i="110"/>
  <c r="I218" i="110"/>
  <c r="J218" i="110"/>
  <c r="I219" i="110"/>
  <c r="J219" i="110"/>
  <c r="I220" i="110"/>
  <c r="J220" i="110"/>
  <c r="I221" i="110"/>
  <c r="J221" i="110"/>
  <c r="I222" i="110"/>
  <c r="J222" i="110"/>
  <c r="I223" i="110"/>
  <c r="J223" i="110"/>
  <c r="I224" i="110"/>
  <c r="J224" i="110"/>
  <c r="I225" i="110"/>
  <c r="J225" i="110"/>
  <c r="I226" i="110"/>
  <c r="J226" i="110"/>
  <c r="I227" i="110"/>
  <c r="J227" i="110"/>
  <c r="I228" i="110"/>
  <c r="J228" i="110"/>
  <c r="I229" i="110"/>
  <c r="J229" i="110"/>
  <c r="I230" i="110"/>
  <c r="J230" i="110"/>
  <c r="I231" i="110"/>
  <c r="J231" i="110"/>
  <c r="I232" i="110"/>
  <c r="J232" i="110"/>
  <c r="I233" i="110"/>
  <c r="J233" i="110"/>
  <c r="I234" i="110"/>
  <c r="J234" i="110"/>
  <c r="I235" i="110"/>
  <c r="J235" i="110"/>
  <c r="I236" i="110"/>
  <c r="J236" i="110"/>
  <c r="I237" i="110"/>
  <c r="J237" i="110"/>
  <c r="I238" i="110"/>
  <c r="J238" i="110"/>
  <c r="I239" i="110"/>
  <c r="J239" i="110"/>
  <c r="I241" i="110"/>
  <c r="J241" i="110"/>
  <c r="I242" i="110"/>
  <c r="J242" i="110"/>
  <c r="I243" i="110"/>
  <c r="J243" i="110"/>
  <c r="I244" i="110"/>
  <c r="J244" i="110"/>
  <c r="I245" i="110"/>
  <c r="J245" i="110"/>
  <c r="I246" i="110"/>
  <c r="J246" i="110"/>
  <c r="I247" i="110"/>
  <c r="J247" i="110"/>
  <c r="I248" i="110"/>
  <c r="J248" i="110"/>
  <c r="I249" i="110"/>
  <c r="J249" i="110"/>
  <c r="I250" i="110"/>
  <c r="J250" i="110"/>
  <c r="I251" i="110"/>
  <c r="J251" i="110"/>
  <c r="I252" i="110"/>
  <c r="J252" i="110"/>
  <c r="I253" i="110"/>
  <c r="J253" i="110"/>
  <c r="I254" i="110"/>
  <c r="J254" i="110"/>
  <c r="I255" i="110"/>
  <c r="J255" i="110"/>
  <c r="I256" i="110"/>
  <c r="J256" i="110"/>
  <c r="I257" i="110"/>
  <c r="J257" i="110"/>
  <c r="I258" i="110"/>
  <c r="J258" i="110"/>
  <c r="I259" i="110"/>
  <c r="J259" i="110"/>
  <c r="I260" i="110"/>
  <c r="J260" i="110"/>
  <c r="I261" i="110"/>
  <c r="J261" i="110"/>
  <c r="I262" i="110"/>
  <c r="J262" i="110"/>
  <c r="I263" i="110"/>
  <c r="J263" i="110"/>
  <c r="I264" i="110"/>
  <c r="J264" i="110"/>
  <c r="I215" i="110"/>
  <c r="J215" i="110"/>
  <c r="J158" i="110"/>
  <c r="J159" i="110"/>
  <c r="J160" i="110"/>
  <c r="J161" i="110"/>
  <c r="J162" i="110"/>
  <c r="J163" i="110"/>
  <c r="J164" i="110"/>
  <c r="J165" i="110"/>
  <c r="J166" i="110"/>
  <c r="J167" i="110"/>
  <c r="J168" i="110"/>
  <c r="J169" i="110"/>
  <c r="J170" i="110"/>
  <c r="J171" i="110"/>
  <c r="J157" i="110"/>
  <c r="I158" i="110"/>
  <c r="I159" i="110"/>
  <c r="I160" i="110"/>
  <c r="I161" i="110"/>
  <c r="I162" i="110"/>
  <c r="I163" i="110"/>
  <c r="I164" i="110"/>
  <c r="I165" i="110"/>
  <c r="I166" i="110"/>
  <c r="I167" i="110"/>
  <c r="I168" i="110"/>
  <c r="I169" i="110"/>
  <c r="I170" i="110"/>
  <c r="I171" i="110"/>
  <c r="I157" i="110"/>
  <c r="AU69" i="104"/>
  <c r="AU70" i="104"/>
  <c r="AU71" i="104"/>
  <c r="AU72" i="104"/>
  <c r="AU73" i="104"/>
  <c r="AU74" i="104"/>
  <c r="AU75" i="104"/>
  <c r="AU76" i="104"/>
  <c r="AU77" i="104"/>
  <c r="AU78" i="104"/>
  <c r="AU79" i="104"/>
  <c r="AU80" i="104"/>
  <c r="AU68" i="104"/>
  <c r="H357" i="110" l="1"/>
  <c r="Q357" i="110"/>
  <c r="H355" i="110"/>
  <c r="Q355" i="110"/>
  <c r="H356" i="110"/>
  <c r="Q356" i="110"/>
  <c r="BC110" i="13"/>
  <c r="BC108" i="13"/>
  <c r="I16" i="12" l="1"/>
  <c r="M299" i="110"/>
  <c r="G107" i="110"/>
  <c r="G108" i="110"/>
  <c r="G109" i="110"/>
  <c r="G110" i="110"/>
  <c r="G111" i="110"/>
  <c r="G112" i="110"/>
  <c r="G113" i="110"/>
  <c r="G114" i="110"/>
  <c r="G115" i="110"/>
  <c r="G116" i="110"/>
  <c r="G117" i="110"/>
  <c r="G118" i="110"/>
  <c r="G119" i="110"/>
  <c r="G120" i="110"/>
  <c r="G121" i="110"/>
  <c r="G122" i="110"/>
  <c r="G123" i="110"/>
  <c r="G124" i="110"/>
  <c r="G125" i="110"/>
  <c r="G126" i="110"/>
  <c r="G127" i="110"/>
  <c r="G128" i="110"/>
  <c r="G129" i="110"/>
  <c r="G130" i="110"/>
  <c r="G131" i="110"/>
  <c r="G132" i="110"/>
  <c r="G133" i="110"/>
  <c r="G134" i="110"/>
  <c r="G135" i="110"/>
  <c r="G136" i="110"/>
  <c r="G137" i="110"/>
  <c r="G138" i="110"/>
  <c r="G139" i="110"/>
  <c r="G140" i="110"/>
  <c r="G141" i="110"/>
  <c r="G142" i="110"/>
  <c r="G143" i="110"/>
  <c r="G144" i="110"/>
  <c r="G145" i="110"/>
  <c r="G146" i="110"/>
  <c r="G147" i="110"/>
  <c r="G148" i="110"/>
  <c r="G149" i="110"/>
  <c r="G150" i="110"/>
  <c r="G151" i="110"/>
  <c r="G152" i="110"/>
  <c r="G153" i="110"/>
  <c r="G154" i="110"/>
  <c r="G155" i="110"/>
  <c r="G106" i="110"/>
  <c r="M56" i="110"/>
  <c r="M57" i="110"/>
  <c r="M58" i="110"/>
  <c r="M59" i="110"/>
  <c r="M60" i="110"/>
  <c r="M61" i="110"/>
  <c r="M62" i="110"/>
  <c r="M63" i="110"/>
  <c r="M64" i="110"/>
  <c r="M65" i="110"/>
  <c r="M66" i="110"/>
  <c r="M67" i="110"/>
  <c r="M68" i="110"/>
  <c r="M69" i="110"/>
  <c r="M70" i="110"/>
  <c r="M71" i="110"/>
  <c r="M72" i="110"/>
  <c r="M73" i="110"/>
  <c r="M75" i="110"/>
  <c r="M76" i="110"/>
  <c r="M77" i="110"/>
  <c r="M78" i="110"/>
  <c r="M79" i="110"/>
  <c r="M80" i="110"/>
  <c r="M81" i="110"/>
  <c r="M82" i="110"/>
  <c r="M83" i="110"/>
  <c r="M84" i="110"/>
  <c r="M85" i="110"/>
  <c r="M86" i="110"/>
  <c r="M87" i="110"/>
  <c r="M88" i="110"/>
  <c r="M89" i="110"/>
  <c r="M90" i="110"/>
  <c r="M91" i="110"/>
  <c r="M92" i="110"/>
  <c r="M93" i="110"/>
  <c r="M94" i="110"/>
  <c r="M95" i="110"/>
  <c r="M96" i="110"/>
  <c r="M97" i="110"/>
  <c r="M98" i="110"/>
  <c r="M99" i="110"/>
  <c r="M100" i="110"/>
  <c r="M101" i="110"/>
  <c r="M102" i="110"/>
  <c r="M103" i="110"/>
  <c r="M104" i="110"/>
  <c r="M55" i="110"/>
  <c r="R9" i="118"/>
  <c r="V20" i="62"/>
  <c r="I18" i="12"/>
  <c r="I20" i="12"/>
  <c r="BG18" i="12" l="1"/>
  <c r="BF18" i="12"/>
  <c r="BG20" i="12"/>
  <c r="BF20" i="12"/>
  <c r="BG16" i="12"/>
  <c r="BF16" i="12"/>
  <c r="D119" i="3"/>
  <c r="I106" i="110" l="1"/>
  <c r="J106" i="110"/>
  <c r="M106" i="110"/>
  <c r="I107" i="110"/>
  <c r="J107" i="110"/>
  <c r="M107" i="110"/>
  <c r="I108" i="110"/>
  <c r="J108" i="110"/>
  <c r="M108" i="110"/>
  <c r="J109" i="110"/>
  <c r="J110" i="110"/>
  <c r="J111" i="110"/>
  <c r="J112" i="110"/>
  <c r="J113" i="110"/>
  <c r="J114" i="110"/>
  <c r="J115" i="110"/>
  <c r="J116" i="110"/>
  <c r="J117" i="110"/>
  <c r="J118" i="110"/>
  <c r="J119" i="110"/>
  <c r="J120" i="110"/>
  <c r="J121" i="110"/>
  <c r="J122" i="110"/>
  <c r="J123" i="110"/>
  <c r="J124" i="110"/>
  <c r="J125" i="110"/>
  <c r="J126" i="110"/>
  <c r="J127" i="110"/>
  <c r="J128" i="110"/>
  <c r="J129" i="110"/>
  <c r="J130" i="110"/>
  <c r="J131" i="110"/>
  <c r="J132" i="110"/>
  <c r="J133" i="110"/>
  <c r="J134" i="110"/>
  <c r="J135" i="110"/>
  <c r="J136" i="110"/>
  <c r="J137" i="110"/>
  <c r="J138" i="110"/>
  <c r="J139" i="110"/>
  <c r="J140" i="110"/>
  <c r="J141" i="110"/>
  <c r="J142" i="110"/>
  <c r="J143" i="110"/>
  <c r="J144" i="110"/>
  <c r="J145" i="110"/>
  <c r="J146" i="110"/>
  <c r="J147" i="110"/>
  <c r="J148" i="110"/>
  <c r="J149" i="110"/>
  <c r="J150" i="110"/>
  <c r="J151" i="110"/>
  <c r="J152" i="110"/>
  <c r="J153" i="110"/>
  <c r="J154" i="110"/>
  <c r="J155" i="110"/>
  <c r="I111" i="110"/>
  <c r="I112" i="110"/>
  <c r="I113" i="110"/>
  <c r="I114" i="110"/>
  <c r="I115" i="110"/>
  <c r="I116" i="110"/>
  <c r="I117" i="110"/>
  <c r="I118" i="110"/>
  <c r="I119" i="110"/>
  <c r="I120" i="110"/>
  <c r="I121" i="110"/>
  <c r="I122" i="110"/>
  <c r="I123" i="110"/>
  <c r="I124" i="110"/>
  <c r="I125" i="110"/>
  <c r="I126" i="110"/>
  <c r="I127" i="110"/>
  <c r="I128" i="110"/>
  <c r="I129" i="110"/>
  <c r="I130" i="110"/>
  <c r="I131" i="110"/>
  <c r="I132" i="110"/>
  <c r="I133" i="110"/>
  <c r="I134" i="110"/>
  <c r="I135" i="110"/>
  <c r="I136" i="110"/>
  <c r="I137" i="110"/>
  <c r="I138" i="110"/>
  <c r="I139" i="110"/>
  <c r="I140" i="110"/>
  <c r="I141" i="110"/>
  <c r="I142" i="110"/>
  <c r="I143" i="110"/>
  <c r="I144" i="110"/>
  <c r="I145" i="110"/>
  <c r="I146" i="110"/>
  <c r="I147" i="110"/>
  <c r="I148" i="110"/>
  <c r="I149" i="110"/>
  <c r="I150" i="110"/>
  <c r="I151" i="110"/>
  <c r="I152" i="110"/>
  <c r="I153" i="110"/>
  <c r="I154" i="110"/>
  <c r="I155" i="110"/>
  <c r="I109" i="110"/>
  <c r="I110" i="110"/>
  <c r="AW36" i="63"/>
  <c r="AW38" i="63"/>
  <c r="AW40" i="63"/>
  <c r="AW42" i="63"/>
  <c r="AW44" i="63"/>
  <c r="AW46" i="63"/>
  <c r="AW48" i="63"/>
  <c r="AW50" i="63"/>
  <c r="AW52" i="63"/>
  <c r="AW56" i="63"/>
  <c r="AW58" i="63"/>
  <c r="AW60" i="63"/>
  <c r="AW62" i="63"/>
  <c r="AW64" i="63"/>
  <c r="AW66" i="63"/>
  <c r="AW68" i="63"/>
  <c r="AW70" i="63"/>
  <c r="AW72" i="63"/>
  <c r="AW74" i="63"/>
  <c r="AW76" i="63"/>
  <c r="AW78" i="63"/>
  <c r="AW80" i="63"/>
  <c r="AW82" i="63"/>
  <c r="AW84" i="63"/>
  <c r="AW86" i="63"/>
  <c r="AW88" i="63"/>
  <c r="AW90" i="63"/>
  <c r="AW92" i="63"/>
  <c r="AW94" i="63"/>
  <c r="AW96" i="63"/>
  <c r="AW98" i="63"/>
  <c r="AW100" i="63"/>
  <c r="AW102" i="63"/>
  <c r="AW104" i="63"/>
  <c r="AW106" i="63"/>
  <c r="AW108" i="63"/>
  <c r="AW110" i="63"/>
  <c r="AW112" i="63"/>
  <c r="AW114" i="63"/>
  <c r="AO36" i="63"/>
  <c r="H116" i="110" s="1"/>
  <c r="AO38" i="63"/>
  <c r="H117" i="110" s="1"/>
  <c r="AO40" i="63"/>
  <c r="H118" i="110" s="1"/>
  <c r="AO42" i="63"/>
  <c r="H119" i="110" s="1"/>
  <c r="AO44" i="63"/>
  <c r="H120" i="110" s="1"/>
  <c r="AO46" i="63"/>
  <c r="H121" i="110" s="1"/>
  <c r="AO48" i="63"/>
  <c r="H122" i="110" s="1"/>
  <c r="AO50" i="63"/>
  <c r="H123" i="110" s="1"/>
  <c r="AO52" i="63"/>
  <c r="H124" i="110" s="1"/>
  <c r="AO56" i="63"/>
  <c r="AO58" i="63"/>
  <c r="AO60" i="63"/>
  <c r="AO62" i="63"/>
  <c r="AO64" i="63"/>
  <c r="AO66" i="63"/>
  <c r="AO68" i="63"/>
  <c r="AO70" i="63"/>
  <c r="AO72" i="63"/>
  <c r="AO74" i="63"/>
  <c r="AO76" i="63"/>
  <c r="AO78" i="63"/>
  <c r="AO80" i="63"/>
  <c r="AO82" i="63"/>
  <c r="AO84" i="63"/>
  <c r="AO86" i="63"/>
  <c r="AO88" i="63"/>
  <c r="AO90" i="63"/>
  <c r="AO92" i="63"/>
  <c r="AO94" i="63"/>
  <c r="AO96" i="63"/>
  <c r="AO98" i="63"/>
  <c r="AO100" i="63"/>
  <c r="AO102" i="63"/>
  <c r="AO104" i="63"/>
  <c r="AO106" i="63"/>
  <c r="AO108" i="63"/>
  <c r="AO110" i="63"/>
  <c r="AO112" i="63"/>
  <c r="AO114" i="63"/>
  <c r="AK36" i="63"/>
  <c r="AK38" i="63"/>
  <c r="AK40" i="63"/>
  <c r="AK42" i="63"/>
  <c r="AK44" i="63"/>
  <c r="AK46" i="63"/>
  <c r="AK48" i="63"/>
  <c r="AK50" i="63"/>
  <c r="AK52" i="63"/>
  <c r="AK56" i="63"/>
  <c r="AK58" i="63"/>
  <c r="AK60" i="63"/>
  <c r="AK62" i="63"/>
  <c r="AK64" i="63"/>
  <c r="AK66" i="63"/>
  <c r="AK68" i="63"/>
  <c r="AK70" i="63"/>
  <c r="AK72" i="63"/>
  <c r="AK74" i="63"/>
  <c r="AK76" i="63"/>
  <c r="AK78" i="63"/>
  <c r="AK80" i="63"/>
  <c r="AK82" i="63"/>
  <c r="AK84" i="63"/>
  <c r="AK86" i="63"/>
  <c r="AK88" i="63"/>
  <c r="AK90" i="63"/>
  <c r="AK92" i="63"/>
  <c r="AK94" i="63"/>
  <c r="AK96" i="63"/>
  <c r="AK98" i="63"/>
  <c r="AK100" i="63"/>
  <c r="AK102" i="63"/>
  <c r="AK104" i="63"/>
  <c r="AK106" i="63"/>
  <c r="AK108" i="63"/>
  <c r="AK110" i="63"/>
  <c r="AK112" i="63"/>
  <c r="AK114" i="63"/>
  <c r="AI36" i="63"/>
  <c r="AI38" i="63"/>
  <c r="AI40" i="63"/>
  <c r="AI42" i="63"/>
  <c r="AI44" i="63"/>
  <c r="AI46" i="63"/>
  <c r="AI48" i="63"/>
  <c r="AI50" i="63"/>
  <c r="AI52" i="63"/>
  <c r="AI56" i="63"/>
  <c r="AI58" i="63"/>
  <c r="AI60" i="63"/>
  <c r="AI62" i="63"/>
  <c r="AI64" i="63"/>
  <c r="AI66" i="63"/>
  <c r="AI68" i="63"/>
  <c r="AI70" i="63"/>
  <c r="AI72" i="63"/>
  <c r="AI74" i="63"/>
  <c r="AI76" i="63"/>
  <c r="AI78" i="63"/>
  <c r="AI80" i="63"/>
  <c r="AI82" i="63"/>
  <c r="AI84" i="63"/>
  <c r="AI86" i="63"/>
  <c r="AI88" i="63"/>
  <c r="AI90" i="63"/>
  <c r="AI92" i="63"/>
  <c r="AI94" i="63"/>
  <c r="AI96" i="63"/>
  <c r="AI98" i="63"/>
  <c r="AI100" i="63"/>
  <c r="AI102" i="63"/>
  <c r="AI104" i="63"/>
  <c r="AI106" i="63"/>
  <c r="AI108" i="63"/>
  <c r="AI110" i="63"/>
  <c r="AI112" i="63"/>
  <c r="AI114" i="63"/>
  <c r="AE36" i="63"/>
  <c r="AU36" i="63" s="1"/>
  <c r="AE38" i="63"/>
  <c r="AU38" i="63" s="1"/>
  <c r="AE40" i="63"/>
  <c r="AU40" i="63" s="1"/>
  <c r="AE42" i="63"/>
  <c r="AU42" i="63" s="1"/>
  <c r="AE44" i="63"/>
  <c r="AU44" i="63" s="1"/>
  <c r="AE46" i="63"/>
  <c r="AU46" i="63" s="1"/>
  <c r="AE48" i="63"/>
  <c r="AU48" i="63" s="1"/>
  <c r="AE50" i="63"/>
  <c r="AU50" i="63" s="1"/>
  <c r="AE52" i="63"/>
  <c r="AU52" i="63" s="1"/>
  <c r="AE56" i="63"/>
  <c r="AU56" i="63" s="1"/>
  <c r="AE58" i="63"/>
  <c r="AU58" i="63" s="1"/>
  <c r="AE60" i="63"/>
  <c r="AU60" i="63" s="1"/>
  <c r="AE62" i="63"/>
  <c r="AU62" i="63" s="1"/>
  <c r="AE64" i="63"/>
  <c r="AU64" i="63" s="1"/>
  <c r="AE66" i="63"/>
  <c r="AU66" i="63" s="1"/>
  <c r="AE68" i="63"/>
  <c r="AU68" i="63" s="1"/>
  <c r="AE70" i="63"/>
  <c r="AU70" i="63" s="1"/>
  <c r="AE72" i="63"/>
  <c r="AU72" i="63" s="1"/>
  <c r="AE74" i="63"/>
  <c r="AU74" i="63" s="1"/>
  <c r="AE76" i="63"/>
  <c r="AU76" i="63" s="1"/>
  <c r="AE78" i="63"/>
  <c r="AU78" i="63" s="1"/>
  <c r="AE80" i="63"/>
  <c r="AU80" i="63" s="1"/>
  <c r="AE82" i="63"/>
  <c r="AU82" i="63" s="1"/>
  <c r="AE84" i="63"/>
  <c r="AU84" i="63" s="1"/>
  <c r="AE86" i="63"/>
  <c r="AU86" i="63" s="1"/>
  <c r="AE88" i="63"/>
  <c r="AU88" i="63" s="1"/>
  <c r="AE90" i="63"/>
  <c r="AU90" i="63" s="1"/>
  <c r="AE92" i="63"/>
  <c r="AU92" i="63" s="1"/>
  <c r="AE94" i="63"/>
  <c r="AU94" i="63" s="1"/>
  <c r="AE96" i="63"/>
  <c r="AU96" i="63" s="1"/>
  <c r="AE98" i="63"/>
  <c r="AU98" i="63" s="1"/>
  <c r="AE100" i="63"/>
  <c r="AU100" i="63" s="1"/>
  <c r="AE102" i="63"/>
  <c r="AU102" i="63" s="1"/>
  <c r="AE104" i="63"/>
  <c r="AU104" i="63" s="1"/>
  <c r="AE106" i="63"/>
  <c r="AU106" i="63" s="1"/>
  <c r="AE108" i="63"/>
  <c r="AU108" i="63" s="1"/>
  <c r="AE110" i="63"/>
  <c r="AU110" i="63" s="1"/>
  <c r="AE112" i="63"/>
  <c r="AU112" i="63" s="1"/>
  <c r="AE114" i="63"/>
  <c r="AU114" i="63" s="1"/>
  <c r="L36" i="63"/>
  <c r="AA116" i="110" s="1"/>
  <c r="P36" i="63"/>
  <c r="R36" i="63"/>
  <c r="L38" i="63"/>
  <c r="AA117" i="110" s="1"/>
  <c r="P38" i="63"/>
  <c r="R38" i="63"/>
  <c r="L40" i="63"/>
  <c r="AA118" i="110" s="1"/>
  <c r="P40" i="63"/>
  <c r="R40" i="63"/>
  <c r="L42" i="63"/>
  <c r="AA119" i="110" s="1"/>
  <c r="P42" i="63"/>
  <c r="R42" i="63"/>
  <c r="L44" i="63"/>
  <c r="AA120" i="110" s="1"/>
  <c r="P44" i="63"/>
  <c r="R44" i="63"/>
  <c r="L46" i="63"/>
  <c r="AA121" i="110" s="1"/>
  <c r="P46" i="63"/>
  <c r="R46" i="63"/>
  <c r="L48" i="63"/>
  <c r="AA122" i="110" s="1"/>
  <c r="P48" i="63"/>
  <c r="R48" i="63"/>
  <c r="L50" i="63"/>
  <c r="AA123" i="110" s="1"/>
  <c r="P50" i="63"/>
  <c r="R50" i="63"/>
  <c r="L52" i="63"/>
  <c r="AA124" i="110" s="1"/>
  <c r="P52" i="63"/>
  <c r="R52" i="63"/>
  <c r="L56" i="63"/>
  <c r="AA126" i="110" s="1"/>
  <c r="P56" i="63"/>
  <c r="R56" i="63"/>
  <c r="L58" i="63"/>
  <c r="AA127" i="110" s="1"/>
  <c r="P58" i="63"/>
  <c r="R58" i="63"/>
  <c r="L60" i="63"/>
  <c r="AA128" i="110" s="1"/>
  <c r="P60" i="63"/>
  <c r="R60" i="63"/>
  <c r="L62" i="63"/>
  <c r="AA129" i="110" s="1"/>
  <c r="P62" i="63"/>
  <c r="R62" i="63"/>
  <c r="L64" i="63"/>
  <c r="AA130" i="110" s="1"/>
  <c r="P64" i="63"/>
  <c r="R64" i="63"/>
  <c r="L66" i="63"/>
  <c r="AA131" i="110" s="1"/>
  <c r="P66" i="63"/>
  <c r="R66" i="63"/>
  <c r="L68" i="63"/>
  <c r="AA132" i="110" s="1"/>
  <c r="P68" i="63"/>
  <c r="R68" i="63"/>
  <c r="L70" i="63"/>
  <c r="AA133" i="110" s="1"/>
  <c r="P70" i="63"/>
  <c r="R70" i="63"/>
  <c r="L72" i="63"/>
  <c r="AA134" i="110" s="1"/>
  <c r="P72" i="63"/>
  <c r="R72" i="63"/>
  <c r="L74" i="63"/>
  <c r="AA135" i="110" s="1"/>
  <c r="P74" i="63"/>
  <c r="R74" i="63"/>
  <c r="L76" i="63"/>
  <c r="AA136" i="110" s="1"/>
  <c r="P76" i="63"/>
  <c r="R76" i="63"/>
  <c r="L78" i="63"/>
  <c r="AA137" i="110" s="1"/>
  <c r="P78" i="63"/>
  <c r="R78" i="63"/>
  <c r="L80" i="63"/>
  <c r="AA138" i="110" s="1"/>
  <c r="P80" i="63"/>
  <c r="R80" i="63"/>
  <c r="L82" i="63"/>
  <c r="AA139" i="110" s="1"/>
  <c r="P82" i="63"/>
  <c r="R82" i="63"/>
  <c r="L84" i="63"/>
  <c r="AA140" i="110" s="1"/>
  <c r="P84" i="63"/>
  <c r="R84" i="63"/>
  <c r="L86" i="63"/>
  <c r="AA141" i="110" s="1"/>
  <c r="P86" i="63"/>
  <c r="R86" i="63"/>
  <c r="L88" i="63"/>
  <c r="AA142" i="110" s="1"/>
  <c r="P88" i="63"/>
  <c r="R88" i="63"/>
  <c r="L90" i="63"/>
  <c r="AA143" i="110" s="1"/>
  <c r="P90" i="63"/>
  <c r="R90" i="63"/>
  <c r="L92" i="63"/>
  <c r="AA144" i="110" s="1"/>
  <c r="P92" i="63"/>
  <c r="R92" i="63"/>
  <c r="L94" i="63"/>
  <c r="AA145" i="110" s="1"/>
  <c r="P94" i="63"/>
  <c r="R94" i="63"/>
  <c r="L96" i="63"/>
  <c r="AA146" i="110" s="1"/>
  <c r="P96" i="63"/>
  <c r="R96" i="63"/>
  <c r="L98" i="63"/>
  <c r="AA147" i="110" s="1"/>
  <c r="P98" i="63"/>
  <c r="R98" i="63"/>
  <c r="L100" i="63"/>
  <c r="AA148" i="110" s="1"/>
  <c r="P100" i="63"/>
  <c r="R100" i="63"/>
  <c r="L102" i="63"/>
  <c r="AA149" i="110" s="1"/>
  <c r="P102" i="63"/>
  <c r="R102" i="63"/>
  <c r="L104" i="63"/>
  <c r="AA150" i="110" s="1"/>
  <c r="P104" i="63"/>
  <c r="R104" i="63"/>
  <c r="L106" i="63"/>
  <c r="AA151" i="110" s="1"/>
  <c r="P106" i="63"/>
  <c r="R106" i="63"/>
  <c r="L108" i="63"/>
  <c r="AA152" i="110" s="1"/>
  <c r="P108" i="63"/>
  <c r="R108" i="63"/>
  <c r="L110" i="63"/>
  <c r="AA153" i="110" s="1"/>
  <c r="P110" i="63"/>
  <c r="R110" i="63"/>
  <c r="L112" i="63"/>
  <c r="AA154" i="110" s="1"/>
  <c r="P112" i="63"/>
  <c r="R112" i="63"/>
  <c r="L114" i="63"/>
  <c r="AA155" i="110" s="1"/>
  <c r="P114" i="63"/>
  <c r="R114" i="63"/>
  <c r="J36" i="63"/>
  <c r="J38" i="63"/>
  <c r="J40" i="63"/>
  <c r="J42" i="63"/>
  <c r="J44" i="63"/>
  <c r="J46" i="63"/>
  <c r="J48" i="63"/>
  <c r="J50" i="63"/>
  <c r="J52" i="63"/>
  <c r="J56" i="63"/>
  <c r="J58" i="63"/>
  <c r="J60" i="63"/>
  <c r="J62" i="63"/>
  <c r="J64" i="63"/>
  <c r="J66" i="63"/>
  <c r="J68" i="63"/>
  <c r="J70" i="63"/>
  <c r="J72" i="63"/>
  <c r="J74" i="63"/>
  <c r="J76" i="63"/>
  <c r="J78" i="63"/>
  <c r="J80" i="63"/>
  <c r="J82" i="63"/>
  <c r="J84" i="63"/>
  <c r="J86" i="63"/>
  <c r="J88" i="63"/>
  <c r="J90" i="63"/>
  <c r="J92" i="63"/>
  <c r="J94" i="63"/>
  <c r="J96" i="63"/>
  <c r="J98" i="63"/>
  <c r="J100" i="63"/>
  <c r="J102" i="63"/>
  <c r="J104" i="63"/>
  <c r="J106" i="63"/>
  <c r="J108" i="63"/>
  <c r="J110" i="63"/>
  <c r="J112" i="63"/>
  <c r="J114" i="63"/>
  <c r="R116" i="110"/>
  <c r="L116" i="110" s="1"/>
  <c r="R117" i="110"/>
  <c r="L117" i="110" s="1"/>
  <c r="R118" i="110"/>
  <c r="L118" i="110" s="1"/>
  <c r="R119" i="110"/>
  <c r="L119" i="110" s="1"/>
  <c r="R120" i="110"/>
  <c r="L120" i="110" s="1"/>
  <c r="R121" i="110"/>
  <c r="L121" i="110" s="1"/>
  <c r="R122" i="110"/>
  <c r="L122" i="110" s="1"/>
  <c r="R123" i="110"/>
  <c r="L123" i="110" s="1"/>
  <c r="R124" i="110"/>
  <c r="L124" i="110" s="1"/>
  <c r="R126" i="110"/>
  <c r="R127" i="110"/>
  <c r="R128" i="110"/>
  <c r="R129" i="110"/>
  <c r="R130" i="110"/>
  <c r="R131" i="110"/>
  <c r="R132" i="110"/>
  <c r="R133" i="110"/>
  <c r="R134" i="110"/>
  <c r="R135" i="110"/>
  <c r="R136" i="110"/>
  <c r="R137" i="110"/>
  <c r="R138" i="110"/>
  <c r="R139" i="110"/>
  <c r="R140" i="110"/>
  <c r="R141" i="110"/>
  <c r="R142" i="110"/>
  <c r="R143" i="110"/>
  <c r="R144" i="110"/>
  <c r="R145" i="110"/>
  <c r="R146" i="110"/>
  <c r="R147" i="110"/>
  <c r="R148" i="110"/>
  <c r="R149" i="110"/>
  <c r="R150" i="110"/>
  <c r="R151" i="110"/>
  <c r="R152" i="110"/>
  <c r="R153" i="110"/>
  <c r="R154" i="110"/>
  <c r="R155" i="110"/>
  <c r="BB18" i="12" l="1"/>
  <c r="AK18" i="12"/>
  <c r="BE18" i="12"/>
  <c r="W152" i="110"/>
  <c r="P152" i="110"/>
  <c r="W148" i="110"/>
  <c r="P148" i="110"/>
  <c r="W144" i="110"/>
  <c r="P144" i="110"/>
  <c r="W140" i="110"/>
  <c r="P140" i="110"/>
  <c r="W136" i="110"/>
  <c r="P136" i="110"/>
  <c r="W132" i="110"/>
  <c r="P132" i="110"/>
  <c r="W128" i="110"/>
  <c r="P128" i="110"/>
  <c r="W123" i="110"/>
  <c r="P123" i="110"/>
  <c r="W119" i="110"/>
  <c r="P119" i="110"/>
  <c r="W155" i="110"/>
  <c r="P155" i="110"/>
  <c r="W151" i="110"/>
  <c r="P151" i="110"/>
  <c r="W147" i="110"/>
  <c r="P147" i="110"/>
  <c r="W143" i="110"/>
  <c r="P143" i="110"/>
  <c r="W139" i="110"/>
  <c r="P139" i="110"/>
  <c r="W135" i="110"/>
  <c r="P135" i="110"/>
  <c r="W131" i="110"/>
  <c r="P131" i="110"/>
  <c r="W127" i="110"/>
  <c r="P127" i="110"/>
  <c r="W122" i="110"/>
  <c r="P122" i="110"/>
  <c r="W118" i="110"/>
  <c r="P118" i="110"/>
  <c r="W154" i="110"/>
  <c r="P154" i="110"/>
  <c r="W150" i="110"/>
  <c r="P150" i="110"/>
  <c r="W146" i="110"/>
  <c r="P146" i="110"/>
  <c r="W142" i="110"/>
  <c r="P142" i="110"/>
  <c r="W138" i="110"/>
  <c r="P138" i="110"/>
  <c r="W134" i="110"/>
  <c r="P134" i="110"/>
  <c r="W130" i="110"/>
  <c r="P130" i="110"/>
  <c r="W126" i="110"/>
  <c r="P126" i="110"/>
  <c r="W121" i="110"/>
  <c r="P121" i="110"/>
  <c r="W117" i="110"/>
  <c r="P117" i="110"/>
  <c r="W153" i="110"/>
  <c r="P153" i="110"/>
  <c r="W149" i="110"/>
  <c r="P149" i="110"/>
  <c r="W145" i="110"/>
  <c r="P145" i="110"/>
  <c r="W141" i="110"/>
  <c r="P141" i="110"/>
  <c r="W137" i="110"/>
  <c r="P137" i="110"/>
  <c r="W133" i="110"/>
  <c r="P133" i="110"/>
  <c r="W129" i="110"/>
  <c r="P129" i="110"/>
  <c r="W124" i="110"/>
  <c r="P124" i="110"/>
  <c r="W120" i="110"/>
  <c r="P120" i="110"/>
  <c r="W116" i="110"/>
  <c r="P116" i="110"/>
  <c r="AC154" i="110"/>
  <c r="AD154" i="110"/>
  <c r="AC146" i="110"/>
  <c r="AD146" i="110"/>
  <c r="AC138" i="110"/>
  <c r="AD138" i="110"/>
  <c r="AC126" i="110"/>
  <c r="AD126" i="110"/>
  <c r="AC153" i="110"/>
  <c r="AD153" i="110"/>
  <c r="AC149" i="110"/>
  <c r="AD149" i="110"/>
  <c r="AC145" i="110"/>
  <c r="AD145" i="110"/>
  <c r="AC141" i="110"/>
  <c r="AD141" i="110"/>
  <c r="AC137" i="110"/>
  <c r="AD137" i="110"/>
  <c r="AC133" i="110"/>
  <c r="AD133" i="110"/>
  <c r="AC129" i="110"/>
  <c r="AD129" i="110"/>
  <c r="AD125" i="110"/>
  <c r="AC121" i="110"/>
  <c r="AD121" i="110"/>
  <c r="AC117" i="110"/>
  <c r="AD117" i="110"/>
  <c r="AC150" i="110"/>
  <c r="AD150" i="110"/>
  <c r="AC142" i="110"/>
  <c r="AD142" i="110"/>
  <c r="AC134" i="110"/>
  <c r="AD134" i="110"/>
  <c r="AC130" i="110"/>
  <c r="AD130" i="110"/>
  <c r="AC122" i="110"/>
  <c r="AD122" i="110"/>
  <c r="AC118" i="110"/>
  <c r="AD118" i="110"/>
  <c r="AD152" i="110"/>
  <c r="AC152" i="110"/>
  <c r="AD148" i="110"/>
  <c r="AC148" i="110"/>
  <c r="AD144" i="110"/>
  <c r="AC144" i="110"/>
  <c r="AD140" i="110"/>
  <c r="AC140" i="110"/>
  <c r="AD136" i="110"/>
  <c r="AC136" i="110"/>
  <c r="AD132" i="110"/>
  <c r="AC132" i="110"/>
  <c r="AD128" i="110"/>
  <c r="AC128" i="110"/>
  <c r="AD124" i="110"/>
  <c r="AC124" i="110"/>
  <c r="AD120" i="110"/>
  <c r="AC120" i="110"/>
  <c r="AD116" i="110"/>
  <c r="AC116" i="110"/>
  <c r="AD155" i="110"/>
  <c r="AC155" i="110"/>
  <c r="AD151" i="110"/>
  <c r="AC151" i="110"/>
  <c r="AD147" i="110"/>
  <c r="AC147" i="110"/>
  <c r="AD143" i="110"/>
  <c r="AC143" i="110"/>
  <c r="AD139" i="110"/>
  <c r="AC139" i="110"/>
  <c r="AD135" i="110"/>
  <c r="AC135" i="110"/>
  <c r="AD131" i="110"/>
  <c r="AC131" i="110"/>
  <c r="AD127" i="110"/>
  <c r="AC127" i="110"/>
  <c r="AD123" i="110"/>
  <c r="AC123" i="110"/>
  <c r="AD119" i="110"/>
  <c r="AC119" i="110"/>
  <c r="AX96" i="63"/>
  <c r="AX46" i="63"/>
  <c r="AX78" i="63"/>
  <c r="AX64" i="63"/>
  <c r="AX110" i="63"/>
  <c r="AX92" i="63"/>
  <c r="N152" i="110"/>
  <c r="N148" i="110"/>
  <c r="N144" i="110"/>
  <c r="N140" i="110"/>
  <c r="N136" i="110"/>
  <c r="N132" i="110"/>
  <c r="N128" i="110"/>
  <c r="N124" i="110"/>
  <c r="N120" i="110"/>
  <c r="N116" i="110"/>
  <c r="O152" i="110"/>
  <c r="O148" i="110"/>
  <c r="O144" i="110"/>
  <c r="O140" i="110"/>
  <c r="O136" i="110"/>
  <c r="O132" i="110"/>
  <c r="O128" i="110"/>
  <c r="O124" i="110"/>
  <c r="O120" i="110"/>
  <c r="O116" i="110"/>
  <c r="AX104" i="63"/>
  <c r="AX100" i="63"/>
  <c r="AX86" i="63"/>
  <c r="AX72" i="63"/>
  <c r="AX68" i="63"/>
  <c r="AX40" i="63"/>
  <c r="AX36" i="63"/>
  <c r="N155" i="110"/>
  <c r="N151" i="110"/>
  <c r="N147" i="110"/>
  <c r="N143" i="110"/>
  <c r="N139" i="110"/>
  <c r="N135" i="110"/>
  <c r="N131" i="110"/>
  <c r="N127" i="110"/>
  <c r="N123" i="110"/>
  <c r="N119" i="110"/>
  <c r="O155" i="110"/>
  <c r="O151" i="110"/>
  <c r="O147" i="110"/>
  <c r="O143" i="110"/>
  <c r="O139" i="110"/>
  <c r="O135" i="110"/>
  <c r="O131" i="110"/>
  <c r="O127" i="110"/>
  <c r="O123" i="110"/>
  <c r="O119" i="110"/>
  <c r="AX112" i="63"/>
  <c r="AX108" i="63"/>
  <c r="AX94" i="63"/>
  <c r="AX80" i="63"/>
  <c r="AX76" i="63"/>
  <c r="AX62" i="63"/>
  <c r="AX48" i="63"/>
  <c r="AX44" i="63"/>
  <c r="N154" i="110"/>
  <c r="N150" i="110"/>
  <c r="N146" i="110"/>
  <c r="N142" i="110"/>
  <c r="N138" i="110"/>
  <c r="N134" i="110"/>
  <c r="N130" i="110"/>
  <c r="N126" i="110"/>
  <c r="N122" i="110"/>
  <c r="N118" i="110"/>
  <c r="O154" i="110"/>
  <c r="O150" i="110"/>
  <c r="O146" i="110"/>
  <c r="O142" i="110"/>
  <c r="O138" i="110"/>
  <c r="O134" i="110"/>
  <c r="O130" i="110"/>
  <c r="O126" i="110"/>
  <c r="O122" i="110"/>
  <c r="O118" i="110"/>
  <c r="AX60" i="63"/>
  <c r="AX102" i="63"/>
  <c r="AX88" i="63"/>
  <c r="AX84" i="63"/>
  <c r="AX70" i="63"/>
  <c r="AX56" i="63"/>
  <c r="AX52" i="63"/>
  <c r="AX38" i="63"/>
  <c r="N153" i="110"/>
  <c r="N149" i="110"/>
  <c r="N145" i="110"/>
  <c r="N141" i="110"/>
  <c r="N137" i="110"/>
  <c r="N133" i="110"/>
  <c r="N129" i="110"/>
  <c r="N121" i="110"/>
  <c r="N117" i="110"/>
  <c r="O153" i="110"/>
  <c r="O149" i="110"/>
  <c r="O145" i="110"/>
  <c r="O141" i="110"/>
  <c r="O137" i="110"/>
  <c r="O133" i="110"/>
  <c r="O129" i="110"/>
  <c r="O121" i="110"/>
  <c r="O117" i="110"/>
  <c r="AX106" i="63"/>
  <c r="AX90" i="63"/>
  <c r="AX74" i="63"/>
  <c r="AX66" i="63"/>
  <c r="AX58" i="63"/>
  <c r="AX50" i="63"/>
  <c r="AX42" i="63"/>
  <c r="AX114" i="63"/>
  <c r="AV114" i="63"/>
  <c r="AV112" i="63"/>
  <c r="AV110" i="63"/>
  <c r="AV108" i="63"/>
  <c r="AV106" i="63"/>
  <c r="AV104" i="63"/>
  <c r="AV102" i="63"/>
  <c r="AV100" i="63"/>
  <c r="AV98" i="63"/>
  <c r="AV96" i="63"/>
  <c r="AV94" i="63"/>
  <c r="AV92" i="63"/>
  <c r="AV90" i="63"/>
  <c r="AV88" i="63"/>
  <c r="AV86" i="63"/>
  <c r="AV84" i="63"/>
  <c r="AV82" i="63"/>
  <c r="AV80" i="63"/>
  <c r="AV78" i="63"/>
  <c r="AV76" i="63"/>
  <c r="AV74" i="63"/>
  <c r="AV72" i="63"/>
  <c r="AV70" i="63"/>
  <c r="AV68" i="63"/>
  <c r="AV66" i="63"/>
  <c r="AV64" i="63"/>
  <c r="AV62" i="63"/>
  <c r="AV60" i="63"/>
  <c r="AV58" i="63"/>
  <c r="AV56" i="63"/>
  <c r="AV52" i="63"/>
  <c r="AV50" i="63"/>
  <c r="AV48" i="63"/>
  <c r="AV46" i="63"/>
  <c r="AV44" i="63"/>
  <c r="AV42" i="63"/>
  <c r="AV40" i="63"/>
  <c r="AV38" i="63"/>
  <c r="AV36" i="63"/>
  <c r="AX98" i="63"/>
  <c r="AX82" i="63"/>
  <c r="M18" i="62"/>
  <c r="M20" i="62"/>
  <c r="M22" i="62"/>
  <c r="M24" i="62"/>
  <c r="M26" i="62"/>
  <c r="M28" i="62"/>
  <c r="M30" i="62"/>
  <c r="M32" i="62"/>
  <c r="M34" i="62"/>
  <c r="V18" i="62"/>
  <c r="V26" i="62"/>
  <c r="V28" i="62"/>
  <c r="V30" i="62"/>
  <c r="V32" i="62"/>
  <c r="V34" i="62"/>
  <c r="V16" i="62"/>
  <c r="X34" i="108"/>
  <c r="Y34" i="108"/>
  <c r="X35" i="108"/>
  <c r="Y35" i="108"/>
  <c r="X36" i="108"/>
  <c r="Y36" i="108"/>
  <c r="X37" i="108"/>
  <c r="Y37" i="108"/>
  <c r="X38" i="108"/>
  <c r="Y38" i="108"/>
  <c r="X39" i="108"/>
  <c r="Y39" i="108"/>
  <c r="AU18" i="13" l="1"/>
  <c r="AU20" i="13"/>
  <c r="AU22" i="13"/>
  <c r="AU24" i="13"/>
  <c r="AU26" i="13"/>
  <c r="AU28" i="13"/>
  <c r="AU30" i="13"/>
  <c r="AU32" i="13"/>
  <c r="AU34" i="13"/>
  <c r="AU36" i="13"/>
  <c r="AU38" i="13"/>
  <c r="AU40" i="13"/>
  <c r="AU42" i="13"/>
  <c r="AU44" i="13"/>
  <c r="AU46" i="13"/>
  <c r="AU48" i="13"/>
  <c r="AU50" i="13"/>
  <c r="AU52" i="13"/>
  <c r="AU54" i="13"/>
  <c r="AU56" i="13"/>
  <c r="AU58" i="13"/>
  <c r="AU60" i="13"/>
  <c r="AU62" i="13"/>
  <c r="AU64" i="13"/>
  <c r="AU66" i="13"/>
  <c r="AU68" i="13"/>
  <c r="AU70" i="13"/>
  <c r="AU72" i="13"/>
  <c r="AU74" i="13"/>
  <c r="AU76" i="13"/>
  <c r="AU78" i="13"/>
  <c r="AU80" i="13"/>
  <c r="AU82" i="13"/>
  <c r="AU84" i="13"/>
  <c r="AU86" i="13"/>
  <c r="AU88" i="13"/>
  <c r="AU90" i="13"/>
  <c r="AU92" i="13"/>
  <c r="AU94" i="13"/>
  <c r="AU96" i="13"/>
  <c r="AU98" i="13"/>
  <c r="AU100" i="13"/>
  <c r="AU102" i="13"/>
  <c r="AU104" i="13"/>
  <c r="AU106" i="13"/>
  <c r="AI18" i="12"/>
  <c r="AI20" i="12"/>
  <c r="AI22" i="12"/>
  <c r="AI24" i="12"/>
  <c r="AI26" i="12"/>
  <c r="AI28" i="12"/>
  <c r="AI30" i="12"/>
  <c r="AI32" i="12"/>
  <c r="AI34" i="12"/>
  <c r="AI36" i="12"/>
  <c r="AI38" i="12"/>
  <c r="AI40" i="12"/>
  <c r="AI42" i="12"/>
  <c r="AI44" i="12"/>
  <c r="AI18" i="62"/>
  <c r="AI20" i="62"/>
  <c r="AI22" i="62"/>
  <c r="AI24" i="62"/>
  <c r="AI26" i="62"/>
  <c r="AI28" i="62"/>
  <c r="AI30" i="62"/>
  <c r="AI32" i="62"/>
  <c r="AI34" i="62"/>
  <c r="R18" i="63"/>
  <c r="R20" i="63"/>
  <c r="R22" i="63"/>
  <c r="R24" i="63"/>
  <c r="R26" i="63"/>
  <c r="R28" i="63"/>
  <c r="R30" i="63"/>
  <c r="R32" i="63"/>
  <c r="R34" i="63"/>
  <c r="AO34" i="63" s="1"/>
  <c r="H115" i="110" s="1"/>
  <c r="P18" i="63"/>
  <c r="P20" i="63"/>
  <c r="P22" i="63"/>
  <c r="P24" i="63"/>
  <c r="P26" i="63"/>
  <c r="P28" i="63"/>
  <c r="P30" i="63"/>
  <c r="P32" i="63"/>
  <c r="P34" i="63"/>
  <c r="J18" i="63"/>
  <c r="J20" i="63"/>
  <c r="J22" i="63"/>
  <c r="J24" i="63"/>
  <c r="J26" i="63"/>
  <c r="J28" i="63"/>
  <c r="J30" i="63"/>
  <c r="J32" i="63"/>
  <c r="J34" i="63"/>
  <c r="L18" i="63"/>
  <c r="L20" i="63"/>
  <c r="L22" i="63"/>
  <c r="L24" i="63"/>
  <c r="L26" i="63"/>
  <c r="L28" i="63"/>
  <c r="L30" i="63"/>
  <c r="L32" i="63"/>
  <c r="L34" i="63"/>
  <c r="T18" i="64"/>
  <c r="T20" i="64"/>
  <c r="T22" i="64"/>
  <c r="T24" i="64"/>
  <c r="T26" i="64"/>
  <c r="T28" i="64"/>
  <c r="T30" i="64"/>
  <c r="T32" i="64"/>
  <c r="T34" i="64"/>
  <c r="N18" i="64"/>
  <c r="N20" i="64"/>
  <c r="N22" i="64"/>
  <c r="N24" i="64"/>
  <c r="N26" i="64"/>
  <c r="N28" i="64"/>
  <c r="N30" i="64"/>
  <c r="N32" i="64"/>
  <c r="N34" i="64"/>
  <c r="N40" i="64"/>
  <c r="N42" i="64"/>
  <c r="N44" i="64"/>
  <c r="T40" i="64"/>
  <c r="T42" i="64"/>
  <c r="BE42" i="64" s="1"/>
  <c r="T44" i="64"/>
  <c r="AN42" i="64"/>
  <c r="H170" i="110" s="1"/>
  <c r="AN44" i="64"/>
  <c r="H171" i="110" s="1"/>
  <c r="AK42" i="64"/>
  <c r="AK44" i="64"/>
  <c r="AI40" i="64"/>
  <c r="AI42" i="64"/>
  <c r="AI44" i="64"/>
  <c r="AX40" i="64"/>
  <c r="AW40" i="64" s="1"/>
  <c r="AY40" i="64"/>
  <c r="AV42" i="64"/>
  <c r="AX42" i="64"/>
  <c r="AY42" i="64"/>
  <c r="AV44" i="64"/>
  <c r="AW44" i="64"/>
  <c r="AX44" i="64"/>
  <c r="AY44" i="64"/>
  <c r="AE18" i="117"/>
  <c r="AE20" i="117"/>
  <c r="AE22" i="117"/>
  <c r="AE24" i="117"/>
  <c r="AE26" i="117"/>
  <c r="AE28" i="117"/>
  <c r="AE30" i="117"/>
  <c r="AI18" i="117"/>
  <c r="AI20" i="117"/>
  <c r="AI22" i="117"/>
  <c r="AI24" i="117"/>
  <c r="AI26" i="117"/>
  <c r="AI28" i="117"/>
  <c r="AI30" i="117"/>
  <c r="AU18" i="117"/>
  <c r="AX18" i="117"/>
  <c r="AU20" i="117"/>
  <c r="AX20" i="117"/>
  <c r="AU22" i="117"/>
  <c r="AX22" i="117"/>
  <c r="AU24" i="117"/>
  <c r="AX24" i="117"/>
  <c r="AU26" i="117"/>
  <c r="AX26" i="117"/>
  <c r="AU28" i="117"/>
  <c r="AX28" i="117"/>
  <c r="AU30" i="117"/>
  <c r="AX30" i="117"/>
  <c r="AN36" i="118"/>
  <c r="H292" i="110" s="1"/>
  <c r="AN38" i="118"/>
  <c r="H293" i="110" s="1"/>
  <c r="AN40" i="118"/>
  <c r="H294" i="110" s="1"/>
  <c r="AN42" i="118"/>
  <c r="H295" i="110" s="1"/>
  <c r="AN44" i="118"/>
  <c r="H296" i="110" s="1"/>
  <c r="AK32" i="118"/>
  <c r="AK34" i="118"/>
  <c r="AK36" i="118"/>
  <c r="AK38" i="118"/>
  <c r="AK40" i="118"/>
  <c r="AK42" i="118"/>
  <c r="AK44" i="118"/>
  <c r="AI18" i="118"/>
  <c r="AI20" i="118"/>
  <c r="AI22" i="118"/>
  <c r="AI24" i="118"/>
  <c r="AI26" i="118"/>
  <c r="AI28" i="118"/>
  <c r="AI30" i="118"/>
  <c r="AI32" i="118"/>
  <c r="AI34" i="118"/>
  <c r="AI36" i="118"/>
  <c r="AI38" i="118"/>
  <c r="AI40" i="118"/>
  <c r="AI42" i="118"/>
  <c r="AI44" i="118"/>
  <c r="AK18" i="118"/>
  <c r="AK20" i="118"/>
  <c r="AK22" i="118"/>
  <c r="AK26" i="118"/>
  <c r="AK28" i="118"/>
  <c r="AK30" i="118"/>
  <c r="AI52" i="118"/>
  <c r="AI54" i="118"/>
  <c r="AI56" i="118"/>
  <c r="AI58" i="118"/>
  <c r="AI60" i="118"/>
  <c r="AI62" i="118"/>
  <c r="AI64" i="118"/>
  <c r="AK54" i="118"/>
  <c r="AK56" i="118"/>
  <c r="AK58" i="118"/>
  <c r="AK62" i="118"/>
  <c r="AN56" i="118"/>
  <c r="AN58" i="118"/>
  <c r="AN62" i="118"/>
  <c r="AK52" i="118"/>
  <c r="AK60" i="118"/>
  <c r="AK64" i="118"/>
  <c r="AI18" i="66"/>
  <c r="AI20" i="66"/>
  <c r="AI22" i="66"/>
  <c r="AI24" i="66"/>
  <c r="AI26" i="66"/>
  <c r="AI28" i="66"/>
  <c r="AI30" i="66"/>
  <c r="AI32" i="66"/>
  <c r="AI34" i="66"/>
  <c r="AK24" i="66"/>
  <c r="AK26" i="66"/>
  <c r="AK32" i="66"/>
  <c r="AN24" i="66"/>
  <c r="H219" i="110" s="1"/>
  <c r="AN26" i="66"/>
  <c r="H220" i="110" s="1"/>
  <c r="AN32" i="66"/>
  <c r="H223" i="110" s="1"/>
  <c r="AV18" i="66"/>
  <c r="AK18" i="66" s="1"/>
  <c r="AV20" i="66"/>
  <c r="AK20" i="66" s="1"/>
  <c r="AV22" i="66"/>
  <c r="AK22" i="66" s="1"/>
  <c r="AV24" i="66"/>
  <c r="AV26" i="66"/>
  <c r="AV28" i="66"/>
  <c r="AK28" i="66" s="1"/>
  <c r="AV30" i="66"/>
  <c r="AK30" i="66" s="1"/>
  <c r="AV32" i="66"/>
  <c r="AV34" i="66"/>
  <c r="AK34" i="66" s="1"/>
  <c r="AI28" i="63"/>
  <c r="AI30" i="63"/>
  <c r="AI32" i="63"/>
  <c r="AE28" i="63"/>
  <c r="BE28" i="63" s="1"/>
  <c r="AE30" i="63"/>
  <c r="BE30" i="63" s="1"/>
  <c r="AE32" i="63"/>
  <c r="BE32" i="63" s="1"/>
  <c r="AE34" i="63"/>
  <c r="BE34" i="63" s="1"/>
  <c r="AW20" i="63" l="1"/>
  <c r="BC20" i="63"/>
  <c r="BE30" i="64"/>
  <c r="BE34" i="64"/>
  <c r="BE44" i="64"/>
  <c r="BE32" i="64"/>
  <c r="BE28" i="64"/>
  <c r="AK22" i="63"/>
  <c r="BC22" i="63"/>
  <c r="BE18" i="64"/>
  <c r="AK20" i="63"/>
  <c r="AK32" i="63"/>
  <c r="AY32" i="63"/>
  <c r="AI34" i="63"/>
  <c r="P115" i="110"/>
  <c r="AV34" i="63"/>
  <c r="AK24" i="63"/>
  <c r="AK28" i="63"/>
  <c r="AK34" i="63"/>
  <c r="AK30" i="63"/>
  <c r="AA115" i="110"/>
  <c r="AY34" i="63"/>
  <c r="AY28" i="63"/>
  <c r="AY30" i="63"/>
  <c r="BC28" i="64"/>
  <c r="BC20" i="64"/>
  <c r="BC30" i="64"/>
  <c r="BC22" i="64"/>
  <c r="BC32" i="64"/>
  <c r="BC24" i="64"/>
  <c r="AA109" i="110"/>
  <c r="AN28" i="117"/>
  <c r="AN20" i="117"/>
  <c r="AN18" i="117"/>
  <c r="AN30" i="117"/>
  <c r="BC34" i="64"/>
  <c r="BC26" i="64"/>
  <c r="BC18" i="64"/>
  <c r="AA114" i="110"/>
  <c r="AA113" i="110"/>
  <c r="AA112" i="110"/>
  <c r="AN22" i="117"/>
  <c r="AN26" i="117"/>
  <c r="AN24" i="117"/>
  <c r="AU34" i="63"/>
  <c r="AA111" i="110"/>
  <c r="AK26" i="63"/>
  <c r="AC113" i="110"/>
  <c r="AD113" i="110"/>
  <c r="AC109" i="110"/>
  <c r="AD109" i="110"/>
  <c r="AD112" i="110"/>
  <c r="AC112" i="110"/>
  <c r="AD108" i="110"/>
  <c r="AC108" i="110"/>
  <c r="AD115" i="110"/>
  <c r="AC115" i="110"/>
  <c r="AD111" i="110"/>
  <c r="AC111" i="110"/>
  <c r="AD107" i="110"/>
  <c r="AC107" i="110"/>
  <c r="AC114" i="110"/>
  <c r="AD114" i="110"/>
  <c r="AC110" i="110"/>
  <c r="AD110" i="110"/>
  <c r="AA108" i="110"/>
  <c r="AK18" i="63"/>
  <c r="AA107" i="110"/>
  <c r="AA110" i="110"/>
  <c r="AU44" i="64"/>
  <c r="AU32" i="64"/>
  <c r="AU34" i="64"/>
  <c r="AU28" i="64"/>
  <c r="AU30" i="64"/>
  <c r="AX28" i="63"/>
  <c r="AV28" i="63" s="1"/>
  <c r="AU42" i="64"/>
  <c r="AX32" i="63"/>
  <c r="AV32" i="63" s="1"/>
  <c r="AX30" i="63"/>
  <c r="AV30" i="63" s="1"/>
  <c r="AX34" i="63"/>
  <c r="AK24" i="118"/>
  <c r="AV16" i="66"/>
  <c r="AK16" i="66" s="1"/>
  <c r="AU32" i="63" l="1"/>
  <c r="AO32" i="63" s="1"/>
  <c r="H114" i="110" s="1"/>
  <c r="N115" i="110"/>
  <c r="AU30" i="63"/>
  <c r="AO30" i="63" s="1"/>
  <c r="H113" i="110" s="1"/>
  <c r="O115" i="110"/>
  <c r="W115" i="110"/>
  <c r="AU28" i="63"/>
  <c r="R115" i="110"/>
  <c r="L115" i="110" s="1"/>
  <c r="AO28" i="63" l="1"/>
  <c r="A283" i="110"/>
  <c r="A284" i="110"/>
  <c r="A285" i="110"/>
  <c r="A286" i="110"/>
  <c r="A287" i="110"/>
  <c r="A288" i="110"/>
  <c r="A289" i="110"/>
  <c r="A290" i="110"/>
  <c r="A291" i="110"/>
  <c r="A292" i="110"/>
  <c r="A293" i="110"/>
  <c r="A294" i="110"/>
  <c r="A295" i="110"/>
  <c r="A296" i="110"/>
  <c r="A299" i="110"/>
  <c r="A300" i="110"/>
  <c r="A301" i="110"/>
  <c r="A302" i="110"/>
  <c r="A303" i="110"/>
  <c r="A304" i="110"/>
  <c r="A305" i="110"/>
  <c r="A306" i="110"/>
  <c r="I299" i="110"/>
  <c r="J299" i="110"/>
  <c r="I300" i="110"/>
  <c r="J300" i="110"/>
  <c r="M300" i="110"/>
  <c r="I301" i="110"/>
  <c r="J301" i="110"/>
  <c r="M301" i="110"/>
  <c r="I302" i="110"/>
  <c r="J302" i="110"/>
  <c r="M302" i="110"/>
  <c r="I303" i="110"/>
  <c r="J303" i="110"/>
  <c r="M303" i="110"/>
  <c r="I304" i="110"/>
  <c r="J304" i="110"/>
  <c r="M304" i="110"/>
  <c r="I305" i="110"/>
  <c r="J305" i="110"/>
  <c r="M305" i="110"/>
  <c r="I306" i="110"/>
  <c r="J306" i="110"/>
  <c r="M306" i="110"/>
  <c r="AD300" i="110"/>
  <c r="AD301" i="110"/>
  <c r="AD302" i="110"/>
  <c r="AD303" i="110"/>
  <c r="AD304" i="110"/>
  <c r="AD305" i="110"/>
  <c r="AD306" i="110"/>
  <c r="Z301" i="110"/>
  <c r="AB301" i="110"/>
  <c r="AO301" i="110" s="1"/>
  <c r="Z302" i="110"/>
  <c r="AB302" i="110"/>
  <c r="AO302" i="110" s="1"/>
  <c r="Z303" i="110"/>
  <c r="AB303" i="110"/>
  <c r="AO303" i="110" s="1"/>
  <c r="Z304" i="110"/>
  <c r="AB304" i="110"/>
  <c r="AO304" i="110" s="1"/>
  <c r="Z305" i="110"/>
  <c r="AB305" i="110"/>
  <c r="AO305" i="110" s="1"/>
  <c r="Z306" i="110"/>
  <c r="AB306" i="110"/>
  <c r="AO306" i="110" s="1"/>
  <c r="Z299" i="110"/>
  <c r="AB299" i="110"/>
  <c r="AO299" i="110" s="1"/>
  <c r="AD299" i="110"/>
  <c r="Z300" i="110"/>
  <c r="AB300" i="110"/>
  <c r="AO300" i="110" s="1"/>
  <c r="AD283" i="110"/>
  <c r="AD284" i="110"/>
  <c r="AD285" i="110"/>
  <c r="AD286" i="110"/>
  <c r="AD287" i="110"/>
  <c r="AD288" i="110"/>
  <c r="AD289" i="110"/>
  <c r="AD290" i="110"/>
  <c r="AD291" i="110"/>
  <c r="AD292" i="110"/>
  <c r="AD293" i="110"/>
  <c r="AD294" i="110"/>
  <c r="AD295" i="110"/>
  <c r="AD296" i="110"/>
  <c r="Z283" i="110"/>
  <c r="AB283" i="110"/>
  <c r="AO283" i="110" s="1"/>
  <c r="Z284" i="110"/>
  <c r="AB284" i="110"/>
  <c r="AO284" i="110" s="1"/>
  <c r="Z285" i="110"/>
  <c r="AB285" i="110"/>
  <c r="AO285" i="110" s="1"/>
  <c r="Z286" i="110"/>
  <c r="AB286" i="110"/>
  <c r="AO286" i="110" s="1"/>
  <c r="Z287" i="110"/>
  <c r="AB287" i="110"/>
  <c r="AO287" i="110" s="1"/>
  <c r="Z288" i="110"/>
  <c r="AB288" i="110"/>
  <c r="AO288" i="110" s="1"/>
  <c r="Z289" i="110"/>
  <c r="AB289" i="110"/>
  <c r="AO289" i="110" s="1"/>
  <c r="Z290" i="110"/>
  <c r="AB290" i="110"/>
  <c r="AO290" i="110" s="1"/>
  <c r="Z291" i="110"/>
  <c r="AB291" i="110"/>
  <c r="AO291" i="110" s="1"/>
  <c r="Z292" i="110"/>
  <c r="AB292" i="110"/>
  <c r="AO292" i="110" s="1"/>
  <c r="Z293" i="110"/>
  <c r="AB293" i="110"/>
  <c r="AO293" i="110" s="1"/>
  <c r="Z294" i="110"/>
  <c r="AB294" i="110"/>
  <c r="AO294" i="110" s="1"/>
  <c r="Z295" i="110"/>
  <c r="AB295" i="110"/>
  <c r="AO295" i="110" s="1"/>
  <c r="Z296" i="110"/>
  <c r="AB296" i="110"/>
  <c r="AO296" i="110" s="1"/>
  <c r="AD282" i="110"/>
  <c r="AB282" i="110"/>
  <c r="AO282" i="110" s="1"/>
  <c r="Z282" i="110"/>
  <c r="M283" i="110"/>
  <c r="M284" i="110"/>
  <c r="M285" i="110"/>
  <c r="M286" i="110"/>
  <c r="M287" i="110"/>
  <c r="M288" i="110"/>
  <c r="M289" i="110"/>
  <c r="M290" i="110"/>
  <c r="M291" i="110"/>
  <c r="M292" i="110"/>
  <c r="M293" i="110"/>
  <c r="M294" i="110"/>
  <c r="M295" i="110"/>
  <c r="M296" i="110"/>
  <c r="J283" i="110"/>
  <c r="J284" i="110"/>
  <c r="J285" i="110"/>
  <c r="J286" i="110"/>
  <c r="J287" i="110"/>
  <c r="J288" i="110"/>
  <c r="J289" i="110"/>
  <c r="J290" i="110"/>
  <c r="J291" i="110"/>
  <c r="J292" i="110"/>
  <c r="J293" i="110"/>
  <c r="J294" i="110"/>
  <c r="J295" i="110"/>
  <c r="J296" i="110"/>
  <c r="I283" i="110"/>
  <c r="I284" i="110"/>
  <c r="I285" i="110"/>
  <c r="I286" i="110"/>
  <c r="I287" i="110"/>
  <c r="I288" i="110"/>
  <c r="I289" i="110"/>
  <c r="I290" i="110"/>
  <c r="I291" i="110"/>
  <c r="I292" i="110"/>
  <c r="I293" i="110"/>
  <c r="I294" i="110"/>
  <c r="I295" i="110"/>
  <c r="I296" i="110"/>
  <c r="M282" i="110"/>
  <c r="J282" i="110"/>
  <c r="I282" i="110"/>
  <c r="G283" i="110"/>
  <c r="G284" i="110"/>
  <c r="G285" i="110"/>
  <c r="G286" i="110"/>
  <c r="G287" i="110"/>
  <c r="G288" i="110"/>
  <c r="G289" i="110"/>
  <c r="G290" i="110"/>
  <c r="G291" i="110"/>
  <c r="G292" i="110"/>
  <c r="G293" i="110"/>
  <c r="G294" i="110"/>
  <c r="G295" i="110"/>
  <c r="G296" i="110"/>
  <c r="G299" i="110"/>
  <c r="G300" i="110"/>
  <c r="G301" i="110"/>
  <c r="G302" i="110"/>
  <c r="G303" i="110"/>
  <c r="G306" i="110"/>
  <c r="G282" i="110"/>
  <c r="A282" i="110"/>
  <c r="N64" i="118"/>
  <c r="T64" i="118"/>
  <c r="N54" i="118"/>
  <c r="T54" i="118"/>
  <c r="N56" i="118"/>
  <c r="T56" i="118"/>
  <c r="P302" i="110"/>
  <c r="N58" i="118"/>
  <c r="T58" i="118"/>
  <c r="R303" i="110"/>
  <c r="N60" i="118"/>
  <c r="T60" i="118"/>
  <c r="N62" i="118"/>
  <c r="T62" i="118"/>
  <c r="P305" i="110"/>
  <c r="N52" i="118"/>
  <c r="T52" i="118"/>
  <c r="AI50" i="118"/>
  <c r="T50" i="118"/>
  <c r="N50" i="118"/>
  <c r="AA299" i="110" s="1"/>
  <c r="N36" i="118"/>
  <c r="T36" i="118"/>
  <c r="R292" i="110"/>
  <c r="N38" i="118"/>
  <c r="T38" i="118"/>
  <c r="R293" i="110"/>
  <c r="N40" i="118"/>
  <c r="T40" i="118"/>
  <c r="R294" i="110"/>
  <c r="N42" i="118"/>
  <c r="T42" i="118"/>
  <c r="O295" i="110"/>
  <c r="N44" i="118"/>
  <c r="T44" i="118"/>
  <c r="R296" i="110"/>
  <c r="AW200" i="118"/>
  <c r="N20" i="118"/>
  <c r="T20" i="118"/>
  <c r="N22" i="118"/>
  <c r="T22" i="118"/>
  <c r="N24" i="118"/>
  <c r="T24" i="118"/>
  <c r="N26" i="118"/>
  <c r="T26" i="118"/>
  <c r="N28" i="118"/>
  <c r="T28" i="118"/>
  <c r="N30" i="118"/>
  <c r="T30" i="118"/>
  <c r="N32" i="118"/>
  <c r="T32" i="118"/>
  <c r="N34" i="118"/>
  <c r="T34" i="118"/>
  <c r="T18" i="118"/>
  <c r="N18" i="118"/>
  <c r="C303" i="110" l="1"/>
  <c r="B303" i="110" s="1"/>
  <c r="L303" i="110"/>
  <c r="C294" i="110"/>
  <c r="B294" i="110" s="1"/>
  <c r="L294" i="110"/>
  <c r="C293" i="110"/>
  <c r="B293" i="110" s="1"/>
  <c r="L293" i="110"/>
  <c r="C296" i="110"/>
  <c r="B296" i="110" s="1"/>
  <c r="L296" i="110"/>
  <c r="C292" i="110"/>
  <c r="B292" i="110" s="1"/>
  <c r="L292" i="110"/>
  <c r="P112" i="110"/>
  <c r="H112" i="110"/>
  <c r="O112" i="110"/>
  <c r="N112" i="110"/>
  <c r="R112" i="110"/>
  <c r="W112" i="110"/>
  <c r="P114" i="110"/>
  <c r="R114" i="110"/>
  <c r="O114" i="110"/>
  <c r="N114" i="110"/>
  <c r="W114" i="110"/>
  <c r="O113" i="110"/>
  <c r="P113" i="110"/>
  <c r="N113" i="110"/>
  <c r="W113" i="110"/>
  <c r="R113" i="110"/>
  <c r="BC38" i="118"/>
  <c r="BE34" i="118"/>
  <c r="BE30" i="118"/>
  <c r="BE44" i="118"/>
  <c r="BE36" i="118"/>
  <c r="BE18" i="118"/>
  <c r="BC32" i="118"/>
  <c r="AN32" i="118" s="1"/>
  <c r="N290" i="110" s="1"/>
  <c r="BC28" i="118"/>
  <c r="BC24" i="118"/>
  <c r="BC20" i="118"/>
  <c r="BE42" i="118"/>
  <c r="BC40" i="118"/>
  <c r="BC42" i="118"/>
  <c r="BC34" i="118"/>
  <c r="BC30" i="118"/>
  <c r="BC26" i="118"/>
  <c r="BC22" i="118"/>
  <c r="BC44" i="118"/>
  <c r="BE38" i="118"/>
  <c r="BC36" i="118"/>
  <c r="BC18" i="118"/>
  <c r="BE32" i="118"/>
  <c r="BE28" i="118"/>
  <c r="BE24" i="118"/>
  <c r="BE20" i="118"/>
  <c r="BE40" i="118"/>
  <c r="AK50" i="118"/>
  <c r="AY200" i="118"/>
  <c r="AU22" i="118"/>
  <c r="AN22" i="118" s="1"/>
  <c r="AA287" i="110"/>
  <c r="AX26" i="118"/>
  <c r="AV26" i="118"/>
  <c r="AX40" i="118"/>
  <c r="AV40" i="118"/>
  <c r="AU40" i="118"/>
  <c r="K294" i="110" s="1"/>
  <c r="AA283" i="110"/>
  <c r="AV18" i="118"/>
  <c r="AX18" i="118"/>
  <c r="AA295" i="110"/>
  <c r="AX42" i="118"/>
  <c r="AU42" i="118"/>
  <c r="K295" i="110" s="1"/>
  <c r="AV42" i="118"/>
  <c r="AA301" i="110"/>
  <c r="AU54" i="118"/>
  <c r="AX54" i="118"/>
  <c r="AA289" i="110"/>
  <c r="AV30" i="118"/>
  <c r="AX30" i="118"/>
  <c r="AA306" i="110"/>
  <c r="AX64" i="118"/>
  <c r="AU64" i="118"/>
  <c r="AA288" i="110"/>
  <c r="AV28" i="118"/>
  <c r="AX28" i="118"/>
  <c r="AA284" i="110"/>
  <c r="AX20" i="118"/>
  <c r="AV20" i="118"/>
  <c r="AU20" i="118"/>
  <c r="AN20" i="118" s="1"/>
  <c r="AA296" i="110"/>
  <c r="AX44" i="118"/>
  <c r="AU44" i="118"/>
  <c r="K296" i="110" s="1"/>
  <c r="AV44" i="118"/>
  <c r="AA292" i="110"/>
  <c r="AU36" i="118"/>
  <c r="K292" i="110" s="1"/>
  <c r="AV36" i="118"/>
  <c r="AX36" i="118"/>
  <c r="AA305" i="110"/>
  <c r="AU62" i="118"/>
  <c r="K305" i="110" s="1"/>
  <c r="AX62" i="118"/>
  <c r="AA302" i="110"/>
  <c r="AX56" i="118"/>
  <c r="AU56" i="118"/>
  <c r="K302" i="110" s="1"/>
  <c r="AA291" i="110"/>
  <c r="AU34" i="118"/>
  <c r="K291" i="110" s="1"/>
  <c r="AV34" i="118"/>
  <c r="AX34" i="118"/>
  <c r="AA285" i="110"/>
  <c r="AV22" i="118"/>
  <c r="AX22" i="118"/>
  <c r="AU26" i="118"/>
  <c r="AN26" i="118" s="1"/>
  <c r="AA304" i="110"/>
  <c r="AX60" i="118"/>
  <c r="AU60" i="118"/>
  <c r="AN60" i="118" s="1"/>
  <c r="AV32" i="118"/>
  <c r="AU32" i="118"/>
  <c r="K290" i="110" s="1"/>
  <c r="AX32" i="118"/>
  <c r="AX24" i="118"/>
  <c r="AV24" i="118"/>
  <c r="AU30" i="118"/>
  <c r="AN30" i="118" s="1"/>
  <c r="AU28" i="118"/>
  <c r="AN28" i="118" s="1"/>
  <c r="AU18" i="118"/>
  <c r="AN18" i="118" s="1"/>
  <c r="AU38" i="118"/>
  <c r="K293" i="110" s="1"/>
  <c r="AV38" i="118"/>
  <c r="AX38" i="118"/>
  <c r="AA300" i="110"/>
  <c r="AX52" i="118"/>
  <c r="AU52" i="118"/>
  <c r="AN52" i="118" s="1"/>
  <c r="AA303" i="110"/>
  <c r="AU58" i="118"/>
  <c r="K303" i="110" s="1"/>
  <c r="AX58" i="118"/>
  <c r="N295" i="110"/>
  <c r="O294" i="110"/>
  <c r="R295" i="110"/>
  <c r="O293" i="110"/>
  <c r="P303" i="110"/>
  <c r="R302" i="110"/>
  <c r="N294" i="110"/>
  <c r="O296" i="110"/>
  <c r="O292" i="110"/>
  <c r="AA294" i="110"/>
  <c r="AA290" i="110"/>
  <c r="AA286" i="110"/>
  <c r="R305" i="110"/>
  <c r="AA293" i="110"/>
  <c r="N293" i="110"/>
  <c r="N296" i="110"/>
  <c r="N292" i="110"/>
  <c r="AX50" i="118"/>
  <c r="AU50" i="118"/>
  <c r="AU24" i="118"/>
  <c r="AK16" i="118"/>
  <c r="AI16" i="118"/>
  <c r="T16" i="118"/>
  <c r="N16" i="118"/>
  <c r="C305" i="110" l="1"/>
  <c r="B305" i="110" s="1"/>
  <c r="L305" i="110"/>
  <c r="C302" i="110"/>
  <c r="B302" i="110" s="1"/>
  <c r="L302" i="110"/>
  <c r="C295" i="110"/>
  <c r="B295" i="110" s="1"/>
  <c r="L295" i="110"/>
  <c r="BE22" i="118"/>
  <c r="BE26" i="118"/>
  <c r="AN34" i="118"/>
  <c r="H290" i="110"/>
  <c r="O290" i="110"/>
  <c r="R290" i="110"/>
  <c r="K301" i="110"/>
  <c r="AN54" i="118"/>
  <c r="AX200" i="118"/>
  <c r="H304" i="110"/>
  <c r="H287" i="110"/>
  <c r="H300" i="110"/>
  <c r="H283" i="110"/>
  <c r="H284" i="110"/>
  <c r="H301" i="110"/>
  <c r="H306" i="110"/>
  <c r="H289" i="110"/>
  <c r="H302" i="110"/>
  <c r="H285" i="110"/>
  <c r="H288" i="110"/>
  <c r="H305" i="110"/>
  <c r="K285" i="110"/>
  <c r="BE16" i="118"/>
  <c r="AA282" i="110"/>
  <c r="BC16" i="118"/>
  <c r="K287" i="110"/>
  <c r="K284" i="110"/>
  <c r="K299" i="110"/>
  <c r="K288" i="110"/>
  <c r="AN24" i="118"/>
  <c r="K306" i="110"/>
  <c r="AN64" i="118"/>
  <c r="K300" i="110"/>
  <c r="K304" i="110"/>
  <c r="K283" i="110"/>
  <c r="K289" i="110"/>
  <c r="R287" i="110"/>
  <c r="P304" i="110"/>
  <c r="N283" i="110"/>
  <c r="N289" i="110"/>
  <c r="N285" i="110"/>
  <c r="R288" i="110"/>
  <c r="K286" i="110"/>
  <c r="O287" i="110"/>
  <c r="AN50" i="118"/>
  <c r="AV16" i="118"/>
  <c r="AV200" i="118" s="1"/>
  <c r="G34" i="3" s="1"/>
  <c r="AX16" i="118"/>
  <c r="AU16" i="118"/>
  <c r="AU200" i="118" s="1"/>
  <c r="AI18" i="63"/>
  <c r="AI20" i="63"/>
  <c r="AI22" i="63"/>
  <c r="AI24" i="63"/>
  <c r="AI26" i="63"/>
  <c r="AE18" i="63"/>
  <c r="BE18" i="63" s="1"/>
  <c r="AE20" i="63"/>
  <c r="BE20" i="63" s="1"/>
  <c r="AE22" i="63"/>
  <c r="AE24" i="63"/>
  <c r="AE26" i="63"/>
  <c r="R16" i="63"/>
  <c r="AE16" i="63"/>
  <c r="P16" i="63"/>
  <c r="L16" i="63"/>
  <c r="J16" i="63"/>
  <c r="C290" i="110" l="1"/>
  <c r="B290" i="110" s="1"/>
  <c r="L290" i="110"/>
  <c r="C287" i="110"/>
  <c r="B287" i="110" s="1"/>
  <c r="L287" i="110"/>
  <c r="C288" i="110"/>
  <c r="B288" i="110" s="1"/>
  <c r="L288" i="110"/>
  <c r="AW16" i="63"/>
  <c r="AK16" i="63" s="1"/>
  <c r="BC16" i="63"/>
  <c r="BE16" i="63"/>
  <c r="C66" i="118"/>
  <c r="V66" i="118" s="1"/>
  <c r="M307" i="110" s="1"/>
  <c r="N66" i="118"/>
  <c r="AA307" i="110" s="1"/>
  <c r="H291" i="110"/>
  <c r="O291" i="110"/>
  <c r="R291" i="110"/>
  <c r="N291" i="110"/>
  <c r="P301" i="110"/>
  <c r="R301" i="110"/>
  <c r="H286" i="110"/>
  <c r="H303" i="110"/>
  <c r="AV18" i="63"/>
  <c r="AY24" i="63"/>
  <c r="AY22" i="63"/>
  <c r="AY18" i="63"/>
  <c r="AY20" i="63"/>
  <c r="AY26" i="63"/>
  <c r="AY16" i="63"/>
  <c r="BA200" i="118"/>
  <c r="AA106" i="110"/>
  <c r="AD106" i="110"/>
  <c r="AC106" i="110"/>
  <c r="P306" i="110"/>
  <c r="R306" i="110"/>
  <c r="AX24" i="63"/>
  <c r="AV24" i="63" s="1"/>
  <c r="AU24" i="63"/>
  <c r="AX22" i="63"/>
  <c r="AV22" i="63" s="1"/>
  <c r="AU22" i="63"/>
  <c r="AO22" i="63" s="1"/>
  <c r="H109" i="110" s="1"/>
  <c r="AU20" i="63"/>
  <c r="AO20" i="63" s="1"/>
  <c r="H108" i="110" s="1"/>
  <c r="AX20" i="63"/>
  <c r="AV20" i="63" s="1"/>
  <c r="AU18" i="63"/>
  <c r="K107" i="110" s="1"/>
  <c r="AX18" i="63"/>
  <c r="N287" i="110"/>
  <c r="AU26" i="63"/>
  <c r="AX26" i="63"/>
  <c r="AV26" i="63" s="1"/>
  <c r="O288" i="110"/>
  <c r="R304" i="110"/>
  <c r="R283" i="110"/>
  <c r="O289" i="110"/>
  <c r="O283" i="110"/>
  <c r="R289" i="110"/>
  <c r="R285" i="110"/>
  <c r="O285" i="110"/>
  <c r="N288" i="110"/>
  <c r="P300" i="110"/>
  <c r="R300" i="110"/>
  <c r="AX16" i="63"/>
  <c r="AV16" i="63" s="1"/>
  <c r="AN16" i="118"/>
  <c r="K282" i="110"/>
  <c r="R299" i="110"/>
  <c r="P299" i="110"/>
  <c r="O286" i="110"/>
  <c r="R286" i="110"/>
  <c r="N286" i="110"/>
  <c r="R284" i="110"/>
  <c r="N284" i="110"/>
  <c r="O284" i="110"/>
  <c r="C306" i="110" l="1"/>
  <c r="B306" i="110" s="1"/>
  <c r="L306" i="110"/>
  <c r="C284" i="110"/>
  <c r="B284" i="110" s="1"/>
  <c r="L284" i="110"/>
  <c r="C299" i="110"/>
  <c r="B299" i="110" s="1"/>
  <c r="L299" i="110"/>
  <c r="C300" i="110"/>
  <c r="B300" i="110" s="1"/>
  <c r="L300" i="110"/>
  <c r="C285" i="110"/>
  <c r="B285" i="110" s="1"/>
  <c r="L285" i="110"/>
  <c r="C283" i="110"/>
  <c r="B283" i="110" s="1"/>
  <c r="L283" i="110"/>
  <c r="C291" i="110"/>
  <c r="B291" i="110" s="1"/>
  <c r="L291" i="110"/>
  <c r="C286" i="110"/>
  <c r="B286" i="110" s="1"/>
  <c r="L286" i="110"/>
  <c r="C289" i="110"/>
  <c r="B289" i="110" s="1"/>
  <c r="L289" i="110"/>
  <c r="C304" i="110"/>
  <c r="B304" i="110" s="1"/>
  <c r="L304" i="110"/>
  <c r="C301" i="110"/>
  <c r="B301" i="110" s="1"/>
  <c r="L301" i="110"/>
  <c r="BE22" i="63"/>
  <c r="AO26" i="63"/>
  <c r="H111" i="110" s="1"/>
  <c r="BE26" i="63"/>
  <c r="H282" i="110"/>
  <c r="H299" i="110"/>
  <c r="P108" i="110"/>
  <c r="AO24" i="63"/>
  <c r="BE24" i="63" s="1"/>
  <c r="AO18" i="63"/>
  <c r="P109" i="110"/>
  <c r="P111" i="110"/>
  <c r="N109" i="110"/>
  <c r="K108" i="110"/>
  <c r="AZ200" i="118"/>
  <c r="R12" i="118"/>
  <c r="AB307" i="110"/>
  <c r="AO307" i="110" s="1"/>
  <c r="BA66" i="118"/>
  <c r="AN66" i="118" s="1"/>
  <c r="AJ12" i="118" s="1"/>
  <c r="O282" i="110"/>
  <c r="N282" i="110"/>
  <c r="Z12" i="118"/>
  <c r="F34" i="3" s="1"/>
  <c r="R282" i="110"/>
  <c r="AU16" i="63"/>
  <c r="C282" i="110" l="1"/>
  <c r="B282" i="110" s="1"/>
  <c r="L282" i="110"/>
  <c r="N111" i="110"/>
  <c r="P34" i="3"/>
  <c r="P107" i="110"/>
  <c r="H107" i="110"/>
  <c r="P110" i="110"/>
  <c r="H110" i="110"/>
  <c r="W110" i="110"/>
  <c r="O110" i="110"/>
  <c r="R110" i="110"/>
  <c r="N110" i="110"/>
  <c r="W109" i="110"/>
  <c r="R111" i="110"/>
  <c r="O111" i="110"/>
  <c r="W111" i="110"/>
  <c r="O109" i="110"/>
  <c r="R109" i="110"/>
  <c r="K106" i="110"/>
  <c r="N108" i="110"/>
  <c r="O108" i="110"/>
  <c r="R108" i="110"/>
  <c r="W108" i="110"/>
  <c r="R307" i="110"/>
  <c r="AE12" i="118"/>
  <c r="H34" i="3" s="1"/>
  <c r="N107" i="110"/>
  <c r="O107" i="110"/>
  <c r="R107" i="110"/>
  <c r="AI16" i="63"/>
  <c r="AA170" i="110"/>
  <c r="AA171" i="110"/>
  <c r="M171" i="110"/>
  <c r="M170" i="110"/>
  <c r="M169" i="110"/>
  <c r="K170" i="110"/>
  <c r="K171" i="110"/>
  <c r="A169" i="110"/>
  <c r="G169" i="110"/>
  <c r="Z169" i="110"/>
  <c r="AA169" i="110"/>
  <c r="AB169" i="110"/>
  <c r="AO169" i="110" s="1"/>
  <c r="AD169" i="110"/>
  <c r="A170" i="110"/>
  <c r="G170" i="110"/>
  <c r="Z170" i="110"/>
  <c r="AB170" i="110"/>
  <c r="AO170" i="110" s="1"/>
  <c r="AD170" i="110"/>
  <c r="A171" i="110"/>
  <c r="G171" i="110"/>
  <c r="Z171" i="110"/>
  <c r="AB171" i="110"/>
  <c r="AO171" i="110" s="1"/>
  <c r="AD171" i="110"/>
  <c r="AY38" i="64"/>
  <c r="M168" i="110" s="1"/>
  <c r="AI38" i="64"/>
  <c r="AX38" i="64"/>
  <c r="T38" i="64"/>
  <c r="N38" i="64"/>
  <c r="L224" i="104"/>
  <c r="K224" i="104"/>
  <c r="L223" i="104"/>
  <c r="K223" i="104"/>
  <c r="L222" i="104"/>
  <c r="K222" i="104"/>
  <c r="AK18" i="64"/>
  <c r="AU18" i="64" s="1"/>
  <c r="AK22" i="64"/>
  <c r="AK20" i="64"/>
  <c r="AK24" i="64"/>
  <c r="AK26" i="64"/>
  <c r="AK28" i="64"/>
  <c r="AK30" i="64"/>
  <c r="AK32" i="64"/>
  <c r="AK34" i="64"/>
  <c r="AK16" i="64"/>
  <c r="C307" i="110" l="1"/>
  <c r="B307" i="110" s="1"/>
  <c r="L307" i="110"/>
  <c r="BE38" i="64"/>
  <c r="AU24" i="64"/>
  <c r="AU22" i="64"/>
  <c r="AV40" i="64"/>
  <c r="AU26" i="64"/>
  <c r="AO16" i="63"/>
  <c r="AU20" i="64"/>
  <c r="AN20" i="64" s="1"/>
  <c r="H159" i="110" s="1"/>
  <c r="AV38" i="64"/>
  <c r="BE20" i="64" l="1"/>
  <c r="AK40" i="64"/>
  <c r="C54" i="63"/>
  <c r="V54" i="63" s="1"/>
  <c r="AK54" i="63" s="1"/>
  <c r="L54" i="63"/>
  <c r="P106" i="110"/>
  <c r="H106" i="110"/>
  <c r="O106" i="110"/>
  <c r="R106" i="110"/>
  <c r="R12" i="63"/>
  <c r="N106" i="110"/>
  <c r="AK38" i="64"/>
  <c r="AU38" i="64" s="1"/>
  <c r="AU40" i="64" l="1"/>
  <c r="AN40" i="64" s="1"/>
  <c r="H169" i="110" s="1"/>
  <c r="K169" i="110"/>
  <c r="AW54" i="63"/>
  <c r="AA125" i="110"/>
  <c r="AC125" i="110"/>
  <c r="BA54" i="63"/>
  <c r="AO54" i="63" s="1"/>
  <c r="AF12" i="63" s="1"/>
  <c r="AI54" i="63"/>
  <c r="BE40" i="64" l="1"/>
  <c r="N125" i="110"/>
  <c r="R125" i="110"/>
  <c r="P28" i="3"/>
  <c r="W125" i="110"/>
  <c r="Z12" i="63"/>
  <c r="AZ16" i="62"/>
  <c r="AW16" i="62" s="1"/>
  <c r="AY16" i="62"/>
  <c r="AX16" i="62"/>
  <c r="AU16" i="62"/>
  <c r="M16" i="62"/>
  <c r="AK16" i="62" l="1"/>
  <c r="N55" i="110" s="1"/>
  <c r="AY16" i="12" l="1"/>
  <c r="A281" i="110" l="1"/>
  <c r="AR202" i="118" l="1"/>
  <c r="W202" i="118"/>
  <c r="AR201" i="118"/>
  <c r="B201" i="118"/>
  <c r="M200" i="118"/>
  <c r="B200" i="118"/>
  <c r="V12" i="118"/>
  <c r="I34" i="3" s="1"/>
  <c r="J34" i="3"/>
  <c r="AV6" i="118"/>
  <c r="E34" i="3"/>
  <c r="B119" i="3"/>
  <c r="E119" i="3"/>
  <c r="C119" i="3"/>
  <c r="A315" i="110" l="1"/>
  <c r="F315" i="110"/>
  <c r="G315" i="110"/>
  <c r="Y315" i="110"/>
  <c r="Z315" i="110"/>
  <c r="AA315" i="110"/>
  <c r="AB315" i="110"/>
  <c r="AC315" i="110"/>
  <c r="AD315" i="110"/>
  <c r="A316" i="110"/>
  <c r="F316" i="110"/>
  <c r="G316" i="110"/>
  <c r="Y316" i="110"/>
  <c r="Z316" i="110"/>
  <c r="AA316" i="110"/>
  <c r="AB316" i="110"/>
  <c r="AC316" i="110"/>
  <c r="AD316" i="110"/>
  <c r="A317" i="110"/>
  <c r="F317" i="110"/>
  <c r="G317" i="110"/>
  <c r="Y317" i="110"/>
  <c r="Z317" i="110"/>
  <c r="AA317" i="110"/>
  <c r="AB317" i="110"/>
  <c r="AC317" i="110"/>
  <c r="AD317" i="110"/>
  <c r="A318" i="110"/>
  <c r="F318" i="110"/>
  <c r="G318" i="110"/>
  <c r="Y318" i="110"/>
  <c r="Z318" i="110"/>
  <c r="AA318" i="110"/>
  <c r="AB318" i="110"/>
  <c r="AC318" i="110"/>
  <c r="AD318" i="110"/>
  <c r="A319" i="110"/>
  <c r="F319" i="110"/>
  <c r="G319" i="110"/>
  <c r="Y319" i="110"/>
  <c r="Z319" i="110"/>
  <c r="AA319" i="110"/>
  <c r="AB319" i="110"/>
  <c r="AC319" i="110"/>
  <c r="AD319" i="110"/>
  <c r="A320" i="110"/>
  <c r="F320" i="110"/>
  <c r="G320" i="110"/>
  <c r="Y320" i="110"/>
  <c r="Z320" i="110"/>
  <c r="AA320" i="110"/>
  <c r="AB320" i="110"/>
  <c r="AC320" i="110"/>
  <c r="AD320" i="110"/>
  <c r="A321" i="110"/>
  <c r="F321" i="110"/>
  <c r="G321" i="110"/>
  <c r="Y321" i="110"/>
  <c r="Z321" i="110"/>
  <c r="AA321" i="110"/>
  <c r="AB321" i="110"/>
  <c r="AC321" i="110"/>
  <c r="AD321" i="110"/>
  <c r="A322" i="110"/>
  <c r="F322" i="110"/>
  <c r="G322" i="110"/>
  <c r="Y322" i="110"/>
  <c r="Z322" i="110"/>
  <c r="AA322" i="110"/>
  <c r="AB322" i="110"/>
  <c r="AC322" i="110"/>
  <c r="AD322" i="110"/>
  <c r="A323" i="110"/>
  <c r="F323" i="110"/>
  <c r="G323" i="110"/>
  <c r="Y323" i="110"/>
  <c r="Z323" i="110"/>
  <c r="AA323" i="110"/>
  <c r="AB323" i="110"/>
  <c r="AC323" i="110"/>
  <c r="AD323" i="110"/>
  <c r="A324" i="110"/>
  <c r="F324" i="110"/>
  <c r="G324" i="110"/>
  <c r="Y324" i="110"/>
  <c r="Z324" i="110"/>
  <c r="AA324" i="110"/>
  <c r="AB324" i="110"/>
  <c r="AC324" i="110"/>
  <c r="AD324" i="110"/>
  <c r="A325" i="110"/>
  <c r="F325" i="110"/>
  <c r="G325" i="110"/>
  <c r="Y325" i="110"/>
  <c r="Z325" i="110"/>
  <c r="AA325" i="110"/>
  <c r="AB325" i="110"/>
  <c r="AC325" i="110"/>
  <c r="AD325" i="110"/>
  <c r="A326" i="110"/>
  <c r="F326" i="110"/>
  <c r="G326" i="110"/>
  <c r="Y326" i="110"/>
  <c r="Z326" i="110"/>
  <c r="AA326" i="110"/>
  <c r="AB326" i="110"/>
  <c r="AC326" i="110"/>
  <c r="AD326" i="110"/>
  <c r="A327" i="110"/>
  <c r="F327" i="110"/>
  <c r="G327" i="110"/>
  <c r="Y327" i="110"/>
  <c r="Z327" i="110"/>
  <c r="AA327" i="110"/>
  <c r="AB327" i="110"/>
  <c r="AC327" i="110"/>
  <c r="AD327" i="110"/>
  <c r="A328" i="110"/>
  <c r="F328" i="110"/>
  <c r="G328" i="110"/>
  <c r="Y328" i="110"/>
  <c r="Z328" i="110"/>
  <c r="AA328" i="110"/>
  <c r="AB328" i="110"/>
  <c r="AC328" i="110"/>
  <c r="AD328" i="110"/>
  <c r="A329" i="110"/>
  <c r="F329" i="110"/>
  <c r="G329" i="110"/>
  <c r="Y329" i="110"/>
  <c r="Z329" i="110"/>
  <c r="AA329" i="110"/>
  <c r="AB329" i="110"/>
  <c r="AC329" i="110"/>
  <c r="AD329" i="110"/>
  <c r="A330" i="110"/>
  <c r="F330" i="110"/>
  <c r="G330" i="110"/>
  <c r="Y330" i="110"/>
  <c r="Z330" i="110"/>
  <c r="AA330" i="110"/>
  <c r="AB330" i="110"/>
  <c r="AC330" i="110"/>
  <c r="AD330" i="110"/>
  <c r="A331" i="110"/>
  <c r="F331" i="110"/>
  <c r="G331" i="110"/>
  <c r="Y331" i="110"/>
  <c r="Z331" i="110"/>
  <c r="AA331" i="110"/>
  <c r="AB331" i="110"/>
  <c r="AC331" i="110"/>
  <c r="AD331" i="110"/>
  <c r="A332" i="110"/>
  <c r="F332" i="110"/>
  <c r="G332" i="110"/>
  <c r="Y332" i="110"/>
  <c r="Z332" i="110"/>
  <c r="AA332" i="110"/>
  <c r="AB332" i="110"/>
  <c r="AC332" i="110"/>
  <c r="AD332" i="110"/>
  <c r="A333" i="110"/>
  <c r="F333" i="110"/>
  <c r="G333" i="110"/>
  <c r="Y333" i="110"/>
  <c r="Z333" i="110"/>
  <c r="AA333" i="110"/>
  <c r="AB333" i="110"/>
  <c r="AC333" i="110"/>
  <c r="AD333" i="110"/>
  <c r="A334" i="110"/>
  <c r="F334" i="110"/>
  <c r="G334" i="110"/>
  <c r="Y334" i="110"/>
  <c r="Z334" i="110"/>
  <c r="AA334" i="110"/>
  <c r="AB334" i="110"/>
  <c r="AC334" i="110"/>
  <c r="AD334" i="110"/>
  <c r="A335" i="110"/>
  <c r="F335" i="110"/>
  <c r="G335" i="110"/>
  <c r="Y335" i="110"/>
  <c r="Z335" i="110"/>
  <c r="AA335" i="110"/>
  <c r="AB335" i="110"/>
  <c r="AC335" i="110"/>
  <c r="AD335" i="110"/>
  <c r="A336" i="110"/>
  <c r="F336" i="110"/>
  <c r="G336" i="110"/>
  <c r="Y336" i="110"/>
  <c r="Z336" i="110"/>
  <c r="AA336" i="110"/>
  <c r="AB336" i="110"/>
  <c r="AC336" i="110"/>
  <c r="AD336" i="110"/>
  <c r="A337" i="110"/>
  <c r="F337" i="110"/>
  <c r="G337" i="110"/>
  <c r="Y337" i="110"/>
  <c r="Z337" i="110"/>
  <c r="AA337" i="110"/>
  <c r="AB337" i="110"/>
  <c r="AC337" i="110"/>
  <c r="AD337" i="110"/>
  <c r="A338" i="110"/>
  <c r="F338" i="110"/>
  <c r="G338" i="110"/>
  <c r="Y338" i="110"/>
  <c r="Z338" i="110"/>
  <c r="AA338" i="110"/>
  <c r="AB338" i="110"/>
  <c r="AC338" i="110"/>
  <c r="AD338" i="110"/>
  <c r="A339" i="110"/>
  <c r="F339" i="110"/>
  <c r="G339" i="110"/>
  <c r="Y339" i="110"/>
  <c r="Z339" i="110"/>
  <c r="AA339" i="110"/>
  <c r="AB339" i="110"/>
  <c r="AC339" i="110"/>
  <c r="AD339" i="110"/>
  <c r="A340" i="110"/>
  <c r="F340" i="110"/>
  <c r="G340" i="110"/>
  <c r="Y340" i="110"/>
  <c r="Z340" i="110"/>
  <c r="AA340" i="110"/>
  <c r="AB340" i="110"/>
  <c r="AC340" i="110"/>
  <c r="AD340" i="110"/>
  <c r="A341" i="110"/>
  <c r="F341" i="110"/>
  <c r="G341" i="110"/>
  <c r="Y341" i="110"/>
  <c r="Z341" i="110"/>
  <c r="AA341" i="110"/>
  <c r="AB341" i="110"/>
  <c r="AC341" i="110"/>
  <c r="AD341" i="110"/>
  <c r="A342" i="110"/>
  <c r="F342" i="110"/>
  <c r="G342" i="110"/>
  <c r="Y342" i="110"/>
  <c r="Z342" i="110"/>
  <c r="AA342" i="110"/>
  <c r="AB342" i="110"/>
  <c r="AC342" i="110"/>
  <c r="AD342" i="110"/>
  <c r="A343" i="110"/>
  <c r="F343" i="110"/>
  <c r="G343" i="110"/>
  <c r="Y343" i="110"/>
  <c r="Z343" i="110"/>
  <c r="AA343" i="110"/>
  <c r="AB343" i="110"/>
  <c r="AC343" i="110"/>
  <c r="AD343" i="110"/>
  <c r="A344" i="110"/>
  <c r="F344" i="110"/>
  <c r="G344" i="110"/>
  <c r="Y344" i="110"/>
  <c r="Z344" i="110"/>
  <c r="AA344" i="110"/>
  <c r="AB344" i="110"/>
  <c r="AC344" i="110"/>
  <c r="AD344" i="110"/>
  <c r="A345" i="110"/>
  <c r="F345" i="110"/>
  <c r="G345" i="110"/>
  <c r="Y345" i="110"/>
  <c r="Z345" i="110"/>
  <c r="AA345" i="110"/>
  <c r="AB345" i="110"/>
  <c r="AC345" i="110"/>
  <c r="AD345" i="110"/>
  <c r="A346" i="110"/>
  <c r="F346" i="110"/>
  <c r="G346" i="110"/>
  <c r="Y346" i="110"/>
  <c r="Z346" i="110"/>
  <c r="AA346" i="110"/>
  <c r="AB346" i="110"/>
  <c r="AC346" i="110"/>
  <c r="AD346" i="110"/>
  <c r="A347" i="110"/>
  <c r="F347" i="110"/>
  <c r="G347" i="110"/>
  <c r="Y347" i="110"/>
  <c r="Z347" i="110"/>
  <c r="AA347" i="110"/>
  <c r="AB347" i="110"/>
  <c r="AC347" i="110"/>
  <c r="AD347" i="110"/>
  <c r="A348" i="110"/>
  <c r="F348" i="110"/>
  <c r="G348" i="110"/>
  <c r="Y348" i="110"/>
  <c r="Z348" i="110"/>
  <c r="AA348" i="110"/>
  <c r="AB348" i="110"/>
  <c r="AC348" i="110"/>
  <c r="AD348" i="110"/>
  <c r="A349" i="110"/>
  <c r="F349" i="110"/>
  <c r="G349" i="110"/>
  <c r="Y349" i="110"/>
  <c r="Z349" i="110"/>
  <c r="AA349" i="110"/>
  <c r="AB349" i="110"/>
  <c r="AC349" i="110"/>
  <c r="AD349" i="110"/>
  <c r="A350" i="110"/>
  <c r="F350" i="110"/>
  <c r="G350" i="110"/>
  <c r="Y350" i="110"/>
  <c r="Z350" i="110"/>
  <c r="AA350" i="110"/>
  <c r="AB350" i="110"/>
  <c r="AC350" i="110"/>
  <c r="AD350" i="110"/>
  <c r="A351" i="110"/>
  <c r="F351" i="110"/>
  <c r="G351" i="110"/>
  <c r="Y351" i="110"/>
  <c r="Z351" i="110"/>
  <c r="AA351" i="110"/>
  <c r="AB351" i="110"/>
  <c r="AC351" i="110"/>
  <c r="AD351" i="110"/>
  <c r="A352" i="110"/>
  <c r="F352" i="110"/>
  <c r="G352" i="110"/>
  <c r="Y352" i="110"/>
  <c r="Z352" i="110"/>
  <c r="AA352" i="110"/>
  <c r="AB352" i="110"/>
  <c r="AC352" i="110"/>
  <c r="AD352" i="110"/>
  <c r="A353" i="110"/>
  <c r="F353" i="110"/>
  <c r="G353" i="110"/>
  <c r="Y353" i="110"/>
  <c r="Z353" i="110"/>
  <c r="AA353" i="110"/>
  <c r="AB353" i="110"/>
  <c r="AC353" i="110"/>
  <c r="AD353" i="110"/>
  <c r="A354" i="110"/>
  <c r="F354" i="110"/>
  <c r="G354" i="110"/>
  <c r="Y354" i="110"/>
  <c r="Z354" i="110"/>
  <c r="AA354" i="110"/>
  <c r="AB354" i="110"/>
  <c r="AC354" i="110"/>
  <c r="AD354" i="110"/>
  <c r="A355" i="110"/>
  <c r="F355" i="110"/>
  <c r="G355" i="110"/>
  <c r="Y355" i="110"/>
  <c r="Z355" i="110"/>
  <c r="AA355" i="110"/>
  <c r="AB355" i="110"/>
  <c r="AC355" i="110"/>
  <c r="AD355" i="110"/>
  <c r="A356" i="110"/>
  <c r="F356" i="110"/>
  <c r="G356" i="110"/>
  <c r="Y356" i="110"/>
  <c r="Z356" i="110"/>
  <c r="AA356" i="110"/>
  <c r="AB356" i="110"/>
  <c r="AC356" i="110"/>
  <c r="AD356" i="110"/>
  <c r="A357" i="110"/>
  <c r="F357" i="110"/>
  <c r="G357" i="110"/>
  <c r="Y357" i="110"/>
  <c r="Z357" i="110"/>
  <c r="AA357" i="110"/>
  <c r="AB357" i="110"/>
  <c r="AC357" i="110"/>
  <c r="AD357" i="110"/>
  <c r="A358" i="110"/>
  <c r="F358" i="110"/>
  <c r="G358" i="110"/>
  <c r="Y358" i="110"/>
  <c r="Z358" i="110"/>
  <c r="AC358" i="110"/>
  <c r="AD358" i="110"/>
  <c r="A362" i="110"/>
  <c r="Z362" i="110"/>
  <c r="A363" i="110"/>
  <c r="Y363" i="110"/>
  <c r="Z363" i="110"/>
  <c r="AC363" i="110"/>
  <c r="AD363" i="110"/>
  <c r="A364" i="110"/>
  <c r="Y364" i="110"/>
  <c r="Z364" i="110"/>
  <c r="AC364" i="110"/>
  <c r="AD364" i="110"/>
  <c r="A365" i="110"/>
  <c r="Z365" i="110"/>
  <c r="A366" i="110"/>
  <c r="I366" i="110"/>
  <c r="J366" i="110"/>
  <c r="K366" i="110"/>
  <c r="M366" i="110"/>
  <c r="N366" i="110"/>
  <c r="O366" i="110"/>
  <c r="R366" i="110"/>
  <c r="S366" i="110"/>
  <c r="T366" i="110"/>
  <c r="U366" i="110"/>
  <c r="W366" i="110"/>
  <c r="X366" i="110"/>
  <c r="Y366" i="110"/>
  <c r="Z366" i="110"/>
  <c r="AC366" i="110"/>
  <c r="AD366" i="110"/>
  <c r="AG366" i="110"/>
  <c r="AH366" i="110"/>
  <c r="AK366" i="110"/>
  <c r="AL366" i="110"/>
  <c r="AM366" i="110"/>
  <c r="AN366" i="110"/>
  <c r="A367" i="110"/>
  <c r="I367" i="110"/>
  <c r="J367" i="110"/>
  <c r="K367" i="110"/>
  <c r="M367" i="110"/>
  <c r="N367" i="110"/>
  <c r="O367" i="110"/>
  <c r="R367" i="110"/>
  <c r="S367" i="110"/>
  <c r="T367" i="110"/>
  <c r="U367" i="110"/>
  <c r="W367" i="110"/>
  <c r="X367" i="110"/>
  <c r="Y367" i="110"/>
  <c r="Z367" i="110"/>
  <c r="AC367" i="110"/>
  <c r="AD367" i="110"/>
  <c r="AG367" i="110"/>
  <c r="AH367" i="110"/>
  <c r="AK367" i="110"/>
  <c r="AL367" i="110"/>
  <c r="AM367" i="110"/>
  <c r="AN367" i="110"/>
  <c r="A368" i="110"/>
  <c r="I368" i="110"/>
  <c r="J368" i="110"/>
  <c r="K368" i="110"/>
  <c r="M368" i="110"/>
  <c r="N368" i="110"/>
  <c r="O368" i="110"/>
  <c r="R368" i="110"/>
  <c r="S368" i="110"/>
  <c r="T368" i="110"/>
  <c r="U368" i="110"/>
  <c r="W368" i="110"/>
  <c r="X368" i="110"/>
  <c r="Y368" i="110"/>
  <c r="Z368" i="110"/>
  <c r="AC368" i="110"/>
  <c r="AD368" i="110"/>
  <c r="AG368" i="110"/>
  <c r="AH368" i="110"/>
  <c r="AK368" i="110"/>
  <c r="AL368" i="110"/>
  <c r="AM368" i="110"/>
  <c r="AN368" i="110"/>
  <c r="A369" i="110"/>
  <c r="I369" i="110"/>
  <c r="J369" i="110"/>
  <c r="K369" i="110"/>
  <c r="M369" i="110"/>
  <c r="N369" i="110"/>
  <c r="O369" i="110"/>
  <c r="R369" i="110"/>
  <c r="S369" i="110"/>
  <c r="T369" i="110"/>
  <c r="U369" i="110"/>
  <c r="W369" i="110"/>
  <c r="X369" i="110"/>
  <c r="Y369" i="110"/>
  <c r="Z369" i="110"/>
  <c r="AC369" i="110"/>
  <c r="AD369" i="110"/>
  <c r="AG369" i="110"/>
  <c r="AH369" i="110"/>
  <c r="AK369" i="110"/>
  <c r="AL369" i="110"/>
  <c r="AM369" i="110"/>
  <c r="AN369" i="110"/>
  <c r="A370" i="110"/>
  <c r="I370" i="110"/>
  <c r="J370" i="110"/>
  <c r="K370" i="110"/>
  <c r="M370" i="110"/>
  <c r="N370" i="110"/>
  <c r="O370" i="110"/>
  <c r="R370" i="110"/>
  <c r="S370" i="110"/>
  <c r="T370" i="110"/>
  <c r="U370" i="110"/>
  <c r="W370" i="110"/>
  <c r="X370" i="110"/>
  <c r="Y370" i="110"/>
  <c r="Z370" i="110"/>
  <c r="AC370" i="110"/>
  <c r="AD370" i="110"/>
  <c r="AG370" i="110"/>
  <c r="AH370" i="110"/>
  <c r="AK370" i="110"/>
  <c r="AL370" i="110"/>
  <c r="AM370" i="110"/>
  <c r="AN370" i="110"/>
  <c r="A371" i="110"/>
  <c r="I371" i="110"/>
  <c r="J371" i="110"/>
  <c r="K371" i="110"/>
  <c r="M371" i="110"/>
  <c r="N371" i="110"/>
  <c r="O371" i="110"/>
  <c r="R371" i="110"/>
  <c r="S371" i="110"/>
  <c r="T371" i="110"/>
  <c r="U371" i="110"/>
  <c r="W371" i="110"/>
  <c r="X371" i="110"/>
  <c r="Y371" i="110"/>
  <c r="Z371" i="110"/>
  <c r="AC371" i="110"/>
  <c r="AD371" i="110"/>
  <c r="AG371" i="110"/>
  <c r="AH371" i="110"/>
  <c r="AK371" i="110"/>
  <c r="AL371" i="110"/>
  <c r="AM371" i="110"/>
  <c r="AN371" i="110"/>
  <c r="A372" i="110"/>
  <c r="I372" i="110"/>
  <c r="J372" i="110"/>
  <c r="K372" i="110"/>
  <c r="M372" i="110"/>
  <c r="N372" i="110"/>
  <c r="O372" i="110"/>
  <c r="R372" i="110"/>
  <c r="S372" i="110"/>
  <c r="T372" i="110"/>
  <c r="U372" i="110"/>
  <c r="W372" i="110"/>
  <c r="X372" i="110"/>
  <c r="Y372" i="110"/>
  <c r="Z372" i="110"/>
  <c r="AC372" i="110"/>
  <c r="AD372" i="110"/>
  <c r="AG372" i="110"/>
  <c r="AH372" i="110"/>
  <c r="AK372" i="110"/>
  <c r="AL372" i="110"/>
  <c r="AM372" i="110"/>
  <c r="AN372" i="110"/>
  <c r="A373" i="110"/>
  <c r="I373" i="110"/>
  <c r="J373" i="110"/>
  <c r="K373" i="110"/>
  <c r="M373" i="110"/>
  <c r="N373" i="110"/>
  <c r="O373" i="110"/>
  <c r="R373" i="110"/>
  <c r="S373" i="110"/>
  <c r="T373" i="110"/>
  <c r="U373" i="110"/>
  <c r="W373" i="110"/>
  <c r="X373" i="110"/>
  <c r="Y373" i="110"/>
  <c r="Z373" i="110"/>
  <c r="AC373" i="110"/>
  <c r="AD373" i="110"/>
  <c r="AG373" i="110"/>
  <c r="AH373" i="110"/>
  <c r="AK373" i="110"/>
  <c r="AL373" i="110"/>
  <c r="AM373" i="110"/>
  <c r="AN373" i="110"/>
  <c r="A374" i="110"/>
  <c r="I374" i="110"/>
  <c r="J374" i="110"/>
  <c r="K374" i="110"/>
  <c r="M374" i="110"/>
  <c r="N374" i="110"/>
  <c r="O374" i="110"/>
  <c r="R374" i="110"/>
  <c r="S374" i="110"/>
  <c r="T374" i="110"/>
  <c r="U374" i="110"/>
  <c r="W374" i="110"/>
  <c r="X374" i="110"/>
  <c r="Y374" i="110"/>
  <c r="Z374" i="110"/>
  <c r="AC374" i="110"/>
  <c r="AD374" i="110"/>
  <c r="AG374" i="110"/>
  <c r="AH374" i="110"/>
  <c r="AK374" i="110"/>
  <c r="AL374" i="110"/>
  <c r="AM374" i="110"/>
  <c r="AN374" i="110"/>
  <c r="A375" i="110"/>
  <c r="I375" i="110"/>
  <c r="J375" i="110"/>
  <c r="K375" i="110"/>
  <c r="M375" i="110"/>
  <c r="N375" i="110"/>
  <c r="O375" i="110"/>
  <c r="R375" i="110"/>
  <c r="S375" i="110"/>
  <c r="T375" i="110"/>
  <c r="U375" i="110"/>
  <c r="W375" i="110"/>
  <c r="X375" i="110"/>
  <c r="Y375" i="110"/>
  <c r="Z375" i="110"/>
  <c r="AC375" i="110"/>
  <c r="AD375" i="110"/>
  <c r="AG375" i="110"/>
  <c r="AH375" i="110"/>
  <c r="AK375" i="110"/>
  <c r="AL375" i="110"/>
  <c r="AM375" i="110"/>
  <c r="AN375" i="110"/>
  <c r="A376" i="110"/>
  <c r="I376" i="110"/>
  <c r="J376" i="110"/>
  <c r="K376" i="110"/>
  <c r="M376" i="110"/>
  <c r="N376" i="110"/>
  <c r="O376" i="110"/>
  <c r="R376" i="110"/>
  <c r="S376" i="110"/>
  <c r="T376" i="110"/>
  <c r="U376" i="110"/>
  <c r="W376" i="110"/>
  <c r="X376" i="110"/>
  <c r="Y376" i="110"/>
  <c r="Z376" i="110"/>
  <c r="AC376" i="110"/>
  <c r="AD376" i="110"/>
  <c r="AG376" i="110"/>
  <c r="AH376" i="110"/>
  <c r="AK376" i="110"/>
  <c r="AL376" i="110"/>
  <c r="AM376" i="110"/>
  <c r="AN376" i="110"/>
  <c r="A377" i="110"/>
  <c r="I377" i="110"/>
  <c r="J377" i="110"/>
  <c r="K377" i="110"/>
  <c r="M377" i="110"/>
  <c r="N377" i="110"/>
  <c r="O377" i="110"/>
  <c r="R377" i="110"/>
  <c r="S377" i="110"/>
  <c r="T377" i="110"/>
  <c r="U377" i="110"/>
  <c r="W377" i="110"/>
  <c r="X377" i="110"/>
  <c r="Y377" i="110"/>
  <c r="Z377" i="110"/>
  <c r="AC377" i="110"/>
  <c r="AD377" i="110"/>
  <c r="AG377" i="110"/>
  <c r="AH377" i="110"/>
  <c r="AK377" i="110"/>
  <c r="AL377" i="110"/>
  <c r="AM377" i="110"/>
  <c r="AN377" i="110"/>
  <c r="A378" i="110"/>
  <c r="I378" i="110"/>
  <c r="J378" i="110"/>
  <c r="K378" i="110"/>
  <c r="M378" i="110"/>
  <c r="N378" i="110"/>
  <c r="O378" i="110"/>
  <c r="R378" i="110"/>
  <c r="S378" i="110"/>
  <c r="T378" i="110"/>
  <c r="U378" i="110"/>
  <c r="W378" i="110"/>
  <c r="X378" i="110"/>
  <c r="Y378" i="110"/>
  <c r="Z378" i="110"/>
  <c r="AC378" i="110"/>
  <c r="AD378" i="110"/>
  <c r="AG378" i="110"/>
  <c r="AH378" i="110"/>
  <c r="AK378" i="110"/>
  <c r="AL378" i="110"/>
  <c r="AM378" i="110"/>
  <c r="AN378" i="110"/>
  <c r="A379" i="110"/>
  <c r="I379" i="110"/>
  <c r="J379" i="110"/>
  <c r="K379" i="110"/>
  <c r="M379" i="110"/>
  <c r="N379" i="110"/>
  <c r="O379" i="110"/>
  <c r="R379" i="110"/>
  <c r="S379" i="110"/>
  <c r="T379" i="110"/>
  <c r="U379" i="110"/>
  <c r="W379" i="110"/>
  <c r="X379" i="110"/>
  <c r="Y379" i="110"/>
  <c r="Z379" i="110"/>
  <c r="AC379" i="110"/>
  <c r="AD379" i="110"/>
  <c r="AG379" i="110"/>
  <c r="AH379" i="110"/>
  <c r="AK379" i="110"/>
  <c r="AL379" i="110"/>
  <c r="AM379" i="110"/>
  <c r="AN379" i="110"/>
  <c r="A380" i="110"/>
  <c r="I380" i="110"/>
  <c r="J380" i="110"/>
  <c r="K380" i="110"/>
  <c r="M380" i="110"/>
  <c r="N380" i="110"/>
  <c r="O380" i="110"/>
  <c r="R380" i="110"/>
  <c r="S380" i="110"/>
  <c r="T380" i="110"/>
  <c r="U380" i="110"/>
  <c r="W380" i="110"/>
  <c r="X380" i="110"/>
  <c r="Y380" i="110"/>
  <c r="Z380" i="110"/>
  <c r="AC380" i="110"/>
  <c r="AD380" i="110"/>
  <c r="AG380" i="110"/>
  <c r="AH380" i="110"/>
  <c r="AK380" i="110"/>
  <c r="AL380" i="110"/>
  <c r="AM380" i="110"/>
  <c r="AN380" i="110"/>
  <c r="A381" i="110"/>
  <c r="I381" i="110"/>
  <c r="J381" i="110"/>
  <c r="K381" i="110"/>
  <c r="M381" i="110"/>
  <c r="N381" i="110"/>
  <c r="O381" i="110"/>
  <c r="R381" i="110"/>
  <c r="S381" i="110"/>
  <c r="T381" i="110"/>
  <c r="U381" i="110"/>
  <c r="W381" i="110"/>
  <c r="X381" i="110"/>
  <c r="Y381" i="110"/>
  <c r="Z381" i="110"/>
  <c r="AC381" i="110"/>
  <c r="AD381" i="110"/>
  <c r="AG381" i="110"/>
  <c r="AH381" i="110"/>
  <c r="AK381" i="110"/>
  <c r="AL381" i="110"/>
  <c r="AM381" i="110"/>
  <c r="AN381" i="110"/>
  <c r="A382" i="110"/>
  <c r="I382" i="110"/>
  <c r="J382" i="110"/>
  <c r="K382" i="110"/>
  <c r="M382" i="110"/>
  <c r="N382" i="110"/>
  <c r="O382" i="110"/>
  <c r="R382" i="110"/>
  <c r="S382" i="110"/>
  <c r="T382" i="110"/>
  <c r="U382" i="110"/>
  <c r="W382" i="110"/>
  <c r="X382" i="110"/>
  <c r="Y382" i="110"/>
  <c r="Z382" i="110"/>
  <c r="AC382" i="110"/>
  <c r="AD382" i="110"/>
  <c r="AG382" i="110"/>
  <c r="AH382" i="110"/>
  <c r="AK382" i="110"/>
  <c r="AL382" i="110"/>
  <c r="AM382" i="110"/>
  <c r="AN382" i="110"/>
  <c r="A383" i="110"/>
  <c r="I383" i="110"/>
  <c r="J383" i="110"/>
  <c r="K383" i="110"/>
  <c r="M383" i="110"/>
  <c r="N383" i="110"/>
  <c r="O383" i="110"/>
  <c r="R383" i="110"/>
  <c r="S383" i="110"/>
  <c r="T383" i="110"/>
  <c r="U383" i="110"/>
  <c r="W383" i="110"/>
  <c r="X383" i="110"/>
  <c r="Y383" i="110"/>
  <c r="Z383" i="110"/>
  <c r="AC383" i="110"/>
  <c r="AD383" i="110"/>
  <c r="AG383" i="110"/>
  <c r="AH383" i="110"/>
  <c r="AK383" i="110"/>
  <c r="AL383" i="110"/>
  <c r="AM383" i="110"/>
  <c r="AN383" i="110"/>
  <c r="A384" i="110"/>
  <c r="I384" i="110"/>
  <c r="J384" i="110"/>
  <c r="K384" i="110"/>
  <c r="M384" i="110"/>
  <c r="N384" i="110"/>
  <c r="O384" i="110"/>
  <c r="R384" i="110"/>
  <c r="S384" i="110"/>
  <c r="T384" i="110"/>
  <c r="U384" i="110"/>
  <c r="W384" i="110"/>
  <c r="X384" i="110"/>
  <c r="Y384" i="110"/>
  <c r="Z384" i="110"/>
  <c r="AC384" i="110"/>
  <c r="AD384" i="110"/>
  <c r="AG384" i="110"/>
  <c r="AH384" i="110"/>
  <c r="AK384" i="110"/>
  <c r="AL384" i="110"/>
  <c r="AM384" i="110"/>
  <c r="AN384" i="110"/>
  <c r="A403" i="110"/>
  <c r="Z403" i="110"/>
  <c r="AB403" i="110"/>
  <c r="AC403" i="110"/>
  <c r="AD403" i="110"/>
  <c r="AG403" i="110"/>
  <c r="AH403" i="110"/>
  <c r="A404" i="110"/>
  <c r="Z404" i="110"/>
  <c r="AB404" i="110"/>
  <c r="AC404" i="110"/>
  <c r="AD404" i="110"/>
  <c r="AG404" i="110"/>
  <c r="AH404" i="110"/>
  <c r="A405" i="110"/>
  <c r="Z405" i="110"/>
  <c r="AB405" i="110"/>
  <c r="AC405" i="110"/>
  <c r="AD405" i="110"/>
  <c r="AG405" i="110"/>
  <c r="AH405" i="110"/>
  <c r="A406" i="110"/>
  <c r="Z406" i="110"/>
  <c r="AB406" i="110"/>
  <c r="AC406" i="110"/>
  <c r="AD406" i="110"/>
  <c r="AG406" i="110"/>
  <c r="AH406" i="110"/>
  <c r="A407" i="110"/>
  <c r="Z407" i="110"/>
  <c r="AB407" i="110"/>
  <c r="AC407" i="110"/>
  <c r="AD407" i="110"/>
  <c r="AG407" i="110"/>
  <c r="AH407" i="110"/>
  <c r="A408" i="110"/>
  <c r="Z408" i="110"/>
  <c r="AB408" i="110"/>
  <c r="AC408" i="110"/>
  <c r="AD408" i="110"/>
  <c r="AG408" i="110"/>
  <c r="AH408" i="110"/>
  <c r="A409" i="110"/>
  <c r="Z409" i="110"/>
  <c r="AB409" i="110"/>
  <c r="AC409" i="110"/>
  <c r="AD409" i="110"/>
  <c r="AG409" i="110"/>
  <c r="AH409" i="110"/>
  <c r="A410" i="110"/>
  <c r="Z410" i="110"/>
  <c r="AB410" i="110"/>
  <c r="AC410" i="110"/>
  <c r="AD410" i="110"/>
  <c r="AG410" i="110"/>
  <c r="AH410" i="110"/>
  <c r="A411" i="110"/>
  <c r="Z411" i="110"/>
  <c r="AB411" i="110"/>
  <c r="AC411" i="110"/>
  <c r="AD411" i="110"/>
  <c r="AG411" i="110"/>
  <c r="AH411" i="110"/>
  <c r="A412" i="110"/>
  <c r="Z412" i="110"/>
  <c r="AB412" i="110"/>
  <c r="AC412" i="110"/>
  <c r="AD412" i="110"/>
  <c r="AG412" i="110"/>
  <c r="AH412" i="110"/>
  <c r="A413" i="110"/>
  <c r="Z413" i="110"/>
  <c r="AB413" i="110"/>
  <c r="AC413" i="110"/>
  <c r="AD413" i="110"/>
  <c r="AG413" i="110"/>
  <c r="AH413" i="110"/>
  <c r="A414" i="110"/>
  <c r="Z414" i="110"/>
  <c r="AB414" i="110"/>
  <c r="AC414" i="110"/>
  <c r="AD414" i="110"/>
  <c r="AG414" i="110"/>
  <c r="AH414" i="110"/>
  <c r="A415" i="110"/>
  <c r="Z415" i="110"/>
  <c r="AB415" i="110"/>
  <c r="AC415" i="110"/>
  <c r="AD415" i="110"/>
  <c r="AG415" i="110"/>
  <c r="AH415" i="110"/>
  <c r="A416" i="110"/>
  <c r="Z416" i="110"/>
  <c r="AB416" i="110"/>
  <c r="AC416" i="110"/>
  <c r="AD416" i="110"/>
  <c r="AG416" i="110"/>
  <c r="AH416" i="110"/>
  <c r="A417" i="110"/>
  <c r="Z417" i="110"/>
  <c r="AB417" i="110"/>
  <c r="AC417" i="110"/>
  <c r="AD417" i="110"/>
  <c r="AG417" i="110"/>
  <c r="AH417" i="110"/>
  <c r="A418" i="110"/>
  <c r="Z418" i="110"/>
  <c r="AB418" i="110"/>
  <c r="AC418" i="110"/>
  <c r="AD418" i="110"/>
  <c r="AG418" i="110"/>
  <c r="AH418" i="110"/>
  <c r="A419" i="110"/>
  <c r="Z419" i="110"/>
  <c r="AB419" i="110"/>
  <c r="AC419" i="110"/>
  <c r="AD419" i="110"/>
  <c r="AG419" i="110"/>
  <c r="AH419" i="110"/>
  <c r="A420" i="110"/>
  <c r="Z420" i="110"/>
  <c r="AB420" i="110"/>
  <c r="AC420" i="110"/>
  <c r="AD420" i="110"/>
  <c r="AG420" i="110"/>
  <c r="AH420" i="110"/>
  <c r="A421" i="110"/>
  <c r="Z421" i="110"/>
  <c r="AB421" i="110"/>
  <c r="AC421" i="110"/>
  <c r="AD421" i="110"/>
  <c r="AG421" i="110"/>
  <c r="AH421" i="110"/>
  <c r="A422" i="110"/>
  <c r="Z422" i="110"/>
  <c r="AB422" i="110"/>
  <c r="AC422" i="110"/>
  <c r="AD422" i="110"/>
  <c r="AG422" i="110"/>
  <c r="AH422" i="110"/>
  <c r="A423" i="110"/>
  <c r="Z423" i="110"/>
  <c r="AB423" i="110"/>
  <c r="AC423" i="110"/>
  <c r="AD423" i="110"/>
  <c r="AG423" i="110"/>
  <c r="AH423" i="110"/>
  <c r="A424" i="110"/>
  <c r="Z424" i="110"/>
  <c r="AB424" i="110"/>
  <c r="AC424" i="110"/>
  <c r="AD424" i="110"/>
  <c r="AG424" i="110"/>
  <c r="AH424" i="110"/>
  <c r="A425" i="110"/>
  <c r="Z425" i="110"/>
  <c r="AB425" i="110"/>
  <c r="AC425" i="110"/>
  <c r="AD425" i="110"/>
  <c r="AG425" i="110"/>
  <c r="AH425" i="110"/>
  <c r="A426" i="110"/>
  <c r="Z426" i="110"/>
  <c r="AB426" i="110"/>
  <c r="AC426" i="110"/>
  <c r="AD426" i="110"/>
  <c r="AG426" i="110"/>
  <c r="AH426" i="110"/>
  <c r="A427" i="110"/>
  <c r="Z427" i="110"/>
  <c r="AB427" i="110"/>
  <c r="AC427" i="110"/>
  <c r="AD427" i="110"/>
  <c r="AG427" i="110"/>
  <c r="AH427" i="110"/>
  <c r="A428" i="110"/>
  <c r="Z428" i="110"/>
  <c r="AB428" i="110"/>
  <c r="AC428" i="110"/>
  <c r="AD428" i="110"/>
  <c r="AG428" i="110"/>
  <c r="AH428" i="110"/>
  <c r="A429" i="110"/>
  <c r="Z429" i="110"/>
  <c r="AB429" i="110"/>
  <c r="AC429" i="110"/>
  <c r="AD429" i="110"/>
  <c r="AG429" i="110"/>
  <c r="AH429" i="110"/>
  <c r="A430" i="110"/>
  <c r="Z430" i="110"/>
  <c r="AB430" i="110"/>
  <c r="AC430" i="110"/>
  <c r="AD430" i="110"/>
  <c r="AG430" i="110"/>
  <c r="AH430" i="110"/>
  <c r="A431" i="110"/>
  <c r="Z431" i="110"/>
  <c r="AB431" i="110"/>
  <c r="AC431" i="110"/>
  <c r="AD431" i="110"/>
  <c r="AG431" i="110"/>
  <c r="AH431" i="110"/>
  <c r="A432" i="110"/>
  <c r="Z432" i="110"/>
  <c r="AB432" i="110"/>
  <c r="AC432" i="110"/>
  <c r="AD432" i="110"/>
  <c r="AG432" i="110"/>
  <c r="AH432" i="110"/>
  <c r="A433" i="110"/>
  <c r="Z433" i="110"/>
  <c r="AB433" i="110"/>
  <c r="AC433" i="110"/>
  <c r="AD433" i="110"/>
  <c r="AG433" i="110"/>
  <c r="AH433" i="110"/>
  <c r="A434" i="110"/>
  <c r="Z434" i="110"/>
  <c r="AG434" i="110"/>
  <c r="AH434" i="110"/>
  <c r="A435" i="110"/>
  <c r="Z435" i="110"/>
  <c r="AG435" i="110"/>
  <c r="AH435" i="110"/>
  <c r="K155" i="110"/>
  <c r="C155" i="110"/>
  <c r="B155" i="110" s="1"/>
  <c r="AV114" i="62"/>
  <c r="O104" i="110" s="1"/>
  <c r="AU114" i="62"/>
  <c r="K104" i="110" s="1"/>
  <c r="AN114" i="62"/>
  <c r="AK114" i="62"/>
  <c r="N104" i="110" s="1"/>
  <c r="AI114" i="62"/>
  <c r="T114" i="62"/>
  <c r="M114" i="62"/>
  <c r="I114" i="62"/>
  <c r="AA104" i="110" s="1"/>
  <c r="A397" i="110"/>
  <c r="Z397" i="110"/>
  <c r="AB397" i="110"/>
  <c r="AC397" i="110"/>
  <c r="AD397" i="110"/>
  <c r="AG397" i="110"/>
  <c r="AH397" i="110"/>
  <c r="A398" i="110"/>
  <c r="Z398" i="110"/>
  <c r="AB398" i="110"/>
  <c r="AC398" i="110"/>
  <c r="AD398" i="110"/>
  <c r="AG398" i="110"/>
  <c r="AH398" i="110"/>
  <c r="A399" i="110"/>
  <c r="Z399" i="110"/>
  <c r="AB399" i="110"/>
  <c r="AC399" i="110"/>
  <c r="AD399" i="110"/>
  <c r="AG399" i="110"/>
  <c r="AH399" i="110"/>
  <c r="A400" i="110"/>
  <c r="Z400" i="110"/>
  <c r="AB400" i="110"/>
  <c r="AC400" i="110"/>
  <c r="AD400" i="110"/>
  <c r="AG400" i="110"/>
  <c r="AH400" i="110"/>
  <c r="A401" i="110"/>
  <c r="Z401" i="110"/>
  <c r="AB401" i="110"/>
  <c r="AC401" i="110"/>
  <c r="AD401" i="110"/>
  <c r="AG401" i="110"/>
  <c r="AH401" i="110"/>
  <c r="A402" i="110"/>
  <c r="Z402" i="110"/>
  <c r="AB402" i="110"/>
  <c r="AC402" i="110"/>
  <c r="AD402" i="110"/>
  <c r="AG402" i="110"/>
  <c r="AH402" i="110"/>
  <c r="A264" i="110"/>
  <c r="G264" i="110"/>
  <c r="M264" i="110"/>
  <c r="Z264" i="110"/>
  <c r="AB264" i="110"/>
  <c r="AO264" i="110" s="1"/>
  <c r="AD264" i="110"/>
  <c r="A155" i="110"/>
  <c r="M155" i="110"/>
  <c r="Z155" i="110"/>
  <c r="AB155" i="110"/>
  <c r="AO155" i="110" s="1"/>
  <c r="A104" i="110"/>
  <c r="G104" i="110"/>
  <c r="Z104" i="110"/>
  <c r="AB104" i="110"/>
  <c r="AO104" i="110" s="1"/>
  <c r="AD104" i="110"/>
  <c r="A53" i="110"/>
  <c r="F53" i="110"/>
  <c r="G53" i="110"/>
  <c r="Z53" i="110"/>
  <c r="AD53" i="110"/>
  <c r="BB20" i="12" l="1"/>
  <c r="P104" i="110"/>
  <c r="R104" i="110"/>
  <c r="C104" i="110" s="1"/>
  <c r="B104" i="110" s="1"/>
  <c r="AZ20" i="12"/>
  <c r="BC20" i="12"/>
  <c r="AW20" i="12"/>
  <c r="BA20" i="12"/>
  <c r="AX20" i="12"/>
  <c r="AY20" i="12"/>
  <c r="W171" i="110"/>
  <c r="N171" i="110"/>
  <c r="O171" i="110"/>
  <c r="R171" i="110"/>
  <c r="L171" i="110" s="1"/>
  <c r="C383" i="110"/>
  <c r="B383" i="110" s="1"/>
  <c r="C381" i="110"/>
  <c r="B381" i="110" s="1"/>
  <c r="C375" i="110"/>
  <c r="B375" i="110" s="1"/>
  <c r="C369" i="110"/>
  <c r="B369" i="110" s="1"/>
  <c r="C367" i="110"/>
  <c r="B367" i="110" s="1"/>
  <c r="C377" i="110"/>
  <c r="B377" i="110" s="1"/>
  <c r="C374" i="110"/>
  <c r="B374" i="110" s="1"/>
  <c r="C379" i="110"/>
  <c r="B379" i="110" s="1"/>
  <c r="C370" i="110"/>
  <c r="B370" i="110" s="1"/>
  <c r="C380" i="110"/>
  <c r="B380" i="110" s="1"/>
  <c r="C376" i="110"/>
  <c r="B376" i="110" s="1"/>
  <c r="C371" i="110"/>
  <c r="B371" i="110" s="1"/>
  <c r="C384" i="110"/>
  <c r="B384" i="110" s="1"/>
  <c r="C378" i="110"/>
  <c r="B378" i="110" s="1"/>
  <c r="C373" i="110"/>
  <c r="B373" i="110" s="1"/>
  <c r="C368" i="110"/>
  <c r="B368" i="110" s="1"/>
  <c r="C382" i="110"/>
  <c r="B382" i="110" s="1"/>
  <c r="C372" i="110"/>
  <c r="B372" i="110" s="1"/>
  <c r="C366" i="110"/>
  <c r="B366" i="110" s="1"/>
  <c r="AK433" i="110"/>
  <c r="W104" i="110"/>
  <c r="AK20" i="12" l="1"/>
  <c r="C171" i="110"/>
  <c r="B171" i="110" s="1"/>
  <c r="AK94" i="64"/>
  <c r="AU20" i="12" l="1"/>
  <c r="AN20" i="12" s="1"/>
  <c r="AV20" i="12"/>
  <c r="AK24" i="69"/>
  <c r="AX24" i="69"/>
  <c r="I433" i="110"/>
  <c r="N433" i="110"/>
  <c r="T433" i="110"/>
  <c r="AN433" i="110"/>
  <c r="K433" i="110"/>
  <c r="R433" i="110"/>
  <c r="W433" i="110"/>
  <c r="AL433" i="110"/>
  <c r="S433" i="110"/>
  <c r="J433" i="110"/>
  <c r="U433" i="110"/>
  <c r="AM433" i="110"/>
  <c r="M433" i="110"/>
  <c r="O433" i="110"/>
  <c r="Q6" i="110" l="1"/>
  <c r="H6" i="110"/>
  <c r="C433" i="110"/>
  <c r="B433" i="110" s="1"/>
  <c r="Q104" i="12"/>
  <c r="Y48" i="110" s="1"/>
  <c r="P47" i="3"/>
  <c r="P45" i="3"/>
  <c r="BE20" i="12" l="1"/>
  <c r="AX211" i="104"/>
  <c r="AW211" i="104"/>
  <c r="Z361" i="110" l="1"/>
  <c r="AX32" i="117" l="1"/>
  <c r="AB200" i="110"/>
  <c r="AB201" i="110"/>
  <c r="AB202" i="110"/>
  <c r="AB203" i="110"/>
  <c r="AB204" i="110"/>
  <c r="AB205" i="110"/>
  <c r="AB206" i="110"/>
  <c r="AB207" i="110"/>
  <c r="AA200" i="110"/>
  <c r="AA201" i="110"/>
  <c r="AA202" i="110"/>
  <c r="AA203" i="110"/>
  <c r="AA204" i="110"/>
  <c r="AA205" i="110"/>
  <c r="AA206" i="110"/>
  <c r="AA207" i="110"/>
  <c r="AX16" i="117"/>
  <c r="P18" i="117" l="1"/>
  <c r="P20" i="117"/>
  <c r="P22" i="117"/>
  <c r="P24" i="117"/>
  <c r="P26" i="117"/>
  <c r="P28" i="117"/>
  <c r="P30" i="117"/>
  <c r="P32" i="117"/>
  <c r="T18" i="117"/>
  <c r="T20" i="117"/>
  <c r="T22" i="117"/>
  <c r="T24" i="117"/>
  <c r="T26" i="117"/>
  <c r="T28" i="117"/>
  <c r="T30" i="117"/>
  <c r="T32" i="117"/>
  <c r="AY30" i="117"/>
  <c r="AO30" i="117" s="1"/>
  <c r="H206" i="110" s="1"/>
  <c r="AI32" i="117"/>
  <c r="AO32" i="117"/>
  <c r="H207" i="110" s="1"/>
  <c r="K200" i="110"/>
  <c r="K201" i="110"/>
  <c r="K202" i="110"/>
  <c r="K203" i="110"/>
  <c r="K204" i="110"/>
  <c r="K205" i="110"/>
  <c r="K206" i="110"/>
  <c r="AU32" i="117"/>
  <c r="K207" i="110" s="1"/>
  <c r="A198" i="110"/>
  <c r="A173" i="110"/>
  <c r="AO200" i="110"/>
  <c r="AO201" i="110"/>
  <c r="AO202" i="110"/>
  <c r="AO203" i="110"/>
  <c r="AO204" i="110"/>
  <c r="AO205" i="110"/>
  <c r="AO206" i="110"/>
  <c r="AO207" i="110"/>
  <c r="I200" i="110"/>
  <c r="J200" i="110"/>
  <c r="I201" i="110"/>
  <c r="J201" i="110"/>
  <c r="I202" i="110"/>
  <c r="J202" i="110"/>
  <c r="I203" i="110"/>
  <c r="J203" i="110"/>
  <c r="I204" i="110"/>
  <c r="J204" i="110"/>
  <c r="I205" i="110"/>
  <c r="J205" i="110"/>
  <c r="I206" i="110"/>
  <c r="J206" i="110"/>
  <c r="I207" i="110"/>
  <c r="J207" i="110"/>
  <c r="M200" i="110"/>
  <c r="M201" i="110"/>
  <c r="M202" i="110"/>
  <c r="M203" i="110"/>
  <c r="M204" i="110"/>
  <c r="M205" i="110"/>
  <c r="M206" i="110"/>
  <c r="M207" i="110"/>
  <c r="AA199" i="110"/>
  <c r="AE32" i="117"/>
  <c r="AB199" i="110"/>
  <c r="AO199" i="110" s="1"/>
  <c r="AD200" i="110"/>
  <c r="AD201" i="110"/>
  <c r="AD202" i="110"/>
  <c r="AD203" i="110"/>
  <c r="AD204" i="110"/>
  <c r="AD205" i="110"/>
  <c r="AD206" i="110"/>
  <c r="AD207" i="110"/>
  <c r="AD199" i="110"/>
  <c r="M199" i="110"/>
  <c r="J199" i="110"/>
  <c r="I199" i="110"/>
  <c r="Z200" i="110"/>
  <c r="Z201" i="110"/>
  <c r="Z202" i="110"/>
  <c r="Z203" i="110"/>
  <c r="Z204" i="110"/>
  <c r="Z205" i="110"/>
  <c r="Z206" i="110"/>
  <c r="Z207" i="110"/>
  <c r="Z199" i="110"/>
  <c r="A207" i="110"/>
  <c r="A206" i="110"/>
  <c r="A205" i="110"/>
  <c r="A204" i="110"/>
  <c r="A203" i="110"/>
  <c r="A202" i="110"/>
  <c r="A201" i="110"/>
  <c r="A200" i="110"/>
  <c r="A199" i="110"/>
  <c r="A214" i="110"/>
  <c r="BE32" i="117" l="1"/>
  <c r="BE30" i="117"/>
  <c r="BE20" i="117"/>
  <c r="BE18" i="117"/>
  <c r="BC30" i="117"/>
  <c r="BC22" i="117"/>
  <c r="AV22" i="117" s="1"/>
  <c r="AK22" i="117" s="1"/>
  <c r="AY22" i="117" s="1"/>
  <c r="AO22" i="117" s="1"/>
  <c r="H202" i="110" s="1"/>
  <c r="BC32" i="117"/>
  <c r="W207" i="110" s="1"/>
  <c r="AN32" i="117"/>
  <c r="BC28" i="117"/>
  <c r="AV28" i="117" s="1"/>
  <c r="BC20" i="117"/>
  <c r="BC18" i="117"/>
  <c r="AK18" i="117" s="1"/>
  <c r="BC24" i="117"/>
  <c r="AV24" i="117" s="1"/>
  <c r="BC26" i="117"/>
  <c r="AV26" i="117" s="1"/>
  <c r="R206" i="110"/>
  <c r="O207" i="110"/>
  <c r="R207" i="110"/>
  <c r="AY32" i="117"/>
  <c r="N207" i="110"/>
  <c r="N202" i="110" l="1"/>
  <c r="BE22" i="117"/>
  <c r="AK28" i="117"/>
  <c r="AK26" i="117"/>
  <c r="AK24" i="117"/>
  <c r="AY18" i="117"/>
  <c r="AO18" i="117" s="1"/>
  <c r="H200" i="110" s="1"/>
  <c r="C206" i="110"/>
  <c r="B206" i="110" s="1"/>
  <c r="L206" i="110"/>
  <c r="C207" i="110"/>
  <c r="B207" i="110" s="1"/>
  <c r="L207" i="110"/>
  <c r="W206" i="110"/>
  <c r="O206" i="110"/>
  <c r="N206" i="110"/>
  <c r="R202" i="110"/>
  <c r="W202" i="110"/>
  <c r="O202" i="110"/>
  <c r="AY28" i="117" l="1"/>
  <c r="AO28" i="117" s="1"/>
  <c r="BE28" i="117" s="1"/>
  <c r="AY26" i="117"/>
  <c r="AO26" i="117" s="1"/>
  <c r="BE26" i="117" s="1"/>
  <c r="AY24" i="117"/>
  <c r="AO24" i="117" s="1"/>
  <c r="BE24" i="117" s="1"/>
  <c r="C202" i="110"/>
  <c r="B202" i="110" s="1"/>
  <c r="L202" i="110"/>
  <c r="AK20" i="117"/>
  <c r="AY20" i="117" s="1"/>
  <c r="AO20" i="117" s="1"/>
  <c r="H201" i="110" s="1"/>
  <c r="R200" i="110"/>
  <c r="AU16" i="117"/>
  <c r="K199" i="110" s="1"/>
  <c r="AE16" i="117"/>
  <c r="T16" i="117"/>
  <c r="AI16" i="117"/>
  <c r="P16" i="117"/>
  <c r="R9" i="117"/>
  <c r="H205" i="110" l="1"/>
  <c r="O205" i="110"/>
  <c r="R205" i="110"/>
  <c r="N205" i="110"/>
  <c r="W205" i="110"/>
  <c r="BE16" i="117"/>
  <c r="H204" i="110"/>
  <c r="N204" i="110"/>
  <c r="W204" i="110"/>
  <c r="O204" i="110"/>
  <c r="R204" i="110"/>
  <c r="H203" i="110"/>
  <c r="W203" i="110"/>
  <c r="N203" i="110"/>
  <c r="O203" i="110"/>
  <c r="R203" i="110"/>
  <c r="C200" i="110"/>
  <c r="B200" i="110" s="1"/>
  <c r="L200" i="110"/>
  <c r="N201" i="110"/>
  <c r="W201" i="110"/>
  <c r="O201" i="110"/>
  <c r="R201" i="110"/>
  <c r="AN16" i="117"/>
  <c r="BC16" i="117"/>
  <c r="AK16" i="117" s="1"/>
  <c r="C44" i="117" l="1"/>
  <c r="J44" i="117" s="1"/>
  <c r="V44" i="117" s="1"/>
  <c r="M213" i="110" s="1"/>
  <c r="C205" i="110"/>
  <c r="B205" i="110" s="1"/>
  <c r="L205" i="110"/>
  <c r="C204" i="110"/>
  <c r="B204" i="110" s="1"/>
  <c r="L204" i="110"/>
  <c r="C203" i="110"/>
  <c r="B203" i="110" s="1"/>
  <c r="L203" i="110"/>
  <c r="C201" i="110"/>
  <c r="B201" i="110" s="1"/>
  <c r="L201" i="110"/>
  <c r="AY16" i="117"/>
  <c r="O200" i="110"/>
  <c r="W200" i="110"/>
  <c r="N200" i="110"/>
  <c r="AB213" i="110" l="1"/>
  <c r="AO213" i="110" s="1"/>
  <c r="P44" i="117"/>
  <c r="AZ44" i="117"/>
  <c r="AO44" i="117" s="1"/>
  <c r="AF12" i="117" s="1"/>
  <c r="AA213" i="110"/>
  <c r="AR202" i="117"/>
  <c r="W202" i="117"/>
  <c r="AR201" i="117"/>
  <c r="B201" i="117"/>
  <c r="M200" i="117"/>
  <c r="B200" i="117"/>
  <c r="AV6" i="117"/>
  <c r="AV200" i="117" l="1"/>
  <c r="AW200" i="117"/>
  <c r="G33" i="3" s="1"/>
  <c r="AX200" i="117"/>
  <c r="AU200" i="117"/>
  <c r="V12" i="117" s="1"/>
  <c r="I33" i="3" s="1"/>
  <c r="AO16" i="117"/>
  <c r="Z12" i="117" s="1"/>
  <c r="AK18" i="113"/>
  <c r="AK20" i="113"/>
  <c r="AK22" i="113"/>
  <c r="AK24" i="113"/>
  <c r="AK26" i="113"/>
  <c r="AK28" i="113"/>
  <c r="AK30" i="113"/>
  <c r="AK32" i="113"/>
  <c r="AK34" i="113"/>
  <c r="AK16" i="113"/>
  <c r="AK18" i="65"/>
  <c r="AK20" i="65"/>
  <c r="AK22" i="65"/>
  <c r="AK24" i="65"/>
  <c r="AK26" i="65"/>
  <c r="AK28" i="65"/>
  <c r="AK30" i="65"/>
  <c r="AK32" i="65"/>
  <c r="AK34" i="65"/>
  <c r="AK16" i="65"/>
  <c r="H199" i="110" l="1"/>
  <c r="R12" i="117"/>
  <c r="J33" i="3" s="1"/>
  <c r="P33" i="3"/>
  <c r="W213" i="110"/>
  <c r="R213" i="110"/>
  <c r="C213" i="110" s="1"/>
  <c r="B213" i="110" s="1"/>
  <c r="F33" i="3"/>
  <c r="O199" i="110"/>
  <c r="N199" i="110"/>
  <c r="W199" i="110"/>
  <c r="R199" i="110"/>
  <c r="AY200" i="117"/>
  <c r="C199" i="110" l="1"/>
  <c r="B199" i="110" s="1"/>
  <c r="L199" i="110"/>
  <c r="Y310" i="110"/>
  <c r="Y311" i="110"/>
  <c r="Y312" i="110"/>
  <c r="Y313" i="110"/>
  <c r="Y314" i="110"/>
  <c r="Y309" i="110"/>
  <c r="B202" i="78" l="1"/>
  <c r="B202" i="79"/>
  <c r="AR202" i="116" l="1"/>
  <c r="W202" i="116"/>
  <c r="B201" i="116"/>
  <c r="M200" i="116"/>
  <c r="B200" i="116"/>
  <c r="AR202" i="115"/>
  <c r="W202" i="115"/>
  <c r="B201" i="115"/>
  <c r="M200" i="115"/>
  <c r="B200" i="115"/>
  <c r="O16" i="13"/>
  <c r="BH16" i="13" s="1"/>
  <c r="I267" i="110"/>
  <c r="J267" i="110"/>
  <c r="I268" i="110"/>
  <c r="J268" i="110"/>
  <c r="I269" i="110"/>
  <c r="J269" i="110"/>
  <c r="I270" i="110"/>
  <c r="J270" i="110"/>
  <c r="I271" i="110"/>
  <c r="J271" i="110"/>
  <c r="I272" i="110"/>
  <c r="J272" i="110"/>
  <c r="I273" i="110"/>
  <c r="J273" i="110"/>
  <c r="I274" i="110"/>
  <c r="J274" i="110"/>
  <c r="I275" i="110"/>
  <c r="J275" i="110"/>
  <c r="I276" i="110"/>
  <c r="J276" i="110"/>
  <c r="K276" i="110"/>
  <c r="I277" i="110"/>
  <c r="J277" i="110"/>
  <c r="K277" i="110"/>
  <c r="I278" i="110"/>
  <c r="J278" i="110"/>
  <c r="K278" i="110"/>
  <c r="I279" i="110"/>
  <c r="J279" i="110"/>
  <c r="K279" i="110"/>
  <c r="I280" i="110"/>
  <c r="J280" i="110"/>
  <c r="K280" i="110"/>
  <c r="J266" i="110"/>
  <c r="I266" i="110"/>
  <c r="I175" i="110"/>
  <c r="J175" i="110"/>
  <c r="I176" i="110"/>
  <c r="J176" i="110"/>
  <c r="I177" i="110"/>
  <c r="J177" i="110"/>
  <c r="I178" i="110"/>
  <c r="J178" i="110"/>
  <c r="I179" i="110"/>
  <c r="J179" i="110"/>
  <c r="I180" i="110"/>
  <c r="J180" i="110"/>
  <c r="I181" i="110"/>
  <c r="J181" i="110"/>
  <c r="I182" i="110"/>
  <c r="J182" i="110"/>
  <c r="I183" i="110"/>
  <c r="J183" i="110"/>
  <c r="I186" i="110"/>
  <c r="J186" i="110"/>
  <c r="J174" i="110"/>
  <c r="I174" i="110"/>
  <c r="J5" i="110"/>
  <c r="J6" i="110"/>
  <c r="J7" i="110"/>
  <c r="J8" i="110"/>
  <c r="J9" i="110"/>
  <c r="J10" i="110"/>
  <c r="J11" i="110"/>
  <c r="J12" i="110"/>
  <c r="J13" i="110"/>
  <c r="J14" i="110"/>
  <c r="J15" i="110"/>
  <c r="J16" i="110"/>
  <c r="J17" i="110"/>
  <c r="J18" i="110"/>
  <c r="J19" i="110"/>
  <c r="J20" i="110"/>
  <c r="J21" i="110"/>
  <c r="J22" i="110"/>
  <c r="J23" i="110"/>
  <c r="J24" i="110"/>
  <c r="J25" i="110"/>
  <c r="J26" i="110"/>
  <c r="J27" i="110"/>
  <c r="J28" i="110"/>
  <c r="J29" i="110"/>
  <c r="J30" i="110"/>
  <c r="J31" i="110"/>
  <c r="J32" i="110"/>
  <c r="J33" i="110"/>
  <c r="J34" i="110"/>
  <c r="J35" i="110"/>
  <c r="J36" i="110"/>
  <c r="J37" i="110"/>
  <c r="J38" i="110"/>
  <c r="J39" i="110"/>
  <c r="J40" i="110"/>
  <c r="J41" i="110"/>
  <c r="J42" i="110"/>
  <c r="J43" i="110"/>
  <c r="J44" i="110"/>
  <c r="J45" i="110"/>
  <c r="J46" i="110"/>
  <c r="J47" i="110"/>
  <c r="J48" i="110"/>
  <c r="J49" i="110"/>
  <c r="J50" i="110"/>
  <c r="J4" i="110"/>
  <c r="I4" i="110"/>
  <c r="A438" i="110"/>
  <c r="Z438" i="110"/>
  <c r="AB438" i="110"/>
  <c r="AC438" i="110"/>
  <c r="AD438" i="110"/>
  <c r="AI438" i="110"/>
  <c r="AJ438" i="110"/>
  <c r="A439" i="110"/>
  <c r="Z439" i="110"/>
  <c r="AB439" i="110"/>
  <c r="AC439" i="110"/>
  <c r="AD439" i="110"/>
  <c r="AI439" i="110"/>
  <c r="AJ439" i="110"/>
  <c r="A440" i="110"/>
  <c r="Z440" i="110"/>
  <c r="AB440" i="110"/>
  <c r="AC440" i="110"/>
  <c r="AD440" i="110"/>
  <c r="AI440" i="110"/>
  <c r="AJ440" i="110"/>
  <c r="A441" i="110"/>
  <c r="Z441" i="110"/>
  <c r="AB441" i="110"/>
  <c r="AC441" i="110"/>
  <c r="AD441" i="110"/>
  <c r="AI441" i="110"/>
  <c r="AJ441" i="110"/>
  <c r="A442" i="110"/>
  <c r="Z442" i="110"/>
  <c r="AB442" i="110"/>
  <c r="AC442" i="110"/>
  <c r="AD442" i="110"/>
  <c r="AI442" i="110"/>
  <c r="AJ442" i="110"/>
  <c r="A443" i="110"/>
  <c r="Z443" i="110"/>
  <c r="AB443" i="110"/>
  <c r="AC443" i="110"/>
  <c r="AD443" i="110"/>
  <c r="AI443" i="110"/>
  <c r="AJ443" i="110"/>
  <c r="A444" i="110"/>
  <c r="Z444" i="110"/>
  <c r="AB444" i="110"/>
  <c r="AC444" i="110"/>
  <c r="AD444" i="110"/>
  <c r="AI444" i="110"/>
  <c r="AJ444" i="110"/>
  <c r="A445" i="110"/>
  <c r="Z445" i="110"/>
  <c r="AB445" i="110"/>
  <c r="AC445" i="110"/>
  <c r="AD445" i="110"/>
  <c r="AI445" i="110"/>
  <c r="AJ445" i="110"/>
  <c r="A446" i="110"/>
  <c r="Z446" i="110"/>
  <c r="AB446" i="110"/>
  <c r="AC446" i="110"/>
  <c r="AD446" i="110"/>
  <c r="AI446" i="110"/>
  <c r="AJ446" i="110"/>
  <c r="A447" i="110"/>
  <c r="Z447" i="110"/>
  <c r="AB447" i="110"/>
  <c r="AC447" i="110"/>
  <c r="AD447" i="110"/>
  <c r="AI447" i="110"/>
  <c r="AJ447" i="110"/>
  <c r="A448" i="110"/>
  <c r="Z448" i="110"/>
  <c r="AB448" i="110"/>
  <c r="AC448" i="110"/>
  <c r="AD448" i="110"/>
  <c r="AI448" i="110"/>
  <c r="AJ448" i="110"/>
  <c r="A449" i="110"/>
  <c r="Z449" i="110"/>
  <c r="AB449" i="110"/>
  <c r="AC449" i="110"/>
  <c r="AD449" i="110"/>
  <c r="AI449" i="110"/>
  <c r="AJ449" i="110"/>
  <c r="A450" i="110"/>
  <c r="Z450" i="110"/>
  <c r="AB450" i="110"/>
  <c r="AC450" i="110"/>
  <c r="AD450" i="110"/>
  <c r="AI450" i="110"/>
  <c r="AJ450" i="110"/>
  <c r="A451" i="110"/>
  <c r="Z451" i="110"/>
  <c r="AB451" i="110"/>
  <c r="AC451" i="110"/>
  <c r="AD451" i="110"/>
  <c r="AI451" i="110"/>
  <c r="AJ451" i="110"/>
  <c r="A452" i="110"/>
  <c r="Z452" i="110"/>
  <c r="AB452" i="110"/>
  <c r="AC452" i="110"/>
  <c r="AD452" i="110"/>
  <c r="AI452" i="110"/>
  <c r="AJ452" i="110"/>
  <c r="A453" i="110"/>
  <c r="Z453" i="110"/>
  <c r="AB453" i="110"/>
  <c r="AC453" i="110"/>
  <c r="AD453" i="110"/>
  <c r="AI453" i="110"/>
  <c r="AJ453" i="110"/>
  <c r="A454" i="110"/>
  <c r="Z454" i="110"/>
  <c r="AB454" i="110"/>
  <c r="AC454" i="110"/>
  <c r="AD454" i="110"/>
  <c r="AI454" i="110"/>
  <c r="AJ454" i="110"/>
  <c r="A455" i="110"/>
  <c r="Z455" i="110"/>
  <c r="AB455" i="110"/>
  <c r="AC455" i="110"/>
  <c r="AD455" i="110"/>
  <c r="AI455" i="110"/>
  <c r="AJ455" i="110"/>
  <c r="A456" i="110"/>
  <c r="Z456" i="110"/>
  <c r="AB456" i="110"/>
  <c r="AC456" i="110"/>
  <c r="AD456" i="110"/>
  <c r="AI456" i="110"/>
  <c r="AJ456" i="110"/>
  <c r="A457" i="110"/>
  <c r="Z457" i="110"/>
  <c r="AB457" i="110"/>
  <c r="AC457" i="110"/>
  <c r="AD457" i="110"/>
  <c r="AI457" i="110"/>
  <c r="AJ457" i="110"/>
  <c r="A458" i="110"/>
  <c r="Z458" i="110"/>
  <c r="AB458" i="110"/>
  <c r="AC458" i="110"/>
  <c r="AD458" i="110"/>
  <c r="AI458" i="110"/>
  <c r="AJ458" i="110"/>
  <c r="A459" i="110"/>
  <c r="Z459" i="110"/>
  <c r="AB459" i="110"/>
  <c r="AC459" i="110"/>
  <c r="AD459" i="110"/>
  <c r="AI459" i="110"/>
  <c r="AJ459" i="110"/>
  <c r="A460" i="110"/>
  <c r="Z460" i="110"/>
  <c r="AB460" i="110"/>
  <c r="AC460" i="110"/>
  <c r="AD460" i="110"/>
  <c r="AI460" i="110"/>
  <c r="AJ460" i="110"/>
  <c r="A461" i="110"/>
  <c r="Z461" i="110"/>
  <c r="AB461" i="110"/>
  <c r="AC461" i="110"/>
  <c r="AD461" i="110"/>
  <c r="AI461" i="110"/>
  <c r="AJ461" i="110"/>
  <c r="A462" i="110"/>
  <c r="Z462" i="110"/>
  <c r="AB462" i="110"/>
  <c r="AC462" i="110"/>
  <c r="AD462" i="110"/>
  <c r="AI462" i="110"/>
  <c r="AJ462" i="110"/>
  <c r="A463" i="110"/>
  <c r="Z463" i="110"/>
  <c r="AB463" i="110"/>
  <c r="AC463" i="110"/>
  <c r="AD463" i="110"/>
  <c r="AI463" i="110"/>
  <c r="AJ463" i="110"/>
  <c r="A464" i="110"/>
  <c r="Z464" i="110"/>
  <c r="AB464" i="110"/>
  <c r="AC464" i="110"/>
  <c r="AD464" i="110"/>
  <c r="AI464" i="110"/>
  <c r="AJ464" i="110"/>
  <c r="A465" i="110"/>
  <c r="Z465" i="110"/>
  <c r="AB465" i="110"/>
  <c r="AC465" i="110"/>
  <c r="AD465" i="110"/>
  <c r="AI465" i="110"/>
  <c r="AJ465" i="110"/>
  <c r="A466" i="110"/>
  <c r="Z466" i="110"/>
  <c r="AB466" i="110"/>
  <c r="AC466" i="110"/>
  <c r="AD466" i="110"/>
  <c r="AI466" i="110"/>
  <c r="AJ466" i="110"/>
  <c r="A467" i="110"/>
  <c r="Z467" i="110"/>
  <c r="AB467" i="110"/>
  <c r="AC467" i="110"/>
  <c r="AD467" i="110"/>
  <c r="AI467" i="110"/>
  <c r="AJ467" i="110"/>
  <c r="A468" i="110"/>
  <c r="Z468" i="110"/>
  <c r="AB468" i="110"/>
  <c r="AC468" i="110"/>
  <c r="AD468" i="110"/>
  <c r="AI468" i="110"/>
  <c r="AJ468" i="110"/>
  <c r="A469" i="110"/>
  <c r="Z469" i="110"/>
  <c r="AB469" i="110"/>
  <c r="AC469" i="110"/>
  <c r="AD469" i="110"/>
  <c r="AI469" i="110"/>
  <c r="AJ469" i="110"/>
  <c r="A470" i="110"/>
  <c r="Z470" i="110"/>
  <c r="AB470" i="110"/>
  <c r="AC470" i="110"/>
  <c r="AD470" i="110"/>
  <c r="AI470" i="110"/>
  <c r="AJ470" i="110"/>
  <c r="A471" i="110"/>
  <c r="Z471" i="110"/>
  <c r="AB471" i="110"/>
  <c r="AC471" i="110"/>
  <c r="AD471" i="110"/>
  <c r="AI471" i="110"/>
  <c r="AJ471" i="110"/>
  <c r="A472" i="110"/>
  <c r="Z472" i="110"/>
  <c r="AB472" i="110"/>
  <c r="AC472" i="110"/>
  <c r="AD472" i="110"/>
  <c r="AI472" i="110"/>
  <c r="AJ472" i="110"/>
  <c r="A387" i="110"/>
  <c r="Z387" i="110"/>
  <c r="AB387" i="110"/>
  <c r="AC387" i="110"/>
  <c r="AD387" i="110"/>
  <c r="AG387" i="110"/>
  <c r="AH387" i="110"/>
  <c r="A388" i="110"/>
  <c r="Z388" i="110"/>
  <c r="AB388" i="110"/>
  <c r="AC388" i="110"/>
  <c r="AD388" i="110"/>
  <c r="AG388" i="110"/>
  <c r="AH388" i="110"/>
  <c r="A389" i="110"/>
  <c r="Z389" i="110"/>
  <c r="AB389" i="110"/>
  <c r="AC389" i="110"/>
  <c r="AD389" i="110"/>
  <c r="AG389" i="110"/>
  <c r="AH389" i="110"/>
  <c r="A390" i="110"/>
  <c r="Z390" i="110"/>
  <c r="AB390" i="110"/>
  <c r="AC390" i="110"/>
  <c r="AD390" i="110"/>
  <c r="AG390" i="110"/>
  <c r="AH390" i="110"/>
  <c r="A391" i="110"/>
  <c r="Z391" i="110"/>
  <c r="AB391" i="110"/>
  <c r="AC391" i="110"/>
  <c r="AD391" i="110"/>
  <c r="AG391" i="110"/>
  <c r="AH391" i="110"/>
  <c r="A392" i="110"/>
  <c r="Z392" i="110"/>
  <c r="AB392" i="110"/>
  <c r="AC392" i="110"/>
  <c r="AD392" i="110"/>
  <c r="AG392" i="110"/>
  <c r="AH392" i="110"/>
  <c r="A393" i="110"/>
  <c r="Z393" i="110"/>
  <c r="AB393" i="110"/>
  <c r="AC393" i="110"/>
  <c r="AD393" i="110"/>
  <c r="AG393" i="110"/>
  <c r="AH393" i="110"/>
  <c r="A394" i="110"/>
  <c r="Z394" i="110"/>
  <c r="AB394" i="110"/>
  <c r="AC394" i="110"/>
  <c r="AD394" i="110"/>
  <c r="AG394" i="110"/>
  <c r="AH394" i="110"/>
  <c r="A395" i="110"/>
  <c r="Z395" i="110"/>
  <c r="AB395" i="110"/>
  <c r="AC395" i="110"/>
  <c r="AD395" i="110"/>
  <c r="AG395" i="110"/>
  <c r="AH395" i="110"/>
  <c r="A396" i="110"/>
  <c r="Z396" i="110"/>
  <c r="AB396" i="110"/>
  <c r="AC396" i="110"/>
  <c r="AD396" i="110"/>
  <c r="AG396" i="110"/>
  <c r="AH396" i="110"/>
  <c r="A216" i="110"/>
  <c r="G216" i="110"/>
  <c r="M216" i="110"/>
  <c r="Z216" i="110"/>
  <c r="AB216" i="110"/>
  <c r="AO216" i="110" s="1"/>
  <c r="AD216" i="110"/>
  <c r="A217" i="110"/>
  <c r="G217" i="110"/>
  <c r="M217" i="110"/>
  <c r="Z217" i="110"/>
  <c r="AB217" i="110"/>
  <c r="AO217" i="110" s="1"/>
  <c r="AD217" i="110"/>
  <c r="A218" i="110"/>
  <c r="G218" i="110"/>
  <c r="M218" i="110"/>
  <c r="Z218" i="110"/>
  <c r="AB218" i="110"/>
  <c r="AO218" i="110" s="1"/>
  <c r="AD218" i="110"/>
  <c r="A219" i="110"/>
  <c r="G219" i="110"/>
  <c r="M219" i="110"/>
  <c r="Z219" i="110"/>
  <c r="AB219" i="110"/>
  <c r="AO219" i="110" s="1"/>
  <c r="AD219" i="110"/>
  <c r="A220" i="110"/>
  <c r="G220" i="110"/>
  <c r="M220" i="110"/>
  <c r="Z220" i="110"/>
  <c r="AB220" i="110"/>
  <c r="AO220" i="110" s="1"/>
  <c r="AD220" i="110"/>
  <c r="A221" i="110"/>
  <c r="G221" i="110"/>
  <c r="M221" i="110"/>
  <c r="Z221" i="110"/>
  <c r="AB221" i="110"/>
  <c r="AO221" i="110" s="1"/>
  <c r="AD221" i="110"/>
  <c r="A222" i="110"/>
  <c r="G222" i="110"/>
  <c r="M222" i="110"/>
  <c r="Z222" i="110"/>
  <c r="AB222" i="110"/>
  <c r="AO222" i="110" s="1"/>
  <c r="AD222" i="110"/>
  <c r="A223" i="110"/>
  <c r="G223" i="110"/>
  <c r="M223" i="110"/>
  <c r="Z223" i="110"/>
  <c r="AB223" i="110"/>
  <c r="AO223" i="110" s="1"/>
  <c r="AD223" i="110"/>
  <c r="A224" i="110"/>
  <c r="G224" i="110"/>
  <c r="M224" i="110"/>
  <c r="Z224" i="110"/>
  <c r="AB224" i="110"/>
  <c r="AO224" i="110" s="1"/>
  <c r="AD224" i="110"/>
  <c r="A225" i="110"/>
  <c r="G225" i="110"/>
  <c r="M225" i="110"/>
  <c r="Z225" i="110"/>
  <c r="AB225" i="110"/>
  <c r="AO225" i="110" s="1"/>
  <c r="AD225" i="110"/>
  <c r="A226" i="110"/>
  <c r="G226" i="110"/>
  <c r="M226" i="110"/>
  <c r="Z226" i="110"/>
  <c r="AB226" i="110"/>
  <c r="AO226" i="110" s="1"/>
  <c r="AD226" i="110"/>
  <c r="A227" i="110"/>
  <c r="G227" i="110"/>
  <c r="M227" i="110"/>
  <c r="Z227" i="110"/>
  <c r="AB227" i="110"/>
  <c r="AO227" i="110" s="1"/>
  <c r="AD227" i="110"/>
  <c r="A228" i="110"/>
  <c r="G228" i="110"/>
  <c r="M228" i="110"/>
  <c r="Z228" i="110"/>
  <c r="AB228" i="110"/>
  <c r="AO228" i="110" s="1"/>
  <c r="AD228" i="110"/>
  <c r="A229" i="110"/>
  <c r="G229" i="110"/>
  <c r="M229" i="110"/>
  <c r="Z229" i="110"/>
  <c r="AB229" i="110"/>
  <c r="AO229" i="110" s="1"/>
  <c r="AD229" i="110"/>
  <c r="A230" i="110"/>
  <c r="G230" i="110"/>
  <c r="M230" i="110"/>
  <c r="Z230" i="110"/>
  <c r="AB230" i="110"/>
  <c r="AO230" i="110" s="1"/>
  <c r="AD230" i="110"/>
  <c r="A231" i="110"/>
  <c r="G231" i="110"/>
  <c r="M231" i="110"/>
  <c r="Z231" i="110"/>
  <c r="AB231" i="110"/>
  <c r="AO231" i="110" s="1"/>
  <c r="AD231" i="110"/>
  <c r="A232" i="110"/>
  <c r="G232" i="110"/>
  <c r="M232" i="110"/>
  <c r="Z232" i="110"/>
  <c r="AB232" i="110"/>
  <c r="AO232" i="110" s="1"/>
  <c r="AD232" i="110"/>
  <c r="A233" i="110"/>
  <c r="G233" i="110"/>
  <c r="M233" i="110"/>
  <c r="Z233" i="110"/>
  <c r="AB233" i="110"/>
  <c r="AO233" i="110" s="1"/>
  <c r="AD233" i="110"/>
  <c r="A234" i="110"/>
  <c r="G234" i="110"/>
  <c r="M234" i="110"/>
  <c r="Z234" i="110"/>
  <c r="AB234" i="110"/>
  <c r="AO234" i="110" s="1"/>
  <c r="AD234" i="110"/>
  <c r="A235" i="110"/>
  <c r="G235" i="110"/>
  <c r="M235" i="110"/>
  <c r="Z235" i="110"/>
  <c r="AB235" i="110"/>
  <c r="AO235" i="110" s="1"/>
  <c r="AD235" i="110"/>
  <c r="A236" i="110"/>
  <c r="G236" i="110"/>
  <c r="M236" i="110"/>
  <c r="Z236" i="110"/>
  <c r="AB236" i="110"/>
  <c r="AO236" i="110" s="1"/>
  <c r="AD236" i="110"/>
  <c r="A237" i="110"/>
  <c r="G237" i="110"/>
  <c r="M237" i="110"/>
  <c r="Z237" i="110"/>
  <c r="AB237" i="110"/>
  <c r="AO237" i="110" s="1"/>
  <c r="AD237" i="110"/>
  <c r="A238" i="110"/>
  <c r="G238" i="110"/>
  <c r="M238" i="110"/>
  <c r="Z238" i="110"/>
  <c r="AB238" i="110"/>
  <c r="AO238" i="110" s="1"/>
  <c r="AD238" i="110"/>
  <c r="A239" i="110"/>
  <c r="G239" i="110"/>
  <c r="M239" i="110"/>
  <c r="Z239" i="110"/>
  <c r="AB239" i="110"/>
  <c r="AO239" i="110" s="1"/>
  <c r="AD239" i="110"/>
  <c r="A241" i="110"/>
  <c r="G241" i="110"/>
  <c r="M241" i="110"/>
  <c r="Z241" i="110"/>
  <c r="AB241" i="110"/>
  <c r="AO241" i="110" s="1"/>
  <c r="AD241" i="110"/>
  <c r="A242" i="110"/>
  <c r="G242" i="110"/>
  <c r="M242" i="110"/>
  <c r="Z242" i="110"/>
  <c r="AB242" i="110"/>
  <c r="AO242" i="110" s="1"/>
  <c r="AD242" i="110"/>
  <c r="A243" i="110"/>
  <c r="G243" i="110"/>
  <c r="M243" i="110"/>
  <c r="Z243" i="110"/>
  <c r="AB243" i="110"/>
  <c r="AO243" i="110" s="1"/>
  <c r="AD243" i="110"/>
  <c r="A244" i="110"/>
  <c r="G244" i="110"/>
  <c r="M244" i="110"/>
  <c r="Z244" i="110"/>
  <c r="AB244" i="110"/>
  <c r="AO244" i="110" s="1"/>
  <c r="AD244" i="110"/>
  <c r="A245" i="110"/>
  <c r="G245" i="110"/>
  <c r="M245" i="110"/>
  <c r="Z245" i="110"/>
  <c r="AB245" i="110"/>
  <c r="AO245" i="110" s="1"/>
  <c r="AD245" i="110"/>
  <c r="A246" i="110"/>
  <c r="G246" i="110"/>
  <c r="M246" i="110"/>
  <c r="Z246" i="110"/>
  <c r="AB246" i="110"/>
  <c r="AO246" i="110" s="1"/>
  <c r="AD246" i="110"/>
  <c r="A247" i="110"/>
  <c r="G247" i="110"/>
  <c r="M247" i="110"/>
  <c r="Z247" i="110"/>
  <c r="AB247" i="110"/>
  <c r="AO247" i="110" s="1"/>
  <c r="AD247" i="110"/>
  <c r="A248" i="110"/>
  <c r="G248" i="110"/>
  <c r="M248" i="110"/>
  <c r="Z248" i="110"/>
  <c r="AB248" i="110"/>
  <c r="AO248" i="110" s="1"/>
  <c r="AD248" i="110"/>
  <c r="A249" i="110"/>
  <c r="G249" i="110"/>
  <c r="M249" i="110"/>
  <c r="Z249" i="110"/>
  <c r="AB249" i="110"/>
  <c r="AO249" i="110" s="1"/>
  <c r="AD249" i="110"/>
  <c r="A250" i="110"/>
  <c r="G250" i="110"/>
  <c r="M250" i="110"/>
  <c r="Z250" i="110"/>
  <c r="AB250" i="110"/>
  <c r="AO250" i="110" s="1"/>
  <c r="AD250" i="110"/>
  <c r="A107" i="110"/>
  <c r="Z107" i="110"/>
  <c r="AB107" i="110"/>
  <c r="A108" i="110"/>
  <c r="Z108" i="110"/>
  <c r="AB108" i="110"/>
  <c r="A109" i="110"/>
  <c r="M109" i="110"/>
  <c r="Z109" i="110"/>
  <c r="AB109" i="110"/>
  <c r="A110" i="110"/>
  <c r="M110" i="110"/>
  <c r="Z110" i="110"/>
  <c r="AB110" i="110"/>
  <c r="A111" i="110"/>
  <c r="M111" i="110"/>
  <c r="Z111" i="110"/>
  <c r="AB111" i="110"/>
  <c r="A112" i="110"/>
  <c r="M112" i="110"/>
  <c r="Z112" i="110"/>
  <c r="AB112" i="110"/>
  <c r="A113" i="110"/>
  <c r="M113" i="110"/>
  <c r="Z113" i="110"/>
  <c r="AB113" i="110"/>
  <c r="A114" i="110"/>
  <c r="M114" i="110"/>
  <c r="Z114" i="110"/>
  <c r="AB114" i="110"/>
  <c r="A115" i="110"/>
  <c r="M115" i="110"/>
  <c r="Z115" i="110"/>
  <c r="AB115" i="110"/>
  <c r="AO115" i="110" s="1"/>
  <c r="A116" i="110"/>
  <c r="M116" i="110"/>
  <c r="Z116" i="110"/>
  <c r="AB116" i="110"/>
  <c r="AO116" i="110" s="1"/>
  <c r="A117" i="110"/>
  <c r="M117" i="110"/>
  <c r="Z117" i="110"/>
  <c r="AB117" i="110"/>
  <c r="AO117" i="110" s="1"/>
  <c r="A118" i="110"/>
  <c r="M118" i="110"/>
  <c r="Z118" i="110"/>
  <c r="AB118" i="110"/>
  <c r="AO118" i="110" s="1"/>
  <c r="A119" i="110"/>
  <c r="M119" i="110"/>
  <c r="Z119" i="110"/>
  <c r="AB119" i="110"/>
  <c r="AO119" i="110" s="1"/>
  <c r="A120" i="110"/>
  <c r="M120" i="110"/>
  <c r="Z120" i="110"/>
  <c r="AB120" i="110"/>
  <c r="AO120" i="110" s="1"/>
  <c r="A121" i="110"/>
  <c r="M121" i="110"/>
  <c r="Z121" i="110"/>
  <c r="AB121" i="110"/>
  <c r="AO121" i="110" s="1"/>
  <c r="A122" i="110"/>
  <c r="M122" i="110"/>
  <c r="Z122" i="110"/>
  <c r="AB122" i="110"/>
  <c r="AO122" i="110" s="1"/>
  <c r="A123" i="110"/>
  <c r="M123" i="110"/>
  <c r="Z123" i="110"/>
  <c r="AB123" i="110"/>
  <c r="AO123" i="110" s="1"/>
  <c r="A124" i="110"/>
  <c r="M124" i="110"/>
  <c r="Z124" i="110"/>
  <c r="AB124" i="110"/>
  <c r="AO124" i="110" s="1"/>
  <c r="A125" i="110"/>
  <c r="M125" i="110"/>
  <c r="Z125" i="110"/>
  <c r="AB125" i="110"/>
  <c r="AO125" i="110" s="1"/>
  <c r="A126" i="110"/>
  <c r="M126" i="110"/>
  <c r="Z126" i="110"/>
  <c r="AB126" i="110"/>
  <c r="AO126" i="110" s="1"/>
  <c r="A127" i="110"/>
  <c r="M127" i="110"/>
  <c r="Z127" i="110"/>
  <c r="AB127" i="110"/>
  <c r="AO127" i="110" s="1"/>
  <c r="A128" i="110"/>
  <c r="M128" i="110"/>
  <c r="Z128" i="110"/>
  <c r="AB128" i="110"/>
  <c r="AO128" i="110" s="1"/>
  <c r="A129" i="110"/>
  <c r="M129" i="110"/>
  <c r="Z129" i="110"/>
  <c r="AB129" i="110"/>
  <c r="AO129" i="110" s="1"/>
  <c r="A130" i="110"/>
  <c r="M130" i="110"/>
  <c r="Z130" i="110"/>
  <c r="AB130" i="110"/>
  <c r="AO130" i="110" s="1"/>
  <c r="A131" i="110"/>
  <c r="M131" i="110"/>
  <c r="Z131" i="110"/>
  <c r="AB131" i="110"/>
  <c r="AO131" i="110" s="1"/>
  <c r="A132" i="110"/>
  <c r="M132" i="110"/>
  <c r="Z132" i="110"/>
  <c r="AB132" i="110"/>
  <c r="AO132" i="110" s="1"/>
  <c r="A133" i="110"/>
  <c r="M133" i="110"/>
  <c r="Z133" i="110"/>
  <c r="AB133" i="110"/>
  <c r="AO133" i="110" s="1"/>
  <c r="A134" i="110"/>
  <c r="M134" i="110"/>
  <c r="Z134" i="110"/>
  <c r="AB134" i="110"/>
  <c r="AO134" i="110" s="1"/>
  <c r="A135" i="110"/>
  <c r="M135" i="110"/>
  <c r="Z135" i="110"/>
  <c r="AB135" i="110"/>
  <c r="AO135" i="110" s="1"/>
  <c r="A136" i="110"/>
  <c r="M136" i="110"/>
  <c r="Z136" i="110"/>
  <c r="AB136" i="110"/>
  <c r="AO136" i="110" s="1"/>
  <c r="A137" i="110"/>
  <c r="M137" i="110"/>
  <c r="Z137" i="110"/>
  <c r="AB137" i="110"/>
  <c r="AO137" i="110" s="1"/>
  <c r="A138" i="110"/>
  <c r="M138" i="110"/>
  <c r="Z138" i="110"/>
  <c r="AB138" i="110"/>
  <c r="AO138" i="110" s="1"/>
  <c r="A139" i="110"/>
  <c r="M139" i="110"/>
  <c r="Z139" i="110"/>
  <c r="AB139" i="110"/>
  <c r="AO139" i="110" s="1"/>
  <c r="A140" i="110"/>
  <c r="M140" i="110"/>
  <c r="Z140" i="110"/>
  <c r="AB140" i="110"/>
  <c r="AO140" i="110" s="1"/>
  <c r="A141" i="110"/>
  <c r="M141" i="110"/>
  <c r="Z141" i="110"/>
  <c r="AB141" i="110"/>
  <c r="AO141" i="110" s="1"/>
  <c r="A56" i="110"/>
  <c r="G56" i="110"/>
  <c r="Z56" i="110"/>
  <c r="AB56" i="110"/>
  <c r="AO56" i="110" s="1"/>
  <c r="AD56" i="110"/>
  <c r="A57" i="110"/>
  <c r="G57" i="110"/>
  <c r="Z57" i="110"/>
  <c r="AB57" i="110"/>
  <c r="AO57" i="110" s="1"/>
  <c r="AD57" i="110"/>
  <c r="A58" i="110"/>
  <c r="G58" i="110"/>
  <c r="Z58" i="110"/>
  <c r="AB58" i="110"/>
  <c r="AO58" i="110" s="1"/>
  <c r="AD58" i="110"/>
  <c r="A59" i="110"/>
  <c r="G59" i="110"/>
  <c r="Z59" i="110"/>
  <c r="AB59" i="110"/>
  <c r="AO59" i="110" s="1"/>
  <c r="AD59" i="110"/>
  <c r="A60" i="110"/>
  <c r="G60" i="110"/>
  <c r="Z60" i="110"/>
  <c r="AB60" i="110"/>
  <c r="AO60" i="110" s="1"/>
  <c r="AD60" i="110"/>
  <c r="A61" i="110"/>
  <c r="G61" i="110"/>
  <c r="Z61" i="110"/>
  <c r="AB61" i="110"/>
  <c r="AO61" i="110" s="1"/>
  <c r="AD61" i="110"/>
  <c r="A62" i="110"/>
  <c r="G62" i="110"/>
  <c r="Z62" i="110"/>
  <c r="AB62" i="110"/>
  <c r="AO62" i="110" s="1"/>
  <c r="AD62" i="110"/>
  <c r="A63" i="110"/>
  <c r="G63" i="110"/>
  <c r="Z63" i="110"/>
  <c r="AB63" i="110"/>
  <c r="AO63" i="110" s="1"/>
  <c r="AD63" i="110"/>
  <c r="A64" i="110"/>
  <c r="G64" i="110"/>
  <c r="Z64" i="110"/>
  <c r="AB64" i="110"/>
  <c r="AO64" i="110" s="1"/>
  <c r="AD64" i="110"/>
  <c r="A65" i="110"/>
  <c r="G65" i="110"/>
  <c r="Z65" i="110"/>
  <c r="AB65" i="110"/>
  <c r="AO65" i="110" s="1"/>
  <c r="AD65" i="110"/>
  <c r="A66" i="110"/>
  <c r="G66" i="110"/>
  <c r="Z66" i="110"/>
  <c r="AB66" i="110"/>
  <c r="AO66" i="110" s="1"/>
  <c r="AD66" i="110"/>
  <c r="A67" i="110"/>
  <c r="G67" i="110"/>
  <c r="Z67" i="110"/>
  <c r="AB67" i="110"/>
  <c r="AO67" i="110" s="1"/>
  <c r="AD67" i="110"/>
  <c r="A68" i="110"/>
  <c r="G68" i="110"/>
  <c r="Z68" i="110"/>
  <c r="AB68" i="110"/>
  <c r="AO68" i="110" s="1"/>
  <c r="AD68" i="110"/>
  <c r="A69" i="110"/>
  <c r="G69" i="110"/>
  <c r="Z69" i="110"/>
  <c r="AB69" i="110"/>
  <c r="AO69" i="110" s="1"/>
  <c r="AD69" i="110"/>
  <c r="A70" i="110"/>
  <c r="G70" i="110"/>
  <c r="Z70" i="110"/>
  <c r="AB70" i="110"/>
  <c r="AO70" i="110" s="1"/>
  <c r="AD70" i="110"/>
  <c r="A71" i="110"/>
  <c r="G71" i="110"/>
  <c r="Z71" i="110"/>
  <c r="AB71" i="110"/>
  <c r="AO71" i="110" s="1"/>
  <c r="AD71" i="110"/>
  <c r="A72" i="110"/>
  <c r="G72" i="110"/>
  <c r="Z72" i="110"/>
  <c r="AB72" i="110"/>
  <c r="AO72" i="110" s="1"/>
  <c r="AD72" i="110"/>
  <c r="A73" i="110"/>
  <c r="G73" i="110"/>
  <c r="Z73" i="110"/>
  <c r="AB73" i="110"/>
  <c r="AO73" i="110" s="1"/>
  <c r="AD73" i="110"/>
  <c r="A74" i="110"/>
  <c r="G74" i="110"/>
  <c r="Z74" i="110"/>
  <c r="AD74" i="110"/>
  <c r="A75" i="110"/>
  <c r="G75" i="110"/>
  <c r="Z75" i="110"/>
  <c r="AB75" i="110"/>
  <c r="AO75" i="110" s="1"/>
  <c r="AD75" i="110"/>
  <c r="A76" i="110"/>
  <c r="G76" i="110"/>
  <c r="Z76" i="110"/>
  <c r="AB76" i="110"/>
  <c r="AO76" i="110" s="1"/>
  <c r="AD76" i="110"/>
  <c r="A77" i="110"/>
  <c r="G77" i="110"/>
  <c r="Z77" i="110"/>
  <c r="AB77" i="110"/>
  <c r="AO77" i="110" s="1"/>
  <c r="AD77" i="110"/>
  <c r="A78" i="110"/>
  <c r="G78" i="110"/>
  <c r="Z78" i="110"/>
  <c r="AB78" i="110"/>
  <c r="AO78" i="110" s="1"/>
  <c r="AD78" i="110"/>
  <c r="A79" i="110"/>
  <c r="G79" i="110"/>
  <c r="Z79" i="110"/>
  <c r="AB79" i="110"/>
  <c r="AO79" i="110" s="1"/>
  <c r="AD79" i="110"/>
  <c r="A80" i="110"/>
  <c r="G80" i="110"/>
  <c r="Z80" i="110"/>
  <c r="AB80" i="110"/>
  <c r="AO80" i="110" s="1"/>
  <c r="AD80" i="110"/>
  <c r="A81" i="110"/>
  <c r="G81" i="110"/>
  <c r="Z81" i="110"/>
  <c r="AB81" i="110"/>
  <c r="AO81" i="110" s="1"/>
  <c r="AD81" i="110"/>
  <c r="A82" i="110"/>
  <c r="G82" i="110"/>
  <c r="Z82" i="110"/>
  <c r="AB82" i="110"/>
  <c r="AO82" i="110" s="1"/>
  <c r="AD82" i="110"/>
  <c r="A83" i="110"/>
  <c r="G83" i="110"/>
  <c r="Z83" i="110"/>
  <c r="AB83" i="110"/>
  <c r="AO83" i="110" s="1"/>
  <c r="AD83" i="110"/>
  <c r="A84" i="110"/>
  <c r="G84" i="110"/>
  <c r="Z84" i="110"/>
  <c r="AB84" i="110"/>
  <c r="AO84" i="110" s="1"/>
  <c r="AD84" i="110"/>
  <c r="A85" i="110"/>
  <c r="G85" i="110"/>
  <c r="Z85" i="110"/>
  <c r="AB85" i="110"/>
  <c r="AO85" i="110" s="1"/>
  <c r="AD85" i="110"/>
  <c r="A86" i="110"/>
  <c r="G86" i="110"/>
  <c r="Z86" i="110"/>
  <c r="AB86" i="110"/>
  <c r="AO86" i="110" s="1"/>
  <c r="AD86" i="110"/>
  <c r="A87" i="110"/>
  <c r="G87" i="110"/>
  <c r="Z87" i="110"/>
  <c r="AB87" i="110"/>
  <c r="AO87" i="110" s="1"/>
  <c r="AD87" i="110"/>
  <c r="A88" i="110"/>
  <c r="G88" i="110"/>
  <c r="Z88" i="110"/>
  <c r="AB88" i="110"/>
  <c r="AO88" i="110" s="1"/>
  <c r="AD88" i="110"/>
  <c r="A89" i="110"/>
  <c r="G89" i="110"/>
  <c r="Z89" i="110"/>
  <c r="AB89" i="110"/>
  <c r="AO89" i="110" s="1"/>
  <c r="AD89" i="110"/>
  <c r="A90" i="110"/>
  <c r="G90" i="110"/>
  <c r="Z90" i="110"/>
  <c r="AB90" i="110"/>
  <c r="AO90" i="110" s="1"/>
  <c r="AD90" i="110"/>
  <c r="A22" i="110"/>
  <c r="F22" i="110"/>
  <c r="G22" i="110"/>
  <c r="M22" i="110"/>
  <c r="Z22" i="110"/>
  <c r="AA22" i="110"/>
  <c r="AB22" i="110"/>
  <c r="AO22" i="110" s="1"/>
  <c r="AD22" i="110"/>
  <c r="A23" i="110"/>
  <c r="F23" i="110"/>
  <c r="G23" i="110"/>
  <c r="M23" i="110"/>
  <c r="Z23" i="110"/>
  <c r="AA23" i="110"/>
  <c r="AB23" i="110"/>
  <c r="AO23" i="110" s="1"/>
  <c r="AD23" i="110"/>
  <c r="A24" i="110"/>
  <c r="F24" i="110"/>
  <c r="G24" i="110"/>
  <c r="M24" i="110"/>
  <c r="Z24" i="110"/>
  <c r="AA24" i="110"/>
  <c r="AB24" i="110"/>
  <c r="AO24" i="110" s="1"/>
  <c r="AD24" i="110"/>
  <c r="A25" i="110"/>
  <c r="F25" i="110"/>
  <c r="G25" i="110"/>
  <c r="M25" i="110"/>
  <c r="Z25" i="110"/>
  <c r="AA25" i="110"/>
  <c r="AB25" i="110"/>
  <c r="AO25" i="110" s="1"/>
  <c r="AD25" i="110"/>
  <c r="A26" i="110"/>
  <c r="F26" i="110"/>
  <c r="G26" i="110"/>
  <c r="M26" i="110"/>
  <c r="Z26" i="110"/>
  <c r="AA26" i="110"/>
  <c r="AB26" i="110"/>
  <c r="AO26" i="110" s="1"/>
  <c r="AD26" i="110"/>
  <c r="A27" i="110"/>
  <c r="F27" i="110"/>
  <c r="G27" i="110"/>
  <c r="M27" i="110"/>
  <c r="Z27" i="110"/>
  <c r="AA27" i="110"/>
  <c r="AB27" i="110"/>
  <c r="AO27" i="110" s="1"/>
  <c r="AD27" i="110"/>
  <c r="A28" i="110"/>
  <c r="F28" i="110"/>
  <c r="G28" i="110"/>
  <c r="M28" i="110"/>
  <c r="Z28" i="110"/>
  <c r="AA28" i="110"/>
  <c r="AB28" i="110"/>
  <c r="AO28" i="110" s="1"/>
  <c r="AD28" i="110"/>
  <c r="A29" i="110"/>
  <c r="F29" i="110"/>
  <c r="G29" i="110"/>
  <c r="M29" i="110"/>
  <c r="Z29" i="110"/>
  <c r="AA29" i="110"/>
  <c r="AB29" i="110"/>
  <c r="AO29" i="110" s="1"/>
  <c r="AD29" i="110"/>
  <c r="A30" i="110"/>
  <c r="F30" i="110"/>
  <c r="G30" i="110"/>
  <c r="M30" i="110"/>
  <c r="Z30" i="110"/>
  <c r="AA30" i="110"/>
  <c r="AB30" i="110"/>
  <c r="AO30" i="110" s="1"/>
  <c r="AD30" i="110"/>
  <c r="A31" i="110"/>
  <c r="F31" i="110"/>
  <c r="G31" i="110"/>
  <c r="M31" i="110"/>
  <c r="Z31" i="110"/>
  <c r="AA31" i="110"/>
  <c r="AB31" i="110"/>
  <c r="AO31" i="110" s="1"/>
  <c r="AD31" i="110"/>
  <c r="A32" i="110"/>
  <c r="F32" i="110"/>
  <c r="G32" i="110"/>
  <c r="M32" i="110"/>
  <c r="Z32" i="110"/>
  <c r="AA32" i="110"/>
  <c r="AB32" i="110"/>
  <c r="AO32" i="110" s="1"/>
  <c r="AD32" i="110"/>
  <c r="A33" i="110"/>
  <c r="F33" i="110"/>
  <c r="G33" i="110"/>
  <c r="M33" i="110"/>
  <c r="Z33" i="110"/>
  <c r="AA33" i="110"/>
  <c r="AB33" i="110"/>
  <c r="AO33" i="110" s="1"/>
  <c r="AD33" i="110"/>
  <c r="A34" i="110"/>
  <c r="F34" i="110"/>
  <c r="G34" i="110"/>
  <c r="M34" i="110"/>
  <c r="Z34" i="110"/>
  <c r="AA34" i="110"/>
  <c r="AB34" i="110"/>
  <c r="AO34" i="110" s="1"/>
  <c r="AD34" i="110"/>
  <c r="A35" i="110"/>
  <c r="F35" i="110"/>
  <c r="G35" i="110"/>
  <c r="M35" i="110"/>
  <c r="Z35" i="110"/>
  <c r="AA35" i="110"/>
  <c r="AB35" i="110"/>
  <c r="AO35" i="110" s="1"/>
  <c r="AD35" i="110"/>
  <c r="A36" i="110"/>
  <c r="F36" i="110"/>
  <c r="G36" i="110"/>
  <c r="M36" i="110"/>
  <c r="Z36" i="110"/>
  <c r="AA36" i="110"/>
  <c r="AB36" i="110"/>
  <c r="AO36" i="110" s="1"/>
  <c r="AD36" i="110"/>
  <c r="A37" i="110"/>
  <c r="F37" i="110"/>
  <c r="G37" i="110"/>
  <c r="M37" i="110"/>
  <c r="Z37" i="110"/>
  <c r="AA37" i="110"/>
  <c r="AB37" i="110"/>
  <c r="AO37" i="110" s="1"/>
  <c r="AD37" i="110"/>
  <c r="AU36" i="69"/>
  <c r="BB36" i="69"/>
  <c r="BE36" i="69"/>
  <c r="AU38" i="69"/>
  <c r="BB38" i="69"/>
  <c r="BE38" i="69"/>
  <c r="AU40" i="69"/>
  <c r="BB40" i="69"/>
  <c r="BE40" i="69"/>
  <c r="AU42" i="69"/>
  <c r="BB42" i="69"/>
  <c r="BE42" i="69"/>
  <c r="AU44" i="69"/>
  <c r="BB44" i="69"/>
  <c r="BE44" i="69"/>
  <c r="AU46" i="69"/>
  <c r="BB46" i="69"/>
  <c r="BE46" i="69"/>
  <c r="AU48" i="69"/>
  <c r="BB48" i="69"/>
  <c r="BE48" i="69"/>
  <c r="AU50" i="69"/>
  <c r="BB50" i="69"/>
  <c r="BE50" i="69"/>
  <c r="AU52" i="69"/>
  <c r="BB52" i="69"/>
  <c r="BE52" i="69"/>
  <c r="AU54" i="69"/>
  <c r="BB54" i="69"/>
  <c r="BE54" i="69"/>
  <c r="AU56" i="69"/>
  <c r="BB56" i="69"/>
  <c r="BE56" i="69"/>
  <c r="AU58" i="69"/>
  <c r="BB58" i="69"/>
  <c r="BE58" i="69"/>
  <c r="AU60" i="69"/>
  <c r="BB60" i="69"/>
  <c r="BE60" i="69"/>
  <c r="AU62" i="69"/>
  <c r="BB62" i="69"/>
  <c r="BE62" i="69"/>
  <c r="AU64" i="69"/>
  <c r="BB64" i="69"/>
  <c r="BE64" i="69"/>
  <c r="AU66" i="69"/>
  <c r="BB66" i="69"/>
  <c r="BE66" i="69"/>
  <c r="AU68" i="69"/>
  <c r="BB68" i="69"/>
  <c r="BE68" i="69"/>
  <c r="AU70" i="69"/>
  <c r="BB70" i="69"/>
  <c r="BE70" i="69"/>
  <c r="AU72" i="69"/>
  <c r="BB72" i="69"/>
  <c r="BE72" i="69"/>
  <c r="AU74" i="69"/>
  <c r="BB74" i="69"/>
  <c r="BE74" i="69"/>
  <c r="AU76" i="69"/>
  <c r="BB76" i="69"/>
  <c r="BE76" i="69"/>
  <c r="AU78" i="69"/>
  <c r="BB78" i="69"/>
  <c r="BE78" i="69"/>
  <c r="AU80" i="69"/>
  <c r="BB80" i="69"/>
  <c r="BE80" i="69"/>
  <c r="AU82" i="69"/>
  <c r="BB82" i="69"/>
  <c r="BE82" i="69"/>
  <c r="AU84" i="69"/>
  <c r="BB84" i="69"/>
  <c r="BE84" i="69"/>
  <c r="AU86" i="69"/>
  <c r="BB86" i="69"/>
  <c r="BE86" i="69"/>
  <c r="AU88" i="69"/>
  <c r="BB88" i="69"/>
  <c r="BE88" i="69"/>
  <c r="AU90" i="69"/>
  <c r="BB90" i="69"/>
  <c r="BE90" i="69"/>
  <c r="AU92" i="69"/>
  <c r="BB92" i="69"/>
  <c r="BE92" i="69"/>
  <c r="AU94" i="69"/>
  <c r="BB94" i="69"/>
  <c r="BE94" i="69"/>
  <c r="AU96" i="69"/>
  <c r="BB96" i="69"/>
  <c r="BE96" i="69"/>
  <c r="AU98" i="69"/>
  <c r="BB98" i="69"/>
  <c r="BE98" i="69"/>
  <c r="AU100" i="69"/>
  <c r="BB100" i="69"/>
  <c r="BE100" i="69"/>
  <c r="AU102" i="69"/>
  <c r="BB102" i="69"/>
  <c r="BE102" i="69"/>
  <c r="AU104" i="69"/>
  <c r="BB104" i="69"/>
  <c r="BE104" i="69"/>
  <c r="AU106" i="69"/>
  <c r="BB106" i="69"/>
  <c r="BE106" i="69"/>
  <c r="AU108" i="69"/>
  <c r="BB108" i="69"/>
  <c r="BE108" i="69"/>
  <c r="AB36" i="69"/>
  <c r="AB38" i="69"/>
  <c r="AB40" i="69"/>
  <c r="AB42" i="69"/>
  <c r="AB44" i="69"/>
  <c r="AB46" i="69"/>
  <c r="AB48" i="69"/>
  <c r="AB50" i="69"/>
  <c r="AB52" i="69"/>
  <c r="AB54" i="69"/>
  <c r="AB56" i="69"/>
  <c r="AB58" i="69"/>
  <c r="AB60" i="69"/>
  <c r="AB62" i="69"/>
  <c r="AB64" i="69"/>
  <c r="AB66" i="69"/>
  <c r="AB68" i="69"/>
  <c r="AB70" i="69"/>
  <c r="AB72" i="69"/>
  <c r="AB74" i="69"/>
  <c r="AB76" i="69"/>
  <c r="AB78" i="69"/>
  <c r="AB80" i="69"/>
  <c r="AB82" i="69"/>
  <c r="AB84" i="69"/>
  <c r="AB86" i="69"/>
  <c r="AB88" i="69"/>
  <c r="AB90" i="69"/>
  <c r="AB92" i="69"/>
  <c r="AB94" i="69"/>
  <c r="AB96" i="69"/>
  <c r="AB98" i="69"/>
  <c r="AB100" i="69"/>
  <c r="AB102" i="69"/>
  <c r="AB104" i="69"/>
  <c r="AB106" i="69"/>
  <c r="AB108" i="69"/>
  <c r="AU34" i="71"/>
  <c r="BA34" i="71"/>
  <c r="AU36" i="71"/>
  <c r="BA36" i="71"/>
  <c r="BD36" i="71"/>
  <c r="AU38" i="71"/>
  <c r="BA38" i="71"/>
  <c r="BD38" i="71"/>
  <c r="AU40" i="71"/>
  <c r="BA40" i="71"/>
  <c r="BD40" i="71"/>
  <c r="AU42" i="71"/>
  <c r="BA42" i="71"/>
  <c r="BD42" i="71"/>
  <c r="AU44" i="71"/>
  <c r="BA44" i="71"/>
  <c r="BD44" i="71"/>
  <c r="AU46" i="71"/>
  <c r="BA46" i="71"/>
  <c r="BD46" i="71"/>
  <c r="AU48" i="71"/>
  <c r="BA48" i="71"/>
  <c r="BD48" i="71"/>
  <c r="AU50" i="71"/>
  <c r="BA50" i="71"/>
  <c r="BD50" i="71"/>
  <c r="AU52" i="71"/>
  <c r="BA52" i="71"/>
  <c r="BD52" i="71"/>
  <c r="AU54" i="71"/>
  <c r="BA54" i="71"/>
  <c r="BD54" i="71"/>
  <c r="AU56" i="71"/>
  <c r="BA56" i="71"/>
  <c r="BD56" i="71"/>
  <c r="AU58" i="71"/>
  <c r="BA58" i="71"/>
  <c r="BD58" i="71"/>
  <c r="AU60" i="71"/>
  <c r="BA60" i="71"/>
  <c r="BD60" i="71"/>
  <c r="AU62" i="71"/>
  <c r="BA62" i="71"/>
  <c r="BD62" i="71"/>
  <c r="AU64" i="71"/>
  <c r="BA64" i="71"/>
  <c r="BD64" i="71"/>
  <c r="AU66" i="71"/>
  <c r="BA66" i="71"/>
  <c r="BD66" i="71"/>
  <c r="AU68" i="71"/>
  <c r="BA68" i="71"/>
  <c r="BD68" i="71"/>
  <c r="AU70" i="71"/>
  <c r="BA70" i="71"/>
  <c r="BD70" i="71"/>
  <c r="AU72" i="71"/>
  <c r="BA72" i="71"/>
  <c r="BD72" i="71"/>
  <c r="AU74" i="71"/>
  <c r="BA74" i="71"/>
  <c r="BD74" i="71"/>
  <c r="AU76" i="71"/>
  <c r="BA76" i="71"/>
  <c r="BD76" i="71"/>
  <c r="AU78" i="71"/>
  <c r="BA78" i="71"/>
  <c r="BD78" i="71"/>
  <c r="AU80" i="71"/>
  <c r="BA80" i="71"/>
  <c r="BD80" i="71"/>
  <c r="AU82" i="71"/>
  <c r="BA82" i="71"/>
  <c r="BD82" i="71"/>
  <c r="AU84" i="71"/>
  <c r="BA84" i="71"/>
  <c r="BD84" i="71"/>
  <c r="AU86" i="71"/>
  <c r="BA86" i="71"/>
  <c r="BD86" i="71"/>
  <c r="AU88" i="71"/>
  <c r="BA88" i="71"/>
  <c r="BD88" i="71"/>
  <c r="AU90" i="71"/>
  <c r="BA90" i="71"/>
  <c r="BD90" i="71"/>
  <c r="AU92" i="71"/>
  <c r="BA92" i="71"/>
  <c r="BD92" i="71"/>
  <c r="AU94" i="71"/>
  <c r="BA94" i="71"/>
  <c r="BD94" i="71"/>
  <c r="AU96" i="71"/>
  <c r="BA96" i="71"/>
  <c r="BD96" i="71"/>
  <c r="AU98" i="71"/>
  <c r="BA98" i="71"/>
  <c r="BD98" i="71"/>
  <c r="AU100" i="71"/>
  <c r="BA100" i="71"/>
  <c r="BD100" i="71"/>
  <c r="AU102" i="71"/>
  <c r="BA102" i="71"/>
  <c r="BD102" i="71"/>
  <c r="AU104" i="71"/>
  <c r="BA104" i="71"/>
  <c r="BD104" i="71"/>
  <c r="AU106" i="71"/>
  <c r="BA106" i="71"/>
  <c r="BD106" i="71"/>
  <c r="AU108" i="71"/>
  <c r="BA108" i="71"/>
  <c r="BD108" i="71"/>
  <c r="AU110" i="71"/>
  <c r="BA110" i="71"/>
  <c r="BD110" i="71"/>
  <c r="AU112" i="71"/>
  <c r="BA112" i="71"/>
  <c r="BD112" i="71"/>
  <c r="AU114" i="71"/>
  <c r="BA114" i="71"/>
  <c r="BD114" i="71"/>
  <c r="AB34" i="71"/>
  <c r="AB36" i="71"/>
  <c r="AB38" i="71"/>
  <c r="AB40" i="71"/>
  <c r="AB42" i="71"/>
  <c r="AB44" i="71"/>
  <c r="AF44" i="71" s="1"/>
  <c r="AB46" i="71"/>
  <c r="AB48" i="71"/>
  <c r="AB50" i="71"/>
  <c r="AF50" i="71" s="1"/>
  <c r="AB52" i="71"/>
  <c r="AF52" i="71" s="1"/>
  <c r="AH52" i="71" s="1"/>
  <c r="AB54" i="71"/>
  <c r="AB56" i="71"/>
  <c r="AB58" i="71"/>
  <c r="AB60" i="71"/>
  <c r="AF60" i="71" s="1"/>
  <c r="AB62" i="71"/>
  <c r="AB64" i="71"/>
  <c r="AB66" i="71"/>
  <c r="AB68" i="71"/>
  <c r="AF68" i="71"/>
  <c r="AK68" i="71" s="1"/>
  <c r="AB70" i="71"/>
  <c r="AB72" i="71"/>
  <c r="AB74" i="71"/>
  <c r="AF74" i="71"/>
  <c r="AB76" i="71"/>
  <c r="AF76" i="71"/>
  <c r="AB78" i="71"/>
  <c r="AB80" i="71"/>
  <c r="AB82" i="71"/>
  <c r="AB84" i="71"/>
  <c r="AF84" i="71" s="1"/>
  <c r="AB86" i="71"/>
  <c r="AB88" i="71"/>
  <c r="AB90" i="71"/>
  <c r="AF90" i="71"/>
  <c r="AB92" i="71"/>
  <c r="AF92" i="71"/>
  <c r="AH92" i="71" s="1"/>
  <c r="AB94" i="71"/>
  <c r="AB96" i="71"/>
  <c r="AF96" i="71"/>
  <c r="AB98" i="71"/>
  <c r="AB100" i="71"/>
  <c r="AB102" i="71"/>
  <c r="AB104" i="71"/>
  <c r="AB106" i="71"/>
  <c r="AB108" i="71"/>
  <c r="AF108" i="71" s="1"/>
  <c r="AB110" i="71"/>
  <c r="AB112" i="71"/>
  <c r="AB114" i="71"/>
  <c r="AF114" i="71"/>
  <c r="BC114" i="71" s="1"/>
  <c r="O62" i="13"/>
  <c r="O64" i="13"/>
  <c r="O66" i="13"/>
  <c r="BH66" i="13" s="1"/>
  <c r="O68" i="13"/>
  <c r="BH68" i="13" s="1"/>
  <c r="O70" i="13"/>
  <c r="BH70" i="13" s="1"/>
  <c r="O72" i="13"/>
  <c r="BH72" i="13" s="1"/>
  <c r="O74" i="13"/>
  <c r="BH74" i="13" s="1"/>
  <c r="O76" i="13"/>
  <c r="BH76" i="13" s="1"/>
  <c r="O78" i="13"/>
  <c r="BH78" i="13" s="1"/>
  <c r="O80" i="13"/>
  <c r="BH80" i="13" s="1"/>
  <c r="O82" i="13"/>
  <c r="BH82" i="13" s="1"/>
  <c r="O84" i="13"/>
  <c r="BH84" i="13" s="1"/>
  <c r="O86" i="13"/>
  <c r="BH86" i="13" s="1"/>
  <c r="O88" i="13"/>
  <c r="BH88" i="13" s="1"/>
  <c r="O90" i="13"/>
  <c r="BH90" i="13" s="1"/>
  <c r="O92" i="13"/>
  <c r="BH92" i="13" s="1"/>
  <c r="O94" i="13"/>
  <c r="BH94" i="13" s="1"/>
  <c r="O96" i="13"/>
  <c r="BH96" i="13" s="1"/>
  <c r="O98" i="13"/>
  <c r="BH98" i="13" s="1"/>
  <c r="O100" i="13"/>
  <c r="BH100" i="13" s="1"/>
  <c r="O102" i="13"/>
  <c r="BH102" i="13" s="1"/>
  <c r="O104" i="13"/>
  <c r="BH104" i="13" s="1"/>
  <c r="O106" i="13"/>
  <c r="BH106" i="13" s="1"/>
  <c r="AU36" i="66"/>
  <c r="K225" i="110" s="1"/>
  <c r="AU38" i="66"/>
  <c r="K226" i="110" s="1"/>
  <c r="AU40" i="66"/>
  <c r="K227" i="110" s="1"/>
  <c r="AU42" i="66"/>
  <c r="K228" i="110" s="1"/>
  <c r="AU44" i="66"/>
  <c r="K229" i="110" s="1"/>
  <c r="AU46" i="66"/>
  <c r="K230" i="110" s="1"/>
  <c r="AU48" i="66"/>
  <c r="K231" i="110" s="1"/>
  <c r="AU50" i="66"/>
  <c r="K232" i="110" s="1"/>
  <c r="AU52" i="66"/>
  <c r="K233" i="110" s="1"/>
  <c r="AU54" i="66"/>
  <c r="K234" i="110" s="1"/>
  <c r="AU56" i="66"/>
  <c r="K235" i="110" s="1"/>
  <c r="AU58" i="66"/>
  <c r="K236" i="110" s="1"/>
  <c r="AU60" i="66"/>
  <c r="K237" i="110" s="1"/>
  <c r="AU62" i="66"/>
  <c r="K238" i="110" s="1"/>
  <c r="AU64" i="66"/>
  <c r="K239" i="110" s="1"/>
  <c r="AU68" i="66"/>
  <c r="K241" i="110" s="1"/>
  <c r="AU70" i="66"/>
  <c r="K242" i="110" s="1"/>
  <c r="AU72" i="66"/>
  <c r="K243" i="110" s="1"/>
  <c r="AU74" i="66"/>
  <c r="K244" i="110" s="1"/>
  <c r="AU76" i="66"/>
  <c r="K245" i="110" s="1"/>
  <c r="AU78" i="66"/>
  <c r="K246" i="110" s="1"/>
  <c r="AU80" i="66"/>
  <c r="K247" i="110" s="1"/>
  <c r="AU82" i="66"/>
  <c r="K248" i="110" s="1"/>
  <c r="AU84" i="66"/>
  <c r="K249" i="110" s="1"/>
  <c r="AU86" i="66"/>
  <c r="K250" i="110" s="1"/>
  <c r="AU88" i="66"/>
  <c r="K251" i="110" s="1"/>
  <c r="AU90" i="66"/>
  <c r="K252" i="110" s="1"/>
  <c r="AU92" i="66"/>
  <c r="K253" i="110" s="1"/>
  <c r="AU94" i="66"/>
  <c r="K254" i="110" s="1"/>
  <c r="AU96" i="66"/>
  <c r="K255" i="110" s="1"/>
  <c r="AU98" i="66"/>
  <c r="K256" i="110" s="1"/>
  <c r="AU100" i="66"/>
  <c r="K257" i="110" s="1"/>
  <c r="AU102" i="66"/>
  <c r="K258" i="110" s="1"/>
  <c r="AU104" i="66"/>
  <c r="K259" i="110" s="1"/>
  <c r="AU106" i="66"/>
  <c r="K260" i="110" s="1"/>
  <c r="AU108" i="66"/>
  <c r="K261" i="110" s="1"/>
  <c r="AU110" i="66"/>
  <c r="K262" i="110" s="1"/>
  <c r="AU112" i="66"/>
  <c r="K263" i="110" s="1"/>
  <c r="AU114" i="66"/>
  <c r="K264" i="110" s="1"/>
  <c r="AN36" i="66"/>
  <c r="AN38" i="66"/>
  <c r="AN40" i="66"/>
  <c r="AN42" i="66"/>
  <c r="AN44" i="66"/>
  <c r="AN46" i="66"/>
  <c r="H230" i="110" s="1"/>
  <c r="AN48" i="66"/>
  <c r="AN50" i="66"/>
  <c r="AN52" i="66"/>
  <c r="AN54" i="66"/>
  <c r="H234" i="110" s="1"/>
  <c r="AN56" i="66"/>
  <c r="AN58" i="66"/>
  <c r="AN60" i="66"/>
  <c r="AN62" i="66"/>
  <c r="AN64" i="66"/>
  <c r="AN68" i="66"/>
  <c r="AN70" i="66"/>
  <c r="H242" i="110" s="1"/>
  <c r="AN72" i="66"/>
  <c r="AN74" i="66"/>
  <c r="AN76" i="66"/>
  <c r="AN78" i="66"/>
  <c r="AN80" i="66"/>
  <c r="AN82" i="66"/>
  <c r="H248" i="110" s="1"/>
  <c r="AN84" i="66"/>
  <c r="H249" i="110" s="1"/>
  <c r="AN86" i="66"/>
  <c r="AN88" i="66"/>
  <c r="AN90" i="66"/>
  <c r="AN92" i="66"/>
  <c r="AN94" i="66"/>
  <c r="AN96" i="66"/>
  <c r="AN98" i="66"/>
  <c r="AN100" i="66"/>
  <c r="AN102" i="66"/>
  <c r="AN104" i="66"/>
  <c r="AN106" i="66"/>
  <c r="AN108" i="66"/>
  <c r="AN110" i="66"/>
  <c r="AN112" i="66"/>
  <c r="AN114" i="66"/>
  <c r="AK36" i="66"/>
  <c r="AK38" i="66"/>
  <c r="AK40" i="66"/>
  <c r="AK42" i="66"/>
  <c r="AK44" i="66"/>
  <c r="AK46" i="66"/>
  <c r="AK48" i="66"/>
  <c r="AK50" i="66"/>
  <c r="AK52" i="66"/>
  <c r="AK54" i="66"/>
  <c r="AK56" i="66"/>
  <c r="AK58" i="66"/>
  <c r="AK60" i="66"/>
  <c r="AK62" i="66"/>
  <c r="AK64" i="66"/>
  <c r="AK68" i="66"/>
  <c r="AK70" i="66"/>
  <c r="AK72" i="66"/>
  <c r="AK74" i="66"/>
  <c r="AK76" i="66"/>
  <c r="AK78" i="66"/>
  <c r="AK80" i="66"/>
  <c r="AK82" i="66"/>
  <c r="AK84" i="66"/>
  <c r="AK86" i="66"/>
  <c r="AK88" i="66"/>
  <c r="AK90" i="66"/>
  <c r="AK92" i="66"/>
  <c r="AK94" i="66"/>
  <c r="AK96" i="66"/>
  <c r="AK98" i="66"/>
  <c r="AK100" i="66"/>
  <c r="AK102" i="66"/>
  <c r="AK104" i="66"/>
  <c r="AK106" i="66"/>
  <c r="AK108" i="66"/>
  <c r="AK110" i="66"/>
  <c r="AK112" i="66"/>
  <c r="AK114" i="66"/>
  <c r="AI36" i="66"/>
  <c r="AI38" i="66"/>
  <c r="AI40" i="66"/>
  <c r="AI42" i="66"/>
  <c r="AI44" i="66"/>
  <c r="AI46" i="66"/>
  <c r="AI48" i="66"/>
  <c r="AI50" i="66"/>
  <c r="AI52" i="66"/>
  <c r="AI54" i="66"/>
  <c r="AI56" i="66"/>
  <c r="AI58" i="66"/>
  <c r="AI60" i="66"/>
  <c r="AI62" i="66"/>
  <c r="AI64" i="66"/>
  <c r="AI68" i="66"/>
  <c r="AI70" i="66"/>
  <c r="AI72" i="66"/>
  <c r="AI74" i="66"/>
  <c r="AI76" i="66"/>
  <c r="AI78" i="66"/>
  <c r="AI80" i="66"/>
  <c r="AI82" i="66"/>
  <c r="AI84" i="66"/>
  <c r="AI86" i="66"/>
  <c r="AI88" i="66"/>
  <c r="AI90" i="66"/>
  <c r="AI92" i="66"/>
  <c r="AI94" i="66"/>
  <c r="AI96" i="66"/>
  <c r="AI98" i="66"/>
  <c r="AI100" i="66"/>
  <c r="AI102" i="66"/>
  <c r="AI104" i="66"/>
  <c r="AI106" i="66"/>
  <c r="AI108" i="66"/>
  <c r="AI110" i="66"/>
  <c r="AI112" i="66"/>
  <c r="AI114" i="66"/>
  <c r="T36" i="66"/>
  <c r="T38" i="66"/>
  <c r="T40" i="66"/>
  <c r="T42" i="66"/>
  <c r="T44" i="66"/>
  <c r="T46" i="66"/>
  <c r="T48" i="66"/>
  <c r="T50" i="66"/>
  <c r="T52" i="66"/>
  <c r="T54" i="66"/>
  <c r="T56" i="66"/>
  <c r="T58" i="66"/>
  <c r="T60" i="66"/>
  <c r="T62" i="66"/>
  <c r="T64" i="66"/>
  <c r="T68" i="66"/>
  <c r="T70" i="66"/>
  <c r="T72" i="66"/>
  <c r="T74" i="66"/>
  <c r="T76" i="66"/>
  <c r="T78" i="66"/>
  <c r="T80" i="66"/>
  <c r="T82" i="66"/>
  <c r="T84" i="66"/>
  <c r="T86" i="66"/>
  <c r="T88" i="66"/>
  <c r="T90" i="66"/>
  <c r="T92" i="66"/>
  <c r="T94" i="66"/>
  <c r="T96" i="66"/>
  <c r="T98" i="66"/>
  <c r="T100" i="66"/>
  <c r="T102" i="66"/>
  <c r="T104" i="66"/>
  <c r="T106" i="66"/>
  <c r="T108" i="66"/>
  <c r="T110" i="66"/>
  <c r="T112" i="66"/>
  <c r="T114" i="66"/>
  <c r="N36" i="66"/>
  <c r="AA225" i="110" s="1"/>
  <c r="N38" i="66"/>
  <c r="AA226" i="110" s="1"/>
  <c r="N40" i="66"/>
  <c r="AA227" i="110" s="1"/>
  <c r="N42" i="66"/>
  <c r="AA228" i="110" s="1"/>
  <c r="N44" i="66"/>
  <c r="AA229" i="110" s="1"/>
  <c r="N46" i="66"/>
  <c r="AA230" i="110" s="1"/>
  <c r="N48" i="66"/>
  <c r="AA231" i="110" s="1"/>
  <c r="N50" i="66"/>
  <c r="AA232" i="110" s="1"/>
  <c r="N52" i="66"/>
  <c r="AA233" i="110" s="1"/>
  <c r="N54" i="66"/>
  <c r="AA234" i="110" s="1"/>
  <c r="N56" i="66"/>
  <c r="AA235" i="110" s="1"/>
  <c r="N58" i="66"/>
  <c r="AA236" i="110" s="1"/>
  <c r="N60" i="66"/>
  <c r="AA237" i="110" s="1"/>
  <c r="N62" i="66"/>
  <c r="AA238" i="110" s="1"/>
  <c r="N64" i="66"/>
  <c r="AA239" i="110" s="1"/>
  <c r="N68" i="66"/>
  <c r="AA241" i="110" s="1"/>
  <c r="N70" i="66"/>
  <c r="AA242" i="110" s="1"/>
  <c r="N72" i="66"/>
  <c r="AA243" i="110" s="1"/>
  <c r="N74" i="66"/>
  <c r="AA244" i="110" s="1"/>
  <c r="N76" i="66"/>
  <c r="AA245" i="110" s="1"/>
  <c r="N78" i="66"/>
  <c r="AA246" i="110" s="1"/>
  <c r="N80" i="66"/>
  <c r="AA247" i="110" s="1"/>
  <c r="N82" i="66"/>
  <c r="AA248" i="110" s="1"/>
  <c r="N84" i="66"/>
  <c r="AA249" i="110" s="1"/>
  <c r="N86" i="66"/>
  <c r="AA250" i="110" s="1"/>
  <c r="N88" i="66"/>
  <c r="AA251" i="110" s="1"/>
  <c r="N90" i="66"/>
  <c r="AA252" i="110" s="1"/>
  <c r="N92" i="66"/>
  <c r="AA253" i="110" s="1"/>
  <c r="N94" i="66"/>
  <c r="AA254" i="110" s="1"/>
  <c r="N96" i="66"/>
  <c r="AA255" i="110" s="1"/>
  <c r="N98" i="66"/>
  <c r="AA256" i="110" s="1"/>
  <c r="N100" i="66"/>
  <c r="AA257" i="110" s="1"/>
  <c r="N102" i="66"/>
  <c r="AA258" i="110" s="1"/>
  <c r="N104" i="66"/>
  <c r="AA259" i="110" s="1"/>
  <c r="N106" i="66"/>
  <c r="AA260" i="110" s="1"/>
  <c r="N108" i="66"/>
  <c r="AA261" i="110" s="1"/>
  <c r="N110" i="66"/>
  <c r="AA262" i="110" s="1"/>
  <c r="N112" i="66"/>
  <c r="AA263" i="110" s="1"/>
  <c r="N114" i="66"/>
  <c r="AA264" i="110" s="1"/>
  <c r="K115" i="110"/>
  <c r="K116" i="110"/>
  <c r="K117" i="110"/>
  <c r="K118" i="110"/>
  <c r="K119" i="110"/>
  <c r="K120" i="110"/>
  <c r="K121" i="110"/>
  <c r="K122" i="110"/>
  <c r="K123" i="110"/>
  <c r="K124" i="110"/>
  <c r="K125" i="110"/>
  <c r="K126" i="110"/>
  <c r="K127" i="110"/>
  <c r="K128" i="110"/>
  <c r="K129" i="110"/>
  <c r="K130" i="110"/>
  <c r="K131" i="110"/>
  <c r="K132" i="110"/>
  <c r="K133" i="110"/>
  <c r="K134" i="110"/>
  <c r="K135" i="110"/>
  <c r="K136" i="110"/>
  <c r="K137" i="110"/>
  <c r="K138" i="110"/>
  <c r="K139" i="110"/>
  <c r="K140" i="110"/>
  <c r="K141" i="110"/>
  <c r="K142" i="110"/>
  <c r="K143" i="110"/>
  <c r="K144" i="110"/>
  <c r="K145" i="110"/>
  <c r="K146" i="110"/>
  <c r="K147" i="110"/>
  <c r="K148" i="110"/>
  <c r="K149" i="110"/>
  <c r="K150" i="110"/>
  <c r="K151" i="110"/>
  <c r="K152" i="110"/>
  <c r="K153" i="110"/>
  <c r="K154" i="110"/>
  <c r="C115" i="110"/>
  <c r="B115" i="110" s="1"/>
  <c r="C116" i="110"/>
  <c r="B116" i="110" s="1"/>
  <c r="C117" i="110"/>
  <c r="B117" i="110" s="1"/>
  <c r="C120" i="110"/>
  <c r="B120" i="110" s="1"/>
  <c r="C124" i="110"/>
  <c r="B124" i="110" s="1"/>
  <c r="C126" i="110"/>
  <c r="B126" i="110" s="1"/>
  <c r="C145" i="110"/>
  <c r="B145" i="110" s="1"/>
  <c r="AV36" i="62"/>
  <c r="O65" i="110" s="1"/>
  <c r="AV38" i="62"/>
  <c r="O66" i="110" s="1"/>
  <c r="AV40" i="62"/>
  <c r="O67" i="110" s="1"/>
  <c r="AV42" i="62"/>
  <c r="O68" i="110" s="1"/>
  <c r="AV44" i="62"/>
  <c r="O69" i="110" s="1"/>
  <c r="AV46" i="62"/>
  <c r="O70" i="110" s="1"/>
  <c r="AV48" i="62"/>
  <c r="O71" i="110" s="1"/>
  <c r="AV50" i="62"/>
  <c r="O72" i="110" s="1"/>
  <c r="AV52" i="62"/>
  <c r="O73" i="110" s="1"/>
  <c r="AV56" i="62"/>
  <c r="O75" i="110" s="1"/>
  <c r="AV58" i="62"/>
  <c r="O76" i="110" s="1"/>
  <c r="AV60" i="62"/>
  <c r="O77" i="110" s="1"/>
  <c r="AV62" i="62"/>
  <c r="O78" i="110" s="1"/>
  <c r="AV64" i="62"/>
  <c r="O79" i="110" s="1"/>
  <c r="AV66" i="62"/>
  <c r="O80" i="110" s="1"/>
  <c r="AV68" i="62"/>
  <c r="O81" i="110" s="1"/>
  <c r="AV70" i="62"/>
  <c r="O82" i="110" s="1"/>
  <c r="AV72" i="62"/>
  <c r="O83" i="110" s="1"/>
  <c r="AV74" i="62"/>
  <c r="O84" i="110" s="1"/>
  <c r="AV76" i="62"/>
  <c r="O85" i="110" s="1"/>
  <c r="AV78" i="62"/>
  <c r="O86" i="110" s="1"/>
  <c r="AV80" i="62"/>
  <c r="O87" i="110" s="1"/>
  <c r="AV82" i="62"/>
  <c r="O88" i="110" s="1"/>
  <c r="AV84" i="62"/>
  <c r="O89" i="110" s="1"/>
  <c r="AV86" i="62"/>
  <c r="O90" i="110" s="1"/>
  <c r="AV88" i="62"/>
  <c r="O91" i="110" s="1"/>
  <c r="AV90" i="62"/>
  <c r="O92" i="110" s="1"/>
  <c r="AV92" i="62"/>
  <c r="O93" i="110" s="1"/>
  <c r="AV94" i="62"/>
  <c r="O94" i="110" s="1"/>
  <c r="AV96" i="62"/>
  <c r="O95" i="110" s="1"/>
  <c r="AV98" i="62"/>
  <c r="O96" i="110" s="1"/>
  <c r="AV100" i="62"/>
  <c r="O97" i="110" s="1"/>
  <c r="AV102" i="62"/>
  <c r="O98" i="110" s="1"/>
  <c r="AV104" i="62"/>
  <c r="O99" i="110" s="1"/>
  <c r="AV106" i="62"/>
  <c r="O100" i="110" s="1"/>
  <c r="AV108" i="62"/>
  <c r="O101" i="110" s="1"/>
  <c r="AV110" i="62"/>
  <c r="O102" i="110" s="1"/>
  <c r="AV112" i="62"/>
  <c r="O103" i="110" s="1"/>
  <c r="AU36" i="62"/>
  <c r="K65" i="110" s="1"/>
  <c r="AU38" i="62"/>
  <c r="K66" i="110" s="1"/>
  <c r="AU40" i="62"/>
  <c r="K67" i="110" s="1"/>
  <c r="AU42" i="62"/>
  <c r="K68" i="110" s="1"/>
  <c r="AU44" i="62"/>
  <c r="K69" i="110" s="1"/>
  <c r="AU46" i="62"/>
  <c r="K70" i="110" s="1"/>
  <c r="AU48" i="62"/>
  <c r="K71" i="110" s="1"/>
  <c r="AU50" i="62"/>
  <c r="K72" i="110" s="1"/>
  <c r="AU52" i="62"/>
  <c r="K73" i="110" s="1"/>
  <c r="AU56" i="62"/>
  <c r="K75" i="110" s="1"/>
  <c r="AU58" i="62"/>
  <c r="K76" i="110" s="1"/>
  <c r="AU60" i="62"/>
  <c r="K77" i="110" s="1"/>
  <c r="AU62" i="62"/>
  <c r="K78" i="110" s="1"/>
  <c r="AU64" i="62"/>
  <c r="K79" i="110" s="1"/>
  <c r="AU66" i="62"/>
  <c r="K80" i="110" s="1"/>
  <c r="AU68" i="62"/>
  <c r="K81" i="110" s="1"/>
  <c r="AU70" i="62"/>
  <c r="K82" i="110" s="1"/>
  <c r="AU72" i="62"/>
  <c r="K83" i="110" s="1"/>
  <c r="AU74" i="62"/>
  <c r="K84" i="110" s="1"/>
  <c r="AU76" i="62"/>
  <c r="K85" i="110" s="1"/>
  <c r="AU78" i="62"/>
  <c r="K86" i="110" s="1"/>
  <c r="AU80" i="62"/>
  <c r="K87" i="110" s="1"/>
  <c r="AU82" i="62"/>
  <c r="K88" i="110" s="1"/>
  <c r="AU84" i="62"/>
  <c r="K89" i="110" s="1"/>
  <c r="AU86" i="62"/>
  <c r="K90" i="110" s="1"/>
  <c r="AU88" i="62"/>
  <c r="K91" i="110" s="1"/>
  <c r="AU90" i="62"/>
  <c r="K92" i="110" s="1"/>
  <c r="AU92" i="62"/>
  <c r="K93" i="110" s="1"/>
  <c r="AU94" i="62"/>
  <c r="K94" i="110" s="1"/>
  <c r="AU96" i="62"/>
  <c r="K95" i="110" s="1"/>
  <c r="AU98" i="62"/>
  <c r="K96" i="110" s="1"/>
  <c r="AU100" i="62"/>
  <c r="K97" i="110" s="1"/>
  <c r="AU102" i="62"/>
  <c r="K98" i="110" s="1"/>
  <c r="AU104" i="62"/>
  <c r="K99" i="110" s="1"/>
  <c r="AU106" i="62"/>
  <c r="K100" i="110" s="1"/>
  <c r="AU108" i="62"/>
  <c r="K101" i="110" s="1"/>
  <c r="AU110" i="62"/>
  <c r="K102" i="110" s="1"/>
  <c r="AU112" i="62"/>
  <c r="K103" i="110" s="1"/>
  <c r="AN36" i="62"/>
  <c r="AN38" i="62"/>
  <c r="AN40" i="62"/>
  <c r="AN42" i="62"/>
  <c r="AN44" i="62"/>
  <c r="AN46" i="62"/>
  <c r="AN48" i="62"/>
  <c r="AN50" i="62"/>
  <c r="AN52" i="62"/>
  <c r="AN56" i="62"/>
  <c r="AN58" i="62"/>
  <c r="AN60" i="62"/>
  <c r="AN62" i="62"/>
  <c r="AN64" i="62"/>
  <c r="AN66" i="62"/>
  <c r="AN68" i="62"/>
  <c r="AN70" i="62"/>
  <c r="AN72" i="62"/>
  <c r="AN74" i="62"/>
  <c r="AN76" i="62"/>
  <c r="AN78" i="62"/>
  <c r="AN80" i="62"/>
  <c r="AN82" i="62"/>
  <c r="AN84" i="62"/>
  <c r="AN86" i="62"/>
  <c r="AN88" i="62"/>
  <c r="AN90" i="62"/>
  <c r="AN92" i="62"/>
  <c r="AN94" i="62"/>
  <c r="AN96" i="62"/>
  <c r="AN98" i="62"/>
  <c r="AN100" i="62"/>
  <c r="AN102" i="62"/>
  <c r="AN104" i="62"/>
  <c r="AN106" i="62"/>
  <c r="AN108" i="62"/>
  <c r="AN110" i="62"/>
  <c r="AN112" i="62"/>
  <c r="AK36" i="62"/>
  <c r="N65" i="110" s="1"/>
  <c r="AK38" i="62"/>
  <c r="N66" i="110" s="1"/>
  <c r="AK40" i="62"/>
  <c r="N67" i="110" s="1"/>
  <c r="AK42" i="62"/>
  <c r="N68" i="110" s="1"/>
  <c r="AK44" i="62"/>
  <c r="N69" i="110" s="1"/>
  <c r="AK46" i="62"/>
  <c r="N70" i="110" s="1"/>
  <c r="AK48" i="62"/>
  <c r="N71" i="110" s="1"/>
  <c r="AK50" i="62"/>
  <c r="N72" i="110" s="1"/>
  <c r="AK52" i="62"/>
  <c r="N73" i="110" s="1"/>
  <c r="AK56" i="62"/>
  <c r="N75" i="110" s="1"/>
  <c r="AK58" i="62"/>
  <c r="N76" i="110" s="1"/>
  <c r="AK60" i="62"/>
  <c r="N77" i="110" s="1"/>
  <c r="AK62" i="62"/>
  <c r="N78" i="110" s="1"/>
  <c r="AK64" i="62"/>
  <c r="N79" i="110" s="1"/>
  <c r="AK66" i="62"/>
  <c r="N80" i="110" s="1"/>
  <c r="AK68" i="62"/>
  <c r="N81" i="110" s="1"/>
  <c r="AK70" i="62"/>
  <c r="N82" i="110" s="1"/>
  <c r="AK72" i="62"/>
  <c r="N83" i="110" s="1"/>
  <c r="AK74" i="62"/>
  <c r="N84" i="110" s="1"/>
  <c r="AK76" i="62"/>
  <c r="N85" i="110" s="1"/>
  <c r="AK78" i="62"/>
  <c r="N86" i="110" s="1"/>
  <c r="AK80" i="62"/>
  <c r="N87" i="110" s="1"/>
  <c r="AK82" i="62"/>
  <c r="N88" i="110" s="1"/>
  <c r="AK84" i="62"/>
  <c r="N89" i="110" s="1"/>
  <c r="AK86" i="62"/>
  <c r="N90" i="110" s="1"/>
  <c r="AK88" i="62"/>
  <c r="N91" i="110" s="1"/>
  <c r="AK90" i="62"/>
  <c r="N92" i="110" s="1"/>
  <c r="AK92" i="62"/>
  <c r="N93" i="110" s="1"/>
  <c r="AK94" i="62"/>
  <c r="N94" i="110" s="1"/>
  <c r="AK96" i="62"/>
  <c r="N95" i="110" s="1"/>
  <c r="AK98" i="62"/>
  <c r="N96" i="110" s="1"/>
  <c r="AK100" i="62"/>
  <c r="N97" i="110" s="1"/>
  <c r="AK102" i="62"/>
  <c r="N98" i="110" s="1"/>
  <c r="AK104" i="62"/>
  <c r="N99" i="110" s="1"/>
  <c r="AK106" i="62"/>
  <c r="N100" i="110" s="1"/>
  <c r="AK108" i="62"/>
  <c r="N101" i="110" s="1"/>
  <c r="AK110" i="62"/>
  <c r="N102" i="110" s="1"/>
  <c r="AK112" i="62"/>
  <c r="N103" i="110" s="1"/>
  <c r="AI36" i="62"/>
  <c r="AI38" i="62"/>
  <c r="AI40" i="62"/>
  <c r="AI42" i="62"/>
  <c r="AI44" i="62"/>
  <c r="AI46" i="62"/>
  <c r="AI48" i="62"/>
  <c r="AI50" i="62"/>
  <c r="AI52" i="62"/>
  <c r="AI56" i="62"/>
  <c r="AI58" i="62"/>
  <c r="AI60" i="62"/>
  <c r="AI62" i="62"/>
  <c r="AI64" i="62"/>
  <c r="AI66" i="62"/>
  <c r="AI68" i="62"/>
  <c r="AI70" i="62"/>
  <c r="AI72" i="62"/>
  <c r="AI74" i="62"/>
  <c r="AI76" i="62"/>
  <c r="AI78" i="62"/>
  <c r="AI80" i="62"/>
  <c r="AI82" i="62"/>
  <c r="AI84" i="62"/>
  <c r="AI86" i="62"/>
  <c r="AI88" i="62"/>
  <c r="AI90" i="62"/>
  <c r="AI92" i="62"/>
  <c r="AI94" i="62"/>
  <c r="AI96" i="62"/>
  <c r="AI98" i="62"/>
  <c r="AI100" i="62"/>
  <c r="AI102" i="62"/>
  <c r="AI104" i="62"/>
  <c r="AI106" i="62"/>
  <c r="AI108" i="62"/>
  <c r="AI110" i="62"/>
  <c r="AI112" i="62"/>
  <c r="T36" i="62"/>
  <c r="T38" i="62"/>
  <c r="T40" i="62"/>
  <c r="T42" i="62"/>
  <c r="T44" i="62"/>
  <c r="T46" i="62"/>
  <c r="T48" i="62"/>
  <c r="T50" i="62"/>
  <c r="T52" i="62"/>
  <c r="T56" i="62"/>
  <c r="T58" i="62"/>
  <c r="T60" i="62"/>
  <c r="T62" i="62"/>
  <c r="T64" i="62"/>
  <c r="T66" i="62"/>
  <c r="T68" i="62"/>
  <c r="T70" i="62"/>
  <c r="T72" i="62"/>
  <c r="T74" i="62"/>
  <c r="T76" i="62"/>
  <c r="T78" i="62"/>
  <c r="T80" i="62"/>
  <c r="T82" i="62"/>
  <c r="T84" i="62"/>
  <c r="T86" i="62"/>
  <c r="T88" i="62"/>
  <c r="T90" i="62"/>
  <c r="T92" i="62"/>
  <c r="T94" i="62"/>
  <c r="T96" i="62"/>
  <c r="T98" i="62"/>
  <c r="T100" i="62"/>
  <c r="T102" i="62"/>
  <c r="T104" i="62"/>
  <c r="T106" i="62"/>
  <c r="T108" i="62"/>
  <c r="T110" i="62"/>
  <c r="T112" i="62"/>
  <c r="M36" i="62"/>
  <c r="M38" i="62"/>
  <c r="M40" i="62"/>
  <c r="M42" i="62"/>
  <c r="M44" i="62"/>
  <c r="M46" i="62"/>
  <c r="M48" i="62"/>
  <c r="M50" i="62"/>
  <c r="M52" i="62"/>
  <c r="M56" i="62"/>
  <c r="M58" i="62"/>
  <c r="M60" i="62"/>
  <c r="M62" i="62"/>
  <c r="M64" i="62"/>
  <c r="M66" i="62"/>
  <c r="M68" i="62"/>
  <c r="M70" i="62"/>
  <c r="M72" i="62"/>
  <c r="M74" i="62"/>
  <c r="M76" i="62"/>
  <c r="M78" i="62"/>
  <c r="M80" i="62"/>
  <c r="M82" i="62"/>
  <c r="M84" i="62"/>
  <c r="M86" i="62"/>
  <c r="M88" i="62"/>
  <c r="M90" i="62"/>
  <c r="M92" i="62"/>
  <c r="M94" i="62"/>
  <c r="M96" i="62"/>
  <c r="M98" i="62"/>
  <c r="M100" i="62"/>
  <c r="M102" i="62"/>
  <c r="M104" i="62"/>
  <c r="M106" i="62"/>
  <c r="M108" i="62"/>
  <c r="M110" i="62"/>
  <c r="M112" i="62"/>
  <c r="I34" i="62"/>
  <c r="I36" i="62"/>
  <c r="AA65" i="110" s="1"/>
  <c r="I38" i="62"/>
  <c r="AA66" i="110" s="1"/>
  <c r="I40" i="62"/>
  <c r="AA67" i="110" s="1"/>
  <c r="I42" i="62"/>
  <c r="AA68" i="110" s="1"/>
  <c r="I44" i="62"/>
  <c r="AA69" i="110" s="1"/>
  <c r="I46" i="62"/>
  <c r="AA70" i="110" s="1"/>
  <c r="I48" i="62"/>
  <c r="AA71" i="110" s="1"/>
  <c r="I50" i="62"/>
  <c r="AA72" i="110" s="1"/>
  <c r="I52" i="62"/>
  <c r="AA73" i="110" s="1"/>
  <c r="I56" i="62"/>
  <c r="AA75" i="110" s="1"/>
  <c r="I58" i="62"/>
  <c r="AA76" i="110" s="1"/>
  <c r="I60" i="62"/>
  <c r="AA77" i="110" s="1"/>
  <c r="I62" i="62"/>
  <c r="AA78" i="110" s="1"/>
  <c r="I64" i="62"/>
  <c r="AA79" i="110" s="1"/>
  <c r="I66" i="62"/>
  <c r="AA80" i="110" s="1"/>
  <c r="I68" i="62"/>
  <c r="AA81" i="110" s="1"/>
  <c r="I70" i="62"/>
  <c r="AA82" i="110" s="1"/>
  <c r="I72" i="62"/>
  <c r="AA83" i="110" s="1"/>
  <c r="I74" i="62"/>
  <c r="AA84" i="110" s="1"/>
  <c r="I76" i="62"/>
  <c r="AA85" i="110" s="1"/>
  <c r="I78" i="62"/>
  <c r="AA86" i="110" s="1"/>
  <c r="I80" i="62"/>
  <c r="AA87" i="110" s="1"/>
  <c r="I82" i="62"/>
  <c r="AA88" i="110" s="1"/>
  <c r="I84" i="62"/>
  <c r="AA89" i="110" s="1"/>
  <c r="I86" i="62"/>
  <c r="AA90" i="110" s="1"/>
  <c r="I88" i="62"/>
  <c r="AA91" i="110" s="1"/>
  <c r="I90" i="62"/>
  <c r="AA92" i="110" s="1"/>
  <c r="I92" i="62"/>
  <c r="AA93" i="110" s="1"/>
  <c r="I94" i="62"/>
  <c r="AA94" i="110" s="1"/>
  <c r="I96" i="62"/>
  <c r="AA95" i="110" s="1"/>
  <c r="I98" i="62"/>
  <c r="AA96" i="110" s="1"/>
  <c r="I100" i="62"/>
  <c r="AA97" i="110" s="1"/>
  <c r="I102" i="62"/>
  <c r="AA98" i="110" s="1"/>
  <c r="I104" i="62"/>
  <c r="AA99" i="110" s="1"/>
  <c r="I106" i="62"/>
  <c r="AA100" i="110" s="1"/>
  <c r="I108" i="62"/>
  <c r="AA101" i="110" s="1"/>
  <c r="I110" i="62"/>
  <c r="AA102" i="110" s="1"/>
  <c r="I112" i="62"/>
  <c r="AA103" i="110" s="1"/>
  <c r="AI46" i="12"/>
  <c r="AI48" i="12"/>
  <c r="AI50" i="12"/>
  <c r="AI52" i="12"/>
  <c r="AI54" i="12"/>
  <c r="AI56" i="12"/>
  <c r="AI58" i="12"/>
  <c r="AI60" i="12"/>
  <c r="AI62" i="12"/>
  <c r="AI64" i="12"/>
  <c r="AI66" i="12"/>
  <c r="AI68" i="12"/>
  <c r="AI70" i="12"/>
  <c r="AI72" i="12"/>
  <c r="AI74" i="12"/>
  <c r="AI76" i="12"/>
  <c r="AI78" i="12"/>
  <c r="AI80" i="12"/>
  <c r="AI82" i="12"/>
  <c r="AI84" i="12"/>
  <c r="AI86" i="12"/>
  <c r="AI88" i="12"/>
  <c r="AI90" i="12"/>
  <c r="AI92" i="12"/>
  <c r="AI94" i="12"/>
  <c r="AI96" i="12"/>
  <c r="AI98" i="12"/>
  <c r="AI100" i="12"/>
  <c r="AI102" i="12"/>
  <c r="AI104" i="12"/>
  <c r="AI106" i="12"/>
  <c r="AI108" i="12"/>
  <c r="AE46" i="12"/>
  <c r="I19" i="110" s="1"/>
  <c r="AE48" i="12"/>
  <c r="I20" i="110" s="1"/>
  <c r="AE50" i="12"/>
  <c r="I21" i="110" s="1"/>
  <c r="AE52" i="12"/>
  <c r="I22" i="110" s="1"/>
  <c r="AE54" i="12"/>
  <c r="I23" i="110" s="1"/>
  <c r="AE56" i="12"/>
  <c r="I24" i="110" s="1"/>
  <c r="AE58" i="12"/>
  <c r="I25" i="110" s="1"/>
  <c r="AE60" i="12"/>
  <c r="I26" i="110" s="1"/>
  <c r="AE62" i="12"/>
  <c r="I27" i="110" s="1"/>
  <c r="AE64" i="12"/>
  <c r="I28" i="110" s="1"/>
  <c r="AE66" i="12"/>
  <c r="I29" i="110" s="1"/>
  <c r="AE68" i="12"/>
  <c r="I30" i="110" s="1"/>
  <c r="AE70" i="12"/>
  <c r="I31" i="110" s="1"/>
  <c r="AE72" i="12"/>
  <c r="I32" i="110" s="1"/>
  <c r="AE74" i="12"/>
  <c r="I33" i="110" s="1"/>
  <c r="AE76" i="12"/>
  <c r="I34" i="110" s="1"/>
  <c r="AE78" i="12"/>
  <c r="I35" i="110" s="1"/>
  <c r="AE80" i="12"/>
  <c r="I36" i="110" s="1"/>
  <c r="AE82" i="12"/>
  <c r="I37" i="110" s="1"/>
  <c r="AE84" i="12"/>
  <c r="I38" i="110" s="1"/>
  <c r="AE86" i="12"/>
  <c r="I39" i="110" s="1"/>
  <c r="AE88" i="12"/>
  <c r="I40" i="110" s="1"/>
  <c r="AE90" i="12"/>
  <c r="I41" i="110" s="1"/>
  <c r="AE92" i="12"/>
  <c r="I42" i="110" s="1"/>
  <c r="AE94" i="12"/>
  <c r="I43" i="110" s="1"/>
  <c r="AE96" i="12"/>
  <c r="I44" i="110" s="1"/>
  <c r="AE98" i="12"/>
  <c r="I45" i="110" s="1"/>
  <c r="AE100" i="12"/>
  <c r="I46" i="110" s="1"/>
  <c r="AE102" i="12"/>
  <c r="I47" i="110" s="1"/>
  <c r="I48" i="110"/>
  <c r="AE106" i="12"/>
  <c r="I49" i="110" s="1"/>
  <c r="AE108" i="12"/>
  <c r="I50" i="110" s="1"/>
  <c r="Q46" i="12"/>
  <c r="Y19" i="110" s="1"/>
  <c r="Q48" i="12"/>
  <c r="Y20" i="110" s="1"/>
  <c r="Q50" i="12"/>
  <c r="Y21" i="110" s="1"/>
  <c r="Q52" i="12"/>
  <c r="Q54" i="12"/>
  <c r="Y23" i="110" s="1"/>
  <c r="Q56" i="12"/>
  <c r="Y24" i="110" s="1"/>
  <c r="Q58" i="12"/>
  <c r="Y25" i="110" s="1"/>
  <c r="Q60" i="12"/>
  <c r="Q62" i="12"/>
  <c r="Y27" i="110" s="1"/>
  <c r="Q64" i="12"/>
  <c r="Y28" i="110" s="1"/>
  <c r="Q66" i="12"/>
  <c r="Y29" i="110" s="1"/>
  <c r="Q68" i="12"/>
  <c r="Q70" i="12"/>
  <c r="Y31" i="110" s="1"/>
  <c r="Q72" i="12"/>
  <c r="Y32" i="110" s="1"/>
  <c r="Q74" i="12"/>
  <c r="Y33" i="110" s="1"/>
  <c r="Q76" i="12"/>
  <c r="Q78" i="12"/>
  <c r="Y35" i="110" s="1"/>
  <c r="Q80" i="12"/>
  <c r="Y36" i="110" s="1"/>
  <c r="Q82" i="12"/>
  <c r="Y37" i="110" s="1"/>
  <c r="Q84" i="12"/>
  <c r="Q86" i="12"/>
  <c r="Y39" i="110" s="1"/>
  <c r="Q88" i="12"/>
  <c r="Y40" i="110" s="1"/>
  <c r="Q90" i="12"/>
  <c r="Y41" i="110" s="1"/>
  <c r="Q92" i="12"/>
  <c r="Q94" i="12"/>
  <c r="Y43" i="110" s="1"/>
  <c r="Q96" i="12"/>
  <c r="Y44" i="110" s="1"/>
  <c r="Q98" i="12"/>
  <c r="Y45" i="110" s="1"/>
  <c r="Q100" i="12"/>
  <c r="Q102" i="12"/>
  <c r="Y47" i="110" s="1"/>
  <c r="Q106" i="12"/>
  <c r="Y49" i="110" s="1"/>
  <c r="Q108" i="12"/>
  <c r="I46" i="12"/>
  <c r="I48" i="12"/>
  <c r="I50" i="12"/>
  <c r="X21" i="110" s="1"/>
  <c r="I52" i="12"/>
  <c r="X22" i="110" s="1"/>
  <c r="I54" i="12"/>
  <c r="I56" i="12"/>
  <c r="I58" i="12"/>
  <c r="X25" i="110" s="1"/>
  <c r="I60" i="12"/>
  <c r="X26" i="110" s="1"/>
  <c r="I62" i="12"/>
  <c r="I64" i="12"/>
  <c r="I66" i="12"/>
  <c r="X29" i="110" s="1"/>
  <c r="I68" i="12"/>
  <c r="X30" i="110" s="1"/>
  <c r="I70" i="12"/>
  <c r="I72" i="12"/>
  <c r="I74" i="12"/>
  <c r="X33" i="110" s="1"/>
  <c r="I76" i="12"/>
  <c r="X34" i="110" s="1"/>
  <c r="I78" i="12"/>
  <c r="I80" i="12"/>
  <c r="I82" i="12"/>
  <c r="X37" i="110" s="1"/>
  <c r="I84" i="12"/>
  <c r="X38" i="110" s="1"/>
  <c r="I86" i="12"/>
  <c r="I88" i="12"/>
  <c r="I90" i="12"/>
  <c r="X41" i="110" s="1"/>
  <c r="I92" i="12"/>
  <c r="X42" i="110" s="1"/>
  <c r="I94" i="12"/>
  <c r="I96" i="12"/>
  <c r="I98" i="12"/>
  <c r="X45" i="110" s="1"/>
  <c r="I100" i="12"/>
  <c r="X46" i="110" s="1"/>
  <c r="I102" i="12"/>
  <c r="I104" i="12"/>
  <c r="AW104" i="12" s="1"/>
  <c r="AG48" i="110" s="1"/>
  <c r="I106" i="12"/>
  <c r="X49" i="110" s="1"/>
  <c r="I108" i="12"/>
  <c r="AH68" i="71"/>
  <c r="AF36" i="71"/>
  <c r="AN114" i="71"/>
  <c r="I486" i="110" s="1"/>
  <c r="AH114" i="71"/>
  <c r="AK114" i="71"/>
  <c r="AV114" i="71"/>
  <c r="AK486" i="110" s="1"/>
  <c r="BC90" i="71"/>
  <c r="AH90" i="71"/>
  <c r="AN90" i="71"/>
  <c r="K474" i="110" s="1"/>
  <c r="AK90" i="71"/>
  <c r="AV90" i="71"/>
  <c r="AK474" i="110" s="1"/>
  <c r="BC74" i="71"/>
  <c r="AK74" i="71"/>
  <c r="AN74" i="71"/>
  <c r="P466" i="110" s="1"/>
  <c r="AH74" i="71"/>
  <c r="AV74" i="71"/>
  <c r="AK466" i="110"/>
  <c r="AK50" i="71"/>
  <c r="BC96" i="71"/>
  <c r="AV96" i="71"/>
  <c r="AF66" i="71"/>
  <c r="AX66" i="71"/>
  <c r="AX96" i="71"/>
  <c r="AF88" i="71"/>
  <c r="AY88" i="71" s="1"/>
  <c r="AF80" i="71"/>
  <c r="AY80" i="71" s="1"/>
  <c r="AF64" i="71"/>
  <c r="AF56" i="71"/>
  <c r="AX56" i="71"/>
  <c r="AF48" i="71"/>
  <c r="AY48" i="71"/>
  <c r="AF104" i="71"/>
  <c r="AX104" i="71"/>
  <c r="AV92" i="71"/>
  <c r="AN92" i="71"/>
  <c r="K475" i="110" s="1"/>
  <c r="AZ92" i="71"/>
  <c r="AV60" i="71"/>
  <c r="AK459" i="110" s="1"/>
  <c r="AN60" i="71"/>
  <c r="P459" i="110" s="1"/>
  <c r="AH60" i="71"/>
  <c r="AZ60" i="71"/>
  <c r="AK60" i="71"/>
  <c r="AK96" i="71"/>
  <c r="BC92" i="71"/>
  <c r="AF110" i="71"/>
  <c r="AX110" i="71"/>
  <c r="AF102" i="71"/>
  <c r="AY102" i="71" s="1"/>
  <c r="AZ102" i="71"/>
  <c r="AF86" i="71"/>
  <c r="AF78" i="71"/>
  <c r="AX78" i="71" s="1"/>
  <c r="AF70" i="71"/>
  <c r="AY70" i="71" s="1"/>
  <c r="AF62" i="71"/>
  <c r="AX62" i="71" s="1"/>
  <c r="AF54" i="71"/>
  <c r="AF46" i="71"/>
  <c r="AX46" i="71" s="1"/>
  <c r="AF38" i="71"/>
  <c r="AZ38" i="71" s="1"/>
  <c r="AF112" i="71"/>
  <c r="AY112" i="71" s="1"/>
  <c r="AF58" i="71"/>
  <c r="AX58" i="71"/>
  <c r="AF42" i="71"/>
  <c r="AZ42" i="71"/>
  <c r="AH96" i="71"/>
  <c r="AN96" i="71"/>
  <c r="K477" i="110" s="1"/>
  <c r="AX114" i="71"/>
  <c r="AY114" i="71"/>
  <c r="AZ114" i="71"/>
  <c r="AX90" i="71"/>
  <c r="AY90" i="71"/>
  <c r="AZ90" i="71"/>
  <c r="AX74" i="71"/>
  <c r="AY74" i="71"/>
  <c r="AZ74" i="71"/>
  <c r="AY50" i="71"/>
  <c r="AF106" i="71"/>
  <c r="AX106" i="71" s="1"/>
  <c r="AF82" i="71"/>
  <c r="AY96" i="71"/>
  <c r="AZ96" i="71"/>
  <c r="AF72" i="71"/>
  <c r="AY72" i="71"/>
  <c r="AF40" i="71"/>
  <c r="AX40" i="71"/>
  <c r="AV76" i="71"/>
  <c r="AK467" i="110" s="1"/>
  <c r="AN76" i="71"/>
  <c r="P467" i="110" s="1"/>
  <c r="AH76" i="71"/>
  <c r="AK76" i="71"/>
  <c r="AZ76" i="71"/>
  <c r="AV44" i="71"/>
  <c r="AK451" i="110" s="1"/>
  <c r="AN44" i="71"/>
  <c r="AH44" i="71"/>
  <c r="AK44" i="71"/>
  <c r="BC76" i="71"/>
  <c r="BC60" i="71"/>
  <c r="BC44" i="71"/>
  <c r="AZ44" i="71"/>
  <c r="AF98" i="71"/>
  <c r="AN84" i="71"/>
  <c r="J471" i="110" s="1"/>
  <c r="AV68" i="71"/>
  <c r="AK463" i="110" s="1"/>
  <c r="AN68" i="71"/>
  <c r="AZ68" i="71"/>
  <c r="AV52" i="71"/>
  <c r="AK455" i="110" s="1"/>
  <c r="AN52" i="71"/>
  <c r="J455" i="110" s="1"/>
  <c r="AZ52" i="71"/>
  <c r="AV36" i="71"/>
  <c r="AK447" i="110" s="1"/>
  <c r="AN36" i="71"/>
  <c r="I447" i="110" s="1"/>
  <c r="AK92" i="71"/>
  <c r="BB92" i="71"/>
  <c r="AK52" i="71"/>
  <c r="BB52" i="71"/>
  <c r="BC68" i="71"/>
  <c r="BC52" i="71"/>
  <c r="BC36" i="71"/>
  <c r="AX92" i="71"/>
  <c r="AX84" i="71"/>
  <c r="AX76" i="71"/>
  <c r="AX68" i="71"/>
  <c r="AX60" i="71"/>
  <c r="AX52" i="71"/>
  <c r="AX44" i="71"/>
  <c r="AX36" i="71"/>
  <c r="AY92" i="71"/>
  <c r="AY76" i="71"/>
  <c r="AY68" i="71"/>
  <c r="AY60" i="71"/>
  <c r="AY52" i="71"/>
  <c r="AY44" i="71"/>
  <c r="AY36" i="71"/>
  <c r="AK395" i="110"/>
  <c r="AN34" i="69"/>
  <c r="AH34" i="69"/>
  <c r="BC34" i="69" s="1"/>
  <c r="AV18" i="65"/>
  <c r="AV20" i="65"/>
  <c r="AV22" i="65"/>
  <c r="AV24" i="65"/>
  <c r="AV26" i="65"/>
  <c r="AV28" i="65"/>
  <c r="AV30" i="65"/>
  <c r="AV32" i="65"/>
  <c r="AV34" i="65"/>
  <c r="AV16" i="65"/>
  <c r="AY38" i="71"/>
  <c r="BB76" i="71"/>
  <c r="AZ40" i="71"/>
  <c r="AZ46" i="71"/>
  <c r="AZ48" i="71"/>
  <c r="BB68" i="71"/>
  <c r="BB96" i="71"/>
  <c r="AY40" i="71"/>
  <c r="AX88" i="71"/>
  <c r="AZ70" i="71"/>
  <c r="AY56" i="71"/>
  <c r="AZ88" i="71"/>
  <c r="AY58" i="71"/>
  <c r="AY106" i="71"/>
  <c r="BB60" i="71"/>
  <c r="BB90" i="71"/>
  <c r="AH36" i="71"/>
  <c r="AK36" i="71"/>
  <c r="AZ112" i="71"/>
  <c r="AZ36" i="71"/>
  <c r="BC82" i="71"/>
  <c r="AK82" i="71"/>
  <c r="AH82" i="71"/>
  <c r="AN82" i="71"/>
  <c r="M470" i="110" s="1"/>
  <c r="AV82" i="71"/>
  <c r="AK470" i="110" s="1"/>
  <c r="BC42" i="71"/>
  <c r="AK42" i="71"/>
  <c r="AN42" i="71"/>
  <c r="P450" i="110" s="1"/>
  <c r="AH42" i="71"/>
  <c r="AV42" i="71"/>
  <c r="AK450" i="110" s="1"/>
  <c r="AV46" i="71"/>
  <c r="AK452" i="110" s="1"/>
  <c r="AN46" i="71"/>
  <c r="AK46" i="71"/>
  <c r="BC46" i="71"/>
  <c r="AH46" i="71"/>
  <c r="AY46" i="71"/>
  <c r="AV62" i="71"/>
  <c r="AK460" i="110" s="1"/>
  <c r="AN62" i="71"/>
  <c r="K460" i="110" s="1"/>
  <c r="AK62" i="71"/>
  <c r="BC62" i="71"/>
  <c r="AH62" i="71"/>
  <c r="AY62" i="71"/>
  <c r="AV78" i="71"/>
  <c r="AK468" i="110" s="1"/>
  <c r="AN78" i="71"/>
  <c r="AK78" i="71"/>
  <c r="BC78" i="71"/>
  <c r="AH78" i="71"/>
  <c r="AY78" i="71"/>
  <c r="AV110" i="71"/>
  <c r="AK484" i="110" s="1"/>
  <c r="AN110" i="71"/>
  <c r="J484" i="110" s="1"/>
  <c r="AH110" i="71"/>
  <c r="AK110" i="71"/>
  <c r="BC110" i="71"/>
  <c r="AY110" i="71"/>
  <c r="BC64" i="71"/>
  <c r="AK64" i="71"/>
  <c r="AV64" i="71"/>
  <c r="AK461" i="110" s="1"/>
  <c r="AH64" i="71"/>
  <c r="AX64" i="71"/>
  <c r="AN64" i="71"/>
  <c r="S461" i="110" s="1"/>
  <c r="AZ80" i="71"/>
  <c r="BC66" i="71"/>
  <c r="AK66" i="71"/>
  <c r="AH66" i="71"/>
  <c r="AN66" i="71"/>
  <c r="J462" i="110" s="1"/>
  <c r="AV66" i="71"/>
  <c r="AK462" i="110" s="1"/>
  <c r="AY42" i="71"/>
  <c r="AZ82" i="71"/>
  <c r="AY98" i="71"/>
  <c r="BB114" i="71"/>
  <c r="BC72" i="71"/>
  <c r="AN72" i="71"/>
  <c r="I465" i="110" s="1"/>
  <c r="AV72" i="71"/>
  <c r="AK465" i="110" s="1"/>
  <c r="AH72" i="71"/>
  <c r="AK72" i="71"/>
  <c r="BC106" i="71"/>
  <c r="AH106" i="71"/>
  <c r="AK106" i="71"/>
  <c r="AN106" i="71"/>
  <c r="AL482" i="110" s="1"/>
  <c r="AV106" i="71"/>
  <c r="AK482" i="110" s="1"/>
  <c r="BC58" i="71"/>
  <c r="AK58" i="71"/>
  <c r="AN58" i="71"/>
  <c r="S458" i="110" s="1"/>
  <c r="AH58" i="71"/>
  <c r="AV58" i="71"/>
  <c r="AK458" i="110" s="1"/>
  <c r="BC112" i="71"/>
  <c r="AV112" i="71"/>
  <c r="AK485" i="110" s="1"/>
  <c r="AN112" i="71"/>
  <c r="J485" i="110" s="1"/>
  <c r="AH112" i="71"/>
  <c r="AK112" i="71"/>
  <c r="AX112" i="71"/>
  <c r="AZ62" i="71"/>
  <c r="AZ78" i="71"/>
  <c r="AZ110" i="71"/>
  <c r="BC104" i="71"/>
  <c r="AN104" i="71"/>
  <c r="AL481" i="110" s="1"/>
  <c r="AV104" i="71"/>
  <c r="AK481" i="110" s="1"/>
  <c r="AK104" i="71"/>
  <c r="AH104" i="71"/>
  <c r="BC56" i="71"/>
  <c r="AN56" i="71"/>
  <c r="J457" i="110" s="1"/>
  <c r="AV56" i="71"/>
  <c r="AK457" i="110" s="1"/>
  <c r="AH56" i="71"/>
  <c r="AK56" i="71"/>
  <c r="AZ64" i="71"/>
  <c r="AZ104" i="71"/>
  <c r="AX42" i="71"/>
  <c r="AZ66" i="71"/>
  <c r="AY82" i="71"/>
  <c r="BB74" i="71"/>
  <c r="BC80" i="71"/>
  <c r="AK80" i="71"/>
  <c r="AV80" i="71"/>
  <c r="AK469" i="110" s="1"/>
  <c r="AH80" i="71"/>
  <c r="AN80" i="71"/>
  <c r="AX80" i="71"/>
  <c r="AK98" i="71"/>
  <c r="BB44" i="71"/>
  <c r="BC40" i="71"/>
  <c r="AN40" i="71"/>
  <c r="R449" i="110" s="1"/>
  <c r="AV40" i="71"/>
  <c r="AK449" i="110" s="1"/>
  <c r="AH40" i="71"/>
  <c r="AK40" i="71"/>
  <c r="AZ72" i="71"/>
  <c r="AV38" i="71"/>
  <c r="AK448" i="110" s="1"/>
  <c r="AN38" i="71"/>
  <c r="J448" i="110" s="1"/>
  <c r="AK38" i="71"/>
  <c r="AH38" i="71"/>
  <c r="BC38" i="71"/>
  <c r="AX38" i="71"/>
  <c r="AV54" i="71"/>
  <c r="AK456" i="110" s="1"/>
  <c r="AH54" i="71"/>
  <c r="AV70" i="71"/>
  <c r="AK464" i="110" s="1"/>
  <c r="AN70" i="71"/>
  <c r="J464" i="110" s="1"/>
  <c r="AK70" i="71"/>
  <c r="AH70" i="71"/>
  <c r="BC70" i="71"/>
  <c r="AX70" i="71"/>
  <c r="AN86" i="71"/>
  <c r="AL472" i="110" s="1"/>
  <c r="AX86" i="71"/>
  <c r="AV102" i="71"/>
  <c r="AK480" i="110" s="1"/>
  <c r="AN102" i="71"/>
  <c r="S480" i="110" s="1"/>
  <c r="AH102" i="71"/>
  <c r="AK102" i="71"/>
  <c r="BC102" i="71"/>
  <c r="AX102" i="71"/>
  <c r="BC48" i="71"/>
  <c r="AK48" i="71"/>
  <c r="AV48" i="71"/>
  <c r="AK453" i="110" s="1"/>
  <c r="AH48" i="71"/>
  <c r="AX48" i="71"/>
  <c r="AN48" i="71"/>
  <c r="I453" i="110" s="1"/>
  <c r="AZ56" i="71"/>
  <c r="AY64" i="71"/>
  <c r="BC88" i="71"/>
  <c r="AN88" i="71"/>
  <c r="I473" i="110" s="1"/>
  <c r="AV88" i="71"/>
  <c r="AK473" i="110" s="1"/>
  <c r="AK88" i="71"/>
  <c r="AH88" i="71"/>
  <c r="AY104" i="71"/>
  <c r="AZ58" i="71"/>
  <c r="AY66" i="71"/>
  <c r="AX82" i="71"/>
  <c r="AZ106" i="71"/>
  <c r="AX72" i="71"/>
  <c r="BB64" i="71"/>
  <c r="BB46" i="71"/>
  <c r="BB70" i="71"/>
  <c r="BB38" i="71"/>
  <c r="BB82" i="71"/>
  <c r="BB72" i="71"/>
  <c r="BB36" i="71"/>
  <c r="BB104" i="71"/>
  <c r="BB112" i="71"/>
  <c r="BB106" i="71"/>
  <c r="BB88" i="71"/>
  <c r="BB102" i="71"/>
  <c r="BB56" i="71"/>
  <c r="BB58" i="71"/>
  <c r="BB66" i="71"/>
  <c r="BB48" i="71"/>
  <c r="BB40" i="71"/>
  <c r="BB80" i="71"/>
  <c r="BB62" i="71"/>
  <c r="BB42" i="71"/>
  <c r="BA55" i="14"/>
  <c r="D95" i="106"/>
  <c r="AU18" i="71"/>
  <c r="AU20" i="71"/>
  <c r="AU22" i="71"/>
  <c r="AU24" i="71"/>
  <c r="AU26" i="71"/>
  <c r="AU28" i="71"/>
  <c r="AU30" i="71"/>
  <c r="AU32" i="71"/>
  <c r="AU16" i="71"/>
  <c r="AU16" i="13"/>
  <c r="AU16" i="69"/>
  <c r="I16" i="62"/>
  <c r="BE16" i="62" s="1"/>
  <c r="AW55" i="14"/>
  <c r="AC23" i="14"/>
  <c r="AC22" i="14"/>
  <c r="O22" i="14"/>
  <c r="AC21" i="14"/>
  <c r="AI18" i="113"/>
  <c r="AI20" i="113"/>
  <c r="AI22" i="113"/>
  <c r="AI24" i="113"/>
  <c r="AI26" i="113"/>
  <c r="AI28" i="113"/>
  <c r="AI30" i="113"/>
  <c r="AI32" i="113"/>
  <c r="AI34" i="113"/>
  <c r="AI16" i="113"/>
  <c r="T18" i="113"/>
  <c r="T20" i="113"/>
  <c r="T22" i="113"/>
  <c r="T24" i="113"/>
  <c r="T26" i="113"/>
  <c r="T28" i="113"/>
  <c r="T30" i="113"/>
  <c r="T32" i="113"/>
  <c r="T34" i="113"/>
  <c r="T16" i="113"/>
  <c r="N18" i="113"/>
  <c r="AA267" i="110" s="1"/>
  <c r="N20" i="113"/>
  <c r="AA268" i="110" s="1"/>
  <c r="N22" i="113"/>
  <c r="AA269" i="110" s="1"/>
  <c r="N24" i="113"/>
  <c r="AA270" i="110" s="1"/>
  <c r="N26" i="113"/>
  <c r="AA271" i="110" s="1"/>
  <c r="N28" i="113"/>
  <c r="AA272" i="110" s="1"/>
  <c r="N30" i="113"/>
  <c r="AA273" i="110" s="1"/>
  <c r="N32" i="113"/>
  <c r="AA274" i="110" s="1"/>
  <c r="N34" i="113"/>
  <c r="AA275" i="110" s="1"/>
  <c r="N16" i="113"/>
  <c r="AA266" i="110" s="1"/>
  <c r="AI16" i="66"/>
  <c r="T18" i="66"/>
  <c r="BE18" i="66" s="1"/>
  <c r="T20" i="66"/>
  <c r="T22" i="66"/>
  <c r="T24" i="66"/>
  <c r="T26" i="66"/>
  <c r="BE26" i="66" s="1"/>
  <c r="T28" i="66"/>
  <c r="T30" i="66"/>
  <c r="T32" i="66"/>
  <c r="T34" i="66"/>
  <c r="T16" i="66"/>
  <c r="N18" i="66"/>
  <c r="N20" i="66"/>
  <c r="N22" i="66"/>
  <c r="N24" i="66"/>
  <c r="N26" i="66"/>
  <c r="N28" i="66"/>
  <c r="N30" i="66"/>
  <c r="N32" i="66"/>
  <c r="N34" i="66"/>
  <c r="N16" i="66"/>
  <c r="AI18" i="65"/>
  <c r="AI20" i="65"/>
  <c r="AI24" i="65"/>
  <c r="AI26" i="65"/>
  <c r="AI28" i="65"/>
  <c r="AI30" i="65"/>
  <c r="AI32" i="65"/>
  <c r="AI34" i="65"/>
  <c r="AI16" i="65"/>
  <c r="T18" i="65"/>
  <c r="T20" i="65"/>
  <c r="T22" i="65"/>
  <c r="T24" i="65"/>
  <c r="T26" i="65"/>
  <c r="T28" i="65"/>
  <c r="T30" i="65"/>
  <c r="T32" i="65"/>
  <c r="T34" i="65"/>
  <c r="T16" i="65"/>
  <c r="N18" i="65"/>
  <c r="N20" i="65"/>
  <c r="N22" i="65"/>
  <c r="N24" i="65"/>
  <c r="N26" i="65"/>
  <c r="N28" i="65"/>
  <c r="N30" i="65"/>
  <c r="N32" i="65"/>
  <c r="N34" i="65"/>
  <c r="N16" i="65"/>
  <c r="AI18" i="64"/>
  <c r="AI20" i="64"/>
  <c r="AI24" i="64"/>
  <c r="AI26" i="64"/>
  <c r="AI28" i="64"/>
  <c r="AI30" i="64"/>
  <c r="AI32" i="64"/>
  <c r="AI34" i="64"/>
  <c r="AI16" i="64"/>
  <c r="T16" i="64"/>
  <c r="AA158" i="110"/>
  <c r="AA159" i="110"/>
  <c r="AA160" i="110"/>
  <c r="AA161" i="110"/>
  <c r="AA162" i="110"/>
  <c r="AA163" i="110"/>
  <c r="AA164" i="110"/>
  <c r="AA165" i="110"/>
  <c r="AA166" i="110"/>
  <c r="N16" i="64"/>
  <c r="AI16" i="62"/>
  <c r="AN16" i="62" s="1"/>
  <c r="I18" i="62"/>
  <c r="I20" i="62"/>
  <c r="I22" i="62"/>
  <c r="I24" i="62"/>
  <c r="I26" i="62"/>
  <c r="I28" i="62"/>
  <c r="I30" i="62"/>
  <c r="I32" i="62"/>
  <c r="AI16" i="12"/>
  <c r="Y5" i="110"/>
  <c r="Y6" i="110"/>
  <c r="Y7" i="110"/>
  <c r="Y9" i="110"/>
  <c r="Y10" i="110"/>
  <c r="Y11" i="110"/>
  <c r="Y12" i="110"/>
  <c r="Q36" i="12"/>
  <c r="Q38" i="12"/>
  <c r="Y15" i="110" s="1"/>
  <c r="Q40" i="12"/>
  <c r="Y16" i="110" s="1"/>
  <c r="Q42" i="12"/>
  <c r="Y17" i="110" s="1"/>
  <c r="Q44" i="12"/>
  <c r="Y18" i="110" s="1"/>
  <c r="Y4" i="110"/>
  <c r="I26" i="12"/>
  <c r="I28" i="12"/>
  <c r="I30" i="12"/>
  <c r="I32" i="12"/>
  <c r="I34" i="12"/>
  <c r="I36" i="12"/>
  <c r="I38" i="12"/>
  <c r="I40" i="12"/>
  <c r="I42" i="12"/>
  <c r="I44" i="12"/>
  <c r="I6" i="110"/>
  <c r="I9" i="110"/>
  <c r="I10" i="110"/>
  <c r="I12" i="110"/>
  <c r="I13" i="110"/>
  <c r="AE36" i="12"/>
  <c r="I14" i="110" s="1"/>
  <c r="AE38" i="12"/>
  <c r="AE40" i="12"/>
  <c r="I16" i="110" s="1"/>
  <c r="AE42" i="12"/>
  <c r="I17" i="110" s="1"/>
  <c r="AE44" i="12"/>
  <c r="I18" i="110" s="1"/>
  <c r="AB5" i="110"/>
  <c r="AO5" i="110" s="1"/>
  <c r="AB6" i="110"/>
  <c r="AO6" i="110" s="1"/>
  <c r="AB7" i="110"/>
  <c r="AO7" i="110" s="1"/>
  <c r="AB8" i="110"/>
  <c r="AO8" i="110" s="1"/>
  <c r="AB9" i="110"/>
  <c r="AO9" i="110" s="1"/>
  <c r="AB10" i="110"/>
  <c r="AO10" i="110" s="1"/>
  <c r="AB11" i="110"/>
  <c r="AO11" i="110" s="1"/>
  <c r="AB12" i="110"/>
  <c r="AO12" i="110" s="1"/>
  <c r="AB13" i="110"/>
  <c r="AO13" i="110" s="1"/>
  <c r="AB14" i="110"/>
  <c r="AO14" i="110" s="1"/>
  <c r="AB15" i="110"/>
  <c r="AO15" i="110" s="1"/>
  <c r="AB16" i="110"/>
  <c r="AO16" i="110" s="1"/>
  <c r="AB17" i="110"/>
  <c r="AO17" i="110" s="1"/>
  <c r="AB18" i="110"/>
  <c r="AO18" i="110" s="1"/>
  <c r="AB19" i="110"/>
  <c r="AO19" i="110" s="1"/>
  <c r="AB20" i="110"/>
  <c r="AO20" i="110" s="1"/>
  <c r="AB21" i="110"/>
  <c r="AO21" i="110" s="1"/>
  <c r="AB38" i="110"/>
  <c r="AO38" i="110" s="1"/>
  <c r="AB39" i="110"/>
  <c r="AO39" i="110" s="1"/>
  <c r="AB40" i="110"/>
  <c r="AO40" i="110" s="1"/>
  <c r="AB41" i="110"/>
  <c r="AO41" i="110" s="1"/>
  <c r="AB42" i="110"/>
  <c r="AO42" i="110" s="1"/>
  <c r="AB43" i="110"/>
  <c r="AO43" i="110" s="1"/>
  <c r="AB44" i="110"/>
  <c r="AO44" i="110" s="1"/>
  <c r="AB45" i="110"/>
  <c r="AO45" i="110" s="1"/>
  <c r="AB46" i="110"/>
  <c r="AO46" i="110" s="1"/>
  <c r="AB47" i="110"/>
  <c r="AO47" i="110" s="1"/>
  <c r="AB48" i="110"/>
  <c r="AO48" i="110" s="1"/>
  <c r="AB49" i="110"/>
  <c r="AO49" i="110" s="1"/>
  <c r="AB50" i="110"/>
  <c r="AO50" i="110" s="1"/>
  <c r="AB4" i="110"/>
  <c r="AO4" i="110" s="1"/>
  <c r="AA5" i="110"/>
  <c r="AA6" i="110"/>
  <c r="AA7" i="110"/>
  <c r="AA8" i="110"/>
  <c r="AA9" i="110"/>
  <c r="AA10" i="110"/>
  <c r="AA11" i="110"/>
  <c r="AA12" i="110"/>
  <c r="AA13" i="110"/>
  <c r="AA14" i="110"/>
  <c r="AA15" i="110"/>
  <c r="AA16" i="110"/>
  <c r="AA17" i="110"/>
  <c r="AA18" i="110"/>
  <c r="AA19" i="110"/>
  <c r="AA20" i="110"/>
  <c r="AA21" i="110"/>
  <c r="AA38" i="110"/>
  <c r="AA39" i="110"/>
  <c r="AA40" i="110"/>
  <c r="AA41" i="110"/>
  <c r="AA42" i="110"/>
  <c r="AA43" i="110"/>
  <c r="AA44" i="110"/>
  <c r="AA45" i="110"/>
  <c r="AA46" i="110"/>
  <c r="AA47" i="110"/>
  <c r="AA48" i="110"/>
  <c r="AA49" i="110"/>
  <c r="AA50" i="110"/>
  <c r="AA4" i="110"/>
  <c r="M5" i="110"/>
  <c r="M6" i="110"/>
  <c r="M7" i="110"/>
  <c r="M8" i="110"/>
  <c r="M9" i="110"/>
  <c r="M10" i="110"/>
  <c r="M11" i="110"/>
  <c r="M12" i="110"/>
  <c r="M13" i="110"/>
  <c r="M14" i="110"/>
  <c r="M15" i="110"/>
  <c r="M16" i="110"/>
  <c r="M17" i="110"/>
  <c r="M18" i="110"/>
  <c r="M19" i="110"/>
  <c r="M20" i="110"/>
  <c r="M21" i="110"/>
  <c r="M38" i="110"/>
  <c r="M39" i="110"/>
  <c r="M40" i="110"/>
  <c r="M41" i="110"/>
  <c r="M42" i="110"/>
  <c r="M43" i="110"/>
  <c r="M44" i="110"/>
  <c r="M45" i="110"/>
  <c r="M46" i="110"/>
  <c r="M47" i="110"/>
  <c r="M48" i="110"/>
  <c r="M49" i="110"/>
  <c r="M50" i="110"/>
  <c r="M4" i="110"/>
  <c r="AB18" i="71"/>
  <c r="AB20" i="71"/>
  <c r="AF20" i="71" s="1"/>
  <c r="I5" i="110"/>
  <c r="A46" i="110"/>
  <c r="F46" i="110"/>
  <c r="G46" i="110"/>
  <c r="Z46" i="110"/>
  <c r="AD46" i="110"/>
  <c r="A47" i="110"/>
  <c r="F47" i="110"/>
  <c r="G47" i="110"/>
  <c r="Z47" i="110"/>
  <c r="AD47" i="110"/>
  <c r="A48" i="110"/>
  <c r="F48" i="110"/>
  <c r="G48" i="110"/>
  <c r="Z48" i="110"/>
  <c r="AD48" i="110"/>
  <c r="A49" i="110"/>
  <c r="F49" i="110"/>
  <c r="G49" i="110"/>
  <c r="Z49" i="110"/>
  <c r="AD49" i="110"/>
  <c r="AA186" i="110"/>
  <c r="H186" i="110"/>
  <c r="AN34" i="64"/>
  <c r="AA168" i="110"/>
  <c r="AN38" i="64"/>
  <c r="H168" i="110" s="1"/>
  <c r="N50" i="64"/>
  <c r="T50" i="64"/>
  <c r="AI50" i="64"/>
  <c r="AK50" i="64"/>
  <c r="AN50" i="64"/>
  <c r="N52" i="64"/>
  <c r="T52" i="64"/>
  <c r="AI52" i="64"/>
  <c r="AK52" i="64"/>
  <c r="AN52" i="64"/>
  <c r="N56" i="64"/>
  <c r="T56" i="64"/>
  <c r="AI56" i="64"/>
  <c r="AK56" i="64"/>
  <c r="AN56" i="64"/>
  <c r="N58" i="64"/>
  <c r="T58" i="64"/>
  <c r="AI58" i="64"/>
  <c r="AK58" i="64"/>
  <c r="AN58" i="64"/>
  <c r="N60" i="64"/>
  <c r="T60" i="64"/>
  <c r="AI60" i="64"/>
  <c r="AK60" i="64"/>
  <c r="AN60" i="64"/>
  <c r="N62" i="64"/>
  <c r="T62" i="64"/>
  <c r="AI62" i="64"/>
  <c r="AK62" i="64"/>
  <c r="AN62" i="64"/>
  <c r="N64" i="64"/>
  <c r="T64" i="64"/>
  <c r="AI64" i="64"/>
  <c r="AK64" i="64"/>
  <c r="AN64" i="64"/>
  <c r="N66" i="64"/>
  <c r="T66" i="64"/>
  <c r="AI66" i="64"/>
  <c r="AK66" i="64"/>
  <c r="AN66" i="64"/>
  <c r="N68" i="64"/>
  <c r="T68" i="64"/>
  <c r="AI68" i="64"/>
  <c r="AK68" i="64"/>
  <c r="AN68" i="64"/>
  <c r="N70" i="64"/>
  <c r="T70" i="64"/>
  <c r="AI70" i="64"/>
  <c r="AK70" i="64"/>
  <c r="AN70" i="64"/>
  <c r="N72" i="64"/>
  <c r="T72" i="64"/>
  <c r="AI72" i="64"/>
  <c r="AK72" i="64"/>
  <c r="AN72" i="64"/>
  <c r="N74" i="64"/>
  <c r="T74" i="64"/>
  <c r="AI74" i="64"/>
  <c r="AK74" i="64"/>
  <c r="AN74" i="64"/>
  <c r="N76" i="64"/>
  <c r="T76" i="64"/>
  <c r="AI76" i="64"/>
  <c r="AK76" i="64"/>
  <c r="AN76" i="64"/>
  <c r="N78" i="64"/>
  <c r="T78" i="64"/>
  <c r="AI78" i="64"/>
  <c r="AK78" i="64"/>
  <c r="AN78" i="64"/>
  <c r="N80" i="64"/>
  <c r="T80" i="64"/>
  <c r="AI80" i="64"/>
  <c r="AK80" i="64"/>
  <c r="AN80" i="64"/>
  <c r="N82" i="64"/>
  <c r="T82" i="64"/>
  <c r="AI82" i="64"/>
  <c r="AK82" i="64"/>
  <c r="AN82" i="64"/>
  <c r="N84" i="64"/>
  <c r="T84" i="64"/>
  <c r="AI84" i="64"/>
  <c r="AK84" i="64"/>
  <c r="AN84" i="64"/>
  <c r="N86" i="64"/>
  <c r="T86" i="64"/>
  <c r="AI86" i="64"/>
  <c r="AK86" i="64"/>
  <c r="AN86" i="64"/>
  <c r="N88" i="64"/>
  <c r="T88" i="64"/>
  <c r="AI88" i="64"/>
  <c r="AK88" i="64"/>
  <c r="AN88" i="64"/>
  <c r="N90" i="64"/>
  <c r="T90" i="64"/>
  <c r="AI90" i="64"/>
  <c r="AK90" i="64"/>
  <c r="AN90" i="64"/>
  <c r="N92" i="64"/>
  <c r="T92" i="64"/>
  <c r="AI92" i="64"/>
  <c r="AK92" i="64"/>
  <c r="AN92" i="64"/>
  <c r="AJ473" i="110"/>
  <c r="AJ474" i="110"/>
  <c r="AJ475" i="110"/>
  <c r="AJ476" i="110"/>
  <c r="AJ477" i="110"/>
  <c r="AJ478" i="110"/>
  <c r="AJ479" i="110"/>
  <c r="AJ480" i="110"/>
  <c r="AJ481" i="110"/>
  <c r="AJ482" i="110"/>
  <c r="AJ483" i="110"/>
  <c r="AJ484" i="110"/>
  <c r="AJ485" i="110"/>
  <c r="AJ486" i="110"/>
  <c r="AJ437" i="110"/>
  <c r="AD473" i="110"/>
  <c r="AD474" i="110"/>
  <c r="AD475" i="110"/>
  <c r="AD476" i="110"/>
  <c r="AD477" i="110"/>
  <c r="AD478" i="110"/>
  <c r="AD479" i="110"/>
  <c r="AD480" i="110"/>
  <c r="AD481" i="110"/>
  <c r="AD482" i="110"/>
  <c r="AD483" i="110"/>
  <c r="AD484" i="110"/>
  <c r="AD485" i="110"/>
  <c r="AD486" i="110"/>
  <c r="AD437" i="110"/>
  <c r="O18" i="13"/>
  <c r="O26" i="13"/>
  <c r="O28" i="13"/>
  <c r="BH28" i="13" s="1"/>
  <c r="O30" i="13"/>
  <c r="O32" i="13"/>
  <c r="O34" i="13"/>
  <c r="O36" i="13"/>
  <c r="O38" i="13"/>
  <c r="O40" i="13"/>
  <c r="O42" i="13"/>
  <c r="O44" i="13"/>
  <c r="O46" i="13"/>
  <c r="O48" i="13"/>
  <c r="O50" i="13"/>
  <c r="O52" i="13"/>
  <c r="O54" i="13"/>
  <c r="O56" i="13"/>
  <c r="O58" i="13"/>
  <c r="O60" i="13"/>
  <c r="AB32" i="71"/>
  <c r="AB30" i="71"/>
  <c r="H444" i="110" s="1"/>
  <c r="AB28" i="71"/>
  <c r="AF28" i="71"/>
  <c r="AH28" i="71" s="1"/>
  <c r="AB26" i="71"/>
  <c r="AF26" i="71" s="1"/>
  <c r="AB24" i="71"/>
  <c r="AF24" i="71"/>
  <c r="AB22" i="71"/>
  <c r="AB91" i="110"/>
  <c r="AO91" i="110" s="1"/>
  <c r="AB92" i="110"/>
  <c r="AO92" i="110" s="1"/>
  <c r="AB93" i="110"/>
  <c r="AO93" i="110" s="1"/>
  <c r="AB94" i="110"/>
  <c r="AO94" i="110" s="1"/>
  <c r="AB95" i="110"/>
  <c r="AO95" i="110" s="1"/>
  <c r="AB96" i="110"/>
  <c r="AO96" i="110" s="1"/>
  <c r="AB97" i="110"/>
  <c r="AO97" i="110" s="1"/>
  <c r="AB98" i="110"/>
  <c r="AO98" i="110" s="1"/>
  <c r="AB99" i="110"/>
  <c r="AO99" i="110" s="1"/>
  <c r="AB100" i="110"/>
  <c r="AO100" i="110" s="1"/>
  <c r="AB101" i="110"/>
  <c r="AO101" i="110" s="1"/>
  <c r="AB102" i="110"/>
  <c r="AO102" i="110" s="1"/>
  <c r="AB103" i="110"/>
  <c r="AO103" i="110" s="1"/>
  <c r="AB55" i="110"/>
  <c r="AO55" i="110" s="1"/>
  <c r="AU2" i="110"/>
  <c r="AK394" i="110"/>
  <c r="BZ2" i="110"/>
  <c r="BY2" i="110"/>
  <c r="M200" i="80"/>
  <c r="BB16" i="69"/>
  <c r="AV6" i="70"/>
  <c r="AV6" i="113"/>
  <c r="AV6" i="66"/>
  <c r="AV6" i="65"/>
  <c r="AV6" i="64"/>
  <c r="AV6" i="63"/>
  <c r="AV6" i="62"/>
  <c r="AV6" i="12"/>
  <c r="AN26" i="65"/>
  <c r="AN28" i="65"/>
  <c r="AN30" i="65"/>
  <c r="H181" i="110" s="1"/>
  <c r="AN32" i="65"/>
  <c r="AN34" i="65"/>
  <c r="AN18" i="65"/>
  <c r="AN28" i="64"/>
  <c r="AN32" i="64"/>
  <c r="M267" i="110"/>
  <c r="M268" i="110"/>
  <c r="M269" i="110"/>
  <c r="M270" i="110"/>
  <c r="M271" i="110"/>
  <c r="M272" i="110"/>
  <c r="M273" i="110"/>
  <c r="M274" i="110"/>
  <c r="M275" i="110"/>
  <c r="M276" i="110"/>
  <c r="P276" i="110"/>
  <c r="R276" i="110"/>
  <c r="C276" i="110" s="1"/>
  <c r="B276" i="110" s="1"/>
  <c r="W276" i="110"/>
  <c r="M277" i="110"/>
  <c r="P277" i="110"/>
  <c r="R277" i="110"/>
  <c r="C277" i="110" s="1"/>
  <c r="B277" i="110" s="1"/>
  <c r="W277" i="110"/>
  <c r="M278" i="110"/>
  <c r="P278" i="110"/>
  <c r="R278" i="110"/>
  <c r="C278" i="110" s="1"/>
  <c r="B278" i="110" s="1"/>
  <c r="W278" i="110"/>
  <c r="M279" i="110"/>
  <c r="P279" i="110"/>
  <c r="R279" i="110"/>
  <c r="C279" i="110" s="1"/>
  <c r="B279" i="110" s="1"/>
  <c r="W279" i="110"/>
  <c r="M280" i="110"/>
  <c r="P280" i="110"/>
  <c r="R280" i="110"/>
  <c r="C280" i="110" s="1"/>
  <c r="B280" i="110" s="1"/>
  <c r="W280" i="110"/>
  <c r="M266" i="110"/>
  <c r="M251" i="110"/>
  <c r="M252" i="110"/>
  <c r="M253" i="110"/>
  <c r="M254" i="110"/>
  <c r="M255" i="110"/>
  <c r="M256" i="110"/>
  <c r="M257" i="110"/>
  <c r="M258" i="110"/>
  <c r="M259" i="110"/>
  <c r="M260" i="110"/>
  <c r="M261" i="110"/>
  <c r="M262" i="110"/>
  <c r="M263" i="110"/>
  <c r="AN20" i="113"/>
  <c r="AN22" i="113"/>
  <c r="AN24" i="113"/>
  <c r="AN26" i="113"/>
  <c r="AN28" i="113"/>
  <c r="H272" i="110" s="1"/>
  <c r="AN30" i="113"/>
  <c r="AN32" i="113"/>
  <c r="AN34" i="113"/>
  <c r="AN18" i="113"/>
  <c r="H267" i="110" s="1"/>
  <c r="R219" i="110"/>
  <c r="W220" i="110"/>
  <c r="R223" i="110"/>
  <c r="M175" i="110"/>
  <c r="M176" i="110"/>
  <c r="M177" i="110"/>
  <c r="M178" i="110"/>
  <c r="M179" i="110"/>
  <c r="M180" i="110"/>
  <c r="M181" i="110"/>
  <c r="M182" i="110"/>
  <c r="M183" i="110"/>
  <c r="M186" i="110"/>
  <c r="M158" i="110"/>
  <c r="M159" i="110"/>
  <c r="M160" i="110"/>
  <c r="M161" i="110"/>
  <c r="M162" i="110"/>
  <c r="M163" i="110"/>
  <c r="M164" i="110"/>
  <c r="M165" i="110"/>
  <c r="M166" i="110"/>
  <c r="M167" i="110"/>
  <c r="M142" i="110"/>
  <c r="M143" i="110"/>
  <c r="M144" i="110"/>
  <c r="M145" i="110"/>
  <c r="M146" i="110"/>
  <c r="M147" i="110"/>
  <c r="M148" i="110"/>
  <c r="M149" i="110"/>
  <c r="M150" i="110"/>
  <c r="M151" i="110"/>
  <c r="M152" i="110"/>
  <c r="M153" i="110"/>
  <c r="M154" i="110"/>
  <c r="M157" i="110"/>
  <c r="F26" i="70"/>
  <c r="F24" i="70"/>
  <c r="Y24" i="70" s="1"/>
  <c r="F22" i="70"/>
  <c r="Z75" i="111"/>
  <c r="Q75" i="111"/>
  <c r="H75" i="111"/>
  <c r="Z74" i="111"/>
  <c r="Q74" i="111"/>
  <c r="H74" i="111"/>
  <c r="Z73" i="111"/>
  <c r="Q73" i="111"/>
  <c r="H73" i="111"/>
  <c r="Z72" i="111"/>
  <c r="Q72" i="111"/>
  <c r="H72" i="111"/>
  <c r="Z71" i="111"/>
  <c r="Q71" i="111"/>
  <c r="H71" i="111"/>
  <c r="Z70" i="111"/>
  <c r="Q70" i="111"/>
  <c r="H70" i="111"/>
  <c r="Z69" i="111"/>
  <c r="Q69" i="111"/>
  <c r="H69" i="111"/>
  <c r="Z68" i="111"/>
  <c r="Q68" i="111"/>
  <c r="H68" i="111"/>
  <c r="Z67" i="111"/>
  <c r="Q67" i="111"/>
  <c r="H67" i="111"/>
  <c r="Z66" i="111"/>
  <c r="Q66" i="111"/>
  <c r="H66" i="111"/>
  <c r="Z65" i="111"/>
  <c r="Q65" i="111"/>
  <c r="H65" i="111"/>
  <c r="Z64" i="111"/>
  <c r="Q64" i="111"/>
  <c r="H64" i="111"/>
  <c r="Z63" i="111"/>
  <c r="Q63" i="111"/>
  <c r="H63" i="111"/>
  <c r="Z62" i="111"/>
  <c r="Q62" i="111"/>
  <c r="H62" i="111"/>
  <c r="Z61" i="111"/>
  <c r="Q61" i="111"/>
  <c r="H61" i="111"/>
  <c r="Z60" i="111"/>
  <c r="Q60" i="111"/>
  <c r="H60" i="111"/>
  <c r="Z59" i="111"/>
  <c r="Q59" i="111"/>
  <c r="H59" i="111"/>
  <c r="Z58" i="111"/>
  <c r="Q58" i="111"/>
  <c r="H58" i="111"/>
  <c r="Z57" i="111"/>
  <c r="Q57" i="111"/>
  <c r="H57" i="111"/>
  <c r="Z56" i="111"/>
  <c r="Q56" i="111"/>
  <c r="H56" i="111"/>
  <c r="Z55" i="111"/>
  <c r="Q55" i="111"/>
  <c r="H55" i="111"/>
  <c r="Z54" i="111"/>
  <c r="Q54" i="111"/>
  <c r="H54" i="111"/>
  <c r="Z53" i="111"/>
  <c r="Q53" i="111"/>
  <c r="H53" i="111"/>
  <c r="Z52" i="111"/>
  <c r="Q52" i="111"/>
  <c r="H52" i="111"/>
  <c r="Z51" i="111"/>
  <c r="Q51" i="111"/>
  <c r="H51" i="111"/>
  <c r="Z50" i="111"/>
  <c r="Q50" i="111"/>
  <c r="H50" i="111"/>
  <c r="Z49" i="111"/>
  <c r="Q49" i="111"/>
  <c r="H49" i="111"/>
  <c r="Z48" i="111"/>
  <c r="Q48" i="111"/>
  <c r="H48" i="111"/>
  <c r="Z47" i="111"/>
  <c r="Q47" i="111"/>
  <c r="Q76" i="111" s="1"/>
  <c r="H47" i="111"/>
  <c r="Z46" i="111"/>
  <c r="Z76" i="111" s="1"/>
  <c r="Q46" i="111"/>
  <c r="H46" i="111"/>
  <c r="H76" i="111" s="1"/>
  <c r="U28" i="81"/>
  <c r="U27" i="81"/>
  <c r="Y14" i="81"/>
  <c r="F16" i="70"/>
  <c r="AH386" i="110"/>
  <c r="AG386" i="110"/>
  <c r="BW2" i="110"/>
  <c r="M200" i="78"/>
  <c r="AH49" i="79"/>
  <c r="CB2" i="110"/>
  <c r="X21" i="78"/>
  <c r="J21" i="78"/>
  <c r="AC18" i="78"/>
  <c r="O43" i="78"/>
  <c r="AD251" i="110"/>
  <c r="AD252" i="110"/>
  <c r="AD253" i="110"/>
  <c r="AD254" i="110"/>
  <c r="AD255" i="110"/>
  <c r="AD256" i="110"/>
  <c r="AD257" i="110"/>
  <c r="AD258" i="110"/>
  <c r="AD259" i="110"/>
  <c r="AD260" i="110"/>
  <c r="AD261" i="110"/>
  <c r="AD262" i="110"/>
  <c r="AD263" i="110"/>
  <c r="AD215" i="110"/>
  <c r="M215" i="110"/>
  <c r="W32" i="78"/>
  <c r="P32" i="78"/>
  <c r="W31" i="78"/>
  <c r="P31" i="78"/>
  <c r="W30" i="78"/>
  <c r="P30" i="78"/>
  <c r="AD27" i="78"/>
  <c r="AD26" i="78"/>
  <c r="AD25" i="78"/>
  <c r="AD24" i="78"/>
  <c r="AC19" i="79"/>
  <c r="X22" i="79"/>
  <c r="AD26" i="79"/>
  <c r="AD25" i="79"/>
  <c r="AD28" i="79"/>
  <c r="AD27" i="79"/>
  <c r="M200" i="79"/>
  <c r="F20" i="70"/>
  <c r="Z38" i="111"/>
  <c r="Z37" i="111"/>
  <c r="Z36" i="111"/>
  <c r="Z35" i="111"/>
  <c r="Z34" i="111"/>
  <c r="Z33" i="111"/>
  <c r="Z32" i="111"/>
  <c r="Z31" i="111"/>
  <c r="Z30" i="111"/>
  <c r="Z29" i="111"/>
  <c r="Z28" i="111"/>
  <c r="Z27" i="111"/>
  <c r="Z26" i="111"/>
  <c r="Z25" i="111"/>
  <c r="Z24" i="111"/>
  <c r="Z23" i="111"/>
  <c r="Z22" i="111"/>
  <c r="Z21" i="111"/>
  <c r="Z20" i="111"/>
  <c r="Z19" i="111"/>
  <c r="Z18" i="111"/>
  <c r="Z17" i="111"/>
  <c r="Z16" i="111"/>
  <c r="Z15" i="111"/>
  <c r="Z14" i="111"/>
  <c r="Z13" i="111"/>
  <c r="Z12" i="111"/>
  <c r="Z39" i="111" s="1"/>
  <c r="Z11" i="111"/>
  <c r="Z10" i="111"/>
  <c r="Z9" i="111"/>
  <c r="H10" i="111"/>
  <c r="H11" i="111"/>
  <c r="H12" i="111"/>
  <c r="H13" i="111"/>
  <c r="H14" i="111"/>
  <c r="H15" i="111"/>
  <c r="H16" i="111"/>
  <c r="H17" i="111"/>
  <c r="H18" i="111"/>
  <c r="H19" i="111"/>
  <c r="H20" i="111"/>
  <c r="H21" i="111"/>
  <c r="H22" i="111"/>
  <c r="H23" i="111"/>
  <c r="H24" i="111"/>
  <c r="H25" i="111"/>
  <c r="H26" i="111"/>
  <c r="H27" i="111"/>
  <c r="H28" i="111"/>
  <c r="H29" i="111"/>
  <c r="H30" i="111"/>
  <c r="H31" i="111"/>
  <c r="H32" i="111"/>
  <c r="H33" i="111"/>
  <c r="H34" i="111"/>
  <c r="H35" i="111"/>
  <c r="H36" i="111"/>
  <c r="H37" i="111"/>
  <c r="H38" i="111"/>
  <c r="H9" i="111"/>
  <c r="Q10" i="111"/>
  <c r="Q11" i="111"/>
  <c r="Q12" i="111"/>
  <c r="Q13" i="111"/>
  <c r="Q14" i="111"/>
  <c r="Q15" i="111"/>
  <c r="Q16" i="111"/>
  <c r="Q17" i="111"/>
  <c r="Q18" i="111"/>
  <c r="Q19" i="111"/>
  <c r="Q20" i="111"/>
  <c r="Q21" i="111"/>
  <c r="Q22" i="111"/>
  <c r="Q23" i="111"/>
  <c r="Q24" i="111"/>
  <c r="Q25" i="111"/>
  <c r="Q26" i="111"/>
  <c r="Q27" i="111"/>
  <c r="Q28" i="111"/>
  <c r="Q29" i="111"/>
  <c r="Q30" i="111"/>
  <c r="Q31" i="111"/>
  <c r="Q32" i="111"/>
  <c r="Q33" i="111"/>
  <c r="Q34" i="111"/>
  <c r="Q35" i="111"/>
  <c r="Q36" i="111"/>
  <c r="Q37" i="111"/>
  <c r="Q38" i="111"/>
  <c r="Q9" i="111"/>
  <c r="F18" i="70"/>
  <c r="AI473" i="110"/>
  <c r="AI474" i="110"/>
  <c r="AI475" i="110"/>
  <c r="AI476" i="110"/>
  <c r="AI477" i="110"/>
  <c r="AI478" i="110"/>
  <c r="AI479" i="110"/>
  <c r="AI480" i="110"/>
  <c r="AI481" i="110"/>
  <c r="AI482" i="110"/>
  <c r="AI483" i="110"/>
  <c r="AI484" i="110"/>
  <c r="AI485" i="110"/>
  <c r="AI486" i="110"/>
  <c r="AI437" i="110"/>
  <c r="AB473" i="110"/>
  <c r="AB474" i="110"/>
  <c r="AB475" i="110"/>
  <c r="AB476" i="110"/>
  <c r="AB477" i="110"/>
  <c r="AB478" i="110"/>
  <c r="AB479" i="110"/>
  <c r="AB480" i="110"/>
  <c r="AB481" i="110"/>
  <c r="AB482" i="110"/>
  <c r="AB483" i="110"/>
  <c r="AB484" i="110"/>
  <c r="AB485" i="110"/>
  <c r="AB486" i="110"/>
  <c r="AB437" i="110"/>
  <c r="AD386" i="110"/>
  <c r="AC386" i="110"/>
  <c r="AB386" i="110"/>
  <c r="Z386" i="110"/>
  <c r="AH22" i="69"/>
  <c r="BF22" i="69" s="1"/>
  <c r="AD267" i="110"/>
  <c r="AD268" i="110"/>
  <c r="AD269" i="110"/>
  <c r="AD270" i="110"/>
  <c r="AD271" i="110"/>
  <c r="AD272" i="110"/>
  <c r="AD273" i="110"/>
  <c r="AD274" i="110"/>
  <c r="AD275" i="110"/>
  <c r="AD276" i="110"/>
  <c r="AD277" i="110"/>
  <c r="AD278" i="110"/>
  <c r="AD279" i="110"/>
  <c r="AD280" i="110"/>
  <c r="AD266" i="110"/>
  <c r="AB267" i="110"/>
  <c r="AO267" i="110" s="1"/>
  <c r="AB268" i="110"/>
  <c r="AO268" i="110" s="1"/>
  <c r="AB269" i="110"/>
  <c r="AO269" i="110" s="1"/>
  <c r="AB270" i="110"/>
  <c r="AO270" i="110" s="1"/>
  <c r="AB271" i="110"/>
  <c r="AO271" i="110" s="1"/>
  <c r="AB272" i="110"/>
  <c r="AO272" i="110" s="1"/>
  <c r="AB273" i="110"/>
  <c r="AO273" i="110" s="1"/>
  <c r="AB274" i="110"/>
  <c r="AO274" i="110" s="1"/>
  <c r="AB275" i="110"/>
  <c r="AO275" i="110" s="1"/>
  <c r="AB276" i="110"/>
  <c r="AO276" i="110" s="1"/>
  <c r="AB277" i="110"/>
  <c r="AO277" i="110" s="1"/>
  <c r="AB278" i="110"/>
  <c r="AO278" i="110" s="1"/>
  <c r="AB279" i="110"/>
  <c r="AO279" i="110" s="1"/>
  <c r="AB280" i="110"/>
  <c r="AO280" i="110" s="1"/>
  <c r="AB266" i="110"/>
  <c r="AO266" i="110" s="1"/>
  <c r="AA276" i="110"/>
  <c r="AA277" i="110"/>
  <c r="AA278" i="110"/>
  <c r="AA279" i="110"/>
  <c r="AA280" i="110"/>
  <c r="Z267" i="110"/>
  <c r="Z268" i="110"/>
  <c r="Z269" i="110"/>
  <c r="Z270" i="110"/>
  <c r="Z271" i="110"/>
  <c r="Z272" i="110"/>
  <c r="Z273" i="110"/>
  <c r="Z274" i="110"/>
  <c r="Z275" i="110"/>
  <c r="Z276" i="110"/>
  <c r="Z277" i="110"/>
  <c r="Z278" i="110"/>
  <c r="Z279" i="110"/>
  <c r="Z280" i="110"/>
  <c r="Z266" i="110"/>
  <c r="G267" i="110"/>
  <c r="G268" i="110"/>
  <c r="G269" i="110"/>
  <c r="G270" i="110"/>
  <c r="G271" i="110"/>
  <c r="G272" i="110"/>
  <c r="G273" i="110"/>
  <c r="G274" i="110"/>
  <c r="G275" i="110"/>
  <c r="G276" i="110"/>
  <c r="G277" i="110"/>
  <c r="G278" i="110"/>
  <c r="G279" i="110"/>
  <c r="G280" i="110"/>
  <c r="G266" i="110"/>
  <c r="A265" i="110"/>
  <c r="A280" i="110"/>
  <c r="A279" i="110"/>
  <c r="A278" i="110"/>
  <c r="A277" i="110"/>
  <c r="A276" i="110"/>
  <c r="A275" i="110"/>
  <c r="A274" i="110"/>
  <c r="A273" i="110"/>
  <c r="A272" i="110"/>
  <c r="A271" i="110"/>
  <c r="A270" i="110"/>
  <c r="A269" i="110"/>
  <c r="A268" i="110"/>
  <c r="A267" i="110"/>
  <c r="A266" i="110"/>
  <c r="Z360" i="110"/>
  <c r="AB310" i="110"/>
  <c r="AB311" i="110"/>
  <c r="AB312" i="110"/>
  <c r="AB313" i="110"/>
  <c r="AB314" i="110"/>
  <c r="AB309" i="110"/>
  <c r="AA310" i="110"/>
  <c r="AA311" i="110"/>
  <c r="AA312" i="110"/>
  <c r="AA313" i="110"/>
  <c r="AA314" i="110"/>
  <c r="AA309" i="110"/>
  <c r="AB251" i="110"/>
  <c r="AO251" i="110" s="1"/>
  <c r="AB252" i="110"/>
  <c r="AO252" i="110" s="1"/>
  <c r="AB253" i="110"/>
  <c r="AO253" i="110" s="1"/>
  <c r="AB254" i="110"/>
  <c r="AO254" i="110" s="1"/>
  <c r="AB255" i="110"/>
  <c r="AO255" i="110" s="1"/>
  <c r="AB256" i="110"/>
  <c r="AO256" i="110" s="1"/>
  <c r="AB257" i="110"/>
  <c r="AO257" i="110" s="1"/>
  <c r="AB258" i="110"/>
  <c r="AO258" i="110" s="1"/>
  <c r="AB259" i="110"/>
  <c r="AO259" i="110" s="1"/>
  <c r="AB260" i="110"/>
  <c r="AO260" i="110" s="1"/>
  <c r="AB261" i="110"/>
  <c r="AO261" i="110" s="1"/>
  <c r="AB262" i="110"/>
  <c r="AO262" i="110" s="1"/>
  <c r="AB263" i="110"/>
  <c r="AO263" i="110" s="1"/>
  <c r="AB215" i="110"/>
  <c r="AO215" i="110" s="1"/>
  <c r="AB175" i="110"/>
  <c r="AO175" i="110" s="1"/>
  <c r="AB176" i="110"/>
  <c r="AO176" i="110" s="1"/>
  <c r="AB177" i="110"/>
  <c r="AO177" i="110" s="1"/>
  <c r="AB178" i="110"/>
  <c r="AO178" i="110" s="1"/>
  <c r="AB179" i="110"/>
  <c r="AO179" i="110" s="1"/>
  <c r="AB180" i="110"/>
  <c r="AO180" i="110" s="1"/>
  <c r="AB181" i="110"/>
  <c r="AO181" i="110" s="1"/>
  <c r="AB182" i="110"/>
  <c r="AO182" i="110" s="1"/>
  <c r="AB183" i="110"/>
  <c r="AO183" i="110" s="1"/>
  <c r="AB186" i="110"/>
  <c r="AO186" i="110" s="1"/>
  <c r="AB174" i="110"/>
  <c r="AO174" i="110" s="1"/>
  <c r="AB158" i="110"/>
  <c r="AO158" i="110" s="1"/>
  <c r="AB159" i="110"/>
  <c r="AO159" i="110" s="1"/>
  <c r="AB160" i="110"/>
  <c r="AO160" i="110" s="1"/>
  <c r="AB161" i="110"/>
  <c r="AO161" i="110" s="1"/>
  <c r="AB162" i="110"/>
  <c r="AO162" i="110" s="1"/>
  <c r="AB163" i="110"/>
  <c r="AO163" i="110" s="1"/>
  <c r="AB164" i="110"/>
  <c r="AO164" i="110" s="1"/>
  <c r="AB165" i="110"/>
  <c r="AO165" i="110" s="1"/>
  <c r="AB166" i="110"/>
  <c r="AO166" i="110" s="1"/>
  <c r="AO167" i="110"/>
  <c r="AB168" i="110"/>
  <c r="AO168" i="110" s="1"/>
  <c r="AB157" i="110"/>
  <c r="AO157" i="110" s="1"/>
  <c r="U30" i="81"/>
  <c r="AU16" i="113"/>
  <c r="K266" i="110" s="1"/>
  <c r="AU20" i="113"/>
  <c r="K268" i="110" s="1"/>
  <c r="AU22" i="113"/>
  <c r="K269" i="110" s="1"/>
  <c r="AU24" i="113"/>
  <c r="K270" i="110" s="1"/>
  <c r="AU26" i="113"/>
  <c r="K271" i="110" s="1"/>
  <c r="AU28" i="113"/>
  <c r="K272" i="110" s="1"/>
  <c r="AU30" i="113"/>
  <c r="K273" i="110" s="1"/>
  <c r="AU32" i="113"/>
  <c r="K274" i="110" s="1"/>
  <c r="AU34" i="113"/>
  <c r="K275" i="110" s="1"/>
  <c r="AU18" i="113"/>
  <c r="K267" i="110" s="1"/>
  <c r="AB106" i="110"/>
  <c r="AB142" i="110"/>
  <c r="AO142" i="110" s="1"/>
  <c r="AB143" i="110"/>
  <c r="AO143" i="110" s="1"/>
  <c r="AB144" i="110"/>
  <c r="AO144" i="110" s="1"/>
  <c r="AB145" i="110"/>
  <c r="AO145" i="110" s="1"/>
  <c r="AB146" i="110"/>
  <c r="AO146" i="110" s="1"/>
  <c r="AB147" i="110"/>
  <c r="AO147" i="110" s="1"/>
  <c r="AB148" i="110"/>
  <c r="AO148" i="110" s="1"/>
  <c r="AB149" i="110"/>
  <c r="AO149" i="110" s="1"/>
  <c r="AB150" i="110"/>
  <c r="AO150" i="110" s="1"/>
  <c r="AB151" i="110"/>
  <c r="AO151" i="110" s="1"/>
  <c r="AB152" i="110"/>
  <c r="AO152" i="110" s="1"/>
  <c r="AB153" i="110"/>
  <c r="AO153" i="110" s="1"/>
  <c r="AB154" i="110"/>
  <c r="AO154" i="110" s="1"/>
  <c r="G30" i="81"/>
  <c r="L16" i="81"/>
  <c r="G16" i="81"/>
  <c r="BA20" i="71"/>
  <c r="BA22" i="71"/>
  <c r="BA24" i="71"/>
  <c r="BA26" i="71"/>
  <c r="BA28" i="71"/>
  <c r="BA30" i="71"/>
  <c r="BA32" i="71"/>
  <c r="BA16" i="71"/>
  <c r="BA18" i="71"/>
  <c r="N9" i="69"/>
  <c r="R9" i="70"/>
  <c r="M200" i="81"/>
  <c r="M200" i="76"/>
  <c r="M200" i="14"/>
  <c r="M200" i="71"/>
  <c r="M200" i="70"/>
  <c r="M200" i="69"/>
  <c r="M200" i="13"/>
  <c r="M200" i="113"/>
  <c r="M200" i="66"/>
  <c r="M200" i="65"/>
  <c r="M200" i="64"/>
  <c r="M200" i="63"/>
  <c r="M200" i="62"/>
  <c r="M200" i="12"/>
  <c r="M200" i="56"/>
  <c r="M200" i="57"/>
  <c r="M200" i="55"/>
  <c r="M200" i="51"/>
  <c r="M200" i="50"/>
  <c r="M200" i="49"/>
  <c r="R9" i="113"/>
  <c r="AR202" i="113"/>
  <c r="W202" i="113"/>
  <c r="B201" i="113"/>
  <c r="B200" i="113"/>
  <c r="B1" i="3"/>
  <c r="AR200" i="8"/>
  <c r="AR200" i="118" s="1"/>
  <c r="U31" i="81"/>
  <c r="AI28" i="81"/>
  <c r="AI27" i="81"/>
  <c r="AI24" i="81"/>
  <c r="AN23" i="81"/>
  <c r="AI23" i="81"/>
  <c r="AI22" i="81"/>
  <c r="G28" i="81"/>
  <c r="G27" i="81"/>
  <c r="G24" i="81"/>
  <c r="L23" i="81"/>
  <c r="G23" i="81"/>
  <c r="G22" i="81"/>
  <c r="R21" i="76"/>
  <c r="CE2" i="110"/>
  <c r="X28" i="51"/>
  <c r="J28" i="51"/>
  <c r="X27" i="51"/>
  <c r="J27" i="51"/>
  <c r="X26" i="51"/>
  <c r="J26" i="51"/>
  <c r="X25" i="51"/>
  <c r="J25" i="51"/>
  <c r="X24" i="51"/>
  <c r="J24" i="51"/>
  <c r="X23" i="51"/>
  <c r="J23" i="51"/>
  <c r="X22" i="51"/>
  <c r="J22" i="51"/>
  <c r="X21" i="51"/>
  <c r="J21" i="51"/>
  <c r="X20" i="51"/>
  <c r="J20" i="51"/>
  <c r="X19" i="51"/>
  <c r="J19" i="51"/>
  <c r="X18" i="51"/>
  <c r="J18" i="51"/>
  <c r="CK2" i="110"/>
  <c r="W28" i="79"/>
  <c r="Z24" i="81"/>
  <c r="U24" i="81"/>
  <c r="W26" i="79"/>
  <c r="AC310" i="110"/>
  <c r="AD310" i="110"/>
  <c r="AC311" i="110"/>
  <c r="AD311" i="110"/>
  <c r="AC312" i="110"/>
  <c r="AD312" i="110"/>
  <c r="AC313" i="110"/>
  <c r="AD313" i="110"/>
  <c r="AC314" i="110"/>
  <c r="AD314" i="110"/>
  <c r="AD309" i="110"/>
  <c r="AC309" i="110"/>
  <c r="Z310" i="110"/>
  <c r="Z311" i="110"/>
  <c r="Z312" i="110"/>
  <c r="Z313" i="110"/>
  <c r="Z314" i="110"/>
  <c r="G310" i="110"/>
  <c r="G311" i="110"/>
  <c r="G312" i="110"/>
  <c r="G313" i="110"/>
  <c r="G314" i="110"/>
  <c r="G309" i="110"/>
  <c r="A310" i="110"/>
  <c r="A311" i="110"/>
  <c r="A312" i="110"/>
  <c r="A313" i="110"/>
  <c r="A314" i="110"/>
  <c r="F310" i="110"/>
  <c r="F311" i="110"/>
  <c r="F312" i="110"/>
  <c r="F313" i="110"/>
  <c r="F314" i="110"/>
  <c r="F309" i="110"/>
  <c r="A361" i="110"/>
  <c r="Z473" i="110"/>
  <c r="Z474" i="110"/>
  <c r="Z475" i="110"/>
  <c r="Z476" i="110"/>
  <c r="Z477" i="110"/>
  <c r="Z478" i="110"/>
  <c r="Z479" i="110"/>
  <c r="Z480" i="110"/>
  <c r="Z481" i="110"/>
  <c r="Z482" i="110"/>
  <c r="Z483" i="110"/>
  <c r="Z484" i="110"/>
  <c r="Z485" i="110"/>
  <c r="Z486" i="110"/>
  <c r="R9" i="62"/>
  <c r="N22" i="70"/>
  <c r="W202" i="50"/>
  <c r="P6" i="109"/>
  <c r="W6" i="109"/>
  <c r="P8" i="109"/>
  <c r="Q8" i="109"/>
  <c r="P7" i="109"/>
  <c r="Q7" i="109"/>
  <c r="R7" i="109"/>
  <c r="U39" i="81"/>
  <c r="W7" i="109"/>
  <c r="X7" i="109"/>
  <c r="AD103" i="110"/>
  <c r="Z103" i="110"/>
  <c r="G103" i="110"/>
  <c r="AD102" i="110"/>
  <c r="Z102" i="110"/>
  <c r="G102" i="110"/>
  <c r="AD101" i="110"/>
  <c r="Z101" i="110"/>
  <c r="G101" i="110"/>
  <c r="AD100" i="110"/>
  <c r="Z100" i="110"/>
  <c r="G100" i="110"/>
  <c r="AD99" i="110"/>
  <c r="Z99" i="110"/>
  <c r="G99" i="110"/>
  <c r="AD98" i="110"/>
  <c r="Z98" i="110"/>
  <c r="G98" i="110"/>
  <c r="AD97" i="110"/>
  <c r="Z97" i="110"/>
  <c r="G97" i="110"/>
  <c r="AD96" i="110"/>
  <c r="Z96" i="110"/>
  <c r="G96" i="110"/>
  <c r="AD95" i="110"/>
  <c r="Z95" i="110"/>
  <c r="G95" i="110"/>
  <c r="AD94" i="110"/>
  <c r="Z94" i="110"/>
  <c r="G94" i="110"/>
  <c r="AD93" i="110"/>
  <c r="Z93" i="110"/>
  <c r="G93" i="110"/>
  <c r="AD92" i="110"/>
  <c r="Z92" i="110"/>
  <c r="G92" i="110"/>
  <c r="AD91" i="110"/>
  <c r="Z91" i="110"/>
  <c r="G91" i="110"/>
  <c r="AD55" i="110"/>
  <c r="Z55" i="110"/>
  <c r="G55" i="110"/>
  <c r="A91" i="110"/>
  <c r="A92" i="110"/>
  <c r="A93" i="110"/>
  <c r="A94" i="110"/>
  <c r="A95" i="110"/>
  <c r="A96" i="110"/>
  <c r="A97" i="110"/>
  <c r="A98" i="110"/>
  <c r="A99" i="110"/>
  <c r="A100" i="110"/>
  <c r="A101" i="110"/>
  <c r="A102" i="110"/>
  <c r="A103" i="110"/>
  <c r="A55" i="110"/>
  <c r="K114" i="110"/>
  <c r="K113" i="110"/>
  <c r="K112" i="110"/>
  <c r="K111" i="110"/>
  <c r="K110" i="110"/>
  <c r="AR202" i="62"/>
  <c r="W202" i="62"/>
  <c r="B201" i="62"/>
  <c r="B200" i="62"/>
  <c r="K55" i="110"/>
  <c r="X42" i="78"/>
  <c r="AB49" i="79"/>
  <c r="AB44" i="79"/>
  <c r="W33" i="79"/>
  <c r="P33" i="79"/>
  <c r="W32" i="79"/>
  <c r="P32" i="79"/>
  <c r="W31" i="79"/>
  <c r="P31" i="79"/>
  <c r="J22" i="79"/>
  <c r="A436" i="110"/>
  <c r="A385" i="110"/>
  <c r="A359" i="110"/>
  <c r="A308" i="110"/>
  <c r="A251" i="110"/>
  <c r="G251" i="110"/>
  <c r="Z251" i="110"/>
  <c r="A252" i="110"/>
  <c r="G252" i="110"/>
  <c r="Z252" i="110"/>
  <c r="A253" i="110"/>
  <c r="G253" i="110"/>
  <c r="Z253" i="110"/>
  <c r="A254" i="110"/>
  <c r="G254" i="110"/>
  <c r="Z254" i="110"/>
  <c r="A255" i="110"/>
  <c r="G255" i="110"/>
  <c r="Z255" i="110"/>
  <c r="A256" i="110"/>
  <c r="G256" i="110"/>
  <c r="Z256" i="110"/>
  <c r="A257" i="110"/>
  <c r="G257" i="110"/>
  <c r="Z257" i="110"/>
  <c r="A258" i="110"/>
  <c r="G258" i="110"/>
  <c r="Z258" i="110"/>
  <c r="A259" i="110"/>
  <c r="G259" i="110"/>
  <c r="Z259" i="110"/>
  <c r="A260" i="110"/>
  <c r="G260" i="110"/>
  <c r="Z260" i="110"/>
  <c r="A261" i="110"/>
  <c r="G261" i="110"/>
  <c r="Z261" i="110"/>
  <c r="A262" i="110"/>
  <c r="G262" i="110"/>
  <c r="Z262" i="110"/>
  <c r="A263" i="110"/>
  <c r="G263" i="110"/>
  <c r="Z263" i="110"/>
  <c r="Z215" i="110"/>
  <c r="G215" i="110"/>
  <c r="A175" i="110"/>
  <c r="G175" i="110"/>
  <c r="A176" i="110"/>
  <c r="G176" i="110"/>
  <c r="A177" i="110"/>
  <c r="G177" i="110"/>
  <c r="A178" i="110"/>
  <c r="G178" i="110"/>
  <c r="A179" i="110"/>
  <c r="G179" i="110"/>
  <c r="A180" i="110"/>
  <c r="G180" i="110"/>
  <c r="A181" i="110"/>
  <c r="G181" i="110"/>
  <c r="A182" i="110"/>
  <c r="G182" i="110"/>
  <c r="A183" i="110"/>
  <c r="G183" i="110"/>
  <c r="A186" i="110"/>
  <c r="G186" i="110"/>
  <c r="A158" i="110"/>
  <c r="G158" i="110"/>
  <c r="A159" i="110"/>
  <c r="G159" i="110"/>
  <c r="A160" i="110"/>
  <c r="G160" i="110"/>
  <c r="A161" i="110"/>
  <c r="G161" i="110"/>
  <c r="A162" i="110"/>
  <c r="G162" i="110"/>
  <c r="A163" i="110"/>
  <c r="G163" i="110"/>
  <c r="A164" i="110"/>
  <c r="G164" i="110"/>
  <c r="A165" i="110"/>
  <c r="G165" i="110"/>
  <c r="A166" i="110"/>
  <c r="G166" i="110"/>
  <c r="A167" i="110"/>
  <c r="G167" i="110"/>
  <c r="A168" i="110"/>
  <c r="G168" i="110"/>
  <c r="A142" i="110"/>
  <c r="A143" i="110"/>
  <c r="A144" i="110"/>
  <c r="A145" i="110"/>
  <c r="A146" i="110"/>
  <c r="A147" i="110"/>
  <c r="A148" i="110"/>
  <c r="A149" i="110"/>
  <c r="A150" i="110"/>
  <c r="A151" i="110"/>
  <c r="A152" i="110"/>
  <c r="A153" i="110"/>
  <c r="A154" i="110"/>
  <c r="A215" i="110"/>
  <c r="A156" i="110"/>
  <c r="A105" i="110"/>
  <c r="A54" i="110"/>
  <c r="A3" i="110"/>
  <c r="K166" i="110"/>
  <c r="K165" i="110"/>
  <c r="K164" i="110"/>
  <c r="K163" i="110"/>
  <c r="K162" i="110"/>
  <c r="K161" i="110"/>
  <c r="K160" i="110"/>
  <c r="K159" i="110"/>
  <c r="K158" i="110"/>
  <c r="AU34" i="65"/>
  <c r="K183" i="110" s="1"/>
  <c r="AU32" i="65"/>
  <c r="K182" i="110" s="1"/>
  <c r="AU30" i="65"/>
  <c r="K181" i="110"/>
  <c r="AU28" i="65"/>
  <c r="K180" i="110" s="1"/>
  <c r="AU26" i="65"/>
  <c r="K179" i="110" s="1"/>
  <c r="AU24" i="65"/>
  <c r="K178" i="110" s="1"/>
  <c r="AU22" i="65"/>
  <c r="AU20" i="65"/>
  <c r="K176" i="110" s="1"/>
  <c r="AU18" i="65"/>
  <c r="K175" i="110" s="1"/>
  <c r="AU16" i="65"/>
  <c r="K174" i="110" s="1"/>
  <c r="U43" i="81"/>
  <c r="BM2" i="110"/>
  <c r="AV6" i="71"/>
  <c r="AW6" i="69"/>
  <c r="AV6" i="13"/>
  <c r="AV2" i="110"/>
  <c r="R4" i="106"/>
  <c r="R3" i="106"/>
  <c r="D92" i="106"/>
  <c r="D93" i="106"/>
  <c r="D94" i="106"/>
  <c r="D91" i="106"/>
  <c r="D4" i="106"/>
  <c r="D5" i="106"/>
  <c r="D3" i="106"/>
  <c r="D161" i="3"/>
  <c r="U42" i="81"/>
  <c r="A4" i="110"/>
  <c r="BK2" i="110"/>
  <c r="C23" i="57"/>
  <c r="AR202" i="81"/>
  <c r="AR202" i="80"/>
  <c r="AR202" i="79"/>
  <c r="AR202" i="78"/>
  <c r="AR202" i="76"/>
  <c r="AR202" i="14"/>
  <c r="AR202" i="71"/>
  <c r="AR202" i="70"/>
  <c r="AR202" i="69"/>
  <c r="AR202" i="13"/>
  <c r="AR202" i="66"/>
  <c r="AR202" i="65"/>
  <c r="AR202" i="64"/>
  <c r="AR202" i="63"/>
  <c r="AR202" i="12"/>
  <c r="AR202" i="57"/>
  <c r="AR202" i="56"/>
  <c r="AR202" i="55"/>
  <c r="AR202" i="51"/>
  <c r="AR202" i="50"/>
  <c r="AR202" i="49"/>
  <c r="AR201" i="8"/>
  <c r="C47" i="81"/>
  <c r="A473" i="110"/>
  <c r="AC473" i="110"/>
  <c r="A474" i="110"/>
  <c r="AC474" i="110"/>
  <c r="A475" i="110"/>
  <c r="AC475" i="110"/>
  <c r="A476" i="110"/>
  <c r="AC476" i="110"/>
  <c r="A477" i="110"/>
  <c r="AC477" i="110"/>
  <c r="A478" i="110"/>
  <c r="AC478" i="110"/>
  <c r="A479" i="110"/>
  <c r="AC479" i="110"/>
  <c r="A480" i="110"/>
  <c r="AC480" i="110"/>
  <c r="A481" i="110"/>
  <c r="AC481" i="110"/>
  <c r="A482" i="110"/>
  <c r="AC482" i="110"/>
  <c r="A483" i="110"/>
  <c r="AC483" i="110"/>
  <c r="A484" i="110"/>
  <c r="AC484" i="110"/>
  <c r="A485" i="110"/>
  <c r="AC485" i="110"/>
  <c r="A486" i="110"/>
  <c r="AC486" i="110"/>
  <c r="AC437" i="110"/>
  <c r="Z437" i="110"/>
  <c r="A437" i="110"/>
  <c r="A386" i="110"/>
  <c r="BV2" i="110"/>
  <c r="BU2" i="110"/>
  <c r="BT2" i="110"/>
  <c r="BR2" i="110"/>
  <c r="BQ2" i="110"/>
  <c r="BP2" i="110"/>
  <c r="BN2" i="110"/>
  <c r="BI2" i="110"/>
  <c r="AX2" i="110"/>
  <c r="AW2" i="110"/>
  <c r="AU40" i="65"/>
  <c r="K186" i="110" s="1"/>
  <c r="AU42" i="65"/>
  <c r="K167" i="110"/>
  <c r="K168" i="110"/>
  <c r="K44" i="109"/>
  <c r="F26" i="51"/>
  <c r="BO2" i="110"/>
  <c r="E39" i="3"/>
  <c r="E40" i="3"/>
  <c r="E41" i="3"/>
  <c r="E42" i="3"/>
  <c r="E43" i="3"/>
  <c r="O9" i="71"/>
  <c r="G18" i="81"/>
  <c r="A2" i="110"/>
  <c r="AY2" i="110"/>
  <c r="BJ2" i="110"/>
  <c r="DF2" i="110"/>
  <c r="DE2" i="110"/>
  <c r="DD2" i="110"/>
  <c r="DC2" i="110"/>
  <c r="DB2" i="110"/>
  <c r="DA2" i="110"/>
  <c r="CZ2" i="110"/>
  <c r="CY2" i="110"/>
  <c r="CX2" i="110"/>
  <c r="CW2" i="110"/>
  <c r="CU2" i="110"/>
  <c r="CT2" i="110"/>
  <c r="CS2" i="110"/>
  <c r="CR2" i="110"/>
  <c r="CQ2" i="110"/>
  <c r="CP2" i="110"/>
  <c r="CO2" i="110"/>
  <c r="CN2" i="110"/>
  <c r="CM2" i="110"/>
  <c r="CL2" i="110"/>
  <c r="A360" i="110"/>
  <c r="Z309" i="110"/>
  <c r="A309" i="110"/>
  <c r="Z175" i="110"/>
  <c r="AD175" i="110"/>
  <c r="Z176" i="110"/>
  <c r="AD176" i="110"/>
  <c r="Z177" i="110"/>
  <c r="AD177" i="110"/>
  <c r="Z178" i="110"/>
  <c r="AD178" i="110"/>
  <c r="Z179" i="110"/>
  <c r="AD179" i="110"/>
  <c r="Z180" i="110"/>
  <c r="AD180" i="110"/>
  <c r="Z181" i="110"/>
  <c r="AD181" i="110"/>
  <c r="Z182" i="110"/>
  <c r="AD182" i="110"/>
  <c r="Z183" i="110"/>
  <c r="AD183" i="110"/>
  <c r="Z186" i="110"/>
  <c r="AD186" i="110"/>
  <c r="M174" i="110"/>
  <c r="G174" i="110"/>
  <c r="AD174" i="110"/>
  <c r="Z174" i="110"/>
  <c r="A174" i="110"/>
  <c r="Z158" i="110"/>
  <c r="AD158" i="110"/>
  <c r="Z159" i="110"/>
  <c r="AD159" i="110"/>
  <c r="Z160" i="110"/>
  <c r="AD160" i="110"/>
  <c r="Z161" i="110"/>
  <c r="AD161" i="110"/>
  <c r="Z162" i="110"/>
  <c r="AD162" i="110"/>
  <c r="Z163" i="110"/>
  <c r="AD163" i="110"/>
  <c r="Z164" i="110"/>
  <c r="AD164" i="110"/>
  <c r="Z165" i="110"/>
  <c r="AD165" i="110"/>
  <c r="Z166" i="110"/>
  <c r="AD166" i="110"/>
  <c r="Z167" i="110"/>
  <c r="AD167" i="110"/>
  <c r="Z168" i="110"/>
  <c r="AD168" i="110"/>
  <c r="G157" i="110"/>
  <c r="AD157" i="110"/>
  <c r="Z157" i="110"/>
  <c r="A157" i="110"/>
  <c r="Z142" i="110"/>
  <c r="Z143" i="110"/>
  <c r="Z144" i="110"/>
  <c r="Z145" i="110"/>
  <c r="Z146" i="110"/>
  <c r="Z147" i="110"/>
  <c r="Z148" i="110"/>
  <c r="Z149" i="110"/>
  <c r="Z150" i="110"/>
  <c r="Z151" i="110"/>
  <c r="Z152" i="110"/>
  <c r="Z153" i="110"/>
  <c r="Z154" i="110"/>
  <c r="Z106" i="110"/>
  <c r="A106" i="110"/>
  <c r="A5" i="110"/>
  <c r="Z5" i="110"/>
  <c r="AD5" i="110"/>
  <c r="G5" i="110"/>
  <c r="F5" i="110"/>
  <c r="A6" i="110"/>
  <c r="Z6" i="110"/>
  <c r="AD6" i="110"/>
  <c r="G6" i="110"/>
  <c r="F6" i="110"/>
  <c r="A7" i="110"/>
  <c r="Z7" i="110"/>
  <c r="AD7" i="110"/>
  <c r="G7" i="110"/>
  <c r="F7" i="110"/>
  <c r="A8" i="110"/>
  <c r="Z8" i="110"/>
  <c r="AD8" i="110"/>
  <c r="G8" i="110"/>
  <c r="F8" i="110"/>
  <c r="A9" i="110"/>
  <c r="Z9" i="110"/>
  <c r="AD9" i="110"/>
  <c r="G9" i="110"/>
  <c r="F9" i="110"/>
  <c r="A10" i="110"/>
  <c r="Z10" i="110"/>
  <c r="AD10" i="110"/>
  <c r="G10" i="110"/>
  <c r="F10" i="110"/>
  <c r="A11" i="110"/>
  <c r="Z11" i="110"/>
  <c r="AD11" i="110"/>
  <c r="G11" i="110"/>
  <c r="F11" i="110"/>
  <c r="A12" i="110"/>
  <c r="Z12" i="110"/>
  <c r="AD12" i="110"/>
  <c r="G12" i="110"/>
  <c r="F12" i="110"/>
  <c r="A13" i="110"/>
  <c r="Z13" i="110"/>
  <c r="AD13" i="110"/>
  <c r="G13" i="110"/>
  <c r="F13" i="110"/>
  <c r="A14" i="110"/>
  <c r="Z14" i="110"/>
  <c r="AD14" i="110"/>
  <c r="G14" i="110"/>
  <c r="F14" i="110"/>
  <c r="A15" i="110"/>
  <c r="Z15" i="110"/>
  <c r="AD15" i="110"/>
  <c r="G15" i="110"/>
  <c r="F15" i="110"/>
  <c r="A16" i="110"/>
  <c r="Z16" i="110"/>
  <c r="AD16" i="110"/>
  <c r="G16" i="110"/>
  <c r="F16" i="110"/>
  <c r="A17" i="110"/>
  <c r="Z17" i="110"/>
  <c r="AD17" i="110"/>
  <c r="G17" i="110"/>
  <c r="F17" i="110"/>
  <c r="A18" i="110"/>
  <c r="Z18" i="110"/>
  <c r="AD18" i="110"/>
  <c r="G18" i="110"/>
  <c r="F18" i="110"/>
  <c r="A19" i="110"/>
  <c r="Z19" i="110"/>
  <c r="AD19" i="110"/>
  <c r="G19" i="110"/>
  <c r="F19" i="110"/>
  <c r="A20" i="110"/>
  <c r="Z20" i="110"/>
  <c r="AD20" i="110"/>
  <c r="G20" i="110"/>
  <c r="F20" i="110"/>
  <c r="A21" i="110"/>
  <c r="Z21" i="110"/>
  <c r="AD21" i="110"/>
  <c r="G21" i="110"/>
  <c r="F21" i="110"/>
  <c r="A38" i="110"/>
  <c r="Z38" i="110"/>
  <c r="AD38" i="110"/>
  <c r="G38" i="110"/>
  <c r="F38" i="110"/>
  <c r="A39" i="110"/>
  <c r="Z39" i="110"/>
  <c r="AD39" i="110"/>
  <c r="G39" i="110"/>
  <c r="F39" i="110"/>
  <c r="A40" i="110"/>
  <c r="Z40" i="110"/>
  <c r="AD40" i="110"/>
  <c r="G40" i="110"/>
  <c r="F40" i="110"/>
  <c r="A41" i="110"/>
  <c r="Z41" i="110"/>
  <c r="AD41" i="110"/>
  <c r="G41" i="110"/>
  <c r="F41" i="110"/>
  <c r="A42" i="110"/>
  <c r="Z42" i="110"/>
  <c r="AD42" i="110"/>
  <c r="G42" i="110"/>
  <c r="F42" i="110"/>
  <c r="A43" i="110"/>
  <c r="Z43" i="110"/>
  <c r="AD43" i="110"/>
  <c r="G43" i="110"/>
  <c r="F43" i="110"/>
  <c r="A44" i="110"/>
  <c r="Z44" i="110"/>
  <c r="AD44" i="110"/>
  <c r="G44" i="110"/>
  <c r="F44" i="110"/>
  <c r="A45" i="110"/>
  <c r="Z45" i="110"/>
  <c r="AD45" i="110"/>
  <c r="G45" i="110"/>
  <c r="F45" i="110"/>
  <c r="A50" i="110"/>
  <c r="Z50" i="110"/>
  <c r="AD50" i="110"/>
  <c r="G50" i="110"/>
  <c r="F50" i="110"/>
  <c r="A51" i="110"/>
  <c r="Z51" i="110"/>
  <c r="AD51" i="110"/>
  <c r="G51" i="110"/>
  <c r="F51" i="110"/>
  <c r="A52" i="110"/>
  <c r="F4" i="110"/>
  <c r="G4" i="110"/>
  <c r="AD4" i="110"/>
  <c r="Z4" i="110"/>
  <c r="J73" i="80"/>
  <c r="AH38" i="80"/>
  <c r="AE38" i="80"/>
  <c r="V38" i="80"/>
  <c r="J38" i="80"/>
  <c r="AB36" i="80"/>
  <c r="S36" i="80"/>
  <c r="J36" i="80"/>
  <c r="AD34" i="80"/>
  <c r="W34" i="80"/>
  <c r="J34" i="80"/>
  <c r="AH24" i="80"/>
  <c r="AE24" i="80"/>
  <c r="V24" i="80"/>
  <c r="J24" i="80"/>
  <c r="AB22" i="80"/>
  <c r="S22" i="80"/>
  <c r="J22" i="80"/>
  <c r="AD20" i="80"/>
  <c r="W20" i="80"/>
  <c r="J20" i="80"/>
  <c r="J18" i="80"/>
  <c r="N16" i="80"/>
  <c r="E25" i="3"/>
  <c r="U41" i="81"/>
  <c r="U40" i="81"/>
  <c r="AP28" i="81"/>
  <c r="AN28" i="81"/>
  <c r="AI26" i="81"/>
  <c r="AN25" i="81"/>
  <c r="AI25" i="81"/>
  <c r="N28" i="81"/>
  <c r="L28" i="81"/>
  <c r="G26" i="81"/>
  <c r="L25" i="81"/>
  <c r="G25" i="81"/>
  <c r="G44" i="81"/>
  <c r="G43" i="81"/>
  <c r="G42" i="81"/>
  <c r="G41" i="81"/>
  <c r="G40" i="81"/>
  <c r="G39" i="81"/>
  <c r="G38" i="81"/>
  <c r="G37" i="81"/>
  <c r="G34" i="81"/>
  <c r="G19" i="81"/>
  <c r="L15" i="81"/>
  <c r="G15" i="81"/>
  <c r="B74" i="3"/>
  <c r="D169" i="3"/>
  <c r="B181" i="3"/>
  <c r="R9" i="13"/>
  <c r="R9" i="66"/>
  <c r="R9" i="65"/>
  <c r="R9" i="64"/>
  <c r="R9" i="63"/>
  <c r="R9" i="12"/>
  <c r="P2" i="3"/>
  <c r="X5" i="109"/>
  <c r="X19" i="57" s="1"/>
  <c r="AB37" i="81" s="1"/>
  <c r="W5" i="109"/>
  <c r="Q19" i="57" s="1"/>
  <c r="Z37" i="81" s="1"/>
  <c r="U36" i="81"/>
  <c r="R5" i="109"/>
  <c r="Q16" i="57" s="1"/>
  <c r="Q5" i="109"/>
  <c r="J16" i="57"/>
  <c r="P5" i="109"/>
  <c r="C16" i="57" s="1"/>
  <c r="BB2" i="110" s="1"/>
  <c r="CJ2" i="110"/>
  <c r="AE30" i="80"/>
  <c r="L36" i="81"/>
  <c r="B154" i="3"/>
  <c r="B134" i="3"/>
  <c r="B81" i="3"/>
  <c r="E35" i="3"/>
  <c r="E36" i="3"/>
  <c r="E37" i="3"/>
  <c r="E38" i="3"/>
  <c r="E27" i="3"/>
  <c r="E28" i="3"/>
  <c r="E29" i="3"/>
  <c r="E30" i="3"/>
  <c r="E31" i="3"/>
  <c r="E32" i="3"/>
  <c r="E33" i="3"/>
  <c r="E26" i="3"/>
  <c r="W202" i="81"/>
  <c r="B202" i="81"/>
  <c r="B201" i="81"/>
  <c r="B200" i="81"/>
  <c r="W202" i="80"/>
  <c r="B202" i="80"/>
  <c r="B201" i="80"/>
  <c r="B200" i="80"/>
  <c r="W202" i="79"/>
  <c r="B201" i="79"/>
  <c r="B200" i="79"/>
  <c r="W202" i="78"/>
  <c r="B201" i="78"/>
  <c r="B200" i="78"/>
  <c r="W202" i="76"/>
  <c r="B201" i="76"/>
  <c r="B200" i="76"/>
  <c r="W202" i="14"/>
  <c r="B201" i="14"/>
  <c r="B200" i="14"/>
  <c r="W202" i="71"/>
  <c r="B201" i="71"/>
  <c r="B200" i="71"/>
  <c r="W202" i="70"/>
  <c r="B201" i="70"/>
  <c r="B200" i="70"/>
  <c r="W202" i="69"/>
  <c r="B201" i="69"/>
  <c r="B200" i="69"/>
  <c r="W202" i="13"/>
  <c r="B201" i="13"/>
  <c r="B200" i="13"/>
  <c r="W202" i="66"/>
  <c r="B201" i="66"/>
  <c r="B200" i="66"/>
  <c r="W202" i="65"/>
  <c r="B201" i="65"/>
  <c r="B200" i="65"/>
  <c r="W202" i="64"/>
  <c r="B201" i="64"/>
  <c r="B200" i="64"/>
  <c r="W202" i="63"/>
  <c r="B201" i="63"/>
  <c r="B200" i="63"/>
  <c r="W202" i="12"/>
  <c r="B201" i="12"/>
  <c r="B200" i="12"/>
  <c r="W202" i="57"/>
  <c r="B201" i="57"/>
  <c r="B200" i="57"/>
  <c r="W202" i="56"/>
  <c r="B201" i="56"/>
  <c r="B200" i="56"/>
  <c r="W202" i="55"/>
  <c r="B201" i="55"/>
  <c r="B200" i="55"/>
  <c r="W202" i="51"/>
  <c r="B201" i="51"/>
  <c r="B200" i="51"/>
  <c r="B201" i="50"/>
  <c r="B200" i="50"/>
  <c r="W202" i="49"/>
  <c r="B201" i="49"/>
  <c r="B200" i="49"/>
  <c r="AR201" i="113"/>
  <c r="AR201" i="116"/>
  <c r="AR201" i="115"/>
  <c r="AR201" i="51"/>
  <c r="AR201" i="57"/>
  <c r="AR201" i="55"/>
  <c r="AR201" i="70"/>
  <c r="AR201" i="49"/>
  <c r="AR201" i="80"/>
  <c r="AR201" i="56"/>
  <c r="AR201" i="71"/>
  <c r="AR201" i="69"/>
  <c r="AY28" i="71"/>
  <c r="P25" i="78"/>
  <c r="U22" i="81"/>
  <c r="AR201" i="81"/>
  <c r="AR201" i="63"/>
  <c r="AR201" i="78"/>
  <c r="AR201" i="64"/>
  <c r="AR201" i="62"/>
  <c r="AR201" i="12"/>
  <c r="AR201" i="65"/>
  <c r="AR201" i="76"/>
  <c r="AV24" i="71"/>
  <c r="AK441" i="110" s="1"/>
  <c r="AR201" i="79"/>
  <c r="AF22" i="71"/>
  <c r="AK22" i="71" s="1"/>
  <c r="AF30" i="71"/>
  <c r="AK30" i="71" s="1"/>
  <c r="AR201" i="50"/>
  <c r="AR201" i="66"/>
  <c r="AR201" i="13"/>
  <c r="AR201" i="14"/>
  <c r="AH26" i="71"/>
  <c r="AR200" i="71"/>
  <c r="CC2" i="110"/>
  <c r="CH2" i="110"/>
  <c r="P27" i="79"/>
  <c r="AK477" i="110"/>
  <c r="Y11" i="108"/>
  <c r="BC22" i="71"/>
  <c r="Y12" i="108"/>
  <c r="AX20" i="71"/>
  <c r="AK475" i="110"/>
  <c r="Y13" i="108"/>
  <c r="X11" i="108"/>
  <c r="AY20" i="71"/>
  <c r="X13" i="108"/>
  <c r="X12" i="108"/>
  <c r="X14" i="108"/>
  <c r="Y15" i="108"/>
  <c r="Y14" i="108"/>
  <c r="X15" i="108"/>
  <c r="Y16" i="108"/>
  <c r="X16" i="108"/>
  <c r="X18" i="108"/>
  <c r="Y17" i="108"/>
  <c r="Y18" i="108"/>
  <c r="X17" i="108"/>
  <c r="X19" i="108"/>
  <c r="Y19" i="108"/>
  <c r="X20" i="108"/>
  <c r="X21" i="108"/>
  <c r="Y20" i="108"/>
  <c r="X22" i="108"/>
  <c r="Y21" i="108"/>
  <c r="Y22" i="108"/>
  <c r="Y23" i="108"/>
  <c r="Y24" i="108"/>
  <c r="X23" i="108"/>
  <c r="X25" i="108"/>
  <c r="Y25" i="108"/>
  <c r="X24" i="108"/>
  <c r="X26" i="108"/>
  <c r="Y26" i="108"/>
  <c r="Y27" i="108"/>
  <c r="X27" i="108"/>
  <c r="X29" i="108"/>
  <c r="Y28" i="108"/>
  <c r="X28" i="108"/>
  <c r="X30" i="108"/>
  <c r="Y30" i="108"/>
  <c r="Y29" i="108"/>
  <c r="X31" i="108"/>
  <c r="Y31" i="108"/>
  <c r="X32" i="108"/>
  <c r="X33" i="108"/>
  <c r="Y33" i="108"/>
  <c r="Y32" i="108"/>
  <c r="C219" i="110" l="1"/>
  <c r="B219" i="110" s="1"/>
  <c r="L219" i="110"/>
  <c r="C223" i="110"/>
  <c r="B223" i="110" s="1"/>
  <c r="L223" i="110"/>
  <c r="BA22" i="70"/>
  <c r="BB22" i="70" s="1"/>
  <c r="AZ22" i="70" s="1"/>
  <c r="BC22" i="70"/>
  <c r="BF22" i="70"/>
  <c r="AV22" i="70"/>
  <c r="AW22" i="70" a="1"/>
  <c r="AW22" i="70" s="1"/>
  <c r="W451" i="110"/>
  <c r="BE44" i="66"/>
  <c r="BG40" i="12"/>
  <c r="BF40" i="12"/>
  <c r="BE42" i="66"/>
  <c r="BG38" i="12"/>
  <c r="BF38" i="12"/>
  <c r="BE40" i="66"/>
  <c r="BG44" i="12"/>
  <c r="BF44" i="12"/>
  <c r="BE16" i="66"/>
  <c r="BE28" i="66"/>
  <c r="BE20" i="66"/>
  <c r="BE38" i="66"/>
  <c r="BF42" i="12"/>
  <c r="BG42" i="12"/>
  <c r="L16" i="70"/>
  <c r="Q16" i="70"/>
  <c r="Y14" i="110"/>
  <c r="BG36" i="12"/>
  <c r="BF36" i="12"/>
  <c r="Y13" i="110"/>
  <c r="BF34" i="12"/>
  <c r="BG34" i="12"/>
  <c r="BG30" i="12"/>
  <c r="BF30" i="12"/>
  <c r="BF26" i="12"/>
  <c r="BG26" i="12"/>
  <c r="BE26" i="12"/>
  <c r="BE32" i="66"/>
  <c r="BE24" i="66"/>
  <c r="BE30" i="66"/>
  <c r="BE36" i="66"/>
  <c r="H264" i="110"/>
  <c r="BE16" i="64"/>
  <c r="BE44" i="12"/>
  <c r="BE36" i="12"/>
  <c r="BE42" i="12"/>
  <c r="BE34" i="12"/>
  <c r="BE40" i="12"/>
  <c r="BE38" i="12"/>
  <c r="AF18" i="71"/>
  <c r="H438" i="110"/>
  <c r="BD16" i="71"/>
  <c r="D437" i="110" s="1"/>
  <c r="H437" i="110"/>
  <c r="AV30" i="71"/>
  <c r="AK444" i="110" s="1"/>
  <c r="AY30" i="71"/>
  <c r="BC30" i="71"/>
  <c r="AH30" i="71"/>
  <c r="BB30" i="71" s="1"/>
  <c r="AZ30" i="71"/>
  <c r="AN30" i="71"/>
  <c r="K444" i="110" s="1"/>
  <c r="AX30" i="71"/>
  <c r="K177" i="110"/>
  <c r="AU200" i="65"/>
  <c r="V12" i="65" s="1"/>
  <c r="I30" i="3" s="1"/>
  <c r="AR200" i="56"/>
  <c r="AR200" i="62"/>
  <c r="AR200" i="51"/>
  <c r="AR200" i="81"/>
  <c r="W262" i="110"/>
  <c r="H262" i="110"/>
  <c r="P258" i="110"/>
  <c r="H258" i="110"/>
  <c r="P254" i="110"/>
  <c r="H254" i="110"/>
  <c r="R250" i="110"/>
  <c r="C250" i="110" s="1"/>
  <c r="B250" i="110" s="1"/>
  <c r="H250" i="110"/>
  <c r="R246" i="110"/>
  <c r="C246" i="110" s="1"/>
  <c r="B246" i="110" s="1"/>
  <c r="H246" i="110"/>
  <c r="P238" i="110"/>
  <c r="H238" i="110"/>
  <c r="R226" i="110"/>
  <c r="H226" i="110"/>
  <c r="P261" i="110"/>
  <c r="H261" i="110"/>
  <c r="R257" i="110"/>
  <c r="C257" i="110" s="1"/>
  <c r="B257" i="110" s="1"/>
  <c r="H257" i="110"/>
  <c r="R253" i="110"/>
  <c r="C253" i="110" s="1"/>
  <c r="B253" i="110" s="1"/>
  <c r="H253" i="110"/>
  <c r="W245" i="110"/>
  <c r="H245" i="110"/>
  <c r="P241" i="110"/>
  <c r="H241" i="110"/>
  <c r="W237" i="110"/>
  <c r="H237" i="110"/>
  <c r="R233" i="110"/>
  <c r="H233" i="110"/>
  <c r="R229" i="110"/>
  <c r="H229" i="110"/>
  <c r="W225" i="110"/>
  <c r="H225" i="110"/>
  <c r="P260" i="110"/>
  <c r="H260" i="110"/>
  <c r="W256" i="110"/>
  <c r="H256" i="110"/>
  <c r="W252" i="110"/>
  <c r="H252" i="110"/>
  <c r="R244" i="110"/>
  <c r="C244" i="110" s="1"/>
  <c r="B244" i="110" s="1"/>
  <c r="H244" i="110"/>
  <c r="R236" i="110"/>
  <c r="H236" i="110"/>
  <c r="P232" i="110"/>
  <c r="H232" i="110"/>
  <c r="P228" i="110"/>
  <c r="H228" i="110"/>
  <c r="W263" i="110"/>
  <c r="H263" i="110"/>
  <c r="R259" i="110"/>
  <c r="C259" i="110" s="1"/>
  <c r="B259" i="110" s="1"/>
  <c r="H259" i="110"/>
  <c r="R255" i="110"/>
  <c r="C255" i="110" s="1"/>
  <c r="B255" i="110" s="1"/>
  <c r="H255" i="110"/>
  <c r="W251" i="110"/>
  <c r="H251" i="110"/>
  <c r="R247" i="110"/>
  <c r="C247" i="110" s="1"/>
  <c r="B247" i="110" s="1"/>
  <c r="H247" i="110"/>
  <c r="R243" i="110"/>
  <c r="C243" i="110" s="1"/>
  <c r="B243" i="110" s="1"/>
  <c r="H243" i="110"/>
  <c r="R239" i="110"/>
  <c r="H239" i="110"/>
  <c r="P235" i="110"/>
  <c r="H235" i="110"/>
  <c r="R231" i="110"/>
  <c r="H231" i="110"/>
  <c r="R227" i="110"/>
  <c r="H227" i="110"/>
  <c r="Q67" i="110"/>
  <c r="H67" i="110"/>
  <c r="Q70" i="110"/>
  <c r="H70" i="110"/>
  <c r="Q66" i="110"/>
  <c r="H66" i="110"/>
  <c r="Q71" i="110"/>
  <c r="H71" i="110"/>
  <c r="Q73" i="110"/>
  <c r="H73" i="110"/>
  <c r="Q69" i="110"/>
  <c r="H69" i="110"/>
  <c r="Q65" i="110"/>
  <c r="H65" i="110"/>
  <c r="Q72" i="110"/>
  <c r="H72" i="110"/>
  <c r="Q68" i="110"/>
  <c r="H68" i="110"/>
  <c r="N183" i="110"/>
  <c r="H183" i="110"/>
  <c r="R179" i="110"/>
  <c r="C179" i="110" s="1"/>
  <c r="B179" i="110" s="1"/>
  <c r="H179" i="110"/>
  <c r="R166" i="110"/>
  <c r="C166" i="110" s="1"/>
  <c r="B166" i="110" s="1"/>
  <c r="H166" i="110"/>
  <c r="Q55" i="110"/>
  <c r="H55" i="110"/>
  <c r="N165" i="110"/>
  <c r="H165" i="110"/>
  <c r="N182" i="110"/>
  <c r="H182" i="110"/>
  <c r="N163" i="110"/>
  <c r="H163" i="110"/>
  <c r="R175" i="110"/>
  <c r="C175" i="110" s="1"/>
  <c r="B175" i="110" s="1"/>
  <c r="H175" i="110"/>
  <c r="O180" i="110"/>
  <c r="H180" i="110"/>
  <c r="W273" i="110"/>
  <c r="H273" i="110"/>
  <c r="P269" i="110"/>
  <c r="H269" i="110"/>
  <c r="P268" i="110"/>
  <c r="H268" i="110"/>
  <c r="R275" i="110"/>
  <c r="C275" i="110" s="1"/>
  <c r="B275" i="110" s="1"/>
  <c r="H275" i="110"/>
  <c r="R271" i="110"/>
  <c r="C271" i="110" s="1"/>
  <c r="B271" i="110" s="1"/>
  <c r="H271" i="110"/>
  <c r="P274" i="110"/>
  <c r="H274" i="110"/>
  <c r="W270" i="110"/>
  <c r="H270" i="110"/>
  <c r="AO108" i="110"/>
  <c r="L108" i="110"/>
  <c r="Z35" i="81"/>
  <c r="J395" i="110"/>
  <c r="L395" i="110"/>
  <c r="S20" i="70"/>
  <c r="AO106" i="110"/>
  <c r="L106" i="110"/>
  <c r="AO107" i="110"/>
  <c r="L107" i="110"/>
  <c r="AO113" i="110"/>
  <c r="L113" i="110"/>
  <c r="AO112" i="110"/>
  <c r="L112" i="110"/>
  <c r="AO111" i="110"/>
  <c r="L111" i="110"/>
  <c r="AO114" i="110"/>
  <c r="L114" i="110"/>
  <c r="AO110" i="110"/>
  <c r="L110" i="110"/>
  <c r="AO109" i="110"/>
  <c r="L109" i="110"/>
  <c r="BH56" i="13"/>
  <c r="AK56" i="13"/>
  <c r="AV56" i="13"/>
  <c r="AK329" i="110" s="1"/>
  <c r="AX56" i="13"/>
  <c r="BB56" i="13"/>
  <c r="AY56" i="13"/>
  <c r="BD56" i="13"/>
  <c r="AZ56" i="13"/>
  <c r="BE56" i="13"/>
  <c r="AH56" i="13"/>
  <c r="AN56" i="13"/>
  <c r="Q329" i="110" s="1"/>
  <c r="AW56" i="13"/>
  <c r="BA56" i="13"/>
  <c r="BF56" i="13"/>
  <c r="BH48" i="13"/>
  <c r="AK48" i="13"/>
  <c r="AV48" i="13"/>
  <c r="AK325" i="110" s="1"/>
  <c r="AX48" i="13"/>
  <c r="BB48" i="13"/>
  <c r="AY48" i="13"/>
  <c r="BD48" i="13"/>
  <c r="AZ48" i="13"/>
  <c r="BE48" i="13"/>
  <c r="AH48" i="13"/>
  <c r="AN48" i="13"/>
  <c r="Q325" i="110" s="1"/>
  <c r="AW48" i="13"/>
  <c r="BA48" i="13"/>
  <c r="BF48" i="13"/>
  <c r="BH40" i="13"/>
  <c r="AK40" i="13"/>
  <c r="AV40" i="13"/>
  <c r="AK321" i="110" s="1"/>
  <c r="AX40" i="13"/>
  <c r="BB40" i="13"/>
  <c r="AY40" i="13"/>
  <c r="BD40" i="13"/>
  <c r="AZ40" i="13"/>
  <c r="BE40" i="13"/>
  <c r="AH40" i="13"/>
  <c r="AN40" i="13"/>
  <c r="Q321" i="110" s="1"/>
  <c r="AW40" i="13"/>
  <c r="BA40" i="13"/>
  <c r="BF40" i="13"/>
  <c r="BH32" i="13"/>
  <c r="AK32" i="13"/>
  <c r="AV32" i="13"/>
  <c r="AK317" i="110" s="1"/>
  <c r="AX32" i="13"/>
  <c r="BB32" i="13"/>
  <c r="AY32" i="13"/>
  <c r="BD32" i="13"/>
  <c r="AZ32" i="13"/>
  <c r="BE32" i="13"/>
  <c r="AH32" i="13"/>
  <c r="AN32" i="13"/>
  <c r="Q317" i="110" s="1"/>
  <c r="AW32" i="13"/>
  <c r="BA32" i="13"/>
  <c r="BF32" i="13"/>
  <c r="BH62" i="13"/>
  <c r="AK62" i="13"/>
  <c r="AV62" i="13"/>
  <c r="AK332" i="110" s="1"/>
  <c r="AZ62" i="13"/>
  <c r="BE62" i="13"/>
  <c r="AW62" i="13"/>
  <c r="BA62" i="13"/>
  <c r="BF62" i="13"/>
  <c r="AH62" i="13"/>
  <c r="AN62" i="13"/>
  <c r="Q332" i="110" s="1"/>
  <c r="AX62" i="13"/>
  <c r="BB62" i="13"/>
  <c r="AY62" i="13"/>
  <c r="BD62" i="13"/>
  <c r="BH54" i="13"/>
  <c r="AK54" i="13"/>
  <c r="AV54" i="13"/>
  <c r="AK328" i="110" s="1"/>
  <c r="AZ54" i="13"/>
  <c r="BE54" i="13"/>
  <c r="AW54" i="13"/>
  <c r="BA54" i="13"/>
  <c r="BF54" i="13"/>
  <c r="AH54" i="13"/>
  <c r="AN54" i="13"/>
  <c r="AX54" i="13"/>
  <c r="BB54" i="13"/>
  <c r="AY54" i="13"/>
  <c r="BD54" i="13"/>
  <c r="BH46" i="13"/>
  <c r="AK46" i="13"/>
  <c r="AV46" i="13"/>
  <c r="AK324" i="110" s="1"/>
  <c r="AZ46" i="13"/>
  <c r="BE46" i="13"/>
  <c r="AW46" i="13"/>
  <c r="BA46" i="13"/>
  <c r="BF46" i="13"/>
  <c r="AH46" i="13"/>
  <c r="AN46" i="13"/>
  <c r="Q324" i="110" s="1"/>
  <c r="AX46" i="13"/>
  <c r="BB46" i="13"/>
  <c r="AY46" i="13"/>
  <c r="BD46" i="13"/>
  <c r="BH38" i="13"/>
  <c r="AK38" i="13"/>
  <c r="AV38" i="13"/>
  <c r="AK320" i="110" s="1"/>
  <c r="AZ38" i="13"/>
  <c r="BE38" i="13"/>
  <c r="AW38" i="13"/>
  <c r="BA38" i="13"/>
  <c r="BF38" i="13"/>
  <c r="AH38" i="13"/>
  <c r="AN38" i="13"/>
  <c r="O320" i="110" s="1"/>
  <c r="AX38" i="13"/>
  <c r="BB38" i="13"/>
  <c r="AY38" i="13"/>
  <c r="BD38" i="13"/>
  <c r="BH30" i="13"/>
  <c r="AK30" i="13"/>
  <c r="AV30" i="13"/>
  <c r="AK316" i="110" s="1"/>
  <c r="AZ30" i="13"/>
  <c r="BE30" i="13"/>
  <c r="AW30" i="13"/>
  <c r="BA30" i="13"/>
  <c r="BF30" i="13"/>
  <c r="AH30" i="13"/>
  <c r="AN30" i="13"/>
  <c r="AX30" i="13"/>
  <c r="BB30" i="13"/>
  <c r="AY30" i="13"/>
  <c r="BD30" i="13"/>
  <c r="BH18" i="13"/>
  <c r="AK18" i="13"/>
  <c r="AV18" i="13"/>
  <c r="AH18" i="13"/>
  <c r="AN18" i="13"/>
  <c r="AZ18" i="13"/>
  <c r="BE18" i="13"/>
  <c r="AW18" i="13"/>
  <c r="BA18" i="13"/>
  <c r="BF18" i="13"/>
  <c r="AX18" i="13"/>
  <c r="BB18" i="13"/>
  <c r="AY18" i="13"/>
  <c r="BD18" i="13"/>
  <c r="BH20" i="13"/>
  <c r="AX20" i="13"/>
  <c r="BA20" i="13" s="1"/>
  <c r="BB20" i="13"/>
  <c r="AH20" i="13"/>
  <c r="AY20" i="13"/>
  <c r="BD20" i="13"/>
  <c r="BE20" i="13"/>
  <c r="AW20" i="13"/>
  <c r="BH60" i="13"/>
  <c r="AK60" i="13"/>
  <c r="AV60" i="13"/>
  <c r="AK331" i="110" s="1"/>
  <c r="AX60" i="13"/>
  <c r="BB60" i="13"/>
  <c r="AH60" i="13"/>
  <c r="AN60" i="13"/>
  <c r="AY60" i="13"/>
  <c r="BD60" i="13"/>
  <c r="AZ60" i="13"/>
  <c r="BE60" i="13"/>
  <c r="AW60" i="13"/>
  <c r="BA60" i="13"/>
  <c r="BF60" i="13"/>
  <c r="BH52" i="13"/>
  <c r="AK52" i="13"/>
  <c r="AV52" i="13"/>
  <c r="AK327" i="110" s="1"/>
  <c r="AX52" i="13"/>
  <c r="BB52" i="13"/>
  <c r="AH52" i="13"/>
  <c r="AN52" i="13"/>
  <c r="Q327" i="110" s="1"/>
  <c r="AY52" i="13"/>
  <c r="BD52" i="13"/>
  <c r="AZ52" i="13"/>
  <c r="BE52" i="13"/>
  <c r="AW52" i="13"/>
  <c r="BA52" i="13"/>
  <c r="BF52" i="13"/>
  <c r="BH44" i="13"/>
  <c r="AK44" i="13"/>
  <c r="AV44" i="13"/>
  <c r="AK323" i="110" s="1"/>
  <c r="AX44" i="13"/>
  <c r="BB44" i="13"/>
  <c r="AH44" i="13"/>
  <c r="AN44" i="13"/>
  <c r="Q323" i="110" s="1"/>
  <c r="AY44" i="13"/>
  <c r="BD44" i="13"/>
  <c r="AZ44" i="13"/>
  <c r="BE44" i="13"/>
  <c r="AW44" i="13"/>
  <c r="BA44" i="13"/>
  <c r="BF44" i="13"/>
  <c r="BH36" i="13"/>
  <c r="AK36" i="13"/>
  <c r="AV36" i="13"/>
  <c r="AK319" i="110" s="1"/>
  <c r="AX36" i="13"/>
  <c r="BB36" i="13"/>
  <c r="AH36" i="13"/>
  <c r="AN36" i="13"/>
  <c r="Q319" i="110" s="1"/>
  <c r="AY36" i="13"/>
  <c r="BD36" i="13"/>
  <c r="AZ36" i="13"/>
  <c r="BE36" i="13"/>
  <c r="AW36" i="13"/>
  <c r="BA36" i="13"/>
  <c r="BF36" i="13"/>
  <c r="BH58" i="13"/>
  <c r="AK58" i="13"/>
  <c r="AV58" i="13"/>
  <c r="AK330" i="110" s="1"/>
  <c r="AH58" i="13"/>
  <c r="AN58" i="13"/>
  <c r="Q330" i="110" s="1"/>
  <c r="AZ58" i="13"/>
  <c r="BE58" i="13"/>
  <c r="AW58" i="13"/>
  <c r="BA58" i="13"/>
  <c r="BF58" i="13"/>
  <c r="AX58" i="13"/>
  <c r="BB58" i="13"/>
  <c r="AY58" i="13"/>
  <c r="BD58" i="13"/>
  <c r="BH50" i="13"/>
  <c r="AK50" i="13"/>
  <c r="AV50" i="13"/>
  <c r="AK326" i="110" s="1"/>
  <c r="AH50" i="13"/>
  <c r="AN50" i="13"/>
  <c r="Q326" i="110" s="1"/>
  <c r="AZ50" i="13"/>
  <c r="BE50" i="13"/>
  <c r="AW50" i="13"/>
  <c r="BA50" i="13"/>
  <c r="BC50" i="13" s="1"/>
  <c r="BF50" i="13"/>
  <c r="AX50" i="13"/>
  <c r="BB50" i="13"/>
  <c r="AY50" i="13"/>
  <c r="BD50" i="13"/>
  <c r="BH42" i="13"/>
  <c r="AK42" i="13"/>
  <c r="AV42" i="13"/>
  <c r="AK322" i="110" s="1"/>
  <c r="AH42" i="13"/>
  <c r="AN42" i="13"/>
  <c r="Q322" i="110" s="1"/>
  <c r="AZ42" i="13"/>
  <c r="BE42" i="13"/>
  <c r="AW42" i="13"/>
  <c r="BA42" i="13"/>
  <c r="BF42" i="13"/>
  <c r="AX42" i="13"/>
  <c r="BB42" i="13"/>
  <c r="AY42" i="13"/>
  <c r="BD42" i="13"/>
  <c r="BH34" i="13"/>
  <c r="AK34" i="13"/>
  <c r="AV34" i="13"/>
  <c r="AK318" i="110" s="1"/>
  <c r="AH34" i="13"/>
  <c r="AN34" i="13"/>
  <c r="Q318" i="110" s="1"/>
  <c r="AZ34" i="13"/>
  <c r="BE34" i="13"/>
  <c r="AW34" i="13"/>
  <c r="BA34" i="13"/>
  <c r="BC34" i="13" s="1"/>
  <c r="BF34" i="13"/>
  <c r="AX34" i="13"/>
  <c r="BB34" i="13"/>
  <c r="AY34" i="13"/>
  <c r="BD34" i="13"/>
  <c r="BH64" i="13"/>
  <c r="AK64" i="13"/>
  <c r="AV64" i="13"/>
  <c r="AK333" i="110" s="1"/>
  <c r="AX64" i="13"/>
  <c r="BB64" i="13"/>
  <c r="AY64" i="13"/>
  <c r="BD64" i="13"/>
  <c r="AZ64" i="13"/>
  <c r="BE64" i="13"/>
  <c r="AH64" i="13"/>
  <c r="AN64" i="13"/>
  <c r="Q333" i="110" s="1"/>
  <c r="AW64" i="13"/>
  <c r="BA64" i="13"/>
  <c r="BF64" i="13"/>
  <c r="AC362" i="110"/>
  <c r="C106" i="110"/>
  <c r="B106" i="110" s="1"/>
  <c r="BC16" i="64"/>
  <c r="BE34" i="65"/>
  <c r="BE26" i="65"/>
  <c r="BB42" i="12"/>
  <c r="AK42" i="12"/>
  <c r="BB34" i="12"/>
  <c r="AK34" i="12"/>
  <c r="BB26" i="12"/>
  <c r="AK26" i="12"/>
  <c r="AK40" i="12"/>
  <c r="BB40" i="12"/>
  <c r="BB32" i="12"/>
  <c r="BE18" i="65"/>
  <c r="AK38" i="12"/>
  <c r="BB38" i="12"/>
  <c r="BB30" i="12"/>
  <c r="BB44" i="12"/>
  <c r="AK44" i="12"/>
  <c r="BB36" i="12"/>
  <c r="AK36" i="12"/>
  <c r="BB28" i="12"/>
  <c r="BE16" i="65"/>
  <c r="BE28" i="65"/>
  <c r="BE30" i="62"/>
  <c r="BC30" i="62"/>
  <c r="BC22" i="62"/>
  <c r="BE34" i="62"/>
  <c r="BC34" i="62"/>
  <c r="BE28" i="62"/>
  <c r="BC28" i="62"/>
  <c r="BC20" i="62"/>
  <c r="BE32" i="65"/>
  <c r="BE26" i="62"/>
  <c r="BC26" i="62"/>
  <c r="BE18" i="62"/>
  <c r="BC18" i="62"/>
  <c r="BE30" i="65"/>
  <c r="BE32" i="62"/>
  <c r="BC32" i="62"/>
  <c r="BC24" i="62"/>
  <c r="BE24" i="62"/>
  <c r="BC16" i="62"/>
  <c r="W55" i="110" s="1"/>
  <c r="AA181" i="110"/>
  <c r="BC30" i="65"/>
  <c r="W181" i="110" s="1"/>
  <c r="AA174" i="110"/>
  <c r="BC16" i="65"/>
  <c r="AA180" i="110"/>
  <c r="BC28" i="65"/>
  <c r="W180" i="110" s="1"/>
  <c r="AA176" i="110"/>
  <c r="BC20" i="65"/>
  <c r="AA183" i="110"/>
  <c r="BC34" i="65"/>
  <c r="W183" i="110" s="1"/>
  <c r="AA179" i="110"/>
  <c r="BC26" i="65"/>
  <c r="W179" i="110" s="1"/>
  <c r="AA175" i="110"/>
  <c r="BC18" i="65"/>
  <c r="W175" i="110" s="1"/>
  <c r="AA182" i="110"/>
  <c r="BC32" i="65"/>
  <c r="W182" i="110" s="1"/>
  <c r="AA178" i="110"/>
  <c r="BC24" i="65"/>
  <c r="AA177" i="110"/>
  <c r="BC22" i="65"/>
  <c r="AN22" i="65" s="1"/>
  <c r="BE22" i="65" s="1"/>
  <c r="AR200" i="113"/>
  <c r="AR200" i="78"/>
  <c r="AR200" i="70"/>
  <c r="AR200" i="80"/>
  <c r="AR200" i="49"/>
  <c r="AA62" i="110"/>
  <c r="AA61" i="110"/>
  <c r="AV16" i="62"/>
  <c r="O55" i="110" s="1"/>
  <c r="BE26" i="13"/>
  <c r="AW26" i="13"/>
  <c r="AY26" i="13"/>
  <c r="AH314" i="110" s="1"/>
  <c r="AH26" i="13"/>
  <c r="AX26" i="13"/>
  <c r="BA26" i="13" s="1"/>
  <c r="BB26" i="13"/>
  <c r="BD26" i="13"/>
  <c r="C125" i="110"/>
  <c r="B125" i="110" s="1"/>
  <c r="AA59" i="110"/>
  <c r="BB16" i="13"/>
  <c r="AW16" i="13"/>
  <c r="AF86" i="69"/>
  <c r="BH86" i="69" s="1"/>
  <c r="AF78" i="69"/>
  <c r="BH78" i="69" s="1"/>
  <c r="AF106" i="69"/>
  <c r="BH106" i="69" s="1"/>
  <c r="AF94" i="69"/>
  <c r="BH94" i="69" s="1"/>
  <c r="AF108" i="69"/>
  <c r="BH108" i="69" s="1"/>
  <c r="AF100" i="69"/>
  <c r="BH100" i="69" s="1"/>
  <c r="AF92" i="69"/>
  <c r="BH92" i="69" s="1"/>
  <c r="AF84" i="69"/>
  <c r="BH84" i="69" s="1"/>
  <c r="AF104" i="69"/>
  <c r="BH104" i="69" s="1"/>
  <c r="AY24" i="13"/>
  <c r="BD24" i="13"/>
  <c r="BE24" i="13"/>
  <c r="AH24" i="13"/>
  <c r="AW24" i="13"/>
  <c r="AX24" i="13"/>
  <c r="BB24" i="13"/>
  <c r="W468" i="110"/>
  <c r="W452" i="110"/>
  <c r="J459" i="110"/>
  <c r="AK26" i="69"/>
  <c r="BC22" i="69"/>
  <c r="AY22" i="69"/>
  <c r="AZ22" i="69"/>
  <c r="AV22" i="69"/>
  <c r="AL466" i="110"/>
  <c r="AN475" i="110"/>
  <c r="AF74" i="69"/>
  <c r="AZ74" i="69" s="1"/>
  <c r="AF72" i="69"/>
  <c r="AZ72" i="69" s="1"/>
  <c r="AF64" i="69"/>
  <c r="AH64" i="69" s="1"/>
  <c r="AF48" i="69"/>
  <c r="BH48" i="69" s="1"/>
  <c r="AF40" i="69"/>
  <c r="BH40" i="69" s="1"/>
  <c r="AF70" i="69"/>
  <c r="AZ70" i="69" s="1"/>
  <c r="AF54" i="69"/>
  <c r="AH54" i="69" s="1"/>
  <c r="AF46" i="69"/>
  <c r="BH46" i="69" s="1"/>
  <c r="AF44" i="69"/>
  <c r="AX44" i="69" s="1"/>
  <c r="AF36" i="69"/>
  <c r="AV36" i="69" s="1"/>
  <c r="AK396" i="110" s="1"/>
  <c r="AH16" i="69"/>
  <c r="BF16" i="69" s="1"/>
  <c r="M475" i="110"/>
  <c r="S475" i="110"/>
  <c r="V475" i="110"/>
  <c r="N16" i="70"/>
  <c r="R473" i="110"/>
  <c r="P475" i="110"/>
  <c r="AL475" i="110"/>
  <c r="AL470" i="110"/>
  <c r="S466" i="110"/>
  <c r="R475" i="110"/>
  <c r="AM475" i="110"/>
  <c r="R466" i="110"/>
  <c r="K466" i="110"/>
  <c r="CG2" i="110"/>
  <c r="G14" i="81"/>
  <c r="V466" i="110"/>
  <c r="J475" i="110"/>
  <c r="P26" i="79"/>
  <c r="W26" i="78"/>
  <c r="AL486" i="110"/>
  <c r="AB28" i="80"/>
  <c r="R6" i="109"/>
  <c r="L34" i="81"/>
  <c r="J18" i="14"/>
  <c r="W469" i="110"/>
  <c r="AH28" i="13"/>
  <c r="AW28" i="13"/>
  <c r="BE28" i="13"/>
  <c r="AX28" i="13"/>
  <c r="AG315" i="110" s="1"/>
  <c r="BB28" i="13"/>
  <c r="AY28" i="13"/>
  <c r="AH315" i="110" s="1"/>
  <c r="BD28" i="13"/>
  <c r="X50" i="110"/>
  <c r="BC108" i="12"/>
  <c r="P97" i="110"/>
  <c r="R97" i="110"/>
  <c r="C97" i="110" s="1"/>
  <c r="B97" i="110" s="1"/>
  <c r="P93" i="110"/>
  <c r="R93" i="110"/>
  <c r="C93" i="110" s="1"/>
  <c r="B93" i="110" s="1"/>
  <c r="P85" i="110"/>
  <c r="R85" i="110"/>
  <c r="C85" i="110" s="1"/>
  <c r="B85" i="110" s="1"/>
  <c r="P77" i="110"/>
  <c r="R77" i="110"/>
  <c r="C77" i="110" s="1"/>
  <c r="B77" i="110" s="1"/>
  <c r="W69" i="110"/>
  <c r="R69" i="110"/>
  <c r="P101" i="110"/>
  <c r="R101" i="110"/>
  <c r="C101" i="110" s="1"/>
  <c r="B101" i="110" s="1"/>
  <c r="P89" i="110"/>
  <c r="R89" i="110"/>
  <c r="C89" i="110" s="1"/>
  <c r="B89" i="110" s="1"/>
  <c r="P81" i="110"/>
  <c r="R81" i="110"/>
  <c r="C81" i="110" s="1"/>
  <c r="B81" i="110" s="1"/>
  <c r="R73" i="110"/>
  <c r="R65" i="110"/>
  <c r="P100" i="110"/>
  <c r="R100" i="110"/>
  <c r="C100" i="110" s="1"/>
  <c r="B100" i="110" s="1"/>
  <c r="W96" i="110"/>
  <c r="P96" i="110"/>
  <c r="R96" i="110"/>
  <c r="C96" i="110" s="1"/>
  <c r="B96" i="110" s="1"/>
  <c r="P92" i="110"/>
  <c r="R92" i="110"/>
  <c r="C92" i="110" s="1"/>
  <c r="B92" i="110" s="1"/>
  <c r="P88" i="110"/>
  <c r="R88" i="110"/>
  <c r="C88" i="110" s="1"/>
  <c r="B88" i="110" s="1"/>
  <c r="P84" i="110"/>
  <c r="R84" i="110"/>
  <c r="C84" i="110" s="1"/>
  <c r="B84" i="110" s="1"/>
  <c r="W80" i="110"/>
  <c r="P80" i="110"/>
  <c r="R80" i="110"/>
  <c r="C80" i="110" s="1"/>
  <c r="B80" i="110" s="1"/>
  <c r="W76" i="110"/>
  <c r="P76" i="110"/>
  <c r="R76" i="110"/>
  <c r="C76" i="110" s="1"/>
  <c r="B76" i="110" s="1"/>
  <c r="W72" i="110"/>
  <c r="R72" i="110"/>
  <c r="R68" i="110"/>
  <c r="R103" i="110"/>
  <c r="C103" i="110" s="1"/>
  <c r="B103" i="110" s="1"/>
  <c r="P103" i="110"/>
  <c r="P99" i="110"/>
  <c r="R99" i="110"/>
  <c r="C99" i="110" s="1"/>
  <c r="B99" i="110" s="1"/>
  <c r="P95" i="110"/>
  <c r="R95" i="110"/>
  <c r="C95" i="110" s="1"/>
  <c r="B95" i="110" s="1"/>
  <c r="W91" i="110"/>
  <c r="P91" i="110"/>
  <c r="R91" i="110"/>
  <c r="C91" i="110" s="1"/>
  <c r="B91" i="110" s="1"/>
  <c r="P87" i="110"/>
  <c r="R87" i="110"/>
  <c r="C87" i="110" s="1"/>
  <c r="B87" i="110" s="1"/>
  <c r="P83" i="110"/>
  <c r="R83" i="110"/>
  <c r="C83" i="110" s="1"/>
  <c r="B83" i="110" s="1"/>
  <c r="P79" i="110"/>
  <c r="R79" i="110"/>
  <c r="C79" i="110" s="1"/>
  <c r="B79" i="110" s="1"/>
  <c r="P75" i="110"/>
  <c r="R75" i="110"/>
  <c r="C75" i="110" s="1"/>
  <c r="B75" i="110" s="1"/>
  <c r="R71" i="110"/>
  <c r="R67" i="110"/>
  <c r="W102" i="110"/>
  <c r="P102" i="110"/>
  <c r="R102" i="110"/>
  <c r="C102" i="110" s="1"/>
  <c r="B102" i="110" s="1"/>
  <c r="W98" i="110"/>
  <c r="P98" i="110"/>
  <c r="R98" i="110"/>
  <c r="C98" i="110" s="1"/>
  <c r="B98" i="110" s="1"/>
  <c r="P94" i="110"/>
  <c r="R94" i="110"/>
  <c r="C94" i="110" s="1"/>
  <c r="B94" i="110" s="1"/>
  <c r="W90" i="110"/>
  <c r="P90" i="110"/>
  <c r="R90" i="110"/>
  <c r="C90" i="110" s="1"/>
  <c r="B90" i="110" s="1"/>
  <c r="W86" i="110"/>
  <c r="P86" i="110"/>
  <c r="R86" i="110"/>
  <c r="C86" i="110" s="1"/>
  <c r="B86" i="110" s="1"/>
  <c r="W82" i="110"/>
  <c r="P82" i="110"/>
  <c r="R82" i="110"/>
  <c r="C82" i="110" s="1"/>
  <c r="B82" i="110" s="1"/>
  <c r="P78" i="110"/>
  <c r="R78" i="110"/>
  <c r="C78" i="110" s="1"/>
  <c r="B78" i="110" s="1"/>
  <c r="W70" i="110"/>
  <c r="R70" i="110"/>
  <c r="W66" i="110"/>
  <c r="R66" i="110"/>
  <c r="W235" i="110"/>
  <c r="W259" i="110"/>
  <c r="AK100" i="13"/>
  <c r="AV100" i="13"/>
  <c r="AK351" i="110" s="1"/>
  <c r="AH100" i="13"/>
  <c r="AW100" i="13"/>
  <c r="BA100" i="13"/>
  <c r="BF100" i="13"/>
  <c r="AX100" i="13"/>
  <c r="AG351" i="110" s="1"/>
  <c r="BB100" i="13"/>
  <c r="AN100" i="13"/>
  <c r="Q351" i="110" s="1"/>
  <c r="AY100" i="13"/>
  <c r="AH351" i="110" s="1"/>
  <c r="AZ100" i="13"/>
  <c r="BD100" i="13"/>
  <c r="BE100" i="13"/>
  <c r="AK84" i="13"/>
  <c r="AV84" i="13"/>
  <c r="AK343" i="110" s="1"/>
  <c r="AH84" i="13"/>
  <c r="AW84" i="13"/>
  <c r="BA84" i="13"/>
  <c r="BF84" i="13"/>
  <c r="AX84" i="13"/>
  <c r="AG343" i="110" s="1"/>
  <c r="BB84" i="13"/>
  <c r="AY84" i="13"/>
  <c r="BD84" i="13"/>
  <c r="AZ84" i="13"/>
  <c r="AN84" i="13"/>
  <c r="Q343" i="110" s="1"/>
  <c r="BE84" i="13"/>
  <c r="AK68" i="13"/>
  <c r="AV68" i="13"/>
  <c r="AK335" i="110" s="1"/>
  <c r="AH68" i="13"/>
  <c r="AW68" i="13"/>
  <c r="BA68" i="13"/>
  <c r="BF68" i="13"/>
  <c r="AX68" i="13"/>
  <c r="AG335" i="110" s="1"/>
  <c r="BB68" i="13"/>
  <c r="AN68" i="13"/>
  <c r="Q335" i="110" s="1"/>
  <c r="AY68" i="13"/>
  <c r="AH335" i="110" s="1"/>
  <c r="AZ68" i="13"/>
  <c r="BD68" i="13"/>
  <c r="BE68" i="13"/>
  <c r="AK98" i="13"/>
  <c r="AV98" i="13"/>
  <c r="AK350" i="110" s="1"/>
  <c r="AY98" i="13"/>
  <c r="BD98" i="13"/>
  <c r="AZ98" i="13"/>
  <c r="BE98" i="13"/>
  <c r="AN98" i="13"/>
  <c r="Q350" i="110" s="1"/>
  <c r="BA98" i="13"/>
  <c r="AW98" i="13"/>
  <c r="BB98" i="13"/>
  <c r="BF98" i="13"/>
  <c r="AH98" i="13"/>
  <c r="AX98" i="13"/>
  <c r="AG350" i="110" s="1"/>
  <c r="AK82" i="13"/>
  <c r="AV82" i="13"/>
  <c r="AK342" i="110" s="1"/>
  <c r="AY82" i="13"/>
  <c r="AH342" i="110" s="1"/>
  <c r="BD82" i="13"/>
  <c r="AN82" i="13"/>
  <c r="Q342" i="110" s="1"/>
  <c r="AZ82" i="13"/>
  <c r="BE82" i="13"/>
  <c r="BA82" i="13"/>
  <c r="BF82" i="13"/>
  <c r="AX82" i="13"/>
  <c r="AH82" i="13"/>
  <c r="BB82" i="13"/>
  <c r="AW82" i="13"/>
  <c r="AK66" i="13"/>
  <c r="AV66" i="13"/>
  <c r="AK334" i="110" s="1"/>
  <c r="AY66" i="13"/>
  <c r="AH334" i="110" s="1"/>
  <c r="BD66" i="13"/>
  <c r="AN66" i="13"/>
  <c r="Q334" i="110" s="1"/>
  <c r="AZ66" i="13"/>
  <c r="BE66" i="13"/>
  <c r="BA66" i="13"/>
  <c r="AW66" i="13"/>
  <c r="AH66" i="13"/>
  <c r="BB66" i="13"/>
  <c r="BF66" i="13"/>
  <c r="AX66" i="13"/>
  <c r="AK357" i="110"/>
  <c r="AG357" i="110"/>
  <c r="AH357" i="110"/>
  <c r="AK104" i="13"/>
  <c r="AV104" i="13"/>
  <c r="AK353" i="110" s="1"/>
  <c r="AW104" i="13"/>
  <c r="BA104" i="13"/>
  <c r="BF104" i="13"/>
  <c r="BB104" i="13"/>
  <c r="AH104" i="13"/>
  <c r="AN104" i="13"/>
  <c r="Q353" i="110" s="1"/>
  <c r="AX104" i="13"/>
  <c r="AG353" i="110" s="1"/>
  <c r="AZ104" i="13"/>
  <c r="BE104" i="13"/>
  <c r="AY104" i="13"/>
  <c r="AH353" i="110" s="1"/>
  <c r="BD104" i="13"/>
  <c r="AK96" i="13"/>
  <c r="AV96" i="13"/>
  <c r="AK349" i="110" s="1"/>
  <c r="AW96" i="13"/>
  <c r="BA96" i="13"/>
  <c r="BF96" i="13"/>
  <c r="AN96" i="13"/>
  <c r="Q349" i="110" s="1"/>
  <c r="AX96" i="13"/>
  <c r="AG349" i="110" s="1"/>
  <c r="BB96" i="13"/>
  <c r="AH96" i="13"/>
  <c r="BE96" i="13"/>
  <c r="BD96" i="13"/>
  <c r="AY96" i="13"/>
  <c r="AH349" i="110" s="1"/>
  <c r="AZ96" i="13"/>
  <c r="AK88" i="13"/>
  <c r="AV88" i="13"/>
  <c r="AK345" i="110" s="1"/>
  <c r="AW88" i="13"/>
  <c r="BA88" i="13"/>
  <c r="BF88" i="13"/>
  <c r="AH88" i="13"/>
  <c r="AN88" i="13"/>
  <c r="Q345" i="110" s="1"/>
  <c r="AX88" i="13"/>
  <c r="AG345" i="110" s="1"/>
  <c r="BB88" i="13"/>
  <c r="AZ88" i="13"/>
  <c r="BD88" i="13"/>
  <c r="BE88" i="13"/>
  <c r="AY88" i="13"/>
  <c r="AH345" i="110" s="1"/>
  <c r="AK80" i="13"/>
  <c r="AV80" i="13"/>
  <c r="AK341" i="110" s="1"/>
  <c r="AW80" i="13"/>
  <c r="BA80" i="13"/>
  <c r="BF80" i="13"/>
  <c r="AN80" i="13"/>
  <c r="Q341" i="110" s="1"/>
  <c r="AX80" i="13"/>
  <c r="AG341" i="110" s="1"/>
  <c r="BB80" i="13"/>
  <c r="AH80" i="13"/>
  <c r="BE80" i="13"/>
  <c r="AZ80" i="13"/>
  <c r="AY80" i="13"/>
  <c r="AH341" i="110" s="1"/>
  <c r="BD80" i="13"/>
  <c r="AK72" i="13"/>
  <c r="AV72" i="13"/>
  <c r="AK337" i="110" s="1"/>
  <c r="AW72" i="13"/>
  <c r="BA72" i="13"/>
  <c r="BF72" i="13"/>
  <c r="AH72" i="13"/>
  <c r="AN72" i="13"/>
  <c r="Q337" i="110" s="1"/>
  <c r="AX72" i="13"/>
  <c r="AG337" i="110" s="1"/>
  <c r="BB72" i="13"/>
  <c r="AZ72" i="13"/>
  <c r="BE72" i="13"/>
  <c r="BD72" i="13"/>
  <c r="AY72" i="13"/>
  <c r="AH337" i="110" s="1"/>
  <c r="AK355" i="110"/>
  <c r="AH355" i="110"/>
  <c r="J355" i="110"/>
  <c r="AK92" i="13"/>
  <c r="AV92" i="13"/>
  <c r="AK347" i="110" s="1"/>
  <c r="AH92" i="13"/>
  <c r="AW92" i="13"/>
  <c r="BA92" i="13"/>
  <c r="BF92" i="13"/>
  <c r="AX92" i="13"/>
  <c r="AG347" i="110" s="1"/>
  <c r="BB92" i="13"/>
  <c r="BD92" i="13"/>
  <c r="AN92" i="13"/>
  <c r="Q347" i="110" s="1"/>
  <c r="AZ92" i="13"/>
  <c r="BE92" i="13"/>
  <c r="AY92" i="13"/>
  <c r="AH347" i="110" s="1"/>
  <c r="AK76" i="13"/>
  <c r="AV76" i="13"/>
  <c r="AK339" i="110" s="1"/>
  <c r="AH76" i="13"/>
  <c r="AW76" i="13"/>
  <c r="BA76" i="13"/>
  <c r="BF76" i="13"/>
  <c r="AX76" i="13"/>
  <c r="AG339" i="110" s="1"/>
  <c r="BB76" i="13"/>
  <c r="BD76" i="13"/>
  <c r="AY76" i="13"/>
  <c r="AH339" i="110" s="1"/>
  <c r="AN76" i="13"/>
  <c r="Q339" i="110" s="1"/>
  <c r="BE76" i="13"/>
  <c r="AZ76" i="13"/>
  <c r="AK106" i="13"/>
  <c r="AV106" i="13"/>
  <c r="AK354" i="110" s="1"/>
  <c r="AY106" i="13"/>
  <c r="AH354" i="110" s="1"/>
  <c r="BD106" i="13"/>
  <c r="BE106" i="13"/>
  <c r="AN106" i="13"/>
  <c r="Q354" i="110" s="1"/>
  <c r="AZ106" i="13"/>
  <c r="AH106" i="13"/>
  <c r="AW106" i="13"/>
  <c r="BF106" i="13"/>
  <c r="AX106" i="13"/>
  <c r="AG354" i="110" s="1"/>
  <c r="BA106" i="13"/>
  <c r="BC106" i="13" s="1"/>
  <c r="BB106" i="13"/>
  <c r="AK90" i="13"/>
  <c r="AV90" i="13"/>
  <c r="AK346" i="110" s="1"/>
  <c r="AY90" i="13"/>
  <c r="AH346" i="110" s="1"/>
  <c r="BD90" i="13"/>
  <c r="AN90" i="13"/>
  <c r="Q346" i="110" s="1"/>
  <c r="AZ90" i="13"/>
  <c r="BE90" i="13"/>
  <c r="AW90" i="13"/>
  <c r="BF90" i="13"/>
  <c r="BA90" i="13"/>
  <c r="AX90" i="13"/>
  <c r="AG346" i="110" s="1"/>
  <c r="AH90" i="13"/>
  <c r="BB90" i="13"/>
  <c r="AK74" i="13"/>
  <c r="AV74" i="13"/>
  <c r="AK338" i="110" s="1"/>
  <c r="AY74" i="13"/>
  <c r="AH338" i="110" s="1"/>
  <c r="BD74" i="13"/>
  <c r="AZ74" i="13"/>
  <c r="BE74" i="13"/>
  <c r="AN74" i="13"/>
  <c r="Q338" i="110" s="1"/>
  <c r="AH74" i="13"/>
  <c r="AW74" i="13"/>
  <c r="BF74" i="13"/>
  <c r="BB74" i="13"/>
  <c r="AX74" i="13"/>
  <c r="AG338" i="110" s="1"/>
  <c r="BA74" i="13"/>
  <c r="AK356" i="110"/>
  <c r="AH356" i="110"/>
  <c r="AG356" i="110"/>
  <c r="AK102" i="13"/>
  <c r="AV102" i="13"/>
  <c r="AK352" i="110" s="1"/>
  <c r="AN102" i="13"/>
  <c r="Q352" i="110" s="1"/>
  <c r="AY102" i="13"/>
  <c r="AH352" i="110" s="1"/>
  <c r="BD102" i="13"/>
  <c r="AH102" i="13"/>
  <c r="AZ102" i="13"/>
  <c r="BE102" i="13"/>
  <c r="BB102" i="13"/>
  <c r="AX102" i="13"/>
  <c r="AW102" i="13"/>
  <c r="BF102" i="13"/>
  <c r="BA102" i="13"/>
  <c r="AK94" i="13"/>
  <c r="AV94" i="13"/>
  <c r="AK348" i="110" s="1"/>
  <c r="AN94" i="13"/>
  <c r="Q348" i="110" s="1"/>
  <c r="AY94" i="13"/>
  <c r="AH348" i="110" s="1"/>
  <c r="BD94" i="13"/>
  <c r="AH94" i="13"/>
  <c r="AZ94" i="13"/>
  <c r="BE94" i="13"/>
  <c r="AX94" i="13"/>
  <c r="AG348" i="110" s="1"/>
  <c r="BB94" i="13"/>
  <c r="BF94" i="13"/>
  <c r="BA94" i="13"/>
  <c r="AW94" i="13"/>
  <c r="AK86" i="13"/>
  <c r="AV86" i="13"/>
  <c r="AK344" i="110" s="1"/>
  <c r="AN86" i="13"/>
  <c r="Q344" i="110" s="1"/>
  <c r="AY86" i="13"/>
  <c r="AH344" i="110" s="1"/>
  <c r="BD86" i="13"/>
  <c r="AH86" i="13"/>
  <c r="AZ86" i="13"/>
  <c r="BE86" i="13"/>
  <c r="BB86" i="13"/>
  <c r="BA86" i="13"/>
  <c r="AW86" i="13"/>
  <c r="BF86" i="13"/>
  <c r="AX86" i="13"/>
  <c r="AG344" i="110" s="1"/>
  <c r="AK78" i="13"/>
  <c r="AV78" i="13"/>
  <c r="AK340" i="110" s="1"/>
  <c r="AN78" i="13"/>
  <c r="Q340" i="110" s="1"/>
  <c r="AY78" i="13"/>
  <c r="AH340" i="110" s="1"/>
  <c r="BD78" i="13"/>
  <c r="AH78" i="13"/>
  <c r="AZ78" i="13"/>
  <c r="BE78" i="13"/>
  <c r="AX78" i="13"/>
  <c r="AG340" i="110" s="1"/>
  <c r="AW78" i="13"/>
  <c r="BA78" i="13"/>
  <c r="BB78" i="13"/>
  <c r="BF78" i="13"/>
  <c r="AK70" i="13"/>
  <c r="AV70" i="13"/>
  <c r="AK336" i="110" s="1"/>
  <c r="AN70" i="13"/>
  <c r="Q336" i="110" s="1"/>
  <c r="AY70" i="13"/>
  <c r="AH336" i="110" s="1"/>
  <c r="BD70" i="13"/>
  <c r="AH70" i="13"/>
  <c r="AZ70" i="13"/>
  <c r="BE70" i="13"/>
  <c r="BB70" i="13"/>
  <c r="AX70" i="13"/>
  <c r="AG336" i="110" s="1"/>
  <c r="BA70" i="13"/>
  <c r="AW70" i="13"/>
  <c r="BF70" i="13"/>
  <c r="BE22" i="13"/>
  <c r="AY22" i="13"/>
  <c r="AW22" i="13"/>
  <c r="AH22" i="13"/>
  <c r="AX22" i="13"/>
  <c r="BB22" i="13"/>
  <c r="BD22" i="13"/>
  <c r="I8" i="110"/>
  <c r="AU22" i="70"/>
  <c r="AK22" i="70"/>
  <c r="AX22" i="70" s="1"/>
  <c r="AH22" i="70"/>
  <c r="X30" i="51"/>
  <c r="AH16" i="51" s="1"/>
  <c r="AC365" i="110"/>
  <c r="AM466" i="110"/>
  <c r="M466" i="110"/>
  <c r="I466" i="110"/>
  <c r="J466" i="110"/>
  <c r="W475" i="110"/>
  <c r="AM473" i="110"/>
  <c r="AN466" i="110"/>
  <c r="I475" i="110"/>
  <c r="AM451" i="110"/>
  <c r="M471" i="110"/>
  <c r="I451" i="110"/>
  <c r="AL477" i="110"/>
  <c r="K470" i="110"/>
  <c r="J486" i="110"/>
  <c r="W480" i="110"/>
  <c r="S470" i="110"/>
  <c r="AM480" i="110"/>
  <c r="V462" i="110"/>
  <c r="R484" i="110"/>
  <c r="P451" i="110"/>
  <c r="AN480" i="110"/>
  <c r="AL460" i="110"/>
  <c r="AN447" i="110"/>
  <c r="R474" i="110"/>
  <c r="V480" i="110"/>
  <c r="R480" i="110"/>
  <c r="P477" i="110"/>
  <c r="P484" i="110"/>
  <c r="P457" i="110"/>
  <c r="K457" i="110"/>
  <c r="AM447" i="110"/>
  <c r="P480" i="110"/>
  <c r="AM474" i="110"/>
  <c r="M477" i="110"/>
  <c r="R462" i="110"/>
  <c r="I462" i="110"/>
  <c r="P447" i="110"/>
  <c r="R471" i="110"/>
  <c r="V474" i="110"/>
  <c r="AL474" i="110"/>
  <c r="AM458" i="110"/>
  <c r="AM459" i="110"/>
  <c r="R451" i="110"/>
  <c r="V451" i="110"/>
  <c r="R447" i="110"/>
  <c r="M447" i="110"/>
  <c r="AL471" i="110"/>
  <c r="K451" i="110"/>
  <c r="I471" i="110"/>
  <c r="P474" i="110"/>
  <c r="AN474" i="110"/>
  <c r="S474" i="110"/>
  <c r="M482" i="110"/>
  <c r="AM482" i="110"/>
  <c r="AN451" i="110"/>
  <c r="AL451" i="110"/>
  <c r="M451" i="110"/>
  <c r="AL447" i="110"/>
  <c r="V447" i="110"/>
  <c r="S471" i="110"/>
  <c r="W471" i="110"/>
  <c r="J451" i="110"/>
  <c r="K471" i="110"/>
  <c r="M474" i="110"/>
  <c r="P482" i="110"/>
  <c r="S451" i="110"/>
  <c r="S447" i="110"/>
  <c r="W447" i="110"/>
  <c r="AM471" i="110"/>
  <c r="P471" i="110"/>
  <c r="AH30" i="80"/>
  <c r="P28" i="79"/>
  <c r="N36" i="81"/>
  <c r="X6" i="109"/>
  <c r="J28" i="80"/>
  <c r="U34" i="81"/>
  <c r="R263" i="110"/>
  <c r="C263" i="110" s="1"/>
  <c r="B263" i="110" s="1"/>
  <c r="W255" i="110"/>
  <c r="R256" i="110"/>
  <c r="C256" i="110" s="1"/>
  <c r="B256" i="110" s="1"/>
  <c r="P256" i="110"/>
  <c r="K447" i="110"/>
  <c r="AN453" i="110"/>
  <c r="J447" i="110"/>
  <c r="AL453" i="110"/>
  <c r="M453" i="110"/>
  <c r="K449" i="110"/>
  <c r="AM457" i="110"/>
  <c r="W260" i="110"/>
  <c r="R260" i="110"/>
  <c r="C260" i="110" s="1"/>
  <c r="B260" i="110" s="1"/>
  <c r="AU28" i="66"/>
  <c r="AU20" i="66"/>
  <c r="AU34" i="66"/>
  <c r="AU26" i="66"/>
  <c r="K220" i="110" s="1"/>
  <c r="AU18" i="66"/>
  <c r="AN18" i="66" s="1"/>
  <c r="H216" i="110" s="1"/>
  <c r="AU40" i="12"/>
  <c r="K16" i="110" s="1"/>
  <c r="AZ40" i="12"/>
  <c r="AN40" i="12"/>
  <c r="AW40" i="12"/>
  <c r="AG16" i="110" s="1"/>
  <c r="BA40" i="12"/>
  <c r="AX40" i="12"/>
  <c r="AH16" i="110" s="1"/>
  <c r="AY40" i="12"/>
  <c r="BC40" i="12"/>
  <c r="AZ32" i="12"/>
  <c r="AW32" i="12"/>
  <c r="AG12" i="110" s="1"/>
  <c r="BA32" i="12"/>
  <c r="AX32" i="12"/>
  <c r="AH12" i="110" s="1"/>
  <c r="BC32" i="12"/>
  <c r="AY32" i="12"/>
  <c r="AZ24" i="12"/>
  <c r="AW24" i="12"/>
  <c r="AG8" i="110" s="1"/>
  <c r="BA24" i="12"/>
  <c r="AX24" i="12"/>
  <c r="AH8" i="110" s="1"/>
  <c r="BC24" i="12"/>
  <c r="AY24" i="12"/>
  <c r="AA60" i="110"/>
  <c r="AA56" i="110"/>
  <c r="AN26" i="62"/>
  <c r="AY26" i="62"/>
  <c r="AU26" i="62"/>
  <c r="K60" i="110" s="1"/>
  <c r="AZ26" i="62"/>
  <c r="AW26" i="62"/>
  <c r="AK26" i="62"/>
  <c r="AX26" i="62"/>
  <c r="AN18" i="62"/>
  <c r="AY18" i="62"/>
  <c r="AU18" i="62"/>
  <c r="K56" i="110" s="1"/>
  <c r="AZ18" i="62"/>
  <c r="AW18" i="62"/>
  <c r="AK18" i="62"/>
  <c r="AX18" i="62"/>
  <c r="AA157" i="110"/>
  <c r="AU16" i="64"/>
  <c r="K157" i="110" s="1"/>
  <c r="AN38" i="12"/>
  <c r="AX38" i="12"/>
  <c r="AH15" i="110" s="1"/>
  <c r="AY38" i="12"/>
  <c r="BC38" i="12"/>
  <c r="AU38" i="12"/>
  <c r="K15" i="110" s="1"/>
  <c r="AZ38" i="12"/>
  <c r="AW38" i="12"/>
  <c r="AG15" i="110" s="1"/>
  <c r="BA38" i="12"/>
  <c r="AX30" i="12"/>
  <c r="AH11" i="110" s="1"/>
  <c r="AY30" i="12"/>
  <c r="BC30" i="12"/>
  <c r="AZ30" i="12"/>
  <c r="BA30" i="12"/>
  <c r="AW30" i="12"/>
  <c r="AG11" i="110" s="1"/>
  <c r="AA63" i="110"/>
  <c r="AU32" i="62"/>
  <c r="K63" i="110" s="1"/>
  <c r="AY32" i="62"/>
  <c r="AZ32" i="62"/>
  <c r="AK32" i="62"/>
  <c r="AW32" i="62"/>
  <c r="AN32" i="62"/>
  <c r="AX32" i="62"/>
  <c r="AU24" i="62"/>
  <c r="K59" i="110" s="1"/>
  <c r="AZ24" i="62"/>
  <c r="AW24" i="62" s="1"/>
  <c r="AX24" i="62"/>
  <c r="AY24" i="62"/>
  <c r="AU32" i="66"/>
  <c r="K223" i="110" s="1"/>
  <c r="AU24" i="66"/>
  <c r="K219" i="110" s="1"/>
  <c r="AX22" i="12"/>
  <c r="AH7" i="110" s="1"/>
  <c r="AY22" i="12"/>
  <c r="BC22" i="12"/>
  <c r="AZ22" i="12"/>
  <c r="AW22" i="12"/>
  <c r="AG7" i="110" s="1"/>
  <c r="BA22" i="12"/>
  <c r="AU44" i="12"/>
  <c r="K18" i="110" s="1"/>
  <c r="AZ44" i="12"/>
  <c r="BC44" i="12"/>
  <c r="AW44" i="12"/>
  <c r="AG18" i="110" s="1"/>
  <c r="BA44" i="12"/>
  <c r="AX44" i="12"/>
  <c r="AH18" i="110" s="1"/>
  <c r="AN44" i="12"/>
  <c r="AY44" i="12"/>
  <c r="AU36" i="12"/>
  <c r="K14" i="110" s="1"/>
  <c r="AZ36" i="12"/>
  <c r="BC36" i="12"/>
  <c r="AW36" i="12"/>
  <c r="AG14" i="110" s="1"/>
  <c r="BA36" i="12"/>
  <c r="AX36" i="12"/>
  <c r="AH14" i="110" s="1"/>
  <c r="AN36" i="12"/>
  <c r="AY36" i="12"/>
  <c r="AZ28" i="12"/>
  <c r="BC28" i="12"/>
  <c r="AW28" i="12"/>
  <c r="AG10" i="110" s="1"/>
  <c r="BA28" i="12"/>
  <c r="AX28" i="12"/>
  <c r="AH10" i="110" s="1"/>
  <c r="AY28" i="12"/>
  <c r="AA58" i="110"/>
  <c r="AW30" i="62"/>
  <c r="AK30" i="62"/>
  <c r="AX30" i="62"/>
  <c r="AN30" i="62"/>
  <c r="AY30" i="62"/>
  <c r="AU30" i="62"/>
  <c r="K62" i="110" s="1"/>
  <c r="AZ30" i="62"/>
  <c r="AX22" i="62"/>
  <c r="AY22" i="62"/>
  <c r="AZ22" i="62"/>
  <c r="AW22" i="62" s="1"/>
  <c r="AU22" i="62"/>
  <c r="K58" i="110" s="1"/>
  <c r="AU30" i="66"/>
  <c r="AU22" i="66"/>
  <c r="AA64" i="110"/>
  <c r="AN34" i="62"/>
  <c r="AX34" i="62"/>
  <c r="AY34" i="62"/>
  <c r="AU34" i="62"/>
  <c r="K64" i="110" s="1"/>
  <c r="AZ34" i="62"/>
  <c r="AW34" i="62"/>
  <c r="AK34" i="62"/>
  <c r="BC18" i="12"/>
  <c r="AX18" i="12"/>
  <c r="AH5" i="110" s="1"/>
  <c r="AY18" i="12"/>
  <c r="AZ18" i="12"/>
  <c r="BA18" i="12"/>
  <c r="AW18" i="12"/>
  <c r="AG5" i="110" s="1"/>
  <c r="BC42" i="12"/>
  <c r="AX42" i="12"/>
  <c r="AH17" i="110" s="1"/>
  <c r="AY42" i="12"/>
  <c r="AN42" i="12"/>
  <c r="AU42" i="12"/>
  <c r="K17" i="110" s="1"/>
  <c r="AZ42" i="12"/>
  <c r="AW42" i="12"/>
  <c r="AG17" i="110" s="1"/>
  <c r="BA42" i="12"/>
  <c r="BC34" i="12"/>
  <c r="AX34" i="12"/>
  <c r="AH13" i="110" s="1"/>
  <c r="AY34" i="12"/>
  <c r="AN34" i="12"/>
  <c r="AU34" i="12"/>
  <c r="K13" i="110" s="1"/>
  <c r="AZ34" i="12"/>
  <c r="BA34" i="12"/>
  <c r="AW34" i="12"/>
  <c r="AG13" i="110" s="1"/>
  <c r="BC26" i="12"/>
  <c r="AX26" i="12"/>
  <c r="AH9" i="110" s="1"/>
  <c r="AY26" i="12"/>
  <c r="AN26" i="12"/>
  <c r="AU26" i="12"/>
  <c r="AZ26" i="12"/>
  <c r="AW26" i="12"/>
  <c r="AG9" i="110" s="1"/>
  <c r="BA26" i="12"/>
  <c r="AA57" i="110"/>
  <c r="AK28" i="62"/>
  <c r="AX28" i="62"/>
  <c r="AN28" i="62"/>
  <c r="AY28" i="62"/>
  <c r="AU28" i="62"/>
  <c r="K61" i="110" s="1"/>
  <c r="AZ28" i="62"/>
  <c r="AW28" i="62"/>
  <c r="AX20" i="62"/>
  <c r="AY20" i="62"/>
  <c r="AU20" i="62"/>
  <c r="AZ20" i="62"/>
  <c r="AW20" i="62" s="1"/>
  <c r="AA215" i="110"/>
  <c r="AU16" i="66"/>
  <c r="K215" i="110" s="1"/>
  <c r="AA221" i="110"/>
  <c r="AA217" i="110"/>
  <c r="AA224" i="110"/>
  <c r="AA220" i="110"/>
  <c r="AA216" i="110"/>
  <c r="AA222" i="110"/>
  <c r="AA218" i="110"/>
  <c r="AA223" i="110"/>
  <c r="AA219" i="110"/>
  <c r="P251" i="110"/>
  <c r="P263" i="110"/>
  <c r="W247" i="110"/>
  <c r="R251" i="110"/>
  <c r="C251" i="110" s="1"/>
  <c r="B251" i="110" s="1"/>
  <c r="P259" i="110"/>
  <c r="P255" i="110"/>
  <c r="P247" i="110"/>
  <c r="P231" i="110"/>
  <c r="R235" i="110"/>
  <c r="W231" i="110"/>
  <c r="W243" i="110"/>
  <c r="P243" i="110"/>
  <c r="X331" i="110"/>
  <c r="X327" i="110"/>
  <c r="X323" i="110"/>
  <c r="X319" i="110"/>
  <c r="X315" i="110"/>
  <c r="X336" i="110"/>
  <c r="X332" i="110"/>
  <c r="X330" i="110"/>
  <c r="X326" i="110"/>
  <c r="X322" i="110"/>
  <c r="X318" i="110"/>
  <c r="X335" i="110"/>
  <c r="BE16" i="13"/>
  <c r="BD16" i="13"/>
  <c r="X329" i="110"/>
  <c r="X325" i="110"/>
  <c r="X321" i="110"/>
  <c r="X317" i="110"/>
  <c r="X338" i="110"/>
  <c r="X334" i="110"/>
  <c r="X328" i="110"/>
  <c r="X324" i="110"/>
  <c r="X320" i="110"/>
  <c r="X316" i="110"/>
  <c r="X337" i="110"/>
  <c r="X333" i="110"/>
  <c r="M465" i="110"/>
  <c r="V461" i="110"/>
  <c r="J452" i="110"/>
  <c r="O170" i="110"/>
  <c r="R170" i="110"/>
  <c r="L170" i="110" s="1"/>
  <c r="N170" i="110"/>
  <c r="W170" i="110"/>
  <c r="W169" i="110"/>
  <c r="R169" i="110"/>
  <c r="L169" i="110" s="1"/>
  <c r="N169" i="110"/>
  <c r="O169" i="110"/>
  <c r="AM448" i="110"/>
  <c r="R464" i="110"/>
  <c r="S469" i="110"/>
  <c r="P458" i="110"/>
  <c r="AL464" i="110"/>
  <c r="AN470" i="110"/>
  <c r="P470" i="110"/>
  <c r="J470" i="110"/>
  <c r="V464" i="110"/>
  <c r="AM470" i="110"/>
  <c r="V470" i="110"/>
  <c r="I470" i="110"/>
  <c r="I458" i="110"/>
  <c r="S464" i="110"/>
  <c r="M464" i="110"/>
  <c r="R470" i="110"/>
  <c r="R395" i="110"/>
  <c r="AN22" i="64"/>
  <c r="BE22" i="64" s="1"/>
  <c r="AA55" i="110"/>
  <c r="W236" i="110"/>
  <c r="P236" i="110"/>
  <c r="R232" i="110"/>
  <c r="BC16" i="12"/>
  <c r="BA16" i="12"/>
  <c r="BB16" i="12" s="1"/>
  <c r="AZ16" i="12"/>
  <c r="AX16" i="12"/>
  <c r="AH4" i="110" s="1"/>
  <c r="P264" i="110"/>
  <c r="R264" i="110"/>
  <c r="C264" i="110" s="1"/>
  <c r="B264" i="110" s="1"/>
  <c r="W264" i="110"/>
  <c r="AB45" i="79"/>
  <c r="W474" i="110"/>
  <c r="W470" i="110"/>
  <c r="W466" i="110"/>
  <c r="W458" i="110"/>
  <c r="M472" i="110"/>
  <c r="BF2" i="110"/>
  <c r="X355" i="110"/>
  <c r="X351" i="110"/>
  <c r="X347" i="110"/>
  <c r="X343" i="110"/>
  <c r="X339" i="110"/>
  <c r="X354" i="110"/>
  <c r="X350" i="110"/>
  <c r="X346" i="110"/>
  <c r="X342" i="110"/>
  <c r="X357" i="110"/>
  <c r="X353" i="110"/>
  <c r="X349" i="110"/>
  <c r="X345" i="110"/>
  <c r="X341" i="110"/>
  <c r="X356" i="110"/>
  <c r="X352" i="110"/>
  <c r="X348" i="110"/>
  <c r="X344" i="110"/>
  <c r="X340" i="110"/>
  <c r="V486" i="110"/>
  <c r="M448" i="110"/>
  <c r="P460" i="110"/>
  <c r="R465" i="110"/>
  <c r="I460" i="110"/>
  <c r="I455" i="110"/>
  <c r="V484" i="110"/>
  <c r="M486" i="110"/>
  <c r="AN486" i="110"/>
  <c r="S486" i="110"/>
  <c r="M460" i="110"/>
  <c r="W486" i="110"/>
  <c r="S455" i="110"/>
  <c r="BD2" i="110"/>
  <c r="P486" i="110"/>
  <c r="R486" i="110"/>
  <c r="M485" i="110"/>
  <c r="AM486" i="110"/>
  <c r="S484" i="110"/>
  <c r="S448" i="110"/>
  <c r="S460" i="110"/>
  <c r="P452" i="110"/>
  <c r="I484" i="110"/>
  <c r="W455" i="110"/>
  <c r="P473" i="110"/>
  <c r="AL473" i="110"/>
  <c r="AM477" i="110"/>
  <c r="W477" i="110"/>
  <c r="AB46" i="79"/>
  <c r="X363" i="110"/>
  <c r="BG22" i="70"/>
  <c r="AL448" i="110"/>
  <c r="S462" i="110"/>
  <c r="AL462" i="110"/>
  <c r="M462" i="110"/>
  <c r="S453" i="110"/>
  <c r="W453" i="110"/>
  <c r="R457" i="110"/>
  <c r="V457" i="110"/>
  <c r="I457" i="110"/>
  <c r="J453" i="110"/>
  <c r="I448" i="110"/>
  <c r="K473" i="110"/>
  <c r="W481" i="110"/>
  <c r="W461" i="110"/>
  <c r="I477" i="110"/>
  <c r="N355" i="110"/>
  <c r="K355" i="110"/>
  <c r="V473" i="110"/>
  <c r="S473" i="110"/>
  <c r="R477" i="110"/>
  <c r="S477" i="110"/>
  <c r="V477" i="110"/>
  <c r="AM484" i="110"/>
  <c r="P448" i="110"/>
  <c r="AM460" i="110"/>
  <c r="AN462" i="110"/>
  <c r="W462" i="110"/>
  <c r="AL449" i="110"/>
  <c r="AM453" i="110"/>
  <c r="P453" i="110"/>
  <c r="AN457" i="110"/>
  <c r="AL457" i="110"/>
  <c r="M457" i="110"/>
  <c r="K462" i="110"/>
  <c r="K453" i="110"/>
  <c r="K448" i="110"/>
  <c r="J473" i="110"/>
  <c r="K467" i="110"/>
  <c r="M473" i="110"/>
  <c r="AN473" i="110"/>
  <c r="W473" i="110"/>
  <c r="AN477" i="110"/>
  <c r="AM462" i="110"/>
  <c r="P462" i="110"/>
  <c r="R453" i="110"/>
  <c r="V453" i="110"/>
  <c r="S457" i="110"/>
  <c r="W457" i="110"/>
  <c r="AH364" i="110"/>
  <c r="S16" i="70"/>
  <c r="AD360" i="110" s="1"/>
  <c r="AC360" i="110"/>
  <c r="AN18" i="64"/>
  <c r="W99" i="110"/>
  <c r="AK94" i="12"/>
  <c r="AV94" i="12" s="1"/>
  <c r="AH26" i="69"/>
  <c r="AK86" i="69"/>
  <c r="AN24" i="64"/>
  <c r="BE24" i="64" s="1"/>
  <c r="BC62" i="12"/>
  <c r="AW54" i="12"/>
  <c r="AG23" i="110" s="1"/>
  <c r="BC46" i="12"/>
  <c r="AW86" i="12"/>
  <c r="AG39" i="110" s="1"/>
  <c r="AW78" i="12"/>
  <c r="AG35" i="110" s="1"/>
  <c r="AW70" i="12"/>
  <c r="AG31" i="110" s="1"/>
  <c r="BD86" i="69"/>
  <c r="BA86" i="69"/>
  <c r="AY86" i="69"/>
  <c r="AN86" i="69"/>
  <c r="AF62" i="69"/>
  <c r="AK62" i="69" s="1"/>
  <c r="AF42" i="69"/>
  <c r="AH42" i="69" s="1"/>
  <c r="AH86" i="69"/>
  <c r="AH104" i="69"/>
  <c r="AF80" i="69"/>
  <c r="BH80" i="69" s="1"/>
  <c r="AF88" i="69"/>
  <c r="BH88" i="69" s="1"/>
  <c r="AF58" i="69"/>
  <c r="AH58" i="69" s="1"/>
  <c r="W100" i="110"/>
  <c r="AN26" i="64"/>
  <c r="BE26" i="64" s="1"/>
  <c r="C151" i="110"/>
  <c r="B151" i="110" s="1"/>
  <c r="C147" i="110"/>
  <c r="B147" i="110" s="1"/>
  <c r="C143" i="110"/>
  <c r="B143" i="110" s="1"/>
  <c r="AN90" i="12"/>
  <c r="AU96" i="12"/>
  <c r="K44" i="110" s="1"/>
  <c r="AN88" i="12"/>
  <c r="AK80" i="12"/>
  <c r="AV80" i="12" s="1"/>
  <c r="BC72" i="12"/>
  <c r="AX64" i="12"/>
  <c r="AH28" i="110" s="1"/>
  <c r="AW56" i="12"/>
  <c r="AG24" i="110" s="1"/>
  <c r="AU48" i="12"/>
  <c r="K20" i="110" s="1"/>
  <c r="W92" i="110"/>
  <c r="W68" i="110"/>
  <c r="W257" i="110"/>
  <c r="P233" i="110"/>
  <c r="AX66" i="12"/>
  <c r="AH29" i="110" s="1"/>
  <c r="W355" i="110"/>
  <c r="U355" i="110"/>
  <c r="C142" i="110"/>
  <c r="B142" i="110" s="1"/>
  <c r="C150" i="110"/>
  <c r="B150" i="110" s="1"/>
  <c r="C146" i="110"/>
  <c r="B146" i="110" s="1"/>
  <c r="C154" i="110"/>
  <c r="B154" i="110" s="1"/>
  <c r="AF98" i="69"/>
  <c r="BH98" i="69" s="1"/>
  <c r="AH94" i="69"/>
  <c r="AF50" i="69"/>
  <c r="AK50" i="69" s="1"/>
  <c r="AF66" i="69"/>
  <c r="AY66" i="69" s="1"/>
  <c r="AK92" i="69"/>
  <c r="N167" i="110"/>
  <c r="AH108" i="69"/>
  <c r="AX108" i="69"/>
  <c r="BD108" i="69"/>
  <c r="AZ86" i="69"/>
  <c r="BD94" i="69"/>
  <c r="AF76" i="69"/>
  <c r="BH76" i="69" s="1"/>
  <c r="AF68" i="69"/>
  <c r="AY68" i="69" s="1"/>
  <c r="AF60" i="69"/>
  <c r="AH60" i="69" s="1"/>
  <c r="AF38" i="69"/>
  <c r="AZ38" i="69" s="1"/>
  <c r="AF96" i="69"/>
  <c r="BH96" i="69" s="1"/>
  <c r="AF90" i="69"/>
  <c r="BH90" i="69" s="1"/>
  <c r="AF82" i="69"/>
  <c r="BH82" i="69" s="1"/>
  <c r="AN108" i="69"/>
  <c r="AV108" i="69"/>
  <c r="AK432" i="110" s="1"/>
  <c r="AF102" i="69"/>
  <c r="BH102" i="69" s="1"/>
  <c r="AX86" i="69"/>
  <c r="AK84" i="69"/>
  <c r="AN20" i="65"/>
  <c r="AN30" i="64"/>
  <c r="BC58" i="12"/>
  <c r="AW74" i="12"/>
  <c r="AG33" i="110" s="1"/>
  <c r="AX50" i="12"/>
  <c r="AH21" i="110" s="1"/>
  <c r="BC74" i="12"/>
  <c r="W71" i="110"/>
  <c r="AW58" i="12"/>
  <c r="AG25" i="110" s="1"/>
  <c r="AX82" i="12"/>
  <c r="AH37" i="110" s="1"/>
  <c r="AU50" i="12"/>
  <c r="K21" i="110" s="1"/>
  <c r="AK50" i="12"/>
  <c r="AV50" i="12" s="1"/>
  <c r="AN58" i="12"/>
  <c r="AU66" i="12"/>
  <c r="K29" i="110" s="1"/>
  <c r="AK66" i="12"/>
  <c r="AV66" i="12" s="1"/>
  <c r="AN74" i="12"/>
  <c r="AU82" i="12"/>
  <c r="K37" i="110" s="1"/>
  <c r="AK82" i="12"/>
  <c r="AV82" i="12" s="1"/>
  <c r="AK90" i="12"/>
  <c r="AV90" i="12" s="1"/>
  <c r="BC50" i="12"/>
  <c r="AW50" i="12"/>
  <c r="AG21" i="110" s="1"/>
  <c r="AX58" i="12"/>
  <c r="AH25" i="110" s="1"/>
  <c r="BC66" i="12"/>
  <c r="AW66" i="12"/>
  <c r="AG29" i="110" s="1"/>
  <c r="AX74" i="12"/>
  <c r="AH33" i="110" s="1"/>
  <c r="BC82" i="12"/>
  <c r="AW82" i="12"/>
  <c r="AG37" i="110" s="1"/>
  <c r="AN98" i="12"/>
  <c r="AN50" i="12"/>
  <c r="AU58" i="12"/>
  <c r="K25" i="110" s="1"/>
  <c r="AK58" i="12"/>
  <c r="AV58" i="12" s="1"/>
  <c r="AN66" i="12"/>
  <c r="AU74" i="12"/>
  <c r="K33" i="110" s="1"/>
  <c r="AK74" i="12"/>
  <c r="AV74" i="12" s="1"/>
  <c r="AN82" i="12"/>
  <c r="BC90" i="12"/>
  <c r="AX98" i="12"/>
  <c r="AH45" i="110" s="1"/>
  <c r="R261" i="110"/>
  <c r="C261" i="110" s="1"/>
  <c r="B261" i="110" s="1"/>
  <c r="AU90" i="12"/>
  <c r="K41" i="110" s="1"/>
  <c r="AW90" i="12"/>
  <c r="AG41" i="110" s="1"/>
  <c r="AK98" i="12"/>
  <c r="AV98" i="12" s="1"/>
  <c r="AU98" i="12"/>
  <c r="K45" i="110" s="1"/>
  <c r="AX106" i="12"/>
  <c r="AH49" i="110" s="1"/>
  <c r="AN106" i="12"/>
  <c r="AX90" i="12"/>
  <c r="AH41" i="110" s="1"/>
  <c r="BC98" i="12"/>
  <c r="AW98" i="12"/>
  <c r="AG45" i="110" s="1"/>
  <c r="AW106" i="12"/>
  <c r="AG49" i="110" s="1"/>
  <c r="BC106" i="12"/>
  <c r="C119" i="110"/>
  <c r="B119" i="110" s="1"/>
  <c r="P257" i="110"/>
  <c r="W233" i="110"/>
  <c r="R225" i="110"/>
  <c r="N181" i="110"/>
  <c r="AU106" i="12"/>
  <c r="K49" i="110" s="1"/>
  <c r="AK106" i="12"/>
  <c r="AV106" i="12" s="1"/>
  <c r="R269" i="110"/>
  <c r="C269" i="110" s="1"/>
  <c r="B269" i="110" s="1"/>
  <c r="P253" i="110"/>
  <c r="C128" i="110"/>
  <c r="B128" i="110" s="1"/>
  <c r="W253" i="110"/>
  <c r="C149" i="110"/>
  <c r="B149" i="110" s="1"/>
  <c r="R254" i="110"/>
  <c r="C254" i="110" s="1"/>
  <c r="B254" i="110" s="1"/>
  <c r="AU86" i="12"/>
  <c r="K39" i="110" s="1"/>
  <c r="AK86" i="12"/>
  <c r="AV86" i="12" s="1"/>
  <c r="AN62" i="12"/>
  <c r="R165" i="110"/>
  <c r="C153" i="110"/>
  <c r="B153" i="110" s="1"/>
  <c r="O179" i="110"/>
  <c r="AU94" i="12"/>
  <c r="K43" i="110" s="1"/>
  <c r="AX54" i="12"/>
  <c r="AH23" i="110" s="1"/>
  <c r="AU54" i="12"/>
  <c r="K23" i="110" s="1"/>
  <c r="AW46" i="12"/>
  <c r="AG19" i="110" s="1"/>
  <c r="AK54" i="12"/>
  <c r="AV54" i="12" s="1"/>
  <c r="AX62" i="12"/>
  <c r="AH27" i="110" s="1"/>
  <c r="AU62" i="12"/>
  <c r="K27" i="110" s="1"/>
  <c r="AK62" i="12"/>
  <c r="AV62" i="12" s="1"/>
  <c r="W269" i="110"/>
  <c r="R181" i="110"/>
  <c r="O165" i="110"/>
  <c r="AW60" i="12"/>
  <c r="AG26" i="110" s="1"/>
  <c r="AW72" i="12"/>
  <c r="AG32" i="110" s="1"/>
  <c r="C137" i="110"/>
  <c r="B137" i="110" s="1"/>
  <c r="W232" i="110"/>
  <c r="C127" i="110"/>
  <c r="B127" i="110" s="1"/>
  <c r="C139" i="110"/>
  <c r="B139" i="110" s="1"/>
  <c r="AK48" i="12"/>
  <c r="AV48" i="12" s="1"/>
  <c r="AK56" i="12"/>
  <c r="AV56" i="12" s="1"/>
  <c r="W165" i="110"/>
  <c r="W94" i="110"/>
  <c r="O181" i="110"/>
  <c r="BC64" i="12"/>
  <c r="P250" i="110"/>
  <c r="AW96" i="12"/>
  <c r="AG44" i="110" s="1"/>
  <c r="AN60" i="12"/>
  <c r="AW48" i="12"/>
  <c r="AG20" i="110" s="1"/>
  <c r="C135" i="110"/>
  <c r="B135" i="110" s="1"/>
  <c r="C131" i="110"/>
  <c r="B131" i="110" s="1"/>
  <c r="C152" i="110"/>
  <c r="B152" i="110" s="1"/>
  <c r="C144" i="110"/>
  <c r="B144" i="110" s="1"/>
  <c r="W93" i="110"/>
  <c r="AW92" i="12"/>
  <c r="AG42" i="110" s="1"/>
  <c r="AN108" i="12"/>
  <c r="P226" i="110"/>
  <c r="W250" i="110"/>
  <c r="C136" i="110"/>
  <c r="B136" i="110" s="1"/>
  <c r="W73" i="110"/>
  <c r="AK60" i="12"/>
  <c r="AV60" i="12" s="1"/>
  <c r="P246" i="110"/>
  <c r="W77" i="110"/>
  <c r="C148" i="110"/>
  <c r="B148" i="110" s="1"/>
  <c r="W97" i="110"/>
  <c r="W254" i="110"/>
  <c r="W274" i="110"/>
  <c r="R274" i="110"/>
  <c r="C274" i="110" s="1"/>
  <c r="B274" i="110" s="1"/>
  <c r="W258" i="110"/>
  <c r="W101" i="110"/>
  <c r="AX84" i="12"/>
  <c r="AH38" i="110" s="1"/>
  <c r="BC60" i="12"/>
  <c r="W246" i="110"/>
  <c r="W484" i="110"/>
  <c r="R481" i="110"/>
  <c r="AM481" i="110"/>
  <c r="AB47" i="79"/>
  <c r="BG2" i="110"/>
  <c r="M484" i="110"/>
  <c r="AL484" i="110"/>
  <c r="S485" i="110"/>
  <c r="R448" i="110"/>
  <c r="V448" i="110"/>
  <c r="R460" i="110"/>
  <c r="V460" i="110"/>
  <c r="R461" i="110"/>
  <c r="M461" i="110"/>
  <c r="AL465" i="110"/>
  <c r="V449" i="110"/>
  <c r="C449" i="110" s="1"/>
  <c r="B449" i="110" s="1"/>
  <c r="AN468" i="110"/>
  <c r="I452" i="110"/>
  <c r="K484" i="110"/>
  <c r="J461" i="110"/>
  <c r="K472" i="110"/>
  <c r="P455" i="110"/>
  <c r="S395" i="110"/>
  <c r="K486" i="110"/>
  <c r="V481" i="110"/>
  <c r="AM485" i="110"/>
  <c r="AL461" i="110"/>
  <c r="AN465" i="110"/>
  <c r="P465" i="110"/>
  <c r="R472" i="110"/>
  <c r="AM452" i="110"/>
  <c r="AL468" i="110"/>
  <c r="K468" i="110"/>
  <c r="J465" i="110"/>
  <c r="S467" i="110"/>
  <c r="S481" i="110"/>
  <c r="M481" i="110"/>
  <c r="AN481" i="110"/>
  <c r="P481" i="110"/>
  <c r="P485" i="110"/>
  <c r="R485" i="110"/>
  <c r="V485" i="110"/>
  <c r="AL485" i="110"/>
  <c r="AN448" i="110"/>
  <c r="W448" i="110"/>
  <c r="AN460" i="110"/>
  <c r="W460" i="110"/>
  <c r="AN461" i="110"/>
  <c r="AM465" i="110"/>
  <c r="V465" i="110"/>
  <c r="J460" i="110"/>
  <c r="K485" i="110"/>
  <c r="AM455" i="110"/>
  <c r="O182" i="110"/>
  <c r="W226" i="110"/>
  <c r="W249" i="110"/>
  <c r="R249" i="110"/>
  <c r="C249" i="110" s="1"/>
  <c r="B249" i="110" s="1"/>
  <c r="W229" i="110"/>
  <c r="P229" i="110"/>
  <c r="W261" i="110"/>
  <c r="C114" i="110"/>
  <c r="B114" i="110" s="1"/>
  <c r="R220" i="110"/>
  <c r="P249" i="110"/>
  <c r="R245" i="110"/>
  <c r="C245" i="110" s="1"/>
  <c r="B245" i="110" s="1"/>
  <c r="X48" i="110"/>
  <c r="AX104" i="12"/>
  <c r="AH48" i="110" s="1"/>
  <c r="AK104" i="12"/>
  <c r="AV104" i="12" s="1"/>
  <c r="BC104" i="12"/>
  <c r="X44" i="110"/>
  <c r="AK96" i="12"/>
  <c r="AV96" i="12" s="1"/>
  <c r="AN96" i="12"/>
  <c r="X40" i="110"/>
  <c r="AU88" i="12"/>
  <c r="K40" i="110" s="1"/>
  <c r="X36" i="110"/>
  <c r="AN80" i="12"/>
  <c r="AU80" i="12"/>
  <c r="K36" i="110" s="1"/>
  <c r="X32" i="110"/>
  <c r="AX72" i="12"/>
  <c r="AH32" i="110" s="1"/>
  <c r="X28" i="110"/>
  <c r="AW64" i="12"/>
  <c r="AG28" i="110" s="1"/>
  <c r="AK64" i="12"/>
  <c r="AV64" i="12" s="1"/>
  <c r="X24" i="110"/>
  <c r="AX56" i="12"/>
  <c r="AH24" i="110" s="1"/>
  <c r="BC56" i="12"/>
  <c r="X20" i="110"/>
  <c r="AN48" i="12"/>
  <c r="W103" i="110"/>
  <c r="W87" i="110"/>
  <c r="W83" i="110"/>
  <c r="W75" i="110"/>
  <c r="W67" i="110"/>
  <c r="C122" i="110"/>
  <c r="B122" i="110" s="1"/>
  <c r="C118" i="110"/>
  <c r="B118" i="110" s="1"/>
  <c r="P252" i="110"/>
  <c r="R252" i="110"/>
  <c r="C252" i="110" s="1"/>
  <c r="B252" i="110" s="1"/>
  <c r="P248" i="110"/>
  <c r="W248" i="110"/>
  <c r="O163" i="110"/>
  <c r="R163" i="110"/>
  <c r="R242" i="110"/>
  <c r="C242" i="110" s="1"/>
  <c r="B242" i="110" s="1"/>
  <c r="W242" i="110"/>
  <c r="R230" i="110"/>
  <c r="W230" i="110"/>
  <c r="P230" i="110"/>
  <c r="W163" i="110"/>
  <c r="W267" i="110"/>
  <c r="P267" i="110"/>
  <c r="P272" i="110"/>
  <c r="R272" i="110"/>
  <c r="C272" i="110" s="1"/>
  <c r="B272" i="110" s="1"/>
  <c r="R267" i="110"/>
  <c r="C267" i="110" s="1"/>
  <c r="B267" i="110" s="1"/>
  <c r="C113" i="110"/>
  <c r="B113" i="110" s="1"/>
  <c r="P220" i="110"/>
  <c r="N166" i="110"/>
  <c r="W166" i="110"/>
  <c r="W186" i="110"/>
  <c r="P242" i="110"/>
  <c r="AK102" i="12"/>
  <c r="AV102" i="12" s="1"/>
  <c r="AU102" i="12"/>
  <c r="K47" i="110" s="1"/>
  <c r="BC94" i="12"/>
  <c r="AW94" i="12"/>
  <c r="AG43" i="110" s="1"/>
  <c r="AN94" i="12"/>
  <c r="AN78" i="12"/>
  <c r="AK78" i="12"/>
  <c r="AV78" i="12" s="1"/>
  <c r="AU78" i="12"/>
  <c r="K35" i="110" s="1"/>
  <c r="BC78" i="12"/>
  <c r="AX70" i="12"/>
  <c r="AH31" i="110" s="1"/>
  <c r="AN70" i="12"/>
  <c r="AK70" i="12"/>
  <c r="AV70" i="12" s="1"/>
  <c r="AU70" i="12"/>
  <c r="K31" i="110" s="1"/>
  <c r="X27" i="110"/>
  <c r="AW62" i="12"/>
  <c r="AG27" i="110" s="1"/>
  <c r="AK46" i="12"/>
  <c r="AV46" i="12" s="1"/>
  <c r="AU46" i="12"/>
  <c r="K19" i="110" s="1"/>
  <c r="AN46" i="12"/>
  <c r="W78" i="110"/>
  <c r="C133" i="110"/>
  <c r="B133" i="110" s="1"/>
  <c r="C129" i="110"/>
  <c r="B129" i="110" s="1"/>
  <c r="AK100" i="12"/>
  <c r="AV100" i="12" s="1"/>
  <c r="BC52" i="12"/>
  <c r="W268" i="110"/>
  <c r="R268" i="110"/>
  <c r="C268" i="110" s="1"/>
  <c r="B268" i="110" s="1"/>
  <c r="N168" i="110"/>
  <c r="W168" i="110"/>
  <c r="R168" i="110"/>
  <c r="L168" i="110" s="1"/>
  <c r="O168" i="110"/>
  <c r="O166" i="110"/>
  <c r="AW68" i="12"/>
  <c r="AG30" i="110" s="1"/>
  <c r="AW100" i="12"/>
  <c r="AG46" i="110" s="1"/>
  <c r="AK68" i="12"/>
  <c r="AV68" i="12" s="1"/>
  <c r="AX52" i="12"/>
  <c r="AH22" i="110" s="1"/>
  <c r="AX92" i="12"/>
  <c r="AH42" i="110" s="1"/>
  <c r="AN76" i="12"/>
  <c r="BC76" i="12"/>
  <c r="AN56" i="12"/>
  <c r="AU72" i="12"/>
  <c r="K32" i="110" s="1"/>
  <c r="AW88" i="12"/>
  <c r="AG40" i="110" s="1"/>
  <c r="AX88" i="12"/>
  <c r="AH40" i="110" s="1"/>
  <c r="AN104" i="12"/>
  <c r="AU68" i="12"/>
  <c r="K30" i="110" s="1"/>
  <c r="AU60" i="12"/>
  <c r="K26" i="110" s="1"/>
  <c r="AX48" i="12"/>
  <c r="AH20" i="110" s="1"/>
  <c r="AN64" i="12"/>
  <c r="BC80" i="12"/>
  <c r="AX96" i="12"/>
  <c r="AH44" i="110" s="1"/>
  <c r="AW76" i="12"/>
  <c r="AG34" i="110" s="1"/>
  <c r="AW108" i="12"/>
  <c r="AG50" i="110" s="1"/>
  <c r="AK76" i="12"/>
  <c r="AV76" i="12" s="1"/>
  <c r="AX100" i="12"/>
  <c r="AH46" i="110" s="1"/>
  <c r="AN84" i="12"/>
  <c r="AU100" i="12"/>
  <c r="K46" i="110" s="1"/>
  <c r="BC68" i="12"/>
  <c r="P275" i="110"/>
  <c r="AW52" i="12"/>
  <c r="AG22" i="110" s="1"/>
  <c r="AW84" i="12"/>
  <c r="AG38" i="110" s="1"/>
  <c r="AK52" i="12"/>
  <c r="AV52" i="12" s="1"/>
  <c r="AK84" i="12"/>
  <c r="AV84" i="12" s="1"/>
  <c r="AX68" i="12"/>
  <c r="AH30" i="110" s="1"/>
  <c r="AN52" i="12"/>
  <c r="AN92" i="12"/>
  <c r="BC100" i="12"/>
  <c r="AU56" i="12"/>
  <c r="K24" i="110" s="1"/>
  <c r="AN72" i="12"/>
  <c r="BC88" i="12"/>
  <c r="AU104" i="12"/>
  <c r="K48" i="110" s="1"/>
  <c r="BC84" i="12"/>
  <c r="BC48" i="12"/>
  <c r="AU64" i="12"/>
  <c r="K28" i="110" s="1"/>
  <c r="AW80" i="12"/>
  <c r="AG36" i="110" s="1"/>
  <c r="AX80" i="12"/>
  <c r="AH36" i="110" s="1"/>
  <c r="BC96" i="12"/>
  <c r="AK72" i="12"/>
  <c r="AV72" i="12" s="1"/>
  <c r="Y22" i="70"/>
  <c r="S22" i="70"/>
  <c r="J463" i="110"/>
  <c r="P463" i="110"/>
  <c r="AM463" i="110"/>
  <c r="K463" i="110"/>
  <c r="W463" i="110"/>
  <c r="S463" i="110"/>
  <c r="M463" i="110"/>
  <c r="AN463" i="110"/>
  <c r="I463" i="110"/>
  <c r="V463" i="110"/>
  <c r="R463" i="110"/>
  <c r="U37" i="81"/>
  <c r="AB48" i="79"/>
  <c r="BE2" i="110"/>
  <c r="BH2" i="110"/>
  <c r="U38" i="81"/>
  <c r="W25" i="78"/>
  <c r="Z22" i="81"/>
  <c r="W27" i="78"/>
  <c r="U25" i="81"/>
  <c r="AL463" i="110"/>
  <c r="U35" i="81"/>
  <c r="BC2" i="110"/>
  <c r="U23" i="81"/>
  <c r="CD2" i="110"/>
  <c r="J30" i="80"/>
  <c r="G35" i="81"/>
  <c r="P26" i="78"/>
  <c r="AR200" i="117"/>
  <c r="AR200" i="79"/>
  <c r="AR200" i="12"/>
  <c r="AR200" i="76"/>
  <c r="AR200" i="65"/>
  <c r="AR200" i="69"/>
  <c r="AR200" i="66"/>
  <c r="AR200" i="63"/>
  <c r="AR200" i="50"/>
  <c r="AR200" i="55"/>
  <c r="AR200" i="57"/>
  <c r="AR200" i="14"/>
  <c r="N26" i="70"/>
  <c r="S26" i="70"/>
  <c r="AD365" i="110" s="1"/>
  <c r="J480" i="110"/>
  <c r="I480" i="110"/>
  <c r="M480" i="110"/>
  <c r="AL480" i="110"/>
  <c r="K480" i="110"/>
  <c r="K464" i="110"/>
  <c r="W464" i="110"/>
  <c r="AN464" i="110"/>
  <c r="I464" i="110"/>
  <c r="P464" i="110"/>
  <c r="AM464" i="110"/>
  <c r="I469" i="110"/>
  <c r="V469" i="110"/>
  <c r="R469" i="110"/>
  <c r="P469" i="110"/>
  <c r="AM469" i="110"/>
  <c r="M469" i="110"/>
  <c r="AL469" i="110"/>
  <c r="AN469" i="110"/>
  <c r="J458" i="110"/>
  <c r="K458" i="110"/>
  <c r="V458" i="110"/>
  <c r="R458" i="110"/>
  <c r="M458" i="110"/>
  <c r="AL458" i="110"/>
  <c r="AN458" i="110"/>
  <c r="K482" i="110"/>
  <c r="W482" i="110"/>
  <c r="J482" i="110"/>
  <c r="S482" i="110"/>
  <c r="I482" i="110"/>
  <c r="AN482" i="110"/>
  <c r="V482" i="110"/>
  <c r="R482" i="110"/>
  <c r="I450" i="110"/>
  <c r="W450" i="110"/>
  <c r="AN450" i="110"/>
  <c r="J450" i="110"/>
  <c r="M450" i="110"/>
  <c r="AL450" i="110"/>
  <c r="S450" i="110"/>
  <c r="AM450" i="110"/>
  <c r="V450" i="110"/>
  <c r="K450" i="110"/>
  <c r="R450" i="110"/>
  <c r="P472" i="110"/>
  <c r="AM472" i="110"/>
  <c r="W472" i="110"/>
  <c r="S472" i="110"/>
  <c r="I449" i="110"/>
  <c r="P449" i="110"/>
  <c r="AM449" i="110"/>
  <c r="J449" i="110"/>
  <c r="W449" i="110"/>
  <c r="S449" i="110"/>
  <c r="J481" i="110"/>
  <c r="K481" i="110"/>
  <c r="I461" i="110"/>
  <c r="K461" i="110"/>
  <c r="J468" i="110"/>
  <c r="M468" i="110"/>
  <c r="R468" i="110"/>
  <c r="P468" i="110"/>
  <c r="AM468" i="110"/>
  <c r="M452" i="110"/>
  <c r="AL452" i="110"/>
  <c r="S452" i="110"/>
  <c r="K452" i="110"/>
  <c r="V452" i="110"/>
  <c r="R452" i="110"/>
  <c r="I467" i="110"/>
  <c r="M467" i="110"/>
  <c r="AL467" i="110"/>
  <c r="AN467" i="110"/>
  <c r="V467" i="110"/>
  <c r="R467" i="110"/>
  <c r="I459" i="110"/>
  <c r="W459" i="110"/>
  <c r="R459" i="110"/>
  <c r="M459" i="110"/>
  <c r="AL459" i="110"/>
  <c r="AN459" i="110"/>
  <c r="I474" i="110"/>
  <c r="J474" i="110"/>
  <c r="I485" i="110"/>
  <c r="W485" i="110"/>
  <c r="S459" i="110"/>
  <c r="AM467" i="110"/>
  <c r="J467" i="110"/>
  <c r="Q6" i="109"/>
  <c r="N24" i="70"/>
  <c r="O21" i="14"/>
  <c r="S24" i="70"/>
  <c r="AN485" i="110"/>
  <c r="AM461" i="110"/>
  <c r="P461" i="110"/>
  <c r="S465" i="110"/>
  <c r="W465" i="110"/>
  <c r="AN449" i="110"/>
  <c r="M449" i="110"/>
  <c r="AN452" i="110"/>
  <c r="S468" i="110"/>
  <c r="I468" i="110"/>
  <c r="K465" i="110"/>
  <c r="I481" i="110"/>
  <c r="V459" i="110"/>
  <c r="W467" i="110"/>
  <c r="K459" i="110"/>
  <c r="R455" i="110"/>
  <c r="V455" i="110"/>
  <c r="K455" i="110"/>
  <c r="J477" i="110"/>
  <c r="AN455" i="110"/>
  <c r="AL455" i="110"/>
  <c r="M455" i="110"/>
  <c r="N20" i="70"/>
  <c r="AD362" i="110"/>
  <c r="AK20" i="71"/>
  <c r="AH20" i="71"/>
  <c r="AV20" i="71"/>
  <c r="AK439" i="110" s="1"/>
  <c r="AN20" i="71"/>
  <c r="W439" i="110" s="1"/>
  <c r="AN22" i="71"/>
  <c r="M440" i="110" s="1"/>
  <c r="W27" i="79"/>
  <c r="BB26" i="71"/>
  <c r="S18" i="70"/>
  <c r="N18" i="70"/>
  <c r="AC361" i="110"/>
  <c r="Y18" i="70"/>
  <c r="Q39" i="111"/>
  <c r="H39" i="111"/>
  <c r="P273" i="110"/>
  <c r="R273" i="110"/>
  <c r="C273" i="110" s="1"/>
  <c r="B273" i="110" s="1"/>
  <c r="C107" i="110"/>
  <c r="B107" i="110" s="1"/>
  <c r="W107" i="110"/>
  <c r="C112" i="110"/>
  <c r="B112" i="110" s="1"/>
  <c r="AK24" i="71"/>
  <c r="AN24" i="71"/>
  <c r="W441" i="110" s="1"/>
  <c r="BC24" i="71"/>
  <c r="AX24" i="71"/>
  <c r="AH24" i="71"/>
  <c r="BB24" i="71" s="1"/>
  <c r="AY24" i="71"/>
  <c r="AZ24" i="71"/>
  <c r="AG318" i="110"/>
  <c r="AH318" i="110"/>
  <c r="AH32" i="69"/>
  <c r="BC32" i="69" s="1"/>
  <c r="AN32" i="69"/>
  <c r="AK18" i="71"/>
  <c r="AV18" i="71"/>
  <c r="AK438" i="110" s="1"/>
  <c r="X17" i="110"/>
  <c r="X13" i="110"/>
  <c r="X9" i="110"/>
  <c r="AH24" i="69"/>
  <c r="AH28" i="69"/>
  <c r="AX22" i="71"/>
  <c r="AV22" i="71"/>
  <c r="AK440" i="110" s="1"/>
  <c r="AZ22" i="71"/>
  <c r="CI2" i="110"/>
  <c r="AH329" i="110"/>
  <c r="AG329" i="110"/>
  <c r="AH325" i="110"/>
  <c r="AG325" i="110"/>
  <c r="AH321" i="110"/>
  <c r="AG321" i="110"/>
  <c r="AK16" i="71"/>
  <c r="AH16" i="71"/>
  <c r="I15" i="110"/>
  <c r="I11" i="110"/>
  <c r="I7" i="110"/>
  <c r="G36" i="81"/>
  <c r="P27" i="78"/>
  <c r="AK28" i="71"/>
  <c r="BB28" i="71" s="1"/>
  <c r="AX28" i="71"/>
  <c r="BC28" i="71"/>
  <c r="AZ28" i="71"/>
  <c r="AV28" i="71"/>
  <c r="AK443" i="110" s="1"/>
  <c r="AN28" i="71"/>
  <c r="M443" i="110" s="1"/>
  <c r="AH311" i="110"/>
  <c r="X311" i="110"/>
  <c r="AN484" i="110"/>
  <c r="BB110" i="71"/>
  <c r="BC20" i="71"/>
  <c r="AZ20" i="71"/>
  <c r="AY22" i="71"/>
  <c r="AH22" i="71"/>
  <c r="BB22" i="71" s="1"/>
  <c r="CF2" i="110"/>
  <c r="S28" i="80"/>
  <c r="V30" i="80"/>
  <c r="X5" i="110"/>
  <c r="AR200" i="116"/>
  <c r="AR200" i="115"/>
  <c r="AR200" i="13"/>
  <c r="AR200" i="64"/>
  <c r="AK26" i="71"/>
  <c r="AX26" i="71"/>
  <c r="AY26" i="71"/>
  <c r="BC26" i="71"/>
  <c r="AV26" i="71"/>
  <c r="AK442" i="110" s="1"/>
  <c r="AZ26" i="71"/>
  <c r="AN26" i="71"/>
  <c r="S442" i="110" s="1"/>
  <c r="AF32" i="71"/>
  <c r="AY32" i="71" s="1"/>
  <c r="AX32" i="71"/>
  <c r="AZ32" i="71"/>
  <c r="BB78" i="71"/>
  <c r="V468" i="110"/>
  <c r="AH6" i="110"/>
  <c r="AG6" i="110"/>
  <c r="X6" i="110"/>
  <c r="AU200" i="63"/>
  <c r="V12" i="63" s="1"/>
  <c r="I28" i="3" s="1"/>
  <c r="AG328" i="110"/>
  <c r="AH328" i="110"/>
  <c r="AG324" i="110"/>
  <c r="AH324" i="110"/>
  <c r="AH317" i="110"/>
  <c r="AG317" i="110"/>
  <c r="X314" i="110"/>
  <c r="AG310" i="110"/>
  <c r="AH310" i="110"/>
  <c r="X310" i="110"/>
  <c r="X16" i="110"/>
  <c r="X12" i="110"/>
  <c r="X8" i="110"/>
  <c r="AH331" i="110"/>
  <c r="AG331" i="110"/>
  <c r="AG327" i="110"/>
  <c r="AH327" i="110"/>
  <c r="AG323" i="110"/>
  <c r="AH323" i="110"/>
  <c r="AG320" i="110"/>
  <c r="AH320" i="110"/>
  <c r="AG316" i="110"/>
  <c r="AH316" i="110"/>
  <c r="AH313" i="110"/>
  <c r="AG313" i="110"/>
  <c r="X313" i="110"/>
  <c r="X15" i="110"/>
  <c r="X11" i="110"/>
  <c r="I472" i="110"/>
  <c r="J472" i="110"/>
  <c r="AX98" i="71"/>
  <c r="AN98" i="71"/>
  <c r="AZ98" i="71"/>
  <c r="BC98" i="71"/>
  <c r="AV98" i="71"/>
  <c r="AK478" i="110" s="1"/>
  <c r="AH98" i="71"/>
  <c r="BB98" i="71" s="1"/>
  <c r="AZ54" i="71"/>
  <c r="BC54" i="71"/>
  <c r="AN54" i="71"/>
  <c r="AX54" i="71"/>
  <c r="AY54" i="71"/>
  <c r="AK54" i="71"/>
  <c r="BB54" i="71" s="1"/>
  <c r="AY86" i="71"/>
  <c r="AH86" i="71"/>
  <c r="AZ86" i="71"/>
  <c r="AV86" i="71"/>
  <c r="AK472" i="110" s="1"/>
  <c r="AK86" i="71"/>
  <c r="V472" i="110" s="1"/>
  <c r="BC86" i="71"/>
  <c r="X7" i="110"/>
  <c r="AG330" i="110"/>
  <c r="AH330" i="110"/>
  <c r="AG326" i="110"/>
  <c r="AH326" i="110"/>
  <c r="AG322" i="110"/>
  <c r="AH322" i="110"/>
  <c r="AG319" i="110"/>
  <c r="AH319" i="110"/>
  <c r="AH312" i="110"/>
  <c r="X312" i="110"/>
  <c r="X18" i="110"/>
  <c r="X14" i="110"/>
  <c r="X10" i="110"/>
  <c r="K469" i="110"/>
  <c r="J469" i="110"/>
  <c r="AH84" i="71"/>
  <c r="AZ84" i="71"/>
  <c r="BC84" i="71"/>
  <c r="AV84" i="71"/>
  <c r="AK471" i="110" s="1"/>
  <c r="AY84" i="71"/>
  <c r="AK84" i="71"/>
  <c r="V471" i="110" s="1"/>
  <c r="AH50" i="71"/>
  <c r="BB50" i="71" s="1"/>
  <c r="AZ50" i="71"/>
  <c r="AN50" i="71"/>
  <c r="BC50" i="71"/>
  <c r="AV50" i="71"/>
  <c r="AK454" i="110" s="1"/>
  <c r="AX50" i="71"/>
  <c r="AF34" i="71"/>
  <c r="AX34" i="71"/>
  <c r="AY34" i="71"/>
  <c r="AF56" i="69"/>
  <c r="BD56" i="69" s="1"/>
  <c r="AH108" i="71"/>
  <c r="AK108" i="71"/>
  <c r="AX108" i="71"/>
  <c r="BC108" i="71"/>
  <c r="AV108" i="71"/>
  <c r="AK483" i="110" s="1"/>
  <c r="AN108" i="71"/>
  <c r="AZ108" i="71"/>
  <c r="AY108" i="71"/>
  <c r="AF100" i="71"/>
  <c r="AZ100" i="71"/>
  <c r="AX100" i="71"/>
  <c r="AX94" i="71"/>
  <c r="AF94" i="71"/>
  <c r="X47" i="110"/>
  <c r="AX102" i="12"/>
  <c r="AH47" i="110" s="1"/>
  <c r="BC102" i="12"/>
  <c r="AN102" i="12"/>
  <c r="AW102" i="12"/>
  <c r="AG47" i="110" s="1"/>
  <c r="X43" i="110"/>
  <c r="AX94" i="12"/>
  <c r="AH43" i="110" s="1"/>
  <c r="X39" i="110"/>
  <c r="BC86" i="12"/>
  <c r="AX86" i="12"/>
  <c r="AH39" i="110" s="1"/>
  <c r="AN86" i="12"/>
  <c r="X35" i="110"/>
  <c r="AX78" i="12"/>
  <c r="AH35" i="110" s="1"/>
  <c r="X31" i="110"/>
  <c r="BC70" i="12"/>
  <c r="X23" i="110"/>
  <c r="BC54" i="12"/>
  <c r="AN54" i="12"/>
  <c r="X19" i="110"/>
  <c r="AX46" i="12"/>
  <c r="AH19" i="110" s="1"/>
  <c r="Y50" i="110"/>
  <c r="AU108" i="12"/>
  <c r="K50" i="110" s="1"/>
  <c r="AX108" i="12"/>
  <c r="AH50" i="110" s="1"/>
  <c r="AK108" i="12"/>
  <c r="AV108" i="12" s="1"/>
  <c r="Y46" i="110"/>
  <c r="AN100" i="12"/>
  <c r="Y42" i="110"/>
  <c r="BC92" i="12"/>
  <c r="AU92" i="12"/>
  <c r="K42" i="110" s="1"/>
  <c r="AK92" i="12"/>
  <c r="AV92" i="12" s="1"/>
  <c r="Y38" i="110"/>
  <c r="AU84" i="12"/>
  <c r="K38" i="110" s="1"/>
  <c r="Y34" i="110"/>
  <c r="AU76" i="12"/>
  <c r="K34" i="110" s="1"/>
  <c r="AX76" i="12"/>
  <c r="AH34" i="110" s="1"/>
  <c r="Y30" i="110"/>
  <c r="AN68" i="12"/>
  <c r="Y26" i="110"/>
  <c r="AX60" i="12"/>
  <c r="AH26" i="110" s="1"/>
  <c r="Y22" i="110"/>
  <c r="AU52" i="12"/>
  <c r="K22" i="110" s="1"/>
  <c r="R238" i="110"/>
  <c r="W238" i="110"/>
  <c r="R234" i="110"/>
  <c r="W234" i="110"/>
  <c r="P227" i="110"/>
  <c r="W227" i="110"/>
  <c r="P244" i="110"/>
  <c r="W244" i="110"/>
  <c r="R241" i="110"/>
  <c r="C241" i="110" s="1"/>
  <c r="B241" i="110" s="1"/>
  <c r="W241" i="110"/>
  <c r="W65" i="110"/>
  <c r="C140" i="110"/>
  <c r="B140" i="110" s="1"/>
  <c r="C132" i="110"/>
  <c r="B132" i="110" s="1"/>
  <c r="AG355" i="110"/>
  <c r="AH350" i="110"/>
  <c r="AF52" i="69"/>
  <c r="AN52" i="69" s="1"/>
  <c r="W88" i="110"/>
  <c r="AG334" i="110"/>
  <c r="AK88" i="12"/>
  <c r="AV88" i="12" s="1"/>
  <c r="AG352" i="110"/>
  <c r="AG342" i="110"/>
  <c r="AG333" i="110"/>
  <c r="AH333" i="110"/>
  <c r="AY16" i="13"/>
  <c r="AH309" i="110" s="1"/>
  <c r="AX16" i="13"/>
  <c r="AH16" i="13"/>
  <c r="X309" i="110"/>
  <c r="AG332" i="110"/>
  <c r="AH332" i="110"/>
  <c r="AH343" i="110"/>
  <c r="K109" i="110"/>
  <c r="R167" i="110"/>
  <c r="W167" i="110"/>
  <c r="O167" i="110"/>
  <c r="AU200" i="113"/>
  <c r="V12" i="113" s="1"/>
  <c r="I32" i="3" s="1"/>
  <c r="P271" i="110"/>
  <c r="W271" i="110"/>
  <c r="W275" i="110"/>
  <c r="AN16" i="113"/>
  <c r="W272" i="110"/>
  <c r="P270" i="110"/>
  <c r="R270" i="110"/>
  <c r="C270" i="110" s="1"/>
  <c r="B270" i="110" s="1"/>
  <c r="AN16" i="64"/>
  <c r="H157" i="110" s="1"/>
  <c r="W79" i="110"/>
  <c r="W85" i="110"/>
  <c r="W89" i="110"/>
  <c r="W95" i="110"/>
  <c r="W84" i="110"/>
  <c r="W81" i="110"/>
  <c r="R55" i="110"/>
  <c r="R183" i="110"/>
  <c r="O183" i="110"/>
  <c r="AN16" i="65"/>
  <c r="R180" i="110"/>
  <c r="N180" i="110"/>
  <c r="R182" i="110"/>
  <c r="N179" i="110"/>
  <c r="R186" i="110"/>
  <c r="N175" i="110"/>
  <c r="O175" i="110"/>
  <c r="R258" i="110"/>
  <c r="C258" i="110" s="1"/>
  <c r="B258" i="110" s="1"/>
  <c r="P219" i="110"/>
  <c r="P223" i="110"/>
  <c r="R262" i="110"/>
  <c r="C262" i="110" s="1"/>
  <c r="B262" i="110" s="1"/>
  <c r="P225" i="110"/>
  <c r="W228" i="110"/>
  <c r="R248" i="110"/>
  <c r="C248" i="110" s="1"/>
  <c r="B248" i="110" s="1"/>
  <c r="P245" i="110"/>
  <c r="P262" i="110"/>
  <c r="W219" i="110"/>
  <c r="W223" i="110"/>
  <c r="R237" i="110"/>
  <c r="W239" i="110"/>
  <c r="R228" i="110"/>
  <c r="P234" i="110"/>
  <c r="P237" i="110"/>
  <c r="P239" i="110"/>
  <c r="W106" i="110"/>
  <c r="C111" i="110"/>
  <c r="B111" i="110" s="1"/>
  <c r="C130" i="110"/>
  <c r="B130" i="110" s="1"/>
  <c r="C138" i="110"/>
  <c r="B138" i="110" s="1"/>
  <c r="C123" i="110"/>
  <c r="B123" i="110" s="1"/>
  <c r="C141" i="110"/>
  <c r="B141" i="110" s="1"/>
  <c r="C134" i="110"/>
  <c r="B134" i="110" s="1"/>
  <c r="C121" i="110"/>
  <c r="B121" i="110" s="1"/>
  <c r="AN16" i="66"/>
  <c r="J444" i="110"/>
  <c r="W395" i="110"/>
  <c r="N395" i="110"/>
  <c r="I395" i="110"/>
  <c r="AN395" i="110"/>
  <c r="O395" i="110"/>
  <c r="K395" i="110"/>
  <c r="AM395" i="110"/>
  <c r="AW16" i="12"/>
  <c r="AG4" i="110" s="1"/>
  <c r="X4" i="110"/>
  <c r="I444" i="110"/>
  <c r="R444" i="110"/>
  <c r="AL395" i="110"/>
  <c r="U395" i="110"/>
  <c r="M395" i="110"/>
  <c r="C232" i="110" l="1"/>
  <c r="B232" i="110" s="1"/>
  <c r="L232" i="110"/>
  <c r="C236" i="110"/>
  <c r="B236" i="110" s="1"/>
  <c r="L236" i="110"/>
  <c r="C229" i="110"/>
  <c r="B229" i="110" s="1"/>
  <c r="L229" i="110"/>
  <c r="C234" i="110"/>
  <c r="B234" i="110" s="1"/>
  <c r="L234" i="110"/>
  <c r="C226" i="110"/>
  <c r="B226" i="110" s="1"/>
  <c r="L226" i="110"/>
  <c r="C235" i="110"/>
  <c r="B235" i="110" s="1"/>
  <c r="L235" i="110"/>
  <c r="C231" i="110"/>
  <c r="B231" i="110" s="1"/>
  <c r="L231" i="110"/>
  <c r="C239" i="110"/>
  <c r="B239" i="110" s="1"/>
  <c r="L239" i="110"/>
  <c r="C233" i="110"/>
  <c r="B233" i="110" s="1"/>
  <c r="L233" i="110"/>
  <c r="C237" i="110"/>
  <c r="B237" i="110" s="1"/>
  <c r="L237" i="110"/>
  <c r="C227" i="110"/>
  <c r="B227" i="110" s="1"/>
  <c r="L227" i="110"/>
  <c r="C228" i="110"/>
  <c r="B228" i="110" s="1"/>
  <c r="L228" i="110"/>
  <c r="C238" i="110"/>
  <c r="B238" i="110" s="1"/>
  <c r="L238" i="110"/>
  <c r="C230" i="110"/>
  <c r="B230" i="110" s="1"/>
  <c r="L230" i="110"/>
  <c r="C220" i="110"/>
  <c r="B220" i="110" s="1"/>
  <c r="L220" i="110"/>
  <c r="C225" i="110"/>
  <c r="B225" i="110" s="1"/>
  <c r="L225" i="110"/>
  <c r="K217" i="110"/>
  <c r="AN20" i="66"/>
  <c r="AG311" i="110"/>
  <c r="AK20" i="13"/>
  <c r="AV20" i="13" s="1"/>
  <c r="BF20" i="13" s="1"/>
  <c r="AN20" i="13" s="1"/>
  <c r="AZ20" i="13" s="1"/>
  <c r="BA18" i="70"/>
  <c r="BB18" i="70" s="1"/>
  <c r="AZ18" i="70" s="1"/>
  <c r="AW18" i="70" a="1"/>
  <c r="AW18" i="70" s="1"/>
  <c r="BF18" i="70"/>
  <c r="AV18" i="70"/>
  <c r="BC18" i="70"/>
  <c r="BA20" i="70"/>
  <c r="BB20" i="70" s="1"/>
  <c r="AZ20" i="70" s="1"/>
  <c r="AW20" i="70" a="1"/>
  <c r="AW20" i="70" s="1"/>
  <c r="BC20" i="70"/>
  <c r="BF20" i="70"/>
  <c r="AV20" i="70"/>
  <c r="BA24" i="70"/>
  <c r="BB24" i="70" s="1"/>
  <c r="AZ24" i="70" s="1"/>
  <c r="BF24" i="70"/>
  <c r="AV24" i="70"/>
  <c r="BC24" i="70"/>
  <c r="AW24" i="70" a="1"/>
  <c r="AW24" i="70" s="1"/>
  <c r="BA26" i="70"/>
  <c r="BB26" i="70" s="1"/>
  <c r="AZ26" i="70" s="1"/>
  <c r="BF26" i="70"/>
  <c r="AW26" i="70" a="1"/>
  <c r="AW26" i="70" s="1"/>
  <c r="AV26" i="70"/>
  <c r="BC26" i="70"/>
  <c r="BD22" i="70"/>
  <c r="AK32" i="12"/>
  <c r="AU32" i="12" s="1"/>
  <c r="K12" i="110" s="1"/>
  <c r="AN32" i="12"/>
  <c r="Q12" i="110" s="1"/>
  <c r="K224" i="110"/>
  <c r="AN34" i="66"/>
  <c r="BE34" i="66"/>
  <c r="AN22" i="66"/>
  <c r="H218" i="110" s="1"/>
  <c r="BE22" i="66"/>
  <c r="K222" i="110"/>
  <c r="AN30" i="66"/>
  <c r="K221" i="110"/>
  <c r="AN28" i="66"/>
  <c r="AN24" i="65"/>
  <c r="R12" i="65" s="1"/>
  <c r="BA84" i="69"/>
  <c r="AV84" i="69"/>
  <c r="AK420" i="110" s="1"/>
  <c r="AX92" i="69"/>
  <c r="AH92" i="69"/>
  <c r="AK30" i="12"/>
  <c r="AV30" i="12" s="1"/>
  <c r="AK24" i="12"/>
  <c r="N46" i="64"/>
  <c r="AN94" i="69"/>
  <c r="I425" i="110" s="1"/>
  <c r="AZ94" i="69"/>
  <c r="BD92" i="69"/>
  <c r="AN92" i="69"/>
  <c r="R424" i="110" s="1"/>
  <c r="AV92" i="69"/>
  <c r="AK424" i="110" s="1"/>
  <c r="AY92" i="69"/>
  <c r="AY94" i="69"/>
  <c r="AX94" i="69"/>
  <c r="BA94" i="69"/>
  <c r="AK94" i="69"/>
  <c r="AZ92" i="69"/>
  <c r="BA92" i="69"/>
  <c r="BD104" i="69"/>
  <c r="AV94" i="69"/>
  <c r="AK425" i="110" s="1"/>
  <c r="C46" i="64"/>
  <c r="N48" i="64"/>
  <c r="AK28" i="12"/>
  <c r="AK22" i="12"/>
  <c r="AY18" i="71"/>
  <c r="AZ18" i="71"/>
  <c r="AH18" i="71"/>
  <c r="BB18" i="71" s="1"/>
  <c r="AN18" i="71"/>
  <c r="BC18" i="71"/>
  <c r="AX18" i="71"/>
  <c r="AV16" i="71"/>
  <c r="AK437" i="110" s="1"/>
  <c r="P444" i="110"/>
  <c r="W444" i="110"/>
  <c r="M444" i="110"/>
  <c r="S444" i="110"/>
  <c r="AL444" i="110"/>
  <c r="V444" i="110"/>
  <c r="C444" i="110" s="1"/>
  <c r="B444" i="110" s="1"/>
  <c r="AM444" i="110"/>
  <c r="AN444" i="110"/>
  <c r="W320" i="110"/>
  <c r="J331" i="110"/>
  <c r="Q331" i="110"/>
  <c r="H320" i="110"/>
  <c r="Q320" i="110"/>
  <c r="H328" i="110"/>
  <c r="Q328" i="110"/>
  <c r="H310" i="110"/>
  <c r="Q310" i="110"/>
  <c r="M316" i="110"/>
  <c r="Q316" i="110"/>
  <c r="H174" i="110"/>
  <c r="C186" i="110"/>
  <c r="B186" i="110" s="1"/>
  <c r="L186" i="110"/>
  <c r="AL316" i="110"/>
  <c r="W215" i="110"/>
  <c r="H215" i="110"/>
  <c r="U320" i="110"/>
  <c r="L175" i="110"/>
  <c r="L166" i="110"/>
  <c r="L179" i="110"/>
  <c r="W316" i="110"/>
  <c r="U316" i="110"/>
  <c r="N316" i="110"/>
  <c r="Q32" i="110"/>
  <c r="H32" i="110"/>
  <c r="Q30" i="110"/>
  <c r="H30" i="110"/>
  <c r="Q28" i="110"/>
  <c r="H28" i="110"/>
  <c r="Q48" i="110"/>
  <c r="H48" i="110"/>
  <c r="Q24" i="110"/>
  <c r="H24" i="110"/>
  <c r="Q36" i="110"/>
  <c r="H36" i="110"/>
  <c r="Q44" i="110"/>
  <c r="H44" i="110"/>
  <c r="Q26" i="110"/>
  <c r="H26" i="110"/>
  <c r="Q21" i="110"/>
  <c r="H21" i="110"/>
  <c r="Q25" i="110"/>
  <c r="H25" i="110"/>
  <c r="Q40" i="110"/>
  <c r="H40" i="110"/>
  <c r="N161" i="110"/>
  <c r="H161" i="110"/>
  <c r="W160" i="110"/>
  <c r="H160" i="110"/>
  <c r="Q61" i="110"/>
  <c r="H61" i="110"/>
  <c r="Q9" i="110"/>
  <c r="H9" i="110"/>
  <c r="Q13" i="110"/>
  <c r="H13" i="110"/>
  <c r="Q17" i="110"/>
  <c r="H17" i="110"/>
  <c r="Q64" i="110"/>
  <c r="H64" i="110"/>
  <c r="H348" i="110"/>
  <c r="H346" i="110"/>
  <c r="H354" i="110"/>
  <c r="H339" i="110"/>
  <c r="H353" i="110"/>
  <c r="H334" i="110"/>
  <c r="H350" i="110"/>
  <c r="H322" i="110"/>
  <c r="H330" i="110"/>
  <c r="N319" i="110"/>
  <c r="H319" i="110"/>
  <c r="H327" i="110"/>
  <c r="S321" i="110"/>
  <c r="H321" i="110"/>
  <c r="H329" i="110"/>
  <c r="Q20" i="110"/>
  <c r="H20" i="110"/>
  <c r="Q27" i="110"/>
  <c r="H27" i="110"/>
  <c r="Q49" i="110"/>
  <c r="H49" i="110"/>
  <c r="Q29" i="110"/>
  <c r="H29" i="110"/>
  <c r="Q45" i="110"/>
  <c r="H45" i="110"/>
  <c r="Q33" i="110"/>
  <c r="H33" i="110"/>
  <c r="N158" i="110"/>
  <c r="H158" i="110"/>
  <c r="Q14" i="110"/>
  <c r="H14" i="110"/>
  <c r="Q18" i="110"/>
  <c r="H18" i="110"/>
  <c r="Q63" i="110"/>
  <c r="H63" i="110"/>
  <c r="Q15" i="110"/>
  <c r="H15" i="110"/>
  <c r="Q60" i="110"/>
  <c r="H60" i="110"/>
  <c r="R177" i="110"/>
  <c r="C177" i="110" s="1"/>
  <c r="B177" i="110" s="1"/>
  <c r="H177" i="110"/>
  <c r="H336" i="110"/>
  <c r="H352" i="110"/>
  <c r="H338" i="110"/>
  <c r="H337" i="110"/>
  <c r="H349" i="110"/>
  <c r="H342" i="110"/>
  <c r="H343" i="110"/>
  <c r="H351" i="110"/>
  <c r="H316" i="110"/>
  <c r="H324" i="110"/>
  <c r="H332" i="110"/>
  <c r="Q47" i="110"/>
  <c r="H47" i="110"/>
  <c r="Q38" i="110"/>
  <c r="H38" i="110"/>
  <c r="Q31" i="110"/>
  <c r="H31" i="110"/>
  <c r="Q39" i="110"/>
  <c r="H39" i="110"/>
  <c r="Q42" i="110"/>
  <c r="H42" i="110"/>
  <c r="Q34" i="110"/>
  <c r="H34" i="110"/>
  <c r="Q19" i="110"/>
  <c r="H19" i="110"/>
  <c r="Q35" i="110"/>
  <c r="H35" i="110"/>
  <c r="Q37" i="110"/>
  <c r="H37" i="110"/>
  <c r="O164" i="110"/>
  <c r="H164" i="110"/>
  <c r="Q41" i="110"/>
  <c r="H41" i="110"/>
  <c r="N162" i="110"/>
  <c r="H162" i="110"/>
  <c r="Q56" i="110"/>
  <c r="H56" i="110"/>
  <c r="H340" i="110"/>
  <c r="H347" i="110"/>
  <c r="H333" i="110"/>
  <c r="H318" i="110"/>
  <c r="H326" i="110"/>
  <c r="I323" i="110"/>
  <c r="H323" i="110"/>
  <c r="O331" i="110"/>
  <c r="H331" i="110"/>
  <c r="M317" i="110"/>
  <c r="H317" i="110"/>
  <c r="H325" i="110"/>
  <c r="Q46" i="110"/>
  <c r="H46" i="110"/>
  <c r="Q23" i="110"/>
  <c r="H23" i="110"/>
  <c r="Q22" i="110"/>
  <c r="H22" i="110"/>
  <c r="Q43" i="110"/>
  <c r="H43" i="110"/>
  <c r="Q50" i="110"/>
  <c r="H50" i="110"/>
  <c r="N176" i="110"/>
  <c r="H176" i="110"/>
  <c r="Q62" i="110"/>
  <c r="H62" i="110"/>
  <c r="Q16" i="110"/>
  <c r="H16" i="110"/>
  <c r="H344" i="110"/>
  <c r="H341" i="110"/>
  <c r="H345" i="110"/>
  <c r="H335" i="110"/>
  <c r="W266" i="110"/>
  <c r="H266" i="110"/>
  <c r="AL319" i="110"/>
  <c r="I319" i="110"/>
  <c r="O321" i="110"/>
  <c r="R319" i="110"/>
  <c r="K321" i="110"/>
  <c r="AN319" i="110"/>
  <c r="N321" i="110"/>
  <c r="S319" i="110"/>
  <c r="M321" i="110"/>
  <c r="W321" i="110"/>
  <c r="J319" i="110"/>
  <c r="U319" i="110"/>
  <c r="S316" i="110"/>
  <c r="J321" i="110"/>
  <c r="AL321" i="110"/>
  <c r="I321" i="110"/>
  <c r="W319" i="110"/>
  <c r="U321" i="110"/>
  <c r="K319" i="110"/>
  <c r="M319" i="110"/>
  <c r="O319" i="110"/>
  <c r="I316" i="110"/>
  <c r="R321" i="110"/>
  <c r="J323" i="110"/>
  <c r="AN323" i="110"/>
  <c r="U331" i="110"/>
  <c r="K331" i="110"/>
  <c r="N323" i="110"/>
  <c r="T331" i="110"/>
  <c r="AM331" i="110" s="1"/>
  <c r="T323" i="110"/>
  <c r="AM323" i="110" s="1"/>
  <c r="W323" i="110"/>
  <c r="S323" i="110"/>
  <c r="R331" i="110"/>
  <c r="M331" i="110"/>
  <c r="J317" i="110"/>
  <c r="AL323" i="110"/>
  <c r="K323" i="110"/>
  <c r="O323" i="110"/>
  <c r="M323" i="110"/>
  <c r="I331" i="110"/>
  <c r="AL331" i="110"/>
  <c r="U317" i="110"/>
  <c r="W331" i="110"/>
  <c r="U323" i="110"/>
  <c r="R323" i="110"/>
  <c r="S331" i="110"/>
  <c r="N331" i="110"/>
  <c r="C475" i="110"/>
  <c r="B475" i="110" s="1"/>
  <c r="T319" i="110"/>
  <c r="AM319" i="110" s="1"/>
  <c r="T321" i="110"/>
  <c r="AM321" i="110" s="1"/>
  <c r="W394" i="110"/>
  <c r="L394" i="110"/>
  <c r="AN316" i="110"/>
  <c r="K316" i="110"/>
  <c r="O316" i="110"/>
  <c r="T316" i="110"/>
  <c r="AM316" i="110" s="1"/>
  <c r="R316" i="110"/>
  <c r="J316" i="110"/>
  <c r="AN22" i="62"/>
  <c r="C183" i="110"/>
  <c r="B183" i="110" s="1"/>
  <c r="L183" i="110"/>
  <c r="C180" i="110"/>
  <c r="B180" i="110" s="1"/>
  <c r="L180" i="110"/>
  <c r="C182" i="110"/>
  <c r="B182" i="110" s="1"/>
  <c r="L182" i="110"/>
  <c r="C181" i="110"/>
  <c r="B181" i="110" s="1"/>
  <c r="L181" i="110"/>
  <c r="C163" i="110"/>
  <c r="B163" i="110" s="1"/>
  <c r="L163" i="110"/>
  <c r="C165" i="110"/>
  <c r="B165" i="110" s="1"/>
  <c r="L165" i="110"/>
  <c r="C167" i="110"/>
  <c r="B167" i="110" s="1"/>
  <c r="L167" i="110"/>
  <c r="C168" i="110"/>
  <c r="B168" i="110" s="1"/>
  <c r="C66" i="110"/>
  <c r="B66" i="110" s="1"/>
  <c r="L66" i="110"/>
  <c r="C71" i="110"/>
  <c r="B71" i="110" s="1"/>
  <c r="L71" i="110"/>
  <c r="C70" i="110"/>
  <c r="B70" i="110" s="1"/>
  <c r="L70" i="110"/>
  <c r="C68" i="110"/>
  <c r="B68" i="110" s="1"/>
  <c r="L68" i="110"/>
  <c r="C65" i="110"/>
  <c r="B65" i="110" s="1"/>
  <c r="L65" i="110"/>
  <c r="C69" i="110"/>
  <c r="B69" i="110" s="1"/>
  <c r="L69" i="110"/>
  <c r="C55" i="110"/>
  <c r="B55" i="110" s="1"/>
  <c r="L55" i="110"/>
  <c r="C67" i="110"/>
  <c r="B67" i="110" s="1"/>
  <c r="L67" i="110"/>
  <c r="C72" i="110"/>
  <c r="B72" i="110" s="1"/>
  <c r="L72" i="110"/>
  <c r="C73" i="110"/>
  <c r="B73" i="110" s="1"/>
  <c r="L73" i="110"/>
  <c r="BC36" i="13"/>
  <c r="BC52" i="13"/>
  <c r="BC20" i="13"/>
  <c r="BC38" i="13"/>
  <c r="BC32" i="13"/>
  <c r="BC48" i="13"/>
  <c r="BC40" i="13"/>
  <c r="BC42" i="13"/>
  <c r="BC58" i="13"/>
  <c r="BC44" i="13"/>
  <c r="BC60" i="13"/>
  <c r="BC18" i="13"/>
  <c r="BC56" i="13"/>
  <c r="BC64" i="13"/>
  <c r="BC30" i="13"/>
  <c r="BC46" i="13"/>
  <c r="BC62" i="13"/>
  <c r="BC54" i="13"/>
  <c r="AK16" i="12"/>
  <c r="W282" i="110"/>
  <c r="BC92" i="69"/>
  <c r="BD106" i="69"/>
  <c r="AH100" i="69"/>
  <c r="BA106" i="69"/>
  <c r="AY106" i="69"/>
  <c r="AH106" i="69"/>
  <c r="BE20" i="65"/>
  <c r="AG314" i="110"/>
  <c r="R12" i="64"/>
  <c r="J29" i="3" s="1"/>
  <c r="N174" i="110"/>
  <c r="N177" i="110"/>
  <c r="O177" i="110"/>
  <c r="AY108" i="69"/>
  <c r="AK108" i="69"/>
  <c r="BC108" i="69" s="1"/>
  <c r="AN104" i="69"/>
  <c r="K430" i="110" s="1"/>
  <c r="AV104" i="69"/>
  <c r="AK430" i="110" s="1"/>
  <c r="AZ108" i="69"/>
  <c r="BA54" i="69"/>
  <c r="BA78" i="69"/>
  <c r="BA108" i="69"/>
  <c r="AX104" i="69"/>
  <c r="AZ104" i="69"/>
  <c r="AY104" i="69"/>
  <c r="AZ78" i="69"/>
  <c r="BA104" i="69"/>
  <c r="AK104" i="69"/>
  <c r="AN54" i="69"/>
  <c r="I405" i="110" s="1"/>
  <c r="BC28" i="69"/>
  <c r="AZ28" i="69"/>
  <c r="AY28" i="69"/>
  <c r="AV28" i="69"/>
  <c r="BH42" i="69"/>
  <c r="BH60" i="69"/>
  <c r="AV86" i="69"/>
  <c r="AK421" i="110" s="1"/>
  <c r="BH54" i="69"/>
  <c r="AK26" i="13"/>
  <c r="BC26" i="13"/>
  <c r="R159" i="110"/>
  <c r="AK24" i="62"/>
  <c r="AV24" i="62" s="1"/>
  <c r="O59" i="110" s="1"/>
  <c r="AN24" i="62"/>
  <c r="W177" i="110"/>
  <c r="AK16" i="13"/>
  <c r="BA16" i="13"/>
  <c r="AA16" i="70"/>
  <c r="Y360" i="110" s="1"/>
  <c r="AY16" i="71"/>
  <c r="AX16" i="71"/>
  <c r="AZ16" i="71"/>
  <c r="BB16" i="71"/>
  <c r="BE16" i="71" s="1" a="1"/>
  <c r="BE16" i="71" s="1"/>
  <c r="BH56" i="69"/>
  <c r="AH84" i="69"/>
  <c r="BD78" i="69"/>
  <c r="AN100" i="69"/>
  <c r="AL428" i="110" s="1"/>
  <c r="AK100" i="69"/>
  <c r="BD84" i="69"/>
  <c r="AK78" i="69"/>
  <c r="AK106" i="69"/>
  <c r="BC106" i="69" s="1"/>
  <c r="AZ106" i="69"/>
  <c r="AN78" i="69"/>
  <c r="I417" i="110" s="1"/>
  <c r="BH64" i="69"/>
  <c r="BH50" i="69"/>
  <c r="BH36" i="69"/>
  <c r="BH68" i="69"/>
  <c r="BH70" i="69"/>
  <c r="BH74" i="69"/>
  <c r="BH38" i="69"/>
  <c r="BH58" i="69"/>
  <c r="AZ84" i="69"/>
  <c r="AV78" i="69"/>
  <c r="AK417" i="110" s="1"/>
  <c r="AZ100" i="69"/>
  <c r="AX100" i="69"/>
  <c r="AX106" i="69"/>
  <c r="AX84" i="69"/>
  <c r="AN106" i="69"/>
  <c r="I431" i="110" s="1"/>
  <c r="AY84" i="69"/>
  <c r="AY78" i="69"/>
  <c r="BH72" i="69"/>
  <c r="BH66" i="69"/>
  <c r="BH44" i="69"/>
  <c r="BH62" i="69"/>
  <c r="BA100" i="69"/>
  <c r="AH78" i="69"/>
  <c r="AY100" i="69"/>
  <c r="AV100" i="69"/>
  <c r="AK428" i="110" s="1"/>
  <c r="AV106" i="69"/>
  <c r="AK431" i="110" s="1"/>
  <c r="AN84" i="69"/>
  <c r="R420" i="110" s="1"/>
  <c r="AX78" i="69"/>
  <c r="BD100" i="69"/>
  <c r="BH52" i="69"/>
  <c r="BC24" i="69"/>
  <c r="AZ24" i="69"/>
  <c r="AY24" i="69"/>
  <c r="AV24" i="69"/>
  <c r="AK390" i="110" s="1"/>
  <c r="AX74" i="69"/>
  <c r="AN64" i="69"/>
  <c r="AL410" i="110" s="1"/>
  <c r="AY64" i="69"/>
  <c r="BC68" i="13"/>
  <c r="BC86" i="13"/>
  <c r="AK24" i="13"/>
  <c r="BA24" i="13"/>
  <c r="BC24" i="13" s="1"/>
  <c r="AV24" i="13"/>
  <c r="AY44" i="69"/>
  <c r="BD36" i="69"/>
  <c r="AK36" i="69"/>
  <c r="AK70" i="69"/>
  <c r="AH40" i="69"/>
  <c r="AH36" i="69"/>
  <c r="AX36" i="69"/>
  <c r="BA36" i="69"/>
  <c r="AX30" i="69"/>
  <c r="AH30" i="69"/>
  <c r="AK30" i="69"/>
  <c r="AZ26" i="69"/>
  <c r="AY26" i="69"/>
  <c r="BC26" i="69"/>
  <c r="AX26" i="69"/>
  <c r="AV26" i="69" s="1"/>
  <c r="AK391" i="110" s="1"/>
  <c r="BE22" i="69" a="1"/>
  <c r="BE22" i="69" s="1"/>
  <c r="BD74" i="69"/>
  <c r="BD54" i="69"/>
  <c r="AX54" i="69"/>
  <c r="AZ36" i="69"/>
  <c r="AK74" i="69"/>
  <c r="BA74" i="69"/>
  <c r="AY74" i="69"/>
  <c r="BC86" i="69"/>
  <c r="AX64" i="69"/>
  <c r="BA64" i="69"/>
  <c r="AK64" i="69"/>
  <c r="BC64" i="69" s="1"/>
  <c r="AK54" i="69"/>
  <c r="BC54" i="69" s="1"/>
  <c r="AV74" i="69"/>
  <c r="AK415" i="110" s="1"/>
  <c r="AH74" i="69"/>
  <c r="AY54" i="69"/>
  <c r="AZ54" i="69"/>
  <c r="AV54" i="69"/>
  <c r="AK405" i="110" s="1"/>
  <c r="AY36" i="69"/>
  <c r="AN74" i="69"/>
  <c r="AV40" i="69"/>
  <c r="AK398" i="110" s="1"/>
  <c r="BA40" i="69"/>
  <c r="AZ64" i="69"/>
  <c r="AN36" i="69"/>
  <c r="S396" i="110" s="1"/>
  <c r="AK16" i="69"/>
  <c r="AX16" i="69"/>
  <c r="C473" i="110"/>
  <c r="B473" i="110" s="1"/>
  <c r="AH70" i="69"/>
  <c r="AN48" i="69"/>
  <c r="R402" i="110" s="1"/>
  <c r="AH72" i="69"/>
  <c r="AZ48" i="69"/>
  <c r="AX72" i="69"/>
  <c r="AY70" i="69"/>
  <c r="AN72" i="69"/>
  <c r="W414" i="110" s="1"/>
  <c r="AK48" i="69"/>
  <c r="AX70" i="69"/>
  <c r="AV48" i="69"/>
  <c r="AK402" i="110" s="1"/>
  <c r="BD72" i="69"/>
  <c r="AY72" i="69"/>
  <c r="AK72" i="69"/>
  <c r="AV72" i="69"/>
  <c r="AK414" i="110" s="1"/>
  <c r="BD70" i="69"/>
  <c r="AZ46" i="69"/>
  <c r="AH48" i="69"/>
  <c r="AN70" i="69"/>
  <c r="N413" i="110" s="1"/>
  <c r="BA48" i="69"/>
  <c r="AX48" i="69"/>
  <c r="AV70" i="69"/>
  <c r="AK413" i="110" s="1"/>
  <c r="AV46" i="69"/>
  <c r="AK401" i="110" s="1"/>
  <c r="BA70" i="69"/>
  <c r="AY48" i="69"/>
  <c r="BD44" i="69"/>
  <c r="BA72" i="69"/>
  <c r="BD48" i="69"/>
  <c r="BD64" i="69"/>
  <c r="AY46" i="69"/>
  <c r="AV64" i="69"/>
  <c r="AK410" i="110" s="1"/>
  <c r="AN46" i="69"/>
  <c r="S401" i="110" s="1"/>
  <c r="AX46" i="69"/>
  <c r="BA46" i="69"/>
  <c r="BD46" i="69"/>
  <c r="AH46" i="69"/>
  <c r="AK46" i="69"/>
  <c r="AY96" i="69"/>
  <c r="AH44" i="69"/>
  <c r="AN80" i="69"/>
  <c r="W418" i="110" s="1"/>
  <c r="AN40" i="69"/>
  <c r="J398" i="110" s="1"/>
  <c r="AZ88" i="69"/>
  <c r="AK102" i="69"/>
  <c r="AX82" i="69"/>
  <c r="AZ44" i="69"/>
  <c r="AK44" i="69"/>
  <c r="BA76" i="69"/>
  <c r="AY40" i="69"/>
  <c r="AN44" i="69"/>
  <c r="U400" i="110" s="1"/>
  <c r="AK90" i="69"/>
  <c r="BA44" i="69"/>
  <c r="AV44" i="69"/>
  <c r="AK400" i="110" s="1"/>
  <c r="AN98" i="69"/>
  <c r="K427" i="110" s="1"/>
  <c r="AK40" i="69"/>
  <c r="BD40" i="69"/>
  <c r="AZ40" i="69"/>
  <c r="AX40" i="69"/>
  <c r="C466" i="110"/>
  <c r="B466" i="110" s="1"/>
  <c r="C462" i="110"/>
  <c r="B462" i="110" s="1"/>
  <c r="C465" i="110"/>
  <c r="B465" i="110" s="1"/>
  <c r="M339" i="110"/>
  <c r="BA28" i="13"/>
  <c r="BC28" i="13" s="1"/>
  <c r="AK28" i="13"/>
  <c r="K339" i="110"/>
  <c r="AL339" i="110"/>
  <c r="BC102" i="13"/>
  <c r="BC76" i="13"/>
  <c r="T339" i="110"/>
  <c r="AM339" i="110" s="1"/>
  <c r="I339" i="110"/>
  <c r="U339" i="110"/>
  <c r="BC94" i="13"/>
  <c r="BC82" i="13"/>
  <c r="O160" i="110"/>
  <c r="N159" i="110"/>
  <c r="W339" i="110"/>
  <c r="AL355" i="110"/>
  <c r="BC80" i="13"/>
  <c r="BC88" i="13"/>
  <c r="BC98" i="13"/>
  <c r="S355" i="110"/>
  <c r="O355" i="110"/>
  <c r="BC70" i="13"/>
  <c r="BC74" i="13"/>
  <c r="BC90" i="13"/>
  <c r="BC92" i="13"/>
  <c r="BC104" i="13"/>
  <c r="BC84" i="13"/>
  <c r="M355" i="110"/>
  <c r="I355" i="110"/>
  <c r="T355" i="110"/>
  <c r="AM355" i="110" s="1"/>
  <c r="R355" i="110"/>
  <c r="BC78" i="13"/>
  <c r="BC72" i="13"/>
  <c r="BC96" i="13"/>
  <c r="BC66" i="13"/>
  <c r="BC100" i="13"/>
  <c r="AK22" i="13"/>
  <c r="BA22" i="13"/>
  <c r="AU30" i="12"/>
  <c r="K11" i="110" s="1"/>
  <c r="AV36" i="12"/>
  <c r="AV38" i="12"/>
  <c r="AV26" i="12"/>
  <c r="AV44" i="12"/>
  <c r="AV32" i="12"/>
  <c r="AV34" i="12"/>
  <c r="AV40" i="12"/>
  <c r="AV42" i="12"/>
  <c r="AU18" i="70"/>
  <c r="AK18" i="70"/>
  <c r="AX18" i="70" s="1"/>
  <c r="AH18" i="70"/>
  <c r="AH24" i="70"/>
  <c r="AU24" i="70"/>
  <c r="AK364" i="110" s="1"/>
  <c r="AK24" i="70"/>
  <c r="AX24" i="70" s="1"/>
  <c r="W64" i="110"/>
  <c r="R64" i="110"/>
  <c r="W62" i="110"/>
  <c r="R62" i="110"/>
  <c r="W56" i="110"/>
  <c r="R56" i="110"/>
  <c r="R61" i="110"/>
  <c r="AV32" i="62"/>
  <c r="O63" i="110" s="1"/>
  <c r="N63" i="110"/>
  <c r="AN20" i="62"/>
  <c r="K57" i="110"/>
  <c r="AV34" i="62"/>
  <c r="O64" i="110" s="1"/>
  <c r="N64" i="110"/>
  <c r="AV30" i="62"/>
  <c r="O62" i="110" s="1"/>
  <c r="N62" i="110"/>
  <c r="AV26" i="62"/>
  <c r="O60" i="110" s="1"/>
  <c r="N60" i="110"/>
  <c r="AV28" i="62"/>
  <c r="O61" i="110" s="1"/>
  <c r="N61" i="110"/>
  <c r="R63" i="110"/>
  <c r="AV18" i="62"/>
  <c r="O56" i="110" s="1"/>
  <c r="N56" i="110"/>
  <c r="W60" i="110"/>
  <c r="R60" i="110"/>
  <c r="X365" i="110"/>
  <c r="AG360" i="110"/>
  <c r="X360" i="110"/>
  <c r="C464" i="110"/>
  <c r="B464" i="110" s="1"/>
  <c r="C447" i="110"/>
  <c r="B447" i="110" s="1"/>
  <c r="C480" i="110"/>
  <c r="B480" i="110" s="1"/>
  <c r="C474" i="110"/>
  <c r="B474" i="110" s="1"/>
  <c r="C484" i="110"/>
  <c r="B484" i="110" s="1"/>
  <c r="I440" i="110"/>
  <c r="C460" i="110"/>
  <c r="B460" i="110" s="1"/>
  <c r="P439" i="110"/>
  <c r="S439" i="110"/>
  <c r="W61" i="110"/>
  <c r="C451" i="110"/>
  <c r="B451" i="110" s="1"/>
  <c r="AN439" i="110"/>
  <c r="I441" i="110"/>
  <c r="S440" i="110"/>
  <c r="W440" i="110"/>
  <c r="AL440" i="110"/>
  <c r="J440" i="110"/>
  <c r="R440" i="110"/>
  <c r="V440" i="110"/>
  <c r="P440" i="110"/>
  <c r="K440" i="110"/>
  <c r="C461" i="110"/>
  <c r="B461" i="110" s="1"/>
  <c r="AV16" i="13"/>
  <c r="AK309" i="110" s="1"/>
  <c r="C169" i="110"/>
  <c r="B169" i="110" s="1"/>
  <c r="C170" i="110"/>
  <c r="B170" i="110" s="1"/>
  <c r="W159" i="110"/>
  <c r="AU200" i="64"/>
  <c r="V12" i="64" s="1"/>
  <c r="I29" i="3" s="1"/>
  <c r="AK22" i="62"/>
  <c r="BE22" i="62" s="1"/>
  <c r="W161" i="110"/>
  <c r="AK20" i="62"/>
  <c r="BE20" i="62" s="1"/>
  <c r="O161" i="110"/>
  <c r="R157" i="110"/>
  <c r="Z12" i="64"/>
  <c r="F29" i="3" s="1"/>
  <c r="AM394" i="110"/>
  <c r="C470" i="110"/>
  <c r="B470" i="110" s="1"/>
  <c r="V441" i="110"/>
  <c r="AL441" i="110"/>
  <c r="J441" i="110"/>
  <c r="AM441" i="110"/>
  <c r="AN441" i="110"/>
  <c r="P441" i="110"/>
  <c r="K320" i="110"/>
  <c r="K317" i="110"/>
  <c r="J339" i="110"/>
  <c r="S339" i="110"/>
  <c r="T320" i="110"/>
  <c r="AM320" i="110" s="1"/>
  <c r="W317" i="110"/>
  <c r="O339" i="110"/>
  <c r="N339" i="110"/>
  <c r="R339" i="110"/>
  <c r="K218" i="110"/>
  <c r="AU200" i="66"/>
  <c r="V12" i="66" s="1"/>
  <c r="I31" i="3" s="1"/>
  <c r="I45" i="3" s="1"/>
  <c r="K216" i="110"/>
  <c r="T317" i="110"/>
  <c r="AM317" i="110" s="1"/>
  <c r="R161" i="110"/>
  <c r="R164" i="110"/>
  <c r="N160" i="110"/>
  <c r="W63" i="110"/>
  <c r="R160" i="110"/>
  <c r="N320" i="110"/>
  <c r="I317" i="110"/>
  <c r="S320" i="110"/>
  <c r="N394" i="110"/>
  <c r="AN394" i="110"/>
  <c r="M320" i="110"/>
  <c r="I320" i="110"/>
  <c r="R317" i="110"/>
  <c r="O317" i="110"/>
  <c r="N317" i="110"/>
  <c r="R394" i="110"/>
  <c r="I394" i="110"/>
  <c r="AL320" i="110"/>
  <c r="J320" i="110"/>
  <c r="R320" i="110"/>
  <c r="AN317" i="110"/>
  <c r="AL317" i="110"/>
  <c r="S317" i="110"/>
  <c r="AN355" i="110"/>
  <c r="AN339" i="110"/>
  <c r="AN320" i="110"/>
  <c r="AN331" i="110"/>
  <c r="AN321" i="110"/>
  <c r="O46" i="110"/>
  <c r="N31" i="110"/>
  <c r="O50" i="110"/>
  <c r="O26" i="110"/>
  <c r="R21" i="110"/>
  <c r="O25" i="110"/>
  <c r="N41" i="110"/>
  <c r="N30" i="110"/>
  <c r="N35" i="110"/>
  <c r="R29" i="110"/>
  <c r="R45" i="110"/>
  <c r="R33" i="110"/>
  <c r="O42" i="110"/>
  <c r="O28" i="110"/>
  <c r="R48" i="110"/>
  <c r="N24" i="110"/>
  <c r="O43" i="110"/>
  <c r="O36" i="110"/>
  <c r="N27" i="110"/>
  <c r="R49" i="110"/>
  <c r="O37" i="110"/>
  <c r="R40" i="110"/>
  <c r="O22" i="110"/>
  <c r="R20" i="110"/>
  <c r="R13" i="110"/>
  <c r="O14" i="110"/>
  <c r="O18" i="110"/>
  <c r="R16" i="110"/>
  <c r="R15" i="110"/>
  <c r="R17" i="110"/>
  <c r="C110" i="110"/>
  <c r="B110" i="110" s="1"/>
  <c r="AM440" i="110"/>
  <c r="W164" i="110"/>
  <c r="N164" i="110"/>
  <c r="O15" i="110"/>
  <c r="C477" i="110"/>
  <c r="B477" i="110" s="1"/>
  <c r="C485" i="110"/>
  <c r="B485" i="110" s="1"/>
  <c r="C486" i="110"/>
  <c r="B486" i="110" s="1"/>
  <c r="AG309" i="110"/>
  <c r="BF16" i="13"/>
  <c r="R439" i="110"/>
  <c r="AM439" i="110"/>
  <c r="P443" i="110"/>
  <c r="S443" i="110"/>
  <c r="I439" i="110"/>
  <c r="AL439" i="110"/>
  <c r="M439" i="110"/>
  <c r="K439" i="110"/>
  <c r="AL443" i="110"/>
  <c r="I443" i="110"/>
  <c r="J439" i="110"/>
  <c r="W443" i="110"/>
  <c r="S441" i="110"/>
  <c r="C481" i="110"/>
  <c r="B481" i="110" s="1"/>
  <c r="C453" i="110"/>
  <c r="B453" i="110" s="1"/>
  <c r="C457" i="110"/>
  <c r="B457" i="110" s="1"/>
  <c r="AH363" i="110"/>
  <c r="K322" i="110"/>
  <c r="R322" i="110"/>
  <c r="W322" i="110"/>
  <c r="N322" i="110"/>
  <c r="U322" i="110"/>
  <c r="AN322" i="110"/>
  <c r="I322" i="110"/>
  <c r="O322" i="110"/>
  <c r="J322" i="110"/>
  <c r="S322" i="110"/>
  <c r="AL322" i="110"/>
  <c r="M322" i="110"/>
  <c r="T322" i="110"/>
  <c r="AM322" i="110" s="1"/>
  <c r="I328" i="110"/>
  <c r="N328" i="110"/>
  <c r="T328" i="110"/>
  <c r="AM328" i="110" s="1"/>
  <c r="K328" i="110"/>
  <c r="S328" i="110"/>
  <c r="AL328" i="110"/>
  <c r="M328" i="110"/>
  <c r="U328" i="110"/>
  <c r="AN328" i="110"/>
  <c r="O328" i="110"/>
  <c r="W328" i="110"/>
  <c r="R328" i="110"/>
  <c r="J328" i="110"/>
  <c r="M424" i="110"/>
  <c r="K340" i="110"/>
  <c r="R340" i="110"/>
  <c r="W340" i="110"/>
  <c r="AN340" i="110"/>
  <c r="M340" i="110"/>
  <c r="S340" i="110"/>
  <c r="I340" i="110"/>
  <c r="N340" i="110"/>
  <c r="T340" i="110"/>
  <c r="AM340" i="110" s="1"/>
  <c r="J340" i="110"/>
  <c r="AL340" i="110"/>
  <c r="O340" i="110"/>
  <c r="U340" i="110"/>
  <c r="K347" i="110"/>
  <c r="R347" i="110"/>
  <c r="W347" i="110"/>
  <c r="M347" i="110"/>
  <c r="S347" i="110"/>
  <c r="AN347" i="110"/>
  <c r="I347" i="110"/>
  <c r="N347" i="110"/>
  <c r="T347" i="110"/>
  <c r="AM347" i="110" s="1"/>
  <c r="J347" i="110"/>
  <c r="O347" i="110"/>
  <c r="U347" i="110"/>
  <c r="AL347" i="110"/>
  <c r="J338" i="110"/>
  <c r="O338" i="110"/>
  <c r="U338" i="110"/>
  <c r="AL338" i="110"/>
  <c r="K338" i="110"/>
  <c r="R338" i="110"/>
  <c r="W338" i="110"/>
  <c r="M338" i="110"/>
  <c r="S338" i="110"/>
  <c r="AN338" i="110"/>
  <c r="I338" i="110"/>
  <c r="N338" i="110"/>
  <c r="T338" i="110"/>
  <c r="AM338" i="110" s="1"/>
  <c r="K335" i="110"/>
  <c r="R335" i="110"/>
  <c r="W335" i="110"/>
  <c r="M335" i="110"/>
  <c r="T335" i="110"/>
  <c r="AM335" i="110" s="1"/>
  <c r="AL335" i="110"/>
  <c r="N335" i="110"/>
  <c r="U335" i="110"/>
  <c r="AN335" i="110"/>
  <c r="I335" i="110"/>
  <c r="O335" i="110"/>
  <c r="J335" i="110"/>
  <c r="S335" i="110"/>
  <c r="M352" i="110"/>
  <c r="S352" i="110"/>
  <c r="I352" i="110"/>
  <c r="N352" i="110"/>
  <c r="T352" i="110"/>
  <c r="AM352" i="110" s="1"/>
  <c r="J352" i="110"/>
  <c r="O352" i="110"/>
  <c r="U352" i="110"/>
  <c r="AL352" i="110"/>
  <c r="R352" i="110"/>
  <c r="W352" i="110"/>
  <c r="K352" i="110"/>
  <c r="AN352" i="110"/>
  <c r="K348" i="110"/>
  <c r="R348" i="110"/>
  <c r="W348" i="110"/>
  <c r="AN348" i="110"/>
  <c r="M348" i="110"/>
  <c r="S348" i="110"/>
  <c r="I348" i="110"/>
  <c r="N348" i="110"/>
  <c r="T348" i="110"/>
  <c r="AM348" i="110" s="1"/>
  <c r="J348" i="110"/>
  <c r="O348" i="110"/>
  <c r="AL348" i="110"/>
  <c r="U348" i="110"/>
  <c r="J353" i="110"/>
  <c r="O353" i="110"/>
  <c r="U353" i="110"/>
  <c r="AL353" i="110"/>
  <c r="K353" i="110"/>
  <c r="R353" i="110"/>
  <c r="W353" i="110"/>
  <c r="AN353" i="110"/>
  <c r="M353" i="110"/>
  <c r="S353" i="110"/>
  <c r="N353" i="110"/>
  <c r="T353" i="110"/>
  <c r="AM353" i="110" s="1"/>
  <c r="I353" i="110"/>
  <c r="M351" i="110"/>
  <c r="S351" i="110"/>
  <c r="AN351" i="110"/>
  <c r="I351" i="110"/>
  <c r="N351" i="110"/>
  <c r="T351" i="110"/>
  <c r="AM351" i="110" s="1"/>
  <c r="J351" i="110"/>
  <c r="O351" i="110"/>
  <c r="U351" i="110"/>
  <c r="AL351" i="110"/>
  <c r="R351" i="110"/>
  <c r="W351" i="110"/>
  <c r="K351" i="110"/>
  <c r="J332" i="110"/>
  <c r="O332" i="110"/>
  <c r="U332" i="110"/>
  <c r="AL332" i="110"/>
  <c r="N332" i="110"/>
  <c r="W332" i="110"/>
  <c r="I332" i="110"/>
  <c r="R332" i="110"/>
  <c r="K332" i="110"/>
  <c r="S332" i="110"/>
  <c r="AN332" i="110"/>
  <c r="M332" i="110"/>
  <c r="T332" i="110"/>
  <c r="AM332" i="110" s="1"/>
  <c r="AK363" i="110"/>
  <c r="AG363" i="110"/>
  <c r="AN24" i="70"/>
  <c r="H364" i="110" s="1"/>
  <c r="K404" i="110"/>
  <c r="R404" i="110"/>
  <c r="W404" i="110"/>
  <c r="AL404" i="110"/>
  <c r="I404" i="110"/>
  <c r="N404" i="110"/>
  <c r="J404" i="110"/>
  <c r="O404" i="110"/>
  <c r="M404" i="110"/>
  <c r="S404" i="110"/>
  <c r="AM404" i="110"/>
  <c r="BG18" i="70"/>
  <c r="K432" i="110"/>
  <c r="R432" i="110"/>
  <c r="W432" i="110"/>
  <c r="AL432" i="110"/>
  <c r="I432" i="110"/>
  <c r="N432" i="110"/>
  <c r="T432" i="110"/>
  <c r="AN432" i="110"/>
  <c r="M432" i="110"/>
  <c r="O432" i="110"/>
  <c r="S432" i="110"/>
  <c r="J432" i="110"/>
  <c r="AM432" i="110"/>
  <c r="U432" i="110"/>
  <c r="K342" i="110"/>
  <c r="R342" i="110"/>
  <c r="W342" i="110"/>
  <c r="M342" i="110"/>
  <c r="S342" i="110"/>
  <c r="AN342" i="110"/>
  <c r="I342" i="110"/>
  <c r="N342" i="110"/>
  <c r="T342" i="110"/>
  <c r="AM342" i="110" s="1"/>
  <c r="O342" i="110"/>
  <c r="U342" i="110"/>
  <c r="J342" i="110"/>
  <c r="AL342" i="110"/>
  <c r="I349" i="110"/>
  <c r="N349" i="110"/>
  <c r="T349" i="110"/>
  <c r="AM349" i="110" s="1"/>
  <c r="J349" i="110"/>
  <c r="O349" i="110"/>
  <c r="U349" i="110"/>
  <c r="AL349" i="110"/>
  <c r="K349" i="110"/>
  <c r="R349" i="110"/>
  <c r="W349" i="110"/>
  <c r="AN349" i="110"/>
  <c r="M349" i="110"/>
  <c r="S349" i="110"/>
  <c r="M345" i="110"/>
  <c r="S345" i="110"/>
  <c r="I345" i="110"/>
  <c r="N345" i="110"/>
  <c r="T345" i="110"/>
  <c r="J345" i="110"/>
  <c r="O345" i="110"/>
  <c r="U345" i="110"/>
  <c r="AL345" i="110"/>
  <c r="K345" i="110"/>
  <c r="R345" i="110"/>
  <c r="W345" i="110"/>
  <c r="AN345" i="110"/>
  <c r="I356" i="110"/>
  <c r="N356" i="110"/>
  <c r="T356" i="110"/>
  <c r="AM356" i="110" s="1"/>
  <c r="J356" i="110"/>
  <c r="O356" i="110"/>
  <c r="U356" i="110"/>
  <c r="AL356" i="110"/>
  <c r="K356" i="110"/>
  <c r="R356" i="110"/>
  <c r="W356" i="110"/>
  <c r="AN356" i="110"/>
  <c r="M356" i="110"/>
  <c r="S356" i="110"/>
  <c r="K357" i="110"/>
  <c r="R357" i="110"/>
  <c r="W357" i="110"/>
  <c r="AN357" i="110"/>
  <c r="M357" i="110"/>
  <c r="S357" i="110"/>
  <c r="I357" i="110"/>
  <c r="N357" i="110"/>
  <c r="T357" i="110"/>
  <c r="J357" i="110"/>
  <c r="AL357" i="110"/>
  <c r="O357" i="110"/>
  <c r="U357" i="110"/>
  <c r="K336" i="110"/>
  <c r="R336" i="110"/>
  <c r="W336" i="110"/>
  <c r="AN336" i="110"/>
  <c r="M336" i="110"/>
  <c r="T336" i="110"/>
  <c r="AM336" i="110" s="1"/>
  <c r="AL336" i="110"/>
  <c r="N336" i="110"/>
  <c r="U336" i="110"/>
  <c r="I336" i="110"/>
  <c r="O336" i="110"/>
  <c r="J336" i="110"/>
  <c r="S336" i="110"/>
  <c r="J325" i="110"/>
  <c r="O325" i="110"/>
  <c r="U325" i="110"/>
  <c r="AL325" i="110"/>
  <c r="N325" i="110"/>
  <c r="W325" i="110"/>
  <c r="I325" i="110"/>
  <c r="R325" i="110"/>
  <c r="K325" i="110"/>
  <c r="S325" i="110"/>
  <c r="AN325" i="110"/>
  <c r="M325" i="110"/>
  <c r="T325" i="110"/>
  <c r="AM325" i="110" s="1"/>
  <c r="K329" i="110"/>
  <c r="R329" i="110"/>
  <c r="W329" i="110"/>
  <c r="AN329" i="110"/>
  <c r="N329" i="110"/>
  <c r="U329" i="110"/>
  <c r="I329" i="110"/>
  <c r="O329" i="110"/>
  <c r="J329" i="110"/>
  <c r="S329" i="110"/>
  <c r="AL329" i="110"/>
  <c r="M329" i="110"/>
  <c r="T329" i="110"/>
  <c r="AM329" i="110" s="1"/>
  <c r="AN18" i="70"/>
  <c r="H361" i="110" s="1"/>
  <c r="X362" i="110"/>
  <c r="AG362" i="110"/>
  <c r="I337" i="110"/>
  <c r="N337" i="110"/>
  <c r="T337" i="110"/>
  <c r="AM337" i="110" s="1"/>
  <c r="J337" i="110"/>
  <c r="R337" i="110"/>
  <c r="K337" i="110"/>
  <c r="S337" i="110"/>
  <c r="M337" i="110"/>
  <c r="U337" i="110"/>
  <c r="AL337" i="110"/>
  <c r="AN337" i="110"/>
  <c r="O337" i="110"/>
  <c r="W337" i="110"/>
  <c r="M344" i="110"/>
  <c r="S344" i="110"/>
  <c r="I344" i="110"/>
  <c r="N344" i="110"/>
  <c r="U344" i="110"/>
  <c r="AL344" i="110"/>
  <c r="O344" i="110"/>
  <c r="W344" i="110"/>
  <c r="AN344" i="110"/>
  <c r="J344" i="110"/>
  <c r="R344" i="110"/>
  <c r="K344" i="110"/>
  <c r="T344" i="110"/>
  <c r="AM344" i="110" s="1"/>
  <c r="I421" i="110"/>
  <c r="N421" i="110"/>
  <c r="T421" i="110"/>
  <c r="AN421" i="110"/>
  <c r="K421" i="110"/>
  <c r="R421" i="110"/>
  <c r="W421" i="110"/>
  <c r="AL421" i="110"/>
  <c r="S421" i="110"/>
  <c r="M421" i="110"/>
  <c r="O421" i="110"/>
  <c r="U421" i="110"/>
  <c r="AM421" i="110"/>
  <c r="J421" i="110"/>
  <c r="S417" i="110"/>
  <c r="J334" i="110"/>
  <c r="O334" i="110"/>
  <c r="U334" i="110"/>
  <c r="AL334" i="110"/>
  <c r="K334" i="110"/>
  <c r="S334" i="110"/>
  <c r="M334" i="110"/>
  <c r="T334" i="110"/>
  <c r="AM334" i="110" s="1"/>
  <c r="N334" i="110"/>
  <c r="W334" i="110"/>
  <c r="AN334" i="110"/>
  <c r="I334" i="110"/>
  <c r="R334" i="110"/>
  <c r="M343" i="110"/>
  <c r="S343" i="110"/>
  <c r="AN343" i="110"/>
  <c r="I343" i="110"/>
  <c r="N343" i="110"/>
  <c r="T343" i="110"/>
  <c r="AM343" i="110" s="1"/>
  <c r="J343" i="110"/>
  <c r="O343" i="110"/>
  <c r="R343" i="110"/>
  <c r="AL343" i="110"/>
  <c r="U343" i="110"/>
  <c r="W343" i="110"/>
  <c r="K343" i="110"/>
  <c r="M324" i="110"/>
  <c r="S324" i="110"/>
  <c r="N324" i="110"/>
  <c r="U324" i="110"/>
  <c r="AL324" i="110"/>
  <c r="I324" i="110"/>
  <c r="O324" i="110"/>
  <c r="W324" i="110"/>
  <c r="AN324" i="110"/>
  <c r="J324" i="110"/>
  <c r="R324" i="110"/>
  <c r="T324" i="110"/>
  <c r="AM324" i="110" s="1"/>
  <c r="K324" i="110"/>
  <c r="AG365" i="110"/>
  <c r="J318" i="110"/>
  <c r="O318" i="110"/>
  <c r="U318" i="110"/>
  <c r="AL318" i="110"/>
  <c r="M318" i="110"/>
  <c r="T318" i="110"/>
  <c r="AM318" i="110" s="1"/>
  <c r="N318" i="110"/>
  <c r="W318" i="110"/>
  <c r="AN318" i="110"/>
  <c r="I318" i="110"/>
  <c r="R318" i="110"/>
  <c r="K318" i="110"/>
  <c r="S318" i="110"/>
  <c r="AG364" i="110"/>
  <c r="X364" i="110"/>
  <c r="BG24" i="70"/>
  <c r="I330" i="110"/>
  <c r="N330" i="110"/>
  <c r="T330" i="110"/>
  <c r="AM330" i="110" s="1"/>
  <c r="K330" i="110"/>
  <c r="S330" i="110"/>
  <c r="AL330" i="110"/>
  <c r="M330" i="110"/>
  <c r="U330" i="110"/>
  <c r="O330" i="110"/>
  <c r="W330" i="110"/>
  <c r="AN330" i="110"/>
  <c r="J330" i="110"/>
  <c r="R330" i="110"/>
  <c r="M333" i="110"/>
  <c r="S333" i="110"/>
  <c r="J333" i="110"/>
  <c r="R333" i="110"/>
  <c r="K333" i="110"/>
  <c r="T333" i="110"/>
  <c r="AM333" i="110" s="1"/>
  <c r="N333" i="110"/>
  <c r="U333" i="110"/>
  <c r="AL333" i="110"/>
  <c r="I333" i="110"/>
  <c r="AN333" i="110"/>
  <c r="O333" i="110"/>
  <c r="W333" i="110"/>
  <c r="M326" i="110"/>
  <c r="S326" i="110"/>
  <c r="AN326" i="110"/>
  <c r="J326" i="110"/>
  <c r="R326" i="110"/>
  <c r="K326" i="110"/>
  <c r="T326" i="110"/>
  <c r="AM326" i="110" s="1"/>
  <c r="N326" i="110"/>
  <c r="U326" i="110"/>
  <c r="AL326" i="110"/>
  <c r="I326" i="110"/>
  <c r="O326" i="110"/>
  <c r="W326" i="110"/>
  <c r="AN425" i="110"/>
  <c r="AL425" i="110"/>
  <c r="M425" i="110"/>
  <c r="S415" i="110"/>
  <c r="K350" i="110"/>
  <c r="R350" i="110"/>
  <c r="W350" i="110"/>
  <c r="M350" i="110"/>
  <c r="S350" i="110"/>
  <c r="AN350" i="110"/>
  <c r="I350" i="110"/>
  <c r="N350" i="110"/>
  <c r="T350" i="110"/>
  <c r="AM350" i="110" s="1"/>
  <c r="O350" i="110"/>
  <c r="U350" i="110"/>
  <c r="J350" i="110"/>
  <c r="AL350" i="110"/>
  <c r="M354" i="110"/>
  <c r="S354" i="110"/>
  <c r="AN354" i="110"/>
  <c r="I354" i="110"/>
  <c r="N354" i="110"/>
  <c r="T354" i="110"/>
  <c r="AM354" i="110" s="1"/>
  <c r="J354" i="110"/>
  <c r="O354" i="110"/>
  <c r="U354" i="110"/>
  <c r="AL354" i="110"/>
  <c r="R354" i="110"/>
  <c r="W354" i="110"/>
  <c r="K354" i="110"/>
  <c r="J346" i="110"/>
  <c r="O346" i="110"/>
  <c r="U346" i="110"/>
  <c r="AL346" i="110"/>
  <c r="K346" i="110"/>
  <c r="R346" i="110"/>
  <c r="W346" i="110"/>
  <c r="M346" i="110"/>
  <c r="S346" i="110"/>
  <c r="AN346" i="110"/>
  <c r="I346" i="110"/>
  <c r="N346" i="110"/>
  <c r="T346" i="110"/>
  <c r="AM346" i="110" s="1"/>
  <c r="I341" i="110"/>
  <c r="N341" i="110"/>
  <c r="T341" i="110"/>
  <c r="AM341" i="110" s="1"/>
  <c r="J341" i="110"/>
  <c r="O341" i="110"/>
  <c r="U341" i="110"/>
  <c r="AL341" i="110"/>
  <c r="K341" i="110"/>
  <c r="R341" i="110"/>
  <c r="W341" i="110"/>
  <c r="AN341" i="110"/>
  <c r="M341" i="110"/>
  <c r="S341" i="110"/>
  <c r="I327" i="110"/>
  <c r="N327" i="110"/>
  <c r="T327" i="110"/>
  <c r="AM327" i="110" s="1"/>
  <c r="K327" i="110"/>
  <c r="S327" i="110"/>
  <c r="AL327" i="110"/>
  <c r="M327" i="110"/>
  <c r="U327" i="110"/>
  <c r="O327" i="110"/>
  <c r="W327" i="110"/>
  <c r="AN327" i="110"/>
  <c r="J327" i="110"/>
  <c r="R327" i="110"/>
  <c r="AN22" i="70"/>
  <c r="H363" i="110" s="1"/>
  <c r="O33" i="110"/>
  <c r="BA58" i="69"/>
  <c r="O158" i="110"/>
  <c r="R158" i="110"/>
  <c r="BD42" i="69"/>
  <c r="BA62" i="69"/>
  <c r="W158" i="110"/>
  <c r="N25" i="110"/>
  <c r="O21" i="110"/>
  <c r="N21" i="110"/>
  <c r="W15" i="110"/>
  <c r="N15" i="110"/>
  <c r="N14" i="110"/>
  <c r="W25" i="110"/>
  <c r="W41" i="110"/>
  <c r="R41" i="110"/>
  <c r="O41" i="110"/>
  <c r="BC104" i="69"/>
  <c r="AZ62" i="69"/>
  <c r="AK310" i="110"/>
  <c r="W176" i="110"/>
  <c r="O176" i="110"/>
  <c r="R25" i="110"/>
  <c r="W40" i="110"/>
  <c r="W19" i="110"/>
  <c r="R37" i="110"/>
  <c r="R162" i="110"/>
  <c r="BD90" i="69"/>
  <c r="AN88" i="69"/>
  <c r="AN42" i="69"/>
  <c r="BC94" i="69"/>
  <c r="AV62" i="69"/>
  <c r="AK409" i="110" s="1"/>
  <c r="AH62" i="69"/>
  <c r="BC62" i="69" s="1"/>
  <c r="AN62" i="69"/>
  <c r="AY42" i="69"/>
  <c r="AX62" i="69"/>
  <c r="BD62" i="69"/>
  <c r="AV42" i="69"/>
  <c r="AK399" i="110" s="1"/>
  <c r="AY62" i="69"/>
  <c r="W162" i="110"/>
  <c r="O162" i="110"/>
  <c r="C108" i="110"/>
  <c r="B108" i="110" s="1"/>
  <c r="AK58" i="69"/>
  <c r="AY58" i="69"/>
  <c r="BD58" i="69"/>
  <c r="BA42" i="69"/>
  <c r="AN58" i="69"/>
  <c r="AX58" i="69"/>
  <c r="AZ42" i="69"/>
  <c r="AZ58" i="69"/>
  <c r="AK42" i="69"/>
  <c r="BC42" i="69" s="1"/>
  <c r="AX42" i="69"/>
  <c r="AX88" i="69"/>
  <c r="AH88" i="69"/>
  <c r="BD88" i="69"/>
  <c r="AV88" i="69"/>
  <c r="AK422" i="110" s="1"/>
  <c r="AZ50" i="69"/>
  <c r="BA88" i="69"/>
  <c r="AZ80" i="69"/>
  <c r="AH80" i="69"/>
  <c r="AY80" i="69"/>
  <c r="AX80" i="69"/>
  <c r="BD80" i="69"/>
  <c r="BA80" i="69"/>
  <c r="AK80" i="69"/>
  <c r="AV80" i="69"/>
  <c r="AK418" i="110" s="1"/>
  <c r="AY88" i="69"/>
  <c r="AV58" i="69"/>
  <c r="AK407" i="110" s="1"/>
  <c r="AK88" i="69"/>
  <c r="W37" i="110"/>
  <c r="O49" i="110"/>
  <c r="O40" i="110"/>
  <c r="N40" i="110"/>
  <c r="W21" i="110"/>
  <c r="R14" i="110"/>
  <c r="N37" i="110"/>
  <c r="W14" i="110"/>
  <c r="O29" i="110"/>
  <c r="N33" i="110"/>
  <c r="W33" i="110"/>
  <c r="W29" i="110"/>
  <c r="W32" i="110"/>
  <c r="N29" i="110"/>
  <c r="W45" i="110"/>
  <c r="F28" i="3"/>
  <c r="O159" i="110"/>
  <c r="AV102" i="69"/>
  <c r="AK429" i="110" s="1"/>
  <c r="AV90" i="69"/>
  <c r="AK423" i="110" s="1"/>
  <c r="AY50" i="69"/>
  <c r="BD50" i="69"/>
  <c r="BD66" i="69"/>
  <c r="AK66" i="69"/>
  <c r="BA66" i="69"/>
  <c r="BD38" i="69"/>
  <c r="AX98" i="69"/>
  <c r="AH98" i="69"/>
  <c r="BD98" i="69"/>
  <c r="AV98" i="69"/>
  <c r="AK427" i="110" s="1"/>
  <c r="AZ98" i="69"/>
  <c r="AN38" i="69"/>
  <c r="AN76" i="69"/>
  <c r="AX66" i="69"/>
  <c r="AH66" i="69"/>
  <c r="AZ66" i="69"/>
  <c r="BA98" i="69"/>
  <c r="AV66" i="69"/>
  <c r="AK411" i="110" s="1"/>
  <c r="AK60" i="69"/>
  <c r="BC60" i="69" s="1"/>
  <c r="AV50" i="69"/>
  <c r="AK403" i="110" s="1"/>
  <c r="AH50" i="69"/>
  <c r="BC50" i="69" s="1"/>
  <c r="AX50" i="69"/>
  <c r="AN50" i="69"/>
  <c r="BA50" i="69"/>
  <c r="AK98" i="69"/>
  <c r="AN66" i="69"/>
  <c r="AY98" i="69"/>
  <c r="BD82" i="69"/>
  <c r="BC84" i="69"/>
  <c r="AY82" i="69"/>
  <c r="AK68" i="69"/>
  <c r="AK82" i="69"/>
  <c r="AV68" i="69"/>
  <c r="AK412" i="110" s="1"/>
  <c r="J28" i="3"/>
  <c r="AV200" i="64"/>
  <c r="G29" i="3" s="1"/>
  <c r="BA52" i="69"/>
  <c r="AV82" i="69"/>
  <c r="AK419" i="110" s="1"/>
  <c r="AN60" i="69"/>
  <c r="AN68" i="69"/>
  <c r="BA68" i="69"/>
  <c r="AY76" i="69"/>
  <c r="AK76" i="69"/>
  <c r="AX60" i="69"/>
  <c r="BA60" i="69"/>
  <c r="AX76" i="69"/>
  <c r="BD60" i="69"/>
  <c r="AV60" i="69"/>
  <c r="AK408" i="110" s="1"/>
  <c r="AZ76" i="69"/>
  <c r="AK389" i="110"/>
  <c r="AH102" i="69"/>
  <c r="BD102" i="69"/>
  <c r="AZ102" i="69"/>
  <c r="AX102" i="69"/>
  <c r="BA102" i="69"/>
  <c r="AN102" i="69"/>
  <c r="AH82" i="69"/>
  <c r="BA82" i="69"/>
  <c r="AH90" i="69"/>
  <c r="AX90" i="69"/>
  <c r="AY90" i="69"/>
  <c r="BA90" i="69"/>
  <c r="AN96" i="69"/>
  <c r="AV38" i="69"/>
  <c r="AK397" i="110" s="1"/>
  <c r="AH38" i="69"/>
  <c r="AK38" i="69"/>
  <c r="AX38" i="69"/>
  <c r="BA38" i="69"/>
  <c r="AH68" i="69"/>
  <c r="BD68" i="69"/>
  <c r="AH96" i="69"/>
  <c r="AK96" i="69"/>
  <c r="AV96" i="69"/>
  <c r="AK426" i="110" s="1"/>
  <c r="BA96" i="69"/>
  <c r="AY102" i="69"/>
  <c r="AZ82" i="69"/>
  <c r="AN82" i="69"/>
  <c r="AN90" i="69"/>
  <c r="AZ90" i="69"/>
  <c r="BD96" i="69"/>
  <c r="AY38" i="69"/>
  <c r="AZ60" i="69"/>
  <c r="AY60" i="69"/>
  <c r="AZ68" i="69"/>
  <c r="AX68" i="69"/>
  <c r="AH76" i="69"/>
  <c r="AV76" i="69"/>
  <c r="AK416" i="110" s="1"/>
  <c r="BD76" i="69"/>
  <c r="AX96" i="69"/>
  <c r="AZ96" i="69"/>
  <c r="AG312" i="110"/>
  <c r="C448" i="110"/>
  <c r="B448" i="110" s="1"/>
  <c r="R176" i="110"/>
  <c r="N18" i="110"/>
  <c r="O45" i="110"/>
  <c r="N45" i="110"/>
  <c r="N26" i="110"/>
  <c r="R18" i="110"/>
  <c r="W18" i="110"/>
  <c r="N49" i="110"/>
  <c r="W49" i="110"/>
  <c r="W26" i="110"/>
  <c r="R27" i="110"/>
  <c r="O27" i="110"/>
  <c r="W27" i="110"/>
  <c r="W13" i="110"/>
  <c r="O19" i="110"/>
  <c r="R50" i="110"/>
  <c r="O31" i="110"/>
  <c r="R22" i="110"/>
  <c r="N17" i="110"/>
  <c r="N43" i="110"/>
  <c r="N42" i="110"/>
  <c r="R36" i="110"/>
  <c r="R42" i="110"/>
  <c r="W16" i="110"/>
  <c r="R26" i="110"/>
  <c r="W42" i="110"/>
  <c r="O13" i="110"/>
  <c r="N13" i="110"/>
  <c r="W31" i="110"/>
  <c r="W34" i="110"/>
  <c r="R28" i="110"/>
  <c r="W28" i="110"/>
  <c r="N50" i="110"/>
  <c r="W50" i="110"/>
  <c r="N28" i="110"/>
  <c r="R31" i="110"/>
  <c r="J394" i="110"/>
  <c r="K394" i="110"/>
  <c r="AM443" i="110"/>
  <c r="AN443" i="110"/>
  <c r="O35" i="110"/>
  <c r="S394" i="110"/>
  <c r="R443" i="110"/>
  <c r="W48" i="110"/>
  <c r="W35" i="110"/>
  <c r="O34" i="110"/>
  <c r="O17" i="110"/>
  <c r="C472" i="110"/>
  <c r="B472" i="110" s="1"/>
  <c r="W17" i="110"/>
  <c r="W46" i="110"/>
  <c r="O394" i="110"/>
  <c r="U394" i="110"/>
  <c r="R35" i="110"/>
  <c r="N32" i="110"/>
  <c r="AL394" i="110"/>
  <c r="M394" i="110"/>
  <c r="R34" i="110"/>
  <c r="N34" i="110"/>
  <c r="T394" i="110"/>
  <c r="C467" i="110"/>
  <c r="B467" i="110" s="1"/>
  <c r="C482" i="110"/>
  <c r="B482" i="110" s="1"/>
  <c r="R43" i="110"/>
  <c r="W30" i="110"/>
  <c r="N44" i="110"/>
  <c r="O44" i="110"/>
  <c r="R44" i="110"/>
  <c r="W23" i="110"/>
  <c r="N20" i="110"/>
  <c r="O20" i="110"/>
  <c r="W43" i="110"/>
  <c r="N36" i="110"/>
  <c r="W36" i="110"/>
  <c r="W44" i="110"/>
  <c r="W20" i="110"/>
  <c r="N19" i="110"/>
  <c r="R19" i="110"/>
  <c r="C459" i="110"/>
  <c r="B459" i="110" s="1"/>
  <c r="C458" i="110"/>
  <c r="B458" i="110" s="1"/>
  <c r="C455" i="110"/>
  <c r="B455" i="110" s="1"/>
  <c r="C452" i="110"/>
  <c r="B452" i="110" s="1"/>
  <c r="C463" i="110"/>
  <c r="B463" i="110" s="1"/>
  <c r="R24" i="110"/>
  <c r="N22" i="110"/>
  <c r="O24" i="110"/>
  <c r="W22" i="110"/>
  <c r="O48" i="110"/>
  <c r="W24" i="110"/>
  <c r="N48" i="110"/>
  <c r="O32" i="110"/>
  <c r="R32" i="110"/>
  <c r="W38" i="110"/>
  <c r="R38" i="110"/>
  <c r="N38" i="110"/>
  <c r="O38" i="110"/>
  <c r="O16" i="110"/>
  <c r="N16" i="110"/>
  <c r="C450" i="110"/>
  <c r="B450" i="110" s="1"/>
  <c r="AA22" i="70"/>
  <c r="AA24" i="70"/>
  <c r="AA26" i="70"/>
  <c r="AH365" i="110" s="1"/>
  <c r="C468" i="110"/>
  <c r="B468" i="110" s="1"/>
  <c r="C469" i="110"/>
  <c r="B469" i="110" s="1"/>
  <c r="I456" i="110"/>
  <c r="V456" i="110"/>
  <c r="R456" i="110"/>
  <c r="P456" i="110"/>
  <c r="AM456" i="110"/>
  <c r="K456" i="110"/>
  <c r="W456" i="110"/>
  <c r="AN456" i="110"/>
  <c r="J456" i="110"/>
  <c r="M456" i="110"/>
  <c r="AL456" i="110"/>
  <c r="S456" i="110"/>
  <c r="K442" i="110"/>
  <c r="J442" i="110"/>
  <c r="M442" i="110"/>
  <c r="P442" i="110"/>
  <c r="AL442" i="110"/>
  <c r="C471" i="110"/>
  <c r="B471" i="110" s="1"/>
  <c r="AH20" i="69"/>
  <c r="X361" i="110"/>
  <c r="AG361" i="110"/>
  <c r="AA20" i="70"/>
  <c r="AH362" i="110" s="1"/>
  <c r="AH18" i="69"/>
  <c r="AN442" i="110"/>
  <c r="R442" i="110"/>
  <c r="T395" i="110"/>
  <c r="C395" i="110" s="1"/>
  <c r="B395" i="110" s="1"/>
  <c r="N46" i="110"/>
  <c r="R46" i="110"/>
  <c r="I483" i="110"/>
  <c r="J483" i="110"/>
  <c r="AL483" i="110"/>
  <c r="V483" i="110"/>
  <c r="K483" i="110"/>
  <c r="AM483" i="110"/>
  <c r="R483" i="110"/>
  <c r="W483" i="110"/>
  <c r="AN483" i="110"/>
  <c r="M483" i="110"/>
  <c r="S483" i="110"/>
  <c r="P483" i="110"/>
  <c r="AK34" i="71"/>
  <c r="AH34" i="71"/>
  <c r="BB34" i="71" s="1"/>
  <c r="AN34" i="71"/>
  <c r="BC34" i="71"/>
  <c r="AV34" i="71"/>
  <c r="AK446" i="110" s="1"/>
  <c r="AZ34" i="71"/>
  <c r="K454" i="110"/>
  <c r="P454" i="110"/>
  <c r="AM454" i="110"/>
  <c r="W454" i="110"/>
  <c r="AN454" i="110"/>
  <c r="I454" i="110"/>
  <c r="M454" i="110"/>
  <c r="AL454" i="110"/>
  <c r="S454" i="110"/>
  <c r="R454" i="110"/>
  <c r="J454" i="110"/>
  <c r="V454" i="110"/>
  <c r="BB84" i="71"/>
  <c r="AN471" i="110"/>
  <c r="K441" i="110"/>
  <c r="M441" i="110"/>
  <c r="R441" i="110"/>
  <c r="V439" i="110"/>
  <c r="O39" i="110"/>
  <c r="R39" i="110"/>
  <c r="N39" i="110"/>
  <c r="W39" i="110"/>
  <c r="N47" i="110"/>
  <c r="W47" i="110"/>
  <c r="R47" i="110"/>
  <c r="O47" i="110"/>
  <c r="W442" i="110"/>
  <c r="V442" i="110"/>
  <c r="AN440" i="110"/>
  <c r="I442" i="110"/>
  <c r="AM442" i="110"/>
  <c r="AK52" i="69"/>
  <c r="T404" i="110" s="1"/>
  <c r="AZ52" i="69"/>
  <c r="AV52" i="69"/>
  <c r="AK404" i="110" s="1"/>
  <c r="AY52" i="69"/>
  <c r="AH52" i="69"/>
  <c r="AN404" i="110" s="1"/>
  <c r="BD52" i="69"/>
  <c r="AX52" i="69"/>
  <c r="U404" i="110" s="1"/>
  <c r="O30" i="110"/>
  <c r="R30" i="110"/>
  <c r="O23" i="110"/>
  <c r="R23" i="110"/>
  <c r="N23" i="110"/>
  <c r="AN94" i="71"/>
  <c r="AY94" i="71"/>
  <c r="AH94" i="71"/>
  <c r="BB94" i="71" s="1"/>
  <c r="AK94" i="71"/>
  <c r="BC94" i="71"/>
  <c r="AZ94" i="71"/>
  <c r="AV94" i="71"/>
  <c r="AK476" i="110" s="1"/>
  <c r="AH100" i="71"/>
  <c r="BB100" i="71" s="1"/>
  <c r="AN100" i="71"/>
  <c r="AK100" i="71"/>
  <c r="AV100" i="71"/>
  <c r="AK479" i="110" s="1"/>
  <c r="BC100" i="71"/>
  <c r="AY100" i="71"/>
  <c r="BB108" i="71"/>
  <c r="AK56" i="69"/>
  <c r="AX56" i="69"/>
  <c r="AY56" i="69"/>
  <c r="AV56" i="69"/>
  <c r="AK406" i="110" s="1"/>
  <c r="AZ56" i="69"/>
  <c r="AN56" i="69"/>
  <c r="AH56" i="69"/>
  <c r="BA56" i="69"/>
  <c r="AN472" i="110"/>
  <c r="BB86" i="71"/>
  <c r="K478" i="110"/>
  <c r="I478" i="110"/>
  <c r="J478" i="110"/>
  <c r="S478" i="110"/>
  <c r="V478" i="110"/>
  <c r="AL478" i="110"/>
  <c r="P478" i="110"/>
  <c r="R478" i="110"/>
  <c r="W478" i="110"/>
  <c r="M478" i="110"/>
  <c r="AN478" i="110"/>
  <c r="AM478" i="110"/>
  <c r="AK32" i="71"/>
  <c r="AN32" i="71"/>
  <c r="BC32" i="71"/>
  <c r="AH32" i="71"/>
  <c r="AV32" i="71"/>
  <c r="AK445" i="110" s="1"/>
  <c r="K443" i="110"/>
  <c r="J443" i="110"/>
  <c r="V443" i="110"/>
  <c r="AD361" i="110"/>
  <c r="AA18" i="70"/>
  <c r="BB20" i="71"/>
  <c r="C109" i="110"/>
  <c r="B109" i="110" s="1"/>
  <c r="N157" i="110"/>
  <c r="O157" i="110"/>
  <c r="Z12" i="113"/>
  <c r="H32" i="3" s="1"/>
  <c r="R266" i="110"/>
  <c r="C266" i="110" s="1"/>
  <c r="P266" i="110"/>
  <c r="R12" i="113"/>
  <c r="J32" i="3" s="1"/>
  <c r="W157" i="110"/>
  <c r="W174" i="110"/>
  <c r="O174" i="110"/>
  <c r="R174" i="110"/>
  <c r="R215" i="110"/>
  <c r="P215" i="110"/>
  <c r="Q311" i="110" l="1"/>
  <c r="H311" i="110"/>
  <c r="C215" i="110"/>
  <c r="B215" i="110" s="1"/>
  <c r="L215" i="110"/>
  <c r="H217" i="110"/>
  <c r="W217" i="110"/>
  <c r="P217" i="110"/>
  <c r="R217" i="110"/>
  <c r="W12" i="110"/>
  <c r="R12" i="110"/>
  <c r="L12" i="110" s="1"/>
  <c r="N12" i="110"/>
  <c r="H12" i="110"/>
  <c r="BD18" i="70"/>
  <c r="K417" i="110"/>
  <c r="I424" i="110"/>
  <c r="K424" i="110"/>
  <c r="U424" i="110"/>
  <c r="BD24" i="70"/>
  <c r="O12" i="110"/>
  <c r="BA16" i="70"/>
  <c r="BB16" i="70" s="1"/>
  <c r="AZ16" i="70" s="1"/>
  <c r="AH16" i="70" s="1"/>
  <c r="Y16" i="70"/>
  <c r="AH360" i="110"/>
  <c r="Z12" i="65"/>
  <c r="AZ200" i="65"/>
  <c r="BF32" i="12"/>
  <c r="BG32" i="12"/>
  <c r="BE32" i="12"/>
  <c r="AU28" i="12"/>
  <c r="K10" i="110" s="1"/>
  <c r="N66" i="66"/>
  <c r="AA240" i="110" s="1"/>
  <c r="H224" i="110"/>
  <c r="W224" i="110"/>
  <c r="P224" i="110"/>
  <c r="R224" i="110"/>
  <c r="H222" i="110"/>
  <c r="R222" i="110"/>
  <c r="P222" i="110"/>
  <c r="W222" i="110"/>
  <c r="H221" i="110"/>
  <c r="W221" i="110"/>
  <c r="R221" i="110"/>
  <c r="P221" i="110"/>
  <c r="C66" i="66"/>
  <c r="H178" i="110"/>
  <c r="N178" i="110"/>
  <c r="O178" i="110"/>
  <c r="BE24" i="65"/>
  <c r="N62" i="65" s="1"/>
  <c r="R178" i="110"/>
  <c r="W178" i="110"/>
  <c r="AM425" i="110"/>
  <c r="W425" i="110"/>
  <c r="T425" i="110"/>
  <c r="U425" i="110"/>
  <c r="J425" i="110"/>
  <c r="R425" i="110"/>
  <c r="N425" i="110"/>
  <c r="BC100" i="69"/>
  <c r="O425" i="110"/>
  <c r="S425" i="110"/>
  <c r="K425" i="110"/>
  <c r="AV28" i="12"/>
  <c r="AN30" i="12"/>
  <c r="H11" i="110" s="1"/>
  <c r="BE30" i="12"/>
  <c r="J424" i="110"/>
  <c r="AN424" i="110"/>
  <c r="AL424" i="110"/>
  <c r="S424" i="110"/>
  <c r="T424" i="110"/>
  <c r="C424" i="110" s="1"/>
  <c r="B424" i="110" s="1"/>
  <c r="W424" i="110"/>
  <c r="AM424" i="110"/>
  <c r="O424" i="110"/>
  <c r="N424" i="110"/>
  <c r="C54" i="62"/>
  <c r="I54" i="62"/>
  <c r="AI48" i="64"/>
  <c r="T48" i="64"/>
  <c r="AK48" i="64"/>
  <c r="AN28" i="12"/>
  <c r="C331" i="110"/>
  <c r="B331" i="110" s="1"/>
  <c r="K438" i="110"/>
  <c r="AN438" i="110"/>
  <c r="AL438" i="110"/>
  <c r="R438" i="110"/>
  <c r="V438" i="110"/>
  <c r="W438" i="110"/>
  <c r="M438" i="110"/>
  <c r="I438" i="110"/>
  <c r="AM438" i="110"/>
  <c r="P438" i="110"/>
  <c r="S438" i="110"/>
  <c r="J438" i="110"/>
  <c r="Q361" i="110"/>
  <c r="Q364" i="110"/>
  <c r="Q363" i="110"/>
  <c r="L177" i="110"/>
  <c r="Q57" i="110"/>
  <c r="H57" i="110"/>
  <c r="Q59" i="110"/>
  <c r="H59" i="110"/>
  <c r="Q58" i="110"/>
  <c r="H58" i="110"/>
  <c r="R58" i="110"/>
  <c r="C58" i="110" s="1"/>
  <c r="B58" i="110" s="1"/>
  <c r="W58" i="110"/>
  <c r="C323" i="110"/>
  <c r="B323" i="110" s="1"/>
  <c r="C316" i="110"/>
  <c r="B316" i="110" s="1"/>
  <c r="C319" i="110"/>
  <c r="B319" i="110" s="1"/>
  <c r="J417" i="110"/>
  <c r="AN417" i="110"/>
  <c r="U417" i="110"/>
  <c r="AL417" i="110"/>
  <c r="N417" i="110"/>
  <c r="M417" i="110"/>
  <c r="O417" i="110"/>
  <c r="R417" i="110"/>
  <c r="C321" i="110"/>
  <c r="B321" i="110" s="1"/>
  <c r="L361" i="110"/>
  <c r="L363" i="110"/>
  <c r="L364" i="110"/>
  <c r="BC20" i="69"/>
  <c r="AY20" i="69"/>
  <c r="AZ20" i="69"/>
  <c r="AV20" i="69"/>
  <c r="C174" i="110"/>
  <c r="B174" i="110" s="1"/>
  <c r="L174" i="110"/>
  <c r="C176" i="110"/>
  <c r="B176" i="110" s="1"/>
  <c r="L176" i="110"/>
  <c r="C41" i="110"/>
  <c r="B41" i="110" s="1"/>
  <c r="L41" i="110"/>
  <c r="C12" i="110"/>
  <c r="B12" i="110" s="1"/>
  <c r="C29" i="110"/>
  <c r="B29" i="110" s="1"/>
  <c r="L29" i="110"/>
  <c r="C164" i="110"/>
  <c r="B164" i="110" s="1"/>
  <c r="L164" i="110"/>
  <c r="C157" i="110"/>
  <c r="B157" i="110" s="1"/>
  <c r="L157" i="110"/>
  <c r="C47" i="110"/>
  <c r="B47" i="110" s="1"/>
  <c r="L47" i="110"/>
  <c r="C44" i="110"/>
  <c r="B44" i="110" s="1"/>
  <c r="L44" i="110"/>
  <c r="C31" i="110"/>
  <c r="B31" i="110" s="1"/>
  <c r="L31" i="110"/>
  <c r="C26" i="110"/>
  <c r="B26" i="110" s="1"/>
  <c r="L26" i="110"/>
  <c r="C42" i="110"/>
  <c r="B42" i="110" s="1"/>
  <c r="L42" i="110"/>
  <c r="C50" i="110"/>
  <c r="B50" i="110" s="1"/>
  <c r="L50" i="110"/>
  <c r="C18" i="110"/>
  <c r="B18" i="110" s="1"/>
  <c r="L18" i="110"/>
  <c r="C37" i="110"/>
  <c r="B37" i="110" s="1"/>
  <c r="L37" i="110"/>
  <c r="C17" i="110"/>
  <c r="B17" i="110" s="1"/>
  <c r="L17" i="110"/>
  <c r="C20" i="110"/>
  <c r="B20" i="110" s="1"/>
  <c r="L20" i="110"/>
  <c r="C49" i="110"/>
  <c r="B49" i="110" s="1"/>
  <c r="L49" i="110"/>
  <c r="C21" i="110"/>
  <c r="B21" i="110" s="1"/>
  <c r="L21" i="110"/>
  <c r="C160" i="110"/>
  <c r="B160" i="110" s="1"/>
  <c r="L160" i="110"/>
  <c r="C161" i="110"/>
  <c r="B161" i="110" s="1"/>
  <c r="L161" i="110"/>
  <c r="C62" i="110"/>
  <c r="B62" i="110" s="1"/>
  <c r="L62" i="110"/>
  <c r="C159" i="110"/>
  <c r="B159" i="110" s="1"/>
  <c r="L159" i="110"/>
  <c r="C46" i="110"/>
  <c r="B46" i="110" s="1"/>
  <c r="L46" i="110"/>
  <c r="C32" i="110"/>
  <c r="B32" i="110" s="1"/>
  <c r="L32" i="110"/>
  <c r="C24" i="110"/>
  <c r="B24" i="110" s="1"/>
  <c r="L24" i="110"/>
  <c r="C162" i="110"/>
  <c r="B162" i="110" s="1"/>
  <c r="L162" i="110"/>
  <c r="C158" i="110"/>
  <c r="B158" i="110" s="1"/>
  <c r="L158" i="110"/>
  <c r="C30" i="110"/>
  <c r="B30" i="110" s="1"/>
  <c r="L30" i="110"/>
  <c r="C39" i="110"/>
  <c r="B39" i="110" s="1"/>
  <c r="L39" i="110"/>
  <c r="C38" i="110"/>
  <c r="B38" i="110" s="1"/>
  <c r="L38" i="110"/>
  <c r="C19" i="110"/>
  <c r="B19" i="110" s="1"/>
  <c r="L19" i="110"/>
  <c r="C43" i="110"/>
  <c r="B43" i="110" s="1"/>
  <c r="L43" i="110"/>
  <c r="C28" i="110"/>
  <c r="B28" i="110" s="1"/>
  <c r="L28" i="110"/>
  <c r="C27" i="110"/>
  <c r="B27" i="110" s="1"/>
  <c r="L27" i="110"/>
  <c r="C14" i="110"/>
  <c r="B14" i="110" s="1"/>
  <c r="L14" i="110"/>
  <c r="C15" i="110"/>
  <c r="B15" i="110" s="1"/>
  <c r="L15" i="110"/>
  <c r="C48" i="110"/>
  <c r="B48" i="110" s="1"/>
  <c r="L48" i="110"/>
  <c r="C33" i="110"/>
  <c r="B33" i="110" s="1"/>
  <c r="L33" i="110"/>
  <c r="C61" i="110"/>
  <c r="B61" i="110" s="1"/>
  <c r="L61" i="110"/>
  <c r="C23" i="110"/>
  <c r="B23" i="110" s="1"/>
  <c r="L23" i="110"/>
  <c r="C25" i="110"/>
  <c r="B25" i="110" s="1"/>
  <c r="L25" i="110"/>
  <c r="C13" i="110"/>
  <c r="B13" i="110" s="1"/>
  <c r="L13" i="110"/>
  <c r="C34" i="110"/>
  <c r="B34" i="110" s="1"/>
  <c r="L34" i="110"/>
  <c r="C35" i="110"/>
  <c r="B35" i="110" s="1"/>
  <c r="L35" i="110"/>
  <c r="C36" i="110"/>
  <c r="B36" i="110" s="1"/>
  <c r="L36" i="110"/>
  <c r="C22" i="110"/>
  <c r="B22" i="110" s="1"/>
  <c r="L22" i="110"/>
  <c r="C16" i="110"/>
  <c r="B16" i="110" s="1"/>
  <c r="L16" i="110"/>
  <c r="C40" i="110"/>
  <c r="B40" i="110" s="1"/>
  <c r="L40" i="110"/>
  <c r="C45" i="110"/>
  <c r="B45" i="110" s="1"/>
  <c r="L45" i="110"/>
  <c r="C60" i="110"/>
  <c r="B60" i="110" s="1"/>
  <c r="L60" i="110"/>
  <c r="C63" i="110"/>
  <c r="B63" i="110" s="1"/>
  <c r="L63" i="110"/>
  <c r="C56" i="110"/>
  <c r="B56" i="110" s="1"/>
  <c r="L56" i="110"/>
  <c r="C64" i="110"/>
  <c r="B64" i="110" s="1"/>
  <c r="L64" i="110"/>
  <c r="K420" i="110"/>
  <c r="Y362" i="110"/>
  <c r="Y20" i="70"/>
  <c r="W410" i="110"/>
  <c r="T428" i="110"/>
  <c r="AM430" i="110"/>
  <c r="AL430" i="110"/>
  <c r="M405" i="110"/>
  <c r="S431" i="110"/>
  <c r="O420" i="110"/>
  <c r="K431" i="110"/>
  <c r="AM420" i="110"/>
  <c r="O431" i="110"/>
  <c r="I420" i="110"/>
  <c r="M431" i="110"/>
  <c r="AL431" i="110"/>
  <c r="AN431" i="110"/>
  <c r="S430" i="110"/>
  <c r="W430" i="110"/>
  <c r="AL405" i="110"/>
  <c r="S420" i="110"/>
  <c r="AN420" i="110"/>
  <c r="AL420" i="110"/>
  <c r="AM431" i="110"/>
  <c r="W431" i="110"/>
  <c r="N431" i="110"/>
  <c r="AN430" i="110"/>
  <c r="J405" i="110"/>
  <c r="K405" i="110"/>
  <c r="M420" i="110"/>
  <c r="T420" i="110"/>
  <c r="C420" i="110" s="1"/>
  <c r="B420" i="110" s="1"/>
  <c r="W420" i="110"/>
  <c r="J431" i="110"/>
  <c r="R431" i="110"/>
  <c r="T430" i="110"/>
  <c r="O405" i="110"/>
  <c r="AN405" i="110"/>
  <c r="J420" i="110"/>
  <c r="N420" i="110"/>
  <c r="R59" i="110"/>
  <c r="R12" i="62"/>
  <c r="M410" i="110"/>
  <c r="T417" i="110"/>
  <c r="R410" i="110"/>
  <c r="U420" i="110"/>
  <c r="AV26" i="13"/>
  <c r="AK314" i="110" s="1"/>
  <c r="U431" i="110"/>
  <c r="W428" i="110"/>
  <c r="BC74" i="69"/>
  <c r="U430" i="110"/>
  <c r="O430" i="110"/>
  <c r="N430" i="110"/>
  <c r="R430" i="110"/>
  <c r="AN410" i="110"/>
  <c r="AM405" i="110"/>
  <c r="W405" i="110"/>
  <c r="N405" i="110"/>
  <c r="T431" i="110"/>
  <c r="J430" i="110"/>
  <c r="M430" i="110"/>
  <c r="I430" i="110"/>
  <c r="N410" i="110"/>
  <c r="AM417" i="110"/>
  <c r="W417" i="110"/>
  <c r="S405" i="110"/>
  <c r="R405" i="110"/>
  <c r="U405" i="110"/>
  <c r="W59" i="110"/>
  <c r="BE26" i="69" a="1"/>
  <c r="BE26" i="69" s="1"/>
  <c r="BE28" i="69" a="1"/>
  <c r="BE28" i="69" s="1"/>
  <c r="BC78" i="69"/>
  <c r="BC36" i="69"/>
  <c r="AA172" i="110"/>
  <c r="N59" i="110"/>
  <c r="AU22" i="12"/>
  <c r="AV22" i="12"/>
  <c r="U410" i="110"/>
  <c r="BC18" i="69"/>
  <c r="AY18" i="69"/>
  <c r="AZ18" i="69"/>
  <c r="AV16" i="69"/>
  <c r="AN16" i="71"/>
  <c r="S428" i="110"/>
  <c r="C339" i="110"/>
  <c r="B339" i="110" s="1"/>
  <c r="BC16" i="69"/>
  <c r="BE16" i="69" s="1" a="1"/>
  <c r="BE16" i="69" s="1"/>
  <c r="O428" i="110"/>
  <c r="R428" i="110"/>
  <c r="U428" i="110"/>
  <c r="M428" i="110"/>
  <c r="I428" i="110"/>
  <c r="K428" i="110"/>
  <c r="AM410" i="110"/>
  <c r="O410" i="110"/>
  <c r="I410" i="110"/>
  <c r="K410" i="110"/>
  <c r="BC70" i="69"/>
  <c r="T415" i="110"/>
  <c r="AM428" i="110"/>
  <c r="N428" i="110"/>
  <c r="J428" i="110"/>
  <c r="AN428" i="110"/>
  <c r="S410" i="110"/>
  <c r="J410" i="110"/>
  <c r="BE24" i="69" a="1"/>
  <c r="BE24" i="69" s="1"/>
  <c r="J396" i="110"/>
  <c r="K398" i="110"/>
  <c r="N402" i="110"/>
  <c r="K413" i="110"/>
  <c r="AM414" i="110"/>
  <c r="W400" i="110"/>
  <c r="AL401" i="110"/>
  <c r="R414" i="110"/>
  <c r="I413" i="110"/>
  <c r="N427" i="110"/>
  <c r="O400" i="110"/>
  <c r="N401" i="110"/>
  <c r="AK313" i="110"/>
  <c r="BF24" i="13"/>
  <c r="AN24" i="13" s="1"/>
  <c r="M396" i="110"/>
  <c r="R415" i="110"/>
  <c r="O414" i="110"/>
  <c r="U415" i="110"/>
  <c r="K415" i="110"/>
  <c r="T410" i="110"/>
  <c r="AN396" i="110"/>
  <c r="N396" i="110"/>
  <c r="J401" i="110"/>
  <c r="O415" i="110"/>
  <c r="N415" i="110"/>
  <c r="K414" i="110"/>
  <c r="R396" i="110"/>
  <c r="BC40" i="69"/>
  <c r="N398" i="110"/>
  <c r="M402" i="110"/>
  <c r="J413" i="110"/>
  <c r="O396" i="110"/>
  <c r="AM396" i="110"/>
  <c r="AM400" i="110"/>
  <c r="M398" i="110"/>
  <c r="K402" i="110"/>
  <c r="M415" i="110"/>
  <c r="I415" i="110"/>
  <c r="M413" i="110"/>
  <c r="AZ30" i="69"/>
  <c r="AV30" i="69"/>
  <c r="AK393" i="110" s="1"/>
  <c r="AY30" i="69"/>
  <c r="BC30" i="69"/>
  <c r="BE30" i="69" s="1" a="1"/>
  <c r="BE30" i="69" s="1"/>
  <c r="AN30" i="69" s="1"/>
  <c r="S400" i="110"/>
  <c r="J400" i="110"/>
  <c r="AL398" i="110"/>
  <c r="AL402" i="110"/>
  <c r="O413" i="110"/>
  <c r="AL413" i="110"/>
  <c r="AN413" i="110"/>
  <c r="T405" i="110"/>
  <c r="BC102" i="69"/>
  <c r="K396" i="110"/>
  <c r="U396" i="110"/>
  <c r="AL396" i="110"/>
  <c r="I400" i="110"/>
  <c r="M400" i="110"/>
  <c r="K400" i="110"/>
  <c r="T398" i="110"/>
  <c r="AM398" i="110"/>
  <c r="W398" i="110"/>
  <c r="O398" i="110"/>
  <c r="AM402" i="110"/>
  <c r="W402" i="110"/>
  <c r="J402" i="110"/>
  <c r="R418" i="110"/>
  <c r="J415" i="110"/>
  <c r="AL415" i="110"/>
  <c r="AN415" i="110"/>
  <c r="AM413" i="110"/>
  <c r="W413" i="110"/>
  <c r="T413" i="110"/>
  <c r="M427" i="110"/>
  <c r="BC46" i="69"/>
  <c r="R400" i="110"/>
  <c r="I398" i="110"/>
  <c r="U398" i="110"/>
  <c r="I402" i="110"/>
  <c r="O402" i="110"/>
  <c r="U427" i="110"/>
  <c r="I396" i="110"/>
  <c r="T396" i="110"/>
  <c r="W396" i="110"/>
  <c r="N400" i="110"/>
  <c r="AL400" i="110"/>
  <c r="AN398" i="110"/>
  <c r="S398" i="110"/>
  <c r="R398" i="110"/>
  <c r="S402" i="110"/>
  <c r="AM415" i="110"/>
  <c r="W415" i="110"/>
  <c r="S413" i="110"/>
  <c r="R413" i="110"/>
  <c r="AL427" i="110"/>
  <c r="AK386" i="110"/>
  <c r="AZ16" i="69"/>
  <c r="AY16" i="69"/>
  <c r="U402" i="110"/>
  <c r="T402" i="110"/>
  <c r="C402" i="110" s="1"/>
  <c r="B402" i="110" s="1"/>
  <c r="R401" i="110"/>
  <c r="I401" i="110"/>
  <c r="N414" i="110"/>
  <c r="O401" i="110"/>
  <c r="M401" i="110"/>
  <c r="I414" i="110"/>
  <c r="U414" i="110"/>
  <c r="AN402" i="110"/>
  <c r="K401" i="110"/>
  <c r="AN401" i="110"/>
  <c r="AM401" i="110"/>
  <c r="S414" i="110"/>
  <c r="J414" i="110"/>
  <c r="AL414" i="110"/>
  <c r="W401" i="110"/>
  <c r="U401" i="110"/>
  <c r="T401" i="110"/>
  <c r="M414" i="110"/>
  <c r="AN414" i="110"/>
  <c r="T414" i="110"/>
  <c r="U413" i="110"/>
  <c r="BC72" i="69"/>
  <c r="S418" i="110"/>
  <c r="U418" i="110"/>
  <c r="BC48" i="69"/>
  <c r="N418" i="110"/>
  <c r="AN400" i="110"/>
  <c r="AM427" i="110"/>
  <c r="W427" i="110"/>
  <c r="I427" i="110"/>
  <c r="T427" i="110"/>
  <c r="J427" i="110"/>
  <c r="R427" i="110"/>
  <c r="BC44" i="69"/>
  <c r="BC90" i="69"/>
  <c r="AN427" i="110"/>
  <c r="O427" i="110"/>
  <c r="S427" i="110"/>
  <c r="T418" i="110"/>
  <c r="M418" i="110"/>
  <c r="I418" i="110"/>
  <c r="K418" i="110"/>
  <c r="AN418" i="110"/>
  <c r="T400" i="110"/>
  <c r="O418" i="110"/>
  <c r="AL418" i="110"/>
  <c r="AM418" i="110"/>
  <c r="J418" i="110"/>
  <c r="AK392" i="110"/>
  <c r="W57" i="110"/>
  <c r="AV28" i="13"/>
  <c r="AK315" i="110" s="1"/>
  <c r="C355" i="110"/>
  <c r="B355" i="110" s="1"/>
  <c r="AV22" i="13"/>
  <c r="BF22" i="13" s="1"/>
  <c r="AN22" i="13" s="1"/>
  <c r="BH22" i="13" s="1"/>
  <c r="BC22" i="13"/>
  <c r="AV24" i="12"/>
  <c r="AU24" i="12"/>
  <c r="AV16" i="12"/>
  <c r="AV18" i="12"/>
  <c r="R57" i="110"/>
  <c r="AV20" i="62"/>
  <c r="O57" i="110" s="1"/>
  <c r="N57" i="110"/>
  <c r="AV22" i="62"/>
  <c r="O58" i="110" s="1"/>
  <c r="N58" i="110"/>
  <c r="Y365" i="110"/>
  <c r="Y26" i="70"/>
  <c r="C394" i="110"/>
  <c r="B394" i="110" s="1"/>
  <c r="C440" i="110"/>
  <c r="B440" i="110" s="1"/>
  <c r="C441" i="110"/>
  <c r="B441" i="110" s="1"/>
  <c r="C439" i="110"/>
  <c r="B439" i="110" s="1"/>
  <c r="AU18" i="12"/>
  <c r="K5" i="110" s="1"/>
  <c r="AN18" i="12"/>
  <c r="C320" i="110"/>
  <c r="B320" i="110" s="1"/>
  <c r="C317" i="110"/>
  <c r="B317" i="110" s="1"/>
  <c r="R218" i="110"/>
  <c r="P218" i="110"/>
  <c r="W218" i="110"/>
  <c r="R216" i="110"/>
  <c r="W216" i="110"/>
  <c r="P216" i="110"/>
  <c r="B266" i="110"/>
  <c r="AU16" i="12"/>
  <c r="AN16" i="12" s="1"/>
  <c r="C443" i="110"/>
  <c r="B443" i="110" s="1"/>
  <c r="AN16" i="13"/>
  <c r="BC16" i="13"/>
  <c r="C337" i="110"/>
  <c r="B337" i="110" s="1"/>
  <c r="C352" i="110"/>
  <c r="B352" i="110" s="1"/>
  <c r="C326" i="110"/>
  <c r="B326" i="110" s="1"/>
  <c r="C330" i="110"/>
  <c r="B330" i="110" s="1"/>
  <c r="C324" i="110"/>
  <c r="B324" i="110" s="1"/>
  <c r="C345" i="110"/>
  <c r="B345" i="110" s="1"/>
  <c r="C432" i="110"/>
  <c r="B432" i="110" s="1"/>
  <c r="C351" i="110"/>
  <c r="B351" i="110" s="1"/>
  <c r="C348" i="110"/>
  <c r="B348" i="110" s="1"/>
  <c r="C425" i="110"/>
  <c r="B425" i="110" s="1"/>
  <c r="C357" i="110"/>
  <c r="B357" i="110" s="1"/>
  <c r="C328" i="110"/>
  <c r="B328" i="110" s="1"/>
  <c r="I423" i="110"/>
  <c r="N423" i="110"/>
  <c r="T423" i="110"/>
  <c r="AN423" i="110"/>
  <c r="K423" i="110"/>
  <c r="R423" i="110"/>
  <c r="W423" i="110"/>
  <c r="AL423" i="110"/>
  <c r="S423" i="110"/>
  <c r="J423" i="110"/>
  <c r="U423" i="110"/>
  <c r="AM423" i="110"/>
  <c r="M423" i="110"/>
  <c r="O423" i="110"/>
  <c r="K408" i="110"/>
  <c r="R408" i="110"/>
  <c r="W408" i="110"/>
  <c r="AL408" i="110"/>
  <c r="I408" i="110"/>
  <c r="N408" i="110"/>
  <c r="T408" i="110"/>
  <c r="AN408" i="110"/>
  <c r="J408" i="110"/>
  <c r="O408" i="110"/>
  <c r="U408" i="110"/>
  <c r="M408" i="110"/>
  <c r="S408" i="110"/>
  <c r="AM408" i="110"/>
  <c r="C327" i="110"/>
  <c r="B327" i="110" s="1"/>
  <c r="C346" i="110"/>
  <c r="B346" i="110" s="1"/>
  <c r="C343" i="110"/>
  <c r="B343" i="110" s="1"/>
  <c r="C325" i="110"/>
  <c r="B325" i="110" s="1"/>
  <c r="C356" i="110"/>
  <c r="B356" i="110" s="1"/>
  <c r="C349" i="110"/>
  <c r="B349" i="110" s="1"/>
  <c r="C404" i="110"/>
  <c r="B404" i="110" s="1"/>
  <c r="C332" i="110"/>
  <c r="B332" i="110" s="1"/>
  <c r="C353" i="110"/>
  <c r="B353" i="110" s="1"/>
  <c r="C335" i="110"/>
  <c r="B335" i="110" s="1"/>
  <c r="C347" i="110"/>
  <c r="B347" i="110" s="1"/>
  <c r="K406" i="110"/>
  <c r="R406" i="110"/>
  <c r="W406" i="110"/>
  <c r="AL406" i="110"/>
  <c r="I406" i="110"/>
  <c r="N406" i="110"/>
  <c r="T406" i="110"/>
  <c r="AN406" i="110"/>
  <c r="J406" i="110"/>
  <c r="O406" i="110"/>
  <c r="U406" i="110"/>
  <c r="M406" i="110"/>
  <c r="S406" i="110"/>
  <c r="AM406" i="110"/>
  <c r="I419" i="110"/>
  <c r="N419" i="110"/>
  <c r="T419" i="110"/>
  <c r="AN419" i="110"/>
  <c r="K419" i="110"/>
  <c r="R419" i="110"/>
  <c r="W419" i="110"/>
  <c r="AL419" i="110"/>
  <c r="M419" i="110"/>
  <c r="S419" i="110"/>
  <c r="AM419" i="110"/>
  <c r="J419" i="110"/>
  <c r="O419" i="110"/>
  <c r="U419" i="110"/>
  <c r="I403" i="110"/>
  <c r="N403" i="110"/>
  <c r="T403" i="110"/>
  <c r="AN403" i="110"/>
  <c r="K403" i="110"/>
  <c r="R403" i="110"/>
  <c r="W403" i="110"/>
  <c r="AL403" i="110"/>
  <c r="M403" i="110"/>
  <c r="S403" i="110"/>
  <c r="AM403" i="110"/>
  <c r="J403" i="110"/>
  <c r="O403" i="110"/>
  <c r="U403" i="110"/>
  <c r="K422" i="110"/>
  <c r="R422" i="110"/>
  <c r="W422" i="110"/>
  <c r="AL422" i="110"/>
  <c r="I422" i="110"/>
  <c r="N422" i="110"/>
  <c r="T422" i="110"/>
  <c r="AN422" i="110"/>
  <c r="M422" i="110"/>
  <c r="O422" i="110"/>
  <c r="S422" i="110"/>
  <c r="J422" i="110"/>
  <c r="U422" i="110"/>
  <c r="AM422" i="110"/>
  <c r="C341" i="110"/>
  <c r="B341" i="110" s="1"/>
  <c r="C354" i="110"/>
  <c r="B354" i="110" s="1"/>
  <c r="C333" i="110"/>
  <c r="B333" i="110" s="1"/>
  <c r="C318" i="110"/>
  <c r="B318" i="110" s="1"/>
  <c r="C334" i="110"/>
  <c r="B334" i="110" s="1"/>
  <c r="C421" i="110"/>
  <c r="B421" i="110" s="1"/>
  <c r="C344" i="110"/>
  <c r="B344" i="110" s="1"/>
  <c r="C329" i="110"/>
  <c r="B329" i="110" s="1"/>
  <c r="C336" i="110"/>
  <c r="B336" i="110" s="1"/>
  <c r="AM345" i="110"/>
  <c r="C340" i="110"/>
  <c r="B340" i="110" s="1"/>
  <c r="I429" i="110"/>
  <c r="N429" i="110"/>
  <c r="T429" i="110"/>
  <c r="AN429" i="110"/>
  <c r="K429" i="110"/>
  <c r="R429" i="110"/>
  <c r="W429" i="110"/>
  <c r="AL429" i="110"/>
  <c r="S429" i="110"/>
  <c r="J429" i="110"/>
  <c r="U429" i="110"/>
  <c r="AM429" i="110"/>
  <c r="M429" i="110"/>
  <c r="O429" i="110"/>
  <c r="I411" i="110"/>
  <c r="N411" i="110"/>
  <c r="T411" i="110"/>
  <c r="AN411" i="110"/>
  <c r="K411" i="110"/>
  <c r="R411" i="110"/>
  <c r="W411" i="110"/>
  <c r="AL411" i="110"/>
  <c r="M411" i="110"/>
  <c r="S411" i="110"/>
  <c r="AM411" i="110"/>
  <c r="J411" i="110"/>
  <c r="O411" i="110"/>
  <c r="U411" i="110"/>
  <c r="I407" i="110"/>
  <c r="N407" i="110"/>
  <c r="T407" i="110"/>
  <c r="AN407" i="110"/>
  <c r="K407" i="110"/>
  <c r="R407" i="110"/>
  <c r="W407" i="110"/>
  <c r="AL407" i="110"/>
  <c r="M407" i="110"/>
  <c r="S407" i="110"/>
  <c r="AM407" i="110"/>
  <c r="J407" i="110"/>
  <c r="O407" i="110"/>
  <c r="U407" i="110"/>
  <c r="I409" i="110"/>
  <c r="N409" i="110"/>
  <c r="T409" i="110"/>
  <c r="AN409" i="110"/>
  <c r="K409" i="110"/>
  <c r="R409" i="110"/>
  <c r="W409" i="110"/>
  <c r="AL409" i="110"/>
  <c r="M409" i="110"/>
  <c r="S409" i="110"/>
  <c r="AM409" i="110"/>
  <c r="O409" i="110"/>
  <c r="U409" i="110"/>
  <c r="J409" i="110"/>
  <c r="M363" i="110"/>
  <c r="S363" i="110"/>
  <c r="I363" i="110"/>
  <c r="O363" i="110"/>
  <c r="W363" i="110"/>
  <c r="AL363" i="110"/>
  <c r="J363" i="110"/>
  <c r="R363" i="110"/>
  <c r="AM363" i="110"/>
  <c r="K363" i="110"/>
  <c r="T363" i="110"/>
  <c r="AN363" i="110"/>
  <c r="N363" i="110"/>
  <c r="U363" i="110"/>
  <c r="C350" i="110"/>
  <c r="B350" i="110" s="1"/>
  <c r="AM357" i="110"/>
  <c r="C338" i="110"/>
  <c r="B338" i="110" s="1"/>
  <c r="C322" i="110"/>
  <c r="B322" i="110" s="1"/>
  <c r="K426" i="110"/>
  <c r="R426" i="110"/>
  <c r="W426" i="110"/>
  <c r="AL426" i="110"/>
  <c r="I426" i="110"/>
  <c r="N426" i="110"/>
  <c r="T426" i="110"/>
  <c r="AN426" i="110"/>
  <c r="M426" i="110"/>
  <c r="O426" i="110"/>
  <c r="S426" i="110"/>
  <c r="J426" i="110"/>
  <c r="U426" i="110"/>
  <c r="AM426" i="110"/>
  <c r="K412" i="110"/>
  <c r="R412" i="110"/>
  <c r="W412" i="110"/>
  <c r="AL412" i="110"/>
  <c r="I412" i="110"/>
  <c r="N412" i="110"/>
  <c r="T412" i="110"/>
  <c r="AN412" i="110"/>
  <c r="J412" i="110"/>
  <c r="O412" i="110"/>
  <c r="U412" i="110"/>
  <c r="M412" i="110"/>
  <c r="S412" i="110"/>
  <c r="AM412" i="110"/>
  <c r="K416" i="110"/>
  <c r="R416" i="110"/>
  <c r="W416" i="110"/>
  <c r="AL416" i="110"/>
  <c r="I416" i="110"/>
  <c r="N416" i="110"/>
  <c r="T416" i="110"/>
  <c r="AN416" i="110"/>
  <c r="J416" i="110"/>
  <c r="O416" i="110"/>
  <c r="U416" i="110"/>
  <c r="M416" i="110"/>
  <c r="S416" i="110"/>
  <c r="AM416" i="110"/>
  <c r="C342" i="110"/>
  <c r="B342" i="110" s="1"/>
  <c r="I364" i="110"/>
  <c r="N364" i="110"/>
  <c r="T364" i="110"/>
  <c r="AM364" i="110"/>
  <c r="J364" i="110"/>
  <c r="O364" i="110"/>
  <c r="U364" i="110"/>
  <c r="AN364" i="110"/>
  <c r="K364" i="110"/>
  <c r="R364" i="110"/>
  <c r="W364" i="110"/>
  <c r="M364" i="110"/>
  <c r="S364" i="110"/>
  <c r="AL364" i="110"/>
  <c r="M399" i="110"/>
  <c r="S399" i="110"/>
  <c r="AM399" i="110"/>
  <c r="I399" i="110"/>
  <c r="N399" i="110"/>
  <c r="T399" i="110"/>
  <c r="AN399" i="110"/>
  <c r="J399" i="110"/>
  <c r="O399" i="110"/>
  <c r="U399" i="110"/>
  <c r="R399" i="110"/>
  <c r="AL399" i="110"/>
  <c r="W399" i="110"/>
  <c r="K399" i="110"/>
  <c r="BC52" i="69"/>
  <c r="M397" i="110"/>
  <c r="S397" i="110"/>
  <c r="AM397" i="110"/>
  <c r="I397" i="110"/>
  <c r="N397" i="110"/>
  <c r="T397" i="110"/>
  <c r="AN397" i="110"/>
  <c r="J397" i="110"/>
  <c r="O397" i="110"/>
  <c r="U397" i="110"/>
  <c r="K397" i="110"/>
  <c r="W397" i="110"/>
  <c r="R397" i="110"/>
  <c r="AL397" i="110"/>
  <c r="AK387" i="110"/>
  <c r="K6" i="110"/>
  <c r="R6" i="110"/>
  <c r="N6" i="110"/>
  <c r="W6" i="110"/>
  <c r="O6" i="110"/>
  <c r="AN26" i="69"/>
  <c r="L391" i="110" s="1"/>
  <c r="AN24" i="69"/>
  <c r="K9" i="110"/>
  <c r="BC66" i="69"/>
  <c r="AK311" i="110"/>
  <c r="BC58" i="69"/>
  <c r="BC88" i="69"/>
  <c r="BC80" i="69"/>
  <c r="BC98" i="69"/>
  <c r="BC82" i="69"/>
  <c r="BC38" i="69"/>
  <c r="BC96" i="69"/>
  <c r="AN22" i="69"/>
  <c r="L389" i="110" s="1"/>
  <c r="AK388" i="110"/>
  <c r="BC56" i="69"/>
  <c r="BC76" i="69"/>
  <c r="BC68" i="69"/>
  <c r="C483" i="110"/>
  <c r="B483" i="110" s="1"/>
  <c r="C456" i="110"/>
  <c r="B456" i="110" s="1"/>
  <c r="C442" i="110"/>
  <c r="B442" i="110" s="1"/>
  <c r="J445" i="110"/>
  <c r="AL445" i="110"/>
  <c r="S445" i="110"/>
  <c r="AM445" i="110"/>
  <c r="AN445" i="110"/>
  <c r="K445" i="110"/>
  <c r="V445" i="110"/>
  <c r="M445" i="110"/>
  <c r="W445" i="110"/>
  <c r="P445" i="110"/>
  <c r="I445" i="110"/>
  <c r="R445" i="110"/>
  <c r="C478" i="110"/>
  <c r="B478" i="110" s="1"/>
  <c r="Y361" i="110"/>
  <c r="AH361" i="110"/>
  <c r="AK361" i="110"/>
  <c r="J479" i="110"/>
  <c r="K479" i="110"/>
  <c r="I479" i="110"/>
  <c r="S479" i="110"/>
  <c r="V479" i="110"/>
  <c r="P479" i="110"/>
  <c r="AM479" i="110"/>
  <c r="R479" i="110"/>
  <c r="W479" i="110"/>
  <c r="M479" i="110"/>
  <c r="AL479" i="110"/>
  <c r="AN479" i="110"/>
  <c r="J476" i="110"/>
  <c r="K476" i="110"/>
  <c r="I476" i="110"/>
  <c r="W476" i="110"/>
  <c r="AN476" i="110"/>
  <c r="M476" i="110"/>
  <c r="S476" i="110"/>
  <c r="V476" i="110"/>
  <c r="R476" i="110"/>
  <c r="AL476" i="110"/>
  <c r="AM476" i="110"/>
  <c r="P476" i="110"/>
  <c r="T361" i="110"/>
  <c r="K446" i="110"/>
  <c r="M446" i="110"/>
  <c r="AL446" i="110"/>
  <c r="S446" i="110"/>
  <c r="V446" i="110"/>
  <c r="R446" i="110"/>
  <c r="I446" i="110"/>
  <c r="P446" i="110"/>
  <c r="AM446" i="110"/>
  <c r="W446" i="110"/>
  <c r="AN446" i="110"/>
  <c r="J446" i="110"/>
  <c r="BB32" i="71"/>
  <c r="C454" i="110"/>
  <c r="B454" i="110" s="1"/>
  <c r="C218" i="110" l="1"/>
  <c r="B218" i="110" s="1"/>
  <c r="L218" i="110"/>
  <c r="C224" i="110"/>
  <c r="B224" i="110" s="1"/>
  <c r="L224" i="110"/>
  <c r="C216" i="110"/>
  <c r="B216" i="110" s="1"/>
  <c r="L216" i="110"/>
  <c r="C221" i="110"/>
  <c r="B221" i="110" s="1"/>
  <c r="L221" i="110"/>
  <c r="C217" i="110"/>
  <c r="B217" i="110" s="1"/>
  <c r="L217" i="110"/>
  <c r="C222" i="110"/>
  <c r="B222" i="110" s="1"/>
  <c r="L222" i="110"/>
  <c r="R12" i="71"/>
  <c r="J39" i="3" s="1"/>
  <c r="J47" i="3" s="1"/>
  <c r="D177" i="3" s="1"/>
  <c r="L437" i="110"/>
  <c r="BF16" i="70"/>
  <c r="AV16" i="70"/>
  <c r="AW16" i="70" a="1"/>
  <c r="AW16" i="70" s="1"/>
  <c r="Q11" i="110"/>
  <c r="R11" i="110"/>
  <c r="L11" i="110" s="1"/>
  <c r="BF28" i="12"/>
  <c r="BG28" i="12"/>
  <c r="BE28" i="12"/>
  <c r="N11" i="110"/>
  <c r="W11" i="110"/>
  <c r="BA66" i="66"/>
  <c r="AN66" i="66" s="1"/>
  <c r="R12" i="66" s="1"/>
  <c r="J31" i="3" s="1"/>
  <c r="J45" i="3" s="1"/>
  <c r="D175" i="3" s="1"/>
  <c r="AB240" i="110"/>
  <c r="AO240" i="110" s="1"/>
  <c r="V66" i="66"/>
  <c r="M240" i="110" s="1"/>
  <c r="O11" i="110"/>
  <c r="C62" i="65"/>
  <c r="BA62" i="65" s="1"/>
  <c r="L178" i="110"/>
  <c r="C178" i="110"/>
  <c r="B178" i="110" s="1"/>
  <c r="BE16" i="12"/>
  <c r="AA197" i="110"/>
  <c r="C438" i="110"/>
  <c r="B438" i="110" s="1"/>
  <c r="AN48" i="64"/>
  <c r="BA64" i="65"/>
  <c r="Q10" i="110"/>
  <c r="N10" i="110"/>
  <c r="O10" i="110"/>
  <c r="R10" i="110"/>
  <c r="H10" i="110"/>
  <c r="W10" i="110"/>
  <c r="C428" i="110"/>
  <c r="B428" i="110" s="1"/>
  <c r="C417" i="110"/>
  <c r="B417" i="110" s="1"/>
  <c r="H312" i="110"/>
  <c r="Q312" i="110"/>
  <c r="H309" i="110"/>
  <c r="Q309" i="110"/>
  <c r="H313" i="110"/>
  <c r="Q313" i="110"/>
  <c r="C410" i="110"/>
  <c r="B410" i="110" s="1"/>
  <c r="C431" i="110"/>
  <c r="B431" i="110" s="1"/>
  <c r="Z12" i="71"/>
  <c r="H39" i="3" s="1"/>
  <c r="H47" i="3" s="1"/>
  <c r="L58" i="110"/>
  <c r="Q5" i="110"/>
  <c r="H5" i="110"/>
  <c r="Q4" i="110"/>
  <c r="H4" i="110"/>
  <c r="BH24" i="69"/>
  <c r="L390" i="110"/>
  <c r="BD30" i="69"/>
  <c r="L393" i="110"/>
  <c r="BE20" i="69" a="1"/>
  <c r="BE20" i="69" s="1"/>
  <c r="C6" i="110"/>
  <c r="B6" i="110" s="1"/>
  <c r="L6" i="110"/>
  <c r="C59" i="110"/>
  <c r="B59" i="110" s="1"/>
  <c r="L59" i="110"/>
  <c r="C57" i="110"/>
  <c r="B57" i="110" s="1"/>
  <c r="L57" i="110"/>
  <c r="AH20" i="70"/>
  <c r="V12" i="71"/>
  <c r="I39" i="3" s="1"/>
  <c r="I47" i="3" s="1"/>
  <c r="C430" i="110"/>
  <c r="B430" i="110" s="1"/>
  <c r="BF26" i="13"/>
  <c r="AN26" i="13" s="1"/>
  <c r="Q314" i="110" s="1"/>
  <c r="C414" i="110"/>
  <c r="B414" i="110" s="1"/>
  <c r="C405" i="110"/>
  <c r="B405" i="110" s="1"/>
  <c r="K7" i="110"/>
  <c r="AN22" i="12"/>
  <c r="H7" i="110" s="1"/>
  <c r="C415" i="110"/>
  <c r="B415" i="110" s="1"/>
  <c r="BD26" i="69"/>
  <c r="BD22" i="69"/>
  <c r="BA46" i="64"/>
  <c r="AN46" i="64" s="1"/>
  <c r="AF12" i="64" s="1"/>
  <c r="AB172" i="110"/>
  <c r="AO172" i="110" s="1"/>
  <c r="V46" i="64"/>
  <c r="M172" i="110" s="1"/>
  <c r="AA74" i="110"/>
  <c r="AI54" i="62"/>
  <c r="S437" i="110"/>
  <c r="BC16" i="71"/>
  <c r="K437" i="110"/>
  <c r="M437" i="110"/>
  <c r="P437" i="110"/>
  <c r="X37" i="79" s="1"/>
  <c r="AL437" i="110"/>
  <c r="J437" i="110"/>
  <c r="I437" i="110"/>
  <c r="AM437" i="110"/>
  <c r="R437" i="110"/>
  <c r="V437" i="110"/>
  <c r="AN437" i="110"/>
  <c r="W437" i="110"/>
  <c r="BD24" i="69"/>
  <c r="C396" i="110"/>
  <c r="B396" i="110" s="1"/>
  <c r="AZ24" i="13"/>
  <c r="J313" i="110"/>
  <c r="W313" i="110"/>
  <c r="M313" i="110"/>
  <c r="T313" i="110"/>
  <c r="AM313" i="110" s="1"/>
  <c r="O313" i="110"/>
  <c r="S313" i="110"/>
  <c r="K313" i="110"/>
  <c r="N313" i="110"/>
  <c r="I313" i="110"/>
  <c r="R313" i="110"/>
  <c r="AL313" i="110"/>
  <c r="AN313" i="110"/>
  <c r="U313" i="110"/>
  <c r="C413" i="110"/>
  <c r="B413" i="110" s="1"/>
  <c r="W393" i="110"/>
  <c r="S393" i="110"/>
  <c r="O393" i="110"/>
  <c r="I393" i="110"/>
  <c r="AM393" i="110"/>
  <c r="T393" i="110"/>
  <c r="AN393" i="110"/>
  <c r="K393" i="110"/>
  <c r="U393" i="110"/>
  <c r="R393" i="110"/>
  <c r="AL393" i="110"/>
  <c r="J393" i="110"/>
  <c r="N393" i="110"/>
  <c r="M393" i="110"/>
  <c r="C398" i="110"/>
  <c r="B398" i="110" s="1"/>
  <c r="C418" i="110"/>
  <c r="B418" i="110" s="1"/>
  <c r="C400" i="110"/>
  <c r="B400" i="110" s="1"/>
  <c r="C401" i="110"/>
  <c r="B401" i="110" s="1"/>
  <c r="AN18" i="69"/>
  <c r="C427" i="110"/>
  <c r="B427" i="110" s="1"/>
  <c r="AN28" i="69"/>
  <c r="L392" i="110" s="1"/>
  <c r="AK312" i="110"/>
  <c r="BF28" i="13"/>
  <c r="AN28" i="13" s="1"/>
  <c r="AZ22" i="13"/>
  <c r="K8" i="110"/>
  <c r="AN24" i="12"/>
  <c r="BG24" i="12" s="1"/>
  <c r="O4" i="110"/>
  <c r="N5" i="110"/>
  <c r="R5" i="110"/>
  <c r="AK26" i="70"/>
  <c r="AX26" i="70" s="1"/>
  <c r="W5" i="110"/>
  <c r="AU26" i="70"/>
  <c r="AK365" i="110" s="1"/>
  <c r="AH26" i="70"/>
  <c r="O5" i="110"/>
  <c r="AZ16" i="13"/>
  <c r="R4" i="110"/>
  <c r="W4" i="110"/>
  <c r="N4" i="110"/>
  <c r="K4" i="110"/>
  <c r="S309" i="110"/>
  <c r="AL309" i="110"/>
  <c r="AN309" i="110"/>
  <c r="J309" i="110"/>
  <c r="I309" i="110"/>
  <c r="W309" i="110"/>
  <c r="R309" i="110"/>
  <c r="K309" i="110"/>
  <c r="N309" i="110"/>
  <c r="U309" i="110"/>
  <c r="T309" i="110"/>
  <c r="AM309" i="110" s="1"/>
  <c r="O309" i="110"/>
  <c r="M309" i="110"/>
  <c r="C412" i="110"/>
  <c r="B412" i="110" s="1"/>
  <c r="C407" i="110"/>
  <c r="B407" i="110" s="1"/>
  <c r="C403" i="110"/>
  <c r="B403" i="110" s="1"/>
  <c r="C406" i="110"/>
  <c r="B406" i="110" s="1"/>
  <c r="C408" i="110"/>
  <c r="B408" i="110" s="1"/>
  <c r="C416" i="110"/>
  <c r="B416" i="110" s="1"/>
  <c r="C426" i="110"/>
  <c r="B426" i="110" s="1"/>
  <c r="C364" i="110"/>
  <c r="B364" i="110" s="1"/>
  <c r="C363" i="110"/>
  <c r="B363" i="110" s="1"/>
  <c r="C409" i="110"/>
  <c r="B409" i="110" s="1"/>
  <c r="C411" i="110"/>
  <c r="B411" i="110" s="1"/>
  <c r="C422" i="110"/>
  <c r="B422" i="110" s="1"/>
  <c r="C419" i="110"/>
  <c r="B419" i="110" s="1"/>
  <c r="C423" i="110"/>
  <c r="B423" i="110" s="1"/>
  <c r="C429" i="110"/>
  <c r="B429" i="110" s="1"/>
  <c r="C397" i="110"/>
  <c r="B397" i="110" s="1"/>
  <c r="C399" i="110"/>
  <c r="B399" i="110" s="1"/>
  <c r="S391" i="110"/>
  <c r="K391" i="110"/>
  <c r="R391" i="110"/>
  <c r="AL391" i="110"/>
  <c r="N391" i="110"/>
  <c r="J391" i="110"/>
  <c r="M391" i="110"/>
  <c r="O391" i="110"/>
  <c r="AN391" i="110"/>
  <c r="AM391" i="110"/>
  <c r="I391" i="110"/>
  <c r="U391" i="110"/>
  <c r="T391" i="110"/>
  <c r="W391" i="110"/>
  <c r="J390" i="110"/>
  <c r="T390" i="110"/>
  <c r="AL390" i="110"/>
  <c r="I390" i="110"/>
  <c r="U390" i="110"/>
  <c r="M390" i="110"/>
  <c r="AM390" i="110"/>
  <c r="N390" i="110"/>
  <c r="O390" i="110"/>
  <c r="S390" i="110"/>
  <c r="AN390" i="110"/>
  <c r="R390" i="110"/>
  <c r="K390" i="110"/>
  <c r="W390" i="110"/>
  <c r="O310" i="110"/>
  <c r="M310" i="110"/>
  <c r="R310" i="110"/>
  <c r="AL310" i="110"/>
  <c r="N310" i="110"/>
  <c r="I310" i="110"/>
  <c r="AN310" i="110"/>
  <c r="S310" i="110"/>
  <c r="K310" i="110"/>
  <c r="J310" i="110"/>
  <c r="U310" i="110"/>
  <c r="T310" i="110"/>
  <c r="AM310" i="110" s="1"/>
  <c r="W310" i="110"/>
  <c r="N9" i="110"/>
  <c r="O9" i="110"/>
  <c r="W9" i="110"/>
  <c r="R9" i="110"/>
  <c r="AM389" i="110"/>
  <c r="I389" i="110"/>
  <c r="AL389" i="110"/>
  <c r="M389" i="110"/>
  <c r="K389" i="110"/>
  <c r="W389" i="110"/>
  <c r="S389" i="110"/>
  <c r="J389" i="110"/>
  <c r="N389" i="110"/>
  <c r="O389" i="110"/>
  <c r="R389" i="110"/>
  <c r="U389" i="110"/>
  <c r="AN389" i="110"/>
  <c r="T389" i="110"/>
  <c r="AN20" i="69"/>
  <c r="J361" i="110"/>
  <c r="I361" i="110"/>
  <c r="K361" i="110"/>
  <c r="W361" i="110"/>
  <c r="AM361" i="110"/>
  <c r="AL361" i="110"/>
  <c r="AN361" i="110"/>
  <c r="U361" i="110"/>
  <c r="C446" i="110"/>
  <c r="B446" i="110" s="1"/>
  <c r="C476" i="110"/>
  <c r="B476" i="110" s="1"/>
  <c r="S361" i="110"/>
  <c r="M361" i="110"/>
  <c r="O361" i="110"/>
  <c r="C445" i="110"/>
  <c r="B445" i="110" s="1"/>
  <c r="N361" i="110"/>
  <c r="R361" i="110"/>
  <c r="C361" i="110" s="1"/>
  <c r="C177" i="3"/>
  <c r="C479" i="110"/>
  <c r="B479" i="110" s="1"/>
  <c r="AK16" i="70" l="1"/>
  <c r="BC16" i="70" s="1"/>
  <c r="BD26" i="70"/>
  <c r="C11" i="110"/>
  <c r="B11" i="110" s="1"/>
  <c r="C110" i="12"/>
  <c r="AB51" i="110" s="1"/>
  <c r="BF24" i="12"/>
  <c r="Z12" i="66"/>
  <c r="H31" i="3" s="1"/>
  <c r="AF12" i="66"/>
  <c r="AB197" i="110"/>
  <c r="AO197" i="110" s="1"/>
  <c r="R240" i="110"/>
  <c r="C240" i="110" s="1"/>
  <c r="W240" i="110"/>
  <c r="C175" i="3"/>
  <c r="V62" i="65"/>
  <c r="J197" i="110" s="1"/>
  <c r="BE24" i="12"/>
  <c r="P29" i="3"/>
  <c r="C10" i="110"/>
  <c r="B10" i="110" s="1"/>
  <c r="L10" i="110"/>
  <c r="H315" i="110"/>
  <c r="Q315" i="110"/>
  <c r="L47" i="3"/>
  <c r="AN62" i="65"/>
  <c r="Q8" i="110"/>
  <c r="H8" i="110"/>
  <c r="BH26" i="13"/>
  <c r="S114" i="13" s="1"/>
  <c r="H314" i="110"/>
  <c r="BD20" i="69"/>
  <c r="L388" i="110"/>
  <c r="BD18" i="69"/>
  <c r="L387" i="110"/>
  <c r="C9" i="110"/>
  <c r="B9" i="110" s="1"/>
  <c r="L9" i="110"/>
  <c r="C4" i="110"/>
  <c r="B4" i="110" s="1"/>
  <c r="L4" i="110"/>
  <c r="C5" i="110"/>
  <c r="B5" i="110" s="1"/>
  <c r="L5" i="110"/>
  <c r="AK20" i="70"/>
  <c r="BD20" i="70" s="1"/>
  <c r="K47" i="3"/>
  <c r="J314" i="110"/>
  <c r="O7" i="110"/>
  <c r="Q7" i="110"/>
  <c r="U314" i="110"/>
  <c r="T314" i="110"/>
  <c r="AM314" i="110" s="1"/>
  <c r="AZ26" i="13"/>
  <c r="N314" i="110"/>
  <c r="R314" i="110"/>
  <c r="S314" i="110"/>
  <c r="W314" i="110"/>
  <c r="K314" i="110"/>
  <c r="I314" i="110"/>
  <c r="AN314" i="110"/>
  <c r="O314" i="110"/>
  <c r="AL314" i="110"/>
  <c r="M314" i="110"/>
  <c r="W7" i="110"/>
  <c r="N7" i="110"/>
  <c r="R7" i="110"/>
  <c r="AY110" i="69"/>
  <c r="C112" i="69" s="1"/>
  <c r="BD28" i="69"/>
  <c r="R172" i="110"/>
  <c r="W172" i="110"/>
  <c r="X36" i="78"/>
  <c r="BA54" i="62"/>
  <c r="AN54" i="62" s="1"/>
  <c r="AF12" i="62" s="1"/>
  <c r="M54" i="62"/>
  <c r="AB74" i="110"/>
  <c r="AO74" i="110" s="1"/>
  <c r="Q54" i="62"/>
  <c r="M74" i="110" s="1"/>
  <c r="C437" i="110"/>
  <c r="B437" i="110" s="1"/>
  <c r="C313" i="110"/>
  <c r="B313" i="110" s="1"/>
  <c r="C393" i="110"/>
  <c r="B393" i="110" s="1"/>
  <c r="M387" i="110"/>
  <c r="W387" i="110"/>
  <c r="AM387" i="110"/>
  <c r="U387" i="110"/>
  <c r="T387" i="110"/>
  <c r="AN387" i="110"/>
  <c r="AL387" i="110"/>
  <c r="J387" i="110"/>
  <c r="N387" i="110"/>
  <c r="I387" i="110"/>
  <c r="O387" i="110"/>
  <c r="R387" i="110"/>
  <c r="S387" i="110"/>
  <c r="K387" i="110"/>
  <c r="C114" i="69"/>
  <c r="AB114" i="69" s="1"/>
  <c r="AF114" i="69" s="1"/>
  <c r="O392" i="110"/>
  <c r="M392" i="110"/>
  <c r="R392" i="110"/>
  <c r="AN392" i="110"/>
  <c r="AM392" i="110"/>
  <c r="K392" i="110"/>
  <c r="U392" i="110"/>
  <c r="W392" i="110"/>
  <c r="I392" i="110"/>
  <c r="S392" i="110"/>
  <c r="AL392" i="110"/>
  <c r="J392" i="110"/>
  <c r="T392" i="110"/>
  <c r="N392" i="110"/>
  <c r="AZ28" i="13"/>
  <c r="U315" i="110"/>
  <c r="M315" i="110"/>
  <c r="S315" i="110"/>
  <c r="AL315" i="110"/>
  <c r="W315" i="110"/>
  <c r="T315" i="110"/>
  <c r="AM315" i="110" s="1"/>
  <c r="J315" i="110"/>
  <c r="K315" i="110"/>
  <c r="AN315" i="110"/>
  <c r="I315" i="110"/>
  <c r="O315" i="110"/>
  <c r="R315" i="110"/>
  <c r="N315" i="110"/>
  <c r="N8" i="110"/>
  <c r="W8" i="110"/>
  <c r="R8" i="110"/>
  <c r="O8" i="110"/>
  <c r="BG26" i="70"/>
  <c r="C309" i="110"/>
  <c r="B309" i="110" s="1"/>
  <c r="C310" i="110"/>
  <c r="B310" i="110" s="1"/>
  <c r="C391" i="110"/>
  <c r="B391" i="110" s="1"/>
  <c r="C390" i="110"/>
  <c r="B390" i="110" s="1"/>
  <c r="K311" i="110"/>
  <c r="O311" i="110"/>
  <c r="R311" i="110"/>
  <c r="J311" i="110"/>
  <c r="N311" i="110"/>
  <c r="U311" i="110"/>
  <c r="M311" i="110"/>
  <c r="AL311" i="110"/>
  <c r="T311" i="110"/>
  <c r="AM311" i="110" s="1"/>
  <c r="AN311" i="110"/>
  <c r="I311" i="110"/>
  <c r="W311" i="110"/>
  <c r="S311" i="110"/>
  <c r="V12" i="13"/>
  <c r="I36" i="3" s="1"/>
  <c r="Z12" i="13"/>
  <c r="F36" i="3" s="1"/>
  <c r="R12" i="13"/>
  <c r="J36" i="3" s="1"/>
  <c r="C389" i="110"/>
  <c r="B389" i="110" s="1"/>
  <c r="I388" i="110"/>
  <c r="K388" i="110"/>
  <c r="O388" i="110"/>
  <c r="R388" i="110"/>
  <c r="AM388" i="110"/>
  <c r="T388" i="110"/>
  <c r="J388" i="110"/>
  <c r="N388" i="110"/>
  <c r="M388" i="110"/>
  <c r="AL388" i="110"/>
  <c r="U388" i="110"/>
  <c r="AN388" i="110"/>
  <c r="S388" i="110"/>
  <c r="W388" i="110"/>
  <c r="J312" i="110"/>
  <c r="M312" i="110"/>
  <c r="K312" i="110"/>
  <c r="R312" i="110"/>
  <c r="N312" i="110"/>
  <c r="S312" i="110"/>
  <c r="O312" i="110"/>
  <c r="AL312" i="110"/>
  <c r="AN312" i="110"/>
  <c r="I312" i="110"/>
  <c r="T312" i="110"/>
  <c r="AM312" i="110" s="1"/>
  <c r="U312" i="110"/>
  <c r="W312" i="110"/>
  <c r="B361" i="110"/>
  <c r="AX20" i="70" l="1"/>
  <c r="I110" i="12"/>
  <c r="B240" i="110"/>
  <c r="X36" i="79"/>
  <c r="X38" i="79" s="1"/>
  <c r="X35" i="78"/>
  <c r="X37" i="78" s="1"/>
  <c r="M197" i="110"/>
  <c r="I197" i="110"/>
  <c r="BE22" i="12"/>
  <c r="C112" i="12"/>
  <c r="AJ12" i="65"/>
  <c r="P30" i="3" s="1"/>
  <c r="W74" i="110"/>
  <c r="W197" i="110"/>
  <c r="R197" i="110"/>
  <c r="C197" i="110" s="1"/>
  <c r="C8" i="110"/>
  <c r="B8" i="110" s="1"/>
  <c r="L8" i="110"/>
  <c r="C7" i="110"/>
  <c r="B7" i="110" s="1"/>
  <c r="L7" i="110"/>
  <c r="C314" i="110"/>
  <c r="B314" i="110" s="1"/>
  <c r="C172" i="110"/>
  <c r="B172" i="110" s="1"/>
  <c r="P27" i="3"/>
  <c r="R74" i="110"/>
  <c r="C74" i="110" s="1"/>
  <c r="B74" i="110" s="1"/>
  <c r="AK54" i="62"/>
  <c r="AU54" i="62"/>
  <c r="K74" i="110" s="1"/>
  <c r="AV54" i="62"/>
  <c r="O74" i="110" s="1"/>
  <c r="Z114" i="13"/>
  <c r="AZ114" i="13"/>
  <c r="BB114" i="13"/>
  <c r="F114" i="13"/>
  <c r="M114" i="13" s="1"/>
  <c r="C387" i="110"/>
  <c r="B387" i="110" s="1"/>
  <c r="F114" i="69"/>
  <c r="C392" i="110"/>
  <c r="B392" i="110" s="1"/>
  <c r="BD114" i="69"/>
  <c r="T114" i="69"/>
  <c r="L114" i="69" s="1"/>
  <c r="C315" i="110"/>
  <c r="B315" i="110" s="1"/>
  <c r="AN26" i="70"/>
  <c r="C311" i="110"/>
  <c r="B311" i="110" s="1"/>
  <c r="C388" i="110"/>
  <c r="B388" i="110" s="1"/>
  <c r="C312" i="110"/>
  <c r="B312" i="110" s="1"/>
  <c r="Q365" i="110" l="1"/>
  <c r="H365" i="110"/>
  <c r="AB52" i="110"/>
  <c r="AO52" i="110" s="1"/>
  <c r="K112" i="12"/>
  <c r="K110" i="12"/>
  <c r="C114" i="12"/>
  <c r="K114" i="12"/>
  <c r="S114" i="12" s="1"/>
  <c r="J53" i="110" s="1"/>
  <c r="L197" i="110"/>
  <c r="B197" i="110"/>
  <c r="I112" i="12"/>
  <c r="H30" i="3"/>
  <c r="H45" i="3" s="1"/>
  <c r="L365" i="110"/>
  <c r="AU20" i="70"/>
  <c r="BG20" i="70" s="1"/>
  <c r="AN20" i="70" s="1"/>
  <c r="H362" i="110" s="1"/>
  <c r="Z12" i="62"/>
  <c r="N74" i="110"/>
  <c r="AU114" i="13"/>
  <c r="AA358" i="110"/>
  <c r="O114" i="13"/>
  <c r="AB358" i="110"/>
  <c r="AB435" i="110"/>
  <c r="X114" i="69"/>
  <c r="S435" i="110" s="1"/>
  <c r="P114" i="69"/>
  <c r="AD435" i="110"/>
  <c r="J435" i="110"/>
  <c r="K12" i="69"/>
  <c r="AL435" i="110"/>
  <c r="I435" i="110"/>
  <c r="R435" i="110"/>
  <c r="AM435" i="110"/>
  <c r="AC435" i="110"/>
  <c r="T365" i="110"/>
  <c r="W365" i="110"/>
  <c r="K365" i="110"/>
  <c r="O365" i="110"/>
  <c r="AL365" i="110"/>
  <c r="I365" i="110"/>
  <c r="S365" i="110"/>
  <c r="M365" i="110"/>
  <c r="U365" i="110"/>
  <c r="R365" i="110"/>
  <c r="N365" i="110"/>
  <c r="J365" i="110"/>
  <c r="AN365" i="110"/>
  <c r="AM365" i="110"/>
  <c r="AY110" i="12" l="1"/>
  <c r="AN110" i="12" s="1"/>
  <c r="AA51" i="110"/>
  <c r="AY112" i="12"/>
  <c r="AA52" i="110"/>
  <c r="X52" i="110"/>
  <c r="Q112" i="12"/>
  <c r="Y52" i="110" s="1"/>
  <c r="AI112" i="12"/>
  <c r="S112" i="12"/>
  <c r="M52" i="110" s="1"/>
  <c r="AE112" i="12"/>
  <c r="I114" i="12"/>
  <c r="X53" i="110" s="1"/>
  <c r="AY114" i="12"/>
  <c r="AE110" i="12"/>
  <c r="AI110" i="12"/>
  <c r="Q110" i="12"/>
  <c r="Y51" i="110" s="1"/>
  <c r="S110" i="12"/>
  <c r="J51" i="110" s="1"/>
  <c r="AO51" i="110"/>
  <c r="X51" i="110"/>
  <c r="M53" i="110"/>
  <c r="AE114" i="12"/>
  <c r="I53" i="110" s="1"/>
  <c r="Q114" i="12"/>
  <c r="AB53" i="110"/>
  <c r="AO53" i="110" s="1"/>
  <c r="AA53" i="110"/>
  <c r="AI114" i="12"/>
  <c r="Q362" i="110"/>
  <c r="H48" i="3"/>
  <c r="U362" i="110"/>
  <c r="L362" i="110"/>
  <c r="AN362" i="110"/>
  <c r="N362" i="110"/>
  <c r="S362" i="110"/>
  <c r="AK362" i="110"/>
  <c r="M362" i="110"/>
  <c r="R362" i="110"/>
  <c r="O362" i="110"/>
  <c r="I362" i="110"/>
  <c r="AM362" i="110"/>
  <c r="J362" i="110"/>
  <c r="AL362" i="110"/>
  <c r="W362" i="110"/>
  <c r="K362" i="110"/>
  <c r="T362" i="110"/>
  <c r="M435" i="110"/>
  <c r="BE114" i="69"/>
  <c r="W435" i="110" s="1"/>
  <c r="AX114" i="69"/>
  <c r="U435" i="110" s="1"/>
  <c r="AK114" i="69"/>
  <c r="T435" i="110" s="1"/>
  <c r="C435" i="110" s="1"/>
  <c r="B435" i="110" s="1"/>
  <c r="AV114" i="69"/>
  <c r="AK435" i="110" s="1"/>
  <c r="AY114" i="69"/>
  <c r="AH114" i="69"/>
  <c r="AN435" i="110" s="1"/>
  <c r="AK114" i="13"/>
  <c r="BF114" i="13"/>
  <c r="BE114" i="13"/>
  <c r="BD114" i="13"/>
  <c r="BA114" i="13"/>
  <c r="AY114" i="13"/>
  <c r="AH358" i="110" s="1"/>
  <c r="AX114" i="13"/>
  <c r="AG358" i="110" s="1"/>
  <c r="AW114" i="13"/>
  <c r="AV114" i="13"/>
  <c r="AK358" i="110" s="1"/>
  <c r="AH114" i="13"/>
  <c r="AN114" i="13"/>
  <c r="AF12" i="13" s="1"/>
  <c r="O435" i="110"/>
  <c r="N435" i="110"/>
  <c r="X358" i="110"/>
  <c r="C365" i="110"/>
  <c r="B365" i="110" s="1"/>
  <c r="AW112" i="12" l="1"/>
  <c r="AG52" i="110" s="1"/>
  <c r="I52" i="110"/>
  <c r="AX112" i="12"/>
  <c r="AH52" i="110" s="1"/>
  <c r="J52" i="110"/>
  <c r="AK112" i="12"/>
  <c r="AV112" i="12" s="1"/>
  <c r="AU112" i="12"/>
  <c r="K52" i="110" s="1"/>
  <c r="BC112" i="12"/>
  <c r="AK110" i="12"/>
  <c r="AV110" i="12" s="1"/>
  <c r="M51" i="110"/>
  <c r="I51" i="110"/>
  <c r="BC110" i="12"/>
  <c r="AN114" i="12"/>
  <c r="AX110" i="12"/>
  <c r="AH51" i="110" s="1"/>
  <c r="AW110" i="12"/>
  <c r="AG51" i="110" s="1"/>
  <c r="AU110" i="12"/>
  <c r="K51" i="110" s="1"/>
  <c r="AX114" i="12"/>
  <c r="AH53" i="110" s="1"/>
  <c r="AK114" i="12"/>
  <c r="AV114" i="12" s="1"/>
  <c r="AW114" i="12"/>
  <c r="AG53" i="110" s="1"/>
  <c r="BC114" i="12"/>
  <c r="Y53" i="110"/>
  <c r="AU114" i="12"/>
  <c r="K53" i="110" s="1"/>
  <c r="K45" i="3"/>
  <c r="L45" i="3"/>
  <c r="J56" i="14"/>
  <c r="F2" i="3"/>
  <c r="BA52" i="14"/>
  <c r="BA53" i="14" s="1"/>
  <c r="P36" i="3"/>
  <c r="H358" i="110"/>
  <c r="C362" i="110"/>
  <c r="B362" i="110" s="1"/>
  <c r="K435" i="110"/>
  <c r="BC114" i="13"/>
  <c r="AN358" i="110"/>
  <c r="W358" i="110"/>
  <c r="R358" i="110"/>
  <c r="AL358" i="110"/>
  <c r="M358" i="110"/>
  <c r="I358" i="110"/>
  <c r="S358" i="110"/>
  <c r="J358" i="110"/>
  <c r="AV200" i="13"/>
  <c r="G36" i="3" s="1"/>
  <c r="N358" i="110"/>
  <c r="T358" i="110"/>
  <c r="O358" i="110"/>
  <c r="U358" i="110"/>
  <c r="K358" i="110"/>
  <c r="AN112" i="12" l="1"/>
  <c r="N52" i="110" s="1"/>
  <c r="R51" i="110"/>
  <c r="C51" i="110" s="1"/>
  <c r="O51" i="110"/>
  <c r="W51" i="110"/>
  <c r="N51" i="110"/>
  <c r="Z12" i="12"/>
  <c r="F26" i="3" s="1"/>
  <c r="R12" i="12"/>
  <c r="J26" i="3" s="1"/>
  <c r="N53" i="110"/>
  <c r="AV200" i="12"/>
  <c r="G26" i="3" s="1"/>
  <c r="AM358" i="110"/>
  <c r="C358" i="110"/>
  <c r="B358" i="110" s="1"/>
  <c r="R53" i="110"/>
  <c r="W53" i="110"/>
  <c r="O53" i="110"/>
  <c r="AU200" i="12"/>
  <c r="V12" i="12" s="1"/>
  <c r="I26" i="3" s="1"/>
  <c r="F27" i="3"/>
  <c r="AV200" i="62"/>
  <c r="G27" i="3" s="1"/>
  <c r="O52" i="110" l="1"/>
  <c r="AF12" i="12"/>
  <c r="P26" i="3" s="1"/>
  <c r="R52" i="110"/>
  <c r="C52" i="110" s="1"/>
  <c r="B52" i="110" s="1"/>
  <c r="W52" i="110"/>
  <c r="T35" i="78"/>
  <c r="L51" i="110"/>
  <c r="B51" i="110"/>
  <c r="T36" i="79"/>
  <c r="C53" i="110"/>
  <c r="B53" i="110" s="1"/>
  <c r="J27" i="3"/>
  <c r="J44" i="3" s="1"/>
  <c r="AU200" i="62"/>
  <c r="V12" i="62" s="1"/>
  <c r="I27" i="3" s="1"/>
  <c r="I44" i="3" s="1"/>
  <c r="AI58" i="81" l="1"/>
  <c r="AB36" i="79"/>
  <c r="AB35" i="78"/>
  <c r="AV200" i="65"/>
  <c r="G30" i="3" s="1"/>
  <c r="AF35" i="78" l="1"/>
  <c r="AF36" i="79"/>
  <c r="P44" i="3"/>
  <c r="J30" i="3"/>
  <c r="F30" i="3"/>
  <c r="D174" i="3" l="1"/>
  <c r="F44" i="3"/>
  <c r="L44" i="3" l="1"/>
  <c r="AV10" i="118" s="1"/>
  <c r="C174" i="3"/>
  <c r="AV10" i="71" l="1"/>
  <c r="AW10" i="69"/>
  <c r="AV10" i="63"/>
  <c r="AV10" i="62"/>
  <c r="AV10" i="12"/>
  <c r="AV10" i="70"/>
  <c r="AV10" i="117"/>
  <c r="AV10" i="13"/>
  <c r="AV10" i="113"/>
  <c r="AV10" i="65"/>
  <c r="AV10" i="66"/>
  <c r="AV10" i="64"/>
  <c r="AI60" i="81" l="1"/>
  <c r="AV200" i="63" l="1"/>
  <c r="G28" i="3" s="1"/>
  <c r="G44" i="3" l="1"/>
  <c r="K44" i="3" s="1"/>
  <c r="AV8" i="63" l="1"/>
  <c r="AV8" i="12"/>
  <c r="AV8" i="64"/>
  <c r="AV8" i="113"/>
  <c r="AV8" i="66"/>
  <c r="AV8" i="118"/>
  <c r="AV8" i="70"/>
  <c r="AV8" i="71"/>
  <c r="AW8" i="69"/>
  <c r="AV8" i="65"/>
  <c r="AV8" i="13"/>
  <c r="AV8" i="62"/>
  <c r="AV8" i="117"/>
  <c r="AU16" i="70" l="1"/>
  <c r="AK360" i="110" s="1"/>
  <c r="BD16" i="70"/>
  <c r="AX16" i="70"/>
  <c r="BG16" i="70" l="1"/>
  <c r="AN16" i="70" s="1"/>
  <c r="H360" i="110" l="1"/>
  <c r="Q360" i="110"/>
  <c r="AI52" i="81" s="1"/>
  <c r="AI37" i="81"/>
  <c r="L360" i="110"/>
  <c r="AL360" i="110"/>
  <c r="W360" i="110"/>
  <c r="O360" i="110"/>
  <c r="K360" i="110"/>
  <c r="M360" i="110"/>
  <c r="U360" i="110"/>
  <c r="T360" i="110"/>
  <c r="Z12" i="70"/>
  <c r="F37" i="3" s="1"/>
  <c r="J360" i="110"/>
  <c r="AM360" i="110"/>
  <c r="S360" i="110"/>
  <c r="I360" i="110"/>
  <c r="AV200" i="70"/>
  <c r="G37" i="3" s="1"/>
  <c r="N360" i="110"/>
  <c r="R360" i="110"/>
  <c r="AN360" i="110"/>
  <c r="BE16" i="70"/>
  <c r="V12" i="70"/>
  <c r="I37" i="3" s="1"/>
  <c r="R12" i="70"/>
  <c r="J37" i="3" s="1"/>
  <c r="C360" i="110" l="1"/>
  <c r="B360" i="110" l="1"/>
  <c r="AN16" i="69" l="1"/>
  <c r="O386" i="110" l="1"/>
  <c r="L386" i="110"/>
  <c r="U386" i="110"/>
  <c r="W386" i="110"/>
  <c r="R386" i="110"/>
  <c r="AL386" i="110"/>
  <c r="S386" i="110"/>
  <c r="AM386" i="110"/>
  <c r="T386" i="110"/>
  <c r="BD16" i="69"/>
  <c r="I386" i="110"/>
  <c r="M386" i="110"/>
  <c r="Z12" i="69"/>
  <c r="F38" i="3" s="1"/>
  <c r="AN386" i="110"/>
  <c r="N386" i="110"/>
  <c r="R12" i="69"/>
  <c r="J38" i="3" s="1"/>
  <c r="K386" i="110"/>
  <c r="J386" i="110"/>
  <c r="C386" i="110" l="1"/>
  <c r="B386" i="110" s="1"/>
  <c r="J46" i="3"/>
  <c r="F46" i="3"/>
  <c r="F48" i="3"/>
  <c r="AY112" i="69"/>
  <c r="AN112" i="69" s="1"/>
  <c r="F12" i="69" s="1"/>
  <c r="P38" i="3" l="1"/>
  <c r="P48" i="3" s="1"/>
  <c r="I434" i="110"/>
  <c r="AI39" i="81" s="1"/>
  <c r="R434" i="110"/>
  <c r="AL434" i="110"/>
  <c r="C176" i="3"/>
  <c r="C173" i="3" s="1"/>
  <c r="D176" i="3"/>
  <c r="A173" i="3" s="1"/>
  <c r="T112" i="69"/>
  <c r="AB112" i="69"/>
  <c r="AF112" i="69" s="1"/>
  <c r="J434" i="110" s="1"/>
  <c r="AI40" i="81" s="1"/>
  <c r="BD112" i="69"/>
  <c r="F112" i="69"/>
  <c r="J53" i="14"/>
  <c r="AW52" i="14"/>
  <c r="AW53" i="14" s="1"/>
  <c r="F1" i="3"/>
  <c r="AI57" i="81" l="1"/>
  <c r="AI61" i="81"/>
  <c r="AB434" i="110"/>
  <c r="X112" i="69"/>
  <c r="P112" i="69"/>
  <c r="AM434" i="110"/>
  <c r="AI34" i="81"/>
  <c r="AI59" i="81"/>
  <c r="AF36" i="78"/>
  <c r="AF37" i="78" s="1"/>
  <c r="AF37" i="79"/>
  <c r="AF38" i="79" s="1"/>
  <c r="AE61" i="14"/>
  <c r="V61" i="14"/>
  <c r="M61" i="14"/>
  <c r="K24" i="76"/>
  <c r="U18" i="81"/>
  <c r="P46" i="3"/>
  <c r="L112" i="69"/>
  <c r="AC434" i="110" s="1"/>
  <c r="AD434" i="110"/>
  <c r="J48" i="3" l="1"/>
  <c r="F3" i="3" s="1"/>
  <c r="S434" i="110"/>
  <c r="M434" i="110"/>
  <c r="AI38" i="81" s="1"/>
  <c r="BE112" i="69"/>
  <c r="W434" i="110" s="1"/>
  <c r="AX112" i="69"/>
  <c r="AX200" i="69" s="1"/>
  <c r="G38" i="3" s="1"/>
  <c r="AH112" i="69"/>
  <c r="V12" i="69" s="1"/>
  <c r="I38" i="3" s="1"/>
  <c r="AV112" i="69"/>
  <c r="AK434" i="110" s="1"/>
  <c r="AK112" i="69"/>
  <c r="F4" i="3" l="1"/>
  <c r="AL2" i="113" s="1"/>
  <c r="AW31" i="14"/>
  <c r="X35" i="14" s="1"/>
  <c r="G48" i="3"/>
  <c r="G46" i="3"/>
  <c r="I46" i="3"/>
  <c r="I48" i="3"/>
  <c r="O434" i="110"/>
  <c r="AI36" i="81" s="1"/>
  <c r="U434" i="110"/>
  <c r="N434" i="110"/>
  <c r="AI35" i="81" s="1"/>
  <c r="T434" i="110"/>
  <c r="C434" i="110" s="1"/>
  <c r="K434" i="110"/>
  <c r="AI41" i="81" s="1"/>
  <c r="AN434" i="110"/>
  <c r="AH2" i="51"/>
  <c r="AH2" i="55"/>
  <c r="AH2" i="113"/>
  <c r="AH2" i="76"/>
  <c r="AH2" i="65"/>
  <c r="AH2" i="13"/>
  <c r="AH2" i="14"/>
  <c r="AH2" i="79"/>
  <c r="AH2" i="78"/>
  <c r="AH2" i="12"/>
  <c r="AH2" i="71"/>
  <c r="AH2" i="69"/>
  <c r="AH2" i="80"/>
  <c r="AH2" i="49"/>
  <c r="AH2" i="50"/>
  <c r="AH2" i="66"/>
  <c r="AH2" i="115"/>
  <c r="AH2" i="62"/>
  <c r="AH2" i="64"/>
  <c r="AH2" i="117"/>
  <c r="AH2" i="57"/>
  <c r="AH2" i="56"/>
  <c r="AH2" i="70"/>
  <c r="AH2" i="118"/>
  <c r="AH2" i="63"/>
  <c r="AH2" i="8"/>
  <c r="AH2" i="116"/>
  <c r="AH2" i="81"/>
  <c r="AL2" i="70" l="1"/>
  <c r="AL2" i="63"/>
  <c r="AL2" i="12"/>
  <c r="AL2" i="81"/>
  <c r="AL2" i="66"/>
  <c r="AL2" i="64"/>
  <c r="AL2" i="80"/>
  <c r="AL2" i="49"/>
  <c r="AL2" i="71"/>
  <c r="AL2" i="57"/>
  <c r="AL2" i="62"/>
  <c r="AL2" i="13"/>
  <c r="AL2" i="65"/>
  <c r="AL2" i="69"/>
  <c r="AL2" i="116"/>
  <c r="AL2" i="50"/>
  <c r="AL2" i="8"/>
  <c r="AL2" i="55"/>
  <c r="AL2" i="79"/>
  <c r="AL2" i="115"/>
  <c r="AL2" i="56"/>
  <c r="AL2" i="78"/>
  <c r="AL2" i="118"/>
  <c r="AL2" i="51"/>
  <c r="AL2" i="14"/>
  <c r="AL2" i="76"/>
  <c r="AL2" i="117"/>
  <c r="T37" i="79"/>
  <c r="T38" i="79" s="1"/>
  <c r="K46" i="3"/>
  <c r="AW8" i="70" s="1"/>
  <c r="O42" i="14"/>
  <c r="L48" i="3"/>
  <c r="AB37" i="79"/>
  <c r="AB38" i="79" s="1"/>
  <c r="L46" i="3"/>
  <c r="AB36" i="78"/>
  <c r="AB37" i="78" s="1"/>
  <c r="X42" i="14"/>
  <c r="K48" i="3"/>
  <c r="T36" i="78"/>
  <c r="T37" i="78" s="1"/>
  <c r="AW32" i="14"/>
  <c r="AD25" i="14" s="1"/>
  <c r="AD27" i="14" s="1"/>
  <c r="B434" i="110"/>
  <c r="AI47" i="81"/>
  <c r="AI55" i="81" s="1"/>
  <c r="AI42" i="81"/>
  <c r="AI49" i="81" s="1"/>
  <c r="AI46" i="81"/>
  <c r="AI54" i="81" s="1"/>
  <c r="AI43" i="81"/>
  <c r="AI50" i="81" s="1"/>
  <c r="AI44" i="81"/>
  <c r="AI51" i="81" s="1"/>
  <c r="AI45" i="81"/>
  <c r="AI48" i="81"/>
  <c r="AI56" i="81" s="1"/>
  <c r="AI53" i="81" l="1"/>
  <c r="O44" i="14"/>
  <c r="O46" i="14"/>
  <c r="X44" i="14"/>
  <c r="AW8" i="64"/>
  <c r="AW8" i="71"/>
  <c r="AW8" i="118"/>
  <c r="AX8" i="69"/>
  <c r="AW8" i="117"/>
  <c r="AW8" i="13"/>
  <c r="AW8" i="62"/>
  <c r="AW8" i="66"/>
  <c r="AW8" i="113"/>
  <c r="AW8" i="65"/>
  <c r="AW8" i="12"/>
  <c r="AW8" i="63"/>
  <c r="AX8" i="12"/>
  <c r="AX8" i="63"/>
  <c r="AX8" i="117"/>
  <c r="AX8" i="113"/>
  <c r="AX8" i="70"/>
  <c r="AX8" i="64"/>
  <c r="AX8" i="62"/>
  <c r="AX8" i="118"/>
  <c r="AX8" i="13"/>
  <c r="AY8" i="69"/>
  <c r="AX8" i="66"/>
  <c r="AX8" i="71"/>
  <c r="AX8" i="65"/>
  <c r="AW10" i="63"/>
  <c r="AW10" i="13"/>
  <c r="AX10" i="69"/>
  <c r="AW10" i="118"/>
  <c r="AW10" i="71"/>
  <c r="AW10" i="64"/>
  <c r="AW10" i="65"/>
  <c r="AW10" i="113"/>
  <c r="AW10" i="70"/>
  <c r="AW10" i="117"/>
  <c r="AW10" i="62"/>
  <c r="AW10" i="66"/>
  <c r="AW10" i="12"/>
  <c r="AX10" i="113"/>
  <c r="AX10" i="65"/>
  <c r="AX10" i="63"/>
  <c r="AX10" i="117"/>
  <c r="AX10" i="64"/>
  <c r="AX10" i="66"/>
  <c r="AX10" i="118"/>
  <c r="AY10" i="69"/>
  <c r="AX10" i="62"/>
  <c r="AX10" i="71"/>
  <c r="AX10" i="12"/>
  <c r="AX10" i="70"/>
  <c r="AX10" i="13"/>
  <c r="X46" i="14"/>
  <c r="A181" i="3" l="1"/>
  <c r="D181" i="3"/>
  <c r="C138" i="3"/>
  <c r="B104" i="3"/>
  <c r="C106" i="3"/>
  <c r="E161" i="3"/>
  <c r="E156" i="3"/>
  <c r="C107" i="3"/>
  <c r="C105" i="3"/>
  <c r="D86" i="3"/>
  <c r="D143" i="3"/>
  <c r="D138" i="3"/>
  <c r="B95" i="3"/>
  <c r="E117" i="3"/>
  <c r="E85" i="3"/>
  <c r="E101" i="3"/>
  <c r="D166" i="3"/>
  <c r="E106" i="3"/>
  <c r="D116" i="3"/>
  <c r="E100" i="3"/>
  <c r="B113" i="3"/>
  <c r="B158" i="3"/>
  <c r="D88" i="3"/>
  <c r="E89" i="3"/>
  <c r="B110" i="3"/>
  <c r="E182" i="3"/>
  <c r="B144" i="3"/>
  <c r="B93" i="3"/>
  <c r="B162" i="3"/>
  <c r="B160" i="3"/>
  <c r="B157" i="3"/>
  <c r="C99" i="3"/>
  <c r="E168" i="3"/>
  <c r="E116" i="3"/>
  <c r="C122" i="3"/>
  <c r="E124" i="3"/>
  <c r="D91" i="3"/>
  <c r="D105" i="3"/>
  <c r="B146" i="3"/>
  <c r="B84" i="3"/>
  <c r="E121" i="3"/>
  <c r="E84" i="3"/>
  <c r="D146" i="3"/>
  <c r="D115" i="3"/>
  <c r="B156" i="3"/>
  <c r="D139" i="3"/>
  <c r="B166" i="3"/>
  <c r="D168" i="3"/>
  <c r="C159" i="3"/>
  <c r="C92" i="3"/>
  <c r="C156" i="3"/>
  <c r="E145" i="3"/>
  <c r="D162" i="3"/>
  <c r="C103" i="3"/>
  <c r="D85" i="3"/>
  <c r="D135" i="3"/>
  <c r="E104" i="3"/>
  <c r="C84" i="3"/>
  <c r="C116" i="3"/>
  <c r="E88" i="3"/>
  <c r="D94" i="3"/>
  <c r="D117" i="3"/>
  <c r="C91" i="3"/>
  <c r="B86" i="3"/>
  <c r="D104" i="3"/>
  <c r="E112" i="3"/>
  <c r="B106" i="3"/>
  <c r="D100" i="3"/>
  <c r="E167" i="3"/>
  <c r="B143" i="3"/>
  <c r="B115" i="3"/>
  <c r="C114" i="3"/>
  <c r="E160" i="3"/>
  <c r="B165" i="3"/>
  <c r="E122" i="3"/>
  <c r="C143" i="3"/>
  <c r="D137" i="3"/>
  <c r="B120" i="3"/>
  <c r="D109" i="3"/>
  <c r="D163" i="3"/>
  <c r="D156" i="3"/>
  <c r="B183" i="3"/>
  <c r="D75" i="3"/>
  <c r="B155" i="3"/>
  <c r="E162" i="3"/>
  <c r="B135" i="3"/>
  <c r="C166" i="3"/>
  <c r="E94" i="3"/>
  <c r="E99" i="3"/>
  <c r="B161" i="3"/>
  <c r="B108" i="3"/>
  <c r="D155" i="3"/>
  <c r="C75" i="3"/>
  <c r="B136" i="3"/>
  <c r="B111" i="3"/>
  <c r="B117" i="3"/>
  <c r="C123" i="3"/>
  <c r="D157" i="3"/>
  <c r="E165" i="3"/>
  <c r="E113" i="3"/>
  <c r="D108" i="3"/>
  <c r="B167" i="3"/>
  <c r="B100" i="3"/>
  <c r="C144" i="3"/>
  <c r="B124" i="3"/>
  <c r="E105" i="3"/>
  <c r="B94" i="3"/>
  <c r="B101" i="3"/>
  <c r="B107" i="3"/>
  <c r="B90" i="3"/>
  <c r="B123" i="3"/>
  <c r="E93" i="3"/>
  <c r="E83" i="3"/>
  <c r="E114" i="3"/>
  <c r="B118" i="3"/>
  <c r="B102" i="3"/>
  <c r="C120" i="3"/>
  <c r="B159" i="3"/>
  <c r="C108" i="3"/>
  <c r="B163" i="3"/>
  <c r="C87" i="3"/>
  <c r="C137" i="3"/>
  <c r="D118" i="3"/>
  <c r="D95" i="3"/>
  <c r="C121" i="3"/>
  <c r="E146" i="3"/>
  <c r="E82" i="3"/>
  <c r="E95" i="3"/>
  <c r="C140" i="3"/>
  <c r="C96" i="3"/>
  <c r="C93" i="3"/>
  <c r="C160" i="3"/>
  <c r="C117" i="3"/>
  <c r="B141" i="3"/>
  <c r="E135" i="3"/>
  <c r="B109" i="3"/>
  <c r="E110" i="3"/>
  <c r="D140" i="3"/>
  <c r="B114" i="3"/>
  <c r="D92" i="3"/>
  <c r="C111" i="3"/>
  <c r="C83" i="3"/>
  <c r="D160" i="3"/>
  <c r="B82" i="3"/>
  <c r="C113" i="3"/>
  <c r="C98" i="3"/>
  <c r="C182" i="3"/>
  <c r="C85" i="3"/>
  <c r="E115" i="3"/>
  <c r="B121" i="3"/>
  <c r="B140" i="3"/>
  <c r="B91" i="3"/>
  <c r="D142" i="3"/>
  <c r="C118" i="3"/>
  <c r="C167" i="3"/>
  <c r="E155" i="3"/>
  <c r="E91" i="3"/>
  <c r="C112" i="3"/>
  <c r="E90" i="3"/>
  <c r="D96" i="3"/>
  <c r="E108" i="3"/>
  <c r="B98" i="3"/>
  <c r="C76" i="3"/>
  <c r="D82" i="3"/>
  <c r="E139" i="3"/>
  <c r="E77" i="3"/>
  <c r="E97" i="3"/>
  <c r="D107" i="3"/>
  <c r="C82" i="3"/>
  <c r="C163" i="3"/>
  <c r="D136" i="3"/>
  <c r="E98" i="3"/>
  <c r="D144" i="3"/>
  <c r="C158" i="3"/>
  <c r="B122" i="3"/>
  <c r="C183" i="3"/>
  <c r="E107" i="3"/>
  <c r="C102" i="3"/>
  <c r="B182" i="3"/>
  <c r="D114" i="3"/>
  <c r="C141" i="3"/>
  <c r="E159" i="3"/>
  <c r="B105" i="3"/>
  <c r="C77" i="3"/>
  <c r="C168" i="3"/>
  <c r="E164" i="3"/>
  <c r="C86" i="3"/>
  <c r="C90" i="3"/>
  <c r="C94" i="3"/>
  <c r="D183" i="3"/>
  <c r="B142" i="3"/>
  <c r="B75" i="3"/>
  <c r="E102" i="3"/>
  <c r="B96" i="3"/>
  <c r="D84" i="3"/>
  <c r="D122" i="3"/>
  <c r="C161" i="3"/>
  <c r="E87" i="3"/>
  <c r="E144" i="3"/>
  <c r="E118" i="3"/>
  <c r="E138" i="3"/>
  <c r="B116" i="3"/>
  <c r="E141" i="3"/>
  <c r="D90" i="3"/>
  <c r="C135" i="3"/>
  <c r="E158" i="3"/>
  <c r="D99" i="3"/>
  <c r="D98" i="3"/>
  <c r="B145" i="3"/>
  <c r="B76" i="3"/>
  <c r="D164" i="3"/>
  <c r="D165" i="3"/>
  <c r="B89" i="3"/>
  <c r="E136" i="3"/>
  <c r="E76" i="3"/>
  <c r="E183" i="3"/>
  <c r="C164" i="3"/>
  <c r="B87" i="3"/>
  <c r="C104" i="3"/>
  <c r="C136" i="3"/>
  <c r="C88" i="3"/>
  <c r="C165" i="3"/>
  <c r="D159" i="3"/>
  <c r="E120" i="3"/>
  <c r="B88" i="3"/>
  <c r="B103" i="3"/>
  <c r="C124" i="3"/>
  <c r="E75" i="3"/>
  <c r="B85" i="3"/>
  <c r="E163" i="3"/>
  <c r="C155" i="3"/>
  <c r="E123" i="3"/>
  <c r="B92" i="3"/>
  <c r="D76" i="3"/>
  <c r="D145" i="3"/>
  <c r="D167" i="3"/>
  <c r="B77" i="3"/>
  <c r="C142" i="3"/>
  <c r="C100" i="3"/>
  <c r="B138" i="3"/>
  <c r="D110" i="3"/>
  <c r="C157" i="3"/>
  <c r="E111" i="3"/>
  <c r="B83" i="3"/>
  <c r="E143" i="3"/>
  <c r="E109" i="3"/>
  <c r="E96" i="3"/>
  <c r="B99" i="3"/>
  <c r="D103" i="3"/>
  <c r="C139" i="3"/>
  <c r="B137" i="3"/>
  <c r="C110" i="3"/>
  <c r="D158" i="3"/>
  <c r="B97" i="3"/>
  <c r="D101" i="3"/>
  <c r="D93" i="3"/>
  <c r="E137" i="3"/>
  <c r="D124" i="3"/>
  <c r="E86" i="3"/>
  <c r="C101" i="3"/>
  <c r="C109" i="3"/>
  <c r="B139" i="3"/>
  <c r="E92" i="3"/>
  <c r="D182" i="3"/>
  <c r="C95" i="3"/>
  <c r="B164" i="3"/>
  <c r="C162" i="3"/>
  <c r="B168" i="3"/>
  <c r="D89" i="3"/>
  <c r="E157" i="3"/>
  <c r="D77" i="3"/>
  <c r="C145" i="3"/>
  <c r="C89" i="3"/>
  <c r="C146" i="3"/>
  <c r="C97" i="3"/>
  <c r="B112" i="3"/>
  <c r="E140" i="3"/>
  <c r="C115" i="3"/>
  <c r="E103" i="3"/>
  <c r="D83" i="3"/>
  <c r="E166" i="3"/>
  <c r="E142" i="3"/>
  <c r="D97" i="3"/>
  <c r="C154" i="3" l="1"/>
  <c r="C134" i="3"/>
  <c r="C81" i="3"/>
  <c r="A81" i="3"/>
  <c r="K18" i="76" s="1"/>
  <c r="D81" i="3"/>
  <c r="C181" i="3"/>
  <c r="C74" i="3"/>
  <c r="D154" i="3"/>
  <c r="K22" i="76" s="1"/>
  <c r="A154" i="3"/>
  <c r="D74" i="3"/>
  <c r="A74" i="3"/>
  <c r="K15" i="76" s="1"/>
  <c r="D134" i="3"/>
  <c r="U16" i="81" s="1"/>
  <c r="A134" i="3"/>
  <c r="K27" i="76"/>
  <c r="U19" i="81"/>
  <c r="U17" i="81"/>
  <c r="U15" i="81" l="1"/>
  <c r="K20" i="76"/>
  <c r="F5" i="3"/>
  <c r="AQ2" i="49" s="1"/>
  <c r="U14" i="81"/>
  <c r="AQ2" i="14"/>
  <c r="AQ2" i="63"/>
  <c r="AQ2" i="115"/>
  <c r="AQ2" i="78"/>
  <c r="AQ2" i="118"/>
  <c r="AQ2" i="117"/>
  <c r="AQ2" i="65"/>
  <c r="AQ2" i="57"/>
  <c r="AQ2" i="80"/>
  <c r="AQ2" i="69"/>
  <c r="AQ2" i="56"/>
  <c r="AQ2" i="79"/>
  <c r="AQ2" i="113" l="1"/>
  <c r="AQ2" i="12"/>
  <c r="AQ2" i="62"/>
  <c r="AQ2" i="66"/>
  <c r="AQ2" i="71"/>
  <c r="AQ2" i="81"/>
  <c r="AQ2" i="8"/>
  <c r="AQ2" i="51"/>
  <c r="AQ2" i="13"/>
  <c r="AQ2" i="116"/>
  <c r="AQ2" i="70"/>
  <c r="AQ2" i="55"/>
  <c r="AQ2" i="50"/>
  <c r="AQ2" i="64"/>
  <c r="AQ2" i="76"/>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<sst xmlns="http://schemas.openxmlformats.org/spreadsheetml/2006/main" count="8495" uniqueCount="2587">
  <si>
    <t>Program</t>
  </si>
  <si>
    <t>Application Name</t>
  </si>
  <si>
    <t>Menu Designation</t>
  </si>
  <si>
    <t>Menu Name</t>
  </si>
  <si>
    <t>M1S1</t>
  </si>
  <si>
    <t>M1S2</t>
  </si>
  <si>
    <t>M1S3</t>
  </si>
  <si>
    <t>M1S4</t>
  </si>
  <si>
    <t>M1S5</t>
  </si>
  <si>
    <t>M1S6</t>
  </si>
  <si>
    <t>M1S7</t>
  </si>
  <si>
    <t>M1S8</t>
  </si>
  <si>
    <t>M2S1</t>
  </si>
  <si>
    <t>M2S2</t>
  </si>
  <si>
    <t>M2S3</t>
  </si>
  <si>
    <t>M2S4</t>
  </si>
  <si>
    <t>M2S5</t>
  </si>
  <si>
    <t>M2S6</t>
  </si>
  <si>
    <t>M2S7</t>
  </si>
  <si>
    <t>M2S8</t>
  </si>
  <si>
    <t>M3S1</t>
  </si>
  <si>
    <t>M3S2</t>
  </si>
  <si>
    <t>M3S3</t>
  </si>
  <si>
    <t>M3S4</t>
  </si>
  <si>
    <t>M3S5</t>
  </si>
  <si>
    <t>M3S6</t>
  </si>
  <si>
    <t>M3S7</t>
  </si>
  <si>
    <t>M3S8</t>
  </si>
  <si>
    <t>M4S1</t>
  </si>
  <si>
    <t>M4S2</t>
  </si>
  <si>
    <t>M4S3</t>
  </si>
  <si>
    <t>M4S4</t>
  </si>
  <si>
    <t>M4S5</t>
  </si>
  <si>
    <t>M4S6</t>
  </si>
  <si>
    <t>M4S7</t>
  </si>
  <si>
    <t>M4S8</t>
  </si>
  <si>
    <t>MAIN1</t>
  </si>
  <si>
    <t>MAIN2</t>
  </si>
  <si>
    <t>M5S1</t>
  </si>
  <si>
    <t>M5S2</t>
  </si>
  <si>
    <t>M5S3</t>
  </si>
  <si>
    <t>M5S4</t>
  </si>
  <si>
    <t>M5S5</t>
  </si>
  <si>
    <t>M5S6</t>
  </si>
  <si>
    <t>M5S7</t>
  </si>
  <si>
    <t>M5S8</t>
  </si>
  <si>
    <t>M6S1</t>
  </si>
  <si>
    <t>M6S2</t>
  </si>
  <si>
    <t>M6S3</t>
  </si>
  <si>
    <t>M6S4</t>
  </si>
  <si>
    <t>M6S5</t>
  </si>
  <si>
    <t>M6S6</t>
  </si>
  <si>
    <t>M6S7</t>
  </si>
  <si>
    <t>M6S8</t>
  </si>
  <si>
    <t>M7S1</t>
  </si>
  <si>
    <t>M7S2</t>
  </si>
  <si>
    <t>M7S3</t>
  </si>
  <si>
    <t>M7S4</t>
  </si>
  <si>
    <t>M7S5</t>
  </si>
  <si>
    <t>M7S6</t>
  </si>
  <si>
    <t>M7S7</t>
  </si>
  <si>
    <t>M7S8</t>
  </si>
  <si>
    <t>MAIN3</t>
  </si>
  <si>
    <t>MAIN4</t>
  </si>
  <si>
    <t>MAIN5</t>
  </si>
  <si>
    <t>MAIN6</t>
  </si>
  <si>
    <t>MAIN7</t>
  </si>
  <si>
    <t>Version</t>
  </si>
  <si>
    <t>Section Incentive</t>
  </si>
  <si>
    <t>Section Cost</t>
  </si>
  <si>
    <t>Section kWh Savings</t>
  </si>
  <si>
    <t>START</t>
  </si>
  <si>
    <t>PROJECT INFORMATION</t>
  </si>
  <si>
    <t>Terms &amp; Conditions</t>
  </si>
  <si>
    <t>Payment Information</t>
  </si>
  <si>
    <t>Project Summary</t>
  </si>
  <si>
    <t>Application Expiration Date:</t>
  </si>
  <si>
    <t>Company and Site Information</t>
  </si>
  <si>
    <t>Title</t>
  </si>
  <si>
    <t>Primary Phone</t>
  </si>
  <si>
    <t>Secondary Phone</t>
  </si>
  <si>
    <t>City</t>
  </si>
  <si>
    <t>State</t>
  </si>
  <si>
    <t>Year Built</t>
  </si>
  <si>
    <t>Square Footage</t>
  </si>
  <si>
    <t># of Floors</t>
  </si>
  <si>
    <t>Mailing Address</t>
  </si>
  <si>
    <t>Payee Company</t>
  </si>
  <si>
    <t>Inefficient Lighting</t>
  </si>
  <si>
    <t>Efficient Lighting</t>
  </si>
  <si>
    <t>Efficient Wattage</t>
  </si>
  <si>
    <t>Quantity</t>
  </si>
  <si>
    <t>Estimated kWh Savings</t>
  </si>
  <si>
    <t>Incentive per Unit</t>
  </si>
  <si>
    <t>Ineff. Wattage</t>
  </si>
  <si>
    <t>Location</t>
  </si>
  <si>
    <t>Annual Hours of Operation</t>
  </si>
  <si>
    <t>Material Cost/Unit</t>
  </si>
  <si>
    <t>Labor Cost/Unit</t>
  </si>
  <si>
    <t xml:space="preserve">Prescriptive Measure </t>
  </si>
  <si>
    <t>Unit of Measure</t>
  </si>
  <si>
    <t>Watts Controlled</t>
  </si>
  <si>
    <t>Inefficient Equipment</t>
  </si>
  <si>
    <t>Inefficient Equipment Description or Condition</t>
  </si>
  <si>
    <t>Installed Location</t>
  </si>
  <si>
    <t>Existing Fixture Type</t>
  </si>
  <si>
    <t>Input Watt</t>
  </si>
  <si>
    <t>New Quantity</t>
  </si>
  <si>
    <t>Incentive Result</t>
  </si>
  <si>
    <t>Total Cost</t>
  </si>
  <si>
    <t>Material</t>
  </si>
  <si>
    <t>Labor</t>
  </si>
  <si>
    <t>Annual kWh/Unit</t>
  </si>
  <si>
    <t>New Fixture Type</t>
  </si>
  <si>
    <t>Description (Brand,Model)</t>
  </si>
  <si>
    <t>Efficient Brand and Model</t>
  </si>
  <si>
    <t>Annual kWh Savings</t>
  </si>
  <si>
    <t>Company Name</t>
  </si>
  <si>
    <t>Address</t>
  </si>
  <si>
    <t>AUTHORIZATION FOR RELEASE OF CUSTOMER ACCOUNT INFORMATION</t>
  </si>
  <si>
    <t>AGREEMENT</t>
  </si>
  <si>
    <t>Offer Form</t>
  </si>
  <si>
    <t>Completion Form</t>
  </si>
  <si>
    <t>Signature</t>
  </si>
  <si>
    <t>Submit Application</t>
  </si>
  <si>
    <t>Incentive Offer</t>
  </si>
  <si>
    <t>Applicant Information</t>
  </si>
  <si>
    <t>Customer Project Name/ID</t>
  </si>
  <si>
    <t>Contact</t>
  </si>
  <si>
    <t>E-mail</t>
  </si>
  <si>
    <t>Zip</t>
  </si>
  <si>
    <t>Alternate Phone</t>
  </si>
  <si>
    <t>Site Information</t>
  </si>
  <si>
    <t>Site Installation Address</t>
  </si>
  <si>
    <t>Trade Ally/Vendor Information</t>
  </si>
  <si>
    <t>Company</t>
  </si>
  <si>
    <t>Incentive</t>
  </si>
  <si>
    <t>Total</t>
  </si>
  <si>
    <t>Date</t>
  </si>
  <si>
    <t>Payee Email</t>
  </si>
  <si>
    <t>Payee Phone</t>
  </si>
  <si>
    <t>Measure Number</t>
  </si>
  <si>
    <t>Energy Type</t>
  </si>
  <si>
    <t>Measure Group</t>
  </si>
  <si>
    <t>Eff Equip Descr</t>
  </si>
  <si>
    <t>Base Equip Descr</t>
  </si>
  <si>
    <t>Unit</t>
  </si>
  <si>
    <t>Inc Rate Unit</t>
  </si>
  <si>
    <t>Measure Life</t>
  </si>
  <si>
    <t>EUL</t>
  </si>
  <si>
    <t>Savings per Unit kWh</t>
  </si>
  <si>
    <t>Incremental Cost</t>
  </si>
  <si>
    <t>SUTO</t>
  </si>
  <si>
    <t>Source</t>
  </si>
  <si>
    <t>Electric</t>
  </si>
  <si>
    <t>Lighting</t>
  </si>
  <si>
    <t>LED</t>
  </si>
  <si>
    <t>Fixture</t>
  </si>
  <si>
    <t>T5</t>
  </si>
  <si>
    <t>T8</t>
  </si>
  <si>
    <t>HVAC</t>
  </si>
  <si>
    <t>Heat Pump</t>
  </si>
  <si>
    <t>Refrigeration</t>
  </si>
  <si>
    <t>Other</t>
  </si>
  <si>
    <t>Compressed Air</t>
  </si>
  <si>
    <t>NA</t>
  </si>
  <si>
    <t>Gas</t>
  </si>
  <si>
    <t>Sq Ft</t>
  </si>
  <si>
    <t>T12</t>
  </si>
  <si>
    <t>Base Desc 1</t>
  </si>
  <si>
    <t>Base Desc 2</t>
  </si>
  <si>
    <t>Eff Desc 1</t>
  </si>
  <si>
    <t>Eff Desc 2</t>
  </si>
  <si>
    <t>Base Watt</t>
  </si>
  <si>
    <t>Eff Watt</t>
  </si>
  <si>
    <t>Change Log</t>
  </si>
  <si>
    <t>Changed By:</t>
  </si>
  <si>
    <t>Version:</t>
  </si>
  <si>
    <t>Date Applied</t>
  </si>
  <si>
    <t>Action Taken</t>
  </si>
  <si>
    <t>T12 - U-Tube - 1 Lamp</t>
  </si>
  <si>
    <t>T12 - U-Tube - 2 Lamp</t>
  </si>
  <si>
    <t>T8 - 4ft - 1 Lamp - 32W</t>
  </si>
  <si>
    <t>T8 - 4ft - 2 Lamp - 32W</t>
  </si>
  <si>
    <t>T8 - 4ft - 3 Lamp - 32W</t>
  </si>
  <si>
    <t>T8 - 4ft - 4 Lamp - 32W</t>
  </si>
  <si>
    <t>Base Watt 1</t>
  </si>
  <si>
    <t>Eff Watt 1</t>
  </si>
  <si>
    <t>Eff Watt 2</t>
  </si>
  <si>
    <t>T5 - 4ft - 1 Lamp - 54W - HO</t>
  </si>
  <si>
    <t>T5 - 4ft - 2 Lamp - 54W - HO</t>
  </si>
  <si>
    <t>T5 - 4ft - 4 Lamp - 54W - HO</t>
  </si>
  <si>
    <t>T5 - 4ft - 6 Lamp - 54W - HO</t>
  </si>
  <si>
    <t>T5 - 4ft - 8 Lamp - 54W - HO</t>
  </si>
  <si>
    <t>T5 - 4ft - 10 Lamp - 54W - HO</t>
  </si>
  <si>
    <t>New Construction</t>
  </si>
  <si>
    <t>Measure Cost</t>
  </si>
  <si>
    <t>kW Savings</t>
  </si>
  <si>
    <t>Section Therm Savings</t>
  </si>
  <si>
    <t>Efficient kWh</t>
  </si>
  <si>
    <t>Year</t>
  </si>
  <si>
    <t>Avoided Capacity Cost $/kW</t>
  </si>
  <si>
    <t>Avoided T&amp;D $/kW</t>
  </si>
  <si>
    <t>Cost Benefit Data</t>
  </si>
  <si>
    <t>Electric and Gas Avoided Cost</t>
  </si>
  <si>
    <t>Electricity Losses</t>
  </si>
  <si>
    <t>AT&amp;D Factor</t>
  </si>
  <si>
    <t>Gas AEC Factor</t>
  </si>
  <si>
    <t>Elec. AEC Factor</t>
  </si>
  <si>
    <t>Elec. ACC Factor</t>
  </si>
  <si>
    <t>Gas Loss</t>
  </si>
  <si>
    <t>Year Number</t>
  </si>
  <si>
    <t>Gas Discount Rate</t>
  </si>
  <si>
    <t>Electricity Discount Rate</t>
  </si>
  <si>
    <t>NPV AEC $/kWh</t>
  </si>
  <si>
    <t>NPV ACC+T&amp;D $/kW</t>
  </si>
  <si>
    <t>NPV GAEC $/therm</t>
  </si>
  <si>
    <t>(1+GLOSS)*(THERM*NPVAEC)/PROJCOST</t>
  </si>
  <si>
    <t>Existing kWh</t>
  </si>
  <si>
    <t>CB Ratio</t>
  </si>
  <si>
    <t>Base Watt 2</t>
  </si>
  <si>
    <t>Incentive Type</t>
  </si>
  <si>
    <t>RCx</t>
  </si>
  <si>
    <t>CMLIGHT</t>
  </si>
  <si>
    <t>CMNONLIGHT</t>
  </si>
  <si>
    <t>NCLIGHT</t>
  </si>
  <si>
    <t>RCX</t>
  </si>
  <si>
    <t>NCNONLIGHT</t>
  </si>
  <si>
    <t>Category 1</t>
  </si>
  <si>
    <t>Category 2</t>
  </si>
  <si>
    <t>Process</t>
  </si>
  <si>
    <t>Custom</t>
  </si>
  <si>
    <t>Water Heating</t>
  </si>
  <si>
    <t>New Equipment Detail</t>
  </si>
  <si>
    <t>Terms and Conditions for Payment of Incentive</t>
  </si>
  <si>
    <t>Inspection Form</t>
  </si>
  <si>
    <t>Email</t>
  </si>
  <si>
    <t>Company Address</t>
  </si>
  <si>
    <t>M02S02F01</t>
  </si>
  <si>
    <t>kWh</t>
  </si>
  <si>
    <t>kW</t>
  </si>
  <si>
    <t>Cost</t>
  </si>
  <si>
    <t>Total Prescriptive Gas</t>
  </si>
  <si>
    <t>Total Prescriptive Electric</t>
  </si>
  <si>
    <t>Total Custom Electric</t>
  </si>
  <si>
    <t>Total Custom Gas</t>
  </si>
  <si>
    <t>Total ALL</t>
  </si>
  <si>
    <t>kWh Status</t>
  </si>
  <si>
    <t>Incentive Status</t>
  </si>
  <si>
    <t>Measures</t>
  </si>
  <si>
    <t>M02S03F01</t>
  </si>
  <si>
    <t>M02S02F02</t>
  </si>
  <si>
    <t>M02S02F03</t>
  </si>
  <si>
    <t>M02S02F04</t>
  </si>
  <si>
    <t>M02S02F05</t>
  </si>
  <si>
    <t>M02S02F06</t>
  </si>
  <si>
    <t>M02S02F07</t>
  </si>
  <si>
    <t>M02S02F08</t>
  </si>
  <si>
    <t>M02S02F09</t>
  </si>
  <si>
    <t>M02S02F10</t>
  </si>
  <si>
    <t>M02S02F11</t>
  </si>
  <si>
    <t>M02S02F12</t>
  </si>
  <si>
    <t>M02S02F13</t>
  </si>
  <si>
    <t>M02S02F14</t>
  </si>
  <si>
    <t>M02S02F15</t>
  </si>
  <si>
    <t>M02S02F16</t>
  </si>
  <si>
    <t>M02S02F17</t>
  </si>
  <si>
    <t>M02S02F18</t>
  </si>
  <si>
    <t>M02S02F19</t>
  </si>
  <si>
    <t>M02S02F20</t>
  </si>
  <si>
    <t>M02S02F21</t>
  </si>
  <si>
    <t>M02S02F22</t>
  </si>
  <si>
    <t>M02S02F23</t>
  </si>
  <si>
    <t>M02S02F24</t>
  </si>
  <si>
    <t>M02S02F25</t>
  </si>
  <si>
    <t>M02S02F26</t>
  </si>
  <si>
    <t>M02S02F27</t>
  </si>
  <si>
    <t>M02S02F28</t>
  </si>
  <si>
    <t>M02S02F29</t>
  </si>
  <si>
    <t>M02S02F30</t>
  </si>
  <si>
    <t>M02S02F31</t>
  </si>
  <si>
    <t>M02S02F32</t>
  </si>
  <si>
    <t>M02S02F33</t>
  </si>
  <si>
    <t>M02S02F34</t>
  </si>
  <si>
    <t>M02S02F36</t>
  </si>
  <si>
    <t>M02S02F37</t>
  </si>
  <si>
    <t>M02S02F38</t>
  </si>
  <si>
    <t>M02S02F39</t>
  </si>
  <si>
    <t>M02S02F40</t>
  </si>
  <si>
    <t>M02S02F45</t>
  </si>
  <si>
    <t>M02S03F02</t>
  </si>
  <si>
    <t>M02S03F03</t>
  </si>
  <si>
    <t>M02S03F04</t>
  </si>
  <si>
    <t>M02S03F05</t>
  </si>
  <si>
    <t>M02S03F06</t>
  </si>
  <si>
    <t>M02S03F07</t>
  </si>
  <si>
    <t>M02S03F08</t>
  </si>
  <si>
    <t>M02S03F09</t>
  </si>
  <si>
    <t>M02S03F10</t>
  </si>
  <si>
    <t>M02S03F11</t>
  </si>
  <si>
    <t>M02S03F12</t>
  </si>
  <si>
    <t>M02S04F01</t>
  </si>
  <si>
    <t>M02S04F02</t>
  </si>
  <si>
    <t>M02S04F03</t>
  </si>
  <si>
    <t>M02S04F04</t>
  </si>
  <si>
    <t>M02S04F05</t>
  </si>
  <si>
    <t>M02S04F06</t>
  </si>
  <si>
    <t>M02S04F07</t>
  </si>
  <si>
    <t>M02S04F08</t>
  </si>
  <si>
    <t>M02S04F09</t>
  </si>
  <si>
    <t>M02S04F10</t>
  </si>
  <si>
    <t>M02S04F11</t>
  </si>
  <si>
    <t>M02S04F12</t>
  </si>
  <si>
    <t>Building Type</t>
  </si>
  <si>
    <t>Automotive Services</t>
  </si>
  <si>
    <t>Education</t>
  </si>
  <si>
    <t>Faith-Based</t>
  </si>
  <si>
    <t>Food &amp; Beverage Service</t>
  </si>
  <si>
    <t>Gas Station</t>
  </si>
  <si>
    <t>Government</t>
  </si>
  <si>
    <t>Grocery and Convenience</t>
  </si>
  <si>
    <t>Healthcare</t>
  </si>
  <si>
    <t>Industrial</t>
  </si>
  <si>
    <t>IT/Data Center</t>
  </si>
  <si>
    <t>Lodging</t>
  </si>
  <si>
    <t>Office</t>
  </si>
  <si>
    <t>Parking Garage</t>
  </si>
  <si>
    <t>Retail</t>
  </si>
  <si>
    <t>Warehouse</t>
  </si>
  <si>
    <t>States</t>
  </si>
  <si>
    <t>Alabama</t>
  </si>
  <si>
    <t>AL</t>
  </si>
  <si>
    <t>Montana</t>
  </si>
  <si>
    <t>MT</t>
  </si>
  <si>
    <t>Alaska</t>
  </si>
  <si>
    <t>AK</t>
  </si>
  <si>
    <t>Nebraska</t>
  </si>
  <si>
    <t>NE</t>
  </si>
  <si>
    <t>Arizona</t>
  </si>
  <si>
    <t>AZ</t>
  </si>
  <si>
    <t>Nevada</t>
  </si>
  <si>
    <t>NV</t>
  </si>
  <si>
    <t>Arkansas</t>
  </si>
  <si>
    <t>AR</t>
  </si>
  <si>
    <t>New Hampshire</t>
  </si>
  <si>
    <t>NH</t>
  </si>
  <si>
    <t>California</t>
  </si>
  <si>
    <t>CA</t>
  </si>
  <si>
    <t>New Jersey</t>
  </si>
  <si>
    <t>NJ</t>
  </si>
  <si>
    <t>Colorado</t>
  </si>
  <si>
    <t>CO</t>
  </si>
  <si>
    <t>New Mexico</t>
  </si>
  <si>
    <t>NM</t>
  </si>
  <si>
    <t>Connecticut</t>
  </si>
  <si>
    <t>CT</t>
  </si>
  <si>
    <t>New York</t>
  </si>
  <si>
    <t>NY</t>
  </si>
  <si>
    <t>Delaware</t>
  </si>
  <si>
    <t>DE</t>
  </si>
  <si>
    <t>North Carolina</t>
  </si>
  <si>
    <t>NC</t>
  </si>
  <si>
    <t>Florida</t>
  </si>
  <si>
    <t>FL</t>
  </si>
  <si>
    <t>North Dakota</t>
  </si>
  <si>
    <t>ND</t>
  </si>
  <si>
    <t>Georgia</t>
  </si>
  <si>
    <t>GA</t>
  </si>
  <si>
    <t>Ohio</t>
  </si>
  <si>
    <t>OH</t>
  </si>
  <si>
    <t>Hawaii</t>
  </si>
  <si>
    <t>HI</t>
  </si>
  <si>
    <t>Oklahoma</t>
  </si>
  <si>
    <t>OK</t>
  </si>
  <si>
    <t>Idaho</t>
  </si>
  <si>
    <t>ID</t>
  </si>
  <si>
    <t>Oregon</t>
  </si>
  <si>
    <t>OR</t>
  </si>
  <si>
    <t>Illinois</t>
  </si>
  <si>
    <t>IL</t>
  </si>
  <si>
    <t>Pennsylvania</t>
  </si>
  <si>
    <t>PA</t>
  </si>
  <si>
    <t>Indiana</t>
  </si>
  <si>
    <t>IN</t>
  </si>
  <si>
    <t>Rhode Island</t>
  </si>
  <si>
    <t>RI</t>
  </si>
  <si>
    <t>Iowa</t>
  </si>
  <si>
    <t>IA</t>
  </si>
  <si>
    <t>South Carolina</t>
  </si>
  <si>
    <t>SC</t>
  </si>
  <si>
    <t>Kansas</t>
  </si>
  <si>
    <t>KS</t>
  </si>
  <si>
    <t>South Dakota</t>
  </si>
  <si>
    <t>SD</t>
  </si>
  <si>
    <t>Kentucky</t>
  </si>
  <si>
    <t>KY</t>
  </si>
  <si>
    <t>Tennessee</t>
  </si>
  <si>
    <t>TN</t>
  </si>
  <si>
    <t>Louisiana</t>
  </si>
  <si>
    <t>LA</t>
  </si>
  <si>
    <t>Texas</t>
  </si>
  <si>
    <t>TX</t>
  </si>
  <si>
    <t>Maine</t>
  </si>
  <si>
    <t>ME</t>
  </si>
  <si>
    <t>Utah</t>
  </si>
  <si>
    <t>UT</t>
  </si>
  <si>
    <t>Maryland</t>
  </si>
  <si>
    <t>MD</t>
  </si>
  <si>
    <t>Vermont</t>
  </si>
  <si>
    <t>VT</t>
  </si>
  <si>
    <t>Massachusetts</t>
  </si>
  <si>
    <t>MA</t>
  </si>
  <si>
    <t>Virginia</t>
  </si>
  <si>
    <t>VA</t>
  </si>
  <si>
    <t>Michigan</t>
  </si>
  <si>
    <t>MI</t>
  </si>
  <si>
    <t>Washington</t>
  </si>
  <si>
    <t>WA</t>
  </si>
  <si>
    <t>Minnesota</t>
  </si>
  <si>
    <t>MN</t>
  </si>
  <si>
    <t>West Virginia</t>
  </si>
  <si>
    <t>WV</t>
  </si>
  <si>
    <t>Mississippi</t>
  </si>
  <si>
    <t>MS</t>
  </si>
  <si>
    <t>Wisconsin</t>
  </si>
  <si>
    <t>WI</t>
  </si>
  <si>
    <t>Missouri</t>
  </si>
  <si>
    <t>MO</t>
  </si>
  <si>
    <t>Wyoming</t>
  </si>
  <si>
    <t>WY</t>
  </si>
  <si>
    <t>Abbrev</t>
  </si>
  <si>
    <t>Space Conditioning</t>
  </si>
  <si>
    <t>Natural Gas</t>
  </si>
  <si>
    <t>Oil</t>
  </si>
  <si>
    <t>AC with Natural Gas Heat</t>
  </si>
  <si>
    <t>AC with Electric Heat</t>
  </si>
  <si>
    <t>Electric Heat Only</t>
  </si>
  <si>
    <t>Natural Gas Heat Only</t>
  </si>
  <si>
    <t>Multiplier</t>
  </si>
  <si>
    <t>Contractor-Installed</t>
  </si>
  <si>
    <t>Self-Installed</t>
  </si>
  <si>
    <t>Installer</t>
  </si>
  <si>
    <t>First</t>
  </si>
  <si>
    <t>Last</t>
  </si>
  <si>
    <t>Site</t>
  </si>
  <si>
    <t>Terms</t>
  </si>
  <si>
    <t>Payment to</t>
  </si>
  <si>
    <t>Tax Entity</t>
  </si>
  <si>
    <t>-</t>
  </si>
  <si>
    <t>M02S04F12.1</t>
  </si>
  <si>
    <t xml:space="preserve">Please fill out the company information below. For the purposes of this application "Company" is the headquarters or primary office that is responsible for a given site(s) where the project is being implemented.  </t>
  </si>
  <si>
    <t>Please fill out the site information below. If there is not a higher business entity than the site where the project is being performed, then "Company" and "Site" are the same.</t>
  </si>
  <si>
    <t>Please enter the Payee Information below. The payee information may be autofilled based on your selection, but you can overwrite the data if necessary.</t>
  </si>
  <si>
    <t>Please review application information and proceed with submission. You can click on the Progress Checklist headings to jump to section.</t>
  </si>
  <si>
    <t>1. Application Completion Progress Checklist</t>
  </si>
  <si>
    <t>2. Application Submittal Attachment Steps</t>
  </si>
  <si>
    <t>3. Submittal and Next Steps</t>
  </si>
  <si>
    <t>Please feel free to contact us with any questions about this project or any other project. (Reference our contact information below).</t>
  </si>
  <si>
    <t>a.</t>
  </si>
  <si>
    <t>b.</t>
  </si>
  <si>
    <t>c.</t>
  </si>
  <si>
    <t>d.</t>
  </si>
  <si>
    <t>e.</t>
  </si>
  <si>
    <t>Save this application with an unique file name.</t>
  </si>
  <si>
    <t>Gather all required documents to submit, such as</t>
  </si>
  <si>
    <t>Corporation</t>
  </si>
  <si>
    <t>Exempt</t>
  </si>
  <si>
    <t>LLC</t>
  </si>
  <si>
    <t>Individual/Sole Proprietor</t>
  </si>
  <si>
    <t>Partnership, LLP</t>
  </si>
  <si>
    <t>Therm</t>
  </si>
  <si>
    <t>Total Incentive</t>
  </si>
  <si>
    <t>Project Status</t>
  </si>
  <si>
    <t>Therm Status</t>
  </si>
  <si>
    <t>Progress</t>
  </si>
  <si>
    <t>Required</t>
  </si>
  <si>
    <t>Measure Data</t>
  </si>
  <si>
    <t>M03S01-M03S05</t>
  </si>
  <si>
    <t>M03S06-M03S08</t>
  </si>
  <si>
    <t>M04S01-M04S02</t>
  </si>
  <si>
    <t>M04S04</t>
  </si>
  <si>
    <t>Progress Status</t>
  </si>
  <si>
    <t>M05S02F01</t>
  </si>
  <si>
    <t>M05S02F02</t>
  </si>
  <si>
    <t>M02S04TB1</t>
  </si>
  <si>
    <t>Payment Agreement Checkbox 1*</t>
  </si>
  <si>
    <t>App Version</t>
  </si>
  <si>
    <t>Incentive Total</t>
  </si>
  <si>
    <t>Engineer</t>
  </si>
  <si>
    <t>Status</t>
  </si>
  <si>
    <t>Review Date</t>
  </si>
  <si>
    <t>Inspection Date</t>
  </si>
  <si>
    <t>Primary Contact / Site Contact</t>
  </si>
  <si>
    <t>Customer Contact / Company Contact</t>
  </si>
  <si>
    <t>Trade Ally Contact / Contractor Contact</t>
  </si>
  <si>
    <t>Application Info</t>
  </si>
  <si>
    <t>Customer Name</t>
  </si>
  <si>
    <t>LMCapture ID</t>
  </si>
  <si>
    <t>Site Address</t>
  </si>
  <si>
    <t>City, State, Zip</t>
  </si>
  <si>
    <t>Phone 1/Phone 2</t>
  </si>
  <si>
    <t>Propane</t>
  </si>
  <si>
    <t>Steam</t>
  </si>
  <si>
    <t>Bldg Heat Source</t>
  </si>
  <si>
    <t>Water Heat Source</t>
  </si>
  <si>
    <t>Owner/Tenant</t>
  </si>
  <si>
    <t>Annual Hrs/Op</t>
  </si>
  <si>
    <t>Contact Name</t>
  </si>
  <si>
    <t>Notes</t>
  </si>
  <si>
    <t>Payee Information</t>
  </si>
  <si>
    <t>Payee Name</t>
  </si>
  <si>
    <t>Payee Address</t>
  </si>
  <si>
    <t>Tax ID</t>
  </si>
  <si>
    <t>Account Name</t>
  </si>
  <si>
    <t>Project Description</t>
  </si>
  <si>
    <t>Inspection Report</t>
  </si>
  <si>
    <t>Inspector Name</t>
  </si>
  <si>
    <t>Inspection Checklist</t>
  </si>
  <si>
    <t>Inspection Info</t>
  </si>
  <si>
    <t>Inspection Type</t>
  </si>
  <si>
    <t>Action items prior to site inspection</t>
  </si>
  <si>
    <t>(Pass or Fail)</t>
  </si>
  <si>
    <t>Result</t>
  </si>
  <si>
    <t>Review record wall, closed activities, and emails for additional project information to note</t>
  </si>
  <si>
    <t>Action items after site inspection</t>
  </si>
  <si>
    <t>Complete this inspection report form</t>
  </si>
  <si>
    <t>Coordinate with involved parties for an inspection, note scheduled date on the project record wall</t>
  </si>
  <si>
    <r>
      <t xml:space="preserve">Review project </t>
    </r>
    <r>
      <rPr>
        <b/>
        <i/>
        <sz val="10"/>
        <color theme="1"/>
        <rFont val="Arial"/>
        <family val="2"/>
      </rPr>
      <t>baseline</t>
    </r>
    <r>
      <rPr>
        <i/>
        <sz val="10"/>
        <color theme="1"/>
        <rFont val="Arial"/>
        <family val="2"/>
      </rPr>
      <t xml:space="preserve"> equipment, quantity, location, and hours of operation</t>
    </r>
  </si>
  <si>
    <r>
      <t xml:space="preserve">Review project </t>
    </r>
    <r>
      <rPr>
        <b/>
        <i/>
        <sz val="10"/>
        <color theme="1"/>
        <rFont val="Arial"/>
        <family val="2"/>
      </rPr>
      <t>efficient</t>
    </r>
    <r>
      <rPr>
        <i/>
        <sz val="10"/>
        <color theme="1"/>
        <rFont val="Arial"/>
        <family val="2"/>
      </rPr>
      <t xml:space="preserve"> equipment, quantity, location, and hours of operation</t>
    </r>
  </si>
  <si>
    <t>Upload photos and additional information into LM-Captures and the project folder</t>
  </si>
  <si>
    <t xml:space="preserve">Complete LM-Captures Inspection fields </t>
  </si>
  <si>
    <t>Additional Information</t>
  </si>
  <si>
    <t>Comments:</t>
  </si>
  <si>
    <t>Potential Future Projects:</t>
  </si>
  <si>
    <t>Report Completion Date</t>
  </si>
  <si>
    <t>Use the following form to complete your inspection report.</t>
  </si>
  <si>
    <t>ProjectID</t>
  </si>
  <si>
    <t>MeasureCode</t>
  </si>
  <si>
    <t>UploadID</t>
  </si>
  <si>
    <t>CostBenefit</t>
  </si>
  <si>
    <t>PayeeCompany</t>
  </si>
  <si>
    <t>PayeeAttnTo</t>
  </si>
  <si>
    <t>PayeeAddress1</t>
  </si>
  <si>
    <t>PayeeCity</t>
  </si>
  <si>
    <t>PayeeState</t>
  </si>
  <si>
    <t>PayeeZipCode</t>
  </si>
  <si>
    <t>PayeePhone</t>
  </si>
  <si>
    <t>LineNumber</t>
  </si>
  <si>
    <t>Follow up and record activities if applicable</t>
  </si>
  <si>
    <t>Account #</t>
  </si>
  <si>
    <t>PrimaryContactFirst</t>
  </si>
  <si>
    <t>PrimaryContactLast</t>
  </si>
  <si>
    <t>PrimaryTitle</t>
  </si>
  <si>
    <t>PrimaryCompany</t>
  </si>
  <si>
    <t>PrimaryPhone</t>
  </si>
  <si>
    <t>PrimaryEmail</t>
  </si>
  <si>
    <t>PrimaryAddress</t>
  </si>
  <si>
    <t>PrimaryCity</t>
  </si>
  <si>
    <t>PrimaryState</t>
  </si>
  <si>
    <t>PrimaryZip</t>
  </si>
  <si>
    <t>CustomerContactFirst</t>
  </si>
  <si>
    <t>CustomerContactLast</t>
  </si>
  <si>
    <t>CustomerTitle</t>
  </si>
  <si>
    <t>CustomerCompany</t>
  </si>
  <si>
    <t>CustomerPhone</t>
  </si>
  <si>
    <t>CustomerEmail</t>
  </si>
  <si>
    <t>CustomerAddress</t>
  </si>
  <si>
    <t>CustomerCity</t>
  </si>
  <si>
    <t>CustomerState</t>
  </si>
  <si>
    <t>CustomerZip</t>
  </si>
  <si>
    <t>TradeAllyContactFirst</t>
  </si>
  <si>
    <t>TradeAllyContactLast</t>
  </si>
  <si>
    <t>TradeAllyTitle</t>
  </si>
  <si>
    <t>TradeAllyCompany</t>
  </si>
  <si>
    <t>TradeAllyPhone</t>
  </si>
  <si>
    <t>TradeAllyEmail</t>
  </si>
  <si>
    <t>TradeAllyAddress</t>
  </si>
  <si>
    <t>TradeAllyCity</t>
  </si>
  <si>
    <t>TradeAllyState</t>
  </si>
  <si>
    <t>TradeAllyZip</t>
  </si>
  <si>
    <t>CUSTOM MEASURES INPUT</t>
  </si>
  <si>
    <t>Payback</t>
  </si>
  <si>
    <t>Welcome</t>
  </si>
  <si>
    <t>2 ft</t>
  </si>
  <si>
    <t>Measure Subgroup 1</t>
  </si>
  <si>
    <t>Measure Subgroup 2</t>
  </si>
  <si>
    <t>1 Lamp</t>
  </si>
  <si>
    <t>T12 VHO - 8 ft - 4 Lamp</t>
  </si>
  <si>
    <t>Fixture Quantity</t>
  </si>
  <si>
    <t>Pulse Start MH - 200 Watt</t>
  </si>
  <si>
    <t>Order</t>
  </si>
  <si>
    <t>Incandescent (Please Describe)</t>
  </si>
  <si>
    <t>CFL (Please Describe)</t>
  </si>
  <si>
    <t>T12 - 2 ft - 1 Lamp</t>
  </si>
  <si>
    <t>T12 - 2 ft - 2 Lamp</t>
  </si>
  <si>
    <t>T12 - 3 ft - 1 Lamp</t>
  </si>
  <si>
    <t>T12 - 3 ft - 2 Lamp</t>
  </si>
  <si>
    <t>T12 - 4 ft - 1 Lamp</t>
  </si>
  <si>
    <t>T12 - 4 ft - 2 Lamp</t>
  </si>
  <si>
    <t>T12 - 4 ft - 3 Lamp</t>
  </si>
  <si>
    <t>T12 - 4 ft - 4 Lamp</t>
  </si>
  <si>
    <t>T12 - 8 ft - 1 Lamp</t>
  </si>
  <si>
    <t>T12 - 8 ft - 2 Lamp</t>
  </si>
  <si>
    <t>T12 - 8 ft - 3 Lamp</t>
  </si>
  <si>
    <t>T12 - 8 ft - 4 Lamp</t>
  </si>
  <si>
    <t>T12 HO - 8 ft - 1 Lamp</t>
  </si>
  <si>
    <t>T12 HO - 8 ft - 2 Lamp</t>
  </si>
  <si>
    <t>T12 HO - 8 ft - 3 Lamp</t>
  </si>
  <si>
    <t>T12 HO - 8 ft - 4 Lamp</t>
  </si>
  <si>
    <t>T12 VHO - 8 ft - 1 Lamp</t>
  </si>
  <si>
    <t>T12 VHO - 8 ft - 2 Lamp</t>
  </si>
  <si>
    <t>T12 VHO - 8 ft - 3 Lamp</t>
  </si>
  <si>
    <t>T8 - 2 ft - 1 Lamp</t>
  </si>
  <si>
    <t>T8 - 2 ft - 2 Lamp</t>
  </si>
  <si>
    <t>T8 - 3 ft - 1 Lamp</t>
  </si>
  <si>
    <t>T8 - 3 ft - 2 Lamp</t>
  </si>
  <si>
    <t>T8 - 4 ft - 1 Lamp</t>
  </si>
  <si>
    <t>T8 - 4 ft - 2 Lamp</t>
  </si>
  <si>
    <t>T8 - 4 ft - 3 Lamp</t>
  </si>
  <si>
    <t>T8 - 4 ft - 4 Lamp</t>
  </si>
  <si>
    <t>T8 - 8 ft - 1 Lamp</t>
  </si>
  <si>
    <t>T8 - 8 ft - 2 Lamp</t>
  </si>
  <si>
    <t>T8 - 8 ft - 3 Lamp</t>
  </si>
  <si>
    <t>T8 - 8 ft - 4 Lamp</t>
  </si>
  <si>
    <t>T8 HO - 8 ft - 1 Lamp</t>
  </si>
  <si>
    <t>T8 HO - 8 ft - 2 Lamp</t>
  </si>
  <si>
    <t>T8 HO - 8 ft - 3 Lamp</t>
  </si>
  <si>
    <t>T8 HO - 8 ft - 4 Lamp</t>
  </si>
  <si>
    <t>T8 - U-Tube - 1 Lamp</t>
  </si>
  <si>
    <t>T8 - U-Tube - 2 Lamp</t>
  </si>
  <si>
    <t>MH - 70 Watt</t>
  </si>
  <si>
    <t>MH - 100 Watt</t>
  </si>
  <si>
    <t>MH - 175 Watt</t>
  </si>
  <si>
    <t>MH - 250 Watt</t>
  </si>
  <si>
    <t>MH - 400 Watt</t>
  </si>
  <si>
    <t>MH - 1000 Watt</t>
  </si>
  <si>
    <t>Pulse Start MH - 320 Watt</t>
  </si>
  <si>
    <t>Pulse Start MH - 400 Watt</t>
  </si>
  <si>
    <t>HPS - 35 Watt</t>
  </si>
  <si>
    <t>HPS - 50 Watt</t>
  </si>
  <si>
    <t>HPS - 70 watt</t>
  </si>
  <si>
    <t>HPS - 100 Watt</t>
  </si>
  <si>
    <t>HPS - 150 Watt</t>
  </si>
  <si>
    <t>HPS - 200 Watt</t>
  </si>
  <si>
    <t>HPS - 250 Watt</t>
  </si>
  <si>
    <t>HPS - 400 Watt</t>
  </si>
  <si>
    <t>HPS - 1000 Watt</t>
  </si>
  <si>
    <t>MV - 40 Watt</t>
  </si>
  <si>
    <t>MV - 50 Watt</t>
  </si>
  <si>
    <t>MV - 75 Watt</t>
  </si>
  <si>
    <t>MV - 100 Watt</t>
  </si>
  <si>
    <t>MV - 175 Watt</t>
  </si>
  <si>
    <t>MV - 250 Watt</t>
  </si>
  <si>
    <t>MV - 400 Watt</t>
  </si>
  <si>
    <t>Incandescent Lamp</t>
  </si>
  <si>
    <t>CFL Lamp</t>
  </si>
  <si>
    <t>2 Lamp</t>
  </si>
  <si>
    <t>3 ft</t>
  </si>
  <si>
    <t>4 ft</t>
  </si>
  <si>
    <t>3 Lamp</t>
  </si>
  <si>
    <t>4 Lamp</t>
  </si>
  <si>
    <t>8 ft</t>
  </si>
  <si>
    <t>T12 HO</t>
  </si>
  <si>
    <t>T12 VHO</t>
  </si>
  <si>
    <t>U-Tube</t>
  </si>
  <si>
    <t>T8 HO</t>
  </si>
  <si>
    <t>6 Lamp</t>
  </si>
  <si>
    <t>8 Lamp</t>
  </si>
  <si>
    <t>10 Lamp</t>
  </si>
  <si>
    <t>Metal Halide</t>
  </si>
  <si>
    <t>70 Watt</t>
  </si>
  <si>
    <t>100 Watt</t>
  </si>
  <si>
    <t>175 Watt</t>
  </si>
  <si>
    <t>250 Watt</t>
  </si>
  <si>
    <t>400 Watt</t>
  </si>
  <si>
    <t>1000 Watt</t>
  </si>
  <si>
    <t>Pulse Start Metal Halide</t>
  </si>
  <si>
    <t>200 Watt</t>
  </si>
  <si>
    <t>320 Watt</t>
  </si>
  <si>
    <t>High Pressure Sodium</t>
  </si>
  <si>
    <t>35 Watt</t>
  </si>
  <si>
    <t>50 Watt</t>
  </si>
  <si>
    <t>70 watt</t>
  </si>
  <si>
    <t>150 Watt</t>
  </si>
  <si>
    <t>Mercury Vapor</t>
  </si>
  <si>
    <t>40 Watt</t>
  </si>
  <si>
    <t>75 Watt</t>
  </si>
  <si>
    <t>End Use Category</t>
  </si>
  <si>
    <t>Units</t>
  </si>
  <si>
    <t>Invalid</t>
  </si>
  <si>
    <t>T8 - 2ft - 1 Lamp - 18W</t>
  </si>
  <si>
    <t>T8 - 2ft - 2 Lamp - 18W</t>
  </si>
  <si>
    <t>T8 - 3ft - 1 Lamp - 28W</t>
  </si>
  <si>
    <t>T8 - 3ft - 2 Lamp - 28W</t>
  </si>
  <si>
    <t>T8 - 8ft - 1 Lamp - 59W</t>
  </si>
  <si>
    <t>T8 - 8ft - 2 Lamp - 59W</t>
  </si>
  <si>
    <t>T8 - 8ft - 3 Lamp - 59W</t>
  </si>
  <si>
    <t>T8 - 8ft - 4 Lamp - 59W</t>
  </si>
  <si>
    <t>T8 - 8ft - 1 Lamp - 86W - HO</t>
  </si>
  <si>
    <t>T8 - 8ft - 2 Lamp - 86W - HO</t>
  </si>
  <si>
    <t>T8 - 8ft - 3 Lamp - 86W - HO</t>
  </si>
  <si>
    <t>T8 - 8ft - 4 Lamp - 86W - HO</t>
  </si>
  <si>
    <t>T8 - U-Tube - 1 Lamp - 30W</t>
  </si>
  <si>
    <t>T8 - U-Tube - 2 Lamp - 30W</t>
  </si>
  <si>
    <t>MV 40W</t>
  </si>
  <si>
    <t>MV 50W</t>
  </si>
  <si>
    <t>MV 75W</t>
  </si>
  <si>
    <t>MV 100W</t>
  </si>
  <si>
    <t>MV 175W</t>
  </si>
  <si>
    <t>MV 250W</t>
  </si>
  <si>
    <t>MV 400W</t>
  </si>
  <si>
    <t>HPS 35W</t>
  </si>
  <si>
    <t>HPS 50W</t>
  </si>
  <si>
    <t>HPS 70W</t>
  </si>
  <si>
    <t>HPS 100W</t>
  </si>
  <si>
    <t>HPS 150W</t>
  </si>
  <si>
    <t>HPS 200W</t>
  </si>
  <si>
    <t>HPS 250W</t>
  </si>
  <si>
    <t>HPS 400W</t>
  </si>
  <si>
    <t>HPS 1000W</t>
  </si>
  <si>
    <t>MH 70W</t>
  </si>
  <si>
    <t>MH 100W</t>
  </si>
  <si>
    <t>MH 175W</t>
  </si>
  <si>
    <t>MH 250W</t>
  </si>
  <si>
    <t>MH 400W</t>
  </si>
  <si>
    <t>MH 1000W</t>
  </si>
  <si>
    <t>Source (Standard Wattage Table)</t>
  </si>
  <si>
    <t>T5 HO - 4 ft - 1 Lamp</t>
  </si>
  <si>
    <t>T5 HO - 4 ft - 2 Lamp</t>
  </si>
  <si>
    <t>T5 HO - 4 ft - 4 Lamp</t>
  </si>
  <si>
    <t>T5 HO - 4 ft - 6 Lamp</t>
  </si>
  <si>
    <t>T5 HO - 4 ft - 8 Lamp</t>
  </si>
  <si>
    <t>T5 HO - 4 ft - 10 Lamp</t>
  </si>
  <si>
    <t>T5 HO</t>
  </si>
  <si>
    <t>Base Equipment Detail</t>
  </si>
  <si>
    <t>Base kWh</t>
  </si>
  <si>
    <t>Application Status</t>
  </si>
  <si>
    <t>Measure Type</t>
  </si>
  <si>
    <t>THIS CONTRACT CONTAINS A BINDING ARBITRATION PROVISION WHICH MAY BE ENFORCED BY THE PARTIES</t>
  </si>
  <si>
    <r>
      <t>Legal Company Name</t>
    </r>
    <r>
      <rPr>
        <sz val="11"/>
        <color rgb="FFFF0000"/>
        <rFont val="Arial"/>
        <family val="2"/>
      </rPr>
      <t>*</t>
    </r>
  </si>
  <si>
    <r>
      <t>First Name</t>
    </r>
    <r>
      <rPr>
        <sz val="11"/>
        <color rgb="FFFF0000"/>
        <rFont val="Arial"/>
        <family val="2"/>
      </rPr>
      <t>*</t>
    </r>
  </si>
  <si>
    <r>
      <t>Last Name</t>
    </r>
    <r>
      <rPr>
        <sz val="11"/>
        <color rgb="FFFF0000"/>
        <rFont val="Arial"/>
        <family val="2"/>
      </rPr>
      <t>*</t>
    </r>
  </si>
  <si>
    <r>
      <t>Title</t>
    </r>
    <r>
      <rPr>
        <sz val="11"/>
        <color rgb="FFFF0000"/>
        <rFont val="Arial"/>
        <family val="2"/>
      </rPr>
      <t>*</t>
    </r>
  </si>
  <si>
    <r>
      <t>Primary Phone</t>
    </r>
    <r>
      <rPr>
        <sz val="11"/>
        <color rgb="FFFF0000"/>
        <rFont val="Arial"/>
        <family val="2"/>
      </rPr>
      <t>*</t>
    </r>
  </si>
  <si>
    <r>
      <t>Email</t>
    </r>
    <r>
      <rPr>
        <sz val="11"/>
        <color rgb="FFFF0000"/>
        <rFont val="Arial"/>
        <family val="2"/>
      </rPr>
      <t>*</t>
    </r>
  </si>
  <si>
    <r>
      <t>Company Address</t>
    </r>
    <r>
      <rPr>
        <sz val="11"/>
        <color rgb="FFFF0000"/>
        <rFont val="Arial"/>
        <family val="2"/>
      </rPr>
      <t>*</t>
    </r>
  </si>
  <si>
    <r>
      <t>City</t>
    </r>
    <r>
      <rPr>
        <sz val="11"/>
        <color rgb="FFFF0000"/>
        <rFont val="Arial"/>
        <family val="2"/>
      </rPr>
      <t>*</t>
    </r>
  </si>
  <si>
    <r>
      <t>State</t>
    </r>
    <r>
      <rPr>
        <sz val="11"/>
        <color rgb="FFFF0000"/>
        <rFont val="Arial"/>
        <family val="2"/>
      </rPr>
      <t>*</t>
    </r>
  </si>
  <si>
    <r>
      <t>Zip Code</t>
    </r>
    <r>
      <rPr>
        <sz val="11"/>
        <color rgb="FFFF0000"/>
        <rFont val="Arial"/>
        <family val="2"/>
      </rPr>
      <t>*</t>
    </r>
  </si>
  <si>
    <r>
      <t>Project Type</t>
    </r>
    <r>
      <rPr>
        <sz val="11"/>
        <color rgb="FFFF0000"/>
        <rFont val="Arial"/>
        <family val="2"/>
      </rPr>
      <t>*</t>
    </r>
  </si>
  <si>
    <r>
      <t>Project ID</t>
    </r>
    <r>
      <rPr>
        <sz val="11"/>
        <color rgb="FFFF0000"/>
        <rFont val="Arial"/>
        <family val="2"/>
      </rPr>
      <t>*</t>
    </r>
  </si>
  <si>
    <r>
      <t>Site Address</t>
    </r>
    <r>
      <rPr>
        <sz val="11"/>
        <color rgb="FFFF0000"/>
        <rFont val="Arial"/>
        <family val="2"/>
      </rPr>
      <t>*</t>
    </r>
  </si>
  <si>
    <r>
      <t>Building Type</t>
    </r>
    <r>
      <rPr>
        <sz val="11"/>
        <color rgb="FFFF0000"/>
        <rFont val="Arial"/>
        <family val="2"/>
      </rPr>
      <t>*</t>
    </r>
  </si>
  <si>
    <r>
      <t>Building Ownership</t>
    </r>
    <r>
      <rPr>
        <sz val="11"/>
        <color rgb="FFFF0000"/>
        <rFont val="Arial"/>
        <family val="2"/>
      </rPr>
      <t>*</t>
    </r>
  </si>
  <si>
    <r>
      <t>Annual Operating Hours</t>
    </r>
    <r>
      <rPr>
        <sz val="11"/>
        <color rgb="FFFF0000"/>
        <rFont val="Arial"/>
        <family val="2"/>
      </rPr>
      <t>*</t>
    </r>
  </si>
  <si>
    <r>
      <t>Space Conditioning Type</t>
    </r>
    <r>
      <rPr>
        <sz val="11"/>
        <color rgb="FFFF0000"/>
        <rFont val="Arial"/>
        <family val="2"/>
      </rPr>
      <t>*</t>
    </r>
  </si>
  <si>
    <r>
      <t>Water Heating Type</t>
    </r>
    <r>
      <rPr>
        <sz val="11"/>
        <color rgb="FFFF0000"/>
        <rFont val="Arial"/>
        <family val="2"/>
      </rPr>
      <t>*</t>
    </r>
  </si>
  <si>
    <r>
      <t>Electric Utility Rate</t>
    </r>
    <r>
      <rPr>
        <sz val="11"/>
        <color rgb="FFFF0000"/>
        <rFont val="Arial"/>
        <family val="2"/>
      </rPr>
      <t>*</t>
    </r>
    <r>
      <rPr>
        <sz val="11"/>
        <color theme="1"/>
        <rFont val="Arial"/>
        <family val="2"/>
      </rPr>
      <t xml:space="preserve"> ($/kWh)</t>
    </r>
  </si>
  <si>
    <r>
      <t>Project Description</t>
    </r>
    <r>
      <rPr>
        <sz val="11"/>
        <color rgb="FFFF0000"/>
        <rFont val="Arial"/>
        <family val="2"/>
      </rPr>
      <t>*</t>
    </r>
  </si>
  <si>
    <r>
      <t>Mailing Address</t>
    </r>
    <r>
      <rPr>
        <sz val="11"/>
        <color rgb="FFFF0000"/>
        <rFont val="Arial"/>
        <family val="2"/>
      </rPr>
      <t>*</t>
    </r>
  </si>
  <si>
    <r>
      <t>Payee Company Name</t>
    </r>
    <r>
      <rPr>
        <sz val="11"/>
        <color rgb="FFFF0000"/>
        <rFont val="Arial"/>
        <family val="2"/>
      </rPr>
      <t>*</t>
    </r>
  </si>
  <si>
    <r>
      <t>Payee First Name</t>
    </r>
    <r>
      <rPr>
        <sz val="11"/>
        <color rgb="FFFF0000"/>
        <rFont val="Arial"/>
        <family val="2"/>
      </rPr>
      <t>*</t>
    </r>
  </si>
  <si>
    <r>
      <t>Payee Last Name</t>
    </r>
    <r>
      <rPr>
        <sz val="11"/>
        <color rgb="FFFF0000"/>
        <rFont val="Arial"/>
        <family val="2"/>
      </rPr>
      <t>*</t>
    </r>
  </si>
  <si>
    <r>
      <t>Phone Number</t>
    </r>
    <r>
      <rPr>
        <sz val="11"/>
        <color rgb="FFFF0000"/>
        <rFont val="Arial"/>
        <family val="2"/>
      </rPr>
      <t>*</t>
    </r>
  </si>
  <si>
    <r>
      <t>Tax Entity</t>
    </r>
    <r>
      <rPr>
        <sz val="11"/>
        <color rgb="FFFF0000"/>
        <rFont val="Arial"/>
        <family val="2"/>
      </rPr>
      <t>*</t>
    </r>
  </si>
  <si>
    <r>
      <t>Federal Tax ID Number</t>
    </r>
    <r>
      <rPr>
        <sz val="11"/>
        <color rgb="FFFF0000"/>
        <rFont val="Arial"/>
        <family val="2"/>
      </rPr>
      <t>*</t>
    </r>
  </si>
  <si>
    <r>
      <t>Electronic Signature (Account Owner or Authorized Representative)</t>
    </r>
    <r>
      <rPr>
        <sz val="11"/>
        <color rgb="FFFF0000"/>
        <rFont val="Arial"/>
        <family val="2"/>
      </rPr>
      <t>*</t>
    </r>
  </si>
  <si>
    <r>
      <t>Signatory Title</t>
    </r>
    <r>
      <rPr>
        <sz val="11"/>
        <color rgb="FFFF0000"/>
        <rFont val="Arial"/>
        <family val="2"/>
      </rPr>
      <t>*</t>
    </r>
  </si>
  <si>
    <r>
      <t>Date Signed</t>
    </r>
    <r>
      <rPr>
        <sz val="11"/>
        <color rgb="FFFF0000"/>
        <rFont val="Arial"/>
        <family val="2"/>
      </rPr>
      <t>*</t>
    </r>
  </si>
  <si>
    <t>Operating Hours Calculator</t>
  </si>
  <si>
    <t>Operating Hours</t>
  </si>
  <si>
    <t>Total Operating Hours:</t>
  </si>
  <si>
    <t>Weekday</t>
  </si>
  <si>
    <t>Holiday Name</t>
  </si>
  <si>
    <t>Select</t>
  </si>
  <si>
    <t>Monday</t>
  </si>
  <si>
    <t>Martin Luther King Day</t>
  </si>
  <si>
    <t>Weeks</t>
  </si>
  <si>
    <t>Tuesday</t>
  </si>
  <si>
    <t>Presidents' Day</t>
  </si>
  <si>
    <t>Wednesday</t>
  </si>
  <si>
    <t>Memorial Day</t>
  </si>
  <si>
    <t>Thursday</t>
  </si>
  <si>
    <t>Friday</t>
  </si>
  <si>
    <t>Labor Day</t>
  </si>
  <si>
    <t>Saturday</t>
  </si>
  <si>
    <t>Columbus Day</t>
  </si>
  <si>
    <t>Sunday</t>
  </si>
  <si>
    <t>WEEKLY HOURS</t>
  </si>
  <si>
    <t>Thanksgiving Day</t>
  </si>
  <si>
    <t xml:space="preserve">24/7 hours of operation all year = 8,760  (52.14 weeks per year)
</t>
  </si>
  <si>
    <t>Christmas Eve</t>
  </si>
  <si>
    <t>TOTAL HOLIDAY  HOURS</t>
  </si>
  <si>
    <t>Not Applicable</t>
  </si>
  <si>
    <t>Base W 2</t>
  </si>
  <si>
    <t>Company Information</t>
  </si>
  <si>
    <t>APPLICATION REVIEW</t>
  </si>
  <si>
    <t>Halogen (Please Describe)</t>
  </si>
  <si>
    <t>T5 - 4 ft - 1 Lamp</t>
  </si>
  <si>
    <t>T5 - 4 ft - 2 Lamp</t>
  </si>
  <si>
    <t>T5 - 4 ft - 4 Lamp</t>
  </si>
  <si>
    <t>T5 - 4 ft - 6 Lamp</t>
  </si>
  <si>
    <t>Signage Fixture (Please Describe)</t>
  </si>
  <si>
    <t>Neon Fixture (Please Describe)</t>
  </si>
  <si>
    <t>Induction Fixture (Please Describe)</t>
  </si>
  <si>
    <t>Inefficient Signage Fixture</t>
  </si>
  <si>
    <t>Inefficient Neon Fixture</t>
  </si>
  <si>
    <t>Inefficient Induction Fixture</t>
  </si>
  <si>
    <t>Project Type</t>
  </si>
  <si>
    <t>Information Links</t>
  </si>
  <si>
    <t>Inc Rate</t>
  </si>
  <si>
    <t>Diversity Business Type</t>
  </si>
  <si>
    <t>Minority Business Enterprise (MBE)</t>
  </si>
  <si>
    <t>Diversity Issued Org</t>
  </si>
  <si>
    <t>Federal</t>
  </si>
  <si>
    <t>City/County</t>
  </si>
  <si>
    <t>3rd Party</t>
  </si>
  <si>
    <t>Cost Basis</t>
  </si>
  <si>
    <t>Existing Inefficient Lighting Fixture</t>
  </si>
  <si>
    <t>Read and Accept Program Terms and Conditions</t>
  </si>
  <si>
    <t>Spillover Text</t>
  </si>
  <si>
    <t>Spillover Reason</t>
  </si>
  <si>
    <t>Enter Measures</t>
  </si>
  <si>
    <t>No Savings</t>
  </si>
  <si>
    <t>Payback Too Fast, Submit for Review</t>
  </si>
  <si>
    <t>Not Cost Effective Submit for Review</t>
  </si>
  <si>
    <t>Submit for Review</t>
  </si>
  <si>
    <t>Rate Schedules</t>
  </si>
  <si>
    <t>Rate</t>
  </si>
  <si>
    <t>Small General Service (2M)</t>
  </si>
  <si>
    <t>Large General Service (3M)</t>
  </si>
  <si>
    <t>Small Primary (4M)</t>
  </si>
  <si>
    <t>Large Primary (11M)</t>
  </si>
  <si>
    <t>Enter Rate Manually</t>
  </si>
  <si>
    <t>APP EXPIRED</t>
  </si>
  <si>
    <t>Please Review and Sign Form</t>
  </si>
  <si>
    <t>Measure Not Eligible</t>
  </si>
  <si>
    <t>Not Cost Effective</t>
  </si>
  <si>
    <t>Payback Under 18 Months</t>
  </si>
  <si>
    <t>Not Eligible</t>
  </si>
  <si>
    <t>ProjectNumber</t>
  </si>
  <si>
    <t>ProjectNameID</t>
  </si>
  <si>
    <t>MethodReceived</t>
  </si>
  <si>
    <t>AnnualHrs/Op</t>
  </si>
  <si>
    <t>YearBuilt</t>
  </si>
  <si>
    <t>#ofFloors</t>
  </si>
  <si>
    <t>WaterHeatSrce</t>
  </si>
  <si>
    <t>BldgHeatSrce</t>
  </si>
  <si>
    <t>System Text</t>
  </si>
  <si>
    <t>Terms and Conditions</t>
  </si>
  <si>
    <t>Project Site Information</t>
  </si>
  <si>
    <t>Trade Ally / Vendor Information</t>
  </si>
  <si>
    <t>Measure #</t>
  </si>
  <si>
    <t>Measure Name</t>
  </si>
  <si>
    <t>Equipment Description</t>
  </si>
  <si>
    <t>Eff Category</t>
  </si>
  <si>
    <t>Eff Measure Group</t>
  </si>
  <si>
    <t>Base Category</t>
  </si>
  <si>
    <t>Base Measure Group</t>
  </si>
  <si>
    <t>TRM Reference No.</t>
  </si>
  <si>
    <t>Created On</t>
  </si>
  <si>
    <t>Savings per Unit kW</t>
  </si>
  <si>
    <t>Inc Rate kWh</t>
  </si>
  <si>
    <t>Inc Rate kW</t>
  </si>
  <si>
    <t>Lighting vs Non Lighting</t>
  </si>
  <si>
    <t>Typical Unit Size</t>
  </si>
  <si>
    <t>Standard</t>
  </si>
  <si>
    <t xml:space="preserve">Please read through the program terms and conditions and sign at the bottom of the page to indicate you understand and agree to the terms and conditions.
</t>
  </si>
  <si>
    <t>Summary Form</t>
  </si>
  <si>
    <t>v</t>
  </si>
  <si>
    <t>Project Number :</t>
  </si>
  <si>
    <t>*click on section titles to jump to section</t>
  </si>
  <si>
    <t>Enter Utility Rate (Project Info Tab)</t>
  </si>
  <si>
    <t>Each measure could have unique operating hours depending on the technology and use. Use this calculator to record the specific operating hours for each measure as required.</t>
  </si>
  <si>
    <t>InvoiceDate</t>
  </si>
  <si>
    <t>Installed Date*</t>
  </si>
  <si>
    <t>f.</t>
  </si>
  <si>
    <t>Invoice and Installation Date Filled</t>
  </si>
  <si>
    <t>Invoice Date*</t>
  </si>
  <si>
    <t>Application Progress</t>
  </si>
  <si>
    <t>Company and Site</t>
  </si>
  <si>
    <t>Trade Ally</t>
  </si>
  <si>
    <t>Payment</t>
  </si>
  <si>
    <t>End Dates(Standard)</t>
  </si>
  <si>
    <t>Spillover kWh</t>
  </si>
  <si>
    <t>Spillover kW</t>
  </si>
  <si>
    <t>Step 1:  
Select how many hours per day the technology is being utilized.</t>
  </si>
  <si>
    <t>Hours per Year</t>
  </si>
  <si>
    <t>Project ID/Site Name</t>
  </si>
  <si>
    <t>Facility Operating Hours Calculator</t>
  </si>
  <si>
    <r>
      <t>Payment Type</t>
    </r>
    <r>
      <rPr>
        <sz val="11"/>
        <color rgb="FFFF0000"/>
        <rFont val="Arial"/>
        <family val="2"/>
      </rPr>
      <t>*</t>
    </r>
  </si>
  <si>
    <t>TA</t>
  </si>
  <si>
    <t>Project</t>
  </si>
  <si>
    <t>Step 3:  
Enter weeks per year the technology is being utilized.</t>
  </si>
  <si>
    <r>
      <rPr>
        <b/>
        <sz val="10"/>
        <color theme="3"/>
        <rFont val="Arial"/>
        <family val="2"/>
      </rPr>
      <t>Additional Considerations:</t>
    </r>
    <r>
      <rPr>
        <sz val="10"/>
        <color theme="1"/>
        <rFont val="Arial"/>
        <family val="2"/>
      </rPr>
      <t xml:space="preserve">
1.)  </t>
    </r>
    <r>
      <rPr>
        <i/>
        <sz val="10"/>
        <color rgb="FFC00000"/>
        <rFont val="Arial"/>
        <family val="2"/>
      </rPr>
      <t>Each measure could have unique operating hours depending on the     technology and use.  Use this calculator to record the specific operating hours for each measure as required.</t>
    </r>
    <r>
      <rPr>
        <sz val="10"/>
        <color theme="1"/>
        <rFont val="Arial"/>
        <family val="2"/>
      </rPr>
      <t xml:space="preserve">
2.)  24/7 hours of operation all year = 8,760  (52.14 Weeks per year)
3.)  Dusk to dawn operating hours are 4,300 for the Ameren Missouri territory.
</t>
    </r>
  </si>
  <si>
    <t>M02S04F06.1</t>
  </si>
  <si>
    <t>Bill Credit Acc</t>
  </si>
  <si>
    <t>Payment Preference</t>
  </si>
  <si>
    <t>Invoiced Date</t>
  </si>
  <si>
    <t>Installed Date</t>
  </si>
  <si>
    <t>Impl. Specialist</t>
  </si>
  <si>
    <t>Tax Exempt Letter</t>
  </si>
  <si>
    <t>ProgramContactPC</t>
  </si>
  <si>
    <t>Is there a Trade Ally or vendor for this project?</t>
  </si>
  <si>
    <t>Please fill out the Trade Ally / vendor information below. If this is a self-install, select "No" and proceed to the next tab.</t>
  </si>
  <si>
    <r>
      <t>Trade Ally / Vendor Company</t>
    </r>
    <r>
      <rPr>
        <sz val="11"/>
        <color rgb="FFFF0000"/>
        <rFont val="Arial"/>
        <family val="2"/>
      </rPr>
      <t>*</t>
    </r>
  </si>
  <si>
    <t>Incentive Less Than $150</t>
  </si>
  <si>
    <t>Project #</t>
  </si>
  <si>
    <t>ProjectType</t>
  </si>
  <si>
    <t>Op Hr 1</t>
  </si>
  <si>
    <t>Op Hr 2</t>
  </si>
  <si>
    <t>Hours</t>
  </si>
  <si>
    <t>Custom Holiday</t>
  </si>
  <si>
    <t>(enter date range)</t>
  </si>
  <si>
    <t>(enter description)</t>
  </si>
  <si>
    <t>If you should like to add a custom holiday schedule, use the last line to provide a date or date range, a description, and the total amount of work hours removed due to the holiday. Example: 12/26-12/30, Post Christmas to NYE Break, 40 hours total (8hrs/day x 5 work days)</t>
  </si>
  <si>
    <t>Payee Type</t>
  </si>
  <si>
    <t>X.0.0</t>
  </si>
  <si>
    <t>0.X.0</t>
  </si>
  <si>
    <t>0.0.X</t>
  </si>
  <si>
    <t>Complete application redesign or program year changes</t>
  </si>
  <si>
    <t>Versioning Guidelines (using the highest hierarchy in a group of changes)</t>
  </si>
  <si>
    <t>bug fixes, calculation adjustments, additional custom options, additional features that does not affect program guideline, LM Captures changes that would not affect compatability</t>
  </si>
  <si>
    <t>Measure Validator</t>
  </si>
  <si>
    <t>End of Expiration changes, program guideline changes, prescriptive measure additions, LM Captures compatibility related changes</t>
  </si>
  <si>
    <t>Freezer</t>
  </si>
  <si>
    <t>Cabinet</t>
  </si>
  <si>
    <r>
      <t>Is Site Contact same as Company Contact?</t>
    </r>
    <r>
      <rPr>
        <sz val="11"/>
        <color rgb="FFFF0000"/>
        <rFont val="Arial"/>
        <family val="2"/>
      </rPr>
      <t>*</t>
    </r>
  </si>
  <si>
    <r>
      <t>Is Site Location same as Company Location?</t>
    </r>
    <r>
      <rPr>
        <sz val="11"/>
        <color rgb="FFFF0000"/>
        <rFont val="Arial"/>
        <family val="2"/>
      </rPr>
      <t>*</t>
    </r>
  </si>
  <si>
    <t>,IFERROR(IF(AX18&gt;AW18,MEASURESAVE,IF(BB18&gt;INDEX(PMELIGHTLIN[Eff Watt 1],MATCH(AZ18,PMELIGHTLIN[Measure Validator],0)),"Eff. Wattage Not Met",IF(BD18&lt;BE18,"Linear Feet Exceeded",IF(K18&lt;INDEX(PMELIGHTLIN[Op Hr 1],MATCH(AZ18,PMELIGHTLIN[Measure Validator],0)),"Operating Hours Invalid","")))),"ERROR"))</t>
  </si>
  <si>
    <t>Eff. Wattage Not Met</t>
  </si>
  <si>
    <t>Operating Hours Invalid</t>
  </si>
  <si>
    <t>Project Site Address</t>
  </si>
  <si>
    <t>Project Contact</t>
  </si>
  <si>
    <t>Approving Engineer</t>
  </si>
  <si>
    <t>Program Type</t>
  </si>
  <si>
    <t>3. Customer Signature</t>
  </si>
  <si>
    <t>Sign and date here. We encourage electronic submission. A typewritten signature is acceptable and will have the same effect as a pen signature.</t>
  </si>
  <si>
    <t>1. Update Installed Measures</t>
  </si>
  <si>
    <t>2. Review Payee Information</t>
  </si>
  <si>
    <t>Payment Type</t>
  </si>
  <si>
    <t>Payment To</t>
  </si>
  <si>
    <r>
      <t>Is the following payment information correct? If not, change your selection in the</t>
    </r>
    <r>
      <rPr>
        <sz val="11"/>
        <color rgb="FF0000FF"/>
        <rFont val="Arial"/>
        <family val="2"/>
      </rPr>
      <t xml:space="preserve"> Payee</t>
    </r>
    <r>
      <rPr>
        <sz val="11"/>
        <color theme="1"/>
        <rFont val="Arial"/>
        <family val="2"/>
      </rPr>
      <t xml:space="preserve"> tab.</t>
    </r>
  </si>
  <si>
    <t>Custom and Prescriptive Application</t>
  </si>
  <si>
    <t>Custom/Prescriptive</t>
  </si>
  <si>
    <t>Prescriptive Measure List</t>
  </si>
  <si>
    <t>PRESCRIPTIVE MEASURES INPUT</t>
  </si>
  <si>
    <t>Prescriptive</t>
  </si>
  <si>
    <t>HID 1000W</t>
  </si>
  <si>
    <t>LED Exit Sign</t>
  </si>
  <si>
    <t>CFL or Incandescent Exit Sign</t>
  </si>
  <si>
    <t>LED - Exterior</t>
  </si>
  <si>
    <t>LED - Interior</t>
  </si>
  <si>
    <t>Refrigerator</t>
  </si>
  <si>
    <t>Door</t>
  </si>
  <si>
    <t>Motor</t>
  </si>
  <si>
    <t>Machine</t>
  </si>
  <si>
    <t>VFD added to 1-20 hp Process Pump</t>
  </si>
  <si>
    <t>HP</t>
  </si>
  <si>
    <t>VFD added to 1-20 hp HVAC Fans</t>
  </si>
  <si>
    <t>VFD added to 1-20 hp Chilled Water</t>
  </si>
  <si>
    <t>VFD added to 1-20 hp Heated Water</t>
  </si>
  <si>
    <t>Fryer</t>
  </si>
  <si>
    <t>Dishwasher</t>
  </si>
  <si>
    <t>C&amp;I Energy Efficiency Prescriptive Measures</t>
  </si>
  <si>
    <t>Annual kWh Reduction</t>
  </si>
  <si>
    <t>Building Area Type</t>
  </si>
  <si>
    <t>Automotive Facility</t>
  </si>
  <si>
    <t>Exterior Canopies</t>
  </si>
  <si>
    <t>Convention Center</t>
  </si>
  <si>
    <t>Courthouse</t>
  </si>
  <si>
    <t>Dining: Bar Lounge/Leisure</t>
  </si>
  <si>
    <t>Dining: Cafeteria/Fast Food</t>
  </si>
  <si>
    <t>Dining: Family</t>
  </si>
  <si>
    <t>Dormitory</t>
  </si>
  <si>
    <t>Exercise Center</t>
  </si>
  <si>
    <t>Gymnasium</t>
  </si>
  <si>
    <t>Healthcare – clinic</t>
  </si>
  <si>
    <t>Hospital</t>
  </si>
  <si>
    <t>Hotel</t>
  </si>
  <si>
    <t>Library</t>
  </si>
  <si>
    <t>Motel</t>
  </si>
  <si>
    <t>Motion Picture Theater</t>
  </si>
  <si>
    <t>Multi-Family</t>
  </si>
  <si>
    <t>Museum</t>
  </si>
  <si>
    <t>Penitentiary</t>
  </si>
  <si>
    <t>Performing Arts Theaters</t>
  </si>
  <si>
    <t>Post Office</t>
  </si>
  <si>
    <t>Religious Building</t>
  </si>
  <si>
    <t>Sports Arena</t>
  </si>
  <si>
    <t>Exterior Stairways</t>
  </si>
  <si>
    <t>Town Hall</t>
  </si>
  <si>
    <t>Transportation</t>
  </si>
  <si>
    <t>Exterior Walkways &lt;10ft Wide (W/linear ft.)</t>
  </si>
  <si>
    <t>Exterior Walkways &gt;10ft Wide/ Plaza Areas</t>
  </si>
  <si>
    <t>Workshop</t>
  </si>
  <si>
    <t>ASHRAE Standard 90.1 – 2007  (Watts/ Sq. Ft.)</t>
  </si>
  <si>
    <t>Annual Hours</t>
  </si>
  <si>
    <t>New Construction Lighting</t>
  </si>
  <si>
    <t>Anti-Sweat Heater Controls - Cooler</t>
  </si>
  <si>
    <t>IN Prescriptive</t>
  </si>
  <si>
    <t>IN TRM 2.2</t>
  </si>
  <si>
    <t>Active</t>
  </si>
  <si>
    <t>Anti-Sweat Heater Controls - Freezer</t>
  </si>
  <si>
    <t>Compressed Air - Engineered Nozzle - 1/4" Nozzle</t>
  </si>
  <si>
    <t>Nozzle</t>
  </si>
  <si>
    <t>1/4" Nozzle</t>
  </si>
  <si>
    <t>Regular Nozzle</t>
  </si>
  <si>
    <t>Compressed Air - Engineered Nozzle - 1/8" Nozzle</t>
  </si>
  <si>
    <t>1/8" Nozzle</t>
  </si>
  <si>
    <t>Controls</t>
  </si>
  <si>
    <t>No control</t>
  </si>
  <si>
    <t>ECM</t>
  </si>
  <si>
    <t>260909</t>
  </si>
  <si>
    <t>260909-Motor-ECM - HVAC Motor</t>
  </si>
  <si>
    <t>ECM - HVAC Motor</t>
  </si>
  <si>
    <t>ECM HVAC Motor</t>
  </si>
  <si>
    <t>No ECM</t>
  </si>
  <si>
    <t>2017 MEMD</t>
  </si>
  <si>
    <t>Kitchen</t>
  </si>
  <si>
    <t>Griddle</t>
  </si>
  <si>
    <t>Linear Ft</t>
  </si>
  <si>
    <t>262889</t>
  </si>
  <si>
    <t>262889-Motor-VFD added to 1-20 hp Chilled Water</t>
  </si>
  <si>
    <t>VFD</t>
  </si>
  <si>
    <t>Chilled Water</t>
  </si>
  <si>
    <t>262890</t>
  </si>
  <si>
    <t>262890-Motor-VFD added to 1-20 hp Heated Water</t>
  </si>
  <si>
    <t>262809</t>
  </si>
  <si>
    <t>262809-Motor-VFD added to 1-20 hp HVAC Fans</t>
  </si>
  <si>
    <t>Process Pump</t>
  </si>
  <si>
    <t>Standard Efficiency Pump/Motor Combination</t>
  </si>
  <si>
    <t>O</t>
  </si>
  <si>
    <t>No Pre-approval Required</t>
  </si>
  <si>
    <t>Pre-approval Required</t>
  </si>
  <si>
    <t>Inspection Required</t>
  </si>
  <si>
    <t>HID ≤ 175W</t>
  </si>
  <si>
    <r>
      <t xml:space="preserve">Enter invoice and installed date below for </t>
    </r>
    <r>
      <rPr>
        <b/>
        <sz val="11"/>
        <color theme="1"/>
        <rFont val="Arial"/>
        <family val="2"/>
      </rPr>
      <t>prescriptive</t>
    </r>
    <r>
      <rPr>
        <sz val="11"/>
        <color theme="1"/>
        <rFont val="Arial"/>
        <family val="2"/>
      </rPr>
      <t xml:space="preserve"> </t>
    </r>
    <r>
      <rPr>
        <b/>
        <sz val="11"/>
        <color theme="1"/>
        <rFont val="Arial"/>
        <family val="2"/>
      </rPr>
      <t>projects with incentives less than $10,000</t>
    </r>
    <r>
      <rPr>
        <sz val="11"/>
        <color theme="1"/>
        <rFont val="Arial"/>
        <family val="2"/>
      </rPr>
      <t>.</t>
    </r>
  </si>
  <si>
    <t>Lucas Roach</t>
  </si>
  <si>
    <t>2.0.0</t>
  </si>
  <si>
    <t>Total Watts</t>
  </si>
  <si>
    <t>Retro-Commissioning</t>
  </si>
  <si>
    <t>Material and labor invoices</t>
  </si>
  <si>
    <t>Specification sheets of all new equipment</t>
  </si>
  <si>
    <t>Payee Company's W-9</t>
  </si>
  <si>
    <t>If applicable</t>
  </si>
  <si>
    <t>Additional project assumption documents</t>
  </si>
  <si>
    <t>Calculation or model output</t>
  </si>
  <si>
    <t>Please review the Offer Form below and fill in the highlighted fields. If you have any questions, please contact us.</t>
  </si>
  <si>
    <r>
      <t xml:space="preserve">Please review the Completion Form for accuracy. If there have been adjustments to the project, please click on the associated tab name highlighted in </t>
    </r>
    <r>
      <rPr>
        <sz val="13"/>
        <color rgb="FF0000FF"/>
        <rFont val="Arial"/>
        <family val="2"/>
      </rPr>
      <t>blue</t>
    </r>
    <r>
      <rPr>
        <sz val="13"/>
        <rFont val="Arial"/>
        <family val="2"/>
      </rPr>
      <t xml:space="preserve"> in steps 1 and 2 below.  
</t>
    </r>
  </si>
  <si>
    <t>Mike</t>
  </si>
  <si>
    <t>Taylor</t>
  </si>
  <si>
    <t>PASS</t>
  </si>
  <si>
    <t>Electric $/kWh</t>
  </si>
  <si>
    <t>T&amp;C/Signatory</t>
  </si>
  <si>
    <r>
      <t>Site Name</t>
    </r>
    <r>
      <rPr>
        <sz val="11"/>
        <color rgb="FFFF0000"/>
        <rFont val="Arial"/>
        <family val="2"/>
      </rPr>
      <t>*</t>
    </r>
  </si>
  <si>
    <t>Taylor Sizemore</t>
  </si>
  <si>
    <t>(NONE)</t>
  </si>
  <si>
    <t>NIPSCO Energy Efficiency Program</t>
  </si>
  <si>
    <t>Energy Efficiency Programs</t>
  </si>
  <si>
    <t>NIPSCO</t>
  </si>
  <si>
    <t>LED 2x2 Fixture</t>
  </si>
  <si>
    <t>LED 2x4 Fixture</t>
  </si>
  <si>
    <t>No Existing Controls</t>
  </si>
  <si>
    <t>Non-ENERGY STAR Model</t>
  </si>
  <si>
    <t>ENERGY STAR Fryer</t>
  </si>
  <si>
    <t>ENERGY STAR Oven - Combo</t>
  </si>
  <si>
    <t>Oven</t>
  </si>
  <si>
    <t>ENERGY STAR Oven - Convection</t>
  </si>
  <si>
    <t>ENERGY STAR Steamer - 3 Pan</t>
  </si>
  <si>
    <t>Steamer</t>
  </si>
  <si>
    <t>ENERGY STAR Steamer - 4 Pan</t>
  </si>
  <si>
    <t>ENERGY STAR Steamer - 5 Pan</t>
  </si>
  <si>
    <t>ENERGY STAR Steamer - 6 Pan</t>
  </si>
  <si>
    <t>Fluorescent Case Lighting</t>
  </si>
  <si>
    <t>MBH</t>
  </si>
  <si>
    <t>No Controls</t>
  </si>
  <si>
    <t>No Insulation</t>
  </si>
  <si>
    <t>Boiler</t>
  </si>
  <si>
    <t>Infrared Heater</t>
  </si>
  <si>
    <t>Heater</t>
  </si>
  <si>
    <t>Dry Cleaning Steam Trap Replacement</t>
  </si>
  <si>
    <t>Failed Steam Trap</t>
  </si>
  <si>
    <t>Trap</t>
  </si>
  <si>
    <t>Industrial Steam Trap Replacement</t>
  </si>
  <si>
    <t>Water Heater</t>
  </si>
  <si>
    <t>MBH Input</t>
  </si>
  <si>
    <t>I authorize NIPSCO to access energy usage data for the specified accounts at the physical site address of the project listed above and release to the Trade Ally listed on this application. I agree that NIPSCO may include my name, city or county of business, Program services/incentives and resulting energy-savings in reports or other documentation submitted to NIPSCO and relevant agencies administering energy programs. NIPSCO will treat all other information gathered through the Program as confidential.</t>
  </si>
  <si>
    <t xml:space="preserve">I understand and agree to comply with the Terms and Conditions of the NIPSCO Energy Efficiency Program and that all energy efficiency measures identified in this application comply with program rules. </t>
  </si>
  <si>
    <r>
      <t>How did you hear about this program?</t>
    </r>
    <r>
      <rPr>
        <sz val="11"/>
        <color rgb="FFFF0000"/>
        <rFont val="Arial"/>
        <family val="2"/>
      </rPr>
      <t>*</t>
    </r>
  </si>
  <si>
    <t>Customer Info</t>
  </si>
  <si>
    <r>
      <t>Gas Utility Rate</t>
    </r>
    <r>
      <rPr>
        <sz val="11"/>
        <color rgb="FFFF0000"/>
        <rFont val="Arial"/>
        <family val="2"/>
      </rPr>
      <t>*</t>
    </r>
    <r>
      <rPr>
        <sz val="11"/>
        <color theme="1"/>
        <rFont val="Arial"/>
        <family val="2"/>
      </rPr>
      <t xml:space="preserve"> ($/Therm)</t>
    </r>
  </si>
  <si>
    <t xml:space="preserve">Tax Liability:  NIPSCO is not responsible for any taxes that may be imposed on you as a result of your receipt of this incentive. Incentive Amounts could be taxable to you if greater than $600. You should consult your tax advisor for any questions concerning the taxability of incentives. </t>
  </si>
  <si>
    <t>Tax Liability:  NIPSCO is not responsible for any taxes that may be imposed on you as a result of your receipt of this incentive. Incentive Amounts could be taxable to you if greater than $600. You should consult your tax advisor for any questions concerning the taxability of incentives.</t>
  </si>
  <si>
    <t>I am authorizing this payment of my incentive to the third party (“Payee”) named above and I understand that I will not be receiving the incentive check from NIPSCO.  I also understand that my release of the payment to the third party does not exempt me from the incentive requirements outlined in this application.   Tax Liability:  NIPSCO is not responsible for any taxes that may be imposed on you as a result of your receipt of this incentive. Incentive Amounts could be taxable to you if greater than $600. You should consult your tax advisor for any questions concerning the taxability of incentives.</t>
  </si>
  <si>
    <t>810121-Lighting-LED-LED Exit Sign</t>
  </si>
  <si>
    <t>810110-Lighting-LED-LED Exterior Replacing HID ≤ 175W</t>
  </si>
  <si>
    <t>810112-Lighting-LED-LED Exterior Replacing HID 251-400W</t>
  </si>
  <si>
    <t>810113-Lighting-LED-LED Exterior Replacing HID 1000W</t>
  </si>
  <si>
    <t>810114-Lighting-LED-LED Interior Replacing HID ≤ 175W</t>
  </si>
  <si>
    <t>810117-Lighting-LED-LED Interior Replacing HID 251-400W</t>
  </si>
  <si>
    <t>810118-Lighting-LED-LED Interior Replacing HID 1000W</t>
  </si>
  <si>
    <t>Delamping</t>
  </si>
  <si>
    <t>LED Exterior Replacing HID ≤ 175W</t>
  </si>
  <si>
    <t>LED Exterior Replacing HID176-250W</t>
  </si>
  <si>
    <t>LED Exterior Replacing HID 251-400W</t>
  </si>
  <si>
    <t>LED Exterior Replacing HID 1000W</t>
  </si>
  <si>
    <t>LED Interior Replacing HID ≤ 175W</t>
  </si>
  <si>
    <t>LED Interior Replacing HID176-250W</t>
  </si>
  <si>
    <t>LED Interior Replacing HID 251-400W</t>
  </si>
  <si>
    <t>LED Interior Replacing HID 1000W</t>
  </si>
  <si>
    <t>HID 251-400W</t>
  </si>
  <si>
    <t>Fixture (Lamp Wattage)</t>
  </si>
  <si>
    <r>
      <t xml:space="preserve">I understand and agree to comply with the Payment Terms and Conditions of the NIPSCO Energy Efficiency Program. </t>
    </r>
    <r>
      <rPr>
        <b/>
        <sz val="14"/>
        <color rgb="FFFF0000"/>
        <rFont val="Arial"/>
        <family val="2"/>
      </rPr>
      <t>*</t>
    </r>
  </si>
  <si>
    <t>Hot Water Pump</t>
  </si>
  <si>
    <t>Chilled Water Pump</t>
  </si>
  <si>
    <t>1000 Sq Ft</t>
  </si>
  <si>
    <t>831301-Lighting-Refrigerator-LED Freezer Display Case Lighting</t>
  </si>
  <si>
    <t>831201-Lighting-Controls-Motion Sensors on LED cases</t>
  </si>
  <si>
    <t>LED Freezer Display Case Lighting Replacing T12</t>
  </si>
  <si>
    <t>LED Refrigerated Case Lighting Replacing T12 4ft 4 Lamp</t>
  </si>
  <si>
    <t>Motion Sensors on LED cases Replacing No Existing Controls</t>
  </si>
  <si>
    <t>ENERGY STAR Ice Machine - 500-1000 lb/Day Replacing Non-ENERGY STAR Model</t>
  </si>
  <si>
    <t>ENERGY STAR Ice Machine - &gt;=1000 lb/Day Replacing Non-ENERGY STAR Model</t>
  </si>
  <si>
    <t>Anti-Sweat Heater Controls - Cooler Replacing No Controls</t>
  </si>
  <si>
    <t>Anti-Sweat Heater Controls - Freezer Replacing No Controls</t>
  </si>
  <si>
    <t>Ice Machine</t>
  </si>
  <si>
    <t>LED Freezer Display Case Lighting</t>
  </si>
  <si>
    <t>LED Refrigerated Case Lighting</t>
  </si>
  <si>
    <t>Motion Sensors on LED cases</t>
  </si>
  <si>
    <t>ENERGY STAR Ice Machine - 500-1000 lb/Day</t>
  </si>
  <si>
    <t>ENERGY STAR Ice Machine - &gt;=1000 lb/Day</t>
  </si>
  <si>
    <t>Shaded Pole or PSC Motors</t>
  </si>
  <si>
    <t>851001-Kitchen-Steamer-ENERGY STAR Steamer - 3 Pan</t>
  </si>
  <si>
    <t>851002-Kitchen-Steamer-ENERGY STAR Steamer - 4 Pan</t>
  </si>
  <si>
    <t>851008-Kitchen-Fryer-ENERGY STAR</t>
  </si>
  <si>
    <t>851013-Kitchen-Holding Cabinet-ENERGY STAR - 1/2 Size</t>
  </si>
  <si>
    <t>ENERGY STAR Steamer - 3 Pan Replacing Non-ENERGY STAR model</t>
  </si>
  <si>
    <t>ENERGY STAR Steamer - 4 Pan Replacing Non-ENERGY STAR model</t>
  </si>
  <si>
    <t>ENERGY STAR Steamer - 5 Pan Replacing Non-ENERGY STAR model</t>
  </si>
  <si>
    <t>ENERGY STAR Steamer - 6 Pan Replacing Non-ENERGY STAR model</t>
  </si>
  <si>
    <t>ENERGY STAR Replacing Non-ENERGY STAR model</t>
  </si>
  <si>
    <t>ENERGY STAR - 1/2 Size Replacing Non-ENERGY STAR model</t>
  </si>
  <si>
    <t>ENERGY STAR - Full Size Replacing Non-ENERGY STAR model</t>
  </si>
  <si>
    <t>ENERGY STAR Oven - Combo Replacing Non-ENERGY STAR model</t>
  </si>
  <si>
    <t>ENERGY STAR Oven - Convection Replacing Non-ENERGY STAR model</t>
  </si>
  <si>
    <t>Holding Cabinet</t>
  </si>
  <si>
    <t>ENERGY STAR - Holding Cabinet - 1/2 Size</t>
  </si>
  <si>
    <t>ENERGY STAR - Holding Cabinet - Full Size</t>
  </si>
  <si>
    <t>Non-ENERGY STAR model</t>
  </si>
  <si>
    <t>Boiler Hot Water Lockout/Reset</t>
  </si>
  <si>
    <t>910114-HVAC-Boiler-Commercial Heating Steam Trap Replacement</t>
  </si>
  <si>
    <t>Commercial Heating Steam Trap Replacement</t>
  </si>
  <si>
    <t>Commercial Heating Steam Trap Replacement Replacing Failed Steam Trap</t>
  </si>
  <si>
    <t>Industrial Steam Trap Replacement Replacing Failed Steam Trap</t>
  </si>
  <si>
    <t>Furnace</t>
  </si>
  <si>
    <t>Std. Space Heater</t>
  </si>
  <si>
    <t>Infrared Heater Replacing Std. Space Heater</t>
  </si>
  <si>
    <t>Water Heat</t>
  </si>
  <si>
    <t>Annual Therm Savings</t>
  </si>
  <si>
    <t>Custom Lighting</t>
  </si>
  <si>
    <t>NIPSCO Program Approval</t>
  </si>
  <si>
    <t>kWh Savings</t>
  </si>
  <si>
    <t>Motors &amp; Drives</t>
  </si>
  <si>
    <t>NC - Whole Building Design</t>
  </si>
  <si>
    <t>NC - HVAC</t>
  </si>
  <si>
    <t>NC - Refrigeration</t>
  </si>
  <si>
    <t>NC - Motors &amp; Drives</t>
  </si>
  <si>
    <t>NC - Envelope</t>
  </si>
  <si>
    <t>NC - Process</t>
  </si>
  <si>
    <t>Bldg Optimization - Lighting</t>
  </si>
  <si>
    <t>Lighting controls optimization</t>
  </si>
  <si>
    <t>Leak Repair</t>
  </si>
  <si>
    <t>Custom RCx - HVAC</t>
  </si>
  <si>
    <t>Custom RCx - Refrigeration</t>
  </si>
  <si>
    <t>Custom RCx - Motors &amp; Drives</t>
  </si>
  <si>
    <t>Custom RCx - Comp Air</t>
  </si>
  <si>
    <t>Custom RCx - EMS</t>
  </si>
  <si>
    <t>Custom RCx - Process</t>
  </si>
  <si>
    <t>Custom RCx - Other</t>
  </si>
  <si>
    <t>Boilers</t>
  </si>
  <si>
    <t>Furnaces</t>
  </si>
  <si>
    <t>Ventilation</t>
  </si>
  <si>
    <t>EMS</t>
  </si>
  <si>
    <t>Pumps/Fans/VFDs</t>
  </si>
  <si>
    <t>IT</t>
  </si>
  <si>
    <t>NC - Compressed Air</t>
  </si>
  <si>
    <t>NC - Pumps/Fans/VFDs</t>
  </si>
  <si>
    <t>Custom RCx - Pumps/Fans/VFDs</t>
  </si>
  <si>
    <t>NC - Other</t>
  </si>
  <si>
    <t>NC - EMS</t>
  </si>
  <si>
    <t>Lighting Controls</t>
  </si>
  <si>
    <t>Water Heating / Others (Gas)</t>
  </si>
  <si>
    <t>M02S02F11.1</t>
  </si>
  <si>
    <r>
      <t>Account Number 1</t>
    </r>
    <r>
      <rPr>
        <sz val="11"/>
        <color rgb="FFFF0000"/>
        <rFont val="Arial"/>
        <family val="2"/>
      </rPr>
      <t>*</t>
    </r>
  </si>
  <si>
    <t>Account Number 2</t>
  </si>
  <si>
    <r>
      <t>Meter Number 1</t>
    </r>
    <r>
      <rPr>
        <sz val="11"/>
        <color rgb="FFFF0000"/>
        <rFont val="Arial"/>
        <family val="2"/>
      </rPr>
      <t>*</t>
    </r>
  </si>
  <si>
    <t>Meter Number 2</t>
  </si>
  <si>
    <t>M02S02F35</t>
  </si>
  <si>
    <t>Meter #</t>
  </si>
  <si>
    <t>How did you hear about this program?</t>
  </si>
  <si>
    <t>Gas $/therm</t>
  </si>
  <si>
    <t>Spillover therms</t>
  </si>
  <si>
    <t>Savings per Unit Therm</t>
  </si>
  <si>
    <t>NA2</t>
  </si>
  <si>
    <t>NA3</t>
  </si>
  <si>
    <t>Exterior Parking Lots and Drives</t>
  </si>
  <si>
    <t>Custom / RCx / New Construction
 Non-Lighting (Electric)</t>
  </si>
  <si>
    <t>Custom / RCx / New Construction
 (Gas)</t>
  </si>
  <si>
    <t>(1+ELOSS)*((KWH*NPVAEC)+(KW*NPVACCTD))/PROJCOST</t>
  </si>
  <si>
    <t>Initial AEC</t>
  </si>
  <si>
    <t>Initial ACC</t>
  </si>
  <si>
    <t>Initial T&amp;D</t>
  </si>
  <si>
    <t>Initial Gas AEC</t>
  </si>
  <si>
    <t>Avoid Energy Cost $/kWh</t>
  </si>
  <si>
    <t>Avoided Energy Cost $/therm</t>
  </si>
  <si>
    <t>Watts/Unit</t>
  </si>
  <si>
    <t>Fixture Description (Brand/Model/Type)</t>
  </si>
  <si>
    <t>Select Space Type #1</t>
  </si>
  <si>
    <t>Select Space Type #2</t>
  </si>
  <si>
    <t>Select Space Type #3</t>
  </si>
  <si>
    <t>Lighting Coincidence Factor</t>
  </si>
  <si>
    <t>Non-Lighting Other</t>
  </si>
  <si>
    <t>End Use</t>
  </si>
  <si>
    <t>Commercial Cooking</t>
  </si>
  <si>
    <t>Pump/Fans/VFDs</t>
  </si>
  <si>
    <t>Building Envelope</t>
  </si>
  <si>
    <t>HVAC 
(Gas)</t>
  </si>
  <si>
    <t>4. Submit Documents</t>
  </si>
  <si>
    <t>Trade Ally / Vendor</t>
  </si>
  <si>
    <t>Project Information</t>
  </si>
  <si>
    <t>Measure Costs</t>
  </si>
  <si>
    <t>Therm Savings</t>
  </si>
  <si>
    <t>Tax Information</t>
  </si>
  <si>
    <t>Verify the above Measures Summary is accurate. Has your energy efficiency project scope changed from the original plan? If so, please review and update the measures, quantities, and costs associated with each line item.</t>
  </si>
  <si>
    <r>
      <rPr>
        <sz val="11"/>
        <rFont val="Arial"/>
        <family val="2"/>
      </rPr>
      <t xml:space="preserve">Reviewed </t>
    </r>
    <r>
      <rPr>
        <sz val="11"/>
        <color rgb="FF0000FF"/>
        <rFont val="Arial"/>
        <family val="2"/>
      </rPr>
      <t>Custom</t>
    </r>
    <r>
      <rPr>
        <sz val="11"/>
        <rFont val="Arial"/>
        <family val="2"/>
      </rPr>
      <t xml:space="preserve"> Measures Input tab</t>
    </r>
  </si>
  <si>
    <r>
      <rPr>
        <sz val="11"/>
        <rFont val="Arial"/>
        <family val="2"/>
      </rPr>
      <t>Reviewed</t>
    </r>
    <r>
      <rPr>
        <sz val="11"/>
        <color rgb="FF0000FF"/>
        <rFont val="Arial"/>
        <family val="2"/>
      </rPr>
      <t xml:space="preserve"> Prescriptive </t>
    </r>
    <r>
      <rPr>
        <sz val="11"/>
        <rFont val="Arial"/>
        <family val="2"/>
      </rPr>
      <t>Measures Input tab</t>
    </r>
  </si>
  <si>
    <t>Incentive Summary</t>
  </si>
  <si>
    <t>Customer Signature</t>
  </si>
  <si>
    <t>Itemized project invoices (including equipment and labor costs)</t>
  </si>
  <si>
    <r>
      <rPr>
        <sz val="11"/>
        <rFont val="Arial"/>
        <family val="2"/>
      </rPr>
      <t>Updated and</t>
    </r>
    <r>
      <rPr>
        <sz val="11"/>
        <color rgb="FF0000FF"/>
        <rFont val="Arial"/>
        <family val="2"/>
      </rPr>
      <t xml:space="preserve"> Signed </t>
    </r>
    <r>
      <rPr>
        <sz val="11"/>
        <rFont val="Arial"/>
        <family val="2"/>
      </rPr>
      <t>Completion Form (as Excel)</t>
    </r>
  </si>
  <si>
    <t>2. Customer Signature</t>
  </si>
  <si>
    <t>1. Project Timeline</t>
  </si>
  <si>
    <t>Please provide an estimated timeline for your project.The second line should contain the date you expect to send the completion form and invoices to us.</t>
  </si>
  <si>
    <t>Submit Offer Form</t>
  </si>
  <si>
    <t>3.</t>
  </si>
  <si>
    <t>EffEquip</t>
  </si>
  <si>
    <t>BaseEquip</t>
  </si>
  <si>
    <t>EffEquipDescr</t>
  </si>
  <si>
    <t>CostLabor</t>
  </si>
  <si>
    <t>CostEquipment</t>
  </si>
  <si>
    <t>WattsBase</t>
  </si>
  <si>
    <t>WattsEff</t>
  </si>
  <si>
    <t>TotalCost</t>
  </si>
  <si>
    <t>AnnualHoursAfter</t>
  </si>
  <si>
    <t>kWhBase</t>
  </si>
  <si>
    <t>kWhEff</t>
  </si>
  <si>
    <t>ThmBase</t>
  </si>
  <si>
    <t>ThmEff</t>
  </si>
  <si>
    <t>SpilloverkWhSavings</t>
  </si>
  <si>
    <t>SpilloverkWSavings</t>
  </si>
  <si>
    <t>SpilloverThmSavings</t>
  </si>
  <si>
    <t>SpilloverReason</t>
  </si>
  <si>
    <t>SpilloverUnits</t>
  </si>
  <si>
    <t>IncTotal</t>
  </si>
  <si>
    <t>SavingskWh</t>
  </si>
  <si>
    <t>SavingskW</t>
  </si>
  <si>
    <t>SavingsThm</t>
  </si>
  <si>
    <t>How Did You Hear About the Program?</t>
  </si>
  <si>
    <t>PayeePreference</t>
  </si>
  <si>
    <t>PayeeEntity</t>
  </si>
  <si>
    <t>TaxId</t>
  </si>
  <si>
    <t>Installation Date</t>
  </si>
  <si>
    <t>AppVersion</t>
  </si>
  <si>
    <t>kWBase</t>
  </si>
  <si>
    <t>kWEff</t>
  </si>
  <si>
    <t>BaseEquipDescr</t>
  </si>
  <si>
    <t>Unconditioned</t>
  </si>
  <si>
    <t>Pipe Insulation</t>
  </si>
  <si>
    <t>CFL/Incandescent</t>
  </si>
  <si>
    <t>Exterior</t>
  </si>
  <si>
    <t>HID</t>
  </si>
  <si>
    <t>Incandescent</t>
  </si>
  <si>
    <t>Gary Gao</t>
  </si>
  <si>
    <t>.1</t>
  </si>
  <si>
    <t>Initial Template File</t>
  </si>
  <si>
    <t>1</t>
  </si>
  <si>
    <t>Release version for NIPSCO</t>
  </si>
  <si>
    <t>1.1</t>
  </si>
  <si>
    <t>Made all account number, tax ID number, etc text formatted with data validation to allow leading 0, payment terms now locked.</t>
  </si>
  <si>
    <t>1.11</t>
  </si>
  <si>
    <t>Fixed naming of completion from from XXXX to 2200</t>
  </si>
  <si>
    <t>1.12</t>
  </si>
  <si>
    <t>Made project number format as text for all fields. EXPORT file incentive values are empty when text output for Scribe compatibility</t>
  </si>
  <si>
    <t>1.13</t>
  </si>
  <si>
    <t>Changed incentive level for A-line to LED, used 60W instead of 40W measure.</t>
  </si>
  <si>
    <t>1.14</t>
  </si>
  <si>
    <t>Custom lighting using actual T12 wattage instead of T8 baseline</t>
  </si>
  <si>
    <t>1.15</t>
  </si>
  <si>
    <t>Added Prescriptive HVAC measure, combined with Motors/VFD tab</t>
  </si>
  <si>
    <t>1.16</t>
  </si>
  <si>
    <t>Word wrap inspection form, additional formatting for export file.</t>
  </si>
  <si>
    <t>1.2.0</t>
  </si>
  <si>
    <t>Updated all prescriptive measures and rates
Prescriptive lighting quantity field specifies T12 for delamping
Clarified hours of operation in measure fields to be measure AOH as popup box
Hide export file column G and I since it's not needed
Updated offer form language to 2018 date instead of 2016
Wattage inputs automatically show decimal when entered and does not round
Revised program description to exclude rate 626 from SBDI
Fixed export file of quantity value in occ sensor linking to wrong cell
fixed rounding at the end of total cost calculation instead of beginning
added Hirsh to PC dropdown and Lucas to Engineering
Removed Prescriptive Gas Cooking Tab
Added temporary measure number filler for custom measures during initial csv upload
summary calculations exclude spillover measures
custom measures in export file show measure number without uploadID</t>
  </si>
  <si>
    <t>1.2.1</t>
  </si>
  <si>
    <t>Added language on qualifying gas rates in SBDI program details</t>
  </si>
  <si>
    <t>1.3.0</t>
  </si>
  <si>
    <t>Updated all prescriptive measures and rates</t>
  </si>
  <si>
    <t>1.3.2</t>
  </si>
  <si>
    <t>Moved gas dishwasher measures into Water Heating/Others tab. Made terms and conditions a text box</t>
  </si>
  <si>
    <t>1.3.3</t>
  </si>
  <si>
    <t>Adusted tax liability language to eliminate 1099 info</t>
  </si>
  <si>
    <t>1.4.0</t>
  </si>
  <si>
    <t>Updated measures based on budget rollover redesign</t>
  </si>
  <si>
    <t>1.4.1</t>
  </si>
  <si>
    <t>Added install/invoice date fields for project submission and pushed expiration date to the end of the year. Also highlited pre-approval requirements and added "how customer heard about program" field</t>
  </si>
  <si>
    <t>1.5.0</t>
  </si>
  <si>
    <t>Updated version number and expiration date
Updated Progress percentage to start at 0</t>
  </si>
  <si>
    <t>Nathan Williams</t>
  </si>
  <si>
    <t>M05S02F03</t>
  </si>
  <si>
    <t>M05S03F01</t>
  </si>
  <si>
    <t>M05S02F04</t>
  </si>
  <si>
    <t>Taylor Sizemore &amp; Jordan Thompson</t>
  </si>
  <si>
    <t>Transfered to new application template
Kept all range names consistent with the older application (allows for easier programming with the transfer tool)
Updated marketing material and colors
Added in unique custom meausre numbers
Included lighting coincidence factor for all electric tabs
Removed RCx timeline
Updated Offer and Completion Form tabs
Changed Export tab to only include relevant data fields. All other fields will automatically populate based on the measure template in LM Captures 
Corrected help messages to match the appopriate fields
Updated the New Construction Lighting tab to pull in LPD information</t>
  </si>
  <si>
    <t>Space Type</t>
  </si>
  <si>
    <t>Space Area 
(sq.ft.)</t>
  </si>
  <si>
    <t>Total Wattage</t>
  </si>
  <si>
    <t xml:space="preserve">Efficient </t>
  </si>
  <si>
    <t>Baseline</t>
  </si>
  <si>
    <t>Lighting Schedule Section</t>
  </si>
  <si>
    <t>public assembly</t>
  </si>
  <si>
    <t>Industrial shifts</t>
  </si>
  <si>
    <t>food service</t>
  </si>
  <si>
    <t>health care</t>
  </si>
  <si>
    <t>hotel/motel</t>
  </si>
  <si>
    <t>office</t>
  </si>
  <si>
    <t>retail</t>
  </si>
  <si>
    <t>public services</t>
  </si>
  <si>
    <t>warehouse</t>
  </si>
  <si>
    <t>exterior</t>
  </si>
  <si>
    <t>Indiana July 2015 v2.2 TRM Building Type</t>
  </si>
  <si>
    <t>School</t>
  </si>
  <si>
    <t>College</t>
  </si>
  <si>
    <t>Select Space Type #4</t>
  </si>
  <si>
    <t>Select Space Type #5</t>
  </si>
  <si>
    <t>Select Space Type #6</t>
  </si>
  <si>
    <t>Lighting Schedule</t>
  </si>
  <si>
    <t>Back to 
Measure Input</t>
  </si>
  <si>
    <t>Please enter the project lighting schedules per space type in the sections below. Use the arrow to return to the New Construction Lighting tab.</t>
  </si>
  <si>
    <t>Compressed Air Optimization</t>
  </si>
  <si>
    <t>RCx - Compressed Air</t>
  </si>
  <si>
    <t>RCx - EMS</t>
  </si>
  <si>
    <t>RCx - HVAC</t>
  </si>
  <si>
    <t>RCx - Motors &amp; Drives</t>
  </si>
  <si>
    <t>RCx - Process</t>
  </si>
  <si>
    <t>RCx - Refrigeration</t>
  </si>
  <si>
    <t>RCx - Pumps/Fans/VFDs</t>
  </si>
  <si>
    <t>RCx - Other</t>
  </si>
  <si>
    <t>Estimated Thm Savings</t>
  </si>
  <si>
    <t>Incent. NC</t>
  </si>
  <si>
    <t>Incent. Custom</t>
  </si>
  <si>
    <t>Incent. RCx</t>
  </si>
  <si>
    <t>HID 176-250W</t>
  </si>
  <si>
    <t>LED Interior Replacing HID 176-250W</t>
  </si>
  <si>
    <t>LED Exterior Replacing HID 176-250W</t>
  </si>
  <si>
    <t>NC - Boilers</t>
  </si>
  <si>
    <t>NC - Furnaces</t>
  </si>
  <si>
    <t>NC - Water Heating</t>
  </si>
  <si>
    <t>RCx - Boiler</t>
  </si>
  <si>
    <t>RCx - Furnace</t>
  </si>
  <si>
    <t>((1+ELOSS)*((AK18*INDEX(ELECCB[NPV AEC $/kWh],MATCH(AZ18,ELECCB[Year Number],1)))+(AV18*INDEX(ELECCB[NPV ACC+T&amp;D $/kW],MATCH(AZ18,ELECCB[Year Number],1)))))/AH18)</t>
  </si>
  <si>
    <t>Updated measure list. Updated progress to allow for default rates but still require rates if it is deleted</t>
  </si>
  <si>
    <t>2.0.1</t>
  </si>
  <si>
    <t>Updated the LPD watts/sqft to call correct number</t>
  </si>
  <si>
    <t>2.0.2</t>
  </si>
  <si>
    <t xml:space="preserve">Corrected Prescriptive HID measures. Incentives were not populating. Double checked all other prescriptive incentives. </t>
  </si>
  <si>
    <t>2.0.3</t>
  </si>
  <si>
    <t xml:space="preserve">Updated Export tab lighting controls section to use correct eff. description </t>
  </si>
  <si>
    <t>----------------HID  MEASURES----------------</t>
  </si>
  <si>
    <t>------------INCANDESCENT /CFL------------</t>
  </si>
  <si>
    <t xml:space="preserve">
LED 2x4 Fixture</t>
  </si>
  <si>
    <t xml:space="preserve"> LED 2x4 Fixture</t>
  </si>
  <si>
    <t>2.1.0</t>
  </si>
  <si>
    <t>Updated prescriptive lighting to match I&amp;M desing
Added 8ft options to the list. Same 4ft meausre numbers
Unlocked PC summary fields</t>
  </si>
  <si>
    <t>Adj. kW</t>
  </si>
  <si>
    <t>Peak kW</t>
  </si>
  <si>
    <t>Cost Type</t>
  </si>
  <si>
    <t>Annual thms/unit</t>
  </si>
  <si>
    <t>~~~~~T12 FIXTURES~~~~~</t>
  </si>
  <si>
    <t>~~~~~T8 FIXTURES~~~~~</t>
  </si>
  <si>
    <t>~~~~~T5 FIXTURES~~~~~</t>
  </si>
  <si>
    <t>~~MERCURY VAPOR~~</t>
  </si>
  <si>
    <t>~~~~METAL HALIDE~~~~</t>
  </si>
  <si>
    <t>~~~~~~~~~HPS~~~~~~~~~</t>
  </si>
  <si>
    <t>~~~~~~~~~MISC.~~~~~~~~~</t>
  </si>
  <si>
    <t>~~~INCAND/HAL/CFL~~~</t>
  </si>
  <si>
    <t>~~~~~LED FIXTURES~~~~~</t>
  </si>
  <si>
    <t>Base Autofill</t>
  </si>
  <si>
    <t>Updated Offer language
Moved peak kw column to the background for custom non lighting. Updated conditional formatting to highlight kW if not filled in
Labor will zero out if incrmental cost type is chosen
Updated Non-Lighting electric tab to have cost type and calculate incremental at 100% of total cost. when new construction is selected it will autoselect incremental cost.
Reviewed/Updated export for non lighting electric and gas tabs
Updated custom lighting tab to have one title line per dropdown section. when title is selected an error will prompt the user to select a different fixture type. Not sure if i should make sure this does not go to spillover but it currently does.
Updated autofill wattage for prescriptive measures. The maxes and mins arent working with data validation?
Updated Lighting Schedule print area. Increased wattage limit to allow for combined wattage line item.
Updated presc efficient lighting wattage to allow for zero</t>
  </si>
  <si>
    <t>Dry Cleaning Steam Trap Replacement Replacing Failed Steam Trap</t>
  </si>
  <si>
    <t>Jordan Thompson</t>
  </si>
  <si>
    <t>Spillover Labor $</t>
  </si>
  <si>
    <t>Updated Custom Lighting to search new fixture type for exterior and make kW savings zero if fixture is exterior
Fixed inefficient limits on standard lighting tab
Added autofill zero watts for delamping measures and removed delamping qualifier from kWh savings calculations
Added "4ft" to unit of measure for one-for-one lamp replacements in measure list
Updated measure tab totals to not include spillover cost, kWh,kW
Updated offer form to pull cost from template instead of export
Updated PC Summary and added spillover costs
Limited material cost to $0.01 for prescriptive non-lighting
Unlocked peak kW field</t>
  </si>
  <si>
    <t>A measure is not cost effective. Verify savings and cost values. Use incremental cost if base equipment is past its useful life.</t>
  </si>
  <si>
    <t>Added minimum and maximum wattages to baseline range in prescriptive background tab</t>
  </si>
  <si>
    <t>T12 - 2ft - 1 Lamp - 20W Lamps</t>
  </si>
  <si>
    <t>T12 - 2ft - 2 Lamp - 20W Lamps</t>
  </si>
  <si>
    <t>T12 - 3ft - 1 Lamp - 30W Lamps</t>
  </si>
  <si>
    <t>T12 - 3ft - 2 Lamp - 30W Lamps</t>
  </si>
  <si>
    <t>T12 - 4ft - 1 Lamp - 34W Lamps w/ ES Mag Ballast</t>
  </si>
  <si>
    <t>T12 - 4ft - 2 Lamp - 34W Lamps w/ ES Mag Ballast</t>
  </si>
  <si>
    <t>T12 - 4ft - 3 Lamp - 34W Lamps w/ ES Mag Ballast</t>
  </si>
  <si>
    <t>T12 - 4ft - 4 Lamp - 34W Lamps w/ ES Mag Ballast</t>
  </si>
  <si>
    <t>T12 - 8ft - 1 Lamp - 75W Lamps w/ ES Mag Ballast</t>
  </si>
  <si>
    <t>T12 - 8ft - 2 Lamp - 75W Lamps w/ ES Mag Ballast</t>
  </si>
  <si>
    <t>T12 - 8ft - 4 Lamp - 75W Lamps w/ ES Mag Ballast</t>
  </si>
  <si>
    <t>T12 - 8ft - 1 Lamp - HO - 95W Lamps w/ ES Mag Ballast</t>
  </si>
  <si>
    <t>T12 - 8ft - 2 Lamp - HO - 95W Lamps w/ ES Mag Ballast</t>
  </si>
  <si>
    <t>T12 - 8ft - 3 Lamp - HO - 95W Lamps w/ ES Mag Ballast</t>
  </si>
  <si>
    <t>T12 - 8ft - 4 Lamp - HO - 95W Lamps w/ ES Mag Ballast</t>
  </si>
  <si>
    <t>T12 - 8ft - 1 Lamp  - VHO - 185W Lamps w/ ES Mag Ballast</t>
  </si>
  <si>
    <t>T12 - 8ft - 2 Lamp - VHO - 185W Lamps w/ ES Mag Ballast</t>
  </si>
  <si>
    <t>T12 - 8ft - 3 Lamp - VHO - 185W Lamps w/ ES Mag Ballast</t>
  </si>
  <si>
    <t>T12 - 8ft - 4 Lamp - VHO - 185W Lamps w/ ES Mag Ballast</t>
  </si>
  <si>
    <t>T12 - U-Tube - 1 Lamp - 34W Lamps</t>
  </si>
  <si>
    <t>T12 - U-Tube - 2 Lamp - 34W Lamps</t>
  </si>
  <si>
    <t>T12 - 8ft - 3 Lamp - 75W Lamps w/ Stnd Mag Ballast</t>
  </si>
  <si>
    <t>Prj Savings kWh</t>
  </si>
  <si>
    <t>Prj Savings kW</t>
  </si>
  <si>
    <t>Prj Savings therms</t>
  </si>
  <si>
    <t>Prj Labor Cost</t>
  </si>
  <si>
    <t>Spillover Total $</t>
  </si>
  <si>
    <t>Spillover Units</t>
  </si>
  <si>
    <t>Eligb Savings kWh</t>
  </si>
  <si>
    <t>Eligb Savings kW</t>
  </si>
  <si>
    <t>Eligb Savings therms</t>
  </si>
  <si>
    <t>Eligb Units</t>
  </si>
  <si>
    <t>Eligb Labor Cost</t>
  </si>
  <si>
    <t>Eligb Total Cost</t>
  </si>
  <si>
    <t>Eligb Equip Cost</t>
  </si>
  <si>
    <t>Prj Equip Cost</t>
  </si>
  <si>
    <t>Prj Units</t>
  </si>
  <si>
    <t>Spillover Equip $</t>
  </si>
  <si>
    <t>Prj Total Cost</t>
  </si>
  <si>
    <t>SpilloverCostEquipment</t>
  </si>
  <si>
    <t>SpilloverCostLabor</t>
  </si>
  <si>
    <t>SpilloverTotalCost</t>
  </si>
  <si>
    <t xml:space="preserve">Added lamp for lamp language to prescriptive tab
Updated custom autofill wattages to ComEd default fixture wattages and MH typical wattages
Added spillover material, labor, and total costs columns to the Export tab. 
Updated PC Summary to split out spillover meausres from eligb measures. </t>
  </si>
  <si>
    <t>2.1.1</t>
  </si>
  <si>
    <t>Updated Prescriptive measures list baseline descriptions to match brochure.
Updated export tab to look translate all 8ft prescriptive measures to 4ft increments
Added IFERROR to prescriptive tab columns affected by overriden dropdown lists
Rounded NC efficient LPD to the nearest hundredth.</t>
  </si>
  <si>
    <t>Program Design</t>
  </si>
  <si>
    <t>ProgramDesign</t>
  </si>
  <si>
    <t>Added Program Design column to prescriptive background tables and Export tab
Deleted date that was already populated with the install date
Changed Measure List description to "4ft of Lamp"</t>
  </si>
  <si>
    <t>2.1.2</t>
  </si>
  <si>
    <t xml:space="preserve">Updated quantity limits on HVAC / VFD / Other (Electric) tab to reflect limits stated in measure name. </t>
  </si>
  <si>
    <t>LPD</t>
  </si>
  <si>
    <t>Updated Export tab all custom spillover units to calculate from the main tab and not refer to the units column in the export
Update NC lighting W/sq ft columns to say LPD</t>
  </si>
  <si>
    <t>3.0.0</t>
  </si>
  <si>
    <t>810111-Lighting-LED-LED Exterior Replacing HID 176-250W</t>
  </si>
  <si>
    <t>810116-Lighting-LED-LED Interior Replacing HID 176-250W</t>
  </si>
  <si>
    <t>Energy Efficiency Incentive Report</t>
  </si>
  <si>
    <t>Project Address:</t>
  </si>
  <si>
    <t>Contractor:</t>
  </si>
  <si>
    <t>Assessment Date:</t>
  </si>
  <si>
    <t>Contact:</t>
  </si>
  <si>
    <t>Phone:</t>
  </si>
  <si>
    <t>Over 5 years you could save</t>
  </si>
  <si>
    <t>Estimated Rebate</t>
  </si>
  <si>
    <t>Annual Cost Savings</t>
  </si>
  <si>
    <t>Project Cost</t>
  </si>
  <si>
    <r>
      <t>1</t>
    </r>
    <r>
      <rPr>
        <vertAlign val="superscript"/>
        <sz val="14"/>
        <rFont val="Arial"/>
        <family val="2"/>
      </rPr>
      <t>st</t>
    </r>
    <r>
      <rPr>
        <sz val="14"/>
        <rFont val="Arial"/>
        <family val="2"/>
      </rPr>
      <t xml:space="preserve"> Year ROI</t>
    </r>
  </si>
  <si>
    <t>Impact Summary</t>
  </si>
  <si>
    <t>metric tons CO2/kWh</t>
  </si>
  <si>
    <t xml:space="preserve">Saving </t>
  </si>
  <si>
    <t>metric tons CO2</t>
  </si>
  <si>
    <t>metric tons C02E/vehicle/year</t>
  </si>
  <si>
    <t>metric tons CO2/home/month.</t>
  </si>
  <si>
    <t>metric tons CO2E/ton of waste recycled instead of landfilled</t>
  </si>
  <si>
    <t xml:space="preserve">vehicles removed </t>
  </si>
  <si>
    <t>homes powered</t>
  </si>
  <si>
    <r>
      <t>tons of landfill CO</t>
    </r>
    <r>
      <rPr>
        <vertAlign val="subscript"/>
        <sz val="13"/>
        <color theme="1"/>
        <rFont val="Arial"/>
        <family val="2"/>
      </rPr>
      <t>2</t>
    </r>
  </si>
  <si>
    <t>from the road</t>
  </si>
  <si>
    <t>for one month</t>
  </si>
  <si>
    <t xml:space="preserve"> emissions eliminated</t>
  </si>
  <si>
    <t>Additional Resources</t>
  </si>
  <si>
    <t>Already planning future projects?</t>
  </si>
  <si>
    <t>Online:</t>
  </si>
  <si>
    <t>Learn more online or contact 
a program representative today!</t>
  </si>
  <si>
    <t>Email:</t>
  </si>
  <si>
    <t>Updated Project Summary tab to new design. Updated fills and fonts to NIPSCO colors. Updated print area for tab. Waiting on marketing logos</t>
  </si>
  <si>
    <t>Tons</t>
  </si>
  <si>
    <t>Equipment</t>
  </si>
  <si>
    <t>Others - Interior</t>
  </si>
  <si>
    <t>Others - Exterior</t>
  </si>
  <si>
    <t>Other - Interior</t>
  </si>
  <si>
    <t>Other - Exterior</t>
  </si>
  <si>
    <t>Eff Desc 3</t>
  </si>
  <si>
    <t>Updated version number and expiration date for 2019
Updated program design, removed source and TRM Reference (hid columns) on prescriptive measure tab
Removed prescriptive lighting measures with efficient desc other than LED (T8  &amp; T5). Removed engineered nozzles. Added T5HO and T5 to LED measures (see program design)
Updated incentive rate on customlight tab from 0.06 to 0.07
Updated incentive table on customnonlight tab to match program design
Added application expiration warning for 2 weeks from expiration and past date with instructions for downloading new app
Updated avoided cost table via program design v2.3</t>
  </si>
  <si>
    <t>metric tons CO2/therm</t>
  </si>
  <si>
    <t>therm Savings</t>
  </si>
  <si>
    <t>800-299-2501</t>
  </si>
  <si>
    <t>www.nipsco.com/save-energy</t>
  </si>
  <si>
    <t>Estimated Incentive</t>
  </si>
  <si>
    <t>Update Project Summary with new marketing pngs
Added measure list picture and link</t>
  </si>
  <si>
    <t>Exterior Facades (W/linear ft. of illuminated wall or surface length)</t>
  </si>
  <si>
    <t>Exterior Outdoor Sales Open Area</t>
  </si>
  <si>
    <t xml:space="preserve">Note: If unit type is not specified in the Space Type name then it is W/square ft) </t>
  </si>
  <si>
    <t>Updated LPD table</t>
  </si>
  <si>
    <t>Without Incentive</t>
  </si>
  <si>
    <t>With Incentive</t>
  </si>
  <si>
    <t>Changed Measure List link to Prescriptive Page on NIPSCO website
Updated T&amp;Cs and legal notes on Offer and Completion Form
Changed "Rebate" to "Incentive" on all Prescriptive Measure Input tabs
Updated holiday dates on AOH calculator tab</t>
  </si>
  <si>
    <t>Project Start Date</t>
  </si>
  <si>
    <t>Jaime</t>
  </si>
  <si>
    <t>3.0.1</t>
  </si>
  <si>
    <t>Marketing removed RCx program description from program informational graphic. Updated T&amp;Cs based on NISPCO edits.
Fixed lighting measure input to show T5HO incentives
Removed T12-4ft-2lamp from inefficient selection</t>
  </si>
  <si>
    <t>Qualifying Prescriptive or Custom Measure(s) entered</t>
  </si>
  <si>
    <t>3.0.2</t>
  </si>
  <si>
    <t>&amp;</t>
  </si>
  <si>
    <t>Added therms to Project Summary
Updated version number
Updated expiration date to 8/30/19</t>
  </si>
  <si>
    <t>is equivalent to…</t>
  </si>
  <si>
    <t>T8 - 4 ft - 6 Lamp</t>
  </si>
  <si>
    <t>T8 - 4 ft - 8 Lamp</t>
  </si>
  <si>
    <t>T8 - 4ft - 6 Lamp - 32W</t>
  </si>
  <si>
    <t>T8 - 4ft - 8 Lamp - 32W</t>
  </si>
  <si>
    <t>6 lamp</t>
  </si>
  <si>
    <t>8 lamp</t>
  </si>
  <si>
    <t>T8 - 4ft - 12 Lamp - 32W</t>
  </si>
  <si>
    <t>12 lamp</t>
  </si>
  <si>
    <t>T8 - 4 ft - 12 Lamp</t>
  </si>
  <si>
    <t>Updated typo on Project Summary tab
Added  T8 - 4ft - 6lamp/8lamp/12lamp existing options to custom lighting
Changed Site Name and Project ID font size on Offer and Completion Forms to Arial - 18
Updated units to 3 decimal places on Export tab
Updated Status alert on custom electric and gas tabs to not show submit for review for Misc Others when the engineer field is filled in on the PC Summary</t>
  </si>
  <si>
    <t>As part of our commitment to achieve realized savings, all projects are subject to random inspections. If you receive a visit from one of our inspectors they will refer to this project, ask a couple of questions, and perform a verification.</t>
  </si>
  <si>
    <t>After your application has been emailed you can expect to see a confirmation email within 5 business days. If you applied for a custom application, you will receive an offer or request for additional information. You may proceed with installation after signing offer.</t>
  </si>
  <si>
    <t>Submit this Excel application and related documents as email attachments.</t>
  </si>
  <si>
    <t>Update PC Summary decimals showing
Removed email draft button</t>
  </si>
  <si>
    <t>We encourage electronic submission. A typewritten signature is acceptable and will have the same effect as a pen signature.</t>
  </si>
  <si>
    <t>Rounded new construction lighting kWh to whole number.
Added note under T&amp;Cs signature field encouraging electronic submission</t>
  </si>
  <si>
    <t>Added rounding to two decimals for equip cost, labor cost, and total cost on Export</t>
  </si>
  <si>
    <t>Non-Profit</t>
  </si>
  <si>
    <t>Agriculture/Farming</t>
  </si>
  <si>
    <t>Entertainment/Recreation</t>
  </si>
  <si>
    <t>Updated the LMC payee info options
Updated the building type options to match LMC</t>
  </si>
  <si>
    <t>3.0.3</t>
  </si>
  <si>
    <t>Removed RCx from Information tab</t>
  </si>
  <si>
    <t>John</t>
  </si>
  <si>
    <t>3.1.0</t>
  </si>
  <si>
    <t>Added user to engineering field.  Adjused savings and incentive on steam pipe insulation to align with EM&amp;V recommendation and new calculations.</t>
  </si>
  <si>
    <t>3.2.0</t>
  </si>
  <si>
    <t>NIPSCO.Savings@TRCcompanies.com</t>
  </si>
  <si>
    <r>
      <t xml:space="preserve">Once you're ready to submit, </t>
    </r>
    <r>
      <rPr>
        <b/>
        <sz val="11"/>
        <color theme="1"/>
        <rFont val="Arial"/>
        <family val="2"/>
      </rPr>
      <t>attach all required documents and your saved application</t>
    </r>
    <r>
      <rPr>
        <sz val="11"/>
        <color theme="1"/>
        <rFont val="Arial"/>
        <family val="2"/>
      </rPr>
      <t xml:space="preserve"> to an email and send it to: </t>
    </r>
    <r>
      <rPr>
        <sz val="11"/>
        <color theme="8"/>
        <rFont val="Arial"/>
        <family val="2"/>
      </rPr>
      <t>NIPSCO.Savings@TRCcompanies.com</t>
    </r>
    <r>
      <rPr>
        <sz val="11"/>
        <color theme="1"/>
        <rFont val="Arial"/>
        <family val="2"/>
      </rPr>
      <t xml:space="preserve"> </t>
    </r>
  </si>
  <si>
    <t>NIPSCO’s energy efficiency programs are administered by TRC, a third‐party implementation specialist that helps homes and businesses save energy.</t>
  </si>
  <si>
    <t>Product of TRC</t>
  </si>
  <si>
    <t xml:space="preserve">Contractor/Vendor </t>
  </si>
  <si>
    <t xml:space="preserve">Direct Mail </t>
  </si>
  <si>
    <t xml:space="preserve">NIPSCO Website </t>
  </si>
  <si>
    <t xml:space="preserve">NIPSCO/Program Representative </t>
  </si>
  <si>
    <t xml:space="preserve">Program Email </t>
  </si>
  <si>
    <t xml:space="preserve">TV or Cinema </t>
  </si>
  <si>
    <t xml:space="preserve">Online or mobile ad </t>
  </si>
  <si>
    <t xml:space="preserve">Billboards or Outdoor Advertising </t>
  </si>
  <si>
    <t xml:space="preserve">Radio </t>
  </si>
  <si>
    <t xml:space="preserve">Other </t>
  </si>
  <si>
    <t>Changed expiration date to 7/3/2020, adjusted holiday schedule to 2020, changed company references to TRC Companies from Lockheed Martin.  Changed referenced program design to v2.5.  Added Taylor Nixon to IS drop down.  Changed rounding on kWh export to zero decimal places.</t>
  </si>
  <si>
    <r>
      <t xml:space="preserve">Please submit the below items to </t>
    </r>
    <r>
      <rPr>
        <sz val="11"/>
        <color rgb="FF0000FF"/>
        <rFont val="Arial"/>
        <family val="2"/>
      </rPr>
      <t>NIPSCO.Savings@TRCcompanies.com</t>
    </r>
    <r>
      <rPr>
        <sz val="11"/>
        <color theme="1"/>
        <rFont val="Arial"/>
        <family val="2"/>
      </rPr>
      <t xml:space="preserve"> for final review.</t>
    </r>
  </si>
  <si>
    <t>NIPSCO Energy Efficiency Program • 800.299.2501 • NIPSCO.Savings@TRCcompanies.com • https://www.nipsco.com/save-energy</t>
  </si>
  <si>
    <r>
      <rPr>
        <sz val="11"/>
        <rFont val="Arial"/>
        <family val="2"/>
      </rPr>
      <t xml:space="preserve">To move forward with the incentive process submit your completed Offer Form to </t>
    </r>
    <r>
      <rPr>
        <sz val="11"/>
        <color rgb="FF0000FF"/>
        <rFont val="Arial"/>
        <family val="2"/>
      </rPr>
      <t xml:space="preserve">NIPSCO.Savings@TRCcompanies.com.  </t>
    </r>
    <r>
      <rPr>
        <sz val="11"/>
        <rFont val="Arial"/>
        <family val="2"/>
      </rPr>
      <t>Please do not order or purchase anything before returning this signed Offer Form. If you have any question feel free to email or call at 800.299.2501.</t>
    </r>
  </si>
  <si>
    <t>Estimated annual energy cost savings of efficient equipment</t>
  </si>
  <si>
    <t>3.2.1</t>
  </si>
  <si>
    <t>Adjusted rounding on kWh and therm savings values to whole numbers.</t>
  </si>
  <si>
    <t>3.2.2</t>
  </si>
  <si>
    <t>Adjusted rounding back to 2 decimal places on kWh and therms.  Fixed naming so T8 8FT lamp replacements would pull correct measure number (was pulling T5).</t>
  </si>
  <si>
    <t>3.2.3</t>
  </si>
  <si>
    <t>Changed date reference on operating hours tab, step 2 to 2020.</t>
  </si>
  <si>
    <t>3.2.4</t>
  </si>
  <si>
    <t>Corrected sorting on prescriptive tables.</t>
  </si>
  <si>
    <t>3.2.5</t>
  </si>
  <si>
    <t>Corrected reference cell for company name on the export tab.</t>
  </si>
  <si>
    <t>Compressed Air Leak Repair</t>
  </si>
  <si>
    <r>
      <t xml:space="preserve">VSD on Air Compressor </t>
    </r>
    <r>
      <rPr>
        <sz val="11"/>
        <color theme="1"/>
        <rFont val="Calibri"/>
        <family val="2"/>
      </rPr>
      <t>≤</t>
    </r>
    <r>
      <rPr>
        <sz val="7.7"/>
        <color theme="1"/>
        <rFont val="Calibri"/>
        <family val="2"/>
      </rPr>
      <t xml:space="preserve"> 200 HP</t>
    </r>
  </si>
  <si>
    <t>VSD on Air Compressor ≤ 200 HP</t>
  </si>
  <si>
    <t>CFM</t>
  </si>
  <si>
    <t>Calculated kWh</t>
  </si>
  <si>
    <t>Calculated kW</t>
  </si>
  <si>
    <t>Efficient Brand and Model #</t>
  </si>
  <si>
    <t>Total Measure Cost</t>
  </si>
  <si>
    <t>Incentive Unit Type</t>
  </si>
  <si>
    <t>Total Measure Incentive</t>
  </si>
  <si>
    <t>Proposed</t>
  </si>
  <si>
    <r>
      <t>CFb (</t>
    </r>
    <r>
      <rPr>
        <sz val="11"/>
        <color theme="1"/>
        <rFont val="Calibri"/>
        <family val="2"/>
      </rPr>
      <t>≤ 40 HP)</t>
    </r>
  </si>
  <si>
    <t>CFb (50-200HP)</t>
  </si>
  <si>
    <t>Modulating w/ Blowdown</t>
  </si>
  <si>
    <t>Load/No Load w/ 1 Gallon/CFM</t>
  </si>
  <si>
    <t>Load/No Load w/ 3 Gallon/CFM</t>
  </si>
  <si>
    <t>Load/No Load w/ 5 Gallon/CFM</t>
  </si>
  <si>
    <t>Shift</t>
  </si>
  <si>
    <t>CF</t>
  </si>
  <si>
    <t>Unknown</t>
  </si>
  <si>
    <t>Leaks Repaired</t>
  </si>
  <si>
    <t>VSD Installed</t>
  </si>
  <si>
    <t>Option</t>
  </si>
  <si>
    <t>Unit(s)</t>
  </si>
  <si>
    <t>IMC</t>
  </si>
  <si>
    <t>$/HP Controlled</t>
  </si>
  <si>
    <t>LED 1x4 Fixture</t>
  </si>
  <si>
    <t>LED 1x4 Fixture Replacing 2-Lamp Fluor.</t>
  </si>
  <si>
    <t>LED 2x2 Fixture Replacing 2-Lamp Fluor.</t>
  </si>
  <si>
    <t>LED 2x4 Fixture Replacing 2-Lamp Fluor.</t>
  </si>
  <si>
    <t>2-Lamp Fluor.</t>
  </si>
  <si>
    <t xml:space="preserve"> LED 2x2 Fixture</t>
  </si>
  <si>
    <t>TRM Incr. Cost</t>
  </si>
  <si>
    <t>% Below Code</t>
  </si>
  <si>
    <t>Cost Cap</t>
  </si>
  <si>
    <t>WI Incremental Cost ($/sq ft)</t>
  </si>
  <si>
    <t>MEMD 2020</t>
  </si>
  <si>
    <t>3.3.0</t>
  </si>
  <si>
    <t>Added 2-lamp lighting measures and new compressed air measures.  Compressed air measures required new tab.  Reworked application to integrate new tab.  Reworked NC lighting to mimic other applications.</t>
  </si>
  <si>
    <t>VSD - Air Compressor</t>
  </si>
  <si>
    <t>840908-Compressed Air Leak Repair</t>
  </si>
  <si>
    <t>Air Compressor</t>
  </si>
  <si>
    <t>Work Shifts</t>
  </si>
  <si>
    <t>AVG</t>
  </si>
  <si>
    <t>Load/No Load</t>
  </si>
  <si>
    <t>Total Costs</t>
  </si>
  <si>
    <t>Efficient</t>
  </si>
  <si>
    <t>Use Per IN TRM default</t>
  </si>
  <si>
    <t>Bonus $</t>
  </si>
  <si>
    <t>Electric Only</t>
  </si>
  <si>
    <t>Custom Bonus</t>
  </si>
  <si>
    <t>NC Bonus</t>
  </si>
  <si>
    <t>Prescriptive Bonus</t>
  </si>
  <si>
    <t>Original Incentive</t>
  </si>
  <si>
    <t>No Bonus</t>
  </si>
  <si>
    <t>3.3.1</t>
  </si>
  <si>
    <t>Added bonus measures to prescriptive tab, and bonus inputs on templates and pc summary tab.  Adjusted final row of export tab for each electric program to incoroprate bonus measures.  Row on each electric tab, corresponding to bottom row on export tab (per program) is also adjusted and no longer congruent to above rows.  Bottom row on each tab now attempts to incorporate bonus.  Bonus is 20% incentive increase for all electric measures.  Removed fax number because line is no longer operational.</t>
  </si>
  <si>
    <t>Toll-Free 800-299-2501</t>
  </si>
  <si>
    <t>3.3.3</t>
  </si>
  <si>
    <t>Updated prescriptive compressed air table to pull correct measure numbers.  Updated formulas within bonus framework to be compatible with older versions of Excel.</t>
  </si>
  <si>
    <t>3.3.4</t>
  </si>
  <si>
    <t>Updated bonus calculation formulas to cap at total invoiced cost for all measures.  Total cost - incentive = $ available for bonus.  Bonus is min between remaining dollars or total max bonus.</t>
  </si>
  <si>
    <t>Danielle Sitton</t>
  </si>
  <si>
    <t>3.3.5</t>
  </si>
  <si>
    <t>Removed any cells related to bonus.  Removed Perry Boone and Taylor Nixon from engineering and PC tables.  Added Danielle Sitton to PC table.  Removed $150,000 incentive cap.  Set expiration date to EoY.</t>
  </si>
  <si>
    <t>Efficiency Details</t>
  </si>
  <si>
    <t>Rating</t>
  </si>
  <si>
    <t>Building/Space Type</t>
  </si>
  <si>
    <t>Fixture Annual Operating Hours</t>
  </si>
  <si>
    <t>Screw Based Bulb Annual Operating Hours</t>
  </si>
  <si>
    <t>Waste Heat Cooling Energy WHFe</t>
  </si>
  <si>
    <t>Waste Heat Cooling Demand WHFd</t>
  </si>
  <si>
    <t>Coincidence Factor CF</t>
  </si>
  <si>
    <t>Waste Heat Gas Heating IFTherms</t>
  </si>
  <si>
    <t>Waste Heat Electric Heat Pump Heating IFkWh</t>
  </si>
  <si>
    <t>Agriculture - Chicken Layers</t>
  </si>
  <si>
    <t>Agriculture - Turkey Hens</t>
  </si>
  <si>
    <t>Agriculture - Turkey Toms</t>
  </si>
  <si>
    <t>Agriculture Turkey Breeder Hens</t>
  </si>
  <si>
    <t>Agriculture - Turkey Breeder Toms</t>
  </si>
  <si>
    <t>Agriculture - Dairy Long Day Lighting</t>
  </si>
  <si>
    <t>Assisted Living</t>
  </si>
  <si>
    <t>Auto Dealership</t>
  </si>
  <si>
    <t>Childcare/Pre-School</t>
  </si>
  <si>
    <t>Convenience Store</t>
  </si>
  <si>
    <t>Drug Store</t>
  </si>
  <si>
    <t>Elementary School</t>
  </si>
  <si>
    <t>Emergency Services</t>
  </si>
  <si>
    <t>Garage</t>
  </si>
  <si>
    <t>Garage, 24/7 Lighting</t>
  </si>
  <si>
    <t>Grocery</t>
  </si>
  <si>
    <t>Healthcare Clinic</t>
  </si>
  <si>
    <t>High School</t>
  </si>
  <si>
    <t>Hospital - CAV No Econ</t>
  </si>
  <si>
    <t>Hospital - CAV Econ</t>
  </si>
  <si>
    <t>Hospital - VAV Econ</t>
  </si>
  <si>
    <t>Hospital - FCU</t>
  </si>
  <si>
    <t>Manufacturing Facility</t>
  </si>
  <si>
    <t>MF - High Rise - Common</t>
  </si>
  <si>
    <t>MF - Mid Rise - Common</t>
  </si>
  <si>
    <t>Hotel/Motel - Guest</t>
  </si>
  <si>
    <t>Hotel/Motel - Common</t>
  </si>
  <si>
    <t>Movie Theater</t>
  </si>
  <si>
    <t>Office - High Rise - CAV No Econ</t>
  </si>
  <si>
    <t>Office - High Rise - FCU</t>
  </si>
  <si>
    <t>Office - High Rise - VAV Econ</t>
  </si>
  <si>
    <t>Office - High Rise - CAV Econ</t>
  </si>
  <si>
    <t>Office - Low Rise</t>
  </si>
  <si>
    <t>Office - Mid Rise</t>
  </si>
  <si>
    <t>Restaurant</t>
  </si>
  <si>
    <t>Retail - Department Store</t>
  </si>
  <si>
    <t>Retail - Strip Mall</t>
  </si>
  <si>
    <t>Exterior - Dusk to Dawn</t>
  </si>
  <si>
    <t>Exterior - Dusk to Business Close</t>
  </si>
  <si>
    <t>Low-Use Small Business</t>
  </si>
  <si>
    <t>Uncooled Building</t>
  </si>
  <si>
    <t>Refrigerated Cases</t>
  </si>
  <si>
    <t>Freezer Cases</t>
  </si>
  <si>
    <t>Waste Heat Electric Resistance Heating IFkWh</t>
  </si>
  <si>
    <t>IF kWh</t>
  </si>
  <si>
    <t>IF Therms</t>
  </si>
  <si>
    <t>WHFe</t>
  </si>
  <si>
    <t/>
  </si>
  <si>
    <t>Account Type</t>
  </si>
  <si>
    <t>Gas Only</t>
  </si>
  <si>
    <t>Column1</t>
  </si>
  <si>
    <r>
      <t>Account Type</t>
    </r>
    <r>
      <rPr>
        <sz val="11"/>
        <color rgb="FFFF0000"/>
        <rFont val="Arial"/>
        <family val="2"/>
      </rPr>
      <t>*</t>
    </r>
  </si>
  <si>
    <t>M02S02F46</t>
  </si>
  <si>
    <t>Agriculture</t>
  </si>
  <si>
    <t>M3S9</t>
  </si>
  <si>
    <t>Dairy Refrigeration Heat Recovery - Electric</t>
  </si>
  <si>
    <t>VSD Milk Pump w/ Plate Cooler Heat Exchanger</t>
  </si>
  <si>
    <t>Low Pressure Sprinkler Nozzle</t>
  </si>
  <si>
    <t>Scroll Compressor for Dairy Refrigeration</t>
  </si>
  <si>
    <t>Milk Pre-Cooler</t>
  </si>
  <si>
    <t>Dairy Refrigeration Heat Recovery - Natural Gas</t>
  </si>
  <si>
    <t>Greenhouse Thermal Curtains</t>
  </si>
  <si>
    <t>High Speed Fans (36-47 in.)</t>
  </si>
  <si>
    <t>High Speed Fans (24-35 in.)</t>
  </si>
  <si>
    <t>High Speed Fans (48-71 in.)</t>
  </si>
  <si>
    <t>Infrared Film for Greenhouse</t>
  </si>
  <si>
    <t>Engine Block Timer</t>
  </si>
  <si>
    <t>Agriculture (Elec/Gas)</t>
  </si>
  <si>
    <t>LED 1x4 Fixture Replacing 1-Lamp Fluor.</t>
  </si>
  <si>
    <t>LED Tube Relamp Replacing 8 Ft Fluor.</t>
  </si>
  <si>
    <t>LED 2x4 Fixture Replacing 4-Lamp Fluor.</t>
  </si>
  <si>
    <t>LED Tube Relamp Replacing 4 Ft Fluor.</t>
  </si>
  <si>
    <t>LED 2x4 Fixture Replacing 3-Lamp Fluor.</t>
  </si>
  <si>
    <t>LED Tube Relamp Replacing 2 Ft Fluor.</t>
  </si>
  <si>
    <t>LED Tube Relamp Replacing 4 Ft HO Fluor.</t>
  </si>
  <si>
    <t>LED 1x4 Fixture Replacing 3-Lamp Fluor.</t>
  </si>
  <si>
    <t>LED High Bay Replacing 8-Lamp Fluor.</t>
  </si>
  <si>
    <t>LED High Bay Replacing 4-Lamp Fluor.</t>
  </si>
  <si>
    <t>LED High Bay Replacing 6-Lamp Fluor.</t>
  </si>
  <si>
    <t>LED 2x2 Fixture Replacing 3-Lamp Fluor.</t>
  </si>
  <si>
    <t>LED Low Bay Replacing 3-Lamp Fluor.</t>
  </si>
  <si>
    <t>Delamping 8 Ft Fluor.</t>
  </si>
  <si>
    <t>Delamping 4 Ft Fluor.</t>
  </si>
  <si>
    <t>810140-Lighting-LED 1x4 Fixture Replacing 1-Lamp Fluor.</t>
  </si>
  <si>
    <t>810141-Lighting-LED Tube Relamp Replacing 8 Ft Fluor.</t>
  </si>
  <si>
    <t>810142-Lighting-LED 2x4 Fixture Replacing 4-Lamp Fluor.</t>
  </si>
  <si>
    <t>810143-Lighting-LED Tube Relamp Replacing 4 Ft Fluor.</t>
  </si>
  <si>
    <t>810144-Lighting-LED 2x4 Fixture Replacing 3-Lamp Fluor.</t>
  </si>
  <si>
    <t>810145-Lighting-LED 2x4 Fixture Replacing 2-Lamp Fluor.</t>
  </si>
  <si>
    <t>810146-Lighting-LED Tube Relamp Replacing 2 Ft Fluor.</t>
  </si>
  <si>
    <t>810147-Lighting-LED Tube Relamp Replacing 4 Ft HO Fluor.</t>
  </si>
  <si>
    <t>810148-Lighting-LED 1x4 Fixture Replacing 2-Lamp Fluor.</t>
  </si>
  <si>
    <t>810149-Lighting-LED 1x4 Fixture Replacing 3-Lamp Fluor.</t>
  </si>
  <si>
    <t>810150-Lighting-LED High Bay Replacing 8-Lamp Fluor.</t>
  </si>
  <si>
    <t>810151-Lighting-LED High Bay Replacing 4-Lamp Fluor.</t>
  </si>
  <si>
    <t>810152-Lighting-LED High Bay Replacing 6-Lamp Fluor.</t>
  </si>
  <si>
    <t>810153-Lighting-LED 2x2 Fixture Replacing 3-Lamp Fluor.</t>
  </si>
  <si>
    <t>810154-Lighting-LED Low Bay Replacing 3-Lamp Fluor.</t>
  </si>
  <si>
    <t>810155-Lighting-LED 2x2 Fixture Replacing 2-Lamp Fluor.</t>
  </si>
  <si>
    <t>810156-Lighting-Delamping 8 Ft Fluor.</t>
  </si>
  <si>
    <t>810157-Lighting-Delamping 4 Ft Fluor.</t>
  </si>
  <si>
    <t>LED Tube</t>
  </si>
  <si>
    <t>LED High Bay</t>
  </si>
  <si>
    <t>LED Low Bay</t>
  </si>
  <si>
    <t>8Ft Delamping</t>
  </si>
  <si>
    <t>4Ft Delamping</t>
  </si>
  <si>
    <t>2022-2023 v1.0.0</t>
  </si>
  <si>
    <t>1-Lamp Fluor.</t>
  </si>
  <si>
    <t>8Ft Fluor.</t>
  </si>
  <si>
    <t>4-Lamp Fluor.</t>
  </si>
  <si>
    <t>4Ft Fluor.</t>
  </si>
  <si>
    <t>2Ft Fluor.</t>
  </si>
  <si>
    <t>4Ft HO Fluor.</t>
  </si>
  <si>
    <t>3-Lamp Fluor.</t>
  </si>
  <si>
    <t>8-Lamp Fluor.</t>
  </si>
  <si>
    <t>6-Lamp Fluor.</t>
  </si>
  <si>
    <t xml:space="preserve"> LED 1x4 Fixture</t>
  </si>
  <si>
    <t xml:space="preserve">
LED 1x4 Fixture</t>
  </si>
  <si>
    <t xml:space="preserve"> LED High Bay</t>
  </si>
  <si>
    <t xml:space="preserve">
LED High Bay</t>
  </si>
  <si>
    <t xml:space="preserve">
 LED High Bay</t>
  </si>
  <si>
    <t>4Ft of Lamp</t>
  </si>
  <si>
    <t>8Ft Of Lamp</t>
  </si>
  <si>
    <t>8Ft Of Lamp Removed</t>
  </si>
  <si>
    <t>4Ft of Lamp Removed</t>
  </si>
  <si>
    <t>-----------Fluor.  MEASURES-----------</t>
  </si>
  <si>
    <t>1-Lamp 8Ft Fluor.</t>
  </si>
  <si>
    <t>1-Lamp 4Ft Fluor.</t>
  </si>
  <si>
    <t>1-Lamp 4Ft HO Fluor.</t>
  </si>
  <si>
    <t>2-Lamp 4Ft Fluor.</t>
  </si>
  <si>
    <t>3-Lamp 4Ft Fluor.</t>
  </si>
  <si>
    <t>4-Lamp 4Ft Fluor.</t>
  </si>
  <si>
    <t>6-Lamp 4Ft Fluor.</t>
  </si>
  <si>
    <t>8-Lamp 4Ft Fluor.</t>
  </si>
  <si>
    <t>Independence Day</t>
  </si>
  <si>
    <r>
      <t>LED Low Bay (</t>
    </r>
    <r>
      <rPr>
        <sz val="11"/>
        <color theme="1"/>
        <rFont val="Calibri"/>
        <family val="2"/>
      </rPr>
      <t>≤ 10,000 lumens)</t>
    </r>
  </si>
  <si>
    <t>Daylight Sensor (Indoor Only)</t>
  </si>
  <si>
    <t>Dual Occupancy &amp; Daylight Sensor (Indoor Only)</t>
  </si>
  <si>
    <t>Occupancy Sensor</t>
  </si>
  <si>
    <t>Exterior Occupancy Sensor</t>
  </si>
  <si>
    <t>810503-Lighting-Daylight Sensor (Indoor Only)</t>
  </si>
  <si>
    <t>810505-Lighting-Occupancy Sensor</t>
  </si>
  <si>
    <t>810506-Lighting-Exterior Occupancy Sensor</t>
  </si>
  <si>
    <t>Total Watts Controlled</t>
  </si>
  <si>
    <t>ENERGY STAR® Commercial Glass Door Freezers &lt; 15 ft³</t>
  </si>
  <si>
    <t>Non Energy-Star Freezer</t>
  </si>
  <si>
    <t>ENERGY STAR® Commercial Glass Door Freezers &gt; 50 ft³</t>
  </si>
  <si>
    <t>ENERGY STAR® Commercial Glass Door Freezers 15-30 ft³</t>
  </si>
  <si>
    <t>15-30 ft³</t>
  </si>
  <si>
    <t>ENERGY STAR® Commercial Glass Door Freezers 30-50 ft³</t>
  </si>
  <si>
    <t>30-50 ft³</t>
  </si>
  <si>
    <t>ENERGY STAR® Commercial Glass Door Refrigerators &lt; 15 ft³</t>
  </si>
  <si>
    <t>Non Energy-Star Refrigerator</t>
  </si>
  <si>
    <t>ENERGY STAR® Commercial Glass Door Refrigerators &gt; 50 ft³</t>
  </si>
  <si>
    <t>ENERGY STAR® Commercial Glass Door Refrigerators 15-30 ft³</t>
  </si>
  <si>
    <t>ENERGY STAR® Commercial Glass Door Refrigerators 30-50 ft³</t>
  </si>
  <si>
    <t>ENERGY STAR® Commercial Solid Door Freezers &lt; 15 ft³</t>
  </si>
  <si>
    <t>ENERGY STAR® Commercial Solid Door Freezers &gt; 50 ft³</t>
  </si>
  <si>
    <t>ENERGY STAR® Commercial Solid Door Freezers 15-30 ft³</t>
  </si>
  <si>
    <t>ENERGY STAR® Commercial Solid Door Freezers 30-50 ft³</t>
  </si>
  <si>
    <t>ENERGY STAR® Commercial Solid Door Refrigerators &lt; 15 ft³</t>
  </si>
  <si>
    <t>ENERGY STAR® Commercial Solid Door Refrigerators &gt; 50 ft³</t>
  </si>
  <si>
    <t>ENERGY STAR® Commercial Solid Door Refrigerators 15-30 ft³</t>
  </si>
  <si>
    <t>ENERGY STAR® Commercial Solid Door Refrigerators 30-50 ft³</t>
  </si>
  <si>
    <t>Automatic High Speed Doors - Cooler to Dock</t>
  </si>
  <si>
    <t>Automatic High Speed Doors - Freezer to Cooler</t>
  </si>
  <si>
    <t>Automatic High Speed Doors - Freezer to Dock</t>
  </si>
  <si>
    <t>&lt; 15 ft³</t>
  </si>
  <si>
    <t>&gt; 50 ft³</t>
  </si>
  <si>
    <t xml:space="preserve"> &gt; 50 ft³</t>
  </si>
  <si>
    <t>Sq. Ft.</t>
  </si>
  <si>
    <t>Strip Curtain</t>
  </si>
  <si>
    <t>Please Enter Automatic High Speed Door Measures Below</t>
  </si>
  <si>
    <t>QTY</t>
  </si>
  <si>
    <t>Width</t>
  </si>
  <si>
    <t>Height</t>
  </si>
  <si>
    <t>Model</t>
  </si>
  <si>
    <t>Type</t>
  </si>
  <si>
    <t>Qs/A</t>
  </si>
  <si>
    <t>Rs</t>
  </si>
  <si>
    <t>Df</t>
  </si>
  <si>
    <t>Efficiency</t>
  </si>
  <si>
    <t>Dtb</t>
  </si>
  <si>
    <t>Dte</t>
  </si>
  <si>
    <t>Dtm</t>
  </si>
  <si>
    <t>Eb</t>
  </si>
  <si>
    <t>Ee</t>
  </si>
  <si>
    <t>t</t>
  </si>
  <si>
    <t>Total Units</t>
  </si>
  <si>
    <t>q</t>
  </si>
  <si>
    <t>AC</t>
  </si>
  <si>
    <t>Non-Lighting</t>
  </si>
  <si>
    <t>$/SEER 
improvement/ton</t>
  </si>
  <si>
    <t>$/EER 
improvement/ton</t>
  </si>
  <si>
    <t>$/IEER 
improvement/ton</t>
  </si>
  <si>
    <t>EER</t>
  </si>
  <si>
    <t>IEER</t>
  </si>
  <si>
    <t>COP</t>
  </si>
  <si>
    <t>EFLHcool</t>
  </si>
  <si>
    <t>EFLHheat</t>
  </si>
  <si>
    <t>VSD for HVAC Pumps</t>
  </si>
  <si>
    <t>Compressed Air Digital Scroll Air Dryer Replacing Non-Cycling Dryer</t>
  </si>
  <si>
    <t>Compressed Air Variable Speed Air Dryer Replacing Non-Cycling Dryer</t>
  </si>
  <si>
    <t>Compressed Air Thermal Mass Air Dryer Replacing Non-Cycling Dryer</t>
  </si>
  <si>
    <t>Compressed Air Nozzle</t>
  </si>
  <si>
    <t>Compressed Air Low Pressure Drop Filter</t>
  </si>
  <si>
    <t>Compressed Air No-Loss Condensate Drains</t>
  </si>
  <si>
    <t>Tankless Water Heater Electric, ≥ 0.95 UEF</t>
  </si>
  <si>
    <t>Non-Cycling Dryer</t>
  </si>
  <si>
    <t>Standard Nozzle</t>
  </si>
  <si>
    <t>Digital Scroll Dryer</t>
  </si>
  <si>
    <t>Variable Speed Dryer</t>
  </si>
  <si>
    <t>Thermal Mass Dryer</t>
  </si>
  <si>
    <t>$/Unit</t>
  </si>
  <si>
    <t>$/CFM</t>
  </si>
  <si>
    <t>$/Nozzle</t>
  </si>
  <si>
    <t>$/HP</t>
  </si>
  <si>
    <t>$/Drain</t>
  </si>
  <si>
    <t>Compressed Air VS Air Dryer Replacing Non-Cycling Dryer</t>
  </si>
  <si>
    <t>Heated DA Dryer</t>
  </si>
  <si>
    <t>Blower Purge DA Dryer</t>
  </si>
  <si>
    <t>Reciprocating - Load/Unload</t>
  </si>
  <si>
    <t>Reciprocating - On/Off Control</t>
  </si>
  <si>
    <t>Screw - Load/Unload</t>
  </si>
  <si>
    <t>Screw - Variable Displacement</t>
  </si>
  <si>
    <t>Screw - VFD</t>
  </si>
  <si>
    <t>Coalescing Filter</t>
  </si>
  <si>
    <t>Standard Condensate Drain</t>
  </si>
  <si>
    <t>Drain</t>
  </si>
  <si>
    <t xml:space="preserve">
Non-Cycling Dryer</t>
  </si>
  <si>
    <t xml:space="preserve"> Reciprocating - Load/Unload</t>
  </si>
  <si>
    <t xml:space="preserve">
Reciprocating - Load/Unload</t>
  </si>
  <si>
    <t xml:space="preserve">
 Reciprocating - Load/Unload</t>
  </si>
  <si>
    <t xml:space="preserve"> Reciprocating - On/Off Control</t>
  </si>
  <si>
    <t xml:space="preserve">
Reciprocating - On/Off Control</t>
  </si>
  <si>
    <t xml:space="preserve">
 Reciprocating - On/Off Control</t>
  </si>
  <si>
    <t xml:space="preserve"> Screw - Load/Unload</t>
  </si>
  <si>
    <t xml:space="preserve"> Screw - Variable Displacement</t>
  </si>
  <si>
    <t xml:space="preserve"> Screw - VFD</t>
  </si>
  <si>
    <t xml:space="preserve">
Screw - Load/Unload</t>
  </si>
  <si>
    <t xml:space="preserve">
Screw - Inlet/Modulation</t>
  </si>
  <si>
    <t xml:space="preserve">
Screw - Variable Displacement</t>
  </si>
  <si>
    <t xml:space="preserve">
Screw - VFD</t>
  </si>
  <si>
    <t xml:space="preserve">
Unknown</t>
  </si>
  <si>
    <t xml:space="preserve">
 Screw - Load/Unload</t>
  </si>
  <si>
    <t xml:space="preserve"> 
 Screw - Inlet/Modulation</t>
  </si>
  <si>
    <t xml:space="preserve">
 Screw - Variable Displacement</t>
  </si>
  <si>
    <t xml:space="preserve">
 Screw - VFD</t>
  </si>
  <si>
    <t xml:space="preserve">
 Unknown</t>
  </si>
  <si>
    <t>Heating Run Hours</t>
  </si>
  <si>
    <t>Cooling Run Hours</t>
  </si>
  <si>
    <t>Cooling Tower Fan</t>
  </si>
  <si>
    <t xml:space="preserve">
  Reciprocating - Load/Unload</t>
  </si>
  <si>
    <t xml:space="preserve">
  Screw - Load/Unload</t>
  </si>
  <si>
    <t xml:space="preserve"> 
  Screw - Inlet/Modulation</t>
  </si>
  <si>
    <t xml:space="preserve">
  Screw - Variable Displacement</t>
  </si>
  <si>
    <t xml:space="preserve">
  Screw - VFD</t>
  </si>
  <si>
    <t xml:space="preserve">
 Screw - Inlet Mod. w/ Unloading</t>
  </si>
  <si>
    <t xml:space="preserve">
  Screw - Inlet Mod. w/ Unloading</t>
  </si>
  <si>
    <t xml:space="preserve">
Screw - Inlet Mod. w/ Unloading</t>
  </si>
  <si>
    <t>Elec. Storage Water Heater</t>
  </si>
  <si>
    <t xml:space="preserve">
  Recip. - On/Off Control</t>
  </si>
  <si>
    <t>No RHR</t>
  </si>
  <si>
    <t>Constant Speed Milk Transfer Pump</t>
  </si>
  <si>
    <r>
      <t xml:space="preserve">Sprinkler Nozzle </t>
    </r>
    <r>
      <rPr>
        <sz val="11"/>
        <color theme="1"/>
        <rFont val="Calibri"/>
        <family val="2"/>
      </rPr>
      <t>≥</t>
    </r>
    <r>
      <rPr>
        <sz val="7.7"/>
        <color theme="1"/>
        <rFont val="Calibri"/>
        <family val="2"/>
      </rPr>
      <t xml:space="preserve"> 50 PSI</t>
    </r>
  </si>
  <si>
    <t>Nozzles</t>
  </si>
  <si>
    <t>Timers</t>
  </si>
  <si>
    <t>Reciprocating Compressor</t>
  </si>
  <si>
    <t>Milk Bulk Tank W/O Cooler</t>
  </si>
  <si>
    <t>Non HVLS Fan</t>
  </si>
  <si>
    <t>Fans</t>
  </si>
  <si>
    <t>Existing Fan</t>
  </si>
  <si>
    <t>Manual Engine Block Heater</t>
  </si>
  <si>
    <t>Calculated Thm</t>
  </si>
  <si>
    <t>Please Enter Natural Gas Agriculture Measures Below</t>
  </si>
  <si>
    <t>PE Glazing / No Curtain</t>
  </si>
  <si>
    <t>PE Glazing / No Film</t>
  </si>
  <si>
    <t>Taylor Potter</t>
  </si>
  <si>
    <t>Matthew</t>
  </si>
  <si>
    <t>840911-CA-Compressed Air Digital Scroll Air Dryer Replacing Non-Cycling Dryer</t>
  </si>
  <si>
    <t>840912-CA-Compressed Air Variable Speed Air Dryer Replacing Non-Cycling Dryer</t>
  </si>
  <si>
    <t>840913-CA-Compressed Air Thermal Mass Air Dryer Replacing Non-Cycling Dryer</t>
  </si>
  <si>
    <t>840915-CA-Compressed Air Nozzle</t>
  </si>
  <si>
    <t>840917-CA-Compressed Air Low Pressure Drop Filter</t>
  </si>
  <si>
    <t>840918-CA-Compressed Air No-Loss Condensate Drains</t>
  </si>
  <si>
    <t>860000-AG-Dairy Refrigeration Heat Recovery - Electric</t>
  </si>
  <si>
    <t>860001-AG-VSD Milk Pump w/ Plate Cooler Heat Exchanger</t>
  </si>
  <si>
    <t>860002-AG-Low Pressure Sprinkler Nozzle</t>
  </si>
  <si>
    <t>860003-AG-Scroll Compressor for Dairy Refrigeration</t>
  </si>
  <si>
    <t>860004-AG-Milk Pre-Cooler</t>
  </si>
  <si>
    <t>860009-AG-High Speed Fans (36-47 in.)</t>
  </si>
  <si>
    <t>860008-AG-High Speed Fans (24-35 in.)</t>
  </si>
  <si>
    <t>860010-AG-High Speed Fans (48-71 in.)</t>
  </si>
  <si>
    <t>860011-AG-Engine Block Timer</t>
  </si>
  <si>
    <t>960000-AG-Dairy Refrigeration Heat Recovery - Natural Gas</t>
  </si>
  <si>
    <t>960001-AG-Greenhouse Thermal Curtains</t>
  </si>
  <si>
    <t>960002-AG-Infrared Film for Greenhouse</t>
  </si>
  <si>
    <t>Space Heating Boiler Tune-Up</t>
  </si>
  <si>
    <t>Space Heating Furnace Tune-Up</t>
  </si>
  <si>
    <t>Tankless Water Heater Natural Gas, ≥ 0.87 UEF</t>
  </si>
  <si>
    <t>High-Efficiency Tank-Style Domestic Water Heater &gt; 55 Gal, ≤ 75 MBH, ≥ 0.80 UEF</t>
  </si>
  <si>
    <t>High-Efficiency Tank-Style Domestic Water Heater ≤  55 Gal, ≤ 75 MBH, ≥ 0.68 UEF</t>
  </si>
  <si>
    <t>(≥ 93% AFUE) Natural Gas Furnace Replacing Standard Unit (≤225 MBH)</t>
  </si>
  <si>
    <t>Heating EFLH</t>
  </si>
  <si>
    <t>Cooling EFLH</t>
  </si>
  <si>
    <t>Per MBH</t>
  </si>
  <si>
    <t>(≥ 93% AFUE) Natural Gas Furnace (≤225 MBH)</t>
  </si>
  <si>
    <t>No Tune-Up</t>
  </si>
  <si>
    <t>No Heat Recovery</t>
  </si>
  <si>
    <t>Standard Boiler</t>
  </si>
  <si>
    <t>Standard Unit (≤225 MBH)</t>
  </si>
  <si>
    <t>No Tune-Up Past 36 Months</t>
  </si>
  <si>
    <t>Exhaust Ducted to Unconditioned Space</t>
  </si>
  <si>
    <t>Existing Boiler AFUE ≤ 82%</t>
  </si>
  <si>
    <t>Existing Boiler TE ≤ 80%</t>
  </si>
  <si>
    <t>Hot Water Boiler &lt; 300 MBH and ≥ 96% AFUE</t>
  </si>
  <si>
    <t>Hot Water Boiler ≥ 300 MBH ≤ 2500 MBH and ≥ 92% TE</t>
  </si>
  <si>
    <t>Steam Boiler &lt; 300 MBH  and ≥ 92% AFUE</t>
  </si>
  <si>
    <r>
      <t xml:space="preserve">High Draw </t>
    </r>
    <r>
      <rPr>
        <sz val="11"/>
        <color theme="1"/>
        <rFont val="Calibri"/>
        <family val="2"/>
      </rPr>
      <t xml:space="preserve">≤ </t>
    </r>
    <r>
      <rPr>
        <sz val="11"/>
        <color theme="1"/>
        <rFont val="Calibri"/>
        <family val="2"/>
        <scheme val="minor"/>
      </rPr>
      <t>55 Gallon Storage Water Heater</t>
    </r>
  </si>
  <si>
    <r>
      <t xml:space="preserve">High Draw </t>
    </r>
    <r>
      <rPr>
        <sz val="11"/>
        <color theme="1"/>
        <rFont val="Calibri"/>
        <family val="2"/>
      </rPr>
      <t>≤</t>
    </r>
    <r>
      <rPr>
        <sz val="11"/>
        <color theme="1"/>
        <rFont val="Calibri"/>
        <family val="2"/>
        <scheme val="minor"/>
      </rPr>
      <t xml:space="preserve"> 55 Gallon Storage Water Heater</t>
    </r>
  </si>
  <si>
    <t>Standard Efficiency Pool Heater 78% Eff.</t>
  </si>
  <si>
    <t>High Draw ≤ 55 Gallon Storage Water Heater</t>
  </si>
  <si>
    <t>Misc / Compressed Air / VFDs</t>
  </si>
  <si>
    <t>HVAC (Electric)</t>
  </si>
  <si>
    <t>Doors</t>
  </si>
  <si>
    <t>Updated by Michael Flatt 1/9/2022</t>
  </si>
  <si>
    <t>Based on 2022-23 NIPSCO Program Design v1.0.0</t>
  </si>
  <si>
    <t>830846-Refrigeration-Automatic High Speed Doors - Cooler to Dock</t>
  </si>
  <si>
    <t>830847-Refrigeration-Automatic High Speed Doors - Freezer to Cooler</t>
  </si>
  <si>
    <t>830848-Refrigeration-Automatic High Speed Doors - Freezer to Dock</t>
  </si>
  <si>
    <t>Sprinkler Nozzle ≥ 50 PSI</t>
  </si>
  <si>
    <t>Standard Coalescing Filter</t>
  </si>
  <si>
    <t>Electric Storage Water Heater</t>
  </si>
  <si>
    <t>No VSD</t>
  </si>
  <si>
    <t>Heatless Regenerative Desiccant Dryer</t>
  </si>
  <si>
    <t>840919-Water Heat-Tankless Water Heater Electric, ≥ 0.95 UEF</t>
  </si>
  <si>
    <t>930806-Water Heat-High-Efficiency Tank-Style Domestic Water Heater ≤  55 Gal, ≤ 75 MBH, ≥ 0.68 UEF</t>
  </si>
  <si>
    <t>930804-Water Heat-Tankless Water Heater Natural Gas, ≥ 0.87 UEF</t>
  </si>
  <si>
    <t>910127-HVAC-(≥ 93% AFUE) Natural Gas Furnace Replacing Standard Unit (≤225 MBH)</t>
  </si>
  <si>
    <t>910130-HVAC-Space Heating Boiler Tune-Up</t>
  </si>
  <si>
    <t>910131-HVAC-Space Heating Furnace Tune-Up</t>
  </si>
  <si>
    <t>851018-Kitchen-ENERGY STAR - Full Size Replacing Non-ENERGY STAR model</t>
  </si>
  <si>
    <t>851017-Kitchen-ENERGY STAR Oven - Combo Replacing Non-ENERGY STAR model</t>
  </si>
  <si>
    <t>851014-Kitchen-ENERGY STAR Oven - Convection Replacing Non-ENERGY STAR model</t>
  </si>
  <si>
    <t>851015-Kitchen-ENERGY STAR Steamer - 5 Pan Replacing Non-ENERGY STAR model</t>
  </si>
  <si>
    <t>851016-Kitchen-ENERGY STAR Steamer - 6 Pan Replacing Non-ENERGY STAR model</t>
  </si>
  <si>
    <t>930803-Water Heat-Unit-Hi-E Water/Pool Heater &gt;80% Annual Fuel Utilization Efficiency (AFUE)</t>
  </si>
  <si>
    <t>Hi-E Water/Pool Heater &gt;80% Annual Fuel Utilization Efficiency (AFUE) Replacing &lt;80% AFUE</t>
  </si>
  <si>
    <t>Hi-E Water/Pool Heater &gt;80% Annual Fuel Utilization Efficiency (AFUE)</t>
  </si>
  <si>
    <t>910121-HVAC-Boiler-Dry Cleaning Steam Trap Replacemtent</t>
  </si>
  <si>
    <t>910128-HVAC-Boiler-Industrial Steam Trap Replacement</t>
  </si>
  <si>
    <t>910129-HVAC-Heater-Infrared Heater</t>
  </si>
  <si>
    <t>3.4.0</t>
  </si>
  <si>
    <t>Many changes for new program cycle.  Integrated agriculture tab and WHF into calculations.  Updated building type table.  Added account type field.  Redesigned HVAC tab.  Redesigned Misc/VFD tab.</t>
  </si>
  <si>
    <t>Updated graphics with exclusionary terms for midstream program.  Updated terms and conditions with correct custom incentive rates.</t>
  </si>
  <si>
    <t>3.4.1</t>
  </si>
  <si>
    <t>3.4.2</t>
  </si>
  <si>
    <t>ASHP 65 ≤ kBtuh &lt; 135 
(5.4 ≤ tons &lt; 11.3)</t>
  </si>
  <si>
    <t>ASHP ≥ 240 kBtuh
(≥ 20 tons)</t>
  </si>
  <si>
    <t>DX Unit 135 ≤ kBtuh &lt; 240 
(11.3 ≤ tons &lt; 20)</t>
  </si>
  <si>
    <t>DX Unit 240 ≤ kBtuh &lt; 760 
(20 ≤ tons &lt; 63.3)</t>
  </si>
  <si>
    <t>DX Unit 65 ≤ kBtuh &lt; 135 
(5.4 ≤ tons &lt; 11.3)</t>
  </si>
  <si>
    <t>DX Unit ≥ 760 kBtuh
(&gt; 63.3 tons)</t>
  </si>
  <si>
    <t>ASHP 135 ≤ kBtuh &lt; 240 
(11.3 ≤ tons &lt; 20)</t>
  </si>
  <si>
    <t>Corrected NC hours to autopopulate from new building type table.  Updated rounding on kWh for custom lighting (2 decimal places).  Updated maximum allowable Wattage ranges to allow for more HO lamp options.  Updated export to show baseline and efficient efficiency values for selected HVAC measure.  Updated HVAC measure names to include tonnage.</t>
  </si>
  <si>
    <t>Bonus Key</t>
  </si>
  <si>
    <t>830812-Refrigeration-Ice Machine-ENERGY STAR Ice Machine - &gt;=1000 lb/Day</t>
  </si>
  <si>
    <t>830811-Refrigeration-Ice Machine-ENERGY STAR Ice Machine - 500-1000 lb/Day</t>
  </si>
  <si>
    <t>3.5.0</t>
  </si>
  <si>
    <t>Adjusted ice machine savings and measure numbers to align with design.  Adjusted ECM cooler motor incentive and measuer number to align with design.  Added 20% lighting bonus for fluorescent and HID lighting.</t>
  </si>
  <si>
    <t>ASHP 135 ≤ kBtuh &lt; 240 (11.3 ≤ tons &lt; 20)</t>
  </si>
  <si>
    <t>ASHP ≥ 240 kBtuh (≥ 20 tons)</t>
  </si>
  <si>
    <t>ASHP 65 ≤ kBtuh &lt; 135 (5.4 ≤ tons &lt; 11.3)</t>
  </si>
  <si>
    <t>DX Unit 135 ≤ kBtuh &lt; 240 (11.3 ≤ tons &lt; 20)</t>
  </si>
  <si>
    <t>DX Unit 240 ≤ kBtuh &lt; 760 (20 ≤ tons &lt; 63.3)</t>
  </si>
  <si>
    <t>DX Unit 65 ≤ kBtuh &lt; 135 (5.4 ≤ tons &lt; 11.3)</t>
  </si>
  <si>
    <t>DX Unit ≥ 760 kBtuh (&gt; 63.3 tons)</t>
  </si>
  <si>
    <t>Ground Water SHP &lt; 135 kBtuh (&lt; 11.3 tons)</t>
  </si>
  <si>
    <t>WSHP &lt; 17 kBtuh (&lt; 1.4 tons)</t>
  </si>
  <si>
    <t>WSHP 17 ≤ kBtuh &lt; 135 (1.4 ≤ tons &lt; 11.2)</t>
  </si>
  <si>
    <t>820718-HVAC-ASHP 135 ≤ kBtuh &lt; 240 (11.3 ≤ tons &lt; 20)</t>
  </si>
  <si>
    <t>820719-HVAC-ASHP ≥ 240 kBtuh (≥ 20 tons)</t>
  </si>
  <si>
    <t>820717-HVAC-ASHP 65 ≤ kBtuh &lt; 135 (5.4 ≤ tons &lt; 11.3)</t>
  </si>
  <si>
    <t>820728-HVAC-DX Unit ≥ 760 kBtuh (&gt; 63.3 tons)</t>
  </si>
  <si>
    <t>820721-HVAC-Ground Water SHP &lt; 135 kBtuh (&lt; 11.3 tons)</t>
  </si>
  <si>
    <t>820722-HVAC-WSHP &lt; 17 kBtuh (&lt; 1.4 tons)</t>
  </si>
  <si>
    <t>820723-HVAC-WSHP 17 ≤ kBtuh &lt; 135 (1.4 ≤ tons &lt; 11.2)</t>
  </si>
  <si>
    <t>820720-HVAC-GSHP &lt; 135 kBtuh (&lt; 11.3 tons)</t>
  </si>
  <si>
    <t>GSHP &lt; 135 kBtuh (&lt; 11.3 tons)</t>
  </si>
  <si>
    <t xml:space="preserve">Complete Proj Info Tab </t>
  </si>
  <si>
    <t>Application Issue Date:</t>
  </si>
  <si>
    <t>3.5.1</t>
  </si>
  <si>
    <t xml:space="preserve">Flipped greater than sign to less than on WSHP &lt; 17 kBtuh to correct error.  Changed Midstream Program to Midstream Channel in T&amp;C.  Added application issue date.  Removed one link from link information tab.  Adjusted alignment of remaining graphics.  Changed status message from “Enter Bldg Type (Proj Info Tab)” to “Complete Proj Info Tab.”  </t>
  </si>
  <si>
    <t>ASHP &lt; 65 kBtuh (&lt; 5.4 Tons)</t>
  </si>
  <si>
    <t>DX Unit &lt; 65 kBtuh (&lt; 5.4 tons)</t>
  </si>
  <si>
    <t>ASHP &lt; 65 kBtuh
(&lt; 5.4 Tons)</t>
  </si>
  <si>
    <t>DX Unit &lt; 65 kBtuh
(&lt; 5.4 tons)</t>
  </si>
  <si>
    <t>Please note natural gas agriculture measures are at the bottom of this tab starting on row 18.</t>
  </si>
  <si>
    <t>3.5.2</t>
  </si>
  <si>
    <t xml:space="preserve">Bolded and enlarged notification about gas measures on Ag tab.  Updated graphic on start -&gt; energy efficiency programs to correct midstream program to midstream channel.  </t>
  </si>
  <si>
    <t>840914-CA-Compressed Air Heated Desiccant Air Dryer</t>
  </si>
  <si>
    <t>Compressed Air Heated Desiccant Air Dryer</t>
  </si>
  <si>
    <t>Compressed Air Blower Purge Desiccant Air Dryer</t>
  </si>
  <si>
    <t>840916-CA-Compressed Air Blower Purge Desiccant Air Dryer</t>
  </si>
  <si>
    <t>GSHP &lt; 135 kBtuh
(&lt; 11.3 tons)</t>
  </si>
  <si>
    <t>Compressed Air Heat Recovery ≤ 100 HP</t>
  </si>
  <si>
    <t>910124-HVAC-Steam Boiler &lt; 300 MBH  and ≥ 92% AFUE</t>
  </si>
  <si>
    <t>910125-HVAC-Steam Boiler ≥ 300 MBH ≤ 2500 MBH and ≥ 92% TE</t>
  </si>
  <si>
    <t>910126-HVAC-Hot Water Boiler &lt; 300 MBH and ≥ 96% AFUE</t>
  </si>
  <si>
    <t>910123-HVAC-Hot Water Boiler ≥ 300 MBH ≤ 2500 MBH and ≥ 92% TE</t>
  </si>
  <si>
    <t>Steam Boiler ≥ 300 MBH ≤ 2500 MBH and ≥ 92% TE</t>
  </si>
  <si>
    <t>LED Refrigerated Display Case Lighting</t>
  </si>
  <si>
    <t>ENERGY STAR - Holding Cabinet - 1/2 Size Replacing Non-ENERGY STAR Model</t>
  </si>
  <si>
    <t>ENERGY STAR - Holding Cabinet - Full Size Replacing Non-ENERGY STAR Model</t>
  </si>
  <si>
    <t>Motion Sensors on LED Cases</t>
  </si>
  <si>
    <t>ENERGY STAR Ice Machine - ≥1000 lb/Day</t>
  </si>
  <si>
    <t>ENERGY STAR Holding Cabinet - 1/2 Size</t>
  </si>
  <si>
    <t>ENERGY STAR Holding Cabinet - Full Size</t>
  </si>
  <si>
    <t>3.5.3</t>
  </si>
  <si>
    <t>Adjusted export to account for cost change from unit to total (refrigeration and HVAC gas).</t>
  </si>
  <si>
    <t>MIke</t>
  </si>
  <si>
    <t>Adjusted custom tabs to waive payback requirements for RCx projects.</t>
  </si>
  <si>
    <t>Business Diversity Information</t>
  </si>
  <si>
    <t>Please fill out the business diversity information below. If this does not apply, then select "Not Applicable" and continue with the application.</t>
  </si>
  <si>
    <r>
      <t>Diverse Business Type</t>
    </r>
    <r>
      <rPr>
        <sz val="11"/>
        <color rgb="FFFF0000"/>
        <rFont val="Arial"/>
        <family val="2"/>
      </rPr>
      <t>*</t>
    </r>
  </si>
  <si>
    <t>M02S02F47</t>
  </si>
  <si>
    <t>M02S02F48</t>
  </si>
  <si>
    <t>M02S02F49</t>
  </si>
  <si>
    <t>M02S02F50</t>
  </si>
  <si>
    <t>M02S02F51</t>
  </si>
  <si>
    <t>Trade Ally Diversity Information</t>
  </si>
  <si>
    <t>M02S03F13</t>
  </si>
  <si>
    <t>M02S03F14</t>
  </si>
  <si>
    <t>M02S03F15</t>
  </si>
  <si>
    <t>M02S03F16</t>
  </si>
  <si>
    <t>M02S03F17</t>
  </si>
  <si>
    <t>CustomerDBE</t>
  </si>
  <si>
    <t>TradeAllyDBE</t>
  </si>
  <si>
    <t>Issued Organization Type</t>
  </si>
  <si>
    <t>Certificate Number</t>
  </si>
  <si>
    <t>Certificate Issued Date</t>
  </si>
  <si>
    <t>Certificate Expiration Date</t>
  </si>
  <si>
    <t>3.5.4</t>
  </si>
  <si>
    <t>Removed bonus.  Added customer/TA diversity questions.</t>
  </si>
  <si>
    <t>Disabled-Owned Business (DOBE)</t>
  </si>
  <si>
    <t>Historically Underutilized Business Zone (HUBZone)</t>
  </si>
  <si>
    <t>Lesbian, Gay, Bisexual, Transgender (LGBT)</t>
  </si>
  <si>
    <t>Veteran-Owned Business (VBE)</t>
  </si>
  <si>
    <t>Woman-Owned Business (WBE)</t>
  </si>
  <si>
    <t>Diverse Business Type</t>
  </si>
  <si>
    <t>Bonus Incentive</t>
  </si>
  <si>
    <t>1-Lamp 2Ft Fluor.</t>
  </si>
  <si>
    <t>RCXSTUDY</t>
  </si>
  <si>
    <t>RCx - Study</t>
  </si>
  <si>
    <t>Custom RCx - Study</t>
  </si>
  <si>
    <t>RCx study incentives will be provided to the RCx provider and capped at the RCx study cost.</t>
  </si>
  <si>
    <t>Equipment Ordered</t>
  </si>
  <si>
    <t>Yes</t>
  </si>
  <si>
    <t>No</t>
  </si>
  <si>
    <t>Eligibility Information</t>
  </si>
  <si>
    <t>Please provide the following information for the site to determine which incentives the site is eligible for.</t>
  </si>
  <si>
    <r>
      <t>Have you Installed or Purchased Equipment</t>
    </r>
    <r>
      <rPr>
        <sz val="11"/>
        <color rgb="FFFF0000"/>
        <rFont val="Arial"/>
        <family val="2"/>
      </rPr>
      <t>*</t>
    </r>
  </si>
  <si>
    <r>
      <t>Estimated Completion Date</t>
    </r>
    <r>
      <rPr>
        <sz val="11"/>
        <color rgb="FFFF0000"/>
        <rFont val="Arial"/>
        <family val="2"/>
      </rPr>
      <t>*</t>
    </r>
    <r>
      <rPr>
        <sz val="11"/>
        <color theme="1"/>
        <rFont val="Arial"/>
        <family val="2"/>
      </rPr>
      <t xml:space="preserve"> (MM/DD/YYYY)</t>
    </r>
  </si>
  <si>
    <t>3.5.8</t>
  </si>
  <si>
    <t>Estimated Completion Date</t>
  </si>
  <si>
    <t>Bonus Expiration Date:</t>
  </si>
  <si>
    <t>Added completion date form on T&amp;C tab.  Revised expiration date to coincide with bonus expiration date.  Added bonus expiration date field.  Revised bonus formulas to work with that.  Added language pop up about bonus expiring to start page.  Added bonus languaged to T&amp;C.</t>
  </si>
  <si>
    <t>SEER2</t>
  </si>
  <si>
    <t>HSPF2</t>
  </si>
  <si>
    <t>Reserve Funding</t>
  </si>
  <si>
    <t>Finalize Incentive for Payment</t>
  </si>
  <si>
    <t>Christmas Day</t>
  </si>
  <si>
    <t>Updated average gas and electric rates per avaiable EIA data for 2022.  Updated dates throughout application to 2023.  Updated T&amp;c for 2023.  Hid bonus boxes and text where necessary.  Updated graphics on offer and completion forms.  Updated incentive rates and measure list to match 2023 program design.</t>
  </si>
  <si>
    <t>3.5.9</t>
  </si>
  <si>
    <t>840920-HVAC-VSD for HVAC Pumps</t>
  </si>
  <si>
    <t>2022-2023 v1.1.4</t>
  </si>
  <si>
    <t>840922-VSD on Air Compressor ≤200HP</t>
  </si>
  <si>
    <t>810507-Lighting-Dual Occupancy &amp; Daylight Sensor (Indoor Only)</t>
  </si>
  <si>
    <t>3.5.9 (12.12.2022)</t>
  </si>
  <si>
    <t>Updated measure numbers to new, 2023 values where necessary.  Updated incentive levels (corrected error) to 2023 levels for (2) measures (high speed door and leak repair).</t>
  </si>
  <si>
    <t>M05S02F06</t>
  </si>
  <si>
    <t>M05S02F07</t>
  </si>
  <si>
    <t>820738-HVAC-ASHP &lt; 65 kBtuh (&lt; 5.4 Tons)</t>
  </si>
  <si>
    <t>820739-HVAC-DX Unit &lt; 65 kBtuh (&lt; 5.4 tons)</t>
  </si>
  <si>
    <t>820740-HVAC-DX Unit 135 ≤ kBtuh &lt; 240 (11.3 ≤ tons &lt; 20)</t>
  </si>
  <si>
    <t>820741-HVAC-DX Unit 240 ≤ kBtuh &lt; 760 (20 ≤ tons &lt; 63.3)</t>
  </si>
  <si>
    <t>820742-HVAC-DX Unit 65 ≤ kBtuh &lt; 135 (5.4 ≤ tons &lt; 11.3)</t>
  </si>
  <si>
    <t>831303-Lighting-Refrigerator-LED Refrigerated Case Lighting</t>
  </si>
  <si>
    <t>$500,000 Cap Reached</t>
  </si>
  <si>
    <t>3.6.0</t>
  </si>
  <si>
    <t>Updated NC gas incentive rate to $0.80/therm.</t>
  </si>
  <si>
    <t>Bonus Key 2</t>
  </si>
  <si>
    <t>Est. Compl. Date</t>
  </si>
  <si>
    <t>ECM &amp; Evap Fan Controls</t>
  </si>
  <si>
    <t>No ECM or Evap Fan Controls</t>
  </si>
  <si>
    <t>3.6.1</t>
  </si>
  <si>
    <t>Added 2023 bonus measures.  Added ECM &amp; Evap Fan Controls measure.  Added completion date information to PC Summary tab.</t>
  </si>
  <si>
    <t>3.6.2</t>
  </si>
  <si>
    <t>Updated Ag bonus measure number (removed duplicate).  Corrected equation on ASHP &lt; 65 kBtuh.</t>
  </si>
  <si>
    <t>Electric and Gas</t>
  </si>
  <si>
    <t>3.6.3</t>
  </si>
  <si>
    <t>Updated default rates based on last 12 months of available EIA data for state of IN.  Averaged Commercial and Industrial values.  Increased bonus to 20% where applicable.  New measures were introduced to track new bonus activations.  Updated rate codes to new values based on NIPSCO website.  Added rate code 543.  Accompanying graphics were updated too. Changed export tab to track Custom/NC/RCx projects.</t>
  </si>
  <si>
    <t>CostBasis</t>
  </si>
  <si>
    <t>TotalIncrementalCost</t>
  </si>
  <si>
    <t>WHFTherms</t>
  </si>
  <si>
    <t>SpaceType</t>
  </si>
  <si>
    <t>EstCompletionDate</t>
  </si>
  <si>
    <t>2024-2026 v1.0.0</t>
  </si>
  <si>
    <t>LED 2x4 Fixture w/ Fixture Mounted Occ. Sensor</t>
  </si>
  <si>
    <t xml:space="preserve">LED 2x4 Fixture w/ Fixture Mounted Occ. Sensor </t>
  </si>
  <si>
    <t>LED 1x4 Fixture w/ Fixture Mounted Occ. Sensor</t>
  </si>
  <si>
    <t>LED 2x2 Fixture w/ Fixture Mounted Occ. Sensor</t>
  </si>
  <si>
    <t>LED 2x4 Fixture w/ LLLC</t>
  </si>
  <si>
    <t>LED 1x4 Fixture w/ LLLC</t>
  </si>
  <si>
    <t>LED 2x2 Fixture w/ LLLC</t>
  </si>
  <si>
    <t xml:space="preserve"> LED 2x4 Fixture w/ Fixture Mounted Occ. Sensor </t>
  </si>
  <si>
    <t xml:space="preserve">
LED 2x4 Fixture w/ Fixture Mounted Occ. Sensor</t>
  </si>
  <si>
    <t xml:space="preserve"> LED 1x4 Fixture w/ Fixture Mounted Occ. Sensor</t>
  </si>
  <si>
    <t xml:space="preserve"> LED 2x2 Fixture w/ Fixture Mounted Occ. Sensor</t>
  </si>
  <si>
    <t xml:space="preserve"> LED 2x4 Fixture w/ LLLC</t>
  </si>
  <si>
    <t xml:space="preserve">
LED 2x4 Fixture w/ LLLC</t>
  </si>
  <si>
    <t xml:space="preserve"> LED 1x4 Fixture w/ LLLC</t>
  </si>
  <si>
    <t xml:space="preserve"> LED 2x2 Fixture w/ LLLC</t>
  </si>
  <si>
    <t>Chiller - IECC 2018</t>
  </si>
  <si>
    <t>Chiller - IECC 2019</t>
  </si>
  <si>
    <t>Chiller - IECC 2020</t>
  </si>
  <si>
    <t>Heat Pump - Federal Baseline</t>
  </si>
  <si>
    <t>Unitary AC - Federal Baseline</t>
  </si>
  <si>
    <t>IL TRM v12.0</t>
  </si>
  <si>
    <t>N/A</t>
  </si>
  <si>
    <t>Water Cooled Chiller - Centrifugal ≤ 150 Tons</t>
  </si>
  <si>
    <t>Water Cooled Chiller - Screw &lt; 75 Tons</t>
  </si>
  <si>
    <t>Air Cooled Chiller ≤ 150 Tons</t>
  </si>
  <si>
    <t>Evaporator Fan Controls</t>
  </si>
  <si>
    <t>Vending Equipment Controller</t>
  </si>
  <si>
    <t>Walk-In Cooler Strip Curtains - Supermarket</t>
  </si>
  <si>
    <t>ENERGY STAR Holding Cabinet - 3/4 Size</t>
  </si>
  <si>
    <t>ENERGY STAR Dishwasher - Low Temp - Under Counter - Electric</t>
  </si>
  <si>
    <t>ENERGY STAR Dishwasher - Low Temp - Single Tank - Electric</t>
  </si>
  <si>
    <t>ENERGY STAR Dishwasher - Low Temp - Multi Tank Conveyor - Electric</t>
  </si>
  <si>
    <t>ENERGY STAR Dishwasher - High Temp - Under Counter - Electric</t>
  </si>
  <si>
    <t>ENERGY STAR Dishwasher - High Temp - Single Tank - Electric</t>
  </si>
  <si>
    <t>ENERGY STAR Dishwasher - High Temp - Single Tank Conveyor- Electric</t>
  </si>
  <si>
    <t>ENERGY STAR Dishwasher - High Temp - Multi Tank Conveyor - Electric</t>
  </si>
  <si>
    <t>ENERGY STAR Dishwasher - High Temp - Pot, Pan, Utensil - Electric</t>
  </si>
  <si>
    <t>Pipe Insulation - 1/2" Pipe - Space Heating</t>
  </si>
  <si>
    <t>Pipe Insulation - 3/4" Pipe - Space Heating</t>
  </si>
  <si>
    <t>Smart Thermostat - Gas Heating Only</t>
  </si>
  <si>
    <t>Manual Thermostat</t>
  </si>
  <si>
    <t>Thermostat</t>
  </si>
  <si>
    <t>Therms</t>
  </si>
  <si>
    <t>Smart Thermostat - Electric Cooling and Gas Heating</t>
  </si>
  <si>
    <t>Smart Thermostat - Electric Cooling and Heating</t>
  </si>
  <si>
    <t>Smart Thermostat - Heat Pump</t>
  </si>
  <si>
    <t>Smart Thermostat - Electric Heating Only</t>
  </si>
  <si>
    <t>Full Load kW/ton</t>
  </si>
  <si>
    <t>IPLV (EER)</t>
  </si>
  <si>
    <t>kW/ton (IPLV)</t>
  </si>
  <si>
    <t>Nominal Tons or Unit</t>
  </si>
  <si>
    <t>ENERGY STAR Dishwasher - Low Temp - Single Tank - Gas Heat/Booster</t>
  </si>
  <si>
    <t>Insulation</t>
  </si>
  <si>
    <t>ENERGY STAR Dishwasher - High Temp - Multi Tank Conveyor - Gas Heat/Booster</t>
  </si>
  <si>
    <t>ENERGY STAR Dishwasher - High Temp - Single Tank - Gas Heat/Booster</t>
  </si>
  <si>
    <t>ENERGY STAR Dishwasher - High Temp - Single Tank Conveyor- Gas Heat/Booster</t>
  </si>
  <si>
    <t>ENERGY STAR Dishwasher - Low Temp - Multi Tank Conveyor - Gas Heat/Booster</t>
  </si>
  <si>
    <t>ENERGY STAR Dishwasher - Low Temp - Under Counter - Gas Heat/Booster</t>
  </si>
  <si>
    <t>ENERGY STAR Fryer - Gas</t>
  </si>
  <si>
    <t>ENERGY STAR Griddle - Gas</t>
  </si>
  <si>
    <t>ENERGY STAR Oven - Convection - Gas</t>
  </si>
  <si>
    <t>ENERGY STAR Steamer - 5 Pan - Gas</t>
  </si>
  <si>
    <t>ENERGY STAR Steamer - 6 Pan - Gas</t>
  </si>
  <si>
    <t>High-Efficiency Tank-Style Domestic Water Heater &gt; 120 Gal, &gt; 75 MBH, &gt; 0.83 UEF</t>
  </si>
  <si>
    <t>High-Efficiency Tank-Style Domestic Water Heater ≤ 120 Gal, ≥ 75 MBH,  ≥ 0.68 UEF</t>
  </si>
  <si>
    <t>Pipe Insulation - 1/2" Pipe - DHW</t>
  </si>
  <si>
    <t>Pipe Insulation - 3/4" Pipe - DHW</t>
  </si>
  <si>
    <t>840923-Water Heat-VFD Retrofit on Pool Circulation Pump</t>
  </si>
  <si>
    <t>VFD Retrofit on Pool Circulation Pump</t>
  </si>
  <si>
    <t>Constant Speed Pool Pump</t>
  </si>
  <si>
    <t>$/0.1 kW/ton 
improvement/ton</t>
  </si>
  <si>
    <t>$/0.1 IPLV 
improvement/ton</t>
  </si>
  <si>
    <t>IL TRM v12.0 Vol 2</t>
  </si>
  <si>
    <t>830849-Refrigeration-Controls-Anti-Sweat Heater Controls - Cooler</t>
  </si>
  <si>
    <t>830850-Refrigeration-Controls-Anti-Sweat Heater Controls - Freezer</t>
  </si>
  <si>
    <t>Veterans Day</t>
  </si>
  <si>
    <t>New Year's Day</t>
  </si>
  <si>
    <r>
      <t>Space Type</t>
    </r>
    <r>
      <rPr>
        <sz val="11"/>
        <color rgb="FFFF0000"/>
        <rFont val="Arial"/>
        <family val="2"/>
      </rPr>
      <t>*</t>
    </r>
  </si>
  <si>
    <t>BLDGSPCType</t>
  </si>
  <si>
    <t>INDEX(PMELIGHT[Eff Desc 1],MATCH('M03-S01'!AN28,PMELIGHT[Base Desc 1],0),1):INDEX(PMELIGHT[Eff Desc 1],MATCH('M03-S01'!AN28,PMELIGHT[Base Desc 1],1),1)</t>
  </si>
  <si>
    <t>INDEX(BLDGSPCType[Space Type],MATCH(M02S02F52,BLDGSPCType[Building Type],0),1):INDEX(BLDGSPCType[Space Type],MATCH(M02S02F52,BLDGSPCType[Building Type],1),1)</t>
  </si>
  <si>
    <t>BLDGSPCTypeList</t>
  </si>
  <si>
    <t>Unknown/Other</t>
  </si>
  <si>
    <t>IECC 2018  (Watts/ Sq. Ft.)</t>
  </si>
  <si>
    <t>Fire Station</t>
  </si>
  <si>
    <t>Police Station</t>
  </si>
  <si>
    <t>School/University</t>
  </si>
  <si>
    <t>Exterior Facades (W/gross above-grade wall area)</t>
  </si>
  <si>
    <t>810170-Lighting-LED-LED 2x4 Fixture w/ Fixture Mounted Occ. Sensor Replacing 2-Lamp Fluor.</t>
  </si>
  <si>
    <t>LED 2x4 Fixture w/ Fixture Mounted Occ. Sensor Replacing 2-Lamp Fluor.</t>
  </si>
  <si>
    <t>810171-Lighting-LED-LED 1x4 Fixture w/ Fixture Mounted Occ. Sensor Replacing 2-Lamp Fluor.</t>
  </si>
  <si>
    <t>LED 1x4 Fixture w/ Fixture Mounted Occ. Sensor Replacing 2-Lamp Fluor.</t>
  </si>
  <si>
    <t>810174-Lighting-LED-LED 2x2 Fixture w/ Fixture Mounted Occ. Sensor Replacing 2-Lamp Fluor.</t>
  </si>
  <si>
    <t>LED 2x2 Fixture w/ Fixture Mounted Occ. Sensor Replacing 2-Lamp Fluor.</t>
  </si>
  <si>
    <t>810177-Lighting-LED-LED 2x4 Fixture w/ LLLC Replacing 2-Lamp Fluor.</t>
  </si>
  <si>
    <t>LED 2x4 Fixture w/ LLLC Replacing 2-Lamp Fluor.</t>
  </si>
  <si>
    <t>810178-Lighting-LED-LED 1x4 Fixture w/ LLLC Replacing 2-Lamp Fluor.</t>
  </si>
  <si>
    <t>LED 1x4 Fixture w/ LLLC Replacing 2-Lamp Fluor.</t>
  </si>
  <si>
    <t>810181-Lighting-LED-LED 2x2 Fixture w/ LLLC Replacing 2-Lamp Fluor.</t>
  </si>
  <si>
    <t>LED 2x2 Fixture w/ LLLC Replacing 2-Lamp Fluor.</t>
  </si>
  <si>
    <t>810169-Lighting-LED-LED 2x4 Fixture w/ Fixture Mounted Occ. Sensor Replacing 3-Lamp Fluor.</t>
  </si>
  <si>
    <t>LED 2x4 Fixture w/ Fixture Mounted Occ. Sensor Replacing 3-Lamp Fluor.</t>
  </si>
  <si>
    <t>810172-Lighting-LED-LED 1x4 Fixture w/ Fixture Mounted Occ. Sensor Replacing 3-Lamp Fluor.</t>
  </si>
  <si>
    <t>LED 1x4 Fixture w/ Fixture Mounted Occ. Sensor Replacing 3-Lamp Fluor.</t>
  </si>
  <si>
    <t>810173-Lighting-LED-LED 2x2 Fixture w/ Fixture Mounted Occ. Sensor Replacing 3-Lamp Fluor.</t>
  </si>
  <si>
    <t>LED 2x2 Fixture w/ Fixture Mounted Occ. Sensor Replacing 3-Lamp Fluor.</t>
  </si>
  <si>
    <t>810176-Lighting-LED-LED 2x4 Fixture w/ LLLC Replacing 3-Lamp Fluor.</t>
  </si>
  <si>
    <t>LED 2x4 Fixture w/ LLLC Replacing 3-Lamp Fluor.</t>
  </si>
  <si>
    <t>810179-Lighting-LED-LED 1x4 Fixture w/ LLLC Replacing 3-Lamp Fluor.</t>
  </si>
  <si>
    <t>LED 1x4 Fixture w/ LLLC Replacing 3-Lamp Fluor.</t>
  </si>
  <si>
    <t>810180-Lighting-LED-LED 2x2 Fixture w/ LLLC Replacing 3-Lamp Fluor.</t>
  </si>
  <si>
    <t>LED 2x2 Fixture w/ LLLC Replacing 3-Lamp Fluor.</t>
  </si>
  <si>
    <t>810168-Lighting-LED-LED 2x4 Fixture w/ Fixture Mounted Occ. Sensor Replacing 4-Lamp Fluor.</t>
  </si>
  <si>
    <t>LED 2x4 Fixture w/ Fixture Mounted Occ. Sensor Replacing 4-Lamp Fluor.</t>
  </si>
  <si>
    <t>810175-Lighting-LED-LED 2x4 Fixture w/ LLLC Replacing 4-Lamp Fluor.</t>
  </si>
  <si>
    <t>LED 2x4 Fixture w/ LLLC Replacing 4-Lamp Fluor.</t>
  </si>
  <si>
    <t>830857-Refrigeration-Auto Door Closers - Walk-In Cooler</t>
  </si>
  <si>
    <t>Auto Door Closers - Walk-In Cooler</t>
  </si>
  <si>
    <t>No Automatic Closure</t>
  </si>
  <si>
    <t>830858-Refrigeration-Auto Door Closers - Walk-In Freezer</t>
  </si>
  <si>
    <t>Auto Door Closers - Walk-In Freezer</t>
  </si>
  <si>
    <t>830844-Refrigeration-ENERGY STAR® Commercial Glass Door Freezers &lt; 15 ft³</t>
  </si>
  <si>
    <t>830841-Refrigeration-ENERGY STAR® Commercial Glass Door Freezers &gt; 50 ft³</t>
  </si>
  <si>
    <t>830839-Refrigeration-ENERGY STAR® Commercial Glass Door Freezers 15-30 ft³</t>
  </si>
  <si>
    <t>830843-Refrigeration-ENERGY STAR® Commercial Glass Door Freezers 30-50 ft³</t>
  </si>
  <si>
    <t>830831-Refrigeration-ENERGY STAR® Commercial Glass Door Refrigerators &lt; 15 ft³</t>
  </si>
  <si>
    <t>830840-Refrigeration-ENERGY STAR® Commercial Glass Door Refrigerators &gt; 50 ft³</t>
  </si>
  <si>
    <t>830833-Refrigeration-ENERGY STAR® Commercial Glass Door Refrigerators 15-30 ft³</t>
  </si>
  <si>
    <t>830836-Refrigeration-ENERGY STAR® Commercial Glass Door Refrigerators 30-50 ft³</t>
  </si>
  <si>
    <t>830830-Refrigeration-ENERGY STAR® Commercial Solid Door Freezers &lt; 15 ft³</t>
  </si>
  <si>
    <t>830832-Refrigeration-ENERGY STAR® Commercial Solid Door Freezers &gt; 50 ft³</t>
  </si>
  <si>
    <t>830842-Refrigeration-ENERGY STAR® Commercial Solid Door Freezers 15-30 ft³</t>
  </si>
  <si>
    <t>830845-Refrigeration-ENERGY STAR® Commercial Solid Door Freezers 30-50 ft³</t>
  </si>
  <si>
    <t>830835-Refrigeration-ENERGY STAR® Commercial Solid Door Refrigerators &lt; 15 ft³</t>
  </si>
  <si>
    <t>830837-Refrigeration-ENERGY STAR® Commercial Solid Door Refrigerators &gt; 50 ft³</t>
  </si>
  <si>
    <t>830838-Refrigeration-ENERGY STAR® Commercial Solid Door Refrigerators 15-30 ft³</t>
  </si>
  <si>
    <t>830834-Refrigeration-ENERGY STAR® Commercial Solid Door Refrigerators 30-50 ft³</t>
  </si>
  <si>
    <t>830855-Refrigeration-Evaporator Fan Controls</t>
  </si>
  <si>
    <t>Continuously Running Fans</t>
  </si>
  <si>
    <t>Controller</t>
  </si>
  <si>
    <t>830854-Refrigeration-Night Covers for Open Refrigerated Display Cases</t>
  </si>
  <si>
    <t>Night Covers for Open Refrigerated Display Cases</t>
  </si>
  <si>
    <t>No Night Cover</t>
  </si>
  <si>
    <t>830856-Refrigeration-Variable Speed Drives for Condenser Fans ≤ 1.5 HP</t>
  </si>
  <si>
    <t>Variable Speed Drives for Condenser Fans ≤ 1.5 HP</t>
  </si>
  <si>
    <t>830859-Refrigeration-Vending Equipment Controller</t>
  </si>
  <si>
    <t>Sensor</t>
  </si>
  <si>
    <t>830860-Refrigeration-Walk-In Cooler Strip Curtains - Supermarket</t>
  </si>
  <si>
    <t>No Strip Curtains</t>
  </si>
  <si>
    <t>Cooler</t>
  </si>
  <si>
    <t>830852-Refrigeration-Walk-In Cooler Strip Curtains -Convenience Store/Restaurant</t>
  </si>
  <si>
    <t>Walk-In Cooler Strip Curtains -Convenience Store/Restaurant</t>
  </si>
  <si>
    <t>830853-Refrigeration-Walk-In Freezer Strip Curtains - Convenience Store/Restaurant</t>
  </si>
  <si>
    <t>Walk-In Freezer Strip Curtains - Convenience Store/Restaurant</t>
  </si>
  <si>
    <t>830861-Refrigeration-Walk-In Freezer Strip Curtains - Supermarket</t>
  </si>
  <si>
    <t>Walk-In Freezer Strip Curtains - Supermarket - SBDI</t>
  </si>
  <si>
    <t>Walk-In Freezer Strip Curtains - Supermarket</t>
  </si>
  <si>
    <t>820745-HVAC-Air Cooled Chiller ≤ 150 Tons</t>
  </si>
  <si>
    <t>820808-HVAC-Smart Thermostat - Electric Cooling and Gas Heating</t>
  </si>
  <si>
    <t>820809-HVAC-Smart Thermostat - Electric Cooling and Heating</t>
  </si>
  <si>
    <t>820810-HVAC-Smart Thermostat - Electric Cooling Only</t>
  </si>
  <si>
    <t>Smart Thermostat - Electric Cooling Only</t>
  </si>
  <si>
    <t>820812-HVAC-Smart Thermostat - Electric Heating Only</t>
  </si>
  <si>
    <t>820811-HVAC-Smart Thermostat - Heat Pump</t>
  </si>
  <si>
    <t>820743-HVAC-Water Cooled Chiller - Centrifugal ≤ 150 Tons</t>
  </si>
  <si>
    <t>820744-HVAC-Water Cooled Chiller - Screw &lt; 75 Tons</t>
  </si>
  <si>
    <t>851028-Kitchen-ENERGY STAR Dishwasher - High Temp - Multi Tank Conveyor - Electric</t>
  </si>
  <si>
    <t>851029-Kitchen-ENERGY STAR Dishwasher - High Temp - Pot, Pan, Utensil - Electric</t>
  </si>
  <si>
    <t>851026-Kitchen-ENERGY STAR Dishwasher - High Temp - Single Tank - Electric</t>
  </si>
  <si>
    <t>851027-Kitchen-ENERGY STAR Dishwasher - High Temp - Single Tank Conveyor- Electric</t>
  </si>
  <si>
    <t>851025-Kitchen-ENERGY STAR Dishwasher - High Temp - Under Counter - Electric</t>
  </si>
  <si>
    <t>851024-Kitchen-ENERGY STAR Dishwasher - Low Temp - Multi Tank Conveyor - Electric</t>
  </si>
  <si>
    <t>851023-Kitchen-ENERGY STAR Dishwasher - Low Temp - Single Tank - Electric</t>
  </si>
  <si>
    <t>851022-Kitchen-ENERGY STAR Dishwasher - Low Temp - Under Counter - Electric</t>
  </si>
  <si>
    <t>851020-Kitchen-ENERGY STAR Holding Cabinet - 3/4 Size</t>
  </si>
  <si>
    <t>910133-HVAC-Boiler Hot Water Lockout/Reset</t>
  </si>
  <si>
    <t>No Reset Controls</t>
  </si>
  <si>
    <t>910134-HVAC-Pipe Insulation - 1/2" Pipe - Space Heating</t>
  </si>
  <si>
    <t>910136-HVAC-Pipe Insulation - 3/4" Pipe - Space Heating</t>
  </si>
  <si>
    <t>910138-HVAC-Smart Thermostat - Gas Heating Only</t>
  </si>
  <si>
    <t>851035-Kitchen-ENERGY STAR Dishwasher - High Temp - Multi Tank Conveyor - Gas Heat/Booster</t>
  </si>
  <si>
    <t>851033-Kitchen-ENERGY STAR Dishwasher - High Temp - Single Tank - Gas Heat/Booster</t>
  </si>
  <si>
    <t>851034-Kitchen-ENERGY STAR Dishwasher - High Temp - Single Tank Conveyor- Gas Heat/Booster</t>
  </si>
  <si>
    <t>851032-Kitchen-ENERGY STAR Dishwasher - Low Temp - Multi Tank Conveyor - Gas Heat/Booster</t>
  </si>
  <si>
    <t>851031-Kitchen-ENERGY STAR Dishwasher - Low Temp - Single Tank - Gas Heat/Booster</t>
  </si>
  <si>
    <t>851030-Kitchen-ENERGY STAR Dishwasher - Low Temp - Under Counter - Gas Heat/Booster</t>
  </si>
  <si>
    <t>851019-Kitchen-ENERGY STAR Fryer - Gas</t>
  </si>
  <si>
    <t>851021-Kitchen-ENERGY STAR Griddle - Gas</t>
  </si>
  <si>
    <t>851038-Kitchen-ENERGY STAR Oven - Convection - Gas</t>
  </si>
  <si>
    <t>851036-Kitchen-ENERGY STAR Steamer - 5 Pan - Gas</t>
  </si>
  <si>
    <t>851037-Kitchen-ENERGY STAR Steamer - 6 Pan - Gas</t>
  </si>
  <si>
    <t>930809-Water Heat-High-Efficiency Tank-Style Domestic Water Heater &gt; 120 Gal, &gt; 75 MBH, &gt; 0.83 UEF</t>
  </si>
  <si>
    <t>Federal Standard UEF Water Heater</t>
  </si>
  <si>
    <t>930811-Water Heat-High-Efficiency Tank-Style Domestic Water Heater &gt; 55 Gal, ≤ 75 MBH, ≥ 0.80 UEF</t>
  </si>
  <si>
    <t>930810-Water Heat-High-Efficiency Tank-Style Domestic Water Heater ≤ 120 Gal, ≥ 75 MBH,  ≥ 0.68 UEF</t>
  </si>
  <si>
    <t>910135-Water Heat-Pipe Insulation - 1/2" Pipe - DHW</t>
  </si>
  <si>
    <t>910137-Water Heat-Pipe Insulation - 3/4" Pipe - DHW</t>
  </si>
  <si>
    <t>M02S02F52</t>
  </si>
  <si>
    <t>Phone</t>
  </si>
  <si>
    <t>Ground Water Source HP &lt; 135 kBtuh (&lt; 11.3 tons)</t>
  </si>
  <si>
    <t>Water Source HP &lt; 17 kBtuh (&lt; 1.4 tons)</t>
  </si>
  <si>
    <t>Water Source HP 17 ≤ kBtuh &lt; 135 (1.4 ≤ tons &lt; 11.2)</t>
  </si>
  <si>
    <t>Water Source HP &lt; 17 kBtuh
(&lt; 1.4 tons)</t>
  </si>
  <si>
    <r>
      <t xml:space="preserve">Water Source HP 17 </t>
    </r>
    <r>
      <rPr>
        <sz val="11"/>
        <color theme="1"/>
        <rFont val="Calibri"/>
        <family val="2"/>
      </rPr>
      <t>≤</t>
    </r>
    <r>
      <rPr>
        <sz val="11"/>
        <color theme="1"/>
        <rFont val="Calibri"/>
        <family val="2"/>
        <scheme val="minor"/>
      </rPr>
      <t xml:space="preserve"> kBtuh &lt; 135
(1.4 ≤ tons &lt; 11.2)</t>
    </r>
  </si>
  <si>
    <t>Ground Water Source HP
&lt; 135 kBtuh (&lt; 11.3 tons)</t>
  </si>
  <si>
    <t>3.6.4</t>
  </si>
  <si>
    <t>Updated measure numbers and incentives for 2024 launch.  Reworked HVAC Electric tab to allow for thermostats (removed validation).  Reworked CA Leak repair measure and tab to allow # of leaks input.  Added fields to export and proejct description (space type, cost basis, incremental cost, etc.).</t>
  </si>
  <si>
    <t>High Volume Low Speed Fan - Dia. &lt; 18.0 ft.</t>
  </si>
  <si>
    <t>High Volume Low Speed Fan - 18 ft. ≤ Dia.  &gt; 24 ft.</t>
  </si>
  <si>
    <t>High Volume Low Speed Fan - Dia. ≥ 24 ft</t>
  </si>
  <si>
    <t>Hi-E Water / Pool Heater ≥ 84% Eff</t>
  </si>
  <si>
    <t>860014-AG-High Volume Low Speed Fan - 18 ft. ≤ Dia.  &gt; 24 ft.</t>
  </si>
  <si>
    <t>860013-AG-High Volume Low Speed Fan - Dia. &lt; 18.0 ft.</t>
  </si>
  <si>
    <t>860015-AG-High Volume Low Speed Fan - Dia. ≥ 24 ft</t>
  </si>
  <si>
    <t xml:space="preserve">
LED Tube Relamp</t>
  </si>
  <si>
    <t xml:space="preserve"> LED Tube Relamp</t>
  </si>
  <si>
    <t xml:space="preserve">
 LED Tube Relamp</t>
  </si>
  <si>
    <t>LED Tube Relamp</t>
  </si>
  <si>
    <t>Interior Occupancy Sensor</t>
  </si>
  <si>
    <t>Please Enter Natural Gas Cooking Measures Below</t>
  </si>
  <si>
    <t>Please note natural gas cooking measures are at the bottom of this tab starting on row 13.</t>
  </si>
  <si>
    <t>Commercial Cooking (Elec/Gas)</t>
  </si>
  <si>
    <t>Prj WHF therms</t>
  </si>
  <si>
    <t>Measure name corrections.  Split gas cooking measures into separate table and added lower section on the cooking electric tab for gas measures.</t>
  </si>
  <si>
    <t>840921-HVAC-VSD for HVAC Supply and Return Fans ≤ 75 HP</t>
  </si>
  <si>
    <t>VSD for HVAC Supply and Return Fans ≤ 75 HP</t>
  </si>
  <si>
    <t>BuildingType</t>
  </si>
  <si>
    <t>3.6.6</t>
  </si>
  <si>
    <t>Full Load EER</t>
  </si>
  <si>
    <t>Updated HVAC baselines. Updated Prescriptive CA unit type.  Updated NC lighting measures to "New Construction" measure type.  Updated Custom/NC gas tab to index relevant tab for measure type.</t>
  </si>
  <si>
    <t>Export Program</t>
  </si>
  <si>
    <t>No Control or Bypass Damper</t>
  </si>
  <si>
    <t>Discharge Dampers</t>
  </si>
  <si>
    <t>Outlet Damper</t>
  </si>
  <si>
    <t>Inlet Damper Box</t>
  </si>
  <si>
    <t>Inlet Guide Vane</t>
  </si>
  <si>
    <t>Inlet Vane Dampers</t>
  </si>
  <si>
    <t>Outlet Damper, FC Fans</t>
  </si>
  <si>
    <t>Eddy Current Drives</t>
  </si>
  <si>
    <t>Inlet Guide Vane, FC Fans</t>
  </si>
  <si>
    <t>Total Fan Run Hours</t>
  </si>
  <si>
    <t>IL TRM v12.0 Pg. 425</t>
  </si>
  <si>
    <t>$/Leak Repaired</t>
  </si>
  <si>
    <t># Leaks</t>
  </si>
  <si>
    <t>Please Compressed Air Leak Repair Measures Below</t>
  </si>
  <si>
    <t>System HP</t>
  </si>
  <si>
    <t>Baseline Control</t>
  </si>
  <si>
    <t>CA Drop Down Options.  Sort First.  Remove Leak.</t>
  </si>
  <si>
    <t>Unrepaired Leaks</t>
  </si>
  <si>
    <t>Added bonus measures.  Reworked Prescriptive and SBDI compressed air leak repair measures.</t>
  </si>
  <si>
    <t>3.6.7</t>
  </si>
  <si>
    <t>3.6.8</t>
  </si>
  <si>
    <t>Removed bonus measures.  Updated T&amp;C and graphics with new gas rate codes.  Reworked refrigeration kW value to correct number (removed additional coincidence factor).</t>
  </si>
  <si>
    <t>2024-2026 v1.0.8</t>
  </si>
  <si>
    <t>Bonus - 2024 Prescriptive - Phase 2 LED Tube Relamp Replacing 4 Ft Fluor.</t>
  </si>
  <si>
    <t>Bonus - 2024 Prescriptive - Phase 2 40% Refrigeration</t>
  </si>
  <si>
    <t>Bonus - 2024 Prescriptive - Phase 2 20% Electric</t>
  </si>
  <si>
    <t>Bonus - 2024 Custom - Phase 2 20% Electric</t>
  </si>
  <si>
    <t>000084-Bonus - 2024 Prescriptive - Phase 2 LED Tube Relamp Replacing 4 Ft Fluor.</t>
  </si>
  <si>
    <t>000086-Bonus - 2024 Prescriptive - Phase 2 40% Refrigeration</t>
  </si>
  <si>
    <t>000089-Bonus - 2024 Prescriptive - Phase 2 20% Electric</t>
  </si>
  <si>
    <t>000090-Bonus - 2024 Custom - Phase 2 20% Electric</t>
  </si>
  <si>
    <t>Reactivated bonus measures.  Updated Prescriptive tables with phase 2 bonus measures.  Reworked coding on HO tubes to correctly apply bonus incentive.</t>
  </si>
  <si>
    <t>Larissa Gott</t>
  </si>
  <si>
    <t>000093-Bonus - 2024 Prescriptive - 20% Boiler Tune-Up</t>
  </si>
  <si>
    <t>Bonus - 2024 Prescriptive - 20% Boiler Tune-Up</t>
  </si>
  <si>
    <t>Bonus</t>
  </si>
  <si>
    <t>000095-Bonus - 2024 Prescriptive - Phase 2 LED Tube Relamp Replacing 4 Ft HO Fluor.</t>
  </si>
  <si>
    <t>Bonus - 2024 Prescriptive - Phase 2 LED Tube Relamp Replacing 4 Ft HO Fluor.</t>
  </si>
  <si>
    <t>2024-2026 v1.1.0</t>
  </si>
  <si>
    <t>3.6.9</t>
  </si>
  <si>
    <t>3.7.0</t>
  </si>
  <si>
    <t>Added HO specific tube bonus.  Fixed bonus calculation for tstats and refrigeration high speed doors.  Corrected error on cooking line 4 that was previously not populating an incentive per unit value (drag and drop error).  Fixed rounding on water cooled chiller baselines.</t>
  </si>
  <si>
    <t>Custom Prescriptive Application v3.7.1</t>
  </si>
  <si>
    <t>Step 2:  
Select the 2025 holidays that the site will be closed or the measure will be turned off.</t>
  </si>
  <si>
    <t>Please Select Method</t>
  </si>
  <si>
    <t>Atrium - &gt; 40ft in Height</t>
  </si>
  <si>
    <t>Atrium - &lt; 40ft in Height</t>
  </si>
  <si>
    <t>Audience - Auditorium</t>
  </si>
  <si>
    <t>Audience - Conv. Center</t>
  </si>
  <si>
    <t>Audience - Gym</t>
  </si>
  <si>
    <t>Audience - Movie Theater</t>
  </si>
  <si>
    <t>Audience - Penitentiary</t>
  </si>
  <si>
    <t>Audience - Performing Arts</t>
  </si>
  <si>
    <t>Audience - Religious</t>
  </si>
  <si>
    <t>Audience - Arena</t>
  </si>
  <si>
    <t>Audience - Otherwise</t>
  </si>
  <si>
    <t>Banking Activity Area</t>
  </si>
  <si>
    <t>Classroom - Penitentiary</t>
  </si>
  <si>
    <t>Classroom - Otherwise</t>
  </si>
  <si>
    <t>Computer Room</t>
  </si>
  <si>
    <t>Conference/Meeting Room</t>
  </si>
  <si>
    <t>Copy/Print Room</t>
  </si>
  <si>
    <t>Corridor - For Visually Impaired</t>
  </si>
  <si>
    <t>Corridor - Otherwise</t>
  </si>
  <si>
    <t>Corridor - Hospital</t>
  </si>
  <si>
    <t>Corridor - Manufacturing</t>
  </si>
  <si>
    <t>Courtroom</t>
  </si>
  <si>
    <t>Dining - Bar/Lounge</t>
  </si>
  <si>
    <t>Dining - Cafeteria/Fast Food</t>
  </si>
  <si>
    <t>Dining - Visually Impaired</t>
  </si>
  <si>
    <t>Dining - Family Dining</t>
  </si>
  <si>
    <t>Dining - Penitentiary</t>
  </si>
  <si>
    <t>Dining - Otherwise</t>
  </si>
  <si>
    <t>Electrical/Mechanical Room</t>
  </si>
  <si>
    <t>Emergency Vehicle Garage</t>
  </si>
  <si>
    <t>Food Prep Area</t>
  </si>
  <si>
    <t>Guestroom</t>
  </si>
  <si>
    <t>Laboratory - Classroom</t>
  </si>
  <si>
    <t>Laboratory - Otherwise</t>
  </si>
  <si>
    <t>Laundry/Washing Are</t>
  </si>
  <si>
    <t>Loading Dock - Interior</t>
  </si>
  <si>
    <t>Lobby - Elevator</t>
  </si>
  <si>
    <t>Lobby - Visually Impaired</t>
  </si>
  <si>
    <t>Lobby - Hotel</t>
  </si>
  <si>
    <t>Lobby - Motion Picture</t>
  </si>
  <si>
    <t>Lobby - Performing Arts</t>
  </si>
  <si>
    <t>Lobby - Otherwise</t>
  </si>
  <si>
    <t>Locker Room</t>
  </si>
  <si>
    <t>Lounge - Healthcare</t>
  </si>
  <si>
    <t>Lounge - Otherwise</t>
  </si>
  <si>
    <t>Office - Enclosed</t>
  </si>
  <si>
    <t>Office - Open Plan</t>
  </si>
  <si>
    <t>Parking Area - Interior</t>
  </si>
  <si>
    <t>Restroom - Visually Impaired</t>
  </si>
  <si>
    <t>Restroom - Otherwise</t>
  </si>
  <si>
    <t>Sales Area</t>
  </si>
  <si>
    <t>Seating Area - General</t>
  </si>
  <si>
    <t>Stairwell</t>
  </si>
  <si>
    <t>Storage Area</t>
  </si>
  <si>
    <t>Vehicle Maintenance</t>
  </si>
  <si>
    <t>Convention Center - Exhibit</t>
  </si>
  <si>
    <t>Dorm - Living Quarters</t>
  </si>
  <si>
    <t>Visually Impaired - Chapel</t>
  </si>
  <si>
    <t>Visually Impaired - Rec Room</t>
  </si>
  <si>
    <t>Fire Station - Sleeping</t>
  </si>
  <si>
    <t>Gym - Exercise Area</t>
  </si>
  <si>
    <t>Gym - Playing Area</t>
  </si>
  <si>
    <t>Healthcare - Exam Room</t>
  </si>
  <si>
    <t>Healthcare - Imaging Room</t>
  </si>
  <si>
    <t>Healthcare - Supply Room</t>
  </si>
  <si>
    <t>Healthcare - Nursery</t>
  </si>
  <si>
    <t>Healthcare - Nurse's Station</t>
  </si>
  <si>
    <t>Healthcare - OR</t>
  </si>
  <si>
    <t>Healthcare - Patient Room</t>
  </si>
  <si>
    <t>Healthcare - Physical Therapy</t>
  </si>
  <si>
    <t>Healthcare - Recovery Room</t>
  </si>
  <si>
    <t>Library - Reading Room</t>
  </si>
  <si>
    <t>Library - Stacks</t>
  </si>
  <si>
    <t>Manufacturing - Detailed</t>
  </si>
  <si>
    <t>Manufacturing - Equipment Room</t>
  </si>
  <si>
    <t>Manufacturing - High Bay (&gt; 50' HT)</t>
  </si>
  <si>
    <t>Manufacturing - High Bay (25' &lt; HT &lt; 50')</t>
  </si>
  <si>
    <t>Manufacturing - Low Bay (HT &lt; 25')</t>
  </si>
  <si>
    <t>Museum - Exhibition</t>
  </si>
  <si>
    <t>Museum - Restoration</t>
  </si>
  <si>
    <t>Performing Arts - Dressing Room</t>
  </si>
  <si>
    <t>Post Office - Sorting</t>
  </si>
  <si>
    <t>Religious - Fellowship Hall</t>
  </si>
  <si>
    <t>Religious - Workship/Pulpit</t>
  </si>
  <si>
    <t>Retail - Dressing Room</t>
  </si>
  <si>
    <t>Retail - Mall Concourse</t>
  </si>
  <si>
    <t>Sports - Class I</t>
  </si>
  <si>
    <t>Sports - Class II</t>
  </si>
  <si>
    <t>Sports - Class III</t>
  </si>
  <si>
    <t>Sports - Class IV</t>
  </si>
  <si>
    <t>Transportation - Baggage/Carousel</t>
  </si>
  <si>
    <t>Transportation - Airport Concourse</t>
  </si>
  <si>
    <t>Transportation - Terminal/Ticket</t>
  </si>
  <si>
    <t>Warehouse - Storage - Pallets</t>
  </si>
  <si>
    <t>Warehouse - Storage - Hand Carry</t>
  </si>
  <si>
    <t>Exterior - Parking Areas &amp; Drives</t>
  </si>
  <si>
    <t>Exterior - Walkways &gt; 10' Wide</t>
  </si>
  <si>
    <t>Exterior - Dining Areas</t>
  </si>
  <si>
    <t>Exterior - Stairways</t>
  </si>
  <si>
    <t>Exterior - Pedestrain Tunnels</t>
  </si>
  <si>
    <t>Exterior - Landscaping</t>
  </si>
  <si>
    <t>Exterior - Entry Canopies</t>
  </si>
  <si>
    <t>Exterior - Loading Docks</t>
  </si>
  <si>
    <t>Exterior - Free-Standing &amp; Attached</t>
  </si>
  <si>
    <t>Exterior - Open Areas (Inc. Sales Lots)</t>
  </si>
  <si>
    <t>Exterior - Walkways &lt; 10' Wide (W/Ln. Ft.)</t>
  </si>
  <si>
    <t>Exterior - Entry/Exit  (W/Ln. Ft. Opening)</t>
  </si>
  <si>
    <t>Exterior - Street Frontage (W/Ln. Ft.)</t>
  </si>
  <si>
    <t>Exterior - Building Facades</t>
  </si>
  <si>
    <t>Exterior - Uncovered Entrance - Guard</t>
  </si>
  <si>
    <t>Exterior - Uncovered Loading - EMS</t>
  </si>
  <si>
    <t>Exterior - ATM (Per Location)</t>
  </si>
  <si>
    <t>Exterior - Drive-Up Window (Per Unit)</t>
  </si>
  <si>
    <t>Exterior - Parking 24HR Retail (Per Entry)</t>
  </si>
  <si>
    <t>Method</t>
  </si>
  <si>
    <t>Building_Area_Method</t>
  </si>
  <si>
    <t>Space_By_Space_Method</t>
  </si>
  <si>
    <t>SBS IECC 2018  (Watts/ Sq. Ft.)</t>
  </si>
  <si>
    <t>BA IECC 2018  (Watts/ Sq. Ft.)2</t>
  </si>
  <si>
    <t>BA IECC 2018  (Watts/ Sq. Ft.)</t>
  </si>
  <si>
    <t>Select Space Type #7</t>
  </si>
  <si>
    <t>Select Space Type #8</t>
  </si>
  <si>
    <t>Select Space Type #9</t>
  </si>
  <si>
    <t>Select Space Type #10</t>
  </si>
  <si>
    <t>Select Space Type #11</t>
  </si>
  <si>
    <t>Select Space Type #12</t>
  </si>
  <si>
    <t>Select Space Type #13</t>
  </si>
  <si>
    <t>Select Space Type #14</t>
  </si>
  <si>
    <t>Select Space Type #15</t>
  </si>
  <si>
    <t>Select Space Type #16</t>
  </si>
  <si>
    <t>Select Space Type #17</t>
  </si>
  <si>
    <t>Select Space Type #18</t>
  </si>
  <si>
    <t>Select Space Type #19</t>
  </si>
  <si>
    <t>Select Space Type #20</t>
  </si>
  <si>
    <t>Use This Table for Building Area Method Index/Match</t>
  </si>
  <si>
    <t>Use This Table for Space By Space Method Index/Match &amp; Indirect for Data Validation Lists</t>
  </si>
  <si>
    <t>****</t>
  </si>
  <si>
    <t>830851-Refrigeration-ECM w/ Evaporator Fan Controls</t>
  </si>
  <si>
    <t>ECM w/ Evaporator Fan Controls</t>
  </si>
  <si>
    <t>830828-Refrigeration-ECM-ECM for Coolers</t>
  </si>
  <si>
    <t>830827-Refrigeration-ECM-ECM for Freezers</t>
  </si>
  <si>
    <t>ECM for Coolers Replacing Shaded Pole or PSC Motors</t>
  </si>
  <si>
    <t>ECM for Freezers Replacing Shaded Pole or PSC Motors</t>
  </si>
  <si>
    <t>ECM for Coolers</t>
  </si>
  <si>
    <t>ECM for Freezers</t>
  </si>
  <si>
    <r>
      <t>By signature above</t>
    </r>
    <r>
      <rPr>
        <sz val="10.5"/>
        <color theme="1"/>
        <rFont val="Arial"/>
        <family val="2"/>
      </rPr>
      <t>, I hereby certify that this form includes the entire efficiency project scope and estimated total project cost including both materials and labor for this site. Details of this Program, including incentive levels and availability, are subject to change. Incentive Offers are valid for 30 days, Incentive Offers not returned within 30 days may not qualify for an Incentive Amount. The signed Incentive Offer form must be delivered to NIPSCO Commercial and Industrial program administrator, TRC as indicated in this Agreement before a Project begins. An approved Incentive Offer is not a guarantee of being awarded any Incentive Amount.
A Customer shall complete a project no later than 18 months from project approval by NIPSCO's program administrator TRC or by</t>
    </r>
    <r>
      <rPr>
        <b/>
        <sz val="10.5"/>
        <color theme="1"/>
        <rFont val="Arial"/>
        <family val="2"/>
      </rPr>
      <t xml:space="preserve"> November 16, 2025</t>
    </r>
    <r>
      <rPr>
        <sz val="10.5"/>
        <color theme="1"/>
        <rFont val="Arial"/>
        <family val="2"/>
      </rPr>
      <t xml:space="preserve">, whichever occurs earlier. Projects that are not completed within 18 months or by November 16, 2025 shall forfeit their position in the queue for program funds unless otherwise agreed by the Company in its sole reasonable discretion based upon consideration of Customer’s completion of project milestones and/or construction activity to begin the project. </t>
    </r>
    <r>
      <rPr>
        <b/>
        <sz val="10.5"/>
        <color theme="1"/>
        <rFont val="Arial"/>
        <family val="2"/>
      </rPr>
      <t>Projects that complete after November 16, 2025 will be subject to the incentive levels associated with the 2026 program.</t>
    </r>
  </si>
  <si>
    <r>
      <t xml:space="preserve">A Customer shall complete a project no later than 18 months from project approval by NIPSCO's program administrator TRC or by </t>
    </r>
    <r>
      <rPr>
        <b/>
        <sz val="10.5"/>
        <color theme="1"/>
        <rFont val="Arial"/>
        <family val="2"/>
      </rPr>
      <t>November 16, 2025</t>
    </r>
    <r>
      <rPr>
        <sz val="10.5"/>
        <color theme="1"/>
        <rFont val="Arial"/>
        <family val="2"/>
      </rPr>
      <t>, whichever occurs earlier. Projects that are not completed within 18 months or by November 16, 2025 shall forfeit their position in the queue for program funds unless otherwise agreed by the Company in its sole reasonable discretion based upon consideration of Customer’s completion of project milestones and/or construction activity to begin the project. Once final paperwork is submitted (Completion Form) and Project inspection completed (as applicable), payment of Incentive Amounts are made within (45) business days. Incomplete applications will delay payment. 
If I am authorizing this payment of my incentive to the third party (“Payee”) named above, I understand that I will not be receiving the incentive check from NIPSCO. I also understand that my release of the payment to the third party does not exempt me from the incentive requirements outlined in this application.</t>
    </r>
  </si>
  <si>
    <t>Existing Furnace AFUE ≤ 80%</t>
  </si>
  <si>
    <t>910122-HVAC-Compressed Air Heat Recovery ≤ 100 HP</t>
  </si>
  <si>
    <t>Existing Boiler AFUE ≤ 84%</t>
  </si>
  <si>
    <t>3.7.1</t>
  </si>
  <si>
    <t>Updated application for 2025.  Changed dates in offer, completion form, T&amp;C, and start page.  Updated measure inputs from 2025 program design.  Reworked HVAC calculations to agree with 2025 program design.  Updated marketing links and images.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</si>
</sst>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6" formatCode="&quot;$&quot;#,##0_);[Red]\(&quot;$&quot;#,##0\)"/>
    <numFmt numFmtId="42" formatCode="_(&quot;$&quot;* #,##0_);_(&quot;$&quot;* \(#,##0\);_(&quot;$&quot;* &quot;-&quot;_);_(@_)"/>
    <numFmt numFmtId="44" formatCode="_(&quot;$&quot;* #,##0.00_);_(&quot;$&quot;* \(#,##0.00\);_(&quot;$&quot;* &quot;-&quot;??_);_(@_)"/>
    <numFmt numFmtId="43" formatCode="_(* #,##0.00_);_(* \(#,##0.00\);_(* &quot;-&quot;??_);_(@_)"/>
    <numFmt numFmtId="164" formatCode="##\)"/>
    <numFmt numFmtId="165" formatCode="[$-F800]dddd\,\ mmmm\ dd\,\ yyyy"/>
    <numFmt numFmtId="166" formatCode="00000"/>
    <numFmt numFmtId="167" formatCode="&quot;$&quot;#,##0.00"/>
    <numFmt numFmtId="168" formatCode="m/d/yy;@"/>
    <numFmt numFmtId="169" formatCode="0.000"/>
    <numFmt numFmtId="170" formatCode="#,###\ &quot;kWh&quot;"/>
    <numFmt numFmtId="171" formatCode="#,##0.000"/>
    <numFmt numFmtId="172" formatCode="0.00000"/>
    <numFmt numFmtId="173" formatCode="###\ &quot;W&quot;"/>
    <numFmt numFmtId="174" formatCode="####\ &quot;W&quot;"/>
    <numFmt numFmtId="175" formatCode="[&lt;=9999999]###\-####;\(###\)\ ###\-####"/>
    <numFmt numFmtId="176" formatCode="000000"/>
    <numFmt numFmtId="177" formatCode="#,###\ &quot;therms&quot;"/>
    <numFmt numFmtId="178" formatCode="0.0000"/>
    <numFmt numFmtId="179" formatCode="#,##0.0000"/>
    <numFmt numFmtId="180" formatCode="0.0000000000"/>
    <numFmt numFmtId="181" formatCode="_(* #,##0_);_(* \(#,##0\);_(* &quot;-&quot;??_);_(@_)"/>
    <numFmt numFmtId="182" formatCode="&quot;$&quot;#,##0.0000"/>
    <numFmt numFmtId="183" formatCode="0.0"/>
    <numFmt numFmtId="184" formatCode="[$-409]mmmm\ d\,\ yyyy;@"/>
    <numFmt numFmtId="185" formatCode="&quot;powering&quot;\ #,##0.0"/>
    <numFmt numFmtId="186" formatCode="m/d/yyyy;@"/>
  </numFmts>
  <fonts count="168">
    <font>
      <sz val="11"/>
      <color theme="1"/>
      <name val="Calibri"/>
      <family val="2"/>
      <scheme val="minor"/>
    </font>
    <font>
      <u/>
      <sz val="11"/>
      <color theme="10"/>
      <name val="Calibri"/>
      <family val="2"/>
      <scheme val="minor"/>
    </font>
    <font>
      <sz val="10"/>
      <color theme="1"/>
      <name val="Calibri"/>
      <family val="2"/>
      <scheme val="minor"/>
    </font>
    <font>
      <sz val="11"/>
      <color theme="1"/>
      <name val="Calibri"/>
      <family val="2"/>
      <scheme val="minor"/>
    </font>
    <font>
      <b/>
      <sz val="10"/>
      <color theme="1"/>
      <name val="Arial"/>
      <family val="2"/>
    </font>
    <font>
      <b/>
      <sz val="10"/>
      <color indexed="8"/>
      <name val="Arial"/>
      <family val="2"/>
    </font>
    <font>
      <b/>
      <sz val="11"/>
      <color theme="1"/>
      <name val="Arial"/>
      <family val="2"/>
    </font>
    <font>
      <sz val="11"/>
      <color theme="1"/>
      <name val="Arial"/>
      <family val="2"/>
    </font>
    <font>
      <sz val="8"/>
      <color indexed="8"/>
      <name val="Arial"/>
      <family val="2"/>
    </font>
    <font>
      <sz val="8"/>
      <color theme="1"/>
      <name val="Arial"/>
      <family val="2"/>
    </font>
    <font>
      <sz val="9"/>
      <color theme="1"/>
      <name val="Arial"/>
      <family val="2"/>
    </font>
    <font>
      <sz val="11"/>
      <color theme="1"/>
      <name val="Script MT Bold"/>
      <family val="4"/>
    </font>
    <font>
      <b/>
      <sz val="8"/>
      <color theme="1"/>
      <name val="Arial"/>
      <family val="2"/>
    </font>
    <font>
      <sz val="6"/>
      <color theme="1"/>
      <name val="Arial"/>
      <family val="2"/>
      <charset val="204"/>
    </font>
    <font>
      <sz val="8"/>
      <color theme="1"/>
      <name val="Arial"/>
      <family val="2"/>
      <charset val="204"/>
    </font>
    <font>
      <sz val="8"/>
      <color theme="1"/>
      <name val="Calibri"/>
      <family val="2"/>
      <scheme val="minor"/>
    </font>
    <font>
      <sz val="11"/>
      <color indexed="8"/>
      <name val="Calibri"/>
      <family val="2"/>
    </font>
    <font>
      <sz val="10"/>
      <color theme="1"/>
      <name val="Arial"/>
      <family val="2"/>
    </font>
    <font>
      <sz val="11"/>
      <name val="Arial"/>
      <family val="2"/>
    </font>
    <font>
      <b/>
      <sz val="11"/>
      <color theme="1"/>
      <name val="Script MT Bold"/>
      <family val="4"/>
    </font>
    <font>
      <b/>
      <sz val="11"/>
      <color theme="0"/>
      <name val="Arial"/>
      <family val="2"/>
    </font>
    <font>
      <sz val="10"/>
      <color theme="1"/>
      <name val="Calibri Light"/>
      <family val="2"/>
    </font>
    <font>
      <b/>
      <i/>
      <sz val="18"/>
      <color theme="3"/>
      <name val="Book Antiqua"/>
      <family val="1"/>
    </font>
    <font>
      <b/>
      <i/>
      <sz val="9"/>
      <color theme="3"/>
      <name val="Century Gothic"/>
      <family val="2"/>
    </font>
    <font>
      <sz val="8"/>
      <color theme="1"/>
      <name val="Century Gothic"/>
      <family val="2"/>
    </font>
    <font>
      <b/>
      <sz val="11"/>
      <color theme="1"/>
      <name val="Calibri"/>
      <family val="2"/>
      <scheme val="minor"/>
    </font>
    <font>
      <sz val="11"/>
      <color theme="1"/>
      <name val="Calibri"/>
      <family val="2"/>
    </font>
    <font>
      <b/>
      <u/>
      <sz val="25"/>
      <color theme="0"/>
      <name val="Calibri"/>
      <family val="2"/>
    </font>
    <font>
      <b/>
      <sz val="11"/>
      <color rgb="FFFF0000"/>
      <name val="Calibri"/>
      <family val="2"/>
      <scheme val="minor"/>
    </font>
    <font>
      <b/>
      <sz val="14"/>
      <color theme="1"/>
      <name val="Calibri"/>
      <family val="2"/>
      <scheme val="minor"/>
    </font>
    <font>
      <sz val="11"/>
      <name val="Calibri"/>
      <family val="2"/>
      <scheme val="minor"/>
    </font>
    <font>
      <b/>
      <i/>
      <sz val="10"/>
      <color theme="1"/>
      <name val="Arial"/>
      <family val="2"/>
    </font>
    <font>
      <sz val="7"/>
      <color theme="1"/>
      <name val="Arial"/>
      <family val="2"/>
      <charset val="204"/>
    </font>
    <font>
      <sz val="11"/>
      <color rgb="FFFF0000"/>
      <name val="Calibri"/>
      <family val="2"/>
      <scheme val="minor"/>
    </font>
    <font>
      <i/>
      <sz val="10"/>
      <color theme="1"/>
      <name val="Arial"/>
      <family val="2"/>
    </font>
    <font>
      <b/>
      <sz val="11"/>
      <name val="Arial"/>
      <family val="2"/>
    </font>
    <font>
      <sz val="11"/>
      <color theme="0"/>
      <name val="Calibri"/>
      <family val="2"/>
      <scheme val="minor"/>
    </font>
    <font>
      <b/>
      <sz val="18"/>
      <name val="Arial"/>
      <family val="2"/>
    </font>
    <font>
      <sz val="11"/>
      <color theme="0"/>
      <name val="Arial"/>
      <family val="2"/>
    </font>
    <font>
      <u/>
      <sz val="11"/>
      <color theme="0"/>
      <name val="Arial"/>
      <family val="2"/>
    </font>
    <font>
      <sz val="13"/>
      <color rgb="FF00334E"/>
      <name val="Arial"/>
      <family val="2"/>
    </font>
    <font>
      <b/>
      <sz val="14"/>
      <color theme="1"/>
      <name val="Arial"/>
      <family val="2"/>
    </font>
    <font>
      <b/>
      <sz val="14"/>
      <color rgb="FFFF0000"/>
      <name val="Arial"/>
      <family val="2"/>
    </font>
    <font>
      <sz val="13"/>
      <name val="Arial"/>
      <family val="2"/>
    </font>
    <font>
      <sz val="11"/>
      <color rgb="FFFF0000"/>
      <name val="Arial"/>
      <family val="2"/>
    </font>
    <font>
      <u/>
      <sz val="11"/>
      <color theme="10"/>
      <name val="Arial"/>
      <family val="2"/>
    </font>
    <font>
      <b/>
      <sz val="14"/>
      <color rgb="FF00334E"/>
      <name val="Arial"/>
      <family val="2"/>
    </font>
    <font>
      <b/>
      <u/>
      <sz val="25"/>
      <color theme="0"/>
      <name val="Arial"/>
      <family val="2"/>
    </font>
    <font>
      <b/>
      <sz val="16"/>
      <name val="Arial"/>
      <family val="2"/>
    </font>
    <font>
      <sz val="11"/>
      <color rgb="FF00334E"/>
      <name val="Arial"/>
      <family val="2"/>
    </font>
    <font>
      <sz val="12"/>
      <color theme="1"/>
      <name val="Arial"/>
      <family val="2"/>
    </font>
    <font>
      <sz val="14"/>
      <color theme="3"/>
      <name val="Arial"/>
      <family val="2"/>
    </font>
    <font>
      <sz val="14"/>
      <color theme="4"/>
      <name val="Arial"/>
      <family val="2"/>
    </font>
    <font>
      <b/>
      <sz val="9"/>
      <color rgb="FF008000"/>
      <name val="Arial"/>
      <family val="2"/>
    </font>
    <font>
      <b/>
      <sz val="10"/>
      <color theme="3"/>
      <name val="Arial"/>
      <family val="2"/>
    </font>
    <font>
      <b/>
      <sz val="10"/>
      <color theme="0"/>
      <name val="Arial"/>
      <family val="2"/>
    </font>
    <font>
      <sz val="8"/>
      <color theme="0"/>
      <name val="Arial"/>
      <family val="2"/>
    </font>
    <font>
      <b/>
      <sz val="13"/>
      <color theme="1"/>
      <name val="Arial"/>
      <family val="2"/>
    </font>
    <font>
      <b/>
      <sz val="11"/>
      <color theme="1"/>
      <name val="Calibri"/>
      <family val="2"/>
    </font>
    <font>
      <b/>
      <u/>
      <sz val="11"/>
      <color theme="10"/>
      <name val="Arial"/>
      <family val="2"/>
    </font>
    <font>
      <b/>
      <sz val="14"/>
      <name val="Arial"/>
      <family val="2"/>
    </font>
    <font>
      <b/>
      <sz val="13"/>
      <name val="Arial"/>
      <family val="2"/>
    </font>
    <font>
      <sz val="11"/>
      <color theme="4" tint="0.59999389629810485"/>
      <name val="Arial"/>
      <family val="2"/>
    </font>
    <font>
      <i/>
      <sz val="10"/>
      <color rgb="FFC00000"/>
      <name val="Arial"/>
      <family val="2"/>
    </font>
    <font>
      <sz val="10"/>
      <color theme="1"/>
      <name val="Wingdings"/>
      <charset val="2"/>
    </font>
    <font>
      <sz val="10"/>
      <color rgb="FFC00000"/>
      <name val="Arial"/>
      <family val="2"/>
    </font>
    <font>
      <sz val="10"/>
      <name val="Arial"/>
      <family val="2"/>
    </font>
    <font>
      <sz val="16"/>
      <color theme="0"/>
      <name val="Arial"/>
      <family val="2"/>
    </font>
    <font>
      <b/>
      <sz val="18"/>
      <color theme="1"/>
      <name val="Arial"/>
      <family val="2"/>
    </font>
    <font>
      <sz val="18"/>
      <color theme="1"/>
      <name val="Arial"/>
      <family val="2"/>
    </font>
    <font>
      <sz val="11"/>
      <color rgb="FFD98C24"/>
      <name val="Arial"/>
      <family val="2"/>
    </font>
    <font>
      <sz val="11"/>
      <color rgb="FF0000FF"/>
      <name val="Arial"/>
      <family val="2"/>
    </font>
    <font>
      <sz val="13"/>
      <color rgb="FF0000FF"/>
      <name val="Arial"/>
      <family val="2"/>
    </font>
    <font>
      <sz val="10.5"/>
      <color theme="1"/>
      <name val="Arial"/>
      <family val="2"/>
    </font>
    <font>
      <sz val="11"/>
      <color theme="1"/>
      <name val="Trebuchet MS"/>
      <family val="2"/>
    </font>
    <font>
      <sz val="11"/>
      <color theme="1"/>
      <name val="Book Antiqua"/>
      <family val="1"/>
    </font>
    <font>
      <sz val="16"/>
      <color rgb="FF1B6CB5"/>
      <name val="Trebuchet MS"/>
      <family val="2"/>
    </font>
    <font>
      <b/>
      <sz val="11"/>
      <color theme="3"/>
      <name val="Calibri"/>
      <family val="2"/>
      <scheme val="minor"/>
    </font>
    <font>
      <sz val="11"/>
      <color rgb="FF3F3F76"/>
      <name val="Calibri"/>
      <family val="2"/>
      <scheme val="minor"/>
    </font>
    <font>
      <u/>
      <sz val="11"/>
      <color theme="10"/>
      <name val="Calibri"/>
      <family val="2"/>
    </font>
    <font>
      <u/>
      <sz val="10"/>
      <color theme="10"/>
      <name val="Arial"/>
      <family val="2"/>
    </font>
    <font>
      <sz val="11"/>
      <color indexed="9"/>
      <name val="Calibri"/>
      <family val="2"/>
    </font>
    <font>
      <sz val="11"/>
      <color indexed="20"/>
      <name val="Calibri"/>
      <family val="2"/>
    </font>
    <font>
      <b/>
      <sz val="11"/>
      <color indexed="52"/>
      <name val="Calibri"/>
      <family val="2"/>
    </font>
    <font>
      <b/>
      <sz val="11"/>
      <color indexed="9"/>
      <name val="Calibri"/>
      <family val="2"/>
    </font>
    <font>
      <sz val="10"/>
      <name val="MS Sans Serif"/>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u/>
      <sz val="6"/>
      <color indexed="12"/>
      <name val="Arial"/>
      <family val="2"/>
    </font>
    <font>
      <u/>
      <sz val="8.5"/>
      <color indexed="12"/>
      <name val="Arial"/>
      <family val="2"/>
    </font>
    <font>
      <sz val="11"/>
      <color indexed="62"/>
      <name val="Calibri"/>
      <family val="2"/>
    </font>
    <font>
      <sz val="11"/>
      <color indexed="52"/>
      <name val="Calibri"/>
      <family val="2"/>
    </font>
    <font>
      <sz val="11"/>
      <color indexed="60"/>
      <name val="Calibri"/>
      <family val="2"/>
    </font>
    <font>
      <sz val="10"/>
      <name val="Verdana"/>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2"/>
      <color rgb="FFFFFFFF"/>
      <name val="Arial"/>
      <family val="2"/>
    </font>
    <font>
      <sz val="12"/>
      <name val="Arial"/>
      <family val="2"/>
    </font>
    <font>
      <b/>
      <sz val="13"/>
      <color rgb="FFFF0000"/>
      <name val="Arial"/>
      <family val="2"/>
    </font>
    <font>
      <sz val="11"/>
      <color rgb="FFFFFFFF"/>
      <name val="Arial"/>
      <family val="2"/>
    </font>
    <font>
      <u/>
      <sz val="11"/>
      <color rgb="FFFFFFFF"/>
      <name val="Arial"/>
      <family val="2"/>
    </font>
    <font>
      <b/>
      <sz val="11"/>
      <color rgb="FFFFFFFF"/>
      <name val="Arial"/>
      <family val="2"/>
    </font>
    <font>
      <b/>
      <sz val="11"/>
      <color rgb="FFFFFFFF"/>
      <name val="Segoe UI"/>
      <family val="2"/>
    </font>
    <font>
      <b/>
      <sz val="11"/>
      <color rgb="FFFFFFFF"/>
      <name val="Arial Narrow"/>
      <family val="2"/>
    </font>
    <font>
      <b/>
      <sz val="11"/>
      <color rgb="FF3E87CB"/>
      <name val="Arial"/>
      <family val="2"/>
    </font>
    <font>
      <sz val="9"/>
      <color theme="1"/>
      <name val="Calibri"/>
      <family val="2"/>
    </font>
    <font>
      <sz val="9"/>
      <color theme="1"/>
      <name val="Calibri"/>
      <family val="2"/>
      <scheme val="minor"/>
    </font>
    <font>
      <i/>
      <sz val="8"/>
      <name val="Arial"/>
      <family val="2"/>
    </font>
    <font>
      <sz val="13"/>
      <color rgb="FF00334E"/>
      <name val="Calibri"/>
      <family val="2"/>
      <scheme val="minor"/>
    </font>
    <font>
      <b/>
      <sz val="13"/>
      <color rgb="FFFFFFFF"/>
      <name val="Arial"/>
      <family val="2"/>
    </font>
    <font>
      <b/>
      <sz val="10.5"/>
      <color theme="1"/>
      <name val="Arial"/>
      <family val="2"/>
    </font>
    <font>
      <b/>
      <sz val="11"/>
      <color theme="0"/>
      <name val="Calibri"/>
      <family val="2"/>
      <scheme val="minor"/>
    </font>
    <font>
      <sz val="11"/>
      <color theme="8"/>
      <name val="Arial"/>
      <family val="2"/>
    </font>
    <font>
      <sz val="11"/>
      <name val="Calibri"/>
      <family val="2"/>
      <scheme val="minor"/>
    </font>
    <font>
      <sz val="10"/>
      <name val="Calibri"/>
      <family val="2"/>
      <scheme val="minor"/>
    </font>
    <font>
      <b/>
      <sz val="24"/>
      <name val="Arial"/>
      <family val="2"/>
    </font>
    <font>
      <b/>
      <sz val="24"/>
      <color theme="0"/>
      <name val="Arial"/>
      <family val="2"/>
    </font>
    <font>
      <b/>
      <sz val="28"/>
      <color theme="0"/>
      <name val="Arial"/>
      <family val="2"/>
    </font>
    <font>
      <b/>
      <sz val="22"/>
      <name val="Arial"/>
      <family val="2"/>
    </font>
    <font>
      <b/>
      <sz val="12"/>
      <name val="Arial"/>
      <family val="2"/>
    </font>
    <font>
      <b/>
      <sz val="20"/>
      <color rgb="FF3E87CB"/>
      <name val="Arial"/>
      <family val="2"/>
    </font>
    <font>
      <b/>
      <i/>
      <sz val="28"/>
      <color theme="6"/>
      <name val="Arial"/>
      <family val="2"/>
    </font>
    <font>
      <b/>
      <sz val="12"/>
      <color theme="1"/>
      <name val="Arial"/>
      <family val="2"/>
    </font>
    <font>
      <sz val="16"/>
      <name val="Arial"/>
      <family val="2"/>
    </font>
    <font>
      <sz val="14"/>
      <name val="Arial"/>
      <family val="2"/>
    </font>
    <font>
      <vertAlign val="superscript"/>
      <sz val="14"/>
      <name val="Arial"/>
      <family val="2"/>
    </font>
    <font>
      <sz val="18"/>
      <name val="Arial"/>
      <family val="2"/>
    </font>
    <font>
      <sz val="13"/>
      <color theme="1"/>
      <name val="Arial"/>
      <family val="2"/>
    </font>
    <font>
      <vertAlign val="subscript"/>
      <sz val="13"/>
      <color theme="1"/>
      <name val="Arial"/>
      <family val="2"/>
    </font>
    <font>
      <u/>
      <sz val="12"/>
      <color theme="10"/>
      <name val="Arial"/>
      <family val="2"/>
    </font>
    <font>
      <b/>
      <i/>
      <sz val="24"/>
      <color rgb="FF00334E"/>
      <name val="Arial"/>
      <family val="2"/>
    </font>
    <font>
      <b/>
      <sz val="24"/>
      <color rgb="FF00334E"/>
      <name val="Arial"/>
      <family val="2"/>
    </font>
    <font>
      <sz val="12"/>
      <color rgb="FF00334E"/>
      <name val="Arial"/>
      <family val="2"/>
    </font>
    <font>
      <sz val="14"/>
      <color rgb="FF00334E"/>
      <name val="Arial"/>
      <family val="2"/>
    </font>
    <font>
      <sz val="11"/>
      <name val="Calibri"/>
      <family val="2"/>
      <scheme val="minor"/>
    </font>
    <font>
      <sz val="10"/>
      <color theme="1"/>
      <name val="Calibri"/>
      <family val="2"/>
      <scheme val="minor"/>
    </font>
    <font>
      <b/>
      <sz val="12"/>
      <color rgb="FFFF0000"/>
      <name val="Arial"/>
      <family val="2"/>
    </font>
    <font>
      <sz val="16"/>
      <color theme="1"/>
      <name val="Airal"/>
    </font>
    <font>
      <sz val="10"/>
      <color theme="1"/>
      <name val="Calibri"/>
      <family val="2"/>
      <scheme val="minor"/>
    </font>
    <font>
      <sz val="18"/>
      <color theme="0"/>
      <name val="Arial"/>
      <family val="2"/>
    </font>
    <font>
      <i/>
      <sz val="11"/>
      <color theme="1"/>
      <name val="Arial"/>
      <family val="2"/>
    </font>
    <font>
      <sz val="7.7"/>
      <color theme="1"/>
      <name val="Calibri"/>
      <family val="2"/>
    </font>
    <font>
      <sz val="11"/>
      <color theme="1" tint="0.24994659260841701"/>
      <name val="Arial"/>
      <family val="2"/>
    </font>
    <font>
      <sz val="11"/>
      <color theme="1" tint="0.249977111117893"/>
      <name val="Arial"/>
      <family val="2"/>
    </font>
    <font>
      <sz val="10.5"/>
      <name val="Arial"/>
      <family val="2"/>
    </font>
    <font>
      <sz val="8"/>
      <name val="Calibri"/>
      <family val="2"/>
      <scheme val="minor"/>
    </font>
    <font>
      <sz val="11"/>
      <name val="Calibri"/>
      <family val="2"/>
      <scheme val="minor"/>
    </font>
    <font>
      <sz val="10.5"/>
      <color theme="1" tint="0.24994659260841701"/>
      <name val="Arial"/>
      <family val="2"/>
    </font>
    <font>
      <sz val="11"/>
      <color theme="1"/>
      <name val="Calibri"/>
      <family val="2"/>
      <scheme val="minor"/>
    </font>
    <font>
      <b/>
      <sz val="11"/>
      <color theme="1"/>
      <name val="Calibri"/>
      <family val="2"/>
      <scheme val="minor"/>
    </font>
    <font>
      <b/>
      <u/>
      <sz val="11"/>
      <color theme="1"/>
      <name val="Arial"/>
      <family val="2"/>
    </font>
    <font>
      <b/>
      <sz val="14"/>
      <color theme="0"/>
      <name val="Arial"/>
      <family val="2"/>
    </font>
    <font>
      <sz val="9"/>
      <color theme="1"/>
      <name val="Calibri"/>
      <family val="2"/>
      <scheme val="minor"/>
    </font>
    <font>
      <sz val="14"/>
      <color theme="1"/>
      <name val="Arial"/>
      <family val="2"/>
    </font>
    <font>
      <sz val="48"/>
      <color theme="0"/>
      <name val="Arial"/>
      <family val="2"/>
    </font>
    <font>
      <sz val="36"/>
      <color theme="0"/>
      <name val="Arial"/>
      <family val="2"/>
    </font>
    <font>
      <sz val="28"/>
      <color theme="0"/>
      <name val="Arial"/>
      <family val="2"/>
    </font>
    <font>
      <b/>
      <sz val="11"/>
      <color theme="0"/>
      <name val="Arial Narrow"/>
      <family val="2"/>
    </font>
    <font>
      <sz val="12"/>
      <color theme="0"/>
      <name val="Arial"/>
      <family val="2"/>
    </font>
    <font>
      <b/>
      <sz val="12"/>
      <color theme="0"/>
      <name val="Arial"/>
      <family val="2"/>
    </font>
    <font>
      <sz val="11"/>
      <color theme="1"/>
      <name val="Calibri"/>
      <family val="2"/>
      <scheme val="minor"/>
    </font>
    <font>
      <sz val="9"/>
      <color theme="1" tint="0.249977111117893"/>
      <name val="Arial"/>
      <family val="2"/>
    </font>
    <font>
      <b/>
      <u/>
      <sz val="11"/>
      <color theme="1"/>
      <name val="Calibri"/>
      <family val="2"/>
      <scheme val="minor"/>
    </font>
  </fonts>
  <fills count="74">
    <fill>
      <patternFill patternType="none"/>
    </fill>
    <fill>
      <patternFill patternType="gray125"/>
    </fill>
    <fill>
      <patternFill patternType="solid">
        <fgColor theme="0" tint="-4.9989318521683403E-2"/>
        <bgColor indexed="64"/>
      </patternFill>
    </fill>
    <fill>
      <patternFill patternType="solid">
        <fgColor theme="7" tint="0.59999389629810485"/>
        <bgColor indexed="64"/>
      </patternFill>
    </fill>
    <fill>
      <patternFill patternType="solid">
        <fgColor theme="0"/>
        <bgColor indexed="64"/>
      </patternFill>
    </fill>
    <fill>
      <patternFill patternType="solid">
        <fgColor rgb="FF54BCEB"/>
        <bgColor indexed="64"/>
      </patternFill>
    </fill>
    <fill>
      <patternFill patternType="solid">
        <fgColor rgb="FF00334E"/>
        <bgColor indexed="64"/>
      </patternFill>
    </fill>
    <fill>
      <patternFill patternType="solid">
        <fgColor theme="0" tint="-0.14999847407452621"/>
        <bgColor indexed="64"/>
      </patternFill>
    </fill>
    <fill>
      <patternFill patternType="solid">
        <fgColor rgb="FF7BC143"/>
        <bgColor indexed="64"/>
      </patternFill>
    </fill>
    <fill>
      <patternFill patternType="solid">
        <fgColor theme="5" tint="0.39997558519241921"/>
        <bgColor indexed="64"/>
      </patternFill>
    </fill>
    <fill>
      <patternFill patternType="solid">
        <fgColor theme="7" tint="0.39997558519241921"/>
        <bgColor indexed="64"/>
      </patternFill>
    </fill>
    <fill>
      <patternFill patternType="solid">
        <fgColor theme="9" tint="0.39997558519241921"/>
        <bgColor indexed="64"/>
      </patternFill>
    </fill>
    <fill>
      <patternFill patternType="solid">
        <fgColor theme="4" tint="0.59999389629810485"/>
        <bgColor indexed="64"/>
      </patternFill>
    </fill>
    <fill>
      <patternFill patternType="solid">
        <fgColor theme="6" tint="0.59999389629810485"/>
        <bgColor indexed="64"/>
      </patternFill>
    </fill>
    <fill>
      <patternFill patternType="solid">
        <fgColor theme="5" tint="0.59999389629810485"/>
        <bgColor indexed="64"/>
      </patternFill>
    </fill>
    <fill>
      <patternFill patternType="solid">
        <fgColor theme="8" tint="0.59999389629810485"/>
        <bgColor indexed="64"/>
      </patternFill>
    </fill>
    <fill>
      <patternFill patternType="solid">
        <fgColor rgb="FFBADD8B"/>
        <bgColor indexed="64"/>
      </patternFill>
    </fill>
    <fill>
      <patternFill patternType="solid">
        <fgColor rgb="FFFF9FA1"/>
        <bgColor indexed="64"/>
      </patternFill>
    </fill>
    <fill>
      <patternFill patternType="solid">
        <fgColor rgb="FFEEBBF3"/>
        <bgColor indexed="64"/>
      </patternFill>
    </fill>
    <fill>
      <patternFill patternType="solid">
        <fgColor theme="6" tint="0.59999389629810485"/>
        <bgColor indexed="65"/>
      </patternFill>
    </fill>
    <fill>
      <patternFill patternType="solid">
        <fgColor theme="0" tint="-0.249977111117893"/>
        <bgColor indexed="64"/>
      </patternFill>
    </fill>
    <fill>
      <patternFill patternType="solid">
        <fgColor theme="1"/>
        <bgColor indexed="64"/>
      </patternFill>
    </fill>
    <fill>
      <gradientFill degree="45">
        <stop position="0">
          <color theme="0" tint="-0.25098422193060094"/>
        </stop>
        <stop position="1">
          <color theme="0"/>
        </stop>
      </gradientFill>
    </fill>
    <fill>
      <patternFill patternType="solid">
        <fgColor theme="4" tint="0.39997558519241921"/>
        <bgColor indexed="64"/>
      </patternFill>
    </fill>
    <fill>
      <patternFill patternType="solid">
        <fgColor rgb="FF7BC143"/>
        <bgColor auto="1"/>
      </patternFill>
    </fill>
    <fill>
      <patternFill patternType="solid">
        <fgColor rgb="FFD98C24"/>
        <bgColor indexed="64"/>
      </patternFill>
    </fill>
    <fill>
      <patternFill patternType="solid">
        <fgColor rgb="FFD98C24"/>
        <bgColor auto="1"/>
      </patternFill>
    </fill>
    <fill>
      <patternFill patternType="solid">
        <fgColor theme="7"/>
        <bgColor theme="7"/>
      </patternFill>
    </fill>
    <fill>
      <patternFill patternType="solid">
        <fgColor rgb="FFFFCC99"/>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4"/>
        <bgColor indexed="64"/>
      </patternFill>
    </fill>
    <fill>
      <patternFill patternType="solid">
        <fgColor indexed="47"/>
        <bgColor indexed="64"/>
      </patternFill>
    </fill>
    <fill>
      <patternFill patternType="solid">
        <fgColor indexed="43"/>
      </patternFill>
    </fill>
    <fill>
      <patternFill patternType="solid">
        <fgColor indexed="26"/>
      </patternFill>
    </fill>
    <fill>
      <gradientFill degree="45">
        <stop position="0">
          <color theme="0"/>
        </stop>
        <stop position="1">
          <color theme="9" tint="0.59999389629810485"/>
        </stop>
      </gradientFill>
    </fill>
    <fill>
      <patternFill patternType="solid">
        <fgColor rgb="FFF9B159"/>
        <bgColor indexed="64"/>
      </patternFill>
    </fill>
    <fill>
      <patternFill patternType="solid">
        <fgColor rgb="FFEBEBED"/>
        <bgColor indexed="64"/>
      </patternFill>
    </fill>
    <fill>
      <patternFill patternType="solid">
        <fgColor theme="9"/>
        <bgColor indexed="64"/>
      </patternFill>
    </fill>
    <fill>
      <patternFill patternType="solid">
        <fgColor theme="7"/>
        <bgColor indexed="64"/>
      </patternFill>
    </fill>
    <fill>
      <patternFill patternType="solid">
        <fgColor rgb="FF54BCEB"/>
        <bgColor auto="1"/>
      </patternFill>
    </fill>
    <fill>
      <gradientFill degree="180">
        <stop position="0">
          <color rgb="FF72DAFF"/>
        </stop>
        <stop position="1">
          <color rgb="FF54BCEB"/>
        </stop>
      </gradientFill>
    </fill>
    <fill>
      <gradientFill degree="180">
        <stop position="0">
          <color rgb="FFC4C3C8"/>
        </stop>
        <stop position="1">
          <color rgb="FFA6A5AA"/>
        </stop>
      </gradientFill>
    </fill>
    <fill>
      <patternFill patternType="solid">
        <fgColor theme="0" tint="-0.14996795556505021"/>
        <bgColor indexed="64"/>
      </patternFill>
    </fill>
    <fill>
      <patternFill patternType="solid">
        <fgColor theme="9" tint="0.79998168889431442"/>
        <bgColor indexed="64"/>
      </patternFill>
    </fill>
    <fill>
      <patternFill patternType="solid">
        <fgColor rgb="FFB7E3F7"/>
        <bgColor indexed="64"/>
      </patternFill>
    </fill>
    <fill>
      <patternFill patternType="solid">
        <fgColor rgb="FFAFAFB1"/>
        <bgColor indexed="64"/>
      </patternFill>
    </fill>
    <fill>
      <patternFill patternType="solid">
        <fgColor rgb="FFD0D0D2"/>
        <bgColor indexed="64"/>
      </patternFill>
    </fill>
    <fill>
      <patternFill patternType="solid">
        <fgColor theme="5"/>
        <bgColor theme="5"/>
      </patternFill>
    </fill>
    <fill>
      <patternFill patternType="solid">
        <fgColor theme="5" tint="0.79998168889431442"/>
        <bgColor theme="5" tint="0.79998168889431442"/>
      </patternFill>
    </fill>
    <fill>
      <patternFill patternType="solid">
        <fgColor theme="6"/>
        <bgColor theme="6"/>
      </patternFill>
    </fill>
    <fill>
      <patternFill patternType="solid">
        <fgColor theme="0" tint="-0.14999847407452621"/>
        <bgColor theme="0" tint="-0.14999847407452621"/>
      </patternFill>
    </fill>
    <fill>
      <patternFill patternType="solid">
        <fgColor theme="4" tint="0.79998168889431442"/>
        <bgColor theme="4" tint="0.79998168889431442"/>
      </patternFill>
    </fill>
    <fill>
      <patternFill patternType="solid">
        <fgColor theme="4"/>
        <bgColor theme="4"/>
      </patternFill>
    </fill>
    <fill>
      <patternFill patternType="solid">
        <fgColor theme="0"/>
        <bgColor auto="1"/>
      </patternFill>
    </fill>
    <fill>
      <patternFill patternType="solid">
        <fgColor theme="1"/>
        <bgColor theme="1"/>
      </patternFill>
    </fill>
  </fills>
  <borders count="193">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medium">
        <color indexed="64"/>
      </top>
      <bottom/>
      <diagonal/>
    </border>
    <border>
      <left/>
      <right/>
      <top/>
      <bottom style="medium">
        <color indexed="64"/>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bottom style="thin">
        <color theme="0" tint="-0.34998626667073579"/>
      </bottom>
      <diagonal/>
    </border>
    <border>
      <left/>
      <right style="thin">
        <color theme="0" tint="-0.34998626667073579"/>
      </right>
      <top/>
      <bottom/>
      <diagonal/>
    </border>
    <border>
      <left style="medium">
        <color theme="1" tint="0.34998626667073579"/>
      </left>
      <right/>
      <top style="medium">
        <color theme="1" tint="0.34998626667073579"/>
      </top>
      <bottom style="medium">
        <color theme="0" tint="-0.34998626667073579"/>
      </bottom>
      <diagonal/>
    </border>
    <border>
      <left/>
      <right/>
      <top style="medium">
        <color theme="1" tint="0.34998626667073579"/>
      </top>
      <bottom style="medium">
        <color theme="0" tint="-0.34998626667073579"/>
      </bottom>
      <diagonal/>
    </border>
    <border>
      <left/>
      <right style="medium">
        <color theme="0" tint="-0.34998626667073579"/>
      </right>
      <top style="medium">
        <color theme="1" tint="0.34998626667073579"/>
      </top>
      <bottom style="medium">
        <color theme="0" tint="-0.34998626667073579"/>
      </bottom>
      <diagonal/>
    </border>
    <border>
      <left style="medium">
        <color theme="1" tint="0.34998626667073579"/>
      </left>
      <right/>
      <top/>
      <bottom/>
      <diagonal/>
    </border>
    <border>
      <left/>
      <right/>
      <top style="thin">
        <color indexed="64"/>
      </top>
      <bottom/>
      <diagonal/>
    </border>
    <border>
      <left style="medium">
        <color theme="1" tint="0.34998626667073579"/>
      </left>
      <right/>
      <top style="medium">
        <color theme="1" tint="0.34998626667073579"/>
      </top>
      <bottom/>
      <diagonal/>
    </border>
    <border>
      <left/>
      <right/>
      <top style="medium">
        <color theme="1" tint="0.34998626667073579"/>
      </top>
      <bottom/>
      <diagonal/>
    </border>
    <border>
      <left/>
      <right/>
      <top/>
      <bottom style="thin">
        <color indexed="64"/>
      </bottom>
      <diagonal/>
    </border>
    <border>
      <left style="medium">
        <color theme="1" tint="0.34998626667073579"/>
      </left>
      <right/>
      <top/>
      <bottom style="medium">
        <color theme="0" tint="-0.34998626667073579"/>
      </bottom>
      <diagonal/>
    </border>
    <border>
      <left/>
      <right/>
      <top/>
      <bottom style="medium">
        <color theme="0" tint="-0.34998626667073579"/>
      </bottom>
      <diagonal/>
    </border>
    <border>
      <left/>
      <right style="medium">
        <color theme="0" tint="-0.34998626667073579"/>
      </right>
      <top style="medium">
        <color theme="1" tint="0.34998626667073579"/>
      </top>
      <bottom/>
      <diagonal/>
    </border>
    <border>
      <left/>
      <right style="medium">
        <color theme="0" tint="-0.34998626667073579"/>
      </right>
      <top/>
      <bottom/>
      <diagonal/>
    </border>
    <border>
      <left/>
      <right style="medium">
        <color theme="0" tint="-0.34998626667073579"/>
      </right>
      <top/>
      <bottom style="medium">
        <color theme="0" tint="-0.34998626667073579"/>
      </bottom>
      <diagonal/>
    </border>
    <border>
      <left/>
      <right/>
      <top style="thin">
        <color theme="7" tint="0.39997558519241921"/>
      </top>
      <bottom style="thin">
        <color theme="7" tint="0.39997558519241921"/>
      </bottom>
      <diagonal/>
    </border>
    <border>
      <left/>
      <right/>
      <top/>
      <bottom style="thin">
        <color theme="7" tint="0.39997558519241921"/>
      </bottom>
      <diagonal/>
    </border>
    <border>
      <left/>
      <right/>
      <top style="thin">
        <color theme="7" tint="0.39997558519241921"/>
      </top>
      <bottom/>
      <diagonal/>
    </border>
    <border>
      <left style="thin">
        <color theme="0" tint="-0.34998626667073579"/>
      </left>
      <right/>
      <top/>
      <bottom style="thin">
        <color theme="0" tint="-0.34998626667073579"/>
      </bottom>
      <diagonal/>
    </border>
    <border>
      <left/>
      <right/>
      <top/>
      <bottom style="thin">
        <color theme="0" tint="-0.34998626667073579"/>
      </bottom>
      <diagonal/>
    </border>
    <border>
      <left/>
      <right style="thin">
        <color theme="0" tint="-0.34998626667073579"/>
      </right>
      <top/>
      <bottom style="thin">
        <color theme="0" tint="-0.34998626667073579"/>
      </bottom>
      <diagonal/>
    </border>
    <border>
      <left style="thin">
        <color theme="0" tint="-0.34998626667073579"/>
      </left>
      <right/>
      <top/>
      <bottom/>
      <diagonal/>
    </border>
    <border>
      <left style="thin">
        <color theme="0" tint="-0.34998626667073579"/>
      </left>
      <right style="thin">
        <color theme="0" tint="-0.34998626667073579"/>
      </right>
      <top/>
      <bottom/>
      <diagonal/>
    </border>
    <border>
      <left style="thin">
        <color theme="1"/>
      </left>
      <right/>
      <top/>
      <bottom style="thin">
        <color theme="0" tint="-0.34998626667073579"/>
      </bottom>
      <diagonal/>
    </border>
    <border>
      <left style="thin">
        <color theme="1"/>
      </left>
      <right/>
      <top/>
      <bottom/>
      <diagonal/>
    </border>
    <border>
      <left style="thin">
        <color auto="1"/>
      </left>
      <right/>
      <top/>
      <bottom/>
      <diagonal/>
    </border>
    <border>
      <left style="thin">
        <color auto="1"/>
      </left>
      <right/>
      <top/>
      <bottom style="thin">
        <color theme="0" tint="-0.34998626667073579"/>
      </bottom>
      <diagonal/>
    </border>
    <border>
      <left style="medium">
        <color theme="1" tint="0.34998626667073579"/>
      </left>
      <right style="medium">
        <color theme="1" tint="0.34998626667073579"/>
      </right>
      <top/>
      <bottom/>
      <diagonal/>
    </border>
    <border>
      <left style="thin">
        <color indexed="64"/>
      </left>
      <right/>
      <top style="thin">
        <color indexed="64"/>
      </top>
      <bottom/>
      <diagonal/>
    </border>
    <border>
      <left style="thin">
        <color indexed="64"/>
      </left>
      <right/>
      <top/>
      <bottom style="thin">
        <color indexed="64"/>
      </bottom>
      <diagonal/>
    </border>
    <border>
      <left style="thick">
        <color theme="0" tint="-0.34998626667073579"/>
      </left>
      <right/>
      <top style="thick">
        <color theme="0" tint="-0.34998626667073579"/>
      </top>
      <bottom/>
      <diagonal/>
    </border>
    <border>
      <left/>
      <right/>
      <top style="thick">
        <color theme="0" tint="-0.34998626667073579"/>
      </top>
      <bottom/>
      <diagonal/>
    </border>
    <border>
      <left/>
      <right style="thick">
        <color theme="1" tint="0.14996795556505021"/>
      </right>
      <top style="thick">
        <color theme="0" tint="-0.34998626667073579"/>
      </top>
      <bottom/>
      <diagonal/>
    </border>
    <border>
      <left style="thick">
        <color theme="0" tint="-0.34998626667073579"/>
      </left>
      <right/>
      <top/>
      <bottom/>
      <diagonal/>
    </border>
    <border>
      <left/>
      <right style="thick">
        <color theme="1" tint="0.14996795556505021"/>
      </right>
      <top/>
      <bottom/>
      <diagonal/>
    </border>
    <border>
      <left style="thick">
        <color theme="0" tint="-0.34998626667073579"/>
      </left>
      <right/>
      <top/>
      <bottom style="thick">
        <color theme="1" tint="0.14996795556505021"/>
      </bottom>
      <diagonal/>
    </border>
    <border>
      <left/>
      <right/>
      <top/>
      <bottom style="thick">
        <color theme="1" tint="0.14996795556505021"/>
      </bottom>
      <diagonal/>
    </border>
    <border>
      <left/>
      <right style="thick">
        <color theme="1" tint="0.14996795556505021"/>
      </right>
      <top/>
      <bottom style="thick">
        <color theme="1" tint="0.14996795556505021"/>
      </bottom>
      <diagonal/>
    </border>
    <border>
      <left style="thin">
        <color indexed="64"/>
      </left>
      <right/>
      <top style="thin">
        <color indexed="64"/>
      </top>
      <bottom style="thin">
        <color indexed="64"/>
      </bottom>
      <diagonal/>
    </border>
    <border>
      <left style="medium">
        <color theme="0"/>
      </left>
      <right style="medium">
        <color theme="0"/>
      </right>
      <top style="medium">
        <color theme="0"/>
      </top>
      <bottom style="medium">
        <color theme="0"/>
      </bottom>
      <diagonal/>
    </border>
    <border>
      <left style="medium">
        <color theme="0"/>
      </left>
      <right/>
      <top style="medium">
        <color theme="0"/>
      </top>
      <bottom style="medium">
        <color theme="0"/>
      </bottom>
      <diagonal/>
    </border>
    <border>
      <left/>
      <right/>
      <top style="medium">
        <color theme="0"/>
      </top>
      <bottom style="medium">
        <color theme="0"/>
      </bottom>
      <diagonal/>
    </border>
    <border>
      <left/>
      <right style="medium">
        <color theme="0"/>
      </right>
      <top style="medium">
        <color theme="0"/>
      </top>
      <bottom style="medium">
        <color theme="0"/>
      </bottom>
      <diagonal/>
    </border>
    <border>
      <left style="medium">
        <color theme="2" tint="-0.499984740745262"/>
      </left>
      <right/>
      <top style="medium">
        <color theme="2" tint="-0.499984740745262"/>
      </top>
      <bottom/>
      <diagonal/>
    </border>
    <border>
      <left/>
      <right/>
      <top style="medium">
        <color theme="2" tint="-0.499984740745262"/>
      </top>
      <bottom/>
      <diagonal/>
    </border>
    <border>
      <left/>
      <right style="medium">
        <color theme="2" tint="-0.499984740745262"/>
      </right>
      <top style="medium">
        <color theme="2" tint="-0.499984740745262"/>
      </top>
      <bottom/>
      <diagonal/>
    </border>
    <border>
      <left style="medium">
        <color theme="2" tint="-0.499984740745262"/>
      </left>
      <right/>
      <top/>
      <bottom/>
      <diagonal/>
    </border>
    <border>
      <left/>
      <right style="medium">
        <color theme="2" tint="-0.499984740745262"/>
      </right>
      <top/>
      <bottom/>
      <diagonal/>
    </border>
    <border>
      <left style="medium">
        <color theme="2" tint="-0.499984740745262"/>
      </left>
      <right/>
      <top/>
      <bottom style="medium">
        <color theme="2" tint="-0.499984740745262"/>
      </bottom>
      <diagonal/>
    </border>
    <border>
      <left/>
      <right/>
      <top/>
      <bottom style="medium">
        <color theme="2" tint="-0.499984740745262"/>
      </bottom>
      <diagonal/>
    </border>
    <border>
      <left/>
      <right style="medium">
        <color theme="2" tint="-0.499984740745262"/>
      </right>
      <top/>
      <bottom style="medium">
        <color theme="2" tint="-0.499984740745262"/>
      </bottom>
      <diagonal/>
    </border>
    <border>
      <left style="thin">
        <color auto="1"/>
      </left>
      <right style="thin">
        <color theme="0" tint="-0.34998626667073579"/>
      </right>
      <top/>
      <bottom style="thin">
        <color theme="0" tint="-0.34998626667073579"/>
      </bottom>
      <diagonal/>
    </border>
    <border>
      <left style="thin">
        <color theme="0" tint="-0.34998626667073579"/>
      </left>
      <right style="thin">
        <color auto="1"/>
      </right>
      <top/>
      <bottom style="thin">
        <color theme="0" tint="-0.34998626667073579"/>
      </bottom>
      <diagonal/>
    </border>
    <border>
      <left style="thin">
        <color auto="1"/>
      </left>
      <right style="thin">
        <color theme="0" tint="-0.34998626667073579"/>
      </right>
      <top/>
      <bottom/>
      <diagonal/>
    </border>
    <border>
      <left style="thin">
        <color theme="0" tint="-0.34998626667073579"/>
      </left>
      <right style="thin">
        <color auto="1"/>
      </right>
      <top/>
      <bottom/>
      <diagonal/>
    </border>
    <border>
      <left/>
      <right style="thin">
        <color theme="0" tint="-0.34998626667073579"/>
      </right>
      <top style="thin">
        <color theme="0" tint="-0.34998626667073579"/>
      </top>
      <bottom style="thin">
        <color theme="0" tint="-0.34998626667073579"/>
      </bottom>
      <diagonal/>
    </border>
    <border>
      <left/>
      <right/>
      <top/>
      <bottom style="medium">
        <color theme="1" tint="0.34998626667073579"/>
      </bottom>
      <diagonal/>
    </border>
    <border>
      <left style="medium">
        <color theme="0"/>
      </left>
      <right/>
      <top style="medium">
        <color theme="0"/>
      </top>
      <bottom/>
      <diagonal/>
    </border>
    <border>
      <left/>
      <right/>
      <top style="medium">
        <color theme="0"/>
      </top>
      <bottom/>
      <diagonal/>
    </border>
    <border>
      <left style="medium">
        <color theme="0"/>
      </left>
      <right/>
      <top/>
      <bottom/>
      <diagonal/>
    </border>
    <border>
      <left style="medium">
        <color theme="0"/>
      </left>
      <right/>
      <top/>
      <bottom style="medium">
        <color theme="0"/>
      </bottom>
      <diagonal/>
    </border>
    <border>
      <left/>
      <right/>
      <top/>
      <bottom style="medium">
        <color theme="0"/>
      </bottom>
      <diagonal/>
    </border>
    <border>
      <left style="thin">
        <color theme="0"/>
      </left>
      <right style="thin">
        <color theme="0"/>
      </right>
      <top style="thin">
        <color theme="0"/>
      </top>
      <bottom style="thin">
        <color theme="0"/>
      </bottom>
      <diagonal/>
    </border>
    <border>
      <left/>
      <right/>
      <top style="thin">
        <color indexed="64"/>
      </top>
      <bottom style="thin">
        <color indexed="64"/>
      </bottom>
      <diagonal/>
    </border>
    <border>
      <left style="thin">
        <color theme="0" tint="-0.34998626667073579"/>
      </left>
      <right/>
      <top style="thin">
        <color theme="0" tint="-0.34998626667073579"/>
      </top>
      <bottom/>
      <diagonal/>
    </border>
    <border>
      <left/>
      <right/>
      <top style="thin">
        <color theme="0" tint="-0.34998626667073579"/>
      </top>
      <bottom/>
      <diagonal/>
    </border>
    <border>
      <left/>
      <right style="thin">
        <color theme="0" tint="-0.34998626667073579"/>
      </right>
      <top style="thin">
        <color theme="0" tint="-0.34998626667073579"/>
      </top>
      <bottom/>
      <diagonal/>
    </border>
    <border>
      <left style="thin">
        <color auto="1"/>
      </left>
      <right/>
      <top style="thin">
        <color theme="0" tint="-0.34998626667073579"/>
      </top>
      <bottom/>
      <diagonal/>
    </border>
    <border>
      <left/>
      <right style="thin">
        <color theme="1"/>
      </right>
      <top style="thin">
        <color theme="0" tint="-0.34998626667073579"/>
      </top>
      <bottom/>
      <diagonal/>
    </border>
    <border>
      <left/>
      <right style="thin">
        <color theme="1"/>
      </right>
      <top/>
      <bottom style="thin">
        <color theme="0" tint="-0.34998626667073579"/>
      </bottom>
      <diagonal/>
    </border>
    <border>
      <left style="thin">
        <color theme="1"/>
      </left>
      <right/>
      <top style="thin">
        <color theme="0" tint="-0.34998626667073579"/>
      </top>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medium">
        <color theme="0" tint="-0.34998626667073579"/>
      </top>
      <bottom/>
      <diagonal/>
    </border>
    <border>
      <left/>
      <right/>
      <top style="thin">
        <color theme="4" tint="0.39997558519241921"/>
      </top>
      <bottom style="thin">
        <color theme="4" tint="0.39997558519241921"/>
      </bottom>
      <diagonal/>
    </border>
    <border>
      <left/>
      <right/>
      <top style="thin">
        <color theme="0"/>
      </top>
      <bottom/>
      <diagonal/>
    </border>
    <border>
      <left style="thin">
        <color theme="0"/>
      </left>
      <right/>
      <top/>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4" tint="0.39997558519241921"/>
      </left>
      <right/>
      <top style="thin">
        <color theme="4" tint="0.39997558519241921"/>
      </top>
      <bottom style="thin">
        <color theme="4" tint="0.39997558519241921"/>
      </bottom>
      <diagonal/>
    </border>
    <border>
      <left style="thin">
        <color theme="0" tint="-0.34998626667073579"/>
      </left>
      <right style="thin">
        <color theme="0" tint="-0.34998626667073579"/>
      </right>
      <top style="thin">
        <color theme="0" tint="-0.34998626667073579"/>
      </top>
      <bottom/>
      <diagonal/>
    </border>
    <border>
      <left/>
      <right style="thin">
        <color auto="1"/>
      </right>
      <top style="thin">
        <color theme="0" tint="-0.34998626667073579"/>
      </top>
      <bottom/>
      <diagonal/>
    </border>
    <border>
      <left/>
      <right style="thin">
        <color auto="1"/>
      </right>
      <top/>
      <bottom style="thin">
        <color theme="0" tint="-0.34998626667073579"/>
      </bottom>
      <diagonal/>
    </border>
    <border>
      <left style="thin">
        <color theme="0" tint="-0.34998626667073579"/>
      </left>
      <right/>
      <top style="medium">
        <color indexed="64"/>
      </top>
      <bottom/>
      <diagonal/>
    </border>
    <border>
      <left style="thin">
        <color theme="0" tint="-0.34998626667073579"/>
      </left>
      <right style="thin">
        <color theme="0" tint="-0.34998626667073579"/>
      </right>
      <top style="thin">
        <color indexed="64"/>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medium">
        <color theme="0"/>
      </left>
      <right style="medium">
        <color theme="0"/>
      </right>
      <top style="medium">
        <color theme="0"/>
      </top>
      <bottom/>
      <diagonal/>
    </border>
    <border>
      <left style="medium">
        <color theme="0"/>
      </left>
      <right style="medium">
        <color theme="0"/>
      </right>
      <top style="medium">
        <color theme="0"/>
      </top>
      <bottom style="thin">
        <color theme="0"/>
      </bottom>
      <diagonal/>
    </border>
    <border>
      <left/>
      <right style="medium">
        <color theme="0"/>
      </right>
      <top style="medium">
        <color theme="0"/>
      </top>
      <bottom style="thin">
        <color theme="0"/>
      </bottom>
      <diagonal/>
    </border>
    <border>
      <left/>
      <right/>
      <top/>
      <bottom style="thin">
        <color theme="0"/>
      </bottom>
      <diagonal/>
    </border>
    <border>
      <left/>
      <right style="thin">
        <color theme="0"/>
      </right>
      <top/>
      <bottom style="thin">
        <color theme="0"/>
      </bottom>
      <diagonal/>
    </border>
    <border>
      <left style="thin">
        <color theme="0"/>
      </left>
      <right/>
      <top style="thin">
        <color theme="0"/>
      </top>
      <bottom/>
      <diagonal/>
    </border>
    <border>
      <left style="thin">
        <color theme="0"/>
      </left>
      <right/>
      <top/>
      <bottom style="thin">
        <color theme="0"/>
      </bottom>
      <diagonal/>
    </border>
    <border>
      <left/>
      <right style="thin">
        <color theme="0"/>
      </right>
      <top style="thin">
        <color theme="0"/>
      </top>
      <bottom/>
      <diagonal/>
    </border>
    <border>
      <left style="thin">
        <color rgb="FF54BCEB"/>
      </left>
      <right style="thin">
        <color rgb="FF54BCEB"/>
      </right>
      <top style="thin">
        <color rgb="FF54BCEB"/>
      </top>
      <bottom style="thin">
        <color rgb="FF54BCEB"/>
      </bottom>
      <diagonal/>
    </border>
    <border>
      <left style="thin">
        <color rgb="FF54BCEB"/>
      </left>
      <right/>
      <top/>
      <bottom style="thin">
        <color rgb="FF54BCEB"/>
      </bottom>
      <diagonal/>
    </border>
    <border>
      <left/>
      <right/>
      <top/>
      <bottom style="thin">
        <color rgb="FF54BCEB"/>
      </bottom>
      <diagonal/>
    </border>
    <border>
      <left/>
      <right style="thin">
        <color rgb="FF54BCEB"/>
      </right>
      <top/>
      <bottom style="thin">
        <color rgb="FF54BCEB"/>
      </bottom>
      <diagonal/>
    </border>
    <border>
      <left style="thin">
        <color rgb="FF54BCEB"/>
      </left>
      <right/>
      <top/>
      <bottom/>
      <diagonal/>
    </border>
    <border>
      <left style="thin">
        <color rgb="FF54BCEB"/>
      </left>
      <right style="thin">
        <color rgb="FFC04C36"/>
      </right>
      <top style="thin">
        <color rgb="FF54BCEB"/>
      </top>
      <bottom style="thin">
        <color rgb="FF54BCEB"/>
      </bottom>
      <diagonal/>
    </border>
    <border>
      <left style="thin">
        <color rgb="FFC04C36"/>
      </left>
      <right style="thin">
        <color rgb="FFC04C36"/>
      </right>
      <top style="thin">
        <color rgb="FF54BCEB"/>
      </top>
      <bottom style="thin">
        <color rgb="FF54BCEB"/>
      </bottom>
      <diagonal/>
    </border>
    <border>
      <left style="thin">
        <color rgb="FFC04C36"/>
      </left>
      <right style="thin">
        <color rgb="FF54BCEB"/>
      </right>
      <top style="thin">
        <color rgb="FF54BCEB"/>
      </top>
      <bottom style="thin">
        <color rgb="FF54BCEB"/>
      </bottom>
      <diagonal/>
    </border>
    <border>
      <left/>
      <right style="thin">
        <color rgb="FF54BCEB"/>
      </right>
      <top/>
      <bottom/>
      <diagonal/>
    </border>
    <border>
      <left style="thin">
        <color rgb="FF54BCEB"/>
      </left>
      <right style="thin">
        <color rgb="FF54BCEB"/>
      </right>
      <top style="thin">
        <color rgb="FF54BCEB"/>
      </top>
      <bottom/>
      <diagonal/>
    </border>
    <border>
      <left style="thin">
        <color rgb="FF54BCEB"/>
      </left>
      <right/>
      <top style="thin">
        <color rgb="FF54BCEB"/>
      </top>
      <bottom/>
      <diagonal/>
    </border>
    <border>
      <left/>
      <right/>
      <top style="thin">
        <color rgb="FF54BCEB"/>
      </top>
      <bottom/>
      <diagonal/>
    </border>
    <border>
      <left/>
      <right style="thin">
        <color rgb="FF54BCEB"/>
      </right>
      <top style="thin">
        <color rgb="FF54BCEB"/>
      </top>
      <bottom/>
      <diagonal/>
    </border>
    <border>
      <left style="thin">
        <color rgb="FF00334E"/>
      </left>
      <right style="thin">
        <color rgb="FF00334E"/>
      </right>
      <top style="thin">
        <color rgb="FF00334E"/>
      </top>
      <bottom style="thin">
        <color rgb="FF00334E"/>
      </bottom>
      <diagonal/>
    </border>
    <border>
      <left/>
      <right style="thin">
        <color rgb="FF00334E"/>
      </right>
      <top/>
      <bottom style="thin">
        <color rgb="FF00334E"/>
      </bottom>
      <diagonal/>
    </border>
    <border>
      <left style="thin">
        <color rgb="FFA6A5AA"/>
      </left>
      <right style="thin">
        <color rgb="FFA6A5AA"/>
      </right>
      <top style="thin">
        <color rgb="FFA6A5AA"/>
      </top>
      <bottom style="thin">
        <color rgb="FFA6A5AA"/>
      </bottom>
      <diagonal/>
    </border>
    <border>
      <left style="thin">
        <color rgb="FF00334E"/>
      </left>
      <right/>
      <top/>
      <bottom/>
      <diagonal/>
    </border>
    <border>
      <left style="thin">
        <color rgb="FF00334E"/>
      </left>
      <right/>
      <top/>
      <bottom style="thin">
        <color rgb="FF00334E"/>
      </bottom>
      <diagonal/>
    </border>
    <border>
      <left/>
      <right/>
      <top/>
      <bottom style="thin">
        <color rgb="FF00334E"/>
      </bottom>
      <diagonal/>
    </border>
    <border>
      <left/>
      <right style="thin">
        <color rgb="FF00334E"/>
      </right>
      <top/>
      <bottom/>
      <diagonal/>
    </border>
    <border>
      <left/>
      <right/>
      <top style="thin">
        <color rgb="FFA6A5AA"/>
      </top>
      <bottom/>
      <diagonal/>
    </border>
    <border>
      <left/>
      <right style="thin">
        <color theme="0" tint="-0.34998626667073579"/>
      </right>
      <top style="medium">
        <color indexed="64"/>
      </top>
      <bottom/>
      <diagonal/>
    </border>
    <border>
      <left style="thin">
        <color auto="1"/>
      </left>
      <right/>
      <top style="medium">
        <color indexed="64"/>
      </top>
      <bottom/>
      <diagonal/>
    </border>
    <border>
      <left style="thin">
        <color theme="0" tint="-0.34998626667073579"/>
      </left>
      <right style="thin">
        <color theme="0" tint="-0.34998626667073579"/>
      </right>
      <top style="medium">
        <color indexed="64"/>
      </top>
      <bottom/>
      <diagonal/>
    </border>
    <border>
      <left style="medium">
        <color theme="0"/>
      </left>
      <right style="medium">
        <color theme="0"/>
      </right>
      <top/>
      <bottom style="medium">
        <color theme="0"/>
      </bottom>
      <diagonal/>
    </border>
    <border>
      <left style="medium">
        <color theme="0"/>
      </left>
      <right style="medium">
        <color theme="0"/>
      </right>
      <top style="medium">
        <color theme="0"/>
      </top>
      <bottom style="medium">
        <color indexed="64"/>
      </bottom>
      <diagonal/>
    </border>
    <border>
      <left style="medium">
        <color theme="0"/>
      </left>
      <right/>
      <top style="medium">
        <color theme="0"/>
      </top>
      <bottom style="medium">
        <color indexed="64"/>
      </bottom>
      <diagonal/>
    </border>
    <border>
      <left/>
      <right/>
      <top style="medium">
        <color theme="0"/>
      </top>
      <bottom style="medium">
        <color indexed="64"/>
      </bottom>
      <diagonal/>
    </border>
    <border>
      <left/>
      <right style="medium">
        <color theme="0"/>
      </right>
      <top style="medium">
        <color theme="0"/>
      </top>
      <bottom style="medium">
        <color indexed="64"/>
      </bottom>
      <diagonal/>
    </border>
    <border>
      <left/>
      <right/>
      <top/>
      <bottom style="thin">
        <color rgb="FFA7A6A7"/>
      </bottom>
      <diagonal/>
    </border>
    <border>
      <left/>
      <right/>
      <top style="thin">
        <color rgb="FFA7A6A7"/>
      </top>
      <bottom/>
      <diagonal/>
    </border>
    <border>
      <left/>
      <right style="thin">
        <color theme="0" tint="-0.499984740745262"/>
      </right>
      <top/>
      <bottom style="thin">
        <color theme="0" tint="-0.499984740745262"/>
      </bottom>
      <diagonal/>
    </border>
    <border>
      <left style="medium">
        <color theme="0" tint="-0.499984740745262"/>
      </left>
      <right style="thin">
        <color theme="0" tint="-0.499984740745262"/>
      </right>
      <top/>
      <bottom style="thin">
        <color theme="0" tint="-0.499984740745262"/>
      </bottom>
      <diagonal/>
    </border>
    <border>
      <left style="thin">
        <color theme="0" tint="-0.499984740745262"/>
      </left>
      <right style="thin">
        <color theme="0" tint="-0.499984740745262"/>
      </right>
      <top/>
      <bottom style="thin">
        <color theme="0" tint="-0.499984740745262"/>
      </bottom>
      <diagonal/>
    </border>
    <border>
      <left style="thin">
        <color theme="0" tint="-0.499984740745262"/>
      </left>
      <right style="medium">
        <color theme="0" tint="-0.499984740745262"/>
      </right>
      <top/>
      <bottom style="thin">
        <color theme="0" tint="-0.499984740745262"/>
      </bottom>
      <diagonal/>
    </border>
    <border>
      <left/>
      <right/>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medium">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medium">
        <color theme="0" tint="-0.499984740745262"/>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top style="thin">
        <color theme="0" tint="-0.499984740745262"/>
      </top>
      <bottom/>
      <diagonal/>
    </border>
    <border>
      <left style="thin">
        <color rgb="FFA6A5AA"/>
      </left>
      <right/>
      <top/>
      <bottom/>
      <diagonal/>
    </border>
    <border>
      <left/>
      <right/>
      <top style="thin">
        <color theme="5" tint="0.39997558519241921"/>
      </top>
      <bottom style="thin">
        <color theme="5" tint="0.39997558519241921"/>
      </bottom>
      <diagonal/>
    </border>
    <border>
      <left/>
      <right/>
      <top/>
      <bottom style="thin">
        <color theme="5" tint="0.39997558519241921"/>
      </bottom>
      <diagonal/>
    </border>
    <border>
      <left/>
      <right/>
      <top style="thin">
        <color theme="5" tint="0.39997558519241921"/>
      </top>
      <bottom/>
      <diagonal/>
    </border>
    <border>
      <left style="thin">
        <color theme="1"/>
      </left>
      <right/>
      <top style="thin">
        <color theme="1"/>
      </top>
      <bottom style="thin">
        <color theme="1"/>
      </bottom>
      <diagonal/>
    </border>
    <border>
      <left/>
      <right/>
      <top style="thin">
        <color theme="1"/>
      </top>
      <bottom style="thin">
        <color theme="1"/>
      </bottom>
      <diagonal/>
    </border>
    <border>
      <left/>
      <right/>
      <top style="thin">
        <color theme="1"/>
      </top>
      <bottom/>
      <diagonal/>
    </border>
    <border>
      <left/>
      <right style="thin">
        <color theme="1"/>
      </right>
      <top style="thin">
        <color theme="1"/>
      </top>
      <bottom style="thin">
        <color theme="1"/>
      </bottom>
      <diagonal/>
    </border>
    <border>
      <left style="thin">
        <color theme="6" tint="0.39997558519241921"/>
      </left>
      <right/>
      <top/>
      <bottom style="thin">
        <color theme="6" tint="0.39997558519241921"/>
      </bottom>
      <diagonal/>
    </border>
    <border>
      <left/>
      <right/>
      <top/>
      <bottom style="thin">
        <color theme="6" tint="0.39997558519241921"/>
      </bottom>
      <diagonal/>
    </border>
    <border>
      <left/>
      <right style="thin">
        <color theme="6" tint="0.39997558519241921"/>
      </right>
      <top/>
      <bottom style="thin">
        <color theme="6" tint="0.39997558519241921"/>
      </bottom>
      <diagonal/>
    </border>
    <border>
      <left/>
      <right style="thin">
        <color theme="1"/>
      </right>
      <top style="thin">
        <color theme="1"/>
      </top>
      <bottom/>
      <diagonal/>
    </border>
    <border>
      <left style="thin">
        <color theme="0" tint="-0.499984740745262"/>
      </left>
      <right/>
      <top style="thin">
        <color theme="0" tint="-0.34998626667073579"/>
      </top>
      <bottom/>
      <diagonal/>
    </border>
    <border>
      <left style="thin">
        <color theme="0" tint="-0.499984740745262"/>
      </left>
      <right/>
      <top/>
      <bottom style="thin">
        <color theme="0" tint="-0.34998626667073579"/>
      </bottom>
      <diagonal/>
    </border>
    <border>
      <left style="medium">
        <color theme="0" tint="-0.499984740745262"/>
      </left>
      <right/>
      <top style="thin">
        <color theme="0" tint="-0.499984740745262"/>
      </top>
      <bottom/>
      <diagonal/>
    </border>
    <border>
      <left/>
      <right style="thin">
        <color theme="0" tint="-0.499984740745262"/>
      </right>
      <top style="thin">
        <color theme="0" tint="-0.499984740745262"/>
      </top>
      <bottom/>
      <diagonal/>
    </border>
    <border>
      <left style="medium">
        <color theme="0" tint="-0.499984740745262"/>
      </left>
      <right/>
      <top/>
      <bottom style="thin">
        <color theme="0" tint="-0.499984740745262"/>
      </bottom>
      <diagonal/>
    </border>
    <border>
      <left style="thin">
        <color rgb="FFAFAFB1"/>
      </left>
      <right/>
      <top/>
      <bottom style="thin">
        <color rgb="FFAFAFB1"/>
      </bottom>
      <diagonal/>
    </border>
    <border>
      <left/>
      <right/>
      <top/>
      <bottom style="thin">
        <color rgb="FFAFAFB1"/>
      </bottom>
      <diagonal/>
    </border>
    <border>
      <left/>
      <right style="thin">
        <color rgb="FFAFAFB1"/>
      </right>
      <top/>
      <bottom style="thin">
        <color rgb="FFAFAFB1"/>
      </bottom>
      <diagonal/>
    </border>
    <border>
      <left/>
      <right/>
      <top style="medium">
        <color theme="1"/>
      </top>
      <bottom/>
      <diagonal/>
    </border>
    <border>
      <left style="thin">
        <color rgb="FFAFAFB1"/>
      </left>
      <right/>
      <top style="medium">
        <color theme="1"/>
      </top>
      <bottom/>
      <diagonal/>
    </border>
    <border>
      <left/>
      <right style="thin">
        <color rgb="FFAFAFB1"/>
      </right>
      <top style="medium">
        <color theme="1"/>
      </top>
      <bottom/>
      <diagonal/>
    </border>
    <border>
      <left style="medium">
        <color theme="1" tint="0.34998626667073579"/>
      </left>
      <right/>
      <top style="medium">
        <color theme="1" tint="0.34998626667073579"/>
      </top>
      <bottom style="medium">
        <color theme="0" tint="-0.499984740745262"/>
      </bottom>
      <diagonal/>
    </border>
    <border>
      <left/>
      <right/>
      <top style="medium">
        <color theme="1" tint="0.34998626667073579"/>
      </top>
      <bottom style="medium">
        <color theme="0" tint="-0.499984740745262"/>
      </bottom>
      <diagonal/>
    </border>
    <border>
      <left/>
      <right style="medium">
        <color theme="0" tint="-0.34998626667073579"/>
      </right>
      <top style="medium">
        <color theme="1" tint="0.34998626667073579"/>
      </top>
      <bottom style="medium">
        <color theme="0" tint="-0.499984740745262"/>
      </bottom>
      <diagonal/>
    </border>
    <border>
      <left/>
      <right/>
      <top/>
      <bottom style="thin">
        <color theme="4" tint="0.39997558519241921"/>
      </bottom>
      <diagonal/>
    </border>
    <border>
      <left/>
      <right/>
      <top style="thin">
        <color theme="4" tint="0.39997558519241921"/>
      </top>
      <bottom/>
      <diagonal/>
    </border>
    <border>
      <left/>
      <right style="thin">
        <color theme="0"/>
      </right>
      <top/>
      <bottom/>
      <diagonal/>
    </border>
    <border>
      <left/>
      <right/>
      <top/>
      <bottom style="thin">
        <color theme="1"/>
      </bottom>
      <diagonal/>
    </border>
    <border>
      <left style="medium">
        <color theme="0"/>
      </left>
      <right/>
      <top style="medium">
        <color indexed="64"/>
      </top>
      <bottom style="medium">
        <color theme="0"/>
      </bottom>
      <diagonal/>
    </border>
    <border>
      <left/>
      <right/>
      <top style="medium">
        <color indexed="64"/>
      </top>
      <bottom style="medium">
        <color theme="0"/>
      </bottom>
      <diagonal/>
    </border>
    <border>
      <left/>
      <right style="medium">
        <color theme="0"/>
      </right>
      <top style="medium">
        <color indexed="64"/>
      </top>
      <bottom style="medium">
        <color theme="0"/>
      </bottom>
      <diagonal/>
    </border>
    <border>
      <left/>
      <right/>
      <top/>
      <bottom style="medium">
        <color rgb="FFFFDD00"/>
      </bottom>
      <diagonal/>
    </border>
    <border>
      <left/>
      <right/>
      <top style="medium">
        <color theme="0"/>
      </top>
      <bottom style="medium">
        <color rgb="FFFFDD00"/>
      </bottom>
      <diagonal/>
    </border>
    <border>
      <left style="thin">
        <color theme="4" tint="0.39997558519241921"/>
      </left>
      <right/>
      <top/>
      <bottom style="thin">
        <color theme="4" tint="0.39997558519241921"/>
      </bottom>
      <diagonal/>
    </border>
  </borders>
  <cellStyleXfs count="57081">
    <xf numFmtId="0" fontId="0" fillId="0" borderId="0"/>
    <xf numFmtId="0" fontId="1" fillId="0" borderId="0" applyNumberFormat="0" applyFill="0" applyBorder="0" applyAlignment="0" applyProtection="0"/>
    <xf numFmtId="0" fontId="3" fillId="0" borderId="0" applyNumberFormat="0" applyAlignment="0" applyProtection="0"/>
    <xf numFmtId="9" fontId="16" fillId="0" borderId="0" applyFont="0" applyFill="0" applyBorder="0" applyAlignment="0" applyProtection="0"/>
    <xf numFmtId="0" fontId="3" fillId="0" borderId="0" applyNumberFormat="0" applyAlignment="0" applyProtection="0"/>
    <xf numFmtId="0" fontId="21" fillId="0" borderId="0"/>
    <xf numFmtId="9" fontId="3" fillId="0" borderId="0" applyFont="0" applyFill="0" applyBorder="0" applyAlignment="0" applyProtection="0"/>
    <xf numFmtId="43" fontId="3" fillId="0" borderId="0" applyFont="0" applyFill="0" applyBorder="0" applyAlignment="0" applyProtection="0"/>
    <xf numFmtId="0" fontId="3" fillId="19" borderId="0" applyNumberFormat="0" applyBorder="0" applyAlignment="0" applyProtection="0"/>
    <xf numFmtId="0" fontId="66" fillId="0" borderId="0"/>
    <xf numFmtId="0" fontId="3" fillId="0" borderId="0" applyNumberFormat="0" applyAlignment="0" applyProtection="0"/>
    <xf numFmtId="43" fontId="16" fillId="0" borderId="0" applyFont="0" applyFill="0" applyBorder="0" applyAlignment="0" applyProtection="0"/>
    <xf numFmtId="43" fontId="3" fillId="0" borderId="0" applyFont="0" applyFill="0" applyBorder="0" applyAlignment="0" applyProtection="0"/>
    <xf numFmtId="43" fontId="6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3" fillId="0" borderId="0" applyFont="0" applyFill="0" applyBorder="0" applyAlignment="0" applyProtection="0"/>
    <xf numFmtId="44" fontId="6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79" fillId="0" borderId="0" applyNumberFormat="0" applyFill="0" applyBorder="0" applyAlignment="0" applyProtection="0">
      <alignment vertical="top"/>
      <protection locked="0"/>
    </xf>
    <xf numFmtId="0" fontId="80" fillId="0" borderId="0" applyNumberFormat="0" applyFill="0" applyBorder="0" applyAlignment="0" applyProtection="0">
      <alignment vertical="top"/>
      <protection locked="0"/>
    </xf>
    <xf numFmtId="0" fontId="3" fillId="0" borderId="0"/>
    <xf numFmtId="0" fontId="3" fillId="0" borderId="0"/>
    <xf numFmtId="0" fontId="3" fillId="0" borderId="0"/>
    <xf numFmtId="0" fontId="3" fillId="0" borderId="0"/>
    <xf numFmtId="0" fontId="3" fillId="0" borderId="0"/>
    <xf numFmtId="9" fontId="16" fillId="0" borderId="0" applyFont="0" applyFill="0" applyBorder="0" applyAlignment="0" applyProtection="0"/>
    <xf numFmtId="9" fontId="3"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3" fillId="0" borderId="0" applyNumberFormat="0" applyAlignment="0" applyProtection="0"/>
    <xf numFmtId="0" fontId="3" fillId="0" borderId="0" applyNumberFormat="0" applyAlignment="0" applyProtection="0"/>
    <xf numFmtId="0" fontId="3" fillId="0" borderId="0" applyNumberFormat="0" applyAlignment="0" applyProtection="0"/>
    <xf numFmtId="0" fontId="3" fillId="0" borderId="0" applyNumberFormat="0" applyAlignment="0" applyProtection="0"/>
    <xf numFmtId="0" fontId="3" fillId="0" borderId="0" applyNumberFormat="0" applyAlignment="0" applyProtection="0"/>
    <xf numFmtId="0" fontId="3" fillId="0" borderId="0" applyNumberFormat="0" applyAlignment="0" applyProtection="0"/>
    <xf numFmtId="0" fontId="3" fillId="0" borderId="0" applyNumberFormat="0" applyAlignment="0" applyProtection="0"/>
    <xf numFmtId="0" fontId="24" fillId="0" borderId="0"/>
    <xf numFmtId="43" fontId="24" fillId="0" borderId="0" applyFont="0" applyFill="0" applyBorder="0" applyAlignment="0" applyProtection="0"/>
    <xf numFmtId="0" fontId="3" fillId="0" borderId="0"/>
    <xf numFmtId="43" fontId="3" fillId="0" borderId="0" applyFont="0" applyFill="0" applyBorder="0" applyAlignment="0" applyProtection="0"/>
    <xf numFmtId="44" fontId="3" fillId="0" borderId="0" applyFont="0" applyFill="0" applyBorder="0" applyAlignment="0" applyProtection="0"/>
    <xf numFmtId="0" fontId="77" fillId="0" borderId="83" applyNumberFormat="0" applyFill="0" applyAlignment="0" applyProtection="0"/>
    <xf numFmtId="0" fontId="3" fillId="19" borderId="0" applyNumberFormat="0" applyBorder="0" applyAlignment="0" applyProtection="0"/>
    <xf numFmtId="9" fontId="3" fillId="0" borderId="0" applyFont="0" applyFill="0" applyBorder="0" applyAlignment="0" applyProtection="0"/>
    <xf numFmtId="0" fontId="3" fillId="0" borderId="0" applyNumberFormat="0" applyAlignment="0" applyProtection="0"/>
    <xf numFmtId="0" fontId="3" fillId="0" borderId="0" applyNumberFormat="0" applyAlignment="0" applyProtection="0"/>
    <xf numFmtId="0" fontId="3" fillId="0" borderId="0" applyNumberFormat="0" applyAlignment="0" applyProtection="0"/>
    <xf numFmtId="0" fontId="3" fillId="0" borderId="0" applyNumberFormat="0" applyAlignment="0" applyProtection="0"/>
    <xf numFmtId="0" fontId="3" fillId="0" borderId="0" applyNumberFormat="0" applyAlignment="0" applyProtection="0"/>
    <xf numFmtId="0" fontId="3" fillId="0" borderId="0" applyNumberFormat="0" applyAlignment="0" applyProtection="0"/>
    <xf numFmtId="0" fontId="3" fillId="0" borderId="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1" fillId="37" borderId="0" applyNumberFormat="0" applyBorder="0" applyAlignment="0" applyProtection="0"/>
    <xf numFmtId="0" fontId="81" fillId="37" borderId="0" applyNumberFormat="0" applyBorder="0" applyAlignment="0" applyProtection="0"/>
    <xf numFmtId="0" fontId="81" fillId="37" borderId="0" applyNumberFormat="0" applyBorder="0" applyAlignment="0" applyProtection="0"/>
    <xf numFmtId="0" fontId="81" fillId="37" borderId="0" applyNumberFormat="0" applyBorder="0" applyAlignment="0" applyProtection="0"/>
    <xf numFmtId="0" fontId="81" fillId="37" borderId="0" applyNumberFormat="0" applyBorder="0" applyAlignment="0" applyProtection="0"/>
    <xf numFmtId="0" fontId="81" fillId="37" borderId="0" applyNumberFormat="0" applyBorder="0" applyAlignment="0" applyProtection="0"/>
    <xf numFmtId="0" fontId="81" fillId="37" borderId="0" applyNumberFormat="0" applyBorder="0" applyAlignment="0" applyProtection="0"/>
    <xf numFmtId="0" fontId="81" fillId="37" borderId="0" applyNumberFormat="0" applyBorder="0" applyAlignment="0" applyProtection="0"/>
    <xf numFmtId="0" fontId="81" fillId="37" borderId="0" applyNumberFormat="0" applyBorder="0" applyAlignment="0" applyProtection="0"/>
    <xf numFmtId="0" fontId="81" fillId="37" borderId="0" applyNumberFormat="0" applyBorder="0" applyAlignment="0" applyProtection="0"/>
    <xf numFmtId="0" fontId="81" fillId="37" borderId="0" applyNumberFormat="0" applyBorder="0" applyAlignment="0" applyProtection="0"/>
    <xf numFmtId="0" fontId="81" fillId="37" borderId="0" applyNumberFormat="0" applyBorder="0" applyAlignment="0" applyProtection="0"/>
    <xf numFmtId="0" fontId="81" fillId="37" borderId="0" applyNumberFormat="0" applyBorder="0" applyAlignment="0" applyProtection="0"/>
    <xf numFmtId="0" fontId="81" fillId="37" borderId="0" applyNumberFormat="0" applyBorder="0" applyAlignment="0" applyProtection="0"/>
    <xf numFmtId="0" fontId="81" fillId="37" borderId="0" applyNumberFormat="0" applyBorder="0" applyAlignment="0" applyProtection="0"/>
    <xf numFmtId="0" fontId="81" fillId="37" borderId="0" applyNumberFormat="0" applyBorder="0" applyAlignment="0" applyProtection="0"/>
    <xf numFmtId="0" fontId="81" fillId="37" borderId="0" applyNumberFormat="0" applyBorder="0" applyAlignment="0" applyProtection="0"/>
    <xf numFmtId="0" fontId="81" fillId="37" borderId="0" applyNumberFormat="0" applyBorder="0" applyAlignment="0" applyProtection="0"/>
    <xf numFmtId="0" fontId="81" fillId="37" borderId="0" applyNumberFormat="0" applyBorder="0" applyAlignment="0" applyProtection="0"/>
    <xf numFmtId="0" fontId="81" fillId="37" borderId="0" applyNumberFormat="0" applyBorder="0" applyAlignment="0" applyProtection="0"/>
    <xf numFmtId="0" fontId="81" fillId="37" borderId="0" applyNumberFormat="0" applyBorder="0" applyAlignment="0" applyProtection="0"/>
    <xf numFmtId="0" fontId="81" fillId="37" borderId="0" applyNumberFormat="0" applyBorder="0" applyAlignment="0" applyProtection="0"/>
    <xf numFmtId="0" fontId="81" fillId="37" borderId="0" applyNumberFormat="0" applyBorder="0" applyAlignment="0" applyProtection="0"/>
    <xf numFmtId="0" fontId="81" fillId="37" borderId="0" applyNumberFormat="0" applyBorder="0" applyAlignment="0" applyProtection="0"/>
    <xf numFmtId="0" fontId="81" fillId="37" borderId="0" applyNumberFormat="0" applyBorder="0" applyAlignment="0" applyProtection="0"/>
    <xf numFmtId="0" fontId="81" fillId="37" borderId="0" applyNumberFormat="0" applyBorder="0" applyAlignment="0" applyProtection="0"/>
    <xf numFmtId="0" fontId="81" fillId="37" borderId="0" applyNumberFormat="0" applyBorder="0" applyAlignment="0" applyProtection="0"/>
    <xf numFmtId="0" fontId="81" fillId="37" borderId="0" applyNumberFormat="0" applyBorder="0" applyAlignment="0" applyProtection="0"/>
    <xf numFmtId="0" fontId="81" fillId="37" borderId="0" applyNumberFormat="0" applyBorder="0" applyAlignment="0" applyProtection="0"/>
    <xf numFmtId="0" fontId="81" fillId="37" borderId="0" applyNumberFormat="0" applyBorder="0" applyAlignment="0" applyProtection="0"/>
    <xf numFmtId="0" fontId="81" fillId="37" borderId="0" applyNumberFormat="0" applyBorder="0" applyAlignment="0" applyProtection="0"/>
    <xf numFmtId="0" fontId="81" fillId="37" borderId="0" applyNumberFormat="0" applyBorder="0" applyAlignment="0" applyProtection="0"/>
    <xf numFmtId="0" fontId="81" fillId="37" borderId="0" applyNumberFormat="0" applyBorder="0" applyAlignment="0" applyProtection="0"/>
    <xf numFmtId="0" fontId="81" fillId="37" borderId="0" applyNumberFormat="0" applyBorder="0" applyAlignment="0" applyProtection="0"/>
    <xf numFmtId="0" fontId="81" fillId="37" borderId="0" applyNumberFormat="0" applyBorder="0" applyAlignment="0" applyProtection="0"/>
    <xf numFmtId="0" fontId="81" fillId="37" borderId="0" applyNumberFormat="0" applyBorder="0" applyAlignment="0" applyProtection="0"/>
    <xf numFmtId="0" fontId="81" fillId="37" borderId="0" applyNumberFormat="0" applyBorder="0" applyAlignment="0" applyProtection="0"/>
    <xf numFmtId="0" fontId="81" fillId="37" borderId="0" applyNumberFormat="0" applyBorder="0" applyAlignment="0" applyProtection="0"/>
    <xf numFmtId="0" fontId="81" fillId="37" borderId="0" applyNumberFormat="0" applyBorder="0" applyAlignment="0" applyProtection="0"/>
    <xf numFmtId="0" fontId="81" fillId="37" borderId="0" applyNumberFormat="0" applyBorder="0" applyAlignment="0" applyProtection="0"/>
    <xf numFmtId="0" fontId="81" fillId="37" borderId="0" applyNumberFormat="0" applyBorder="0" applyAlignment="0" applyProtection="0"/>
    <xf numFmtId="0" fontId="81" fillId="37" borderId="0" applyNumberFormat="0" applyBorder="0" applyAlignment="0" applyProtection="0"/>
    <xf numFmtId="0" fontId="81" fillId="37" borderId="0" applyNumberFormat="0" applyBorder="0" applyAlignment="0" applyProtection="0"/>
    <xf numFmtId="0" fontId="81" fillId="37" borderId="0" applyNumberFormat="0" applyBorder="0" applyAlignment="0" applyProtection="0"/>
    <xf numFmtId="0" fontId="81" fillId="37" borderId="0" applyNumberFormat="0" applyBorder="0" applyAlignment="0" applyProtection="0"/>
    <xf numFmtId="0" fontId="81" fillId="37" borderId="0" applyNumberFormat="0" applyBorder="0" applyAlignment="0" applyProtection="0"/>
    <xf numFmtId="0" fontId="81" fillId="37" borderId="0" applyNumberFormat="0" applyBorder="0" applyAlignment="0" applyProtection="0"/>
    <xf numFmtId="0" fontId="81" fillId="37" borderId="0" applyNumberFormat="0" applyBorder="0" applyAlignment="0" applyProtection="0"/>
    <xf numFmtId="0" fontId="81" fillId="37" borderId="0" applyNumberFormat="0" applyBorder="0" applyAlignment="0" applyProtection="0"/>
    <xf numFmtId="0" fontId="81" fillId="37" borderId="0" applyNumberFormat="0" applyBorder="0" applyAlignment="0" applyProtection="0"/>
    <xf numFmtId="0" fontId="81" fillId="37" borderId="0" applyNumberFormat="0" applyBorder="0" applyAlignment="0" applyProtection="0"/>
    <xf numFmtId="0" fontId="81" fillId="37" borderId="0" applyNumberFormat="0" applyBorder="0" applyAlignment="0" applyProtection="0"/>
    <xf numFmtId="0" fontId="81" fillId="37" borderId="0" applyNumberFormat="0" applyBorder="0" applyAlignment="0" applyProtection="0"/>
    <xf numFmtId="0" fontId="81" fillId="37" borderId="0" applyNumberFormat="0" applyBorder="0" applyAlignment="0" applyProtection="0"/>
    <xf numFmtId="0" fontId="81" fillId="37" borderId="0" applyNumberFormat="0" applyBorder="0" applyAlignment="0" applyProtection="0"/>
    <xf numFmtId="0" fontId="81" fillId="37" borderId="0" applyNumberFormat="0" applyBorder="0" applyAlignment="0" applyProtection="0"/>
    <xf numFmtId="0" fontId="81" fillId="37" borderId="0" applyNumberFormat="0" applyBorder="0" applyAlignment="0" applyProtection="0"/>
    <xf numFmtId="0" fontId="81" fillId="37" borderId="0" applyNumberFormat="0" applyBorder="0" applyAlignment="0" applyProtection="0"/>
    <xf numFmtId="0" fontId="81" fillId="37" borderId="0" applyNumberFormat="0" applyBorder="0" applyAlignment="0" applyProtection="0"/>
    <xf numFmtId="0" fontId="81" fillId="37" borderId="0" applyNumberFormat="0" applyBorder="0" applyAlignment="0" applyProtection="0"/>
    <xf numFmtId="0" fontId="81" fillId="37" borderId="0" applyNumberFormat="0" applyBorder="0" applyAlignment="0" applyProtection="0"/>
    <xf numFmtId="0" fontId="81" fillId="37" borderId="0" applyNumberFormat="0" applyBorder="0" applyAlignment="0" applyProtection="0"/>
    <xf numFmtId="0" fontId="81" fillId="37" borderId="0" applyNumberFormat="0" applyBorder="0" applyAlignment="0" applyProtection="0"/>
    <xf numFmtId="0" fontId="81" fillId="37" borderId="0" applyNumberFormat="0" applyBorder="0" applyAlignment="0" applyProtection="0"/>
    <xf numFmtId="0" fontId="81" fillId="37" borderId="0" applyNumberFormat="0" applyBorder="0" applyAlignment="0" applyProtection="0"/>
    <xf numFmtId="0" fontId="81" fillId="37" borderId="0" applyNumberFormat="0" applyBorder="0" applyAlignment="0" applyProtection="0"/>
    <xf numFmtId="0" fontId="81" fillId="37" borderId="0" applyNumberFormat="0" applyBorder="0" applyAlignment="0" applyProtection="0"/>
    <xf numFmtId="0" fontId="81" fillId="37" borderId="0" applyNumberFormat="0" applyBorder="0" applyAlignment="0" applyProtection="0"/>
    <xf numFmtId="0" fontId="81" fillId="37" borderId="0" applyNumberFormat="0" applyBorder="0" applyAlignment="0" applyProtection="0"/>
    <xf numFmtId="0" fontId="81" fillId="37" borderId="0" applyNumberFormat="0" applyBorder="0" applyAlignment="0" applyProtection="0"/>
    <xf numFmtId="0" fontId="81" fillId="37" borderId="0" applyNumberFormat="0" applyBorder="0" applyAlignment="0" applyProtection="0"/>
    <xf numFmtId="0" fontId="81" fillId="37" borderId="0" applyNumberFormat="0" applyBorder="0" applyAlignment="0" applyProtection="0"/>
    <xf numFmtId="0" fontId="81" fillId="37" borderId="0" applyNumberFormat="0" applyBorder="0" applyAlignment="0" applyProtection="0"/>
    <xf numFmtId="0" fontId="81" fillId="37" borderId="0" applyNumberFormat="0" applyBorder="0" applyAlignment="0" applyProtection="0"/>
    <xf numFmtId="0" fontId="81" fillId="37" borderId="0" applyNumberFormat="0" applyBorder="0" applyAlignment="0" applyProtection="0"/>
    <xf numFmtId="0" fontId="81" fillId="37"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3"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0"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3" fillId="47" borderId="85" applyNumberFormat="0" applyAlignment="0" applyProtection="0"/>
    <xf numFmtId="0" fontId="83" fillId="47" borderId="85" applyNumberFormat="0" applyAlignment="0" applyProtection="0"/>
    <xf numFmtId="0" fontId="83" fillId="47" borderId="85" applyNumberFormat="0" applyAlignment="0" applyProtection="0"/>
    <xf numFmtId="0" fontId="83" fillId="47" borderId="85" applyNumberFormat="0" applyAlignment="0" applyProtection="0"/>
    <xf numFmtId="0" fontId="83" fillId="47" borderId="85" applyNumberFormat="0" applyAlignment="0" applyProtection="0"/>
    <xf numFmtId="0" fontId="83" fillId="47" borderId="85" applyNumberFormat="0" applyAlignment="0" applyProtection="0"/>
    <xf numFmtId="0" fontId="83" fillId="47" borderId="85" applyNumberFormat="0" applyAlignment="0" applyProtection="0"/>
    <xf numFmtId="0" fontId="83" fillId="47" borderId="85" applyNumberFormat="0" applyAlignment="0" applyProtection="0"/>
    <xf numFmtId="0" fontId="83" fillId="47" borderId="85" applyNumberFormat="0" applyAlignment="0" applyProtection="0"/>
    <xf numFmtId="0" fontId="83" fillId="47" borderId="85" applyNumberFormat="0" applyAlignment="0" applyProtection="0"/>
    <xf numFmtId="0" fontId="83" fillId="47" borderId="85" applyNumberFormat="0" applyAlignment="0" applyProtection="0"/>
    <xf numFmtId="0" fontId="83" fillId="47" borderId="85" applyNumberFormat="0" applyAlignment="0" applyProtection="0"/>
    <xf numFmtId="0" fontId="83" fillId="47" borderId="85" applyNumberFormat="0" applyAlignment="0" applyProtection="0"/>
    <xf numFmtId="0" fontId="83" fillId="47" borderId="85" applyNumberFormat="0" applyAlignment="0" applyProtection="0"/>
    <xf numFmtId="0" fontId="83" fillId="47" borderId="85" applyNumberFormat="0" applyAlignment="0" applyProtection="0"/>
    <xf numFmtId="0" fontId="83" fillId="47" borderId="85" applyNumberFormat="0" applyAlignment="0" applyProtection="0"/>
    <xf numFmtId="0" fontId="83" fillId="47" borderId="85" applyNumberFormat="0" applyAlignment="0" applyProtection="0"/>
    <xf numFmtId="0" fontId="83" fillId="47" borderId="85" applyNumberFormat="0" applyAlignment="0" applyProtection="0"/>
    <xf numFmtId="0" fontId="83" fillId="47" borderId="85" applyNumberFormat="0" applyAlignment="0" applyProtection="0"/>
    <xf numFmtId="0" fontId="83" fillId="47" borderId="85" applyNumberFormat="0" applyAlignment="0" applyProtection="0"/>
    <xf numFmtId="0" fontId="83" fillId="47" borderId="85" applyNumberFormat="0" applyAlignment="0" applyProtection="0"/>
    <xf numFmtId="0" fontId="83" fillId="47" borderId="85" applyNumberFormat="0" applyAlignment="0" applyProtection="0"/>
    <xf numFmtId="0" fontId="83" fillId="47" borderId="85" applyNumberFormat="0" applyAlignment="0" applyProtection="0"/>
    <xf numFmtId="0" fontId="83" fillId="47" borderId="85" applyNumberFormat="0" applyAlignment="0" applyProtection="0"/>
    <xf numFmtId="0" fontId="83" fillId="47" borderId="85" applyNumberFormat="0" applyAlignment="0" applyProtection="0"/>
    <xf numFmtId="0" fontId="83" fillId="47" borderId="85" applyNumberFormat="0" applyAlignment="0" applyProtection="0"/>
    <xf numFmtId="0" fontId="83" fillId="47" borderId="85" applyNumberFormat="0" applyAlignment="0" applyProtection="0"/>
    <xf numFmtId="0" fontId="83" fillId="47" borderId="85" applyNumberFormat="0" applyAlignment="0" applyProtection="0"/>
    <xf numFmtId="0" fontId="83" fillId="47" borderId="85" applyNumberFormat="0" applyAlignment="0" applyProtection="0"/>
    <xf numFmtId="0" fontId="83" fillId="47" borderId="85" applyNumberFormat="0" applyAlignment="0" applyProtection="0"/>
    <xf numFmtId="0" fontId="83" fillId="47" borderId="85" applyNumberFormat="0" applyAlignment="0" applyProtection="0"/>
    <xf numFmtId="0" fontId="83" fillId="47" borderId="85" applyNumberFormat="0" applyAlignment="0" applyProtection="0"/>
    <xf numFmtId="0" fontId="83" fillId="47" borderId="85" applyNumberFormat="0" applyAlignment="0" applyProtection="0"/>
    <xf numFmtId="0" fontId="83" fillId="47" borderId="85" applyNumberFormat="0" applyAlignment="0" applyProtection="0"/>
    <xf numFmtId="0" fontId="83" fillId="47" borderId="85" applyNumberFormat="0" applyAlignment="0" applyProtection="0"/>
    <xf numFmtId="0" fontId="83" fillId="47" borderId="85" applyNumberFormat="0" applyAlignment="0" applyProtection="0"/>
    <xf numFmtId="0" fontId="83" fillId="47" borderId="85" applyNumberFormat="0" applyAlignment="0" applyProtection="0"/>
    <xf numFmtId="0" fontId="83" fillId="47" borderId="85" applyNumberFormat="0" applyAlignment="0" applyProtection="0"/>
    <xf numFmtId="0" fontId="83" fillId="47" borderId="85" applyNumberFormat="0" applyAlignment="0" applyProtection="0"/>
    <xf numFmtId="0" fontId="83" fillId="47" borderId="85" applyNumberFormat="0" applyAlignment="0" applyProtection="0"/>
    <xf numFmtId="0" fontId="83" fillId="47" borderId="85" applyNumberFormat="0" applyAlignment="0" applyProtection="0"/>
    <xf numFmtId="0" fontId="83" fillId="47" borderId="85" applyNumberFormat="0" applyAlignment="0" applyProtection="0"/>
    <xf numFmtId="0" fontId="83" fillId="47" borderId="85" applyNumberFormat="0" applyAlignment="0" applyProtection="0"/>
    <xf numFmtId="0" fontId="83" fillId="47" borderId="85" applyNumberFormat="0" applyAlignment="0" applyProtection="0"/>
    <xf numFmtId="0" fontId="83" fillId="47" borderId="85" applyNumberFormat="0" applyAlignment="0" applyProtection="0"/>
    <xf numFmtId="0" fontId="83" fillId="47" borderId="85" applyNumberFormat="0" applyAlignment="0" applyProtection="0"/>
    <xf numFmtId="0" fontId="83" fillId="47" borderId="85" applyNumberFormat="0" applyAlignment="0" applyProtection="0"/>
    <xf numFmtId="0" fontId="83" fillId="47" borderId="85" applyNumberFormat="0" applyAlignment="0" applyProtection="0"/>
    <xf numFmtId="0" fontId="83" fillId="47" borderId="85" applyNumberFormat="0" applyAlignment="0" applyProtection="0"/>
    <xf numFmtId="0" fontId="83" fillId="47" borderId="85" applyNumberFormat="0" applyAlignment="0" applyProtection="0"/>
    <xf numFmtId="0" fontId="83" fillId="47" borderId="85" applyNumberFormat="0" applyAlignment="0" applyProtection="0"/>
    <xf numFmtId="0" fontId="83" fillId="47" borderId="85" applyNumberFormat="0" applyAlignment="0" applyProtection="0"/>
    <xf numFmtId="0" fontId="83" fillId="47" borderId="85" applyNumberFormat="0" applyAlignment="0" applyProtection="0"/>
    <xf numFmtId="0" fontId="83" fillId="47" borderId="85" applyNumberFormat="0" applyAlignment="0" applyProtection="0"/>
    <xf numFmtId="0" fontId="83" fillId="47" borderId="85" applyNumberFormat="0" applyAlignment="0" applyProtection="0"/>
    <xf numFmtId="0" fontId="83" fillId="47" borderId="85" applyNumberFormat="0" applyAlignment="0" applyProtection="0"/>
    <xf numFmtId="0" fontId="83" fillId="47" borderId="85" applyNumberFormat="0" applyAlignment="0" applyProtection="0"/>
    <xf numFmtId="0" fontId="83" fillId="47" borderId="85" applyNumberFormat="0" applyAlignment="0" applyProtection="0"/>
    <xf numFmtId="0" fontId="83" fillId="47" borderId="85" applyNumberFormat="0" applyAlignment="0" applyProtection="0"/>
    <xf numFmtId="0" fontId="83" fillId="47" borderId="85" applyNumberFormat="0" applyAlignment="0" applyProtection="0"/>
    <xf numFmtId="0" fontId="83" fillId="47" borderId="85" applyNumberFormat="0" applyAlignment="0" applyProtection="0"/>
    <xf numFmtId="0" fontId="83" fillId="47" borderId="85" applyNumberFormat="0" applyAlignment="0" applyProtection="0"/>
    <xf numFmtId="0" fontId="83" fillId="47" borderId="85" applyNumberFormat="0" applyAlignment="0" applyProtection="0"/>
    <xf numFmtId="0" fontId="83" fillId="47" borderId="85" applyNumberFormat="0" applyAlignment="0" applyProtection="0"/>
    <xf numFmtId="0" fontId="83" fillId="47" borderId="85" applyNumberFormat="0" applyAlignment="0" applyProtection="0"/>
    <xf numFmtId="0" fontId="83" fillId="47" borderId="85" applyNumberFormat="0" applyAlignment="0" applyProtection="0"/>
    <xf numFmtId="0" fontId="83" fillId="47" borderId="85" applyNumberFormat="0" applyAlignment="0" applyProtection="0"/>
    <xf numFmtId="0" fontId="83" fillId="47" borderId="85" applyNumberFormat="0" applyAlignment="0" applyProtection="0"/>
    <xf numFmtId="0" fontId="83" fillId="47" borderId="85" applyNumberFormat="0" applyAlignment="0" applyProtection="0"/>
    <xf numFmtId="0" fontId="83" fillId="47" borderId="85" applyNumberFormat="0" applyAlignment="0" applyProtection="0"/>
    <xf numFmtId="0" fontId="83" fillId="47" borderId="85" applyNumberFormat="0" applyAlignment="0" applyProtection="0"/>
    <xf numFmtId="0" fontId="83" fillId="47" borderId="85" applyNumberFormat="0" applyAlignment="0" applyProtection="0"/>
    <xf numFmtId="0" fontId="83" fillId="47" borderId="85" applyNumberFormat="0" applyAlignment="0" applyProtection="0"/>
    <xf numFmtId="0" fontId="83" fillId="47" borderId="85" applyNumberFormat="0" applyAlignment="0" applyProtection="0"/>
    <xf numFmtId="0" fontId="83" fillId="47" borderId="85" applyNumberFormat="0" applyAlignment="0" applyProtection="0"/>
    <xf numFmtId="0" fontId="83" fillId="47" borderId="85" applyNumberFormat="0" applyAlignment="0" applyProtection="0"/>
    <xf numFmtId="0" fontId="84" fillId="48" borderId="86" applyNumberFormat="0" applyAlignment="0" applyProtection="0"/>
    <xf numFmtId="0" fontId="84" fillId="48" borderId="86" applyNumberFormat="0" applyAlignment="0" applyProtection="0"/>
    <xf numFmtId="0" fontId="84" fillId="48" borderId="86" applyNumberFormat="0" applyAlignment="0" applyProtection="0"/>
    <xf numFmtId="0" fontId="84" fillId="48" borderId="86" applyNumberFormat="0" applyAlignment="0" applyProtection="0"/>
    <xf numFmtId="0" fontId="84" fillId="48" borderId="86" applyNumberFormat="0" applyAlignment="0" applyProtection="0"/>
    <xf numFmtId="0" fontId="84" fillId="48" borderId="86" applyNumberFormat="0" applyAlignment="0" applyProtection="0"/>
    <xf numFmtId="0" fontId="84" fillId="48" borderId="86" applyNumberFormat="0" applyAlignment="0" applyProtection="0"/>
    <xf numFmtId="0" fontId="84" fillId="48" borderId="86" applyNumberFormat="0" applyAlignment="0" applyProtection="0"/>
    <xf numFmtId="0" fontId="84" fillId="48" borderId="86" applyNumberFormat="0" applyAlignment="0" applyProtection="0"/>
    <xf numFmtId="0" fontId="84" fillId="48" borderId="86" applyNumberFormat="0" applyAlignment="0" applyProtection="0"/>
    <xf numFmtId="0" fontId="84" fillId="48" borderId="86" applyNumberFormat="0" applyAlignment="0" applyProtection="0"/>
    <xf numFmtId="0" fontId="84" fillId="48" borderId="86" applyNumberFormat="0" applyAlignment="0" applyProtection="0"/>
    <xf numFmtId="0" fontId="84" fillId="48" borderId="86" applyNumberFormat="0" applyAlignment="0" applyProtection="0"/>
    <xf numFmtId="0" fontId="84" fillId="48" borderId="86" applyNumberFormat="0" applyAlignment="0" applyProtection="0"/>
    <xf numFmtId="0" fontId="84" fillId="48" borderId="86" applyNumberFormat="0" applyAlignment="0" applyProtection="0"/>
    <xf numFmtId="0" fontId="84" fillId="48" borderId="86" applyNumberFormat="0" applyAlignment="0" applyProtection="0"/>
    <xf numFmtId="0" fontId="84" fillId="48" borderId="86" applyNumberFormat="0" applyAlignment="0" applyProtection="0"/>
    <xf numFmtId="0" fontId="84" fillId="48" borderId="86" applyNumberFormat="0" applyAlignment="0" applyProtection="0"/>
    <xf numFmtId="0" fontId="84" fillId="48" borderId="86" applyNumberFormat="0" applyAlignment="0" applyProtection="0"/>
    <xf numFmtId="0" fontId="84" fillId="48" borderId="86" applyNumberFormat="0" applyAlignment="0" applyProtection="0"/>
    <xf numFmtId="0" fontId="84" fillId="48" borderId="86" applyNumberFormat="0" applyAlignment="0" applyProtection="0"/>
    <xf numFmtId="0" fontId="84" fillId="48" borderId="86" applyNumberFormat="0" applyAlignment="0" applyProtection="0"/>
    <xf numFmtId="0" fontId="84" fillId="48" borderId="86" applyNumberFormat="0" applyAlignment="0" applyProtection="0"/>
    <xf numFmtId="0" fontId="84" fillId="48" borderId="86" applyNumberFormat="0" applyAlignment="0" applyProtection="0"/>
    <xf numFmtId="0" fontId="84" fillId="48" borderId="86" applyNumberFormat="0" applyAlignment="0" applyProtection="0"/>
    <xf numFmtId="0" fontId="84" fillId="48" borderId="86" applyNumberFormat="0" applyAlignment="0" applyProtection="0"/>
    <xf numFmtId="0" fontId="84" fillId="48" borderId="86" applyNumberFormat="0" applyAlignment="0" applyProtection="0"/>
    <xf numFmtId="0" fontId="84" fillId="48" borderId="86" applyNumberFormat="0" applyAlignment="0" applyProtection="0"/>
    <xf numFmtId="0" fontId="84" fillId="48" borderId="86" applyNumberFormat="0" applyAlignment="0" applyProtection="0"/>
    <xf numFmtId="0" fontId="84" fillId="48" borderId="86" applyNumberFormat="0" applyAlignment="0" applyProtection="0"/>
    <xf numFmtId="0" fontId="84" fillId="48" borderId="86" applyNumberFormat="0" applyAlignment="0" applyProtection="0"/>
    <xf numFmtId="0" fontId="84" fillId="48" borderId="86" applyNumberFormat="0" applyAlignment="0" applyProtection="0"/>
    <xf numFmtId="0" fontId="84" fillId="48" borderId="86" applyNumberFormat="0" applyAlignment="0" applyProtection="0"/>
    <xf numFmtId="0" fontId="84" fillId="48" borderId="86" applyNumberFormat="0" applyAlignment="0" applyProtection="0"/>
    <xf numFmtId="0" fontId="84" fillId="48" borderId="86" applyNumberFormat="0" applyAlignment="0" applyProtection="0"/>
    <xf numFmtId="0" fontId="84" fillId="48" borderId="86" applyNumberFormat="0" applyAlignment="0" applyProtection="0"/>
    <xf numFmtId="0" fontId="84" fillId="48" borderId="86" applyNumberFormat="0" applyAlignment="0" applyProtection="0"/>
    <xf numFmtId="0" fontId="84" fillId="48" borderId="86" applyNumberFormat="0" applyAlignment="0" applyProtection="0"/>
    <xf numFmtId="0" fontId="84" fillId="48" borderId="86" applyNumberFormat="0" applyAlignment="0" applyProtection="0"/>
    <xf numFmtId="0" fontId="84" fillId="48" borderId="86" applyNumberFormat="0" applyAlignment="0" applyProtection="0"/>
    <xf numFmtId="0" fontId="84" fillId="48" borderId="86" applyNumberFormat="0" applyAlignment="0" applyProtection="0"/>
    <xf numFmtId="0" fontId="84" fillId="48" borderId="86" applyNumberFormat="0" applyAlignment="0" applyProtection="0"/>
    <xf numFmtId="0" fontId="84" fillId="48" borderId="86" applyNumberFormat="0" applyAlignment="0" applyProtection="0"/>
    <xf numFmtId="0" fontId="84" fillId="48" borderId="86" applyNumberFormat="0" applyAlignment="0" applyProtection="0"/>
    <xf numFmtId="0" fontId="84" fillId="48" borderId="86" applyNumberFormat="0" applyAlignment="0" applyProtection="0"/>
    <xf numFmtId="0" fontId="84" fillId="48" borderId="86" applyNumberFormat="0" applyAlignment="0" applyProtection="0"/>
    <xf numFmtId="0" fontId="84" fillId="48" borderId="86" applyNumberFormat="0" applyAlignment="0" applyProtection="0"/>
    <xf numFmtId="0" fontId="84" fillId="48" borderId="86" applyNumberFormat="0" applyAlignment="0" applyProtection="0"/>
    <xf numFmtId="0" fontId="84" fillId="48" borderId="86" applyNumberFormat="0" applyAlignment="0" applyProtection="0"/>
    <xf numFmtId="0" fontId="84" fillId="48" borderId="86" applyNumberFormat="0" applyAlignment="0" applyProtection="0"/>
    <xf numFmtId="0" fontId="84" fillId="48" borderId="86" applyNumberFormat="0" applyAlignment="0" applyProtection="0"/>
    <xf numFmtId="0" fontId="84" fillId="48" borderId="86" applyNumberFormat="0" applyAlignment="0" applyProtection="0"/>
    <xf numFmtId="0" fontId="84" fillId="48" borderId="86" applyNumberFormat="0" applyAlignment="0" applyProtection="0"/>
    <xf numFmtId="0" fontId="84" fillId="48" borderId="86" applyNumberFormat="0" applyAlignment="0" applyProtection="0"/>
    <xf numFmtId="0" fontId="84" fillId="48" borderId="86" applyNumberFormat="0" applyAlignment="0" applyProtection="0"/>
    <xf numFmtId="0" fontId="84" fillId="48" borderId="86" applyNumberFormat="0" applyAlignment="0" applyProtection="0"/>
    <xf numFmtId="0" fontId="84" fillId="48" borderId="86" applyNumberFormat="0" applyAlignment="0" applyProtection="0"/>
    <xf numFmtId="0" fontId="84" fillId="48" borderId="86" applyNumberFormat="0" applyAlignment="0" applyProtection="0"/>
    <xf numFmtId="0" fontId="84" fillId="48" borderId="86" applyNumberFormat="0" applyAlignment="0" applyProtection="0"/>
    <xf numFmtId="0" fontId="84" fillId="48" borderId="86" applyNumberFormat="0" applyAlignment="0" applyProtection="0"/>
    <xf numFmtId="0" fontId="84" fillId="48" borderId="86" applyNumberFormat="0" applyAlignment="0" applyProtection="0"/>
    <xf numFmtId="0" fontId="84" fillId="48" borderId="86" applyNumberFormat="0" applyAlignment="0" applyProtection="0"/>
    <xf numFmtId="0" fontId="84" fillId="48" borderId="86" applyNumberFormat="0" applyAlignment="0" applyProtection="0"/>
    <xf numFmtId="0" fontId="84" fillId="48" borderId="86" applyNumberFormat="0" applyAlignment="0" applyProtection="0"/>
    <xf numFmtId="0" fontId="84" fillId="48" borderId="86" applyNumberFormat="0" applyAlignment="0" applyProtection="0"/>
    <xf numFmtId="0" fontId="84" fillId="48" borderId="86" applyNumberFormat="0" applyAlignment="0" applyProtection="0"/>
    <xf numFmtId="0" fontId="84" fillId="48" borderId="86" applyNumberFormat="0" applyAlignment="0" applyProtection="0"/>
    <xf numFmtId="0" fontId="84" fillId="48" borderId="86" applyNumberFormat="0" applyAlignment="0" applyProtection="0"/>
    <xf numFmtId="0" fontId="84" fillId="48" borderId="86" applyNumberFormat="0" applyAlignment="0" applyProtection="0"/>
    <xf numFmtId="0" fontId="84" fillId="48" borderId="86" applyNumberFormat="0" applyAlignment="0" applyProtection="0"/>
    <xf numFmtId="0" fontId="84" fillId="48" borderId="86" applyNumberFormat="0" applyAlignment="0" applyProtection="0"/>
    <xf numFmtId="0" fontId="84" fillId="48" borderId="86" applyNumberFormat="0" applyAlignment="0" applyProtection="0"/>
    <xf numFmtId="0" fontId="84" fillId="48" borderId="86" applyNumberFormat="0" applyAlignment="0" applyProtection="0"/>
    <xf numFmtId="0" fontId="84" fillId="48" borderId="86" applyNumberFormat="0" applyAlignment="0" applyProtection="0"/>
    <xf numFmtId="0" fontId="84" fillId="48" borderId="86" applyNumberFormat="0" applyAlignment="0" applyProtection="0"/>
    <xf numFmtId="0" fontId="84" fillId="48" borderId="86" applyNumberFormat="0" applyAlignment="0" applyProtection="0"/>
    <xf numFmtId="43" fontId="6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6" fillId="0" borderId="0" applyFont="0" applyFill="0" applyBorder="0" applyAlignment="0" applyProtection="0"/>
    <xf numFmtId="0" fontId="3" fillId="0" borderId="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3" fillId="0" borderId="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6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6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6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6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6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66" fillId="0" borderId="0" applyFont="0" applyFill="0" applyBorder="0" applyAlignment="0" applyProtection="0"/>
    <xf numFmtId="43" fontId="1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6" fillId="0" borderId="0" applyFont="0" applyFill="0" applyBorder="0" applyAlignment="0" applyProtection="0"/>
    <xf numFmtId="43" fontId="66" fillId="0" borderId="0" applyFont="0" applyFill="0" applyBorder="0" applyAlignment="0" applyProtection="0"/>
    <xf numFmtId="43" fontId="1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6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6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66" fillId="0" borderId="0" applyFont="0" applyFill="0" applyBorder="0" applyAlignment="0" applyProtection="0"/>
    <xf numFmtId="43" fontId="1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6" fillId="0" borderId="0" applyFont="0" applyFill="0" applyBorder="0" applyAlignment="0" applyProtection="0"/>
    <xf numFmtId="43" fontId="66" fillId="0" borderId="0" applyFont="0" applyFill="0" applyBorder="0" applyAlignment="0" applyProtection="0"/>
    <xf numFmtId="43" fontId="1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85"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66" fillId="0" borderId="0" applyFont="0" applyFill="0" applyBorder="0" applyAlignment="0" applyProtection="0"/>
    <xf numFmtId="0" fontId="3" fillId="0" borderId="0"/>
    <xf numFmtId="0" fontId="3" fillId="0" borderId="0"/>
    <xf numFmtId="43" fontId="66" fillId="0" borderId="0" applyFont="0" applyFill="0" applyBorder="0" applyAlignment="0" applyProtection="0"/>
    <xf numFmtId="0" fontId="3" fillId="0" borderId="0"/>
    <xf numFmtId="43" fontId="66" fillId="0" borderId="0" applyFont="0" applyFill="0" applyBorder="0" applyAlignment="0" applyProtection="0"/>
    <xf numFmtId="0" fontId="3" fillId="0" borderId="0"/>
    <xf numFmtId="0" fontId="3" fillId="0" borderId="0"/>
    <xf numFmtId="43" fontId="6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66" fillId="0" borderId="0" applyFont="0" applyFill="0" applyBorder="0" applyAlignment="0" applyProtection="0"/>
    <xf numFmtId="0" fontId="3" fillId="0" borderId="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0" fontId="3" fillId="0" borderId="0"/>
    <xf numFmtId="0" fontId="3" fillId="0" borderId="0"/>
    <xf numFmtId="0" fontId="3" fillId="0" borderId="0"/>
    <xf numFmtId="43" fontId="66" fillId="0" borderId="0" applyFont="0" applyFill="0" applyBorder="0" applyAlignment="0" applyProtection="0"/>
    <xf numFmtId="43" fontId="66" fillId="0" borderId="0" applyFont="0" applyFill="0" applyBorder="0" applyAlignment="0" applyProtection="0"/>
    <xf numFmtId="0" fontId="3" fillId="0" borderId="0"/>
    <xf numFmtId="0" fontId="3" fillId="0" borderId="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6" fillId="0" borderId="0" applyFont="0" applyFill="0" applyBorder="0" applyAlignment="0" applyProtection="0"/>
    <xf numFmtId="37" fontId="85"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37" fontId="85"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37" fontId="85"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37" fontId="85"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37" fontId="85"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3"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2"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16" fillId="0" borderId="0" applyFont="0" applyFill="0" applyBorder="0" applyAlignment="0" applyProtection="0"/>
    <xf numFmtId="44" fontId="6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1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66" fillId="0" borderId="0" applyFont="0" applyFill="0" applyBorder="0" applyAlignment="0" applyProtection="0"/>
    <xf numFmtId="44" fontId="16" fillId="0" borderId="0" applyFont="0" applyFill="0" applyBorder="0" applyAlignment="0" applyProtection="0"/>
    <xf numFmtId="44" fontId="6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1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66" fillId="0" borderId="0" applyFont="0" applyFill="0" applyBorder="0" applyAlignment="0" applyProtection="0"/>
    <xf numFmtId="44" fontId="16" fillId="0" borderId="0" applyFont="0" applyFill="0" applyBorder="0" applyAlignment="0" applyProtection="0"/>
    <xf numFmtId="44" fontId="6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1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1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1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6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6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6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6" fontId="85" fillId="0" borderId="0" applyFont="0" applyFill="0" applyBorder="0" applyAlignment="0" applyProtection="0"/>
    <xf numFmtId="6" fontId="8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6" fontId="85"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3"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0" fontId="66" fillId="49" borderId="0" applyNumberFormat="0" applyAlignment="0">
      <alignment horizontal="right"/>
    </xf>
    <xf numFmtId="0" fontId="66" fillId="50" borderId="0" applyNumberFormat="0" applyAlignment="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8" fillId="0" borderId="87" applyNumberFormat="0" applyFill="0" applyAlignment="0" applyProtection="0"/>
    <xf numFmtId="0" fontId="88" fillId="0" borderId="87" applyNumberFormat="0" applyFill="0" applyAlignment="0" applyProtection="0"/>
    <xf numFmtId="0" fontId="88" fillId="0" borderId="87" applyNumberFormat="0" applyFill="0" applyAlignment="0" applyProtection="0"/>
    <xf numFmtId="0" fontId="88" fillId="0" borderId="87" applyNumberFormat="0" applyFill="0" applyAlignment="0" applyProtection="0"/>
    <xf numFmtId="0" fontId="88" fillId="0" borderId="87" applyNumberFormat="0" applyFill="0" applyAlignment="0" applyProtection="0"/>
    <xf numFmtId="0" fontId="88" fillId="0" borderId="87" applyNumberFormat="0" applyFill="0" applyAlignment="0" applyProtection="0"/>
    <xf numFmtId="0" fontId="88" fillId="0" borderId="87" applyNumberFormat="0" applyFill="0" applyAlignment="0" applyProtection="0"/>
    <xf numFmtId="0" fontId="88" fillId="0" borderId="87" applyNumberFormat="0" applyFill="0" applyAlignment="0" applyProtection="0"/>
    <xf numFmtId="0" fontId="88" fillId="0" borderId="87" applyNumberFormat="0" applyFill="0" applyAlignment="0" applyProtection="0"/>
    <xf numFmtId="0" fontId="88" fillId="0" borderId="87" applyNumberFormat="0" applyFill="0" applyAlignment="0" applyProtection="0"/>
    <xf numFmtId="0" fontId="88" fillId="0" borderId="87" applyNumberFormat="0" applyFill="0" applyAlignment="0" applyProtection="0"/>
    <xf numFmtId="0" fontId="88" fillId="0" borderId="87" applyNumberFormat="0" applyFill="0" applyAlignment="0" applyProtection="0"/>
    <xf numFmtId="0" fontId="88" fillId="0" borderId="87" applyNumberFormat="0" applyFill="0" applyAlignment="0" applyProtection="0"/>
    <xf numFmtId="0" fontId="88" fillId="0" borderId="87" applyNumberFormat="0" applyFill="0" applyAlignment="0" applyProtection="0"/>
    <xf numFmtId="0" fontId="88" fillId="0" borderId="87" applyNumberFormat="0" applyFill="0" applyAlignment="0" applyProtection="0"/>
    <xf numFmtId="0" fontId="88" fillId="0" borderId="87" applyNumberFormat="0" applyFill="0" applyAlignment="0" applyProtection="0"/>
    <xf numFmtId="0" fontId="88" fillId="0" borderId="87" applyNumberFormat="0" applyFill="0" applyAlignment="0" applyProtection="0"/>
    <xf numFmtId="0" fontId="88" fillId="0" borderId="87" applyNumberFormat="0" applyFill="0" applyAlignment="0" applyProtection="0"/>
    <xf numFmtId="0" fontId="88" fillId="0" borderId="87" applyNumberFormat="0" applyFill="0" applyAlignment="0" applyProtection="0"/>
    <xf numFmtId="0" fontId="88" fillId="0" borderId="87" applyNumberFormat="0" applyFill="0" applyAlignment="0" applyProtection="0"/>
    <xf numFmtId="0" fontId="88" fillId="0" borderId="87" applyNumberFormat="0" applyFill="0" applyAlignment="0" applyProtection="0"/>
    <xf numFmtId="0" fontId="88" fillId="0" borderId="87" applyNumberFormat="0" applyFill="0" applyAlignment="0" applyProtection="0"/>
    <xf numFmtId="0" fontId="88" fillId="0" borderId="87" applyNumberFormat="0" applyFill="0" applyAlignment="0" applyProtection="0"/>
    <xf numFmtId="0" fontId="88" fillId="0" borderId="87" applyNumberFormat="0" applyFill="0" applyAlignment="0" applyProtection="0"/>
    <xf numFmtId="0" fontId="88" fillId="0" borderId="87" applyNumberFormat="0" applyFill="0" applyAlignment="0" applyProtection="0"/>
    <xf numFmtId="0" fontId="88" fillId="0" borderId="87" applyNumberFormat="0" applyFill="0" applyAlignment="0" applyProtection="0"/>
    <xf numFmtId="0" fontId="88" fillId="0" borderId="87" applyNumberFormat="0" applyFill="0" applyAlignment="0" applyProtection="0"/>
    <xf numFmtId="0" fontId="88" fillId="0" borderId="87" applyNumberFormat="0" applyFill="0" applyAlignment="0" applyProtection="0"/>
    <xf numFmtId="0" fontId="88" fillId="0" borderId="87" applyNumberFormat="0" applyFill="0" applyAlignment="0" applyProtection="0"/>
    <xf numFmtId="0" fontId="88" fillId="0" borderId="87" applyNumberFormat="0" applyFill="0" applyAlignment="0" applyProtection="0"/>
    <xf numFmtId="0" fontId="88" fillId="0" borderId="87" applyNumberFormat="0" applyFill="0" applyAlignment="0" applyProtection="0"/>
    <xf numFmtId="0" fontId="88" fillId="0" borderId="87" applyNumberFormat="0" applyFill="0" applyAlignment="0" applyProtection="0"/>
    <xf numFmtId="0" fontId="88" fillId="0" borderId="87" applyNumberFormat="0" applyFill="0" applyAlignment="0" applyProtection="0"/>
    <xf numFmtId="0" fontId="88" fillId="0" borderId="87" applyNumberFormat="0" applyFill="0" applyAlignment="0" applyProtection="0"/>
    <xf numFmtId="0" fontId="88" fillId="0" borderId="87" applyNumberFormat="0" applyFill="0" applyAlignment="0" applyProtection="0"/>
    <xf numFmtId="0" fontId="88" fillId="0" borderId="87" applyNumberFormat="0" applyFill="0" applyAlignment="0" applyProtection="0"/>
    <xf numFmtId="0" fontId="88" fillId="0" borderId="87" applyNumberFormat="0" applyFill="0" applyAlignment="0" applyProtection="0"/>
    <xf numFmtId="0" fontId="88" fillId="0" borderId="87" applyNumberFormat="0" applyFill="0" applyAlignment="0" applyProtection="0"/>
    <xf numFmtId="0" fontId="88" fillId="0" borderId="87" applyNumberFormat="0" applyFill="0" applyAlignment="0" applyProtection="0"/>
    <xf numFmtId="0" fontId="88" fillId="0" borderId="87" applyNumberFormat="0" applyFill="0" applyAlignment="0" applyProtection="0"/>
    <xf numFmtId="0" fontId="88" fillId="0" borderId="87" applyNumberFormat="0" applyFill="0" applyAlignment="0" applyProtection="0"/>
    <xf numFmtId="0" fontId="88" fillId="0" borderId="87" applyNumberFormat="0" applyFill="0" applyAlignment="0" applyProtection="0"/>
    <xf numFmtId="0" fontId="88" fillId="0" borderId="87" applyNumberFormat="0" applyFill="0" applyAlignment="0" applyProtection="0"/>
    <xf numFmtId="0" fontId="88" fillId="0" borderId="87" applyNumberFormat="0" applyFill="0" applyAlignment="0" applyProtection="0"/>
    <xf numFmtId="0" fontId="88" fillId="0" borderId="87" applyNumberFormat="0" applyFill="0" applyAlignment="0" applyProtection="0"/>
    <xf numFmtId="0" fontId="88" fillId="0" borderId="87" applyNumberFormat="0" applyFill="0" applyAlignment="0" applyProtection="0"/>
    <xf numFmtId="0" fontId="88" fillId="0" borderId="87" applyNumberFormat="0" applyFill="0" applyAlignment="0" applyProtection="0"/>
    <xf numFmtId="0" fontId="88" fillId="0" borderId="87" applyNumberFormat="0" applyFill="0" applyAlignment="0" applyProtection="0"/>
    <xf numFmtId="0" fontId="88" fillId="0" borderId="87" applyNumberFormat="0" applyFill="0" applyAlignment="0" applyProtection="0"/>
    <xf numFmtId="0" fontId="88" fillId="0" borderId="87" applyNumberFormat="0" applyFill="0" applyAlignment="0" applyProtection="0"/>
    <xf numFmtId="0" fontId="88" fillId="0" borderId="87" applyNumberFormat="0" applyFill="0" applyAlignment="0" applyProtection="0"/>
    <xf numFmtId="0" fontId="88" fillId="0" borderId="87" applyNumberFormat="0" applyFill="0" applyAlignment="0" applyProtection="0"/>
    <xf numFmtId="0" fontId="88" fillId="0" borderId="87" applyNumberFormat="0" applyFill="0" applyAlignment="0" applyProtection="0"/>
    <xf numFmtId="0" fontId="88" fillId="0" borderId="87" applyNumberFormat="0" applyFill="0" applyAlignment="0" applyProtection="0"/>
    <xf numFmtId="0" fontId="88" fillId="0" borderId="87" applyNumberFormat="0" applyFill="0" applyAlignment="0" applyProtection="0"/>
    <xf numFmtId="0" fontId="88" fillId="0" borderId="87" applyNumberFormat="0" applyFill="0" applyAlignment="0" applyProtection="0"/>
    <xf numFmtId="0" fontId="88" fillId="0" borderId="87" applyNumberFormat="0" applyFill="0" applyAlignment="0" applyProtection="0"/>
    <xf numFmtId="0" fontId="88" fillId="0" borderId="87" applyNumberFormat="0" applyFill="0" applyAlignment="0" applyProtection="0"/>
    <xf numFmtId="0" fontId="88" fillId="0" borderId="87" applyNumberFormat="0" applyFill="0" applyAlignment="0" applyProtection="0"/>
    <xf numFmtId="0" fontId="88" fillId="0" borderId="87" applyNumberFormat="0" applyFill="0" applyAlignment="0" applyProtection="0"/>
    <xf numFmtId="0" fontId="88" fillId="0" borderId="87" applyNumberFormat="0" applyFill="0" applyAlignment="0" applyProtection="0"/>
    <xf numFmtId="0" fontId="88" fillId="0" borderId="87" applyNumberFormat="0" applyFill="0" applyAlignment="0" applyProtection="0"/>
    <xf numFmtId="0" fontId="88" fillId="0" borderId="87" applyNumberFormat="0" applyFill="0" applyAlignment="0" applyProtection="0"/>
    <xf numFmtId="0" fontId="88" fillId="0" borderId="87" applyNumberFormat="0" applyFill="0" applyAlignment="0" applyProtection="0"/>
    <xf numFmtId="0" fontId="88" fillId="0" borderId="87" applyNumberFormat="0" applyFill="0" applyAlignment="0" applyProtection="0"/>
    <xf numFmtId="0" fontId="88" fillId="0" borderId="87" applyNumberFormat="0" applyFill="0" applyAlignment="0" applyProtection="0"/>
    <xf numFmtId="0" fontId="88" fillId="0" borderId="87" applyNumberFormat="0" applyFill="0" applyAlignment="0" applyProtection="0"/>
    <xf numFmtId="0" fontId="88" fillId="0" borderId="87" applyNumberFormat="0" applyFill="0" applyAlignment="0" applyProtection="0"/>
    <xf numFmtId="0" fontId="88" fillId="0" borderId="87" applyNumberFormat="0" applyFill="0" applyAlignment="0" applyProtection="0"/>
    <xf numFmtId="0" fontId="88" fillId="0" borderId="87" applyNumberFormat="0" applyFill="0" applyAlignment="0" applyProtection="0"/>
    <xf numFmtId="0" fontId="88" fillId="0" borderId="87" applyNumberFormat="0" applyFill="0" applyAlignment="0" applyProtection="0"/>
    <xf numFmtId="0" fontId="88" fillId="0" borderId="87" applyNumberFormat="0" applyFill="0" applyAlignment="0" applyProtection="0"/>
    <xf numFmtId="0" fontId="88" fillId="0" borderId="87" applyNumberFormat="0" applyFill="0" applyAlignment="0" applyProtection="0"/>
    <xf numFmtId="0" fontId="88" fillId="0" borderId="87" applyNumberFormat="0" applyFill="0" applyAlignment="0" applyProtection="0"/>
    <xf numFmtId="0" fontId="88" fillId="0" borderId="87" applyNumberFormat="0" applyFill="0" applyAlignment="0" applyProtection="0"/>
    <xf numFmtId="0" fontId="88" fillId="0" borderId="87"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89" fillId="0" borderId="88" applyNumberFormat="0" applyFill="0" applyAlignment="0" applyProtection="0"/>
    <xf numFmtId="0" fontId="90" fillId="0" borderId="89" applyNumberFormat="0" applyFill="0" applyAlignment="0" applyProtection="0"/>
    <xf numFmtId="0" fontId="90" fillId="0" borderId="89" applyNumberFormat="0" applyFill="0" applyAlignment="0" applyProtection="0"/>
    <xf numFmtId="0" fontId="90" fillId="0" borderId="89" applyNumberFormat="0" applyFill="0" applyAlignment="0" applyProtection="0"/>
    <xf numFmtId="0" fontId="90" fillId="0" borderId="89" applyNumberFormat="0" applyFill="0" applyAlignment="0" applyProtection="0"/>
    <xf numFmtId="0" fontId="90" fillId="0" borderId="89" applyNumberFormat="0" applyFill="0" applyAlignment="0" applyProtection="0"/>
    <xf numFmtId="0" fontId="90" fillId="0" borderId="89" applyNumberFormat="0" applyFill="0" applyAlignment="0" applyProtection="0"/>
    <xf numFmtId="0" fontId="90" fillId="0" borderId="89" applyNumberFormat="0" applyFill="0" applyAlignment="0" applyProtection="0"/>
    <xf numFmtId="0" fontId="90" fillId="0" borderId="89" applyNumberFormat="0" applyFill="0" applyAlignment="0" applyProtection="0"/>
    <xf numFmtId="0" fontId="90" fillId="0" borderId="89" applyNumberFormat="0" applyFill="0" applyAlignment="0" applyProtection="0"/>
    <xf numFmtId="0" fontId="90" fillId="0" borderId="89" applyNumberFormat="0" applyFill="0" applyAlignment="0" applyProtection="0"/>
    <xf numFmtId="0" fontId="90" fillId="0" borderId="89" applyNumberFormat="0" applyFill="0" applyAlignment="0" applyProtection="0"/>
    <xf numFmtId="0" fontId="90" fillId="0" borderId="89" applyNumberFormat="0" applyFill="0" applyAlignment="0" applyProtection="0"/>
    <xf numFmtId="0" fontId="90" fillId="0" borderId="89" applyNumberFormat="0" applyFill="0" applyAlignment="0" applyProtection="0"/>
    <xf numFmtId="0" fontId="90" fillId="0" borderId="89" applyNumberFormat="0" applyFill="0" applyAlignment="0" applyProtection="0"/>
    <xf numFmtId="0" fontId="90" fillId="0" borderId="89" applyNumberFormat="0" applyFill="0" applyAlignment="0" applyProtection="0"/>
    <xf numFmtId="0" fontId="90" fillId="0" borderId="89" applyNumberFormat="0" applyFill="0" applyAlignment="0" applyProtection="0"/>
    <xf numFmtId="0" fontId="90" fillId="0" borderId="89" applyNumberFormat="0" applyFill="0" applyAlignment="0" applyProtection="0"/>
    <xf numFmtId="0" fontId="90" fillId="0" borderId="89" applyNumberFormat="0" applyFill="0" applyAlignment="0" applyProtection="0"/>
    <xf numFmtId="0" fontId="90" fillId="0" borderId="89" applyNumberFormat="0" applyFill="0" applyAlignment="0" applyProtection="0"/>
    <xf numFmtId="0" fontId="90" fillId="0" borderId="89" applyNumberFormat="0" applyFill="0" applyAlignment="0" applyProtection="0"/>
    <xf numFmtId="0" fontId="90" fillId="0" borderId="89" applyNumberFormat="0" applyFill="0" applyAlignment="0" applyProtection="0"/>
    <xf numFmtId="0" fontId="90" fillId="0" borderId="89" applyNumberFormat="0" applyFill="0" applyAlignment="0" applyProtection="0"/>
    <xf numFmtId="0" fontId="90" fillId="0" borderId="89" applyNumberFormat="0" applyFill="0" applyAlignment="0" applyProtection="0"/>
    <xf numFmtId="0" fontId="90" fillId="0" borderId="89" applyNumberFormat="0" applyFill="0" applyAlignment="0" applyProtection="0"/>
    <xf numFmtId="0" fontId="90" fillId="0" borderId="89" applyNumberFormat="0" applyFill="0" applyAlignment="0" applyProtection="0"/>
    <xf numFmtId="0" fontId="90" fillId="0" borderId="89" applyNumberFormat="0" applyFill="0" applyAlignment="0" applyProtection="0"/>
    <xf numFmtId="0" fontId="90" fillId="0" borderId="89" applyNumberFormat="0" applyFill="0" applyAlignment="0" applyProtection="0"/>
    <xf numFmtId="0" fontId="90" fillId="0" borderId="89" applyNumberFormat="0" applyFill="0" applyAlignment="0" applyProtection="0"/>
    <xf numFmtId="0" fontId="90" fillId="0" borderId="89" applyNumberFormat="0" applyFill="0" applyAlignment="0" applyProtection="0"/>
    <xf numFmtId="0" fontId="90" fillId="0" borderId="89" applyNumberFormat="0" applyFill="0" applyAlignment="0" applyProtection="0"/>
    <xf numFmtId="0" fontId="90" fillId="0" borderId="89" applyNumberFormat="0" applyFill="0" applyAlignment="0" applyProtection="0"/>
    <xf numFmtId="0" fontId="90" fillId="0" borderId="89" applyNumberFormat="0" applyFill="0" applyAlignment="0" applyProtection="0"/>
    <xf numFmtId="0" fontId="90" fillId="0" borderId="89" applyNumberFormat="0" applyFill="0" applyAlignment="0" applyProtection="0"/>
    <xf numFmtId="0" fontId="90" fillId="0" borderId="89" applyNumberFormat="0" applyFill="0" applyAlignment="0" applyProtection="0"/>
    <xf numFmtId="0" fontId="90" fillId="0" borderId="89" applyNumberFormat="0" applyFill="0" applyAlignment="0" applyProtection="0"/>
    <xf numFmtId="0" fontId="90" fillId="0" borderId="89" applyNumberFormat="0" applyFill="0" applyAlignment="0" applyProtection="0"/>
    <xf numFmtId="0" fontId="90" fillId="0" borderId="89" applyNumberFormat="0" applyFill="0" applyAlignment="0" applyProtection="0"/>
    <xf numFmtId="0" fontId="90" fillId="0" borderId="89" applyNumberFormat="0" applyFill="0" applyAlignment="0" applyProtection="0"/>
    <xf numFmtId="0" fontId="90" fillId="0" borderId="89" applyNumberFormat="0" applyFill="0" applyAlignment="0" applyProtection="0"/>
    <xf numFmtId="0" fontId="90" fillId="0" borderId="89" applyNumberFormat="0" applyFill="0" applyAlignment="0" applyProtection="0"/>
    <xf numFmtId="0" fontId="90" fillId="0" borderId="89" applyNumberFormat="0" applyFill="0" applyAlignment="0" applyProtection="0"/>
    <xf numFmtId="0" fontId="90" fillId="0" borderId="89" applyNumberFormat="0" applyFill="0" applyAlignment="0" applyProtection="0"/>
    <xf numFmtId="0" fontId="90" fillId="0" borderId="89" applyNumberFormat="0" applyFill="0" applyAlignment="0" applyProtection="0"/>
    <xf numFmtId="0" fontId="90" fillId="0" borderId="89" applyNumberFormat="0" applyFill="0" applyAlignment="0" applyProtection="0"/>
    <xf numFmtId="0" fontId="90" fillId="0" borderId="89" applyNumberFormat="0" applyFill="0" applyAlignment="0" applyProtection="0"/>
    <xf numFmtId="0" fontId="90" fillId="0" borderId="89" applyNumberFormat="0" applyFill="0" applyAlignment="0" applyProtection="0"/>
    <xf numFmtId="0" fontId="90" fillId="0" borderId="89" applyNumberFormat="0" applyFill="0" applyAlignment="0" applyProtection="0"/>
    <xf numFmtId="0" fontId="90" fillId="0" borderId="89" applyNumberFormat="0" applyFill="0" applyAlignment="0" applyProtection="0"/>
    <xf numFmtId="0" fontId="90" fillId="0" borderId="89" applyNumberFormat="0" applyFill="0" applyAlignment="0" applyProtection="0"/>
    <xf numFmtId="0" fontId="90" fillId="0" borderId="89" applyNumberFormat="0" applyFill="0" applyAlignment="0" applyProtection="0"/>
    <xf numFmtId="0" fontId="90" fillId="0" borderId="89" applyNumberFormat="0" applyFill="0" applyAlignment="0" applyProtection="0"/>
    <xf numFmtId="0" fontId="90" fillId="0" borderId="89" applyNumberFormat="0" applyFill="0" applyAlignment="0" applyProtection="0"/>
    <xf numFmtId="0" fontId="90" fillId="0" borderId="89" applyNumberFormat="0" applyFill="0" applyAlignment="0" applyProtection="0"/>
    <xf numFmtId="0" fontId="90" fillId="0" borderId="89" applyNumberFormat="0" applyFill="0" applyAlignment="0" applyProtection="0"/>
    <xf numFmtId="0" fontId="90" fillId="0" borderId="89" applyNumberFormat="0" applyFill="0" applyAlignment="0" applyProtection="0"/>
    <xf numFmtId="0" fontId="90" fillId="0" borderId="89" applyNumberFormat="0" applyFill="0" applyAlignment="0" applyProtection="0"/>
    <xf numFmtId="0" fontId="90" fillId="0" borderId="89" applyNumberFormat="0" applyFill="0" applyAlignment="0" applyProtection="0"/>
    <xf numFmtId="0" fontId="90" fillId="0" borderId="89" applyNumberFormat="0" applyFill="0" applyAlignment="0" applyProtection="0"/>
    <xf numFmtId="0" fontId="90" fillId="0" borderId="89" applyNumberFormat="0" applyFill="0" applyAlignment="0" applyProtection="0"/>
    <xf numFmtId="0" fontId="90" fillId="0" borderId="89" applyNumberFormat="0" applyFill="0" applyAlignment="0" applyProtection="0"/>
    <xf numFmtId="0" fontId="90" fillId="0" borderId="89" applyNumberFormat="0" applyFill="0" applyAlignment="0" applyProtection="0"/>
    <xf numFmtId="0" fontId="90" fillId="0" borderId="89" applyNumberFormat="0" applyFill="0" applyAlignment="0" applyProtection="0"/>
    <xf numFmtId="0" fontId="90" fillId="0" borderId="89" applyNumberFormat="0" applyFill="0" applyAlignment="0" applyProtection="0"/>
    <xf numFmtId="0" fontId="90" fillId="0" borderId="89" applyNumberFormat="0" applyFill="0" applyAlignment="0" applyProtection="0"/>
    <xf numFmtId="0" fontId="90" fillId="0" borderId="89" applyNumberFormat="0" applyFill="0" applyAlignment="0" applyProtection="0"/>
    <xf numFmtId="0" fontId="90" fillId="0" borderId="89" applyNumberFormat="0" applyFill="0" applyAlignment="0" applyProtection="0"/>
    <xf numFmtId="0" fontId="90" fillId="0" borderId="89" applyNumberFormat="0" applyFill="0" applyAlignment="0" applyProtection="0"/>
    <xf numFmtId="0" fontId="90" fillId="0" borderId="89" applyNumberFormat="0" applyFill="0" applyAlignment="0" applyProtection="0"/>
    <xf numFmtId="0" fontId="90" fillId="0" borderId="89" applyNumberFormat="0" applyFill="0" applyAlignment="0" applyProtection="0"/>
    <xf numFmtId="0" fontId="90" fillId="0" borderId="89" applyNumberFormat="0" applyFill="0" applyAlignment="0" applyProtection="0"/>
    <xf numFmtId="0" fontId="90" fillId="0" borderId="89" applyNumberFormat="0" applyFill="0" applyAlignment="0" applyProtection="0"/>
    <xf numFmtId="0" fontId="90" fillId="0" borderId="89" applyNumberFormat="0" applyFill="0" applyAlignment="0" applyProtection="0"/>
    <xf numFmtId="0" fontId="90" fillId="0" borderId="89" applyNumberFormat="0" applyFill="0" applyAlignment="0" applyProtection="0"/>
    <xf numFmtId="0" fontId="90" fillId="0" borderId="89" applyNumberFormat="0" applyFill="0" applyAlignment="0" applyProtection="0"/>
    <xf numFmtId="0" fontId="90" fillId="0" borderId="89" applyNumberFormat="0" applyFill="0" applyAlignment="0" applyProtection="0"/>
    <xf numFmtId="0" fontId="90" fillId="0" borderId="89" applyNumberFormat="0" applyFill="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1" fillId="0" borderId="0" applyNumberFormat="0" applyFill="0" applyBorder="0" applyAlignment="0" applyProtection="0">
      <alignment vertical="top"/>
      <protection locked="0"/>
    </xf>
    <xf numFmtId="0" fontId="92" fillId="0" borderId="0" applyNumberFormat="0" applyFill="0" applyBorder="0" applyAlignment="0" applyProtection="0">
      <alignment vertical="top"/>
      <protection locked="0"/>
    </xf>
    <xf numFmtId="0" fontId="93" fillId="34" borderId="85" applyNumberFormat="0" applyAlignment="0" applyProtection="0"/>
    <xf numFmtId="0" fontId="93" fillId="34" borderId="85" applyNumberFormat="0" applyAlignment="0" applyProtection="0"/>
    <xf numFmtId="0" fontId="93" fillId="34" borderId="85" applyNumberFormat="0" applyAlignment="0" applyProtection="0"/>
    <xf numFmtId="0" fontId="93" fillId="34" borderId="85" applyNumberFormat="0" applyAlignment="0" applyProtection="0"/>
    <xf numFmtId="0" fontId="93" fillId="34" borderId="85" applyNumberFormat="0" applyAlignment="0" applyProtection="0"/>
    <xf numFmtId="0" fontId="93" fillId="34" borderId="85" applyNumberFormat="0" applyAlignment="0" applyProtection="0"/>
    <xf numFmtId="0" fontId="93" fillId="34" borderId="85" applyNumberFormat="0" applyAlignment="0" applyProtection="0"/>
    <xf numFmtId="0" fontId="93" fillId="34" borderId="85" applyNumberFormat="0" applyAlignment="0" applyProtection="0"/>
    <xf numFmtId="0" fontId="93" fillId="34" borderId="85" applyNumberFormat="0" applyAlignment="0" applyProtection="0"/>
    <xf numFmtId="0" fontId="93" fillId="34" borderId="85" applyNumberFormat="0" applyAlignment="0" applyProtection="0"/>
    <xf numFmtId="0" fontId="93" fillId="34" borderId="85" applyNumberFormat="0" applyAlignment="0" applyProtection="0"/>
    <xf numFmtId="0" fontId="93" fillId="34" borderId="85" applyNumberFormat="0" applyAlignment="0" applyProtection="0"/>
    <xf numFmtId="0" fontId="93" fillId="34" borderId="85" applyNumberFormat="0" applyAlignment="0" applyProtection="0"/>
    <xf numFmtId="0" fontId="93" fillId="34" borderId="85" applyNumberFormat="0" applyAlignment="0" applyProtection="0"/>
    <xf numFmtId="0" fontId="93" fillId="34" borderId="85" applyNumberFormat="0" applyAlignment="0" applyProtection="0"/>
    <xf numFmtId="0" fontId="93" fillId="34" borderId="85" applyNumberFormat="0" applyAlignment="0" applyProtection="0"/>
    <xf numFmtId="0" fontId="93" fillId="34" borderId="85" applyNumberFormat="0" applyAlignment="0" applyProtection="0"/>
    <xf numFmtId="0" fontId="93" fillId="34" borderId="85" applyNumberFormat="0" applyAlignment="0" applyProtection="0"/>
    <xf numFmtId="0" fontId="93" fillId="34" borderId="85" applyNumberFormat="0" applyAlignment="0" applyProtection="0"/>
    <xf numFmtId="0" fontId="93" fillId="34" borderId="85" applyNumberFormat="0" applyAlignment="0" applyProtection="0"/>
    <xf numFmtId="0" fontId="93" fillId="34" borderId="85" applyNumberFormat="0" applyAlignment="0" applyProtection="0"/>
    <xf numFmtId="0" fontId="93" fillId="34" borderId="85" applyNumberFormat="0" applyAlignment="0" applyProtection="0"/>
    <xf numFmtId="0" fontId="93" fillId="34" borderId="85" applyNumberFormat="0" applyAlignment="0" applyProtection="0"/>
    <xf numFmtId="0" fontId="93" fillId="34" borderId="85" applyNumberFormat="0" applyAlignment="0" applyProtection="0"/>
    <xf numFmtId="0" fontId="93" fillId="34" borderId="85" applyNumberFormat="0" applyAlignment="0" applyProtection="0"/>
    <xf numFmtId="0" fontId="93" fillId="34" borderId="85" applyNumberFormat="0" applyAlignment="0" applyProtection="0"/>
    <xf numFmtId="0" fontId="93" fillId="34" borderId="85" applyNumberFormat="0" applyAlignment="0" applyProtection="0"/>
    <xf numFmtId="0" fontId="78" fillId="28" borderId="84" applyNumberFormat="0" applyAlignment="0" applyProtection="0"/>
    <xf numFmtId="0" fontId="78" fillId="28" borderId="84" applyNumberFormat="0" applyAlignment="0" applyProtection="0"/>
    <xf numFmtId="0" fontId="78" fillId="28" borderId="84" applyNumberFormat="0" applyAlignment="0" applyProtection="0"/>
    <xf numFmtId="0" fontId="78" fillId="28" borderId="84" applyNumberFormat="0" applyAlignment="0" applyProtection="0"/>
    <xf numFmtId="0" fontId="78" fillId="28" borderId="84" applyNumberFormat="0" applyAlignment="0" applyProtection="0"/>
    <xf numFmtId="0" fontId="78" fillId="28" borderId="84" applyNumberFormat="0" applyAlignment="0" applyProtection="0"/>
    <xf numFmtId="0" fontId="78" fillId="28" borderId="84" applyNumberFormat="0" applyAlignment="0" applyProtection="0"/>
    <xf numFmtId="0" fontId="93" fillId="34" borderId="85" applyNumberFormat="0" applyAlignment="0" applyProtection="0"/>
    <xf numFmtId="0" fontId="93" fillId="34" borderId="85" applyNumberFormat="0" applyAlignment="0" applyProtection="0"/>
    <xf numFmtId="0" fontId="78" fillId="28" borderId="84" applyNumberFormat="0" applyAlignment="0" applyProtection="0"/>
    <xf numFmtId="0" fontId="93" fillId="34" borderId="85" applyNumberFormat="0" applyAlignment="0" applyProtection="0"/>
    <xf numFmtId="0" fontId="78" fillId="28" borderId="84" applyNumberFormat="0" applyAlignment="0" applyProtection="0"/>
    <xf numFmtId="0" fontId="78" fillId="28" borderId="84" applyNumberFormat="0" applyAlignment="0" applyProtection="0"/>
    <xf numFmtId="0" fontId="93" fillId="34" borderId="85" applyNumberFormat="0" applyAlignment="0" applyProtection="0"/>
    <xf numFmtId="0" fontId="78" fillId="28" borderId="84" applyNumberFormat="0" applyAlignment="0" applyProtection="0"/>
    <xf numFmtId="0" fontId="78" fillId="28" borderId="84" applyNumberFormat="0" applyAlignment="0" applyProtection="0"/>
    <xf numFmtId="0" fontId="78" fillId="28" borderId="84" applyNumberFormat="0" applyAlignment="0" applyProtection="0"/>
    <xf numFmtId="0" fontId="78" fillId="28" borderId="84" applyNumberFormat="0" applyAlignment="0" applyProtection="0"/>
    <xf numFmtId="0" fontId="78" fillId="28" borderId="84" applyNumberFormat="0" applyAlignment="0" applyProtection="0"/>
    <xf numFmtId="0" fontId="93" fillId="34" borderId="85" applyNumberFormat="0" applyAlignment="0" applyProtection="0"/>
    <xf numFmtId="0" fontId="93" fillId="34" borderId="85" applyNumberFormat="0" applyAlignment="0" applyProtection="0"/>
    <xf numFmtId="0" fontId="93" fillId="34" borderId="85" applyNumberFormat="0" applyAlignment="0" applyProtection="0"/>
    <xf numFmtId="0" fontId="93" fillId="34" borderId="85" applyNumberFormat="0" applyAlignment="0" applyProtection="0"/>
    <xf numFmtId="0" fontId="93" fillId="34" borderId="85" applyNumberFormat="0" applyAlignment="0" applyProtection="0"/>
    <xf numFmtId="0" fontId="93" fillId="34" borderId="85" applyNumberFormat="0" applyAlignment="0" applyProtection="0"/>
    <xf numFmtId="0" fontId="93" fillId="34" borderId="85" applyNumberFormat="0" applyAlignment="0" applyProtection="0"/>
    <xf numFmtId="0" fontId="93" fillId="34" borderId="85" applyNumberFormat="0" applyAlignment="0" applyProtection="0"/>
    <xf numFmtId="0" fontId="93" fillId="34" borderId="85" applyNumberFormat="0" applyAlignment="0" applyProtection="0"/>
    <xf numFmtId="0" fontId="93" fillId="34" borderId="85" applyNumberFormat="0" applyAlignment="0" applyProtection="0"/>
    <xf numFmtId="0" fontId="93" fillId="34" borderId="85" applyNumberFormat="0" applyAlignment="0" applyProtection="0"/>
    <xf numFmtId="0" fontId="93" fillId="34" borderId="85" applyNumberFormat="0" applyAlignment="0" applyProtection="0"/>
    <xf numFmtId="0" fontId="93" fillId="34" borderId="85" applyNumberFormat="0" applyAlignment="0" applyProtection="0"/>
    <xf numFmtId="0" fontId="93" fillId="34" borderId="85" applyNumberFormat="0" applyAlignment="0" applyProtection="0"/>
    <xf numFmtId="0" fontId="93" fillId="34" borderId="85" applyNumberFormat="0" applyAlignment="0" applyProtection="0"/>
    <xf numFmtId="0" fontId="93" fillId="34" borderId="85" applyNumberFormat="0" applyAlignment="0" applyProtection="0"/>
    <xf numFmtId="0" fontId="93" fillId="34" borderId="85" applyNumberFormat="0" applyAlignment="0" applyProtection="0"/>
    <xf numFmtId="0" fontId="93" fillId="34" borderId="85" applyNumberFormat="0" applyAlignment="0" applyProtection="0"/>
    <xf numFmtId="0" fontId="93" fillId="34" borderId="85" applyNumberFormat="0" applyAlignment="0" applyProtection="0"/>
    <xf numFmtId="0" fontId="93" fillId="34" borderId="85" applyNumberFormat="0" applyAlignment="0" applyProtection="0"/>
    <xf numFmtId="0" fontId="93" fillId="34" borderId="85" applyNumberFormat="0" applyAlignment="0" applyProtection="0"/>
    <xf numFmtId="0" fontId="93" fillId="34" borderId="85" applyNumberFormat="0" applyAlignment="0" applyProtection="0"/>
    <xf numFmtId="0" fontId="93" fillId="34" borderId="85" applyNumberFormat="0" applyAlignment="0" applyProtection="0"/>
    <xf numFmtId="0" fontId="93" fillId="34" borderId="85" applyNumberFormat="0" applyAlignment="0" applyProtection="0"/>
    <xf numFmtId="0" fontId="93" fillId="34" borderId="85" applyNumberFormat="0" applyAlignment="0" applyProtection="0"/>
    <xf numFmtId="0" fontId="93" fillId="34" borderId="85" applyNumberFormat="0" applyAlignment="0" applyProtection="0"/>
    <xf numFmtId="0" fontId="93" fillId="34" borderId="85" applyNumberFormat="0" applyAlignment="0" applyProtection="0"/>
    <xf numFmtId="0" fontId="93" fillId="34" borderId="85" applyNumberFormat="0" applyAlignment="0" applyProtection="0"/>
    <xf numFmtId="0" fontId="93" fillId="34" borderId="85" applyNumberFormat="0" applyAlignment="0" applyProtection="0"/>
    <xf numFmtId="0" fontId="93" fillId="34" borderId="85" applyNumberFormat="0" applyAlignment="0" applyProtection="0"/>
    <xf numFmtId="0" fontId="93" fillId="34" borderId="85" applyNumberFormat="0" applyAlignment="0" applyProtection="0"/>
    <xf numFmtId="0" fontId="93" fillId="34" borderId="85" applyNumberFormat="0" applyAlignment="0" applyProtection="0"/>
    <xf numFmtId="0" fontId="93" fillId="34" borderId="85" applyNumberFormat="0" applyAlignment="0" applyProtection="0"/>
    <xf numFmtId="0" fontId="93" fillId="34" borderId="85" applyNumberFormat="0" applyAlignment="0" applyProtection="0"/>
    <xf numFmtId="0" fontId="93" fillId="34" borderId="85" applyNumberFormat="0" applyAlignment="0" applyProtection="0"/>
    <xf numFmtId="0" fontId="93" fillId="34" borderId="85" applyNumberFormat="0" applyAlignment="0" applyProtection="0"/>
    <xf numFmtId="0" fontId="94" fillId="0" borderId="90" applyNumberFormat="0" applyFill="0" applyAlignment="0" applyProtection="0"/>
    <xf numFmtId="0" fontId="94" fillId="0" borderId="90" applyNumberFormat="0" applyFill="0" applyAlignment="0" applyProtection="0"/>
    <xf numFmtId="0" fontId="94" fillId="0" borderId="90" applyNumberFormat="0" applyFill="0" applyAlignment="0" applyProtection="0"/>
    <xf numFmtId="0" fontId="94" fillId="0" borderId="90" applyNumberFormat="0" applyFill="0" applyAlignment="0" applyProtection="0"/>
    <xf numFmtId="0" fontId="94" fillId="0" borderId="90" applyNumberFormat="0" applyFill="0" applyAlignment="0" applyProtection="0"/>
    <xf numFmtId="0" fontId="94" fillId="0" borderId="90" applyNumberFormat="0" applyFill="0" applyAlignment="0" applyProtection="0"/>
    <xf numFmtId="0" fontId="94" fillId="0" borderId="90" applyNumberFormat="0" applyFill="0" applyAlignment="0" applyProtection="0"/>
    <xf numFmtId="0" fontId="94" fillId="0" borderId="90" applyNumberFormat="0" applyFill="0" applyAlignment="0" applyProtection="0"/>
    <xf numFmtId="0" fontId="94" fillId="0" borderId="90" applyNumberFormat="0" applyFill="0" applyAlignment="0" applyProtection="0"/>
    <xf numFmtId="0" fontId="94" fillId="0" borderId="90" applyNumberFormat="0" applyFill="0" applyAlignment="0" applyProtection="0"/>
    <xf numFmtId="0" fontId="94" fillId="0" borderId="90" applyNumberFormat="0" applyFill="0" applyAlignment="0" applyProtection="0"/>
    <xf numFmtId="0" fontId="94" fillId="0" borderId="90" applyNumberFormat="0" applyFill="0" applyAlignment="0" applyProtection="0"/>
    <xf numFmtId="0" fontId="94" fillId="0" borderId="90" applyNumberFormat="0" applyFill="0" applyAlignment="0" applyProtection="0"/>
    <xf numFmtId="0" fontId="94" fillId="0" borderId="90" applyNumberFormat="0" applyFill="0" applyAlignment="0" applyProtection="0"/>
    <xf numFmtId="0" fontId="94" fillId="0" borderId="90" applyNumberFormat="0" applyFill="0" applyAlignment="0" applyProtection="0"/>
    <xf numFmtId="0" fontId="94" fillId="0" borderId="90" applyNumberFormat="0" applyFill="0" applyAlignment="0" applyProtection="0"/>
    <xf numFmtId="0" fontId="94" fillId="0" borderId="90" applyNumberFormat="0" applyFill="0" applyAlignment="0" applyProtection="0"/>
    <xf numFmtId="0" fontId="94" fillId="0" borderId="90" applyNumberFormat="0" applyFill="0" applyAlignment="0" applyProtection="0"/>
    <xf numFmtId="0" fontId="94" fillId="0" borderId="90" applyNumberFormat="0" applyFill="0" applyAlignment="0" applyProtection="0"/>
    <xf numFmtId="0" fontId="94" fillId="0" borderId="90" applyNumberFormat="0" applyFill="0" applyAlignment="0" applyProtection="0"/>
    <xf numFmtId="0" fontId="94" fillId="0" borderId="90" applyNumberFormat="0" applyFill="0" applyAlignment="0" applyProtection="0"/>
    <xf numFmtId="0" fontId="94" fillId="0" borderId="90" applyNumberFormat="0" applyFill="0" applyAlignment="0" applyProtection="0"/>
    <xf numFmtId="0" fontId="94" fillId="0" borderId="90" applyNumberFormat="0" applyFill="0" applyAlignment="0" applyProtection="0"/>
    <xf numFmtId="0" fontId="94" fillId="0" borderId="90" applyNumberFormat="0" applyFill="0" applyAlignment="0" applyProtection="0"/>
    <xf numFmtId="0" fontId="94" fillId="0" borderId="90" applyNumberFormat="0" applyFill="0" applyAlignment="0" applyProtection="0"/>
    <xf numFmtId="0" fontId="94" fillId="0" borderId="90" applyNumberFormat="0" applyFill="0" applyAlignment="0" applyProtection="0"/>
    <xf numFmtId="0" fontId="94" fillId="0" borderId="90" applyNumberFormat="0" applyFill="0" applyAlignment="0" applyProtection="0"/>
    <xf numFmtId="0" fontId="94" fillId="0" borderId="90" applyNumberFormat="0" applyFill="0" applyAlignment="0" applyProtection="0"/>
    <xf numFmtId="0" fontId="94" fillId="0" borderId="90" applyNumberFormat="0" applyFill="0" applyAlignment="0" applyProtection="0"/>
    <xf numFmtId="0" fontId="94" fillId="0" borderId="90" applyNumberFormat="0" applyFill="0" applyAlignment="0" applyProtection="0"/>
    <xf numFmtId="0" fontId="94" fillId="0" borderId="90" applyNumberFormat="0" applyFill="0" applyAlignment="0" applyProtection="0"/>
    <xf numFmtId="0" fontId="94" fillId="0" borderId="90" applyNumberFormat="0" applyFill="0" applyAlignment="0" applyProtection="0"/>
    <xf numFmtId="0" fontId="94" fillId="0" borderId="90" applyNumberFormat="0" applyFill="0" applyAlignment="0" applyProtection="0"/>
    <xf numFmtId="0" fontId="94" fillId="0" borderId="90" applyNumberFormat="0" applyFill="0" applyAlignment="0" applyProtection="0"/>
    <xf numFmtId="0" fontId="94" fillId="0" borderId="90" applyNumberFormat="0" applyFill="0" applyAlignment="0" applyProtection="0"/>
    <xf numFmtId="0" fontId="94" fillId="0" borderId="90" applyNumberFormat="0" applyFill="0" applyAlignment="0" applyProtection="0"/>
    <xf numFmtId="0" fontId="94" fillId="0" borderId="90" applyNumberFormat="0" applyFill="0" applyAlignment="0" applyProtection="0"/>
    <xf numFmtId="0" fontId="94" fillId="0" borderId="90" applyNumberFormat="0" applyFill="0" applyAlignment="0" applyProtection="0"/>
    <xf numFmtId="0" fontId="94" fillId="0" borderId="90" applyNumberFormat="0" applyFill="0" applyAlignment="0" applyProtection="0"/>
    <xf numFmtId="0" fontId="94" fillId="0" borderId="90" applyNumberFormat="0" applyFill="0" applyAlignment="0" applyProtection="0"/>
    <xf numFmtId="0" fontId="94" fillId="0" borderId="90" applyNumberFormat="0" applyFill="0" applyAlignment="0" applyProtection="0"/>
    <xf numFmtId="0" fontId="94" fillId="0" borderId="90" applyNumberFormat="0" applyFill="0" applyAlignment="0" applyProtection="0"/>
    <xf numFmtId="0" fontId="94" fillId="0" borderId="90" applyNumberFormat="0" applyFill="0" applyAlignment="0" applyProtection="0"/>
    <xf numFmtId="0" fontId="94" fillId="0" borderId="90" applyNumberFormat="0" applyFill="0" applyAlignment="0" applyProtection="0"/>
    <xf numFmtId="0" fontId="94" fillId="0" borderId="90" applyNumberFormat="0" applyFill="0" applyAlignment="0" applyProtection="0"/>
    <xf numFmtId="0" fontId="94" fillId="0" borderId="90" applyNumberFormat="0" applyFill="0" applyAlignment="0" applyProtection="0"/>
    <xf numFmtId="0" fontId="94" fillId="0" borderId="90" applyNumberFormat="0" applyFill="0" applyAlignment="0" applyProtection="0"/>
    <xf numFmtId="0" fontId="94" fillId="0" borderId="90" applyNumberFormat="0" applyFill="0" applyAlignment="0" applyProtection="0"/>
    <xf numFmtId="0" fontId="94" fillId="0" borderId="90" applyNumberFormat="0" applyFill="0" applyAlignment="0" applyProtection="0"/>
    <xf numFmtId="0" fontId="94" fillId="0" borderId="90" applyNumberFormat="0" applyFill="0" applyAlignment="0" applyProtection="0"/>
    <xf numFmtId="0" fontId="94" fillId="0" borderId="90" applyNumberFormat="0" applyFill="0" applyAlignment="0" applyProtection="0"/>
    <xf numFmtId="0" fontId="94" fillId="0" borderId="90" applyNumberFormat="0" applyFill="0" applyAlignment="0" applyProtection="0"/>
    <xf numFmtId="0" fontId="94" fillId="0" borderId="90" applyNumberFormat="0" applyFill="0" applyAlignment="0" applyProtection="0"/>
    <xf numFmtId="0" fontId="94" fillId="0" borderId="90" applyNumberFormat="0" applyFill="0" applyAlignment="0" applyProtection="0"/>
    <xf numFmtId="0" fontId="94" fillId="0" borderId="90" applyNumberFormat="0" applyFill="0" applyAlignment="0" applyProtection="0"/>
    <xf numFmtId="0" fontId="94" fillId="0" borderId="90" applyNumberFormat="0" applyFill="0" applyAlignment="0" applyProtection="0"/>
    <xf numFmtId="0" fontId="94" fillId="0" borderId="90" applyNumberFormat="0" applyFill="0" applyAlignment="0" applyProtection="0"/>
    <xf numFmtId="0" fontId="94" fillId="0" borderId="90" applyNumberFormat="0" applyFill="0" applyAlignment="0" applyProtection="0"/>
    <xf numFmtId="0" fontId="94" fillId="0" borderId="90" applyNumberFormat="0" applyFill="0" applyAlignment="0" applyProtection="0"/>
    <xf numFmtId="0" fontId="94" fillId="0" borderId="90" applyNumberFormat="0" applyFill="0" applyAlignment="0" applyProtection="0"/>
    <xf numFmtId="0" fontId="94" fillId="0" borderId="90" applyNumberFormat="0" applyFill="0" applyAlignment="0" applyProtection="0"/>
    <xf numFmtId="0" fontId="94" fillId="0" borderId="90" applyNumberFormat="0" applyFill="0" applyAlignment="0" applyProtection="0"/>
    <xf numFmtId="0" fontId="94" fillId="0" borderId="90" applyNumberFormat="0" applyFill="0" applyAlignment="0" applyProtection="0"/>
    <xf numFmtId="0" fontId="94" fillId="0" borderId="90" applyNumberFormat="0" applyFill="0" applyAlignment="0" applyProtection="0"/>
    <xf numFmtId="0" fontId="94" fillId="0" borderId="90" applyNumberFormat="0" applyFill="0" applyAlignment="0" applyProtection="0"/>
    <xf numFmtId="0" fontId="94" fillId="0" borderId="90" applyNumberFormat="0" applyFill="0" applyAlignment="0" applyProtection="0"/>
    <xf numFmtId="0" fontId="94" fillId="0" borderId="90" applyNumberFormat="0" applyFill="0" applyAlignment="0" applyProtection="0"/>
    <xf numFmtId="0" fontId="94" fillId="0" borderId="90" applyNumberFormat="0" applyFill="0" applyAlignment="0" applyProtection="0"/>
    <xf numFmtId="0" fontId="94" fillId="0" borderId="90" applyNumberFormat="0" applyFill="0" applyAlignment="0" applyProtection="0"/>
    <xf numFmtId="0" fontId="94" fillId="0" borderId="90" applyNumberFormat="0" applyFill="0" applyAlignment="0" applyProtection="0"/>
    <xf numFmtId="0" fontId="94" fillId="0" borderId="90" applyNumberFormat="0" applyFill="0" applyAlignment="0" applyProtection="0"/>
    <xf numFmtId="0" fontId="94" fillId="0" borderId="90" applyNumberFormat="0" applyFill="0" applyAlignment="0" applyProtection="0"/>
    <xf numFmtId="0" fontId="94" fillId="0" borderId="90" applyNumberFormat="0" applyFill="0" applyAlignment="0" applyProtection="0"/>
    <xf numFmtId="0" fontId="94" fillId="0" borderId="90" applyNumberFormat="0" applyFill="0" applyAlignment="0" applyProtection="0"/>
    <xf numFmtId="0" fontId="94" fillId="0" borderId="90" applyNumberFormat="0" applyFill="0" applyAlignment="0" applyProtection="0"/>
    <xf numFmtId="0" fontId="94" fillId="0" borderId="90" applyNumberFormat="0" applyFill="0" applyAlignment="0" applyProtection="0"/>
    <xf numFmtId="0" fontId="95" fillId="51"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66" fillId="0" borderId="0"/>
    <xf numFmtId="0" fontId="16" fillId="0" borderId="0"/>
    <xf numFmtId="0" fontId="16" fillId="0" borderId="0"/>
    <xf numFmtId="0" fontId="16" fillId="0" borderId="0"/>
    <xf numFmtId="0" fontId="66" fillId="0" borderId="0"/>
    <xf numFmtId="0" fontId="16" fillId="0" borderId="0"/>
    <xf numFmtId="0" fontId="16" fillId="0" borderId="0"/>
    <xf numFmtId="0" fontId="16" fillId="0" borderId="0"/>
    <xf numFmtId="0" fontId="16" fillId="0" borderId="0"/>
    <xf numFmtId="0" fontId="1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3" fillId="0" borderId="0"/>
    <xf numFmtId="0" fontId="66" fillId="0" borderId="0"/>
    <xf numFmtId="0" fontId="3" fillId="0" borderId="0"/>
    <xf numFmtId="0" fontId="66" fillId="0" borderId="0"/>
    <xf numFmtId="0" fontId="6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6" fillId="0" borderId="0"/>
    <xf numFmtId="0" fontId="16" fillId="0" borderId="0"/>
    <xf numFmtId="0" fontId="16" fillId="0" borderId="0"/>
    <xf numFmtId="0" fontId="6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6" fillId="0" borderId="0"/>
    <xf numFmtId="0" fontId="16" fillId="0" borderId="0"/>
    <xf numFmtId="0" fontId="66" fillId="0" borderId="0"/>
    <xf numFmtId="0" fontId="66" fillId="0" borderId="0"/>
    <xf numFmtId="0" fontId="16" fillId="0" borderId="0"/>
    <xf numFmtId="0" fontId="66" fillId="0" borderId="0"/>
    <xf numFmtId="0" fontId="16" fillId="0" borderId="0"/>
    <xf numFmtId="0" fontId="66" fillId="0" borderId="0"/>
    <xf numFmtId="0" fontId="66" fillId="0" borderId="0"/>
    <xf numFmtId="0" fontId="16" fillId="0" borderId="0"/>
    <xf numFmtId="0" fontId="66" fillId="0" borderId="0"/>
    <xf numFmtId="0" fontId="66" fillId="0" borderId="0"/>
    <xf numFmtId="0" fontId="66" fillId="0" borderId="0"/>
    <xf numFmtId="0" fontId="66" fillId="0" borderId="0"/>
    <xf numFmtId="0" fontId="66" fillId="0" borderId="0"/>
    <xf numFmtId="0" fontId="16" fillId="0" borderId="0"/>
    <xf numFmtId="0" fontId="66" fillId="0" borderId="0"/>
    <xf numFmtId="0" fontId="66" fillId="0" borderId="0"/>
    <xf numFmtId="0" fontId="66" fillId="0" borderId="0"/>
    <xf numFmtId="0" fontId="66" fillId="0" borderId="0"/>
    <xf numFmtId="0" fontId="66" fillId="0" borderId="0"/>
    <xf numFmtId="0" fontId="16" fillId="0" borderId="0"/>
    <xf numFmtId="0" fontId="16" fillId="0" borderId="0"/>
    <xf numFmtId="0" fontId="16" fillId="0" borderId="0"/>
    <xf numFmtId="0" fontId="16" fillId="0" borderId="0"/>
    <xf numFmtId="0" fontId="16" fillId="0" borderId="0"/>
    <xf numFmtId="0" fontId="66" fillId="0" borderId="0"/>
    <xf numFmtId="0" fontId="66" fillId="0" borderId="0"/>
    <xf numFmtId="0" fontId="66" fillId="0" borderId="0"/>
    <xf numFmtId="0" fontId="16" fillId="0" borderId="0"/>
    <xf numFmtId="0" fontId="66" fillId="0" borderId="0"/>
    <xf numFmtId="0" fontId="16" fillId="0" borderId="0"/>
    <xf numFmtId="0" fontId="66" fillId="0" borderId="0"/>
    <xf numFmtId="0" fontId="66" fillId="0" borderId="0"/>
    <xf numFmtId="0" fontId="16" fillId="0" borderId="0"/>
    <xf numFmtId="0" fontId="66" fillId="0" borderId="0"/>
    <xf numFmtId="0" fontId="16" fillId="0" borderId="0"/>
    <xf numFmtId="0" fontId="66" fillId="0" borderId="0"/>
    <xf numFmtId="0" fontId="66" fillId="0" borderId="0"/>
    <xf numFmtId="0" fontId="1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16" fillId="0" borderId="0"/>
    <xf numFmtId="0" fontId="66" fillId="0" borderId="0"/>
    <xf numFmtId="0" fontId="66" fillId="0" borderId="0"/>
    <xf numFmtId="0" fontId="66" fillId="0" borderId="0"/>
    <xf numFmtId="0" fontId="16" fillId="0" borderId="0"/>
    <xf numFmtId="0" fontId="16" fillId="0" borderId="0"/>
    <xf numFmtId="0" fontId="16" fillId="0" borderId="0"/>
    <xf numFmtId="0" fontId="16" fillId="0" borderId="0"/>
    <xf numFmtId="0" fontId="16" fillId="0" borderId="0"/>
    <xf numFmtId="0" fontId="6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6" fillId="0" borderId="0"/>
    <xf numFmtId="0" fontId="16" fillId="0" borderId="0"/>
    <xf numFmtId="0" fontId="16" fillId="0" borderId="0"/>
    <xf numFmtId="0" fontId="6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6" fillId="0" borderId="0"/>
    <xf numFmtId="0" fontId="6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6" fillId="0" borderId="0"/>
    <xf numFmtId="0" fontId="16" fillId="0" borderId="0"/>
    <xf numFmtId="0" fontId="16" fillId="0" borderId="0"/>
    <xf numFmtId="0" fontId="6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6" fillId="0" borderId="0"/>
    <xf numFmtId="0" fontId="16" fillId="0" borderId="0"/>
    <xf numFmtId="0" fontId="66" fillId="0" borderId="0"/>
    <xf numFmtId="0" fontId="66" fillId="0" borderId="0"/>
    <xf numFmtId="0" fontId="16" fillId="0" borderId="0"/>
    <xf numFmtId="0" fontId="66" fillId="0" borderId="0"/>
    <xf numFmtId="0" fontId="16" fillId="0" borderId="0"/>
    <xf numFmtId="0" fontId="66" fillId="0" borderId="0"/>
    <xf numFmtId="0" fontId="66" fillId="0" borderId="0"/>
    <xf numFmtId="0" fontId="16" fillId="0" borderId="0"/>
    <xf numFmtId="0" fontId="66" fillId="0" borderId="0"/>
    <xf numFmtId="0" fontId="66" fillId="0" borderId="0"/>
    <xf numFmtId="0" fontId="66" fillId="0" borderId="0"/>
    <xf numFmtId="0" fontId="66" fillId="0" borderId="0"/>
    <xf numFmtId="0" fontId="66" fillId="0" borderId="0"/>
    <xf numFmtId="0" fontId="16" fillId="0" borderId="0"/>
    <xf numFmtId="0" fontId="66" fillId="0" borderId="0"/>
    <xf numFmtId="0" fontId="66" fillId="0" borderId="0"/>
    <xf numFmtId="0" fontId="66" fillId="0" borderId="0"/>
    <xf numFmtId="0" fontId="66" fillId="0" borderId="0"/>
    <xf numFmtId="0" fontId="66" fillId="0" borderId="0"/>
    <xf numFmtId="0" fontId="16" fillId="0" borderId="0"/>
    <xf numFmtId="0" fontId="16" fillId="0" borderId="0"/>
    <xf numFmtId="0" fontId="16" fillId="0" borderId="0"/>
    <xf numFmtId="0" fontId="16" fillId="0" borderId="0"/>
    <xf numFmtId="0" fontId="16" fillId="0" borderId="0"/>
    <xf numFmtId="0" fontId="66" fillId="0" borderId="0"/>
    <xf numFmtId="0" fontId="66" fillId="0" borderId="0"/>
    <xf numFmtId="0" fontId="66" fillId="0" borderId="0"/>
    <xf numFmtId="0" fontId="6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6" fillId="0" borderId="0"/>
    <xf numFmtId="0" fontId="16" fillId="0" borderId="0"/>
    <xf numFmtId="0" fontId="16" fillId="0" borderId="0"/>
    <xf numFmtId="0" fontId="6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6" fillId="0" borderId="0"/>
    <xf numFmtId="0" fontId="16" fillId="0" borderId="0"/>
    <xf numFmtId="0" fontId="66" fillId="0" borderId="0"/>
    <xf numFmtId="0" fontId="66" fillId="0" borderId="0"/>
    <xf numFmtId="0" fontId="16" fillId="0" borderId="0"/>
    <xf numFmtId="0" fontId="66" fillId="0" borderId="0"/>
    <xf numFmtId="0" fontId="16" fillId="0" borderId="0"/>
    <xf numFmtId="0" fontId="66" fillId="0" borderId="0"/>
    <xf numFmtId="0" fontId="66" fillId="0" borderId="0"/>
    <xf numFmtId="0" fontId="16" fillId="0" borderId="0"/>
    <xf numFmtId="0" fontId="66" fillId="0" borderId="0"/>
    <xf numFmtId="0" fontId="66" fillId="0" borderId="0"/>
    <xf numFmtId="0" fontId="66" fillId="0" borderId="0"/>
    <xf numFmtId="0" fontId="66" fillId="0" borderId="0"/>
    <xf numFmtId="0" fontId="66" fillId="0" borderId="0"/>
    <xf numFmtId="0" fontId="16" fillId="0" borderId="0"/>
    <xf numFmtId="0" fontId="66" fillId="0" borderId="0"/>
    <xf numFmtId="0" fontId="66" fillId="0" borderId="0"/>
    <xf numFmtId="0" fontId="66" fillId="0" borderId="0"/>
    <xf numFmtId="0" fontId="66" fillId="0" borderId="0"/>
    <xf numFmtId="0" fontId="66" fillId="0" borderId="0"/>
    <xf numFmtId="0" fontId="16" fillId="0" borderId="0"/>
    <xf numFmtId="0" fontId="16" fillId="0" borderId="0"/>
    <xf numFmtId="0" fontId="16" fillId="0" borderId="0"/>
    <xf numFmtId="0" fontId="16" fillId="0" borderId="0"/>
    <xf numFmtId="0" fontId="16" fillId="0" borderId="0"/>
    <xf numFmtId="0" fontId="66" fillId="0" borderId="0"/>
    <xf numFmtId="0" fontId="66" fillId="0" borderId="0"/>
    <xf numFmtId="0" fontId="85" fillId="0" borderId="0"/>
    <xf numFmtId="0" fontId="16" fillId="0" borderId="0"/>
    <xf numFmtId="0" fontId="66" fillId="0" borderId="0"/>
    <xf numFmtId="0" fontId="16" fillId="0" borderId="0"/>
    <xf numFmtId="0" fontId="66" fillId="0" borderId="0"/>
    <xf numFmtId="0" fontId="66" fillId="0" borderId="0"/>
    <xf numFmtId="0" fontId="16" fillId="0" borderId="0"/>
    <xf numFmtId="0" fontId="66" fillId="0" borderId="0"/>
    <xf numFmtId="0" fontId="16" fillId="0" borderId="0"/>
    <xf numFmtId="0" fontId="66" fillId="0" borderId="0"/>
    <xf numFmtId="0" fontId="66" fillId="0" borderId="0"/>
    <xf numFmtId="0" fontId="1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16" fillId="0" borderId="0"/>
    <xf numFmtId="0" fontId="66" fillId="0" borderId="0"/>
    <xf numFmtId="0" fontId="66" fillId="0" borderId="0"/>
    <xf numFmtId="0" fontId="66" fillId="0" borderId="0"/>
    <xf numFmtId="0" fontId="16" fillId="0" borderId="0"/>
    <xf numFmtId="0" fontId="16" fillId="0" borderId="0"/>
    <xf numFmtId="0" fontId="16" fillId="0" borderId="0"/>
    <xf numFmtId="0" fontId="16" fillId="0" borderId="0"/>
    <xf numFmtId="0" fontId="16" fillId="0" borderId="0"/>
    <xf numFmtId="0" fontId="6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6" fillId="0" borderId="0"/>
    <xf numFmtId="0" fontId="16" fillId="0" borderId="0"/>
    <xf numFmtId="0" fontId="16" fillId="0" borderId="0"/>
    <xf numFmtId="0" fontId="6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6" fillId="0" borderId="0"/>
    <xf numFmtId="0" fontId="66" fillId="0" borderId="0"/>
    <xf numFmtId="0" fontId="66" fillId="0" borderId="0"/>
    <xf numFmtId="0" fontId="66" fillId="0" borderId="0"/>
    <xf numFmtId="0" fontId="66" fillId="0" borderId="0"/>
    <xf numFmtId="0" fontId="66" fillId="0" borderId="0"/>
    <xf numFmtId="0" fontId="16" fillId="0" borderId="0"/>
    <xf numFmtId="0" fontId="66" fillId="0" borderId="0"/>
    <xf numFmtId="0" fontId="66" fillId="0" borderId="0"/>
    <xf numFmtId="0" fontId="1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16" fillId="0" borderId="0"/>
    <xf numFmtId="0" fontId="66" fillId="0" borderId="0"/>
    <xf numFmtId="0" fontId="16" fillId="0" borderId="0"/>
    <xf numFmtId="0" fontId="16" fillId="0" borderId="0"/>
    <xf numFmtId="0" fontId="66" fillId="0" borderId="0"/>
    <xf numFmtId="0" fontId="16" fillId="0" borderId="0"/>
    <xf numFmtId="0" fontId="66" fillId="0" borderId="0"/>
    <xf numFmtId="0" fontId="16" fillId="0" borderId="0"/>
    <xf numFmtId="0" fontId="16" fillId="0" borderId="0"/>
    <xf numFmtId="0" fontId="66" fillId="0" borderId="0"/>
    <xf numFmtId="0" fontId="16" fillId="0" borderId="0"/>
    <xf numFmtId="0" fontId="16" fillId="0" borderId="0"/>
    <xf numFmtId="0" fontId="66" fillId="0" borderId="0"/>
    <xf numFmtId="0" fontId="6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6" fillId="0" borderId="0"/>
    <xf numFmtId="0" fontId="16" fillId="0" borderId="0"/>
    <xf numFmtId="0" fontId="16" fillId="0" borderId="0"/>
    <xf numFmtId="0" fontId="6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6" fillId="0" borderId="0"/>
    <xf numFmtId="0" fontId="16" fillId="0" borderId="0"/>
    <xf numFmtId="0" fontId="66" fillId="0" borderId="0"/>
    <xf numFmtId="0" fontId="66" fillId="0" borderId="0"/>
    <xf numFmtId="0" fontId="16" fillId="0" borderId="0"/>
    <xf numFmtId="0" fontId="66" fillId="0" borderId="0"/>
    <xf numFmtId="0" fontId="16" fillId="0" borderId="0"/>
    <xf numFmtId="0" fontId="66" fillId="0" borderId="0"/>
    <xf numFmtId="0" fontId="66" fillId="0" borderId="0"/>
    <xf numFmtId="0" fontId="16" fillId="0" borderId="0"/>
    <xf numFmtId="0" fontId="66" fillId="0" borderId="0"/>
    <xf numFmtId="0" fontId="1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6" fillId="0" borderId="0"/>
    <xf numFmtId="0" fontId="66" fillId="0" borderId="0"/>
    <xf numFmtId="0" fontId="66" fillId="0" borderId="0"/>
    <xf numFmtId="0" fontId="66" fillId="0" borderId="0"/>
    <xf numFmtId="0" fontId="66" fillId="0" borderId="0"/>
    <xf numFmtId="0" fontId="66" fillId="0" borderId="0"/>
    <xf numFmtId="0" fontId="16" fillId="0" borderId="0"/>
    <xf numFmtId="0" fontId="66" fillId="0" borderId="0"/>
    <xf numFmtId="0" fontId="66" fillId="0" borderId="0"/>
    <xf numFmtId="0" fontId="1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16" fillId="0" borderId="0"/>
    <xf numFmtId="0" fontId="66" fillId="0" borderId="0"/>
    <xf numFmtId="0" fontId="16" fillId="0" borderId="0"/>
    <xf numFmtId="0" fontId="16" fillId="0" borderId="0"/>
    <xf numFmtId="0" fontId="66" fillId="0" borderId="0"/>
    <xf numFmtId="0" fontId="16" fillId="0" borderId="0"/>
    <xf numFmtId="0" fontId="66" fillId="0" borderId="0"/>
    <xf numFmtId="0" fontId="16" fillId="0" borderId="0"/>
    <xf numFmtId="0" fontId="16" fillId="0" borderId="0"/>
    <xf numFmtId="0" fontId="66" fillId="0" borderId="0"/>
    <xf numFmtId="0" fontId="16" fillId="0" borderId="0"/>
    <xf numFmtId="0" fontId="16" fillId="0" borderId="0"/>
    <xf numFmtId="0" fontId="66" fillId="0" borderId="0"/>
    <xf numFmtId="0" fontId="6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6" fillId="0" borderId="0"/>
    <xf numFmtId="0" fontId="16" fillId="0" borderId="0"/>
    <xf numFmtId="0" fontId="16" fillId="0" borderId="0"/>
    <xf numFmtId="0" fontId="6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6" fillId="0" borderId="0"/>
    <xf numFmtId="0" fontId="16" fillId="0" borderId="0"/>
    <xf numFmtId="0" fontId="66" fillId="0" borderId="0"/>
    <xf numFmtId="0" fontId="66" fillId="0" borderId="0"/>
    <xf numFmtId="0" fontId="16" fillId="0" borderId="0"/>
    <xf numFmtId="0" fontId="66" fillId="0" borderId="0"/>
    <xf numFmtId="0" fontId="16" fillId="0" borderId="0"/>
    <xf numFmtId="0" fontId="66" fillId="0" borderId="0"/>
    <xf numFmtId="0" fontId="66" fillId="0" borderId="0"/>
    <xf numFmtId="0" fontId="16" fillId="0" borderId="0"/>
    <xf numFmtId="0" fontId="66" fillId="0" borderId="0"/>
    <xf numFmtId="0" fontId="66" fillId="0" borderId="0"/>
    <xf numFmtId="0" fontId="6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6" fillId="0" borderId="0"/>
    <xf numFmtId="0" fontId="16" fillId="0" borderId="0"/>
    <xf numFmtId="0" fontId="16" fillId="0" borderId="0"/>
    <xf numFmtId="0" fontId="6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6" fillId="0" borderId="0"/>
    <xf numFmtId="0" fontId="16" fillId="0" borderId="0"/>
    <xf numFmtId="0" fontId="66" fillId="0" borderId="0"/>
    <xf numFmtId="0" fontId="66" fillId="0" borderId="0"/>
    <xf numFmtId="0" fontId="16" fillId="0" borderId="0"/>
    <xf numFmtId="0" fontId="66" fillId="0" borderId="0"/>
    <xf numFmtId="0" fontId="16" fillId="0" borderId="0"/>
    <xf numFmtId="0" fontId="66" fillId="0" borderId="0"/>
    <xf numFmtId="0" fontId="66" fillId="0" borderId="0"/>
    <xf numFmtId="0" fontId="16" fillId="0" borderId="0"/>
    <xf numFmtId="0" fontId="66" fillId="0" borderId="0"/>
    <xf numFmtId="0" fontId="66" fillId="0" borderId="0"/>
    <xf numFmtId="0" fontId="66" fillId="0" borderId="0"/>
    <xf numFmtId="0" fontId="66" fillId="0" borderId="0"/>
    <xf numFmtId="0" fontId="66" fillId="0" borderId="0"/>
    <xf numFmtId="0" fontId="16" fillId="0" borderId="0"/>
    <xf numFmtId="0" fontId="66" fillId="0" borderId="0"/>
    <xf numFmtId="0" fontId="66" fillId="0" borderId="0"/>
    <xf numFmtId="0" fontId="66" fillId="0" borderId="0"/>
    <xf numFmtId="0" fontId="66" fillId="0" borderId="0"/>
    <xf numFmtId="0" fontId="66" fillId="0" borderId="0"/>
    <xf numFmtId="0" fontId="16" fillId="0" borderId="0"/>
    <xf numFmtId="0" fontId="16" fillId="0" borderId="0"/>
    <xf numFmtId="0" fontId="16" fillId="0" borderId="0"/>
    <xf numFmtId="0" fontId="16" fillId="0" borderId="0"/>
    <xf numFmtId="0" fontId="1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6" fillId="0" borderId="0"/>
    <xf numFmtId="0" fontId="66" fillId="0" borderId="0"/>
    <xf numFmtId="0" fontId="66" fillId="0" borderId="0"/>
    <xf numFmtId="0" fontId="66" fillId="0" borderId="0"/>
    <xf numFmtId="0" fontId="66" fillId="0" borderId="0"/>
    <xf numFmtId="0" fontId="66" fillId="0" borderId="0"/>
    <xf numFmtId="0" fontId="16" fillId="0" borderId="0"/>
    <xf numFmtId="0" fontId="66" fillId="0" borderId="0"/>
    <xf numFmtId="0" fontId="66" fillId="0" borderId="0"/>
    <xf numFmtId="0" fontId="1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16" fillId="0" borderId="0"/>
    <xf numFmtId="0" fontId="66" fillId="0" borderId="0"/>
    <xf numFmtId="0" fontId="16" fillId="0" borderId="0"/>
    <xf numFmtId="0" fontId="16" fillId="0" borderId="0"/>
    <xf numFmtId="0" fontId="66" fillId="0" borderId="0"/>
    <xf numFmtId="0" fontId="16" fillId="0" borderId="0"/>
    <xf numFmtId="0" fontId="66" fillId="0" borderId="0"/>
    <xf numFmtId="0" fontId="16" fillId="0" borderId="0"/>
    <xf numFmtId="0" fontId="16" fillId="0" borderId="0"/>
    <xf numFmtId="0" fontId="66" fillId="0" borderId="0"/>
    <xf numFmtId="0" fontId="16" fillId="0" borderId="0"/>
    <xf numFmtId="0" fontId="16" fillId="0" borderId="0"/>
    <xf numFmtId="0" fontId="66" fillId="0" borderId="0"/>
    <xf numFmtId="0" fontId="6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6" fillId="0" borderId="0"/>
    <xf numFmtId="0" fontId="16" fillId="0" borderId="0"/>
    <xf numFmtId="0" fontId="16" fillId="0" borderId="0"/>
    <xf numFmtId="0" fontId="6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6" fillId="0" borderId="0"/>
    <xf numFmtId="0" fontId="16" fillId="0" borderId="0"/>
    <xf numFmtId="0" fontId="66" fillId="0" borderId="0"/>
    <xf numFmtId="0" fontId="66" fillId="0" borderId="0"/>
    <xf numFmtId="0" fontId="16" fillId="0" borderId="0"/>
    <xf numFmtId="0" fontId="66" fillId="0" borderId="0"/>
    <xf numFmtId="0" fontId="16" fillId="0" borderId="0"/>
    <xf numFmtId="0" fontId="66" fillId="0" borderId="0"/>
    <xf numFmtId="0" fontId="66" fillId="0" borderId="0"/>
    <xf numFmtId="0" fontId="1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16" fillId="0" borderId="0"/>
    <xf numFmtId="0" fontId="6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6" fillId="0" borderId="0"/>
    <xf numFmtId="0" fontId="66" fillId="0" borderId="0"/>
    <xf numFmtId="0" fontId="16" fillId="0" borderId="0"/>
    <xf numFmtId="0" fontId="6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16" fillId="0" borderId="0"/>
    <xf numFmtId="0" fontId="16" fillId="0" borderId="0"/>
    <xf numFmtId="0" fontId="16" fillId="0" borderId="0"/>
    <xf numFmtId="0" fontId="16" fillId="0" borderId="0"/>
    <xf numFmtId="0" fontId="66" fillId="0" borderId="0"/>
    <xf numFmtId="0" fontId="16" fillId="0" borderId="0"/>
    <xf numFmtId="0" fontId="16" fillId="0" borderId="0"/>
    <xf numFmtId="0" fontId="66" fillId="0" borderId="0"/>
    <xf numFmtId="0" fontId="16" fillId="0" borderId="0"/>
    <xf numFmtId="0" fontId="16" fillId="0" borderId="0"/>
    <xf numFmtId="0" fontId="16" fillId="0" borderId="0"/>
    <xf numFmtId="0" fontId="16" fillId="0" borderId="0"/>
    <xf numFmtId="0" fontId="1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16" fillId="0" borderId="0"/>
    <xf numFmtId="0" fontId="66" fillId="0" borderId="0"/>
    <xf numFmtId="0" fontId="66" fillId="0" borderId="0"/>
    <xf numFmtId="0" fontId="16" fillId="0" borderId="0"/>
    <xf numFmtId="0" fontId="66" fillId="0" borderId="0"/>
    <xf numFmtId="0" fontId="66" fillId="0" borderId="0"/>
    <xf numFmtId="0" fontId="16" fillId="0" borderId="0"/>
    <xf numFmtId="0" fontId="66" fillId="0" borderId="0"/>
    <xf numFmtId="0" fontId="66" fillId="0" borderId="0"/>
    <xf numFmtId="0" fontId="16" fillId="0" borderId="0"/>
    <xf numFmtId="0" fontId="66" fillId="0" borderId="0"/>
    <xf numFmtId="0" fontId="66" fillId="0" borderId="0"/>
    <xf numFmtId="0" fontId="16" fillId="0" borderId="0"/>
    <xf numFmtId="0" fontId="66" fillId="0" borderId="0"/>
    <xf numFmtId="0" fontId="66" fillId="0" borderId="0"/>
    <xf numFmtId="0" fontId="66" fillId="0" borderId="0"/>
    <xf numFmtId="0" fontId="16" fillId="0" borderId="0"/>
    <xf numFmtId="0" fontId="16" fillId="0" borderId="0"/>
    <xf numFmtId="0" fontId="66" fillId="0" borderId="0"/>
    <xf numFmtId="0" fontId="16" fillId="0" borderId="0"/>
    <xf numFmtId="0" fontId="16" fillId="0" borderId="0"/>
    <xf numFmtId="0" fontId="66" fillId="0" borderId="0"/>
    <xf numFmtId="0" fontId="66" fillId="0" borderId="0"/>
    <xf numFmtId="0" fontId="66" fillId="0" borderId="0"/>
    <xf numFmtId="0" fontId="16" fillId="0" borderId="0"/>
    <xf numFmtId="0" fontId="16" fillId="0" borderId="0"/>
    <xf numFmtId="0" fontId="16" fillId="0" borderId="0"/>
    <xf numFmtId="0" fontId="16" fillId="0" borderId="0"/>
    <xf numFmtId="0" fontId="16" fillId="0" borderId="0"/>
    <xf numFmtId="0" fontId="66" fillId="0" borderId="0"/>
    <xf numFmtId="0" fontId="16" fillId="0" borderId="0"/>
    <xf numFmtId="0" fontId="16" fillId="0" borderId="0"/>
    <xf numFmtId="0" fontId="16" fillId="0" borderId="0"/>
    <xf numFmtId="0" fontId="66" fillId="0" borderId="0"/>
    <xf numFmtId="0" fontId="66" fillId="0" borderId="0"/>
    <xf numFmtId="0" fontId="66" fillId="0" borderId="0"/>
    <xf numFmtId="0" fontId="66" fillId="0" borderId="0"/>
    <xf numFmtId="0" fontId="66" fillId="0" borderId="0"/>
    <xf numFmtId="0" fontId="66" fillId="0" borderId="0"/>
    <xf numFmtId="0" fontId="16" fillId="0" borderId="0"/>
    <xf numFmtId="0" fontId="66" fillId="0" borderId="0"/>
    <xf numFmtId="0" fontId="66" fillId="0" borderId="0"/>
    <xf numFmtId="0" fontId="66" fillId="0" borderId="0"/>
    <xf numFmtId="0" fontId="66" fillId="0" borderId="0"/>
    <xf numFmtId="0" fontId="16" fillId="0" borderId="0"/>
    <xf numFmtId="0" fontId="66" fillId="0" borderId="0"/>
    <xf numFmtId="0" fontId="66" fillId="0" borderId="0"/>
    <xf numFmtId="0" fontId="16" fillId="0" borderId="0"/>
    <xf numFmtId="0" fontId="66" fillId="0" borderId="0"/>
    <xf numFmtId="0" fontId="66" fillId="0" borderId="0"/>
    <xf numFmtId="0" fontId="16" fillId="0" borderId="0"/>
    <xf numFmtId="0" fontId="66" fillId="0" borderId="0"/>
    <xf numFmtId="0" fontId="66" fillId="0" borderId="0"/>
    <xf numFmtId="0" fontId="16" fillId="0" borderId="0"/>
    <xf numFmtId="0" fontId="66" fillId="0" borderId="0"/>
    <xf numFmtId="0" fontId="66" fillId="0" borderId="0"/>
    <xf numFmtId="0" fontId="16" fillId="0" borderId="0"/>
    <xf numFmtId="0" fontId="16" fillId="0" borderId="0"/>
    <xf numFmtId="0" fontId="1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16" fillId="0" borderId="0"/>
    <xf numFmtId="0" fontId="66" fillId="0" borderId="0"/>
    <xf numFmtId="0" fontId="66" fillId="0" borderId="0"/>
    <xf numFmtId="0" fontId="6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6" fillId="0" borderId="0"/>
    <xf numFmtId="0" fontId="16" fillId="0" borderId="0"/>
    <xf numFmtId="0" fontId="16" fillId="0" borderId="0"/>
    <xf numFmtId="0" fontId="66" fillId="0" borderId="0"/>
    <xf numFmtId="0" fontId="16" fillId="0" borderId="0"/>
    <xf numFmtId="0" fontId="16" fillId="0" borderId="0"/>
    <xf numFmtId="0" fontId="66" fillId="0" borderId="0"/>
    <xf numFmtId="0" fontId="16" fillId="0" borderId="0"/>
    <xf numFmtId="0" fontId="16" fillId="0" borderId="0"/>
    <xf numFmtId="0" fontId="66" fillId="0" borderId="0"/>
    <xf numFmtId="0" fontId="16" fillId="0" borderId="0"/>
    <xf numFmtId="0" fontId="16" fillId="0" borderId="0"/>
    <xf numFmtId="0" fontId="66" fillId="0" borderId="0"/>
    <xf numFmtId="0" fontId="16" fillId="0" borderId="0"/>
    <xf numFmtId="0" fontId="16" fillId="0" borderId="0"/>
    <xf numFmtId="0" fontId="16" fillId="0" borderId="0"/>
    <xf numFmtId="0" fontId="66" fillId="0" borderId="0"/>
    <xf numFmtId="0" fontId="16" fillId="0" borderId="0"/>
    <xf numFmtId="0" fontId="16" fillId="0" borderId="0"/>
    <xf numFmtId="0" fontId="16" fillId="0" borderId="0"/>
    <xf numFmtId="0" fontId="16" fillId="0" borderId="0"/>
    <xf numFmtId="0" fontId="66" fillId="0" borderId="0"/>
    <xf numFmtId="0" fontId="16" fillId="0" borderId="0"/>
    <xf numFmtId="0" fontId="16" fillId="0" borderId="0"/>
    <xf numFmtId="0" fontId="66" fillId="0" borderId="0"/>
    <xf numFmtId="0" fontId="16" fillId="0" borderId="0"/>
    <xf numFmtId="0" fontId="16" fillId="0" borderId="0"/>
    <xf numFmtId="0" fontId="66" fillId="0" borderId="0"/>
    <xf numFmtId="0" fontId="16" fillId="0" borderId="0"/>
    <xf numFmtId="0" fontId="16" fillId="0" borderId="0"/>
    <xf numFmtId="0" fontId="66" fillId="0" borderId="0"/>
    <xf numFmtId="0" fontId="16" fillId="0" borderId="0"/>
    <xf numFmtId="0" fontId="16" fillId="0" borderId="0"/>
    <xf numFmtId="0" fontId="66" fillId="0" borderId="0"/>
    <xf numFmtId="0" fontId="66" fillId="0" borderId="0"/>
    <xf numFmtId="0" fontId="6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6" fillId="0" borderId="0"/>
    <xf numFmtId="0" fontId="16" fillId="0" borderId="0"/>
    <xf numFmtId="0" fontId="16" fillId="0" borderId="0"/>
    <xf numFmtId="0" fontId="1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16" fillId="0" borderId="0"/>
    <xf numFmtId="0" fontId="66" fillId="0" borderId="0"/>
    <xf numFmtId="0" fontId="66" fillId="0" borderId="0"/>
    <xf numFmtId="0" fontId="16" fillId="0" borderId="0"/>
    <xf numFmtId="0" fontId="66" fillId="0" borderId="0"/>
    <xf numFmtId="0" fontId="66" fillId="0" borderId="0"/>
    <xf numFmtId="0" fontId="16" fillId="0" borderId="0"/>
    <xf numFmtId="0" fontId="66" fillId="0" borderId="0"/>
    <xf numFmtId="0" fontId="66" fillId="0" borderId="0"/>
    <xf numFmtId="0" fontId="16" fillId="0" borderId="0"/>
    <xf numFmtId="0" fontId="66" fillId="0" borderId="0"/>
    <xf numFmtId="0" fontId="66" fillId="0" borderId="0"/>
    <xf numFmtId="0" fontId="16" fillId="0" borderId="0"/>
    <xf numFmtId="0" fontId="66" fillId="0" borderId="0"/>
    <xf numFmtId="0" fontId="66" fillId="0" borderId="0"/>
    <xf numFmtId="0" fontId="66" fillId="0" borderId="0"/>
    <xf numFmtId="0" fontId="66" fillId="0" borderId="0"/>
    <xf numFmtId="0" fontId="16" fillId="0" borderId="0"/>
    <xf numFmtId="0" fontId="6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6" fillId="0" borderId="0"/>
    <xf numFmtId="0" fontId="66" fillId="0" borderId="0"/>
    <xf numFmtId="0" fontId="16" fillId="0" borderId="0"/>
    <xf numFmtId="0" fontId="6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6" fillId="0" borderId="0"/>
    <xf numFmtId="0" fontId="66" fillId="0" borderId="0"/>
    <xf numFmtId="0" fontId="16" fillId="0" borderId="0"/>
    <xf numFmtId="0" fontId="6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6" fillId="0" borderId="0"/>
    <xf numFmtId="0" fontId="66" fillId="0" borderId="0"/>
    <xf numFmtId="0" fontId="16" fillId="0" borderId="0"/>
    <xf numFmtId="0" fontId="6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6" fillId="0" borderId="0"/>
    <xf numFmtId="0" fontId="66" fillId="0" borderId="0"/>
    <xf numFmtId="0" fontId="16" fillId="0" borderId="0"/>
    <xf numFmtId="0" fontId="6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6" fillId="0" borderId="0"/>
    <xf numFmtId="0" fontId="66" fillId="0" borderId="0"/>
    <xf numFmtId="0" fontId="16" fillId="0" borderId="0"/>
    <xf numFmtId="0" fontId="6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6" fillId="0" borderId="0"/>
    <xf numFmtId="0" fontId="66" fillId="0" borderId="0"/>
    <xf numFmtId="0" fontId="16" fillId="0" borderId="0"/>
    <xf numFmtId="0" fontId="6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6" fillId="0" borderId="0"/>
    <xf numFmtId="0" fontId="66" fillId="0" borderId="0"/>
    <xf numFmtId="0" fontId="16" fillId="0" borderId="0"/>
    <xf numFmtId="0" fontId="16" fillId="0" borderId="0"/>
    <xf numFmtId="0" fontId="16" fillId="0" borderId="0"/>
    <xf numFmtId="0" fontId="66" fillId="0" borderId="0"/>
    <xf numFmtId="0" fontId="1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16" fillId="0" borderId="0"/>
    <xf numFmtId="0" fontId="16" fillId="0" borderId="0"/>
    <xf numFmtId="0" fontId="16" fillId="0" borderId="0"/>
    <xf numFmtId="0" fontId="16" fillId="0" borderId="0"/>
    <xf numFmtId="0" fontId="16" fillId="0" borderId="0"/>
    <xf numFmtId="0" fontId="66" fillId="0" borderId="0"/>
    <xf numFmtId="0" fontId="6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16" fillId="0" borderId="0"/>
    <xf numFmtId="0" fontId="16" fillId="0" borderId="0"/>
    <xf numFmtId="0" fontId="16" fillId="0" borderId="0"/>
    <xf numFmtId="0" fontId="16"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16" fillId="0" borderId="0"/>
    <xf numFmtId="0" fontId="16" fillId="0" borderId="0"/>
    <xf numFmtId="0" fontId="16" fillId="0" borderId="0"/>
    <xf numFmtId="0" fontId="16" fillId="0" borderId="0"/>
    <xf numFmtId="0" fontId="1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16" fillId="0" borderId="0"/>
    <xf numFmtId="0" fontId="66" fillId="0" borderId="0"/>
    <xf numFmtId="0" fontId="66" fillId="0" borderId="0"/>
    <xf numFmtId="0" fontId="66" fillId="0" borderId="0"/>
    <xf numFmtId="0" fontId="16" fillId="0" borderId="0"/>
    <xf numFmtId="0" fontId="66" fillId="0" borderId="0"/>
    <xf numFmtId="0" fontId="66" fillId="0" borderId="0"/>
    <xf numFmtId="0" fontId="66" fillId="0" borderId="0"/>
    <xf numFmtId="0" fontId="66" fillId="0" borderId="0"/>
    <xf numFmtId="0" fontId="66" fillId="0" borderId="0"/>
    <xf numFmtId="0" fontId="16" fillId="0" borderId="0"/>
    <xf numFmtId="0" fontId="66" fillId="0" borderId="0"/>
    <xf numFmtId="0" fontId="66" fillId="0" borderId="0"/>
    <xf numFmtId="0" fontId="1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16" fillId="0" borderId="0"/>
    <xf numFmtId="0" fontId="16" fillId="0" borderId="0"/>
    <xf numFmtId="0" fontId="16" fillId="0" borderId="0"/>
    <xf numFmtId="0" fontId="66" fillId="0" borderId="0"/>
    <xf numFmtId="0" fontId="6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6" fillId="0" borderId="0"/>
    <xf numFmtId="0" fontId="66" fillId="0" borderId="0"/>
    <xf numFmtId="0" fontId="66" fillId="0" borderId="0"/>
    <xf numFmtId="0" fontId="66" fillId="0" borderId="0"/>
    <xf numFmtId="0" fontId="16" fillId="0" borderId="0"/>
    <xf numFmtId="0" fontId="3" fillId="0" borderId="0"/>
    <xf numFmtId="0" fontId="16" fillId="0" borderId="0"/>
    <xf numFmtId="0" fontId="16" fillId="0" borderId="0"/>
    <xf numFmtId="0" fontId="16" fillId="0" borderId="0"/>
    <xf numFmtId="0" fontId="3"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16" fillId="0" borderId="0"/>
    <xf numFmtId="0" fontId="66" fillId="0" borderId="0"/>
    <xf numFmtId="0" fontId="16" fillId="0" borderId="0"/>
    <xf numFmtId="0" fontId="66" fillId="0" borderId="0"/>
    <xf numFmtId="0" fontId="16" fillId="0" borderId="0"/>
    <xf numFmtId="0" fontId="16" fillId="0" borderId="0"/>
    <xf numFmtId="0" fontId="16" fillId="0" borderId="0"/>
    <xf numFmtId="0" fontId="66" fillId="0" borderId="0"/>
    <xf numFmtId="0" fontId="16" fillId="0" borderId="0"/>
    <xf numFmtId="0" fontId="16" fillId="0" borderId="0"/>
    <xf numFmtId="0" fontId="16" fillId="0" borderId="0"/>
    <xf numFmtId="0" fontId="66" fillId="0" borderId="0"/>
    <xf numFmtId="0" fontId="66" fillId="0" borderId="0"/>
    <xf numFmtId="0" fontId="16" fillId="0" borderId="0"/>
    <xf numFmtId="0" fontId="16" fillId="0" borderId="0"/>
    <xf numFmtId="0" fontId="66" fillId="0" borderId="0"/>
    <xf numFmtId="0" fontId="66" fillId="0" borderId="0"/>
    <xf numFmtId="0" fontId="66" fillId="0" borderId="0"/>
    <xf numFmtId="0" fontId="16" fillId="0" borderId="0"/>
    <xf numFmtId="0" fontId="16" fillId="0" borderId="0"/>
    <xf numFmtId="0" fontId="66" fillId="0" borderId="0"/>
    <xf numFmtId="0" fontId="16" fillId="0" borderId="0"/>
    <xf numFmtId="0" fontId="66" fillId="0" borderId="0"/>
    <xf numFmtId="0" fontId="66" fillId="0" borderId="0"/>
    <xf numFmtId="0" fontId="66" fillId="0" borderId="0"/>
    <xf numFmtId="0" fontId="16" fillId="0" borderId="0"/>
    <xf numFmtId="0" fontId="16" fillId="0" borderId="0"/>
    <xf numFmtId="0" fontId="16" fillId="0" borderId="0"/>
    <xf numFmtId="0" fontId="3"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16" fillId="0" borderId="0"/>
    <xf numFmtId="0" fontId="16" fillId="0" borderId="0"/>
    <xf numFmtId="0" fontId="3" fillId="0" borderId="0"/>
    <xf numFmtId="0" fontId="16" fillId="0" borderId="0"/>
    <xf numFmtId="0" fontId="16" fillId="0" borderId="0"/>
    <xf numFmtId="0" fontId="16" fillId="0" borderId="0"/>
    <xf numFmtId="0" fontId="3" fillId="0" borderId="0"/>
    <xf numFmtId="0" fontId="16"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16" fillId="0" borderId="0"/>
    <xf numFmtId="0" fontId="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16" fillId="0" borderId="0"/>
    <xf numFmtId="0" fontId="16" fillId="0" borderId="0"/>
    <xf numFmtId="0" fontId="16" fillId="0" borderId="0"/>
    <xf numFmtId="0" fontId="16"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16" fillId="0" borderId="0"/>
    <xf numFmtId="0" fontId="16" fillId="0" borderId="0"/>
    <xf numFmtId="0" fontId="3" fillId="0" borderId="0"/>
    <xf numFmtId="0" fontId="16" fillId="0" borderId="0"/>
    <xf numFmtId="0" fontId="16" fillId="0" borderId="0"/>
    <xf numFmtId="0" fontId="16" fillId="0" borderId="0"/>
    <xf numFmtId="0" fontId="3" fillId="0" borderId="0"/>
    <xf numFmtId="0" fontId="16"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16" fillId="0" borderId="0"/>
    <xf numFmtId="0" fontId="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16" fillId="0" borderId="0"/>
    <xf numFmtId="0" fontId="16" fillId="0" borderId="0"/>
    <xf numFmtId="0" fontId="16" fillId="0" borderId="0"/>
    <xf numFmtId="0" fontId="16"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1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1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16" fillId="0" borderId="0"/>
    <xf numFmtId="0" fontId="16" fillId="0" borderId="0"/>
    <xf numFmtId="0" fontId="16" fillId="0" borderId="0"/>
    <xf numFmtId="0" fontId="16" fillId="0" borderId="0"/>
    <xf numFmtId="0" fontId="1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1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16" fillId="0" borderId="0"/>
    <xf numFmtId="0" fontId="16" fillId="0" borderId="0"/>
    <xf numFmtId="0" fontId="16" fillId="0" borderId="0"/>
    <xf numFmtId="0" fontId="16" fillId="0" borderId="0"/>
    <xf numFmtId="0" fontId="1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1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16" fillId="0" borderId="0"/>
    <xf numFmtId="0" fontId="16" fillId="0" borderId="0"/>
    <xf numFmtId="0" fontId="16" fillId="0" borderId="0"/>
    <xf numFmtId="0" fontId="16" fillId="0" borderId="0"/>
    <xf numFmtId="0" fontId="1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3" fillId="0" borderId="0"/>
    <xf numFmtId="0" fontId="3"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16" fillId="0" borderId="0"/>
    <xf numFmtId="0" fontId="6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6" fillId="0" borderId="0"/>
    <xf numFmtId="0" fontId="16" fillId="0" borderId="0"/>
    <xf numFmtId="0" fontId="16" fillId="0" borderId="0"/>
    <xf numFmtId="0" fontId="6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6" fillId="0" borderId="0"/>
    <xf numFmtId="0" fontId="16" fillId="0" borderId="0"/>
    <xf numFmtId="0" fontId="66" fillId="0" borderId="0"/>
    <xf numFmtId="0" fontId="66" fillId="0" borderId="0"/>
    <xf numFmtId="0" fontId="16" fillId="0" borderId="0"/>
    <xf numFmtId="0" fontId="66" fillId="0" borderId="0"/>
    <xf numFmtId="0" fontId="16" fillId="0" borderId="0"/>
    <xf numFmtId="0" fontId="66" fillId="0" borderId="0"/>
    <xf numFmtId="0" fontId="66" fillId="0" borderId="0"/>
    <xf numFmtId="0" fontId="16" fillId="0" borderId="0"/>
    <xf numFmtId="0" fontId="66" fillId="0" borderId="0"/>
    <xf numFmtId="0" fontId="66" fillId="0" borderId="0"/>
    <xf numFmtId="0" fontId="66" fillId="0" borderId="0"/>
    <xf numFmtId="0" fontId="66" fillId="0" borderId="0"/>
    <xf numFmtId="0" fontId="66" fillId="0" borderId="0"/>
    <xf numFmtId="0" fontId="16" fillId="0" borderId="0"/>
    <xf numFmtId="0" fontId="66" fillId="0" borderId="0"/>
    <xf numFmtId="0" fontId="66" fillId="0" borderId="0"/>
    <xf numFmtId="0" fontId="66" fillId="0" borderId="0"/>
    <xf numFmtId="0" fontId="66" fillId="0" borderId="0"/>
    <xf numFmtId="0" fontId="66" fillId="0" borderId="0"/>
    <xf numFmtId="0" fontId="16" fillId="0" borderId="0"/>
    <xf numFmtId="0" fontId="16" fillId="0" borderId="0"/>
    <xf numFmtId="0" fontId="16" fillId="0" borderId="0"/>
    <xf numFmtId="0" fontId="16" fillId="0" borderId="0"/>
    <xf numFmtId="0" fontId="16" fillId="0" borderId="0"/>
    <xf numFmtId="0" fontId="66" fillId="0" borderId="0"/>
    <xf numFmtId="0" fontId="66" fillId="0" borderId="0"/>
    <xf numFmtId="0" fontId="16" fillId="0" borderId="0"/>
    <xf numFmtId="0" fontId="6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6" fillId="0" borderId="0"/>
    <xf numFmtId="0" fontId="16" fillId="0" borderId="0"/>
    <xf numFmtId="0" fontId="16" fillId="0" borderId="0"/>
    <xf numFmtId="0" fontId="6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6" fillId="0" borderId="0"/>
    <xf numFmtId="0" fontId="16" fillId="0" borderId="0"/>
    <xf numFmtId="0" fontId="66" fillId="0" borderId="0"/>
    <xf numFmtId="0" fontId="66" fillId="0" borderId="0"/>
    <xf numFmtId="0" fontId="16" fillId="0" borderId="0"/>
    <xf numFmtId="0" fontId="66" fillId="0" borderId="0"/>
    <xf numFmtId="0" fontId="16" fillId="0" borderId="0"/>
    <xf numFmtId="0" fontId="66" fillId="0" borderId="0"/>
    <xf numFmtId="0" fontId="66" fillId="0" borderId="0"/>
    <xf numFmtId="0" fontId="16" fillId="0" borderId="0"/>
    <xf numFmtId="0" fontId="66" fillId="0" borderId="0"/>
    <xf numFmtId="0" fontId="66" fillId="0" borderId="0"/>
    <xf numFmtId="0" fontId="66" fillId="0" borderId="0"/>
    <xf numFmtId="0" fontId="66" fillId="0" borderId="0"/>
    <xf numFmtId="0" fontId="66" fillId="0" borderId="0"/>
    <xf numFmtId="0" fontId="16" fillId="0" borderId="0"/>
    <xf numFmtId="0" fontId="66" fillId="0" borderId="0"/>
    <xf numFmtId="0" fontId="66" fillId="0" borderId="0"/>
    <xf numFmtId="0" fontId="66" fillId="0" borderId="0"/>
    <xf numFmtId="0" fontId="66" fillId="0" borderId="0"/>
    <xf numFmtId="0" fontId="66" fillId="0" borderId="0"/>
    <xf numFmtId="0" fontId="16" fillId="0" borderId="0"/>
    <xf numFmtId="0" fontId="16" fillId="0" borderId="0"/>
    <xf numFmtId="0" fontId="16" fillId="0" borderId="0"/>
    <xf numFmtId="0" fontId="16" fillId="0" borderId="0"/>
    <xf numFmtId="0" fontId="1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66" fillId="0" borderId="0"/>
    <xf numFmtId="0" fontId="66" fillId="0" borderId="0"/>
    <xf numFmtId="0" fontId="66" fillId="0" borderId="0"/>
    <xf numFmtId="0" fontId="66" fillId="0" borderId="0"/>
    <xf numFmtId="0" fontId="3"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3" fillId="0" borderId="0"/>
    <xf numFmtId="0" fontId="3"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66" fillId="0" borderId="0"/>
    <xf numFmtId="0" fontId="3" fillId="0" borderId="0"/>
    <xf numFmtId="0" fontId="66" fillId="0" borderId="0"/>
    <xf numFmtId="0" fontId="66" fillId="0" borderId="0"/>
    <xf numFmtId="0" fontId="66" fillId="0" borderId="0"/>
    <xf numFmtId="0" fontId="3"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3" fillId="0" borderId="0"/>
    <xf numFmtId="0" fontId="3"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66" fillId="0" borderId="0"/>
    <xf numFmtId="0" fontId="3" fillId="0" borderId="0"/>
    <xf numFmtId="0" fontId="66" fillId="0" borderId="0"/>
    <xf numFmtId="0" fontId="66" fillId="0" borderId="0"/>
    <xf numFmtId="0" fontId="66" fillId="0" borderId="0"/>
    <xf numFmtId="0" fontId="3"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66" fillId="0" borderId="0"/>
    <xf numFmtId="0" fontId="66"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66" fillId="0" borderId="0"/>
    <xf numFmtId="0" fontId="66"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3" fillId="0" borderId="0"/>
    <xf numFmtId="0" fontId="3" fillId="0" borderId="0"/>
    <xf numFmtId="0" fontId="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16" fillId="0" borderId="0"/>
    <xf numFmtId="0" fontId="16"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6" fillId="0" borderId="0"/>
    <xf numFmtId="0" fontId="66" fillId="0" borderId="0"/>
    <xf numFmtId="0" fontId="66" fillId="0" borderId="0"/>
    <xf numFmtId="0" fontId="66" fillId="0" borderId="0"/>
    <xf numFmtId="0" fontId="66" fillId="0" borderId="0"/>
    <xf numFmtId="0" fontId="66" fillId="0" borderId="0"/>
    <xf numFmtId="0" fontId="16" fillId="0" borderId="0"/>
    <xf numFmtId="0" fontId="66" fillId="0" borderId="0"/>
    <xf numFmtId="0" fontId="66" fillId="0" borderId="0"/>
    <xf numFmtId="0" fontId="1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16" fillId="0" borderId="0"/>
    <xf numFmtId="0" fontId="66" fillId="0" borderId="0"/>
    <xf numFmtId="0" fontId="16" fillId="0" borderId="0"/>
    <xf numFmtId="0" fontId="16" fillId="0" borderId="0"/>
    <xf numFmtId="0" fontId="66" fillId="0" borderId="0"/>
    <xf numFmtId="0" fontId="16" fillId="0" borderId="0"/>
    <xf numFmtId="0" fontId="66" fillId="0" borderId="0"/>
    <xf numFmtId="0" fontId="16" fillId="0" borderId="0"/>
    <xf numFmtId="0" fontId="16" fillId="0" borderId="0"/>
    <xf numFmtId="0" fontId="66" fillId="0" borderId="0"/>
    <xf numFmtId="0" fontId="16"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3" fillId="0" borderId="0"/>
    <xf numFmtId="0" fontId="3" fillId="0" borderId="0"/>
    <xf numFmtId="0" fontId="3"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16" fillId="0" borderId="0"/>
    <xf numFmtId="0" fontId="16"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16" fillId="0" borderId="0"/>
    <xf numFmtId="0" fontId="16"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16" fillId="0" borderId="0"/>
    <xf numFmtId="0" fontId="16"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6" fillId="0" borderId="0"/>
    <xf numFmtId="0" fontId="66" fillId="0" borderId="0"/>
    <xf numFmtId="0" fontId="66" fillId="0" borderId="0"/>
    <xf numFmtId="0" fontId="66" fillId="0" borderId="0"/>
    <xf numFmtId="0" fontId="66" fillId="0" borderId="0"/>
    <xf numFmtId="0" fontId="66" fillId="0" borderId="0"/>
    <xf numFmtId="0" fontId="16" fillId="0" borderId="0"/>
    <xf numFmtId="0" fontId="66" fillId="0" borderId="0"/>
    <xf numFmtId="0" fontId="66" fillId="0" borderId="0"/>
    <xf numFmtId="0" fontId="1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16" fillId="0" borderId="0"/>
    <xf numFmtId="0" fontId="66" fillId="0" borderId="0"/>
    <xf numFmtId="0" fontId="16" fillId="0" borderId="0"/>
    <xf numFmtId="0" fontId="16" fillId="0" borderId="0"/>
    <xf numFmtId="0" fontId="66" fillId="0" borderId="0"/>
    <xf numFmtId="0" fontId="16" fillId="0" borderId="0"/>
    <xf numFmtId="0" fontId="66" fillId="0" borderId="0"/>
    <xf numFmtId="0" fontId="16" fillId="0" borderId="0"/>
    <xf numFmtId="0" fontId="16" fillId="0" borderId="0"/>
    <xf numFmtId="0" fontId="66" fillId="0" borderId="0"/>
    <xf numFmtId="0" fontId="16"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3" fillId="0" borderId="0"/>
    <xf numFmtId="0" fontId="3" fillId="0" borderId="0"/>
    <xf numFmtId="0" fontId="3"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16" fillId="0" borderId="0"/>
    <xf numFmtId="0" fontId="16"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16" fillId="0" borderId="0"/>
    <xf numFmtId="0" fontId="16"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16" fillId="0" borderId="0"/>
    <xf numFmtId="0" fontId="16"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66" fillId="0" borderId="0"/>
    <xf numFmtId="0" fontId="66" fillId="0" borderId="0"/>
    <xf numFmtId="0" fontId="66" fillId="0" borderId="0"/>
    <xf numFmtId="0" fontId="3" fillId="0" borderId="0"/>
    <xf numFmtId="0" fontId="66" fillId="0" borderId="0"/>
    <xf numFmtId="0" fontId="3" fillId="0" borderId="0"/>
    <xf numFmtId="0" fontId="3"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6" fillId="0" borderId="0"/>
    <xf numFmtId="0" fontId="66" fillId="0" borderId="0"/>
    <xf numFmtId="0" fontId="66" fillId="0" borderId="0"/>
    <xf numFmtId="0" fontId="66" fillId="0" borderId="0"/>
    <xf numFmtId="0" fontId="66" fillId="0" borderId="0"/>
    <xf numFmtId="0" fontId="66" fillId="0" borderId="0"/>
    <xf numFmtId="0" fontId="16" fillId="0" borderId="0"/>
    <xf numFmtId="0" fontId="66" fillId="0" borderId="0"/>
    <xf numFmtId="0" fontId="66" fillId="0" borderId="0"/>
    <xf numFmtId="0" fontId="1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16" fillId="0" borderId="0"/>
    <xf numFmtId="0" fontId="66" fillId="0" borderId="0"/>
    <xf numFmtId="0" fontId="16" fillId="0" borderId="0"/>
    <xf numFmtId="0" fontId="16" fillId="0" borderId="0"/>
    <xf numFmtId="0" fontId="66" fillId="0" borderId="0"/>
    <xf numFmtId="0" fontId="16" fillId="0" borderId="0"/>
    <xf numFmtId="0" fontId="66" fillId="0" borderId="0"/>
    <xf numFmtId="0" fontId="16" fillId="0" borderId="0"/>
    <xf numFmtId="0" fontId="16" fillId="0" borderId="0"/>
    <xf numFmtId="0" fontId="66" fillId="0" borderId="0"/>
    <xf numFmtId="0" fontId="16"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3" fillId="0" borderId="0"/>
    <xf numFmtId="0" fontId="3" fillId="0" borderId="0"/>
    <xf numFmtId="0" fontId="3"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16" fillId="0" borderId="0"/>
    <xf numFmtId="0" fontId="16"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16" fillId="0" borderId="0"/>
    <xf numFmtId="0" fontId="16"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16" fillId="0" borderId="0"/>
    <xf numFmtId="0" fontId="16"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16" fillId="0" borderId="0"/>
    <xf numFmtId="0" fontId="16" fillId="0" borderId="0"/>
    <xf numFmtId="0" fontId="16" fillId="0" borderId="0"/>
    <xf numFmtId="0" fontId="16" fillId="0" borderId="0"/>
    <xf numFmtId="0" fontId="16" fillId="0" borderId="0"/>
    <xf numFmtId="0" fontId="66" fillId="0" borderId="0"/>
    <xf numFmtId="0" fontId="3" fillId="0" borderId="0"/>
    <xf numFmtId="0" fontId="66" fillId="0" borderId="0"/>
    <xf numFmtId="0" fontId="66" fillId="0" borderId="0"/>
    <xf numFmtId="0" fontId="66" fillId="0" borderId="0"/>
    <xf numFmtId="0" fontId="3" fillId="0" borderId="0"/>
    <xf numFmtId="0" fontId="66" fillId="0" borderId="0"/>
    <xf numFmtId="0" fontId="85" fillId="0" borderId="0"/>
    <xf numFmtId="0" fontId="85" fillId="0" borderId="0"/>
    <xf numFmtId="0" fontId="85" fillId="0" borderId="0"/>
    <xf numFmtId="0" fontId="16" fillId="0" borderId="0"/>
    <xf numFmtId="0" fontId="16" fillId="0" borderId="0"/>
    <xf numFmtId="0" fontId="16" fillId="0" borderId="0"/>
    <xf numFmtId="0" fontId="66" fillId="0" borderId="0"/>
    <xf numFmtId="0" fontId="66" fillId="0" borderId="0"/>
    <xf numFmtId="0" fontId="66" fillId="0" borderId="0"/>
    <xf numFmtId="0" fontId="16" fillId="0" borderId="0"/>
    <xf numFmtId="0" fontId="1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16" fillId="0" borderId="0"/>
    <xf numFmtId="0" fontId="66" fillId="0" borderId="0"/>
    <xf numFmtId="0" fontId="66" fillId="0" borderId="0"/>
    <xf numFmtId="0" fontId="66" fillId="0" borderId="0"/>
    <xf numFmtId="0" fontId="6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16" fillId="0" borderId="0"/>
    <xf numFmtId="0" fontId="16" fillId="0" borderId="0"/>
    <xf numFmtId="0" fontId="16" fillId="0" borderId="0"/>
    <xf numFmtId="0" fontId="1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16" fillId="0" borderId="0"/>
    <xf numFmtId="0" fontId="16" fillId="0" borderId="0"/>
    <xf numFmtId="0" fontId="16" fillId="0" borderId="0"/>
    <xf numFmtId="0" fontId="16" fillId="0" borderId="0"/>
    <xf numFmtId="0" fontId="16" fillId="0" borderId="0"/>
    <xf numFmtId="0" fontId="66" fillId="0" borderId="0"/>
    <xf numFmtId="0" fontId="66" fillId="0" borderId="0"/>
    <xf numFmtId="0" fontId="3" fillId="0" borderId="0"/>
    <xf numFmtId="0" fontId="66" fillId="0" borderId="0"/>
    <xf numFmtId="0" fontId="3" fillId="0" borderId="0"/>
    <xf numFmtId="0" fontId="3" fillId="0" borderId="0"/>
    <xf numFmtId="0" fontId="66"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16" fillId="0" borderId="0"/>
    <xf numFmtId="0" fontId="16" fillId="0" borderId="0"/>
    <xf numFmtId="0" fontId="66" fillId="0" borderId="0"/>
    <xf numFmtId="0" fontId="66" fillId="0" borderId="0"/>
    <xf numFmtId="0" fontId="66" fillId="0" borderId="0"/>
    <xf numFmtId="0" fontId="16" fillId="0" borderId="0"/>
    <xf numFmtId="0" fontId="1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16" fillId="0" borderId="0"/>
    <xf numFmtId="0" fontId="66" fillId="0" borderId="0"/>
    <xf numFmtId="0" fontId="66" fillId="0" borderId="0"/>
    <xf numFmtId="0" fontId="66" fillId="0" borderId="0"/>
    <xf numFmtId="0" fontId="6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6" fillId="0" borderId="0"/>
    <xf numFmtId="0" fontId="66" fillId="0" borderId="0"/>
    <xf numFmtId="0" fontId="66" fillId="0" borderId="0"/>
    <xf numFmtId="0" fontId="66" fillId="0" borderId="0"/>
    <xf numFmtId="0" fontId="66" fillId="0" borderId="0"/>
    <xf numFmtId="0" fontId="66" fillId="0" borderId="0"/>
    <xf numFmtId="0" fontId="16" fillId="0" borderId="0"/>
    <xf numFmtId="0" fontId="16" fillId="0" borderId="0"/>
    <xf numFmtId="0" fontId="16" fillId="0" borderId="0"/>
    <xf numFmtId="0" fontId="1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16" fillId="0" borderId="0"/>
    <xf numFmtId="0" fontId="96" fillId="0" borderId="0"/>
    <xf numFmtId="0" fontId="66" fillId="0" borderId="0"/>
    <xf numFmtId="0" fontId="96" fillId="0" borderId="0"/>
    <xf numFmtId="0" fontId="96" fillId="0" borderId="0"/>
    <xf numFmtId="0" fontId="66" fillId="0" borderId="0"/>
    <xf numFmtId="0" fontId="96" fillId="0" borderId="0"/>
    <xf numFmtId="0" fontId="66" fillId="0" borderId="0"/>
    <xf numFmtId="0" fontId="96" fillId="0" borderId="0"/>
    <xf numFmtId="0" fontId="96" fillId="0" borderId="0"/>
    <xf numFmtId="0" fontId="6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16" fillId="0" borderId="0"/>
    <xf numFmtId="0" fontId="96" fillId="0" borderId="0"/>
    <xf numFmtId="0" fontId="96" fillId="0" borderId="0"/>
    <xf numFmtId="0" fontId="96" fillId="0" borderId="0"/>
    <xf numFmtId="0" fontId="9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16" fillId="0" borderId="0"/>
    <xf numFmtId="0" fontId="16" fillId="0" borderId="0"/>
    <xf numFmtId="0" fontId="16" fillId="0" borderId="0"/>
    <xf numFmtId="0" fontId="16" fillId="0" borderId="0"/>
    <xf numFmtId="0" fontId="16" fillId="0" borderId="0"/>
    <xf numFmtId="0" fontId="66" fillId="0" borderId="0"/>
    <xf numFmtId="0" fontId="66" fillId="0" borderId="0"/>
    <xf numFmtId="0" fontId="1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16" fillId="0" borderId="0"/>
    <xf numFmtId="0" fontId="16" fillId="0" borderId="0"/>
    <xf numFmtId="0" fontId="16" fillId="0" borderId="0"/>
    <xf numFmtId="0" fontId="1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16" fillId="0" borderId="0"/>
    <xf numFmtId="0" fontId="16" fillId="0" borderId="0"/>
    <xf numFmtId="0" fontId="66" fillId="0" borderId="0"/>
    <xf numFmtId="0" fontId="66" fillId="0" borderId="0"/>
    <xf numFmtId="0" fontId="16" fillId="0" borderId="0"/>
    <xf numFmtId="0" fontId="16" fillId="0" borderId="0"/>
    <xf numFmtId="0" fontId="16" fillId="0" borderId="0"/>
    <xf numFmtId="0" fontId="66" fillId="0" borderId="0"/>
    <xf numFmtId="0" fontId="66" fillId="0" borderId="0"/>
    <xf numFmtId="0" fontId="1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16" fillId="0" borderId="0"/>
    <xf numFmtId="0" fontId="16" fillId="0" borderId="0"/>
    <xf numFmtId="0" fontId="16" fillId="0" borderId="0"/>
    <xf numFmtId="0" fontId="1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52" borderId="91" applyNumberFormat="0" applyFont="0" applyAlignment="0" applyProtection="0"/>
    <xf numFmtId="0" fontId="66" fillId="52" borderId="91" applyNumberFormat="0" applyFont="0" applyAlignment="0" applyProtection="0"/>
    <xf numFmtId="0" fontId="66" fillId="52" borderId="91" applyNumberFormat="0" applyFont="0" applyAlignment="0" applyProtection="0"/>
    <xf numFmtId="0" fontId="66" fillId="52" borderId="91" applyNumberFormat="0" applyFont="0" applyAlignment="0" applyProtection="0"/>
    <xf numFmtId="0" fontId="66" fillId="52" borderId="91" applyNumberFormat="0" applyFont="0" applyAlignment="0" applyProtection="0"/>
    <xf numFmtId="0" fontId="66" fillId="52" borderId="91" applyNumberFormat="0" applyFont="0" applyAlignment="0" applyProtection="0"/>
    <xf numFmtId="0" fontId="66" fillId="52" borderId="91" applyNumberFormat="0" applyFont="0" applyAlignment="0" applyProtection="0"/>
    <xf numFmtId="0" fontId="66" fillId="52" borderId="91" applyNumberFormat="0" applyFont="0" applyAlignment="0" applyProtection="0"/>
    <xf numFmtId="0" fontId="66" fillId="52" borderId="91" applyNumberFormat="0" applyFont="0" applyAlignment="0" applyProtection="0"/>
    <xf numFmtId="0" fontId="66" fillId="52" borderId="91" applyNumberFormat="0" applyFont="0" applyAlignment="0" applyProtection="0"/>
    <xf numFmtId="0" fontId="66" fillId="52" borderId="91" applyNumberFormat="0" applyFont="0" applyAlignment="0" applyProtection="0"/>
    <xf numFmtId="0" fontId="66" fillId="52" borderId="91" applyNumberFormat="0" applyFont="0" applyAlignment="0" applyProtection="0"/>
    <xf numFmtId="0" fontId="66" fillId="52" borderId="91" applyNumberFormat="0" applyFont="0" applyAlignment="0" applyProtection="0"/>
    <xf numFmtId="0" fontId="66" fillId="52" borderId="91" applyNumberFormat="0" applyFont="0" applyAlignment="0" applyProtection="0"/>
    <xf numFmtId="0" fontId="66" fillId="52" borderId="91" applyNumberFormat="0" applyFont="0" applyAlignment="0" applyProtection="0"/>
    <xf numFmtId="0" fontId="66" fillId="52" borderId="91" applyNumberFormat="0" applyFont="0" applyAlignment="0" applyProtection="0"/>
    <xf numFmtId="0" fontId="66" fillId="52" borderId="91" applyNumberFormat="0" applyFont="0" applyAlignment="0" applyProtection="0"/>
    <xf numFmtId="0" fontId="66" fillId="52" borderId="91" applyNumberFormat="0" applyFont="0" applyAlignment="0" applyProtection="0"/>
    <xf numFmtId="0" fontId="66" fillId="52" borderId="91" applyNumberFormat="0" applyFont="0" applyAlignment="0" applyProtection="0"/>
    <xf numFmtId="0" fontId="66" fillId="52" borderId="91" applyNumberFormat="0" applyFont="0" applyAlignment="0" applyProtection="0"/>
    <xf numFmtId="0" fontId="66" fillId="52" borderId="91" applyNumberFormat="0" applyFont="0" applyAlignment="0" applyProtection="0"/>
    <xf numFmtId="0" fontId="66" fillId="52" borderId="91" applyNumberFormat="0" applyFont="0" applyAlignment="0" applyProtection="0"/>
    <xf numFmtId="0" fontId="66" fillId="52" borderId="91" applyNumberFormat="0" applyFont="0" applyAlignment="0" applyProtection="0"/>
    <xf numFmtId="0" fontId="66" fillId="52" borderId="91" applyNumberFormat="0" applyFont="0" applyAlignment="0" applyProtection="0"/>
    <xf numFmtId="0" fontId="66" fillId="52" borderId="91" applyNumberFormat="0" applyFont="0" applyAlignment="0" applyProtection="0"/>
    <xf numFmtId="0" fontId="66" fillId="52" borderId="91" applyNumberFormat="0" applyFont="0" applyAlignment="0" applyProtection="0"/>
    <xf numFmtId="0" fontId="66" fillId="52" borderId="91" applyNumberFormat="0" applyFont="0" applyAlignment="0" applyProtection="0"/>
    <xf numFmtId="0" fontId="66" fillId="52" borderId="91" applyNumberFormat="0" applyFont="0" applyAlignment="0" applyProtection="0"/>
    <xf numFmtId="0" fontId="16" fillId="52" borderId="91" applyNumberFormat="0" applyFont="0" applyAlignment="0" applyProtection="0"/>
    <xf numFmtId="0" fontId="16" fillId="52" borderId="91" applyNumberFormat="0" applyFont="0" applyAlignment="0" applyProtection="0"/>
    <xf numFmtId="0" fontId="16" fillId="52" borderId="91" applyNumberFormat="0" applyFont="0" applyAlignment="0" applyProtection="0"/>
    <xf numFmtId="0" fontId="66" fillId="52" borderId="91" applyNumberFormat="0" applyFont="0" applyAlignment="0" applyProtection="0"/>
    <xf numFmtId="0" fontId="16" fillId="52" borderId="91" applyNumberFormat="0" applyFont="0" applyAlignment="0" applyProtection="0"/>
    <xf numFmtId="0" fontId="16" fillId="52" borderId="91" applyNumberFormat="0" applyFont="0" applyAlignment="0" applyProtection="0"/>
    <xf numFmtId="0" fontId="16" fillId="52" borderId="91" applyNumberFormat="0" applyFont="0" applyAlignment="0" applyProtection="0"/>
    <xf numFmtId="0" fontId="16" fillId="52" borderId="91" applyNumberFormat="0" applyFont="0" applyAlignment="0" applyProtection="0"/>
    <xf numFmtId="0" fontId="16" fillId="52" borderId="91" applyNumberFormat="0" applyFont="0" applyAlignment="0" applyProtection="0"/>
    <xf numFmtId="0" fontId="16" fillId="52" borderId="91" applyNumberFormat="0" applyFont="0" applyAlignment="0" applyProtection="0"/>
    <xf numFmtId="0" fontId="66" fillId="52" borderId="91" applyNumberFormat="0" applyFont="0" applyAlignment="0" applyProtection="0"/>
    <xf numFmtId="0" fontId="66" fillId="52" borderId="91" applyNumberFormat="0" applyFont="0" applyAlignment="0" applyProtection="0"/>
    <xf numFmtId="0" fontId="66" fillId="52" borderId="91" applyNumberFormat="0" applyFont="0" applyAlignment="0" applyProtection="0"/>
    <xf numFmtId="0" fontId="66" fillId="52" borderId="91" applyNumberFormat="0" applyFont="0" applyAlignment="0" applyProtection="0"/>
    <xf numFmtId="0" fontId="66" fillId="52" borderId="91" applyNumberFormat="0" applyFont="0" applyAlignment="0" applyProtection="0"/>
    <xf numFmtId="0" fontId="16" fillId="52" borderId="91" applyNumberFormat="0" applyFont="0" applyAlignment="0" applyProtection="0"/>
    <xf numFmtId="0" fontId="16" fillId="52" borderId="91" applyNumberFormat="0" applyFont="0" applyAlignment="0" applyProtection="0"/>
    <xf numFmtId="0" fontId="16" fillId="52" borderId="91" applyNumberFormat="0" applyFont="0" applyAlignment="0" applyProtection="0"/>
    <xf numFmtId="0" fontId="16" fillId="52" borderId="91" applyNumberFormat="0" applyFont="0" applyAlignment="0" applyProtection="0"/>
    <xf numFmtId="0" fontId="16" fillId="52" borderId="91" applyNumberFormat="0" applyFont="0" applyAlignment="0" applyProtection="0"/>
    <xf numFmtId="0" fontId="16" fillId="52" borderId="91" applyNumberFormat="0" applyFont="0" applyAlignment="0" applyProtection="0"/>
    <xf numFmtId="0" fontId="16" fillId="52" borderId="91" applyNumberFormat="0" applyFont="0" applyAlignment="0" applyProtection="0"/>
    <xf numFmtId="0" fontId="16" fillId="52" borderId="91" applyNumberFormat="0" applyFont="0" applyAlignment="0" applyProtection="0"/>
    <xf numFmtId="0" fontId="16" fillId="52" borderId="91" applyNumberFormat="0" applyFont="0" applyAlignment="0" applyProtection="0"/>
    <xf numFmtId="0" fontId="66" fillId="52" borderId="91" applyNumberFormat="0" applyFont="0" applyAlignment="0" applyProtection="0"/>
    <xf numFmtId="0" fontId="16" fillId="52" borderId="91" applyNumberFormat="0" applyFont="0" applyAlignment="0" applyProtection="0"/>
    <xf numFmtId="0" fontId="66" fillId="52" borderId="91" applyNumberFormat="0" applyFont="0" applyAlignment="0" applyProtection="0"/>
    <xf numFmtId="0" fontId="66" fillId="52" borderId="91" applyNumberFormat="0" applyFont="0" applyAlignment="0" applyProtection="0"/>
    <xf numFmtId="0" fontId="66" fillId="52" borderId="91" applyNumberFormat="0" applyFont="0" applyAlignment="0" applyProtection="0"/>
    <xf numFmtId="0" fontId="16" fillId="52" borderId="91" applyNumberFormat="0" applyFont="0" applyAlignment="0" applyProtection="0"/>
    <xf numFmtId="0" fontId="66" fillId="52" borderId="91" applyNumberFormat="0" applyFont="0" applyAlignment="0" applyProtection="0"/>
    <xf numFmtId="0" fontId="66" fillId="52" borderId="91" applyNumberFormat="0" applyFont="0" applyAlignment="0" applyProtection="0"/>
    <xf numFmtId="0" fontId="16" fillId="52" borderId="91" applyNumberFormat="0" applyFont="0" applyAlignment="0" applyProtection="0"/>
    <xf numFmtId="0" fontId="66" fillId="52" borderId="91" applyNumberFormat="0" applyFont="0" applyAlignment="0" applyProtection="0"/>
    <xf numFmtId="0" fontId="66" fillId="52" borderId="91" applyNumberFormat="0" applyFont="0" applyAlignment="0" applyProtection="0"/>
    <xf numFmtId="0" fontId="16" fillId="52" borderId="91" applyNumberFormat="0" applyFont="0" applyAlignment="0" applyProtection="0"/>
    <xf numFmtId="0" fontId="66" fillId="52" borderId="91" applyNumberFormat="0" applyFont="0" applyAlignment="0" applyProtection="0"/>
    <xf numFmtId="0" fontId="66" fillId="52" borderId="91" applyNumberFormat="0" applyFont="0" applyAlignment="0" applyProtection="0"/>
    <xf numFmtId="0" fontId="16" fillId="52" borderId="91" applyNumberFormat="0" applyFont="0" applyAlignment="0" applyProtection="0"/>
    <xf numFmtId="0" fontId="66" fillId="52" borderId="91" applyNumberFormat="0" applyFont="0" applyAlignment="0" applyProtection="0"/>
    <xf numFmtId="0" fontId="66" fillId="52" borderId="91" applyNumberFormat="0" applyFont="0" applyAlignment="0" applyProtection="0"/>
    <xf numFmtId="0" fontId="16" fillId="52" borderId="91" applyNumberFormat="0" applyFont="0" applyAlignment="0" applyProtection="0"/>
    <xf numFmtId="0" fontId="66" fillId="52" borderId="91" applyNumberFormat="0" applyFont="0" applyAlignment="0" applyProtection="0"/>
    <xf numFmtId="0" fontId="66" fillId="52" borderId="91" applyNumberFormat="0" applyFont="0" applyAlignment="0" applyProtection="0"/>
    <xf numFmtId="0" fontId="16" fillId="52" borderId="91" applyNumberFormat="0" applyFont="0" applyAlignment="0" applyProtection="0"/>
    <xf numFmtId="0" fontId="16" fillId="52" borderId="91" applyNumberFormat="0" applyFont="0" applyAlignment="0" applyProtection="0"/>
    <xf numFmtId="0" fontId="16" fillId="52" borderId="91" applyNumberFormat="0" applyFont="0" applyAlignment="0" applyProtection="0"/>
    <xf numFmtId="0" fontId="16" fillId="52" borderId="91" applyNumberFormat="0" applyFont="0" applyAlignment="0" applyProtection="0"/>
    <xf numFmtId="0" fontId="66" fillId="52" borderId="91" applyNumberFormat="0" applyFont="0" applyAlignment="0" applyProtection="0"/>
    <xf numFmtId="0" fontId="66" fillId="52" borderId="91" applyNumberFormat="0" applyFont="0" applyAlignment="0" applyProtection="0"/>
    <xf numFmtId="0" fontId="16" fillId="52" borderId="91" applyNumberFormat="0" applyFont="0" applyAlignment="0" applyProtection="0"/>
    <xf numFmtId="0" fontId="66" fillId="52" borderId="91" applyNumberFormat="0" applyFont="0" applyAlignment="0" applyProtection="0"/>
    <xf numFmtId="0" fontId="66" fillId="52" borderId="91" applyNumberFormat="0" applyFont="0" applyAlignment="0" applyProtection="0"/>
    <xf numFmtId="0" fontId="16" fillId="52" borderId="91" applyNumberFormat="0" applyFont="0" applyAlignment="0" applyProtection="0"/>
    <xf numFmtId="0" fontId="66" fillId="52" borderId="91" applyNumberFormat="0" applyFont="0" applyAlignment="0" applyProtection="0"/>
    <xf numFmtId="0" fontId="66" fillId="52" borderId="91" applyNumberFormat="0" applyFont="0" applyAlignment="0" applyProtection="0"/>
    <xf numFmtId="0" fontId="66" fillId="52" borderId="91" applyNumberFormat="0" applyFont="0" applyAlignment="0" applyProtection="0"/>
    <xf numFmtId="0" fontId="66" fillId="52" borderId="91" applyNumberFormat="0" applyFont="0" applyAlignment="0" applyProtection="0"/>
    <xf numFmtId="0" fontId="66" fillId="52" borderId="91" applyNumberFormat="0" applyFont="0" applyAlignment="0" applyProtection="0"/>
    <xf numFmtId="0" fontId="66" fillId="52" borderId="91" applyNumberFormat="0" applyFont="0" applyAlignment="0" applyProtection="0"/>
    <xf numFmtId="0" fontId="66" fillId="52" borderId="91" applyNumberFormat="0" applyFont="0" applyAlignment="0" applyProtection="0"/>
    <xf numFmtId="0" fontId="66" fillId="52" borderId="91" applyNumberFormat="0" applyFont="0" applyAlignment="0" applyProtection="0"/>
    <xf numFmtId="0" fontId="16" fillId="52" borderId="91" applyNumberFormat="0" applyFont="0" applyAlignment="0" applyProtection="0"/>
    <xf numFmtId="0" fontId="66" fillId="52" borderId="91" applyNumberFormat="0" applyFont="0" applyAlignment="0" applyProtection="0"/>
    <xf numFmtId="0" fontId="66" fillId="52" borderId="91" applyNumberFormat="0" applyFont="0" applyAlignment="0" applyProtection="0"/>
    <xf numFmtId="0" fontId="66" fillId="52" borderId="91" applyNumberFormat="0" applyFont="0" applyAlignment="0" applyProtection="0"/>
    <xf numFmtId="0" fontId="66" fillId="52" borderId="91" applyNumberFormat="0" applyFont="0" applyAlignment="0" applyProtection="0"/>
    <xf numFmtId="0" fontId="16" fillId="52" borderId="91" applyNumberFormat="0" applyFont="0" applyAlignment="0" applyProtection="0"/>
    <xf numFmtId="0" fontId="16" fillId="52" borderId="91" applyNumberFormat="0" applyFont="0" applyAlignment="0" applyProtection="0"/>
    <xf numFmtId="0" fontId="16" fillId="52" borderId="91" applyNumberFormat="0" applyFont="0" applyAlignment="0" applyProtection="0"/>
    <xf numFmtId="0" fontId="16" fillId="52" borderId="91" applyNumberFormat="0" applyFont="0" applyAlignment="0" applyProtection="0"/>
    <xf numFmtId="0" fontId="66" fillId="52" borderId="91" applyNumberFormat="0" applyFont="0" applyAlignment="0" applyProtection="0"/>
    <xf numFmtId="0" fontId="66" fillId="52" borderId="91" applyNumberFormat="0" applyFont="0" applyAlignment="0" applyProtection="0"/>
    <xf numFmtId="0" fontId="66" fillId="52" borderId="91" applyNumberFormat="0" applyFont="0" applyAlignment="0" applyProtection="0"/>
    <xf numFmtId="0" fontId="16" fillId="52" borderId="91" applyNumberFormat="0" applyFont="0" applyAlignment="0" applyProtection="0"/>
    <xf numFmtId="0" fontId="16" fillId="52" borderId="91" applyNumberFormat="0" applyFont="0" applyAlignment="0" applyProtection="0"/>
    <xf numFmtId="0" fontId="16" fillId="52" borderId="91" applyNumberFormat="0" applyFont="0" applyAlignment="0" applyProtection="0"/>
    <xf numFmtId="0" fontId="16" fillId="52" borderId="91" applyNumberFormat="0" applyFont="0" applyAlignment="0" applyProtection="0"/>
    <xf numFmtId="0" fontId="16" fillId="52" borderId="91" applyNumberFormat="0" applyFont="0" applyAlignment="0" applyProtection="0"/>
    <xf numFmtId="0" fontId="16" fillId="52" borderId="91" applyNumberFormat="0" applyFont="0" applyAlignment="0" applyProtection="0"/>
    <xf numFmtId="0" fontId="16" fillId="52" borderId="91" applyNumberFormat="0" applyFont="0" applyAlignment="0" applyProtection="0"/>
    <xf numFmtId="0" fontId="16" fillId="52" borderId="91" applyNumberFormat="0" applyFont="0" applyAlignment="0" applyProtection="0"/>
    <xf numFmtId="0" fontId="16" fillId="52" borderId="91" applyNumberFormat="0" applyFont="0" applyAlignment="0" applyProtection="0"/>
    <xf numFmtId="0" fontId="16" fillId="52" borderId="91" applyNumberFormat="0" applyFont="0" applyAlignment="0" applyProtection="0"/>
    <xf numFmtId="0" fontId="66" fillId="52" borderId="91" applyNumberFormat="0" applyFont="0" applyAlignment="0" applyProtection="0"/>
    <xf numFmtId="0" fontId="16" fillId="52" borderId="91" applyNumberFormat="0" applyFont="0" applyAlignment="0" applyProtection="0"/>
    <xf numFmtId="0" fontId="16" fillId="52" borderId="91" applyNumberFormat="0" applyFont="0" applyAlignment="0" applyProtection="0"/>
    <xf numFmtId="0" fontId="66" fillId="52" borderId="91" applyNumberFormat="0" applyFont="0" applyAlignment="0" applyProtection="0"/>
    <xf numFmtId="0" fontId="16" fillId="52" borderId="91" applyNumberFormat="0" applyFont="0" applyAlignment="0" applyProtection="0"/>
    <xf numFmtId="0" fontId="16" fillId="52" borderId="91" applyNumberFormat="0" applyFont="0" applyAlignment="0" applyProtection="0"/>
    <xf numFmtId="0" fontId="66" fillId="52" borderId="91" applyNumberFormat="0" applyFont="0" applyAlignment="0" applyProtection="0"/>
    <xf numFmtId="0" fontId="16" fillId="52" borderId="91" applyNumberFormat="0" applyFont="0" applyAlignment="0" applyProtection="0"/>
    <xf numFmtId="0" fontId="16" fillId="52" borderId="91" applyNumberFormat="0" applyFont="0" applyAlignment="0" applyProtection="0"/>
    <xf numFmtId="0" fontId="66" fillId="52" borderId="91" applyNumberFormat="0" applyFont="0" applyAlignment="0" applyProtection="0"/>
    <xf numFmtId="0" fontId="16" fillId="52" borderId="91" applyNumberFormat="0" applyFont="0" applyAlignment="0" applyProtection="0"/>
    <xf numFmtId="0" fontId="16" fillId="52" borderId="91" applyNumberFormat="0" applyFont="0" applyAlignment="0" applyProtection="0"/>
    <xf numFmtId="0" fontId="66" fillId="52" borderId="91" applyNumberFormat="0" applyFont="0" applyAlignment="0" applyProtection="0"/>
    <xf numFmtId="0" fontId="16" fillId="52" borderId="91" applyNumberFormat="0" applyFont="0" applyAlignment="0" applyProtection="0"/>
    <xf numFmtId="0" fontId="16" fillId="52" borderId="91" applyNumberFormat="0" applyFont="0" applyAlignment="0" applyProtection="0"/>
    <xf numFmtId="0" fontId="16" fillId="52" borderId="91" applyNumberFormat="0" applyFont="0" applyAlignment="0" applyProtection="0"/>
    <xf numFmtId="0" fontId="66" fillId="52" borderId="91" applyNumberFormat="0" applyFont="0" applyAlignment="0" applyProtection="0"/>
    <xf numFmtId="0" fontId="66" fillId="52" borderId="91" applyNumberFormat="0" applyFont="0" applyAlignment="0" applyProtection="0"/>
    <xf numFmtId="0" fontId="66" fillId="52" borderId="91" applyNumberFormat="0" applyFont="0" applyAlignment="0" applyProtection="0"/>
    <xf numFmtId="0" fontId="66" fillId="52" borderId="91" applyNumberFormat="0" applyFont="0" applyAlignment="0" applyProtection="0"/>
    <xf numFmtId="0" fontId="66" fillId="52" borderId="91" applyNumberFormat="0" applyFont="0" applyAlignment="0" applyProtection="0"/>
    <xf numFmtId="0" fontId="66" fillId="52" borderId="91" applyNumberFormat="0" applyFont="0" applyAlignment="0" applyProtection="0"/>
    <xf numFmtId="0" fontId="16" fillId="52" borderId="91" applyNumberFormat="0" applyFont="0" applyAlignment="0" applyProtection="0"/>
    <xf numFmtId="0" fontId="16" fillId="52" borderId="91" applyNumberFormat="0" applyFont="0" applyAlignment="0" applyProtection="0"/>
    <xf numFmtId="0" fontId="16" fillId="52" borderId="91" applyNumberFormat="0" applyFont="0" applyAlignment="0" applyProtection="0"/>
    <xf numFmtId="0" fontId="16" fillId="52" borderId="91" applyNumberFormat="0" applyFont="0" applyAlignment="0" applyProtection="0"/>
    <xf numFmtId="0" fontId="16" fillId="52" borderId="91" applyNumberFormat="0" applyFont="0" applyAlignment="0" applyProtection="0"/>
    <xf numFmtId="0" fontId="16" fillId="52" borderId="91" applyNumberFormat="0" applyFont="0" applyAlignment="0" applyProtection="0"/>
    <xf numFmtId="0" fontId="16" fillId="52" borderId="91" applyNumberFormat="0" applyFont="0" applyAlignment="0" applyProtection="0"/>
    <xf numFmtId="0" fontId="16" fillId="52" borderId="91" applyNumberFormat="0" applyFont="0" applyAlignment="0" applyProtection="0"/>
    <xf numFmtId="0" fontId="16" fillId="52" borderId="91" applyNumberFormat="0" applyFont="0" applyAlignment="0" applyProtection="0"/>
    <xf numFmtId="0" fontId="16" fillId="52" borderId="91" applyNumberFormat="0" applyFont="0" applyAlignment="0" applyProtection="0"/>
    <xf numFmtId="0" fontId="16" fillId="52" borderId="91" applyNumberFormat="0" applyFont="0" applyAlignment="0" applyProtection="0"/>
    <xf numFmtId="0" fontId="16" fillId="52" borderId="91" applyNumberFormat="0" applyFont="0" applyAlignment="0" applyProtection="0"/>
    <xf numFmtId="0" fontId="16" fillId="52" borderId="91" applyNumberFormat="0" applyFont="0" applyAlignment="0" applyProtection="0"/>
    <xf numFmtId="0" fontId="16" fillId="52" borderId="91" applyNumberFormat="0" applyFont="0" applyAlignment="0" applyProtection="0"/>
    <xf numFmtId="0" fontId="16" fillId="52" borderId="91" applyNumberFormat="0" applyFont="0" applyAlignment="0" applyProtection="0"/>
    <xf numFmtId="0" fontId="16" fillId="52" borderId="91" applyNumberFormat="0" applyFont="0" applyAlignment="0" applyProtection="0"/>
    <xf numFmtId="0" fontId="16" fillId="52" borderId="91" applyNumberFormat="0" applyFont="0" applyAlignment="0" applyProtection="0"/>
    <xf numFmtId="0" fontId="16" fillId="52" borderId="91" applyNumberFormat="0" applyFont="0" applyAlignment="0" applyProtection="0"/>
    <xf numFmtId="0" fontId="16" fillId="52" borderId="91" applyNumberFormat="0" applyFont="0" applyAlignment="0" applyProtection="0"/>
    <xf numFmtId="0" fontId="66" fillId="52" borderId="91" applyNumberFormat="0" applyFont="0" applyAlignment="0" applyProtection="0"/>
    <xf numFmtId="0" fontId="66" fillId="52" borderId="91" applyNumberFormat="0" applyFont="0" applyAlignment="0" applyProtection="0"/>
    <xf numFmtId="0" fontId="66" fillId="52" borderId="91" applyNumberFormat="0" applyFont="0" applyAlignment="0" applyProtection="0"/>
    <xf numFmtId="0" fontId="66" fillId="52" borderId="91" applyNumberFormat="0" applyFont="0" applyAlignment="0" applyProtection="0"/>
    <xf numFmtId="0" fontId="66" fillId="52" borderId="91" applyNumberFormat="0" applyFont="0" applyAlignment="0" applyProtection="0"/>
    <xf numFmtId="0" fontId="66" fillId="52" borderId="91" applyNumberFormat="0" applyFont="0" applyAlignment="0" applyProtection="0"/>
    <xf numFmtId="0" fontId="66" fillId="52" borderId="91" applyNumberFormat="0" applyFont="0" applyAlignment="0" applyProtection="0"/>
    <xf numFmtId="0" fontId="66" fillId="52" borderId="91" applyNumberFormat="0" applyFont="0" applyAlignment="0" applyProtection="0"/>
    <xf numFmtId="0" fontId="66" fillId="52" borderId="91" applyNumberFormat="0" applyFont="0" applyAlignment="0" applyProtection="0"/>
    <xf numFmtId="0" fontId="66" fillId="52" borderId="91" applyNumberFormat="0" applyFont="0" applyAlignment="0" applyProtection="0"/>
    <xf numFmtId="0" fontId="66" fillId="52" borderId="91" applyNumberFormat="0" applyFont="0" applyAlignment="0" applyProtection="0"/>
    <xf numFmtId="0" fontId="66" fillId="52" borderId="91" applyNumberFormat="0" applyFont="0" applyAlignment="0" applyProtection="0"/>
    <xf numFmtId="0" fontId="66" fillId="52" borderId="91" applyNumberFormat="0" applyFont="0" applyAlignment="0" applyProtection="0"/>
    <xf numFmtId="0" fontId="66" fillId="52" borderId="91" applyNumberFormat="0" applyFont="0" applyAlignment="0" applyProtection="0"/>
    <xf numFmtId="0" fontId="66" fillId="52" borderId="91" applyNumberFormat="0" applyFont="0" applyAlignment="0" applyProtection="0"/>
    <xf numFmtId="0" fontId="66" fillId="52" borderId="91" applyNumberFormat="0" applyFont="0" applyAlignment="0" applyProtection="0"/>
    <xf numFmtId="0" fontId="66" fillId="52" borderId="91" applyNumberFormat="0" applyFont="0" applyAlignment="0" applyProtection="0"/>
    <xf numFmtId="0" fontId="66" fillId="52" borderId="91" applyNumberFormat="0" applyFont="0" applyAlignment="0" applyProtection="0"/>
    <xf numFmtId="0" fontId="97" fillId="47" borderId="92" applyNumberFormat="0" applyAlignment="0" applyProtection="0"/>
    <xf numFmtId="0" fontId="97" fillId="47" borderId="92" applyNumberFormat="0" applyAlignment="0" applyProtection="0"/>
    <xf numFmtId="0" fontId="97" fillId="47" borderId="92" applyNumberFormat="0" applyAlignment="0" applyProtection="0"/>
    <xf numFmtId="0" fontId="97" fillId="47" borderId="92" applyNumberFormat="0" applyAlignment="0" applyProtection="0"/>
    <xf numFmtId="0" fontId="97" fillId="47" borderId="92" applyNumberFormat="0" applyAlignment="0" applyProtection="0"/>
    <xf numFmtId="0" fontId="97" fillId="47" borderId="92" applyNumberFormat="0" applyAlignment="0" applyProtection="0"/>
    <xf numFmtId="0" fontId="97" fillId="47" borderId="92" applyNumberFormat="0" applyAlignment="0" applyProtection="0"/>
    <xf numFmtId="0" fontId="97" fillId="47" borderId="92" applyNumberFormat="0" applyAlignment="0" applyProtection="0"/>
    <xf numFmtId="0" fontId="97" fillId="47" borderId="92" applyNumberFormat="0" applyAlignment="0" applyProtection="0"/>
    <xf numFmtId="0" fontId="97" fillId="47" borderId="92" applyNumberFormat="0" applyAlignment="0" applyProtection="0"/>
    <xf numFmtId="0" fontId="97" fillId="47" borderId="92" applyNumberFormat="0" applyAlignment="0" applyProtection="0"/>
    <xf numFmtId="0" fontId="97" fillId="47" borderId="92" applyNumberFormat="0" applyAlignment="0" applyProtection="0"/>
    <xf numFmtId="0" fontId="97" fillId="47" borderId="92" applyNumberFormat="0" applyAlignment="0" applyProtection="0"/>
    <xf numFmtId="0" fontId="97" fillId="47" borderId="92" applyNumberFormat="0" applyAlignment="0" applyProtection="0"/>
    <xf numFmtId="0" fontId="97" fillId="47" borderId="92" applyNumberFormat="0" applyAlignment="0" applyProtection="0"/>
    <xf numFmtId="0" fontId="97" fillId="47" borderId="92" applyNumberFormat="0" applyAlignment="0" applyProtection="0"/>
    <xf numFmtId="0" fontId="97" fillId="47" borderId="92" applyNumberFormat="0" applyAlignment="0" applyProtection="0"/>
    <xf numFmtId="0" fontId="97" fillId="47" borderId="92" applyNumberFormat="0" applyAlignment="0" applyProtection="0"/>
    <xf numFmtId="0" fontId="97" fillId="47" borderId="92" applyNumberFormat="0" applyAlignment="0" applyProtection="0"/>
    <xf numFmtId="0" fontId="97" fillId="47" borderId="92" applyNumberFormat="0" applyAlignment="0" applyProtection="0"/>
    <xf numFmtId="0" fontId="97" fillId="47" borderId="92" applyNumberFormat="0" applyAlignment="0" applyProtection="0"/>
    <xf numFmtId="0" fontId="97" fillId="47" borderId="92" applyNumberFormat="0" applyAlignment="0" applyProtection="0"/>
    <xf numFmtId="0" fontId="97" fillId="47" borderId="92" applyNumberFormat="0" applyAlignment="0" applyProtection="0"/>
    <xf numFmtId="0" fontId="97" fillId="47" borderId="92" applyNumberFormat="0" applyAlignment="0" applyProtection="0"/>
    <xf numFmtId="0" fontId="97" fillId="47" borderId="92" applyNumberFormat="0" applyAlignment="0" applyProtection="0"/>
    <xf numFmtId="0" fontId="97" fillId="47" borderId="92" applyNumberFormat="0" applyAlignment="0" applyProtection="0"/>
    <xf numFmtId="0" fontId="97" fillId="47" borderId="92" applyNumberFormat="0" applyAlignment="0" applyProtection="0"/>
    <xf numFmtId="0" fontId="97" fillId="47" borderId="92" applyNumberFormat="0" applyAlignment="0" applyProtection="0"/>
    <xf numFmtId="0" fontId="97" fillId="47" borderId="92" applyNumberFormat="0" applyAlignment="0" applyProtection="0"/>
    <xf numFmtId="0" fontId="97" fillId="47" borderId="92" applyNumberFormat="0" applyAlignment="0" applyProtection="0"/>
    <xf numFmtId="0" fontId="97" fillId="47" borderId="92" applyNumberFormat="0" applyAlignment="0" applyProtection="0"/>
    <xf numFmtId="0" fontId="97" fillId="47" borderId="92" applyNumberFormat="0" applyAlignment="0" applyProtection="0"/>
    <xf numFmtId="0" fontId="97" fillId="47" borderId="92" applyNumberFormat="0" applyAlignment="0" applyProtection="0"/>
    <xf numFmtId="0" fontId="97" fillId="47" borderId="92" applyNumberFormat="0" applyAlignment="0" applyProtection="0"/>
    <xf numFmtId="0" fontId="97" fillId="47" borderId="92" applyNumberFormat="0" applyAlignment="0" applyProtection="0"/>
    <xf numFmtId="0" fontId="97" fillId="47" borderId="92" applyNumberFormat="0" applyAlignment="0" applyProtection="0"/>
    <xf numFmtId="0" fontId="97" fillId="47" borderId="92" applyNumberFormat="0" applyAlignment="0" applyProtection="0"/>
    <xf numFmtId="0" fontId="97" fillId="47" borderId="92" applyNumberFormat="0" applyAlignment="0" applyProtection="0"/>
    <xf numFmtId="0" fontId="97" fillId="47" borderId="92" applyNumberFormat="0" applyAlignment="0" applyProtection="0"/>
    <xf numFmtId="0" fontId="97" fillId="47" borderId="92" applyNumberFormat="0" applyAlignment="0" applyProtection="0"/>
    <xf numFmtId="0" fontId="97" fillId="47" borderId="92" applyNumberFormat="0" applyAlignment="0" applyProtection="0"/>
    <xf numFmtId="0" fontId="97" fillId="47" borderId="92" applyNumberFormat="0" applyAlignment="0" applyProtection="0"/>
    <xf numFmtId="0" fontId="97" fillId="47" borderId="92" applyNumberFormat="0" applyAlignment="0" applyProtection="0"/>
    <xf numFmtId="0" fontId="97" fillId="47" borderId="92" applyNumberFormat="0" applyAlignment="0" applyProtection="0"/>
    <xf numFmtId="0" fontId="97" fillId="47" borderId="92" applyNumberFormat="0" applyAlignment="0" applyProtection="0"/>
    <xf numFmtId="0" fontId="97" fillId="47" borderId="92" applyNumberFormat="0" applyAlignment="0" applyProtection="0"/>
    <xf numFmtId="0" fontId="97" fillId="47" borderId="92" applyNumberFormat="0" applyAlignment="0" applyProtection="0"/>
    <xf numFmtId="0" fontId="97" fillId="47" borderId="92" applyNumberFormat="0" applyAlignment="0" applyProtection="0"/>
    <xf numFmtId="0" fontId="97" fillId="47" borderId="92" applyNumberFormat="0" applyAlignment="0" applyProtection="0"/>
    <xf numFmtId="0" fontId="97" fillId="47" borderId="92" applyNumberFormat="0" applyAlignment="0" applyProtection="0"/>
    <xf numFmtId="0" fontId="97" fillId="47" borderId="92" applyNumberFormat="0" applyAlignment="0" applyProtection="0"/>
    <xf numFmtId="0" fontId="97" fillId="47" borderId="92" applyNumberFormat="0" applyAlignment="0" applyProtection="0"/>
    <xf numFmtId="0" fontId="97" fillId="47" borderId="92" applyNumberFormat="0" applyAlignment="0" applyProtection="0"/>
    <xf numFmtId="0" fontId="97" fillId="47" borderId="92" applyNumberFormat="0" applyAlignment="0" applyProtection="0"/>
    <xf numFmtId="0" fontId="97" fillId="47" borderId="92" applyNumberFormat="0" applyAlignment="0" applyProtection="0"/>
    <xf numFmtId="0" fontId="97" fillId="47" borderId="92" applyNumberFormat="0" applyAlignment="0" applyProtection="0"/>
    <xf numFmtId="0" fontId="97" fillId="47" borderId="92" applyNumberFormat="0" applyAlignment="0" applyProtection="0"/>
    <xf numFmtId="0" fontId="97" fillId="47" borderId="92" applyNumberFormat="0" applyAlignment="0" applyProtection="0"/>
    <xf numFmtId="0" fontId="97" fillId="47" borderId="92" applyNumberFormat="0" applyAlignment="0" applyProtection="0"/>
    <xf numFmtId="0" fontId="97" fillId="47" borderId="92" applyNumberFormat="0" applyAlignment="0" applyProtection="0"/>
    <xf numFmtId="0" fontId="97" fillId="47" borderId="92" applyNumberFormat="0" applyAlignment="0" applyProtection="0"/>
    <xf numFmtId="0" fontId="97" fillId="47" borderId="92" applyNumberFormat="0" applyAlignment="0" applyProtection="0"/>
    <xf numFmtId="0" fontId="97" fillId="47" borderId="92" applyNumberFormat="0" applyAlignment="0" applyProtection="0"/>
    <xf numFmtId="0" fontId="97" fillId="47" borderId="92" applyNumberFormat="0" applyAlignment="0" applyProtection="0"/>
    <xf numFmtId="0" fontId="97" fillId="47" borderId="92" applyNumberFormat="0" applyAlignment="0" applyProtection="0"/>
    <xf numFmtId="0" fontId="97" fillId="47" borderId="92" applyNumberFormat="0" applyAlignment="0" applyProtection="0"/>
    <xf numFmtId="0" fontId="97" fillId="47" borderId="92" applyNumberFormat="0" applyAlignment="0" applyProtection="0"/>
    <xf numFmtId="0" fontId="97" fillId="47" borderId="92" applyNumberFormat="0" applyAlignment="0" applyProtection="0"/>
    <xf numFmtId="0" fontId="97" fillId="47" borderId="92" applyNumberFormat="0" applyAlignment="0" applyProtection="0"/>
    <xf numFmtId="0" fontId="97" fillId="47" borderId="92" applyNumberFormat="0" applyAlignment="0" applyProtection="0"/>
    <xf numFmtId="0" fontId="97" fillId="47" borderId="92" applyNumberFormat="0" applyAlignment="0" applyProtection="0"/>
    <xf numFmtId="0" fontId="97" fillId="47" borderId="92" applyNumberFormat="0" applyAlignment="0" applyProtection="0"/>
    <xf numFmtId="0" fontId="97" fillId="47" borderId="92" applyNumberFormat="0" applyAlignment="0" applyProtection="0"/>
    <xf numFmtId="0" fontId="97" fillId="47" borderId="92" applyNumberFormat="0" applyAlignment="0" applyProtection="0"/>
    <xf numFmtId="0" fontId="97" fillId="47" borderId="92" applyNumberFormat="0" applyAlignment="0" applyProtection="0"/>
    <xf numFmtId="0" fontId="97" fillId="47" borderId="92" applyNumberFormat="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3"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3"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3"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3" fillId="0" borderId="0" applyFont="0" applyFill="0" applyBorder="0" applyAlignment="0" applyProtection="0"/>
    <xf numFmtId="9" fontId="66"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66" fillId="0" borderId="0" applyFont="0" applyFill="0" applyBorder="0" applyAlignment="0" applyProtection="0"/>
    <xf numFmtId="9" fontId="3" fillId="0" borderId="0" applyFont="0" applyFill="0" applyBorder="0" applyAlignment="0" applyProtection="0"/>
    <xf numFmtId="9" fontId="66"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3" fillId="0" borderId="0" applyFont="0" applyFill="0" applyBorder="0" applyAlignment="0" applyProtection="0"/>
    <xf numFmtId="9" fontId="16"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6"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3"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85"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9" fillId="0" borderId="93" applyNumberFormat="0" applyFill="0" applyAlignment="0" applyProtection="0"/>
    <xf numFmtId="0" fontId="99" fillId="0" borderId="93" applyNumberFormat="0" applyFill="0" applyAlignment="0" applyProtection="0"/>
    <xf numFmtId="0" fontId="99" fillId="0" borderId="93" applyNumberFormat="0" applyFill="0" applyAlignment="0" applyProtection="0"/>
    <xf numFmtId="0" fontId="99" fillId="0" borderId="93" applyNumberFormat="0" applyFill="0" applyAlignment="0" applyProtection="0"/>
    <xf numFmtId="0" fontId="99" fillId="0" borderId="93" applyNumberFormat="0" applyFill="0" applyAlignment="0" applyProtection="0"/>
    <xf numFmtId="0" fontId="99" fillId="0" borderId="93" applyNumberFormat="0" applyFill="0" applyAlignment="0" applyProtection="0"/>
    <xf numFmtId="0" fontId="99" fillId="0" borderId="93" applyNumberFormat="0" applyFill="0" applyAlignment="0" applyProtection="0"/>
    <xf numFmtId="0" fontId="99" fillId="0" borderId="93" applyNumberFormat="0" applyFill="0" applyAlignment="0" applyProtection="0"/>
    <xf numFmtId="0" fontId="99" fillId="0" borderId="93" applyNumberFormat="0" applyFill="0" applyAlignment="0" applyProtection="0"/>
    <xf numFmtId="0" fontId="99" fillId="0" borderId="93" applyNumberFormat="0" applyFill="0" applyAlignment="0" applyProtection="0"/>
    <xf numFmtId="0" fontId="99" fillId="0" borderId="93" applyNumberFormat="0" applyFill="0" applyAlignment="0" applyProtection="0"/>
    <xf numFmtId="0" fontId="99" fillId="0" borderId="93" applyNumberFormat="0" applyFill="0" applyAlignment="0" applyProtection="0"/>
    <xf numFmtId="0" fontId="99" fillId="0" borderId="93" applyNumberFormat="0" applyFill="0" applyAlignment="0" applyProtection="0"/>
    <xf numFmtId="0" fontId="99" fillId="0" borderId="93" applyNumberFormat="0" applyFill="0" applyAlignment="0" applyProtection="0"/>
    <xf numFmtId="0" fontId="99" fillId="0" borderId="93" applyNumberFormat="0" applyFill="0" applyAlignment="0" applyProtection="0"/>
    <xf numFmtId="0" fontId="99" fillId="0" borderId="93" applyNumberFormat="0" applyFill="0" applyAlignment="0" applyProtection="0"/>
    <xf numFmtId="0" fontId="99" fillId="0" borderId="93" applyNumberFormat="0" applyFill="0" applyAlignment="0" applyProtection="0"/>
    <xf numFmtId="0" fontId="99" fillId="0" borderId="93" applyNumberFormat="0" applyFill="0" applyAlignment="0" applyProtection="0"/>
    <xf numFmtId="0" fontId="99" fillId="0" borderId="93" applyNumberFormat="0" applyFill="0" applyAlignment="0" applyProtection="0"/>
    <xf numFmtId="0" fontId="99" fillId="0" borderId="93" applyNumberFormat="0" applyFill="0" applyAlignment="0" applyProtection="0"/>
    <xf numFmtId="0" fontId="99" fillId="0" borderId="93" applyNumberFormat="0" applyFill="0" applyAlignment="0" applyProtection="0"/>
    <xf numFmtId="0" fontId="99" fillId="0" borderId="93" applyNumberFormat="0" applyFill="0" applyAlignment="0" applyProtection="0"/>
    <xf numFmtId="0" fontId="99" fillId="0" borderId="93" applyNumberFormat="0" applyFill="0" applyAlignment="0" applyProtection="0"/>
    <xf numFmtId="0" fontId="99" fillId="0" borderId="93" applyNumberFormat="0" applyFill="0" applyAlignment="0" applyProtection="0"/>
    <xf numFmtId="0" fontId="99" fillId="0" borderId="93" applyNumberFormat="0" applyFill="0" applyAlignment="0" applyProtection="0"/>
    <xf numFmtId="0" fontId="99" fillId="0" borderId="93" applyNumberFormat="0" applyFill="0" applyAlignment="0" applyProtection="0"/>
    <xf numFmtId="0" fontId="99" fillId="0" borderId="93" applyNumberFormat="0" applyFill="0" applyAlignment="0" applyProtection="0"/>
    <xf numFmtId="0" fontId="99" fillId="0" borderId="93" applyNumberFormat="0" applyFill="0" applyAlignment="0" applyProtection="0"/>
    <xf numFmtId="0" fontId="99" fillId="0" borderId="93" applyNumberFormat="0" applyFill="0" applyAlignment="0" applyProtection="0"/>
    <xf numFmtId="0" fontId="99" fillId="0" borderId="93" applyNumberFormat="0" applyFill="0" applyAlignment="0" applyProtection="0"/>
    <xf numFmtId="0" fontId="99" fillId="0" borderId="93" applyNumberFormat="0" applyFill="0" applyAlignment="0" applyProtection="0"/>
    <xf numFmtId="0" fontId="99" fillId="0" borderId="93" applyNumberFormat="0" applyFill="0" applyAlignment="0" applyProtection="0"/>
    <xf numFmtId="0" fontId="99" fillId="0" borderId="93" applyNumberFormat="0" applyFill="0" applyAlignment="0" applyProtection="0"/>
    <xf numFmtId="0" fontId="99" fillId="0" borderId="93" applyNumberFormat="0" applyFill="0" applyAlignment="0" applyProtection="0"/>
    <xf numFmtId="0" fontId="99" fillId="0" borderId="93" applyNumberFormat="0" applyFill="0" applyAlignment="0" applyProtection="0"/>
    <xf numFmtId="0" fontId="99" fillId="0" borderId="93" applyNumberFormat="0" applyFill="0" applyAlignment="0" applyProtection="0"/>
    <xf numFmtId="0" fontId="99" fillId="0" borderId="93" applyNumberFormat="0" applyFill="0" applyAlignment="0" applyProtection="0"/>
    <xf numFmtId="0" fontId="99" fillId="0" borderId="93" applyNumberFormat="0" applyFill="0" applyAlignment="0" applyProtection="0"/>
    <xf numFmtId="0" fontId="99" fillId="0" borderId="93" applyNumberFormat="0" applyFill="0" applyAlignment="0" applyProtection="0"/>
    <xf numFmtId="0" fontId="99" fillId="0" borderId="93" applyNumberFormat="0" applyFill="0" applyAlignment="0" applyProtection="0"/>
    <xf numFmtId="0" fontId="99" fillId="0" borderId="93" applyNumberFormat="0" applyFill="0" applyAlignment="0" applyProtection="0"/>
    <xf numFmtId="0" fontId="99" fillId="0" borderId="93" applyNumberFormat="0" applyFill="0" applyAlignment="0" applyProtection="0"/>
    <xf numFmtId="0" fontId="99" fillId="0" borderId="93" applyNumberFormat="0" applyFill="0" applyAlignment="0" applyProtection="0"/>
    <xf numFmtId="0" fontId="99" fillId="0" borderId="93" applyNumberFormat="0" applyFill="0" applyAlignment="0" applyProtection="0"/>
    <xf numFmtId="0" fontId="99" fillId="0" borderId="93" applyNumberFormat="0" applyFill="0" applyAlignment="0" applyProtection="0"/>
    <xf numFmtId="0" fontId="99" fillId="0" borderId="93" applyNumberFormat="0" applyFill="0" applyAlignment="0" applyProtection="0"/>
    <xf numFmtId="0" fontId="99" fillId="0" borderId="93" applyNumberFormat="0" applyFill="0" applyAlignment="0" applyProtection="0"/>
    <xf numFmtId="0" fontId="99" fillId="0" borderId="93" applyNumberFormat="0" applyFill="0" applyAlignment="0" applyProtection="0"/>
    <xf numFmtId="0" fontId="99" fillId="0" borderId="93" applyNumberFormat="0" applyFill="0" applyAlignment="0" applyProtection="0"/>
    <xf numFmtId="0" fontId="99" fillId="0" borderId="93" applyNumberFormat="0" applyFill="0" applyAlignment="0" applyProtection="0"/>
    <xf numFmtId="0" fontId="99" fillId="0" borderId="93" applyNumberFormat="0" applyFill="0" applyAlignment="0" applyProtection="0"/>
    <xf numFmtId="0" fontId="99" fillId="0" borderId="93" applyNumberFormat="0" applyFill="0" applyAlignment="0" applyProtection="0"/>
    <xf numFmtId="0" fontId="99" fillId="0" borderId="93" applyNumberFormat="0" applyFill="0" applyAlignment="0" applyProtection="0"/>
    <xf numFmtId="0" fontId="99" fillId="0" borderId="93" applyNumberFormat="0" applyFill="0" applyAlignment="0" applyProtection="0"/>
    <xf numFmtId="0" fontId="99" fillId="0" borderId="93" applyNumberFormat="0" applyFill="0" applyAlignment="0" applyProtection="0"/>
    <xf numFmtId="0" fontId="99" fillId="0" borderId="93" applyNumberFormat="0" applyFill="0" applyAlignment="0" applyProtection="0"/>
    <xf numFmtId="0" fontId="99" fillId="0" borderId="93" applyNumberFormat="0" applyFill="0" applyAlignment="0" applyProtection="0"/>
    <xf numFmtId="0" fontId="99" fillId="0" borderId="93" applyNumberFormat="0" applyFill="0" applyAlignment="0" applyProtection="0"/>
    <xf numFmtId="0" fontId="99" fillId="0" borderId="93" applyNumberFormat="0" applyFill="0" applyAlignment="0" applyProtection="0"/>
    <xf numFmtId="0" fontId="99" fillId="0" borderId="93" applyNumberFormat="0" applyFill="0" applyAlignment="0" applyProtection="0"/>
    <xf numFmtId="0" fontId="99" fillId="0" borderId="93" applyNumberFormat="0" applyFill="0" applyAlignment="0" applyProtection="0"/>
    <xf numFmtId="0" fontId="99" fillId="0" borderId="93" applyNumberFormat="0" applyFill="0" applyAlignment="0" applyProtection="0"/>
    <xf numFmtId="0" fontId="99" fillId="0" borderId="93" applyNumberFormat="0" applyFill="0" applyAlignment="0" applyProtection="0"/>
    <xf numFmtId="0" fontId="99" fillId="0" borderId="93" applyNumberFormat="0" applyFill="0" applyAlignment="0" applyProtection="0"/>
    <xf numFmtId="0" fontId="99" fillId="0" borderId="93" applyNumberFormat="0" applyFill="0" applyAlignment="0" applyProtection="0"/>
    <xf numFmtId="0" fontId="99" fillId="0" borderId="93" applyNumberFormat="0" applyFill="0" applyAlignment="0" applyProtection="0"/>
    <xf numFmtId="0" fontId="99" fillId="0" borderId="93" applyNumberFormat="0" applyFill="0" applyAlignment="0" applyProtection="0"/>
    <xf numFmtId="0" fontId="99" fillId="0" borderId="93" applyNumberFormat="0" applyFill="0" applyAlignment="0" applyProtection="0"/>
    <xf numFmtId="0" fontId="99" fillId="0" borderId="93" applyNumberFormat="0" applyFill="0" applyAlignment="0" applyProtection="0"/>
    <xf numFmtId="0" fontId="99" fillId="0" borderId="93" applyNumberFormat="0" applyFill="0" applyAlignment="0" applyProtection="0"/>
    <xf numFmtId="0" fontId="99" fillId="0" borderId="93" applyNumberFormat="0" applyFill="0" applyAlignment="0" applyProtection="0"/>
    <xf numFmtId="0" fontId="99" fillId="0" borderId="93" applyNumberFormat="0" applyFill="0" applyAlignment="0" applyProtection="0"/>
    <xf numFmtId="0" fontId="99" fillId="0" borderId="93" applyNumberFormat="0" applyFill="0" applyAlignment="0" applyProtection="0"/>
    <xf numFmtId="0" fontId="99" fillId="0" borderId="93" applyNumberFormat="0" applyFill="0" applyAlignment="0" applyProtection="0"/>
    <xf numFmtId="0" fontId="99" fillId="0" borderId="93" applyNumberFormat="0" applyFill="0" applyAlignment="0" applyProtection="0"/>
    <xf numFmtId="0" fontId="99" fillId="0" borderId="93" applyNumberFormat="0" applyFill="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3" fillId="0" borderId="0" applyNumberFormat="0" applyAlignment="0" applyProtection="0"/>
    <xf numFmtId="0" fontId="3" fillId="0" borderId="0" applyNumberFormat="0" applyAlignment="0" applyProtection="0"/>
    <xf numFmtId="0" fontId="3" fillId="0" borderId="0" applyNumberFormat="0" applyAlignment="0" applyProtection="0"/>
    <xf numFmtId="0" fontId="3" fillId="0" borderId="0" applyNumberFormat="0" applyAlignment="0" applyProtection="0"/>
    <xf numFmtId="0" fontId="24" fillId="0" borderId="0"/>
  </cellStyleXfs>
  <cellXfs count="1466">
    <xf numFmtId="0" fontId="0" fillId="0" borderId="0" xfId="0"/>
    <xf numFmtId="0" fontId="0" fillId="2" borderId="1" xfId="0" applyFill="1" applyBorder="1"/>
    <xf numFmtId="0" fontId="0" fillId="3" borderId="1" xfId="0" applyFill="1" applyBorder="1"/>
    <xf numFmtId="0" fontId="0" fillId="3" borderId="2" xfId="0" applyFill="1" applyBorder="1"/>
    <xf numFmtId="0" fontId="0" fillId="2" borderId="6" xfId="0" applyFill="1" applyBorder="1" applyAlignment="1">
      <alignment horizontal="right"/>
    </xf>
    <xf numFmtId="0" fontId="0" fillId="2" borderId="7" xfId="0" applyFill="1" applyBorder="1" applyAlignment="1">
      <alignment horizontal="right"/>
    </xf>
    <xf numFmtId="0" fontId="0" fillId="2" borderId="8" xfId="0" applyFill="1" applyBorder="1" applyAlignment="1">
      <alignment horizontal="right"/>
    </xf>
    <xf numFmtId="0" fontId="0" fillId="3" borderId="1" xfId="0" applyFill="1" applyBorder="1" applyAlignment="1">
      <alignment horizontal="right"/>
    </xf>
    <xf numFmtId="0" fontId="0" fillId="0" borderId="11" xfId="0" applyBorder="1"/>
    <xf numFmtId="0" fontId="0" fillId="0" borderId="0" xfId="0" applyAlignment="1">
      <alignment wrapText="1"/>
    </xf>
    <xf numFmtId="0" fontId="0" fillId="0" borderId="0" xfId="0" applyAlignment="1">
      <alignment vertical="top" wrapText="1"/>
    </xf>
    <xf numFmtId="0" fontId="5" fillId="0" borderId="0" xfId="2" applyFont="1" applyAlignment="1" applyProtection="1">
      <alignment horizontal="left" readingOrder="1"/>
    </xf>
    <xf numFmtId="0" fontId="17" fillId="0" borderId="0" xfId="4" applyFont="1" applyProtection="1"/>
    <xf numFmtId="0" fontId="7" fillId="0" borderId="0" xfId="4" applyFont="1" applyProtection="1"/>
    <xf numFmtId="0" fontId="9" fillId="0" borderId="0" xfId="4" applyFont="1" applyAlignment="1" applyProtection="1">
      <alignment horizontal="right"/>
    </xf>
    <xf numFmtId="0" fontId="23" fillId="0" borderId="0" xfId="0" applyFont="1"/>
    <xf numFmtId="0" fontId="23" fillId="0" borderId="0" xfId="0" applyFont="1" applyAlignment="1">
      <alignment horizontal="center"/>
    </xf>
    <xf numFmtId="14" fontId="24" fillId="0" borderId="1" xfId="0" applyNumberFormat="1" applyFont="1" applyBorder="1" applyAlignment="1">
      <alignment horizontal="center"/>
    </xf>
    <xf numFmtId="0" fontId="24" fillId="0" borderId="1" xfId="0" applyFont="1" applyBorder="1" applyAlignment="1">
      <alignment horizontal="center" wrapText="1"/>
    </xf>
    <xf numFmtId="49" fontId="24" fillId="0" borderId="1" xfId="0" applyNumberFormat="1" applyFont="1" applyBorder="1" applyAlignment="1">
      <alignment horizontal="left" wrapText="1"/>
    </xf>
    <xf numFmtId="0" fontId="24" fillId="0" borderId="1" xfId="0" applyFont="1" applyBorder="1" applyAlignment="1">
      <alignment horizontal="left" vertical="center" wrapText="1"/>
    </xf>
    <xf numFmtId="0" fontId="24" fillId="0" borderId="0" xfId="0" applyFont="1"/>
    <xf numFmtId="10" fontId="0" fillId="0" borderId="0" xfId="6" applyNumberFormat="1" applyFont="1"/>
    <xf numFmtId="169" fontId="0" fillId="0" borderId="0" xfId="0" applyNumberFormat="1"/>
    <xf numFmtId="172" fontId="0" fillId="0" borderId="0" xfId="0" applyNumberFormat="1"/>
    <xf numFmtId="0" fontId="26" fillId="0" borderId="0" xfId="0" applyFont="1"/>
    <xf numFmtId="0" fontId="3" fillId="0" borderId="0" xfId="2" applyAlignment="1" applyProtection="1">
      <alignment readingOrder="1"/>
    </xf>
    <xf numFmtId="0" fontId="3" fillId="0" borderId="0" xfId="2" applyProtection="1"/>
    <xf numFmtId="0" fontId="14" fillId="0" borderId="0" xfId="2" applyFont="1" applyAlignment="1" applyProtection="1">
      <alignment horizontal="left"/>
    </xf>
    <xf numFmtId="0" fontId="15" fillId="0" borderId="0" xfId="2" applyFont="1" applyProtection="1"/>
    <xf numFmtId="0" fontId="0" fillId="0" borderId="0" xfId="0" applyProtection="1">
      <protection locked="0"/>
    </xf>
    <xf numFmtId="0" fontId="0" fillId="0" borderId="1" xfId="0" applyBorder="1"/>
    <xf numFmtId="0" fontId="0" fillId="7" borderId="1" xfId="0" applyFill="1" applyBorder="1"/>
    <xf numFmtId="0" fontId="0" fillId="12" borderId="1" xfId="0" applyFill="1" applyBorder="1"/>
    <xf numFmtId="0" fontId="0" fillId="11" borderId="1" xfId="0" applyFill="1" applyBorder="1"/>
    <xf numFmtId="0" fontId="0" fillId="9" borderId="1" xfId="0" applyFill="1" applyBorder="1"/>
    <xf numFmtId="169" fontId="0" fillId="0" borderId="1" xfId="0" applyNumberFormat="1" applyBorder="1"/>
    <xf numFmtId="0" fontId="0" fillId="10" borderId="1" xfId="0" applyFill="1" applyBorder="1"/>
    <xf numFmtId="0" fontId="8" fillId="0" borderId="0" xfId="2" applyFont="1" applyAlignment="1" applyProtection="1">
      <alignment vertical="center"/>
    </xf>
    <xf numFmtId="0" fontId="8" fillId="0" borderId="0" xfId="2" applyFont="1" applyAlignment="1" applyProtection="1">
      <alignment vertical="center" readingOrder="1"/>
    </xf>
    <xf numFmtId="0" fontId="8" fillId="0" borderId="0" xfId="2" applyFont="1" applyAlignment="1" applyProtection="1">
      <alignment vertical="top"/>
    </xf>
    <xf numFmtId="0" fontId="1" fillId="11" borderId="1" xfId="1" applyFill="1" applyBorder="1"/>
    <xf numFmtId="0" fontId="5" fillId="0" borderId="0" xfId="2" applyFont="1" applyAlignment="1" applyProtection="1">
      <alignment readingOrder="1"/>
    </xf>
    <xf numFmtId="0" fontId="2" fillId="0" borderId="0" xfId="2" applyFont="1" applyProtection="1"/>
    <xf numFmtId="0" fontId="9" fillId="0" borderId="0" xfId="2" applyFont="1" applyAlignment="1" applyProtection="1">
      <alignment readingOrder="1"/>
    </xf>
    <xf numFmtId="0" fontId="32" fillId="0" borderId="0" xfId="2" applyFont="1" applyAlignment="1" applyProtection="1"/>
    <xf numFmtId="0" fontId="13" fillId="0" borderId="0" xfId="2" applyFont="1" applyAlignment="1" applyProtection="1"/>
    <xf numFmtId="0" fontId="34" fillId="0" borderId="0" xfId="4" applyFont="1" applyAlignment="1" applyProtection="1">
      <alignment horizontal="left" vertical="center"/>
    </xf>
    <xf numFmtId="0" fontId="7" fillId="4" borderId="0" xfId="4" applyFont="1" applyFill="1" applyProtection="1"/>
    <xf numFmtId="0" fontId="17" fillId="0" borderId="0" xfId="4" applyFont="1" applyAlignment="1" applyProtection="1">
      <alignment vertical="center"/>
    </xf>
    <xf numFmtId="14" fontId="0" fillId="0" borderId="0" xfId="0" applyNumberFormat="1"/>
    <xf numFmtId="175" fontId="0" fillId="0" borderId="0" xfId="0" applyNumberFormat="1"/>
    <xf numFmtId="2" fontId="0" fillId="0" borderId="0" xfId="0" applyNumberFormat="1"/>
    <xf numFmtId="0" fontId="0" fillId="0" borderId="0" xfId="0" applyAlignment="1">
      <alignment horizontal="right"/>
    </xf>
    <xf numFmtId="165" fontId="0" fillId="0" borderId="0" xfId="0" applyNumberFormat="1" applyAlignment="1">
      <alignment horizontal="left"/>
    </xf>
    <xf numFmtId="0" fontId="28" fillId="0" borderId="0" xfId="0" applyFont="1" applyAlignment="1">
      <alignment horizontal="left"/>
    </xf>
    <xf numFmtId="0" fontId="0" fillId="0" borderId="0" xfId="0" applyAlignment="1">
      <alignment horizontal="left"/>
    </xf>
    <xf numFmtId="49" fontId="0" fillId="0" borderId="0" xfId="0" applyNumberFormat="1"/>
    <xf numFmtId="0" fontId="29" fillId="0" borderId="0" xfId="0" applyFont="1" applyAlignment="1">
      <alignment horizontal="left" vertical="center" wrapText="1"/>
    </xf>
    <xf numFmtId="0" fontId="7" fillId="0" borderId="0" xfId="0" applyFont="1"/>
    <xf numFmtId="0" fontId="7" fillId="0" borderId="0" xfId="0" applyFont="1" applyAlignment="1">
      <alignment horizontal="left" vertical="top" wrapText="1"/>
    </xf>
    <xf numFmtId="0" fontId="7" fillId="0" borderId="0" xfId="0" applyFont="1" applyAlignment="1">
      <alignment horizontal="left"/>
    </xf>
    <xf numFmtId="0" fontId="7" fillId="0" borderId="0" xfId="0" applyFont="1" applyAlignment="1">
      <alignment horizontal="left" vertical="top"/>
    </xf>
    <xf numFmtId="49" fontId="7" fillId="0" borderId="14" xfId="0" applyNumberFormat="1" applyFont="1" applyBorder="1" applyAlignment="1" applyProtection="1">
      <alignment horizontal="center"/>
      <protection locked="0"/>
    </xf>
    <xf numFmtId="0" fontId="7" fillId="0" borderId="0" xfId="0" applyFont="1" applyAlignment="1">
      <alignment vertical="top" wrapText="1"/>
    </xf>
    <xf numFmtId="0" fontId="41" fillId="0" borderId="0" xfId="0" applyFont="1" applyAlignment="1">
      <alignment horizontal="left" vertical="center" wrapText="1"/>
    </xf>
    <xf numFmtId="0" fontId="44" fillId="0" borderId="0" xfId="0" applyFont="1"/>
    <xf numFmtId="0" fontId="46" fillId="0" borderId="0" xfId="0" applyFont="1" applyAlignment="1">
      <alignment vertical="center"/>
    </xf>
    <xf numFmtId="0" fontId="7" fillId="0" borderId="11" xfId="0" applyFont="1" applyBorder="1"/>
    <xf numFmtId="0" fontId="51" fillId="0" borderId="0" xfId="0" applyFont="1"/>
    <xf numFmtId="0" fontId="52" fillId="0" borderId="0" xfId="0" applyFont="1"/>
    <xf numFmtId="0" fontId="53" fillId="0" borderId="0" xfId="0" applyFont="1" applyAlignment="1">
      <alignment wrapText="1"/>
    </xf>
    <xf numFmtId="0" fontId="9" fillId="0" borderId="0" xfId="0" applyFont="1" applyAlignment="1">
      <alignment horizontal="left"/>
    </xf>
    <xf numFmtId="0" fontId="10" fillId="0" borderId="0" xfId="0" applyFont="1" applyAlignment="1">
      <alignment vertical="top"/>
    </xf>
    <xf numFmtId="0" fontId="9" fillId="0" borderId="0" xfId="0" applyFont="1" applyAlignment="1">
      <alignment vertical="top"/>
    </xf>
    <xf numFmtId="0" fontId="10" fillId="0" borderId="0" xfId="0" applyFont="1" applyAlignment="1">
      <alignment vertical="top" wrapText="1"/>
    </xf>
    <xf numFmtId="0" fontId="9" fillId="0" borderId="0" xfId="0" applyFont="1" applyAlignment="1">
      <alignment vertical="top" wrapText="1"/>
    </xf>
    <xf numFmtId="0" fontId="9" fillId="7" borderId="1" xfId="0" applyFont="1" applyFill="1" applyBorder="1" applyAlignment="1">
      <alignment horizontal="center"/>
    </xf>
    <xf numFmtId="0" fontId="9" fillId="0" borderId="0" xfId="0" applyFont="1"/>
    <xf numFmtId="0" fontId="10" fillId="0" borderId="0" xfId="0" applyFont="1" applyAlignment="1" applyProtection="1">
      <alignment vertical="top"/>
      <protection locked="0" hidden="1"/>
    </xf>
    <xf numFmtId="0" fontId="10" fillId="0" borderId="0" xfId="0" applyFont="1" applyAlignment="1" applyProtection="1">
      <alignment vertical="top" wrapText="1"/>
      <protection locked="0" hidden="1"/>
    </xf>
    <xf numFmtId="0" fontId="10" fillId="0" borderId="0" xfId="0" applyFont="1" applyProtection="1">
      <protection locked="0" hidden="1"/>
    </xf>
    <xf numFmtId="0" fontId="44" fillId="0" borderId="0" xfId="0" applyFont="1" applyAlignment="1">
      <alignment horizontal="left" vertical="center" wrapText="1"/>
    </xf>
    <xf numFmtId="0" fontId="3" fillId="0" borderId="0" xfId="0" applyFont="1"/>
    <xf numFmtId="0" fontId="26" fillId="0" borderId="0" xfId="5" applyFont="1" applyAlignment="1">
      <alignment wrapText="1"/>
    </xf>
    <xf numFmtId="0" fontId="58" fillId="0" borderId="0" xfId="5" applyFont="1" applyAlignment="1">
      <alignment wrapText="1"/>
    </xf>
    <xf numFmtId="0" fontId="7" fillId="0" borderId="0" xfId="0" applyFont="1" applyAlignment="1">
      <alignment vertical="top"/>
    </xf>
    <xf numFmtId="0" fontId="7" fillId="0" borderId="1" xfId="0" applyFont="1" applyBorder="1"/>
    <xf numFmtId="0" fontId="9" fillId="0" borderId="0" xfId="0" applyFont="1" applyAlignment="1">
      <alignment horizontal="left" vertical="top"/>
    </xf>
    <xf numFmtId="0" fontId="45" fillId="0" borderId="0" xfId="1" applyFont="1" applyBorder="1" applyAlignment="1" applyProtection="1">
      <alignment horizontal="left"/>
    </xf>
    <xf numFmtId="166" fontId="7" fillId="0" borderId="0" xfId="0" applyNumberFormat="1" applyFont="1" applyAlignment="1">
      <alignment horizontal="left"/>
    </xf>
    <xf numFmtId="1" fontId="7" fillId="0" borderId="39" xfId="0" applyNumberFormat="1" applyFont="1" applyBorder="1" applyAlignment="1">
      <alignment horizontal="center"/>
    </xf>
    <xf numFmtId="0" fontId="0" fillId="21" borderId="0" xfId="0" applyFill="1"/>
    <xf numFmtId="178" fontId="0" fillId="0" borderId="0" xfId="0" applyNumberFormat="1" applyAlignment="1">
      <alignment wrapText="1"/>
    </xf>
    <xf numFmtId="3" fontId="0" fillId="0" borderId="0" xfId="0" applyNumberFormat="1" applyAlignment="1">
      <alignment wrapText="1"/>
    </xf>
    <xf numFmtId="0" fontId="0" fillId="21" borderId="0" xfId="0" applyFill="1" applyAlignment="1">
      <alignment wrapText="1"/>
    </xf>
    <xf numFmtId="0" fontId="0" fillId="22" borderId="0" xfId="0" applyFill="1"/>
    <xf numFmtId="0" fontId="0" fillId="23" borderId="0" xfId="0" applyFill="1" applyAlignment="1">
      <alignment wrapText="1"/>
    </xf>
    <xf numFmtId="0" fontId="0" fillId="23" borderId="0" xfId="0" applyFill="1"/>
    <xf numFmtId="0" fontId="56" fillId="0" borderId="0" xfId="0" applyFont="1" applyProtection="1">
      <protection hidden="1"/>
    </xf>
    <xf numFmtId="0" fontId="10" fillId="0" borderId="0" xfId="0" applyFont="1" applyAlignment="1" applyProtection="1">
      <alignment vertical="top"/>
      <protection hidden="1"/>
    </xf>
    <xf numFmtId="0" fontId="7" fillId="0" borderId="40" xfId="0" applyFont="1" applyBorder="1"/>
    <xf numFmtId="0" fontId="7" fillId="0" borderId="18" xfId="0" applyFont="1" applyBorder="1"/>
    <xf numFmtId="0" fontId="7" fillId="0" borderId="3" xfId="0" applyFont="1" applyBorder="1"/>
    <xf numFmtId="0" fontId="0" fillId="0" borderId="37" xfId="0" applyBorder="1"/>
    <xf numFmtId="0" fontId="0" fillId="0" borderId="4" xfId="0" applyBorder="1"/>
    <xf numFmtId="0" fontId="0" fillId="0" borderId="41" xfId="0" applyBorder="1"/>
    <xf numFmtId="0" fontId="14" fillId="0" borderId="21" xfId="2" applyFont="1" applyBorder="1" applyAlignment="1" applyProtection="1">
      <alignment horizontal="left"/>
    </xf>
    <xf numFmtId="0" fontId="15" fillId="0" borderId="21" xfId="2" applyFont="1" applyBorder="1" applyProtection="1"/>
    <xf numFmtId="0" fontId="0" fillId="0" borderId="21" xfId="0" applyBorder="1"/>
    <xf numFmtId="0" fontId="0" fillId="0" borderId="5" xfId="0" applyBorder="1"/>
    <xf numFmtId="1" fontId="0" fillId="0" borderId="0" xfId="0" applyNumberFormat="1"/>
    <xf numFmtId="1" fontId="0" fillId="22" borderId="0" xfId="0" applyNumberFormat="1" applyFill="1"/>
    <xf numFmtId="2" fontId="0" fillId="22" borderId="0" xfId="0" applyNumberFormat="1" applyFill="1"/>
    <xf numFmtId="183" fontId="0" fillId="0" borderId="0" xfId="0" applyNumberFormat="1"/>
    <xf numFmtId="0" fontId="43" fillId="0" borderId="0" xfId="0" applyFont="1" applyAlignment="1">
      <alignment horizontal="center"/>
    </xf>
    <xf numFmtId="0" fontId="4" fillId="0" borderId="0" xfId="2" applyFont="1" applyAlignment="1" applyProtection="1"/>
    <xf numFmtId="0" fontId="33" fillId="0" borderId="0" xfId="0" applyFont="1"/>
    <xf numFmtId="0" fontId="17" fillId="0" borderId="0" xfId="0" applyFont="1"/>
    <xf numFmtId="0" fontId="50" fillId="0" borderId="0" xfId="0" applyFont="1"/>
    <xf numFmtId="0" fontId="0" fillId="8" borderId="0" xfId="0" applyFill="1"/>
    <xf numFmtId="1" fontId="30" fillId="8" borderId="0" xfId="0" applyNumberFormat="1" applyFont="1" applyFill="1"/>
    <xf numFmtId="0" fontId="30" fillId="8" borderId="0" xfId="0" applyFont="1" applyFill="1"/>
    <xf numFmtId="2" fontId="30" fillId="8" borderId="0" xfId="0" applyNumberFormat="1" applyFont="1" applyFill="1"/>
    <xf numFmtId="1" fontId="0" fillId="8" borderId="0" xfId="0" applyNumberFormat="1" applyFill="1"/>
    <xf numFmtId="2" fontId="0" fillId="8" borderId="0" xfId="0" applyNumberFormat="1" applyFill="1"/>
    <xf numFmtId="0" fontId="0" fillId="24" borderId="0" xfId="0" applyFill="1"/>
    <xf numFmtId="2" fontId="0" fillId="24" borderId="0" xfId="0" applyNumberFormat="1" applyFill="1"/>
    <xf numFmtId="1" fontId="0" fillId="24" borderId="0" xfId="0" applyNumberFormat="1" applyFill="1"/>
    <xf numFmtId="0" fontId="0" fillId="25" borderId="0" xfId="0" applyFill="1"/>
    <xf numFmtId="1" fontId="0" fillId="25" borderId="0" xfId="0" applyNumberFormat="1" applyFill="1"/>
    <xf numFmtId="2" fontId="0" fillId="25" borderId="0" xfId="0" applyNumberFormat="1" applyFill="1"/>
    <xf numFmtId="0" fontId="64" fillId="0" borderId="0" xfId="0" applyFont="1" applyAlignment="1">
      <alignment horizontal="left" vertical="top" wrapText="1" indent="1"/>
    </xf>
    <xf numFmtId="0" fontId="17" fillId="0" borderId="0" xfId="0" applyFont="1" applyAlignment="1">
      <alignment horizontal="left" vertical="top" wrapText="1" indent="1"/>
    </xf>
    <xf numFmtId="0" fontId="2" fillId="0" borderId="0" xfId="0" applyFont="1"/>
    <xf numFmtId="178" fontId="7" fillId="0" borderId="0" xfId="0" applyNumberFormat="1" applyFont="1"/>
    <xf numFmtId="178" fontId="0" fillId="0" borderId="0" xfId="0" applyNumberFormat="1"/>
    <xf numFmtId="178" fontId="30" fillId="8" borderId="0" xfId="0" applyNumberFormat="1" applyFont="1" applyFill="1"/>
    <xf numFmtId="178" fontId="0" fillId="8" borderId="0" xfId="0" applyNumberFormat="1" applyFill="1"/>
    <xf numFmtId="178" fontId="0" fillId="25" borderId="0" xfId="0" applyNumberFormat="1" applyFill="1"/>
    <xf numFmtId="178" fontId="0" fillId="22" borderId="0" xfId="0" applyNumberFormat="1" applyFill="1"/>
    <xf numFmtId="178" fontId="0" fillId="24" borderId="0" xfId="0" applyNumberFormat="1" applyFill="1"/>
    <xf numFmtId="0" fontId="10" fillId="0" borderId="0" xfId="0" applyFont="1"/>
    <xf numFmtId="0" fontId="9" fillId="4" borderId="1" xfId="0" applyFont="1" applyFill="1" applyBorder="1" applyAlignment="1" applyProtection="1">
      <alignment horizontal="center"/>
      <protection locked="0"/>
    </xf>
    <xf numFmtId="0" fontId="9" fillId="13" borderId="1" xfId="0" applyFont="1" applyFill="1" applyBorder="1" applyAlignment="1">
      <alignment horizontal="center"/>
    </xf>
    <xf numFmtId="0" fontId="50" fillId="0" borderId="0" xfId="0" applyFont="1" applyAlignment="1">
      <alignment vertical="top" wrapText="1"/>
    </xf>
    <xf numFmtId="49" fontId="1" fillId="8" borderId="0" xfId="1" applyNumberFormat="1" applyFill="1"/>
    <xf numFmtId="49" fontId="30" fillId="8" borderId="0" xfId="0" applyNumberFormat="1" applyFont="1" applyFill="1"/>
    <xf numFmtId="49" fontId="0" fillId="8" borderId="0" xfId="0" applyNumberFormat="1" applyFill="1"/>
    <xf numFmtId="49" fontId="1" fillId="25" borderId="0" xfId="1" applyNumberFormat="1" applyFill="1"/>
    <xf numFmtId="49" fontId="0" fillId="25" borderId="0" xfId="0" applyNumberFormat="1" applyFill="1"/>
    <xf numFmtId="0" fontId="43" fillId="0" borderId="0" xfId="0" applyFont="1" applyAlignment="1">
      <alignment horizontal="left" vertical="center" wrapText="1"/>
    </xf>
    <xf numFmtId="0" fontId="40" fillId="0" borderId="0" xfId="0" applyFont="1" applyAlignment="1">
      <alignment horizontal="center"/>
    </xf>
    <xf numFmtId="0" fontId="7" fillId="0" borderId="37" xfId="0" applyFont="1" applyBorder="1"/>
    <xf numFmtId="0" fontId="7" fillId="0" borderId="4" xfId="0" applyFont="1" applyBorder="1"/>
    <xf numFmtId="0" fontId="7" fillId="0" borderId="41" xfId="0" applyFont="1" applyBorder="1"/>
    <xf numFmtId="0" fontId="7" fillId="0" borderId="21" xfId="0" applyFont="1" applyBorder="1"/>
    <xf numFmtId="0" fontId="7" fillId="0" borderId="5" xfId="0" applyFont="1" applyBorder="1"/>
    <xf numFmtId="0" fontId="69" fillId="0" borderId="0" xfId="0" applyFont="1" applyAlignment="1">
      <alignment vertical="center"/>
    </xf>
    <xf numFmtId="0" fontId="3" fillId="0" borderId="0" xfId="4" applyProtection="1"/>
    <xf numFmtId="0" fontId="0" fillId="10" borderId="0" xfId="0" applyFill="1"/>
    <xf numFmtId="0" fontId="7" fillId="0" borderId="0" xfId="0" applyFont="1" applyAlignment="1">
      <alignment wrapText="1"/>
    </xf>
    <xf numFmtId="0" fontId="50" fillId="0" borderId="0" xfId="0" applyFont="1" applyAlignment="1">
      <alignment horizontal="left"/>
    </xf>
    <xf numFmtId="0" fontId="74" fillId="0" borderId="0" xfId="0" applyFont="1"/>
    <xf numFmtId="0" fontId="75" fillId="0" borderId="0" xfId="0" applyFont="1"/>
    <xf numFmtId="0" fontId="76" fillId="0" borderId="0" xfId="0" applyFont="1"/>
    <xf numFmtId="0" fontId="7" fillId="0" borderId="0" xfId="0" applyFont="1" applyAlignment="1">
      <alignment horizontal="right"/>
    </xf>
    <xf numFmtId="0" fontId="43" fillId="0" borderId="0" xfId="0" applyFont="1" applyAlignment="1">
      <alignment vertical="center" wrapText="1"/>
    </xf>
    <xf numFmtId="0" fontId="0" fillId="7" borderId="0" xfId="0" applyFill="1" applyAlignment="1">
      <alignment wrapText="1"/>
    </xf>
    <xf numFmtId="0" fontId="0" fillId="7" borderId="0" xfId="0" applyFill="1"/>
    <xf numFmtId="175" fontId="0" fillId="7" borderId="0" xfId="0" applyNumberFormat="1" applyFill="1"/>
    <xf numFmtId="0" fontId="109" fillId="0" borderId="0" xfId="0" applyFont="1" applyAlignment="1">
      <alignment horizontal="right"/>
    </xf>
    <xf numFmtId="0" fontId="36" fillId="0" borderId="0" xfId="0" applyFont="1"/>
    <xf numFmtId="0" fontId="60" fillId="0" borderId="0" xfId="0" applyFont="1" applyAlignment="1">
      <alignment vertical="center"/>
    </xf>
    <xf numFmtId="0" fontId="0" fillId="0" borderId="96" xfId="0" applyBorder="1"/>
    <xf numFmtId="0" fontId="110" fillId="0" borderId="0" xfId="0" applyFont="1"/>
    <xf numFmtId="0" fontId="110" fillId="0" borderId="100" xfId="0" applyFont="1" applyBorder="1"/>
    <xf numFmtId="0" fontId="110" fillId="0" borderId="95" xfId="0" applyFont="1" applyBorder="1"/>
    <xf numFmtId="0" fontId="111" fillId="0" borderId="0" xfId="0" applyFont="1"/>
    <xf numFmtId="1" fontId="110" fillId="0" borderId="0" xfId="0" applyNumberFormat="1" applyFont="1"/>
    <xf numFmtId="0" fontId="0" fillId="2" borderId="106" xfId="0" applyFill="1" applyBorder="1"/>
    <xf numFmtId="0" fontId="0" fillId="0" borderId="0" xfId="0" applyAlignment="1">
      <alignment vertical="center"/>
    </xf>
    <xf numFmtId="49" fontId="0" fillId="0" borderId="0" xfId="0" applyNumberFormat="1" applyAlignment="1">
      <alignment wrapText="1"/>
    </xf>
    <xf numFmtId="49" fontId="0" fillId="53" borderId="0" xfId="0" applyNumberFormat="1" applyFill="1"/>
    <xf numFmtId="2" fontId="0" fillId="53" borderId="0" xfId="0" applyNumberFormat="1" applyFill="1"/>
    <xf numFmtId="1" fontId="0" fillId="53" borderId="0" xfId="0" applyNumberFormat="1" applyFill="1"/>
    <xf numFmtId="0" fontId="0" fillId="53" borderId="0" xfId="0" applyFill="1"/>
    <xf numFmtId="0" fontId="49" fillId="0" borderId="0" xfId="0" applyFont="1"/>
    <xf numFmtId="49" fontId="7" fillId="0" borderId="0" xfId="0" applyNumberFormat="1" applyFont="1"/>
    <xf numFmtId="0" fontId="6" fillId="0" borderId="0" xfId="5" applyFont="1" applyAlignment="1">
      <alignment wrapText="1"/>
    </xf>
    <xf numFmtId="49" fontId="6" fillId="0" borderId="0" xfId="5" applyNumberFormat="1" applyFont="1" applyAlignment="1">
      <alignment wrapText="1"/>
    </xf>
    <xf numFmtId="0" fontId="6" fillId="0" borderId="0" xfId="0" applyFont="1"/>
    <xf numFmtId="0" fontId="1" fillId="8" borderId="0" xfId="1" applyNumberFormat="1" applyFill="1"/>
    <xf numFmtId="0" fontId="0" fillId="2" borderId="106" xfId="0" applyFill="1" applyBorder="1" applyAlignment="1">
      <alignment wrapText="1"/>
    </xf>
    <xf numFmtId="0" fontId="49" fillId="54" borderId="0" xfId="0" applyFont="1" applyFill="1"/>
    <xf numFmtId="0" fontId="6" fillId="54" borderId="0" xfId="0" applyFont="1" applyFill="1" applyAlignment="1">
      <alignment horizontal="center"/>
    </xf>
    <xf numFmtId="0" fontId="7" fillId="54" borderId="37" xfId="0" applyFont="1" applyFill="1" applyBorder="1"/>
    <xf numFmtId="0" fontId="0" fillId="54" borderId="0" xfId="0" applyFill="1"/>
    <xf numFmtId="0" fontId="0" fillId="54" borderId="4" xfId="0" applyFill="1" applyBorder="1"/>
    <xf numFmtId="0" fontId="49" fillId="54" borderId="37" xfId="0" applyFont="1" applyFill="1" applyBorder="1"/>
    <xf numFmtId="0" fontId="49" fillId="54" borderId="4" xfId="0" applyFont="1" applyFill="1" applyBorder="1"/>
    <xf numFmtId="0" fontId="49" fillId="54" borderId="41" xfId="0" applyFont="1" applyFill="1" applyBorder="1"/>
    <xf numFmtId="0" fontId="49" fillId="54" borderId="21" xfId="0" applyFont="1" applyFill="1" applyBorder="1"/>
    <xf numFmtId="181" fontId="49" fillId="54" borderId="21" xfId="7" applyNumberFormat="1" applyFont="1" applyFill="1" applyBorder="1"/>
    <xf numFmtId="0" fontId="49" fillId="54" borderId="5" xfId="0" applyFont="1" applyFill="1" applyBorder="1"/>
    <xf numFmtId="0" fontId="18" fillId="54" borderId="21" xfId="0" applyFont="1" applyFill="1" applyBorder="1"/>
    <xf numFmtId="0" fontId="7" fillId="54" borderId="21" xfId="0" applyFont="1" applyFill="1" applyBorder="1"/>
    <xf numFmtId="181" fontId="7" fillId="7" borderId="8" xfId="7" applyNumberFormat="1" applyFont="1" applyFill="1" applyBorder="1" applyProtection="1"/>
    <xf numFmtId="181" fontId="7" fillId="7" borderId="1" xfId="7" applyNumberFormat="1" applyFont="1" applyFill="1" applyBorder="1"/>
    <xf numFmtId="0" fontId="7" fillId="54" borderId="3" xfId="0" applyFont="1" applyFill="1" applyBorder="1"/>
    <xf numFmtId="181" fontId="7" fillId="7" borderId="8" xfId="7" applyNumberFormat="1" applyFont="1" applyFill="1" applyBorder="1" applyAlignment="1" applyProtection="1"/>
    <xf numFmtId="181" fontId="7" fillId="7" borderId="1" xfId="7" applyNumberFormat="1" applyFont="1" applyFill="1" applyBorder="1" applyAlignment="1"/>
    <xf numFmtId="0" fontId="73" fillId="0" borderId="0" xfId="0" applyFont="1" applyAlignment="1">
      <alignment horizontal="justify" vertical="top" wrapText="1"/>
    </xf>
    <xf numFmtId="181" fontId="49" fillId="54" borderId="21" xfId="7" applyNumberFormat="1" applyFont="1" applyFill="1" applyBorder="1" applyProtection="1"/>
    <xf numFmtId="0" fontId="7" fillId="0" borderId="0" xfId="0" applyFont="1" applyProtection="1">
      <protection hidden="1"/>
    </xf>
    <xf numFmtId="0" fontId="7" fillId="54" borderId="40" xfId="0" applyFont="1" applyFill="1" applyBorder="1" applyProtection="1">
      <protection hidden="1"/>
    </xf>
    <xf numFmtId="0" fontId="7" fillId="54" borderId="18" xfId="0" applyFont="1" applyFill="1" applyBorder="1" applyProtection="1">
      <protection hidden="1"/>
    </xf>
    <xf numFmtId="0" fontId="7" fillId="54" borderId="3" xfId="0" applyFont="1" applyFill="1" applyBorder="1" applyProtection="1">
      <protection hidden="1"/>
    </xf>
    <xf numFmtId="0" fontId="0" fillId="0" borderId="0" xfId="0" applyProtection="1">
      <protection hidden="1"/>
    </xf>
    <xf numFmtId="183" fontId="7" fillId="0" borderId="8" xfId="0" applyNumberFormat="1" applyFont="1" applyBorder="1" applyProtection="1">
      <protection locked="0"/>
    </xf>
    <xf numFmtId="183" fontId="7" fillId="0" borderId="1" xfId="0" applyNumberFormat="1" applyFont="1" applyBorder="1" applyProtection="1">
      <protection locked="0"/>
    </xf>
    <xf numFmtId="2" fontId="26" fillId="0" borderId="0" xfId="0" applyNumberFormat="1" applyFont="1"/>
    <xf numFmtId="180" fontId="0" fillId="0" borderId="0" xfId="0" applyNumberFormat="1"/>
    <xf numFmtId="0" fontId="69" fillId="0" borderId="0" xfId="0" applyFont="1" applyAlignment="1">
      <alignment wrapText="1"/>
    </xf>
    <xf numFmtId="14" fontId="70" fillId="0" borderId="0" xfId="0" applyNumberFormat="1" applyFont="1" applyAlignment="1" applyProtection="1">
      <alignment wrapText="1"/>
      <protection locked="0"/>
    </xf>
    <xf numFmtId="0" fontId="69" fillId="0" borderId="0" xfId="0" applyFont="1"/>
    <xf numFmtId="0" fontId="37" fillId="55" borderId="0" xfId="0" applyFont="1" applyFill="1" applyAlignment="1">
      <alignment vertical="center" wrapText="1"/>
    </xf>
    <xf numFmtId="0" fontId="35" fillId="55" borderId="0" xfId="0" applyFont="1" applyFill="1" applyAlignment="1">
      <alignment vertical="top" wrapText="1"/>
    </xf>
    <xf numFmtId="0" fontId="18" fillId="55" borderId="0" xfId="0" applyFont="1" applyFill="1" applyAlignment="1">
      <alignment vertical="top" wrapText="1"/>
    </xf>
    <xf numFmtId="175" fontId="18" fillId="55" borderId="0" xfId="0" applyNumberFormat="1" applyFont="1" applyFill="1" applyAlignment="1">
      <alignment vertical="top" wrapText="1"/>
    </xf>
    <xf numFmtId="0" fontId="68" fillId="55" borderId="0" xfId="0" applyFont="1" applyFill="1" applyAlignment="1">
      <alignment vertical="center" wrapText="1"/>
    </xf>
    <xf numFmtId="0" fontId="6" fillId="55" borderId="0" xfId="0" applyFont="1" applyFill="1" applyAlignment="1">
      <alignment vertical="top"/>
    </xf>
    <xf numFmtId="0" fontId="7" fillId="55" borderId="0" xfId="0" applyFont="1" applyFill="1" applyAlignment="1">
      <alignment vertical="top"/>
    </xf>
    <xf numFmtId="0" fontId="18" fillId="55" borderId="0" xfId="0" applyFont="1" applyFill="1" applyAlignment="1">
      <alignment vertical="top"/>
    </xf>
    <xf numFmtId="175" fontId="7" fillId="55" borderId="0" xfId="0" applyNumberFormat="1" applyFont="1" applyFill="1" applyAlignment="1">
      <alignment vertical="top"/>
    </xf>
    <xf numFmtId="0" fontId="35" fillId="55" borderId="0" xfId="0" applyFont="1" applyFill="1" applyAlignment="1">
      <alignment vertical="top"/>
    </xf>
    <xf numFmtId="0" fontId="71" fillId="55" borderId="110" xfId="0" applyFont="1" applyFill="1" applyBorder="1" applyAlignment="1">
      <alignment vertical="top"/>
    </xf>
    <xf numFmtId="0" fontId="71" fillId="55" borderId="111" xfId="0" applyFont="1" applyFill="1" applyBorder="1" applyAlignment="1">
      <alignment vertical="top"/>
    </xf>
    <xf numFmtId="0" fontId="71" fillId="55" borderId="96" xfId="0" applyFont="1" applyFill="1" applyBorder="1" applyAlignment="1">
      <alignment vertical="top"/>
    </xf>
    <xf numFmtId="0" fontId="35" fillId="55" borderId="96" xfId="0" applyFont="1" applyFill="1" applyBorder="1" applyAlignment="1">
      <alignment vertical="top"/>
    </xf>
    <xf numFmtId="0" fontId="35" fillId="55" borderId="0" xfId="0" applyFont="1" applyFill="1" applyAlignment="1">
      <alignment horizontal="left" vertical="top"/>
    </xf>
    <xf numFmtId="0" fontId="0" fillId="55" borderId="0" xfId="0" applyFill="1"/>
    <xf numFmtId="0" fontId="69" fillId="55" borderId="0" xfId="0" applyFont="1" applyFill="1" applyAlignment="1">
      <alignment vertical="center"/>
    </xf>
    <xf numFmtId="0" fontId="7" fillId="55" borderId="0" xfId="0" applyFont="1" applyFill="1" applyAlignment="1">
      <alignment vertical="top" wrapText="1"/>
    </xf>
    <xf numFmtId="0" fontId="71" fillId="55" borderId="0" xfId="0" applyFont="1" applyFill="1" applyAlignment="1">
      <alignment vertical="center" wrapText="1"/>
    </xf>
    <xf numFmtId="0" fontId="7" fillId="55" borderId="0" xfId="0" applyFont="1" applyFill="1" applyAlignment="1">
      <alignment horizontal="left" vertical="top" wrapText="1"/>
    </xf>
    <xf numFmtId="0" fontId="7" fillId="55" borderId="0" xfId="0" applyFont="1" applyFill="1"/>
    <xf numFmtId="0" fontId="18" fillId="55" borderId="0" xfId="0" applyFont="1" applyFill="1"/>
    <xf numFmtId="0" fontId="71" fillId="55" borderId="0" xfId="0" applyFont="1" applyFill="1" applyAlignment="1">
      <alignment vertical="top" wrapText="1"/>
    </xf>
    <xf numFmtId="0" fontId="69" fillId="55" borderId="0" xfId="0" applyFont="1" applyFill="1" applyAlignment="1">
      <alignment wrapText="1"/>
    </xf>
    <xf numFmtId="0" fontId="7" fillId="55" borderId="0" xfId="4" applyFont="1" applyFill="1" applyProtection="1"/>
    <xf numFmtId="0" fontId="7" fillId="55" borderId="0" xfId="4" applyFont="1" applyFill="1" applyAlignment="1" applyProtection="1">
      <alignment vertical="top" wrapText="1"/>
    </xf>
    <xf numFmtId="0" fontId="7" fillId="55" borderId="0" xfId="4" applyFont="1" applyFill="1" applyAlignment="1" applyProtection="1">
      <alignment horizontal="left" vertical="top" wrapText="1"/>
    </xf>
    <xf numFmtId="0" fontId="6" fillId="55" borderId="0" xfId="0" applyFont="1" applyFill="1" applyAlignment="1">
      <alignment horizontal="left" vertical="top"/>
    </xf>
    <xf numFmtId="0" fontId="7" fillId="55" borderId="0" xfId="0" applyFont="1" applyFill="1" applyAlignment="1">
      <alignment horizontal="left" vertical="top"/>
    </xf>
    <xf numFmtId="0" fontId="68" fillId="55" borderId="0" xfId="0" applyFont="1" applyFill="1"/>
    <xf numFmtId="0" fontId="68" fillId="55" borderId="0" xfId="0" applyFont="1" applyFill="1" applyAlignment="1">
      <alignment vertical="top"/>
    </xf>
    <xf numFmtId="14" fontId="7" fillId="55" borderId="0" xfId="2" applyNumberFormat="1" applyFont="1" applyFill="1" applyAlignment="1" applyProtection="1">
      <alignment vertical="top"/>
    </xf>
    <xf numFmtId="0" fontId="112" fillId="55" borderId="0" xfId="2" applyFont="1" applyFill="1" applyAlignment="1" applyProtection="1">
      <alignment vertical="center" wrapText="1"/>
    </xf>
    <xf numFmtId="0" fontId="73" fillId="0" borderId="0" xfId="0" applyFont="1" applyAlignment="1">
      <alignment vertical="top" wrapText="1"/>
    </xf>
    <xf numFmtId="0" fontId="113" fillId="0" borderId="0" xfId="0" applyFont="1"/>
    <xf numFmtId="0" fontId="18" fillId="0" borderId="0" xfId="0" applyFont="1" applyAlignment="1">
      <alignment vertical="center" wrapText="1"/>
    </xf>
    <xf numFmtId="0" fontId="35" fillId="0" borderId="0" xfId="0" applyFont="1" applyAlignment="1">
      <alignment vertical="center" wrapText="1"/>
    </xf>
    <xf numFmtId="2" fontId="0" fillId="56" borderId="0" xfId="0" applyNumberFormat="1" applyFill="1" applyAlignment="1">
      <alignment wrapText="1"/>
    </xf>
    <xf numFmtId="1" fontId="0" fillId="56" borderId="0" xfId="0" applyNumberFormat="1" applyFill="1" applyAlignment="1">
      <alignment wrapText="1"/>
    </xf>
    <xf numFmtId="0" fontId="0" fillId="56" borderId="0" xfId="0" applyFill="1" applyAlignment="1">
      <alignment wrapText="1"/>
    </xf>
    <xf numFmtId="49" fontId="0" fillId="56" borderId="0" xfId="0" applyNumberFormat="1" applyFill="1" applyAlignment="1">
      <alignment wrapText="1"/>
    </xf>
    <xf numFmtId="0" fontId="0" fillId="57" borderId="0" xfId="0" applyFill="1" applyAlignment="1">
      <alignment wrapText="1"/>
    </xf>
    <xf numFmtId="1" fontId="0" fillId="57" borderId="0" xfId="0" applyNumberFormat="1" applyFill="1" applyAlignment="1">
      <alignment wrapText="1"/>
    </xf>
    <xf numFmtId="178" fontId="0" fillId="57" borderId="0" xfId="0" applyNumberFormat="1" applyFill="1" applyAlignment="1">
      <alignment wrapText="1"/>
    </xf>
    <xf numFmtId="49" fontId="0" fillId="57" borderId="0" xfId="0" applyNumberFormat="1" applyFill="1" applyAlignment="1">
      <alignment wrapText="1"/>
    </xf>
    <xf numFmtId="0" fontId="43" fillId="0" borderId="0" xfId="0" applyFont="1"/>
    <xf numFmtId="0" fontId="104" fillId="6" borderId="0" xfId="0" applyFont="1" applyFill="1"/>
    <xf numFmtId="0" fontId="104" fillId="6" borderId="0" xfId="0" applyFont="1" applyFill="1" applyAlignment="1">
      <alignment horizontal="right"/>
    </xf>
    <xf numFmtId="0" fontId="104" fillId="6" borderId="0" xfId="0" applyFont="1" applyFill="1" applyAlignment="1">
      <alignment wrapText="1"/>
    </xf>
    <xf numFmtId="0" fontId="104" fillId="6" borderId="0" xfId="0" applyFont="1" applyFill="1" applyAlignment="1">
      <alignment horizontal="center"/>
    </xf>
    <xf numFmtId="0" fontId="105" fillId="6" borderId="0" xfId="1" applyFont="1" applyFill="1"/>
    <xf numFmtId="0" fontId="38" fillId="6" borderId="0" xfId="0" applyFont="1" applyFill="1"/>
    <xf numFmtId="0" fontId="38" fillId="6" borderId="0" xfId="0" applyFont="1" applyFill="1" applyAlignment="1">
      <alignment horizontal="left"/>
    </xf>
    <xf numFmtId="0" fontId="38" fillId="6" borderId="0" xfId="0" applyFont="1" applyFill="1" applyAlignment="1">
      <alignment wrapText="1"/>
    </xf>
    <xf numFmtId="0" fontId="62" fillId="6" borderId="0" xfId="0" applyFont="1" applyFill="1" applyAlignment="1">
      <alignment horizontal="right"/>
    </xf>
    <xf numFmtId="0" fontId="39" fillId="6" borderId="0" xfId="1" applyFont="1" applyFill="1"/>
    <xf numFmtId="0" fontId="38" fillId="6" borderId="0" xfId="0" applyFont="1" applyFill="1" applyAlignment="1">
      <alignment horizontal="left" wrapText="1"/>
    </xf>
    <xf numFmtId="0" fontId="38" fillId="6" borderId="0" xfId="0" applyFont="1" applyFill="1" applyAlignment="1">
      <alignment horizontal="center"/>
    </xf>
    <xf numFmtId="0" fontId="104" fillId="0" borderId="0" xfId="0" applyFont="1"/>
    <xf numFmtId="0" fontId="114" fillId="6" borderId="128" xfId="0" applyFont="1" applyFill="1" applyBorder="1"/>
    <xf numFmtId="0" fontId="106" fillId="6" borderId="128" xfId="0" applyFont="1" applyFill="1" applyBorder="1"/>
    <xf numFmtId="0" fontId="7" fillId="0" borderId="131" xfId="0" applyFont="1" applyBorder="1"/>
    <xf numFmtId="0" fontId="6" fillId="0" borderId="131" xfId="0" applyFont="1" applyBorder="1" applyAlignment="1">
      <alignment horizontal="right" vertical="top"/>
    </xf>
    <xf numFmtId="0" fontId="25" fillId="0" borderId="131" xfId="0" applyFont="1" applyBorder="1"/>
    <xf numFmtId="0" fontId="0" fillId="0" borderId="131" xfId="0" applyBorder="1"/>
    <xf numFmtId="0" fontId="7" fillId="0" borderId="131" xfId="0" applyFont="1" applyBorder="1" applyAlignment="1">
      <alignment vertical="top"/>
    </xf>
    <xf numFmtId="0" fontId="7" fillId="0" borderId="131" xfId="0" applyFont="1" applyBorder="1" applyAlignment="1">
      <alignment horizontal="right"/>
    </xf>
    <xf numFmtId="0" fontId="7" fillId="0" borderId="132" xfId="0" applyFont="1" applyBorder="1" applyAlignment="1">
      <alignment vertical="top"/>
    </xf>
    <xf numFmtId="0" fontId="7" fillId="0" borderId="133" xfId="0" applyFont="1" applyBorder="1" applyAlignment="1">
      <alignment horizontal="left" vertical="top"/>
    </xf>
    <xf numFmtId="0" fontId="7" fillId="0" borderId="133" xfId="0" applyFont="1" applyBorder="1" applyAlignment="1">
      <alignment vertical="top"/>
    </xf>
    <xf numFmtId="0" fontId="7" fillId="0" borderId="132" xfId="0" applyFont="1" applyBorder="1"/>
    <xf numFmtId="0" fontId="7" fillId="0" borderId="133" xfId="0" applyFont="1" applyBorder="1"/>
    <xf numFmtId="0" fontId="7" fillId="0" borderId="132" xfId="0" applyFont="1" applyBorder="1" applyAlignment="1">
      <alignment horizontal="right"/>
    </xf>
    <xf numFmtId="0" fontId="7" fillId="0" borderId="134" xfId="0" applyFont="1" applyBorder="1"/>
    <xf numFmtId="0" fontId="6" fillId="0" borderId="134" xfId="0" applyFont="1" applyBorder="1"/>
    <xf numFmtId="0" fontId="25" fillId="0" borderId="134" xfId="0" applyFont="1" applyBorder="1"/>
    <xf numFmtId="0" fontId="0" fillId="0" borderId="134" xfId="0" applyBorder="1"/>
    <xf numFmtId="0" fontId="7" fillId="0" borderId="129" xfId="0" applyFont="1" applyBorder="1"/>
    <xf numFmtId="0" fontId="36" fillId="6" borderId="0" xfId="0" applyFont="1" applyFill="1"/>
    <xf numFmtId="0" fontId="0" fillId="6" borderId="0" xfId="0" applyFill="1"/>
    <xf numFmtId="0" fontId="40" fillId="0" borderId="0" xfId="0" applyFont="1" applyAlignment="1">
      <alignment vertical="center"/>
    </xf>
    <xf numFmtId="0" fontId="7" fillId="6" borderId="0" xfId="0" applyFont="1" applyFill="1"/>
    <xf numFmtId="0" fontId="67" fillId="6" borderId="0" xfId="0" applyFont="1" applyFill="1" applyAlignment="1">
      <alignment vertical="center"/>
    </xf>
    <xf numFmtId="2" fontId="0" fillId="57" borderId="0" xfId="0" applyNumberFormat="1" applyFill="1" applyAlignment="1">
      <alignment wrapText="1"/>
    </xf>
    <xf numFmtId="0" fontId="3" fillId="0" borderId="0" xfId="5" applyFont="1"/>
    <xf numFmtId="49" fontId="3" fillId="0" borderId="0" xfId="5" applyNumberFormat="1" applyFont="1"/>
    <xf numFmtId="14" fontId="3" fillId="0" borderId="0" xfId="5" applyNumberFormat="1" applyFont="1"/>
    <xf numFmtId="4" fontId="3" fillId="0" borderId="0" xfId="5" applyNumberFormat="1" applyFont="1"/>
    <xf numFmtId="0" fontId="116" fillId="0" borderId="0" xfId="5" applyFont="1" applyAlignment="1">
      <alignment wrapText="1"/>
    </xf>
    <xf numFmtId="0" fontId="25" fillId="0" borderId="0" xfId="5" applyFont="1" applyAlignment="1">
      <alignment wrapText="1"/>
    </xf>
    <xf numFmtId="0" fontId="116" fillId="0" borderId="28" xfId="5" applyFont="1" applyBorder="1" applyAlignment="1">
      <alignment wrapText="1"/>
    </xf>
    <xf numFmtId="0" fontId="116" fillId="27" borderId="28" xfId="5" applyFont="1" applyFill="1" applyBorder="1" applyAlignment="1">
      <alignment wrapText="1"/>
    </xf>
    <xf numFmtId="0" fontId="30" fillId="0" borderId="0" xfId="5" applyFont="1"/>
    <xf numFmtId="49" fontId="30" fillId="0" borderId="0" xfId="5" applyNumberFormat="1" applyFont="1"/>
    <xf numFmtId="14" fontId="30" fillId="0" borderId="0" xfId="5" applyNumberFormat="1" applyFont="1"/>
    <xf numFmtId="4" fontId="30" fillId="0" borderId="0" xfId="5" applyNumberFormat="1" applyFont="1"/>
    <xf numFmtId="2" fontId="3" fillId="0" borderId="0" xfId="0" applyNumberFormat="1" applyFont="1"/>
    <xf numFmtId="0" fontId="30" fillId="0" borderId="27" xfId="5" applyFont="1" applyBorder="1"/>
    <xf numFmtId="0" fontId="30" fillId="0" borderId="29" xfId="5" applyFont="1" applyBorder="1"/>
    <xf numFmtId="49" fontId="3" fillId="0" borderId="0" xfId="0" applyNumberFormat="1" applyFont="1"/>
    <xf numFmtId="49" fontId="116" fillId="0" borderId="0" xfId="5" applyNumberFormat="1" applyFont="1" applyAlignment="1">
      <alignment wrapText="1"/>
    </xf>
    <xf numFmtId="14" fontId="116" fillId="0" borderId="0" xfId="5" applyNumberFormat="1" applyFont="1" applyAlignment="1">
      <alignment wrapText="1"/>
    </xf>
    <xf numFmtId="43" fontId="3" fillId="0" borderId="0" xfId="7" applyFont="1" applyFill="1" applyBorder="1" applyAlignment="1"/>
    <xf numFmtId="2" fontId="3" fillId="0" borderId="0" xfId="5" applyNumberFormat="1" applyFont="1"/>
    <xf numFmtId="0" fontId="3" fillId="0" borderId="0" xfId="5" applyFont="1" applyAlignment="1">
      <alignment wrapText="1"/>
    </xf>
    <xf numFmtId="49" fontId="30" fillId="0" borderId="0" xfId="0" applyNumberFormat="1" applyFont="1"/>
    <xf numFmtId="3" fontId="3" fillId="0" borderId="0" xfId="0" applyNumberFormat="1" applyFont="1"/>
    <xf numFmtId="4" fontId="3" fillId="0" borderId="0" xfId="0" applyNumberFormat="1" applyFont="1"/>
    <xf numFmtId="179" fontId="3" fillId="0" borderId="0" xfId="0" applyNumberFormat="1" applyFont="1"/>
    <xf numFmtId="0" fontId="116" fillId="0" borderId="0" xfId="5" applyFont="1" applyAlignment="1">
      <alignment vertical="center"/>
    </xf>
    <xf numFmtId="49" fontId="116" fillId="0" borderId="0" xfId="5" applyNumberFormat="1" applyFont="1" applyAlignment="1">
      <alignment vertical="center"/>
    </xf>
    <xf numFmtId="1" fontId="116" fillId="0" borderId="0" xfId="5" applyNumberFormat="1" applyFont="1" applyAlignment="1">
      <alignment vertical="center"/>
    </xf>
    <xf numFmtId="14" fontId="116" fillId="0" borderId="0" xfId="5" applyNumberFormat="1" applyFont="1" applyAlignment="1">
      <alignment vertical="center"/>
    </xf>
    <xf numFmtId="0" fontId="116" fillId="0" borderId="0" xfId="5" applyFont="1" applyAlignment="1">
      <alignment vertical="center" wrapText="1"/>
    </xf>
    <xf numFmtId="49" fontId="3" fillId="0" borderId="0" xfId="0" applyNumberFormat="1" applyFont="1" applyAlignment="1">
      <alignment vertical="center"/>
    </xf>
    <xf numFmtId="0" fontId="3" fillId="0" borderId="0" xfId="5" applyFont="1" applyAlignment="1">
      <alignment vertical="center"/>
    </xf>
    <xf numFmtId="49" fontId="3" fillId="0" borderId="0" xfId="5" applyNumberFormat="1" applyFont="1" applyAlignment="1">
      <alignment vertical="center"/>
    </xf>
    <xf numFmtId="1" fontId="3" fillId="0" borderId="0" xfId="0" applyNumberFormat="1" applyFont="1" applyAlignment="1">
      <alignment vertical="center"/>
    </xf>
    <xf numFmtId="14" fontId="3" fillId="0" borderId="0" xfId="5" applyNumberFormat="1" applyFont="1" applyAlignment="1">
      <alignment vertical="center"/>
    </xf>
    <xf numFmtId="4" fontId="3" fillId="0" borderId="0" xfId="0" applyNumberFormat="1" applyFont="1" applyAlignment="1">
      <alignment vertical="center"/>
    </xf>
    <xf numFmtId="179" fontId="3" fillId="0" borderId="0" xfId="0" applyNumberFormat="1" applyFont="1" applyAlignment="1">
      <alignment vertical="center"/>
    </xf>
    <xf numFmtId="3" fontId="3" fillId="0" borderId="0" xfId="0" applyNumberFormat="1" applyFont="1" applyAlignment="1">
      <alignment vertical="center"/>
    </xf>
    <xf numFmtId="1" fontId="3" fillId="0" borderId="0" xfId="5" applyNumberFormat="1" applyFont="1" applyAlignment="1">
      <alignment vertical="center"/>
    </xf>
    <xf numFmtId="0" fontId="3" fillId="0" borderId="0" xfId="5" applyFont="1" applyAlignment="1">
      <alignment horizontal="left"/>
    </xf>
    <xf numFmtId="0" fontId="3" fillId="0" borderId="0" xfId="0" applyFont="1" applyAlignment="1">
      <alignment horizontal="left"/>
    </xf>
    <xf numFmtId="0" fontId="30" fillId="0" borderId="0" xfId="5" applyFont="1" applyAlignment="1">
      <alignment horizontal="left"/>
    </xf>
    <xf numFmtId="0" fontId="116" fillId="0" borderId="0" xfId="5" applyFont="1" applyAlignment="1">
      <alignment horizontal="left" wrapText="1"/>
    </xf>
    <xf numFmtId="2" fontId="116" fillId="0" borderId="0" xfId="5" applyNumberFormat="1" applyFont="1" applyAlignment="1">
      <alignment horizontal="left" vertical="center"/>
    </xf>
    <xf numFmtId="2" fontId="3" fillId="0" borderId="0" xfId="5" applyNumberFormat="1" applyFont="1" applyAlignment="1">
      <alignment horizontal="left" vertical="center"/>
    </xf>
    <xf numFmtId="0" fontId="3" fillId="0" borderId="0" xfId="0" applyFont="1" applyAlignment="1">
      <alignment horizontal="left" vertical="center"/>
    </xf>
    <xf numFmtId="0" fontId="3" fillId="0" borderId="0" xfId="5" applyFont="1" applyAlignment="1">
      <alignment horizontal="left" vertical="center"/>
    </xf>
    <xf numFmtId="181" fontId="3" fillId="0" borderId="0" xfId="7" applyNumberFormat="1" applyFont="1" applyFill="1" applyBorder="1" applyAlignment="1" applyProtection="1"/>
    <xf numFmtId="3" fontId="3" fillId="0" borderId="0" xfId="0" applyNumberFormat="1" applyFont="1" applyAlignment="1">
      <alignment horizontal="left" vertical="center"/>
    </xf>
    <xf numFmtId="49" fontId="3" fillId="0" borderId="0" xfId="0" applyNumberFormat="1" applyFont="1" applyAlignment="1">
      <alignment horizontal="left" vertical="center"/>
    </xf>
    <xf numFmtId="0" fontId="44" fillId="0" borderId="0" xfId="0" applyFont="1" applyAlignment="1">
      <alignment vertical="center" wrapText="1"/>
    </xf>
    <xf numFmtId="0" fontId="6" fillId="54" borderId="0" xfId="0" applyFont="1" applyFill="1"/>
    <xf numFmtId="0" fontId="41" fillId="0" borderId="0" xfId="0" applyFont="1" applyAlignment="1" applyProtection="1">
      <alignment vertical="center"/>
      <protection hidden="1"/>
    </xf>
    <xf numFmtId="0" fontId="50" fillId="0" borderId="0" xfId="0" applyFont="1" applyAlignment="1" applyProtection="1">
      <alignment horizontal="center" vertical="center"/>
      <protection hidden="1"/>
    </xf>
    <xf numFmtId="0" fontId="50" fillId="0" borderId="0" xfId="0" applyFont="1" applyAlignment="1" applyProtection="1">
      <alignment vertical="center"/>
      <protection hidden="1"/>
    </xf>
    <xf numFmtId="0" fontId="6" fillId="0" borderId="0" xfId="0" applyFont="1" applyAlignment="1" applyProtection="1">
      <alignment vertical="center" wrapText="1"/>
      <protection hidden="1"/>
    </xf>
    <xf numFmtId="2" fontId="0" fillId="12" borderId="1" xfId="0" applyNumberFormat="1" applyFill="1" applyBorder="1"/>
    <xf numFmtId="2" fontId="7" fillId="0" borderId="1" xfId="0" applyNumberFormat="1" applyFont="1" applyBorder="1"/>
    <xf numFmtId="2" fontId="7" fillId="0" borderId="1" xfId="0" applyNumberFormat="1" applyFont="1" applyBorder="1" applyAlignment="1">
      <alignment horizontal="right"/>
    </xf>
    <xf numFmtId="175" fontId="18" fillId="55" borderId="0" xfId="0" applyNumberFormat="1" applyFont="1" applyFill="1" applyAlignment="1">
      <alignment horizontal="left" vertical="top" wrapText="1"/>
    </xf>
    <xf numFmtId="0" fontId="18" fillId="55" borderId="0" xfId="0" applyFont="1" applyFill="1" applyAlignment="1">
      <alignment horizontal="left" vertical="top" wrapText="1"/>
    </xf>
    <xf numFmtId="175" fontId="7" fillId="55" borderId="0" xfId="0" applyNumberFormat="1" applyFont="1" applyFill="1" applyAlignment="1">
      <alignment horizontal="left" vertical="top"/>
    </xf>
    <xf numFmtId="0" fontId="0" fillId="0" borderId="27" xfId="0" applyBorder="1"/>
    <xf numFmtId="0" fontId="3" fillId="0" borderId="27" xfId="0" applyFont="1" applyBorder="1"/>
    <xf numFmtId="0" fontId="0" fillId="0" borderId="0" xfId="5" applyFont="1"/>
    <xf numFmtId="0" fontId="7" fillId="0" borderId="0" xfId="0" applyFont="1" applyAlignment="1">
      <alignment vertical="center"/>
    </xf>
    <xf numFmtId="49" fontId="0" fillId="0" borderId="0" xfId="0" applyNumberFormat="1" applyAlignment="1">
      <alignment vertical="center"/>
    </xf>
    <xf numFmtId="0" fontId="7" fillId="55" borderId="0" xfId="2" applyFont="1" applyFill="1" applyAlignment="1" applyProtection="1">
      <alignment vertical="top"/>
      <protection locked="0" hidden="1"/>
    </xf>
    <xf numFmtId="0" fontId="11" fillId="55" borderId="0" xfId="2" applyFont="1" applyFill="1" applyAlignment="1" applyProtection="1">
      <alignment vertical="top"/>
      <protection locked="0" hidden="1"/>
    </xf>
    <xf numFmtId="0" fontId="0" fillId="0" borderId="0" xfId="5" applyFont="1" applyAlignment="1">
      <alignment wrapText="1"/>
    </xf>
    <xf numFmtId="0" fontId="118" fillId="0" borderId="27" xfId="5" applyFont="1" applyBorder="1"/>
    <xf numFmtId="0" fontId="119" fillId="0" borderId="27" xfId="5" applyFont="1" applyBorder="1"/>
    <xf numFmtId="0" fontId="119" fillId="0" borderId="0" xfId="5" applyFont="1"/>
    <xf numFmtId="0" fontId="119" fillId="0" borderId="27" xfId="5" quotePrefix="1" applyFont="1" applyBorder="1"/>
    <xf numFmtId="1" fontId="30" fillId="0" borderId="0" xfId="5" applyNumberFormat="1" applyFont="1" applyAlignment="1">
      <alignment horizontal="left"/>
    </xf>
    <xf numFmtId="0" fontId="30" fillId="0" borderId="0" xfId="5" applyFont="1" applyAlignment="1">
      <alignment horizontal="left" vertical="center"/>
    </xf>
    <xf numFmtId="2" fontId="30" fillId="0" borderId="0" xfId="5" applyNumberFormat="1" applyFont="1"/>
    <xf numFmtId="0" fontId="7" fillId="0" borderId="0" xfId="0" applyFont="1" applyAlignment="1">
      <alignment horizontal="center" wrapText="1"/>
    </xf>
    <xf numFmtId="0" fontId="7" fillId="0" borderId="0" xfId="0" applyFont="1" applyAlignment="1">
      <alignment horizontal="center"/>
    </xf>
    <xf numFmtId="0" fontId="7" fillId="0" borderId="10" xfId="0" applyFont="1" applyBorder="1" applyAlignment="1">
      <alignment horizontal="center" vertical="center" wrapText="1"/>
    </xf>
    <xf numFmtId="49" fontId="2" fillId="0" borderId="0" xfId="0" applyNumberFormat="1" applyFont="1"/>
    <xf numFmtId="49" fontId="2" fillId="0" borderId="0" xfId="0" applyNumberFormat="1" applyFont="1" applyAlignment="1">
      <alignment wrapText="1"/>
    </xf>
    <xf numFmtId="49" fontId="2" fillId="0" borderId="0" xfId="5" applyNumberFormat="1" applyFont="1" applyAlignment="1">
      <alignment wrapText="1"/>
    </xf>
    <xf numFmtId="0" fontId="2" fillId="0" borderId="0" xfId="5" applyFont="1" applyAlignment="1">
      <alignment wrapText="1"/>
    </xf>
    <xf numFmtId="0" fontId="7" fillId="0" borderId="0" xfId="0" applyFont="1" applyAlignment="1">
      <alignment vertical="center" wrapText="1"/>
    </xf>
    <xf numFmtId="0" fontId="2" fillId="62" borderId="0" xfId="0" applyFont="1" applyFill="1"/>
    <xf numFmtId="0" fontId="24" fillId="0" borderId="1" xfId="0" quotePrefix="1" applyFont="1" applyBorder="1" applyAlignment="1">
      <alignment horizontal="left" vertical="center" wrapText="1"/>
    </xf>
    <xf numFmtId="169" fontId="3" fillId="0" borderId="0" xfId="0" applyNumberFormat="1" applyFont="1"/>
    <xf numFmtId="169" fontId="30" fillId="0" borderId="0" xfId="5" applyNumberFormat="1" applyFont="1"/>
    <xf numFmtId="169" fontId="3" fillId="0" borderId="0" xfId="5" applyNumberFormat="1" applyFont="1"/>
    <xf numFmtId="169" fontId="116" fillId="0" borderId="0" xfId="5" applyNumberFormat="1" applyFont="1" applyAlignment="1">
      <alignment wrapText="1"/>
    </xf>
    <xf numFmtId="169" fontId="116" fillId="0" borderId="0" xfId="5" applyNumberFormat="1" applyFont="1" applyAlignment="1">
      <alignment vertical="center"/>
    </xf>
    <xf numFmtId="169" fontId="3" fillId="0" borderId="0" xfId="5" applyNumberFormat="1" applyFont="1" applyAlignment="1">
      <alignment vertical="center"/>
    </xf>
    <xf numFmtId="0" fontId="0" fillId="0" borderId="0" xfId="0" applyAlignment="1">
      <alignment horizontal="left" vertical="center"/>
    </xf>
    <xf numFmtId="0" fontId="0" fillId="0" borderId="40" xfId="0" applyBorder="1"/>
    <xf numFmtId="0" fontId="0" fillId="0" borderId="18" xfId="0" applyBorder="1"/>
    <xf numFmtId="0" fontId="0" fillId="0" borderId="3" xfId="0" applyBorder="1"/>
    <xf numFmtId="0" fontId="122" fillId="0" borderId="4" xfId="0" applyFont="1" applyBorder="1" applyAlignment="1">
      <alignment vertical="center"/>
    </xf>
    <xf numFmtId="0" fontId="122" fillId="0" borderId="0" xfId="0" applyFont="1" applyAlignment="1">
      <alignment vertical="center"/>
    </xf>
    <xf numFmtId="0" fontId="124" fillId="0" borderId="0" xfId="0" applyFont="1" applyAlignment="1">
      <alignment horizontal="left" indent="1"/>
    </xf>
    <xf numFmtId="0" fontId="18" fillId="0" borderId="0" xfId="0" applyFont="1"/>
    <xf numFmtId="0" fontId="124" fillId="0" borderId="0" xfId="0" applyFont="1"/>
    <xf numFmtId="184" fontId="18" fillId="0" borderId="0" xfId="0" applyNumberFormat="1" applyFont="1"/>
    <xf numFmtId="0" fontId="18" fillId="0" borderId="0" xfId="0" applyFont="1" applyAlignment="1">
      <alignment horizontal="left"/>
    </xf>
    <xf numFmtId="167" fontId="0" fillId="0" borderId="0" xfId="0" applyNumberFormat="1"/>
    <xf numFmtId="167" fontId="7" fillId="0" borderId="0" xfId="0" applyNumberFormat="1" applyFont="1"/>
    <xf numFmtId="0" fontId="126" fillId="0" borderId="0" xfId="0" applyFont="1" applyAlignment="1">
      <alignment vertical="center" wrapText="1"/>
    </xf>
    <xf numFmtId="0" fontId="127" fillId="0" borderId="0" xfId="0" applyFont="1"/>
    <xf numFmtId="0" fontId="50" fillId="0" borderId="0" xfId="0" applyFont="1" applyAlignment="1">
      <alignment horizontal="center"/>
    </xf>
    <xf numFmtId="0" fontId="69" fillId="0" borderId="144" xfId="0" applyFont="1" applyBorder="1"/>
    <xf numFmtId="2" fontId="132" fillId="0" borderId="0" xfId="0" applyNumberFormat="1" applyFont="1" applyAlignment="1">
      <alignment vertical="center" wrapText="1"/>
    </xf>
    <xf numFmtId="185" fontId="132" fillId="0" borderId="0" xfId="0" applyNumberFormat="1" applyFont="1" applyAlignment="1">
      <alignment vertical="center" wrapText="1"/>
    </xf>
    <xf numFmtId="0" fontId="132" fillId="0" borderId="0" xfId="0" applyFont="1" applyAlignment="1">
      <alignment vertical="center" wrapText="1"/>
    </xf>
    <xf numFmtId="0" fontId="132" fillId="0" borderId="0" xfId="0" applyFont="1" applyAlignment="1">
      <alignment vertical="center"/>
    </xf>
    <xf numFmtId="2" fontId="132" fillId="0" borderId="0" xfId="0" applyNumberFormat="1" applyFont="1" applyAlignment="1">
      <alignment vertical="center"/>
    </xf>
    <xf numFmtId="0" fontId="127" fillId="0" borderId="0" xfId="0" applyFont="1" applyAlignment="1">
      <alignment horizontal="left"/>
    </xf>
    <xf numFmtId="0" fontId="102" fillId="0" borderId="0" xfId="0" applyFont="1" applyAlignment="1">
      <alignment horizontal="left"/>
    </xf>
    <xf numFmtId="0" fontId="50" fillId="0" borderId="0" xfId="0" applyFont="1" applyAlignment="1">
      <alignment horizontal="center" vertical="center" wrapText="1"/>
    </xf>
    <xf numFmtId="0" fontId="134" fillId="0" borderId="0" xfId="1" applyFont="1" applyBorder="1" applyAlignment="1">
      <alignment horizontal="center"/>
    </xf>
    <xf numFmtId="0" fontId="121" fillId="5" borderId="0" xfId="0" applyFont="1" applyFill="1" applyAlignment="1">
      <alignment vertical="center"/>
    </xf>
    <xf numFmtId="0" fontId="122" fillId="5" borderId="0" xfId="0" applyFont="1" applyFill="1" applyAlignment="1">
      <alignment vertical="center"/>
    </xf>
    <xf numFmtId="0" fontId="120" fillId="5" borderId="125" xfId="0" applyFont="1" applyFill="1" applyBorder="1" applyAlignment="1">
      <alignment vertical="center"/>
    </xf>
    <xf numFmtId="0" fontId="121" fillId="5" borderId="126" xfId="0" applyFont="1" applyFill="1" applyBorder="1" applyAlignment="1">
      <alignment vertical="center"/>
    </xf>
    <xf numFmtId="0" fontId="122" fillId="5" borderId="126" xfId="0" applyFont="1" applyFill="1" applyBorder="1" applyAlignment="1">
      <alignment vertical="center"/>
    </xf>
    <xf numFmtId="0" fontId="122" fillId="5" borderId="127" xfId="0" applyFont="1" applyFill="1" applyBorder="1" applyAlignment="1">
      <alignment vertical="center"/>
    </xf>
    <xf numFmtId="0" fontId="120" fillId="5" borderId="119" xfId="0" applyFont="1" applyFill="1" applyBorder="1" applyAlignment="1">
      <alignment vertical="center"/>
    </xf>
    <xf numFmtId="0" fontId="122" fillId="5" borderId="123" xfId="0" applyFont="1" applyFill="1" applyBorder="1" applyAlignment="1">
      <alignment vertical="center"/>
    </xf>
    <xf numFmtId="0" fontId="120" fillId="5" borderId="116" xfId="0" applyFont="1" applyFill="1" applyBorder="1" applyAlignment="1">
      <alignment vertical="center"/>
    </xf>
    <xf numFmtId="0" fontId="121" fillId="5" borderId="117" xfId="0" applyFont="1" applyFill="1" applyBorder="1" applyAlignment="1">
      <alignment vertical="center"/>
    </xf>
    <xf numFmtId="0" fontId="122" fillId="5" borderId="117" xfId="0" applyFont="1" applyFill="1" applyBorder="1" applyAlignment="1">
      <alignment vertical="center"/>
    </xf>
    <xf numFmtId="0" fontId="122" fillId="5" borderId="118" xfId="0" applyFont="1" applyFill="1" applyBorder="1" applyAlignment="1">
      <alignment vertical="center"/>
    </xf>
    <xf numFmtId="0" fontId="20" fillId="5" borderId="69" xfId="0" applyFont="1" applyFill="1" applyBorder="1"/>
    <xf numFmtId="0" fontId="20" fillId="5" borderId="72" xfId="0" applyFont="1" applyFill="1" applyBorder="1"/>
    <xf numFmtId="0" fontId="38" fillId="64" borderId="69" xfId="0" applyFont="1" applyFill="1" applyBorder="1"/>
    <xf numFmtId="0" fontId="38" fillId="64" borderId="72" xfId="0" applyFont="1" applyFill="1" applyBorder="1"/>
    <xf numFmtId="169" fontId="3" fillId="0" borderId="95" xfId="0" applyNumberFormat="1" applyFont="1" applyBorder="1"/>
    <xf numFmtId="0" fontId="139" fillId="0" borderId="27" xfId="5" applyFont="1" applyBorder="1"/>
    <xf numFmtId="0" fontId="140" fillId="0" borderId="0" xfId="0" applyFont="1"/>
    <xf numFmtId="0" fontId="102" fillId="0" borderId="0" xfId="1" applyFont="1" applyBorder="1" applyAlignment="1">
      <alignment horizontal="left"/>
    </xf>
    <xf numFmtId="167" fontId="37" fillId="0" borderId="0" xfId="0" applyNumberFormat="1" applyFont="1"/>
    <xf numFmtId="0" fontId="128" fillId="0" borderId="0" xfId="0" applyFont="1" applyAlignment="1">
      <alignment vertical="center"/>
    </xf>
    <xf numFmtId="0" fontId="0" fillId="0" borderId="0" xfId="5" applyFont="1" applyAlignment="1">
      <alignment horizontal="left" vertical="center"/>
    </xf>
    <xf numFmtId="170" fontId="37" fillId="0" borderId="0" xfId="0" applyNumberFormat="1" applyFont="1" applyAlignment="1">
      <alignment vertical="top"/>
    </xf>
    <xf numFmtId="0" fontId="131" fillId="0" borderId="0" xfId="0" applyFont="1"/>
    <xf numFmtId="0" fontId="143" fillId="0" borderId="0" xfId="0" applyFont="1"/>
    <xf numFmtId="0" fontId="143" fillId="62" borderId="0" xfId="0" applyFont="1" applyFill="1"/>
    <xf numFmtId="169" fontId="0" fillId="53" borderId="0" xfId="0" applyNumberFormat="1" applyFill="1"/>
    <xf numFmtId="169" fontId="0" fillId="8" borderId="0" xfId="0" applyNumberFormat="1" applyFill="1"/>
    <xf numFmtId="169" fontId="0" fillId="25" borderId="0" xfId="0" applyNumberFormat="1" applyFill="1"/>
    <xf numFmtId="169" fontId="0" fillId="22" borderId="0" xfId="0" applyNumberFormat="1" applyFill="1"/>
    <xf numFmtId="169" fontId="0" fillId="24" borderId="0" xfId="0" applyNumberFormat="1" applyFill="1"/>
    <xf numFmtId="0" fontId="145" fillId="0" borderId="0" xfId="0" applyFont="1"/>
    <xf numFmtId="0" fontId="18" fillId="0" borderId="0" xfId="0" applyFont="1" applyAlignment="1">
      <alignment vertical="top" wrapText="1"/>
    </xf>
    <xf numFmtId="0" fontId="134" fillId="0" borderId="0" xfId="1" applyFont="1" applyBorder="1" applyAlignment="1">
      <alignment horizontal="left"/>
    </xf>
    <xf numFmtId="0" fontId="105" fillId="6" borderId="0" xfId="0" applyFont="1" applyFill="1"/>
    <xf numFmtId="169" fontId="0" fillId="56" borderId="0" xfId="0" applyNumberFormat="1" applyFill="1" applyAlignment="1">
      <alignment wrapText="1"/>
    </xf>
    <xf numFmtId="169" fontId="30" fillId="8" borderId="0" xfId="0" applyNumberFormat="1" applyFont="1" applyFill="1"/>
    <xf numFmtId="169" fontId="0" fillId="26" borderId="0" xfId="0" applyNumberFormat="1" applyFill="1"/>
    <xf numFmtId="165" fontId="0" fillId="0" borderId="0" xfId="0" applyNumberFormat="1" applyAlignment="1">
      <alignment horizontal="left" vertical="top"/>
    </xf>
    <xf numFmtId="0" fontId="30" fillId="0" borderId="0" xfId="0" applyFont="1"/>
    <xf numFmtId="0" fontId="18" fillId="0" borderId="135" xfId="0" applyFont="1" applyBorder="1" applyAlignment="1">
      <alignment wrapText="1"/>
    </xf>
    <xf numFmtId="0" fontId="151" fillId="0" borderId="27" xfId="5" applyFont="1" applyBorder="1"/>
    <xf numFmtId="0" fontId="151" fillId="0" borderId="27" xfId="5" quotePrefix="1" applyFont="1" applyBorder="1"/>
    <xf numFmtId="0" fontId="18" fillId="0" borderId="0" xfId="0" applyFont="1" applyAlignment="1">
      <alignment horizontal="center" wrapText="1"/>
    </xf>
    <xf numFmtId="0" fontId="7" fillId="0" borderId="157" xfId="0" applyFont="1" applyBorder="1"/>
    <xf numFmtId="0" fontId="18" fillId="7" borderId="52" xfId="0" applyFont="1" applyFill="1" applyBorder="1" applyProtection="1">
      <protection hidden="1"/>
    </xf>
    <xf numFmtId="0" fontId="18" fillId="7" borderId="53" xfId="0" applyFont="1" applyFill="1" applyBorder="1" applyProtection="1">
      <protection hidden="1"/>
    </xf>
    <xf numFmtId="0" fontId="18" fillId="7" borderId="54" xfId="0" applyFont="1" applyFill="1" applyBorder="1" applyProtection="1">
      <protection hidden="1"/>
    </xf>
    <xf numFmtId="0" fontId="0" fillId="67" borderId="158" xfId="0" applyFill="1" applyBorder="1"/>
    <xf numFmtId="4" fontId="0" fillId="67" borderId="158" xfId="0" applyNumberFormat="1" applyFill="1" applyBorder="1"/>
    <xf numFmtId="0" fontId="0" fillId="67" borderId="158" xfId="5" applyFont="1" applyFill="1" applyBorder="1"/>
    <xf numFmtId="0" fontId="30" fillId="0" borderId="158" xfId="5" applyFont="1" applyBorder="1"/>
    <xf numFmtId="0" fontId="116" fillId="66" borderId="159" xfId="5" applyFont="1" applyFill="1" applyBorder="1" applyAlignment="1">
      <alignment horizontal="left"/>
    </xf>
    <xf numFmtId="0" fontId="116" fillId="66" borderId="159" xfId="5" applyFont="1" applyFill="1" applyBorder="1"/>
    <xf numFmtId="49" fontId="116" fillId="66" borderId="159" xfId="5" applyNumberFormat="1" applyFont="1" applyFill="1" applyBorder="1"/>
    <xf numFmtId="14" fontId="116" fillId="66" borderId="159" xfId="5" applyNumberFormat="1" applyFont="1" applyFill="1" applyBorder="1"/>
    <xf numFmtId="169" fontId="116" fillId="66" borderId="159" xfId="5" applyNumberFormat="1" applyFont="1" applyFill="1" applyBorder="1"/>
    <xf numFmtId="0" fontId="116" fillId="66" borderId="159" xfId="5" applyFont="1" applyFill="1" applyBorder="1" applyAlignment="1">
      <alignment wrapText="1"/>
    </xf>
    <xf numFmtId="49" fontId="0" fillId="0" borderId="160" xfId="0" applyNumberFormat="1" applyBorder="1"/>
    <xf numFmtId="0" fontId="0" fillId="0" borderId="160" xfId="0" applyBorder="1"/>
    <xf numFmtId="0" fontId="0" fillId="0" borderId="160" xfId="5" applyFont="1" applyBorder="1" applyAlignment="1">
      <alignment horizontal="left" vertical="center"/>
    </xf>
    <xf numFmtId="0" fontId="0" fillId="0" borderId="160" xfId="5" applyFont="1" applyBorder="1"/>
    <xf numFmtId="0" fontId="44" fillId="0" borderId="0" xfId="0" applyFont="1" applyAlignment="1">
      <alignment horizontal="center" vertical="center" wrapText="1"/>
    </xf>
    <xf numFmtId="1" fontId="151" fillId="0" borderId="0" xfId="5" applyNumberFormat="1" applyFont="1" applyAlignment="1">
      <alignment horizontal="left"/>
    </xf>
    <xf numFmtId="49" fontId="151" fillId="0" borderId="0" xfId="5" applyNumberFormat="1" applyFont="1"/>
    <xf numFmtId="0" fontId="151" fillId="0" borderId="0" xfId="5" applyFont="1"/>
    <xf numFmtId="0" fontId="151" fillId="0" borderId="0" xfId="5" applyFont="1" applyAlignment="1">
      <alignment horizontal="left" vertical="center"/>
    </xf>
    <xf numFmtId="14" fontId="151" fillId="0" borderId="0" xfId="5" applyNumberFormat="1" applyFont="1"/>
    <xf numFmtId="4" fontId="151" fillId="0" borderId="0" xfId="5" applyNumberFormat="1" applyFont="1"/>
    <xf numFmtId="0" fontId="153" fillId="0" borderId="0" xfId="5" applyFont="1" applyAlignment="1">
      <alignment horizontal="left"/>
    </xf>
    <xf numFmtId="49" fontId="153" fillId="0" borderId="0" xfId="5" applyNumberFormat="1" applyFont="1"/>
    <xf numFmtId="0" fontId="153" fillId="0" borderId="0" xfId="5" applyFont="1"/>
    <xf numFmtId="14" fontId="153" fillId="0" borderId="0" xfId="5" applyNumberFormat="1" applyFont="1"/>
    <xf numFmtId="4" fontId="153" fillId="0" borderId="0" xfId="5" applyNumberFormat="1" applyFont="1"/>
    <xf numFmtId="169" fontId="153" fillId="0" borderId="0" xfId="5" applyNumberFormat="1" applyFont="1"/>
    <xf numFmtId="0" fontId="153" fillId="0" borderId="0" xfId="5" applyFont="1" applyAlignment="1">
      <alignment horizontal="left" vertical="center"/>
    </xf>
    <xf numFmtId="0" fontId="153" fillId="0" borderId="0" xfId="5" applyFont="1" applyAlignment="1">
      <alignment wrapText="1"/>
    </xf>
    <xf numFmtId="0" fontId="154" fillId="0" borderId="0" xfId="5" applyFont="1" applyAlignment="1">
      <alignment wrapText="1"/>
    </xf>
    <xf numFmtId="0" fontId="153" fillId="0" borderId="0" xfId="0" applyFont="1"/>
    <xf numFmtId="49" fontId="153" fillId="0" borderId="0" xfId="5" applyNumberFormat="1" applyFont="1" applyAlignment="1">
      <alignment horizontal="left" vertical="center"/>
    </xf>
    <xf numFmtId="3" fontId="153" fillId="0" borderId="0" xfId="5" applyNumberFormat="1" applyFont="1" applyAlignment="1">
      <alignment horizontal="left" vertical="center"/>
    </xf>
    <xf numFmtId="0" fontId="2" fillId="0" borderId="0" xfId="5" applyFont="1" applyAlignment="1">
      <alignment horizontal="left"/>
    </xf>
    <xf numFmtId="0" fontId="2" fillId="0" borderId="0" xfId="5" applyFont="1"/>
    <xf numFmtId="167" fontId="7" fillId="7" borderId="31" xfId="0" applyNumberFormat="1" applyFont="1" applyFill="1" applyBorder="1" applyAlignment="1">
      <alignment horizontal="center" shrinkToFit="1"/>
    </xf>
    <xf numFmtId="183" fontId="2" fillId="0" borderId="0" xfId="5" applyNumberFormat="1" applyFont="1"/>
    <xf numFmtId="0" fontId="2" fillId="0" borderId="95" xfId="5" applyFont="1" applyBorder="1"/>
    <xf numFmtId="0" fontId="0" fillId="0" borderId="0" xfId="5" applyFont="1" applyAlignment="1">
      <alignment horizontal="left"/>
    </xf>
    <xf numFmtId="181" fontId="0" fillId="0" borderId="0" xfId="7" applyNumberFormat="1" applyFont="1" applyFill="1" applyBorder="1" applyAlignment="1" applyProtection="1"/>
    <xf numFmtId="14" fontId="0" fillId="0" borderId="0" xfId="5" applyNumberFormat="1" applyFont="1"/>
    <xf numFmtId="4" fontId="0" fillId="0" borderId="0" xfId="5" applyNumberFormat="1" applyFont="1"/>
    <xf numFmtId="169" fontId="0" fillId="0" borderId="0" xfId="5" applyNumberFormat="1" applyFont="1"/>
    <xf numFmtId="2" fontId="0" fillId="0" borderId="0" xfId="5" applyNumberFormat="1" applyFont="1"/>
    <xf numFmtId="0" fontId="3" fillId="0" borderId="0" xfId="0" applyFont="1" applyAlignment="1">
      <alignment wrapText="1"/>
    </xf>
    <xf numFmtId="0" fontId="116" fillId="68" borderId="165" xfId="5" applyFont="1" applyFill="1" applyBorder="1" applyAlignment="1">
      <alignment horizontal="left"/>
    </xf>
    <xf numFmtId="0" fontId="116" fillId="68" borderId="166" xfId="5" applyFont="1" applyFill="1" applyBorder="1"/>
    <xf numFmtId="49" fontId="116" fillId="68" borderId="166" xfId="5" applyNumberFormat="1" applyFont="1" applyFill="1" applyBorder="1"/>
    <xf numFmtId="14" fontId="116" fillId="68" borderId="166" xfId="5" applyNumberFormat="1" applyFont="1" applyFill="1" applyBorder="1"/>
    <xf numFmtId="169" fontId="116" fillId="68" borderId="166" xfId="5" applyNumberFormat="1" applyFont="1" applyFill="1" applyBorder="1"/>
    <xf numFmtId="0" fontId="116" fillId="68" borderId="166" xfId="5" applyFont="1" applyFill="1" applyBorder="1" applyAlignment="1">
      <alignment wrapText="1"/>
    </xf>
    <xf numFmtId="0" fontId="116" fillId="68" borderId="167" xfId="5" applyFont="1" applyFill="1" applyBorder="1" applyAlignment="1">
      <alignment wrapText="1"/>
    </xf>
    <xf numFmtId="0" fontId="0" fillId="69" borderId="161" xfId="0" applyFill="1" applyBorder="1" applyAlignment="1">
      <alignment horizontal="left"/>
    </xf>
    <xf numFmtId="0" fontId="0" fillId="69" borderId="162" xfId="0" applyFill="1" applyBorder="1"/>
    <xf numFmtId="0" fontId="0" fillId="69" borderId="164" xfId="0" applyFill="1" applyBorder="1"/>
    <xf numFmtId="0" fontId="0" fillId="0" borderId="162" xfId="0" applyBorder="1"/>
    <xf numFmtId="0" fontId="0" fillId="0" borderId="164" xfId="0" applyBorder="1"/>
    <xf numFmtId="0" fontId="0" fillId="69" borderId="163" xfId="5" applyFont="1" applyFill="1" applyBorder="1"/>
    <xf numFmtId="0" fontId="0" fillId="69" borderId="163" xfId="0" applyFill="1" applyBorder="1"/>
    <xf numFmtId="0" fontId="0" fillId="69" borderId="168" xfId="0" applyFill="1" applyBorder="1"/>
    <xf numFmtId="49" fontId="153" fillId="0" borderId="0" xfId="5" applyNumberFormat="1" applyFont="1" applyAlignment="1">
      <alignment vertical="center"/>
    </xf>
    <xf numFmtId="49" fontId="153" fillId="0" borderId="0" xfId="0" applyNumberFormat="1" applyFont="1" applyAlignment="1">
      <alignment vertical="center"/>
    </xf>
    <xf numFmtId="14" fontId="153" fillId="0" borderId="0" xfId="5" applyNumberFormat="1" applyFont="1" applyAlignment="1">
      <alignment vertical="center"/>
    </xf>
    <xf numFmtId="0" fontId="153" fillId="0" borderId="0" xfId="5" applyFont="1" applyAlignment="1">
      <alignment vertical="center"/>
    </xf>
    <xf numFmtId="169" fontId="153" fillId="0" borderId="0" xfId="5" applyNumberFormat="1" applyFont="1" applyAlignment="1">
      <alignment vertical="center"/>
    </xf>
    <xf numFmtId="49" fontId="0" fillId="0" borderId="0" xfId="5" applyNumberFormat="1" applyFont="1" applyAlignment="1">
      <alignment vertical="center"/>
    </xf>
    <xf numFmtId="14" fontId="0" fillId="0" borderId="0" xfId="5" applyNumberFormat="1" applyFont="1" applyAlignment="1">
      <alignment vertical="center"/>
    </xf>
    <xf numFmtId="0" fontId="0" fillId="0" borderId="0" xfId="5" applyFont="1" applyAlignment="1">
      <alignment vertical="center"/>
    </xf>
    <xf numFmtId="169" fontId="0" fillId="0" borderId="0" xfId="5" applyNumberFormat="1" applyFont="1" applyAlignment="1">
      <alignment vertical="center"/>
    </xf>
    <xf numFmtId="2" fontId="2" fillId="0" borderId="0" xfId="5" applyNumberFormat="1" applyFont="1"/>
    <xf numFmtId="0" fontId="7" fillId="0" borderId="33" xfId="0" applyFont="1" applyBorder="1" applyAlignment="1" applyProtection="1">
      <alignment horizontal="center" wrapText="1"/>
      <protection locked="0"/>
    </xf>
    <xf numFmtId="0" fontId="7" fillId="0" borderId="0" xfId="0" applyFont="1" applyAlignment="1" applyProtection="1">
      <alignment horizontal="center" wrapText="1"/>
      <protection locked="0"/>
    </xf>
    <xf numFmtId="0" fontId="7" fillId="0" borderId="30" xfId="0" applyFont="1" applyBorder="1" applyAlignment="1" applyProtection="1">
      <alignment horizontal="center" wrapText="1"/>
      <protection locked="0"/>
    </xf>
    <xf numFmtId="0" fontId="7" fillId="0" borderId="31" xfId="0" applyFont="1" applyBorder="1" applyAlignment="1" applyProtection="1">
      <alignment horizontal="center" wrapText="1"/>
      <protection locked="0"/>
    </xf>
    <xf numFmtId="167" fontId="7" fillId="0" borderId="34" xfId="0" applyNumberFormat="1" applyFont="1" applyBorder="1" applyAlignment="1">
      <alignment horizontal="center" shrinkToFit="1"/>
    </xf>
    <xf numFmtId="167" fontId="7" fillId="0" borderId="12" xfId="0" applyNumberFormat="1" applyFont="1" applyBorder="1" applyAlignment="1">
      <alignment horizontal="center" shrinkToFit="1"/>
    </xf>
    <xf numFmtId="172" fontId="3" fillId="0" borderId="0" xfId="5" applyNumberFormat="1" applyFont="1"/>
    <xf numFmtId="0" fontId="30" fillId="0" borderId="0" xfId="0" applyFont="1" applyAlignment="1">
      <alignment horizontal="left"/>
    </xf>
    <xf numFmtId="49" fontId="2" fillId="0" borderId="0" xfId="5" applyNumberFormat="1" applyFont="1" applyAlignment="1">
      <alignment horizontal="left" wrapText="1"/>
    </xf>
    <xf numFmtId="49" fontId="2" fillId="0" borderId="95" xfId="5" applyNumberFormat="1" applyFont="1" applyBorder="1" applyAlignment="1">
      <alignment horizontal="left" wrapText="1"/>
    </xf>
    <xf numFmtId="176" fontId="0" fillId="0" borderId="160" xfId="0" quotePrefix="1" applyNumberFormat="1" applyBorder="1" applyAlignment="1">
      <alignment horizontal="left"/>
    </xf>
    <xf numFmtId="176" fontId="0" fillId="0" borderId="0" xfId="0" applyNumberFormat="1"/>
    <xf numFmtId="0" fontId="0" fillId="70" borderId="95" xfId="0" applyFill="1" applyBorder="1"/>
    <xf numFmtId="3" fontId="0" fillId="0" borderId="0" xfId="0" applyNumberFormat="1"/>
    <xf numFmtId="49" fontId="0" fillId="0" borderId="0" xfId="0" applyNumberFormat="1" applyAlignment="1">
      <alignment horizontal="left" vertical="center"/>
    </xf>
    <xf numFmtId="4" fontId="0" fillId="0" borderId="0" xfId="0" applyNumberFormat="1"/>
    <xf numFmtId="179" fontId="0" fillId="0" borderId="0" xfId="0" applyNumberFormat="1"/>
    <xf numFmtId="3" fontId="0" fillId="0" borderId="0" xfId="0" applyNumberFormat="1" applyAlignment="1">
      <alignment horizontal="left" vertical="center"/>
    </xf>
    <xf numFmtId="176" fontId="0" fillId="53" borderId="0" xfId="0" applyNumberFormat="1" applyFill="1"/>
    <xf numFmtId="164" fontId="0" fillId="0" borderId="13" xfId="0" applyNumberFormat="1" applyBorder="1" applyAlignment="1">
      <alignment horizontal="right" vertical="center"/>
    </xf>
    <xf numFmtId="0" fontId="157" fillId="0" borderId="0" xfId="0" applyFont="1"/>
    <xf numFmtId="0" fontId="116" fillId="71" borderId="183" xfId="0" applyFont="1" applyFill="1" applyBorder="1"/>
    <xf numFmtId="0" fontId="0" fillId="0" borderId="184" xfId="0" applyBorder="1"/>
    <xf numFmtId="0" fontId="29" fillId="0" borderId="0" xfId="0" applyFont="1" applyAlignment="1">
      <alignment horizontal="left" vertical="top" wrapText="1"/>
    </xf>
    <xf numFmtId="0" fontId="7" fillId="0" borderId="68" xfId="0" applyFont="1" applyBorder="1"/>
    <xf numFmtId="0" fontId="29" fillId="0" borderId="0" xfId="0" applyFont="1" applyAlignment="1">
      <alignment vertical="top" wrapText="1"/>
    </xf>
    <xf numFmtId="165" fontId="7" fillId="0" borderId="0" xfId="0" applyNumberFormat="1" applyFont="1"/>
    <xf numFmtId="0" fontId="159" fillId="6" borderId="0" xfId="0" applyFont="1" applyFill="1" applyAlignment="1">
      <alignment vertical="center"/>
    </xf>
    <xf numFmtId="0" fontId="36" fillId="4" borderId="0" xfId="0" applyFont="1" applyFill="1"/>
    <xf numFmtId="0" fontId="38" fillId="4" borderId="0" xfId="0" applyFont="1" applyFill="1" applyAlignment="1">
      <alignment horizontal="left" vertical="center" wrapText="1"/>
    </xf>
    <xf numFmtId="0" fontId="165" fillId="0" borderId="0" xfId="5" applyFont="1" applyAlignment="1">
      <alignment horizontal="left"/>
    </xf>
    <xf numFmtId="49" fontId="165" fillId="0" borderId="0" xfId="5" applyNumberFormat="1" applyFont="1"/>
    <xf numFmtId="14" fontId="165" fillId="0" borderId="0" xfId="5" applyNumberFormat="1" applyFont="1"/>
    <xf numFmtId="49" fontId="165" fillId="0" borderId="0" xfId="5" applyNumberFormat="1" applyFont="1" applyAlignment="1">
      <alignment horizontal="left" vertical="center"/>
    </xf>
    <xf numFmtId="4" fontId="165" fillId="0" borderId="0" xfId="5" applyNumberFormat="1" applyFont="1"/>
    <xf numFmtId="169" fontId="165" fillId="0" borderId="0" xfId="5" applyNumberFormat="1" applyFont="1"/>
    <xf numFmtId="0" fontId="165" fillId="0" borderId="0" xfId="5" applyFont="1"/>
    <xf numFmtId="3" fontId="165" fillId="0" borderId="0" xfId="5" applyNumberFormat="1" applyFont="1" applyAlignment="1">
      <alignment horizontal="left" vertical="center"/>
    </xf>
    <xf numFmtId="0" fontId="30" fillId="0" borderId="0" xfId="5" applyFont="1" applyAlignment="1">
      <alignment wrapText="1"/>
    </xf>
    <xf numFmtId="49" fontId="0" fillId="0" borderId="0" xfId="5" applyNumberFormat="1" applyFont="1"/>
    <xf numFmtId="3" fontId="0" fillId="0" borderId="0" xfId="5" applyNumberFormat="1" applyFont="1"/>
    <xf numFmtId="49" fontId="0" fillId="0" borderId="0" xfId="5" applyNumberFormat="1" applyFont="1" applyAlignment="1">
      <alignment horizontal="left" vertical="center"/>
    </xf>
    <xf numFmtId="179" fontId="0" fillId="0" borderId="0" xfId="5" applyNumberFormat="1" applyFont="1"/>
    <xf numFmtId="3" fontId="0" fillId="0" borderId="0" xfId="5" applyNumberFormat="1" applyFont="1" applyAlignment="1">
      <alignment horizontal="left" vertical="center"/>
    </xf>
    <xf numFmtId="0" fontId="3" fillId="0" borderId="0" xfId="0" applyFont="1" applyAlignment="1">
      <alignment vertical="center"/>
    </xf>
    <xf numFmtId="0" fontId="3" fillId="0" borderId="0" xfId="5" applyFont="1" applyAlignment="1">
      <alignment horizontal="right"/>
    </xf>
    <xf numFmtId="183" fontId="2" fillId="0" borderId="0" xfId="5" applyNumberFormat="1" applyFont="1" applyAlignment="1">
      <alignment horizontal="right"/>
    </xf>
    <xf numFmtId="183" fontId="2" fillId="0" borderId="95" xfId="5" applyNumberFormat="1" applyFont="1" applyBorder="1"/>
    <xf numFmtId="2" fontId="7" fillId="0" borderId="0" xfId="0" applyNumberFormat="1" applyFont="1"/>
    <xf numFmtId="181" fontId="0" fillId="0" borderId="0" xfId="7" applyNumberFormat="1" applyFont="1"/>
    <xf numFmtId="0" fontId="7" fillId="0" borderId="185" xfId="0" applyFont="1" applyBorder="1"/>
    <xf numFmtId="0" fontId="7" fillId="0" borderId="96" xfId="0" applyFont="1" applyBorder="1"/>
    <xf numFmtId="0" fontId="0" fillId="69" borderId="162" xfId="5" applyFont="1" applyFill="1" applyBorder="1" applyAlignment="1">
      <alignment vertical="center"/>
    </xf>
    <xf numFmtId="0" fontId="0" fillId="69" borderId="162" xfId="0" applyFill="1" applyBorder="1" applyAlignment="1">
      <alignment vertical="center"/>
    </xf>
    <xf numFmtId="49" fontId="0" fillId="69" borderId="162" xfId="0" applyNumberFormat="1" applyFill="1" applyBorder="1" applyAlignment="1">
      <alignment vertical="center"/>
    </xf>
    <xf numFmtId="0" fontId="30" fillId="69" borderId="162" xfId="5" applyFont="1" applyFill="1" applyBorder="1"/>
    <xf numFmtId="3" fontId="0" fillId="69" borderId="162" xfId="0" applyNumberFormat="1" applyFill="1" applyBorder="1" applyAlignment="1">
      <alignment vertical="center"/>
    </xf>
    <xf numFmtId="4" fontId="0" fillId="69" borderId="162" xfId="0" applyNumberFormat="1" applyFill="1" applyBorder="1"/>
    <xf numFmtId="179" fontId="0" fillId="69" borderId="162" xfId="0" applyNumberFormat="1" applyFill="1" applyBorder="1" applyAlignment="1">
      <alignment vertical="center"/>
    </xf>
    <xf numFmtId="0" fontId="0" fillId="0" borderId="162" xfId="5" applyFont="1" applyBorder="1" applyAlignment="1">
      <alignment vertical="center"/>
    </xf>
    <xf numFmtId="0" fontId="0" fillId="0" borderId="162" xfId="0" applyBorder="1" applyAlignment="1">
      <alignment vertical="center"/>
    </xf>
    <xf numFmtId="49" fontId="0" fillId="0" borderId="162" xfId="0" applyNumberFormat="1" applyBorder="1" applyAlignment="1">
      <alignment vertical="center"/>
    </xf>
    <xf numFmtId="0" fontId="30" fillId="0" borderId="162" xfId="5" applyFont="1" applyBorder="1"/>
    <xf numFmtId="3" fontId="0" fillId="0" borderId="162" xfId="0" applyNumberFormat="1" applyBorder="1" applyAlignment="1">
      <alignment vertical="center"/>
    </xf>
    <xf numFmtId="4" fontId="0" fillId="0" borderId="162" xfId="0" applyNumberFormat="1" applyBorder="1"/>
    <xf numFmtId="179" fontId="0" fillId="0" borderId="162" xfId="0" applyNumberFormat="1" applyBorder="1" applyAlignment="1">
      <alignment vertical="center"/>
    </xf>
    <xf numFmtId="49" fontId="0" fillId="69" borderId="162" xfId="5" applyNumberFormat="1" applyFont="1" applyFill="1" applyBorder="1" applyAlignment="1">
      <alignment horizontal="left" vertical="center"/>
    </xf>
    <xf numFmtId="49" fontId="0" fillId="0" borderId="162" xfId="5" applyNumberFormat="1" applyFont="1" applyBorder="1" applyAlignment="1">
      <alignment horizontal="left" vertical="center"/>
    </xf>
    <xf numFmtId="0" fontId="0" fillId="69" borderId="162" xfId="5" applyFont="1" applyFill="1" applyBorder="1" applyAlignment="1">
      <alignment horizontal="left" vertical="center"/>
    </xf>
    <xf numFmtId="0" fontId="0" fillId="0" borderId="162" xfId="5" applyFont="1" applyBorder="1" applyAlignment="1">
      <alignment horizontal="left" vertical="center"/>
    </xf>
    <xf numFmtId="2" fontId="116" fillId="73" borderId="186" xfId="5" applyNumberFormat="1" applyFont="1" applyFill="1" applyBorder="1" applyAlignment="1">
      <alignment horizontal="left" vertical="center"/>
    </xf>
    <xf numFmtId="0" fontId="116" fillId="73" borderId="186" xfId="5" applyFont="1" applyFill="1" applyBorder="1" applyAlignment="1">
      <alignment vertical="center"/>
    </xf>
    <xf numFmtId="0" fontId="116" fillId="73" borderId="186" xfId="5" applyFont="1" applyFill="1" applyBorder="1"/>
    <xf numFmtId="49" fontId="116" fillId="73" borderId="186" xfId="5" applyNumberFormat="1" applyFont="1" applyFill="1" applyBorder="1" applyAlignment="1">
      <alignment vertical="center"/>
    </xf>
    <xf numFmtId="1" fontId="116" fillId="73" borderId="186" xfId="5" applyNumberFormat="1" applyFont="1" applyFill="1" applyBorder="1" applyAlignment="1">
      <alignment vertical="center"/>
    </xf>
    <xf numFmtId="14" fontId="116" fillId="73" borderId="186" xfId="5" applyNumberFormat="1" applyFont="1" applyFill="1" applyBorder="1" applyAlignment="1">
      <alignment vertical="center"/>
    </xf>
    <xf numFmtId="169" fontId="116" fillId="73" borderId="186" xfId="5" applyNumberFormat="1" applyFont="1" applyFill="1" applyBorder="1" applyAlignment="1">
      <alignment vertical="center"/>
    </xf>
    <xf numFmtId="0" fontId="116" fillId="73" borderId="186" xfId="5" applyFont="1" applyFill="1" applyBorder="1" applyAlignment="1">
      <alignment vertical="center" wrapText="1"/>
    </xf>
    <xf numFmtId="49" fontId="0" fillId="69" borderId="163" xfId="5" applyNumberFormat="1" applyFont="1" applyFill="1" applyBorder="1" applyAlignment="1">
      <alignment horizontal="left" vertical="center"/>
    </xf>
    <xf numFmtId="0" fontId="0" fillId="69" borderId="163" xfId="5" applyFont="1" applyFill="1" applyBorder="1" applyAlignment="1">
      <alignment vertical="center"/>
    </xf>
    <xf numFmtId="0" fontId="0" fillId="69" borderId="163" xfId="0" applyFill="1" applyBorder="1" applyAlignment="1">
      <alignment vertical="center"/>
    </xf>
    <xf numFmtId="49" fontId="0" fillId="69" borderId="163" xfId="0" applyNumberFormat="1" applyFill="1" applyBorder="1" applyAlignment="1">
      <alignment vertical="center"/>
    </xf>
    <xf numFmtId="0" fontId="30" fillId="69" borderId="163" xfId="5" applyFont="1" applyFill="1" applyBorder="1"/>
    <xf numFmtId="3" fontId="0" fillId="69" borderId="163" xfId="0" applyNumberFormat="1" applyFill="1" applyBorder="1" applyAlignment="1">
      <alignment vertical="center"/>
    </xf>
    <xf numFmtId="4" fontId="0" fillId="69" borderId="163" xfId="0" applyNumberFormat="1" applyFill="1" applyBorder="1"/>
    <xf numFmtId="179" fontId="0" fillId="69" borderId="163" xfId="0" applyNumberFormat="1" applyFill="1" applyBorder="1" applyAlignment="1">
      <alignment vertical="center"/>
    </xf>
    <xf numFmtId="0" fontId="0" fillId="0" borderId="190" xfId="0" applyBorder="1"/>
    <xf numFmtId="0" fontId="7" fillId="0" borderId="190" xfId="0" applyFont="1" applyBorder="1"/>
    <xf numFmtId="0" fontId="7" fillId="0" borderId="191" xfId="0" applyFont="1" applyBorder="1"/>
    <xf numFmtId="14" fontId="0" fillId="7" borderId="0" xfId="0" applyNumberFormat="1" applyFill="1" applyAlignment="1">
      <alignment wrapText="1"/>
    </xf>
    <xf numFmtId="176" fontId="25" fillId="0" borderId="0" xfId="0" quotePrefix="1" applyNumberFormat="1" applyFont="1" applyAlignment="1">
      <alignment horizontal="left"/>
    </xf>
    <xf numFmtId="0" fontId="0" fillId="0" borderId="160" xfId="0" quotePrefix="1" applyBorder="1"/>
    <xf numFmtId="169" fontId="7" fillId="0" borderId="0" xfId="0" applyNumberFormat="1" applyFont="1"/>
    <xf numFmtId="0" fontId="167" fillId="0" borderId="0" xfId="0" applyFont="1"/>
    <xf numFmtId="0" fontId="7" fillId="0" borderId="110" xfId="0" applyFont="1" applyBorder="1"/>
    <xf numFmtId="0" fontId="0" fillId="70" borderId="100" xfId="0" applyFill="1" applyBorder="1"/>
    <xf numFmtId="0" fontId="0" fillId="0" borderId="100" xfId="0" applyBorder="1"/>
    <xf numFmtId="0" fontId="116" fillId="71" borderId="95" xfId="0" applyFont="1" applyFill="1" applyBorder="1" applyAlignment="1">
      <alignment wrapText="1"/>
    </xf>
    <xf numFmtId="0" fontId="116" fillId="71" borderId="192" xfId="0" applyFont="1" applyFill="1" applyBorder="1" applyAlignment="1">
      <alignment wrapText="1"/>
    </xf>
    <xf numFmtId="0" fontId="116" fillId="71" borderId="183" xfId="0" applyFont="1" applyFill="1" applyBorder="1" applyAlignment="1">
      <alignment wrapText="1"/>
    </xf>
    <xf numFmtId="0" fontId="22" fillId="0" borderId="0" xfId="0" applyFont="1" applyAlignment="1">
      <alignment horizontal="center" vertical="center"/>
    </xf>
    <xf numFmtId="0" fontId="27" fillId="8" borderId="42" xfId="1" applyFont="1" applyFill="1" applyBorder="1" applyAlignment="1" applyProtection="1">
      <alignment horizontal="center" vertical="center" shrinkToFit="1"/>
      <protection hidden="1"/>
    </xf>
    <xf numFmtId="0" fontId="27" fillId="8" borderId="43" xfId="1" applyFont="1" applyFill="1" applyBorder="1" applyAlignment="1" applyProtection="1">
      <alignment horizontal="center" vertical="center" shrinkToFit="1"/>
      <protection hidden="1"/>
    </xf>
    <xf numFmtId="0" fontId="27" fillId="8" borderId="44" xfId="1" applyFont="1" applyFill="1" applyBorder="1" applyAlignment="1" applyProtection="1">
      <alignment horizontal="center" vertical="center" shrinkToFit="1"/>
      <protection hidden="1"/>
    </xf>
    <xf numFmtId="0" fontId="27" fillId="8" borderId="45" xfId="1" applyFont="1" applyFill="1" applyBorder="1" applyAlignment="1" applyProtection="1">
      <alignment horizontal="center" vertical="center" shrinkToFit="1"/>
      <protection hidden="1"/>
    </xf>
    <xf numFmtId="0" fontId="27" fillId="8" borderId="0" xfId="1" applyFont="1" applyFill="1" applyBorder="1" applyAlignment="1" applyProtection="1">
      <alignment horizontal="center" vertical="center" shrinkToFit="1"/>
      <protection hidden="1"/>
    </xf>
    <xf numFmtId="0" fontId="27" fillId="8" borderId="46" xfId="1" applyFont="1" applyFill="1" applyBorder="1" applyAlignment="1" applyProtection="1">
      <alignment horizontal="center" vertical="center" shrinkToFit="1"/>
      <protection hidden="1"/>
    </xf>
    <xf numFmtId="0" fontId="27" fillId="8" borderId="47" xfId="1" applyFont="1" applyFill="1" applyBorder="1" applyAlignment="1" applyProtection="1">
      <alignment horizontal="center" vertical="center" shrinkToFit="1"/>
      <protection hidden="1"/>
    </xf>
    <xf numFmtId="0" fontId="27" fillId="8" borderId="48" xfId="1" applyFont="1" applyFill="1" applyBorder="1" applyAlignment="1" applyProtection="1">
      <alignment horizontal="center" vertical="center" shrinkToFit="1"/>
      <protection hidden="1"/>
    </xf>
    <xf numFmtId="0" fontId="27" fillId="8" borderId="49" xfId="1" applyFont="1" applyFill="1" applyBorder="1" applyAlignment="1" applyProtection="1">
      <alignment horizontal="center" vertical="center" shrinkToFit="1"/>
      <protection hidden="1"/>
    </xf>
    <xf numFmtId="165" fontId="38" fillId="0" borderId="0" xfId="0" applyNumberFormat="1" applyFont="1" applyAlignment="1">
      <alignment horizontal="left"/>
    </xf>
    <xf numFmtId="165" fontId="7" fillId="0" borderId="0" xfId="0" applyNumberFormat="1" applyFont="1" applyAlignment="1">
      <alignment horizontal="left"/>
    </xf>
    <xf numFmtId="0" fontId="7" fillId="0" borderId="0" xfId="0" applyFont="1" applyAlignment="1">
      <alignment horizontal="right"/>
    </xf>
    <xf numFmtId="0" fontId="104" fillId="6" borderId="0" xfId="0" applyFont="1" applyFill="1" applyAlignment="1">
      <alignment horizontal="center" wrapText="1"/>
    </xf>
    <xf numFmtId="0" fontId="38" fillId="0" borderId="0" xfId="0" applyFont="1" applyAlignment="1">
      <alignment horizontal="right"/>
    </xf>
    <xf numFmtId="0" fontId="107" fillId="5" borderId="120" xfId="0" applyFont="1" applyFill="1" applyBorder="1" applyAlignment="1">
      <alignment horizontal="center" wrapText="1"/>
    </xf>
    <xf numFmtId="0" fontId="107" fillId="5" borderId="122" xfId="0" applyFont="1" applyFill="1" applyBorder="1" applyAlignment="1">
      <alignment horizontal="center" wrapText="1"/>
    </xf>
    <xf numFmtId="9" fontId="57" fillId="4" borderId="0" xfId="6" applyFont="1" applyFill="1" applyBorder="1" applyAlignment="1">
      <alignment horizontal="center" vertical="center"/>
    </xf>
    <xf numFmtId="9" fontId="57" fillId="4" borderId="123" xfId="6" applyFont="1" applyFill="1" applyBorder="1" applyAlignment="1">
      <alignment horizontal="center" vertical="center"/>
    </xf>
    <xf numFmtId="9" fontId="57" fillId="4" borderId="117" xfId="6" applyFont="1" applyFill="1" applyBorder="1" applyAlignment="1">
      <alignment horizontal="center" vertical="center"/>
    </xf>
    <xf numFmtId="9" fontId="57" fillId="4" borderId="118" xfId="6" applyFont="1" applyFill="1" applyBorder="1" applyAlignment="1">
      <alignment horizontal="center" vertical="center"/>
    </xf>
    <xf numFmtId="0" fontId="106" fillId="5" borderId="120" xfId="0" applyFont="1" applyFill="1" applyBorder="1" applyAlignment="1">
      <alignment horizontal="center"/>
    </xf>
    <xf numFmtId="0" fontId="106" fillId="5" borderId="121" xfId="0" applyFont="1" applyFill="1" applyBorder="1" applyAlignment="1">
      <alignment horizontal="center"/>
    </xf>
    <xf numFmtId="0" fontId="106" fillId="5" borderId="122" xfId="0" applyFont="1" applyFill="1" applyBorder="1" applyAlignment="1">
      <alignment horizontal="center"/>
    </xf>
    <xf numFmtId="0" fontId="6" fillId="4" borderId="0" xfId="0" applyFont="1" applyFill="1" applyAlignment="1">
      <alignment horizontal="center" vertical="center" wrapText="1"/>
    </xf>
    <xf numFmtId="0" fontId="6" fillId="4" borderId="117" xfId="0" applyFont="1" applyFill="1" applyBorder="1" applyAlignment="1">
      <alignment horizontal="center" vertical="center" wrapText="1"/>
    </xf>
    <xf numFmtId="0" fontId="164" fillId="4" borderId="0" xfId="0" applyFont="1" applyFill="1" applyAlignment="1">
      <alignment horizontal="left" vertical="top" wrapText="1"/>
    </xf>
    <xf numFmtId="0" fontId="106" fillId="5" borderId="120" xfId="0" applyFont="1" applyFill="1" applyBorder="1" applyAlignment="1">
      <alignment horizontal="center" wrapText="1"/>
    </xf>
    <xf numFmtId="0" fontId="106" fillId="5" borderId="121" xfId="0" applyFont="1" applyFill="1" applyBorder="1" applyAlignment="1">
      <alignment horizontal="center" wrapText="1"/>
    </xf>
    <xf numFmtId="0" fontId="106" fillId="5" borderId="122" xfId="0" applyFont="1" applyFill="1" applyBorder="1" applyAlignment="1">
      <alignment horizontal="center" wrapText="1"/>
    </xf>
    <xf numFmtId="167" fontId="57" fillId="4" borderId="119" xfId="0" applyNumberFormat="1" applyFont="1" applyFill="1" applyBorder="1" applyAlignment="1">
      <alignment horizontal="center" vertical="center"/>
    </xf>
    <xf numFmtId="167" fontId="57" fillId="4" borderId="0" xfId="0" applyNumberFormat="1" applyFont="1" applyFill="1" applyAlignment="1">
      <alignment horizontal="center" vertical="center"/>
    </xf>
    <xf numFmtId="167" fontId="57" fillId="4" borderId="116" xfId="0" applyNumberFormat="1" applyFont="1" applyFill="1" applyBorder="1" applyAlignment="1">
      <alignment horizontal="center" vertical="center"/>
    </xf>
    <xf numFmtId="167" fontId="57" fillId="4" borderId="117" xfId="0" applyNumberFormat="1" applyFont="1" applyFill="1" applyBorder="1" applyAlignment="1">
      <alignment horizontal="center" vertical="center"/>
    </xf>
    <xf numFmtId="0" fontId="141" fillId="0" borderId="0" xfId="0" applyFont="1" applyAlignment="1">
      <alignment horizontal="left" vertical="top" wrapText="1"/>
    </xf>
    <xf numFmtId="0" fontId="107" fillId="5" borderId="124" xfId="0" applyFont="1" applyFill="1" applyBorder="1" applyAlignment="1">
      <alignment horizontal="center" wrapText="1"/>
    </xf>
    <xf numFmtId="9" fontId="57" fillId="4" borderId="126" xfId="6" applyFont="1" applyFill="1" applyBorder="1" applyAlignment="1">
      <alignment horizontal="center" vertical="center"/>
    </xf>
    <xf numFmtId="9" fontId="57" fillId="4" borderId="127" xfId="6" applyFont="1" applyFill="1" applyBorder="1" applyAlignment="1">
      <alignment horizontal="center" vertical="center"/>
    </xf>
    <xf numFmtId="0" fontId="106" fillId="5" borderId="124" xfId="0" applyFont="1" applyFill="1" applyBorder="1" applyAlignment="1">
      <alignment horizontal="center" wrapText="1"/>
    </xf>
    <xf numFmtId="0" fontId="106" fillId="5" borderId="124" xfId="0" applyFont="1" applyFill="1" applyBorder="1" applyAlignment="1">
      <alignment horizontal="center"/>
    </xf>
    <xf numFmtId="167" fontId="57" fillId="4" borderId="125" xfId="0" applyNumberFormat="1" applyFont="1" applyFill="1" applyBorder="1" applyAlignment="1">
      <alignment horizontal="center" vertical="center"/>
    </xf>
    <xf numFmtId="167" fontId="57" fillId="4" borderId="126" xfId="0" applyNumberFormat="1" applyFont="1" applyFill="1" applyBorder="1" applyAlignment="1">
      <alignment horizontal="center" vertical="center"/>
    </xf>
    <xf numFmtId="0" fontId="6" fillId="4" borderId="126" xfId="0" applyFont="1" applyFill="1" applyBorder="1" applyAlignment="1">
      <alignment horizontal="center" vertical="center" wrapText="1"/>
    </xf>
    <xf numFmtId="0" fontId="48" fillId="0" borderId="0" xfId="0" applyFont="1" applyAlignment="1">
      <alignment horizontal="center"/>
    </xf>
    <xf numFmtId="0" fontId="0" fillId="0" borderId="0" xfId="0" applyAlignment="1">
      <alignment horizontal="center"/>
    </xf>
    <xf numFmtId="0" fontId="113" fillId="0" borderId="0" xfId="0" applyFont="1" applyAlignment="1">
      <alignment horizontal="center"/>
    </xf>
    <xf numFmtId="0" fontId="38" fillId="6" borderId="0" xfId="0" applyFont="1" applyFill="1" applyAlignment="1">
      <alignment horizontal="center" wrapText="1"/>
    </xf>
    <xf numFmtId="0" fontId="17" fillId="0" borderId="0" xfId="0" applyFont="1" applyAlignment="1">
      <alignment horizontal="left" vertical="top" wrapText="1"/>
    </xf>
    <xf numFmtId="0" fontId="65" fillId="0" borderId="0" xfId="0" applyFont="1" applyAlignment="1">
      <alignment horizontal="left" vertical="top" wrapText="1"/>
    </xf>
    <xf numFmtId="0" fontId="54" fillId="0" borderId="0" xfId="0" applyFont="1" applyAlignment="1">
      <alignment horizontal="left" vertical="top" wrapText="1"/>
    </xf>
    <xf numFmtId="0" fontId="54" fillId="0" borderId="21" xfId="0" applyFont="1" applyBorder="1" applyAlignment="1">
      <alignment horizontal="left" vertical="top" wrapText="1"/>
    </xf>
    <xf numFmtId="181" fontId="54" fillId="0" borderId="0" xfId="7" applyNumberFormat="1" applyFont="1" applyFill="1" applyBorder="1" applyAlignment="1" applyProtection="1">
      <alignment horizontal="center" vertical="top"/>
    </xf>
    <xf numFmtId="3" fontId="55" fillId="6" borderId="1" xfId="7" applyNumberFormat="1" applyFont="1" applyFill="1" applyBorder="1" applyAlignment="1" applyProtection="1">
      <alignment horizontal="center" vertical="top"/>
    </xf>
    <xf numFmtId="0" fontId="9" fillId="0" borderId="0" xfId="0" applyFont="1" applyAlignment="1">
      <alignment horizontal="center" wrapText="1"/>
    </xf>
    <xf numFmtId="0" fontId="9" fillId="0" borderId="21" xfId="0" applyFont="1" applyBorder="1" applyAlignment="1">
      <alignment horizontal="center" wrapText="1"/>
    </xf>
    <xf numFmtId="0" fontId="10" fillId="0" borderId="21" xfId="0" applyFont="1" applyBorder="1" applyAlignment="1">
      <alignment horizontal="center"/>
    </xf>
    <xf numFmtId="0" fontId="9" fillId="7" borderId="1" xfId="0" applyFont="1" applyFill="1" applyBorder="1" applyAlignment="1">
      <alignment horizontal="left" wrapText="1"/>
    </xf>
    <xf numFmtId="14" fontId="9" fillId="7" borderId="1" xfId="0" applyNumberFormat="1" applyFont="1" applyFill="1" applyBorder="1" applyAlignment="1">
      <alignment horizontal="center" wrapText="1"/>
    </xf>
    <xf numFmtId="0" fontId="10" fillId="7" borderId="1" xfId="0" applyFont="1" applyFill="1" applyBorder="1" applyAlignment="1">
      <alignment horizontal="center"/>
    </xf>
    <xf numFmtId="0" fontId="10" fillId="0" borderId="1" xfId="0" applyFont="1" applyBorder="1" applyAlignment="1" applyProtection="1">
      <alignment horizontal="center"/>
      <protection hidden="1"/>
    </xf>
    <xf numFmtId="1" fontId="10" fillId="0" borderId="50" xfId="0" applyNumberFormat="1" applyFont="1" applyBorder="1" applyAlignment="1" applyProtection="1">
      <alignment horizontal="center"/>
      <protection locked="0"/>
    </xf>
    <xf numFmtId="1" fontId="10" fillId="0" borderId="2" xfId="0" applyNumberFormat="1" applyFont="1" applyBorder="1" applyAlignment="1" applyProtection="1">
      <alignment horizontal="center"/>
      <protection locked="0"/>
    </xf>
    <xf numFmtId="0" fontId="9" fillId="7" borderId="1" xfId="0" applyFont="1" applyFill="1" applyBorder="1" applyAlignment="1">
      <alignment horizontal="left"/>
    </xf>
    <xf numFmtId="1" fontId="9" fillId="0" borderId="1" xfId="0" applyNumberFormat="1" applyFont="1" applyBorder="1" applyAlignment="1" applyProtection="1">
      <alignment horizontal="left" wrapText="1"/>
      <protection locked="0"/>
    </xf>
    <xf numFmtId="0" fontId="9" fillId="19" borderId="1" xfId="8" applyFont="1" applyBorder="1" applyAlignment="1" applyProtection="1">
      <alignment horizontal="left"/>
    </xf>
    <xf numFmtId="1" fontId="9" fillId="19" borderId="1" xfId="8" applyNumberFormat="1" applyFont="1" applyBorder="1" applyAlignment="1" applyProtection="1">
      <alignment horizontal="left" wrapText="1"/>
    </xf>
    <xf numFmtId="0" fontId="9" fillId="13" borderId="1" xfId="0" applyFont="1" applyFill="1" applyBorder="1" applyAlignment="1">
      <alignment horizontal="right"/>
    </xf>
    <xf numFmtId="0" fontId="9" fillId="7" borderId="50" xfId="0" applyFont="1" applyFill="1" applyBorder="1" applyAlignment="1">
      <alignment horizontal="left" wrapText="1"/>
    </xf>
    <xf numFmtId="0" fontId="9" fillId="7" borderId="75" xfId="0" applyFont="1" applyFill="1" applyBorder="1" applyAlignment="1">
      <alignment horizontal="left" wrapText="1"/>
    </xf>
    <xf numFmtId="0" fontId="9" fillId="7" borderId="2" xfId="0" applyFont="1" applyFill="1" applyBorder="1" applyAlignment="1">
      <alignment horizontal="left" wrapText="1"/>
    </xf>
    <xf numFmtId="14" fontId="9" fillId="4" borderId="1" xfId="0" applyNumberFormat="1" applyFont="1" applyFill="1" applyBorder="1" applyAlignment="1" applyProtection="1">
      <alignment horizontal="center" wrapText="1"/>
      <protection locked="0"/>
    </xf>
    <xf numFmtId="0" fontId="10" fillId="4" borderId="1" xfId="0" applyFont="1" applyFill="1" applyBorder="1" applyAlignment="1" applyProtection="1">
      <alignment horizontal="center"/>
      <protection locked="0"/>
    </xf>
    <xf numFmtId="0" fontId="0" fillId="0" borderId="50" xfId="0" applyBorder="1" applyAlignment="1" applyProtection="1">
      <alignment horizontal="center"/>
      <protection locked="0"/>
    </xf>
    <xf numFmtId="0" fontId="0" fillId="0" borderId="2" xfId="0" applyBorder="1" applyAlignment="1" applyProtection="1">
      <alignment horizontal="center"/>
      <protection locked="0"/>
    </xf>
    <xf numFmtId="0" fontId="18" fillId="0" borderId="0" xfId="0" applyFont="1" applyAlignment="1">
      <alignment horizontal="center" vertical="top" wrapText="1"/>
    </xf>
    <xf numFmtId="0" fontId="61" fillId="0" borderId="0" xfId="0" applyFont="1" applyAlignment="1">
      <alignment horizontal="center" vertical="center"/>
    </xf>
    <xf numFmtId="0" fontId="7" fillId="0" borderId="0" xfId="0" applyFont="1" applyAlignment="1">
      <alignment horizontal="left"/>
    </xf>
    <xf numFmtId="0" fontId="17" fillId="0" borderId="0" xfId="0" applyFont="1" applyAlignment="1">
      <alignment horizontal="left"/>
    </xf>
    <xf numFmtId="0" fontId="7" fillId="0" borderId="14" xfId="0" applyFont="1" applyBorder="1" applyAlignment="1" applyProtection="1">
      <alignment horizontal="left"/>
      <protection locked="0"/>
    </xf>
    <xf numFmtId="0" fontId="7" fillId="0" borderId="15" xfId="0" applyFont="1" applyBorder="1" applyAlignment="1" applyProtection="1">
      <alignment horizontal="left"/>
      <protection locked="0"/>
    </xf>
    <xf numFmtId="0" fontId="7" fillId="0" borderId="16" xfId="0" applyFont="1" applyBorder="1" applyAlignment="1" applyProtection="1">
      <alignment horizontal="left"/>
      <protection locked="0"/>
    </xf>
    <xf numFmtId="14" fontId="7" fillId="0" borderId="14" xfId="0" applyNumberFormat="1" applyFont="1" applyBorder="1" applyAlignment="1" applyProtection="1">
      <alignment horizontal="left"/>
      <protection locked="0"/>
    </xf>
    <xf numFmtId="14" fontId="7" fillId="0" borderId="15" xfId="0" applyNumberFormat="1" applyFont="1" applyBorder="1" applyAlignment="1" applyProtection="1">
      <alignment horizontal="left"/>
      <protection locked="0"/>
    </xf>
    <xf numFmtId="14" fontId="7" fillId="0" borderId="16" xfId="0" applyNumberFormat="1" applyFont="1" applyBorder="1" applyAlignment="1" applyProtection="1">
      <alignment horizontal="left"/>
      <protection locked="0"/>
    </xf>
    <xf numFmtId="0" fontId="7" fillId="7" borderId="1" xfId="0" applyFont="1" applyFill="1" applyBorder="1" applyAlignment="1">
      <alignment horizontal="center" vertical="center"/>
    </xf>
    <xf numFmtId="0" fontId="7" fillId="7" borderId="1" xfId="0" applyFont="1" applyFill="1" applyBorder="1" applyAlignment="1">
      <alignment horizontal="left" wrapText="1"/>
    </xf>
    <xf numFmtId="0" fontId="158" fillId="0" borderId="0" xfId="0" applyFont="1" applyAlignment="1">
      <alignment horizontal="center"/>
    </xf>
    <xf numFmtId="0" fontId="60" fillId="0" borderId="0" xfId="0" applyFont="1" applyAlignment="1">
      <alignment horizontal="center" vertical="center"/>
    </xf>
    <xf numFmtId="0" fontId="156" fillId="0" borderId="0" xfId="0" applyFont="1" applyAlignment="1">
      <alignment horizontal="center"/>
    </xf>
    <xf numFmtId="175" fontId="7" fillId="0" borderId="14" xfId="0" applyNumberFormat="1" applyFont="1" applyBorder="1" applyAlignment="1" applyProtection="1">
      <alignment horizontal="left"/>
      <protection locked="0"/>
    </xf>
    <xf numFmtId="175" fontId="7" fillId="0" borderId="15" xfId="0" applyNumberFormat="1" applyFont="1" applyBorder="1" applyAlignment="1" applyProtection="1">
      <alignment horizontal="left"/>
      <protection locked="0"/>
    </xf>
    <xf numFmtId="175" fontId="7" fillId="0" borderId="16" xfId="0" applyNumberFormat="1" applyFont="1" applyBorder="1" applyAlignment="1" applyProtection="1">
      <alignment horizontal="left"/>
      <protection locked="0"/>
    </xf>
    <xf numFmtId="0" fontId="102" fillId="0" borderId="0" xfId="0" applyFont="1" applyAlignment="1">
      <alignment horizontal="left" vertical="center" wrapText="1"/>
    </xf>
    <xf numFmtId="0" fontId="7" fillId="0" borderId="14" xfId="0" applyFont="1" applyBorder="1" applyAlignment="1" applyProtection="1">
      <alignment horizontal="left"/>
      <protection locked="0" hidden="1"/>
    </xf>
    <xf numFmtId="0" fontId="7" fillId="0" borderId="15" xfId="0" applyFont="1" applyBorder="1" applyAlignment="1" applyProtection="1">
      <alignment horizontal="left"/>
      <protection locked="0" hidden="1"/>
    </xf>
    <xf numFmtId="0" fontId="7" fillId="0" borderId="16" xfId="0" applyFont="1" applyBorder="1" applyAlignment="1" applyProtection="1">
      <alignment horizontal="left"/>
      <protection locked="0" hidden="1"/>
    </xf>
    <xf numFmtId="166" fontId="7" fillId="0" borderId="14" xfId="0" applyNumberFormat="1" applyFont="1" applyBorder="1" applyAlignment="1" applyProtection="1">
      <alignment horizontal="left"/>
      <protection locked="0" hidden="1"/>
    </xf>
    <xf numFmtId="166" fontId="7" fillId="0" borderId="15" xfId="0" applyNumberFormat="1" applyFont="1" applyBorder="1" applyAlignment="1" applyProtection="1">
      <alignment horizontal="left"/>
      <protection locked="0" hidden="1"/>
    </xf>
    <xf numFmtId="166" fontId="7" fillId="0" borderId="16" xfId="0" applyNumberFormat="1" applyFont="1" applyBorder="1" applyAlignment="1" applyProtection="1">
      <alignment horizontal="left"/>
      <protection locked="0" hidden="1"/>
    </xf>
    <xf numFmtId="0" fontId="37" fillId="0" borderId="0" xfId="0" applyFont="1" applyAlignment="1">
      <alignment horizontal="center" vertical="center"/>
    </xf>
    <xf numFmtId="0" fontId="7" fillId="0" borderId="94" xfId="0" applyFont="1" applyBorder="1" applyAlignment="1">
      <alignment horizontal="left" wrapText="1"/>
    </xf>
    <xf numFmtId="0" fontId="7" fillId="0" borderId="68" xfId="0" applyFont="1" applyBorder="1" applyAlignment="1">
      <alignment horizontal="left" wrapText="1"/>
    </xf>
    <xf numFmtId="49" fontId="7" fillId="0" borderId="180" xfId="0" applyNumberFormat="1" applyFont="1" applyBorder="1" applyAlignment="1" applyProtection="1">
      <alignment horizontal="left"/>
      <protection locked="0"/>
    </xf>
    <xf numFmtId="49" fontId="7" fillId="0" borderId="181" xfId="0" applyNumberFormat="1" applyFont="1" applyBorder="1" applyAlignment="1" applyProtection="1">
      <alignment horizontal="left"/>
      <protection locked="0"/>
    </xf>
    <xf numFmtId="49" fontId="7" fillId="0" borderId="182" xfId="0" applyNumberFormat="1" applyFont="1" applyBorder="1" applyAlignment="1" applyProtection="1">
      <alignment horizontal="left"/>
      <protection locked="0"/>
    </xf>
    <xf numFmtId="49" fontId="7" fillId="0" borderId="14" xfId="0" applyNumberFormat="1" applyFont="1" applyBorder="1" applyAlignment="1" applyProtection="1">
      <alignment horizontal="left"/>
      <protection locked="0"/>
    </xf>
    <xf numFmtId="49" fontId="7" fillId="0" borderId="15" xfId="0" applyNumberFormat="1" applyFont="1" applyBorder="1" applyAlignment="1" applyProtection="1">
      <alignment horizontal="left"/>
      <protection locked="0"/>
    </xf>
    <xf numFmtId="49" fontId="7" fillId="0" borderId="16" xfId="0" applyNumberFormat="1" applyFont="1" applyBorder="1" applyAlignment="1" applyProtection="1">
      <alignment horizontal="left"/>
      <protection locked="0"/>
    </xf>
    <xf numFmtId="186" fontId="7" fillId="0" borderId="14" xfId="0" applyNumberFormat="1" applyFont="1" applyBorder="1" applyAlignment="1" applyProtection="1">
      <alignment horizontal="left"/>
      <protection locked="0"/>
    </xf>
    <xf numFmtId="186" fontId="7" fillId="0" borderId="15" xfId="0" applyNumberFormat="1" applyFont="1" applyBorder="1" applyAlignment="1" applyProtection="1">
      <alignment horizontal="left"/>
      <protection locked="0"/>
    </xf>
    <xf numFmtId="186" fontId="7" fillId="0" borderId="16" xfId="0" applyNumberFormat="1" applyFont="1" applyBorder="1" applyAlignment="1" applyProtection="1">
      <alignment horizontal="left"/>
      <protection locked="0"/>
    </xf>
    <xf numFmtId="0" fontId="43" fillId="0" borderId="0" xfId="0" applyFont="1" applyAlignment="1">
      <alignment horizontal="center" vertical="center" wrapText="1"/>
    </xf>
    <xf numFmtId="0" fontId="7" fillId="0" borderId="14" xfId="0" applyFont="1" applyBorder="1" applyAlignment="1" applyProtection="1">
      <alignment horizontal="center"/>
      <protection locked="0"/>
    </xf>
    <xf numFmtId="0" fontId="7" fillId="0" borderId="16" xfId="0" applyFont="1" applyBorder="1" applyAlignment="1" applyProtection="1">
      <alignment horizontal="center"/>
      <protection locked="0"/>
    </xf>
    <xf numFmtId="166" fontId="7" fillId="0" borderId="14" xfId="0" applyNumberFormat="1" applyFont="1" applyBorder="1" applyAlignment="1" applyProtection="1">
      <alignment horizontal="left"/>
      <protection locked="0"/>
    </xf>
    <xf numFmtId="166" fontId="7" fillId="0" borderId="15" xfId="0" applyNumberFormat="1" applyFont="1" applyBorder="1" applyAlignment="1" applyProtection="1">
      <alignment horizontal="left"/>
      <protection locked="0"/>
    </xf>
    <xf numFmtId="166" fontId="7" fillId="0" borderId="16" xfId="0" applyNumberFormat="1" applyFont="1" applyBorder="1" applyAlignment="1" applyProtection="1">
      <alignment horizontal="left"/>
      <protection locked="0"/>
    </xf>
    <xf numFmtId="175" fontId="7" fillId="0" borderId="14" xfId="0" applyNumberFormat="1" applyFont="1" applyBorder="1" applyAlignment="1" applyProtection="1">
      <alignment horizontal="left"/>
      <protection locked="0" hidden="1"/>
    </xf>
    <xf numFmtId="175" fontId="7" fillId="0" borderId="15" xfId="0" applyNumberFormat="1" applyFont="1" applyBorder="1" applyAlignment="1" applyProtection="1">
      <alignment horizontal="left"/>
      <protection locked="0" hidden="1"/>
    </xf>
    <xf numFmtId="175" fontId="7" fillId="0" borderId="16" xfId="0" applyNumberFormat="1" applyFont="1" applyBorder="1" applyAlignment="1" applyProtection="1">
      <alignment horizontal="left"/>
      <protection locked="0" hidden="1"/>
    </xf>
    <xf numFmtId="0" fontId="45" fillId="0" borderId="14" xfId="1" applyFont="1" applyBorder="1" applyAlignment="1" applyProtection="1">
      <alignment horizontal="left"/>
      <protection locked="0" hidden="1"/>
    </xf>
    <xf numFmtId="0" fontId="7" fillId="0" borderId="68" xfId="0" applyFont="1" applyBorder="1" applyAlignment="1">
      <alignment horizontal="left"/>
    </xf>
    <xf numFmtId="0" fontId="7" fillId="0" borderId="19" xfId="0" applyFont="1" applyBorder="1" applyAlignment="1" applyProtection="1">
      <alignment horizontal="left" vertical="top" wrapText="1"/>
      <protection locked="0"/>
    </xf>
    <xf numFmtId="0" fontId="7" fillId="0" borderId="20" xfId="0" applyFont="1" applyBorder="1" applyAlignment="1" applyProtection="1">
      <alignment horizontal="left" vertical="top" wrapText="1"/>
      <protection locked="0"/>
    </xf>
    <xf numFmtId="0" fontId="7" fillId="0" borderId="24" xfId="0" applyFont="1" applyBorder="1" applyAlignment="1" applyProtection="1">
      <alignment horizontal="left" vertical="top" wrapText="1"/>
      <protection locked="0"/>
    </xf>
    <xf numFmtId="0" fontId="7" fillId="0" borderId="17" xfId="0" applyFont="1" applyBorder="1" applyAlignment="1" applyProtection="1">
      <alignment horizontal="left" vertical="top" wrapText="1"/>
      <protection locked="0"/>
    </xf>
    <xf numFmtId="0" fontId="7" fillId="0" borderId="0" xfId="0" applyFont="1" applyAlignment="1" applyProtection="1">
      <alignment horizontal="left" vertical="top" wrapText="1"/>
      <protection locked="0"/>
    </xf>
    <xf numFmtId="0" fontId="7" fillId="0" borderId="25" xfId="0" applyFont="1" applyBorder="1" applyAlignment="1" applyProtection="1">
      <alignment horizontal="left" vertical="top" wrapText="1"/>
      <protection locked="0"/>
    </xf>
    <xf numFmtId="0" fontId="7" fillId="0" borderId="22" xfId="0" applyFont="1" applyBorder="1" applyAlignment="1" applyProtection="1">
      <alignment horizontal="left" vertical="top" wrapText="1"/>
      <protection locked="0"/>
    </xf>
    <xf numFmtId="0" fontId="7" fillId="0" borderId="23" xfId="0" applyFont="1" applyBorder="1" applyAlignment="1" applyProtection="1">
      <alignment horizontal="left" vertical="top" wrapText="1"/>
      <protection locked="0"/>
    </xf>
    <xf numFmtId="0" fontId="7" fillId="0" borderId="26" xfId="0" applyFont="1" applyBorder="1" applyAlignment="1" applyProtection="1">
      <alignment horizontal="left" vertical="top" wrapText="1"/>
      <protection locked="0"/>
    </xf>
    <xf numFmtId="3" fontId="7" fillId="0" borderId="14" xfId="0" applyNumberFormat="1" applyFont="1" applyBorder="1" applyAlignment="1" applyProtection="1">
      <alignment horizontal="left"/>
      <protection locked="0" hidden="1"/>
    </xf>
    <xf numFmtId="3" fontId="7" fillId="0" borderId="14" xfId="0" applyNumberFormat="1" applyFont="1" applyBorder="1" applyAlignment="1" applyProtection="1">
      <alignment horizontal="left"/>
      <protection locked="0"/>
    </xf>
    <xf numFmtId="3" fontId="7" fillId="0" borderId="15" xfId="0" applyNumberFormat="1" applyFont="1" applyBorder="1" applyAlignment="1" applyProtection="1">
      <alignment horizontal="left"/>
      <protection locked="0"/>
    </xf>
    <xf numFmtId="3" fontId="7" fillId="0" borderId="16" xfId="0" applyNumberFormat="1" applyFont="1" applyBorder="1" applyAlignment="1" applyProtection="1">
      <alignment horizontal="left"/>
      <protection locked="0"/>
    </xf>
    <xf numFmtId="0" fontId="7" fillId="20" borderId="14" xfId="0" applyFont="1" applyFill="1" applyBorder="1" applyAlignment="1" applyProtection="1">
      <alignment horizontal="left"/>
      <protection hidden="1"/>
    </xf>
    <xf numFmtId="0" fontId="7" fillId="20" borderId="15" xfId="0" applyFont="1" applyFill="1" applyBorder="1" applyAlignment="1" applyProtection="1">
      <alignment horizontal="left"/>
      <protection hidden="1"/>
    </xf>
    <xf numFmtId="0" fontId="7" fillId="20" borderId="16" xfId="0" applyFont="1" applyFill="1" applyBorder="1" applyAlignment="1" applyProtection="1">
      <alignment horizontal="left"/>
      <protection hidden="1"/>
    </xf>
    <xf numFmtId="182" fontId="7" fillId="0" borderId="14" xfId="0" applyNumberFormat="1" applyFont="1" applyBorder="1" applyAlignment="1" applyProtection="1">
      <alignment horizontal="left"/>
      <protection locked="0" hidden="1"/>
    </xf>
    <xf numFmtId="182" fontId="7" fillId="0" borderId="15" xfId="0" applyNumberFormat="1" applyFont="1" applyBorder="1" applyAlignment="1" applyProtection="1">
      <alignment horizontal="left"/>
      <protection locked="0" hidden="1"/>
    </xf>
    <xf numFmtId="182" fontId="7" fillId="0" borderId="16" xfId="0" applyNumberFormat="1" applyFont="1" applyBorder="1" applyAlignment="1" applyProtection="1">
      <alignment horizontal="left"/>
      <protection locked="0" hidden="1"/>
    </xf>
    <xf numFmtId="0" fontId="1" fillId="0" borderId="14" xfId="1" applyBorder="1" applyAlignment="1" applyProtection="1">
      <alignment horizontal="left"/>
      <protection locked="0"/>
    </xf>
    <xf numFmtId="0" fontId="43" fillId="0" borderId="0" xfId="0" applyFont="1" applyAlignment="1">
      <alignment horizontal="left" vertical="center" wrapText="1"/>
    </xf>
    <xf numFmtId="0" fontId="7" fillId="0" borderId="15" xfId="0" applyFont="1" applyBorder="1" applyAlignment="1" applyProtection="1">
      <alignment horizontal="center"/>
      <protection locked="0"/>
    </xf>
    <xf numFmtId="0" fontId="7" fillId="0" borderId="0" xfId="0" applyFont="1" applyAlignment="1">
      <alignment horizontal="center"/>
    </xf>
    <xf numFmtId="0" fontId="43" fillId="0" borderId="0" xfId="0" applyFont="1" applyAlignment="1">
      <alignment horizontal="center" vertical="top" wrapText="1"/>
    </xf>
    <xf numFmtId="9" fontId="103" fillId="4" borderId="126" xfId="6" applyFont="1" applyFill="1" applyBorder="1" applyAlignment="1">
      <alignment horizontal="center" vertical="center"/>
    </xf>
    <xf numFmtId="9" fontId="103" fillId="4" borderId="127" xfId="6" applyFont="1" applyFill="1" applyBorder="1" applyAlignment="1">
      <alignment horizontal="center" vertical="center"/>
    </xf>
    <xf numFmtId="9" fontId="103" fillId="4" borderId="117" xfId="6" applyFont="1" applyFill="1" applyBorder="1" applyAlignment="1">
      <alignment horizontal="center" vertical="center"/>
    </xf>
    <xf numFmtId="9" fontId="103" fillId="4" borderId="118" xfId="6" applyFont="1" applyFill="1" applyBorder="1" applyAlignment="1">
      <alignment horizontal="center" vertical="center"/>
    </xf>
    <xf numFmtId="0" fontId="43" fillId="0" borderId="0" xfId="0" applyFont="1" applyAlignment="1">
      <alignment horizontal="center" vertical="center"/>
    </xf>
    <xf numFmtId="0" fontId="7" fillId="7" borderId="40" xfId="0" applyFont="1" applyFill="1" applyBorder="1" applyAlignment="1" applyProtection="1">
      <alignment horizontal="left" vertical="top" wrapText="1" indent="2"/>
      <protection hidden="1"/>
    </xf>
    <xf numFmtId="0" fontId="7" fillId="7" borderId="18" xfId="0" applyFont="1" applyFill="1" applyBorder="1" applyAlignment="1" applyProtection="1">
      <alignment horizontal="left" vertical="top" wrapText="1" indent="2"/>
      <protection hidden="1"/>
    </xf>
    <xf numFmtId="0" fontId="7" fillId="7" borderId="3" xfId="0" applyFont="1" applyFill="1" applyBorder="1" applyAlignment="1" applyProtection="1">
      <alignment horizontal="left" vertical="top" wrapText="1" indent="2"/>
      <protection hidden="1"/>
    </xf>
    <xf numFmtId="0" fontId="7" fillId="7" borderId="37" xfId="0" applyFont="1" applyFill="1" applyBorder="1" applyAlignment="1" applyProtection="1">
      <alignment horizontal="left" vertical="top" wrapText="1" indent="2"/>
      <protection hidden="1"/>
    </xf>
    <xf numFmtId="0" fontId="7" fillId="7" borderId="0" xfId="0" applyFont="1" applyFill="1" applyAlignment="1" applyProtection="1">
      <alignment horizontal="left" vertical="top" wrapText="1" indent="2"/>
      <protection hidden="1"/>
    </xf>
    <xf numFmtId="0" fontId="7" fillId="7" borderId="4" xfId="0" applyFont="1" applyFill="1" applyBorder="1" applyAlignment="1" applyProtection="1">
      <alignment horizontal="left" vertical="top" wrapText="1" indent="2"/>
      <protection hidden="1"/>
    </xf>
    <xf numFmtId="0" fontId="7" fillId="7" borderId="41" xfId="0" applyFont="1" applyFill="1" applyBorder="1" applyAlignment="1" applyProtection="1">
      <alignment horizontal="left" vertical="top" wrapText="1" indent="2"/>
      <protection hidden="1"/>
    </xf>
    <xf numFmtId="0" fontId="7" fillId="7" borderId="21" xfId="0" applyFont="1" applyFill="1" applyBorder="1" applyAlignment="1" applyProtection="1">
      <alignment horizontal="left" vertical="top" wrapText="1" indent="2"/>
      <protection hidden="1"/>
    </xf>
    <xf numFmtId="0" fontId="7" fillId="7" borderId="5" xfId="0" applyFont="1" applyFill="1" applyBorder="1" applyAlignment="1" applyProtection="1">
      <alignment horizontal="left" vertical="top" wrapText="1" indent="2"/>
      <protection hidden="1"/>
    </xf>
    <xf numFmtId="0" fontId="41" fillId="0" borderId="0" xfId="0" applyFont="1" applyAlignment="1">
      <alignment horizontal="left" vertical="center" wrapText="1"/>
    </xf>
    <xf numFmtId="0" fontId="7" fillId="0" borderId="0" xfId="0" applyFont="1" applyAlignment="1">
      <alignment horizontal="center" wrapText="1"/>
    </xf>
    <xf numFmtId="0" fontId="7" fillId="0" borderId="10" xfId="0" applyFont="1" applyBorder="1" applyAlignment="1">
      <alignment horizontal="center" wrapText="1"/>
    </xf>
    <xf numFmtId="4" fontId="7" fillId="0" borderId="101" xfId="0" applyNumberFormat="1" applyFont="1" applyBorder="1" applyAlignment="1">
      <alignment horizontal="center" shrinkToFit="1"/>
    </xf>
    <xf numFmtId="4" fontId="7" fillId="0" borderId="12" xfId="0" applyNumberFormat="1" applyFont="1" applyBorder="1" applyAlignment="1">
      <alignment horizontal="center" shrinkToFit="1"/>
    </xf>
    <xf numFmtId="167" fontId="7" fillId="0" borderId="34" xfId="0" applyNumberFormat="1" applyFont="1" applyBorder="1" applyAlignment="1">
      <alignment horizontal="center" shrinkToFit="1"/>
    </xf>
    <xf numFmtId="167" fontId="7" fillId="0" borderId="12" xfId="0" applyNumberFormat="1" applyFont="1" applyBorder="1" applyAlignment="1">
      <alignment horizontal="center" shrinkToFit="1"/>
    </xf>
    <xf numFmtId="4" fontId="7" fillId="0" borderId="34" xfId="0" applyNumberFormat="1" applyFont="1" applyBorder="1" applyAlignment="1">
      <alignment horizontal="center" shrinkToFit="1"/>
    </xf>
    <xf numFmtId="3" fontId="7" fillId="0" borderId="34" xfId="0" applyNumberFormat="1" applyFont="1" applyBorder="1" applyAlignment="1">
      <alignment horizontal="center" shrinkToFit="1"/>
    </xf>
    <xf numFmtId="3" fontId="7" fillId="0" borderId="12" xfId="0" applyNumberFormat="1" applyFont="1" applyBorder="1" applyAlignment="1">
      <alignment horizontal="center" shrinkToFit="1"/>
    </xf>
    <xf numFmtId="179" fontId="7" fillId="0" borderId="34" xfId="0" applyNumberFormat="1" applyFont="1" applyBorder="1" applyAlignment="1">
      <alignment horizontal="center" shrinkToFit="1"/>
    </xf>
    <xf numFmtId="179" fontId="7" fillId="0" borderId="12" xfId="0" applyNumberFormat="1" applyFont="1" applyBorder="1" applyAlignment="1">
      <alignment horizontal="center" shrinkToFit="1"/>
    </xf>
    <xf numFmtId="167" fontId="6" fillId="7" borderId="76" xfId="0" applyNumberFormat="1" applyFont="1" applyFill="1" applyBorder="1" applyAlignment="1">
      <alignment horizontal="center" wrapText="1"/>
    </xf>
    <xf numFmtId="167" fontId="6" fillId="7" borderId="77" xfId="0" applyNumberFormat="1" applyFont="1" applyFill="1" applyBorder="1" applyAlignment="1">
      <alignment horizontal="center" wrapText="1"/>
    </xf>
    <xf numFmtId="167" fontId="6" fillId="7" borderId="78" xfId="0" applyNumberFormat="1" applyFont="1" applyFill="1" applyBorder="1" applyAlignment="1">
      <alignment horizontal="center" wrapText="1"/>
    </xf>
    <xf numFmtId="167" fontId="6" fillId="7" borderId="30" xfId="0" applyNumberFormat="1" applyFont="1" applyFill="1" applyBorder="1" applyAlignment="1">
      <alignment horizontal="center" wrapText="1"/>
    </xf>
    <xf numFmtId="167" fontId="6" fillId="7" borderId="31" xfId="0" applyNumberFormat="1" applyFont="1" applyFill="1" applyBorder="1" applyAlignment="1">
      <alignment horizontal="center" wrapText="1"/>
    </xf>
    <xf numFmtId="167" fontId="6" fillId="7" borderId="32" xfId="0" applyNumberFormat="1" applyFont="1" applyFill="1" applyBorder="1" applyAlignment="1">
      <alignment horizontal="center" wrapText="1"/>
    </xf>
    <xf numFmtId="170" fontId="6" fillId="7" borderId="76" xfId="0" applyNumberFormat="1" applyFont="1" applyFill="1" applyBorder="1" applyAlignment="1">
      <alignment horizontal="center" wrapText="1" shrinkToFit="1"/>
    </xf>
    <xf numFmtId="170" fontId="6" fillId="7" borderId="77" xfId="0" applyNumberFormat="1" applyFont="1" applyFill="1" applyBorder="1" applyAlignment="1">
      <alignment horizontal="center" wrapText="1" shrinkToFit="1"/>
    </xf>
    <xf numFmtId="170" fontId="6" fillId="7" borderId="30" xfId="0" applyNumberFormat="1" applyFont="1" applyFill="1" applyBorder="1" applyAlignment="1">
      <alignment horizontal="center" wrapText="1" shrinkToFit="1"/>
    </xf>
    <xf numFmtId="170" fontId="6" fillId="7" borderId="31" xfId="0" applyNumberFormat="1" applyFont="1" applyFill="1" applyBorder="1" applyAlignment="1">
      <alignment horizontal="center" wrapText="1" shrinkToFit="1"/>
    </xf>
    <xf numFmtId="3" fontId="7" fillId="0" borderId="34" xfId="0" applyNumberFormat="1" applyFont="1" applyBorder="1" applyAlignment="1">
      <alignment horizontal="center" wrapText="1" shrinkToFit="1"/>
    </xf>
    <xf numFmtId="3" fontId="7" fillId="0" borderId="12" xfId="0" applyNumberFormat="1" applyFont="1" applyBorder="1" applyAlignment="1">
      <alignment horizontal="center" wrapText="1" shrinkToFit="1"/>
    </xf>
    <xf numFmtId="170" fontId="6" fillId="7" borderId="78" xfId="0" applyNumberFormat="1" applyFont="1" applyFill="1" applyBorder="1" applyAlignment="1">
      <alignment horizontal="center" wrapText="1" shrinkToFit="1"/>
    </xf>
    <xf numFmtId="170" fontId="6" fillId="7" borderId="32" xfId="0" applyNumberFormat="1" applyFont="1" applyFill="1" applyBorder="1" applyAlignment="1">
      <alignment horizontal="center" wrapText="1" shrinkToFit="1"/>
    </xf>
    <xf numFmtId="164" fontId="7" fillId="0" borderId="13" xfId="0" applyNumberFormat="1" applyFont="1" applyBorder="1" applyAlignment="1">
      <alignment horizontal="right" vertical="center"/>
    </xf>
    <xf numFmtId="164" fontId="7" fillId="0" borderId="0" xfId="0" applyNumberFormat="1" applyFont="1" applyAlignment="1">
      <alignment horizontal="right" vertical="center"/>
    </xf>
    <xf numFmtId="0" fontId="108" fillId="59" borderId="115" xfId="0" applyFont="1" applyFill="1" applyBorder="1" applyAlignment="1">
      <alignment horizontal="center"/>
    </xf>
    <xf numFmtId="0" fontId="7" fillId="0" borderId="33" xfId="0" applyFont="1" applyBorder="1" applyAlignment="1" applyProtection="1">
      <alignment horizontal="center" wrapText="1"/>
      <protection locked="0"/>
    </xf>
    <xf numFmtId="0" fontId="7" fillId="0" borderId="0" xfId="0" applyFont="1" applyAlignment="1" applyProtection="1">
      <alignment horizontal="center" wrapText="1"/>
      <protection locked="0"/>
    </xf>
    <xf numFmtId="0" fontId="7" fillId="0" borderId="13" xfId="0" applyFont="1" applyBorder="1" applyAlignment="1" applyProtection="1">
      <alignment horizontal="center" wrapText="1"/>
      <protection locked="0"/>
    </xf>
    <xf numFmtId="0" fontId="7" fillId="0" borderId="30" xfId="0" applyFont="1" applyBorder="1" applyAlignment="1" applyProtection="1">
      <alignment horizontal="center" wrapText="1"/>
      <protection locked="0"/>
    </xf>
    <xf numFmtId="0" fontId="7" fillId="0" borderId="31" xfId="0" applyFont="1" applyBorder="1" applyAlignment="1" applyProtection="1">
      <alignment horizontal="center" wrapText="1"/>
      <protection locked="0"/>
    </xf>
    <xf numFmtId="0" fontId="7" fillId="0" borderId="32" xfId="0" applyFont="1" applyBorder="1" applyAlignment="1" applyProtection="1">
      <alignment horizontal="center" wrapText="1"/>
      <protection locked="0"/>
    </xf>
    <xf numFmtId="174" fontId="7" fillId="0" borderId="33" xfId="0" applyNumberFormat="1" applyFont="1" applyBorder="1" applyAlignment="1" applyProtection="1">
      <alignment horizontal="center" wrapText="1" shrinkToFit="1"/>
      <protection locked="0" hidden="1"/>
    </xf>
    <xf numFmtId="174" fontId="7" fillId="0" borderId="0" xfId="0" applyNumberFormat="1" applyFont="1" applyAlignment="1" applyProtection="1">
      <alignment horizontal="center" wrapText="1" shrinkToFit="1"/>
      <protection locked="0" hidden="1"/>
    </xf>
    <xf numFmtId="174" fontId="7" fillId="0" borderId="30" xfId="0" applyNumberFormat="1" applyFont="1" applyBorder="1" applyAlignment="1" applyProtection="1">
      <alignment horizontal="center" wrapText="1" shrinkToFit="1"/>
      <protection locked="0" hidden="1"/>
    </xf>
    <xf numFmtId="174" fontId="7" fillId="0" borderId="31" xfId="0" applyNumberFormat="1" applyFont="1" applyBorder="1" applyAlignment="1" applyProtection="1">
      <alignment horizontal="center" wrapText="1" shrinkToFit="1"/>
      <protection locked="0" hidden="1"/>
    </xf>
    <xf numFmtId="0" fontId="7" fillId="0" borderId="36" xfId="0" applyFont="1" applyBorder="1" applyAlignment="1" applyProtection="1">
      <alignment horizontal="center" wrapText="1"/>
      <protection locked="0"/>
    </xf>
    <xf numFmtId="0" fontId="7" fillId="0" borderId="35" xfId="0" applyFont="1" applyBorder="1" applyAlignment="1" applyProtection="1">
      <alignment horizontal="center" wrapText="1"/>
      <protection locked="0"/>
    </xf>
    <xf numFmtId="174" fontId="7" fillId="0" borderId="13" xfId="0" applyNumberFormat="1" applyFont="1" applyBorder="1" applyAlignment="1" applyProtection="1">
      <alignment horizontal="center" wrapText="1" shrinkToFit="1"/>
      <protection locked="0" hidden="1"/>
    </xf>
    <xf numFmtId="174" fontId="7" fillId="0" borderId="32" xfId="0" applyNumberFormat="1" applyFont="1" applyBorder="1" applyAlignment="1" applyProtection="1">
      <alignment horizontal="center" wrapText="1" shrinkToFit="1"/>
      <protection locked="0" hidden="1"/>
    </xf>
    <xf numFmtId="0" fontId="7" fillId="0" borderId="33" xfId="0" applyFont="1" applyBorder="1" applyAlignment="1" applyProtection="1">
      <alignment horizontal="center" shrinkToFit="1"/>
      <protection locked="0"/>
    </xf>
    <xf numFmtId="0" fontId="7" fillId="0" borderId="13" xfId="0" applyFont="1" applyBorder="1" applyAlignment="1" applyProtection="1">
      <alignment horizontal="center" shrinkToFit="1"/>
      <protection locked="0"/>
    </xf>
    <xf numFmtId="0" fontId="7" fillId="0" borderId="30" xfId="0" applyFont="1" applyBorder="1" applyAlignment="1" applyProtection="1">
      <alignment horizontal="center" shrinkToFit="1"/>
      <protection locked="0"/>
    </xf>
    <xf numFmtId="0" fontId="7" fillId="0" borderId="32" xfId="0" applyFont="1" applyBorder="1" applyAlignment="1" applyProtection="1">
      <alignment horizontal="center" shrinkToFit="1"/>
      <protection locked="0"/>
    </xf>
    <xf numFmtId="0" fontId="7" fillId="0" borderId="37" xfId="0" applyFont="1" applyBorder="1" applyAlignment="1" applyProtection="1">
      <alignment horizontal="center" wrapText="1"/>
      <protection locked="0"/>
    </xf>
    <xf numFmtId="0" fontId="7" fillId="0" borderId="38" xfId="0" applyFont="1" applyBorder="1" applyAlignment="1" applyProtection="1">
      <alignment horizontal="center" wrapText="1"/>
      <protection locked="0"/>
    </xf>
    <xf numFmtId="0" fontId="7" fillId="0" borderId="0" xfId="0" applyFont="1" applyAlignment="1" applyProtection="1">
      <alignment horizontal="center" shrinkToFit="1"/>
      <protection locked="0"/>
    </xf>
    <xf numFmtId="0" fontId="7" fillId="0" borderId="31" xfId="0" applyFont="1" applyBorder="1" applyAlignment="1" applyProtection="1">
      <alignment horizontal="center" shrinkToFit="1"/>
      <protection locked="0"/>
    </xf>
    <xf numFmtId="167" fontId="7" fillId="0" borderId="33" xfId="0" applyNumberFormat="1" applyFont="1" applyBorder="1" applyAlignment="1" applyProtection="1">
      <alignment horizontal="center" shrinkToFit="1"/>
      <protection locked="0" hidden="1"/>
    </xf>
    <xf numFmtId="167" fontId="7" fillId="0" borderId="13" xfId="0" applyNumberFormat="1" applyFont="1" applyBorder="1" applyAlignment="1" applyProtection="1">
      <alignment horizontal="center" shrinkToFit="1"/>
      <protection locked="0" hidden="1"/>
    </xf>
    <xf numFmtId="167" fontId="7" fillId="0" borderId="30" xfId="0" applyNumberFormat="1" applyFont="1" applyBorder="1" applyAlignment="1" applyProtection="1">
      <alignment horizontal="center" shrinkToFit="1"/>
      <protection locked="0" hidden="1"/>
    </xf>
    <xf numFmtId="167" fontId="7" fillId="0" borderId="32" xfId="0" applyNumberFormat="1" applyFont="1" applyBorder="1" applyAlignment="1" applyProtection="1">
      <alignment horizontal="center" shrinkToFit="1"/>
      <protection locked="0" hidden="1"/>
    </xf>
    <xf numFmtId="167" fontId="7" fillId="0" borderId="33" xfId="0" applyNumberFormat="1" applyFont="1" applyBorder="1" applyAlignment="1" applyProtection="1">
      <alignment horizontal="center" shrinkToFit="1"/>
      <protection locked="0"/>
    </xf>
    <xf numFmtId="167" fontId="7" fillId="0" borderId="0" xfId="0" applyNumberFormat="1" applyFont="1" applyAlignment="1" applyProtection="1">
      <alignment horizontal="center" shrinkToFit="1"/>
      <protection locked="0"/>
    </xf>
    <xf numFmtId="167" fontId="7" fillId="0" borderId="30" xfId="0" applyNumberFormat="1" applyFont="1" applyBorder="1" applyAlignment="1" applyProtection="1">
      <alignment horizontal="center" shrinkToFit="1"/>
      <protection locked="0"/>
    </xf>
    <xf numFmtId="167" fontId="7" fillId="0" borderId="31" xfId="0" applyNumberFormat="1" applyFont="1" applyBorder="1" applyAlignment="1" applyProtection="1">
      <alignment horizontal="center" shrinkToFit="1"/>
      <protection locked="0"/>
    </xf>
    <xf numFmtId="167" fontId="6" fillId="7" borderId="79" xfId="0" applyNumberFormat="1" applyFont="1" applyFill="1" applyBorder="1" applyAlignment="1">
      <alignment horizontal="center" shrinkToFit="1"/>
    </xf>
    <xf numFmtId="167" fontId="6" fillId="7" borderId="78" xfId="0" applyNumberFormat="1" applyFont="1" applyFill="1" applyBorder="1" applyAlignment="1">
      <alignment horizontal="center" shrinkToFit="1"/>
    </xf>
    <xf numFmtId="167" fontId="6" fillId="7" borderId="38" xfId="0" applyNumberFormat="1" applyFont="1" applyFill="1" applyBorder="1" applyAlignment="1">
      <alignment horizontal="center" shrinkToFit="1"/>
    </xf>
    <xf numFmtId="167" fontId="6" fillId="7" borderId="32" xfId="0" applyNumberFormat="1" applyFont="1" applyFill="1" applyBorder="1" applyAlignment="1">
      <alignment horizontal="center" shrinkToFit="1"/>
    </xf>
    <xf numFmtId="0" fontId="7" fillId="0" borderId="76" xfId="0" applyFont="1" applyBorder="1" applyAlignment="1" applyProtection="1">
      <alignment horizontal="center" wrapText="1"/>
      <protection locked="0"/>
    </xf>
    <xf numFmtId="0" fontId="7" fillId="0" borderId="77" xfId="0" applyFont="1" applyBorder="1" applyAlignment="1" applyProtection="1">
      <alignment horizontal="center" wrapText="1"/>
      <protection locked="0"/>
    </xf>
    <xf numFmtId="0" fontId="7" fillId="0" borderId="78" xfId="0" applyFont="1" applyBorder="1" applyAlignment="1" applyProtection="1">
      <alignment horizontal="center" wrapText="1"/>
      <protection locked="0"/>
    </xf>
    <xf numFmtId="167" fontId="7" fillId="0" borderId="13" xfId="0" applyNumberFormat="1" applyFont="1" applyBorder="1" applyAlignment="1" applyProtection="1">
      <alignment horizontal="center" shrinkToFit="1"/>
      <protection locked="0"/>
    </xf>
    <xf numFmtId="167" fontId="7" fillId="0" borderId="32" xfId="0" applyNumberFormat="1" applyFont="1" applyBorder="1" applyAlignment="1" applyProtection="1">
      <alignment horizontal="center" shrinkToFit="1"/>
      <protection locked="0"/>
    </xf>
    <xf numFmtId="0" fontId="7" fillId="0" borderId="76" xfId="0" applyFont="1" applyBorder="1" applyAlignment="1" applyProtection="1">
      <alignment horizontal="center" shrinkToFit="1"/>
      <protection locked="0"/>
    </xf>
    <xf numFmtId="0" fontId="7" fillId="0" borderId="78" xfId="0" applyFont="1" applyBorder="1" applyAlignment="1" applyProtection="1">
      <alignment horizontal="center" shrinkToFit="1"/>
      <protection locked="0"/>
    </xf>
    <xf numFmtId="0" fontId="7" fillId="0" borderId="34" xfId="0" applyFont="1" applyBorder="1" applyAlignment="1">
      <alignment horizontal="center" shrinkToFit="1"/>
    </xf>
    <xf numFmtId="0" fontId="7" fillId="0" borderId="12" xfId="0" applyFont="1" applyBorder="1" applyAlignment="1">
      <alignment horizontal="center" shrinkToFit="1"/>
    </xf>
    <xf numFmtId="167" fontId="101" fillId="60" borderId="130" xfId="0" applyNumberFormat="1" applyFont="1" applyFill="1" applyBorder="1" applyAlignment="1">
      <alignment horizontal="center" vertical="center"/>
    </xf>
    <xf numFmtId="170" fontId="101" fillId="60" borderId="130" xfId="0" applyNumberFormat="1" applyFont="1" applyFill="1" applyBorder="1" applyAlignment="1">
      <alignment horizontal="center" vertical="center"/>
    </xf>
    <xf numFmtId="167" fontId="6" fillId="7" borderId="137" xfId="0" applyNumberFormat="1" applyFont="1" applyFill="1" applyBorder="1" applyAlignment="1">
      <alignment horizontal="center" shrinkToFit="1"/>
    </xf>
    <xf numFmtId="167" fontId="6" fillId="7" borderId="136" xfId="0" applyNumberFormat="1" applyFont="1" applyFill="1" applyBorder="1" applyAlignment="1">
      <alignment horizontal="center" shrinkToFit="1"/>
    </xf>
    <xf numFmtId="174" fontId="7" fillId="0" borderId="76" xfId="0" applyNumberFormat="1" applyFont="1" applyBorder="1" applyAlignment="1" applyProtection="1">
      <alignment horizontal="center" wrapText="1" shrinkToFit="1"/>
      <protection locked="0" hidden="1"/>
    </xf>
    <xf numFmtId="174" fontId="7" fillId="0" borderId="80" xfId="0" applyNumberFormat="1" applyFont="1" applyBorder="1" applyAlignment="1" applyProtection="1">
      <alignment horizontal="center" wrapText="1" shrinkToFit="1"/>
      <protection locked="0" hidden="1"/>
    </xf>
    <xf numFmtId="174" fontId="7" fillId="0" borderId="81" xfId="0" applyNumberFormat="1" applyFont="1" applyBorder="1" applyAlignment="1" applyProtection="1">
      <alignment horizontal="center" wrapText="1" shrinkToFit="1"/>
      <protection locked="0" hidden="1"/>
    </xf>
    <xf numFmtId="174" fontId="7" fillId="0" borderId="78" xfId="0" applyNumberFormat="1" applyFont="1" applyBorder="1" applyAlignment="1" applyProtection="1">
      <alignment horizontal="center" wrapText="1" shrinkToFit="1"/>
      <protection locked="0" hidden="1"/>
    </xf>
    <xf numFmtId="0" fontId="7" fillId="0" borderId="102" xfId="0" applyFont="1" applyBorder="1" applyAlignment="1" applyProtection="1">
      <alignment horizontal="center" wrapText="1"/>
      <protection locked="0"/>
    </xf>
    <xf numFmtId="0" fontId="7" fillId="0" borderId="103" xfId="0" applyFont="1" applyBorder="1" applyAlignment="1" applyProtection="1">
      <alignment horizontal="center" wrapText="1"/>
      <protection locked="0"/>
    </xf>
    <xf numFmtId="0" fontId="7" fillId="0" borderId="79" xfId="0" applyFont="1" applyBorder="1" applyAlignment="1" applyProtection="1">
      <alignment horizontal="center" wrapText="1"/>
      <protection locked="0"/>
    </xf>
    <xf numFmtId="0" fontId="7" fillId="0" borderId="77" xfId="0" applyFont="1" applyBorder="1" applyAlignment="1" applyProtection="1">
      <alignment horizontal="center" shrinkToFit="1"/>
      <protection locked="0"/>
    </xf>
    <xf numFmtId="167" fontId="7" fillId="0" borderId="76" xfId="0" applyNumberFormat="1" applyFont="1" applyBorder="1" applyAlignment="1" applyProtection="1">
      <alignment horizontal="center" shrinkToFit="1"/>
      <protection locked="0" hidden="1"/>
    </xf>
    <xf numFmtId="167" fontId="7" fillId="0" borderId="78" xfId="0" applyNumberFormat="1" applyFont="1" applyBorder="1" applyAlignment="1" applyProtection="1">
      <alignment horizontal="center" shrinkToFit="1"/>
      <protection locked="0" hidden="1"/>
    </xf>
    <xf numFmtId="167" fontId="7" fillId="0" borderId="76" xfId="0" applyNumberFormat="1" applyFont="1" applyBorder="1" applyAlignment="1" applyProtection="1">
      <alignment horizontal="center" shrinkToFit="1"/>
      <protection locked="0"/>
    </xf>
    <xf numFmtId="167" fontId="7" fillId="0" borderId="102" xfId="0" applyNumberFormat="1" applyFont="1" applyBorder="1" applyAlignment="1" applyProtection="1">
      <alignment horizontal="center" shrinkToFit="1"/>
      <protection locked="0"/>
    </xf>
    <xf numFmtId="167" fontId="7" fillId="0" borderId="103" xfId="0" applyNumberFormat="1" applyFont="1" applyBorder="1" applyAlignment="1" applyProtection="1">
      <alignment horizontal="center" shrinkToFit="1"/>
      <protection locked="0"/>
    </xf>
    <xf numFmtId="3" fontId="7" fillId="0" borderId="101" xfId="0" applyNumberFormat="1" applyFont="1" applyBorder="1" applyAlignment="1">
      <alignment horizontal="center" wrapText="1" shrinkToFit="1"/>
    </xf>
    <xf numFmtId="167" fontId="7" fillId="0" borderId="101" xfId="0" applyNumberFormat="1" applyFont="1" applyBorder="1" applyAlignment="1">
      <alignment horizontal="center" shrinkToFit="1"/>
    </xf>
    <xf numFmtId="179" fontId="7" fillId="0" borderId="101" xfId="0" applyNumberFormat="1" applyFont="1" applyBorder="1" applyAlignment="1">
      <alignment horizontal="center" shrinkToFit="1"/>
    </xf>
    <xf numFmtId="3" fontId="7" fillId="0" borderId="101" xfId="0" applyNumberFormat="1" applyFont="1" applyBorder="1" applyAlignment="1">
      <alignment horizontal="center" shrinkToFit="1"/>
    </xf>
    <xf numFmtId="0" fontId="162" fillId="4" borderId="0" xfId="0" applyFont="1" applyFill="1" applyAlignment="1">
      <alignment horizontal="center"/>
    </xf>
    <xf numFmtId="167" fontId="163" fillId="72" borderId="0" xfId="0" applyNumberFormat="1" applyFont="1" applyFill="1" applyAlignment="1">
      <alignment horizontal="center" vertical="center"/>
    </xf>
    <xf numFmtId="0" fontId="7" fillId="0" borderId="104" xfId="0" applyFont="1" applyBorder="1" applyAlignment="1" applyProtection="1">
      <alignment horizontal="center" wrapText="1"/>
      <protection locked="0"/>
    </xf>
    <xf numFmtId="0" fontId="7" fillId="0" borderId="9" xfId="0" applyFont="1" applyBorder="1" applyAlignment="1" applyProtection="1">
      <alignment horizontal="center" wrapText="1"/>
      <protection locked="0"/>
    </xf>
    <xf numFmtId="0" fontId="7" fillId="0" borderId="136" xfId="0" applyFont="1" applyBorder="1" applyAlignment="1" applyProtection="1">
      <alignment horizontal="center" wrapText="1"/>
      <protection locked="0"/>
    </xf>
    <xf numFmtId="178" fontId="7" fillId="0" borderId="101" xfId="0" applyNumberFormat="1" applyFont="1" applyBorder="1" applyAlignment="1">
      <alignment horizontal="center" shrinkToFit="1"/>
    </xf>
    <xf numFmtId="178" fontId="7" fillId="0" borderId="12" xfId="0" applyNumberFormat="1" applyFont="1" applyBorder="1" applyAlignment="1">
      <alignment horizontal="center" shrinkToFit="1"/>
    </xf>
    <xf numFmtId="181" fontId="7" fillId="0" borderId="34" xfId="7" applyNumberFormat="1" applyFont="1" applyBorder="1" applyAlignment="1">
      <alignment horizontal="center" shrinkToFit="1"/>
    </xf>
    <xf numFmtId="181" fontId="7" fillId="0" borderId="12" xfId="7" applyNumberFormat="1" applyFont="1" applyBorder="1" applyAlignment="1">
      <alignment horizontal="center" shrinkToFit="1"/>
    </xf>
    <xf numFmtId="170" fontId="6" fillId="7" borderId="76" xfId="0" applyNumberFormat="1" applyFont="1" applyFill="1" applyBorder="1" applyAlignment="1">
      <alignment horizontal="center" shrinkToFit="1"/>
    </xf>
    <xf numFmtId="170" fontId="6" fillId="7" borderId="77" xfId="0" applyNumberFormat="1" applyFont="1" applyFill="1" applyBorder="1" applyAlignment="1">
      <alignment horizontal="center" shrinkToFit="1"/>
    </xf>
    <xf numFmtId="170" fontId="6" fillId="7" borderId="30" xfId="0" applyNumberFormat="1" applyFont="1" applyFill="1" applyBorder="1" applyAlignment="1">
      <alignment horizontal="center" shrinkToFit="1"/>
    </xf>
    <xf numFmtId="170" fontId="6" fillId="7" borderId="31" xfId="0" applyNumberFormat="1" applyFont="1" applyFill="1" applyBorder="1" applyAlignment="1">
      <alignment horizontal="center" shrinkToFit="1"/>
    </xf>
    <xf numFmtId="0" fontId="7" fillId="7" borderId="33" xfId="0" applyFont="1" applyFill="1" applyBorder="1" applyAlignment="1">
      <alignment horizontal="center" wrapText="1"/>
    </xf>
    <xf numFmtId="0" fontId="7" fillId="7" borderId="0" xfId="0" applyFont="1" applyFill="1" applyAlignment="1">
      <alignment horizontal="center" wrapText="1"/>
    </xf>
    <xf numFmtId="0" fontId="7" fillId="7" borderId="13" xfId="0" applyFont="1" applyFill="1" applyBorder="1" applyAlignment="1">
      <alignment horizontal="center" wrapText="1"/>
    </xf>
    <xf numFmtId="0" fontId="7" fillId="7" borderId="30" xfId="0" applyFont="1" applyFill="1" applyBorder="1" applyAlignment="1">
      <alignment horizontal="center" wrapText="1"/>
    </xf>
    <xf numFmtId="0" fontId="7" fillId="7" borderId="31" xfId="0" applyFont="1" applyFill="1" applyBorder="1" applyAlignment="1">
      <alignment horizontal="center" wrapText="1"/>
    </xf>
    <xf numFmtId="0" fontId="7" fillId="7" borderId="32" xfId="0" applyFont="1" applyFill="1" applyBorder="1" applyAlignment="1">
      <alignment horizontal="center" wrapText="1"/>
    </xf>
    <xf numFmtId="0" fontId="7" fillId="7" borderId="76" xfId="0" applyFont="1" applyFill="1" applyBorder="1" applyAlignment="1">
      <alignment horizontal="center" wrapText="1"/>
    </xf>
    <xf numFmtId="0" fontId="7" fillId="7" borderId="77" xfId="0" applyFont="1" applyFill="1" applyBorder="1" applyAlignment="1">
      <alignment horizontal="center" wrapText="1"/>
    </xf>
    <xf numFmtId="0" fontId="7" fillId="7" borderId="78" xfId="0" applyFont="1" applyFill="1" applyBorder="1" applyAlignment="1">
      <alignment horizontal="center" wrapText="1"/>
    </xf>
    <xf numFmtId="167" fontId="6" fillId="7" borderId="33" xfId="0" applyNumberFormat="1" applyFont="1" applyFill="1" applyBorder="1" applyAlignment="1">
      <alignment horizontal="center" shrinkToFit="1"/>
    </xf>
    <xf numFmtId="167" fontId="6" fillId="7" borderId="13" xfId="0" applyNumberFormat="1" applyFont="1" applyFill="1" applyBorder="1" applyAlignment="1">
      <alignment horizontal="center" shrinkToFit="1"/>
    </xf>
    <xf numFmtId="167" fontId="6" fillId="7" borderId="30" xfId="0" applyNumberFormat="1" applyFont="1" applyFill="1" applyBorder="1" applyAlignment="1">
      <alignment horizontal="center" shrinkToFit="1"/>
    </xf>
    <xf numFmtId="0" fontId="147" fillId="0" borderId="0" xfId="0" applyFont="1" applyAlignment="1">
      <alignment horizontal="center"/>
    </xf>
    <xf numFmtId="0" fontId="152" fillId="0" borderId="10" xfId="0" applyFont="1" applyBorder="1" applyAlignment="1">
      <alignment horizontal="center" wrapText="1"/>
    </xf>
    <xf numFmtId="178" fontId="7" fillId="0" borderId="34" xfId="0" applyNumberFormat="1" applyFont="1" applyBorder="1" applyAlignment="1">
      <alignment horizontal="center" shrinkToFit="1"/>
    </xf>
    <xf numFmtId="164" fontId="0" fillId="0" borderId="13" xfId="0" applyNumberFormat="1" applyBorder="1" applyAlignment="1">
      <alignment horizontal="right" vertical="center"/>
    </xf>
    <xf numFmtId="167" fontId="6" fillId="7" borderId="76" xfId="0" applyNumberFormat="1" applyFont="1" applyFill="1" applyBorder="1" applyAlignment="1">
      <alignment horizontal="center" shrinkToFit="1"/>
    </xf>
    <xf numFmtId="167" fontId="6" fillId="7" borderId="77" xfId="0" applyNumberFormat="1" applyFont="1" applyFill="1" applyBorder="1" applyAlignment="1">
      <alignment horizontal="center" shrinkToFit="1"/>
    </xf>
    <xf numFmtId="167" fontId="6" fillId="7" borderId="31" xfId="0" applyNumberFormat="1" applyFont="1" applyFill="1" applyBorder="1" applyAlignment="1">
      <alignment horizontal="center" shrinkToFit="1"/>
    </xf>
    <xf numFmtId="173" fontId="7" fillId="0" borderId="33" xfId="0" applyNumberFormat="1" applyFont="1" applyBorder="1" applyAlignment="1" applyProtection="1">
      <alignment horizontal="center" shrinkToFit="1"/>
      <protection locked="0"/>
    </xf>
    <xf numFmtId="173" fontId="7" fillId="0" borderId="0" xfId="0" applyNumberFormat="1" applyFont="1" applyAlignment="1" applyProtection="1">
      <alignment horizontal="center" shrinkToFit="1"/>
      <protection locked="0"/>
    </xf>
    <xf numFmtId="173" fontId="7" fillId="0" borderId="13" xfId="0" applyNumberFormat="1" applyFont="1" applyBorder="1" applyAlignment="1" applyProtection="1">
      <alignment horizontal="center" shrinkToFit="1"/>
      <protection locked="0"/>
    </xf>
    <xf numFmtId="173" fontId="7" fillId="0" borderId="30" xfId="0" applyNumberFormat="1" applyFont="1" applyBorder="1" applyAlignment="1" applyProtection="1">
      <alignment horizontal="center" shrinkToFit="1"/>
      <protection locked="0"/>
    </xf>
    <xf numFmtId="173" fontId="7" fillId="0" borderId="31" xfId="0" applyNumberFormat="1" applyFont="1" applyBorder="1" applyAlignment="1" applyProtection="1">
      <alignment horizontal="center" shrinkToFit="1"/>
      <protection locked="0"/>
    </xf>
    <xf numFmtId="173" fontId="7" fillId="0" borderId="32" xfId="0" applyNumberFormat="1" applyFont="1" applyBorder="1" applyAlignment="1" applyProtection="1">
      <alignment horizontal="center" shrinkToFit="1"/>
      <protection locked="0"/>
    </xf>
    <xf numFmtId="170" fontId="6" fillId="7" borderId="33" xfId="0" applyNumberFormat="1" applyFont="1" applyFill="1" applyBorder="1" applyAlignment="1">
      <alignment horizontal="center" shrinkToFit="1"/>
    </xf>
    <xf numFmtId="170" fontId="6" fillId="7" borderId="0" xfId="0" applyNumberFormat="1" applyFont="1" applyFill="1" applyAlignment="1">
      <alignment horizontal="center" shrinkToFit="1"/>
    </xf>
    <xf numFmtId="170" fontId="6" fillId="7" borderId="13" xfId="0" applyNumberFormat="1" applyFont="1" applyFill="1" applyBorder="1" applyAlignment="1">
      <alignment horizontal="center" shrinkToFit="1"/>
    </xf>
    <xf numFmtId="170" fontId="6" fillId="7" borderId="32" xfId="0" applyNumberFormat="1" applyFont="1" applyFill="1" applyBorder="1" applyAlignment="1">
      <alignment horizontal="center" shrinkToFit="1"/>
    </xf>
    <xf numFmtId="167" fontId="147" fillId="0" borderId="148" xfId="0" applyNumberFormat="1" applyFont="1" applyBorder="1" applyAlignment="1" applyProtection="1">
      <alignment horizontal="center" shrinkToFit="1"/>
      <protection locked="0"/>
    </xf>
    <xf numFmtId="167" fontId="147" fillId="0" borderId="149" xfId="0" applyNumberFormat="1" applyFont="1" applyBorder="1" applyAlignment="1" applyProtection="1">
      <alignment horizontal="center" shrinkToFit="1"/>
      <protection locked="0"/>
    </xf>
    <xf numFmtId="167" fontId="147" fillId="0" borderId="153" xfId="0" applyNumberFormat="1" applyFont="1" applyBorder="1" applyAlignment="1" applyProtection="1">
      <alignment horizontal="center" shrinkToFit="1"/>
      <protection locked="0"/>
    </xf>
    <xf numFmtId="167" fontId="147" fillId="0" borderId="154" xfId="0" applyNumberFormat="1" applyFont="1" applyBorder="1" applyAlignment="1" applyProtection="1">
      <alignment horizontal="center" shrinkToFit="1"/>
      <protection locked="0"/>
    </xf>
    <xf numFmtId="0" fontId="147" fillId="13" borderId="150" xfId="0" applyFont="1" applyFill="1" applyBorder="1" applyAlignment="1">
      <alignment horizontal="center" wrapText="1" shrinkToFit="1"/>
    </xf>
    <xf numFmtId="0" fontId="147" fillId="13" borderId="146" xfId="0" applyFont="1" applyFill="1" applyBorder="1" applyAlignment="1">
      <alignment horizontal="center" wrapText="1" shrinkToFit="1"/>
    </xf>
    <xf numFmtId="0" fontId="147" fillId="13" borderId="155" xfId="0" applyFont="1" applyFill="1" applyBorder="1" applyAlignment="1">
      <alignment horizontal="center" wrapText="1" shrinkToFit="1"/>
    </xf>
    <xf numFmtId="0" fontId="147" fillId="13" borderId="151" xfId="0" applyFont="1" applyFill="1" applyBorder="1" applyAlignment="1">
      <alignment horizontal="center" wrapText="1" shrinkToFit="1"/>
    </xf>
    <xf numFmtId="167" fontId="147" fillId="0" borderId="147" xfId="0" applyNumberFormat="1" applyFont="1" applyBorder="1" applyAlignment="1" applyProtection="1">
      <alignment horizontal="center" shrinkToFit="1"/>
      <protection locked="0"/>
    </xf>
    <xf numFmtId="167" fontId="147" fillId="0" borderId="152" xfId="0" applyNumberFormat="1" applyFont="1" applyBorder="1" applyAlignment="1" applyProtection="1">
      <alignment horizontal="center" shrinkToFit="1"/>
      <protection locked="0"/>
    </xf>
    <xf numFmtId="0" fontId="7" fillId="7" borderId="33" xfId="0" applyFont="1" applyFill="1" applyBorder="1" applyAlignment="1">
      <alignment horizontal="center" wrapText="1" shrinkToFit="1"/>
    </xf>
    <xf numFmtId="0" fontId="7" fillId="7" borderId="13" xfId="0" applyFont="1" applyFill="1" applyBorder="1" applyAlignment="1">
      <alignment horizontal="center" wrapText="1" shrinkToFit="1"/>
    </xf>
    <xf numFmtId="0" fontId="7" fillId="7" borderId="30" xfId="0" applyFont="1" applyFill="1" applyBorder="1" applyAlignment="1">
      <alignment horizontal="center" wrapText="1" shrinkToFit="1"/>
    </xf>
    <xf numFmtId="0" fontId="7" fillId="7" borderId="32" xfId="0" applyFont="1" applyFill="1" applyBorder="1" applyAlignment="1">
      <alignment horizontal="center" wrapText="1" shrinkToFit="1"/>
    </xf>
    <xf numFmtId="167" fontId="6" fillId="7" borderId="76" xfId="0" applyNumberFormat="1" applyFont="1" applyFill="1" applyBorder="1" applyAlignment="1">
      <alignment horizontal="center" wrapText="1" shrinkToFit="1"/>
    </xf>
    <xf numFmtId="167" fontId="6" fillId="7" borderId="77" xfId="0" applyNumberFormat="1" applyFont="1" applyFill="1" applyBorder="1" applyAlignment="1">
      <alignment horizontal="center" wrapText="1" shrinkToFit="1"/>
    </xf>
    <xf numFmtId="167" fontId="6" fillId="7" borderId="78" xfId="0" applyNumberFormat="1" applyFont="1" applyFill="1" applyBorder="1" applyAlignment="1">
      <alignment horizontal="center" wrapText="1" shrinkToFit="1"/>
    </xf>
    <xf numFmtId="167" fontId="6" fillId="7" borderId="30" xfId="0" applyNumberFormat="1" applyFont="1" applyFill="1" applyBorder="1" applyAlignment="1">
      <alignment horizontal="center" wrapText="1" shrinkToFit="1"/>
    </xf>
    <xf numFmtId="167" fontId="6" fillId="7" borderId="31" xfId="0" applyNumberFormat="1" applyFont="1" applyFill="1" applyBorder="1" applyAlignment="1">
      <alignment horizontal="center" wrapText="1" shrinkToFit="1"/>
    </xf>
    <xf numFmtId="167" fontId="6" fillId="7" borderId="32" xfId="0" applyNumberFormat="1" applyFont="1" applyFill="1" applyBorder="1" applyAlignment="1">
      <alignment horizontal="center" wrapText="1" shrinkToFit="1"/>
    </xf>
    <xf numFmtId="183" fontId="7" fillId="7" borderId="33" xfId="0" applyNumberFormat="1" applyFont="1" applyFill="1" applyBorder="1" applyAlignment="1">
      <alignment horizontal="center" wrapText="1" shrinkToFit="1"/>
    </xf>
    <xf numFmtId="183" fontId="7" fillId="7" borderId="13" xfId="0" applyNumberFormat="1" applyFont="1" applyFill="1" applyBorder="1" applyAlignment="1">
      <alignment horizontal="center" wrapText="1" shrinkToFit="1"/>
    </xf>
    <xf numFmtId="183" fontId="7" fillId="7" borderId="30" xfId="0" applyNumberFormat="1" applyFont="1" applyFill="1" applyBorder="1" applyAlignment="1">
      <alignment horizontal="center" wrapText="1" shrinkToFit="1"/>
    </xf>
    <xf numFmtId="183" fontId="7" fillId="7" borderId="32" xfId="0" applyNumberFormat="1" applyFont="1" applyFill="1" applyBorder="1" applyAlignment="1">
      <alignment horizontal="center" wrapText="1" shrinkToFit="1"/>
    </xf>
    <xf numFmtId="0" fontId="7" fillId="0" borderId="33" xfId="0" applyFont="1" applyBorder="1" applyAlignment="1" applyProtection="1">
      <alignment horizontal="center" shrinkToFit="1"/>
      <protection locked="0" hidden="1"/>
    </xf>
    <xf numFmtId="0" fontId="7" fillId="0" borderId="13" xfId="0" applyFont="1" applyBorder="1" applyAlignment="1" applyProtection="1">
      <alignment horizontal="center" shrinkToFit="1"/>
      <protection locked="0" hidden="1"/>
    </xf>
    <xf numFmtId="0" fontId="7" fillId="0" borderId="30" xfId="0" applyFont="1" applyBorder="1" applyAlignment="1" applyProtection="1">
      <alignment horizontal="center" shrinkToFit="1"/>
      <protection locked="0" hidden="1"/>
    </xf>
    <xf numFmtId="0" fontId="7" fillId="0" borderId="32" xfId="0" applyFont="1" applyBorder="1" applyAlignment="1" applyProtection="1">
      <alignment horizontal="center" shrinkToFit="1"/>
      <protection locked="0" hidden="1"/>
    </xf>
    <xf numFmtId="2" fontId="7" fillId="7" borderId="33" xfId="0" applyNumberFormat="1" applyFont="1" applyFill="1" applyBorder="1" applyAlignment="1">
      <alignment horizontal="center" wrapText="1" shrinkToFit="1"/>
    </xf>
    <xf numFmtId="2" fontId="7" fillId="7" borderId="13" xfId="0" applyNumberFormat="1" applyFont="1" applyFill="1" applyBorder="1" applyAlignment="1">
      <alignment horizontal="center" wrapText="1" shrinkToFit="1"/>
    </xf>
    <xf numFmtId="2" fontId="7" fillId="7" borderId="30" xfId="0" applyNumberFormat="1" applyFont="1" applyFill="1" applyBorder="1" applyAlignment="1">
      <alignment horizontal="center" wrapText="1" shrinkToFit="1"/>
    </xf>
    <xf numFmtId="2" fontId="7" fillId="7" borderId="32" xfId="0" applyNumberFormat="1" applyFont="1" applyFill="1" applyBorder="1" applyAlignment="1">
      <alignment horizontal="center" wrapText="1" shrinkToFit="1"/>
    </xf>
    <xf numFmtId="170" fontId="6" fillId="7" borderId="78" xfId="0" applyNumberFormat="1" applyFont="1" applyFill="1" applyBorder="1" applyAlignment="1">
      <alignment horizontal="center" shrinkToFit="1"/>
    </xf>
    <xf numFmtId="0" fontId="147" fillId="0" borderId="0" xfId="0" applyFont="1" applyAlignment="1">
      <alignment horizontal="center" wrapText="1"/>
    </xf>
    <xf numFmtId="0" fontId="147" fillId="0" borderId="10" xfId="0" applyFont="1" applyBorder="1" applyAlignment="1">
      <alignment horizontal="center" wrapText="1"/>
    </xf>
    <xf numFmtId="0" fontId="152" fillId="0" borderId="10" xfId="0" applyFont="1" applyBorder="1" applyAlignment="1">
      <alignment horizontal="center" shrinkToFit="1"/>
    </xf>
    <xf numFmtId="0" fontId="152" fillId="0" borderId="10" xfId="0" applyFont="1" applyBorder="1" applyAlignment="1">
      <alignment horizontal="center"/>
    </xf>
    <xf numFmtId="2" fontId="7" fillId="0" borderId="101" xfId="0" applyNumberFormat="1" applyFont="1" applyBorder="1" applyAlignment="1">
      <alignment horizontal="center" shrinkToFit="1"/>
    </xf>
    <xf numFmtId="2" fontId="7" fillId="0" borderId="12" xfId="0" applyNumberFormat="1" applyFont="1" applyBorder="1" applyAlignment="1">
      <alignment horizontal="center" shrinkToFit="1"/>
    </xf>
    <xf numFmtId="0" fontId="9" fillId="0" borderId="10" xfId="0" applyFont="1" applyBorder="1" applyAlignment="1">
      <alignment horizontal="center" wrapText="1"/>
    </xf>
    <xf numFmtId="170" fontId="6" fillId="7" borderId="104" xfId="0" applyNumberFormat="1" applyFont="1" applyFill="1" applyBorder="1" applyAlignment="1">
      <alignment horizontal="center" shrinkToFit="1"/>
    </xf>
    <xf numFmtId="170" fontId="6" fillId="7" borderId="9" xfId="0" applyNumberFormat="1" applyFont="1" applyFill="1" applyBorder="1" applyAlignment="1">
      <alignment horizontal="center" shrinkToFit="1"/>
    </xf>
    <xf numFmtId="170" fontId="6" fillId="7" borderId="136" xfId="0" applyNumberFormat="1" applyFont="1" applyFill="1" applyBorder="1" applyAlignment="1">
      <alignment horizontal="center" shrinkToFit="1"/>
    </xf>
    <xf numFmtId="1" fontId="7" fillId="0" borderId="101" xfId="0" applyNumberFormat="1" applyFont="1" applyBorder="1" applyAlignment="1">
      <alignment horizontal="center" shrinkToFit="1"/>
    </xf>
    <xf numFmtId="1" fontId="7" fillId="0" borderId="12" xfId="0" applyNumberFormat="1" applyFont="1" applyBorder="1" applyAlignment="1">
      <alignment horizontal="center" shrinkToFit="1"/>
    </xf>
    <xf numFmtId="0" fontId="18" fillId="0" borderId="0" xfId="0" applyFont="1" applyAlignment="1">
      <alignment horizontal="center"/>
    </xf>
    <xf numFmtId="0" fontId="149" fillId="0" borderId="10" xfId="0" applyFont="1" applyBorder="1" applyAlignment="1">
      <alignment horizontal="center" wrapText="1"/>
    </xf>
    <xf numFmtId="167" fontId="17" fillId="7" borderId="77" xfId="0" applyNumberFormat="1" applyFont="1" applyFill="1" applyBorder="1" applyAlignment="1">
      <alignment horizontal="center" wrapText="1" shrinkToFit="1"/>
    </xf>
    <xf numFmtId="167" fontId="17" fillId="7" borderId="31" xfId="0" applyNumberFormat="1" applyFont="1" applyFill="1" applyBorder="1" applyAlignment="1">
      <alignment horizontal="center" wrapText="1" shrinkToFit="1"/>
    </xf>
    <xf numFmtId="1" fontId="7" fillId="0" borderId="34" xfId="0" applyNumberFormat="1" applyFont="1" applyBorder="1" applyAlignment="1">
      <alignment horizontal="center" shrinkToFit="1"/>
    </xf>
    <xf numFmtId="0" fontId="7" fillId="7" borderId="76" xfId="0" applyFont="1" applyFill="1" applyBorder="1" applyAlignment="1">
      <alignment horizontal="center" wrapText="1" shrinkToFit="1"/>
    </xf>
    <xf numFmtId="0" fontId="7" fillId="7" borderId="78" xfId="0" applyFont="1" applyFill="1" applyBorder="1" applyAlignment="1">
      <alignment horizontal="center" wrapText="1" shrinkToFit="1"/>
    </xf>
    <xf numFmtId="167" fontId="155" fillId="7" borderId="76" xfId="0" applyNumberFormat="1" applyFont="1" applyFill="1" applyBorder="1" applyAlignment="1">
      <alignment horizontal="center" shrinkToFit="1"/>
    </xf>
    <xf numFmtId="167" fontId="155" fillId="7" borderId="77" xfId="0" applyNumberFormat="1" applyFont="1" applyFill="1" applyBorder="1" applyAlignment="1">
      <alignment horizontal="center" shrinkToFit="1"/>
    </xf>
    <xf numFmtId="167" fontId="7" fillId="7" borderId="31" xfId="0" applyNumberFormat="1" applyFont="1" applyFill="1" applyBorder="1" applyAlignment="1">
      <alignment horizontal="center" shrinkToFit="1"/>
    </xf>
    <xf numFmtId="167" fontId="7" fillId="7" borderId="30" xfId="0" applyNumberFormat="1" applyFont="1" applyFill="1" applyBorder="1" applyAlignment="1">
      <alignment horizontal="center" shrinkToFit="1"/>
    </xf>
    <xf numFmtId="0" fontId="7" fillId="7" borderId="31" xfId="0" applyFont="1" applyFill="1" applyBorder="1" applyAlignment="1">
      <alignment horizontal="center" shrinkToFit="1"/>
    </xf>
    <xf numFmtId="0" fontId="7" fillId="0" borderId="101" xfId="0" applyFont="1" applyBorder="1" applyAlignment="1">
      <alignment horizontal="center" shrinkToFit="1"/>
    </xf>
    <xf numFmtId="169" fontId="7" fillId="0" borderId="101" xfId="0" applyNumberFormat="1" applyFont="1" applyBorder="1" applyAlignment="1">
      <alignment horizontal="center" shrinkToFit="1"/>
    </xf>
    <xf numFmtId="169" fontId="7" fillId="0" borderId="12" xfId="0" applyNumberFormat="1" applyFont="1" applyBorder="1" applyAlignment="1">
      <alignment horizontal="center" shrinkToFit="1"/>
    </xf>
    <xf numFmtId="177" fontId="101" fillId="60" borderId="130" xfId="0" applyNumberFormat="1" applyFont="1" applyFill="1" applyBorder="1" applyAlignment="1">
      <alignment horizontal="center" vertical="center"/>
    </xf>
    <xf numFmtId="177" fontId="6" fillId="7" borderId="76" xfId="0" applyNumberFormat="1" applyFont="1" applyFill="1" applyBorder="1" applyAlignment="1">
      <alignment horizontal="center" shrinkToFit="1"/>
    </xf>
    <xf numFmtId="177" fontId="6" fillId="7" borderId="77" xfId="0" applyNumberFormat="1" applyFont="1" applyFill="1" applyBorder="1" applyAlignment="1">
      <alignment horizontal="center" shrinkToFit="1"/>
    </xf>
    <xf numFmtId="177" fontId="6" fillId="7" borderId="78" xfId="0" applyNumberFormat="1" applyFont="1" applyFill="1" applyBorder="1" applyAlignment="1">
      <alignment horizontal="center" shrinkToFit="1"/>
    </xf>
    <xf numFmtId="177" fontId="6" fillId="7" borderId="30" xfId="0" applyNumberFormat="1" applyFont="1" applyFill="1" applyBorder="1" applyAlignment="1">
      <alignment horizontal="center" shrinkToFit="1"/>
    </xf>
    <xf numFmtId="177" fontId="6" fillId="7" borderId="31" xfId="0" applyNumberFormat="1" applyFont="1" applyFill="1" applyBorder="1" applyAlignment="1">
      <alignment horizontal="center" shrinkToFit="1"/>
    </xf>
    <xf numFmtId="177" fontId="6" fillId="7" borderId="32" xfId="0" applyNumberFormat="1" applyFont="1" applyFill="1" applyBorder="1" applyAlignment="1">
      <alignment horizontal="center" shrinkToFit="1"/>
    </xf>
    <xf numFmtId="0" fontId="9" fillId="7" borderId="33" xfId="0" applyFont="1" applyFill="1" applyBorder="1" applyAlignment="1">
      <alignment horizontal="center" wrapText="1" shrinkToFit="1"/>
    </xf>
    <xf numFmtId="0" fontId="9" fillId="7" borderId="13" xfId="0" applyFont="1" applyFill="1" applyBorder="1" applyAlignment="1">
      <alignment horizontal="center" wrapText="1" shrinkToFit="1"/>
    </xf>
    <xf numFmtId="0" fontId="9" fillId="7" borderId="30" xfId="0" applyFont="1" applyFill="1" applyBorder="1" applyAlignment="1">
      <alignment horizontal="center" wrapText="1" shrinkToFit="1"/>
    </xf>
    <xf numFmtId="0" fontId="9" fillId="7" borderId="32" xfId="0" applyFont="1" applyFill="1" applyBorder="1" applyAlignment="1">
      <alignment horizontal="center" wrapText="1" shrinkToFit="1"/>
    </xf>
    <xf numFmtId="167" fontId="156" fillId="6" borderId="76" xfId="0" applyNumberFormat="1" applyFont="1" applyFill="1" applyBorder="1" applyAlignment="1">
      <alignment horizontal="center" vertical="center" shrinkToFit="1"/>
    </xf>
    <xf numFmtId="167" fontId="156" fillId="6" borderId="77" xfId="0" applyNumberFormat="1" applyFont="1" applyFill="1" applyBorder="1" applyAlignment="1">
      <alignment horizontal="center" vertical="center" shrinkToFit="1"/>
    </xf>
    <xf numFmtId="167" fontId="156" fillId="6" borderId="30" xfId="0" applyNumberFormat="1" applyFont="1" applyFill="1" applyBorder="1" applyAlignment="1">
      <alignment horizontal="center" vertical="center" shrinkToFit="1"/>
    </xf>
    <xf numFmtId="167" fontId="156" fillId="6" borderId="31" xfId="0" applyNumberFormat="1" applyFont="1" applyFill="1" applyBorder="1" applyAlignment="1">
      <alignment horizontal="center" vertical="center" shrinkToFit="1"/>
    </xf>
    <xf numFmtId="0" fontId="20" fillId="6" borderId="0" xfId="0" applyFont="1" applyFill="1" applyAlignment="1">
      <alignment horizontal="center" vertical="center" wrapText="1"/>
    </xf>
    <xf numFmtId="2" fontId="7" fillId="0" borderId="34" xfId="0" applyNumberFormat="1" applyFont="1" applyBorder="1" applyAlignment="1">
      <alignment horizontal="center" shrinkToFit="1"/>
    </xf>
    <xf numFmtId="0" fontId="149" fillId="0" borderId="0" xfId="0" applyFont="1" applyAlignment="1">
      <alignment horizontal="center"/>
    </xf>
    <xf numFmtId="0" fontId="18" fillId="0" borderId="10" xfId="0" applyFont="1" applyBorder="1" applyAlignment="1">
      <alignment horizontal="center"/>
    </xf>
    <xf numFmtId="0" fontId="147" fillId="13" borderId="171" xfId="0" applyFont="1" applyFill="1" applyBorder="1" applyAlignment="1">
      <alignment horizontal="center" wrapText="1" shrinkToFit="1"/>
    </xf>
    <xf numFmtId="0" fontId="147" fillId="13" borderId="156" xfId="0" applyFont="1" applyFill="1" applyBorder="1" applyAlignment="1">
      <alignment horizontal="center" wrapText="1" shrinkToFit="1"/>
    </xf>
    <xf numFmtId="0" fontId="147" fillId="13" borderId="172" xfId="0" applyFont="1" applyFill="1" applyBorder="1" applyAlignment="1">
      <alignment horizontal="center" wrapText="1" shrinkToFit="1"/>
    </xf>
    <xf numFmtId="0" fontId="147" fillId="13" borderId="173" xfId="0" applyFont="1" applyFill="1" applyBorder="1" applyAlignment="1">
      <alignment horizontal="center" wrapText="1" shrinkToFit="1"/>
    </xf>
    <xf numFmtId="170" fontId="6" fillId="7" borderId="33" xfId="0" applyNumberFormat="1" applyFont="1" applyFill="1" applyBorder="1" applyAlignment="1">
      <alignment horizontal="center" wrapText="1" shrinkToFit="1"/>
    </xf>
    <xf numFmtId="170" fontId="6" fillId="7" borderId="0" xfId="0" applyNumberFormat="1" applyFont="1" applyFill="1" applyAlignment="1">
      <alignment horizontal="center" wrapText="1" shrinkToFit="1"/>
    </xf>
    <xf numFmtId="170" fontId="6" fillId="7" borderId="13" xfId="0" applyNumberFormat="1" applyFont="1" applyFill="1" applyBorder="1" applyAlignment="1">
      <alignment horizontal="center" wrapText="1" shrinkToFit="1"/>
    </xf>
    <xf numFmtId="167" fontId="6" fillId="7" borderId="169" xfId="0" applyNumberFormat="1" applyFont="1" applyFill="1" applyBorder="1" applyAlignment="1">
      <alignment horizontal="center" shrinkToFit="1"/>
    </xf>
    <xf numFmtId="167" fontId="6" fillId="7" borderId="170" xfId="0" applyNumberFormat="1" applyFont="1" applyFill="1" applyBorder="1" applyAlignment="1">
      <alignment horizontal="center" shrinkToFit="1"/>
    </xf>
    <xf numFmtId="0" fontId="148" fillId="7" borderId="76" xfId="0" applyFont="1" applyFill="1" applyBorder="1" applyAlignment="1">
      <alignment horizontal="center" wrapText="1"/>
    </xf>
    <xf numFmtId="0" fontId="148" fillId="7" borderId="77" xfId="0" applyFont="1" applyFill="1" applyBorder="1" applyAlignment="1">
      <alignment horizontal="center" wrapText="1"/>
    </xf>
    <xf numFmtId="0" fontId="148" fillId="7" borderId="78" xfId="0" applyFont="1" applyFill="1" applyBorder="1" applyAlignment="1">
      <alignment horizontal="center" wrapText="1"/>
    </xf>
    <xf numFmtId="0" fontId="148" fillId="7" borderId="30" xfId="0" applyFont="1" applyFill="1" applyBorder="1" applyAlignment="1">
      <alignment horizontal="center" wrapText="1"/>
    </xf>
    <xf numFmtId="0" fontId="148" fillId="7" borderId="31" xfId="0" applyFont="1" applyFill="1" applyBorder="1" applyAlignment="1">
      <alignment horizontal="center" wrapText="1"/>
    </xf>
    <xf numFmtId="0" fontId="148" fillId="7" borderId="32" xfId="0" applyFont="1" applyFill="1" applyBorder="1" applyAlignment="1">
      <alignment horizontal="center" wrapText="1"/>
    </xf>
    <xf numFmtId="0" fontId="166" fillId="7" borderId="76" xfId="0" applyFont="1" applyFill="1" applyBorder="1" applyAlignment="1">
      <alignment horizontal="center" wrapText="1"/>
    </xf>
    <xf numFmtId="0" fontId="166" fillId="7" borderId="77" xfId="0" applyFont="1" applyFill="1" applyBorder="1" applyAlignment="1">
      <alignment horizontal="center" wrapText="1"/>
    </xf>
    <xf numFmtId="0" fontId="166" fillId="7" borderId="78" xfId="0" applyFont="1" applyFill="1" applyBorder="1" applyAlignment="1">
      <alignment horizontal="center" wrapText="1"/>
    </xf>
    <xf numFmtId="0" fontId="166" fillId="7" borderId="30" xfId="0" applyFont="1" applyFill="1" applyBorder="1" applyAlignment="1">
      <alignment horizontal="center" wrapText="1"/>
    </xf>
    <xf numFmtId="0" fontId="166" fillId="7" borderId="31" xfId="0" applyFont="1" applyFill="1" applyBorder="1" applyAlignment="1">
      <alignment horizontal="center" wrapText="1"/>
    </xf>
    <xf numFmtId="0" fontId="166" fillId="7" borderId="32" xfId="0" applyFont="1" applyFill="1" applyBorder="1" applyAlignment="1">
      <alignment horizontal="center" wrapText="1"/>
    </xf>
    <xf numFmtId="0" fontId="148" fillId="7" borderId="33" xfId="0" applyFont="1" applyFill="1" applyBorder="1" applyAlignment="1">
      <alignment horizontal="center" wrapText="1" shrinkToFit="1"/>
    </xf>
    <xf numFmtId="0" fontId="148" fillId="7" borderId="13" xfId="0" applyFont="1" applyFill="1" applyBorder="1" applyAlignment="1">
      <alignment horizontal="center" wrapText="1" shrinkToFit="1"/>
    </xf>
    <xf numFmtId="0" fontId="148" fillId="7" borderId="30" xfId="0" applyFont="1" applyFill="1" applyBorder="1" applyAlignment="1">
      <alignment horizontal="center" wrapText="1" shrinkToFit="1"/>
    </xf>
    <xf numFmtId="0" fontId="148" fillId="7" borderId="32" xfId="0" applyFont="1" applyFill="1" applyBorder="1" applyAlignment="1">
      <alignment horizontal="center" wrapText="1" shrinkToFit="1"/>
    </xf>
    <xf numFmtId="0" fontId="6" fillId="0" borderId="33" xfId="0" applyFont="1" applyBorder="1" applyAlignment="1" applyProtection="1">
      <alignment horizontal="center" wrapText="1"/>
      <protection locked="0"/>
    </xf>
    <xf numFmtId="0" fontId="149" fillId="0" borderId="0" xfId="0" applyFont="1" applyAlignment="1">
      <alignment horizontal="center" wrapText="1" shrinkToFit="1"/>
    </xf>
    <xf numFmtId="0" fontId="149" fillId="0" borderId="10" xfId="0" applyFont="1" applyBorder="1" applyAlignment="1">
      <alignment horizontal="center" wrapText="1" shrinkToFit="1"/>
    </xf>
    <xf numFmtId="0" fontId="149" fillId="0" borderId="0" xfId="0" applyFont="1" applyAlignment="1">
      <alignment horizontal="center" wrapText="1"/>
    </xf>
    <xf numFmtId="0" fontId="18" fillId="0" borderId="135" xfId="0" applyFont="1" applyBorder="1" applyAlignment="1">
      <alignment horizontal="center" wrapText="1"/>
    </xf>
    <xf numFmtId="0" fontId="18" fillId="0" borderId="10" xfId="0" applyFont="1" applyBorder="1" applyAlignment="1">
      <alignment horizontal="center" wrapText="1"/>
    </xf>
    <xf numFmtId="0" fontId="18" fillId="0" borderId="0" xfId="0" applyFont="1" applyAlignment="1">
      <alignment horizontal="center" wrapText="1"/>
    </xf>
    <xf numFmtId="0" fontId="166" fillId="13" borderId="178" xfId="0" applyFont="1" applyFill="1" applyBorder="1" applyAlignment="1" applyProtection="1">
      <alignment horizontal="center" wrapText="1" shrinkToFit="1"/>
      <protection hidden="1"/>
    </xf>
    <xf numFmtId="0" fontId="166" fillId="13" borderId="177" xfId="0" applyFont="1" applyFill="1" applyBorder="1" applyAlignment="1" applyProtection="1">
      <alignment horizontal="center" wrapText="1" shrinkToFit="1"/>
      <protection hidden="1"/>
    </xf>
    <xf numFmtId="0" fontId="166" fillId="13" borderId="179" xfId="0" applyFont="1" applyFill="1" applyBorder="1" applyAlignment="1" applyProtection="1">
      <alignment horizontal="center" wrapText="1" shrinkToFit="1"/>
      <protection hidden="1"/>
    </xf>
    <xf numFmtId="0" fontId="166" fillId="13" borderId="174" xfId="0" applyFont="1" applyFill="1" applyBorder="1" applyAlignment="1" applyProtection="1">
      <alignment horizontal="center" wrapText="1" shrinkToFit="1"/>
      <protection hidden="1"/>
    </xf>
    <xf numFmtId="0" fontId="166" fillId="13" borderId="175" xfId="0" applyFont="1" applyFill="1" applyBorder="1" applyAlignment="1" applyProtection="1">
      <alignment horizontal="center" wrapText="1" shrinkToFit="1"/>
      <protection hidden="1"/>
    </xf>
    <xf numFmtId="0" fontId="166" fillId="13" borderId="176" xfId="0" applyFont="1" applyFill="1" applyBorder="1" applyAlignment="1" applyProtection="1">
      <alignment horizontal="center" wrapText="1" shrinkToFit="1"/>
      <protection hidden="1"/>
    </xf>
    <xf numFmtId="169" fontId="7" fillId="0" borderId="34" xfId="0" applyNumberFormat="1" applyFont="1" applyBorder="1" applyAlignment="1">
      <alignment horizontal="center" wrapText="1" shrinkToFit="1"/>
    </xf>
    <xf numFmtId="167" fontId="7" fillId="0" borderId="138" xfId="0" applyNumberFormat="1" applyFont="1" applyBorder="1" applyAlignment="1">
      <alignment horizontal="center" shrinkToFit="1"/>
    </xf>
    <xf numFmtId="0" fontId="148" fillId="7" borderId="0" xfId="0" applyFont="1" applyFill="1" applyAlignment="1">
      <alignment horizontal="center" wrapText="1" shrinkToFit="1"/>
    </xf>
    <xf numFmtId="0" fontId="148" fillId="7" borderId="31" xfId="0" applyFont="1" applyFill="1" applyBorder="1" applyAlignment="1">
      <alignment horizontal="center" wrapText="1" shrinkToFit="1"/>
    </xf>
    <xf numFmtId="169" fontId="7" fillId="0" borderId="34" xfId="0" applyNumberFormat="1" applyFont="1" applyBorder="1" applyAlignment="1">
      <alignment horizontal="center" shrinkToFit="1"/>
    </xf>
    <xf numFmtId="167" fontId="6" fillId="7" borderId="104" xfId="0" applyNumberFormat="1" applyFont="1" applyFill="1" applyBorder="1" applyAlignment="1">
      <alignment horizontal="center" wrapText="1" shrinkToFit="1"/>
    </xf>
    <xf numFmtId="167" fontId="6" fillId="7" borderId="9" xfId="0" applyNumberFormat="1" applyFont="1" applyFill="1" applyBorder="1" applyAlignment="1">
      <alignment horizontal="center" wrapText="1" shrinkToFit="1"/>
    </xf>
    <xf numFmtId="167" fontId="6" fillId="7" borderId="136" xfId="0" applyNumberFormat="1" applyFont="1" applyFill="1" applyBorder="1" applyAlignment="1">
      <alignment horizontal="center" wrapText="1" shrinkToFit="1"/>
    </xf>
    <xf numFmtId="0" fontId="166" fillId="7" borderId="33" xfId="0" applyFont="1" applyFill="1" applyBorder="1" applyAlignment="1">
      <alignment horizontal="center" wrapText="1"/>
    </xf>
    <xf numFmtId="0" fontId="166" fillId="7" borderId="0" xfId="0" applyFont="1" applyFill="1" applyAlignment="1">
      <alignment horizontal="center" wrapText="1"/>
    </xf>
    <xf numFmtId="0" fontId="166" fillId="7" borderId="13" xfId="0" applyFont="1" applyFill="1" applyBorder="1" applyAlignment="1">
      <alignment horizontal="center" wrapText="1"/>
    </xf>
    <xf numFmtId="2" fontId="7" fillId="0" borderId="101" xfId="0" applyNumberFormat="1" applyFont="1" applyBorder="1" applyAlignment="1">
      <alignment horizontal="center" wrapText="1" shrinkToFit="1"/>
    </xf>
    <xf numFmtId="2" fontId="7" fillId="0" borderId="12" xfId="0" applyNumberFormat="1" applyFont="1" applyBorder="1" applyAlignment="1">
      <alignment horizontal="center" wrapText="1" shrinkToFit="1"/>
    </xf>
    <xf numFmtId="167" fontId="7" fillId="0" borderId="78" xfId="0" applyNumberFormat="1" applyFont="1" applyBorder="1" applyAlignment="1" applyProtection="1">
      <alignment horizontal="center" shrinkToFit="1"/>
      <protection locked="0"/>
    </xf>
    <xf numFmtId="178" fontId="7" fillId="0" borderId="101" xfId="0" applyNumberFormat="1" applyFont="1" applyBorder="1" applyAlignment="1">
      <alignment horizontal="center" wrapText="1" shrinkToFit="1"/>
    </xf>
    <xf numFmtId="178" fontId="7" fillId="0" borderId="12" xfId="0" applyNumberFormat="1" applyFont="1" applyBorder="1" applyAlignment="1">
      <alignment horizontal="center" wrapText="1" shrinkToFit="1"/>
    </xf>
    <xf numFmtId="167" fontId="0" fillId="0" borderId="34" xfId="0" applyNumberFormat="1" applyBorder="1" applyAlignment="1">
      <alignment horizontal="center" shrinkToFit="1"/>
    </xf>
    <xf numFmtId="167" fontId="0" fillId="0" borderId="12" xfId="0" applyNumberFormat="1" applyBorder="1" applyAlignment="1">
      <alignment horizontal="center" shrinkToFit="1"/>
    </xf>
    <xf numFmtId="0" fontId="107" fillId="58" borderId="124" xfId="0" applyFont="1" applyFill="1" applyBorder="1" applyAlignment="1">
      <alignment horizontal="center" wrapText="1"/>
    </xf>
    <xf numFmtId="0" fontId="106" fillId="58" borderId="124" xfId="0" applyFont="1" applyFill="1" applyBorder="1" applyAlignment="1">
      <alignment horizontal="center" wrapText="1"/>
    </xf>
    <xf numFmtId="0" fontId="106" fillId="58" borderId="124" xfId="0" applyFont="1" applyFill="1" applyBorder="1" applyAlignment="1">
      <alignment horizontal="center"/>
    </xf>
    <xf numFmtId="167" fontId="6" fillId="7" borderId="104" xfId="0" applyNumberFormat="1" applyFont="1" applyFill="1" applyBorder="1" applyAlignment="1">
      <alignment horizontal="center" shrinkToFit="1"/>
    </xf>
    <xf numFmtId="167" fontId="6" fillId="7" borderId="9" xfId="0" applyNumberFormat="1" applyFont="1" applyFill="1" applyBorder="1" applyAlignment="1">
      <alignment horizontal="center" shrinkToFit="1"/>
    </xf>
    <xf numFmtId="0" fontId="7" fillId="0" borderId="34" xfId="0" applyFont="1" applyBorder="1" applyAlignment="1" applyProtection="1">
      <alignment horizontal="center" shrinkToFit="1"/>
      <protection locked="0"/>
    </xf>
    <xf numFmtId="0" fontId="7" fillId="0" borderId="12" xfId="0" applyFont="1" applyBorder="1" applyAlignment="1" applyProtection="1">
      <alignment horizontal="center" shrinkToFit="1"/>
      <protection locked="0"/>
    </xf>
    <xf numFmtId="173" fontId="7" fillId="0" borderId="76" xfId="0" applyNumberFormat="1" applyFont="1" applyBorder="1" applyAlignment="1" applyProtection="1">
      <alignment horizontal="center" shrinkToFit="1"/>
      <protection locked="0" hidden="1"/>
    </xf>
    <xf numFmtId="173" fontId="7" fillId="0" borderId="102" xfId="0" applyNumberFormat="1" applyFont="1" applyBorder="1" applyAlignment="1" applyProtection="1">
      <alignment horizontal="center" shrinkToFit="1"/>
      <protection locked="0" hidden="1"/>
    </xf>
    <xf numFmtId="173" fontId="7" fillId="0" borderId="30" xfId="0" applyNumberFormat="1" applyFont="1" applyBorder="1" applyAlignment="1" applyProtection="1">
      <alignment horizontal="center" shrinkToFit="1"/>
      <protection locked="0" hidden="1"/>
    </xf>
    <xf numFmtId="173" fontId="7" fillId="0" borderId="103" xfId="0" applyNumberFormat="1" applyFont="1" applyBorder="1" applyAlignment="1" applyProtection="1">
      <alignment horizontal="center" shrinkToFit="1"/>
      <protection locked="0" hidden="1"/>
    </xf>
    <xf numFmtId="0" fontId="7" fillId="0" borderId="65" xfId="0" applyFont="1" applyBorder="1" applyAlignment="1" applyProtection="1">
      <alignment horizontal="center" shrinkToFit="1"/>
      <protection locked="0"/>
    </xf>
    <xf numFmtId="0" fontId="7" fillId="0" borderId="66" xfId="0" applyFont="1" applyBorder="1" applyAlignment="1" applyProtection="1">
      <alignment horizontal="center" shrinkToFit="1"/>
      <protection locked="0"/>
    </xf>
    <xf numFmtId="0" fontId="7" fillId="0" borderId="63" xfId="0" applyFont="1" applyBorder="1" applyAlignment="1" applyProtection="1">
      <alignment horizontal="center" shrinkToFit="1"/>
      <protection locked="0"/>
    </xf>
    <xf numFmtId="0" fontId="7" fillId="0" borderId="64" xfId="0" applyFont="1" applyBorder="1" applyAlignment="1" applyProtection="1">
      <alignment horizontal="center" shrinkToFit="1"/>
      <protection locked="0"/>
    </xf>
    <xf numFmtId="0" fontId="7" fillId="0" borderId="34" xfId="0" applyFont="1" applyBorder="1" applyAlignment="1" applyProtection="1">
      <alignment horizontal="center" wrapText="1"/>
      <protection locked="0"/>
    </xf>
    <xf numFmtId="0" fontId="7" fillId="0" borderId="12" xfId="0" applyFont="1" applyBorder="1" applyAlignment="1" applyProtection="1">
      <alignment horizontal="center" wrapText="1"/>
      <protection locked="0"/>
    </xf>
    <xf numFmtId="173" fontId="7" fillId="0" borderId="34" xfId="0" applyNumberFormat="1" applyFont="1" applyBorder="1" applyAlignment="1" applyProtection="1">
      <alignment horizontal="center" shrinkToFit="1"/>
      <protection locked="0"/>
    </xf>
    <xf numFmtId="173" fontId="7" fillId="0" borderId="12" xfId="0" applyNumberFormat="1" applyFont="1" applyBorder="1" applyAlignment="1" applyProtection="1">
      <alignment horizontal="center" shrinkToFit="1"/>
      <protection locked="0"/>
    </xf>
    <xf numFmtId="167" fontId="7" fillId="0" borderId="34" xfId="0" applyNumberFormat="1" applyFont="1" applyBorder="1" applyAlignment="1" applyProtection="1">
      <alignment horizontal="center" shrinkToFit="1"/>
      <protection locked="0"/>
    </xf>
    <xf numFmtId="167" fontId="7" fillId="0" borderId="12" xfId="0" applyNumberFormat="1" applyFont="1" applyBorder="1" applyAlignment="1" applyProtection="1">
      <alignment horizontal="center" shrinkToFit="1"/>
      <protection locked="0"/>
    </xf>
    <xf numFmtId="167" fontId="7" fillId="0" borderId="66" xfId="0" applyNumberFormat="1" applyFont="1" applyBorder="1" applyAlignment="1" applyProtection="1">
      <alignment horizontal="center" shrinkToFit="1"/>
      <protection locked="0"/>
    </xf>
    <xf numFmtId="167" fontId="7" fillId="0" borderId="64" xfId="0" applyNumberFormat="1" applyFont="1" applyBorder="1" applyAlignment="1" applyProtection="1">
      <alignment horizontal="center" shrinkToFit="1"/>
      <protection locked="0"/>
    </xf>
    <xf numFmtId="167" fontId="6" fillId="7" borderId="34" xfId="0" applyNumberFormat="1" applyFont="1" applyFill="1" applyBorder="1" applyAlignment="1">
      <alignment horizontal="center" shrinkToFit="1"/>
    </xf>
    <xf numFmtId="167" fontId="6" fillId="7" borderId="12" xfId="0" applyNumberFormat="1" applyFont="1" applyFill="1" applyBorder="1" applyAlignment="1">
      <alignment horizontal="center" shrinkToFit="1"/>
    </xf>
    <xf numFmtId="4" fontId="7" fillId="0" borderId="34" xfId="0" applyNumberFormat="1" applyFont="1" applyBorder="1" applyAlignment="1">
      <alignment horizontal="center" wrapText="1" shrinkToFit="1"/>
    </xf>
    <xf numFmtId="4" fontId="7" fillId="0" borderId="12" xfId="0" applyNumberFormat="1" applyFont="1" applyBorder="1" applyAlignment="1">
      <alignment horizontal="center" wrapText="1" shrinkToFit="1"/>
    </xf>
    <xf numFmtId="167" fontId="6" fillId="7" borderId="34" xfId="0" applyNumberFormat="1" applyFont="1" applyFill="1" applyBorder="1" applyAlignment="1">
      <alignment horizontal="center" wrapText="1"/>
    </xf>
    <xf numFmtId="167" fontId="6" fillId="7" borderId="12" xfId="0" applyNumberFormat="1" applyFont="1" applyFill="1" applyBorder="1" applyAlignment="1">
      <alignment horizontal="center" wrapText="1"/>
    </xf>
    <xf numFmtId="171" fontId="7" fillId="0" borderId="101" xfId="0" applyNumberFormat="1" applyFont="1" applyBorder="1" applyAlignment="1">
      <alignment horizontal="center" shrinkToFit="1"/>
    </xf>
    <xf numFmtId="171" fontId="7" fillId="0" borderId="12" xfId="0" applyNumberFormat="1" applyFont="1" applyBorder="1" applyAlignment="1">
      <alignment horizontal="center" shrinkToFit="1"/>
    </xf>
    <xf numFmtId="171" fontId="7" fillId="0" borderId="34" xfId="0" applyNumberFormat="1" applyFont="1" applyBorder="1" applyAlignment="1">
      <alignment horizontal="center" shrinkToFit="1"/>
    </xf>
    <xf numFmtId="170" fontId="6" fillId="7" borderId="34" xfId="0" applyNumberFormat="1" applyFont="1" applyFill="1" applyBorder="1" applyAlignment="1">
      <alignment horizontal="center" shrinkToFit="1"/>
    </xf>
    <xf numFmtId="170" fontId="6" fillId="7" borderId="12" xfId="0" applyNumberFormat="1" applyFont="1" applyFill="1" applyBorder="1" applyAlignment="1">
      <alignment horizontal="center" shrinkToFit="1"/>
    </xf>
    <xf numFmtId="3" fontId="7" fillId="7" borderId="34" xfId="0" applyNumberFormat="1" applyFont="1" applyFill="1" applyBorder="1" applyAlignment="1">
      <alignment horizontal="center" shrinkToFit="1"/>
    </xf>
    <xf numFmtId="3" fontId="7" fillId="7" borderId="12" xfId="0" applyNumberFormat="1" applyFont="1" applyFill="1" applyBorder="1" applyAlignment="1">
      <alignment horizontal="center" shrinkToFit="1"/>
    </xf>
    <xf numFmtId="3" fontId="7" fillId="0" borderId="76" xfId="0" applyNumberFormat="1" applyFont="1" applyBorder="1" applyAlignment="1" applyProtection="1">
      <alignment horizontal="center" shrinkToFit="1"/>
      <protection locked="0"/>
    </xf>
    <xf numFmtId="3" fontId="7" fillId="0" borderId="78" xfId="0" applyNumberFormat="1" applyFont="1" applyBorder="1" applyAlignment="1" applyProtection="1">
      <alignment horizontal="center" shrinkToFit="1"/>
      <protection locked="0"/>
    </xf>
    <xf numFmtId="3" fontId="7" fillId="0" borderId="30" xfId="0" applyNumberFormat="1" applyFont="1" applyBorder="1" applyAlignment="1" applyProtection="1">
      <alignment horizontal="center" shrinkToFit="1"/>
      <protection locked="0"/>
    </xf>
    <xf numFmtId="3" fontId="7" fillId="0" borderId="32" xfId="0" applyNumberFormat="1" applyFont="1" applyBorder="1" applyAlignment="1" applyProtection="1">
      <alignment horizontal="center" shrinkToFit="1"/>
      <protection locked="0"/>
    </xf>
    <xf numFmtId="167" fontId="147" fillId="0" borderId="76" xfId="0" applyNumberFormat="1" applyFont="1" applyBorder="1" applyAlignment="1" applyProtection="1">
      <alignment horizontal="center" shrinkToFit="1"/>
      <protection locked="0"/>
    </xf>
    <xf numFmtId="167" fontId="147" fillId="0" borderId="78" xfId="0" applyNumberFormat="1" applyFont="1" applyBorder="1" applyAlignment="1" applyProtection="1">
      <alignment horizontal="center" shrinkToFit="1"/>
      <protection locked="0"/>
    </xf>
    <xf numFmtId="167" fontId="147" fillId="0" borderId="30" xfId="0" applyNumberFormat="1" applyFont="1" applyBorder="1" applyAlignment="1" applyProtection="1">
      <alignment horizontal="center" shrinkToFit="1"/>
      <protection locked="0"/>
    </xf>
    <xf numFmtId="167" fontId="147" fillId="0" borderId="32" xfId="0" applyNumberFormat="1" applyFont="1" applyBorder="1" applyAlignment="1" applyProtection="1">
      <alignment horizontal="center" shrinkToFit="1"/>
      <protection locked="0"/>
    </xf>
    <xf numFmtId="0" fontId="7" fillId="61" borderId="76" xfId="0" applyFont="1" applyFill="1" applyBorder="1" applyAlignment="1">
      <alignment horizontal="center" wrapText="1"/>
    </xf>
    <xf numFmtId="0" fontId="7" fillId="61" borderId="77" xfId="0" applyFont="1" applyFill="1" applyBorder="1" applyAlignment="1">
      <alignment horizontal="center" wrapText="1"/>
    </xf>
    <xf numFmtId="0" fontId="7" fillId="61" borderId="78" xfId="0" applyFont="1" applyFill="1" applyBorder="1" applyAlignment="1">
      <alignment horizontal="center" wrapText="1"/>
    </xf>
    <xf numFmtId="0" fontId="7" fillId="61" borderId="30" xfId="0" applyFont="1" applyFill="1" applyBorder="1" applyAlignment="1">
      <alignment horizontal="center" wrapText="1"/>
    </xf>
    <xf numFmtId="0" fontId="7" fillId="61" borderId="31" xfId="0" applyFont="1" applyFill="1" applyBorder="1" applyAlignment="1">
      <alignment horizontal="center" wrapText="1"/>
    </xf>
    <xf numFmtId="0" fontId="7" fillId="61" borderId="32" xfId="0" applyFont="1" applyFill="1" applyBorder="1" applyAlignment="1">
      <alignment horizontal="center" wrapText="1"/>
    </xf>
    <xf numFmtId="2" fontId="7" fillId="7" borderId="34" xfId="0" applyNumberFormat="1" applyFont="1" applyFill="1" applyBorder="1" applyAlignment="1">
      <alignment horizontal="center" wrapText="1"/>
    </xf>
    <xf numFmtId="2" fontId="7" fillId="7" borderId="12" xfId="0" applyNumberFormat="1" applyFont="1" applyFill="1" applyBorder="1" applyAlignment="1">
      <alignment horizontal="center" wrapText="1"/>
    </xf>
    <xf numFmtId="0" fontId="7" fillId="0" borderId="34" xfId="0" applyFont="1" applyBorder="1" applyAlignment="1">
      <alignment horizontal="center" wrapText="1" shrinkToFit="1"/>
    </xf>
    <xf numFmtId="0" fontId="7" fillId="0" borderId="12" xfId="0" applyFont="1" applyBorder="1" applyAlignment="1">
      <alignment horizontal="center" wrapText="1" shrinkToFit="1"/>
    </xf>
    <xf numFmtId="0" fontId="7" fillId="61" borderId="34" xfId="0" applyFont="1" applyFill="1" applyBorder="1" applyAlignment="1">
      <alignment horizontal="center" wrapText="1"/>
    </xf>
    <xf numFmtId="0" fontId="7" fillId="61" borderId="12" xfId="0" applyFont="1" applyFill="1" applyBorder="1" applyAlignment="1">
      <alignment horizontal="center" wrapText="1"/>
    </xf>
    <xf numFmtId="179" fontId="7" fillId="0" borderId="34" xfId="0" applyNumberFormat="1" applyFont="1" applyBorder="1" applyAlignment="1">
      <alignment horizontal="center" wrapText="1" shrinkToFit="1"/>
    </xf>
    <xf numFmtId="179" fontId="7" fillId="0" borderId="12" xfId="0" applyNumberFormat="1" applyFont="1" applyBorder="1" applyAlignment="1">
      <alignment horizontal="center" wrapText="1" shrinkToFit="1"/>
    </xf>
    <xf numFmtId="167" fontId="6" fillId="7" borderId="67" xfId="0" applyNumberFormat="1" applyFont="1" applyFill="1" applyBorder="1" applyAlignment="1">
      <alignment horizontal="center" shrinkToFit="1"/>
    </xf>
    <xf numFmtId="167" fontId="6" fillId="7" borderId="11" xfId="0" applyNumberFormat="1" applyFont="1" applyFill="1" applyBorder="1" applyAlignment="1">
      <alignment horizontal="center" shrinkToFit="1"/>
    </xf>
    <xf numFmtId="167" fontId="4" fillId="7" borderId="12" xfId="0" applyNumberFormat="1" applyFont="1" applyFill="1" applyBorder="1" applyAlignment="1">
      <alignment horizontal="center" wrapText="1"/>
    </xf>
    <xf numFmtId="167" fontId="4" fillId="7" borderId="11" xfId="0" applyNumberFormat="1" applyFont="1" applyFill="1" applyBorder="1" applyAlignment="1">
      <alignment horizontal="center" wrapText="1"/>
    </xf>
    <xf numFmtId="3" fontId="7" fillId="0" borderId="34" xfId="0" applyNumberFormat="1" applyFont="1" applyBorder="1" applyAlignment="1" applyProtection="1">
      <alignment horizontal="center" wrapText="1"/>
      <protection locked="0"/>
    </xf>
    <xf numFmtId="3" fontId="7" fillId="0" borderId="12" xfId="0" applyNumberFormat="1" applyFont="1" applyBorder="1" applyAlignment="1" applyProtection="1">
      <alignment horizontal="center" wrapText="1"/>
      <protection locked="0"/>
    </xf>
    <xf numFmtId="167" fontId="147" fillId="0" borderId="104" xfId="0" applyNumberFormat="1" applyFont="1" applyBorder="1" applyAlignment="1" applyProtection="1">
      <alignment horizontal="center" shrinkToFit="1"/>
      <protection locked="0"/>
    </xf>
    <xf numFmtId="167" fontId="147" fillId="0" borderId="136" xfId="0" applyNumberFormat="1" applyFont="1" applyBorder="1" applyAlignment="1" applyProtection="1">
      <alignment horizontal="center" shrinkToFit="1"/>
      <protection locked="0"/>
    </xf>
    <xf numFmtId="0" fontId="7" fillId="61" borderId="104" xfId="0" applyFont="1" applyFill="1" applyBorder="1" applyAlignment="1">
      <alignment horizontal="center" wrapText="1"/>
    </xf>
    <xf numFmtId="0" fontId="7" fillId="61" borderId="9" xfId="0" applyFont="1" applyFill="1" applyBorder="1" applyAlignment="1">
      <alignment horizontal="center" wrapText="1"/>
    </xf>
    <xf numFmtId="0" fontId="7" fillId="61" borderId="136" xfId="0" applyFont="1" applyFill="1" applyBorder="1" applyAlignment="1">
      <alignment horizontal="center" wrapText="1"/>
    </xf>
    <xf numFmtId="0" fontId="7" fillId="0" borderId="135" xfId="0" applyFont="1" applyBorder="1" applyAlignment="1">
      <alignment horizontal="center" wrapText="1"/>
    </xf>
    <xf numFmtId="0" fontId="7" fillId="0" borderId="1" xfId="0" applyFont="1" applyBorder="1" applyAlignment="1">
      <alignment horizontal="center"/>
    </xf>
    <xf numFmtId="170" fontId="6" fillId="7" borderId="11" xfId="0" applyNumberFormat="1" applyFont="1" applyFill="1" applyBorder="1" applyAlignment="1">
      <alignment horizontal="center" shrinkToFit="1"/>
    </xf>
    <xf numFmtId="0" fontId="17" fillId="0" borderId="0" xfId="0" applyFont="1" applyAlignment="1">
      <alignment horizontal="center" wrapText="1"/>
    </xf>
    <xf numFmtId="0" fontId="17" fillId="0" borderId="10" xfId="0" applyFont="1" applyBorder="1" applyAlignment="1">
      <alignment horizontal="center" wrapText="1"/>
    </xf>
    <xf numFmtId="171" fontId="7" fillId="0" borderId="34" xfId="0" applyNumberFormat="1" applyFont="1" applyBorder="1" applyAlignment="1">
      <alignment horizontal="center" wrapText="1" shrinkToFit="1"/>
    </xf>
    <xf numFmtId="171" fontId="7" fillId="0" borderId="12" xfId="0" applyNumberFormat="1" applyFont="1" applyBorder="1" applyAlignment="1">
      <alignment horizontal="center" wrapText="1" shrinkToFit="1"/>
    </xf>
    <xf numFmtId="0" fontId="7" fillId="0" borderId="1" xfId="0" applyFont="1" applyBorder="1" applyProtection="1">
      <protection locked="0"/>
    </xf>
    <xf numFmtId="1" fontId="7" fillId="0" borderId="50" xfId="0" applyNumberFormat="1" applyFont="1" applyBorder="1" applyProtection="1">
      <protection locked="0"/>
    </xf>
    <xf numFmtId="1" fontId="7" fillId="0" borderId="2" xfId="0" applyNumberFormat="1" applyFont="1" applyBorder="1" applyProtection="1">
      <protection locked="0"/>
    </xf>
    <xf numFmtId="0" fontId="7" fillId="0" borderId="8" xfId="0" applyFont="1" applyBorder="1" applyProtection="1">
      <protection locked="0"/>
    </xf>
    <xf numFmtId="0" fontId="18" fillId="54" borderId="0" xfId="0" applyFont="1" applyFill="1"/>
    <xf numFmtId="0" fontId="7" fillId="0" borderId="1" xfId="0" applyFont="1" applyBorder="1" applyAlignment="1" applyProtection="1">
      <alignment horizontal="center"/>
      <protection locked="0"/>
    </xf>
    <xf numFmtId="1" fontId="7" fillId="0" borderId="50" xfId="0" applyNumberFormat="1" applyFont="1" applyBorder="1" applyAlignment="1" applyProtection="1">
      <alignment vertical="top"/>
      <protection locked="0"/>
    </xf>
    <xf numFmtId="1" fontId="7" fillId="0" borderId="2" xfId="0" applyNumberFormat="1" applyFont="1" applyBorder="1" applyAlignment="1" applyProtection="1">
      <alignment vertical="top"/>
      <protection locked="0"/>
    </xf>
    <xf numFmtId="0" fontId="7" fillId="0" borderId="50" xfId="0" applyFont="1" applyBorder="1" applyProtection="1">
      <protection locked="0"/>
    </xf>
    <xf numFmtId="0" fontId="7" fillId="0" borderId="2" xfId="0" applyFont="1" applyBorder="1" applyProtection="1">
      <protection locked="0"/>
    </xf>
    <xf numFmtId="0" fontId="6" fillId="54" borderId="1" xfId="0" applyFont="1" applyFill="1" applyBorder="1" applyAlignment="1" applyProtection="1">
      <alignment horizontal="center"/>
      <protection hidden="1"/>
    </xf>
    <xf numFmtId="0" fontId="50" fillId="0" borderId="1" xfId="0" applyFont="1" applyBorder="1" applyAlignment="1" applyProtection="1">
      <alignment horizontal="center" vertical="center"/>
      <protection locked="0" hidden="1"/>
    </xf>
    <xf numFmtId="0" fontId="50" fillId="0" borderId="0" xfId="0" applyFont="1" applyAlignment="1" applyProtection="1">
      <alignment horizontal="center" vertical="center"/>
      <protection hidden="1"/>
    </xf>
    <xf numFmtId="0" fontId="41" fillId="0" borderId="0" xfId="0" applyFont="1" applyAlignment="1" applyProtection="1">
      <alignment horizontal="center" vertical="center"/>
      <protection hidden="1"/>
    </xf>
    <xf numFmtId="0" fontId="6" fillId="0" borderId="0" xfId="0" applyFont="1" applyAlignment="1" applyProtection="1">
      <alignment horizontal="center" vertical="center" wrapText="1"/>
      <protection hidden="1"/>
    </xf>
    <xf numFmtId="3" fontId="7" fillId="0" borderId="34" xfId="0" applyNumberFormat="1" applyFont="1" applyBorder="1" applyAlignment="1" applyProtection="1">
      <alignment horizontal="center" shrinkToFit="1"/>
      <protection locked="0" hidden="1"/>
    </xf>
    <xf numFmtId="3" fontId="7" fillId="0" borderId="12" xfId="0" applyNumberFormat="1" applyFont="1" applyBorder="1" applyAlignment="1" applyProtection="1">
      <alignment horizontal="center" shrinkToFit="1"/>
      <protection locked="0" hidden="1"/>
    </xf>
    <xf numFmtId="167" fontId="7" fillId="0" borderId="102" xfId="0" applyNumberFormat="1" applyFont="1" applyBorder="1" applyAlignment="1" applyProtection="1">
      <alignment horizontal="center" shrinkToFit="1"/>
      <protection locked="0" hidden="1"/>
    </xf>
    <xf numFmtId="167" fontId="7" fillId="0" borderId="103" xfId="0" applyNumberFormat="1" applyFont="1" applyBorder="1" applyAlignment="1" applyProtection="1">
      <alignment horizontal="center" shrinkToFit="1"/>
      <protection locked="0" hidden="1"/>
    </xf>
    <xf numFmtId="0" fontId="7" fillId="0" borderId="34" xfId="0" applyFont="1" applyBorder="1" applyAlignment="1" applyProtection="1">
      <alignment horizontal="center" shrinkToFit="1"/>
      <protection locked="0" hidden="1"/>
    </xf>
    <xf numFmtId="0" fontId="7" fillId="0" borderId="12" xfId="0" applyFont="1" applyBorder="1" applyAlignment="1" applyProtection="1">
      <alignment horizontal="center" shrinkToFit="1"/>
      <protection locked="0" hidden="1"/>
    </xf>
    <xf numFmtId="0" fontId="7" fillId="0" borderId="82" xfId="0" applyFont="1" applyBorder="1" applyAlignment="1" applyProtection="1">
      <alignment horizontal="center" wrapText="1"/>
      <protection locked="0" hidden="1"/>
    </xf>
    <xf numFmtId="0" fontId="7" fillId="0" borderId="77" xfId="0" applyFont="1" applyBorder="1" applyAlignment="1" applyProtection="1">
      <alignment horizontal="center" wrapText="1"/>
      <protection locked="0" hidden="1"/>
    </xf>
    <xf numFmtId="0" fontId="7" fillId="0" borderId="78" xfId="0" applyFont="1" applyBorder="1" applyAlignment="1" applyProtection="1">
      <alignment horizontal="center" wrapText="1"/>
      <protection locked="0" hidden="1"/>
    </xf>
    <xf numFmtId="0" fontId="7" fillId="0" borderId="35" xfId="0" applyFont="1" applyBorder="1" applyAlignment="1" applyProtection="1">
      <alignment horizontal="center" wrapText="1"/>
      <protection locked="0" hidden="1"/>
    </xf>
    <xf numFmtId="0" fontId="7" fillId="0" borderId="31" xfId="0" applyFont="1" applyBorder="1" applyAlignment="1" applyProtection="1">
      <alignment horizontal="center" wrapText="1"/>
      <protection locked="0" hidden="1"/>
    </xf>
    <xf numFmtId="0" fontId="7" fillId="0" borderId="32" xfId="0" applyFont="1" applyBorder="1" applyAlignment="1" applyProtection="1">
      <alignment horizontal="center" wrapText="1"/>
      <protection locked="0" hidden="1"/>
    </xf>
    <xf numFmtId="3" fontId="7" fillId="0" borderId="76" xfId="0" applyNumberFormat="1" applyFont="1" applyBorder="1" applyAlignment="1" applyProtection="1">
      <alignment horizontal="center" shrinkToFit="1"/>
      <protection locked="0" hidden="1"/>
    </xf>
    <xf numFmtId="3" fontId="7" fillId="0" borderId="80" xfId="0" applyNumberFormat="1" applyFont="1" applyBorder="1" applyAlignment="1" applyProtection="1">
      <alignment horizontal="center" shrinkToFit="1"/>
      <protection locked="0" hidden="1"/>
    </xf>
    <xf numFmtId="3" fontId="7" fillId="0" borderId="30" xfId="0" applyNumberFormat="1" applyFont="1" applyBorder="1" applyAlignment="1" applyProtection="1">
      <alignment horizontal="center" shrinkToFit="1"/>
      <protection locked="0" hidden="1"/>
    </xf>
    <xf numFmtId="3" fontId="7" fillId="0" borderId="81" xfId="0" applyNumberFormat="1" applyFont="1" applyBorder="1" applyAlignment="1" applyProtection="1">
      <alignment horizontal="center" shrinkToFit="1"/>
      <protection locked="0" hidden="1"/>
    </xf>
    <xf numFmtId="0" fontId="7" fillId="0" borderId="82" xfId="0" applyFont="1" applyBorder="1" applyAlignment="1" applyProtection="1">
      <alignment horizontal="center" wrapText="1"/>
      <protection locked="0"/>
    </xf>
    <xf numFmtId="3" fontId="7" fillId="0" borderId="34" xfId="0" applyNumberFormat="1" applyFont="1" applyBorder="1" applyAlignment="1" applyProtection="1">
      <alignment horizontal="center" shrinkToFit="1"/>
      <protection locked="0"/>
    </xf>
    <xf numFmtId="3" fontId="7" fillId="0" borderId="12" xfId="0" applyNumberFormat="1" applyFont="1" applyBorder="1" applyAlignment="1" applyProtection="1">
      <alignment horizontal="center" shrinkToFit="1"/>
      <protection locked="0"/>
    </xf>
    <xf numFmtId="4" fontId="7" fillId="0" borderId="101" xfId="0" applyNumberFormat="1" applyFont="1" applyBorder="1" applyAlignment="1">
      <alignment horizontal="center" wrapText="1" shrinkToFit="1"/>
    </xf>
    <xf numFmtId="0" fontId="7" fillId="0" borderId="76" xfId="0" applyFont="1" applyBorder="1" applyAlignment="1" applyProtection="1">
      <alignment horizontal="center" wrapText="1"/>
      <protection locked="0" hidden="1"/>
    </xf>
    <xf numFmtId="0" fontId="7" fillId="0" borderId="30" xfId="0" applyFont="1" applyBorder="1" applyAlignment="1" applyProtection="1">
      <alignment horizontal="center" wrapText="1"/>
      <protection locked="0" hidden="1"/>
    </xf>
    <xf numFmtId="1" fontId="7" fillId="0" borderId="101" xfId="7" applyNumberFormat="1" applyFont="1" applyBorder="1" applyAlignment="1" applyProtection="1">
      <alignment horizontal="center" wrapText="1" shrinkToFit="1"/>
    </xf>
    <xf numFmtId="1" fontId="7" fillId="0" borderId="12" xfId="7" applyNumberFormat="1" applyFont="1" applyBorder="1" applyAlignment="1" applyProtection="1">
      <alignment horizontal="center" wrapText="1" shrinkToFit="1"/>
    </xf>
    <xf numFmtId="171" fontId="7" fillId="0" borderId="101" xfId="0" applyNumberFormat="1" applyFont="1" applyBorder="1" applyAlignment="1" applyProtection="1">
      <alignment horizontal="center" shrinkToFit="1"/>
      <protection locked="0"/>
    </xf>
    <xf numFmtId="171" fontId="7" fillId="0" borderId="12" xfId="0" applyNumberFormat="1" applyFont="1" applyBorder="1" applyAlignment="1" applyProtection="1">
      <alignment horizontal="center" shrinkToFit="1"/>
      <protection locked="0"/>
    </xf>
    <xf numFmtId="178" fontId="7" fillId="0" borderId="34" xfId="0" applyNumberFormat="1" applyFont="1" applyBorder="1" applyAlignment="1">
      <alignment horizontal="center" wrapText="1" shrinkToFit="1"/>
    </xf>
    <xf numFmtId="171" fontId="7" fillId="0" borderId="138" xfId="0" applyNumberFormat="1" applyFont="1" applyBorder="1" applyAlignment="1" applyProtection="1">
      <alignment horizontal="center" shrinkToFit="1"/>
      <protection locked="0"/>
    </xf>
    <xf numFmtId="0" fontId="7" fillId="0" borderId="0" xfId="0" applyFont="1" applyAlignment="1">
      <alignment horizontal="center" vertical="center" wrapText="1"/>
    </xf>
    <xf numFmtId="1" fontId="7" fillId="0" borderId="34" xfId="7" applyNumberFormat="1" applyFont="1" applyBorder="1" applyAlignment="1" applyProtection="1">
      <alignment horizontal="center" wrapText="1" shrinkToFit="1"/>
    </xf>
    <xf numFmtId="164" fontId="38" fillId="6" borderId="0" xfId="0" applyNumberFormat="1" applyFont="1" applyFill="1" applyAlignment="1">
      <alignment horizontal="center" vertical="center"/>
    </xf>
    <xf numFmtId="0" fontId="20" fillId="0" borderId="0" xfId="0" applyFont="1" applyAlignment="1">
      <alignment horizontal="left" vertical="center" wrapText="1"/>
    </xf>
    <xf numFmtId="167" fontId="7" fillId="0" borderId="34" xfId="0" applyNumberFormat="1" applyFont="1" applyBorder="1" applyAlignment="1" applyProtection="1">
      <alignment horizontal="center" shrinkToFit="1"/>
      <protection locked="0" hidden="1"/>
    </xf>
    <xf numFmtId="167" fontId="7" fillId="0" borderId="66" xfId="0" applyNumberFormat="1" applyFont="1" applyBorder="1" applyAlignment="1" applyProtection="1">
      <alignment horizontal="center" shrinkToFit="1"/>
      <protection locked="0" hidden="1"/>
    </xf>
    <xf numFmtId="167" fontId="7" fillId="0" borderId="12" xfId="0" applyNumberFormat="1" applyFont="1" applyBorder="1" applyAlignment="1" applyProtection="1">
      <alignment horizontal="center" shrinkToFit="1"/>
      <protection locked="0" hidden="1"/>
    </xf>
    <xf numFmtId="167" fontId="7" fillId="0" borderId="64" xfId="0" applyNumberFormat="1" applyFont="1" applyBorder="1" applyAlignment="1" applyProtection="1">
      <alignment horizontal="center" shrinkToFit="1"/>
      <protection locked="0" hidden="1"/>
    </xf>
    <xf numFmtId="3" fontId="7" fillId="0" borderId="80" xfId="0" applyNumberFormat="1" applyFont="1" applyBorder="1" applyAlignment="1" applyProtection="1">
      <alignment horizontal="center" shrinkToFit="1"/>
      <protection locked="0"/>
    </xf>
    <xf numFmtId="3" fontId="7" fillId="0" borderId="81" xfId="0" applyNumberFormat="1" applyFont="1" applyBorder="1" applyAlignment="1" applyProtection="1">
      <alignment horizontal="center" shrinkToFit="1"/>
      <protection locked="0"/>
    </xf>
    <xf numFmtId="176" fontId="7" fillId="0" borderId="34" xfId="7" applyNumberFormat="1" applyFont="1" applyBorder="1" applyAlignment="1" applyProtection="1">
      <alignment horizontal="center" wrapText="1" shrinkToFit="1"/>
    </xf>
    <xf numFmtId="176" fontId="7" fillId="0" borderId="12" xfId="7" applyNumberFormat="1" applyFont="1" applyBorder="1" applyAlignment="1" applyProtection="1">
      <alignment horizontal="center" wrapText="1" shrinkToFit="1"/>
    </xf>
    <xf numFmtId="0" fontId="162" fillId="72" borderId="0" xfId="0" applyFont="1" applyFill="1" applyAlignment="1">
      <alignment horizontal="center"/>
    </xf>
    <xf numFmtId="4" fontId="7" fillId="0" borderId="105" xfId="0" applyNumberFormat="1" applyFont="1" applyBorder="1" applyAlignment="1">
      <alignment horizontal="center" wrapText="1" shrinkToFit="1"/>
    </xf>
    <xf numFmtId="0" fontId="17" fillId="0" borderId="34" xfId="0" applyFont="1" applyBorder="1" applyAlignment="1" applyProtection="1">
      <alignment horizontal="center" wrapText="1"/>
      <protection locked="0"/>
    </xf>
    <xf numFmtId="0" fontId="17" fillId="0" borderId="12" xfId="0" applyFont="1" applyBorder="1" applyAlignment="1" applyProtection="1">
      <alignment horizontal="center" wrapText="1"/>
      <protection locked="0"/>
    </xf>
    <xf numFmtId="0" fontId="7" fillId="0" borderId="104" xfId="0" applyFont="1" applyBorder="1" applyAlignment="1" applyProtection="1">
      <alignment horizontal="center" shrinkToFit="1"/>
      <protection locked="0"/>
    </xf>
    <xf numFmtId="0" fontId="7" fillId="0" borderId="136" xfId="0" applyFont="1" applyBorder="1" applyAlignment="1" applyProtection="1">
      <alignment horizontal="center" shrinkToFit="1"/>
      <protection locked="0"/>
    </xf>
    <xf numFmtId="3" fontId="7" fillId="0" borderId="104" xfId="0" applyNumberFormat="1" applyFont="1" applyBorder="1" applyAlignment="1" applyProtection="1">
      <alignment horizontal="center" shrinkToFit="1"/>
      <protection locked="0"/>
    </xf>
    <xf numFmtId="3" fontId="7" fillId="0" borderId="136" xfId="0" applyNumberFormat="1" applyFont="1" applyBorder="1" applyAlignment="1" applyProtection="1">
      <alignment horizontal="center" shrinkToFit="1"/>
      <protection locked="0"/>
    </xf>
    <xf numFmtId="177" fontId="6" fillId="7" borderId="12" xfId="0" applyNumberFormat="1" applyFont="1" applyFill="1" applyBorder="1" applyAlignment="1">
      <alignment horizontal="center" shrinkToFit="1"/>
    </xf>
    <xf numFmtId="177" fontId="6" fillId="7" borderId="11" xfId="0" applyNumberFormat="1" applyFont="1" applyFill="1" applyBorder="1" applyAlignment="1">
      <alignment horizontal="center" shrinkToFit="1"/>
    </xf>
    <xf numFmtId="0" fontId="17" fillId="0" borderId="76" xfId="0" applyFont="1" applyBorder="1" applyAlignment="1" applyProtection="1">
      <alignment horizontal="center" wrapText="1"/>
      <protection locked="0"/>
    </xf>
    <xf numFmtId="0" fontId="17" fillId="0" borderId="77" xfId="0" applyFont="1" applyBorder="1" applyAlignment="1" applyProtection="1">
      <alignment horizontal="center" wrapText="1"/>
      <protection locked="0"/>
    </xf>
    <xf numFmtId="0" fontId="17" fillId="0" borderId="78" xfId="0" applyFont="1" applyBorder="1" applyAlignment="1" applyProtection="1">
      <alignment horizontal="center" wrapText="1"/>
      <protection locked="0"/>
    </xf>
    <xf numFmtId="0" fontId="17" fillId="0" borderId="30" xfId="0" applyFont="1" applyBorder="1" applyAlignment="1" applyProtection="1">
      <alignment horizontal="center" wrapText="1"/>
      <protection locked="0"/>
    </xf>
    <xf numFmtId="0" fontId="17" fillId="0" borderId="31" xfId="0" applyFont="1" applyBorder="1" applyAlignment="1" applyProtection="1">
      <alignment horizontal="center" wrapText="1"/>
      <protection locked="0"/>
    </xf>
    <xf numFmtId="0" fontId="17" fillId="0" borderId="32" xfId="0" applyFont="1" applyBorder="1" applyAlignment="1" applyProtection="1">
      <alignment horizontal="center" wrapText="1"/>
      <protection locked="0"/>
    </xf>
    <xf numFmtId="3" fontId="7" fillId="0" borderId="77" xfId="0" applyNumberFormat="1" applyFont="1" applyBorder="1" applyAlignment="1" applyProtection="1">
      <alignment horizontal="center" shrinkToFit="1"/>
      <protection locked="0"/>
    </xf>
    <xf numFmtId="3" fontId="7" fillId="0" borderId="31" xfId="0" applyNumberFormat="1" applyFont="1" applyBorder="1" applyAlignment="1" applyProtection="1">
      <alignment horizontal="center" shrinkToFit="1"/>
      <protection locked="0"/>
    </xf>
    <xf numFmtId="3" fontId="7" fillId="0" borderId="9" xfId="0" applyNumberFormat="1" applyFont="1" applyBorder="1" applyAlignment="1" applyProtection="1">
      <alignment horizontal="center" shrinkToFit="1"/>
      <protection locked="0"/>
    </xf>
    <xf numFmtId="170" fontId="37" fillId="0" borderId="0" xfId="0" applyNumberFormat="1" applyFont="1" applyAlignment="1">
      <alignment horizontal="center" vertical="center"/>
    </xf>
    <xf numFmtId="0" fontId="131" fillId="0" borderId="0" xfId="0" applyFont="1" applyAlignment="1">
      <alignment horizontal="center"/>
    </xf>
    <xf numFmtId="0" fontId="142" fillId="0" borderId="0" xfId="0" applyFont="1" applyAlignment="1">
      <alignment horizontal="center" vertical="center"/>
    </xf>
    <xf numFmtId="177" fontId="37" fillId="0" borderId="0" xfId="0" applyNumberFormat="1" applyFont="1" applyAlignment="1">
      <alignment horizontal="center" vertical="center"/>
    </xf>
    <xf numFmtId="183" fontId="41" fillId="0" borderId="0" xfId="0" applyNumberFormat="1" applyFont="1" applyAlignment="1">
      <alignment horizontal="center" vertical="center" wrapText="1"/>
    </xf>
    <xf numFmtId="0" fontId="125" fillId="0" borderId="0" xfId="0" applyFont="1" applyAlignment="1">
      <alignment horizontal="left"/>
    </xf>
    <xf numFmtId="0" fontId="127" fillId="0" borderId="0" xfId="0" applyFont="1" applyAlignment="1">
      <alignment horizontal="center"/>
    </xf>
    <xf numFmtId="0" fontId="132" fillId="0" borderId="0" xfId="0" applyFont="1" applyAlignment="1">
      <alignment horizontal="center" vertical="center" wrapText="1"/>
    </xf>
    <xf numFmtId="0" fontId="132" fillId="0" borderId="0" xfId="0" applyFont="1" applyAlignment="1">
      <alignment horizontal="center" vertical="center"/>
    </xf>
    <xf numFmtId="0" fontId="132" fillId="0" borderId="0" xfId="0" applyFont="1" applyAlignment="1">
      <alignment horizontal="center"/>
    </xf>
    <xf numFmtId="2" fontId="132" fillId="0" borderId="0" xfId="0" applyNumberFormat="1" applyFont="1" applyAlignment="1">
      <alignment horizontal="center" vertical="center"/>
    </xf>
    <xf numFmtId="0" fontId="129" fillId="0" borderId="0" xfId="0" applyFont="1" applyAlignment="1">
      <alignment horizontal="right" vertical="center" indent="1"/>
    </xf>
    <xf numFmtId="0" fontId="129" fillId="0" borderId="144" xfId="0" applyFont="1" applyBorder="1" applyAlignment="1">
      <alignment horizontal="right" vertical="center" indent="1"/>
    </xf>
    <xf numFmtId="167" fontId="137" fillId="65" borderId="51" xfId="0" applyNumberFormat="1" applyFont="1" applyFill="1" applyBorder="1" applyAlignment="1">
      <alignment horizontal="center" vertical="center"/>
    </xf>
    <xf numFmtId="167" fontId="46" fillId="63" borderId="51" xfId="0" applyNumberFormat="1" applyFont="1" applyFill="1" applyBorder="1" applyAlignment="1">
      <alignment horizontal="center" vertical="center"/>
    </xf>
    <xf numFmtId="0" fontId="129" fillId="0" borderId="145" xfId="0" applyFont="1" applyBorder="1" applyAlignment="1">
      <alignment horizontal="right" vertical="center" indent="1"/>
    </xf>
    <xf numFmtId="9" fontId="137" fillId="65" borderId="51" xfId="0" applyNumberFormat="1" applyFont="1" applyFill="1" applyBorder="1" applyAlignment="1">
      <alignment horizontal="center" vertical="center"/>
    </xf>
    <xf numFmtId="9" fontId="46" fillId="63" borderId="51" xfId="0" applyNumberFormat="1" applyFont="1" applyFill="1" applyBorder="1" applyAlignment="1">
      <alignment horizontal="center" vertical="center"/>
    </xf>
    <xf numFmtId="2" fontId="137" fillId="65" borderId="51" xfId="0" applyNumberFormat="1" applyFont="1" applyFill="1" applyBorder="1" applyAlignment="1">
      <alignment horizontal="center" vertical="center"/>
    </xf>
    <xf numFmtId="2" fontId="46" fillId="63" borderId="51" xfId="0" applyNumberFormat="1" applyFont="1" applyFill="1" applyBorder="1" applyAlignment="1">
      <alignment horizontal="center" vertical="center"/>
    </xf>
    <xf numFmtId="0" fontId="69" fillId="0" borderId="0" xfId="0" applyFont="1" applyAlignment="1">
      <alignment horizontal="center" vertical="center"/>
    </xf>
    <xf numFmtId="0" fontId="50" fillId="0" borderId="0" xfId="0" applyFont="1" applyAlignment="1">
      <alignment horizontal="center" vertical="center" wrapText="1"/>
    </xf>
    <xf numFmtId="0" fontId="20" fillId="5" borderId="125" xfId="0" applyFont="1" applyFill="1" applyBorder="1" applyAlignment="1">
      <alignment horizontal="left" vertical="center" indent="1"/>
    </xf>
    <xf numFmtId="0" fontId="20" fillId="5" borderId="126" xfId="0" applyFont="1" applyFill="1" applyBorder="1" applyAlignment="1">
      <alignment horizontal="left" vertical="center" indent="1"/>
    </xf>
    <xf numFmtId="0" fontId="20" fillId="5" borderId="127" xfId="0" applyFont="1" applyFill="1" applyBorder="1" applyAlignment="1">
      <alignment horizontal="left" vertical="center" indent="1"/>
    </xf>
    <xf numFmtId="0" fontId="20" fillId="5" borderId="116" xfId="0" applyFont="1" applyFill="1" applyBorder="1" applyAlignment="1">
      <alignment horizontal="left" vertical="center" indent="1"/>
    </xf>
    <xf numFmtId="0" fontId="20" fillId="5" borderId="117" xfId="0" applyFont="1" applyFill="1" applyBorder="1" applyAlignment="1">
      <alignment horizontal="left" vertical="center" indent="1"/>
    </xf>
    <xf numFmtId="0" fontId="20" fillId="5" borderId="118" xfId="0" applyFont="1" applyFill="1" applyBorder="1" applyAlignment="1">
      <alignment horizontal="left" vertical="center" indent="1"/>
    </xf>
    <xf numFmtId="0" fontId="123" fillId="0" borderId="0" xfId="0" applyFont="1" applyAlignment="1">
      <alignment horizontal="left" vertical="center" indent="1"/>
    </xf>
    <xf numFmtId="0" fontId="102" fillId="0" borderId="0" xfId="0" applyFont="1" applyAlignment="1">
      <alignment horizontal="left"/>
    </xf>
    <xf numFmtId="0" fontId="137" fillId="64" borderId="51" xfId="0" applyFont="1" applyFill="1" applyBorder="1" applyAlignment="1">
      <alignment horizontal="center" vertical="center"/>
    </xf>
    <xf numFmtId="0" fontId="46" fillId="5" borderId="51" xfId="0" applyFont="1" applyFill="1" applyBorder="1" applyAlignment="1">
      <alignment horizontal="center" vertical="center"/>
    </xf>
    <xf numFmtId="167" fontId="37" fillId="0" borderId="0" xfId="0" applyNumberFormat="1" applyFont="1" applyAlignment="1">
      <alignment horizontal="center"/>
    </xf>
    <xf numFmtId="0" fontId="128" fillId="0" borderId="0" xfId="0" applyFont="1" applyAlignment="1">
      <alignment horizontal="center" vertical="center"/>
    </xf>
    <xf numFmtId="0" fontId="46" fillId="5" borderId="54" xfId="0" applyFont="1" applyFill="1" applyBorder="1" applyAlignment="1">
      <alignment horizontal="left" vertical="center"/>
    </xf>
    <xf numFmtId="0" fontId="46" fillId="5" borderId="51" xfId="0" applyFont="1" applyFill="1" applyBorder="1" applyAlignment="1">
      <alignment horizontal="left" vertical="center"/>
    </xf>
    <xf numFmtId="167" fontId="46" fillId="5" borderId="51" xfId="0" applyNumberFormat="1" applyFont="1" applyFill="1" applyBorder="1" applyAlignment="1">
      <alignment horizontal="center" vertical="center"/>
    </xf>
    <xf numFmtId="184" fontId="102" fillId="0" borderId="0" xfId="0" applyNumberFormat="1" applyFont="1" applyAlignment="1">
      <alignment horizontal="left"/>
    </xf>
    <xf numFmtId="175" fontId="102" fillId="0" borderId="0" xfId="0" applyNumberFormat="1" applyFont="1" applyAlignment="1">
      <alignment horizontal="left"/>
    </xf>
    <xf numFmtId="0" fontId="138" fillId="64" borderId="54" xfId="0" applyFont="1" applyFill="1" applyBorder="1" applyAlignment="1">
      <alignment horizontal="left" vertical="center"/>
    </xf>
    <xf numFmtId="0" fontId="138" fillId="64" borderId="51" xfId="0" applyFont="1" applyFill="1" applyBorder="1" applyAlignment="1">
      <alignment horizontal="left" vertical="center"/>
    </xf>
    <xf numFmtId="167" fontId="138" fillId="64" borderId="51" xfId="0" applyNumberFormat="1" applyFont="1" applyFill="1" applyBorder="1" applyAlignment="1">
      <alignment horizontal="center" vertical="center"/>
    </xf>
    <xf numFmtId="0" fontId="138" fillId="64" borderId="51" xfId="0" applyFont="1" applyFill="1" applyBorder="1" applyAlignment="1">
      <alignment horizontal="center" vertical="center"/>
    </xf>
    <xf numFmtId="0" fontId="135" fillId="4" borderId="0" xfId="0" applyFont="1" applyFill="1" applyAlignment="1">
      <alignment horizontal="left" vertical="center"/>
    </xf>
    <xf numFmtId="0" fontId="136" fillId="4" borderId="0" xfId="0" applyFont="1" applyFill="1" applyAlignment="1">
      <alignment horizontal="left" vertical="center"/>
    </xf>
    <xf numFmtId="0" fontId="7" fillId="0" borderId="0" xfId="0" applyFont="1" applyAlignment="1">
      <alignment horizontal="left" vertical="top" wrapText="1"/>
    </xf>
    <xf numFmtId="0" fontId="59" fillId="0" borderId="0" xfId="1" applyFont="1" applyFill="1" applyBorder="1" applyAlignment="1">
      <alignment horizontal="left" vertical="top" wrapText="1"/>
    </xf>
    <xf numFmtId="0" fontId="6" fillId="0" borderId="0" xfId="0" applyFont="1" applyAlignment="1">
      <alignment horizontal="center" vertical="top"/>
    </xf>
    <xf numFmtId="0" fontId="7" fillId="0" borderId="134" xfId="0" applyFont="1" applyBorder="1" applyAlignment="1">
      <alignment horizontal="left" vertical="top" wrapText="1"/>
    </xf>
    <xf numFmtId="0" fontId="59" fillId="0" borderId="0" xfId="1" applyFont="1" applyFill="1" applyBorder="1" applyAlignment="1">
      <alignment horizontal="left" vertical="top"/>
    </xf>
    <xf numFmtId="0" fontId="7" fillId="0" borderId="133" xfId="0" applyFont="1" applyBorder="1" applyAlignment="1">
      <alignment horizontal="left" vertical="top" wrapText="1"/>
    </xf>
    <xf numFmtId="0" fontId="7" fillId="0" borderId="129" xfId="0" applyFont="1" applyBorder="1" applyAlignment="1">
      <alignment horizontal="left" vertical="top" wrapText="1"/>
    </xf>
    <xf numFmtId="0" fontId="47" fillId="4" borderId="0" xfId="1" applyFont="1" applyFill="1" applyBorder="1" applyAlignment="1" applyProtection="1">
      <alignment vertical="center" shrinkToFit="1"/>
      <protection hidden="1"/>
    </xf>
    <xf numFmtId="0" fontId="7" fillId="0" borderId="0" xfId="0" applyFont="1" applyAlignment="1">
      <alignment vertical="top"/>
    </xf>
    <xf numFmtId="0" fontId="7" fillId="0" borderId="134" xfId="0" applyFont="1" applyBorder="1" applyAlignment="1">
      <alignment vertical="top"/>
    </xf>
    <xf numFmtId="0" fontId="7" fillId="0" borderId="0" xfId="0" applyFont="1"/>
    <xf numFmtId="0" fontId="7" fillId="0" borderId="134" xfId="0" applyFont="1" applyBorder="1"/>
    <xf numFmtId="0" fontId="115" fillId="0" borderId="0" xfId="0" applyFont="1" applyAlignment="1">
      <alignment horizontal="left" vertical="top" wrapText="1"/>
    </xf>
    <xf numFmtId="0" fontId="73" fillId="0" borderId="0" xfId="0" applyFont="1" applyAlignment="1">
      <alignment horizontal="left" vertical="top" wrapText="1"/>
    </xf>
    <xf numFmtId="0" fontId="38" fillId="6" borderId="0" xfId="0" applyFont="1" applyFill="1" applyAlignment="1">
      <alignment horizontal="center" vertical="center"/>
    </xf>
    <xf numFmtId="0" fontId="67" fillId="6" borderId="0" xfId="0" applyFont="1" applyFill="1" applyAlignment="1">
      <alignment horizontal="right"/>
    </xf>
    <xf numFmtId="0" fontId="144" fillId="5" borderId="0" xfId="0" applyFont="1" applyFill="1" applyAlignment="1">
      <alignment horizontal="left" vertical="center"/>
    </xf>
    <xf numFmtId="0" fontId="144" fillId="5" borderId="0" xfId="0" applyFont="1" applyFill="1" applyAlignment="1">
      <alignment horizontal="right" vertical="center"/>
    </xf>
    <xf numFmtId="175" fontId="18" fillId="55" borderId="0" xfId="0" applyNumberFormat="1" applyFont="1" applyFill="1" applyAlignment="1">
      <alignment horizontal="left" vertical="top" wrapText="1"/>
    </xf>
    <xf numFmtId="0" fontId="37" fillId="55" borderId="0" xfId="0" applyFont="1" applyFill="1" applyAlignment="1">
      <alignment horizontal="center" vertical="center" wrapText="1"/>
    </xf>
    <xf numFmtId="0" fontId="35" fillId="55" borderId="0" xfId="0" applyFont="1" applyFill="1" applyAlignment="1">
      <alignment vertical="top" wrapText="1"/>
    </xf>
    <xf numFmtId="0" fontId="35" fillId="55" borderId="0" xfId="0" applyFont="1" applyFill="1" applyAlignment="1">
      <alignment horizontal="left" vertical="top" wrapText="1"/>
    </xf>
    <xf numFmtId="0" fontId="18" fillId="55" borderId="0" xfId="0" applyFont="1" applyFill="1" applyAlignment="1">
      <alignment horizontal="left" vertical="top" wrapText="1"/>
    </xf>
    <xf numFmtId="0" fontId="67" fillId="6" borderId="0" xfId="0" applyFont="1" applyFill="1" applyAlignment="1">
      <alignment horizontal="left"/>
    </xf>
    <xf numFmtId="0" fontId="43" fillId="0" borderId="0" xfId="0" applyFont="1" applyAlignment="1">
      <alignment horizontal="center"/>
    </xf>
    <xf numFmtId="9" fontId="57" fillId="4" borderId="126" xfId="6" applyFont="1" applyFill="1" applyBorder="1" applyAlignment="1" applyProtection="1">
      <alignment horizontal="center" vertical="center"/>
    </xf>
    <xf numFmtId="9" fontId="57" fillId="4" borderId="127" xfId="6" applyFont="1" applyFill="1" applyBorder="1" applyAlignment="1" applyProtection="1">
      <alignment horizontal="center" vertical="center"/>
    </xf>
    <xf numFmtId="9" fontId="57" fillId="4" borderId="117" xfId="6" applyFont="1" applyFill="1" applyBorder="1" applyAlignment="1" applyProtection="1">
      <alignment horizontal="center" vertical="center"/>
    </xf>
    <xf numFmtId="9" fontId="57" fillId="4" borderId="118" xfId="6" applyFont="1" applyFill="1" applyBorder="1" applyAlignment="1" applyProtection="1">
      <alignment horizontal="center" vertical="center"/>
    </xf>
    <xf numFmtId="0" fontId="160" fillId="6" borderId="0" xfId="0" applyFont="1" applyFill="1" applyAlignment="1">
      <alignment horizontal="left" vertical="center"/>
    </xf>
    <xf numFmtId="0" fontId="68" fillId="55" borderId="0" xfId="0" applyFont="1" applyFill="1" applyAlignment="1">
      <alignment horizontal="center" vertical="center" wrapText="1"/>
    </xf>
    <xf numFmtId="0" fontId="6" fillId="55" borderId="0" xfId="0" applyFont="1" applyFill="1" applyAlignment="1">
      <alignment vertical="top"/>
    </xf>
    <xf numFmtId="0" fontId="6" fillId="55" borderId="0" xfId="0" applyFont="1" applyFill="1" applyAlignment="1">
      <alignment horizontal="left" vertical="top"/>
    </xf>
    <xf numFmtId="0" fontId="7" fillId="55" borderId="0" xfId="0" applyFont="1" applyFill="1" applyAlignment="1">
      <alignment horizontal="left" vertical="top"/>
    </xf>
    <xf numFmtId="175" fontId="7" fillId="55" borderId="0" xfId="0" applyNumberFormat="1" applyFont="1" applyFill="1" applyAlignment="1">
      <alignment horizontal="left" vertical="top"/>
    </xf>
    <xf numFmtId="167" fontId="35" fillId="55" borderId="97" xfId="0" applyNumberFormat="1" applyFont="1" applyFill="1" applyBorder="1" applyAlignment="1">
      <alignment vertical="top"/>
    </xf>
    <xf numFmtId="167" fontId="35" fillId="55" borderId="0" xfId="0" applyNumberFormat="1" applyFont="1" applyFill="1" applyAlignment="1">
      <alignment vertical="top"/>
    </xf>
    <xf numFmtId="0" fontId="35" fillId="55" borderId="0" xfId="0" applyFont="1" applyFill="1" applyAlignment="1">
      <alignment horizontal="center" vertical="top"/>
    </xf>
    <xf numFmtId="170" fontId="18" fillId="55" borderId="110" xfId="0" applyNumberFormat="1" applyFont="1" applyFill="1" applyBorder="1" applyAlignment="1">
      <alignment vertical="top"/>
    </xf>
    <xf numFmtId="177" fontId="18" fillId="55" borderId="113" xfId="0" applyNumberFormat="1" applyFont="1" applyFill="1" applyBorder="1" applyAlignment="1">
      <alignment vertical="top"/>
    </xf>
    <xf numFmtId="177" fontId="18" fillId="55" borderId="110" xfId="0" applyNumberFormat="1" applyFont="1" applyFill="1" applyBorder="1" applyAlignment="1">
      <alignment vertical="top"/>
    </xf>
    <xf numFmtId="177" fontId="18" fillId="55" borderId="111" xfId="0" applyNumberFormat="1" applyFont="1" applyFill="1" applyBorder="1" applyAlignment="1">
      <alignment vertical="top"/>
    </xf>
    <xf numFmtId="167" fontId="18" fillId="55" borderId="0" xfId="0" applyNumberFormat="1" applyFont="1" applyFill="1" applyAlignment="1">
      <alignment vertical="top"/>
    </xf>
    <xf numFmtId="167" fontId="18" fillId="55" borderId="113" xfId="0" applyNumberFormat="1" applyFont="1" applyFill="1" applyBorder="1" applyAlignment="1">
      <alignment vertical="top"/>
    </xf>
    <xf numFmtId="167" fontId="18" fillId="55" borderId="110" xfId="0" applyNumberFormat="1" applyFont="1" applyFill="1" applyBorder="1" applyAlignment="1">
      <alignment vertical="top"/>
    </xf>
    <xf numFmtId="170" fontId="18" fillId="55" borderId="112" xfId="0" applyNumberFormat="1" applyFont="1" applyFill="1" applyBorder="1" applyAlignment="1">
      <alignment vertical="top"/>
    </xf>
    <xf numFmtId="170" fontId="18" fillId="55" borderId="96" xfId="0" applyNumberFormat="1" applyFont="1" applyFill="1" applyBorder="1" applyAlignment="1">
      <alignment vertical="top"/>
    </xf>
    <xf numFmtId="177" fontId="18" fillId="55" borderId="112" xfId="0" applyNumberFormat="1" applyFont="1" applyFill="1" applyBorder="1" applyAlignment="1">
      <alignment vertical="top"/>
    </xf>
    <xf numFmtId="177" fontId="18" fillId="55" borderId="96" xfId="0" applyNumberFormat="1" applyFont="1" applyFill="1" applyBorder="1" applyAlignment="1">
      <alignment vertical="top"/>
    </xf>
    <xf numFmtId="177" fontId="18" fillId="55" borderId="114" xfId="0" applyNumberFormat="1" applyFont="1" applyFill="1" applyBorder="1" applyAlignment="1">
      <alignment vertical="top"/>
    </xf>
    <xf numFmtId="167" fontId="18" fillId="55" borderId="96" xfId="0" applyNumberFormat="1" applyFont="1" applyFill="1" applyBorder="1" applyAlignment="1">
      <alignment vertical="top"/>
    </xf>
    <xf numFmtId="167" fontId="18" fillId="55" borderId="98" xfId="0" applyNumberFormat="1" applyFont="1" applyFill="1" applyBorder="1" applyAlignment="1">
      <alignment vertical="top"/>
    </xf>
    <xf numFmtId="167" fontId="18" fillId="55" borderId="99" xfId="0" applyNumberFormat="1" applyFont="1" applyFill="1" applyBorder="1" applyAlignment="1">
      <alignment vertical="top"/>
    </xf>
    <xf numFmtId="170" fontId="35" fillId="55" borderId="112" xfId="0" applyNumberFormat="1" applyFont="1" applyFill="1" applyBorder="1" applyAlignment="1">
      <alignment vertical="top"/>
    </xf>
    <xf numFmtId="170" fontId="35" fillId="55" borderId="96" xfId="0" applyNumberFormat="1" applyFont="1" applyFill="1" applyBorder="1" applyAlignment="1">
      <alignment vertical="top"/>
    </xf>
    <xf numFmtId="177" fontId="35" fillId="55" borderId="112" xfId="0" applyNumberFormat="1" applyFont="1" applyFill="1" applyBorder="1" applyAlignment="1">
      <alignment vertical="top"/>
    </xf>
    <xf numFmtId="177" fontId="35" fillId="55" borderId="96" xfId="0" applyNumberFormat="1" applyFont="1" applyFill="1" applyBorder="1" applyAlignment="1">
      <alignment vertical="top"/>
    </xf>
    <xf numFmtId="177" fontId="35" fillId="55" borderId="114" xfId="0" applyNumberFormat="1" applyFont="1" applyFill="1" applyBorder="1" applyAlignment="1">
      <alignment vertical="top"/>
    </xf>
    <xf numFmtId="167" fontId="35" fillId="55" borderId="96" xfId="0" applyNumberFormat="1" applyFont="1" applyFill="1" applyBorder="1" applyAlignment="1">
      <alignment vertical="top"/>
    </xf>
    <xf numFmtId="0" fontId="11" fillId="55" borderId="0" xfId="2" applyFont="1" applyFill="1" applyAlignment="1" applyProtection="1">
      <alignment horizontal="left" vertical="top"/>
      <protection locked="0"/>
    </xf>
    <xf numFmtId="14" fontId="7" fillId="55" borderId="0" xfId="2" applyNumberFormat="1" applyFont="1" applyFill="1" applyAlignment="1" applyProtection="1">
      <alignment horizontal="left" vertical="top"/>
      <protection locked="0"/>
    </xf>
    <xf numFmtId="0" fontId="7" fillId="55" borderId="0" xfId="2" applyFont="1" applyFill="1" applyAlignment="1" applyProtection="1">
      <alignment horizontal="left" vertical="top"/>
      <protection locked="0"/>
    </xf>
    <xf numFmtId="0" fontId="112" fillId="55" borderId="0" xfId="2" applyFont="1" applyFill="1" applyAlignment="1" applyProtection="1">
      <alignment horizontal="left" vertical="center" wrapText="1"/>
      <protection hidden="1"/>
    </xf>
    <xf numFmtId="49" fontId="68" fillId="55" borderId="0" xfId="0" applyNumberFormat="1" applyFont="1" applyFill="1" applyAlignment="1">
      <alignment horizontal="center" vertical="center" wrapText="1"/>
    </xf>
    <xf numFmtId="0" fontId="71" fillId="55" borderId="0" xfId="0" applyFont="1" applyFill="1" applyAlignment="1">
      <alignment horizontal="left" vertical="top" wrapText="1"/>
    </xf>
    <xf numFmtId="0" fontId="68" fillId="55" borderId="0" xfId="0" applyFont="1" applyFill="1" applyAlignment="1">
      <alignment horizontal="center"/>
    </xf>
    <xf numFmtId="0" fontId="7" fillId="55" borderId="0" xfId="0" applyFont="1" applyFill="1" applyAlignment="1">
      <alignment horizontal="left" vertical="top" wrapText="1"/>
    </xf>
    <xf numFmtId="14" fontId="70" fillId="55" borderId="0" xfId="0" applyNumberFormat="1" applyFont="1" applyFill="1" applyAlignment="1" applyProtection="1">
      <alignment horizontal="center" wrapText="1"/>
      <protection locked="0"/>
    </xf>
    <xf numFmtId="14" fontId="70" fillId="55" borderId="21" xfId="0" applyNumberFormat="1" applyFont="1" applyFill="1" applyBorder="1" applyAlignment="1" applyProtection="1">
      <alignment horizontal="center" wrapText="1"/>
      <protection locked="0"/>
    </xf>
    <xf numFmtId="0" fontId="70" fillId="55" borderId="0" xfId="0" applyFont="1" applyFill="1" applyAlignment="1" applyProtection="1">
      <alignment horizontal="center" wrapText="1"/>
      <protection locked="0"/>
    </xf>
    <xf numFmtId="0" fontId="70" fillId="55" borderId="21" xfId="0" applyFont="1" applyFill="1" applyBorder="1" applyAlignment="1" applyProtection="1">
      <alignment horizontal="center" wrapText="1"/>
      <protection locked="0"/>
    </xf>
    <xf numFmtId="0" fontId="18" fillId="55" borderId="0" xfId="0" applyFont="1" applyFill="1" applyAlignment="1">
      <alignment vertical="top"/>
    </xf>
    <xf numFmtId="0" fontId="71" fillId="55" borderId="0" xfId="0" applyFont="1" applyFill="1" applyAlignment="1">
      <alignment horizontal="left" vertical="center" wrapText="1"/>
    </xf>
    <xf numFmtId="0" fontId="68" fillId="55" borderId="0" xfId="0" applyFont="1" applyFill="1" applyAlignment="1">
      <alignment horizontal="center" wrapText="1"/>
    </xf>
    <xf numFmtId="0" fontId="7" fillId="55" borderId="0" xfId="4" applyFont="1" applyFill="1" applyAlignment="1" applyProtection="1">
      <alignment horizontal="left" vertical="center" wrapText="1"/>
    </xf>
    <xf numFmtId="0" fontId="18" fillId="55" borderId="0" xfId="0" applyFont="1" applyFill="1" applyAlignment="1">
      <alignment vertical="top" wrapText="1"/>
    </xf>
    <xf numFmtId="175" fontId="18" fillId="55" borderId="0" xfId="0" applyNumberFormat="1" applyFont="1" applyFill="1" applyAlignment="1">
      <alignment vertical="top" wrapText="1"/>
    </xf>
    <xf numFmtId="0" fontId="161" fillId="6" borderId="0" xfId="0" applyFont="1" applyFill="1" applyAlignment="1">
      <alignment horizontal="left" vertical="center"/>
    </xf>
    <xf numFmtId="0" fontId="73" fillId="0" borderId="0" xfId="0" applyFont="1" applyAlignment="1">
      <alignment horizontal="justify" vertical="top" wrapText="1"/>
    </xf>
    <xf numFmtId="0" fontId="18" fillId="55" borderId="0" xfId="0" applyFont="1" applyFill="1" applyAlignment="1">
      <alignment horizontal="left" vertical="top"/>
    </xf>
    <xf numFmtId="0" fontId="6" fillId="0" borderId="21" xfId="0" applyFont="1" applyBorder="1" applyProtection="1">
      <protection locked="0"/>
    </xf>
    <xf numFmtId="0" fontId="9" fillId="0" borderId="0" xfId="0" applyFont="1" applyAlignment="1">
      <alignment horizontal="left" vertical="top"/>
    </xf>
    <xf numFmtId="0" fontId="20" fillId="6" borderId="0" xfId="2" applyFont="1" applyFill="1" applyAlignment="1" applyProtection="1">
      <alignment horizontal="left" readingOrder="1"/>
    </xf>
    <xf numFmtId="0" fontId="12" fillId="0" borderId="18" xfId="2" applyFont="1" applyBorder="1" applyAlignment="1" applyProtection="1">
      <alignment horizontal="left" vertical="top"/>
    </xf>
    <xf numFmtId="0" fontId="19" fillId="0" borderId="21" xfId="2" applyFont="1" applyBorder="1" applyAlignment="1" applyProtection="1"/>
    <xf numFmtId="0" fontId="7" fillId="0" borderId="55" xfId="0" applyFont="1" applyBorder="1" applyAlignment="1" applyProtection="1">
      <alignment horizontal="left" vertical="top" wrapText="1"/>
      <protection locked="0"/>
    </xf>
    <xf numFmtId="0" fontId="7" fillId="0" borderId="56" xfId="0" applyFont="1" applyBorder="1" applyAlignment="1" applyProtection="1">
      <alignment horizontal="left" vertical="top" wrapText="1"/>
      <protection locked="0"/>
    </xf>
    <xf numFmtId="0" fontId="7" fillId="0" borderId="57" xfId="0" applyFont="1" applyBorder="1" applyAlignment="1" applyProtection="1">
      <alignment horizontal="left" vertical="top" wrapText="1"/>
      <protection locked="0"/>
    </xf>
    <xf numFmtId="0" fontId="7" fillId="0" borderId="60" xfId="0" applyFont="1" applyBorder="1" applyAlignment="1" applyProtection="1">
      <alignment horizontal="left" vertical="top" wrapText="1"/>
      <protection locked="0"/>
    </xf>
    <xf numFmtId="0" fontId="7" fillId="0" borderId="61" xfId="0" applyFont="1" applyBorder="1" applyAlignment="1" applyProtection="1">
      <alignment horizontal="left" vertical="top" wrapText="1"/>
      <protection locked="0"/>
    </xf>
    <xf numFmtId="0" fontId="7" fillId="0" borderId="62" xfId="0" applyFont="1" applyBorder="1" applyAlignment="1" applyProtection="1">
      <alignment horizontal="left" vertical="top" wrapText="1"/>
      <protection locked="0"/>
    </xf>
    <xf numFmtId="0" fontId="7" fillId="0" borderId="58" xfId="0" applyFont="1" applyBorder="1" applyAlignment="1" applyProtection="1">
      <alignment horizontal="left" vertical="top" wrapText="1"/>
      <protection locked="0"/>
    </xf>
    <xf numFmtId="0" fontId="7" fillId="0" borderId="59" xfId="0" applyFont="1" applyBorder="1" applyAlignment="1" applyProtection="1">
      <alignment horizontal="left" vertical="top" wrapText="1"/>
      <protection locked="0"/>
    </xf>
    <xf numFmtId="0" fontId="8" fillId="0" borderId="18" xfId="2" applyFont="1" applyBorder="1" applyAlignment="1" applyProtection="1">
      <alignment horizontal="left" vertical="top" readingOrder="1"/>
    </xf>
    <xf numFmtId="0" fontId="8" fillId="0" borderId="18" xfId="2" applyFont="1" applyBorder="1" applyAlignment="1" applyProtection="1">
      <alignment horizontal="left" vertical="top"/>
    </xf>
    <xf numFmtId="0" fontId="8" fillId="0" borderId="0" xfId="2" applyFont="1" applyAlignment="1" applyProtection="1">
      <alignment horizontal="left" vertical="top"/>
    </xf>
    <xf numFmtId="14" fontId="6" fillId="0" borderId="21" xfId="2" applyNumberFormat="1" applyFont="1" applyBorder="1" applyAlignment="1" applyProtection="1">
      <protection locked="0"/>
    </xf>
    <xf numFmtId="0" fontId="6" fillId="0" borderId="21" xfId="2" applyFont="1" applyBorder="1" applyAlignment="1" applyProtection="1"/>
    <xf numFmtId="0" fontId="6" fillId="0" borderId="21" xfId="2" applyFont="1" applyBorder="1" applyAlignment="1" applyProtection="1">
      <alignment horizontal="left"/>
    </xf>
    <xf numFmtId="0" fontId="9" fillId="0" borderId="18" xfId="0" applyFont="1" applyBorder="1" applyAlignment="1">
      <alignment horizontal="left" vertical="top"/>
    </xf>
    <xf numFmtId="175" fontId="6" fillId="0" borderId="21" xfId="2" applyNumberFormat="1" applyFont="1" applyBorder="1" applyAlignment="1" applyProtection="1">
      <alignment horizontal="left"/>
    </xf>
    <xf numFmtId="0" fontId="9" fillId="0" borderId="18" xfId="2" applyFont="1" applyBorder="1" applyAlignment="1" applyProtection="1">
      <alignment horizontal="left" vertical="top" readingOrder="1"/>
    </xf>
    <xf numFmtId="0" fontId="6" fillId="0" borderId="21" xfId="0" applyFont="1" applyBorder="1"/>
    <xf numFmtId="0" fontId="6" fillId="0" borderId="21" xfId="2" applyFont="1" applyBorder="1" applyAlignment="1" applyProtection="1">
      <alignment shrinkToFit="1"/>
    </xf>
    <xf numFmtId="0" fontId="6" fillId="0" borderId="21" xfId="2" applyFont="1" applyBorder="1" applyAlignment="1" applyProtection="1">
      <alignment horizontal="left" shrinkToFit="1"/>
    </xf>
    <xf numFmtId="176" fontId="4" fillId="0" borderId="0" xfId="2" applyNumberFormat="1" applyFont="1" applyAlignment="1" applyProtection="1">
      <alignment horizontal="left"/>
    </xf>
    <xf numFmtId="0" fontId="18" fillId="7" borderId="141" xfId="0" applyFont="1" applyFill="1" applyBorder="1" applyProtection="1">
      <protection hidden="1"/>
    </xf>
    <xf numFmtId="0" fontId="18" fillId="7" borderId="142" xfId="0" applyFont="1" applyFill="1" applyBorder="1" applyProtection="1">
      <protection hidden="1"/>
    </xf>
    <xf numFmtId="0" fontId="18" fillId="7" borderId="143" xfId="0" applyFont="1" applyFill="1" applyBorder="1" applyProtection="1">
      <protection hidden="1"/>
    </xf>
    <xf numFmtId="167" fontId="18" fillId="3" borderId="141" xfId="0" applyNumberFormat="1" applyFont="1" applyFill="1" applyBorder="1" applyAlignment="1" applyProtection="1">
      <alignment horizontal="left" vertical="top"/>
      <protection hidden="1"/>
    </xf>
    <xf numFmtId="167" fontId="18" fillId="3" borderId="142" xfId="0" applyNumberFormat="1" applyFont="1" applyFill="1" applyBorder="1" applyAlignment="1" applyProtection="1">
      <alignment horizontal="left" vertical="top"/>
      <protection hidden="1"/>
    </xf>
    <xf numFmtId="167" fontId="18" fillId="3" borderId="143" xfId="0" applyNumberFormat="1" applyFont="1" applyFill="1" applyBorder="1" applyAlignment="1" applyProtection="1">
      <alignment horizontal="left" vertical="top"/>
      <protection hidden="1"/>
    </xf>
    <xf numFmtId="0" fontId="7" fillId="13" borderId="187" xfId="0" applyFont="1" applyFill="1" applyBorder="1" applyProtection="1">
      <protection hidden="1"/>
    </xf>
    <xf numFmtId="0" fontId="7" fillId="13" borderId="188" xfId="0" applyFont="1" applyFill="1" applyBorder="1" applyProtection="1">
      <protection hidden="1"/>
    </xf>
    <xf numFmtId="0" fontId="7" fillId="13" borderId="189" xfId="0" applyFont="1" applyFill="1" applyBorder="1" applyProtection="1">
      <protection hidden="1"/>
    </xf>
    <xf numFmtId="4" fontId="18" fillId="7" borderId="187" xfId="0" applyNumberFormat="1" applyFont="1" applyFill="1" applyBorder="1" applyAlignment="1" applyProtection="1">
      <alignment horizontal="left" vertical="top"/>
      <protection hidden="1"/>
    </xf>
    <xf numFmtId="4" fontId="18" fillId="7" borderId="188" xfId="0" applyNumberFormat="1" applyFont="1" applyFill="1" applyBorder="1" applyAlignment="1" applyProtection="1">
      <alignment horizontal="left" vertical="top"/>
      <protection hidden="1"/>
    </xf>
    <xf numFmtId="4" fontId="18" fillId="7" borderId="189" xfId="0" applyNumberFormat="1" applyFont="1" applyFill="1" applyBorder="1" applyAlignment="1" applyProtection="1">
      <alignment horizontal="left" vertical="top"/>
      <protection hidden="1"/>
    </xf>
    <xf numFmtId="0" fontId="7" fillId="14" borderId="51" xfId="0" applyFont="1" applyFill="1" applyBorder="1" applyAlignment="1">
      <alignment horizontal="left" vertical="top"/>
    </xf>
    <xf numFmtId="175" fontId="7" fillId="14" borderId="51" xfId="0" applyNumberFormat="1" applyFont="1" applyFill="1" applyBorder="1" applyAlignment="1">
      <alignment horizontal="left" vertical="top"/>
    </xf>
    <xf numFmtId="0" fontId="7" fillId="18" borderId="51" xfId="0" applyFont="1" applyFill="1" applyBorder="1" applyAlignment="1">
      <alignment horizontal="left" vertical="top"/>
    </xf>
    <xf numFmtId="2" fontId="18" fillId="3" borderId="51" xfId="0" applyNumberFormat="1" applyFont="1" applyFill="1" applyBorder="1" applyAlignment="1" applyProtection="1">
      <alignment horizontal="left" vertical="top"/>
      <protection hidden="1"/>
    </xf>
    <xf numFmtId="2" fontId="18" fillId="7" borderId="51" xfId="0" applyNumberFormat="1" applyFont="1" applyFill="1" applyBorder="1" applyAlignment="1" applyProtection="1">
      <alignment horizontal="left" vertical="top"/>
      <protection hidden="1"/>
    </xf>
    <xf numFmtId="0" fontId="18" fillId="7" borderId="51" xfId="0" applyFont="1" applyFill="1" applyBorder="1" applyProtection="1">
      <protection hidden="1"/>
    </xf>
    <xf numFmtId="0" fontId="48" fillId="8" borderId="52" xfId="0" applyFont="1" applyFill="1" applyBorder="1" applyAlignment="1" applyProtection="1">
      <alignment vertical="center"/>
      <protection hidden="1"/>
    </xf>
    <xf numFmtId="0" fontId="48" fillId="8" borderId="53" xfId="0" applyFont="1" applyFill="1" applyBorder="1" applyAlignment="1" applyProtection="1">
      <alignment vertical="center"/>
      <protection hidden="1"/>
    </xf>
    <xf numFmtId="0" fontId="7" fillId="9" borderId="69" xfId="0" applyFont="1" applyFill="1" applyBorder="1" applyAlignment="1" applyProtection="1">
      <alignment horizontal="left" vertical="top" wrapText="1"/>
      <protection hidden="1"/>
    </xf>
    <xf numFmtId="0" fontId="7" fillId="9" borderId="70" xfId="0" applyFont="1" applyFill="1" applyBorder="1" applyAlignment="1" applyProtection="1">
      <alignment horizontal="left" vertical="top" wrapText="1"/>
      <protection hidden="1"/>
    </xf>
    <xf numFmtId="0" fontId="7" fillId="9" borderId="71" xfId="0" applyFont="1" applyFill="1" applyBorder="1" applyAlignment="1" applyProtection="1">
      <alignment horizontal="left" vertical="top" wrapText="1"/>
      <protection hidden="1"/>
    </xf>
    <xf numFmtId="0" fontId="7" fillId="9" borderId="0" xfId="0" applyFont="1" applyFill="1" applyAlignment="1" applyProtection="1">
      <alignment horizontal="left" vertical="top" wrapText="1"/>
      <protection hidden="1"/>
    </xf>
    <xf numFmtId="0" fontId="7" fillId="9" borderId="72" xfId="0" applyFont="1" applyFill="1" applyBorder="1" applyAlignment="1" applyProtection="1">
      <alignment horizontal="left" vertical="top" wrapText="1"/>
      <protection hidden="1"/>
    </xf>
    <xf numFmtId="0" fontId="7" fillId="9" borderId="73" xfId="0" applyFont="1" applyFill="1" applyBorder="1" applyAlignment="1" applyProtection="1">
      <alignment horizontal="left" vertical="top" wrapText="1"/>
      <protection hidden="1"/>
    </xf>
    <xf numFmtId="171" fontId="18" fillId="3" borderId="51" xfId="0" applyNumberFormat="1" applyFont="1" applyFill="1" applyBorder="1" applyAlignment="1" applyProtection="1">
      <alignment horizontal="left" vertical="top"/>
      <protection hidden="1"/>
    </xf>
    <xf numFmtId="169" fontId="18" fillId="7" borderId="51" xfId="0" applyNumberFormat="1" applyFont="1" applyFill="1" applyBorder="1" applyAlignment="1" applyProtection="1">
      <alignment horizontal="left" vertical="top"/>
      <protection hidden="1"/>
    </xf>
    <xf numFmtId="0" fontId="18" fillId="7" borderId="139" xfId="0" applyFont="1" applyFill="1" applyBorder="1" applyProtection="1">
      <protection hidden="1"/>
    </xf>
    <xf numFmtId="4" fontId="18" fillId="7" borderId="139" xfId="0" applyNumberFormat="1" applyFont="1" applyFill="1" applyBorder="1" applyAlignment="1" applyProtection="1">
      <alignment horizontal="left" vertical="top"/>
      <protection hidden="1"/>
    </xf>
    <xf numFmtId="171" fontId="18" fillId="7" borderId="51" xfId="0" applyNumberFormat="1" applyFont="1" applyFill="1" applyBorder="1" applyAlignment="1" applyProtection="1">
      <alignment horizontal="left" vertical="top"/>
      <protection hidden="1"/>
    </xf>
    <xf numFmtId="0" fontId="18" fillId="7" borderId="52" xfId="0" applyFont="1" applyFill="1" applyBorder="1" applyProtection="1">
      <protection hidden="1"/>
    </xf>
    <xf numFmtId="0" fontId="18" fillId="7" borderId="53" xfId="0" applyFont="1" applyFill="1" applyBorder="1" applyProtection="1">
      <protection hidden="1"/>
    </xf>
    <xf numFmtId="0" fontId="18" fillId="7" borderId="54" xfId="0" applyFont="1" applyFill="1" applyBorder="1" applyProtection="1">
      <protection hidden="1"/>
    </xf>
    <xf numFmtId="167" fontId="18" fillId="7" borderId="52" xfId="0" applyNumberFormat="1" applyFont="1" applyFill="1" applyBorder="1" applyAlignment="1" applyProtection="1">
      <alignment horizontal="left" vertical="top"/>
      <protection hidden="1"/>
    </xf>
    <xf numFmtId="167" fontId="18" fillId="7" borderId="53" xfId="0" applyNumberFormat="1" applyFont="1" applyFill="1" applyBorder="1" applyAlignment="1" applyProtection="1">
      <alignment horizontal="left" vertical="top"/>
      <protection hidden="1"/>
    </xf>
    <xf numFmtId="167" fontId="18" fillId="7" borderId="54" xfId="0" applyNumberFormat="1" applyFont="1" applyFill="1" applyBorder="1" applyAlignment="1" applyProtection="1">
      <alignment horizontal="left" vertical="top"/>
      <protection hidden="1"/>
    </xf>
    <xf numFmtId="0" fontId="7" fillId="14" borderId="51" xfId="0" applyFont="1" applyFill="1" applyBorder="1" applyProtection="1">
      <protection hidden="1"/>
    </xf>
    <xf numFmtId="0" fontId="7" fillId="18" borderId="51" xfId="0" applyFont="1" applyFill="1" applyBorder="1" applyProtection="1">
      <protection hidden="1"/>
    </xf>
    <xf numFmtId="166" fontId="7" fillId="14" borderId="51" xfId="0" applyNumberFormat="1" applyFont="1" applyFill="1" applyBorder="1" applyAlignment="1">
      <alignment horizontal="left" vertical="top"/>
    </xf>
    <xf numFmtId="0" fontId="7" fillId="15" borderId="51" xfId="0" applyFont="1" applyFill="1" applyBorder="1" applyAlignment="1" applyProtection="1">
      <alignment horizontal="left" vertical="top"/>
      <protection hidden="1"/>
    </xf>
    <xf numFmtId="0" fontId="7" fillId="17" borderId="51" xfId="0" applyFont="1" applyFill="1" applyBorder="1" applyAlignment="1">
      <alignment horizontal="left" vertical="top"/>
    </xf>
    <xf numFmtId="0" fontId="7" fillId="15" borderId="51" xfId="0" applyFont="1" applyFill="1" applyBorder="1" applyProtection="1">
      <protection hidden="1"/>
    </xf>
    <xf numFmtId="0" fontId="7" fillId="16" borderId="51" xfId="0" applyFont="1" applyFill="1" applyBorder="1" applyAlignment="1">
      <alignment horizontal="left" vertical="top"/>
    </xf>
    <xf numFmtId="14" fontId="7" fillId="16" borderId="51" xfId="0" applyNumberFormat="1" applyFont="1" applyFill="1" applyBorder="1" applyAlignment="1">
      <alignment horizontal="left" vertical="top"/>
    </xf>
    <xf numFmtId="0" fontId="7" fillId="15" borderId="51" xfId="0" applyFont="1" applyFill="1" applyBorder="1" applyAlignment="1">
      <alignment horizontal="left" vertical="top"/>
    </xf>
    <xf numFmtId="182" fontId="7" fillId="16" borderId="51" xfId="0" applyNumberFormat="1" applyFont="1" applyFill="1" applyBorder="1" applyAlignment="1">
      <alignment horizontal="left" vertical="top"/>
    </xf>
    <xf numFmtId="0" fontId="7" fillId="16" borderId="74" xfId="0" applyFont="1" applyFill="1" applyBorder="1" applyProtection="1">
      <protection hidden="1"/>
    </xf>
    <xf numFmtId="0" fontId="48" fillId="8" borderId="51" xfId="0" applyFont="1" applyFill="1" applyBorder="1" applyAlignment="1" applyProtection="1">
      <alignment vertical="center"/>
      <protection hidden="1"/>
    </xf>
    <xf numFmtId="0" fontId="7" fillId="17" borderId="51" xfId="0" applyFont="1" applyFill="1" applyBorder="1" applyProtection="1">
      <protection hidden="1"/>
    </xf>
    <xf numFmtId="167" fontId="18" fillId="3" borderId="51" xfId="0" applyNumberFormat="1" applyFont="1" applyFill="1" applyBorder="1" applyAlignment="1" applyProtection="1">
      <alignment horizontal="left" vertical="top"/>
      <protection hidden="1"/>
    </xf>
    <xf numFmtId="4" fontId="18" fillId="7" borderId="51" xfId="0" applyNumberFormat="1" applyFont="1" applyFill="1" applyBorder="1" applyAlignment="1" applyProtection="1">
      <alignment horizontal="left" vertical="top"/>
      <protection hidden="1"/>
    </xf>
    <xf numFmtId="4" fontId="18" fillId="3" borderId="51" xfId="0" applyNumberFormat="1" applyFont="1" applyFill="1" applyBorder="1" applyAlignment="1" applyProtection="1">
      <alignment horizontal="left" vertical="top"/>
      <protection hidden="1"/>
    </xf>
    <xf numFmtId="0" fontId="7" fillId="13" borderId="51" xfId="0" applyFont="1" applyFill="1" applyBorder="1" applyAlignment="1">
      <alignment horizontal="left" vertical="top"/>
    </xf>
    <xf numFmtId="0" fontId="7" fillId="13" borderId="51" xfId="0" applyFont="1" applyFill="1" applyBorder="1" applyProtection="1">
      <protection hidden="1"/>
    </xf>
    <xf numFmtId="0" fontId="7" fillId="16" borderId="51" xfId="0" applyFont="1" applyFill="1" applyBorder="1" applyProtection="1">
      <protection hidden="1"/>
    </xf>
    <xf numFmtId="175" fontId="7" fillId="16" borderId="51" xfId="0" applyNumberFormat="1" applyFont="1" applyFill="1" applyBorder="1" applyAlignment="1">
      <alignment horizontal="left" vertical="top"/>
    </xf>
    <xf numFmtId="168" fontId="7" fillId="0" borderId="51" xfId="0" applyNumberFormat="1" applyFont="1" applyBorder="1" applyAlignment="1" applyProtection="1">
      <alignment horizontal="left" vertical="top"/>
      <protection locked="0"/>
    </xf>
    <xf numFmtId="0" fontId="18" fillId="7" borderId="53" xfId="0" applyFont="1" applyFill="1" applyBorder="1" applyAlignment="1" applyProtection="1">
      <alignment horizontal="left" vertical="top"/>
      <protection hidden="1"/>
    </xf>
    <xf numFmtId="0" fontId="18" fillId="7" borderId="54" xfId="0" applyFont="1" applyFill="1" applyBorder="1" applyAlignment="1" applyProtection="1">
      <alignment horizontal="left" vertical="top"/>
      <protection hidden="1"/>
    </xf>
    <xf numFmtId="0" fontId="7" fillId="0" borderId="51" xfId="0" applyFont="1" applyBorder="1" applyAlignment="1" applyProtection="1">
      <alignment horizontal="left" vertical="top"/>
      <protection locked="0"/>
    </xf>
    <xf numFmtId="49" fontId="7" fillId="0" borderId="51" xfId="0" applyNumberFormat="1" applyFont="1" applyBorder="1" applyAlignment="1" applyProtection="1">
      <alignment horizontal="left" vertical="top"/>
      <protection locked="0"/>
    </xf>
    <xf numFmtId="175" fontId="7" fillId="17" borderId="51" xfId="0" applyNumberFormat="1" applyFont="1" applyFill="1" applyBorder="1" applyAlignment="1">
      <alignment horizontal="left" vertical="top"/>
    </xf>
    <xf numFmtId="166" fontId="7" fillId="15" borderId="51" xfId="0" applyNumberFormat="1" applyFont="1" applyFill="1" applyBorder="1" applyAlignment="1">
      <alignment horizontal="left" vertical="top"/>
    </xf>
    <xf numFmtId="175" fontId="7" fillId="15" borderId="51" xfId="0" applyNumberFormat="1" applyFont="1" applyFill="1" applyBorder="1" applyAlignment="1">
      <alignment horizontal="left" vertical="top"/>
    </xf>
    <xf numFmtId="182" fontId="7" fillId="16" borderId="109" xfId="0" applyNumberFormat="1" applyFont="1" applyFill="1" applyBorder="1" applyAlignment="1">
      <alignment horizontal="left" vertical="top"/>
    </xf>
    <xf numFmtId="182" fontId="7" fillId="16" borderId="108" xfId="0" applyNumberFormat="1" applyFont="1" applyFill="1" applyBorder="1" applyAlignment="1">
      <alignment horizontal="left" vertical="top"/>
    </xf>
    <xf numFmtId="0" fontId="7" fillId="18" borderId="52" xfId="0" applyFont="1" applyFill="1" applyBorder="1" applyAlignment="1">
      <alignment horizontal="left" vertical="top"/>
    </xf>
    <xf numFmtId="0" fontId="7" fillId="18" borderId="53" xfId="0" applyFont="1" applyFill="1" applyBorder="1" applyAlignment="1">
      <alignment horizontal="left" vertical="top"/>
    </xf>
    <xf numFmtId="0" fontId="7" fillId="18" borderId="54" xfId="0" applyFont="1" applyFill="1" applyBorder="1" applyAlignment="1">
      <alignment horizontal="left" vertical="top"/>
    </xf>
    <xf numFmtId="166" fontId="7" fillId="17" borderId="51" xfId="0" applyNumberFormat="1" applyFont="1" applyFill="1" applyBorder="1" applyAlignment="1">
      <alignment horizontal="left" vertical="top"/>
    </xf>
    <xf numFmtId="0" fontId="7" fillId="16" borderId="107" xfId="0" applyFont="1" applyFill="1" applyBorder="1" applyProtection="1">
      <protection hidden="1"/>
    </xf>
    <xf numFmtId="166" fontId="7" fillId="18" borderId="51" xfId="0" applyNumberFormat="1" applyFont="1" applyFill="1" applyBorder="1" applyAlignment="1">
      <alignment horizontal="left" vertical="top"/>
    </xf>
    <xf numFmtId="0" fontId="18" fillId="7" borderId="140" xfId="0" applyFont="1" applyFill="1" applyBorder="1" applyProtection="1">
      <protection hidden="1"/>
    </xf>
    <xf numFmtId="167" fontId="18" fillId="7" borderId="141" xfId="0" applyNumberFormat="1" applyFont="1" applyFill="1" applyBorder="1" applyAlignment="1" applyProtection="1">
      <alignment horizontal="left" vertical="top"/>
      <protection hidden="1"/>
    </xf>
    <xf numFmtId="167" fontId="18" fillId="7" borderId="142" xfId="0" applyNumberFormat="1" applyFont="1" applyFill="1" applyBorder="1" applyAlignment="1" applyProtection="1">
      <alignment horizontal="left" vertical="top"/>
      <protection hidden="1"/>
    </xf>
    <xf numFmtId="167" fontId="18" fillId="7" borderId="143" xfId="0" applyNumberFormat="1" applyFont="1" applyFill="1" applyBorder="1" applyAlignment="1" applyProtection="1">
      <alignment horizontal="left" vertical="top"/>
      <protection hidden="1"/>
    </xf>
    <xf numFmtId="167" fontId="18" fillId="3" borderId="52" xfId="0" applyNumberFormat="1" applyFont="1" applyFill="1" applyBorder="1" applyAlignment="1" applyProtection="1">
      <alignment horizontal="left" vertical="top"/>
      <protection hidden="1"/>
    </xf>
    <xf numFmtId="167" fontId="18" fillId="3" borderId="53" xfId="0" applyNumberFormat="1" applyFont="1" applyFill="1" applyBorder="1" applyAlignment="1" applyProtection="1">
      <alignment horizontal="left" vertical="top"/>
      <protection hidden="1"/>
    </xf>
    <xf numFmtId="167" fontId="18" fillId="3" borderId="54" xfId="0" applyNumberFormat="1" applyFont="1" applyFill="1" applyBorder="1" applyAlignment="1" applyProtection="1">
      <alignment horizontal="left" vertical="top"/>
      <protection hidden="1"/>
    </xf>
    <xf numFmtId="167" fontId="18" fillId="3" borderId="187" xfId="0" applyNumberFormat="1" applyFont="1" applyFill="1" applyBorder="1" applyAlignment="1" applyProtection="1">
      <alignment horizontal="left" vertical="top"/>
      <protection hidden="1"/>
    </xf>
    <xf numFmtId="167" fontId="18" fillId="3" borderId="188" xfId="0" applyNumberFormat="1" applyFont="1" applyFill="1" applyBorder="1" applyAlignment="1" applyProtection="1">
      <alignment horizontal="left" vertical="top"/>
      <protection hidden="1"/>
    </xf>
    <xf numFmtId="167" fontId="18" fillId="3" borderId="189" xfId="0" applyNumberFormat="1" applyFont="1" applyFill="1" applyBorder="1" applyAlignment="1" applyProtection="1">
      <alignment horizontal="left" vertical="top"/>
      <protection hidden="1"/>
    </xf>
    <xf numFmtId="0" fontId="18" fillId="7" borderId="187" xfId="0" applyFont="1" applyFill="1" applyBorder="1" applyProtection="1">
      <protection hidden="1"/>
    </xf>
    <xf numFmtId="0" fontId="18" fillId="7" borderId="188" xfId="0" applyFont="1" applyFill="1" applyBorder="1" applyProtection="1">
      <protection hidden="1"/>
    </xf>
    <xf numFmtId="0" fontId="18" fillId="7" borderId="189" xfId="0" applyFont="1" applyFill="1" applyBorder="1" applyProtection="1">
      <protection hidden="1"/>
    </xf>
    <xf numFmtId="0" fontId="7" fillId="14" borderId="51" xfId="0" applyFont="1" applyFill="1" applyBorder="1" applyAlignment="1" applyProtection="1">
      <alignment horizontal="left" vertical="top"/>
      <protection hidden="1"/>
    </xf>
  </cellXfs>
  <cellStyles count="57081">
    <cellStyle name="20% - Accent1 10" xfId="56" xr:uid="{00000000-0005-0000-0000-000000000000}"/>
    <cellStyle name="20% - Accent1 10 2" xfId="57" xr:uid="{00000000-0005-0000-0000-000001000000}"/>
    <cellStyle name="20% - Accent1 10 3" xfId="58" xr:uid="{00000000-0005-0000-0000-000002000000}"/>
    <cellStyle name="20% - Accent1 11" xfId="59" xr:uid="{00000000-0005-0000-0000-000003000000}"/>
    <cellStyle name="20% - Accent1 11 2" xfId="60" xr:uid="{00000000-0005-0000-0000-000004000000}"/>
    <cellStyle name="20% - Accent1 11 3" xfId="61" xr:uid="{00000000-0005-0000-0000-000005000000}"/>
    <cellStyle name="20% - Accent1 12" xfId="62" xr:uid="{00000000-0005-0000-0000-000006000000}"/>
    <cellStyle name="20% - Accent1 12 2" xfId="63" xr:uid="{00000000-0005-0000-0000-000007000000}"/>
    <cellStyle name="20% - Accent1 12 3" xfId="64" xr:uid="{00000000-0005-0000-0000-000008000000}"/>
    <cellStyle name="20% - Accent1 13" xfId="65" xr:uid="{00000000-0005-0000-0000-000009000000}"/>
    <cellStyle name="20% - Accent1 13 2" xfId="66" xr:uid="{00000000-0005-0000-0000-00000A000000}"/>
    <cellStyle name="20% - Accent1 13 3" xfId="67" xr:uid="{00000000-0005-0000-0000-00000B000000}"/>
    <cellStyle name="20% - Accent1 14" xfId="68" xr:uid="{00000000-0005-0000-0000-00000C000000}"/>
    <cellStyle name="20% - Accent1 14 2" xfId="69" xr:uid="{00000000-0005-0000-0000-00000D000000}"/>
    <cellStyle name="20% - Accent1 14 3" xfId="70" xr:uid="{00000000-0005-0000-0000-00000E000000}"/>
    <cellStyle name="20% - Accent1 15" xfId="71" xr:uid="{00000000-0005-0000-0000-00000F000000}"/>
    <cellStyle name="20% - Accent1 15 2" xfId="72" xr:uid="{00000000-0005-0000-0000-000010000000}"/>
    <cellStyle name="20% - Accent1 15 3" xfId="73" xr:uid="{00000000-0005-0000-0000-000011000000}"/>
    <cellStyle name="20% - Accent1 15 4" xfId="74" xr:uid="{00000000-0005-0000-0000-000012000000}"/>
    <cellStyle name="20% - Accent1 15 5" xfId="75" xr:uid="{00000000-0005-0000-0000-000013000000}"/>
    <cellStyle name="20% - Accent1 15 6" xfId="76" xr:uid="{00000000-0005-0000-0000-000014000000}"/>
    <cellStyle name="20% - Accent1 15 7" xfId="77" xr:uid="{00000000-0005-0000-0000-000015000000}"/>
    <cellStyle name="20% - Accent1 16" xfId="78" xr:uid="{00000000-0005-0000-0000-000016000000}"/>
    <cellStyle name="20% - Accent1 17" xfId="79" xr:uid="{00000000-0005-0000-0000-000017000000}"/>
    <cellStyle name="20% - Accent1 18" xfId="80" xr:uid="{00000000-0005-0000-0000-000018000000}"/>
    <cellStyle name="20% - Accent1 19" xfId="81" xr:uid="{00000000-0005-0000-0000-000019000000}"/>
    <cellStyle name="20% - Accent1 2" xfId="82" xr:uid="{00000000-0005-0000-0000-00001A000000}"/>
    <cellStyle name="20% - Accent1 2 10" xfId="83" xr:uid="{00000000-0005-0000-0000-00001B000000}"/>
    <cellStyle name="20% - Accent1 2 11" xfId="84" xr:uid="{00000000-0005-0000-0000-00001C000000}"/>
    <cellStyle name="20% - Accent1 2 12" xfId="85" xr:uid="{00000000-0005-0000-0000-00001D000000}"/>
    <cellStyle name="20% - Accent1 2 13" xfId="86" xr:uid="{00000000-0005-0000-0000-00001E000000}"/>
    <cellStyle name="20% - Accent1 2 14" xfId="87" xr:uid="{00000000-0005-0000-0000-00001F000000}"/>
    <cellStyle name="20% - Accent1 2 2" xfId="88" xr:uid="{00000000-0005-0000-0000-000020000000}"/>
    <cellStyle name="20% - Accent1 2 3" xfId="89" xr:uid="{00000000-0005-0000-0000-000021000000}"/>
    <cellStyle name="20% - Accent1 2 4" xfId="90" xr:uid="{00000000-0005-0000-0000-000022000000}"/>
    <cellStyle name="20% - Accent1 2 5" xfId="91" xr:uid="{00000000-0005-0000-0000-000023000000}"/>
    <cellStyle name="20% - Accent1 2 6" xfId="92" xr:uid="{00000000-0005-0000-0000-000024000000}"/>
    <cellStyle name="20% - Accent1 2 7" xfId="93" xr:uid="{00000000-0005-0000-0000-000025000000}"/>
    <cellStyle name="20% - Accent1 2 8" xfId="94" xr:uid="{00000000-0005-0000-0000-000026000000}"/>
    <cellStyle name="20% - Accent1 2 9" xfId="95" xr:uid="{00000000-0005-0000-0000-000027000000}"/>
    <cellStyle name="20% - Accent1 20" xfId="96" xr:uid="{00000000-0005-0000-0000-000028000000}"/>
    <cellStyle name="20% - Accent1 21" xfId="97" xr:uid="{00000000-0005-0000-0000-000029000000}"/>
    <cellStyle name="20% - Accent1 22" xfId="98" xr:uid="{00000000-0005-0000-0000-00002A000000}"/>
    <cellStyle name="20% - Accent1 23" xfId="99" xr:uid="{00000000-0005-0000-0000-00002B000000}"/>
    <cellStyle name="20% - Accent1 24" xfId="100" xr:uid="{00000000-0005-0000-0000-00002C000000}"/>
    <cellStyle name="20% - Accent1 25" xfId="101" xr:uid="{00000000-0005-0000-0000-00002D000000}"/>
    <cellStyle name="20% - Accent1 26" xfId="102" xr:uid="{00000000-0005-0000-0000-00002E000000}"/>
    <cellStyle name="20% - Accent1 27" xfId="103" xr:uid="{00000000-0005-0000-0000-00002F000000}"/>
    <cellStyle name="20% - Accent1 28" xfId="104" xr:uid="{00000000-0005-0000-0000-000030000000}"/>
    <cellStyle name="20% - Accent1 29" xfId="105" xr:uid="{00000000-0005-0000-0000-000031000000}"/>
    <cellStyle name="20% - Accent1 3" xfId="106" xr:uid="{00000000-0005-0000-0000-000032000000}"/>
    <cellStyle name="20% - Accent1 3 2" xfId="107" xr:uid="{00000000-0005-0000-0000-000033000000}"/>
    <cellStyle name="20% - Accent1 3 3" xfId="108" xr:uid="{00000000-0005-0000-0000-000034000000}"/>
    <cellStyle name="20% - Accent1 30" xfId="109" xr:uid="{00000000-0005-0000-0000-000035000000}"/>
    <cellStyle name="20% - Accent1 31" xfId="110" xr:uid="{00000000-0005-0000-0000-000036000000}"/>
    <cellStyle name="20% - Accent1 32" xfId="111" xr:uid="{00000000-0005-0000-0000-000037000000}"/>
    <cellStyle name="20% - Accent1 33" xfId="112" xr:uid="{00000000-0005-0000-0000-000038000000}"/>
    <cellStyle name="20% - Accent1 34" xfId="113" xr:uid="{00000000-0005-0000-0000-000039000000}"/>
    <cellStyle name="20% - Accent1 4" xfId="114" xr:uid="{00000000-0005-0000-0000-00003A000000}"/>
    <cellStyle name="20% - Accent1 4 2" xfId="115" xr:uid="{00000000-0005-0000-0000-00003B000000}"/>
    <cellStyle name="20% - Accent1 4 3" xfId="116" xr:uid="{00000000-0005-0000-0000-00003C000000}"/>
    <cellStyle name="20% - Accent1 5" xfId="117" xr:uid="{00000000-0005-0000-0000-00003D000000}"/>
    <cellStyle name="20% - Accent1 5 2" xfId="118" xr:uid="{00000000-0005-0000-0000-00003E000000}"/>
    <cellStyle name="20% - Accent1 5 3" xfId="119" xr:uid="{00000000-0005-0000-0000-00003F000000}"/>
    <cellStyle name="20% - Accent1 6" xfId="120" xr:uid="{00000000-0005-0000-0000-000040000000}"/>
    <cellStyle name="20% - Accent1 6 2" xfId="121" xr:uid="{00000000-0005-0000-0000-000041000000}"/>
    <cellStyle name="20% - Accent1 6 3" xfId="122" xr:uid="{00000000-0005-0000-0000-000042000000}"/>
    <cellStyle name="20% - Accent1 7" xfId="123" xr:uid="{00000000-0005-0000-0000-000043000000}"/>
    <cellStyle name="20% - Accent1 7 2" xfId="124" xr:uid="{00000000-0005-0000-0000-000044000000}"/>
    <cellStyle name="20% - Accent1 7 3" xfId="125" xr:uid="{00000000-0005-0000-0000-000045000000}"/>
    <cellStyle name="20% - Accent1 8" xfId="126" xr:uid="{00000000-0005-0000-0000-000046000000}"/>
    <cellStyle name="20% - Accent1 8 2" xfId="127" xr:uid="{00000000-0005-0000-0000-000047000000}"/>
    <cellStyle name="20% - Accent1 8 3" xfId="128" xr:uid="{00000000-0005-0000-0000-000048000000}"/>
    <cellStyle name="20% - Accent1 9" xfId="129" xr:uid="{00000000-0005-0000-0000-000049000000}"/>
    <cellStyle name="20% - Accent1 9 2" xfId="130" xr:uid="{00000000-0005-0000-0000-00004A000000}"/>
    <cellStyle name="20% - Accent1 9 3" xfId="131" xr:uid="{00000000-0005-0000-0000-00004B000000}"/>
    <cellStyle name="20% - Accent2 10" xfId="132" xr:uid="{00000000-0005-0000-0000-00004C000000}"/>
    <cellStyle name="20% - Accent2 10 2" xfId="133" xr:uid="{00000000-0005-0000-0000-00004D000000}"/>
    <cellStyle name="20% - Accent2 10 3" xfId="134" xr:uid="{00000000-0005-0000-0000-00004E000000}"/>
    <cellStyle name="20% - Accent2 11" xfId="135" xr:uid="{00000000-0005-0000-0000-00004F000000}"/>
    <cellStyle name="20% - Accent2 11 2" xfId="136" xr:uid="{00000000-0005-0000-0000-000050000000}"/>
    <cellStyle name="20% - Accent2 11 3" xfId="137" xr:uid="{00000000-0005-0000-0000-000051000000}"/>
    <cellStyle name="20% - Accent2 12" xfId="138" xr:uid="{00000000-0005-0000-0000-000052000000}"/>
    <cellStyle name="20% - Accent2 12 2" xfId="139" xr:uid="{00000000-0005-0000-0000-000053000000}"/>
    <cellStyle name="20% - Accent2 12 3" xfId="140" xr:uid="{00000000-0005-0000-0000-000054000000}"/>
    <cellStyle name="20% - Accent2 13" xfId="141" xr:uid="{00000000-0005-0000-0000-000055000000}"/>
    <cellStyle name="20% - Accent2 13 2" xfId="142" xr:uid="{00000000-0005-0000-0000-000056000000}"/>
    <cellStyle name="20% - Accent2 13 3" xfId="143" xr:uid="{00000000-0005-0000-0000-000057000000}"/>
    <cellStyle name="20% - Accent2 14" xfId="144" xr:uid="{00000000-0005-0000-0000-000058000000}"/>
    <cellStyle name="20% - Accent2 14 2" xfId="145" xr:uid="{00000000-0005-0000-0000-000059000000}"/>
    <cellStyle name="20% - Accent2 14 3" xfId="146" xr:uid="{00000000-0005-0000-0000-00005A000000}"/>
    <cellStyle name="20% - Accent2 15" xfId="147" xr:uid="{00000000-0005-0000-0000-00005B000000}"/>
    <cellStyle name="20% - Accent2 15 2" xfId="148" xr:uid="{00000000-0005-0000-0000-00005C000000}"/>
    <cellStyle name="20% - Accent2 15 3" xfId="149" xr:uid="{00000000-0005-0000-0000-00005D000000}"/>
    <cellStyle name="20% - Accent2 15 4" xfId="150" xr:uid="{00000000-0005-0000-0000-00005E000000}"/>
    <cellStyle name="20% - Accent2 15 5" xfId="151" xr:uid="{00000000-0005-0000-0000-00005F000000}"/>
    <cellStyle name="20% - Accent2 15 6" xfId="152" xr:uid="{00000000-0005-0000-0000-000060000000}"/>
    <cellStyle name="20% - Accent2 15 7" xfId="153" xr:uid="{00000000-0005-0000-0000-000061000000}"/>
    <cellStyle name="20% - Accent2 16" xfId="154" xr:uid="{00000000-0005-0000-0000-000062000000}"/>
    <cellStyle name="20% - Accent2 17" xfId="155" xr:uid="{00000000-0005-0000-0000-000063000000}"/>
    <cellStyle name="20% - Accent2 18" xfId="156" xr:uid="{00000000-0005-0000-0000-000064000000}"/>
    <cellStyle name="20% - Accent2 19" xfId="157" xr:uid="{00000000-0005-0000-0000-000065000000}"/>
    <cellStyle name="20% - Accent2 2" xfId="158" xr:uid="{00000000-0005-0000-0000-000066000000}"/>
    <cellStyle name="20% - Accent2 2 10" xfId="159" xr:uid="{00000000-0005-0000-0000-000067000000}"/>
    <cellStyle name="20% - Accent2 2 11" xfId="160" xr:uid="{00000000-0005-0000-0000-000068000000}"/>
    <cellStyle name="20% - Accent2 2 12" xfId="161" xr:uid="{00000000-0005-0000-0000-000069000000}"/>
    <cellStyle name="20% - Accent2 2 13" xfId="162" xr:uid="{00000000-0005-0000-0000-00006A000000}"/>
    <cellStyle name="20% - Accent2 2 14" xfId="163" xr:uid="{00000000-0005-0000-0000-00006B000000}"/>
    <cellStyle name="20% - Accent2 2 2" xfId="164" xr:uid="{00000000-0005-0000-0000-00006C000000}"/>
    <cellStyle name="20% - Accent2 2 3" xfId="165" xr:uid="{00000000-0005-0000-0000-00006D000000}"/>
    <cellStyle name="20% - Accent2 2 4" xfId="166" xr:uid="{00000000-0005-0000-0000-00006E000000}"/>
    <cellStyle name="20% - Accent2 2 5" xfId="167" xr:uid="{00000000-0005-0000-0000-00006F000000}"/>
    <cellStyle name="20% - Accent2 2 6" xfId="168" xr:uid="{00000000-0005-0000-0000-000070000000}"/>
    <cellStyle name="20% - Accent2 2 7" xfId="169" xr:uid="{00000000-0005-0000-0000-000071000000}"/>
    <cellStyle name="20% - Accent2 2 8" xfId="170" xr:uid="{00000000-0005-0000-0000-000072000000}"/>
    <cellStyle name="20% - Accent2 2 9" xfId="171" xr:uid="{00000000-0005-0000-0000-000073000000}"/>
    <cellStyle name="20% - Accent2 20" xfId="172" xr:uid="{00000000-0005-0000-0000-000074000000}"/>
    <cellStyle name="20% - Accent2 21" xfId="173" xr:uid="{00000000-0005-0000-0000-000075000000}"/>
    <cellStyle name="20% - Accent2 22" xfId="174" xr:uid="{00000000-0005-0000-0000-000076000000}"/>
    <cellStyle name="20% - Accent2 23" xfId="175" xr:uid="{00000000-0005-0000-0000-000077000000}"/>
    <cellStyle name="20% - Accent2 24" xfId="176" xr:uid="{00000000-0005-0000-0000-000078000000}"/>
    <cellStyle name="20% - Accent2 25" xfId="177" xr:uid="{00000000-0005-0000-0000-000079000000}"/>
    <cellStyle name="20% - Accent2 26" xfId="178" xr:uid="{00000000-0005-0000-0000-00007A000000}"/>
    <cellStyle name="20% - Accent2 27" xfId="179" xr:uid="{00000000-0005-0000-0000-00007B000000}"/>
    <cellStyle name="20% - Accent2 28" xfId="180" xr:uid="{00000000-0005-0000-0000-00007C000000}"/>
    <cellStyle name="20% - Accent2 29" xfId="181" xr:uid="{00000000-0005-0000-0000-00007D000000}"/>
    <cellStyle name="20% - Accent2 3" xfId="182" xr:uid="{00000000-0005-0000-0000-00007E000000}"/>
    <cellStyle name="20% - Accent2 3 2" xfId="183" xr:uid="{00000000-0005-0000-0000-00007F000000}"/>
    <cellStyle name="20% - Accent2 3 3" xfId="184" xr:uid="{00000000-0005-0000-0000-000080000000}"/>
    <cellStyle name="20% - Accent2 30" xfId="185" xr:uid="{00000000-0005-0000-0000-000081000000}"/>
    <cellStyle name="20% - Accent2 31" xfId="186" xr:uid="{00000000-0005-0000-0000-000082000000}"/>
    <cellStyle name="20% - Accent2 32" xfId="187" xr:uid="{00000000-0005-0000-0000-000083000000}"/>
    <cellStyle name="20% - Accent2 33" xfId="188" xr:uid="{00000000-0005-0000-0000-000084000000}"/>
    <cellStyle name="20% - Accent2 34" xfId="189" xr:uid="{00000000-0005-0000-0000-000085000000}"/>
    <cellStyle name="20% - Accent2 4" xfId="190" xr:uid="{00000000-0005-0000-0000-000086000000}"/>
    <cellStyle name="20% - Accent2 4 2" xfId="191" xr:uid="{00000000-0005-0000-0000-000087000000}"/>
    <cellStyle name="20% - Accent2 4 3" xfId="192" xr:uid="{00000000-0005-0000-0000-000088000000}"/>
    <cellStyle name="20% - Accent2 5" xfId="193" xr:uid="{00000000-0005-0000-0000-000089000000}"/>
    <cellStyle name="20% - Accent2 5 2" xfId="194" xr:uid="{00000000-0005-0000-0000-00008A000000}"/>
    <cellStyle name="20% - Accent2 5 3" xfId="195" xr:uid="{00000000-0005-0000-0000-00008B000000}"/>
    <cellStyle name="20% - Accent2 6" xfId="196" xr:uid="{00000000-0005-0000-0000-00008C000000}"/>
    <cellStyle name="20% - Accent2 6 2" xfId="197" xr:uid="{00000000-0005-0000-0000-00008D000000}"/>
    <cellStyle name="20% - Accent2 6 3" xfId="198" xr:uid="{00000000-0005-0000-0000-00008E000000}"/>
    <cellStyle name="20% - Accent2 7" xfId="199" xr:uid="{00000000-0005-0000-0000-00008F000000}"/>
    <cellStyle name="20% - Accent2 7 2" xfId="200" xr:uid="{00000000-0005-0000-0000-000090000000}"/>
    <cellStyle name="20% - Accent2 7 3" xfId="201" xr:uid="{00000000-0005-0000-0000-000091000000}"/>
    <cellStyle name="20% - Accent2 8" xfId="202" xr:uid="{00000000-0005-0000-0000-000092000000}"/>
    <cellStyle name="20% - Accent2 8 2" xfId="203" xr:uid="{00000000-0005-0000-0000-000093000000}"/>
    <cellStyle name="20% - Accent2 8 3" xfId="204" xr:uid="{00000000-0005-0000-0000-000094000000}"/>
    <cellStyle name="20% - Accent2 9" xfId="205" xr:uid="{00000000-0005-0000-0000-000095000000}"/>
    <cellStyle name="20% - Accent2 9 2" xfId="206" xr:uid="{00000000-0005-0000-0000-000096000000}"/>
    <cellStyle name="20% - Accent2 9 3" xfId="207" xr:uid="{00000000-0005-0000-0000-000097000000}"/>
    <cellStyle name="20% - Accent3 10" xfId="208" xr:uid="{00000000-0005-0000-0000-000098000000}"/>
    <cellStyle name="20% - Accent3 10 2" xfId="209" xr:uid="{00000000-0005-0000-0000-000099000000}"/>
    <cellStyle name="20% - Accent3 10 3" xfId="210" xr:uid="{00000000-0005-0000-0000-00009A000000}"/>
    <cellStyle name="20% - Accent3 11" xfId="211" xr:uid="{00000000-0005-0000-0000-00009B000000}"/>
    <cellStyle name="20% - Accent3 11 2" xfId="212" xr:uid="{00000000-0005-0000-0000-00009C000000}"/>
    <cellStyle name="20% - Accent3 11 3" xfId="213" xr:uid="{00000000-0005-0000-0000-00009D000000}"/>
    <cellStyle name="20% - Accent3 12" xfId="214" xr:uid="{00000000-0005-0000-0000-00009E000000}"/>
    <cellStyle name="20% - Accent3 12 2" xfId="215" xr:uid="{00000000-0005-0000-0000-00009F000000}"/>
    <cellStyle name="20% - Accent3 12 3" xfId="216" xr:uid="{00000000-0005-0000-0000-0000A0000000}"/>
    <cellStyle name="20% - Accent3 13" xfId="217" xr:uid="{00000000-0005-0000-0000-0000A1000000}"/>
    <cellStyle name="20% - Accent3 13 2" xfId="218" xr:uid="{00000000-0005-0000-0000-0000A2000000}"/>
    <cellStyle name="20% - Accent3 13 3" xfId="219" xr:uid="{00000000-0005-0000-0000-0000A3000000}"/>
    <cellStyle name="20% - Accent3 14" xfId="220" xr:uid="{00000000-0005-0000-0000-0000A4000000}"/>
    <cellStyle name="20% - Accent3 14 2" xfId="221" xr:uid="{00000000-0005-0000-0000-0000A5000000}"/>
    <cellStyle name="20% - Accent3 14 3" xfId="222" xr:uid="{00000000-0005-0000-0000-0000A6000000}"/>
    <cellStyle name="20% - Accent3 15" xfId="223" xr:uid="{00000000-0005-0000-0000-0000A7000000}"/>
    <cellStyle name="20% - Accent3 15 2" xfId="224" xr:uid="{00000000-0005-0000-0000-0000A8000000}"/>
    <cellStyle name="20% - Accent3 15 3" xfId="225" xr:uid="{00000000-0005-0000-0000-0000A9000000}"/>
    <cellStyle name="20% - Accent3 15 4" xfId="226" xr:uid="{00000000-0005-0000-0000-0000AA000000}"/>
    <cellStyle name="20% - Accent3 15 5" xfId="227" xr:uid="{00000000-0005-0000-0000-0000AB000000}"/>
    <cellStyle name="20% - Accent3 15 6" xfId="228" xr:uid="{00000000-0005-0000-0000-0000AC000000}"/>
    <cellStyle name="20% - Accent3 15 7" xfId="229" xr:uid="{00000000-0005-0000-0000-0000AD000000}"/>
    <cellStyle name="20% - Accent3 16" xfId="230" xr:uid="{00000000-0005-0000-0000-0000AE000000}"/>
    <cellStyle name="20% - Accent3 17" xfId="231" xr:uid="{00000000-0005-0000-0000-0000AF000000}"/>
    <cellStyle name="20% - Accent3 18" xfId="232" xr:uid="{00000000-0005-0000-0000-0000B0000000}"/>
    <cellStyle name="20% - Accent3 19" xfId="233" xr:uid="{00000000-0005-0000-0000-0000B1000000}"/>
    <cellStyle name="20% - Accent3 2" xfId="234" xr:uid="{00000000-0005-0000-0000-0000B2000000}"/>
    <cellStyle name="20% - Accent3 2 10" xfId="235" xr:uid="{00000000-0005-0000-0000-0000B3000000}"/>
    <cellStyle name="20% - Accent3 2 11" xfId="236" xr:uid="{00000000-0005-0000-0000-0000B4000000}"/>
    <cellStyle name="20% - Accent3 2 12" xfId="237" xr:uid="{00000000-0005-0000-0000-0000B5000000}"/>
    <cellStyle name="20% - Accent3 2 13" xfId="238" xr:uid="{00000000-0005-0000-0000-0000B6000000}"/>
    <cellStyle name="20% - Accent3 2 14" xfId="239" xr:uid="{00000000-0005-0000-0000-0000B7000000}"/>
    <cellStyle name="20% - Accent3 2 2" xfId="240" xr:uid="{00000000-0005-0000-0000-0000B8000000}"/>
    <cellStyle name="20% - Accent3 2 3" xfId="241" xr:uid="{00000000-0005-0000-0000-0000B9000000}"/>
    <cellStyle name="20% - Accent3 2 4" xfId="242" xr:uid="{00000000-0005-0000-0000-0000BA000000}"/>
    <cellStyle name="20% - Accent3 2 5" xfId="243" xr:uid="{00000000-0005-0000-0000-0000BB000000}"/>
    <cellStyle name="20% - Accent3 2 6" xfId="244" xr:uid="{00000000-0005-0000-0000-0000BC000000}"/>
    <cellStyle name="20% - Accent3 2 7" xfId="245" xr:uid="{00000000-0005-0000-0000-0000BD000000}"/>
    <cellStyle name="20% - Accent3 2 8" xfId="246" xr:uid="{00000000-0005-0000-0000-0000BE000000}"/>
    <cellStyle name="20% - Accent3 2 9" xfId="247" xr:uid="{00000000-0005-0000-0000-0000BF000000}"/>
    <cellStyle name="20% - Accent3 20" xfId="248" xr:uid="{00000000-0005-0000-0000-0000C0000000}"/>
    <cellStyle name="20% - Accent3 21" xfId="249" xr:uid="{00000000-0005-0000-0000-0000C1000000}"/>
    <cellStyle name="20% - Accent3 22" xfId="250" xr:uid="{00000000-0005-0000-0000-0000C2000000}"/>
    <cellStyle name="20% - Accent3 23" xfId="251" xr:uid="{00000000-0005-0000-0000-0000C3000000}"/>
    <cellStyle name="20% - Accent3 24" xfId="252" xr:uid="{00000000-0005-0000-0000-0000C4000000}"/>
    <cellStyle name="20% - Accent3 25" xfId="253" xr:uid="{00000000-0005-0000-0000-0000C5000000}"/>
    <cellStyle name="20% - Accent3 26" xfId="254" xr:uid="{00000000-0005-0000-0000-0000C6000000}"/>
    <cellStyle name="20% - Accent3 27" xfId="255" xr:uid="{00000000-0005-0000-0000-0000C7000000}"/>
    <cellStyle name="20% - Accent3 28" xfId="256" xr:uid="{00000000-0005-0000-0000-0000C8000000}"/>
    <cellStyle name="20% - Accent3 29" xfId="257" xr:uid="{00000000-0005-0000-0000-0000C9000000}"/>
    <cellStyle name="20% - Accent3 3" xfId="258" xr:uid="{00000000-0005-0000-0000-0000CA000000}"/>
    <cellStyle name="20% - Accent3 3 2" xfId="259" xr:uid="{00000000-0005-0000-0000-0000CB000000}"/>
    <cellStyle name="20% - Accent3 3 3" xfId="260" xr:uid="{00000000-0005-0000-0000-0000CC000000}"/>
    <cellStyle name="20% - Accent3 30" xfId="261" xr:uid="{00000000-0005-0000-0000-0000CD000000}"/>
    <cellStyle name="20% - Accent3 31" xfId="262" xr:uid="{00000000-0005-0000-0000-0000CE000000}"/>
    <cellStyle name="20% - Accent3 32" xfId="263" xr:uid="{00000000-0005-0000-0000-0000CF000000}"/>
    <cellStyle name="20% - Accent3 33" xfId="264" xr:uid="{00000000-0005-0000-0000-0000D0000000}"/>
    <cellStyle name="20% - Accent3 34" xfId="265" xr:uid="{00000000-0005-0000-0000-0000D1000000}"/>
    <cellStyle name="20% - Accent3 4" xfId="266" xr:uid="{00000000-0005-0000-0000-0000D2000000}"/>
    <cellStyle name="20% - Accent3 4 2" xfId="267" xr:uid="{00000000-0005-0000-0000-0000D3000000}"/>
    <cellStyle name="20% - Accent3 4 3" xfId="268" xr:uid="{00000000-0005-0000-0000-0000D4000000}"/>
    <cellStyle name="20% - Accent3 5" xfId="269" xr:uid="{00000000-0005-0000-0000-0000D5000000}"/>
    <cellStyle name="20% - Accent3 5 2" xfId="270" xr:uid="{00000000-0005-0000-0000-0000D6000000}"/>
    <cellStyle name="20% - Accent3 5 3" xfId="271" xr:uid="{00000000-0005-0000-0000-0000D7000000}"/>
    <cellStyle name="20% - Accent3 6" xfId="272" xr:uid="{00000000-0005-0000-0000-0000D8000000}"/>
    <cellStyle name="20% - Accent3 6 2" xfId="273" xr:uid="{00000000-0005-0000-0000-0000D9000000}"/>
    <cellStyle name="20% - Accent3 6 3" xfId="274" xr:uid="{00000000-0005-0000-0000-0000DA000000}"/>
    <cellStyle name="20% - Accent3 7" xfId="275" xr:uid="{00000000-0005-0000-0000-0000DB000000}"/>
    <cellStyle name="20% - Accent3 7 2" xfId="276" xr:uid="{00000000-0005-0000-0000-0000DC000000}"/>
    <cellStyle name="20% - Accent3 7 3" xfId="277" xr:uid="{00000000-0005-0000-0000-0000DD000000}"/>
    <cellStyle name="20% - Accent3 8" xfId="278" xr:uid="{00000000-0005-0000-0000-0000DE000000}"/>
    <cellStyle name="20% - Accent3 8 2" xfId="279" xr:uid="{00000000-0005-0000-0000-0000DF000000}"/>
    <cellStyle name="20% - Accent3 8 3" xfId="280" xr:uid="{00000000-0005-0000-0000-0000E0000000}"/>
    <cellStyle name="20% - Accent3 9" xfId="281" xr:uid="{00000000-0005-0000-0000-0000E1000000}"/>
    <cellStyle name="20% - Accent3 9 2" xfId="282" xr:uid="{00000000-0005-0000-0000-0000E2000000}"/>
    <cellStyle name="20% - Accent3 9 3" xfId="283" xr:uid="{00000000-0005-0000-0000-0000E3000000}"/>
    <cellStyle name="20% - Accent4 10" xfId="284" xr:uid="{00000000-0005-0000-0000-0000E4000000}"/>
    <cellStyle name="20% - Accent4 10 2" xfId="285" xr:uid="{00000000-0005-0000-0000-0000E5000000}"/>
    <cellStyle name="20% - Accent4 10 3" xfId="286" xr:uid="{00000000-0005-0000-0000-0000E6000000}"/>
    <cellStyle name="20% - Accent4 11" xfId="287" xr:uid="{00000000-0005-0000-0000-0000E7000000}"/>
    <cellStyle name="20% - Accent4 11 2" xfId="288" xr:uid="{00000000-0005-0000-0000-0000E8000000}"/>
    <cellStyle name="20% - Accent4 11 3" xfId="289" xr:uid="{00000000-0005-0000-0000-0000E9000000}"/>
    <cellStyle name="20% - Accent4 12" xfId="290" xr:uid="{00000000-0005-0000-0000-0000EA000000}"/>
    <cellStyle name="20% - Accent4 12 2" xfId="291" xr:uid="{00000000-0005-0000-0000-0000EB000000}"/>
    <cellStyle name="20% - Accent4 12 3" xfId="292" xr:uid="{00000000-0005-0000-0000-0000EC000000}"/>
    <cellStyle name="20% - Accent4 13" xfId="293" xr:uid="{00000000-0005-0000-0000-0000ED000000}"/>
    <cellStyle name="20% - Accent4 13 2" xfId="294" xr:uid="{00000000-0005-0000-0000-0000EE000000}"/>
    <cellStyle name="20% - Accent4 13 3" xfId="295" xr:uid="{00000000-0005-0000-0000-0000EF000000}"/>
    <cellStyle name="20% - Accent4 14" xfId="296" xr:uid="{00000000-0005-0000-0000-0000F0000000}"/>
    <cellStyle name="20% - Accent4 14 2" xfId="297" xr:uid="{00000000-0005-0000-0000-0000F1000000}"/>
    <cellStyle name="20% - Accent4 14 3" xfId="298" xr:uid="{00000000-0005-0000-0000-0000F2000000}"/>
    <cellStyle name="20% - Accent4 15" xfId="299" xr:uid="{00000000-0005-0000-0000-0000F3000000}"/>
    <cellStyle name="20% - Accent4 15 2" xfId="300" xr:uid="{00000000-0005-0000-0000-0000F4000000}"/>
    <cellStyle name="20% - Accent4 15 3" xfId="301" xr:uid="{00000000-0005-0000-0000-0000F5000000}"/>
    <cellStyle name="20% - Accent4 15 4" xfId="302" xr:uid="{00000000-0005-0000-0000-0000F6000000}"/>
    <cellStyle name="20% - Accent4 15 5" xfId="303" xr:uid="{00000000-0005-0000-0000-0000F7000000}"/>
    <cellStyle name="20% - Accent4 15 6" xfId="304" xr:uid="{00000000-0005-0000-0000-0000F8000000}"/>
    <cellStyle name="20% - Accent4 15 7" xfId="305" xr:uid="{00000000-0005-0000-0000-0000F9000000}"/>
    <cellStyle name="20% - Accent4 16" xfId="306" xr:uid="{00000000-0005-0000-0000-0000FA000000}"/>
    <cellStyle name="20% - Accent4 17" xfId="307" xr:uid="{00000000-0005-0000-0000-0000FB000000}"/>
    <cellStyle name="20% - Accent4 18" xfId="308" xr:uid="{00000000-0005-0000-0000-0000FC000000}"/>
    <cellStyle name="20% - Accent4 19" xfId="309" xr:uid="{00000000-0005-0000-0000-0000FD000000}"/>
    <cellStyle name="20% - Accent4 2" xfId="310" xr:uid="{00000000-0005-0000-0000-0000FE000000}"/>
    <cellStyle name="20% - Accent4 2 10" xfId="311" xr:uid="{00000000-0005-0000-0000-0000FF000000}"/>
    <cellStyle name="20% - Accent4 2 11" xfId="312" xr:uid="{00000000-0005-0000-0000-000000010000}"/>
    <cellStyle name="20% - Accent4 2 12" xfId="313" xr:uid="{00000000-0005-0000-0000-000001010000}"/>
    <cellStyle name="20% - Accent4 2 13" xfId="314" xr:uid="{00000000-0005-0000-0000-000002010000}"/>
    <cellStyle name="20% - Accent4 2 14" xfId="315" xr:uid="{00000000-0005-0000-0000-000003010000}"/>
    <cellStyle name="20% - Accent4 2 2" xfId="316" xr:uid="{00000000-0005-0000-0000-000004010000}"/>
    <cellStyle name="20% - Accent4 2 3" xfId="317" xr:uid="{00000000-0005-0000-0000-000005010000}"/>
    <cellStyle name="20% - Accent4 2 4" xfId="318" xr:uid="{00000000-0005-0000-0000-000006010000}"/>
    <cellStyle name="20% - Accent4 2 5" xfId="319" xr:uid="{00000000-0005-0000-0000-000007010000}"/>
    <cellStyle name="20% - Accent4 2 6" xfId="320" xr:uid="{00000000-0005-0000-0000-000008010000}"/>
    <cellStyle name="20% - Accent4 2 7" xfId="321" xr:uid="{00000000-0005-0000-0000-000009010000}"/>
    <cellStyle name="20% - Accent4 2 8" xfId="322" xr:uid="{00000000-0005-0000-0000-00000A010000}"/>
    <cellStyle name="20% - Accent4 2 9" xfId="323" xr:uid="{00000000-0005-0000-0000-00000B010000}"/>
    <cellStyle name="20% - Accent4 20" xfId="324" xr:uid="{00000000-0005-0000-0000-00000C010000}"/>
    <cellStyle name="20% - Accent4 21" xfId="325" xr:uid="{00000000-0005-0000-0000-00000D010000}"/>
    <cellStyle name="20% - Accent4 22" xfId="326" xr:uid="{00000000-0005-0000-0000-00000E010000}"/>
    <cellStyle name="20% - Accent4 23" xfId="327" xr:uid="{00000000-0005-0000-0000-00000F010000}"/>
    <cellStyle name="20% - Accent4 24" xfId="328" xr:uid="{00000000-0005-0000-0000-000010010000}"/>
    <cellStyle name="20% - Accent4 25" xfId="329" xr:uid="{00000000-0005-0000-0000-000011010000}"/>
    <cellStyle name="20% - Accent4 26" xfId="330" xr:uid="{00000000-0005-0000-0000-000012010000}"/>
    <cellStyle name="20% - Accent4 27" xfId="331" xr:uid="{00000000-0005-0000-0000-000013010000}"/>
    <cellStyle name="20% - Accent4 28" xfId="332" xr:uid="{00000000-0005-0000-0000-000014010000}"/>
    <cellStyle name="20% - Accent4 29" xfId="333" xr:uid="{00000000-0005-0000-0000-000015010000}"/>
    <cellStyle name="20% - Accent4 3" xfId="334" xr:uid="{00000000-0005-0000-0000-000016010000}"/>
    <cellStyle name="20% - Accent4 3 2" xfId="335" xr:uid="{00000000-0005-0000-0000-000017010000}"/>
    <cellStyle name="20% - Accent4 3 3" xfId="336" xr:uid="{00000000-0005-0000-0000-000018010000}"/>
    <cellStyle name="20% - Accent4 30" xfId="337" xr:uid="{00000000-0005-0000-0000-000019010000}"/>
    <cellStyle name="20% - Accent4 31" xfId="338" xr:uid="{00000000-0005-0000-0000-00001A010000}"/>
    <cellStyle name="20% - Accent4 32" xfId="339" xr:uid="{00000000-0005-0000-0000-00001B010000}"/>
    <cellStyle name="20% - Accent4 33" xfId="340" xr:uid="{00000000-0005-0000-0000-00001C010000}"/>
    <cellStyle name="20% - Accent4 34" xfId="341" xr:uid="{00000000-0005-0000-0000-00001D010000}"/>
    <cellStyle name="20% - Accent4 4" xfId="342" xr:uid="{00000000-0005-0000-0000-00001E010000}"/>
    <cellStyle name="20% - Accent4 4 2" xfId="343" xr:uid="{00000000-0005-0000-0000-00001F010000}"/>
    <cellStyle name="20% - Accent4 4 3" xfId="344" xr:uid="{00000000-0005-0000-0000-000020010000}"/>
    <cellStyle name="20% - Accent4 5" xfId="345" xr:uid="{00000000-0005-0000-0000-000021010000}"/>
    <cellStyle name="20% - Accent4 5 2" xfId="346" xr:uid="{00000000-0005-0000-0000-000022010000}"/>
    <cellStyle name="20% - Accent4 5 3" xfId="347" xr:uid="{00000000-0005-0000-0000-000023010000}"/>
    <cellStyle name="20% - Accent4 6" xfId="348" xr:uid="{00000000-0005-0000-0000-000024010000}"/>
    <cellStyle name="20% - Accent4 6 2" xfId="349" xr:uid="{00000000-0005-0000-0000-000025010000}"/>
    <cellStyle name="20% - Accent4 6 3" xfId="350" xr:uid="{00000000-0005-0000-0000-000026010000}"/>
    <cellStyle name="20% - Accent4 7" xfId="351" xr:uid="{00000000-0005-0000-0000-000027010000}"/>
    <cellStyle name="20% - Accent4 7 2" xfId="352" xr:uid="{00000000-0005-0000-0000-000028010000}"/>
    <cellStyle name="20% - Accent4 7 3" xfId="353" xr:uid="{00000000-0005-0000-0000-000029010000}"/>
    <cellStyle name="20% - Accent4 8" xfId="354" xr:uid="{00000000-0005-0000-0000-00002A010000}"/>
    <cellStyle name="20% - Accent4 8 2" xfId="355" xr:uid="{00000000-0005-0000-0000-00002B010000}"/>
    <cellStyle name="20% - Accent4 8 3" xfId="356" xr:uid="{00000000-0005-0000-0000-00002C010000}"/>
    <cellStyle name="20% - Accent4 9" xfId="357" xr:uid="{00000000-0005-0000-0000-00002D010000}"/>
    <cellStyle name="20% - Accent4 9 2" xfId="358" xr:uid="{00000000-0005-0000-0000-00002E010000}"/>
    <cellStyle name="20% - Accent4 9 3" xfId="359" xr:uid="{00000000-0005-0000-0000-00002F010000}"/>
    <cellStyle name="20% - Accent5 10" xfId="360" xr:uid="{00000000-0005-0000-0000-000030010000}"/>
    <cellStyle name="20% - Accent5 10 2" xfId="361" xr:uid="{00000000-0005-0000-0000-000031010000}"/>
    <cellStyle name="20% - Accent5 10 3" xfId="362" xr:uid="{00000000-0005-0000-0000-000032010000}"/>
    <cellStyle name="20% - Accent5 11" xfId="363" xr:uid="{00000000-0005-0000-0000-000033010000}"/>
    <cellStyle name="20% - Accent5 11 2" xfId="364" xr:uid="{00000000-0005-0000-0000-000034010000}"/>
    <cellStyle name="20% - Accent5 11 3" xfId="365" xr:uid="{00000000-0005-0000-0000-000035010000}"/>
    <cellStyle name="20% - Accent5 12" xfId="366" xr:uid="{00000000-0005-0000-0000-000036010000}"/>
    <cellStyle name="20% - Accent5 12 2" xfId="367" xr:uid="{00000000-0005-0000-0000-000037010000}"/>
    <cellStyle name="20% - Accent5 12 3" xfId="368" xr:uid="{00000000-0005-0000-0000-000038010000}"/>
    <cellStyle name="20% - Accent5 13" xfId="369" xr:uid="{00000000-0005-0000-0000-000039010000}"/>
    <cellStyle name="20% - Accent5 13 2" xfId="370" xr:uid="{00000000-0005-0000-0000-00003A010000}"/>
    <cellStyle name="20% - Accent5 13 3" xfId="371" xr:uid="{00000000-0005-0000-0000-00003B010000}"/>
    <cellStyle name="20% - Accent5 14" xfId="372" xr:uid="{00000000-0005-0000-0000-00003C010000}"/>
    <cellStyle name="20% - Accent5 14 2" xfId="373" xr:uid="{00000000-0005-0000-0000-00003D010000}"/>
    <cellStyle name="20% - Accent5 14 3" xfId="374" xr:uid="{00000000-0005-0000-0000-00003E010000}"/>
    <cellStyle name="20% - Accent5 15" xfId="375" xr:uid="{00000000-0005-0000-0000-00003F010000}"/>
    <cellStyle name="20% - Accent5 15 2" xfId="376" xr:uid="{00000000-0005-0000-0000-000040010000}"/>
    <cellStyle name="20% - Accent5 15 3" xfId="377" xr:uid="{00000000-0005-0000-0000-000041010000}"/>
    <cellStyle name="20% - Accent5 15 4" xfId="378" xr:uid="{00000000-0005-0000-0000-000042010000}"/>
    <cellStyle name="20% - Accent5 15 5" xfId="379" xr:uid="{00000000-0005-0000-0000-000043010000}"/>
    <cellStyle name="20% - Accent5 15 6" xfId="380" xr:uid="{00000000-0005-0000-0000-000044010000}"/>
    <cellStyle name="20% - Accent5 15 7" xfId="381" xr:uid="{00000000-0005-0000-0000-000045010000}"/>
    <cellStyle name="20% - Accent5 16" xfId="382" xr:uid="{00000000-0005-0000-0000-000046010000}"/>
    <cellStyle name="20% - Accent5 17" xfId="383" xr:uid="{00000000-0005-0000-0000-000047010000}"/>
    <cellStyle name="20% - Accent5 18" xfId="384" xr:uid="{00000000-0005-0000-0000-000048010000}"/>
    <cellStyle name="20% - Accent5 19" xfId="385" xr:uid="{00000000-0005-0000-0000-000049010000}"/>
    <cellStyle name="20% - Accent5 2" xfId="386" xr:uid="{00000000-0005-0000-0000-00004A010000}"/>
    <cellStyle name="20% - Accent5 2 10" xfId="387" xr:uid="{00000000-0005-0000-0000-00004B010000}"/>
    <cellStyle name="20% - Accent5 2 11" xfId="388" xr:uid="{00000000-0005-0000-0000-00004C010000}"/>
    <cellStyle name="20% - Accent5 2 12" xfId="389" xr:uid="{00000000-0005-0000-0000-00004D010000}"/>
    <cellStyle name="20% - Accent5 2 13" xfId="390" xr:uid="{00000000-0005-0000-0000-00004E010000}"/>
    <cellStyle name="20% - Accent5 2 14" xfId="391" xr:uid="{00000000-0005-0000-0000-00004F010000}"/>
    <cellStyle name="20% - Accent5 2 2" xfId="392" xr:uid="{00000000-0005-0000-0000-000050010000}"/>
    <cellStyle name="20% - Accent5 2 3" xfId="393" xr:uid="{00000000-0005-0000-0000-000051010000}"/>
    <cellStyle name="20% - Accent5 2 4" xfId="394" xr:uid="{00000000-0005-0000-0000-000052010000}"/>
    <cellStyle name="20% - Accent5 2 5" xfId="395" xr:uid="{00000000-0005-0000-0000-000053010000}"/>
    <cellStyle name="20% - Accent5 2 6" xfId="396" xr:uid="{00000000-0005-0000-0000-000054010000}"/>
    <cellStyle name="20% - Accent5 2 7" xfId="397" xr:uid="{00000000-0005-0000-0000-000055010000}"/>
    <cellStyle name="20% - Accent5 2 8" xfId="398" xr:uid="{00000000-0005-0000-0000-000056010000}"/>
    <cellStyle name="20% - Accent5 2 9" xfId="399" xr:uid="{00000000-0005-0000-0000-000057010000}"/>
    <cellStyle name="20% - Accent5 20" xfId="400" xr:uid="{00000000-0005-0000-0000-000058010000}"/>
    <cellStyle name="20% - Accent5 21" xfId="401" xr:uid="{00000000-0005-0000-0000-000059010000}"/>
    <cellStyle name="20% - Accent5 22" xfId="402" xr:uid="{00000000-0005-0000-0000-00005A010000}"/>
    <cellStyle name="20% - Accent5 23" xfId="403" xr:uid="{00000000-0005-0000-0000-00005B010000}"/>
    <cellStyle name="20% - Accent5 24" xfId="404" xr:uid="{00000000-0005-0000-0000-00005C010000}"/>
    <cellStyle name="20% - Accent5 25" xfId="405" xr:uid="{00000000-0005-0000-0000-00005D010000}"/>
    <cellStyle name="20% - Accent5 26" xfId="406" xr:uid="{00000000-0005-0000-0000-00005E010000}"/>
    <cellStyle name="20% - Accent5 27" xfId="407" xr:uid="{00000000-0005-0000-0000-00005F010000}"/>
    <cellStyle name="20% - Accent5 28" xfId="408" xr:uid="{00000000-0005-0000-0000-000060010000}"/>
    <cellStyle name="20% - Accent5 29" xfId="409" xr:uid="{00000000-0005-0000-0000-000061010000}"/>
    <cellStyle name="20% - Accent5 3" xfId="410" xr:uid="{00000000-0005-0000-0000-000062010000}"/>
    <cellStyle name="20% - Accent5 3 2" xfId="411" xr:uid="{00000000-0005-0000-0000-000063010000}"/>
    <cellStyle name="20% - Accent5 3 3" xfId="412" xr:uid="{00000000-0005-0000-0000-000064010000}"/>
    <cellStyle name="20% - Accent5 30" xfId="413" xr:uid="{00000000-0005-0000-0000-000065010000}"/>
    <cellStyle name="20% - Accent5 31" xfId="414" xr:uid="{00000000-0005-0000-0000-000066010000}"/>
    <cellStyle name="20% - Accent5 32" xfId="415" xr:uid="{00000000-0005-0000-0000-000067010000}"/>
    <cellStyle name="20% - Accent5 33" xfId="416" xr:uid="{00000000-0005-0000-0000-000068010000}"/>
    <cellStyle name="20% - Accent5 34" xfId="417" xr:uid="{00000000-0005-0000-0000-000069010000}"/>
    <cellStyle name="20% - Accent5 4" xfId="418" xr:uid="{00000000-0005-0000-0000-00006A010000}"/>
    <cellStyle name="20% - Accent5 4 2" xfId="419" xr:uid="{00000000-0005-0000-0000-00006B010000}"/>
    <cellStyle name="20% - Accent5 4 3" xfId="420" xr:uid="{00000000-0005-0000-0000-00006C010000}"/>
    <cellStyle name="20% - Accent5 5" xfId="421" xr:uid="{00000000-0005-0000-0000-00006D010000}"/>
    <cellStyle name="20% - Accent5 5 2" xfId="422" xr:uid="{00000000-0005-0000-0000-00006E010000}"/>
    <cellStyle name="20% - Accent5 5 3" xfId="423" xr:uid="{00000000-0005-0000-0000-00006F010000}"/>
    <cellStyle name="20% - Accent5 6" xfId="424" xr:uid="{00000000-0005-0000-0000-000070010000}"/>
    <cellStyle name="20% - Accent5 6 2" xfId="425" xr:uid="{00000000-0005-0000-0000-000071010000}"/>
    <cellStyle name="20% - Accent5 6 3" xfId="426" xr:uid="{00000000-0005-0000-0000-000072010000}"/>
    <cellStyle name="20% - Accent5 7" xfId="427" xr:uid="{00000000-0005-0000-0000-000073010000}"/>
    <cellStyle name="20% - Accent5 7 2" xfId="428" xr:uid="{00000000-0005-0000-0000-000074010000}"/>
    <cellStyle name="20% - Accent5 7 3" xfId="429" xr:uid="{00000000-0005-0000-0000-000075010000}"/>
    <cellStyle name="20% - Accent5 8" xfId="430" xr:uid="{00000000-0005-0000-0000-000076010000}"/>
    <cellStyle name="20% - Accent5 8 2" xfId="431" xr:uid="{00000000-0005-0000-0000-000077010000}"/>
    <cellStyle name="20% - Accent5 8 3" xfId="432" xr:uid="{00000000-0005-0000-0000-000078010000}"/>
    <cellStyle name="20% - Accent5 9" xfId="433" xr:uid="{00000000-0005-0000-0000-000079010000}"/>
    <cellStyle name="20% - Accent5 9 2" xfId="434" xr:uid="{00000000-0005-0000-0000-00007A010000}"/>
    <cellStyle name="20% - Accent5 9 3" xfId="435" xr:uid="{00000000-0005-0000-0000-00007B010000}"/>
    <cellStyle name="20% - Accent6 10" xfId="436" xr:uid="{00000000-0005-0000-0000-00007C010000}"/>
    <cellStyle name="20% - Accent6 10 2" xfId="437" xr:uid="{00000000-0005-0000-0000-00007D010000}"/>
    <cellStyle name="20% - Accent6 10 3" xfId="438" xr:uid="{00000000-0005-0000-0000-00007E010000}"/>
    <cellStyle name="20% - Accent6 11" xfId="439" xr:uid="{00000000-0005-0000-0000-00007F010000}"/>
    <cellStyle name="20% - Accent6 11 2" xfId="440" xr:uid="{00000000-0005-0000-0000-000080010000}"/>
    <cellStyle name="20% - Accent6 11 3" xfId="441" xr:uid="{00000000-0005-0000-0000-000081010000}"/>
    <cellStyle name="20% - Accent6 12" xfId="442" xr:uid="{00000000-0005-0000-0000-000082010000}"/>
    <cellStyle name="20% - Accent6 12 2" xfId="443" xr:uid="{00000000-0005-0000-0000-000083010000}"/>
    <cellStyle name="20% - Accent6 12 3" xfId="444" xr:uid="{00000000-0005-0000-0000-000084010000}"/>
    <cellStyle name="20% - Accent6 13" xfId="445" xr:uid="{00000000-0005-0000-0000-000085010000}"/>
    <cellStyle name="20% - Accent6 13 2" xfId="446" xr:uid="{00000000-0005-0000-0000-000086010000}"/>
    <cellStyle name="20% - Accent6 13 3" xfId="447" xr:uid="{00000000-0005-0000-0000-000087010000}"/>
    <cellStyle name="20% - Accent6 14" xfId="448" xr:uid="{00000000-0005-0000-0000-000088010000}"/>
    <cellStyle name="20% - Accent6 14 2" xfId="449" xr:uid="{00000000-0005-0000-0000-000089010000}"/>
    <cellStyle name="20% - Accent6 14 3" xfId="450" xr:uid="{00000000-0005-0000-0000-00008A010000}"/>
    <cellStyle name="20% - Accent6 15" xfId="451" xr:uid="{00000000-0005-0000-0000-00008B010000}"/>
    <cellStyle name="20% - Accent6 15 2" xfId="452" xr:uid="{00000000-0005-0000-0000-00008C010000}"/>
    <cellStyle name="20% - Accent6 15 3" xfId="453" xr:uid="{00000000-0005-0000-0000-00008D010000}"/>
    <cellStyle name="20% - Accent6 15 4" xfId="454" xr:uid="{00000000-0005-0000-0000-00008E010000}"/>
    <cellStyle name="20% - Accent6 15 5" xfId="455" xr:uid="{00000000-0005-0000-0000-00008F010000}"/>
    <cellStyle name="20% - Accent6 15 6" xfId="456" xr:uid="{00000000-0005-0000-0000-000090010000}"/>
    <cellStyle name="20% - Accent6 15 7" xfId="457" xr:uid="{00000000-0005-0000-0000-000091010000}"/>
    <cellStyle name="20% - Accent6 16" xfId="458" xr:uid="{00000000-0005-0000-0000-000092010000}"/>
    <cellStyle name="20% - Accent6 17" xfId="459" xr:uid="{00000000-0005-0000-0000-000093010000}"/>
    <cellStyle name="20% - Accent6 18" xfId="460" xr:uid="{00000000-0005-0000-0000-000094010000}"/>
    <cellStyle name="20% - Accent6 19" xfId="461" xr:uid="{00000000-0005-0000-0000-000095010000}"/>
    <cellStyle name="20% - Accent6 2" xfId="462" xr:uid="{00000000-0005-0000-0000-000096010000}"/>
    <cellStyle name="20% - Accent6 2 10" xfId="463" xr:uid="{00000000-0005-0000-0000-000097010000}"/>
    <cellStyle name="20% - Accent6 2 11" xfId="464" xr:uid="{00000000-0005-0000-0000-000098010000}"/>
    <cellStyle name="20% - Accent6 2 12" xfId="465" xr:uid="{00000000-0005-0000-0000-000099010000}"/>
    <cellStyle name="20% - Accent6 2 13" xfId="466" xr:uid="{00000000-0005-0000-0000-00009A010000}"/>
    <cellStyle name="20% - Accent6 2 14" xfId="467" xr:uid="{00000000-0005-0000-0000-00009B010000}"/>
    <cellStyle name="20% - Accent6 2 2" xfId="468" xr:uid="{00000000-0005-0000-0000-00009C010000}"/>
    <cellStyle name="20% - Accent6 2 3" xfId="469" xr:uid="{00000000-0005-0000-0000-00009D010000}"/>
    <cellStyle name="20% - Accent6 2 4" xfId="470" xr:uid="{00000000-0005-0000-0000-00009E010000}"/>
    <cellStyle name="20% - Accent6 2 5" xfId="471" xr:uid="{00000000-0005-0000-0000-00009F010000}"/>
    <cellStyle name="20% - Accent6 2 6" xfId="472" xr:uid="{00000000-0005-0000-0000-0000A0010000}"/>
    <cellStyle name="20% - Accent6 2 7" xfId="473" xr:uid="{00000000-0005-0000-0000-0000A1010000}"/>
    <cellStyle name="20% - Accent6 2 8" xfId="474" xr:uid="{00000000-0005-0000-0000-0000A2010000}"/>
    <cellStyle name="20% - Accent6 2 9" xfId="475" xr:uid="{00000000-0005-0000-0000-0000A3010000}"/>
    <cellStyle name="20% - Accent6 20" xfId="476" xr:uid="{00000000-0005-0000-0000-0000A4010000}"/>
    <cellStyle name="20% - Accent6 21" xfId="477" xr:uid="{00000000-0005-0000-0000-0000A5010000}"/>
    <cellStyle name="20% - Accent6 22" xfId="478" xr:uid="{00000000-0005-0000-0000-0000A6010000}"/>
    <cellStyle name="20% - Accent6 23" xfId="479" xr:uid="{00000000-0005-0000-0000-0000A7010000}"/>
    <cellStyle name="20% - Accent6 24" xfId="480" xr:uid="{00000000-0005-0000-0000-0000A8010000}"/>
    <cellStyle name="20% - Accent6 25" xfId="481" xr:uid="{00000000-0005-0000-0000-0000A9010000}"/>
    <cellStyle name="20% - Accent6 26" xfId="482" xr:uid="{00000000-0005-0000-0000-0000AA010000}"/>
    <cellStyle name="20% - Accent6 27" xfId="483" xr:uid="{00000000-0005-0000-0000-0000AB010000}"/>
    <cellStyle name="20% - Accent6 28" xfId="484" xr:uid="{00000000-0005-0000-0000-0000AC010000}"/>
    <cellStyle name="20% - Accent6 29" xfId="485" xr:uid="{00000000-0005-0000-0000-0000AD010000}"/>
    <cellStyle name="20% - Accent6 3" xfId="486" xr:uid="{00000000-0005-0000-0000-0000AE010000}"/>
    <cellStyle name="20% - Accent6 3 2" xfId="487" xr:uid="{00000000-0005-0000-0000-0000AF010000}"/>
    <cellStyle name="20% - Accent6 3 3" xfId="488" xr:uid="{00000000-0005-0000-0000-0000B0010000}"/>
    <cellStyle name="20% - Accent6 30" xfId="489" xr:uid="{00000000-0005-0000-0000-0000B1010000}"/>
    <cellStyle name="20% - Accent6 31" xfId="490" xr:uid="{00000000-0005-0000-0000-0000B2010000}"/>
    <cellStyle name="20% - Accent6 32" xfId="491" xr:uid="{00000000-0005-0000-0000-0000B3010000}"/>
    <cellStyle name="20% - Accent6 33" xfId="492" xr:uid="{00000000-0005-0000-0000-0000B4010000}"/>
    <cellStyle name="20% - Accent6 34" xfId="493" xr:uid="{00000000-0005-0000-0000-0000B5010000}"/>
    <cellStyle name="20% - Accent6 4" xfId="494" xr:uid="{00000000-0005-0000-0000-0000B6010000}"/>
    <cellStyle name="20% - Accent6 4 2" xfId="495" xr:uid="{00000000-0005-0000-0000-0000B7010000}"/>
    <cellStyle name="20% - Accent6 4 3" xfId="496" xr:uid="{00000000-0005-0000-0000-0000B8010000}"/>
    <cellStyle name="20% - Accent6 5" xfId="497" xr:uid="{00000000-0005-0000-0000-0000B9010000}"/>
    <cellStyle name="20% - Accent6 5 2" xfId="498" xr:uid="{00000000-0005-0000-0000-0000BA010000}"/>
    <cellStyle name="20% - Accent6 5 3" xfId="499" xr:uid="{00000000-0005-0000-0000-0000BB010000}"/>
    <cellStyle name="20% - Accent6 6" xfId="500" xr:uid="{00000000-0005-0000-0000-0000BC010000}"/>
    <cellStyle name="20% - Accent6 6 2" xfId="501" xr:uid="{00000000-0005-0000-0000-0000BD010000}"/>
    <cellStyle name="20% - Accent6 6 3" xfId="502" xr:uid="{00000000-0005-0000-0000-0000BE010000}"/>
    <cellStyle name="20% - Accent6 7" xfId="503" xr:uid="{00000000-0005-0000-0000-0000BF010000}"/>
    <cellStyle name="20% - Accent6 7 2" xfId="504" xr:uid="{00000000-0005-0000-0000-0000C0010000}"/>
    <cellStyle name="20% - Accent6 7 3" xfId="505" xr:uid="{00000000-0005-0000-0000-0000C1010000}"/>
    <cellStyle name="20% - Accent6 8" xfId="506" xr:uid="{00000000-0005-0000-0000-0000C2010000}"/>
    <cellStyle name="20% - Accent6 8 2" xfId="507" xr:uid="{00000000-0005-0000-0000-0000C3010000}"/>
    <cellStyle name="20% - Accent6 8 3" xfId="508" xr:uid="{00000000-0005-0000-0000-0000C4010000}"/>
    <cellStyle name="20% - Accent6 9" xfId="509" xr:uid="{00000000-0005-0000-0000-0000C5010000}"/>
    <cellStyle name="20% - Accent6 9 2" xfId="510" xr:uid="{00000000-0005-0000-0000-0000C6010000}"/>
    <cellStyle name="20% - Accent6 9 3" xfId="511" xr:uid="{00000000-0005-0000-0000-0000C7010000}"/>
    <cellStyle name="40% - Accent1 10" xfId="512" xr:uid="{00000000-0005-0000-0000-0000C8010000}"/>
    <cellStyle name="40% - Accent1 10 2" xfId="513" xr:uid="{00000000-0005-0000-0000-0000C9010000}"/>
    <cellStyle name="40% - Accent1 10 3" xfId="514" xr:uid="{00000000-0005-0000-0000-0000CA010000}"/>
    <cellStyle name="40% - Accent1 11" xfId="515" xr:uid="{00000000-0005-0000-0000-0000CB010000}"/>
    <cellStyle name="40% - Accent1 11 2" xfId="516" xr:uid="{00000000-0005-0000-0000-0000CC010000}"/>
    <cellStyle name="40% - Accent1 11 3" xfId="517" xr:uid="{00000000-0005-0000-0000-0000CD010000}"/>
    <cellStyle name="40% - Accent1 12" xfId="518" xr:uid="{00000000-0005-0000-0000-0000CE010000}"/>
    <cellStyle name="40% - Accent1 12 2" xfId="519" xr:uid="{00000000-0005-0000-0000-0000CF010000}"/>
    <cellStyle name="40% - Accent1 12 3" xfId="520" xr:uid="{00000000-0005-0000-0000-0000D0010000}"/>
    <cellStyle name="40% - Accent1 13" xfId="521" xr:uid="{00000000-0005-0000-0000-0000D1010000}"/>
    <cellStyle name="40% - Accent1 13 2" xfId="522" xr:uid="{00000000-0005-0000-0000-0000D2010000}"/>
    <cellStyle name="40% - Accent1 13 3" xfId="523" xr:uid="{00000000-0005-0000-0000-0000D3010000}"/>
    <cellStyle name="40% - Accent1 14" xfId="524" xr:uid="{00000000-0005-0000-0000-0000D4010000}"/>
    <cellStyle name="40% - Accent1 14 2" xfId="525" xr:uid="{00000000-0005-0000-0000-0000D5010000}"/>
    <cellStyle name="40% - Accent1 14 3" xfId="526" xr:uid="{00000000-0005-0000-0000-0000D6010000}"/>
    <cellStyle name="40% - Accent1 15" xfId="527" xr:uid="{00000000-0005-0000-0000-0000D7010000}"/>
    <cellStyle name="40% - Accent1 15 2" xfId="528" xr:uid="{00000000-0005-0000-0000-0000D8010000}"/>
    <cellStyle name="40% - Accent1 15 3" xfId="529" xr:uid="{00000000-0005-0000-0000-0000D9010000}"/>
    <cellStyle name="40% - Accent1 15 4" xfId="530" xr:uid="{00000000-0005-0000-0000-0000DA010000}"/>
    <cellStyle name="40% - Accent1 15 5" xfId="531" xr:uid="{00000000-0005-0000-0000-0000DB010000}"/>
    <cellStyle name="40% - Accent1 15 6" xfId="532" xr:uid="{00000000-0005-0000-0000-0000DC010000}"/>
    <cellStyle name="40% - Accent1 15 7" xfId="533" xr:uid="{00000000-0005-0000-0000-0000DD010000}"/>
    <cellStyle name="40% - Accent1 16" xfId="534" xr:uid="{00000000-0005-0000-0000-0000DE010000}"/>
    <cellStyle name="40% - Accent1 17" xfId="535" xr:uid="{00000000-0005-0000-0000-0000DF010000}"/>
    <cellStyle name="40% - Accent1 18" xfId="536" xr:uid="{00000000-0005-0000-0000-0000E0010000}"/>
    <cellStyle name="40% - Accent1 19" xfId="537" xr:uid="{00000000-0005-0000-0000-0000E1010000}"/>
    <cellStyle name="40% - Accent1 2" xfId="538" xr:uid="{00000000-0005-0000-0000-0000E2010000}"/>
    <cellStyle name="40% - Accent1 2 10" xfId="539" xr:uid="{00000000-0005-0000-0000-0000E3010000}"/>
    <cellStyle name="40% - Accent1 2 11" xfId="540" xr:uid="{00000000-0005-0000-0000-0000E4010000}"/>
    <cellStyle name="40% - Accent1 2 12" xfId="541" xr:uid="{00000000-0005-0000-0000-0000E5010000}"/>
    <cellStyle name="40% - Accent1 2 13" xfId="542" xr:uid="{00000000-0005-0000-0000-0000E6010000}"/>
    <cellStyle name="40% - Accent1 2 14" xfId="543" xr:uid="{00000000-0005-0000-0000-0000E7010000}"/>
    <cellStyle name="40% - Accent1 2 2" xfId="544" xr:uid="{00000000-0005-0000-0000-0000E8010000}"/>
    <cellStyle name="40% - Accent1 2 3" xfId="545" xr:uid="{00000000-0005-0000-0000-0000E9010000}"/>
    <cellStyle name="40% - Accent1 2 4" xfId="546" xr:uid="{00000000-0005-0000-0000-0000EA010000}"/>
    <cellStyle name="40% - Accent1 2 5" xfId="547" xr:uid="{00000000-0005-0000-0000-0000EB010000}"/>
    <cellStyle name="40% - Accent1 2 6" xfId="548" xr:uid="{00000000-0005-0000-0000-0000EC010000}"/>
    <cellStyle name="40% - Accent1 2 7" xfId="549" xr:uid="{00000000-0005-0000-0000-0000ED010000}"/>
    <cellStyle name="40% - Accent1 2 8" xfId="550" xr:uid="{00000000-0005-0000-0000-0000EE010000}"/>
    <cellStyle name="40% - Accent1 2 9" xfId="551" xr:uid="{00000000-0005-0000-0000-0000EF010000}"/>
    <cellStyle name="40% - Accent1 20" xfId="552" xr:uid="{00000000-0005-0000-0000-0000F0010000}"/>
    <cellStyle name="40% - Accent1 21" xfId="553" xr:uid="{00000000-0005-0000-0000-0000F1010000}"/>
    <cellStyle name="40% - Accent1 22" xfId="554" xr:uid="{00000000-0005-0000-0000-0000F2010000}"/>
    <cellStyle name="40% - Accent1 23" xfId="555" xr:uid="{00000000-0005-0000-0000-0000F3010000}"/>
    <cellStyle name="40% - Accent1 24" xfId="556" xr:uid="{00000000-0005-0000-0000-0000F4010000}"/>
    <cellStyle name="40% - Accent1 25" xfId="557" xr:uid="{00000000-0005-0000-0000-0000F5010000}"/>
    <cellStyle name="40% - Accent1 26" xfId="558" xr:uid="{00000000-0005-0000-0000-0000F6010000}"/>
    <cellStyle name="40% - Accent1 27" xfId="559" xr:uid="{00000000-0005-0000-0000-0000F7010000}"/>
    <cellStyle name="40% - Accent1 28" xfId="560" xr:uid="{00000000-0005-0000-0000-0000F8010000}"/>
    <cellStyle name="40% - Accent1 29" xfId="561" xr:uid="{00000000-0005-0000-0000-0000F9010000}"/>
    <cellStyle name="40% - Accent1 3" xfId="562" xr:uid="{00000000-0005-0000-0000-0000FA010000}"/>
    <cellStyle name="40% - Accent1 3 2" xfId="563" xr:uid="{00000000-0005-0000-0000-0000FB010000}"/>
    <cellStyle name="40% - Accent1 3 3" xfId="564" xr:uid="{00000000-0005-0000-0000-0000FC010000}"/>
    <cellStyle name="40% - Accent1 30" xfId="565" xr:uid="{00000000-0005-0000-0000-0000FD010000}"/>
    <cellStyle name="40% - Accent1 31" xfId="566" xr:uid="{00000000-0005-0000-0000-0000FE010000}"/>
    <cellStyle name="40% - Accent1 32" xfId="567" xr:uid="{00000000-0005-0000-0000-0000FF010000}"/>
    <cellStyle name="40% - Accent1 33" xfId="568" xr:uid="{00000000-0005-0000-0000-000000020000}"/>
    <cellStyle name="40% - Accent1 34" xfId="569" xr:uid="{00000000-0005-0000-0000-000001020000}"/>
    <cellStyle name="40% - Accent1 4" xfId="570" xr:uid="{00000000-0005-0000-0000-000002020000}"/>
    <cellStyle name="40% - Accent1 4 2" xfId="571" xr:uid="{00000000-0005-0000-0000-000003020000}"/>
    <cellStyle name="40% - Accent1 4 3" xfId="572" xr:uid="{00000000-0005-0000-0000-000004020000}"/>
    <cellStyle name="40% - Accent1 5" xfId="573" xr:uid="{00000000-0005-0000-0000-000005020000}"/>
    <cellStyle name="40% - Accent1 5 2" xfId="574" xr:uid="{00000000-0005-0000-0000-000006020000}"/>
    <cellStyle name="40% - Accent1 5 3" xfId="575" xr:uid="{00000000-0005-0000-0000-000007020000}"/>
    <cellStyle name="40% - Accent1 6" xfId="576" xr:uid="{00000000-0005-0000-0000-000008020000}"/>
    <cellStyle name="40% - Accent1 6 2" xfId="577" xr:uid="{00000000-0005-0000-0000-000009020000}"/>
    <cellStyle name="40% - Accent1 6 3" xfId="578" xr:uid="{00000000-0005-0000-0000-00000A020000}"/>
    <cellStyle name="40% - Accent1 7" xfId="579" xr:uid="{00000000-0005-0000-0000-00000B020000}"/>
    <cellStyle name="40% - Accent1 7 2" xfId="580" xr:uid="{00000000-0005-0000-0000-00000C020000}"/>
    <cellStyle name="40% - Accent1 7 3" xfId="581" xr:uid="{00000000-0005-0000-0000-00000D020000}"/>
    <cellStyle name="40% - Accent1 8" xfId="582" xr:uid="{00000000-0005-0000-0000-00000E020000}"/>
    <cellStyle name="40% - Accent1 8 2" xfId="583" xr:uid="{00000000-0005-0000-0000-00000F020000}"/>
    <cellStyle name="40% - Accent1 8 3" xfId="584" xr:uid="{00000000-0005-0000-0000-000010020000}"/>
    <cellStyle name="40% - Accent1 9" xfId="585" xr:uid="{00000000-0005-0000-0000-000011020000}"/>
    <cellStyle name="40% - Accent1 9 2" xfId="586" xr:uid="{00000000-0005-0000-0000-000012020000}"/>
    <cellStyle name="40% - Accent1 9 3" xfId="587" xr:uid="{00000000-0005-0000-0000-000013020000}"/>
    <cellStyle name="40% - Accent2 10" xfId="588" xr:uid="{00000000-0005-0000-0000-000014020000}"/>
    <cellStyle name="40% - Accent2 10 2" xfId="589" xr:uid="{00000000-0005-0000-0000-000015020000}"/>
    <cellStyle name="40% - Accent2 10 3" xfId="590" xr:uid="{00000000-0005-0000-0000-000016020000}"/>
    <cellStyle name="40% - Accent2 11" xfId="591" xr:uid="{00000000-0005-0000-0000-000017020000}"/>
    <cellStyle name="40% - Accent2 11 2" xfId="592" xr:uid="{00000000-0005-0000-0000-000018020000}"/>
    <cellStyle name="40% - Accent2 11 3" xfId="593" xr:uid="{00000000-0005-0000-0000-000019020000}"/>
    <cellStyle name="40% - Accent2 12" xfId="594" xr:uid="{00000000-0005-0000-0000-00001A020000}"/>
    <cellStyle name="40% - Accent2 12 2" xfId="595" xr:uid="{00000000-0005-0000-0000-00001B020000}"/>
    <cellStyle name="40% - Accent2 12 3" xfId="596" xr:uid="{00000000-0005-0000-0000-00001C020000}"/>
    <cellStyle name="40% - Accent2 13" xfId="597" xr:uid="{00000000-0005-0000-0000-00001D020000}"/>
    <cellStyle name="40% - Accent2 13 2" xfId="598" xr:uid="{00000000-0005-0000-0000-00001E020000}"/>
    <cellStyle name="40% - Accent2 13 3" xfId="599" xr:uid="{00000000-0005-0000-0000-00001F020000}"/>
    <cellStyle name="40% - Accent2 14" xfId="600" xr:uid="{00000000-0005-0000-0000-000020020000}"/>
    <cellStyle name="40% - Accent2 14 2" xfId="601" xr:uid="{00000000-0005-0000-0000-000021020000}"/>
    <cellStyle name="40% - Accent2 14 3" xfId="602" xr:uid="{00000000-0005-0000-0000-000022020000}"/>
    <cellStyle name="40% - Accent2 15" xfId="603" xr:uid="{00000000-0005-0000-0000-000023020000}"/>
    <cellStyle name="40% - Accent2 15 2" xfId="604" xr:uid="{00000000-0005-0000-0000-000024020000}"/>
    <cellStyle name="40% - Accent2 15 3" xfId="605" xr:uid="{00000000-0005-0000-0000-000025020000}"/>
    <cellStyle name="40% - Accent2 15 4" xfId="606" xr:uid="{00000000-0005-0000-0000-000026020000}"/>
    <cellStyle name="40% - Accent2 15 5" xfId="607" xr:uid="{00000000-0005-0000-0000-000027020000}"/>
    <cellStyle name="40% - Accent2 15 6" xfId="608" xr:uid="{00000000-0005-0000-0000-000028020000}"/>
    <cellStyle name="40% - Accent2 15 7" xfId="609" xr:uid="{00000000-0005-0000-0000-000029020000}"/>
    <cellStyle name="40% - Accent2 16" xfId="610" xr:uid="{00000000-0005-0000-0000-00002A020000}"/>
    <cellStyle name="40% - Accent2 17" xfId="611" xr:uid="{00000000-0005-0000-0000-00002B020000}"/>
    <cellStyle name="40% - Accent2 18" xfId="612" xr:uid="{00000000-0005-0000-0000-00002C020000}"/>
    <cellStyle name="40% - Accent2 19" xfId="613" xr:uid="{00000000-0005-0000-0000-00002D020000}"/>
    <cellStyle name="40% - Accent2 2" xfId="614" xr:uid="{00000000-0005-0000-0000-00002E020000}"/>
    <cellStyle name="40% - Accent2 2 10" xfId="615" xr:uid="{00000000-0005-0000-0000-00002F020000}"/>
    <cellStyle name="40% - Accent2 2 11" xfId="616" xr:uid="{00000000-0005-0000-0000-000030020000}"/>
    <cellStyle name="40% - Accent2 2 12" xfId="617" xr:uid="{00000000-0005-0000-0000-000031020000}"/>
    <cellStyle name="40% - Accent2 2 13" xfId="618" xr:uid="{00000000-0005-0000-0000-000032020000}"/>
    <cellStyle name="40% - Accent2 2 14" xfId="619" xr:uid="{00000000-0005-0000-0000-000033020000}"/>
    <cellStyle name="40% - Accent2 2 2" xfId="620" xr:uid="{00000000-0005-0000-0000-000034020000}"/>
    <cellStyle name="40% - Accent2 2 3" xfId="621" xr:uid="{00000000-0005-0000-0000-000035020000}"/>
    <cellStyle name="40% - Accent2 2 4" xfId="622" xr:uid="{00000000-0005-0000-0000-000036020000}"/>
    <cellStyle name="40% - Accent2 2 5" xfId="623" xr:uid="{00000000-0005-0000-0000-000037020000}"/>
    <cellStyle name="40% - Accent2 2 6" xfId="624" xr:uid="{00000000-0005-0000-0000-000038020000}"/>
    <cellStyle name="40% - Accent2 2 7" xfId="625" xr:uid="{00000000-0005-0000-0000-000039020000}"/>
    <cellStyle name="40% - Accent2 2 8" xfId="626" xr:uid="{00000000-0005-0000-0000-00003A020000}"/>
    <cellStyle name="40% - Accent2 2 9" xfId="627" xr:uid="{00000000-0005-0000-0000-00003B020000}"/>
    <cellStyle name="40% - Accent2 20" xfId="628" xr:uid="{00000000-0005-0000-0000-00003C020000}"/>
    <cellStyle name="40% - Accent2 21" xfId="629" xr:uid="{00000000-0005-0000-0000-00003D020000}"/>
    <cellStyle name="40% - Accent2 22" xfId="630" xr:uid="{00000000-0005-0000-0000-00003E020000}"/>
    <cellStyle name="40% - Accent2 23" xfId="631" xr:uid="{00000000-0005-0000-0000-00003F020000}"/>
    <cellStyle name="40% - Accent2 24" xfId="632" xr:uid="{00000000-0005-0000-0000-000040020000}"/>
    <cellStyle name="40% - Accent2 25" xfId="633" xr:uid="{00000000-0005-0000-0000-000041020000}"/>
    <cellStyle name="40% - Accent2 26" xfId="634" xr:uid="{00000000-0005-0000-0000-000042020000}"/>
    <cellStyle name="40% - Accent2 27" xfId="635" xr:uid="{00000000-0005-0000-0000-000043020000}"/>
    <cellStyle name="40% - Accent2 28" xfId="636" xr:uid="{00000000-0005-0000-0000-000044020000}"/>
    <cellStyle name="40% - Accent2 29" xfId="637" xr:uid="{00000000-0005-0000-0000-000045020000}"/>
    <cellStyle name="40% - Accent2 3" xfId="638" xr:uid="{00000000-0005-0000-0000-000046020000}"/>
    <cellStyle name="40% - Accent2 3 2" xfId="639" xr:uid="{00000000-0005-0000-0000-000047020000}"/>
    <cellStyle name="40% - Accent2 3 3" xfId="640" xr:uid="{00000000-0005-0000-0000-000048020000}"/>
    <cellStyle name="40% - Accent2 30" xfId="641" xr:uid="{00000000-0005-0000-0000-000049020000}"/>
    <cellStyle name="40% - Accent2 31" xfId="642" xr:uid="{00000000-0005-0000-0000-00004A020000}"/>
    <cellStyle name="40% - Accent2 32" xfId="643" xr:uid="{00000000-0005-0000-0000-00004B020000}"/>
    <cellStyle name="40% - Accent2 33" xfId="644" xr:uid="{00000000-0005-0000-0000-00004C020000}"/>
    <cellStyle name="40% - Accent2 34" xfId="645" xr:uid="{00000000-0005-0000-0000-00004D020000}"/>
    <cellStyle name="40% - Accent2 4" xfId="646" xr:uid="{00000000-0005-0000-0000-00004E020000}"/>
    <cellStyle name="40% - Accent2 4 2" xfId="647" xr:uid="{00000000-0005-0000-0000-00004F020000}"/>
    <cellStyle name="40% - Accent2 4 3" xfId="648" xr:uid="{00000000-0005-0000-0000-000050020000}"/>
    <cellStyle name="40% - Accent2 5" xfId="649" xr:uid="{00000000-0005-0000-0000-000051020000}"/>
    <cellStyle name="40% - Accent2 5 2" xfId="650" xr:uid="{00000000-0005-0000-0000-000052020000}"/>
    <cellStyle name="40% - Accent2 5 3" xfId="651" xr:uid="{00000000-0005-0000-0000-000053020000}"/>
    <cellStyle name="40% - Accent2 6" xfId="652" xr:uid="{00000000-0005-0000-0000-000054020000}"/>
    <cellStyle name="40% - Accent2 6 2" xfId="653" xr:uid="{00000000-0005-0000-0000-000055020000}"/>
    <cellStyle name="40% - Accent2 6 3" xfId="654" xr:uid="{00000000-0005-0000-0000-000056020000}"/>
    <cellStyle name="40% - Accent2 7" xfId="655" xr:uid="{00000000-0005-0000-0000-000057020000}"/>
    <cellStyle name="40% - Accent2 7 2" xfId="656" xr:uid="{00000000-0005-0000-0000-000058020000}"/>
    <cellStyle name="40% - Accent2 7 3" xfId="657" xr:uid="{00000000-0005-0000-0000-000059020000}"/>
    <cellStyle name="40% - Accent2 8" xfId="658" xr:uid="{00000000-0005-0000-0000-00005A020000}"/>
    <cellStyle name="40% - Accent2 8 2" xfId="659" xr:uid="{00000000-0005-0000-0000-00005B020000}"/>
    <cellStyle name="40% - Accent2 8 3" xfId="660" xr:uid="{00000000-0005-0000-0000-00005C020000}"/>
    <cellStyle name="40% - Accent2 9" xfId="661" xr:uid="{00000000-0005-0000-0000-00005D020000}"/>
    <cellStyle name="40% - Accent2 9 2" xfId="662" xr:uid="{00000000-0005-0000-0000-00005E020000}"/>
    <cellStyle name="40% - Accent2 9 3" xfId="663" xr:uid="{00000000-0005-0000-0000-00005F020000}"/>
    <cellStyle name="40% - Accent3" xfId="8" builtinId="39"/>
    <cellStyle name="40% - Accent3 10" xfId="664" xr:uid="{00000000-0005-0000-0000-000061020000}"/>
    <cellStyle name="40% - Accent3 10 2" xfId="665" xr:uid="{00000000-0005-0000-0000-000062020000}"/>
    <cellStyle name="40% - Accent3 10 3" xfId="666" xr:uid="{00000000-0005-0000-0000-000063020000}"/>
    <cellStyle name="40% - Accent3 11" xfId="667" xr:uid="{00000000-0005-0000-0000-000064020000}"/>
    <cellStyle name="40% - Accent3 11 2" xfId="668" xr:uid="{00000000-0005-0000-0000-000065020000}"/>
    <cellStyle name="40% - Accent3 11 3" xfId="669" xr:uid="{00000000-0005-0000-0000-000066020000}"/>
    <cellStyle name="40% - Accent3 12" xfId="670" xr:uid="{00000000-0005-0000-0000-000067020000}"/>
    <cellStyle name="40% - Accent3 12 2" xfId="671" xr:uid="{00000000-0005-0000-0000-000068020000}"/>
    <cellStyle name="40% - Accent3 12 3" xfId="672" xr:uid="{00000000-0005-0000-0000-000069020000}"/>
    <cellStyle name="40% - Accent3 13" xfId="673" xr:uid="{00000000-0005-0000-0000-00006A020000}"/>
    <cellStyle name="40% - Accent3 13 2" xfId="674" xr:uid="{00000000-0005-0000-0000-00006B020000}"/>
    <cellStyle name="40% - Accent3 13 3" xfId="675" xr:uid="{00000000-0005-0000-0000-00006C020000}"/>
    <cellStyle name="40% - Accent3 14" xfId="676" xr:uid="{00000000-0005-0000-0000-00006D020000}"/>
    <cellStyle name="40% - Accent3 14 2" xfId="677" xr:uid="{00000000-0005-0000-0000-00006E020000}"/>
    <cellStyle name="40% - Accent3 14 3" xfId="678" xr:uid="{00000000-0005-0000-0000-00006F020000}"/>
    <cellStyle name="40% - Accent3 15" xfId="679" xr:uid="{00000000-0005-0000-0000-000070020000}"/>
    <cellStyle name="40% - Accent3 15 2" xfId="680" xr:uid="{00000000-0005-0000-0000-000071020000}"/>
    <cellStyle name="40% - Accent3 15 3" xfId="681" xr:uid="{00000000-0005-0000-0000-000072020000}"/>
    <cellStyle name="40% - Accent3 15 4" xfId="682" xr:uid="{00000000-0005-0000-0000-000073020000}"/>
    <cellStyle name="40% - Accent3 15 5" xfId="683" xr:uid="{00000000-0005-0000-0000-000074020000}"/>
    <cellStyle name="40% - Accent3 15 6" xfId="684" xr:uid="{00000000-0005-0000-0000-000075020000}"/>
    <cellStyle name="40% - Accent3 15 7" xfId="685" xr:uid="{00000000-0005-0000-0000-000076020000}"/>
    <cellStyle name="40% - Accent3 16" xfId="686" xr:uid="{00000000-0005-0000-0000-000077020000}"/>
    <cellStyle name="40% - Accent3 17" xfId="687" xr:uid="{00000000-0005-0000-0000-000078020000}"/>
    <cellStyle name="40% - Accent3 18" xfId="688" xr:uid="{00000000-0005-0000-0000-000079020000}"/>
    <cellStyle name="40% - Accent3 19" xfId="689" xr:uid="{00000000-0005-0000-0000-00007A020000}"/>
    <cellStyle name="40% - Accent3 2" xfId="47" xr:uid="{00000000-0005-0000-0000-00007B020000}"/>
    <cellStyle name="40% - Accent3 2 10" xfId="691" xr:uid="{00000000-0005-0000-0000-00007C020000}"/>
    <cellStyle name="40% - Accent3 2 11" xfId="692" xr:uid="{00000000-0005-0000-0000-00007D020000}"/>
    <cellStyle name="40% - Accent3 2 12" xfId="693" xr:uid="{00000000-0005-0000-0000-00007E020000}"/>
    <cellStyle name="40% - Accent3 2 13" xfId="694" xr:uid="{00000000-0005-0000-0000-00007F020000}"/>
    <cellStyle name="40% - Accent3 2 14" xfId="695" xr:uid="{00000000-0005-0000-0000-000080020000}"/>
    <cellStyle name="40% - Accent3 2 15" xfId="690" xr:uid="{00000000-0005-0000-0000-000081020000}"/>
    <cellStyle name="40% - Accent3 2 2" xfId="696" xr:uid="{00000000-0005-0000-0000-000082020000}"/>
    <cellStyle name="40% - Accent3 2 3" xfId="697" xr:uid="{00000000-0005-0000-0000-000083020000}"/>
    <cellStyle name="40% - Accent3 2 4" xfId="698" xr:uid="{00000000-0005-0000-0000-000084020000}"/>
    <cellStyle name="40% - Accent3 2 5" xfId="699" xr:uid="{00000000-0005-0000-0000-000085020000}"/>
    <cellStyle name="40% - Accent3 2 6" xfId="700" xr:uid="{00000000-0005-0000-0000-000086020000}"/>
    <cellStyle name="40% - Accent3 2 7" xfId="701" xr:uid="{00000000-0005-0000-0000-000087020000}"/>
    <cellStyle name="40% - Accent3 2 8" xfId="702" xr:uid="{00000000-0005-0000-0000-000088020000}"/>
    <cellStyle name="40% - Accent3 2 9" xfId="703" xr:uid="{00000000-0005-0000-0000-000089020000}"/>
    <cellStyle name="40% - Accent3 20" xfId="704" xr:uid="{00000000-0005-0000-0000-00008A020000}"/>
    <cellStyle name="40% - Accent3 21" xfId="705" xr:uid="{00000000-0005-0000-0000-00008B020000}"/>
    <cellStyle name="40% - Accent3 22" xfId="706" xr:uid="{00000000-0005-0000-0000-00008C020000}"/>
    <cellStyle name="40% - Accent3 23" xfId="707" xr:uid="{00000000-0005-0000-0000-00008D020000}"/>
    <cellStyle name="40% - Accent3 24" xfId="708" xr:uid="{00000000-0005-0000-0000-00008E020000}"/>
    <cellStyle name="40% - Accent3 25" xfId="709" xr:uid="{00000000-0005-0000-0000-00008F020000}"/>
    <cellStyle name="40% - Accent3 26" xfId="710" xr:uid="{00000000-0005-0000-0000-000090020000}"/>
    <cellStyle name="40% - Accent3 27" xfId="711" xr:uid="{00000000-0005-0000-0000-000091020000}"/>
    <cellStyle name="40% - Accent3 28" xfId="712" xr:uid="{00000000-0005-0000-0000-000092020000}"/>
    <cellStyle name="40% - Accent3 29" xfId="713" xr:uid="{00000000-0005-0000-0000-000093020000}"/>
    <cellStyle name="40% - Accent3 3" xfId="714" xr:uid="{00000000-0005-0000-0000-000094020000}"/>
    <cellStyle name="40% - Accent3 3 2" xfId="715" xr:uid="{00000000-0005-0000-0000-000095020000}"/>
    <cellStyle name="40% - Accent3 3 3" xfId="716" xr:uid="{00000000-0005-0000-0000-000096020000}"/>
    <cellStyle name="40% - Accent3 30" xfId="717" xr:uid="{00000000-0005-0000-0000-000097020000}"/>
    <cellStyle name="40% - Accent3 31" xfId="718" xr:uid="{00000000-0005-0000-0000-000098020000}"/>
    <cellStyle name="40% - Accent3 32" xfId="719" xr:uid="{00000000-0005-0000-0000-000099020000}"/>
    <cellStyle name="40% - Accent3 33" xfId="720" xr:uid="{00000000-0005-0000-0000-00009A020000}"/>
    <cellStyle name="40% - Accent3 34" xfId="721" xr:uid="{00000000-0005-0000-0000-00009B020000}"/>
    <cellStyle name="40% - Accent3 4" xfId="722" xr:uid="{00000000-0005-0000-0000-00009C020000}"/>
    <cellStyle name="40% - Accent3 4 2" xfId="723" xr:uid="{00000000-0005-0000-0000-00009D020000}"/>
    <cellStyle name="40% - Accent3 4 3" xfId="724" xr:uid="{00000000-0005-0000-0000-00009E020000}"/>
    <cellStyle name="40% - Accent3 5" xfId="725" xr:uid="{00000000-0005-0000-0000-00009F020000}"/>
    <cellStyle name="40% - Accent3 5 2" xfId="726" xr:uid="{00000000-0005-0000-0000-0000A0020000}"/>
    <cellStyle name="40% - Accent3 5 3" xfId="727" xr:uid="{00000000-0005-0000-0000-0000A1020000}"/>
    <cellStyle name="40% - Accent3 6" xfId="728" xr:uid="{00000000-0005-0000-0000-0000A2020000}"/>
    <cellStyle name="40% - Accent3 6 2" xfId="729" xr:uid="{00000000-0005-0000-0000-0000A3020000}"/>
    <cellStyle name="40% - Accent3 6 3" xfId="730" xr:uid="{00000000-0005-0000-0000-0000A4020000}"/>
    <cellStyle name="40% - Accent3 7" xfId="731" xr:uid="{00000000-0005-0000-0000-0000A5020000}"/>
    <cellStyle name="40% - Accent3 7 2" xfId="732" xr:uid="{00000000-0005-0000-0000-0000A6020000}"/>
    <cellStyle name="40% - Accent3 7 3" xfId="733" xr:uid="{00000000-0005-0000-0000-0000A7020000}"/>
    <cellStyle name="40% - Accent3 8" xfId="734" xr:uid="{00000000-0005-0000-0000-0000A8020000}"/>
    <cellStyle name="40% - Accent3 8 2" xfId="735" xr:uid="{00000000-0005-0000-0000-0000A9020000}"/>
    <cellStyle name="40% - Accent3 8 3" xfId="736" xr:uid="{00000000-0005-0000-0000-0000AA020000}"/>
    <cellStyle name="40% - Accent3 9" xfId="737" xr:uid="{00000000-0005-0000-0000-0000AB020000}"/>
    <cellStyle name="40% - Accent3 9 2" xfId="738" xr:uid="{00000000-0005-0000-0000-0000AC020000}"/>
    <cellStyle name="40% - Accent3 9 3" xfId="739" xr:uid="{00000000-0005-0000-0000-0000AD020000}"/>
    <cellStyle name="40% - Accent4 10" xfId="740" xr:uid="{00000000-0005-0000-0000-0000AE020000}"/>
    <cellStyle name="40% - Accent4 10 2" xfId="741" xr:uid="{00000000-0005-0000-0000-0000AF020000}"/>
    <cellStyle name="40% - Accent4 10 3" xfId="742" xr:uid="{00000000-0005-0000-0000-0000B0020000}"/>
    <cellStyle name="40% - Accent4 11" xfId="743" xr:uid="{00000000-0005-0000-0000-0000B1020000}"/>
    <cellStyle name="40% - Accent4 11 2" xfId="744" xr:uid="{00000000-0005-0000-0000-0000B2020000}"/>
    <cellStyle name="40% - Accent4 11 3" xfId="745" xr:uid="{00000000-0005-0000-0000-0000B3020000}"/>
    <cellStyle name="40% - Accent4 12" xfId="746" xr:uid="{00000000-0005-0000-0000-0000B4020000}"/>
    <cellStyle name="40% - Accent4 12 2" xfId="747" xr:uid="{00000000-0005-0000-0000-0000B5020000}"/>
    <cellStyle name="40% - Accent4 12 3" xfId="748" xr:uid="{00000000-0005-0000-0000-0000B6020000}"/>
    <cellStyle name="40% - Accent4 13" xfId="749" xr:uid="{00000000-0005-0000-0000-0000B7020000}"/>
    <cellStyle name="40% - Accent4 13 2" xfId="750" xr:uid="{00000000-0005-0000-0000-0000B8020000}"/>
    <cellStyle name="40% - Accent4 13 3" xfId="751" xr:uid="{00000000-0005-0000-0000-0000B9020000}"/>
    <cellStyle name="40% - Accent4 14" xfId="752" xr:uid="{00000000-0005-0000-0000-0000BA020000}"/>
    <cellStyle name="40% - Accent4 14 2" xfId="753" xr:uid="{00000000-0005-0000-0000-0000BB020000}"/>
    <cellStyle name="40% - Accent4 14 3" xfId="754" xr:uid="{00000000-0005-0000-0000-0000BC020000}"/>
    <cellStyle name="40% - Accent4 15" xfId="755" xr:uid="{00000000-0005-0000-0000-0000BD020000}"/>
    <cellStyle name="40% - Accent4 15 2" xfId="756" xr:uid="{00000000-0005-0000-0000-0000BE020000}"/>
    <cellStyle name="40% - Accent4 15 3" xfId="757" xr:uid="{00000000-0005-0000-0000-0000BF020000}"/>
    <cellStyle name="40% - Accent4 15 4" xfId="758" xr:uid="{00000000-0005-0000-0000-0000C0020000}"/>
    <cellStyle name="40% - Accent4 15 5" xfId="759" xr:uid="{00000000-0005-0000-0000-0000C1020000}"/>
    <cellStyle name="40% - Accent4 15 6" xfId="760" xr:uid="{00000000-0005-0000-0000-0000C2020000}"/>
    <cellStyle name="40% - Accent4 15 7" xfId="761" xr:uid="{00000000-0005-0000-0000-0000C3020000}"/>
    <cellStyle name="40% - Accent4 16" xfId="762" xr:uid="{00000000-0005-0000-0000-0000C4020000}"/>
    <cellStyle name="40% - Accent4 17" xfId="763" xr:uid="{00000000-0005-0000-0000-0000C5020000}"/>
    <cellStyle name="40% - Accent4 18" xfId="764" xr:uid="{00000000-0005-0000-0000-0000C6020000}"/>
    <cellStyle name="40% - Accent4 19" xfId="765" xr:uid="{00000000-0005-0000-0000-0000C7020000}"/>
    <cellStyle name="40% - Accent4 2" xfId="766" xr:uid="{00000000-0005-0000-0000-0000C8020000}"/>
    <cellStyle name="40% - Accent4 2 10" xfId="767" xr:uid="{00000000-0005-0000-0000-0000C9020000}"/>
    <cellStyle name="40% - Accent4 2 11" xfId="768" xr:uid="{00000000-0005-0000-0000-0000CA020000}"/>
    <cellStyle name="40% - Accent4 2 12" xfId="769" xr:uid="{00000000-0005-0000-0000-0000CB020000}"/>
    <cellStyle name="40% - Accent4 2 13" xfId="770" xr:uid="{00000000-0005-0000-0000-0000CC020000}"/>
    <cellStyle name="40% - Accent4 2 14" xfId="771" xr:uid="{00000000-0005-0000-0000-0000CD020000}"/>
    <cellStyle name="40% - Accent4 2 2" xfId="772" xr:uid="{00000000-0005-0000-0000-0000CE020000}"/>
    <cellStyle name="40% - Accent4 2 3" xfId="773" xr:uid="{00000000-0005-0000-0000-0000CF020000}"/>
    <cellStyle name="40% - Accent4 2 4" xfId="774" xr:uid="{00000000-0005-0000-0000-0000D0020000}"/>
    <cellStyle name="40% - Accent4 2 5" xfId="775" xr:uid="{00000000-0005-0000-0000-0000D1020000}"/>
    <cellStyle name="40% - Accent4 2 6" xfId="776" xr:uid="{00000000-0005-0000-0000-0000D2020000}"/>
    <cellStyle name="40% - Accent4 2 7" xfId="777" xr:uid="{00000000-0005-0000-0000-0000D3020000}"/>
    <cellStyle name="40% - Accent4 2 8" xfId="778" xr:uid="{00000000-0005-0000-0000-0000D4020000}"/>
    <cellStyle name="40% - Accent4 2 9" xfId="779" xr:uid="{00000000-0005-0000-0000-0000D5020000}"/>
    <cellStyle name="40% - Accent4 20" xfId="780" xr:uid="{00000000-0005-0000-0000-0000D6020000}"/>
    <cellStyle name="40% - Accent4 21" xfId="781" xr:uid="{00000000-0005-0000-0000-0000D7020000}"/>
    <cellStyle name="40% - Accent4 22" xfId="782" xr:uid="{00000000-0005-0000-0000-0000D8020000}"/>
    <cellStyle name="40% - Accent4 23" xfId="783" xr:uid="{00000000-0005-0000-0000-0000D9020000}"/>
    <cellStyle name="40% - Accent4 24" xfId="784" xr:uid="{00000000-0005-0000-0000-0000DA020000}"/>
    <cellStyle name="40% - Accent4 25" xfId="785" xr:uid="{00000000-0005-0000-0000-0000DB020000}"/>
    <cellStyle name="40% - Accent4 26" xfId="786" xr:uid="{00000000-0005-0000-0000-0000DC020000}"/>
    <cellStyle name="40% - Accent4 27" xfId="787" xr:uid="{00000000-0005-0000-0000-0000DD020000}"/>
    <cellStyle name="40% - Accent4 28" xfId="788" xr:uid="{00000000-0005-0000-0000-0000DE020000}"/>
    <cellStyle name="40% - Accent4 29" xfId="789" xr:uid="{00000000-0005-0000-0000-0000DF020000}"/>
    <cellStyle name="40% - Accent4 3" xfId="790" xr:uid="{00000000-0005-0000-0000-0000E0020000}"/>
    <cellStyle name="40% - Accent4 3 2" xfId="791" xr:uid="{00000000-0005-0000-0000-0000E1020000}"/>
    <cellStyle name="40% - Accent4 3 3" xfId="792" xr:uid="{00000000-0005-0000-0000-0000E2020000}"/>
    <cellStyle name="40% - Accent4 30" xfId="793" xr:uid="{00000000-0005-0000-0000-0000E3020000}"/>
    <cellStyle name="40% - Accent4 31" xfId="794" xr:uid="{00000000-0005-0000-0000-0000E4020000}"/>
    <cellStyle name="40% - Accent4 32" xfId="795" xr:uid="{00000000-0005-0000-0000-0000E5020000}"/>
    <cellStyle name="40% - Accent4 33" xfId="796" xr:uid="{00000000-0005-0000-0000-0000E6020000}"/>
    <cellStyle name="40% - Accent4 34" xfId="797" xr:uid="{00000000-0005-0000-0000-0000E7020000}"/>
    <cellStyle name="40% - Accent4 4" xfId="798" xr:uid="{00000000-0005-0000-0000-0000E8020000}"/>
    <cellStyle name="40% - Accent4 4 2" xfId="799" xr:uid="{00000000-0005-0000-0000-0000E9020000}"/>
    <cellStyle name="40% - Accent4 4 3" xfId="800" xr:uid="{00000000-0005-0000-0000-0000EA020000}"/>
    <cellStyle name="40% - Accent4 5" xfId="801" xr:uid="{00000000-0005-0000-0000-0000EB020000}"/>
    <cellStyle name="40% - Accent4 5 2" xfId="802" xr:uid="{00000000-0005-0000-0000-0000EC020000}"/>
    <cellStyle name="40% - Accent4 5 3" xfId="803" xr:uid="{00000000-0005-0000-0000-0000ED020000}"/>
    <cellStyle name="40% - Accent4 6" xfId="804" xr:uid="{00000000-0005-0000-0000-0000EE020000}"/>
    <cellStyle name="40% - Accent4 6 2" xfId="805" xr:uid="{00000000-0005-0000-0000-0000EF020000}"/>
    <cellStyle name="40% - Accent4 6 3" xfId="806" xr:uid="{00000000-0005-0000-0000-0000F0020000}"/>
    <cellStyle name="40% - Accent4 7" xfId="807" xr:uid="{00000000-0005-0000-0000-0000F1020000}"/>
    <cellStyle name="40% - Accent4 7 2" xfId="808" xr:uid="{00000000-0005-0000-0000-0000F2020000}"/>
    <cellStyle name="40% - Accent4 7 3" xfId="809" xr:uid="{00000000-0005-0000-0000-0000F3020000}"/>
    <cellStyle name="40% - Accent4 8" xfId="810" xr:uid="{00000000-0005-0000-0000-0000F4020000}"/>
    <cellStyle name="40% - Accent4 8 2" xfId="811" xr:uid="{00000000-0005-0000-0000-0000F5020000}"/>
    <cellStyle name="40% - Accent4 8 3" xfId="812" xr:uid="{00000000-0005-0000-0000-0000F6020000}"/>
    <cellStyle name="40% - Accent4 9" xfId="813" xr:uid="{00000000-0005-0000-0000-0000F7020000}"/>
    <cellStyle name="40% - Accent4 9 2" xfId="814" xr:uid="{00000000-0005-0000-0000-0000F8020000}"/>
    <cellStyle name="40% - Accent4 9 3" xfId="815" xr:uid="{00000000-0005-0000-0000-0000F9020000}"/>
    <cellStyle name="40% - Accent5 10" xfId="816" xr:uid="{00000000-0005-0000-0000-0000FA020000}"/>
    <cellStyle name="40% - Accent5 10 2" xfId="817" xr:uid="{00000000-0005-0000-0000-0000FB020000}"/>
    <cellStyle name="40% - Accent5 10 3" xfId="818" xr:uid="{00000000-0005-0000-0000-0000FC020000}"/>
    <cellStyle name="40% - Accent5 11" xfId="819" xr:uid="{00000000-0005-0000-0000-0000FD020000}"/>
    <cellStyle name="40% - Accent5 11 2" xfId="820" xr:uid="{00000000-0005-0000-0000-0000FE020000}"/>
    <cellStyle name="40% - Accent5 11 3" xfId="821" xr:uid="{00000000-0005-0000-0000-0000FF020000}"/>
    <cellStyle name="40% - Accent5 12" xfId="822" xr:uid="{00000000-0005-0000-0000-000000030000}"/>
    <cellStyle name="40% - Accent5 12 2" xfId="823" xr:uid="{00000000-0005-0000-0000-000001030000}"/>
    <cellStyle name="40% - Accent5 12 3" xfId="824" xr:uid="{00000000-0005-0000-0000-000002030000}"/>
    <cellStyle name="40% - Accent5 13" xfId="825" xr:uid="{00000000-0005-0000-0000-000003030000}"/>
    <cellStyle name="40% - Accent5 13 2" xfId="826" xr:uid="{00000000-0005-0000-0000-000004030000}"/>
    <cellStyle name="40% - Accent5 13 3" xfId="827" xr:uid="{00000000-0005-0000-0000-000005030000}"/>
    <cellStyle name="40% - Accent5 14" xfId="828" xr:uid="{00000000-0005-0000-0000-000006030000}"/>
    <cellStyle name="40% - Accent5 14 2" xfId="829" xr:uid="{00000000-0005-0000-0000-000007030000}"/>
    <cellStyle name="40% - Accent5 14 3" xfId="830" xr:uid="{00000000-0005-0000-0000-000008030000}"/>
    <cellStyle name="40% - Accent5 15" xfId="831" xr:uid="{00000000-0005-0000-0000-000009030000}"/>
    <cellStyle name="40% - Accent5 15 2" xfId="832" xr:uid="{00000000-0005-0000-0000-00000A030000}"/>
    <cellStyle name="40% - Accent5 15 3" xfId="833" xr:uid="{00000000-0005-0000-0000-00000B030000}"/>
    <cellStyle name="40% - Accent5 15 4" xfId="834" xr:uid="{00000000-0005-0000-0000-00000C030000}"/>
    <cellStyle name="40% - Accent5 15 5" xfId="835" xr:uid="{00000000-0005-0000-0000-00000D030000}"/>
    <cellStyle name="40% - Accent5 15 6" xfId="836" xr:uid="{00000000-0005-0000-0000-00000E030000}"/>
    <cellStyle name="40% - Accent5 15 7" xfId="837" xr:uid="{00000000-0005-0000-0000-00000F030000}"/>
    <cellStyle name="40% - Accent5 16" xfId="838" xr:uid="{00000000-0005-0000-0000-000010030000}"/>
    <cellStyle name="40% - Accent5 17" xfId="839" xr:uid="{00000000-0005-0000-0000-000011030000}"/>
    <cellStyle name="40% - Accent5 18" xfId="840" xr:uid="{00000000-0005-0000-0000-000012030000}"/>
    <cellStyle name="40% - Accent5 19" xfId="841" xr:uid="{00000000-0005-0000-0000-000013030000}"/>
    <cellStyle name="40% - Accent5 2" xfId="842" xr:uid="{00000000-0005-0000-0000-000014030000}"/>
    <cellStyle name="40% - Accent5 2 10" xfId="843" xr:uid="{00000000-0005-0000-0000-000015030000}"/>
    <cellStyle name="40% - Accent5 2 11" xfId="844" xr:uid="{00000000-0005-0000-0000-000016030000}"/>
    <cellStyle name="40% - Accent5 2 12" xfId="845" xr:uid="{00000000-0005-0000-0000-000017030000}"/>
    <cellStyle name="40% - Accent5 2 13" xfId="846" xr:uid="{00000000-0005-0000-0000-000018030000}"/>
    <cellStyle name="40% - Accent5 2 14" xfId="847" xr:uid="{00000000-0005-0000-0000-000019030000}"/>
    <cellStyle name="40% - Accent5 2 2" xfId="848" xr:uid="{00000000-0005-0000-0000-00001A030000}"/>
    <cellStyle name="40% - Accent5 2 3" xfId="849" xr:uid="{00000000-0005-0000-0000-00001B030000}"/>
    <cellStyle name="40% - Accent5 2 4" xfId="850" xr:uid="{00000000-0005-0000-0000-00001C030000}"/>
    <cellStyle name="40% - Accent5 2 5" xfId="851" xr:uid="{00000000-0005-0000-0000-00001D030000}"/>
    <cellStyle name="40% - Accent5 2 6" xfId="852" xr:uid="{00000000-0005-0000-0000-00001E030000}"/>
    <cellStyle name="40% - Accent5 2 7" xfId="853" xr:uid="{00000000-0005-0000-0000-00001F030000}"/>
    <cellStyle name="40% - Accent5 2 8" xfId="854" xr:uid="{00000000-0005-0000-0000-000020030000}"/>
    <cellStyle name="40% - Accent5 2 9" xfId="855" xr:uid="{00000000-0005-0000-0000-000021030000}"/>
    <cellStyle name="40% - Accent5 20" xfId="856" xr:uid="{00000000-0005-0000-0000-000022030000}"/>
    <cellStyle name="40% - Accent5 21" xfId="857" xr:uid="{00000000-0005-0000-0000-000023030000}"/>
    <cellStyle name="40% - Accent5 22" xfId="858" xr:uid="{00000000-0005-0000-0000-000024030000}"/>
    <cellStyle name="40% - Accent5 23" xfId="859" xr:uid="{00000000-0005-0000-0000-000025030000}"/>
    <cellStyle name="40% - Accent5 24" xfId="860" xr:uid="{00000000-0005-0000-0000-000026030000}"/>
    <cellStyle name="40% - Accent5 25" xfId="861" xr:uid="{00000000-0005-0000-0000-000027030000}"/>
    <cellStyle name="40% - Accent5 26" xfId="862" xr:uid="{00000000-0005-0000-0000-000028030000}"/>
    <cellStyle name="40% - Accent5 27" xfId="863" xr:uid="{00000000-0005-0000-0000-000029030000}"/>
    <cellStyle name="40% - Accent5 28" xfId="864" xr:uid="{00000000-0005-0000-0000-00002A030000}"/>
    <cellStyle name="40% - Accent5 29" xfId="865" xr:uid="{00000000-0005-0000-0000-00002B030000}"/>
    <cellStyle name="40% - Accent5 3" xfId="866" xr:uid="{00000000-0005-0000-0000-00002C030000}"/>
    <cellStyle name="40% - Accent5 3 2" xfId="867" xr:uid="{00000000-0005-0000-0000-00002D030000}"/>
    <cellStyle name="40% - Accent5 3 3" xfId="868" xr:uid="{00000000-0005-0000-0000-00002E030000}"/>
    <cellStyle name="40% - Accent5 30" xfId="869" xr:uid="{00000000-0005-0000-0000-00002F030000}"/>
    <cellStyle name="40% - Accent5 31" xfId="870" xr:uid="{00000000-0005-0000-0000-000030030000}"/>
    <cellStyle name="40% - Accent5 32" xfId="871" xr:uid="{00000000-0005-0000-0000-000031030000}"/>
    <cellStyle name="40% - Accent5 33" xfId="872" xr:uid="{00000000-0005-0000-0000-000032030000}"/>
    <cellStyle name="40% - Accent5 34" xfId="873" xr:uid="{00000000-0005-0000-0000-000033030000}"/>
    <cellStyle name="40% - Accent5 4" xfId="874" xr:uid="{00000000-0005-0000-0000-000034030000}"/>
    <cellStyle name="40% - Accent5 4 2" xfId="875" xr:uid="{00000000-0005-0000-0000-000035030000}"/>
    <cellStyle name="40% - Accent5 4 3" xfId="876" xr:uid="{00000000-0005-0000-0000-000036030000}"/>
    <cellStyle name="40% - Accent5 5" xfId="877" xr:uid="{00000000-0005-0000-0000-000037030000}"/>
    <cellStyle name="40% - Accent5 5 2" xfId="878" xr:uid="{00000000-0005-0000-0000-000038030000}"/>
    <cellStyle name="40% - Accent5 5 3" xfId="879" xr:uid="{00000000-0005-0000-0000-000039030000}"/>
    <cellStyle name="40% - Accent5 6" xfId="880" xr:uid="{00000000-0005-0000-0000-00003A030000}"/>
    <cellStyle name="40% - Accent5 6 2" xfId="881" xr:uid="{00000000-0005-0000-0000-00003B030000}"/>
    <cellStyle name="40% - Accent5 6 3" xfId="882" xr:uid="{00000000-0005-0000-0000-00003C030000}"/>
    <cellStyle name="40% - Accent5 7" xfId="883" xr:uid="{00000000-0005-0000-0000-00003D030000}"/>
    <cellStyle name="40% - Accent5 7 2" xfId="884" xr:uid="{00000000-0005-0000-0000-00003E030000}"/>
    <cellStyle name="40% - Accent5 7 3" xfId="885" xr:uid="{00000000-0005-0000-0000-00003F030000}"/>
    <cellStyle name="40% - Accent5 8" xfId="886" xr:uid="{00000000-0005-0000-0000-000040030000}"/>
    <cellStyle name="40% - Accent5 8 2" xfId="887" xr:uid="{00000000-0005-0000-0000-000041030000}"/>
    <cellStyle name="40% - Accent5 8 3" xfId="888" xr:uid="{00000000-0005-0000-0000-000042030000}"/>
    <cellStyle name="40% - Accent5 9" xfId="889" xr:uid="{00000000-0005-0000-0000-000043030000}"/>
    <cellStyle name="40% - Accent5 9 2" xfId="890" xr:uid="{00000000-0005-0000-0000-000044030000}"/>
    <cellStyle name="40% - Accent5 9 3" xfId="891" xr:uid="{00000000-0005-0000-0000-000045030000}"/>
    <cellStyle name="40% - Accent6 10" xfId="892" xr:uid="{00000000-0005-0000-0000-000046030000}"/>
    <cellStyle name="40% - Accent6 10 2" xfId="893" xr:uid="{00000000-0005-0000-0000-000047030000}"/>
    <cellStyle name="40% - Accent6 10 3" xfId="894" xr:uid="{00000000-0005-0000-0000-000048030000}"/>
    <cellStyle name="40% - Accent6 11" xfId="895" xr:uid="{00000000-0005-0000-0000-000049030000}"/>
    <cellStyle name="40% - Accent6 11 2" xfId="896" xr:uid="{00000000-0005-0000-0000-00004A030000}"/>
    <cellStyle name="40% - Accent6 11 3" xfId="897" xr:uid="{00000000-0005-0000-0000-00004B030000}"/>
    <cellStyle name="40% - Accent6 12" xfId="898" xr:uid="{00000000-0005-0000-0000-00004C030000}"/>
    <cellStyle name="40% - Accent6 12 2" xfId="899" xr:uid="{00000000-0005-0000-0000-00004D030000}"/>
    <cellStyle name="40% - Accent6 12 3" xfId="900" xr:uid="{00000000-0005-0000-0000-00004E030000}"/>
    <cellStyle name="40% - Accent6 13" xfId="901" xr:uid="{00000000-0005-0000-0000-00004F030000}"/>
    <cellStyle name="40% - Accent6 13 2" xfId="902" xr:uid="{00000000-0005-0000-0000-000050030000}"/>
    <cellStyle name="40% - Accent6 13 3" xfId="903" xr:uid="{00000000-0005-0000-0000-000051030000}"/>
    <cellStyle name="40% - Accent6 14" xfId="904" xr:uid="{00000000-0005-0000-0000-000052030000}"/>
    <cellStyle name="40% - Accent6 14 2" xfId="905" xr:uid="{00000000-0005-0000-0000-000053030000}"/>
    <cellStyle name="40% - Accent6 14 3" xfId="906" xr:uid="{00000000-0005-0000-0000-000054030000}"/>
    <cellStyle name="40% - Accent6 15" xfId="907" xr:uid="{00000000-0005-0000-0000-000055030000}"/>
    <cellStyle name="40% - Accent6 15 2" xfId="908" xr:uid="{00000000-0005-0000-0000-000056030000}"/>
    <cellStyle name="40% - Accent6 15 3" xfId="909" xr:uid="{00000000-0005-0000-0000-000057030000}"/>
    <cellStyle name="40% - Accent6 15 4" xfId="910" xr:uid="{00000000-0005-0000-0000-000058030000}"/>
    <cellStyle name="40% - Accent6 15 5" xfId="911" xr:uid="{00000000-0005-0000-0000-000059030000}"/>
    <cellStyle name="40% - Accent6 15 6" xfId="912" xr:uid="{00000000-0005-0000-0000-00005A030000}"/>
    <cellStyle name="40% - Accent6 15 7" xfId="913" xr:uid="{00000000-0005-0000-0000-00005B030000}"/>
    <cellStyle name="40% - Accent6 16" xfId="914" xr:uid="{00000000-0005-0000-0000-00005C030000}"/>
    <cellStyle name="40% - Accent6 17" xfId="915" xr:uid="{00000000-0005-0000-0000-00005D030000}"/>
    <cellStyle name="40% - Accent6 18" xfId="916" xr:uid="{00000000-0005-0000-0000-00005E030000}"/>
    <cellStyle name="40% - Accent6 19" xfId="917" xr:uid="{00000000-0005-0000-0000-00005F030000}"/>
    <cellStyle name="40% - Accent6 2" xfId="918" xr:uid="{00000000-0005-0000-0000-000060030000}"/>
    <cellStyle name="40% - Accent6 2 10" xfId="919" xr:uid="{00000000-0005-0000-0000-000061030000}"/>
    <cellStyle name="40% - Accent6 2 11" xfId="920" xr:uid="{00000000-0005-0000-0000-000062030000}"/>
    <cellStyle name="40% - Accent6 2 12" xfId="921" xr:uid="{00000000-0005-0000-0000-000063030000}"/>
    <cellStyle name="40% - Accent6 2 13" xfId="922" xr:uid="{00000000-0005-0000-0000-000064030000}"/>
    <cellStyle name="40% - Accent6 2 14" xfId="923" xr:uid="{00000000-0005-0000-0000-000065030000}"/>
    <cellStyle name="40% - Accent6 2 2" xfId="924" xr:uid="{00000000-0005-0000-0000-000066030000}"/>
    <cellStyle name="40% - Accent6 2 3" xfId="925" xr:uid="{00000000-0005-0000-0000-000067030000}"/>
    <cellStyle name="40% - Accent6 2 4" xfId="926" xr:uid="{00000000-0005-0000-0000-000068030000}"/>
    <cellStyle name="40% - Accent6 2 5" xfId="927" xr:uid="{00000000-0005-0000-0000-000069030000}"/>
    <cellStyle name="40% - Accent6 2 6" xfId="928" xr:uid="{00000000-0005-0000-0000-00006A030000}"/>
    <cellStyle name="40% - Accent6 2 7" xfId="929" xr:uid="{00000000-0005-0000-0000-00006B030000}"/>
    <cellStyle name="40% - Accent6 2 8" xfId="930" xr:uid="{00000000-0005-0000-0000-00006C030000}"/>
    <cellStyle name="40% - Accent6 2 9" xfId="931" xr:uid="{00000000-0005-0000-0000-00006D030000}"/>
    <cellStyle name="40% - Accent6 20" xfId="932" xr:uid="{00000000-0005-0000-0000-00006E030000}"/>
    <cellStyle name="40% - Accent6 21" xfId="933" xr:uid="{00000000-0005-0000-0000-00006F030000}"/>
    <cellStyle name="40% - Accent6 22" xfId="934" xr:uid="{00000000-0005-0000-0000-000070030000}"/>
    <cellStyle name="40% - Accent6 23" xfId="935" xr:uid="{00000000-0005-0000-0000-000071030000}"/>
    <cellStyle name="40% - Accent6 24" xfId="936" xr:uid="{00000000-0005-0000-0000-000072030000}"/>
    <cellStyle name="40% - Accent6 25" xfId="937" xr:uid="{00000000-0005-0000-0000-000073030000}"/>
    <cellStyle name="40% - Accent6 26" xfId="938" xr:uid="{00000000-0005-0000-0000-000074030000}"/>
    <cellStyle name="40% - Accent6 27" xfId="939" xr:uid="{00000000-0005-0000-0000-000075030000}"/>
    <cellStyle name="40% - Accent6 28" xfId="940" xr:uid="{00000000-0005-0000-0000-000076030000}"/>
    <cellStyle name="40% - Accent6 29" xfId="941" xr:uid="{00000000-0005-0000-0000-000077030000}"/>
    <cellStyle name="40% - Accent6 3" xfId="942" xr:uid="{00000000-0005-0000-0000-000078030000}"/>
    <cellStyle name="40% - Accent6 3 2" xfId="943" xr:uid="{00000000-0005-0000-0000-000079030000}"/>
    <cellStyle name="40% - Accent6 3 3" xfId="944" xr:uid="{00000000-0005-0000-0000-00007A030000}"/>
    <cellStyle name="40% - Accent6 30" xfId="945" xr:uid="{00000000-0005-0000-0000-00007B030000}"/>
    <cellStyle name="40% - Accent6 31" xfId="946" xr:uid="{00000000-0005-0000-0000-00007C030000}"/>
    <cellStyle name="40% - Accent6 32" xfId="947" xr:uid="{00000000-0005-0000-0000-00007D030000}"/>
    <cellStyle name="40% - Accent6 33" xfId="948" xr:uid="{00000000-0005-0000-0000-00007E030000}"/>
    <cellStyle name="40% - Accent6 34" xfId="949" xr:uid="{00000000-0005-0000-0000-00007F030000}"/>
    <cellStyle name="40% - Accent6 4" xfId="950" xr:uid="{00000000-0005-0000-0000-000080030000}"/>
    <cellStyle name="40% - Accent6 4 2" xfId="951" xr:uid="{00000000-0005-0000-0000-000081030000}"/>
    <cellStyle name="40% - Accent6 4 3" xfId="952" xr:uid="{00000000-0005-0000-0000-000082030000}"/>
    <cellStyle name="40% - Accent6 5" xfId="953" xr:uid="{00000000-0005-0000-0000-000083030000}"/>
    <cellStyle name="40% - Accent6 5 2" xfId="954" xr:uid="{00000000-0005-0000-0000-000084030000}"/>
    <cellStyle name="40% - Accent6 5 3" xfId="955" xr:uid="{00000000-0005-0000-0000-000085030000}"/>
    <cellStyle name="40% - Accent6 6" xfId="956" xr:uid="{00000000-0005-0000-0000-000086030000}"/>
    <cellStyle name="40% - Accent6 6 2" xfId="957" xr:uid="{00000000-0005-0000-0000-000087030000}"/>
    <cellStyle name="40% - Accent6 6 3" xfId="958" xr:uid="{00000000-0005-0000-0000-000088030000}"/>
    <cellStyle name="40% - Accent6 7" xfId="959" xr:uid="{00000000-0005-0000-0000-000089030000}"/>
    <cellStyle name="40% - Accent6 7 2" xfId="960" xr:uid="{00000000-0005-0000-0000-00008A030000}"/>
    <cellStyle name="40% - Accent6 7 3" xfId="961" xr:uid="{00000000-0005-0000-0000-00008B030000}"/>
    <cellStyle name="40% - Accent6 8" xfId="962" xr:uid="{00000000-0005-0000-0000-00008C030000}"/>
    <cellStyle name="40% - Accent6 8 2" xfId="963" xr:uid="{00000000-0005-0000-0000-00008D030000}"/>
    <cellStyle name="40% - Accent6 8 3" xfId="964" xr:uid="{00000000-0005-0000-0000-00008E030000}"/>
    <cellStyle name="40% - Accent6 9" xfId="965" xr:uid="{00000000-0005-0000-0000-00008F030000}"/>
    <cellStyle name="40% - Accent6 9 2" xfId="966" xr:uid="{00000000-0005-0000-0000-000090030000}"/>
    <cellStyle name="40% - Accent6 9 3" xfId="967" xr:uid="{00000000-0005-0000-0000-000091030000}"/>
    <cellStyle name="60% - Accent1 10" xfId="968" xr:uid="{00000000-0005-0000-0000-000092030000}"/>
    <cellStyle name="60% - Accent1 10 2" xfId="969" xr:uid="{00000000-0005-0000-0000-000093030000}"/>
    <cellStyle name="60% - Accent1 10 3" xfId="970" xr:uid="{00000000-0005-0000-0000-000094030000}"/>
    <cellStyle name="60% - Accent1 11" xfId="971" xr:uid="{00000000-0005-0000-0000-000095030000}"/>
    <cellStyle name="60% - Accent1 11 2" xfId="972" xr:uid="{00000000-0005-0000-0000-000096030000}"/>
    <cellStyle name="60% - Accent1 11 3" xfId="973" xr:uid="{00000000-0005-0000-0000-000097030000}"/>
    <cellStyle name="60% - Accent1 12" xfId="974" xr:uid="{00000000-0005-0000-0000-000098030000}"/>
    <cellStyle name="60% - Accent1 12 2" xfId="975" xr:uid="{00000000-0005-0000-0000-000099030000}"/>
    <cellStyle name="60% - Accent1 12 3" xfId="976" xr:uid="{00000000-0005-0000-0000-00009A030000}"/>
    <cellStyle name="60% - Accent1 13" xfId="977" xr:uid="{00000000-0005-0000-0000-00009B030000}"/>
    <cellStyle name="60% - Accent1 13 2" xfId="978" xr:uid="{00000000-0005-0000-0000-00009C030000}"/>
    <cellStyle name="60% - Accent1 13 3" xfId="979" xr:uid="{00000000-0005-0000-0000-00009D030000}"/>
    <cellStyle name="60% - Accent1 14" xfId="980" xr:uid="{00000000-0005-0000-0000-00009E030000}"/>
    <cellStyle name="60% - Accent1 14 2" xfId="981" xr:uid="{00000000-0005-0000-0000-00009F030000}"/>
    <cellStyle name="60% - Accent1 14 3" xfId="982" xr:uid="{00000000-0005-0000-0000-0000A0030000}"/>
    <cellStyle name="60% - Accent1 15" xfId="983" xr:uid="{00000000-0005-0000-0000-0000A1030000}"/>
    <cellStyle name="60% - Accent1 15 2" xfId="984" xr:uid="{00000000-0005-0000-0000-0000A2030000}"/>
    <cellStyle name="60% - Accent1 15 3" xfId="985" xr:uid="{00000000-0005-0000-0000-0000A3030000}"/>
    <cellStyle name="60% - Accent1 15 4" xfId="986" xr:uid="{00000000-0005-0000-0000-0000A4030000}"/>
    <cellStyle name="60% - Accent1 15 5" xfId="987" xr:uid="{00000000-0005-0000-0000-0000A5030000}"/>
    <cellStyle name="60% - Accent1 15 6" xfId="988" xr:uid="{00000000-0005-0000-0000-0000A6030000}"/>
    <cellStyle name="60% - Accent1 15 7" xfId="989" xr:uid="{00000000-0005-0000-0000-0000A7030000}"/>
    <cellStyle name="60% - Accent1 16" xfId="990" xr:uid="{00000000-0005-0000-0000-0000A8030000}"/>
    <cellStyle name="60% - Accent1 17" xfId="991" xr:uid="{00000000-0005-0000-0000-0000A9030000}"/>
    <cellStyle name="60% - Accent1 18" xfId="992" xr:uid="{00000000-0005-0000-0000-0000AA030000}"/>
    <cellStyle name="60% - Accent1 19" xfId="993" xr:uid="{00000000-0005-0000-0000-0000AB030000}"/>
    <cellStyle name="60% - Accent1 2" xfId="994" xr:uid="{00000000-0005-0000-0000-0000AC030000}"/>
    <cellStyle name="60% - Accent1 2 10" xfId="995" xr:uid="{00000000-0005-0000-0000-0000AD030000}"/>
    <cellStyle name="60% - Accent1 2 11" xfId="996" xr:uid="{00000000-0005-0000-0000-0000AE030000}"/>
    <cellStyle name="60% - Accent1 2 12" xfId="997" xr:uid="{00000000-0005-0000-0000-0000AF030000}"/>
    <cellStyle name="60% - Accent1 2 13" xfId="998" xr:uid="{00000000-0005-0000-0000-0000B0030000}"/>
    <cellStyle name="60% - Accent1 2 14" xfId="999" xr:uid="{00000000-0005-0000-0000-0000B1030000}"/>
    <cellStyle name="60% - Accent1 2 2" xfId="1000" xr:uid="{00000000-0005-0000-0000-0000B2030000}"/>
    <cellStyle name="60% - Accent1 2 3" xfId="1001" xr:uid="{00000000-0005-0000-0000-0000B3030000}"/>
    <cellStyle name="60% - Accent1 2 4" xfId="1002" xr:uid="{00000000-0005-0000-0000-0000B4030000}"/>
    <cellStyle name="60% - Accent1 2 5" xfId="1003" xr:uid="{00000000-0005-0000-0000-0000B5030000}"/>
    <cellStyle name="60% - Accent1 2 6" xfId="1004" xr:uid="{00000000-0005-0000-0000-0000B6030000}"/>
    <cellStyle name="60% - Accent1 2 7" xfId="1005" xr:uid="{00000000-0005-0000-0000-0000B7030000}"/>
    <cellStyle name="60% - Accent1 2 8" xfId="1006" xr:uid="{00000000-0005-0000-0000-0000B8030000}"/>
    <cellStyle name="60% - Accent1 2 9" xfId="1007" xr:uid="{00000000-0005-0000-0000-0000B9030000}"/>
    <cellStyle name="60% - Accent1 20" xfId="1008" xr:uid="{00000000-0005-0000-0000-0000BA030000}"/>
    <cellStyle name="60% - Accent1 21" xfId="1009" xr:uid="{00000000-0005-0000-0000-0000BB030000}"/>
    <cellStyle name="60% - Accent1 22" xfId="1010" xr:uid="{00000000-0005-0000-0000-0000BC030000}"/>
    <cellStyle name="60% - Accent1 23" xfId="1011" xr:uid="{00000000-0005-0000-0000-0000BD030000}"/>
    <cellStyle name="60% - Accent1 24" xfId="1012" xr:uid="{00000000-0005-0000-0000-0000BE030000}"/>
    <cellStyle name="60% - Accent1 25" xfId="1013" xr:uid="{00000000-0005-0000-0000-0000BF030000}"/>
    <cellStyle name="60% - Accent1 26" xfId="1014" xr:uid="{00000000-0005-0000-0000-0000C0030000}"/>
    <cellStyle name="60% - Accent1 27" xfId="1015" xr:uid="{00000000-0005-0000-0000-0000C1030000}"/>
    <cellStyle name="60% - Accent1 28" xfId="1016" xr:uid="{00000000-0005-0000-0000-0000C2030000}"/>
    <cellStyle name="60% - Accent1 29" xfId="1017" xr:uid="{00000000-0005-0000-0000-0000C3030000}"/>
    <cellStyle name="60% - Accent1 3" xfId="1018" xr:uid="{00000000-0005-0000-0000-0000C4030000}"/>
    <cellStyle name="60% - Accent1 3 2" xfId="1019" xr:uid="{00000000-0005-0000-0000-0000C5030000}"/>
    <cellStyle name="60% - Accent1 3 3" xfId="1020" xr:uid="{00000000-0005-0000-0000-0000C6030000}"/>
    <cellStyle name="60% - Accent1 30" xfId="1021" xr:uid="{00000000-0005-0000-0000-0000C7030000}"/>
    <cellStyle name="60% - Accent1 31" xfId="1022" xr:uid="{00000000-0005-0000-0000-0000C8030000}"/>
    <cellStyle name="60% - Accent1 32" xfId="1023" xr:uid="{00000000-0005-0000-0000-0000C9030000}"/>
    <cellStyle name="60% - Accent1 33" xfId="1024" xr:uid="{00000000-0005-0000-0000-0000CA030000}"/>
    <cellStyle name="60% - Accent1 34" xfId="1025" xr:uid="{00000000-0005-0000-0000-0000CB030000}"/>
    <cellStyle name="60% - Accent1 4" xfId="1026" xr:uid="{00000000-0005-0000-0000-0000CC030000}"/>
    <cellStyle name="60% - Accent1 4 2" xfId="1027" xr:uid="{00000000-0005-0000-0000-0000CD030000}"/>
    <cellStyle name="60% - Accent1 4 3" xfId="1028" xr:uid="{00000000-0005-0000-0000-0000CE030000}"/>
    <cellStyle name="60% - Accent1 5" xfId="1029" xr:uid="{00000000-0005-0000-0000-0000CF030000}"/>
    <cellStyle name="60% - Accent1 5 2" xfId="1030" xr:uid="{00000000-0005-0000-0000-0000D0030000}"/>
    <cellStyle name="60% - Accent1 5 3" xfId="1031" xr:uid="{00000000-0005-0000-0000-0000D1030000}"/>
    <cellStyle name="60% - Accent1 6" xfId="1032" xr:uid="{00000000-0005-0000-0000-0000D2030000}"/>
    <cellStyle name="60% - Accent1 6 2" xfId="1033" xr:uid="{00000000-0005-0000-0000-0000D3030000}"/>
    <cellStyle name="60% - Accent1 6 3" xfId="1034" xr:uid="{00000000-0005-0000-0000-0000D4030000}"/>
    <cellStyle name="60% - Accent1 7" xfId="1035" xr:uid="{00000000-0005-0000-0000-0000D5030000}"/>
    <cellStyle name="60% - Accent1 7 2" xfId="1036" xr:uid="{00000000-0005-0000-0000-0000D6030000}"/>
    <cellStyle name="60% - Accent1 7 3" xfId="1037" xr:uid="{00000000-0005-0000-0000-0000D7030000}"/>
    <cellStyle name="60% - Accent1 8" xfId="1038" xr:uid="{00000000-0005-0000-0000-0000D8030000}"/>
    <cellStyle name="60% - Accent1 8 2" xfId="1039" xr:uid="{00000000-0005-0000-0000-0000D9030000}"/>
    <cellStyle name="60% - Accent1 8 3" xfId="1040" xr:uid="{00000000-0005-0000-0000-0000DA030000}"/>
    <cellStyle name="60% - Accent1 9" xfId="1041" xr:uid="{00000000-0005-0000-0000-0000DB030000}"/>
    <cellStyle name="60% - Accent1 9 2" xfId="1042" xr:uid="{00000000-0005-0000-0000-0000DC030000}"/>
    <cellStyle name="60% - Accent1 9 3" xfId="1043" xr:uid="{00000000-0005-0000-0000-0000DD030000}"/>
    <cellStyle name="60% - Accent2 10" xfId="1044" xr:uid="{00000000-0005-0000-0000-0000DE030000}"/>
    <cellStyle name="60% - Accent2 10 2" xfId="1045" xr:uid="{00000000-0005-0000-0000-0000DF030000}"/>
    <cellStyle name="60% - Accent2 10 3" xfId="1046" xr:uid="{00000000-0005-0000-0000-0000E0030000}"/>
    <cellStyle name="60% - Accent2 11" xfId="1047" xr:uid="{00000000-0005-0000-0000-0000E1030000}"/>
    <cellStyle name="60% - Accent2 11 2" xfId="1048" xr:uid="{00000000-0005-0000-0000-0000E2030000}"/>
    <cellStyle name="60% - Accent2 11 3" xfId="1049" xr:uid="{00000000-0005-0000-0000-0000E3030000}"/>
    <cellStyle name="60% - Accent2 12" xfId="1050" xr:uid="{00000000-0005-0000-0000-0000E4030000}"/>
    <cellStyle name="60% - Accent2 12 2" xfId="1051" xr:uid="{00000000-0005-0000-0000-0000E5030000}"/>
    <cellStyle name="60% - Accent2 12 3" xfId="1052" xr:uid="{00000000-0005-0000-0000-0000E6030000}"/>
    <cellStyle name="60% - Accent2 13" xfId="1053" xr:uid="{00000000-0005-0000-0000-0000E7030000}"/>
    <cellStyle name="60% - Accent2 13 2" xfId="1054" xr:uid="{00000000-0005-0000-0000-0000E8030000}"/>
    <cellStyle name="60% - Accent2 13 3" xfId="1055" xr:uid="{00000000-0005-0000-0000-0000E9030000}"/>
    <cellStyle name="60% - Accent2 14" xfId="1056" xr:uid="{00000000-0005-0000-0000-0000EA030000}"/>
    <cellStyle name="60% - Accent2 14 2" xfId="1057" xr:uid="{00000000-0005-0000-0000-0000EB030000}"/>
    <cellStyle name="60% - Accent2 14 3" xfId="1058" xr:uid="{00000000-0005-0000-0000-0000EC030000}"/>
    <cellStyle name="60% - Accent2 15" xfId="1059" xr:uid="{00000000-0005-0000-0000-0000ED030000}"/>
    <cellStyle name="60% - Accent2 15 2" xfId="1060" xr:uid="{00000000-0005-0000-0000-0000EE030000}"/>
    <cellStyle name="60% - Accent2 15 3" xfId="1061" xr:uid="{00000000-0005-0000-0000-0000EF030000}"/>
    <cellStyle name="60% - Accent2 15 4" xfId="1062" xr:uid="{00000000-0005-0000-0000-0000F0030000}"/>
    <cellStyle name="60% - Accent2 15 5" xfId="1063" xr:uid="{00000000-0005-0000-0000-0000F1030000}"/>
    <cellStyle name="60% - Accent2 15 6" xfId="1064" xr:uid="{00000000-0005-0000-0000-0000F2030000}"/>
    <cellStyle name="60% - Accent2 15 7" xfId="1065" xr:uid="{00000000-0005-0000-0000-0000F3030000}"/>
    <cellStyle name="60% - Accent2 16" xfId="1066" xr:uid="{00000000-0005-0000-0000-0000F4030000}"/>
    <cellStyle name="60% - Accent2 17" xfId="1067" xr:uid="{00000000-0005-0000-0000-0000F5030000}"/>
    <cellStyle name="60% - Accent2 18" xfId="1068" xr:uid="{00000000-0005-0000-0000-0000F6030000}"/>
    <cellStyle name="60% - Accent2 19" xfId="1069" xr:uid="{00000000-0005-0000-0000-0000F7030000}"/>
    <cellStyle name="60% - Accent2 2" xfId="1070" xr:uid="{00000000-0005-0000-0000-0000F8030000}"/>
    <cellStyle name="60% - Accent2 2 10" xfId="1071" xr:uid="{00000000-0005-0000-0000-0000F9030000}"/>
    <cellStyle name="60% - Accent2 2 11" xfId="1072" xr:uid="{00000000-0005-0000-0000-0000FA030000}"/>
    <cellStyle name="60% - Accent2 2 12" xfId="1073" xr:uid="{00000000-0005-0000-0000-0000FB030000}"/>
    <cellStyle name="60% - Accent2 2 13" xfId="1074" xr:uid="{00000000-0005-0000-0000-0000FC030000}"/>
    <cellStyle name="60% - Accent2 2 14" xfId="1075" xr:uid="{00000000-0005-0000-0000-0000FD030000}"/>
    <cellStyle name="60% - Accent2 2 2" xfId="1076" xr:uid="{00000000-0005-0000-0000-0000FE030000}"/>
    <cellStyle name="60% - Accent2 2 3" xfId="1077" xr:uid="{00000000-0005-0000-0000-0000FF030000}"/>
    <cellStyle name="60% - Accent2 2 4" xfId="1078" xr:uid="{00000000-0005-0000-0000-000000040000}"/>
    <cellStyle name="60% - Accent2 2 5" xfId="1079" xr:uid="{00000000-0005-0000-0000-000001040000}"/>
    <cellStyle name="60% - Accent2 2 6" xfId="1080" xr:uid="{00000000-0005-0000-0000-000002040000}"/>
    <cellStyle name="60% - Accent2 2 7" xfId="1081" xr:uid="{00000000-0005-0000-0000-000003040000}"/>
    <cellStyle name="60% - Accent2 2 8" xfId="1082" xr:uid="{00000000-0005-0000-0000-000004040000}"/>
    <cellStyle name="60% - Accent2 2 9" xfId="1083" xr:uid="{00000000-0005-0000-0000-000005040000}"/>
    <cellStyle name="60% - Accent2 20" xfId="1084" xr:uid="{00000000-0005-0000-0000-000006040000}"/>
    <cellStyle name="60% - Accent2 21" xfId="1085" xr:uid="{00000000-0005-0000-0000-000007040000}"/>
    <cellStyle name="60% - Accent2 22" xfId="1086" xr:uid="{00000000-0005-0000-0000-000008040000}"/>
    <cellStyle name="60% - Accent2 23" xfId="1087" xr:uid="{00000000-0005-0000-0000-000009040000}"/>
    <cellStyle name="60% - Accent2 24" xfId="1088" xr:uid="{00000000-0005-0000-0000-00000A040000}"/>
    <cellStyle name="60% - Accent2 25" xfId="1089" xr:uid="{00000000-0005-0000-0000-00000B040000}"/>
    <cellStyle name="60% - Accent2 26" xfId="1090" xr:uid="{00000000-0005-0000-0000-00000C040000}"/>
    <cellStyle name="60% - Accent2 27" xfId="1091" xr:uid="{00000000-0005-0000-0000-00000D040000}"/>
    <cellStyle name="60% - Accent2 28" xfId="1092" xr:uid="{00000000-0005-0000-0000-00000E040000}"/>
    <cellStyle name="60% - Accent2 29" xfId="1093" xr:uid="{00000000-0005-0000-0000-00000F040000}"/>
    <cellStyle name="60% - Accent2 3" xfId="1094" xr:uid="{00000000-0005-0000-0000-000010040000}"/>
    <cellStyle name="60% - Accent2 3 2" xfId="1095" xr:uid="{00000000-0005-0000-0000-000011040000}"/>
    <cellStyle name="60% - Accent2 3 3" xfId="1096" xr:uid="{00000000-0005-0000-0000-000012040000}"/>
    <cellStyle name="60% - Accent2 30" xfId="1097" xr:uid="{00000000-0005-0000-0000-000013040000}"/>
    <cellStyle name="60% - Accent2 31" xfId="1098" xr:uid="{00000000-0005-0000-0000-000014040000}"/>
    <cellStyle name="60% - Accent2 32" xfId="1099" xr:uid="{00000000-0005-0000-0000-000015040000}"/>
    <cellStyle name="60% - Accent2 33" xfId="1100" xr:uid="{00000000-0005-0000-0000-000016040000}"/>
    <cellStyle name="60% - Accent2 34" xfId="1101" xr:uid="{00000000-0005-0000-0000-000017040000}"/>
    <cellStyle name="60% - Accent2 4" xfId="1102" xr:uid="{00000000-0005-0000-0000-000018040000}"/>
    <cellStyle name="60% - Accent2 4 2" xfId="1103" xr:uid="{00000000-0005-0000-0000-000019040000}"/>
    <cellStyle name="60% - Accent2 4 3" xfId="1104" xr:uid="{00000000-0005-0000-0000-00001A040000}"/>
    <cellStyle name="60% - Accent2 5" xfId="1105" xr:uid="{00000000-0005-0000-0000-00001B040000}"/>
    <cellStyle name="60% - Accent2 5 2" xfId="1106" xr:uid="{00000000-0005-0000-0000-00001C040000}"/>
    <cellStyle name="60% - Accent2 5 3" xfId="1107" xr:uid="{00000000-0005-0000-0000-00001D040000}"/>
    <cellStyle name="60% - Accent2 6" xfId="1108" xr:uid="{00000000-0005-0000-0000-00001E040000}"/>
    <cellStyle name="60% - Accent2 6 2" xfId="1109" xr:uid="{00000000-0005-0000-0000-00001F040000}"/>
    <cellStyle name="60% - Accent2 6 3" xfId="1110" xr:uid="{00000000-0005-0000-0000-000020040000}"/>
    <cellStyle name="60% - Accent2 7" xfId="1111" xr:uid="{00000000-0005-0000-0000-000021040000}"/>
    <cellStyle name="60% - Accent2 7 2" xfId="1112" xr:uid="{00000000-0005-0000-0000-000022040000}"/>
    <cellStyle name="60% - Accent2 7 3" xfId="1113" xr:uid="{00000000-0005-0000-0000-000023040000}"/>
    <cellStyle name="60% - Accent2 8" xfId="1114" xr:uid="{00000000-0005-0000-0000-000024040000}"/>
    <cellStyle name="60% - Accent2 8 2" xfId="1115" xr:uid="{00000000-0005-0000-0000-000025040000}"/>
    <cellStyle name="60% - Accent2 8 3" xfId="1116" xr:uid="{00000000-0005-0000-0000-000026040000}"/>
    <cellStyle name="60% - Accent2 9" xfId="1117" xr:uid="{00000000-0005-0000-0000-000027040000}"/>
    <cellStyle name="60% - Accent2 9 2" xfId="1118" xr:uid="{00000000-0005-0000-0000-000028040000}"/>
    <cellStyle name="60% - Accent2 9 3" xfId="1119" xr:uid="{00000000-0005-0000-0000-000029040000}"/>
    <cellStyle name="60% - Accent3 10" xfId="1120" xr:uid="{00000000-0005-0000-0000-00002A040000}"/>
    <cellStyle name="60% - Accent3 10 2" xfId="1121" xr:uid="{00000000-0005-0000-0000-00002B040000}"/>
    <cellStyle name="60% - Accent3 10 3" xfId="1122" xr:uid="{00000000-0005-0000-0000-00002C040000}"/>
    <cellStyle name="60% - Accent3 11" xfId="1123" xr:uid="{00000000-0005-0000-0000-00002D040000}"/>
    <cellStyle name="60% - Accent3 11 2" xfId="1124" xr:uid="{00000000-0005-0000-0000-00002E040000}"/>
    <cellStyle name="60% - Accent3 11 3" xfId="1125" xr:uid="{00000000-0005-0000-0000-00002F040000}"/>
    <cellStyle name="60% - Accent3 12" xfId="1126" xr:uid="{00000000-0005-0000-0000-000030040000}"/>
    <cellStyle name="60% - Accent3 12 2" xfId="1127" xr:uid="{00000000-0005-0000-0000-000031040000}"/>
    <cellStyle name="60% - Accent3 12 3" xfId="1128" xr:uid="{00000000-0005-0000-0000-000032040000}"/>
    <cellStyle name="60% - Accent3 13" xfId="1129" xr:uid="{00000000-0005-0000-0000-000033040000}"/>
    <cellStyle name="60% - Accent3 13 2" xfId="1130" xr:uid="{00000000-0005-0000-0000-000034040000}"/>
    <cellStyle name="60% - Accent3 13 3" xfId="1131" xr:uid="{00000000-0005-0000-0000-000035040000}"/>
    <cellStyle name="60% - Accent3 14" xfId="1132" xr:uid="{00000000-0005-0000-0000-000036040000}"/>
    <cellStyle name="60% - Accent3 14 2" xfId="1133" xr:uid="{00000000-0005-0000-0000-000037040000}"/>
    <cellStyle name="60% - Accent3 14 3" xfId="1134" xr:uid="{00000000-0005-0000-0000-000038040000}"/>
    <cellStyle name="60% - Accent3 15" xfId="1135" xr:uid="{00000000-0005-0000-0000-000039040000}"/>
    <cellStyle name="60% - Accent3 15 2" xfId="1136" xr:uid="{00000000-0005-0000-0000-00003A040000}"/>
    <cellStyle name="60% - Accent3 15 3" xfId="1137" xr:uid="{00000000-0005-0000-0000-00003B040000}"/>
    <cellStyle name="60% - Accent3 15 4" xfId="1138" xr:uid="{00000000-0005-0000-0000-00003C040000}"/>
    <cellStyle name="60% - Accent3 15 5" xfId="1139" xr:uid="{00000000-0005-0000-0000-00003D040000}"/>
    <cellStyle name="60% - Accent3 15 6" xfId="1140" xr:uid="{00000000-0005-0000-0000-00003E040000}"/>
    <cellStyle name="60% - Accent3 15 7" xfId="1141" xr:uid="{00000000-0005-0000-0000-00003F040000}"/>
    <cellStyle name="60% - Accent3 16" xfId="1142" xr:uid="{00000000-0005-0000-0000-000040040000}"/>
    <cellStyle name="60% - Accent3 17" xfId="1143" xr:uid="{00000000-0005-0000-0000-000041040000}"/>
    <cellStyle name="60% - Accent3 18" xfId="1144" xr:uid="{00000000-0005-0000-0000-000042040000}"/>
    <cellStyle name="60% - Accent3 19" xfId="1145" xr:uid="{00000000-0005-0000-0000-000043040000}"/>
    <cellStyle name="60% - Accent3 2" xfId="1146" xr:uid="{00000000-0005-0000-0000-000044040000}"/>
    <cellStyle name="60% - Accent3 2 10" xfId="1147" xr:uid="{00000000-0005-0000-0000-000045040000}"/>
    <cellStyle name="60% - Accent3 2 11" xfId="1148" xr:uid="{00000000-0005-0000-0000-000046040000}"/>
    <cellStyle name="60% - Accent3 2 12" xfId="1149" xr:uid="{00000000-0005-0000-0000-000047040000}"/>
    <cellStyle name="60% - Accent3 2 13" xfId="1150" xr:uid="{00000000-0005-0000-0000-000048040000}"/>
    <cellStyle name="60% - Accent3 2 14" xfId="1151" xr:uid="{00000000-0005-0000-0000-000049040000}"/>
    <cellStyle name="60% - Accent3 2 2" xfId="1152" xr:uid="{00000000-0005-0000-0000-00004A040000}"/>
    <cellStyle name="60% - Accent3 2 3" xfId="1153" xr:uid="{00000000-0005-0000-0000-00004B040000}"/>
    <cellStyle name="60% - Accent3 2 4" xfId="1154" xr:uid="{00000000-0005-0000-0000-00004C040000}"/>
    <cellStyle name="60% - Accent3 2 5" xfId="1155" xr:uid="{00000000-0005-0000-0000-00004D040000}"/>
    <cellStyle name="60% - Accent3 2 6" xfId="1156" xr:uid="{00000000-0005-0000-0000-00004E040000}"/>
    <cellStyle name="60% - Accent3 2 7" xfId="1157" xr:uid="{00000000-0005-0000-0000-00004F040000}"/>
    <cellStyle name="60% - Accent3 2 8" xfId="1158" xr:uid="{00000000-0005-0000-0000-000050040000}"/>
    <cellStyle name="60% - Accent3 2 9" xfId="1159" xr:uid="{00000000-0005-0000-0000-000051040000}"/>
    <cellStyle name="60% - Accent3 20" xfId="1160" xr:uid="{00000000-0005-0000-0000-000052040000}"/>
    <cellStyle name="60% - Accent3 21" xfId="1161" xr:uid="{00000000-0005-0000-0000-000053040000}"/>
    <cellStyle name="60% - Accent3 22" xfId="1162" xr:uid="{00000000-0005-0000-0000-000054040000}"/>
    <cellStyle name="60% - Accent3 23" xfId="1163" xr:uid="{00000000-0005-0000-0000-000055040000}"/>
    <cellStyle name="60% - Accent3 24" xfId="1164" xr:uid="{00000000-0005-0000-0000-000056040000}"/>
    <cellStyle name="60% - Accent3 25" xfId="1165" xr:uid="{00000000-0005-0000-0000-000057040000}"/>
    <cellStyle name="60% - Accent3 26" xfId="1166" xr:uid="{00000000-0005-0000-0000-000058040000}"/>
    <cellStyle name="60% - Accent3 27" xfId="1167" xr:uid="{00000000-0005-0000-0000-000059040000}"/>
    <cellStyle name="60% - Accent3 28" xfId="1168" xr:uid="{00000000-0005-0000-0000-00005A040000}"/>
    <cellStyle name="60% - Accent3 29" xfId="1169" xr:uid="{00000000-0005-0000-0000-00005B040000}"/>
    <cellStyle name="60% - Accent3 3" xfId="1170" xr:uid="{00000000-0005-0000-0000-00005C040000}"/>
    <cellStyle name="60% - Accent3 3 2" xfId="1171" xr:uid="{00000000-0005-0000-0000-00005D040000}"/>
    <cellStyle name="60% - Accent3 3 3" xfId="1172" xr:uid="{00000000-0005-0000-0000-00005E040000}"/>
    <cellStyle name="60% - Accent3 30" xfId="1173" xr:uid="{00000000-0005-0000-0000-00005F040000}"/>
    <cellStyle name="60% - Accent3 31" xfId="1174" xr:uid="{00000000-0005-0000-0000-000060040000}"/>
    <cellStyle name="60% - Accent3 32" xfId="1175" xr:uid="{00000000-0005-0000-0000-000061040000}"/>
    <cellStyle name="60% - Accent3 33" xfId="1176" xr:uid="{00000000-0005-0000-0000-000062040000}"/>
    <cellStyle name="60% - Accent3 34" xfId="1177" xr:uid="{00000000-0005-0000-0000-000063040000}"/>
    <cellStyle name="60% - Accent3 4" xfId="1178" xr:uid="{00000000-0005-0000-0000-000064040000}"/>
    <cellStyle name="60% - Accent3 4 2" xfId="1179" xr:uid="{00000000-0005-0000-0000-000065040000}"/>
    <cellStyle name="60% - Accent3 4 3" xfId="1180" xr:uid="{00000000-0005-0000-0000-000066040000}"/>
    <cellStyle name="60% - Accent3 5" xfId="1181" xr:uid="{00000000-0005-0000-0000-000067040000}"/>
    <cellStyle name="60% - Accent3 5 2" xfId="1182" xr:uid="{00000000-0005-0000-0000-000068040000}"/>
    <cellStyle name="60% - Accent3 5 3" xfId="1183" xr:uid="{00000000-0005-0000-0000-000069040000}"/>
    <cellStyle name="60% - Accent3 6" xfId="1184" xr:uid="{00000000-0005-0000-0000-00006A040000}"/>
    <cellStyle name="60% - Accent3 6 2" xfId="1185" xr:uid="{00000000-0005-0000-0000-00006B040000}"/>
    <cellStyle name="60% - Accent3 6 3" xfId="1186" xr:uid="{00000000-0005-0000-0000-00006C040000}"/>
    <cellStyle name="60% - Accent3 7" xfId="1187" xr:uid="{00000000-0005-0000-0000-00006D040000}"/>
    <cellStyle name="60% - Accent3 7 2" xfId="1188" xr:uid="{00000000-0005-0000-0000-00006E040000}"/>
    <cellStyle name="60% - Accent3 7 3" xfId="1189" xr:uid="{00000000-0005-0000-0000-00006F040000}"/>
    <cellStyle name="60% - Accent3 8" xfId="1190" xr:uid="{00000000-0005-0000-0000-000070040000}"/>
    <cellStyle name="60% - Accent3 8 2" xfId="1191" xr:uid="{00000000-0005-0000-0000-000071040000}"/>
    <cellStyle name="60% - Accent3 8 3" xfId="1192" xr:uid="{00000000-0005-0000-0000-000072040000}"/>
    <cellStyle name="60% - Accent3 9" xfId="1193" xr:uid="{00000000-0005-0000-0000-000073040000}"/>
    <cellStyle name="60% - Accent3 9 2" xfId="1194" xr:uid="{00000000-0005-0000-0000-000074040000}"/>
    <cellStyle name="60% - Accent3 9 3" xfId="1195" xr:uid="{00000000-0005-0000-0000-000075040000}"/>
    <cellStyle name="60% - Accent4 10" xfId="1196" xr:uid="{00000000-0005-0000-0000-000076040000}"/>
    <cellStyle name="60% - Accent4 10 2" xfId="1197" xr:uid="{00000000-0005-0000-0000-000077040000}"/>
    <cellStyle name="60% - Accent4 10 3" xfId="1198" xr:uid="{00000000-0005-0000-0000-000078040000}"/>
    <cellStyle name="60% - Accent4 11" xfId="1199" xr:uid="{00000000-0005-0000-0000-000079040000}"/>
    <cellStyle name="60% - Accent4 11 2" xfId="1200" xr:uid="{00000000-0005-0000-0000-00007A040000}"/>
    <cellStyle name="60% - Accent4 11 3" xfId="1201" xr:uid="{00000000-0005-0000-0000-00007B040000}"/>
    <cellStyle name="60% - Accent4 12" xfId="1202" xr:uid="{00000000-0005-0000-0000-00007C040000}"/>
    <cellStyle name="60% - Accent4 12 2" xfId="1203" xr:uid="{00000000-0005-0000-0000-00007D040000}"/>
    <cellStyle name="60% - Accent4 12 3" xfId="1204" xr:uid="{00000000-0005-0000-0000-00007E040000}"/>
    <cellStyle name="60% - Accent4 13" xfId="1205" xr:uid="{00000000-0005-0000-0000-00007F040000}"/>
    <cellStyle name="60% - Accent4 13 2" xfId="1206" xr:uid="{00000000-0005-0000-0000-000080040000}"/>
    <cellStyle name="60% - Accent4 13 3" xfId="1207" xr:uid="{00000000-0005-0000-0000-000081040000}"/>
    <cellStyle name="60% - Accent4 14" xfId="1208" xr:uid="{00000000-0005-0000-0000-000082040000}"/>
    <cellStyle name="60% - Accent4 14 2" xfId="1209" xr:uid="{00000000-0005-0000-0000-000083040000}"/>
    <cellStyle name="60% - Accent4 14 3" xfId="1210" xr:uid="{00000000-0005-0000-0000-000084040000}"/>
    <cellStyle name="60% - Accent4 15" xfId="1211" xr:uid="{00000000-0005-0000-0000-000085040000}"/>
    <cellStyle name="60% - Accent4 15 2" xfId="1212" xr:uid="{00000000-0005-0000-0000-000086040000}"/>
    <cellStyle name="60% - Accent4 15 3" xfId="1213" xr:uid="{00000000-0005-0000-0000-000087040000}"/>
    <cellStyle name="60% - Accent4 15 4" xfId="1214" xr:uid="{00000000-0005-0000-0000-000088040000}"/>
    <cellStyle name="60% - Accent4 15 5" xfId="1215" xr:uid="{00000000-0005-0000-0000-000089040000}"/>
    <cellStyle name="60% - Accent4 15 6" xfId="1216" xr:uid="{00000000-0005-0000-0000-00008A040000}"/>
    <cellStyle name="60% - Accent4 15 7" xfId="1217" xr:uid="{00000000-0005-0000-0000-00008B040000}"/>
    <cellStyle name="60% - Accent4 16" xfId="1218" xr:uid="{00000000-0005-0000-0000-00008C040000}"/>
    <cellStyle name="60% - Accent4 17" xfId="1219" xr:uid="{00000000-0005-0000-0000-00008D040000}"/>
    <cellStyle name="60% - Accent4 18" xfId="1220" xr:uid="{00000000-0005-0000-0000-00008E040000}"/>
    <cellStyle name="60% - Accent4 19" xfId="1221" xr:uid="{00000000-0005-0000-0000-00008F040000}"/>
    <cellStyle name="60% - Accent4 2" xfId="1222" xr:uid="{00000000-0005-0000-0000-000090040000}"/>
    <cellStyle name="60% - Accent4 2 10" xfId="1223" xr:uid="{00000000-0005-0000-0000-000091040000}"/>
    <cellStyle name="60% - Accent4 2 11" xfId="1224" xr:uid="{00000000-0005-0000-0000-000092040000}"/>
    <cellStyle name="60% - Accent4 2 12" xfId="1225" xr:uid="{00000000-0005-0000-0000-000093040000}"/>
    <cellStyle name="60% - Accent4 2 13" xfId="1226" xr:uid="{00000000-0005-0000-0000-000094040000}"/>
    <cellStyle name="60% - Accent4 2 14" xfId="1227" xr:uid="{00000000-0005-0000-0000-000095040000}"/>
    <cellStyle name="60% - Accent4 2 2" xfId="1228" xr:uid="{00000000-0005-0000-0000-000096040000}"/>
    <cellStyle name="60% - Accent4 2 3" xfId="1229" xr:uid="{00000000-0005-0000-0000-000097040000}"/>
    <cellStyle name="60% - Accent4 2 4" xfId="1230" xr:uid="{00000000-0005-0000-0000-000098040000}"/>
    <cellStyle name="60% - Accent4 2 5" xfId="1231" xr:uid="{00000000-0005-0000-0000-000099040000}"/>
    <cellStyle name="60% - Accent4 2 6" xfId="1232" xr:uid="{00000000-0005-0000-0000-00009A040000}"/>
    <cellStyle name="60% - Accent4 2 7" xfId="1233" xr:uid="{00000000-0005-0000-0000-00009B040000}"/>
    <cellStyle name="60% - Accent4 2 8" xfId="1234" xr:uid="{00000000-0005-0000-0000-00009C040000}"/>
    <cellStyle name="60% - Accent4 2 9" xfId="1235" xr:uid="{00000000-0005-0000-0000-00009D040000}"/>
    <cellStyle name="60% - Accent4 20" xfId="1236" xr:uid="{00000000-0005-0000-0000-00009E040000}"/>
    <cellStyle name="60% - Accent4 21" xfId="1237" xr:uid="{00000000-0005-0000-0000-00009F040000}"/>
    <cellStyle name="60% - Accent4 22" xfId="1238" xr:uid="{00000000-0005-0000-0000-0000A0040000}"/>
    <cellStyle name="60% - Accent4 23" xfId="1239" xr:uid="{00000000-0005-0000-0000-0000A1040000}"/>
    <cellStyle name="60% - Accent4 24" xfId="1240" xr:uid="{00000000-0005-0000-0000-0000A2040000}"/>
    <cellStyle name="60% - Accent4 25" xfId="1241" xr:uid="{00000000-0005-0000-0000-0000A3040000}"/>
    <cellStyle name="60% - Accent4 26" xfId="1242" xr:uid="{00000000-0005-0000-0000-0000A4040000}"/>
    <cellStyle name="60% - Accent4 27" xfId="1243" xr:uid="{00000000-0005-0000-0000-0000A5040000}"/>
    <cellStyle name="60% - Accent4 28" xfId="1244" xr:uid="{00000000-0005-0000-0000-0000A6040000}"/>
    <cellStyle name="60% - Accent4 29" xfId="1245" xr:uid="{00000000-0005-0000-0000-0000A7040000}"/>
    <cellStyle name="60% - Accent4 3" xfId="1246" xr:uid="{00000000-0005-0000-0000-0000A8040000}"/>
    <cellStyle name="60% - Accent4 3 2" xfId="1247" xr:uid="{00000000-0005-0000-0000-0000A9040000}"/>
    <cellStyle name="60% - Accent4 3 3" xfId="1248" xr:uid="{00000000-0005-0000-0000-0000AA040000}"/>
    <cellStyle name="60% - Accent4 30" xfId="1249" xr:uid="{00000000-0005-0000-0000-0000AB040000}"/>
    <cellStyle name="60% - Accent4 31" xfId="1250" xr:uid="{00000000-0005-0000-0000-0000AC040000}"/>
    <cellStyle name="60% - Accent4 32" xfId="1251" xr:uid="{00000000-0005-0000-0000-0000AD040000}"/>
    <cellStyle name="60% - Accent4 33" xfId="1252" xr:uid="{00000000-0005-0000-0000-0000AE040000}"/>
    <cellStyle name="60% - Accent4 34" xfId="1253" xr:uid="{00000000-0005-0000-0000-0000AF040000}"/>
    <cellStyle name="60% - Accent4 4" xfId="1254" xr:uid="{00000000-0005-0000-0000-0000B0040000}"/>
    <cellStyle name="60% - Accent4 4 2" xfId="1255" xr:uid="{00000000-0005-0000-0000-0000B1040000}"/>
    <cellStyle name="60% - Accent4 4 3" xfId="1256" xr:uid="{00000000-0005-0000-0000-0000B2040000}"/>
    <cellStyle name="60% - Accent4 5" xfId="1257" xr:uid="{00000000-0005-0000-0000-0000B3040000}"/>
    <cellStyle name="60% - Accent4 5 2" xfId="1258" xr:uid="{00000000-0005-0000-0000-0000B4040000}"/>
    <cellStyle name="60% - Accent4 5 3" xfId="1259" xr:uid="{00000000-0005-0000-0000-0000B5040000}"/>
    <cellStyle name="60% - Accent4 6" xfId="1260" xr:uid="{00000000-0005-0000-0000-0000B6040000}"/>
    <cellStyle name="60% - Accent4 6 2" xfId="1261" xr:uid="{00000000-0005-0000-0000-0000B7040000}"/>
    <cellStyle name="60% - Accent4 6 3" xfId="1262" xr:uid="{00000000-0005-0000-0000-0000B8040000}"/>
    <cellStyle name="60% - Accent4 7" xfId="1263" xr:uid="{00000000-0005-0000-0000-0000B9040000}"/>
    <cellStyle name="60% - Accent4 7 2" xfId="1264" xr:uid="{00000000-0005-0000-0000-0000BA040000}"/>
    <cellStyle name="60% - Accent4 7 3" xfId="1265" xr:uid="{00000000-0005-0000-0000-0000BB040000}"/>
    <cellStyle name="60% - Accent4 8" xfId="1266" xr:uid="{00000000-0005-0000-0000-0000BC040000}"/>
    <cellStyle name="60% - Accent4 8 2" xfId="1267" xr:uid="{00000000-0005-0000-0000-0000BD040000}"/>
    <cellStyle name="60% - Accent4 8 3" xfId="1268" xr:uid="{00000000-0005-0000-0000-0000BE040000}"/>
    <cellStyle name="60% - Accent4 9" xfId="1269" xr:uid="{00000000-0005-0000-0000-0000BF040000}"/>
    <cellStyle name="60% - Accent4 9 2" xfId="1270" xr:uid="{00000000-0005-0000-0000-0000C0040000}"/>
    <cellStyle name="60% - Accent4 9 3" xfId="1271" xr:uid="{00000000-0005-0000-0000-0000C1040000}"/>
    <cellStyle name="60% - Accent5 10" xfId="1272" xr:uid="{00000000-0005-0000-0000-0000C2040000}"/>
    <cellStyle name="60% - Accent5 10 2" xfId="1273" xr:uid="{00000000-0005-0000-0000-0000C3040000}"/>
    <cellStyle name="60% - Accent5 10 3" xfId="1274" xr:uid="{00000000-0005-0000-0000-0000C4040000}"/>
    <cellStyle name="60% - Accent5 11" xfId="1275" xr:uid="{00000000-0005-0000-0000-0000C5040000}"/>
    <cellStyle name="60% - Accent5 11 2" xfId="1276" xr:uid="{00000000-0005-0000-0000-0000C6040000}"/>
    <cellStyle name="60% - Accent5 11 3" xfId="1277" xr:uid="{00000000-0005-0000-0000-0000C7040000}"/>
    <cellStyle name="60% - Accent5 12" xfId="1278" xr:uid="{00000000-0005-0000-0000-0000C8040000}"/>
    <cellStyle name="60% - Accent5 12 2" xfId="1279" xr:uid="{00000000-0005-0000-0000-0000C9040000}"/>
    <cellStyle name="60% - Accent5 12 3" xfId="1280" xr:uid="{00000000-0005-0000-0000-0000CA040000}"/>
    <cellStyle name="60% - Accent5 13" xfId="1281" xr:uid="{00000000-0005-0000-0000-0000CB040000}"/>
    <cellStyle name="60% - Accent5 13 2" xfId="1282" xr:uid="{00000000-0005-0000-0000-0000CC040000}"/>
    <cellStyle name="60% - Accent5 13 3" xfId="1283" xr:uid="{00000000-0005-0000-0000-0000CD040000}"/>
    <cellStyle name="60% - Accent5 14" xfId="1284" xr:uid="{00000000-0005-0000-0000-0000CE040000}"/>
    <cellStyle name="60% - Accent5 14 2" xfId="1285" xr:uid="{00000000-0005-0000-0000-0000CF040000}"/>
    <cellStyle name="60% - Accent5 14 3" xfId="1286" xr:uid="{00000000-0005-0000-0000-0000D0040000}"/>
    <cellStyle name="60% - Accent5 15" xfId="1287" xr:uid="{00000000-0005-0000-0000-0000D1040000}"/>
    <cellStyle name="60% - Accent5 15 2" xfId="1288" xr:uid="{00000000-0005-0000-0000-0000D2040000}"/>
    <cellStyle name="60% - Accent5 15 3" xfId="1289" xr:uid="{00000000-0005-0000-0000-0000D3040000}"/>
    <cellStyle name="60% - Accent5 15 4" xfId="1290" xr:uid="{00000000-0005-0000-0000-0000D4040000}"/>
    <cellStyle name="60% - Accent5 15 5" xfId="1291" xr:uid="{00000000-0005-0000-0000-0000D5040000}"/>
    <cellStyle name="60% - Accent5 15 6" xfId="1292" xr:uid="{00000000-0005-0000-0000-0000D6040000}"/>
    <cellStyle name="60% - Accent5 15 7" xfId="1293" xr:uid="{00000000-0005-0000-0000-0000D7040000}"/>
    <cellStyle name="60% - Accent5 16" xfId="1294" xr:uid="{00000000-0005-0000-0000-0000D8040000}"/>
    <cellStyle name="60% - Accent5 17" xfId="1295" xr:uid="{00000000-0005-0000-0000-0000D9040000}"/>
    <cellStyle name="60% - Accent5 18" xfId="1296" xr:uid="{00000000-0005-0000-0000-0000DA040000}"/>
    <cellStyle name="60% - Accent5 19" xfId="1297" xr:uid="{00000000-0005-0000-0000-0000DB040000}"/>
    <cellStyle name="60% - Accent5 2" xfId="1298" xr:uid="{00000000-0005-0000-0000-0000DC040000}"/>
    <cellStyle name="60% - Accent5 2 10" xfId="1299" xr:uid="{00000000-0005-0000-0000-0000DD040000}"/>
    <cellStyle name="60% - Accent5 2 11" xfId="1300" xr:uid="{00000000-0005-0000-0000-0000DE040000}"/>
    <cellStyle name="60% - Accent5 2 12" xfId="1301" xr:uid="{00000000-0005-0000-0000-0000DF040000}"/>
    <cellStyle name="60% - Accent5 2 13" xfId="1302" xr:uid="{00000000-0005-0000-0000-0000E0040000}"/>
    <cellStyle name="60% - Accent5 2 14" xfId="1303" xr:uid="{00000000-0005-0000-0000-0000E1040000}"/>
    <cellStyle name="60% - Accent5 2 2" xfId="1304" xr:uid="{00000000-0005-0000-0000-0000E2040000}"/>
    <cellStyle name="60% - Accent5 2 3" xfId="1305" xr:uid="{00000000-0005-0000-0000-0000E3040000}"/>
    <cellStyle name="60% - Accent5 2 4" xfId="1306" xr:uid="{00000000-0005-0000-0000-0000E4040000}"/>
    <cellStyle name="60% - Accent5 2 5" xfId="1307" xr:uid="{00000000-0005-0000-0000-0000E5040000}"/>
    <cellStyle name="60% - Accent5 2 6" xfId="1308" xr:uid="{00000000-0005-0000-0000-0000E6040000}"/>
    <cellStyle name="60% - Accent5 2 7" xfId="1309" xr:uid="{00000000-0005-0000-0000-0000E7040000}"/>
    <cellStyle name="60% - Accent5 2 8" xfId="1310" xr:uid="{00000000-0005-0000-0000-0000E8040000}"/>
    <cellStyle name="60% - Accent5 2 9" xfId="1311" xr:uid="{00000000-0005-0000-0000-0000E9040000}"/>
    <cellStyle name="60% - Accent5 20" xfId="1312" xr:uid="{00000000-0005-0000-0000-0000EA040000}"/>
    <cellStyle name="60% - Accent5 21" xfId="1313" xr:uid="{00000000-0005-0000-0000-0000EB040000}"/>
    <cellStyle name="60% - Accent5 22" xfId="1314" xr:uid="{00000000-0005-0000-0000-0000EC040000}"/>
    <cellStyle name="60% - Accent5 23" xfId="1315" xr:uid="{00000000-0005-0000-0000-0000ED040000}"/>
    <cellStyle name="60% - Accent5 24" xfId="1316" xr:uid="{00000000-0005-0000-0000-0000EE040000}"/>
    <cellStyle name="60% - Accent5 25" xfId="1317" xr:uid="{00000000-0005-0000-0000-0000EF040000}"/>
    <cellStyle name="60% - Accent5 26" xfId="1318" xr:uid="{00000000-0005-0000-0000-0000F0040000}"/>
    <cellStyle name="60% - Accent5 27" xfId="1319" xr:uid="{00000000-0005-0000-0000-0000F1040000}"/>
    <cellStyle name="60% - Accent5 28" xfId="1320" xr:uid="{00000000-0005-0000-0000-0000F2040000}"/>
    <cellStyle name="60% - Accent5 29" xfId="1321" xr:uid="{00000000-0005-0000-0000-0000F3040000}"/>
    <cellStyle name="60% - Accent5 3" xfId="1322" xr:uid="{00000000-0005-0000-0000-0000F4040000}"/>
    <cellStyle name="60% - Accent5 3 2" xfId="1323" xr:uid="{00000000-0005-0000-0000-0000F5040000}"/>
    <cellStyle name="60% - Accent5 3 3" xfId="1324" xr:uid="{00000000-0005-0000-0000-0000F6040000}"/>
    <cellStyle name="60% - Accent5 30" xfId="1325" xr:uid="{00000000-0005-0000-0000-0000F7040000}"/>
    <cellStyle name="60% - Accent5 31" xfId="1326" xr:uid="{00000000-0005-0000-0000-0000F8040000}"/>
    <cellStyle name="60% - Accent5 32" xfId="1327" xr:uid="{00000000-0005-0000-0000-0000F9040000}"/>
    <cellStyle name="60% - Accent5 33" xfId="1328" xr:uid="{00000000-0005-0000-0000-0000FA040000}"/>
    <cellStyle name="60% - Accent5 34" xfId="1329" xr:uid="{00000000-0005-0000-0000-0000FB040000}"/>
    <cellStyle name="60% - Accent5 4" xfId="1330" xr:uid="{00000000-0005-0000-0000-0000FC040000}"/>
    <cellStyle name="60% - Accent5 4 2" xfId="1331" xr:uid="{00000000-0005-0000-0000-0000FD040000}"/>
    <cellStyle name="60% - Accent5 4 3" xfId="1332" xr:uid="{00000000-0005-0000-0000-0000FE040000}"/>
    <cellStyle name="60% - Accent5 5" xfId="1333" xr:uid="{00000000-0005-0000-0000-0000FF040000}"/>
    <cellStyle name="60% - Accent5 5 2" xfId="1334" xr:uid="{00000000-0005-0000-0000-000000050000}"/>
    <cellStyle name="60% - Accent5 5 3" xfId="1335" xr:uid="{00000000-0005-0000-0000-000001050000}"/>
    <cellStyle name="60% - Accent5 6" xfId="1336" xr:uid="{00000000-0005-0000-0000-000002050000}"/>
    <cellStyle name="60% - Accent5 6 2" xfId="1337" xr:uid="{00000000-0005-0000-0000-000003050000}"/>
    <cellStyle name="60% - Accent5 6 3" xfId="1338" xr:uid="{00000000-0005-0000-0000-000004050000}"/>
    <cellStyle name="60% - Accent5 7" xfId="1339" xr:uid="{00000000-0005-0000-0000-000005050000}"/>
    <cellStyle name="60% - Accent5 7 2" xfId="1340" xr:uid="{00000000-0005-0000-0000-000006050000}"/>
    <cellStyle name="60% - Accent5 7 3" xfId="1341" xr:uid="{00000000-0005-0000-0000-000007050000}"/>
    <cellStyle name="60% - Accent5 8" xfId="1342" xr:uid="{00000000-0005-0000-0000-000008050000}"/>
    <cellStyle name="60% - Accent5 8 2" xfId="1343" xr:uid="{00000000-0005-0000-0000-000009050000}"/>
    <cellStyle name="60% - Accent5 8 3" xfId="1344" xr:uid="{00000000-0005-0000-0000-00000A050000}"/>
    <cellStyle name="60% - Accent5 9" xfId="1345" xr:uid="{00000000-0005-0000-0000-00000B050000}"/>
    <cellStyle name="60% - Accent5 9 2" xfId="1346" xr:uid="{00000000-0005-0000-0000-00000C050000}"/>
    <cellStyle name="60% - Accent5 9 3" xfId="1347" xr:uid="{00000000-0005-0000-0000-00000D050000}"/>
    <cellStyle name="60% - Accent6 10" xfId="1348" xr:uid="{00000000-0005-0000-0000-00000E050000}"/>
    <cellStyle name="60% - Accent6 10 2" xfId="1349" xr:uid="{00000000-0005-0000-0000-00000F050000}"/>
    <cellStyle name="60% - Accent6 10 3" xfId="1350" xr:uid="{00000000-0005-0000-0000-000010050000}"/>
    <cellStyle name="60% - Accent6 11" xfId="1351" xr:uid="{00000000-0005-0000-0000-000011050000}"/>
    <cellStyle name="60% - Accent6 11 2" xfId="1352" xr:uid="{00000000-0005-0000-0000-000012050000}"/>
    <cellStyle name="60% - Accent6 11 3" xfId="1353" xr:uid="{00000000-0005-0000-0000-000013050000}"/>
    <cellStyle name="60% - Accent6 12" xfId="1354" xr:uid="{00000000-0005-0000-0000-000014050000}"/>
    <cellStyle name="60% - Accent6 12 2" xfId="1355" xr:uid="{00000000-0005-0000-0000-000015050000}"/>
    <cellStyle name="60% - Accent6 12 3" xfId="1356" xr:uid="{00000000-0005-0000-0000-000016050000}"/>
    <cellStyle name="60% - Accent6 13" xfId="1357" xr:uid="{00000000-0005-0000-0000-000017050000}"/>
    <cellStyle name="60% - Accent6 13 2" xfId="1358" xr:uid="{00000000-0005-0000-0000-000018050000}"/>
    <cellStyle name="60% - Accent6 13 3" xfId="1359" xr:uid="{00000000-0005-0000-0000-000019050000}"/>
    <cellStyle name="60% - Accent6 14" xfId="1360" xr:uid="{00000000-0005-0000-0000-00001A050000}"/>
    <cellStyle name="60% - Accent6 14 2" xfId="1361" xr:uid="{00000000-0005-0000-0000-00001B050000}"/>
    <cellStyle name="60% - Accent6 14 3" xfId="1362" xr:uid="{00000000-0005-0000-0000-00001C050000}"/>
    <cellStyle name="60% - Accent6 15" xfId="1363" xr:uid="{00000000-0005-0000-0000-00001D050000}"/>
    <cellStyle name="60% - Accent6 15 2" xfId="1364" xr:uid="{00000000-0005-0000-0000-00001E050000}"/>
    <cellStyle name="60% - Accent6 15 3" xfId="1365" xr:uid="{00000000-0005-0000-0000-00001F050000}"/>
    <cellStyle name="60% - Accent6 15 4" xfId="1366" xr:uid="{00000000-0005-0000-0000-000020050000}"/>
    <cellStyle name="60% - Accent6 15 5" xfId="1367" xr:uid="{00000000-0005-0000-0000-000021050000}"/>
    <cellStyle name="60% - Accent6 15 6" xfId="1368" xr:uid="{00000000-0005-0000-0000-000022050000}"/>
    <cellStyle name="60% - Accent6 15 7" xfId="1369" xr:uid="{00000000-0005-0000-0000-000023050000}"/>
    <cellStyle name="60% - Accent6 16" xfId="1370" xr:uid="{00000000-0005-0000-0000-000024050000}"/>
    <cellStyle name="60% - Accent6 17" xfId="1371" xr:uid="{00000000-0005-0000-0000-000025050000}"/>
    <cellStyle name="60% - Accent6 18" xfId="1372" xr:uid="{00000000-0005-0000-0000-000026050000}"/>
    <cellStyle name="60% - Accent6 19" xfId="1373" xr:uid="{00000000-0005-0000-0000-000027050000}"/>
    <cellStyle name="60% - Accent6 2" xfId="1374" xr:uid="{00000000-0005-0000-0000-000028050000}"/>
    <cellStyle name="60% - Accent6 2 10" xfId="1375" xr:uid="{00000000-0005-0000-0000-000029050000}"/>
    <cellStyle name="60% - Accent6 2 11" xfId="1376" xr:uid="{00000000-0005-0000-0000-00002A050000}"/>
    <cellStyle name="60% - Accent6 2 12" xfId="1377" xr:uid="{00000000-0005-0000-0000-00002B050000}"/>
    <cellStyle name="60% - Accent6 2 13" xfId="1378" xr:uid="{00000000-0005-0000-0000-00002C050000}"/>
    <cellStyle name="60% - Accent6 2 14" xfId="1379" xr:uid="{00000000-0005-0000-0000-00002D050000}"/>
    <cellStyle name="60% - Accent6 2 2" xfId="1380" xr:uid="{00000000-0005-0000-0000-00002E050000}"/>
    <cellStyle name="60% - Accent6 2 3" xfId="1381" xr:uid="{00000000-0005-0000-0000-00002F050000}"/>
    <cellStyle name="60% - Accent6 2 4" xfId="1382" xr:uid="{00000000-0005-0000-0000-000030050000}"/>
    <cellStyle name="60% - Accent6 2 5" xfId="1383" xr:uid="{00000000-0005-0000-0000-000031050000}"/>
    <cellStyle name="60% - Accent6 2 6" xfId="1384" xr:uid="{00000000-0005-0000-0000-000032050000}"/>
    <cellStyle name="60% - Accent6 2 7" xfId="1385" xr:uid="{00000000-0005-0000-0000-000033050000}"/>
    <cellStyle name="60% - Accent6 2 8" xfId="1386" xr:uid="{00000000-0005-0000-0000-000034050000}"/>
    <cellStyle name="60% - Accent6 2 9" xfId="1387" xr:uid="{00000000-0005-0000-0000-000035050000}"/>
    <cellStyle name="60% - Accent6 20" xfId="1388" xr:uid="{00000000-0005-0000-0000-000036050000}"/>
    <cellStyle name="60% - Accent6 21" xfId="1389" xr:uid="{00000000-0005-0000-0000-000037050000}"/>
    <cellStyle name="60% - Accent6 22" xfId="1390" xr:uid="{00000000-0005-0000-0000-000038050000}"/>
    <cellStyle name="60% - Accent6 23" xfId="1391" xr:uid="{00000000-0005-0000-0000-000039050000}"/>
    <cellStyle name="60% - Accent6 24" xfId="1392" xr:uid="{00000000-0005-0000-0000-00003A050000}"/>
    <cellStyle name="60% - Accent6 25" xfId="1393" xr:uid="{00000000-0005-0000-0000-00003B050000}"/>
    <cellStyle name="60% - Accent6 26" xfId="1394" xr:uid="{00000000-0005-0000-0000-00003C050000}"/>
    <cellStyle name="60% - Accent6 27" xfId="1395" xr:uid="{00000000-0005-0000-0000-00003D050000}"/>
    <cellStyle name="60% - Accent6 28" xfId="1396" xr:uid="{00000000-0005-0000-0000-00003E050000}"/>
    <cellStyle name="60% - Accent6 29" xfId="1397" xr:uid="{00000000-0005-0000-0000-00003F050000}"/>
    <cellStyle name="60% - Accent6 3" xfId="1398" xr:uid="{00000000-0005-0000-0000-000040050000}"/>
    <cellStyle name="60% - Accent6 3 2" xfId="1399" xr:uid="{00000000-0005-0000-0000-000041050000}"/>
    <cellStyle name="60% - Accent6 3 3" xfId="1400" xr:uid="{00000000-0005-0000-0000-000042050000}"/>
    <cellStyle name="60% - Accent6 30" xfId="1401" xr:uid="{00000000-0005-0000-0000-000043050000}"/>
    <cellStyle name="60% - Accent6 31" xfId="1402" xr:uid="{00000000-0005-0000-0000-000044050000}"/>
    <cellStyle name="60% - Accent6 32" xfId="1403" xr:uid="{00000000-0005-0000-0000-000045050000}"/>
    <cellStyle name="60% - Accent6 33" xfId="1404" xr:uid="{00000000-0005-0000-0000-000046050000}"/>
    <cellStyle name="60% - Accent6 34" xfId="1405" xr:uid="{00000000-0005-0000-0000-000047050000}"/>
    <cellStyle name="60% - Accent6 4" xfId="1406" xr:uid="{00000000-0005-0000-0000-000048050000}"/>
    <cellStyle name="60% - Accent6 4 2" xfId="1407" xr:uid="{00000000-0005-0000-0000-000049050000}"/>
    <cellStyle name="60% - Accent6 4 3" xfId="1408" xr:uid="{00000000-0005-0000-0000-00004A050000}"/>
    <cellStyle name="60% - Accent6 5" xfId="1409" xr:uid="{00000000-0005-0000-0000-00004B050000}"/>
    <cellStyle name="60% - Accent6 5 2" xfId="1410" xr:uid="{00000000-0005-0000-0000-00004C050000}"/>
    <cellStyle name="60% - Accent6 5 3" xfId="1411" xr:uid="{00000000-0005-0000-0000-00004D050000}"/>
    <cellStyle name="60% - Accent6 6" xfId="1412" xr:uid="{00000000-0005-0000-0000-00004E050000}"/>
    <cellStyle name="60% - Accent6 6 2" xfId="1413" xr:uid="{00000000-0005-0000-0000-00004F050000}"/>
    <cellStyle name="60% - Accent6 6 3" xfId="1414" xr:uid="{00000000-0005-0000-0000-000050050000}"/>
    <cellStyle name="60% - Accent6 7" xfId="1415" xr:uid="{00000000-0005-0000-0000-000051050000}"/>
    <cellStyle name="60% - Accent6 7 2" xfId="1416" xr:uid="{00000000-0005-0000-0000-000052050000}"/>
    <cellStyle name="60% - Accent6 7 3" xfId="1417" xr:uid="{00000000-0005-0000-0000-000053050000}"/>
    <cellStyle name="60% - Accent6 8" xfId="1418" xr:uid="{00000000-0005-0000-0000-000054050000}"/>
    <cellStyle name="60% - Accent6 8 2" xfId="1419" xr:uid="{00000000-0005-0000-0000-000055050000}"/>
    <cellStyle name="60% - Accent6 8 3" xfId="1420" xr:uid="{00000000-0005-0000-0000-000056050000}"/>
    <cellStyle name="60% - Accent6 9" xfId="1421" xr:uid="{00000000-0005-0000-0000-000057050000}"/>
    <cellStyle name="60% - Accent6 9 2" xfId="1422" xr:uid="{00000000-0005-0000-0000-000058050000}"/>
    <cellStyle name="60% - Accent6 9 3" xfId="1423" xr:uid="{00000000-0005-0000-0000-000059050000}"/>
    <cellStyle name="Accent1 10" xfId="1424" xr:uid="{00000000-0005-0000-0000-00005A050000}"/>
    <cellStyle name="Accent1 10 2" xfId="1425" xr:uid="{00000000-0005-0000-0000-00005B050000}"/>
    <cellStyle name="Accent1 10 3" xfId="1426" xr:uid="{00000000-0005-0000-0000-00005C050000}"/>
    <cellStyle name="Accent1 11" xfId="1427" xr:uid="{00000000-0005-0000-0000-00005D050000}"/>
    <cellStyle name="Accent1 11 2" xfId="1428" xr:uid="{00000000-0005-0000-0000-00005E050000}"/>
    <cellStyle name="Accent1 11 3" xfId="1429" xr:uid="{00000000-0005-0000-0000-00005F050000}"/>
    <cellStyle name="Accent1 12" xfId="1430" xr:uid="{00000000-0005-0000-0000-000060050000}"/>
    <cellStyle name="Accent1 12 2" xfId="1431" xr:uid="{00000000-0005-0000-0000-000061050000}"/>
    <cellStyle name="Accent1 12 3" xfId="1432" xr:uid="{00000000-0005-0000-0000-000062050000}"/>
    <cellStyle name="Accent1 13" xfId="1433" xr:uid="{00000000-0005-0000-0000-000063050000}"/>
    <cellStyle name="Accent1 13 2" xfId="1434" xr:uid="{00000000-0005-0000-0000-000064050000}"/>
    <cellStyle name="Accent1 13 3" xfId="1435" xr:uid="{00000000-0005-0000-0000-000065050000}"/>
    <cellStyle name="Accent1 14" xfId="1436" xr:uid="{00000000-0005-0000-0000-000066050000}"/>
    <cellStyle name="Accent1 14 2" xfId="1437" xr:uid="{00000000-0005-0000-0000-000067050000}"/>
    <cellStyle name="Accent1 14 3" xfId="1438" xr:uid="{00000000-0005-0000-0000-000068050000}"/>
    <cellStyle name="Accent1 15" xfId="1439" xr:uid="{00000000-0005-0000-0000-000069050000}"/>
    <cellStyle name="Accent1 15 2" xfId="1440" xr:uid="{00000000-0005-0000-0000-00006A050000}"/>
    <cellStyle name="Accent1 15 3" xfId="1441" xr:uid="{00000000-0005-0000-0000-00006B050000}"/>
    <cellStyle name="Accent1 15 4" xfId="1442" xr:uid="{00000000-0005-0000-0000-00006C050000}"/>
    <cellStyle name="Accent1 15 5" xfId="1443" xr:uid="{00000000-0005-0000-0000-00006D050000}"/>
    <cellStyle name="Accent1 15 6" xfId="1444" xr:uid="{00000000-0005-0000-0000-00006E050000}"/>
    <cellStyle name="Accent1 15 7" xfId="1445" xr:uid="{00000000-0005-0000-0000-00006F050000}"/>
    <cellStyle name="Accent1 16" xfId="1446" xr:uid="{00000000-0005-0000-0000-000070050000}"/>
    <cellStyle name="Accent1 17" xfId="1447" xr:uid="{00000000-0005-0000-0000-000071050000}"/>
    <cellStyle name="Accent1 18" xfId="1448" xr:uid="{00000000-0005-0000-0000-000072050000}"/>
    <cellStyle name="Accent1 19" xfId="1449" xr:uid="{00000000-0005-0000-0000-000073050000}"/>
    <cellStyle name="Accent1 2" xfId="1450" xr:uid="{00000000-0005-0000-0000-000074050000}"/>
    <cellStyle name="Accent1 2 10" xfId="1451" xr:uid="{00000000-0005-0000-0000-000075050000}"/>
    <cellStyle name="Accent1 2 11" xfId="1452" xr:uid="{00000000-0005-0000-0000-000076050000}"/>
    <cellStyle name="Accent1 2 12" xfId="1453" xr:uid="{00000000-0005-0000-0000-000077050000}"/>
    <cellStyle name="Accent1 2 13" xfId="1454" xr:uid="{00000000-0005-0000-0000-000078050000}"/>
    <cellStyle name="Accent1 2 14" xfId="1455" xr:uid="{00000000-0005-0000-0000-000079050000}"/>
    <cellStyle name="Accent1 2 2" xfId="1456" xr:uid="{00000000-0005-0000-0000-00007A050000}"/>
    <cellStyle name="Accent1 2 3" xfId="1457" xr:uid="{00000000-0005-0000-0000-00007B050000}"/>
    <cellStyle name="Accent1 2 4" xfId="1458" xr:uid="{00000000-0005-0000-0000-00007C050000}"/>
    <cellStyle name="Accent1 2 5" xfId="1459" xr:uid="{00000000-0005-0000-0000-00007D050000}"/>
    <cellStyle name="Accent1 2 6" xfId="1460" xr:uid="{00000000-0005-0000-0000-00007E050000}"/>
    <cellStyle name="Accent1 2 7" xfId="1461" xr:uid="{00000000-0005-0000-0000-00007F050000}"/>
    <cellStyle name="Accent1 2 8" xfId="1462" xr:uid="{00000000-0005-0000-0000-000080050000}"/>
    <cellStyle name="Accent1 2 9" xfId="1463" xr:uid="{00000000-0005-0000-0000-000081050000}"/>
    <cellStyle name="Accent1 20" xfId="1464" xr:uid="{00000000-0005-0000-0000-000082050000}"/>
    <cellStyle name="Accent1 21" xfId="1465" xr:uid="{00000000-0005-0000-0000-000083050000}"/>
    <cellStyle name="Accent1 22" xfId="1466" xr:uid="{00000000-0005-0000-0000-000084050000}"/>
    <cellStyle name="Accent1 23" xfId="1467" xr:uid="{00000000-0005-0000-0000-000085050000}"/>
    <cellStyle name="Accent1 24" xfId="1468" xr:uid="{00000000-0005-0000-0000-000086050000}"/>
    <cellStyle name="Accent1 25" xfId="1469" xr:uid="{00000000-0005-0000-0000-000087050000}"/>
    <cellStyle name="Accent1 26" xfId="1470" xr:uid="{00000000-0005-0000-0000-000088050000}"/>
    <cellStyle name="Accent1 27" xfId="1471" xr:uid="{00000000-0005-0000-0000-000089050000}"/>
    <cellStyle name="Accent1 28" xfId="1472" xr:uid="{00000000-0005-0000-0000-00008A050000}"/>
    <cellStyle name="Accent1 29" xfId="1473" xr:uid="{00000000-0005-0000-0000-00008B050000}"/>
    <cellStyle name="Accent1 3" xfId="1474" xr:uid="{00000000-0005-0000-0000-00008C050000}"/>
    <cellStyle name="Accent1 3 2" xfId="1475" xr:uid="{00000000-0005-0000-0000-00008D050000}"/>
    <cellStyle name="Accent1 3 3" xfId="1476" xr:uid="{00000000-0005-0000-0000-00008E050000}"/>
    <cellStyle name="Accent1 30" xfId="1477" xr:uid="{00000000-0005-0000-0000-00008F050000}"/>
    <cellStyle name="Accent1 31" xfId="1478" xr:uid="{00000000-0005-0000-0000-000090050000}"/>
    <cellStyle name="Accent1 32" xfId="1479" xr:uid="{00000000-0005-0000-0000-000091050000}"/>
    <cellStyle name="Accent1 33" xfId="1480" xr:uid="{00000000-0005-0000-0000-000092050000}"/>
    <cellStyle name="Accent1 34" xfId="1481" xr:uid="{00000000-0005-0000-0000-000093050000}"/>
    <cellStyle name="Accent1 4" xfId="1482" xr:uid="{00000000-0005-0000-0000-000094050000}"/>
    <cellStyle name="Accent1 4 2" xfId="1483" xr:uid="{00000000-0005-0000-0000-000095050000}"/>
    <cellStyle name="Accent1 4 3" xfId="1484" xr:uid="{00000000-0005-0000-0000-000096050000}"/>
    <cellStyle name="Accent1 5" xfId="1485" xr:uid="{00000000-0005-0000-0000-000097050000}"/>
    <cellStyle name="Accent1 5 2" xfId="1486" xr:uid="{00000000-0005-0000-0000-000098050000}"/>
    <cellStyle name="Accent1 5 3" xfId="1487" xr:uid="{00000000-0005-0000-0000-000099050000}"/>
    <cellStyle name="Accent1 6" xfId="1488" xr:uid="{00000000-0005-0000-0000-00009A050000}"/>
    <cellStyle name="Accent1 6 2" xfId="1489" xr:uid="{00000000-0005-0000-0000-00009B050000}"/>
    <cellStyle name="Accent1 6 3" xfId="1490" xr:uid="{00000000-0005-0000-0000-00009C050000}"/>
    <cellStyle name="Accent1 7" xfId="1491" xr:uid="{00000000-0005-0000-0000-00009D050000}"/>
    <cellStyle name="Accent1 7 2" xfId="1492" xr:uid="{00000000-0005-0000-0000-00009E050000}"/>
    <cellStyle name="Accent1 7 3" xfId="1493" xr:uid="{00000000-0005-0000-0000-00009F050000}"/>
    <cellStyle name="Accent1 8" xfId="1494" xr:uid="{00000000-0005-0000-0000-0000A0050000}"/>
    <cellStyle name="Accent1 8 2" xfId="1495" xr:uid="{00000000-0005-0000-0000-0000A1050000}"/>
    <cellStyle name="Accent1 8 3" xfId="1496" xr:uid="{00000000-0005-0000-0000-0000A2050000}"/>
    <cellStyle name="Accent1 9" xfId="1497" xr:uid="{00000000-0005-0000-0000-0000A3050000}"/>
    <cellStyle name="Accent1 9 2" xfId="1498" xr:uid="{00000000-0005-0000-0000-0000A4050000}"/>
    <cellStyle name="Accent1 9 3" xfId="1499" xr:uid="{00000000-0005-0000-0000-0000A5050000}"/>
    <cellStyle name="Accent2 10" xfId="1500" xr:uid="{00000000-0005-0000-0000-0000A6050000}"/>
    <cellStyle name="Accent2 10 2" xfId="1501" xr:uid="{00000000-0005-0000-0000-0000A7050000}"/>
    <cellStyle name="Accent2 10 3" xfId="1502" xr:uid="{00000000-0005-0000-0000-0000A8050000}"/>
    <cellStyle name="Accent2 11" xfId="1503" xr:uid="{00000000-0005-0000-0000-0000A9050000}"/>
    <cellStyle name="Accent2 11 2" xfId="1504" xr:uid="{00000000-0005-0000-0000-0000AA050000}"/>
    <cellStyle name="Accent2 11 3" xfId="1505" xr:uid="{00000000-0005-0000-0000-0000AB050000}"/>
    <cellStyle name="Accent2 12" xfId="1506" xr:uid="{00000000-0005-0000-0000-0000AC050000}"/>
    <cellStyle name="Accent2 12 2" xfId="1507" xr:uid="{00000000-0005-0000-0000-0000AD050000}"/>
    <cellStyle name="Accent2 12 3" xfId="1508" xr:uid="{00000000-0005-0000-0000-0000AE050000}"/>
    <cellStyle name="Accent2 13" xfId="1509" xr:uid="{00000000-0005-0000-0000-0000AF050000}"/>
    <cellStyle name="Accent2 13 2" xfId="1510" xr:uid="{00000000-0005-0000-0000-0000B0050000}"/>
    <cellStyle name="Accent2 13 3" xfId="1511" xr:uid="{00000000-0005-0000-0000-0000B1050000}"/>
    <cellStyle name="Accent2 14" xfId="1512" xr:uid="{00000000-0005-0000-0000-0000B2050000}"/>
    <cellStyle name="Accent2 14 2" xfId="1513" xr:uid="{00000000-0005-0000-0000-0000B3050000}"/>
    <cellStyle name="Accent2 14 3" xfId="1514" xr:uid="{00000000-0005-0000-0000-0000B4050000}"/>
    <cellStyle name="Accent2 15" xfId="1515" xr:uid="{00000000-0005-0000-0000-0000B5050000}"/>
    <cellStyle name="Accent2 15 2" xfId="1516" xr:uid="{00000000-0005-0000-0000-0000B6050000}"/>
    <cellStyle name="Accent2 15 3" xfId="1517" xr:uid="{00000000-0005-0000-0000-0000B7050000}"/>
    <cellStyle name="Accent2 15 4" xfId="1518" xr:uid="{00000000-0005-0000-0000-0000B8050000}"/>
    <cellStyle name="Accent2 15 5" xfId="1519" xr:uid="{00000000-0005-0000-0000-0000B9050000}"/>
    <cellStyle name="Accent2 15 6" xfId="1520" xr:uid="{00000000-0005-0000-0000-0000BA050000}"/>
    <cellStyle name="Accent2 15 7" xfId="1521" xr:uid="{00000000-0005-0000-0000-0000BB050000}"/>
    <cellStyle name="Accent2 16" xfId="1522" xr:uid="{00000000-0005-0000-0000-0000BC050000}"/>
    <cellStyle name="Accent2 17" xfId="1523" xr:uid="{00000000-0005-0000-0000-0000BD050000}"/>
    <cellStyle name="Accent2 18" xfId="1524" xr:uid="{00000000-0005-0000-0000-0000BE050000}"/>
    <cellStyle name="Accent2 19" xfId="1525" xr:uid="{00000000-0005-0000-0000-0000BF050000}"/>
    <cellStyle name="Accent2 2" xfId="1526" xr:uid="{00000000-0005-0000-0000-0000C0050000}"/>
    <cellStyle name="Accent2 2 10" xfId="1527" xr:uid="{00000000-0005-0000-0000-0000C1050000}"/>
    <cellStyle name="Accent2 2 11" xfId="1528" xr:uid="{00000000-0005-0000-0000-0000C2050000}"/>
    <cellStyle name="Accent2 2 12" xfId="1529" xr:uid="{00000000-0005-0000-0000-0000C3050000}"/>
    <cellStyle name="Accent2 2 13" xfId="1530" xr:uid="{00000000-0005-0000-0000-0000C4050000}"/>
    <cellStyle name="Accent2 2 14" xfId="1531" xr:uid="{00000000-0005-0000-0000-0000C5050000}"/>
    <cellStyle name="Accent2 2 2" xfId="1532" xr:uid="{00000000-0005-0000-0000-0000C6050000}"/>
    <cellStyle name="Accent2 2 3" xfId="1533" xr:uid="{00000000-0005-0000-0000-0000C7050000}"/>
    <cellStyle name="Accent2 2 4" xfId="1534" xr:uid="{00000000-0005-0000-0000-0000C8050000}"/>
    <cellStyle name="Accent2 2 5" xfId="1535" xr:uid="{00000000-0005-0000-0000-0000C9050000}"/>
    <cellStyle name="Accent2 2 6" xfId="1536" xr:uid="{00000000-0005-0000-0000-0000CA050000}"/>
    <cellStyle name="Accent2 2 7" xfId="1537" xr:uid="{00000000-0005-0000-0000-0000CB050000}"/>
    <cellStyle name="Accent2 2 8" xfId="1538" xr:uid="{00000000-0005-0000-0000-0000CC050000}"/>
    <cellStyle name="Accent2 2 9" xfId="1539" xr:uid="{00000000-0005-0000-0000-0000CD050000}"/>
    <cellStyle name="Accent2 20" xfId="1540" xr:uid="{00000000-0005-0000-0000-0000CE050000}"/>
    <cellStyle name="Accent2 21" xfId="1541" xr:uid="{00000000-0005-0000-0000-0000CF050000}"/>
    <cellStyle name="Accent2 22" xfId="1542" xr:uid="{00000000-0005-0000-0000-0000D0050000}"/>
    <cellStyle name="Accent2 23" xfId="1543" xr:uid="{00000000-0005-0000-0000-0000D1050000}"/>
    <cellStyle name="Accent2 24" xfId="1544" xr:uid="{00000000-0005-0000-0000-0000D2050000}"/>
    <cellStyle name="Accent2 25" xfId="1545" xr:uid="{00000000-0005-0000-0000-0000D3050000}"/>
    <cellStyle name="Accent2 26" xfId="1546" xr:uid="{00000000-0005-0000-0000-0000D4050000}"/>
    <cellStyle name="Accent2 27" xfId="1547" xr:uid="{00000000-0005-0000-0000-0000D5050000}"/>
    <cellStyle name="Accent2 28" xfId="1548" xr:uid="{00000000-0005-0000-0000-0000D6050000}"/>
    <cellStyle name="Accent2 29" xfId="1549" xr:uid="{00000000-0005-0000-0000-0000D7050000}"/>
    <cellStyle name="Accent2 3" xfId="1550" xr:uid="{00000000-0005-0000-0000-0000D8050000}"/>
    <cellStyle name="Accent2 3 2" xfId="1551" xr:uid="{00000000-0005-0000-0000-0000D9050000}"/>
    <cellStyle name="Accent2 3 3" xfId="1552" xr:uid="{00000000-0005-0000-0000-0000DA050000}"/>
    <cellStyle name="Accent2 30" xfId="1553" xr:uid="{00000000-0005-0000-0000-0000DB050000}"/>
    <cellStyle name="Accent2 31" xfId="1554" xr:uid="{00000000-0005-0000-0000-0000DC050000}"/>
    <cellStyle name="Accent2 32" xfId="1555" xr:uid="{00000000-0005-0000-0000-0000DD050000}"/>
    <cellStyle name="Accent2 33" xfId="1556" xr:uid="{00000000-0005-0000-0000-0000DE050000}"/>
    <cellStyle name="Accent2 34" xfId="1557" xr:uid="{00000000-0005-0000-0000-0000DF050000}"/>
    <cellStyle name="Accent2 4" xfId="1558" xr:uid="{00000000-0005-0000-0000-0000E0050000}"/>
    <cellStyle name="Accent2 4 2" xfId="1559" xr:uid="{00000000-0005-0000-0000-0000E1050000}"/>
    <cellStyle name="Accent2 4 3" xfId="1560" xr:uid="{00000000-0005-0000-0000-0000E2050000}"/>
    <cellStyle name="Accent2 5" xfId="1561" xr:uid="{00000000-0005-0000-0000-0000E3050000}"/>
    <cellStyle name="Accent2 5 2" xfId="1562" xr:uid="{00000000-0005-0000-0000-0000E4050000}"/>
    <cellStyle name="Accent2 5 3" xfId="1563" xr:uid="{00000000-0005-0000-0000-0000E5050000}"/>
    <cellStyle name="Accent2 6" xfId="1564" xr:uid="{00000000-0005-0000-0000-0000E6050000}"/>
    <cellStyle name="Accent2 6 2" xfId="1565" xr:uid="{00000000-0005-0000-0000-0000E7050000}"/>
    <cellStyle name="Accent2 6 3" xfId="1566" xr:uid="{00000000-0005-0000-0000-0000E8050000}"/>
    <cellStyle name="Accent2 7" xfId="1567" xr:uid="{00000000-0005-0000-0000-0000E9050000}"/>
    <cellStyle name="Accent2 7 2" xfId="1568" xr:uid="{00000000-0005-0000-0000-0000EA050000}"/>
    <cellStyle name="Accent2 7 3" xfId="1569" xr:uid="{00000000-0005-0000-0000-0000EB050000}"/>
    <cellStyle name="Accent2 8" xfId="1570" xr:uid="{00000000-0005-0000-0000-0000EC050000}"/>
    <cellStyle name="Accent2 8 2" xfId="1571" xr:uid="{00000000-0005-0000-0000-0000ED050000}"/>
    <cellStyle name="Accent2 8 3" xfId="1572" xr:uid="{00000000-0005-0000-0000-0000EE050000}"/>
    <cellStyle name="Accent2 9" xfId="1573" xr:uid="{00000000-0005-0000-0000-0000EF050000}"/>
    <cellStyle name="Accent2 9 2" xfId="1574" xr:uid="{00000000-0005-0000-0000-0000F0050000}"/>
    <cellStyle name="Accent2 9 3" xfId="1575" xr:uid="{00000000-0005-0000-0000-0000F1050000}"/>
    <cellStyle name="Accent3 10" xfId="1576" xr:uid="{00000000-0005-0000-0000-0000F2050000}"/>
    <cellStyle name="Accent3 10 2" xfId="1577" xr:uid="{00000000-0005-0000-0000-0000F3050000}"/>
    <cellStyle name="Accent3 10 3" xfId="1578" xr:uid="{00000000-0005-0000-0000-0000F4050000}"/>
    <cellStyle name="Accent3 11" xfId="1579" xr:uid="{00000000-0005-0000-0000-0000F5050000}"/>
    <cellStyle name="Accent3 11 2" xfId="1580" xr:uid="{00000000-0005-0000-0000-0000F6050000}"/>
    <cellStyle name="Accent3 11 3" xfId="1581" xr:uid="{00000000-0005-0000-0000-0000F7050000}"/>
    <cellStyle name="Accent3 12" xfId="1582" xr:uid="{00000000-0005-0000-0000-0000F8050000}"/>
    <cellStyle name="Accent3 12 2" xfId="1583" xr:uid="{00000000-0005-0000-0000-0000F9050000}"/>
    <cellStyle name="Accent3 12 3" xfId="1584" xr:uid="{00000000-0005-0000-0000-0000FA050000}"/>
    <cellStyle name="Accent3 13" xfId="1585" xr:uid="{00000000-0005-0000-0000-0000FB050000}"/>
    <cellStyle name="Accent3 13 2" xfId="1586" xr:uid="{00000000-0005-0000-0000-0000FC050000}"/>
    <cellStyle name="Accent3 13 3" xfId="1587" xr:uid="{00000000-0005-0000-0000-0000FD050000}"/>
    <cellStyle name="Accent3 14" xfId="1588" xr:uid="{00000000-0005-0000-0000-0000FE050000}"/>
    <cellStyle name="Accent3 14 2" xfId="1589" xr:uid="{00000000-0005-0000-0000-0000FF050000}"/>
    <cellStyle name="Accent3 14 3" xfId="1590" xr:uid="{00000000-0005-0000-0000-000000060000}"/>
    <cellStyle name="Accent3 15" xfId="1591" xr:uid="{00000000-0005-0000-0000-000001060000}"/>
    <cellStyle name="Accent3 15 2" xfId="1592" xr:uid="{00000000-0005-0000-0000-000002060000}"/>
    <cellStyle name="Accent3 15 3" xfId="1593" xr:uid="{00000000-0005-0000-0000-000003060000}"/>
    <cellStyle name="Accent3 15 4" xfId="1594" xr:uid="{00000000-0005-0000-0000-000004060000}"/>
    <cellStyle name="Accent3 15 5" xfId="1595" xr:uid="{00000000-0005-0000-0000-000005060000}"/>
    <cellStyle name="Accent3 15 6" xfId="1596" xr:uid="{00000000-0005-0000-0000-000006060000}"/>
    <cellStyle name="Accent3 15 7" xfId="1597" xr:uid="{00000000-0005-0000-0000-000007060000}"/>
    <cellStyle name="Accent3 16" xfId="1598" xr:uid="{00000000-0005-0000-0000-000008060000}"/>
    <cellStyle name="Accent3 17" xfId="1599" xr:uid="{00000000-0005-0000-0000-000009060000}"/>
    <cellStyle name="Accent3 18" xfId="1600" xr:uid="{00000000-0005-0000-0000-00000A060000}"/>
    <cellStyle name="Accent3 19" xfId="1601" xr:uid="{00000000-0005-0000-0000-00000B060000}"/>
    <cellStyle name="Accent3 2" xfId="1602" xr:uid="{00000000-0005-0000-0000-00000C060000}"/>
    <cellStyle name="Accent3 2 10" xfId="1603" xr:uid="{00000000-0005-0000-0000-00000D060000}"/>
    <cellStyle name="Accent3 2 11" xfId="1604" xr:uid="{00000000-0005-0000-0000-00000E060000}"/>
    <cellStyle name="Accent3 2 12" xfId="1605" xr:uid="{00000000-0005-0000-0000-00000F060000}"/>
    <cellStyle name="Accent3 2 13" xfId="1606" xr:uid="{00000000-0005-0000-0000-000010060000}"/>
    <cellStyle name="Accent3 2 14" xfId="1607" xr:uid="{00000000-0005-0000-0000-000011060000}"/>
    <cellStyle name="Accent3 2 2" xfId="1608" xr:uid="{00000000-0005-0000-0000-000012060000}"/>
    <cellStyle name="Accent3 2 3" xfId="1609" xr:uid="{00000000-0005-0000-0000-000013060000}"/>
    <cellStyle name="Accent3 2 4" xfId="1610" xr:uid="{00000000-0005-0000-0000-000014060000}"/>
    <cellStyle name="Accent3 2 5" xfId="1611" xr:uid="{00000000-0005-0000-0000-000015060000}"/>
    <cellStyle name="Accent3 2 6" xfId="1612" xr:uid="{00000000-0005-0000-0000-000016060000}"/>
    <cellStyle name="Accent3 2 7" xfId="1613" xr:uid="{00000000-0005-0000-0000-000017060000}"/>
    <cellStyle name="Accent3 2 8" xfId="1614" xr:uid="{00000000-0005-0000-0000-000018060000}"/>
    <cellStyle name="Accent3 2 9" xfId="1615" xr:uid="{00000000-0005-0000-0000-000019060000}"/>
    <cellStyle name="Accent3 20" xfId="1616" xr:uid="{00000000-0005-0000-0000-00001A060000}"/>
    <cellStyle name="Accent3 21" xfId="1617" xr:uid="{00000000-0005-0000-0000-00001B060000}"/>
    <cellStyle name="Accent3 22" xfId="1618" xr:uid="{00000000-0005-0000-0000-00001C060000}"/>
    <cellStyle name="Accent3 23" xfId="1619" xr:uid="{00000000-0005-0000-0000-00001D060000}"/>
    <cellStyle name="Accent3 24" xfId="1620" xr:uid="{00000000-0005-0000-0000-00001E060000}"/>
    <cellStyle name="Accent3 25" xfId="1621" xr:uid="{00000000-0005-0000-0000-00001F060000}"/>
    <cellStyle name="Accent3 26" xfId="1622" xr:uid="{00000000-0005-0000-0000-000020060000}"/>
    <cellStyle name="Accent3 27" xfId="1623" xr:uid="{00000000-0005-0000-0000-000021060000}"/>
    <cellStyle name="Accent3 28" xfId="1624" xr:uid="{00000000-0005-0000-0000-000022060000}"/>
    <cellStyle name="Accent3 29" xfId="1625" xr:uid="{00000000-0005-0000-0000-000023060000}"/>
    <cellStyle name="Accent3 3" xfId="1626" xr:uid="{00000000-0005-0000-0000-000024060000}"/>
    <cellStyle name="Accent3 3 2" xfId="1627" xr:uid="{00000000-0005-0000-0000-000025060000}"/>
    <cellStyle name="Accent3 3 3" xfId="1628" xr:uid="{00000000-0005-0000-0000-000026060000}"/>
    <cellStyle name="Accent3 30" xfId="1629" xr:uid="{00000000-0005-0000-0000-000027060000}"/>
    <cellStyle name="Accent3 31" xfId="1630" xr:uid="{00000000-0005-0000-0000-000028060000}"/>
    <cellStyle name="Accent3 32" xfId="1631" xr:uid="{00000000-0005-0000-0000-000029060000}"/>
    <cellStyle name="Accent3 33" xfId="1632" xr:uid="{00000000-0005-0000-0000-00002A060000}"/>
    <cellStyle name="Accent3 34" xfId="1633" xr:uid="{00000000-0005-0000-0000-00002B060000}"/>
    <cellStyle name="Accent3 4" xfId="1634" xr:uid="{00000000-0005-0000-0000-00002C060000}"/>
    <cellStyle name="Accent3 4 2" xfId="1635" xr:uid="{00000000-0005-0000-0000-00002D060000}"/>
    <cellStyle name="Accent3 4 3" xfId="1636" xr:uid="{00000000-0005-0000-0000-00002E060000}"/>
    <cellStyle name="Accent3 5" xfId="1637" xr:uid="{00000000-0005-0000-0000-00002F060000}"/>
    <cellStyle name="Accent3 5 2" xfId="1638" xr:uid="{00000000-0005-0000-0000-000030060000}"/>
    <cellStyle name="Accent3 5 3" xfId="1639" xr:uid="{00000000-0005-0000-0000-000031060000}"/>
    <cellStyle name="Accent3 6" xfId="1640" xr:uid="{00000000-0005-0000-0000-000032060000}"/>
    <cellStyle name="Accent3 6 2" xfId="1641" xr:uid="{00000000-0005-0000-0000-000033060000}"/>
    <cellStyle name="Accent3 6 3" xfId="1642" xr:uid="{00000000-0005-0000-0000-000034060000}"/>
    <cellStyle name="Accent3 7" xfId="1643" xr:uid="{00000000-0005-0000-0000-000035060000}"/>
    <cellStyle name="Accent3 7 2" xfId="1644" xr:uid="{00000000-0005-0000-0000-000036060000}"/>
    <cellStyle name="Accent3 7 3" xfId="1645" xr:uid="{00000000-0005-0000-0000-000037060000}"/>
    <cellStyle name="Accent3 8" xfId="1646" xr:uid="{00000000-0005-0000-0000-000038060000}"/>
    <cellStyle name="Accent3 8 2" xfId="1647" xr:uid="{00000000-0005-0000-0000-000039060000}"/>
    <cellStyle name="Accent3 8 3" xfId="1648" xr:uid="{00000000-0005-0000-0000-00003A060000}"/>
    <cellStyle name="Accent3 9" xfId="1649" xr:uid="{00000000-0005-0000-0000-00003B060000}"/>
    <cellStyle name="Accent3 9 2" xfId="1650" xr:uid="{00000000-0005-0000-0000-00003C060000}"/>
    <cellStyle name="Accent3 9 3" xfId="1651" xr:uid="{00000000-0005-0000-0000-00003D060000}"/>
    <cellStyle name="Accent4 10" xfId="1652" xr:uid="{00000000-0005-0000-0000-00003E060000}"/>
    <cellStyle name="Accent4 10 2" xfId="1653" xr:uid="{00000000-0005-0000-0000-00003F060000}"/>
    <cellStyle name="Accent4 10 3" xfId="1654" xr:uid="{00000000-0005-0000-0000-000040060000}"/>
    <cellStyle name="Accent4 11" xfId="1655" xr:uid="{00000000-0005-0000-0000-000041060000}"/>
    <cellStyle name="Accent4 11 2" xfId="1656" xr:uid="{00000000-0005-0000-0000-000042060000}"/>
    <cellStyle name="Accent4 11 3" xfId="1657" xr:uid="{00000000-0005-0000-0000-000043060000}"/>
    <cellStyle name="Accent4 12" xfId="1658" xr:uid="{00000000-0005-0000-0000-000044060000}"/>
    <cellStyle name="Accent4 12 2" xfId="1659" xr:uid="{00000000-0005-0000-0000-000045060000}"/>
    <cellStyle name="Accent4 12 3" xfId="1660" xr:uid="{00000000-0005-0000-0000-000046060000}"/>
    <cellStyle name="Accent4 13" xfId="1661" xr:uid="{00000000-0005-0000-0000-000047060000}"/>
    <cellStyle name="Accent4 13 2" xfId="1662" xr:uid="{00000000-0005-0000-0000-000048060000}"/>
    <cellStyle name="Accent4 13 3" xfId="1663" xr:uid="{00000000-0005-0000-0000-000049060000}"/>
    <cellStyle name="Accent4 14" xfId="1664" xr:uid="{00000000-0005-0000-0000-00004A060000}"/>
    <cellStyle name="Accent4 14 2" xfId="1665" xr:uid="{00000000-0005-0000-0000-00004B060000}"/>
    <cellStyle name="Accent4 14 3" xfId="1666" xr:uid="{00000000-0005-0000-0000-00004C060000}"/>
    <cellStyle name="Accent4 15" xfId="1667" xr:uid="{00000000-0005-0000-0000-00004D060000}"/>
    <cellStyle name="Accent4 15 2" xfId="1668" xr:uid="{00000000-0005-0000-0000-00004E060000}"/>
    <cellStyle name="Accent4 15 3" xfId="1669" xr:uid="{00000000-0005-0000-0000-00004F060000}"/>
    <cellStyle name="Accent4 15 4" xfId="1670" xr:uid="{00000000-0005-0000-0000-000050060000}"/>
    <cellStyle name="Accent4 15 5" xfId="1671" xr:uid="{00000000-0005-0000-0000-000051060000}"/>
    <cellStyle name="Accent4 15 6" xfId="1672" xr:uid="{00000000-0005-0000-0000-000052060000}"/>
    <cellStyle name="Accent4 15 7" xfId="1673" xr:uid="{00000000-0005-0000-0000-000053060000}"/>
    <cellStyle name="Accent4 16" xfId="1674" xr:uid="{00000000-0005-0000-0000-000054060000}"/>
    <cellStyle name="Accent4 17" xfId="1675" xr:uid="{00000000-0005-0000-0000-000055060000}"/>
    <cellStyle name="Accent4 18" xfId="1676" xr:uid="{00000000-0005-0000-0000-000056060000}"/>
    <cellStyle name="Accent4 19" xfId="1677" xr:uid="{00000000-0005-0000-0000-000057060000}"/>
    <cellStyle name="Accent4 2" xfId="1678" xr:uid="{00000000-0005-0000-0000-000058060000}"/>
    <cellStyle name="Accent4 2 10" xfId="1679" xr:uid="{00000000-0005-0000-0000-000059060000}"/>
    <cellStyle name="Accent4 2 11" xfId="1680" xr:uid="{00000000-0005-0000-0000-00005A060000}"/>
    <cellStyle name="Accent4 2 12" xfId="1681" xr:uid="{00000000-0005-0000-0000-00005B060000}"/>
    <cellStyle name="Accent4 2 13" xfId="1682" xr:uid="{00000000-0005-0000-0000-00005C060000}"/>
    <cellStyle name="Accent4 2 14" xfId="1683" xr:uid="{00000000-0005-0000-0000-00005D060000}"/>
    <cellStyle name="Accent4 2 2" xfId="1684" xr:uid="{00000000-0005-0000-0000-00005E060000}"/>
    <cellStyle name="Accent4 2 3" xfId="1685" xr:uid="{00000000-0005-0000-0000-00005F060000}"/>
    <cellStyle name="Accent4 2 4" xfId="1686" xr:uid="{00000000-0005-0000-0000-000060060000}"/>
    <cellStyle name="Accent4 2 5" xfId="1687" xr:uid="{00000000-0005-0000-0000-000061060000}"/>
    <cellStyle name="Accent4 2 6" xfId="1688" xr:uid="{00000000-0005-0000-0000-000062060000}"/>
    <cellStyle name="Accent4 2 7" xfId="1689" xr:uid="{00000000-0005-0000-0000-000063060000}"/>
    <cellStyle name="Accent4 2 8" xfId="1690" xr:uid="{00000000-0005-0000-0000-000064060000}"/>
    <cellStyle name="Accent4 2 9" xfId="1691" xr:uid="{00000000-0005-0000-0000-000065060000}"/>
    <cellStyle name="Accent4 20" xfId="1692" xr:uid="{00000000-0005-0000-0000-000066060000}"/>
    <cellStyle name="Accent4 21" xfId="1693" xr:uid="{00000000-0005-0000-0000-000067060000}"/>
    <cellStyle name="Accent4 22" xfId="1694" xr:uid="{00000000-0005-0000-0000-000068060000}"/>
    <cellStyle name="Accent4 23" xfId="1695" xr:uid="{00000000-0005-0000-0000-000069060000}"/>
    <cellStyle name="Accent4 24" xfId="1696" xr:uid="{00000000-0005-0000-0000-00006A060000}"/>
    <cellStyle name="Accent4 25" xfId="1697" xr:uid="{00000000-0005-0000-0000-00006B060000}"/>
    <cellStyle name="Accent4 26" xfId="1698" xr:uid="{00000000-0005-0000-0000-00006C060000}"/>
    <cellStyle name="Accent4 27" xfId="1699" xr:uid="{00000000-0005-0000-0000-00006D060000}"/>
    <cellStyle name="Accent4 28" xfId="1700" xr:uid="{00000000-0005-0000-0000-00006E060000}"/>
    <cellStyle name="Accent4 29" xfId="1701" xr:uid="{00000000-0005-0000-0000-00006F060000}"/>
    <cellStyle name="Accent4 3" xfId="1702" xr:uid="{00000000-0005-0000-0000-000070060000}"/>
    <cellStyle name="Accent4 3 2" xfId="1703" xr:uid="{00000000-0005-0000-0000-000071060000}"/>
    <cellStyle name="Accent4 3 3" xfId="1704" xr:uid="{00000000-0005-0000-0000-000072060000}"/>
    <cellStyle name="Accent4 30" xfId="1705" xr:uid="{00000000-0005-0000-0000-000073060000}"/>
    <cellStyle name="Accent4 31" xfId="1706" xr:uid="{00000000-0005-0000-0000-000074060000}"/>
    <cellStyle name="Accent4 32" xfId="1707" xr:uid="{00000000-0005-0000-0000-000075060000}"/>
    <cellStyle name="Accent4 33" xfId="1708" xr:uid="{00000000-0005-0000-0000-000076060000}"/>
    <cellStyle name="Accent4 34" xfId="1709" xr:uid="{00000000-0005-0000-0000-000077060000}"/>
    <cellStyle name="Accent4 4" xfId="1710" xr:uid="{00000000-0005-0000-0000-000078060000}"/>
    <cellStyle name="Accent4 4 2" xfId="1711" xr:uid="{00000000-0005-0000-0000-000079060000}"/>
    <cellStyle name="Accent4 4 3" xfId="1712" xr:uid="{00000000-0005-0000-0000-00007A060000}"/>
    <cellStyle name="Accent4 5" xfId="1713" xr:uid="{00000000-0005-0000-0000-00007B060000}"/>
    <cellStyle name="Accent4 5 2" xfId="1714" xr:uid="{00000000-0005-0000-0000-00007C060000}"/>
    <cellStyle name="Accent4 5 3" xfId="1715" xr:uid="{00000000-0005-0000-0000-00007D060000}"/>
    <cellStyle name="Accent4 6" xfId="1716" xr:uid="{00000000-0005-0000-0000-00007E060000}"/>
    <cellStyle name="Accent4 6 2" xfId="1717" xr:uid="{00000000-0005-0000-0000-00007F060000}"/>
    <cellStyle name="Accent4 6 3" xfId="1718" xr:uid="{00000000-0005-0000-0000-000080060000}"/>
    <cellStyle name="Accent4 7" xfId="1719" xr:uid="{00000000-0005-0000-0000-000081060000}"/>
    <cellStyle name="Accent4 7 2" xfId="1720" xr:uid="{00000000-0005-0000-0000-000082060000}"/>
    <cellStyle name="Accent4 7 3" xfId="1721" xr:uid="{00000000-0005-0000-0000-000083060000}"/>
    <cellStyle name="Accent4 8" xfId="1722" xr:uid="{00000000-0005-0000-0000-000084060000}"/>
    <cellStyle name="Accent4 8 2" xfId="1723" xr:uid="{00000000-0005-0000-0000-000085060000}"/>
    <cellStyle name="Accent4 8 3" xfId="1724" xr:uid="{00000000-0005-0000-0000-000086060000}"/>
    <cellStyle name="Accent4 9" xfId="1725" xr:uid="{00000000-0005-0000-0000-000087060000}"/>
    <cellStyle name="Accent4 9 2" xfId="1726" xr:uid="{00000000-0005-0000-0000-000088060000}"/>
    <cellStyle name="Accent4 9 3" xfId="1727" xr:uid="{00000000-0005-0000-0000-000089060000}"/>
    <cellStyle name="Accent5 10" xfId="1728" xr:uid="{00000000-0005-0000-0000-00008A060000}"/>
    <cellStyle name="Accent5 10 2" xfId="1729" xr:uid="{00000000-0005-0000-0000-00008B060000}"/>
    <cellStyle name="Accent5 10 3" xfId="1730" xr:uid="{00000000-0005-0000-0000-00008C060000}"/>
    <cellStyle name="Accent5 11" xfId="1731" xr:uid="{00000000-0005-0000-0000-00008D060000}"/>
    <cellStyle name="Accent5 11 2" xfId="1732" xr:uid="{00000000-0005-0000-0000-00008E060000}"/>
    <cellStyle name="Accent5 11 3" xfId="1733" xr:uid="{00000000-0005-0000-0000-00008F060000}"/>
    <cellStyle name="Accent5 12" xfId="1734" xr:uid="{00000000-0005-0000-0000-000090060000}"/>
    <cellStyle name="Accent5 12 2" xfId="1735" xr:uid="{00000000-0005-0000-0000-000091060000}"/>
    <cellStyle name="Accent5 12 3" xfId="1736" xr:uid="{00000000-0005-0000-0000-000092060000}"/>
    <cellStyle name="Accent5 13" xfId="1737" xr:uid="{00000000-0005-0000-0000-000093060000}"/>
    <cellStyle name="Accent5 13 2" xfId="1738" xr:uid="{00000000-0005-0000-0000-000094060000}"/>
    <cellStyle name="Accent5 13 3" xfId="1739" xr:uid="{00000000-0005-0000-0000-000095060000}"/>
    <cellStyle name="Accent5 14" xfId="1740" xr:uid="{00000000-0005-0000-0000-000096060000}"/>
    <cellStyle name="Accent5 14 2" xfId="1741" xr:uid="{00000000-0005-0000-0000-000097060000}"/>
    <cellStyle name="Accent5 14 3" xfId="1742" xr:uid="{00000000-0005-0000-0000-000098060000}"/>
    <cellStyle name="Accent5 15" xfId="1743" xr:uid="{00000000-0005-0000-0000-000099060000}"/>
    <cellStyle name="Accent5 15 2" xfId="1744" xr:uid="{00000000-0005-0000-0000-00009A060000}"/>
    <cellStyle name="Accent5 15 3" xfId="1745" xr:uid="{00000000-0005-0000-0000-00009B060000}"/>
    <cellStyle name="Accent5 15 4" xfId="1746" xr:uid="{00000000-0005-0000-0000-00009C060000}"/>
    <cellStyle name="Accent5 15 5" xfId="1747" xr:uid="{00000000-0005-0000-0000-00009D060000}"/>
    <cellStyle name="Accent5 15 6" xfId="1748" xr:uid="{00000000-0005-0000-0000-00009E060000}"/>
    <cellStyle name="Accent5 15 7" xfId="1749" xr:uid="{00000000-0005-0000-0000-00009F060000}"/>
    <cellStyle name="Accent5 16" xfId="1750" xr:uid="{00000000-0005-0000-0000-0000A0060000}"/>
    <cellStyle name="Accent5 17" xfId="1751" xr:uid="{00000000-0005-0000-0000-0000A1060000}"/>
    <cellStyle name="Accent5 18" xfId="1752" xr:uid="{00000000-0005-0000-0000-0000A2060000}"/>
    <cellStyle name="Accent5 19" xfId="1753" xr:uid="{00000000-0005-0000-0000-0000A3060000}"/>
    <cellStyle name="Accent5 2" xfId="1754" xr:uid="{00000000-0005-0000-0000-0000A4060000}"/>
    <cellStyle name="Accent5 2 10" xfId="1755" xr:uid="{00000000-0005-0000-0000-0000A5060000}"/>
    <cellStyle name="Accent5 2 11" xfId="1756" xr:uid="{00000000-0005-0000-0000-0000A6060000}"/>
    <cellStyle name="Accent5 2 12" xfId="1757" xr:uid="{00000000-0005-0000-0000-0000A7060000}"/>
    <cellStyle name="Accent5 2 13" xfId="1758" xr:uid="{00000000-0005-0000-0000-0000A8060000}"/>
    <cellStyle name="Accent5 2 14" xfId="1759" xr:uid="{00000000-0005-0000-0000-0000A9060000}"/>
    <cellStyle name="Accent5 2 2" xfId="1760" xr:uid="{00000000-0005-0000-0000-0000AA060000}"/>
    <cellStyle name="Accent5 2 3" xfId="1761" xr:uid="{00000000-0005-0000-0000-0000AB060000}"/>
    <cellStyle name="Accent5 2 4" xfId="1762" xr:uid="{00000000-0005-0000-0000-0000AC060000}"/>
    <cellStyle name="Accent5 2 5" xfId="1763" xr:uid="{00000000-0005-0000-0000-0000AD060000}"/>
    <cellStyle name="Accent5 2 6" xfId="1764" xr:uid="{00000000-0005-0000-0000-0000AE060000}"/>
    <cellStyle name="Accent5 2 7" xfId="1765" xr:uid="{00000000-0005-0000-0000-0000AF060000}"/>
    <cellStyle name="Accent5 2 8" xfId="1766" xr:uid="{00000000-0005-0000-0000-0000B0060000}"/>
    <cellStyle name="Accent5 2 9" xfId="1767" xr:uid="{00000000-0005-0000-0000-0000B1060000}"/>
    <cellStyle name="Accent5 20" xfId="1768" xr:uid="{00000000-0005-0000-0000-0000B2060000}"/>
    <cellStyle name="Accent5 21" xfId="1769" xr:uid="{00000000-0005-0000-0000-0000B3060000}"/>
    <cellStyle name="Accent5 22" xfId="1770" xr:uid="{00000000-0005-0000-0000-0000B4060000}"/>
    <cellStyle name="Accent5 23" xfId="1771" xr:uid="{00000000-0005-0000-0000-0000B5060000}"/>
    <cellStyle name="Accent5 24" xfId="1772" xr:uid="{00000000-0005-0000-0000-0000B6060000}"/>
    <cellStyle name="Accent5 25" xfId="1773" xr:uid="{00000000-0005-0000-0000-0000B7060000}"/>
    <cellStyle name="Accent5 26" xfId="1774" xr:uid="{00000000-0005-0000-0000-0000B8060000}"/>
    <cellStyle name="Accent5 27" xfId="1775" xr:uid="{00000000-0005-0000-0000-0000B9060000}"/>
    <cellStyle name="Accent5 28" xfId="1776" xr:uid="{00000000-0005-0000-0000-0000BA060000}"/>
    <cellStyle name="Accent5 29" xfId="1777" xr:uid="{00000000-0005-0000-0000-0000BB060000}"/>
    <cellStyle name="Accent5 3" xfId="1778" xr:uid="{00000000-0005-0000-0000-0000BC060000}"/>
    <cellStyle name="Accent5 3 2" xfId="1779" xr:uid="{00000000-0005-0000-0000-0000BD060000}"/>
    <cellStyle name="Accent5 3 3" xfId="1780" xr:uid="{00000000-0005-0000-0000-0000BE060000}"/>
    <cellStyle name="Accent5 30" xfId="1781" xr:uid="{00000000-0005-0000-0000-0000BF060000}"/>
    <cellStyle name="Accent5 31" xfId="1782" xr:uid="{00000000-0005-0000-0000-0000C0060000}"/>
    <cellStyle name="Accent5 32" xfId="1783" xr:uid="{00000000-0005-0000-0000-0000C1060000}"/>
    <cellStyle name="Accent5 33" xfId="1784" xr:uid="{00000000-0005-0000-0000-0000C2060000}"/>
    <cellStyle name="Accent5 34" xfId="1785" xr:uid="{00000000-0005-0000-0000-0000C3060000}"/>
    <cellStyle name="Accent5 4" xfId="1786" xr:uid="{00000000-0005-0000-0000-0000C4060000}"/>
    <cellStyle name="Accent5 4 2" xfId="1787" xr:uid="{00000000-0005-0000-0000-0000C5060000}"/>
    <cellStyle name="Accent5 4 3" xfId="1788" xr:uid="{00000000-0005-0000-0000-0000C6060000}"/>
    <cellStyle name="Accent5 5" xfId="1789" xr:uid="{00000000-0005-0000-0000-0000C7060000}"/>
    <cellStyle name="Accent5 5 2" xfId="1790" xr:uid="{00000000-0005-0000-0000-0000C8060000}"/>
    <cellStyle name="Accent5 5 3" xfId="1791" xr:uid="{00000000-0005-0000-0000-0000C9060000}"/>
    <cellStyle name="Accent5 6" xfId="1792" xr:uid="{00000000-0005-0000-0000-0000CA060000}"/>
    <cellStyle name="Accent5 6 2" xfId="1793" xr:uid="{00000000-0005-0000-0000-0000CB060000}"/>
    <cellStyle name="Accent5 6 3" xfId="1794" xr:uid="{00000000-0005-0000-0000-0000CC060000}"/>
    <cellStyle name="Accent5 7" xfId="1795" xr:uid="{00000000-0005-0000-0000-0000CD060000}"/>
    <cellStyle name="Accent5 7 2" xfId="1796" xr:uid="{00000000-0005-0000-0000-0000CE060000}"/>
    <cellStyle name="Accent5 7 3" xfId="1797" xr:uid="{00000000-0005-0000-0000-0000CF060000}"/>
    <cellStyle name="Accent5 8" xfId="1798" xr:uid="{00000000-0005-0000-0000-0000D0060000}"/>
    <cellStyle name="Accent5 8 2" xfId="1799" xr:uid="{00000000-0005-0000-0000-0000D1060000}"/>
    <cellStyle name="Accent5 8 3" xfId="1800" xr:uid="{00000000-0005-0000-0000-0000D2060000}"/>
    <cellStyle name="Accent5 9" xfId="1801" xr:uid="{00000000-0005-0000-0000-0000D3060000}"/>
    <cellStyle name="Accent5 9 2" xfId="1802" xr:uid="{00000000-0005-0000-0000-0000D4060000}"/>
    <cellStyle name="Accent5 9 3" xfId="1803" xr:uid="{00000000-0005-0000-0000-0000D5060000}"/>
    <cellStyle name="Accent6 10" xfId="1804" xr:uid="{00000000-0005-0000-0000-0000D6060000}"/>
    <cellStyle name="Accent6 10 2" xfId="1805" xr:uid="{00000000-0005-0000-0000-0000D7060000}"/>
    <cellStyle name="Accent6 10 3" xfId="1806" xr:uid="{00000000-0005-0000-0000-0000D8060000}"/>
    <cellStyle name="Accent6 11" xfId="1807" xr:uid="{00000000-0005-0000-0000-0000D9060000}"/>
    <cellStyle name="Accent6 11 2" xfId="1808" xr:uid="{00000000-0005-0000-0000-0000DA060000}"/>
    <cellStyle name="Accent6 11 3" xfId="1809" xr:uid="{00000000-0005-0000-0000-0000DB060000}"/>
    <cellStyle name="Accent6 12" xfId="1810" xr:uid="{00000000-0005-0000-0000-0000DC060000}"/>
    <cellStyle name="Accent6 12 2" xfId="1811" xr:uid="{00000000-0005-0000-0000-0000DD060000}"/>
    <cellStyle name="Accent6 12 3" xfId="1812" xr:uid="{00000000-0005-0000-0000-0000DE060000}"/>
    <cellStyle name="Accent6 13" xfId="1813" xr:uid="{00000000-0005-0000-0000-0000DF060000}"/>
    <cellStyle name="Accent6 13 2" xfId="1814" xr:uid="{00000000-0005-0000-0000-0000E0060000}"/>
    <cellStyle name="Accent6 13 3" xfId="1815" xr:uid="{00000000-0005-0000-0000-0000E1060000}"/>
    <cellStyle name="Accent6 14" xfId="1816" xr:uid="{00000000-0005-0000-0000-0000E2060000}"/>
    <cellStyle name="Accent6 14 2" xfId="1817" xr:uid="{00000000-0005-0000-0000-0000E3060000}"/>
    <cellStyle name="Accent6 14 3" xfId="1818" xr:uid="{00000000-0005-0000-0000-0000E4060000}"/>
    <cellStyle name="Accent6 15" xfId="1819" xr:uid="{00000000-0005-0000-0000-0000E5060000}"/>
    <cellStyle name="Accent6 15 2" xfId="1820" xr:uid="{00000000-0005-0000-0000-0000E6060000}"/>
    <cellStyle name="Accent6 15 3" xfId="1821" xr:uid="{00000000-0005-0000-0000-0000E7060000}"/>
    <cellStyle name="Accent6 15 4" xfId="1822" xr:uid="{00000000-0005-0000-0000-0000E8060000}"/>
    <cellStyle name="Accent6 15 5" xfId="1823" xr:uid="{00000000-0005-0000-0000-0000E9060000}"/>
    <cellStyle name="Accent6 15 6" xfId="1824" xr:uid="{00000000-0005-0000-0000-0000EA060000}"/>
    <cellStyle name="Accent6 15 7" xfId="1825" xr:uid="{00000000-0005-0000-0000-0000EB060000}"/>
    <cellStyle name="Accent6 16" xfId="1826" xr:uid="{00000000-0005-0000-0000-0000EC060000}"/>
    <cellStyle name="Accent6 17" xfId="1827" xr:uid="{00000000-0005-0000-0000-0000ED060000}"/>
    <cellStyle name="Accent6 18" xfId="1828" xr:uid="{00000000-0005-0000-0000-0000EE060000}"/>
    <cellStyle name="Accent6 19" xfId="1829" xr:uid="{00000000-0005-0000-0000-0000EF060000}"/>
    <cellStyle name="Accent6 2" xfId="1830" xr:uid="{00000000-0005-0000-0000-0000F0060000}"/>
    <cellStyle name="Accent6 2 10" xfId="1831" xr:uid="{00000000-0005-0000-0000-0000F1060000}"/>
    <cellStyle name="Accent6 2 11" xfId="1832" xr:uid="{00000000-0005-0000-0000-0000F2060000}"/>
    <cellStyle name="Accent6 2 12" xfId="1833" xr:uid="{00000000-0005-0000-0000-0000F3060000}"/>
    <cellStyle name="Accent6 2 13" xfId="1834" xr:uid="{00000000-0005-0000-0000-0000F4060000}"/>
    <cellStyle name="Accent6 2 14" xfId="1835" xr:uid="{00000000-0005-0000-0000-0000F5060000}"/>
    <cellStyle name="Accent6 2 2" xfId="1836" xr:uid="{00000000-0005-0000-0000-0000F6060000}"/>
    <cellStyle name="Accent6 2 3" xfId="1837" xr:uid="{00000000-0005-0000-0000-0000F7060000}"/>
    <cellStyle name="Accent6 2 4" xfId="1838" xr:uid="{00000000-0005-0000-0000-0000F8060000}"/>
    <cellStyle name="Accent6 2 5" xfId="1839" xr:uid="{00000000-0005-0000-0000-0000F9060000}"/>
    <cellStyle name="Accent6 2 6" xfId="1840" xr:uid="{00000000-0005-0000-0000-0000FA060000}"/>
    <cellStyle name="Accent6 2 7" xfId="1841" xr:uid="{00000000-0005-0000-0000-0000FB060000}"/>
    <cellStyle name="Accent6 2 8" xfId="1842" xr:uid="{00000000-0005-0000-0000-0000FC060000}"/>
    <cellStyle name="Accent6 2 9" xfId="1843" xr:uid="{00000000-0005-0000-0000-0000FD060000}"/>
    <cellStyle name="Accent6 20" xfId="1844" xr:uid="{00000000-0005-0000-0000-0000FE060000}"/>
    <cellStyle name="Accent6 21" xfId="1845" xr:uid="{00000000-0005-0000-0000-0000FF060000}"/>
    <cellStyle name="Accent6 22" xfId="1846" xr:uid="{00000000-0005-0000-0000-000000070000}"/>
    <cellStyle name="Accent6 23" xfId="1847" xr:uid="{00000000-0005-0000-0000-000001070000}"/>
    <cellStyle name="Accent6 24" xfId="1848" xr:uid="{00000000-0005-0000-0000-000002070000}"/>
    <cellStyle name="Accent6 25" xfId="1849" xr:uid="{00000000-0005-0000-0000-000003070000}"/>
    <cellStyle name="Accent6 26" xfId="1850" xr:uid="{00000000-0005-0000-0000-000004070000}"/>
    <cellStyle name="Accent6 27" xfId="1851" xr:uid="{00000000-0005-0000-0000-000005070000}"/>
    <cellStyle name="Accent6 28" xfId="1852" xr:uid="{00000000-0005-0000-0000-000006070000}"/>
    <cellStyle name="Accent6 29" xfId="1853" xr:uid="{00000000-0005-0000-0000-000007070000}"/>
    <cellStyle name="Accent6 3" xfId="1854" xr:uid="{00000000-0005-0000-0000-000008070000}"/>
    <cellStyle name="Accent6 3 2" xfId="1855" xr:uid="{00000000-0005-0000-0000-000009070000}"/>
    <cellStyle name="Accent6 3 3" xfId="1856" xr:uid="{00000000-0005-0000-0000-00000A070000}"/>
    <cellStyle name="Accent6 30" xfId="1857" xr:uid="{00000000-0005-0000-0000-00000B070000}"/>
    <cellStyle name="Accent6 31" xfId="1858" xr:uid="{00000000-0005-0000-0000-00000C070000}"/>
    <cellStyle name="Accent6 32" xfId="1859" xr:uid="{00000000-0005-0000-0000-00000D070000}"/>
    <cellStyle name="Accent6 33" xfId="1860" xr:uid="{00000000-0005-0000-0000-00000E070000}"/>
    <cellStyle name="Accent6 34" xfId="1861" xr:uid="{00000000-0005-0000-0000-00000F070000}"/>
    <cellStyle name="Accent6 4" xfId="1862" xr:uid="{00000000-0005-0000-0000-000010070000}"/>
    <cellStyle name="Accent6 4 2" xfId="1863" xr:uid="{00000000-0005-0000-0000-000011070000}"/>
    <cellStyle name="Accent6 4 3" xfId="1864" xr:uid="{00000000-0005-0000-0000-000012070000}"/>
    <cellStyle name="Accent6 5" xfId="1865" xr:uid="{00000000-0005-0000-0000-000013070000}"/>
    <cellStyle name="Accent6 5 2" xfId="1866" xr:uid="{00000000-0005-0000-0000-000014070000}"/>
    <cellStyle name="Accent6 5 3" xfId="1867" xr:uid="{00000000-0005-0000-0000-000015070000}"/>
    <cellStyle name="Accent6 6" xfId="1868" xr:uid="{00000000-0005-0000-0000-000016070000}"/>
    <cellStyle name="Accent6 6 2" xfId="1869" xr:uid="{00000000-0005-0000-0000-000017070000}"/>
    <cellStyle name="Accent6 6 3" xfId="1870" xr:uid="{00000000-0005-0000-0000-000018070000}"/>
    <cellStyle name="Accent6 7" xfId="1871" xr:uid="{00000000-0005-0000-0000-000019070000}"/>
    <cellStyle name="Accent6 7 2" xfId="1872" xr:uid="{00000000-0005-0000-0000-00001A070000}"/>
    <cellStyle name="Accent6 7 3" xfId="1873" xr:uid="{00000000-0005-0000-0000-00001B070000}"/>
    <cellStyle name="Accent6 8" xfId="1874" xr:uid="{00000000-0005-0000-0000-00001C070000}"/>
    <cellStyle name="Accent6 8 2" xfId="1875" xr:uid="{00000000-0005-0000-0000-00001D070000}"/>
    <cellStyle name="Accent6 8 3" xfId="1876" xr:uid="{00000000-0005-0000-0000-00001E070000}"/>
    <cellStyle name="Accent6 9" xfId="1877" xr:uid="{00000000-0005-0000-0000-00001F070000}"/>
    <cellStyle name="Accent6 9 2" xfId="1878" xr:uid="{00000000-0005-0000-0000-000020070000}"/>
    <cellStyle name="Accent6 9 3" xfId="1879" xr:uid="{00000000-0005-0000-0000-000021070000}"/>
    <cellStyle name="Bad 10" xfId="1880" xr:uid="{00000000-0005-0000-0000-000022070000}"/>
    <cellStyle name="Bad 10 2" xfId="1881" xr:uid="{00000000-0005-0000-0000-000023070000}"/>
    <cellStyle name="Bad 10 3" xfId="1882" xr:uid="{00000000-0005-0000-0000-000024070000}"/>
    <cellStyle name="Bad 11" xfId="1883" xr:uid="{00000000-0005-0000-0000-000025070000}"/>
    <cellStyle name="Bad 11 2" xfId="1884" xr:uid="{00000000-0005-0000-0000-000026070000}"/>
    <cellStyle name="Bad 11 3" xfId="1885" xr:uid="{00000000-0005-0000-0000-000027070000}"/>
    <cellStyle name="Bad 12" xfId="1886" xr:uid="{00000000-0005-0000-0000-000028070000}"/>
    <cellStyle name="Bad 12 2" xfId="1887" xr:uid="{00000000-0005-0000-0000-000029070000}"/>
    <cellStyle name="Bad 12 3" xfId="1888" xr:uid="{00000000-0005-0000-0000-00002A070000}"/>
    <cellStyle name="Bad 13" xfId="1889" xr:uid="{00000000-0005-0000-0000-00002B070000}"/>
    <cellStyle name="Bad 13 2" xfId="1890" xr:uid="{00000000-0005-0000-0000-00002C070000}"/>
    <cellStyle name="Bad 13 3" xfId="1891" xr:uid="{00000000-0005-0000-0000-00002D070000}"/>
    <cellStyle name="Bad 14" xfId="1892" xr:uid="{00000000-0005-0000-0000-00002E070000}"/>
    <cellStyle name="Bad 14 2" xfId="1893" xr:uid="{00000000-0005-0000-0000-00002F070000}"/>
    <cellStyle name="Bad 14 3" xfId="1894" xr:uid="{00000000-0005-0000-0000-000030070000}"/>
    <cellStyle name="Bad 15" xfId="1895" xr:uid="{00000000-0005-0000-0000-000031070000}"/>
    <cellStyle name="Bad 15 2" xfId="1896" xr:uid="{00000000-0005-0000-0000-000032070000}"/>
    <cellStyle name="Bad 15 3" xfId="1897" xr:uid="{00000000-0005-0000-0000-000033070000}"/>
    <cellStyle name="Bad 15 4" xfId="1898" xr:uid="{00000000-0005-0000-0000-000034070000}"/>
    <cellStyle name="Bad 15 5" xfId="1899" xr:uid="{00000000-0005-0000-0000-000035070000}"/>
    <cellStyle name="Bad 15 6" xfId="1900" xr:uid="{00000000-0005-0000-0000-000036070000}"/>
    <cellStyle name="Bad 15 7" xfId="1901" xr:uid="{00000000-0005-0000-0000-000037070000}"/>
    <cellStyle name="Bad 16" xfId="1902" xr:uid="{00000000-0005-0000-0000-000038070000}"/>
    <cellStyle name="Bad 17" xfId="1903" xr:uid="{00000000-0005-0000-0000-000039070000}"/>
    <cellStyle name="Bad 18" xfId="1904" xr:uid="{00000000-0005-0000-0000-00003A070000}"/>
    <cellStyle name="Bad 19" xfId="1905" xr:uid="{00000000-0005-0000-0000-00003B070000}"/>
    <cellStyle name="Bad 2" xfId="1906" xr:uid="{00000000-0005-0000-0000-00003C070000}"/>
    <cellStyle name="Bad 2 10" xfId="1907" xr:uid="{00000000-0005-0000-0000-00003D070000}"/>
    <cellStyle name="Bad 2 11" xfId="1908" xr:uid="{00000000-0005-0000-0000-00003E070000}"/>
    <cellStyle name="Bad 2 12" xfId="1909" xr:uid="{00000000-0005-0000-0000-00003F070000}"/>
    <cellStyle name="Bad 2 13" xfId="1910" xr:uid="{00000000-0005-0000-0000-000040070000}"/>
    <cellStyle name="Bad 2 14" xfId="1911" xr:uid="{00000000-0005-0000-0000-000041070000}"/>
    <cellStyle name="Bad 2 2" xfId="1912" xr:uid="{00000000-0005-0000-0000-000042070000}"/>
    <cellStyle name="Bad 2 3" xfId="1913" xr:uid="{00000000-0005-0000-0000-000043070000}"/>
    <cellStyle name="Bad 2 4" xfId="1914" xr:uid="{00000000-0005-0000-0000-000044070000}"/>
    <cellStyle name="Bad 2 5" xfId="1915" xr:uid="{00000000-0005-0000-0000-000045070000}"/>
    <cellStyle name="Bad 2 6" xfId="1916" xr:uid="{00000000-0005-0000-0000-000046070000}"/>
    <cellStyle name="Bad 2 7" xfId="1917" xr:uid="{00000000-0005-0000-0000-000047070000}"/>
    <cellStyle name="Bad 2 8" xfId="1918" xr:uid="{00000000-0005-0000-0000-000048070000}"/>
    <cellStyle name="Bad 2 9" xfId="1919" xr:uid="{00000000-0005-0000-0000-000049070000}"/>
    <cellStyle name="Bad 20" xfId="1920" xr:uid="{00000000-0005-0000-0000-00004A070000}"/>
    <cellStyle name="Bad 21" xfId="1921" xr:uid="{00000000-0005-0000-0000-00004B070000}"/>
    <cellStyle name="Bad 22" xfId="1922" xr:uid="{00000000-0005-0000-0000-00004C070000}"/>
    <cellStyle name="Bad 23" xfId="1923" xr:uid="{00000000-0005-0000-0000-00004D070000}"/>
    <cellStyle name="Bad 24" xfId="1924" xr:uid="{00000000-0005-0000-0000-00004E070000}"/>
    <cellStyle name="Bad 25" xfId="1925" xr:uid="{00000000-0005-0000-0000-00004F070000}"/>
    <cellStyle name="Bad 26" xfId="1926" xr:uid="{00000000-0005-0000-0000-000050070000}"/>
    <cellStyle name="Bad 27" xfId="1927" xr:uid="{00000000-0005-0000-0000-000051070000}"/>
    <cellStyle name="Bad 28" xfId="1928" xr:uid="{00000000-0005-0000-0000-000052070000}"/>
    <cellStyle name="Bad 29" xfId="1929" xr:uid="{00000000-0005-0000-0000-000053070000}"/>
    <cellStyle name="Bad 3" xfId="1930" xr:uid="{00000000-0005-0000-0000-000054070000}"/>
    <cellStyle name="Bad 3 2" xfId="1931" xr:uid="{00000000-0005-0000-0000-000055070000}"/>
    <cellStyle name="Bad 3 3" xfId="1932" xr:uid="{00000000-0005-0000-0000-000056070000}"/>
    <cellStyle name="Bad 30" xfId="1933" xr:uid="{00000000-0005-0000-0000-000057070000}"/>
    <cellStyle name="Bad 31" xfId="1934" xr:uid="{00000000-0005-0000-0000-000058070000}"/>
    <cellStyle name="Bad 32" xfId="1935" xr:uid="{00000000-0005-0000-0000-000059070000}"/>
    <cellStyle name="Bad 33" xfId="1936" xr:uid="{00000000-0005-0000-0000-00005A070000}"/>
    <cellStyle name="Bad 34" xfId="1937" xr:uid="{00000000-0005-0000-0000-00005B070000}"/>
    <cellStyle name="Bad 4" xfId="1938" xr:uid="{00000000-0005-0000-0000-00005C070000}"/>
    <cellStyle name="Bad 4 2" xfId="1939" xr:uid="{00000000-0005-0000-0000-00005D070000}"/>
    <cellStyle name="Bad 4 3" xfId="1940" xr:uid="{00000000-0005-0000-0000-00005E070000}"/>
    <cellStyle name="Bad 5" xfId="1941" xr:uid="{00000000-0005-0000-0000-00005F070000}"/>
    <cellStyle name="Bad 5 2" xfId="1942" xr:uid="{00000000-0005-0000-0000-000060070000}"/>
    <cellStyle name="Bad 5 3" xfId="1943" xr:uid="{00000000-0005-0000-0000-000061070000}"/>
    <cellStyle name="Bad 6" xfId="1944" xr:uid="{00000000-0005-0000-0000-000062070000}"/>
    <cellStyle name="Bad 6 2" xfId="1945" xr:uid="{00000000-0005-0000-0000-000063070000}"/>
    <cellStyle name="Bad 6 3" xfId="1946" xr:uid="{00000000-0005-0000-0000-000064070000}"/>
    <cellStyle name="Bad 7" xfId="1947" xr:uid="{00000000-0005-0000-0000-000065070000}"/>
    <cellStyle name="Bad 7 2" xfId="1948" xr:uid="{00000000-0005-0000-0000-000066070000}"/>
    <cellStyle name="Bad 7 3" xfId="1949" xr:uid="{00000000-0005-0000-0000-000067070000}"/>
    <cellStyle name="Bad 8" xfId="1950" xr:uid="{00000000-0005-0000-0000-000068070000}"/>
    <cellStyle name="Bad 8 2" xfId="1951" xr:uid="{00000000-0005-0000-0000-000069070000}"/>
    <cellStyle name="Bad 8 3" xfId="1952" xr:uid="{00000000-0005-0000-0000-00006A070000}"/>
    <cellStyle name="Bad 9" xfId="1953" xr:uid="{00000000-0005-0000-0000-00006B070000}"/>
    <cellStyle name="Bad 9 2" xfId="1954" xr:uid="{00000000-0005-0000-0000-00006C070000}"/>
    <cellStyle name="Bad 9 3" xfId="1955" xr:uid="{00000000-0005-0000-0000-00006D070000}"/>
    <cellStyle name="Calculation 10" xfId="1956" xr:uid="{00000000-0005-0000-0000-00006E070000}"/>
    <cellStyle name="Calculation 10 2" xfId="1957" xr:uid="{00000000-0005-0000-0000-00006F070000}"/>
    <cellStyle name="Calculation 10 3" xfId="1958" xr:uid="{00000000-0005-0000-0000-000070070000}"/>
    <cellStyle name="Calculation 11" xfId="1959" xr:uid="{00000000-0005-0000-0000-000071070000}"/>
    <cellStyle name="Calculation 11 2" xfId="1960" xr:uid="{00000000-0005-0000-0000-000072070000}"/>
    <cellStyle name="Calculation 11 3" xfId="1961" xr:uid="{00000000-0005-0000-0000-000073070000}"/>
    <cellStyle name="Calculation 12" xfId="1962" xr:uid="{00000000-0005-0000-0000-000074070000}"/>
    <cellStyle name="Calculation 12 2" xfId="1963" xr:uid="{00000000-0005-0000-0000-000075070000}"/>
    <cellStyle name="Calculation 12 3" xfId="1964" xr:uid="{00000000-0005-0000-0000-000076070000}"/>
    <cellStyle name="Calculation 13" xfId="1965" xr:uid="{00000000-0005-0000-0000-000077070000}"/>
    <cellStyle name="Calculation 13 2" xfId="1966" xr:uid="{00000000-0005-0000-0000-000078070000}"/>
    <cellStyle name="Calculation 13 3" xfId="1967" xr:uid="{00000000-0005-0000-0000-000079070000}"/>
    <cellStyle name="Calculation 14" xfId="1968" xr:uid="{00000000-0005-0000-0000-00007A070000}"/>
    <cellStyle name="Calculation 14 2" xfId="1969" xr:uid="{00000000-0005-0000-0000-00007B070000}"/>
    <cellStyle name="Calculation 14 3" xfId="1970" xr:uid="{00000000-0005-0000-0000-00007C070000}"/>
    <cellStyle name="Calculation 15" xfId="1971" xr:uid="{00000000-0005-0000-0000-00007D070000}"/>
    <cellStyle name="Calculation 15 2" xfId="1972" xr:uid="{00000000-0005-0000-0000-00007E070000}"/>
    <cellStyle name="Calculation 15 3" xfId="1973" xr:uid="{00000000-0005-0000-0000-00007F070000}"/>
    <cellStyle name="Calculation 15 4" xfId="1974" xr:uid="{00000000-0005-0000-0000-000080070000}"/>
    <cellStyle name="Calculation 15 5" xfId="1975" xr:uid="{00000000-0005-0000-0000-000081070000}"/>
    <cellStyle name="Calculation 15 6" xfId="1976" xr:uid="{00000000-0005-0000-0000-000082070000}"/>
    <cellStyle name="Calculation 15 7" xfId="1977" xr:uid="{00000000-0005-0000-0000-000083070000}"/>
    <cellStyle name="Calculation 16" xfId="1978" xr:uid="{00000000-0005-0000-0000-000084070000}"/>
    <cellStyle name="Calculation 17" xfId="1979" xr:uid="{00000000-0005-0000-0000-000085070000}"/>
    <cellStyle name="Calculation 18" xfId="1980" xr:uid="{00000000-0005-0000-0000-000086070000}"/>
    <cellStyle name="Calculation 19" xfId="1981" xr:uid="{00000000-0005-0000-0000-000087070000}"/>
    <cellStyle name="Calculation 2" xfId="1982" xr:uid="{00000000-0005-0000-0000-000088070000}"/>
    <cellStyle name="Calculation 2 10" xfId="1983" xr:uid="{00000000-0005-0000-0000-000089070000}"/>
    <cellStyle name="Calculation 2 11" xfId="1984" xr:uid="{00000000-0005-0000-0000-00008A070000}"/>
    <cellStyle name="Calculation 2 12" xfId="1985" xr:uid="{00000000-0005-0000-0000-00008B070000}"/>
    <cellStyle name="Calculation 2 13" xfId="1986" xr:uid="{00000000-0005-0000-0000-00008C070000}"/>
    <cellStyle name="Calculation 2 14" xfId="1987" xr:uid="{00000000-0005-0000-0000-00008D070000}"/>
    <cellStyle name="Calculation 2 2" xfId="1988" xr:uid="{00000000-0005-0000-0000-00008E070000}"/>
    <cellStyle name="Calculation 2 3" xfId="1989" xr:uid="{00000000-0005-0000-0000-00008F070000}"/>
    <cellStyle name="Calculation 2 4" xfId="1990" xr:uid="{00000000-0005-0000-0000-000090070000}"/>
    <cellStyle name="Calculation 2 5" xfId="1991" xr:uid="{00000000-0005-0000-0000-000091070000}"/>
    <cellStyle name="Calculation 2 6" xfId="1992" xr:uid="{00000000-0005-0000-0000-000092070000}"/>
    <cellStyle name="Calculation 2 7" xfId="1993" xr:uid="{00000000-0005-0000-0000-000093070000}"/>
    <cellStyle name="Calculation 2 8" xfId="1994" xr:uid="{00000000-0005-0000-0000-000094070000}"/>
    <cellStyle name="Calculation 2 9" xfId="1995" xr:uid="{00000000-0005-0000-0000-000095070000}"/>
    <cellStyle name="Calculation 20" xfId="1996" xr:uid="{00000000-0005-0000-0000-000096070000}"/>
    <cellStyle name="Calculation 21" xfId="1997" xr:uid="{00000000-0005-0000-0000-000097070000}"/>
    <cellStyle name="Calculation 22" xfId="1998" xr:uid="{00000000-0005-0000-0000-000098070000}"/>
    <cellStyle name="Calculation 23" xfId="1999" xr:uid="{00000000-0005-0000-0000-000099070000}"/>
    <cellStyle name="Calculation 24" xfId="2000" xr:uid="{00000000-0005-0000-0000-00009A070000}"/>
    <cellStyle name="Calculation 25" xfId="2001" xr:uid="{00000000-0005-0000-0000-00009B070000}"/>
    <cellStyle name="Calculation 26" xfId="2002" xr:uid="{00000000-0005-0000-0000-00009C070000}"/>
    <cellStyle name="Calculation 27" xfId="2003" xr:uid="{00000000-0005-0000-0000-00009D070000}"/>
    <cellStyle name="Calculation 28" xfId="2004" xr:uid="{00000000-0005-0000-0000-00009E070000}"/>
    <cellStyle name="Calculation 29" xfId="2005" xr:uid="{00000000-0005-0000-0000-00009F070000}"/>
    <cellStyle name="Calculation 3" xfId="2006" xr:uid="{00000000-0005-0000-0000-0000A0070000}"/>
    <cellStyle name="Calculation 3 2" xfId="2007" xr:uid="{00000000-0005-0000-0000-0000A1070000}"/>
    <cellStyle name="Calculation 3 3" xfId="2008" xr:uid="{00000000-0005-0000-0000-0000A2070000}"/>
    <cellStyle name="Calculation 30" xfId="2009" xr:uid="{00000000-0005-0000-0000-0000A3070000}"/>
    <cellStyle name="Calculation 31" xfId="2010" xr:uid="{00000000-0005-0000-0000-0000A4070000}"/>
    <cellStyle name="Calculation 32" xfId="2011" xr:uid="{00000000-0005-0000-0000-0000A5070000}"/>
    <cellStyle name="Calculation 33" xfId="2012" xr:uid="{00000000-0005-0000-0000-0000A6070000}"/>
    <cellStyle name="Calculation 34" xfId="2013" xr:uid="{00000000-0005-0000-0000-0000A7070000}"/>
    <cellStyle name="Calculation 4" xfId="2014" xr:uid="{00000000-0005-0000-0000-0000A8070000}"/>
    <cellStyle name="Calculation 4 2" xfId="2015" xr:uid="{00000000-0005-0000-0000-0000A9070000}"/>
    <cellStyle name="Calculation 4 3" xfId="2016" xr:uid="{00000000-0005-0000-0000-0000AA070000}"/>
    <cellStyle name="Calculation 5" xfId="2017" xr:uid="{00000000-0005-0000-0000-0000AB070000}"/>
    <cellStyle name="Calculation 5 2" xfId="2018" xr:uid="{00000000-0005-0000-0000-0000AC070000}"/>
    <cellStyle name="Calculation 5 3" xfId="2019" xr:uid="{00000000-0005-0000-0000-0000AD070000}"/>
    <cellStyle name="Calculation 6" xfId="2020" xr:uid="{00000000-0005-0000-0000-0000AE070000}"/>
    <cellStyle name="Calculation 6 2" xfId="2021" xr:uid="{00000000-0005-0000-0000-0000AF070000}"/>
    <cellStyle name="Calculation 6 3" xfId="2022" xr:uid="{00000000-0005-0000-0000-0000B0070000}"/>
    <cellStyle name="Calculation 7" xfId="2023" xr:uid="{00000000-0005-0000-0000-0000B1070000}"/>
    <cellStyle name="Calculation 7 2" xfId="2024" xr:uid="{00000000-0005-0000-0000-0000B2070000}"/>
    <cellStyle name="Calculation 7 3" xfId="2025" xr:uid="{00000000-0005-0000-0000-0000B3070000}"/>
    <cellStyle name="Calculation 8" xfId="2026" xr:uid="{00000000-0005-0000-0000-0000B4070000}"/>
    <cellStyle name="Calculation 8 2" xfId="2027" xr:uid="{00000000-0005-0000-0000-0000B5070000}"/>
    <cellStyle name="Calculation 8 3" xfId="2028" xr:uid="{00000000-0005-0000-0000-0000B6070000}"/>
    <cellStyle name="Calculation 9" xfId="2029" xr:uid="{00000000-0005-0000-0000-0000B7070000}"/>
    <cellStyle name="Calculation 9 2" xfId="2030" xr:uid="{00000000-0005-0000-0000-0000B8070000}"/>
    <cellStyle name="Calculation 9 3" xfId="2031" xr:uid="{00000000-0005-0000-0000-0000B9070000}"/>
    <cellStyle name="Check Cell 10" xfId="2032" xr:uid="{00000000-0005-0000-0000-0000BA070000}"/>
    <cellStyle name="Check Cell 10 2" xfId="2033" xr:uid="{00000000-0005-0000-0000-0000BB070000}"/>
    <cellStyle name="Check Cell 10 3" xfId="2034" xr:uid="{00000000-0005-0000-0000-0000BC070000}"/>
    <cellStyle name="Check Cell 11" xfId="2035" xr:uid="{00000000-0005-0000-0000-0000BD070000}"/>
    <cellStyle name="Check Cell 11 2" xfId="2036" xr:uid="{00000000-0005-0000-0000-0000BE070000}"/>
    <cellStyle name="Check Cell 11 3" xfId="2037" xr:uid="{00000000-0005-0000-0000-0000BF070000}"/>
    <cellStyle name="Check Cell 12" xfId="2038" xr:uid="{00000000-0005-0000-0000-0000C0070000}"/>
    <cellStyle name="Check Cell 12 2" xfId="2039" xr:uid="{00000000-0005-0000-0000-0000C1070000}"/>
    <cellStyle name="Check Cell 12 3" xfId="2040" xr:uid="{00000000-0005-0000-0000-0000C2070000}"/>
    <cellStyle name="Check Cell 13" xfId="2041" xr:uid="{00000000-0005-0000-0000-0000C3070000}"/>
    <cellStyle name="Check Cell 13 2" xfId="2042" xr:uid="{00000000-0005-0000-0000-0000C4070000}"/>
    <cellStyle name="Check Cell 13 3" xfId="2043" xr:uid="{00000000-0005-0000-0000-0000C5070000}"/>
    <cellStyle name="Check Cell 14" xfId="2044" xr:uid="{00000000-0005-0000-0000-0000C6070000}"/>
    <cellStyle name="Check Cell 14 2" xfId="2045" xr:uid="{00000000-0005-0000-0000-0000C7070000}"/>
    <cellStyle name="Check Cell 14 3" xfId="2046" xr:uid="{00000000-0005-0000-0000-0000C8070000}"/>
    <cellStyle name="Check Cell 15" xfId="2047" xr:uid="{00000000-0005-0000-0000-0000C9070000}"/>
    <cellStyle name="Check Cell 15 2" xfId="2048" xr:uid="{00000000-0005-0000-0000-0000CA070000}"/>
    <cellStyle name="Check Cell 15 3" xfId="2049" xr:uid="{00000000-0005-0000-0000-0000CB070000}"/>
    <cellStyle name="Check Cell 15 4" xfId="2050" xr:uid="{00000000-0005-0000-0000-0000CC070000}"/>
    <cellStyle name="Check Cell 15 5" xfId="2051" xr:uid="{00000000-0005-0000-0000-0000CD070000}"/>
    <cellStyle name="Check Cell 15 6" xfId="2052" xr:uid="{00000000-0005-0000-0000-0000CE070000}"/>
    <cellStyle name="Check Cell 15 7" xfId="2053" xr:uid="{00000000-0005-0000-0000-0000CF070000}"/>
    <cellStyle name="Check Cell 16" xfId="2054" xr:uid="{00000000-0005-0000-0000-0000D0070000}"/>
    <cellStyle name="Check Cell 17" xfId="2055" xr:uid="{00000000-0005-0000-0000-0000D1070000}"/>
    <cellStyle name="Check Cell 18" xfId="2056" xr:uid="{00000000-0005-0000-0000-0000D2070000}"/>
    <cellStyle name="Check Cell 19" xfId="2057" xr:uid="{00000000-0005-0000-0000-0000D3070000}"/>
    <cellStyle name="Check Cell 2" xfId="2058" xr:uid="{00000000-0005-0000-0000-0000D4070000}"/>
    <cellStyle name="Check Cell 2 10" xfId="2059" xr:uid="{00000000-0005-0000-0000-0000D5070000}"/>
    <cellStyle name="Check Cell 2 11" xfId="2060" xr:uid="{00000000-0005-0000-0000-0000D6070000}"/>
    <cellStyle name="Check Cell 2 12" xfId="2061" xr:uid="{00000000-0005-0000-0000-0000D7070000}"/>
    <cellStyle name="Check Cell 2 13" xfId="2062" xr:uid="{00000000-0005-0000-0000-0000D8070000}"/>
    <cellStyle name="Check Cell 2 14" xfId="2063" xr:uid="{00000000-0005-0000-0000-0000D9070000}"/>
    <cellStyle name="Check Cell 2 2" xfId="2064" xr:uid="{00000000-0005-0000-0000-0000DA070000}"/>
    <cellStyle name="Check Cell 2 3" xfId="2065" xr:uid="{00000000-0005-0000-0000-0000DB070000}"/>
    <cellStyle name="Check Cell 2 4" xfId="2066" xr:uid="{00000000-0005-0000-0000-0000DC070000}"/>
    <cellStyle name="Check Cell 2 5" xfId="2067" xr:uid="{00000000-0005-0000-0000-0000DD070000}"/>
    <cellStyle name="Check Cell 2 6" xfId="2068" xr:uid="{00000000-0005-0000-0000-0000DE070000}"/>
    <cellStyle name="Check Cell 2 7" xfId="2069" xr:uid="{00000000-0005-0000-0000-0000DF070000}"/>
    <cellStyle name="Check Cell 2 8" xfId="2070" xr:uid="{00000000-0005-0000-0000-0000E0070000}"/>
    <cellStyle name="Check Cell 2 9" xfId="2071" xr:uid="{00000000-0005-0000-0000-0000E1070000}"/>
    <cellStyle name="Check Cell 20" xfId="2072" xr:uid="{00000000-0005-0000-0000-0000E2070000}"/>
    <cellStyle name="Check Cell 21" xfId="2073" xr:uid="{00000000-0005-0000-0000-0000E3070000}"/>
    <cellStyle name="Check Cell 22" xfId="2074" xr:uid="{00000000-0005-0000-0000-0000E4070000}"/>
    <cellStyle name="Check Cell 23" xfId="2075" xr:uid="{00000000-0005-0000-0000-0000E5070000}"/>
    <cellStyle name="Check Cell 24" xfId="2076" xr:uid="{00000000-0005-0000-0000-0000E6070000}"/>
    <cellStyle name="Check Cell 25" xfId="2077" xr:uid="{00000000-0005-0000-0000-0000E7070000}"/>
    <cellStyle name="Check Cell 26" xfId="2078" xr:uid="{00000000-0005-0000-0000-0000E8070000}"/>
    <cellStyle name="Check Cell 27" xfId="2079" xr:uid="{00000000-0005-0000-0000-0000E9070000}"/>
    <cellStyle name="Check Cell 28" xfId="2080" xr:uid="{00000000-0005-0000-0000-0000EA070000}"/>
    <cellStyle name="Check Cell 29" xfId="2081" xr:uid="{00000000-0005-0000-0000-0000EB070000}"/>
    <cellStyle name="Check Cell 3" xfId="2082" xr:uid="{00000000-0005-0000-0000-0000EC070000}"/>
    <cellStyle name="Check Cell 3 2" xfId="2083" xr:uid="{00000000-0005-0000-0000-0000ED070000}"/>
    <cellStyle name="Check Cell 3 3" xfId="2084" xr:uid="{00000000-0005-0000-0000-0000EE070000}"/>
    <cellStyle name="Check Cell 30" xfId="2085" xr:uid="{00000000-0005-0000-0000-0000EF070000}"/>
    <cellStyle name="Check Cell 31" xfId="2086" xr:uid="{00000000-0005-0000-0000-0000F0070000}"/>
    <cellStyle name="Check Cell 32" xfId="2087" xr:uid="{00000000-0005-0000-0000-0000F1070000}"/>
    <cellStyle name="Check Cell 33" xfId="2088" xr:uid="{00000000-0005-0000-0000-0000F2070000}"/>
    <cellStyle name="Check Cell 34" xfId="2089" xr:uid="{00000000-0005-0000-0000-0000F3070000}"/>
    <cellStyle name="Check Cell 4" xfId="2090" xr:uid="{00000000-0005-0000-0000-0000F4070000}"/>
    <cellStyle name="Check Cell 4 2" xfId="2091" xr:uid="{00000000-0005-0000-0000-0000F5070000}"/>
    <cellStyle name="Check Cell 4 3" xfId="2092" xr:uid="{00000000-0005-0000-0000-0000F6070000}"/>
    <cellStyle name="Check Cell 5" xfId="2093" xr:uid="{00000000-0005-0000-0000-0000F7070000}"/>
    <cellStyle name="Check Cell 5 2" xfId="2094" xr:uid="{00000000-0005-0000-0000-0000F8070000}"/>
    <cellStyle name="Check Cell 5 3" xfId="2095" xr:uid="{00000000-0005-0000-0000-0000F9070000}"/>
    <cellStyle name="Check Cell 6" xfId="2096" xr:uid="{00000000-0005-0000-0000-0000FA070000}"/>
    <cellStyle name="Check Cell 6 2" xfId="2097" xr:uid="{00000000-0005-0000-0000-0000FB070000}"/>
    <cellStyle name="Check Cell 6 3" xfId="2098" xr:uid="{00000000-0005-0000-0000-0000FC070000}"/>
    <cellStyle name="Check Cell 7" xfId="2099" xr:uid="{00000000-0005-0000-0000-0000FD070000}"/>
    <cellStyle name="Check Cell 7 2" xfId="2100" xr:uid="{00000000-0005-0000-0000-0000FE070000}"/>
    <cellStyle name="Check Cell 7 3" xfId="2101" xr:uid="{00000000-0005-0000-0000-0000FF070000}"/>
    <cellStyle name="Check Cell 8" xfId="2102" xr:uid="{00000000-0005-0000-0000-000000080000}"/>
    <cellStyle name="Check Cell 8 2" xfId="2103" xr:uid="{00000000-0005-0000-0000-000001080000}"/>
    <cellStyle name="Check Cell 8 3" xfId="2104" xr:uid="{00000000-0005-0000-0000-000002080000}"/>
    <cellStyle name="Check Cell 9" xfId="2105" xr:uid="{00000000-0005-0000-0000-000003080000}"/>
    <cellStyle name="Check Cell 9 2" xfId="2106" xr:uid="{00000000-0005-0000-0000-000004080000}"/>
    <cellStyle name="Check Cell 9 3" xfId="2107" xr:uid="{00000000-0005-0000-0000-000005080000}"/>
    <cellStyle name="Comma" xfId="7" builtinId="3"/>
    <cellStyle name="Comma 10" xfId="2108" xr:uid="{00000000-0005-0000-0000-000007080000}"/>
    <cellStyle name="Comma 10 10" xfId="2109" xr:uid="{00000000-0005-0000-0000-000008080000}"/>
    <cellStyle name="Comma 10 11" xfId="2110" xr:uid="{00000000-0005-0000-0000-000009080000}"/>
    <cellStyle name="Comma 10 12" xfId="2111" xr:uid="{00000000-0005-0000-0000-00000A080000}"/>
    <cellStyle name="Comma 10 13" xfId="2112" xr:uid="{00000000-0005-0000-0000-00000B080000}"/>
    <cellStyle name="Comma 10 14" xfId="2113" xr:uid="{00000000-0005-0000-0000-00000C080000}"/>
    <cellStyle name="Comma 10 15" xfId="2114" xr:uid="{00000000-0005-0000-0000-00000D080000}"/>
    <cellStyle name="Comma 10 16" xfId="2115" xr:uid="{00000000-0005-0000-0000-00000E080000}"/>
    <cellStyle name="Comma 10 17" xfId="2116" xr:uid="{00000000-0005-0000-0000-00000F080000}"/>
    <cellStyle name="Comma 10 2" xfId="2117" xr:uid="{00000000-0005-0000-0000-000010080000}"/>
    <cellStyle name="Comma 10 2 2" xfId="2118" xr:uid="{00000000-0005-0000-0000-000011080000}"/>
    <cellStyle name="Comma 10 3" xfId="2119" xr:uid="{00000000-0005-0000-0000-000012080000}"/>
    <cellStyle name="Comma 10 3 2" xfId="2120" xr:uid="{00000000-0005-0000-0000-000013080000}"/>
    <cellStyle name="Comma 10 4" xfId="2121" xr:uid="{00000000-0005-0000-0000-000014080000}"/>
    <cellStyle name="Comma 10 4 2" xfId="2122" xr:uid="{00000000-0005-0000-0000-000015080000}"/>
    <cellStyle name="Comma 10 5" xfId="2123" xr:uid="{00000000-0005-0000-0000-000016080000}"/>
    <cellStyle name="Comma 10 5 2" xfId="2124" xr:uid="{00000000-0005-0000-0000-000017080000}"/>
    <cellStyle name="Comma 10 6" xfId="2125" xr:uid="{00000000-0005-0000-0000-000018080000}"/>
    <cellStyle name="Comma 10 7" xfId="2126" xr:uid="{00000000-0005-0000-0000-000019080000}"/>
    <cellStyle name="Comma 10 8" xfId="2127" xr:uid="{00000000-0005-0000-0000-00001A080000}"/>
    <cellStyle name="Comma 10 9" xfId="2128" xr:uid="{00000000-0005-0000-0000-00001B080000}"/>
    <cellStyle name="Comma 11" xfId="2129" xr:uid="{00000000-0005-0000-0000-00001C080000}"/>
    <cellStyle name="Comma 11 2" xfId="2130" xr:uid="{00000000-0005-0000-0000-00001D080000}"/>
    <cellStyle name="Comma 11 2 10" xfId="2131" xr:uid="{00000000-0005-0000-0000-00001E080000}"/>
    <cellStyle name="Comma 11 2 2" xfId="2132" xr:uid="{00000000-0005-0000-0000-00001F080000}"/>
    <cellStyle name="Comma 11 2 3" xfId="2133" xr:uid="{00000000-0005-0000-0000-000020080000}"/>
    <cellStyle name="Comma 11 2 4" xfId="2134" xr:uid="{00000000-0005-0000-0000-000021080000}"/>
    <cellStyle name="Comma 11 2 5" xfId="2135" xr:uid="{00000000-0005-0000-0000-000022080000}"/>
    <cellStyle name="Comma 11 2 6" xfId="2136" xr:uid="{00000000-0005-0000-0000-000023080000}"/>
    <cellStyle name="Comma 11 2 7" xfId="2137" xr:uid="{00000000-0005-0000-0000-000024080000}"/>
    <cellStyle name="Comma 11 2 8" xfId="2138" xr:uid="{00000000-0005-0000-0000-000025080000}"/>
    <cellStyle name="Comma 11 2 9" xfId="2139" xr:uid="{00000000-0005-0000-0000-000026080000}"/>
    <cellStyle name="Comma 11 3" xfId="2140" xr:uid="{00000000-0005-0000-0000-000027080000}"/>
    <cellStyle name="Comma 11 3 10" xfId="2141" xr:uid="{00000000-0005-0000-0000-000028080000}"/>
    <cellStyle name="Comma 11 3 2" xfId="2142" xr:uid="{00000000-0005-0000-0000-000029080000}"/>
    <cellStyle name="Comma 11 3 3" xfId="2143" xr:uid="{00000000-0005-0000-0000-00002A080000}"/>
    <cellStyle name="Comma 11 3 4" xfId="2144" xr:uid="{00000000-0005-0000-0000-00002B080000}"/>
    <cellStyle name="Comma 11 3 5" xfId="2145" xr:uid="{00000000-0005-0000-0000-00002C080000}"/>
    <cellStyle name="Comma 11 3 6" xfId="2146" xr:uid="{00000000-0005-0000-0000-00002D080000}"/>
    <cellStyle name="Comma 11 3 7" xfId="2147" xr:uid="{00000000-0005-0000-0000-00002E080000}"/>
    <cellStyle name="Comma 11 3 8" xfId="2148" xr:uid="{00000000-0005-0000-0000-00002F080000}"/>
    <cellStyle name="Comma 11 3 9" xfId="2149" xr:uid="{00000000-0005-0000-0000-000030080000}"/>
    <cellStyle name="Comma 11 4" xfId="2150" xr:uid="{00000000-0005-0000-0000-000031080000}"/>
    <cellStyle name="Comma 11 4 10" xfId="2151" xr:uid="{00000000-0005-0000-0000-000032080000}"/>
    <cellStyle name="Comma 11 4 2" xfId="2152" xr:uid="{00000000-0005-0000-0000-000033080000}"/>
    <cellStyle name="Comma 11 4 3" xfId="2153" xr:uid="{00000000-0005-0000-0000-000034080000}"/>
    <cellStyle name="Comma 11 4 4" xfId="2154" xr:uid="{00000000-0005-0000-0000-000035080000}"/>
    <cellStyle name="Comma 11 4 5" xfId="2155" xr:uid="{00000000-0005-0000-0000-000036080000}"/>
    <cellStyle name="Comma 11 4 6" xfId="2156" xr:uid="{00000000-0005-0000-0000-000037080000}"/>
    <cellStyle name="Comma 11 4 7" xfId="2157" xr:uid="{00000000-0005-0000-0000-000038080000}"/>
    <cellStyle name="Comma 11 4 8" xfId="2158" xr:uid="{00000000-0005-0000-0000-000039080000}"/>
    <cellStyle name="Comma 11 4 9" xfId="2159" xr:uid="{00000000-0005-0000-0000-00003A080000}"/>
    <cellStyle name="Comma 11 5" xfId="2160" xr:uid="{00000000-0005-0000-0000-00003B080000}"/>
    <cellStyle name="Comma 11 5 10" xfId="2161" xr:uid="{00000000-0005-0000-0000-00003C080000}"/>
    <cellStyle name="Comma 11 5 2" xfId="2162" xr:uid="{00000000-0005-0000-0000-00003D080000}"/>
    <cellStyle name="Comma 11 5 3" xfId="2163" xr:uid="{00000000-0005-0000-0000-00003E080000}"/>
    <cellStyle name="Comma 11 5 4" xfId="2164" xr:uid="{00000000-0005-0000-0000-00003F080000}"/>
    <cellStyle name="Comma 11 5 5" xfId="2165" xr:uid="{00000000-0005-0000-0000-000040080000}"/>
    <cellStyle name="Comma 11 5 6" xfId="2166" xr:uid="{00000000-0005-0000-0000-000041080000}"/>
    <cellStyle name="Comma 11 5 7" xfId="2167" xr:uid="{00000000-0005-0000-0000-000042080000}"/>
    <cellStyle name="Comma 11 5 8" xfId="2168" xr:uid="{00000000-0005-0000-0000-000043080000}"/>
    <cellStyle name="Comma 11 5 9" xfId="2169" xr:uid="{00000000-0005-0000-0000-000044080000}"/>
    <cellStyle name="Comma 11 6" xfId="2170" xr:uid="{00000000-0005-0000-0000-000045080000}"/>
    <cellStyle name="Comma 11 6 10" xfId="2171" xr:uid="{00000000-0005-0000-0000-000046080000}"/>
    <cellStyle name="Comma 11 6 2" xfId="2172" xr:uid="{00000000-0005-0000-0000-000047080000}"/>
    <cellStyle name="Comma 11 6 3" xfId="2173" xr:uid="{00000000-0005-0000-0000-000048080000}"/>
    <cellStyle name="Comma 11 6 4" xfId="2174" xr:uid="{00000000-0005-0000-0000-000049080000}"/>
    <cellStyle name="Comma 11 6 5" xfId="2175" xr:uid="{00000000-0005-0000-0000-00004A080000}"/>
    <cellStyle name="Comma 11 6 6" xfId="2176" xr:uid="{00000000-0005-0000-0000-00004B080000}"/>
    <cellStyle name="Comma 11 6 7" xfId="2177" xr:uid="{00000000-0005-0000-0000-00004C080000}"/>
    <cellStyle name="Comma 11 6 8" xfId="2178" xr:uid="{00000000-0005-0000-0000-00004D080000}"/>
    <cellStyle name="Comma 11 6 9" xfId="2179" xr:uid="{00000000-0005-0000-0000-00004E080000}"/>
    <cellStyle name="Comma 11 7" xfId="2180" xr:uid="{00000000-0005-0000-0000-00004F080000}"/>
    <cellStyle name="Comma 11 7 10" xfId="2181" xr:uid="{00000000-0005-0000-0000-000050080000}"/>
    <cellStyle name="Comma 11 7 2" xfId="2182" xr:uid="{00000000-0005-0000-0000-000051080000}"/>
    <cellStyle name="Comma 11 7 3" xfId="2183" xr:uid="{00000000-0005-0000-0000-000052080000}"/>
    <cellStyle name="Comma 11 7 4" xfId="2184" xr:uid="{00000000-0005-0000-0000-000053080000}"/>
    <cellStyle name="Comma 11 7 5" xfId="2185" xr:uid="{00000000-0005-0000-0000-000054080000}"/>
    <cellStyle name="Comma 11 7 6" xfId="2186" xr:uid="{00000000-0005-0000-0000-000055080000}"/>
    <cellStyle name="Comma 11 7 7" xfId="2187" xr:uid="{00000000-0005-0000-0000-000056080000}"/>
    <cellStyle name="Comma 11 7 8" xfId="2188" xr:uid="{00000000-0005-0000-0000-000057080000}"/>
    <cellStyle name="Comma 11 7 9" xfId="2189" xr:uid="{00000000-0005-0000-0000-000058080000}"/>
    <cellStyle name="Comma 11 8" xfId="2190" xr:uid="{00000000-0005-0000-0000-000059080000}"/>
    <cellStyle name="Comma 12" xfId="2191" xr:uid="{00000000-0005-0000-0000-00005A080000}"/>
    <cellStyle name="Comma 12 2" xfId="2192" xr:uid="{00000000-0005-0000-0000-00005B080000}"/>
    <cellStyle name="Comma 13" xfId="2193" xr:uid="{00000000-0005-0000-0000-00005C080000}"/>
    <cellStyle name="Comma 13 2" xfId="2194" xr:uid="{00000000-0005-0000-0000-00005D080000}"/>
    <cellStyle name="Comma 14" xfId="2195" xr:uid="{00000000-0005-0000-0000-00005E080000}"/>
    <cellStyle name="Comma 14 2" xfId="2196" xr:uid="{00000000-0005-0000-0000-00005F080000}"/>
    <cellStyle name="Comma 15" xfId="2197" xr:uid="{00000000-0005-0000-0000-000060080000}"/>
    <cellStyle name="Comma 15 2" xfId="2198" xr:uid="{00000000-0005-0000-0000-000061080000}"/>
    <cellStyle name="Comma 16" xfId="2199" xr:uid="{00000000-0005-0000-0000-000062080000}"/>
    <cellStyle name="Comma 16 2" xfId="2200" xr:uid="{00000000-0005-0000-0000-000063080000}"/>
    <cellStyle name="Comma 17" xfId="2201" xr:uid="{00000000-0005-0000-0000-000064080000}"/>
    <cellStyle name="Comma 17 2" xfId="2202" xr:uid="{00000000-0005-0000-0000-000065080000}"/>
    <cellStyle name="Comma 18" xfId="2203" xr:uid="{00000000-0005-0000-0000-000066080000}"/>
    <cellStyle name="Comma 18 2" xfId="2204" xr:uid="{00000000-0005-0000-0000-000067080000}"/>
    <cellStyle name="Comma 19" xfId="2205" xr:uid="{00000000-0005-0000-0000-000068080000}"/>
    <cellStyle name="Comma 19 2" xfId="2206" xr:uid="{00000000-0005-0000-0000-000069080000}"/>
    <cellStyle name="Comma 2" xfId="12" xr:uid="{00000000-0005-0000-0000-00006A080000}"/>
    <cellStyle name="Comma 2 10" xfId="2208" xr:uid="{00000000-0005-0000-0000-00006B080000}"/>
    <cellStyle name="Comma 2 11" xfId="2209" xr:uid="{00000000-0005-0000-0000-00006C080000}"/>
    <cellStyle name="Comma 2 12" xfId="2210" xr:uid="{00000000-0005-0000-0000-00006D080000}"/>
    <cellStyle name="Comma 2 13" xfId="2211" xr:uid="{00000000-0005-0000-0000-00006E080000}"/>
    <cellStyle name="Comma 2 14" xfId="2212" xr:uid="{00000000-0005-0000-0000-00006F080000}"/>
    <cellStyle name="Comma 2 15" xfId="2213" xr:uid="{00000000-0005-0000-0000-000070080000}"/>
    <cellStyle name="Comma 2 16" xfId="2214" xr:uid="{00000000-0005-0000-0000-000071080000}"/>
    <cellStyle name="Comma 2 17" xfId="2215" xr:uid="{00000000-0005-0000-0000-000072080000}"/>
    <cellStyle name="Comma 2 18" xfId="2216" xr:uid="{00000000-0005-0000-0000-000073080000}"/>
    <cellStyle name="Comma 2 19" xfId="2217" xr:uid="{00000000-0005-0000-0000-000074080000}"/>
    <cellStyle name="Comma 2 2" xfId="2218" xr:uid="{00000000-0005-0000-0000-000075080000}"/>
    <cellStyle name="Comma 2 2 10" xfId="2219" xr:uid="{00000000-0005-0000-0000-000076080000}"/>
    <cellStyle name="Comma 2 2 11" xfId="2220" xr:uid="{00000000-0005-0000-0000-000077080000}"/>
    <cellStyle name="Comma 2 2 12" xfId="2221" xr:uid="{00000000-0005-0000-0000-000078080000}"/>
    <cellStyle name="Comma 2 2 13" xfId="2222" xr:uid="{00000000-0005-0000-0000-000079080000}"/>
    <cellStyle name="Comma 2 2 14" xfId="2223" xr:uid="{00000000-0005-0000-0000-00007A080000}"/>
    <cellStyle name="Comma 2 2 15" xfId="2224" xr:uid="{00000000-0005-0000-0000-00007B080000}"/>
    <cellStyle name="Comma 2 2 16" xfId="2225" xr:uid="{00000000-0005-0000-0000-00007C080000}"/>
    <cellStyle name="Comma 2 2 17" xfId="2226" xr:uid="{00000000-0005-0000-0000-00007D080000}"/>
    <cellStyle name="Comma 2 2 18" xfId="2227" xr:uid="{00000000-0005-0000-0000-00007E080000}"/>
    <cellStyle name="Comma 2 2 19" xfId="2228" xr:uid="{00000000-0005-0000-0000-00007F080000}"/>
    <cellStyle name="Comma 2 2 2" xfId="2229" xr:uid="{00000000-0005-0000-0000-000080080000}"/>
    <cellStyle name="Comma 2 2 2 2" xfId="2230" xr:uid="{00000000-0005-0000-0000-000081080000}"/>
    <cellStyle name="Comma 2 2 2 3" xfId="2231" xr:uid="{00000000-0005-0000-0000-000082080000}"/>
    <cellStyle name="Comma 2 2 2 4" xfId="2232" xr:uid="{00000000-0005-0000-0000-000083080000}"/>
    <cellStyle name="Comma 2 2 20" xfId="2233" xr:uid="{00000000-0005-0000-0000-000084080000}"/>
    <cellStyle name="Comma 2 2 21" xfId="2234" xr:uid="{00000000-0005-0000-0000-000085080000}"/>
    <cellStyle name="Comma 2 2 22" xfId="2235" xr:uid="{00000000-0005-0000-0000-000086080000}"/>
    <cellStyle name="Comma 2 2 23" xfId="2236" xr:uid="{00000000-0005-0000-0000-000087080000}"/>
    <cellStyle name="Comma 2 2 24" xfId="2237" xr:uid="{00000000-0005-0000-0000-000088080000}"/>
    <cellStyle name="Comma 2 2 25" xfId="2238" xr:uid="{00000000-0005-0000-0000-000089080000}"/>
    <cellStyle name="Comma 2 2 26" xfId="2239" xr:uid="{00000000-0005-0000-0000-00008A080000}"/>
    <cellStyle name="Comma 2 2 27" xfId="2240" xr:uid="{00000000-0005-0000-0000-00008B080000}"/>
    <cellStyle name="Comma 2 2 28" xfId="2241" xr:uid="{00000000-0005-0000-0000-00008C080000}"/>
    <cellStyle name="Comma 2 2 29" xfId="2242" xr:uid="{00000000-0005-0000-0000-00008D080000}"/>
    <cellStyle name="Comma 2 2 3" xfId="2243" xr:uid="{00000000-0005-0000-0000-00008E080000}"/>
    <cellStyle name="Comma 2 2 30" xfId="2244" xr:uid="{00000000-0005-0000-0000-00008F080000}"/>
    <cellStyle name="Comma 2 2 31" xfId="2245" xr:uid="{00000000-0005-0000-0000-000090080000}"/>
    <cellStyle name="Comma 2 2 4" xfId="2246" xr:uid="{00000000-0005-0000-0000-000091080000}"/>
    <cellStyle name="Comma 2 2 5" xfId="2247" xr:uid="{00000000-0005-0000-0000-000092080000}"/>
    <cellStyle name="Comma 2 2 6" xfId="2248" xr:uid="{00000000-0005-0000-0000-000093080000}"/>
    <cellStyle name="Comma 2 2 7" xfId="2249" xr:uid="{00000000-0005-0000-0000-000094080000}"/>
    <cellStyle name="Comma 2 2 8" xfId="2250" xr:uid="{00000000-0005-0000-0000-000095080000}"/>
    <cellStyle name="Comma 2 2 9" xfId="2251" xr:uid="{00000000-0005-0000-0000-000096080000}"/>
    <cellStyle name="Comma 2 20" xfId="2252" xr:uid="{00000000-0005-0000-0000-000097080000}"/>
    <cellStyle name="Comma 2 21" xfId="2253" xr:uid="{00000000-0005-0000-0000-000098080000}"/>
    <cellStyle name="Comma 2 22" xfId="2254" xr:uid="{00000000-0005-0000-0000-000099080000}"/>
    <cellStyle name="Comma 2 23" xfId="2255" xr:uid="{00000000-0005-0000-0000-00009A080000}"/>
    <cellStyle name="Comma 2 23 2" xfId="2256" xr:uid="{00000000-0005-0000-0000-00009B080000}"/>
    <cellStyle name="Comma 2 23 2 2" xfId="2257" xr:uid="{00000000-0005-0000-0000-00009C080000}"/>
    <cellStyle name="Comma 2 23 2 3" xfId="2258" xr:uid="{00000000-0005-0000-0000-00009D080000}"/>
    <cellStyle name="Comma 2 23 3" xfId="2259" xr:uid="{00000000-0005-0000-0000-00009E080000}"/>
    <cellStyle name="Comma 2 23 4" xfId="2260" xr:uid="{00000000-0005-0000-0000-00009F080000}"/>
    <cellStyle name="Comma 2 24" xfId="2261" xr:uid="{00000000-0005-0000-0000-0000A0080000}"/>
    <cellStyle name="Comma 2 25" xfId="2262" xr:uid="{00000000-0005-0000-0000-0000A1080000}"/>
    <cellStyle name="Comma 2 26" xfId="2263" xr:uid="{00000000-0005-0000-0000-0000A2080000}"/>
    <cellStyle name="Comma 2 27" xfId="2264" xr:uid="{00000000-0005-0000-0000-0000A3080000}"/>
    <cellStyle name="Comma 2 28" xfId="2265" xr:uid="{00000000-0005-0000-0000-0000A4080000}"/>
    <cellStyle name="Comma 2 29" xfId="2266" xr:uid="{00000000-0005-0000-0000-0000A5080000}"/>
    <cellStyle name="Comma 2 3" xfId="2267" xr:uid="{00000000-0005-0000-0000-0000A6080000}"/>
    <cellStyle name="Comma 2 3 10" xfId="2268" xr:uid="{00000000-0005-0000-0000-0000A7080000}"/>
    <cellStyle name="Comma 2 3 11" xfId="2269" xr:uid="{00000000-0005-0000-0000-0000A8080000}"/>
    <cellStyle name="Comma 2 3 12" xfId="2270" xr:uid="{00000000-0005-0000-0000-0000A9080000}"/>
    <cellStyle name="Comma 2 3 2" xfId="2271" xr:uid="{00000000-0005-0000-0000-0000AA080000}"/>
    <cellStyle name="Comma 2 3 2 2" xfId="2272" xr:uid="{00000000-0005-0000-0000-0000AB080000}"/>
    <cellStyle name="Comma 2 3 2 3" xfId="2273" xr:uid="{00000000-0005-0000-0000-0000AC080000}"/>
    <cellStyle name="Comma 2 3 2 4" xfId="2274" xr:uid="{00000000-0005-0000-0000-0000AD080000}"/>
    <cellStyle name="Comma 2 3 3" xfId="2275" xr:uid="{00000000-0005-0000-0000-0000AE080000}"/>
    <cellStyle name="Comma 2 3 4" xfId="2276" xr:uid="{00000000-0005-0000-0000-0000AF080000}"/>
    <cellStyle name="Comma 2 3 5" xfId="2277" xr:uid="{00000000-0005-0000-0000-0000B0080000}"/>
    <cellStyle name="Comma 2 3 6" xfId="2278" xr:uid="{00000000-0005-0000-0000-0000B1080000}"/>
    <cellStyle name="Comma 2 3 7" xfId="2279" xr:uid="{00000000-0005-0000-0000-0000B2080000}"/>
    <cellStyle name="Comma 2 3 8" xfId="2280" xr:uid="{00000000-0005-0000-0000-0000B3080000}"/>
    <cellStyle name="Comma 2 3 9" xfId="2281" xr:uid="{00000000-0005-0000-0000-0000B4080000}"/>
    <cellStyle name="Comma 2 30" xfId="2282" xr:uid="{00000000-0005-0000-0000-0000B5080000}"/>
    <cellStyle name="Comma 2 31" xfId="2283" xr:uid="{00000000-0005-0000-0000-0000B6080000}"/>
    <cellStyle name="Comma 2 32" xfId="2284" xr:uid="{00000000-0005-0000-0000-0000B7080000}"/>
    <cellStyle name="Comma 2 33" xfId="2285" xr:uid="{00000000-0005-0000-0000-0000B8080000}"/>
    <cellStyle name="Comma 2 34" xfId="2286" xr:uid="{00000000-0005-0000-0000-0000B9080000}"/>
    <cellStyle name="Comma 2 35" xfId="2287" xr:uid="{00000000-0005-0000-0000-0000BA080000}"/>
    <cellStyle name="Comma 2 36" xfId="2288" xr:uid="{00000000-0005-0000-0000-0000BB080000}"/>
    <cellStyle name="Comma 2 37" xfId="2289" xr:uid="{00000000-0005-0000-0000-0000BC080000}"/>
    <cellStyle name="Comma 2 38" xfId="2290" xr:uid="{00000000-0005-0000-0000-0000BD080000}"/>
    <cellStyle name="Comma 2 39" xfId="2291" xr:uid="{00000000-0005-0000-0000-0000BE080000}"/>
    <cellStyle name="Comma 2 4" xfId="2292" xr:uid="{00000000-0005-0000-0000-0000BF080000}"/>
    <cellStyle name="Comma 2 40" xfId="2293" xr:uid="{00000000-0005-0000-0000-0000C0080000}"/>
    <cellStyle name="Comma 2 41" xfId="2294" xr:uid="{00000000-0005-0000-0000-0000C1080000}"/>
    <cellStyle name="Comma 2 42" xfId="2295" xr:uid="{00000000-0005-0000-0000-0000C2080000}"/>
    <cellStyle name="Comma 2 43" xfId="2296" xr:uid="{00000000-0005-0000-0000-0000C3080000}"/>
    <cellStyle name="Comma 2 43 2" xfId="2297" xr:uid="{00000000-0005-0000-0000-0000C4080000}"/>
    <cellStyle name="Comma 2 43 3" xfId="2298" xr:uid="{00000000-0005-0000-0000-0000C5080000}"/>
    <cellStyle name="Comma 2 44" xfId="2299" xr:uid="{00000000-0005-0000-0000-0000C6080000}"/>
    <cellStyle name="Comma 2 44 2" xfId="2300" xr:uid="{00000000-0005-0000-0000-0000C7080000}"/>
    <cellStyle name="Comma 2 44 3" xfId="2301" xr:uid="{00000000-0005-0000-0000-0000C8080000}"/>
    <cellStyle name="Comma 2 45" xfId="2302" xr:uid="{00000000-0005-0000-0000-0000C9080000}"/>
    <cellStyle name="Comma 2 45 2" xfId="2303" xr:uid="{00000000-0005-0000-0000-0000CA080000}"/>
    <cellStyle name="Comma 2 45 3" xfId="2304" xr:uid="{00000000-0005-0000-0000-0000CB080000}"/>
    <cellStyle name="Comma 2 46" xfId="2305" xr:uid="{00000000-0005-0000-0000-0000CC080000}"/>
    <cellStyle name="Comma 2 46 2" xfId="2306" xr:uid="{00000000-0005-0000-0000-0000CD080000}"/>
    <cellStyle name="Comma 2 46 3" xfId="2307" xr:uid="{00000000-0005-0000-0000-0000CE080000}"/>
    <cellStyle name="Comma 2 47" xfId="2308" xr:uid="{00000000-0005-0000-0000-0000CF080000}"/>
    <cellStyle name="Comma 2 47 2" xfId="2309" xr:uid="{00000000-0005-0000-0000-0000D0080000}"/>
    <cellStyle name="Comma 2 47 3" xfId="2310" xr:uid="{00000000-0005-0000-0000-0000D1080000}"/>
    <cellStyle name="Comma 2 48" xfId="2311" xr:uid="{00000000-0005-0000-0000-0000D2080000}"/>
    <cellStyle name="Comma 2 48 2" xfId="2312" xr:uid="{00000000-0005-0000-0000-0000D3080000}"/>
    <cellStyle name="Comma 2 48 3" xfId="2313" xr:uid="{00000000-0005-0000-0000-0000D4080000}"/>
    <cellStyle name="Comma 2 49" xfId="2314" xr:uid="{00000000-0005-0000-0000-0000D5080000}"/>
    <cellStyle name="Comma 2 49 2" xfId="2315" xr:uid="{00000000-0005-0000-0000-0000D6080000}"/>
    <cellStyle name="Comma 2 49 3" xfId="2316" xr:uid="{00000000-0005-0000-0000-0000D7080000}"/>
    <cellStyle name="Comma 2 5" xfId="2317" xr:uid="{00000000-0005-0000-0000-0000D8080000}"/>
    <cellStyle name="Comma 2 50" xfId="2318" xr:uid="{00000000-0005-0000-0000-0000D9080000}"/>
    <cellStyle name="Comma 2 50 2" xfId="2319" xr:uid="{00000000-0005-0000-0000-0000DA080000}"/>
    <cellStyle name="Comma 2 50 3" xfId="2320" xr:uid="{00000000-0005-0000-0000-0000DB080000}"/>
    <cellStyle name="Comma 2 51" xfId="2321" xr:uid="{00000000-0005-0000-0000-0000DC080000}"/>
    <cellStyle name="Comma 2 51 2" xfId="2322" xr:uid="{00000000-0005-0000-0000-0000DD080000}"/>
    <cellStyle name="Comma 2 51 3" xfId="2323" xr:uid="{00000000-0005-0000-0000-0000DE080000}"/>
    <cellStyle name="Comma 2 52" xfId="2324" xr:uid="{00000000-0005-0000-0000-0000DF080000}"/>
    <cellStyle name="Comma 2 52 2" xfId="2325" xr:uid="{00000000-0005-0000-0000-0000E0080000}"/>
    <cellStyle name="Comma 2 52 3" xfId="2326" xr:uid="{00000000-0005-0000-0000-0000E1080000}"/>
    <cellStyle name="Comma 2 53" xfId="2327" xr:uid="{00000000-0005-0000-0000-0000E2080000}"/>
    <cellStyle name="Comma 2 53 2" xfId="2328" xr:uid="{00000000-0005-0000-0000-0000E3080000}"/>
    <cellStyle name="Comma 2 53 3" xfId="2329" xr:uid="{00000000-0005-0000-0000-0000E4080000}"/>
    <cellStyle name="Comma 2 54" xfId="2330" xr:uid="{00000000-0005-0000-0000-0000E5080000}"/>
    <cellStyle name="Comma 2 54 2" xfId="2331" xr:uid="{00000000-0005-0000-0000-0000E6080000}"/>
    <cellStyle name="Comma 2 54 3" xfId="2332" xr:uid="{00000000-0005-0000-0000-0000E7080000}"/>
    <cellStyle name="Comma 2 55" xfId="2333" xr:uid="{00000000-0005-0000-0000-0000E8080000}"/>
    <cellStyle name="Comma 2 55 2" xfId="2334" xr:uid="{00000000-0005-0000-0000-0000E9080000}"/>
    <cellStyle name="Comma 2 55 3" xfId="2335" xr:uid="{00000000-0005-0000-0000-0000EA080000}"/>
    <cellStyle name="Comma 2 56" xfId="2336" xr:uid="{00000000-0005-0000-0000-0000EB080000}"/>
    <cellStyle name="Comma 2 57" xfId="2337" xr:uid="{00000000-0005-0000-0000-0000EC080000}"/>
    <cellStyle name="Comma 2 58" xfId="2338" xr:uid="{00000000-0005-0000-0000-0000ED080000}"/>
    <cellStyle name="Comma 2 59" xfId="2339" xr:uid="{00000000-0005-0000-0000-0000EE080000}"/>
    <cellStyle name="Comma 2 6" xfId="2340" xr:uid="{00000000-0005-0000-0000-0000EF080000}"/>
    <cellStyle name="Comma 2 60" xfId="2341" xr:uid="{00000000-0005-0000-0000-0000F0080000}"/>
    <cellStyle name="Comma 2 61" xfId="2342" xr:uid="{00000000-0005-0000-0000-0000F1080000}"/>
    <cellStyle name="Comma 2 62" xfId="2343" xr:uid="{00000000-0005-0000-0000-0000F2080000}"/>
    <cellStyle name="Comma 2 63" xfId="2344" xr:uid="{00000000-0005-0000-0000-0000F3080000}"/>
    <cellStyle name="Comma 2 64" xfId="2345" xr:uid="{00000000-0005-0000-0000-0000F4080000}"/>
    <cellStyle name="Comma 2 65" xfId="2346" xr:uid="{00000000-0005-0000-0000-0000F5080000}"/>
    <cellStyle name="Comma 2 66" xfId="2347" xr:uid="{00000000-0005-0000-0000-0000F6080000}"/>
    <cellStyle name="Comma 2 67" xfId="2348" xr:uid="{00000000-0005-0000-0000-0000F7080000}"/>
    <cellStyle name="Comma 2 68" xfId="2349" xr:uid="{00000000-0005-0000-0000-0000F8080000}"/>
    <cellStyle name="Comma 2 69" xfId="2207" xr:uid="{00000000-0005-0000-0000-0000F9080000}"/>
    <cellStyle name="Comma 2 7" xfId="2350" xr:uid="{00000000-0005-0000-0000-0000FA080000}"/>
    <cellStyle name="Comma 2 8" xfId="2351" xr:uid="{00000000-0005-0000-0000-0000FB080000}"/>
    <cellStyle name="Comma 2 9" xfId="2352" xr:uid="{00000000-0005-0000-0000-0000FC080000}"/>
    <cellStyle name="Comma 20" xfId="2353" xr:uid="{00000000-0005-0000-0000-0000FD080000}"/>
    <cellStyle name="Comma 20 2" xfId="2354" xr:uid="{00000000-0005-0000-0000-0000FE080000}"/>
    <cellStyle name="Comma 21" xfId="2355" xr:uid="{00000000-0005-0000-0000-0000FF080000}"/>
    <cellStyle name="Comma 21 2" xfId="2356" xr:uid="{00000000-0005-0000-0000-000000090000}"/>
    <cellStyle name="Comma 22" xfId="2357" xr:uid="{00000000-0005-0000-0000-000001090000}"/>
    <cellStyle name="Comma 22 2" xfId="2358" xr:uid="{00000000-0005-0000-0000-000002090000}"/>
    <cellStyle name="Comma 23" xfId="2359" xr:uid="{00000000-0005-0000-0000-000003090000}"/>
    <cellStyle name="Comma 24" xfId="2360" xr:uid="{00000000-0005-0000-0000-000004090000}"/>
    <cellStyle name="Comma 25" xfId="2361" xr:uid="{00000000-0005-0000-0000-000005090000}"/>
    <cellStyle name="Comma 26" xfId="2362" xr:uid="{00000000-0005-0000-0000-000006090000}"/>
    <cellStyle name="Comma 27" xfId="2363" xr:uid="{00000000-0005-0000-0000-000007090000}"/>
    <cellStyle name="Comma 28" xfId="2364" xr:uid="{00000000-0005-0000-0000-000008090000}"/>
    <cellStyle name="Comma 28 10" xfId="2365" xr:uid="{00000000-0005-0000-0000-000009090000}"/>
    <cellStyle name="Comma 28 11" xfId="2366" xr:uid="{00000000-0005-0000-0000-00000A090000}"/>
    <cellStyle name="Comma 28 12" xfId="2367" xr:uid="{00000000-0005-0000-0000-00000B090000}"/>
    <cellStyle name="Comma 28 13" xfId="2368" xr:uid="{00000000-0005-0000-0000-00000C090000}"/>
    <cellStyle name="Comma 28 14" xfId="2369" xr:uid="{00000000-0005-0000-0000-00000D090000}"/>
    <cellStyle name="Comma 28 15" xfId="2370" xr:uid="{00000000-0005-0000-0000-00000E090000}"/>
    <cellStyle name="Comma 28 16" xfId="2371" xr:uid="{00000000-0005-0000-0000-00000F090000}"/>
    <cellStyle name="Comma 28 17" xfId="2372" xr:uid="{00000000-0005-0000-0000-000010090000}"/>
    <cellStyle name="Comma 28 2" xfId="2373" xr:uid="{00000000-0005-0000-0000-000011090000}"/>
    <cellStyle name="Comma 28 2 10" xfId="2374" xr:uid="{00000000-0005-0000-0000-000012090000}"/>
    <cellStyle name="Comma 28 2 11" xfId="2375" xr:uid="{00000000-0005-0000-0000-000013090000}"/>
    <cellStyle name="Comma 28 2 12" xfId="2376" xr:uid="{00000000-0005-0000-0000-000014090000}"/>
    <cellStyle name="Comma 28 2 13" xfId="2377" xr:uid="{00000000-0005-0000-0000-000015090000}"/>
    <cellStyle name="Comma 28 2 14" xfId="2378" xr:uid="{00000000-0005-0000-0000-000016090000}"/>
    <cellStyle name="Comma 28 2 2" xfId="2379" xr:uid="{00000000-0005-0000-0000-000017090000}"/>
    <cellStyle name="Comma 28 2 2 2" xfId="2380" xr:uid="{00000000-0005-0000-0000-000018090000}"/>
    <cellStyle name="Comma 28 2 2 2 2" xfId="2381" xr:uid="{00000000-0005-0000-0000-000019090000}"/>
    <cellStyle name="Comma 28 2 2 2 3" xfId="2382" xr:uid="{00000000-0005-0000-0000-00001A090000}"/>
    <cellStyle name="Comma 28 2 2 3" xfId="2383" xr:uid="{00000000-0005-0000-0000-00001B090000}"/>
    <cellStyle name="Comma 28 2 3" xfId="2384" xr:uid="{00000000-0005-0000-0000-00001C090000}"/>
    <cellStyle name="Comma 28 2 4" xfId="2385" xr:uid="{00000000-0005-0000-0000-00001D090000}"/>
    <cellStyle name="Comma 28 2 5" xfId="2386" xr:uid="{00000000-0005-0000-0000-00001E090000}"/>
    <cellStyle name="Comma 28 2 6" xfId="2387" xr:uid="{00000000-0005-0000-0000-00001F090000}"/>
    <cellStyle name="Comma 28 2 7" xfId="2388" xr:uid="{00000000-0005-0000-0000-000020090000}"/>
    <cellStyle name="Comma 28 2 8" xfId="2389" xr:uid="{00000000-0005-0000-0000-000021090000}"/>
    <cellStyle name="Comma 28 2 9" xfId="2390" xr:uid="{00000000-0005-0000-0000-000022090000}"/>
    <cellStyle name="Comma 28 3" xfId="2391" xr:uid="{00000000-0005-0000-0000-000023090000}"/>
    <cellStyle name="Comma 28 4" xfId="2392" xr:uid="{00000000-0005-0000-0000-000024090000}"/>
    <cellStyle name="Comma 28 5" xfId="2393" xr:uid="{00000000-0005-0000-0000-000025090000}"/>
    <cellStyle name="Comma 28 6" xfId="2394" xr:uid="{00000000-0005-0000-0000-000026090000}"/>
    <cellStyle name="Comma 28 6 2" xfId="2395" xr:uid="{00000000-0005-0000-0000-000027090000}"/>
    <cellStyle name="Comma 28 6 2 2" xfId="2396" xr:uid="{00000000-0005-0000-0000-000028090000}"/>
    <cellStyle name="Comma 28 6 2 3" xfId="2397" xr:uid="{00000000-0005-0000-0000-000029090000}"/>
    <cellStyle name="Comma 28 6 3" xfId="2398" xr:uid="{00000000-0005-0000-0000-00002A090000}"/>
    <cellStyle name="Comma 28 7" xfId="2399" xr:uid="{00000000-0005-0000-0000-00002B090000}"/>
    <cellStyle name="Comma 28 7 2" xfId="2400" xr:uid="{00000000-0005-0000-0000-00002C090000}"/>
    <cellStyle name="Comma 28 7 2 2" xfId="2401" xr:uid="{00000000-0005-0000-0000-00002D090000}"/>
    <cellStyle name="Comma 28 7 2 3" xfId="2402" xr:uid="{00000000-0005-0000-0000-00002E090000}"/>
    <cellStyle name="Comma 28 7 3" xfId="2403" xr:uid="{00000000-0005-0000-0000-00002F090000}"/>
    <cellStyle name="Comma 28 8" xfId="2404" xr:uid="{00000000-0005-0000-0000-000030090000}"/>
    <cellStyle name="Comma 28 9" xfId="2405" xr:uid="{00000000-0005-0000-0000-000031090000}"/>
    <cellStyle name="Comma 29" xfId="2406" xr:uid="{00000000-0005-0000-0000-000032090000}"/>
    <cellStyle name="Comma 29 10" xfId="2407" xr:uid="{00000000-0005-0000-0000-000033090000}"/>
    <cellStyle name="Comma 29 11" xfId="2408" xr:uid="{00000000-0005-0000-0000-000034090000}"/>
    <cellStyle name="Comma 29 12" xfId="2409" xr:uid="{00000000-0005-0000-0000-000035090000}"/>
    <cellStyle name="Comma 29 13" xfId="2410" xr:uid="{00000000-0005-0000-0000-000036090000}"/>
    <cellStyle name="Comma 29 14" xfId="2411" xr:uid="{00000000-0005-0000-0000-000037090000}"/>
    <cellStyle name="Comma 29 15" xfId="2412" xr:uid="{00000000-0005-0000-0000-000038090000}"/>
    <cellStyle name="Comma 29 16" xfId="2413" xr:uid="{00000000-0005-0000-0000-000039090000}"/>
    <cellStyle name="Comma 29 17" xfId="2414" xr:uid="{00000000-0005-0000-0000-00003A090000}"/>
    <cellStyle name="Comma 29 2" xfId="2415" xr:uid="{00000000-0005-0000-0000-00003B090000}"/>
    <cellStyle name="Comma 29 2 10" xfId="2416" xr:uid="{00000000-0005-0000-0000-00003C090000}"/>
    <cellStyle name="Comma 29 2 11" xfId="2417" xr:uid="{00000000-0005-0000-0000-00003D090000}"/>
    <cellStyle name="Comma 29 2 12" xfId="2418" xr:uid="{00000000-0005-0000-0000-00003E090000}"/>
    <cellStyle name="Comma 29 2 13" xfId="2419" xr:uid="{00000000-0005-0000-0000-00003F090000}"/>
    <cellStyle name="Comma 29 2 14" xfId="2420" xr:uid="{00000000-0005-0000-0000-000040090000}"/>
    <cellStyle name="Comma 29 2 2" xfId="2421" xr:uid="{00000000-0005-0000-0000-000041090000}"/>
    <cellStyle name="Comma 29 2 2 2" xfId="2422" xr:uid="{00000000-0005-0000-0000-000042090000}"/>
    <cellStyle name="Comma 29 2 2 2 2" xfId="2423" xr:uid="{00000000-0005-0000-0000-000043090000}"/>
    <cellStyle name="Comma 29 2 2 2 3" xfId="2424" xr:uid="{00000000-0005-0000-0000-000044090000}"/>
    <cellStyle name="Comma 29 2 2 3" xfId="2425" xr:uid="{00000000-0005-0000-0000-000045090000}"/>
    <cellStyle name="Comma 29 2 3" xfId="2426" xr:uid="{00000000-0005-0000-0000-000046090000}"/>
    <cellStyle name="Comma 29 2 4" xfId="2427" xr:uid="{00000000-0005-0000-0000-000047090000}"/>
    <cellStyle name="Comma 29 2 5" xfId="2428" xr:uid="{00000000-0005-0000-0000-000048090000}"/>
    <cellStyle name="Comma 29 2 6" xfId="2429" xr:uid="{00000000-0005-0000-0000-000049090000}"/>
    <cellStyle name="Comma 29 2 7" xfId="2430" xr:uid="{00000000-0005-0000-0000-00004A090000}"/>
    <cellStyle name="Comma 29 2 8" xfId="2431" xr:uid="{00000000-0005-0000-0000-00004B090000}"/>
    <cellStyle name="Comma 29 2 9" xfId="2432" xr:uid="{00000000-0005-0000-0000-00004C090000}"/>
    <cellStyle name="Comma 29 3" xfId="2433" xr:uid="{00000000-0005-0000-0000-00004D090000}"/>
    <cellStyle name="Comma 29 4" xfId="2434" xr:uid="{00000000-0005-0000-0000-00004E090000}"/>
    <cellStyle name="Comma 29 5" xfId="2435" xr:uid="{00000000-0005-0000-0000-00004F090000}"/>
    <cellStyle name="Comma 29 6" xfId="2436" xr:uid="{00000000-0005-0000-0000-000050090000}"/>
    <cellStyle name="Comma 29 6 2" xfId="2437" xr:uid="{00000000-0005-0000-0000-000051090000}"/>
    <cellStyle name="Comma 29 6 2 2" xfId="2438" xr:uid="{00000000-0005-0000-0000-000052090000}"/>
    <cellStyle name="Comma 29 6 2 3" xfId="2439" xr:uid="{00000000-0005-0000-0000-000053090000}"/>
    <cellStyle name="Comma 29 6 3" xfId="2440" xr:uid="{00000000-0005-0000-0000-000054090000}"/>
    <cellStyle name="Comma 29 7" xfId="2441" xr:uid="{00000000-0005-0000-0000-000055090000}"/>
    <cellStyle name="Comma 29 7 2" xfId="2442" xr:uid="{00000000-0005-0000-0000-000056090000}"/>
    <cellStyle name="Comma 29 7 2 2" xfId="2443" xr:uid="{00000000-0005-0000-0000-000057090000}"/>
    <cellStyle name="Comma 29 7 2 3" xfId="2444" xr:uid="{00000000-0005-0000-0000-000058090000}"/>
    <cellStyle name="Comma 29 7 3" xfId="2445" xr:uid="{00000000-0005-0000-0000-000059090000}"/>
    <cellStyle name="Comma 29 8" xfId="2446" xr:uid="{00000000-0005-0000-0000-00005A090000}"/>
    <cellStyle name="Comma 29 9" xfId="2447" xr:uid="{00000000-0005-0000-0000-00005B090000}"/>
    <cellStyle name="Comma 3" xfId="13" xr:uid="{00000000-0005-0000-0000-00005C090000}"/>
    <cellStyle name="Comma 3 10" xfId="2449" xr:uid="{00000000-0005-0000-0000-00005D090000}"/>
    <cellStyle name="Comma 3 11" xfId="2450" xr:uid="{00000000-0005-0000-0000-00005E090000}"/>
    <cellStyle name="Comma 3 12" xfId="2451" xr:uid="{00000000-0005-0000-0000-00005F090000}"/>
    <cellStyle name="Comma 3 13" xfId="2452" xr:uid="{00000000-0005-0000-0000-000060090000}"/>
    <cellStyle name="Comma 3 14" xfId="2453" xr:uid="{00000000-0005-0000-0000-000061090000}"/>
    <cellStyle name="Comma 3 15" xfId="2454" xr:uid="{00000000-0005-0000-0000-000062090000}"/>
    <cellStyle name="Comma 3 16" xfId="2455" xr:uid="{00000000-0005-0000-0000-000063090000}"/>
    <cellStyle name="Comma 3 17" xfId="2456" xr:uid="{00000000-0005-0000-0000-000064090000}"/>
    <cellStyle name="Comma 3 18" xfId="2457" xr:uid="{00000000-0005-0000-0000-000065090000}"/>
    <cellStyle name="Comma 3 19" xfId="2458" xr:uid="{00000000-0005-0000-0000-000066090000}"/>
    <cellStyle name="Comma 3 2" xfId="2459" xr:uid="{00000000-0005-0000-0000-000067090000}"/>
    <cellStyle name="Comma 3 20" xfId="2460" xr:uid="{00000000-0005-0000-0000-000068090000}"/>
    <cellStyle name="Comma 3 21" xfId="2461" xr:uid="{00000000-0005-0000-0000-000069090000}"/>
    <cellStyle name="Comma 3 22" xfId="2462" xr:uid="{00000000-0005-0000-0000-00006A090000}"/>
    <cellStyle name="Comma 3 23" xfId="2463" xr:uid="{00000000-0005-0000-0000-00006B090000}"/>
    <cellStyle name="Comma 3 24" xfId="2464" xr:uid="{00000000-0005-0000-0000-00006C090000}"/>
    <cellStyle name="Comma 3 25" xfId="2465" xr:uid="{00000000-0005-0000-0000-00006D090000}"/>
    <cellStyle name="Comma 3 26" xfId="2466" xr:uid="{00000000-0005-0000-0000-00006E090000}"/>
    <cellStyle name="Comma 3 27" xfId="2467" xr:uid="{00000000-0005-0000-0000-00006F090000}"/>
    <cellStyle name="Comma 3 28" xfId="2468" xr:uid="{00000000-0005-0000-0000-000070090000}"/>
    <cellStyle name="Comma 3 29" xfId="2469" xr:uid="{00000000-0005-0000-0000-000071090000}"/>
    <cellStyle name="Comma 3 3" xfId="2470" xr:uid="{00000000-0005-0000-0000-000072090000}"/>
    <cellStyle name="Comma 3 3 10" xfId="2471" xr:uid="{00000000-0005-0000-0000-000073090000}"/>
    <cellStyle name="Comma 3 3 10 2" xfId="2472" xr:uid="{00000000-0005-0000-0000-000074090000}"/>
    <cellStyle name="Comma 3 3 10 3" xfId="2473" xr:uid="{00000000-0005-0000-0000-000075090000}"/>
    <cellStyle name="Comma 3 3 11" xfId="2474" xr:uid="{00000000-0005-0000-0000-000076090000}"/>
    <cellStyle name="Comma 3 3 11 2" xfId="2475" xr:uid="{00000000-0005-0000-0000-000077090000}"/>
    <cellStyle name="Comma 3 3 11 3" xfId="2476" xr:uid="{00000000-0005-0000-0000-000078090000}"/>
    <cellStyle name="Comma 3 3 12" xfId="2477" xr:uid="{00000000-0005-0000-0000-000079090000}"/>
    <cellStyle name="Comma 3 3 12 2" xfId="2478" xr:uid="{00000000-0005-0000-0000-00007A090000}"/>
    <cellStyle name="Comma 3 3 12 3" xfId="2479" xr:uid="{00000000-0005-0000-0000-00007B090000}"/>
    <cellStyle name="Comma 3 3 13" xfId="2480" xr:uid="{00000000-0005-0000-0000-00007C090000}"/>
    <cellStyle name="Comma 3 3 14" xfId="2481" xr:uid="{00000000-0005-0000-0000-00007D090000}"/>
    <cellStyle name="Comma 3 3 2" xfId="2482" xr:uid="{00000000-0005-0000-0000-00007E090000}"/>
    <cellStyle name="Comma 3 3 2 2" xfId="2483" xr:uid="{00000000-0005-0000-0000-00007F090000}"/>
    <cellStyle name="Comma 3 3 2 2 2" xfId="2484" xr:uid="{00000000-0005-0000-0000-000080090000}"/>
    <cellStyle name="Comma 3 3 2 2 3" xfId="2485" xr:uid="{00000000-0005-0000-0000-000081090000}"/>
    <cellStyle name="Comma 3 3 2 3" xfId="2486" xr:uid="{00000000-0005-0000-0000-000082090000}"/>
    <cellStyle name="Comma 3 3 3" xfId="2487" xr:uid="{00000000-0005-0000-0000-000083090000}"/>
    <cellStyle name="Comma 3 3 3 2" xfId="2488" xr:uid="{00000000-0005-0000-0000-000084090000}"/>
    <cellStyle name="Comma 3 3 3 2 2" xfId="2489" xr:uid="{00000000-0005-0000-0000-000085090000}"/>
    <cellStyle name="Comma 3 3 3 2 3" xfId="2490" xr:uid="{00000000-0005-0000-0000-000086090000}"/>
    <cellStyle name="Comma 3 3 3 3" xfId="2491" xr:uid="{00000000-0005-0000-0000-000087090000}"/>
    <cellStyle name="Comma 3 3 4" xfId="2492" xr:uid="{00000000-0005-0000-0000-000088090000}"/>
    <cellStyle name="Comma 3 3 4 2" xfId="2493" xr:uid="{00000000-0005-0000-0000-000089090000}"/>
    <cellStyle name="Comma 3 3 4 3" xfId="2494" xr:uid="{00000000-0005-0000-0000-00008A090000}"/>
    <cellStyle name="Comma 3 3 5" xfId="2495" xr:uid="{00000000-0005-0000-0000-00008B090000}"/>
    <cellStyle name="Comma 3 3 5 2" xfId="2496" xr:uid="{00000000-0005-0000-0000-00008C090000}"/>
    <cellStyle name="Comma 3 3 5 3" xfId="2497" xr:uid="{00000000-0005-0000-0000-00008D090000}"/>
    <cellStyle name="Comma 3 3 6" xfId="2498" xr:uid="{00000000-0005-0000-0000-00008E090000}"/>
    <cellStyle name="Comma 3 3 6 2" xfId="2499" xr:uid="{00000000-0005-0000-0000-00008F090000}"/>
    <cellStyle name="Comma 3 3 6 3" xfId="2500" xr:uid="{00000000-0005-0000-0000-000090090000}"/>
    <cellStyle name="Comma 3 3 7" xfId="2501" xr:uid="{00000000-0005-0000-0000-000091090000}"/>
    <cellStyle name="Comma 3 3 7 2" xfId="2502" xr:uid="{00000000-0005-0000-0000-000092090000}"/>
    <cellStyle name="Comma 3 3 7 3" xfId="2503" xr:uid="{00000000-0005-0000-0000-000093090000}"/>
    <cellStyle name="Comma 3 3 8" xfId="2504" xr:uid="{00000000-0005-0000-0000-000094090000}"/>
    <cellStyle name="Comma 3 3 8 2" xfId="2505" xr:uid="{00000000-0005-0000-0000-000095090000}"/>
    <cellStyle name="Comma 3 3 8 3" xfId="2506" xr:uid="{00000000-0005-0000-0000-000096090000}"/>
    <cellStyle name="Comma 3 3 9" xfId="2507" xr:uid="{00000000-0005-0000-0000-000097090000}"/>
    <cellStyle name="Comma 3 3 9 2" xfId="2508" xr:uid="{00000000-0005-0000-0000-000098090000}"/>
    <cellStyle name="Comma 3 3 9 3" xfId="2509" xr:uid="{00000000-0005-0000-0000-000099090000}"/>
    <cellStyle name="Comma 3 30" xfId="2510" xr:uid="{00000000-0005-0000-0000-00009A090000}"/>
    <cellStyle name="Comma 3 30 2" xfId="2511" xr:uid="{00000000-0005-0000-0000-00009B090000}"/>
    <cellStyle name="Comma 3 30 3" xfId="2512" xr:uid="{00000000-0005-0000-0000-00009C090000}"/>
    <cellStyle name="Comma 3 31" xfId="2513" xr:uid="{00000000-0005-0000-0000-00009D090000}"/>
    <cellStyle name="Comma 3 31 2" xfId="2514" xr:uid="{00000000-0005-0000-0000-00009E090000}"/>
    <cellStyle name="Comma 3 31 3" xfId="2515" xr:uid="{00000000-0005-0000-0000-00009F090000}"/>
    <cellStyle name="Comma 3 32" xfId="2516" xr:uid="{00000000-0005-0000-0000-0000A0090000}"/>
    <cellStyle name="Comma 3 32 2" xfId="2517" xr:uid="{00000000-0005-0000-0000-0000A1090000}"/>
    <cellStyle name="Comma 3 32 3" xfId="2518" xr:uid="{00000000-0005-0000-0000-0000A2090000}"/>
    <cellStyle name="Comma 3 33" xfId="2519" xr:uid="{00000000-0005-0000-0000-0000A3090000}"/>
    <cellStyle name="Comma 3 33 2" xfId="2520" xr:uid="{00000000-0005-0000-0000-0000A4090000}"/>
    <cellStyle name="Comma 3 33 3" xfId="2521" xr:uid="{00000000-0005-0000-0000-0000A5090000}"/>
    <cellStyle name="Comma 3 34" xfId="2522" xr:uid="{00000000-0005-0000-0000-0000A6090000}"/>
    <cellStyle name="Comma 3 34 2" xfId="2523" xr:uid="{00000000-0005-0000-0000-0000A7090000}"/>
    <cellStyle name="Comma 3 34 3" xfId="2524" xr:uid="{00000000-0005-0000-0000-0000A8090000}"/>
    <cellStyle name="Comma 3 35" xfId="2525" xr:uid="{00000000-0005-0000-0000-0000A9090000}"/>
    <cellStyle name="Comma 3 35 2" xfId="2526" xr:uid="{00000000-0005-0000-0000-0000AA090000}"/>
    <cellStyle name="Comma 3 35 3" xfId="2527" xr:uid="{00000000-0005-0000-0000-0000AB090000}"/>
    <cellStyle name="Comma 3 36" xfId="2528" xr:uid="{00000000-0005-0000-0000-0000AC090000}"/>
    <cellStyle name="Comma 3 36 2" xfId="2529" xr:uid="{00000000-0005-0000-0000-0000AD090000}"/>
    <cellStyle name="Comma 3 36 3" xfId="2530" xr:uid="{00000000-0005-0000-0000-0000AE090000}"/>
    <cellStyle name="Comma 3 37" xfId="2531" xr:uid="{00000000-0005-0000-0000-0000AF090000}"/>
    <cellStyle name="Comma 3 37 2" xfId="2532" xr:uid="{00000000-0005-0000-0000-0000B0090000}"/>
    <cellStyle name="Comma 3 37 3" xfId="2533" xr:uid="{00000000-0005-0000-0000-0000B1090000}"/>
    <cellStyle name="Comma 3 38" xfId="2534" xr:uid="{00000000-0005-0000-0000-0000B2090000}"/>
    <cellStyle name="Comma 3 38 2" xfId="2535" xr:uid="{00000000-0005-0000-0000-0000B3090000}"/>
    <cellStyle name="Comma 3 38 3" xfId="2536" xr:uid="{00000000-0005-0000-0000-0000B4090000}"/>
    <cellStyle name="Comma 3 39" xfId="2537" xr:uid="{00000000-0005-0000-0000-0000B5090000}"/>
    <cellStyle name="Comma 3 39 2" xfId="2538" xr:uid="{00000000-0005-0000-0000-0000B6090000}"/>
    <cellStyle name="Comma 3 39 3" xfId="2539" xr:uid="{00000000-0005-0000-0000-0000B7090000}"/>
    <cellStyle name="Comma 3 4" xfId="2540" xr:uid="{00000000-0005-0000-0000-0000B8090000}"/>
    <cellStyle name="Comma 3 4 2" xfId="2541" xr:uid="{00000000-0005-0000-0000-0000B9090000}"/>
    <cellStyle name="Comma 3 4 2 2" xfId="2542" xr:uid="{00000000-0005-0000-0000-0000BA090000}"/>
    <cellStyle name="Comma 3 4 2 3" xfId="2543" xr:uid="{00000000-0005-0000-0000-0000BB090000}"/>
    <cellStyle name="Comma 3 4 3" xfId="2544" xr:uid="{00000000-0005-0000-0000-0000BC090000}"/>
    <cellStyle name="Comma 3 4 4" xfId="2545" xr:uid="{00000000-0005-0000-0000-0000BD090000}"/>
    <cellStyle name="Comma 3 40" xfId="2546" xr:uid="{00000000-0005-0000-0000-0000BE090000}"/>
    <cellStyle name="Comma 3 40 2" xfId="2547" xr:uid="{00000000-0005-0000-0000-0000BF090000}"/>
    <cellStyle name="Comma 3 40 3" xfId="2548" xr:uid="{00000000-0005-0000-0000-0000C0090000}"/>
    <cellStyle name="Comma 3 41" xfId="2549" xr:uid="{00000000-0005-0000-0000-0000C1090000}"/>
    <cellStyle name="Comma 3 41 2" xfId="2550" xr:uid="{00000000-0005-0000-0000-0000C2090000}"/>
    <cellStyle name="Comma 3 41 3" xfId="2551" xr:uid="{00000000-0005-0000-0000-0000C3090000}"/>
    <cellStyle name="Comma 3 42" xfId="2552" xr:uid="{00000000-0005-0000-0000-0000C4090000}"/>
    <cellStyle name="Comma 3 42 2" xfId="2553" xr:uid="{00000000-0005-0000-0000-0000C5090000}"/>
    <cellStyle name="Comma 3 42 3" xfId="2554" xr:uid="{00000000-0005-0000-0000-0000C6090000}"/>
    <cellStyle name="Comma 3 43" xfId="2555" xr:uid="{00000000-0005-0000-0000-0000C7090000}"/>
    <cellStyle name="Comma 3 43 2" xfId="2556" xr:uid="{00000000-0005-0000-0000-0000C8090000}"/>
    <cellStyle name="Comma 3 43 3" xfId="2557" xr:uid="{00000000-0005-0000-0000-0000C9090000}"/>
    <cellStyle name="Comma 3 44" xfId="2558" xr:uid="{00000000-0005-0000-0000-0000CA090000}"/>
    <cellStyle name="Comma 3 44 2" xfId="2559" xr:uid="{00000000-0005-0000-0000-0000CB090000}"/>
    <cellStyle name="Comma 3 44 3" xfId="2560" xr:uid="{00000000-0005-0000-0000-0000CC090000}"/>
    <cellStyle name="Comma 3 45" xfId="2561" xr:uid="{00000000-0005-0000-0000-0000CD090000}"/>
    <cellStyle name="Comma 3 45 2" xfId="2562" xr:uid="{00000000-0005-0000-0000-0000CE090000}"/>
    <cellStyle name="Comma 3 45 3" xfId="2563" xr:uid="{00000000-0005-0000-0000-0000CF090000}"/>
    <cellStyle name="Comma 3 46" xfId="2564" xr:uid="{00000000-0005-0000-0000-0000D0090000}"/>
    <cellStyle name="Comma 3 46 2" xfId="2565" xr:uid="{00000000-0005-0000-0000-0000D1090000}"/>
    <cellStyle name="Comma 3 46 3" xfId="2566" xr:uid="{00000000-0005-0000-0000-0000D2090000}"/>
    <cellStyle name="Comma 3 47" xfId="2567" xr:uid="{00000000-0005-0000-0000-0000D3090000}"/>
    <cellStyle name="Comma 3 47 2" xfId="2568" xr:uid="{00000000-0005-0000-0000-0000D4090000}"/>
    <cellStyle name="Comma 3 47 3" xfId="2569" xr:uid="{00000000-0005-0000-0000-0000D5090000}"/>
    <cellStyle name="Comma 3 48" xfId="2570" xr:uid="{00000000-0005-0000-0000-0000D6090000}"/>
    <cellStyle name="Comma 3 48 2" xfId="2571" xr:uid="{00000000-0005-0000-0000-0000D7090000}"/>
    <cellStyle name="Comma 3 48 3" xfId="2572" xr:uid="{00000000-0005-0000-0000-0000D8090000}"/>
    <cellStyle name="Comma 3 49" xfId="2573" xr:uid="{00000000-0005-0000-0000-0000D9090000}"/>
    <cellStyle name="Comma 3 49 2" xfId="2574" xr:uid="{00000000-0005-0000-0000-0000DA090000}"/>
    <cellStyle name="Comma 3 49 3" xfId="2575" xr:uid="{00000000-0005-0000-0000-0000DB090000}"/>
    <cellStyle name="Comma 3 5" xfId="2576" xr:uid="{00000000-0005-0000-0000-0000DC090000}"/>
    <cellStyle name="Comma 3 50" xfId="2577" xr:uid="{00000000-0005-0000-0000-0000DD090000}"/>
    <cellStyle name="Comma 3 51" xfId="2578" xr:uid="{00000000-0005-0000-0000-0000DE090000}"/>
    <cellStyle name="Comma 3 52" xfId="2579" xr:uid="{00000000-0005-0000-0000-0000DF090000}"/>
    <cellStyle name="Comma 3 53" xfId="2580" xr:uid="{00000000-0005-0000-0000-0000E0090000}"/>
    <cellStyle name="Comma 3 54" xfId="2581" xr:uid="{00000000-0005-0000-0000-0000E1090000}"/>
    <cellStyle name="Comma 3 55" xfId="2582" xr:uid="{00000000-0005-0000-0000-0000E2090000}"/>
    <cellStyle name="Comma 3 56" xfId="2583" xr:uid="{00000000-0005-0000-0000-0000E3090000}"/>
    <cellStyle name="Comma 3 56 2" xfId="2584" xr:uid="{00000000-0005-0000-0000-0000E4090000}"/>
    <cellStyle name="Comma 3 56 3" xfId="2585" xr:uid="{00000000-0005-0000-0000-0000E5090000}"/>
    <cellStyle name="Comma 3 57" xfId="2586" xr:uid="{00000000-0005-0000-0000-0000E6090000}"/>
    <cellStyle name="Comma 3 57 2" xfId="2587" xr:uid="{00000000-0005-0000-0000-0000E7090000}"/>
    <cellStyle name="Comma 3 57 3" xfId="2588" xr:uid="{00000000-0005-0000-0000-0000E8090000}"/>
    <cellStyle name="Comma 3 58" xfId="2589" xr:uid="{00000000-0005-0000-0000-0000E9090000}"/>
    <cellStyle name="Comma 3 59" xfId="2590" xr:uid="{00000000-0005-0000-0000-0000EA090000}"/>
    <cellStyle name="Comma 3 6" xfId="2591" xr:uid="{00000000-0005-0000-0000-0000EB090000}"/>
    <cellStyle name="Comma 3 60" xfId="2592" xr:uid="{00000000-0005-0000-0000-0000EC090000}"/>
    <cellStyle name="Comma 3 61" xfId="2593" xr:uid="{00000000-0005-0000-0000-0000ED090000}"/>
    <cellStyle name="Comma 3 62" xfId="2594" xr:uid="{00000000-0005-0000-0000-0000EE090000}"/>
    <cellStyle name="Comma 3 63" xfId="2595" xr:uid="{00000000-0005-0000-0000-0000EF090000}"/>
    <cellStyle name="Comma 3 63 2" xfId="2596" xr:uid="{00000000-0005-0000-0000-0000F0090000}"/>
    <cellStyle name="Comma 3 63 3" xfId="2597" xr:uid="{00000000-0005-0000-0000-0000F1090000}"/>
    <cellStyle name="Comma 3 64" xfId="2598" xr:uid="{00000000-0005-0000-0000-0000F2090000}"/>
    <cellStyle name="Comma 3 65" xfId="2599" xr:uid="{00000000-0005-0000-0000-0000F3090000}"/>
    <cellStyle name="Comma 3 66" xfId="2600" xr:uid="{00000000-0005-0000-0000-0000F4090000}"/>
    <cellStyle name="Comma 3 67" xfId="2601" xr:uid="{00000000-0005-0000-0000-0000F5090000}"/>
    <cellStyle name="Comma 3 68" xfId="2448" xr:uid="{00000000-0005-0000-0000-0000F6090000}"/>
    <cellStyle name="Comma 3 7" xfId="2602" xr:uid="{00000000-0005-0000-0000-0000F7090000}"/>
    <cellStyle name="Comma 3 8" xfId="2603" xr:uid="{00000000-0005-0000-0000-0000F8090000}"/>
    <cellStyle name="Comma 3 9" xfId="2604" xr:uid="{00000000-0005-0000-0000-0000F9090000}"/>
    <cellStyle name="Comma 30" xfId="2605" xr:uid="{00000000-0005-0000-0000-0000FA090000}"/>
    <cellStyle name="Comma 31" xfId="2606" xr:uid="{00000000-0005-0000-0000-0000FB090000}"/>
    <cellStyle name="Comma 31 2" xfId="2607" xr:uid="{00000000-0005-0000-0000-0000FC090000}"/>
    <cellStyle name="Comma 31 3" xfId="2608" xr:uid="{00000000-0005-0000-0000-0000FD090000}"/>
    <cellStyle name="Comma 31 4" xfId="2609" xr:uid="{00000000-0005-0000-0000-0000FE090000}"/>
    <cellStyle name="Comma 31 5" xfId="2610" xr:uid="{00000000-0005-0000-0000-0000FF090000}"/>
    <cellStyle name="Comma 31 6" xfId="2611" xr:uid="{00000000-0005-0000-0000-0000000A0000}"/>
    <cellStyle name="Comma 31 7" xfId="2612" xr:uid="{00000000-0005-0000-0000-0000010A0000}"/>
    <cellStyle name="Comma 32" xfId="2613" xr:uid="{00000000-0005-0000-0000-0000020A0000}"/>
    <cellStyle name="Comma 33" xfId="2614" xr:uid="{00000000-0005-0000-0000-0000030A0000}"/>
    <cellStyle name="Comma 34" xfId="2615" xr:uid="{00000000-0005-0000-0000-0000040A0000}"/>
    <cellStyle name="Comma 35" xfId="2616" xr:uid="{00000000-0005-0000-0000-0000050A0000}"/>
    <cellStyle name="Comma 36" xfId="2617" xr:uid="{00000000-0005-0000-0000-0000060A0000}"/>
    <cellStyle name="Comma 37" xfId="2618" xr:uid="{00000000-0005-0000-0000-0000070A0000}"/>
    <cellStyle name="Comma 38" xfId="2619" xr:uid="{00000000-0005-0000-0000-0000080A0000}"/>
    <cellStyle name="Comma 39" xfId="2620" xr:uid="{00000000-0005-0000-0000-0000090A0000}"/>
    <cellStyle name="Comma 39 2" xfId="2621" xr:uid="{00000000-0005-0000-0000-00000A0A0000}"/>
    <cellStyle name="Comma 4" xfId="14" xr:uid="{00000000-0005-0000-0000-00000B0A0000}"/>
    <cellStyle name="Comma 4 2" xfId="15" xr:uid="{00000000-0005-0000-0000-00000C0A0000}"/>
    <cellStyle name="Comma 4 2 2" xfId="2623" xr:uid="{00000000-0005-0000-0000-00000D0A0000}"/>
    <cellStyle name="Comma 4 3" xfId="2624" xr:uid="{00000000-0005-0000-0000-00000E0A0000}"/>
    <cellStyle name="Comma 4 4" xfId="2625" xr:uid="{00000000-0005-0000-0000-00000F0A0000}"/>
    <cellStyle name="Comma 4 5" xfId="2626" xr:uid="{00000000-0005-0000-0000-0000100A0000}"/>
    <cellStyle name="Comma 4 6" xfId="2622" xr:uid="{00000000-0005-0000-0000-0000110A0000}"/>
    <cellStyle name="Comma 40" xfId="2627" xr:uid="{00000000-0005-0000-0000-0000120A0000}"/>
    <cellStyle name="Comma 40 2" xfId="2628" xr:uid="{00000000-0005-0000-0000-0000130A0000}"/>
    <cellStyle name="Comma 41" xfId="2629" xr:uid="{00000000-0005-0000-0000-0000140A0000}"/>
    <cellStyle name="Comma 41 2" xfId="2630" xr:uid="{00000000-0005-0000-0000-0000150A0000}"/>
    <cellStyle name="Comma 42" xfId="2631" xr:uid="{00000000-0005-0000-0000-0000160A0000}"/>
    <cellStyle name="Comma 42 2" xfId="2632" xr:uid="{00000000-0005-0000-0000-0000170A0000}"/>
    <cellStyle name="Comma 43" xfId="2633" xr:uid="{00000000-0005-0000-0000-0000180A0000}"/>
    <cellStyle name="Comma 43 10" xfId="2634" xr:uid="{00000000-0005-0000-0000-0000190A0000}"/>
    <cellStyle name="Comma 43 2" xfId="2635" xr:uid="{00000000-0005-0000-0000-00001A0A0000}"/>
    <cellStyle name="Comma 43 3" xfId="2636" xr:uid="{00000000-0005-0000-0000-00001B0A0000}"/>
    <cellStyle name="Comma 43 4" xfId="2637" xr:uid="{00000000-0005-0000-0000-00001C0A0000}"/>
    <cellStyle name="Comma 43 5" xfId="2638" xr:uid="{00000000-0005-0000-0000-00001D0A0000}"/>
    <cellStyle name="Comma 43 6" xfId="2639" xr:uid="{00000000-0005-0000-0000-00001E0A0000}"/>
    <cellStyle name="Comma 43 7" xfId="2640" xr:uid="{00000000-0005-0000-0000-00001F0A0000}"/>
    <cellStyle name="Comma 43 8" xfId="2641" xr:uid="{00000000-0005-0000-0000-0000200A0000}"/>
    <cellStyle name="Comma 43 9" xfId="2642" xr:uid="{00000000-0005-0000-0000-0000210A0000}"/>
    <cellStyle name="Comma 44" xfId="2643" xr:uid="{00000000-0005-0000-0000-0000220A0000}"/>
    <cellStyle name="Comma 44 10" xfId="2644" xr:uid="{00000000-0005-0000-0000-0000230A0000}"/>
    <cellStyle name="Comma 44 2" xfId="2645" xr:uid="{00000000-0005-0000-0000-0000240A0000}"/>
    <cellStyle name="Comma 44 3" xfId="2646" xr:uid="{00000000-0005-0000-0000-0000250A0000}"/>
    <cellStyle name="Comma 44 4" xfId="2647" xr:uid="{00000000-0005-0000-0000-0000260A0000}"/>
    <cellStyle name="Comma 44 5" xfId="2648" xr:uid="{00000000-0005-0000-0000-0000270A0000}"/>
    <cellStyle name="Comma 44 6" xfId="2649" xr:uid="{00000000-0005-0000-0000-0000280A0000}"/>
    <cellStyle name="Comma 44 7" xfId="2650" xr:uid="{00000000-0005-0000-0000-0000290A0000}"/>
    <cellStyle name="Comma 44 8" xfId="2651" xr:uid="{00000000-0005-0000-0000-00002A0A0000}"/>
    <cellStyle name="Comma 44 9" xfId="2652" xr:uid="{00000000-0005-0000-0000-00002B0A0000}"/>
    <cellStyle name="Comma 45" xfId="2653" xr:uid="{00000000-0005-0000-0000-00002C0A0000}"/>
    <cellStyle name="Comma 45 10" xfId="2654" xr:uid="{00000000-0005-0000-0000-00002D0A0000}"/>
    <cellStyle name="Comma 45 2" xfId="2655" xr:uid="{00000000-0005-0000-0000-00002E0A0000}"/>
    <cellStyle name="Comma 45 3" xfId="2656" xr:uid="{00000000-0005-0000-0000-00002F0A0000}"/>
    <cellStyle name="Comma 45 4" xfId="2657" xr:uid="{00000000-0005-0000-0000-0000300A0000}"/>
    <cellStyle name="Comma 45 5" xfId="2658" xr:uid="{00000000-0005-0000-0000-0000310A0000}"/>
    <cellStyle name="Comma 45 6" xfId="2659" xr:uid="{00000000-0005-0000-0000-0000320A0000}"/>
    <cellStyle name="Comma 45 7" xfId="2660" xr:uid="{00000000-0005-0000-0000-0000330A0000}"/>
    <cellStyle name="Comma 45 8" xfId="2661" xr:uid="{00000000-0005-0000-0000-0000340A0000}"/>
    <cellStyle name="Comma 45 9" xfId="2662" xr:uid="{00000000-0005-0000-0000-0000350A0000}"/>
    <cellStyle name="Comma 46" xfId="2663" xr:uid="{00000000-0005-0000-0000-0000360A0000}"/>
    <cellStyle name="Comma 46 10" xfId="2664" xr:uid="{00000000-0005-0000-0000-0000370A0000}"/>
    <cellStyle name="Comma 46 11" xfId="2665" xr:uid="{00000000-0005-0000-0000-0000380A0000}"/>
    <cellStyle name="Comma 46 12" xfId="2666" xr:uid="{00000000-0005-0000-0000-0000390A0000}"/>
    <cellStyle name="Comma 46 13" xfId="2667" xr:uid="{00000000-0005-0000-0000-00003A0A0000}"/>
    <cellStyle name="Comma 46 2" xfId="2668" xr:uid="{00000000-0005-0000-0000-00003B0A0000}"/>
    <cellStyle name="Comma 46 3" xfId="2669" xr:uid="{00000000-0005-0000-0000-00003C0A0000}"/>
    <cellStyle name="Comma 46 4" xfId="2670" xr:uid="{00000000-0005-0000-0000-00003D0A0000}"/>
    <cellStyle name="Comma 46 5" xfId="2671" xr:uid="{00000000-0005-0000-0000-00003E0A0000}"/>
    <cellStyle name="Comma 46 6" xfId="2672" xr:uid="{00000000-0005-0000-0000-00003F0A0000}"/>
    <cellStyle name="Comma 46 7" xfId="2673" xr:uid="{00000000-0005-0000-0000-0000400A0000}"/>
    <cellStyle name="Comma 46 8" xfId="2674" xr:uid="{00000000-0005-0000-0000-0000410A0000}"/>
    <cellStyle name="Comma 46 9" xfId="2675" xr:uid="{00000000-0005-0000-0000-0000420A0000}"/>
    <cellStyle name="Comma 47" xfId="2676" xr:uid="{00000000-0005-0000-0000-0000430A0000}"/>
    <cellStyle name="Comma 47 10" xfId="2677" xr:uid="{00000000-0005-0000-0000-0000440A0000}"/>
    <cellStyle name="Comma 47 2" xfId="2678" xr:uid="{00000000-0005-0000-0000-0000450A0000}"/>
    <cellStyle name="Comma 47 3" xfId="2679" xr:uid="{00000000-0005-0000-0000-0000460A0000}"/>
    <cellStyle name="Comma 47 4" xfId="2680" xr:uid="{00000000-0005-0000-0000-0000470A0000}"/>
    <cellStyle name="Comma 47 5" xfId="2681" xr:uid="{00000000-0005-0000-0000-0000480A0000}"/>
    <cellStyle name="Comma 47 6" xfId="2682" xr:uid="{00000000-0005-0000-0000-0000490A0000}"/>
    <cellStyle name="Comma 47 7" xfId="2683" xr:uid="{00000000-0005-0000-0000-00004A0A0000}"/>
    <cellStyle name="Comma 47 8" xfId="2684" xr:uid="{00000000-0005-0000-0000-00004B0A0000}"/>
    <cellStyle name="Comma 47 9" xfId="2685" xr:uid="{00000000-0005-0000-0000-00004C0A0000}"/>
    <cellStyle name="Comma 48" xfId="2686" xr:uid="{00000000-0005-0000-0000-00004D0A0000}"/>
    <cellStyle name="Comma 48 10" xfId="2687" xr:uid="{00000000-0005-0000-0000-00004E0A0000}"/>
    <cellStyle name="Comma 48 2" xfId="2688" xr:uid="{00000000-0005-0000-0000-00004F0A0000}"/>
    <cellStyle name="Comma 48 3" xfId="2689" xr:uid="{00000000-0005-0000-0000-0000500A0000}"/>
    <cellStyle name="Comma 48 4" xfId="2690" xr:uid="{00000000-0005-0000-0000-0000510A0000}"/>
    <cellStyle name="Comma 48 5" xfId="2691" xr:uid="{00000000-0005-0000-0000-0000520A0000}"/>
    <cellStyle name="Comma 48 6" xfId="2692" xr:uid="{00000000-0005-0000-0000-0000530A0000}"/>
    <cellStyle name="Comma 48 7" xfId="2693" xr:uid="{00000000-0005-0000-0000-0000540A0000}"/>
    <cellStyle name="Comma 48 8" xfId="2694" xr:uid="{00000000-0005-0000-0000-0000550A0000}"/>
    <cellStyle name="Comma 48 9" xfId="2695" xr:uid="{00000000-0005-0000-0000-0000560A0000}"/>
    <cellStyle name="Comma 49" xfId="2696" xr:uid="{00000000-0005-0000-0000-0000570A0000}"/>
    <cellStyle name="Comma 49 2" xfId="2697" xr:uid="{00000000-0005-0000-0000-0000580A0000}"/>
    <cellStyle name="Comma 5" xfId="16" xr:uid="{00000000-0005-0000-0000-0000590A0000}"/>
    <cellStyle name="Comma 5 10" xfId="2699" xr:uid="{00000000-0005-0000-0000-00005A0A0000}"/>
    <cellStyle name="Comma 5 10 2" xfId="2700" xr:uid="{00000000-0005-0000-0000-00005B0A0000}"/>
    <cellStyle name="Comma 5 11" xfId="2701" xr:uid="{00000000-0005-0000-0000-00005C0A0000}"/>
    <cellStyle name="Comma 5 11 2" xfId="2702" xr:uid="{00000000-0005-0000-0000-00005D0A0000}"/>
    <cellStyle name="Comma 5 12" xfId="2703" xr:uid="{00000000-0005-0000-0000-00005E0A0000}"/>
    <cellStyle name="Comma 5 12 2" xfId="2704" xr:uid="{00000000-0005-0000-0000-00005F0A0000}"/>
    <cellStyle name="Comma 5 13" xfId="2705" xr:uid="{00000000-0005-0000-0000-0000600A0000}"/>
    <cellStyle name="Comma 5 13 2" xfId="2706" xr:uid="{00000000-0005-0000-0000-0000610A0000}"/>
    <cellStyle name="Comma 5 14" xfId="2707" xr:uid="{00000000-0005-0000-0000-0000620A0000}"/>
    <cellStyle name="Comma 5 14 2" xfId="2708" xr:uid="{00000000-0005-0000-0000-0000630A0000}"/>
    <cellStyle name="Comma 5 15" xfId="2709" xr:uid="{00000000-0005-0000-0000-0000640A0000}"/>
    <cellStyle name="Comma 5 15 2" xfId="2710" xr:uid="{00000000-0005-0000-0000-0000650A0000}"/>
    <cellStyle name="Comma 5 16" xfId="2711" xr:uid="{00000000-0005-0000-0000-0000660A0000}"/>
    <cellStyle name="Comma 5 16 2" xfId="2712" xr:uid="{00000000-0005-0000-0000-0000670A0000}"/>
    <cellStyle name="Comma 5 17" xfId="2713" xr:uid="{00000000-0005-0000-0000-0000680A0000}"/>
    <cellStyle name="Comma 5 17 2" xfId="2714" xr:uid="{00000000-0005-0000-0000-0000690A0000}"/>
    <cellStyle name="Comma 5 18" xfId="2715" xr:uid="{00000000-0005-0000-0000-00006A0A0000}"/>
    <cellStyle name="Comma 5 19" xfId="2716" xr:uid="{00000000-0005-0000-0000-00006B0A0000}"/>
    <cellStyle name="Comma 5 19 2" xfId="2717" xr:uid="{00000000-0005-0000-0000-00006C0A0000}"/>
    <cellStyle name="Comma 5 19 2 2" xfId="2718" xr:uid="{00000000-0005-0000-0000-00006D0A0000}"/>
    <cellStyle name="Comma 5 19 2 3" xfId="2719" xr:uid="{00000000-0005-0000-0000-00006E0A0000}"/>
    <cellStyle name="Comma 5 19 3" xfId="2720" xr:uid="{00000000-0005-0000-0000-00006F0A0000}"/>
    <cellStyle name="Comma 5 19 4" xfId="2721" xr:uid="{00000000-0005-0000-0000-0000700A0000}"/>
    <cellStyle name="Comma 5 2" xfId="2722" xr:uid="{00000000-0005-0000-0000-0000710A0000}"/>
    <cellStyle name="Comma 5 2 2" xfId="2723" xr:uid="{00000000-0005-0000-0000-0000720A0000}"/>
    <cellStyle name="Comma 5 20" xfId="2724" xr:uid="{00000000-0005-0000-0000-0000730A0000}"/>
    <cellStyle name="Comma 5 21" xfId="2725" xr:uid="{00000000-0005-0000-0000-0000740A0000}"/>
    <cellStyle name="Comma 5 22" xfId="2726" xr:uid="{00000000-0005-0000-0000-0000750A0000}"/>
    <cellStyle name="Comma 5 23" xfId="2727" xr:uid="{00000000-0005-0000-0000-0000760A0000}"/>
    <cellStyle name="Comma 5 24" xfId="2728" xr:uid="{00000000-0005-0000-0000-0000770A0000}"/>
    <cellStyle name="Comma 5 24 2" xfId="2729" xr:uid="{00000000-0005-0000-0000-0000780A0000}"/>
    <cellStyle name="Comma 5 24 2 2" xfId="2730" xr:uid="{00000000-0005-0000-0000-0000790A0000}"/>
    <cellStyle name="Comma 5 24 2 3" xfId="2731" xr:uid="{00000000-0005-0000-0000-00007A0A0000}"/>
    <cellStyle name="Comma 5 24 3" xfId="2732" xr:uid="{00000000-0005-0000-0000-00007B0A0000}"/>
    <cellStyle name="Comma 5 25" xfId="2733" xr:uid="{00000000-0005-0000-0000-00007C0A0000}"/>
    <cellStyle name="Comma 5 26" xfId="2734" xr:uid="{00000000-0005-0000-0000-00007D0A0000}"/>
    <cellStyle name="Comma 5 27" xfId="2735" xr:uid="{00000000-0005-0000-0000-00007E0A0000}"/>
    <cellStyle name="Comma 5 28" xfId="2736" xr:uid="{00000000-0005-0000-0000-00007F0A0000}"/>
    <cellStyle name="Comma 5 29" xfId="2737" xr:uid="{00000000-0005-0000-0000-0000800A0000}"/>
    <cellStyle name="Comma 5 3" xfId="2738" xr:uid="{00000000-0005-0000-0000-0000810A0000}"/>
    <cellStyle name="Comma 5 3 2" xfId="2739" xr:uid="{00000000-0005-0000-0000-0000820A0000}"/>
    <cellStyle name="Comma 5 30" xfId="2740" xr:uid="{00000000-0005-0000-0000-0000830A0000}"/>
    <cellStyle name="Comma 5 31" xfId="2741" xr:uid="{00000000-0005-0000-0000-0000840A0000}"/>
    <cellStyle name="Comma 5 32" xfId="2742" xr:uid="{00000000-0005-0000-0000-0000850A0000}"/>
    <cellStyle name="Comma 5 33" xfId="2743" xr:uid="{00000000-0005-0000-0000-0000860A0000}"/>
    <cellStyle name="Comma 5 34" xfId="2744" xr:uid="{00000000-0005-0000-0000-0000870A0000}"/>
    <cellStyle name="Comma 5 35" xfId="2745" xr:uid="{00000000-0005-0000-0000-0000880A0000}"/>
    <cellStyle name="Comma 5 36" xfId="2746" xr:uid="{00000000-0005-0000-0000-0000890A0000}"/>
    <cellStyle name="Comma 5 37" xfId="2698" xr:uid="{00000000-0005-0000-0000-00008A0A0000}"/>
    <cellStyle name="Comma 5 4" xfId="2747" xr:uid="{00000000-0005-0000-0000-00008B0A0000}"/>
    <cellStyle name="Comma 5 4 2" xfId="2748" xr:uid="{00000000-0005-0000-0000-00008C0A0000}"/>
    <cellStyle name="Comma 5 5" xfId="2749" xr:uid="{00000000-0005-0000-0000-00008D0A0000}"/>
    <cellStyle name="Comma 5 5 2" xfId="2750" xr:uid="{00000000-0005-0000-0000-00008E0A0000}"/>
    <cellStyle name="Comma 5 6" xfId="2751" xr:uid="{00000000-0005-0000-0000-00008F0A0000}"/>
    <cellStyle name="Comma 5 6 2" xfId="2752" xr:uid="{00000000-0005-0000-0000-0000900A0000}"/>
    <cellStyle name="Comma 5 7" xfId="2753" xr:uid="{00000000-0005-0000-0000-0000910A0000}"/>
    <cellStyle name="Comma 5 7 2" xfId="2754" xr:uid="{00000000-0005-0000-0000-0000920A0000}"/>
    <cellStyle name="Comma 5 8" xfId="2755" xr:uid="{00000000-0005-0000-0000-0000930A0000}"/>
    <cellStyle name="Comma 5 8 2" xfId="2756" xr:uid="{00000000-0005-0000-0000-0000940A0000}"/>
    <cellStyle name="Comma 5 9" xfId="2757" xr:uid="{00000000-0005-0000-0000-0000950A0000}"/>
    <cellStyle name="Comma 5 9 2" xfId="2758" xr:uid="{00000000-0005-0000-0000-0000960A0000}"/>
    <cellStyle name="Comma 50 2" xfId="2759" xr:uid="{00000000-0005-0000-0000-0000970A0000}"/>
    <cellStyle name="Comma 52" xfId="2760" xr:uid="{00000000-0005-0000-0000-0000980A0000}"/>
    <cellStyle name="Comma 53" xfId="2761" xr:uid="{00000000-0005-0000-0000-0000990A0000}"/>
    <cellStyle name="Comma 56" xfId="2762" xr:uid="{00000000-0005-0000-0000-00009A0A0000}"/>
    <cellStyle name="Comma 59 2" xfId="2763" xr:uid="{00000000-0005-0000-0000-00009B0A0000}"/>
    <cellStyle name="Comma 59 3" xfId="2764" xr:uid="{00000000-0005-0000-0000-00009C0A0000}"/>
    <cellStyle name="Comma 6" xfId="11" xr:uid="{00000000-0005-0000-0000-00009D0A0000}"/>
    <cellStyle name="Comma 6 10" xfId="2766" xr:uid="{00000000-0005-0000-0000-00009E0A0000}"/>
    <cellStyle name="Comma 6 11" xfId="2767" xr:uid="{00000000-0005-0000-0000-00009F0A0000}"/>
    <cellStyle name="Comma 6 12" xfId="2768" xr:uid="{00000000-0005-0000-0000-0000A00A0000}"/>
    <cellStyle name="Comma 6 13" xfId="2769" xr:uid="{00000000-0005-0000-0000-0000A10A0000}"/>
    <cellStyle name="Comma 6 14" xfId="2765" xr:uid="{00000000-0005-0000-0000-0000A20A0000}"/>
    <cellStyle name="Comma 6 2" xfId="2770" xr:uid="{00000000-0005-0000-0000-0000A30A0000}"/>
    <cellStyle name="Comma 6 2 2" xfId="2771" xr:uid="{00000000-0005-0000-0000-0000A40A0000}"/>
    <cellStyle name="Comma 6 3" xfId="2772" xr:uid="{00000000-0005-0000-0000-0000A50A0000}"/>
    <cellStyle name="Comma 6 3 2" xfId="2773" xr:uid="{00000000-0005-0000-0000-0000A60A0000}"/>
    <cellStyle name="Comma 6 4" xfId="2774" xr:uid="{00000000-0005-0000-0000-0000A70A0000}"/>
    <cellStyle name="Comma 6 4 2" xfId="2775" xr:uid="{00000000-0005-0000-0000-0000A80A0000}"/>
    <cellStyle name="Comma 6 5" xfId="2776" xr:uid="{00000000-0005-0000-0000-0000A90A0000}"/>
    <cellStyle name="Comma 6 5 2" xfId="2777" xr:uid="{00000000-0005-0000-0000-0000AA0A0000}"/>
    <cellStyle name="Comma 6 6" xfId="2778" xr:uid="{00000000-0005-0000-0000-0000AB0A0000}"/>
    <cellStyle name="Comma 6 7" xfId="2779" xr:uid="{00000000-0005-0000-0000-0000AC0A0000}"/>
    <cellStyle name="Comma 6 8" xfId="2780" xr:uid="{00000000-0005-0000-0000-0000AD0A0000}"/>
    <cellStyle name="Comma 6 9" xfId="2781" xr:uid="{00000000-0005-0000-0000-0000AE0A0000}"/>
    <cellStyle name="Comma 60 2" xfId="2782" xr:uid="{00000000-0005-0000-0000-0000AF0A0000}"/>
    <cellStyle name="Comma 60 3" xfId="2783" xr:uid="{00000000-0005-0000-0000-0000B00A0000}"/>
    <cellStyle name="Comma 7" xfId="44" xr:uid="{00000000-0005-0000-0000-0000B10A0000}"/>
    <cellStyle name="Comma 7 10" xfId="2785" xr:uid="{00000000-0005-0000-0000-0000B20A0000}"/>
    <cellStyle name="Comma 7 11" xfId="2786" xr:uid="{00000000-0005-0000-0000-0000B30A0000}"/>
    <cellStyle name="Comma 7 12" xfId="2784" xr:uid="{00000000-0005-0000-0000-0000B40A0000}"/>
    <cellStyle name="Comma 7 2" xfId="2787" xr:uid="{00000000-0005-0000-0000-0000B50A0000}"/>
    <cellStyle name="Comma 7 2 2" xfId="2788" xr:uid="{00000000-0005-0000-0000-0000B60A0000}"/>
    <cellStyle name="Comma 7 3" xfId="2789" xr:uid="{00000000-0005-0000-0000-0000B70A0000}"/>
    <cellStyle name="Comma 7 3 2" xfId="2790" xr:uid="{00000000-0005-0000-0000-0000B80A0000}"/>
    <cellStyle name="Comma 7 4" xfId="2791" xr:uid="{00000000-0005-0000-0000-0000B90A0000}"/>
    <cellStyle name="Comma 7 4 2" xfId="2792" xr:uid="{00000000-0005-0000-0000-0000BA0A0000}"/>
    <cellStyle name="Comma 7 5" xfId="2793" xr:uid="{00000000-0005-0000-0000-0000BB0A0000}"/>
    <cellStyle name="Comma 7 5 2" xfId="2794" xr:uid="{00000000-0005-0000-0000-0000BC0A0000}"/>
    <cellStyle name="Comma 7 6" xfId="2795" xr:uid="{00000000-0005-0000-0000-0000BD0A0000}"/>
    <cellStyle name="Comma 7 7" xfId="2796" xr:uid="{00000000-0005-0000-0000-0000BE0A0000}"/>
    <cellStyle name="Comma 7 8" xfId="2797" xr:uid="{00000000-0005-0000-0000-0000BF0A0000}"/>
    <cellStyle name="Comma 7 9" xfId="2798" xr:uid="{00000000-0005-0000-0000-0000C00A0000}"/>
    <cellStyle name="Comma 8" xfId="42" xr:uid="{00000000-0005-0000-0000-0000C10A0000}"/>
    <cellStyle name="Comma 8 10" xfId="2800" xr:uid="{00000000-0005-0000-0000-0000C20A0000}"/>
    <cellStyle name="Comma 8 11" xfId="2801" xr:uid="{00000000-0005-0000-0000-0000C30A0000}"/>
    <cellStyle name="Comma 8 12" xfId="2799" xr:uid="{00000000-0005-0000-0000-0000C40A0000}"/>
    <cellStyle name="Comma 8 2" xfId="2802" xr:uid="{00000000-0005-0000-0000-0000C50A0000}"/>
    <cellStyle name="Comma 8 2 2" xfId="2803" xr:uid="{00000000-0005-0000-0000-0000C60A0000}"/>
    <cellStyle name="Comma 8 3" xfId="2804" xr:uid="{00000000-0005-0000-0000-0000C70A0000}"/>
    <cellStyle name="Comma 8 3 2" xfId="2805" xr:uid="{00000000-0005-0000-0000-0000C80A0000}"/>
    <cellStyle name="Comma 8 4" xfId="2806" xr:uid="{00000000-0005-0000-0000-0000C90A0000}"/>
    <cellStyle name="Comma 8 4 2" xfId="2807" xr:uid="{00000000-0005-0000-0000-0000CA0A0000}"/>
    <cellStyle name="Comma 8 5" xfId="2808" xr:uid="{00000000-0005-0000-0000-0000CB0A0000}"/>
    <cellStyle name="Comma 8 5 2" xfId="2809" xr:uid="{00000000-0005-0000-0000-0000CC0A0000}"/>
    <cellStyle name="Comma 8 6" xfId="2810" xr:uid="{00000000-0005-0000-0000-0000CD0A0000}"/>
    <cellStyle name="Comma 8 7" xfId="2811" xr:uid="{00000000-0005-0000-0000-0000CE0A0000}"/>
    <cellStyle name="Comma 8 8" xfId="2812" xr:uid="{00000000-0005-0000-0000-0000CF0A0000}"/>
    <cellStyle name="Comma 8 9" xfId="2813" xr:uid="{00000000-0005-0000-0000-0000D00A0000}"/>
    <cellStyle name="Comma 9" xfId="2814" xr:uid="{00000000-0005-0000-0000-0000D10A0000}"/>
    <cellStyle name="Comma 9 2" xfId="2815" xr:uid="{00000000-0005-0000-0000-0000D20A0000}"/>
    <cellStyle name="Comma 9 3" xfId="2816" xr:uid="{00000000-0005-0000-0000-0000D30A0000}"/>
    <cellStyle name="Comma 9 4" xfId="2817" xr:uid="{00000000-0005-0000-0000-0000D40A0000}"/>
    <cellStyle name="Comma 9 5" xfId="2818" xr:uid="{00000000-0005-0000-0000-0000D50A0000}"/>
    <cellStyle name="Currency [0] 2" xfId="2819" xr:uid="{00000000-0005-0000-0000-0000D70A0000}"/>
    <cellStyle name="Currency 10" xfId="2820" xr:uid="{00000000-0005-0000-0000-0000D80A0000}"/>
    <cellStyle name="Currency 100" xfId="2821" xr:uid="{00000000-0005-0000-0000-0000D90A0000}"/>
    <cellStyle name="Currency 13" xfId="2822" xr:uid="{00000000-0005-0000-0000-0000DA0A0000}"/>
    <cellStyle name="Currency 14" xfId="2823" xr:uid="{00000000-0005-0000-0000-0000DB0A0000}"/>
    <cellStyle name="Currency 15" xfId="2824" xr:uid="{00000000-0005-0000-0000-0000DC0A0000}"/>
    <cellStyle name="Currency 16" xfId="2825" xr:uid="{00000000-0005-0000-0000-0000DD0A0000}"/>
    <cellStyle name="Currency 2" xfId="18" xr:uid="{00000000-0005-0000-0000-0000DE0A0000}"/>
    <cellStyle name="Currency 2 10" xfId="2827" xr:uid="{00000000-0005-0000-0000-0000DF0A0000}"/>
    <cellStyle name="Currency 2 10 2" xfId="2828" xr:uid="{00000000-0005-0000-0000-0000E00A0000}"/>
    <cellStyle name="Currency 2 10 2 2" xfId="2829" xr:uid="{00000000-0005-0000-0000-0000E10A0000}"/>
    <cellStyle name="Currency 2 10 2 2 2" xfId="2830" xr:uid="{00000000-0005-0000-0000-0000E20A0000}"/>
    <cellStyle name="Currency 2 10 2 2 3" xfId="2831" xr:uid="{00000000-0005-0000-0000-0000E30A0000}"/>
    <cellStyle name="Currency 2 10 2 2 4" xfId="2832" xr:uid="{00000000-0005-0000-0000-0000E40A0000}"/>
    <cellStyle name="Currency 2 10 2 3" xfId="2833" xr:uid="{00000000-0005-0000-0000-0000E50A0000}"/>
    <cellStyle name="Currency 2 10 2 4" xfId="2834" xr:uid="{00000000-0005-0000-0000-0000E60A0000}"/>
    <cellStyle name="Currency 2 10 2 5" xfId="2835" xr:uid="{00000000-0005-0000-0000-0000E70A0000}"/>
    <cellStyle name="Currency 2 10 3" xfId="2836" xr:uid="{00000000-0005-0000-0000-0000E80A0000}"/>
    <cellStyle name="Currency 2 10 3 2" xfId="2837" xr:uid="{00000000-0005-0000-0000-0000E90A0000}"/>
    <cellStyle name="Currency 2 10 3 3" xfId="2838" xr:uid="{00000000-0005-0000-0000-0000EA0A0000}"/>
    <cellStyle name="Currency 2 10 3 4" xfId="2839" xr:uid="{00000000-0005-0000-0000-0000EB0A0000}"/>
    <cellStyle name="Currency 2 10 4" xfId="2840" xr:uid="{00000000-0005-0000-0000-0000EC0A0000}"/>
    <cellStyle name="Currency 2 10 5" xfId="2841" xr:uid="{00000000-0005-0000-0000-0000ED0A0000}"/>
    <cellStyle name="Currency 2 10 6" xfId="2842" xr:uid="{00000000-0005-0000-0000-0000EE0A0000}"/>
    <cellStyle name="Currency 2 11" xfId="2843" xr:uid="{00000000-0005-0000-0000-0000EF0A0000}"/>
    <cellStyle name="Currency 2 11 2" xfId="2844" xr:uid="{00000000-0005-0000-0000-0000F00A0000}"/>
    <cellStyle name="Currency 2 11 2 2" xfId="2845" xr:uid="{00000000-0005-0000-0000-0000F10A0000}"/>
    <cellStyle name="Currency 2 11 2 2 2" xfId="2846" xr:uid="{00000000-0005-0000-0000-0000F20A0000}"/>
    <cellStyle name="Currency 2 11 2 2 3" xfId="2847" xr:uid="{00000000-0005-0000-0000-0000F30A0000}"/>
    <cellStyle name="Currency 2 11 2 2 4" xfId="2848" xr:uid="{00000000-0005-0000-0000-0000F40A0000}"/>
    <cellStyle name="Currency 2 11 2 3" xfId="2849" xr:uid="{00000000-0005-0000-0000-0000F50A0000}"/>
    <cellStyle name="Currency 2 11 2 4" xfId="2850" xr:uid="{00000000-0005-0000-0000-0000F60A0000}"/>
    <cellStyle name="Currency 2 11 2 5" xfId="2851" xr:uid="{00000000-0005-0000-0000-0000F70A0000}"/>
    <cellStyle name="Currency 2 11 3" xfId="2852" xr:uid="{00000000-0005-0000-0000-0000F80A0000}"/>
    <cellStyle name="Currency 2 11 3 2" xfId="2853" xr:uid="{00000000-0005-0000-0000-0000F90A0000}"/>
    <cellStyle name="Currency 2 11 3 3" xfId="2854" xr:uid="{00000000-0005-0000-0000-0000FA0A0000}"/>
    <cellStyle name="Currency 2 11 3 4" xfId="2855" xr:uid="{00000000-0005-0000-0000-0000FB0A0000}"/>
    <cellStyle name="Currency 2 11 4" xfId="2856" xr:uid="{00000000-0005-0000-0000-0000FC0A0000}"/>
    <cellStyle name="Currency 2 11 5" xfId="2857" xr:uid="{00000000-0005-0000-0000-0000FD0A0000}"/>
    <cellStyle name="Currency 2 11 6" xfId="2858" xr:uid="{00000000-0005-0000-0000-0000FE0A0000}"/>
    <cellStyle name="Currency 2 12" xfId="2859" xr:uid="{00000000-0005-0000-0000-0000FF0A0000}"/>
    <cellStyle name="Currency 2 12 2" xfId="2860" xr:uid="{00000000-0005-0000-0000-0000000B0000}"/>
    <cellStyle name="Currency 2 12 2 2" xfId="2861" xr:uid="{00000000-0005-0000-0000-0000010B0000}"/>
    <cellStyle name="Currency 2 12 2 2 2" xfId="2862" xr:uid="{00000000-0005-0000-0000-0000020B0000}"/>
    <cellStyle name="Currency 2 12 2 2 3" xfId="2863" xr:uid="{00000000-0005-0000-0000-0000030B0000}"/>
    <cellStyle name="Currency 2 12 2 2 4" xfId="2864" xr:uid="{00000000-0005-0000-0000-0000040B0000}"/>
    <cellStyle name="Currency 2 12 2 3" xfId="2865" xr:uid="{00000000-0005-0000-0000-0000050B0000}"/>
    <cellStyle name="Currency 2 12 2 4" xfId="2866" xr:uid="{00000000-0005-0000-0000-0000060B0000}"/>
    <cellStyle name="Currency 2 12 2 5" xfId="2867" xr:uid="{00000000-0005-0000-0000-0000070B0000}"/>
    <cellStyle name="Currency 2 12 3" xfId="2868" xr:uid="{00000000-0005-0000-0000-0000080B0000}"/>
    <cellStyle name="Currency 2 12 3 2" xfId="2869" xr:uid="{00000000-0005-0000-0000-0000090B0000}"/>
    <cellStyle name="Currency 2 12 3 3" xfId="2870" xr:uid="{00000000-0005-0000-0000-00000A0B0000}"/>
    <cellStyle name="Currency 2 12 3 4" xfId="2871" xr:uid="{00000000-0005-0000-0000-00000B0B0000}"/>
    <cellStyle name="Currency 2 12 4" xfId="2872" xr:uid="{00000000-0005-0000-0000-00000C0B0000}"/>
    <cellStyle name="Currency 2 12 5" xfId="2873" xr:uid="{00000000-0005-0000-0000-00000D0B0000}"/>
    <cellStyle name="Currency 2 12 6" xfId="2874" xr:uid="{00000000-0005-0000-0000-00000E0B0000}"/>
    <cellStyle name="Currency 2 13" xfId="2875" xr:uid="{00000000-0005-0000-0000-00000F0B0000}"/>
    <cellStyle name="Currency 2 14" xfId="2876" xr:uid="{00000000-0005-0000-0000-0000100B0000}"/>
    <cellStyle name="Currency 2 15" xfId="2877" xr:uid="{00000000-0005-0000-0000-0000110B0000}"/>
    <cellStyle name="Currency 2 16" xfId="2878" xr:uid="{00000000-0005-0000-0000-0000120B0000}"/>
    <cellStyle name="Currency 2 17" xfId="2879" xr:uid="{00000000-0005-0000-0000-0000130B0000}"/>
    <cellStyle name="Currency 2 18" xfId="2880" xr:uid="{00000000-0005-0000-0000-0000140B0000}"/>
    <cellStyle name="Currency 2 19" xfId="2881" xr:uid="{00000000-0005-0000-0000-0000150B0000}"/>
    <cellStyle name="Currency 2 2" xfId="2882" xr:uid="{00000000-0005-0000-0000-0000160B0000}"/>
    <cellStyle name="Currency 2 2 10" xfId="2883" xr:uid="{00000000-0005-0000-0000-0000170B0000}"/>
    <cellStyle name="Currency 2 2 11" xfId="2884" xr:uid="{00000000-0005-0000-0000-0000180B0000}"/>
    <cellStyle name="Currency 2 2 12" xfId="2885" xr:uid="{00000000-0005-0000-0000-0000190B0000}"/>
    <cellStyle name="Currency 2 2 13" xfId="2886" xr:uid="{00000000-0005-0000-0000-00001A0B0000}"/>
    <cellStyle name="Currency 2 2 14" xfId="2887" xr:uid="{00000000-0005-0000-0000-00001B0B0000}"/>
    <cellStyle name="Currency 2 2 15" xfId="2888" xr:uid="{00000000-0005-0000-0000-00001C0B0000}"/>
    <cellStyle name="Currency 2 2 16" xfId="2889" xr:uid="{00000000-0005-0000-0000-00001D0B0000}"/>
    <cellStyle name="Currency 2 2 17" xfId="2890" xr:uid="{00000000-0005-0000-0000-00001E0B0000}"/>
    <cellStyle name="Currency 2 2 18" xfId="2891" xr:uid="{00000000-0005-0000-0000-00001F0B0000}"/>
    <cellStyle name="Currency 2 2 19" xfId="2892" xr:uid="{00000000-0005-0000-0000-0000200B0000}"/>
    <cellStyle name="Currency 2 2 2" xfId="2893" xr:uid="{00000000-0005-0000-0000-0000210B0000}"/>
    <cellStyle name="Currency 2 2 2 2" xfId="2894" xr:uid="{00000000-0005-0000-0000-0000220B0000}"/>
    <cellStyle name="Currency 2 2 2 3" xfId="2895" xr:uid="{00000000-0005-0000-0000-0000230B0000}"/>
    <cellStyle name="Currency 2 2 2 4" xfId="2896" xr:uid="{00000000-0005-0000-0000-0000240B0000}"/>
    <cellStyle name="Currency 2 2 20" xfId="2897" xr:uid="{00000000-0005-0000-0000-0000250B0000}"/>
    <cellStyle name="Currency 2 2 21" xfId="2898" xr:uid="{00000000-0005-0000-0000-0000260B0000}"/>
    <cellStyle name="Currency 2 2 22" xfId="2899" xr:uid="{00000000-0005-0000-0000-0000270B0000}"/>
    <cellStyle name="Currency 2 2 23" xfId="2900" xr:uid="{00000000-0005-0000-0000-0000280B0000}"/>
    <cellStyle name="Currency 2 2 24" xfId="2901" xr:uid="{00000000-0005-0000-0000-0000290B0000}"/>
    <cellStyle name="Currency 2 2 25" xfId="2902" xr:uid="{00000000-0005-0000-0000-00002A0B0000}"/>
    <cellStyle name="Currency 2 2 26" xfId="2903" xr:uid="{00000000-0005-0000-0000-00002B0B0000}"/>
    <cellStyle name="Currency 2 2 27" xfId="2904" xr:uid="{00000000-0005-0000-0000-00002C0B0000}"/>
    <cellStyle name="Currency 2 2 28" xfId="2905" xr:uid="{00000000-0005-0000-0000-00002D0B0000}"/>
    <cellStyle name="Currency 2 2 29" xfId="2906" xr:uid="{00000000-0005-0000-0000-00002E0B0000}"/>
    <cellStyle name="Currency 2 2 3" xfId="2907" xr:uid="{00000000-0005-0000-0000-00002F0B0000}"/>
    <cellStyle name="Currency 2 2 30" xfId="2908" xr:uid="{00000000-0005-0000-0000-0000300B0000}"/>
    <cellStyle name="Currency 2 2 31" xfId="2909" xr:uid="{00000000-0005-0000-0000-0000310B0000}"/>
    <cellStyle name="Currency 2 2 4" xfId="2910" xr:uid="{00000000-0005-0000-0000-0000320B0000}"/>
    <cellStyle name="Currency 2 2 5" xfId="2911" xr:uid="{00000000-0005-0000-0000-0000330B0000}"/>
    <cellStyle name="Currency 2 2 6" xfId="2912" xr:uid="{00000000-0005-0000-0000-0000340B0000}"/>
    <cellStyle name="Currency 2 2 7" xfId="2913" xr:uid="{00000000-0005-0000-0000-0000350B0000}"/>
    <cellStyle name="Currency 2 2 8" xfId="2914" xr:uid="{00000000-0005-0000-0000-0000360B0000}"/>
    <cellStyle name="Currency 2 2 9" xfId="2915" xr:uid="{00000000-0005-0000-0000-0000370B0000}"/>
    <cellStyle name="Currency 2 20" xfId="2916" xr:uid="{00000000-0005-0000-0000-0000380B0000}"/>
    <cellStyle name="Currency 2 21" xfId="2917" xr:uid="{00000000-0005-0000-0000-0000390B0000}"/>
    <cellStyle name="Currency 2 22" xfId="2918" xr:uid="{00000000-0005-0000-0000-00003A0B0000}"/>
    <cellStyle name="Currency 2 23" xfId="2919" xr:uid="{00000000-0005-0000-0000-00003B0B0000}"/>
    <cellStyle name="Currency 2 24" xfId="2920" xr:uid="{00000000-0005-0000-0000-00003C0B0000}"/>
    <cellStyle name="Currency 2 25" xfId="2921" xr:uid="{00000000-0005-0000-0000-00003D0B0000}"/>
    <cellStyle name="Currency 2 26" xfId="2922" xr:uid="{00000000-0005-0000-0000-00003E0B0000}"/>
    <cellStyle name="Currency 2 27" xfId="2923" xr:uid="{00000000-0005-0000-0000-00003F0B0000}"/>
    <cellStyle name="Currency 2 28" xfId="2924" xr:uid="{00000000-0005-0000-0000-0000400B0000}"/>
    <cellStyle name="Currency 2 29" xfId="2925" xr:uid="{00000000-0005-0000-0000-0000410B0000}"/>
    <cellStyle name="Currency 2 3" xfId="2926" xr:uid="{00000000-0005-0000-0000-0000420B0000}"/>
    <cellStyle name="Currency 2 3 10" xfId="2927" xr:uid="{00000000-0005-0000-0000-0000430B0000}"/>
    <cellStyle name="Currency 2 3 11" xfId="2928" xr:uid="{00000000-0005-0000-0000-0000440B0000}"/>
    <cellStyle name="Currency 2 3 12" xfId="2929" xr:uid="{00000000-0005-0000-0000-0000450B0000}"/>
    <cellStyle name="Currency 2 3 13" xfId="2930" xr:uid="{00000000-0005-0000-0000-0000460B0000}"/>
    <cellStyle name="Currency 2 3 14" xfId="2931" xr:uid="{00000000-0005-0000-0000-0000470B0000}"/>
    <cellStyle name="Currency 2 3 15" xfId="2932" xr:uid="{00000000-0005-0000-0000-0000480B0000}"/>
    <cellStyle name="Currency 2 3 16" xfId="2933" xr:uid="{00000000-0005-0000-0000-0000490B0000}"/>
    <cellStyle name="Currency 2 3 17" xfId="2934" xr:uid="{00000000-0005-0000-0000-00004A0B0000}"/>
    <cellStyle name="Currency 2 3 18" xfId="2935" xr:uid="{00000000-0005-0000-0000-00004B0B0000}"/>
    <cellStyle name="Currency 2 3 19" xfId="2936" xr:uid="{00000000-0005-0000-0000-00004C0B0000}"/>
    <cellStyle name="Currency 2 3 2" xfId="2937" xr:uid="{00000000-0005-0000-0000-00004D0B0000}"/>
    <cellStyle name="Currency 2 3 2 2" xfId="2938" xr:uid="{00000000-0005-0000-0000-00004E0B0000}"/>
    <cellStyle name="Currency 2 3 2 3" xfId="2939" xr:uid="{00000000-0005-0000-0000-00004F0B0000}"/>
    <cellStyle name="Currency 2 3 2 4" xfId="2940" xr:uid="{00000000-0005-0000-0000-0000500B0000}"/>
    <cellStyle name="Currency 2 3 20" xfId="2941" xr:uid="{00000000-0005-0000-0000-0000510B0000}"/>
    <cellStyle name="Currency 2 3 21" xfId="2942" xr:uid="{00000000-0005-0000-0000-0000520B0000}"/>
    <cellStyle name="Currency 2 3 22" xfId="2943" xr:uid="{00000000-0005-0000-0000-0000530B0000}"/>
    <cellStyle name="Currency 2 3 23" xfId="2944" xr:uid="{00000000-0005-0000-0000-0000540B0000}"/>
    <cellStyle name="Currency 2 3 24" xfId="2945" xr:uid="{00000000-0005-0000-0000-0000550B0000}"/>
    <cellStyle name="Currency 2 3 25" xfId="2946" xr:uid="{00000000-0005-0000-0000-0000560B0000}"/>
    <cellStyle name="Currency 2 3 26" xfId="2947" xr:uid="{00000000-0005-0000-0000-0000570B0000}"/>
    <cellStyle name="Currency 2 3 27" xfId="2948" xr:uid="{00000000-0005-0000-0000-0000580B0000}"/>
    <cellStyle name="Currency 2 3 28" xfId="2949" xr:uid="{00000000-0005-0000-0000-0000590B0000}"/>
    <cellStyle name="Currency 2 3 29" xfId="2950" xr:uid="{00000000-0005-0000-0000-00005A0B0000}"/>
    <cellStyle name="Currency 2 3 3" xfId="2951" xr:uid="{00000000-0005-0000-0000-00005B0B0000}"/>
    <cellStyle name="Currency 2 3 30" xfId="2952" xr:uid="{00000000-0005-0000-0000-00005C0B0000}"/>
    <cellStyle name="Currency 2 3 31" xfId="2953" xr:uid="{00000000-0005-0000-0000-00005D0B0000}"/>
    <cellStyle name="Currency 2 3 4" xfId="2954" xr:uid="{00000000-0005-0000-0000-00005E0B0000}"/>
    <cellStyle name="Currency 2 3 5" xfId="2955" xr:uid="{00000000-0005-0000-0000-00005F0B0000}"/>
    <cellStyle name="Currency 2 3 6" xfId="2956" xr:uid="{00000000-0005-0000-0000-0000600B0000}"/>
    <cellStyle name="Currency 2 3 7" xfId="2957" xr:uid="{00000000-0005-0000-0000-0000610B0000}"/>
    <cellStyle name="Currency 2 3 8" xfId="2958" xr:uid="{00000000-0005-0000-0000-0000620B0000}"/>
    <cellStyle name="Currency 2 3 9" xfId="2959" xr:uid="{00000000-0005-0000-0000-0000630B0000}"/>
    <cellStyle name="Currency 2 30" xfId="2960" xr:uid="{00000000-0005-0000-0000-0000640B0000}"/>
    <cellStyle name="Currency 2 31" xfId="2961" xr:uid="{00000000-0005-0000-0000-0000650B0000}"/>
    <cellStyle name="Currency 2 32" xfId="2962" xr:uid="{00000000-0005-0000-0000-0000660B0000}"/>
    <cellStyle name="Currency 2 33" xfId="2963" xr:uid="{00000000-0005-0000-0000-0000670B0000}"/>
    <cellStyle name="Currency 2 34" xfId="2964" xr:uid="{00000000-0005-0000-0000-0000680B0000}"/>
    <cellStyle name="Currency 2 35" xfId="2965" xr:uid="{00000000-0005-0000-0000-0000690B0000}"/>
    <cellStyle name="Currency 2 36" xfId="2966" xr:uid="{00000000-0005-0000-0000-00006A0B0000}"/>
    <cellStyle name="Currency 2 37" xfId="2967" xr:uid="{00000000-0005-0000-0000-00006B0B0000}"/>
    <cellStyle name="Currency 2 37 2" xfId="2968" xr:uid="{00000000-0005-0000-0000-00006C0B0000}"/>
    <cellStyle name="Currency 2 37 2 2" xfId="2969" xr:uid="{00000000-0005-0000-0000-00006D0B0000}"/>
    <cellStyle name="Currency 2 37 2 3" xfId="2970" xr:uid="{00000000-0005-0000-0000-00006E0B0000}"/>
    <cellStyle name="Currency 2 37 3" xfId="2971" xr:uid="{00000000-0005-0000-0000-00006F0B0000}"/>
    <cellStyle name="Currency 2 38" xfId="2972" xr:uid="{00000000-0005-0000-0000-0000700B0000}"/>
    <cellStyle name="Currency 2 39" xfId="2973" xr:uid="{00000000-0005-0000-0000-0000710B0000}"/>
    <cellStyle name="Currency 2 4" xfId="2974" xr:uid="{00000000-0005-0000-0000-0000720B0000}"/>
    <cellStyle name="Currency 2 40" xfId="2975" xr:uid="{00000000-0005-0000-0000-0000730B0000}"/>
    <cellStyle name="Currency 2 41" xfId="2976" xr:uid="{00000000-0005-0000-0000-0000740B0000}"/>
    <cellStyle name="Currency 2 42" xfId="2977" xr:uid="{00000000-0005-0000-0000-0000750B0000}"/>
    <cellStyle name="Currency 2 43" xfId="2978" xr:uid="{00000000-0005-0000-0000-0000760B0000}"/>
    <cellStyle name="Currency 2 44" xfId="2979" xr:uid="{00000000-0005-0000-0000-0000770B0000}"/>
    <cellStyle name="Currency 2 45" xfId="2980" xr:uid="{00000000-0005-0000-0000-0000780B0000}"/>
    <cellStyle name="Currency 2 46" xfId="2981" xr:uid="{00000000-0005-0000-0000-0000790B0000}"/>
    <cellStyle name="Currency 2 47" xfId="2982" xr:uid="{00000000-0005-0000-0000-00007A0B0000}"/>
    <cellStyle name="Currency 2 48" xfId="2983" xr:uid="{00000000-0005-0000-0000-00007B0B0000}"/>
    <cellStyle name="Currency 2 49" xfId="2984" xr:uid="{00000000-0005-0000-0000-00007C0B0000}"/>
    <cellStyle name="Currency 2 5" xfId="2985" xr:uid="{00000000-0005-0000-0000-00007D0B0000}"/>
    <cellStyle name="Currency 2 50" xfId="2826" xr:uid="{00000000-0005-0000-0000-00007E0B0000}"/>
    <cellStyle name="Currency 2 6" xfId="2986" xr:uid="{00000000-0005-0000-0000-00007F0B0000}"/>
    <cellStyle name="Currency 2 7" xfId="2987" xr:uid="{00000000-0005-0000-0000-0000800B0000}"/>
    <cellStyle name="Currency 2 8" xfId="2988" xr:uid="{00000000-0005-0000-0000-0000810B0000}"/>
    <cellStyle name="Currency 2 9" xfId="2989" xr:uid="{00000000-0005-0000-0000-0000820B0000}"/>
    <cellStyle name="Currency 21" xfId="2990" xr:uid="{00000000-0005-0000-0000-0000830B0000}"/>
    <cellStyle name="Currency 22" xfId="2991" xr:uid="{00000000-0005-0000-0000-0000840B0000}"/>
    <cellStyle name="Currency 23" xfId="2992" xr:uid="{00000000-0005-0000-0000-0000850B0000}"/>
    <cellStyle name="Currency 26" xfId="2993" xr:uid="{00000000-0005-0000-0000-0000860B0000}"/>
    <cellStyle name="Currency 27" xfId="2994" xr:uid="{00000000-0005-0000-0000-0000870B0000}"/>
    <cellStyle name="Currency 28" xfId="2995" xr:uid="{00000000-0005-0000-0000-0000880B0000}"/>
    <cellStyle name="Currency 3" xfId="19" xr:uid="{00000000-0005-0000-0000-0000890B0000}"/>
    <cellStyle name="Currency 3 10" xfId="2996" xr:uid="{00000000-0005-0000-0000-00008A0B0000}"/>
    <cellStyle name="Currency 3 11" xfId="2997" xr:uid="{00000000-0005-0000-0000-00008B0B0000}"/>
    <cellStyle name="Currency 3 12" xfId="2998" xr:uid="{00000000-0005-0000-0000-00008C0B0000}"/>
    <cellStyle name="Currency 3 13" xfId="2999" xr:uid="{00000000-0005-0000-0000-00008D0B0000}"/>
    <cellStyle name="Currency 3 14" xfId="3000" xr:uid="{00000000-0005-0000-0000-00008E0B0000}"/>
    <cellStyle name="Currency 3 15" xfId="3001" xr:uid="{00000000-0005-0000-0000-00008F0B0000}"/>
    <cellStyle name="Currency 3 16" xfId="3002" xr:uid="{00000000-0005-0000-0000-0000900B0000}"/>
    <cellStyle name="Currency 3 17" xfId="3003" xr:uid="{00000000-0005-0000-0000-0000910B0000}"/>
    <cellStyle name="Currency 3 18" xfId="3004" xr:uid="{00000000-0005-0000-0000-0000920B0000}"/>
    <cellStyle name="Currency 3 19" xfId="3005" xr:uid="{00000000-0005-0000-0000-0000930B0000}"/>
    <cellStyle name="Currency 3 2" xfId="3006" xr:uid="{00000000-0005-0000-0000-0000940B0000}"/>
    <cellStyle name="Currency 3 2 2" xfId="3007" xr:uid="{00000000-0005-0000-0000-0000950B0000}"/>
    <cellStyle name="Currency 3 2 3" xfId="3008" xr:uid="{00000000-0005-0000-0000-0000960B0000}"/>
    <cellStyle name="Currency 3 2 4" xfId="3009" xr:uid="{00000000-0005-0000-0000-0000970B0000}"/>
    <cellStyle name="Currency 3 3" xfId="3010" xr:uid="{00000000-0005-0000-0000-0000980B0000}"/>
    <cellStyle name="Currency 3 4" xfId="3011" xr:uid="{00000000-0005-0000-0000-0000990B0000}"/>
    <cellStyle name="Currency 3 5" xfId="3012" xr:uid="{00000000-0005-0000-0000-00009A0B0000}"/>
    <cellStyle name="Currency 3 6" xfId="3013" xr:uid="{00000000-0005-0000-0000-00009B0B0000}"/>
    <cellStyle name="Currency 3 7" xfId="3014" xr:uid="{00000000-0005-0000-0000-00009C0B0000}"/>
    <cellStyle name="Currency 3 8" xfId="3015" xr:uid="{00000000-0005-0000-0000-00009D0B0000}"/>
    <cellStyle name="Currency 3 9" xfId="3016" xr:uid="{00000000-0005-0000-0000-00009E0B0000}"/>
    <cellStyle name="Currency 33" xfId="3017" xr:uid="{00000000-0005-0000-0000-00009F0B0000}"/>
    <cellStyle name="Currency 34" xfId="3018" xr:uid="{00000000-0005-0000-0000-0000A00B0000}"/>
    <cellStyle name="Currency 35" xfId="3019" xr:uid="{00000000-0005-0000-0000-0000A10B0000}"/>
    <cellStyle name="Currency 4" xfId="20" xr:uid="{00000000-0005-0000-0000-0000A20B0000}"/>
    <cellStyle name="Currency 4 2" xfId="21" xr:uid="{00000000-0005-0000-0000-0000A30B0000}"/>
    <cellStyle name="Currency 4 3" xfId="3020" xr:uid="{00000000-0005-0000-0000-0000A40B0000}"/>
    <cellStyle name="Currency 42" xfId="3021" xr:uid="{00000000-0005-0000-0000-0000A50B0000}"/>
    <cellStyle name="Currency 43" xfId="3022" xr:uid="{00000000-0005-0000-0000-0000A60B0000}"/>
    <cellStyle name="Currency 44" xfId="3023" xr:uid="{00000000-0005-0000-0000-0000A70B0000}"/>
    <cellStyle name="Currency 5" xfId="22" xr:uid="{00000000-0005-0000-0000-0000A80B0000}"/>
    <cellStyle name="Currency 5 10" xfId="3025" xr:uid="{00000000-0005-0000-0000-0000A90B0000}"/>
    <cellStyle name="Currency 5 11" xfId="3024" xr:uid="{00000000-0005-0000-0000-0000AA0B0000}"/>
    <cellStyle name="Currency 5 2" xfId="3026" xr:uid="{00000000-0005-0000-0000-0000AB0B0000}"/>
    <cellStyle name="Currency 5 2 2" xfId="3027" xr:uid="{00000000-0005-0000-0000-0000AC0B0000}"/>
    <cellStyle name="Currency 5 2 3" xfId="3028" xr:uid="{00000000-0005-0000-0000-0000AD0B0000}"/>
    <cellStyle name="Currency 5 2 4" xfId="3029" xr:uid="{00000000-0005-0000-0000-0000AE0B0000}"/>
    <cellStyle name="Currency 5 3" xfId="3030" xr:uid="{00000000-0005-0000-0000-0000AF0B0000}"/>
    <cellStyle name="Currency 5 4" xfId="3031" xr:uid="{00000000-0005-0000-0000-0000B00B0000}"/>
    <cellStyle name="Currency 5 5" xfId="3032" xr:uid="{00000000-0005-0000-0000-0000B10B0000}"/>
    <cellStyle name="Currency 5 6" xfId="3033" xr:uid="{00000000-0005-0000-0000-0000B20B0000}"/>
    <cellStyle name="Currency 5 7" xfId="3034" xr:uid="{00000000-0005-0000-0000-0000B30B0000}"/>
    <cellStyle name="Currency 5 8" xfId="3035" xr:uid="{00000000-0005-0000-0000-0000B40B0000}"/>
    <cellStyle name="Currency 5 9" xfId="3036" xr:uid="{00000000-0005-0000-0000-0000B50B0000}"/>
    <cellStyle name="Currency 51" xfId="3037" xr:uid="{00000000-0005-0000-0000-0000B60B0000}"/>
    <cellStyle name="Currency 52" xfId="3038" xr:uid="{00000000-0005-0000-0000-0000B70B0000}"/>
    <cellStyle name="Currency 53" xfId="3039" xr:uid="{00000000-0005-0000-0000-0000B80B0000}"/>
    <cellStyle name="Currency 59" xfId="3040" xr:uid="{00000000-0005-0000-0000-0000B90B0000}"/>
    <cellStyle name="Currency 6" xfId="17" xr:uid="{00000000-0005-0000-0000-0000BA0B0000}"/>
    <cellStyle name="Currency 6 2" xfId="3042" xr:uid="{00000000-0005-0000-0000-0000BB0B0000}"/>
    <cellStyle name="Currency 6 3" xfId="3041" xr:uid="{00000000-0005-0000-0000-0000BC0B0000}"/>
    <cellStyle name="Currency 60" xfId="3043" xr:uid="{00000000-0005-0000-0000-0000BD0B0000}"/>
    <cellStyle name="Currency 61" xfId="3044" xr:uid="{00000000-0005-0000-0000-0000BE0B0000}"/>
    <cellStyle name="Currency 67" xfId="3045" xr:uid="{00000000-0005-0000-0000-0000BF0B0000}"/>
    <cellStyle name="Currency 68" xfId="3046" xr:uid="{00000000-0005-0000-0000-0000C00B0000}"/>
    <cellStyle name="Currency 69" xfId="3047" xr:uid="{00000000-0005-0000-0000-0000C10B0000}"/>
    <cellStyle name="Currency 7" xfId="45" xr:uid="{00000000-0005-0000-0000-0000C20B0000}"/>
    <cellStyle name="Currency 7 2" xfId="3048" xr:uid="{00000000-0005-0000-0000-0000C30B0000}"/>
    <cellStyle name="Currency 75" xfId="3049" xr:uid="{00000000-0005-0000-0000-0000C40B0000}"/>
    <cellStyle name="Currency 76" xfId="3050" xr:uid="{00000000-0005-0000-0000-0000C50B0000}"/>
    <cellStyle name="Currency 77" xfId="3051" xr:uid="{00000000-0005-0000-0000-0000C60B0000}"/>
    <cellStyle name="Currency 83" xfId="3052" xr:uid="{00000000-0005-0000-0000-0000C70B0000}"/>
    <cellStyle name="Currency 84" xfId="3053" xr:uid="{00000000-0005-0000-0000-0000C80B0000}"/>
    <cellStyle name="Currency 85" xfId="3054" xr:uid="{00000000-0005-0000-0000-0000C90B0000}"/>
    <cellStyle name="Currency 9" xfId="3055" xr:uid="{00000000-0005-0000-0000-0000CA0B0000}"/>
    <cellStyle name="Currency 91" xfId="3056" xr:uid="{00000000-0005-0000-0000-0000CB0B0000}"/>
    <cellStyle name="Currency 92" xfId="3057" xr:uid="{00000000-0005-0000-0000-0000CC0B0000}"/>
    <cellStyle name="Currency 93" xfId="3058" xr:uid="{00000000-0005-0000-0000-0000CD0B0000}"/>
    <cellStyle name="Currency 99" xfId="3059" xr:uid="{00000000-0005-0000-0000-0000CE0B0000}"/>
    <cellStyle name="Data Field" xfId="3060" xr:uid="{00000000-0005-0000-0000-0000CF0B0000}"/>
    <cellStyle name="Data Name" xfId="3061" xr:uid="{00000000-0005-0000-0000-0000D00B0000}"/>
    <cellStyle name="Explanatory Text 10" xfId="3062" xr:uid="{00000000-0005-0000-0000-0000D10B0000}"/>
    <cellStyle name="Explanatory Text 10 2" xfId="3063" xr:uid="{00000000-0005-0000-0000-0000D20B0000}"/>
    <cellStyle name="Explanatory Text 10 3" xfId="3064" xr:uid="{00000000-0005-0000-0000-0000D30B0000}"/>
    <cellStyle name="Explanatory Text 11" xfId="3065" xr:uid="{00000000-0005-0000-0000-0000D40B0000}"/>
    <cellStyle name="Explanatory Text 11 2" xfId="3066" xr:uid="{00000000-0005-0000-0000-0000D50B0000}"/>
    <cellStyle name="Explanatory Text 11 3" xfId="3067" xr:uid="{00000000-0005-0000-0000-0000D60B0000}"/>
    <cellStyle name="Explanatory Text 12" xfId="3068" xr:uid="{00000000-0005-0000-0000-0000D70B0000}"/>
    <cellStyle name="Explanatory Text 12 2" xfId="3069" xr:uid="{00000000-0005-0000-0000-0000D80B0000}"/>
    <cellStyle name="Explanatory Text 12 3" xfId="3070" xr:uid="{00000000-0005-0000-0000-0000D90B0000}"/>
    <cellStyle name="Explanatory Text 13" xfId="3071" xr:uid="{00000000-0005-0000-0000-0000DA0B0000}"/>
    <cellStyle name="Explanatory Text 13 2" xfId="3072" xr:uid="{00000000-0005-0000-0000-0000DB0B0000}"/>
    <cellStyle name="Explanatory Text 13 3" xfId="3073" xr:uid="{00000000-0005-0000-0000-0000DC0B0000}"/>
    <cellStyle name="Explanatory Text 14" xfId="3074" xr:uid="{00000000-0005-0000-0000-0000DD0B0000}"/>
    <cellStyle name="Explanatory Text 14 2" xfId="3075" xr:uid="{00000000-0005-0000-0000-0000DE0B0000}"/>
    <cellStyle name="Explanatory Text 14 3" xfId="3076" xr:uid="{00000000-0005-0000-0000-0000DF0B0000}"/>
    <cellStyle name="Explanatory Text 15" xfId="3077" xr:uid="{00000000-0005-0000-0000-0000E00B0000}"/>
    <cellStyle name="Explanatory Text 15 2" xfId="3078" xr:uid="{00000000-0005-0000-0000-0000E10B0000}"/>
    <cellStyle name="Explanatory Text 15 3" xfId="3079" xr:uid="{00000000-0005-0000-0000-0000E20B0000}"/>
    <cellStyle name="Explanatory Text 15 4" xfId="3080" xr:uid="{00000000-0005-0000-0000-0000E30B0000}"/>
    <cellStyle name="Explanatory Text 15 5" xfId="3081" xr:uid="{00000000-0005-0000-0000-0000E40B0000}"/>
    <cellStyle name="Explanatory Text 15 6" xfId="3082" xr:uid="{00000000-0005-0000-0000-0000E50B0000}"/>
    <cellStyle name="Explanatory Text 15 7" xfId="3083" xr:uid="{00000000-0005-0000-0000-0000E60B0000}"/>
    <cellStyle name="Explanatory Text 16" xfId="3084" xr:uid="{00000000-0005-0000-0000-0000E70B0000}"/>
    <cellStyle name="Explanatory Text 17" xfId="3085" xr:uid="{00000000-0005-0000-0000-0000E80B0000}"/>
    <cellStyle name="Explanatory Text 18" xfId="3086" xr:uid="{00000000-0005-0000-0000-0000E90B0000}"/>
    <cellStyle name="Explanatory Text 19" xfId="3087" xr:uid="{00000000-0005-0000-0000-0000EA0B0000}"/>
    <cellStyle name="Explanatory Text 2" xfId="3088" xr:uid="{00000000-0005-0000-0000-0000EB0B0000}"/>
    <cellStyle name="Explanatory Text 2 10" xfId="3089" xr:uid="{00000000-0005-0000-0000-0000EC0B0000}"/>
    <cellStyle name="Explanatory Text 2 11" xfId="3090" xr:uid="{00000000-0005-0000-0000-0000ED0B0000}"/>
    <cellStyle name="Explanatory Text 2 12" xfId="3091" xr:uid="{00000000-0005-0000-0000-0000EE0B0000}"/>
    <cellStyle name="Explanatory Text 2 13" xfId="3092" xr:uid="{00000000-0005-0000-0000-0000EF0B0000}"/>
    <cellStyle name="Explanatory Text 2 14" xfId="3093" xr:uid="{00000000-0005-0000-0000-0000F00B0000}"/>
    <cellStyle name="Explanatory Text 2 2" xfId="3094" xr:uid="{00000000-0005-0000-0000-0000F10B0000}"/>
    <cellStyle name="Explanatory Text 2 3" xfId="3095" xr:uid="{00000000-0005-0000-0000-0000F20B0000}"/>
    <cellStyle name="Explanatory Text 2 4" xfId="3096" xr:uid="{00000000-0005-0000-0000-0000F30B0000}"/>
    <cellStyle name="Explanatory Text 2 5" xfId="3097" xr:uid="{00000000-0005-0000-0000-0000F40B0000}"/>
    <cellStyle name="Explanatory Text 2 6" xfId="3098" xr:uid="{00000000-0005-0000-0000-0000F50B0000}"/>
    <cellStyle name="Explanatory Text 2 7" xfId="3099" xr:uid="{00000000-0005-0000-0000-0000F60B0000}"/>
    <cellStyle name="Explanatory Text 2 8" xfId="3100" xr:uid="{00000000-0005-0000-0000-0000F70B0000}"/>
    <cellStyle name="Explanatory Text 2 9" xfId="3101" xr:uid="{00000000-0005-0000-0000-0000F80B0000}"/>
    <cellStyle name="Explanatory Text 20" xfId="3102" xr:uid="{00000000-0005-0000-0000-0000F90B0000}"/>
    <cellStyle name="Explanatory Text 21" xfId="3103" xr:uid="{00000000-0005-0000-0000-0000FA0B0000}"/>
    <cellStyle name="Explanatory Text 22" xfId="3104" xr:uid="{00000000-0005-0000-0000-0000FB0B0000}"/>
    <cellStyle name="Explanatory Text 23" xfId="3105" xr:uid="{00000000-0005-0000-0000-0000FC0B0000}"/>
    <cellStyle name="Explanatory Text 24" xfId="3106" xr:uid="{00000000-0005-0000-0000-0000FD0B0000}"/>
    <cellStyle name="Explanatory Text 25" xfId="3107" xr:uid="{00000000-0005-0000-0000-0000FE0B0000}"/>
    <cellStyle name="Explanatory Text 26" xfId="3108" xr:uid="{00000000-0005-0000-0000-0000FF0B0000}"/>
    <cellStyle name="Explanatory Text 27" xfId="3109" xr:uid="{00000000-0005-0000-0000-0000000C0000}"/>
    <cellStyle name="Explanatory Text 28" xfId="3110" xr:uid="{00000000-0005-0000-0000-0000010C0000}"/>
    <cellStyle name="Explanatory Text 29" xfId="3111" xr:uid="{00000000-0005-0000-0000-0000020C0000}"/>
    <cellStyle name="Explanatory Text 3" xfId="3112" xr:uid="{00000000-0005-0000-0000-0000030C0000}"/>
    <cellStyle name="Explanatory Text 3 2" xfId="3113" xr:uid="{00000000-0005-0000-0000-0000040C0000}"/>
    <cellStyle name="Explanatory Text 3 3" xfId="3114" xr:uid="{00000000-0005-0000-0000-0000050C0000}"/>
    <cellStyle name="Explanatory Text 30" xfId="3115" xr:uid="{00000000-0005-0000-0000-0000060C0000}"/>
    <cellStyle name="Explanatory Text 31" xfId="3116" xr:uid="{00000000-0005-0000-0000-0000070C0000}"/>
    <cellStyle name="Explanatory Text 32" xfId="3117" xr:uid="{00000000-0005-0000-0000-0000080C0000}"/>
    <cellStyle name="Explanatory Text 33" xfId="3118" xr:uid="{00000000-0005-0000-0000-0000090C0000}"/>
    <cellStyle name="Explanatory Text 34" xfId="3119" xr:uid="{00000000-0005-0000-0000-00000A0C0000}"/>
    <cellStyle name="Explanatory Text 4" xfId="3120" xr:uid="{00000000-0005-0000-0000-00000B0C0000}"/>
    <cellStyle name="Explanatory Text 4 2" xfId="3121" xr:uid="{00000000-0005-0000-0000-00000C0C0000}"/>
    <cellStyle name="Explanatory Text 4 3" xfId="3122" xr:uid="{00000000-0005-0000-0000-00000D0C0000}"/>
    <cellStyle name="Explanatory Text 5" xfId="3123" xr:uid="{00000000-0005-0000-0000-00000E0C0000}"/>
    <cellStyle name="Explanatory Text 5 2" xfId="3124" xr:uid="{00000000-0005-0000-0000-00000F0C0000}"/>
    <cellStyle name="Explanatory Text 5 3" xfId="3125" xr:uid="{00000000-0005-0000-0000-0000100C0000}"/>
    <cellStyle name="Explanatory Text 6" xfId="3126" xr:uid="{00000000-0005-0000-0000-0000110C0000}"/>
    <cellStyle name="Explanatory Text 6 2" xfId="3127" xr:uid="{00000000-0005-0000-0000-0000120C0000}"/>
    <cellStyle name="Explanatory Text 6 3" xfId="3128" xr:uid="{00000000-0005-0000-0000-0000130C0000}"/>
    <cellStyle name="Explanatory Text 7" xfId="3129" xr:uid="{00000000-0005-0000-0000-0000140C0000}"/>
    <cellStyle name="Explanatory Text 7 2" xfId="3130" xr:uid="{00000000-0005-0000-0000-0000150C0000}"/>
    <cellStyle name="Explanatory Text 7 3" xfId="3131" xr:uid="{00000000-0005-0000-0000-0000160C0000}"/>
    <cellStyle name="Explanatory Text 8" xfId="3132" xr:uid="{00000000-0005-0000-0000-0000170C0000}"/>
    <cellStyle name="Explanatory Text 8 2" xfId="3133" xr:uid="{00000000-0005-0000-0000-0000180C0000}"/>
    <cellStyle name="Explanatory Text 8 3" xfId="3134" xr:uid="{00000000-0005-0000-0000-0000190C0000}"/>
    <cellStyle name="Explanatory Text 9" xfId="3135" xr:uid="{00000000-0005-0000-0000-00001A0C0000}"/>
    <cellStyle name="Explanatory Text 9 2" xfId="3136" xr:uid="{00000000-0005-0000-0000-00001B0C0000}"/>
    <cellStyle name="Explanatory Text 9 3" xfId="3137" xr:uid="{00000000-0005-0000-0000-00001C0C0000}"/>
    <cellStyle name="Good 10" xfId="3138" xr:uid="{00000000-0005-0000-0000-00001D0C0000}"/>
    <cellStyle name="Good 10 2" xfId="3139" xr:uid="{00000000-0005-0000-0000-00001E0C0000}"/>
    <cellStyle name="Good 10 3" xfId="3140" xr:uid="{00000000-0005-0000-0000-00001F0C0000}"/>
    <cellStyle name="Good 11" xfId="3141" xr:uid="{00000000-0005-0000-0000-0000200C0000}"/>
    <cellStyle name="Good 11 2" xfId="3142" xr:uid="{00000000-0005-0000-0000-0000210C0000}"/>
    <cellStyle name="Good 11 3" xfId="3143" xr:uid="{00000000-0005-0000-0000-0000220C0000}"/>
    <cellStyle name="Good 12" xfId="3144" xr:uid="{00000000-0005-0000-0000-0000230C0000}"/>
    <cellStyle name="Good 12 2" xfId="3145" xr:uid="{00000000-0005-0000-0000-0000240C0000}"/>
    <cellStyle name="Good 12 3" xfId="3146" xr:uid="{00000000-0005-0000-0000-0000250C0000}"/>
    <cellStyle name="Good 13" xfId="3147" xr:uid="{00000000-0005-0000-0000-0000260C0000}"/>
    <cellStyle name="Good 13 2" xfId="3148" xr:uid="{00000000-0005-0000-0000-0000270C0000}"/>
    <cellStyle name="Good 13 3" xfId="3149" xr:uid="{00000000-0005-0000-0000-0000280C0000}"/>
    <cellStyle name="Good 14" xfId="3150" xr:uid="{00000000-0005-0000-0000-0000290C0000}"/>
    <cellStyle name="Good 14 2" xfId="3151" xr:uid="{00000000-0005-0000-0000-00002A0C0000}"/>
    <cellStyle name="Good 14 3" xfId="3152" xr:uid="{00000000-0005-0000-0000-00002B0C0000}"/>
    <cellStyle name="Good 15" xfId="3153" xr:uid="{00000000-0005-0000-0000-00002C0C0000}"/>
    <cellStyle name="Good 15 2" xfId="3154" xr:uid="{00000000-0005-0000-0000-00002D0C0000}"/>
    <cellStyle name="Good 15 3" xfId="3155" xr:uid="{00000000-0005-0000-0000-00002E0C0000}"/>
    <cellStyle name="Good 15 4" xfId="3156" xr:uid="{00000000-0005-0000-0000-00002F0C0000}"/>
    <cellStyle name="Good 15 5" xfId="3157" xr:uid="{00000000-0005-0000-0000-0000300C0000}"/>
    <cellStyle name="Good 15 6" xfId="3158" xr:uid="{00000000-0005-0000-0000-0000310C0000}"/>
    <cellStyle name="Good 15 7" xfId="3159" xr:uid="{00000000-0005-0000-0000-0000320C0000}"/>
    <cellStyle name="Good 16" xfId="3160" xr:uid="{00000000-0005-0000-0000-0000330C0000}"/>
    <cellStyle name="Good 17" xfId="3161" xr:uid="{00000000-0005-0000-0000-0000340C0000}"/>
    <cellStyle name="Good 18" xfId="3162" xr:uid="{00000000-0005-0000-0000-0000350C0000}"/>
    <cellStyle name="Good 19" xfId="3163" xr:uid="{00000000-0005-0000-0000-0000360C0000}"/>
    <cellStyle name="Good 2" xfId="3164" xr:uid="{00000000-0005-0000-0000-0000370C0000}"/>
    <cellStyle name="Good 2 10" xfId="3165" xr:uid="{00000000-0005-0000-0000-0000380C0000}"/>
    <cellStyle name="Good 2 11" xfId="3166" xr:uid="{00000000-0005-0000-0000-0000390C0000}"/>
    <cellStyle name="Good 2 12" xfId="3167" xr:uid="{00000000-0005-0000-0000-00003A0C0000}"/>
    <cellStyle name="Good 2 13" xfId="3168" xr:uid="{00000000-0005-0000-0000-00003B0C0000}"/>
    <cellStyle name="Good 2 14" xfId="3169" xr:uid="{00000000-0005-0000-0000-00003C0C0000}"/>
    <cellStyle name="Good 2 2" xfId="3170" xr:uid="{00000000-0005-0000-0000-00003D0C0000}"/>
    <cellStyle name="Good 2 3" xfId="3171" xr:uid="{00000000-0005-0000-0000-00003E0C0000}"/>
    <cellStyle name="Good 2 4" xfId="3172" xr:uid="{00000000-0005-0000-0000-00003F0C0000}"/>
    <cellStyle name="Good 2 5" xfId="3173" xr:uid="{00000000-0005-0000-0000-0000400C0000}"/>
    <cellStyle name="Good 2 6" xfId="3174" xr:uid="{00000000-0005-0000-0000-0000410C0000}"/>
    <cellStyle name="Good 2 7" xfId="3175" xr:uid="{00000000-0005-0000-0000-0000420C0000}"/>
    <cellStyle name="Good 2 8" xfId="3176" xr:uid="{00000000-0005-0000-0000-0000430C0000}"/>
    <cellStyle name="Good 2 9" xfId="3177" xr:uid="{00000000-0005-0000-0000-0000440C0000}"/>
    <cellStyle name="Good 20" xfId="3178" xr:uid="{00000000-0005-0000-0000-0000450C0000}"/>
    <cellStyle name="Good 21" xfId="3179" xr:uid="{00000000-0005-0000-0000-0000460C0000}"/>
    <cellStyle name="Good 22" xfId="3180" xr:uid="{00000000-0005-0000-0000-0000470C0000}"/>
    <cellStyle name="Good 23" xfId="3181" xr:uid="{00000000-0005-0000-0000-0000480C0000}"/>
    <cellStyle name="Good 24" xfId="3182" xr:uid="{00000000-0005-0000-0000-0000490C0000}"/>
    <cellStyle name="Good 25" xfId="3183" xr:uid="{00000000-0005-0000-0000-00004A0C0000}"/>
    <cellStyle name="Good 26" xfId="3184" xr:uid="{00000000-0005-0000-0000-00004B0C0000}"/>
    <cellStyle name="Good 27" xfId="3185" xr:uid="{00000000-0005-0000-0000-00004C0C0000}"/>
    <cellStyle name="Good 28" xfId="3186" xr:uid="{00000000-0005-0000-0000-00004D0C0000}"/>
    <cellStyle name="Good 29" xfId="3187" xr:uid="{00000000-0005-0000-0000-00004E0C0000}"/>
    <cellStyle name="Good 3" xfId="3188" xr:uid="{00000000-0005-0000-0000-00004F0C0000}"/>
    <cellStyle name="Good 3 2" xfId="3189" xr:uid="{00000000-0005-0000-0000-0000500C0000}"/>
    <cellStyle name="Good 3 3" xfId="3190" xr:uid="{00000000-0005-0000-0000-0000510C0000}"/>
    <cellStyle name="Good 30" xfId="3191" xr:uid="{00000000-0005-0000-0000-0000520C0000}"/>
    <cellStyle name="Good 31" xfId="3192" xr:uid="{00000000-0005-0000-0000-0000530C0000}"/>
    <cellStyle name="Good 32" xfId="3193" xr:uid="{00000000-0005-0000-0000-0000540C0000}"/>
    <cellStyle name="Good 33" xfId="3194" xr:uid="{00000000-0005-0000-0000-0000550C0000}"/>
    <cellStyle name="Good 34" xfId="3195" xr:uid="{00000000-0005-0000-0000-0000560C0000}"/>
    <cellStyle name="Good 4" xfId="3196" xr:uid="{00000000-0005-0000-0000-0000570C0000}"/>
    <cellStyle name="Good 4 2" xfId="3197" xr:uid="{00000000-0005-0000-0000-0000580C0000}"/>
    <cellStyle name="Good 4 3" xfId="3198" xr:uid="{00000000-0005-0000-0000-0000590C0000}"/>
    <cellStyle name="Good 5" xfId="3199" xr:uid="{00000000-0005-0000-0000-00005A0C0000}"/>
    <cellStyle name="Good 5 2" xfId="3200" xr:uid="{00000000-0005-0000-0000-00005B0C0000}"/>
    <cellStyle name="Good 5 3" xfId="3201" xr:uid="{00000000-0005-0000-0000-00005C0C0000}"/>
    <cellStyle name="Good 6" xfId="3202" xr:uid="{00000000-0005-0000-0000-00005D0C0000}"/>
    <cellStyle name="Good 6 2" xfId="3203" xr:uid="{00000000-0005-0000-0000-00005E0C0000}"/>
    <cellStyle name="Good 6 3" xfId="3204" xr:uid="{00000000-0005-0000-0000-00005F0C0000}"/>
    <cellStyle name="Good 7" xfId="3205" xr:uid="{00000000-0005-0000-0000-0000600C0000}"/>
    <cellStyle name="Good 7 2" xfId="3206" xr:uid="{00000000-0005-0000-0000-0000610C0000}"/>
    <cellStyle name="Good 7 3" xfId="3207" xr:uid="{00000000-0005-0000-0000-0000620C0000}"/>
    <cellStyle name="Good 8" xfId="3208" xr:uid="{00000000-0005-0000-0000-0000630C0000}"/>
    <cellStyle name="Good 8 2" xfId="3209" xr:uid="{00000000-0005-0000-0000-0000640C0000}"/>
    <cellStyle name="Good 8 3" xfId="3210" xr:uid="{00000000-0005-0000-0000-0000650C0000}"/>
    <cellStyle name="Good 9" xfId="3211" xr:uid="{00000000-0005-0000-0000-0000660C0000}"/>
    <cellStyle name="Good 9 2" xfId="3212" xr:uid="{00000000-0005-0000-0000-0000670C0000}"/>
    <cellStyle name="Good 9 3" xfId="3213" xr:uid="{00000000-0005-0000-0000-0000680C0000}"/>
    <cellStyle name="Heading 1 10" xfId="3214" xr:uid="{00000000-0005-0000-0000-0000690C0000}"/>
    <cellStyle name="Heading 1 10 2" xfId="3215" xr:uid="{00000000-0005-0000-0000-00006A0C0000}"/>
    <cellStyle name="Heading 1 10 3" xfId="3216" xr:uid="{00000000-0005-0000-0000-00006B0C0000}"/>
    <cellStyle name="Heading 1 11" xfId="3217" xr:uid="{00000000-0005-0000-0000-00006C0C0000}"/>
    <cellStyle name="Heading 1 11 2" xfId="3218" xr:uid="{00000000-0005-0000-0000-00006D0C0000}"/>
    <cellStyle name="Heading 1 11 3" xfId="3219" xr:uid="{00000000-0005-0000-0000-00006E0C0000}"/>
    <cellStyle name="Heading 1 12" xfId="3220" xr:uid="{00000000-0005-0000-0000-00006F0C0000}"/>
    <cellStyle name="Heading 1 12 2" xfId="3221" xr:uid="{00000000-0005-0000-0000-0000700C0000}"/>
    <cellStyle name="Heading 1 12 3" xfId="3222" xr:uid="{00000000-0005-0000-0000-0000710C0000}"/>
    <cellStyle name="Heading 1 13" xfId="3223" xr:uid="{00000000-0005-0000-0000-0000720C0000}"/>
    <cellStyle name="Heading 1 13 2" xfId="3224" xr:uid="{00000000-0005-0000-0000-0000730C0000}"/>
    <cellStyle name="Heading 1 13 3" xfId="3225" xr:uid="{00000000-0005-0000-0000-0000740C0000}"/>
    <cellStyle name="Heading 1 14" xfId="3226" xr:uid="{00000000-0005-0000-0000-0000750C0000}"/>
    <cellStyle name="Heading 1 14 2" xfId="3227" xr:uid="{00000000-0005-0000-0000-0000760C0000}"/>
    <cellStyle name="Heading 1 14 3" xfId="3228" xr:uid="{00000000-0005-0000-0000-0000770C0000}"/>
    <cellStyle name="Heading 1 15" xfId="3229" xr:uid="{00000000-0005-0000-0000-0000780C0000}"/>
    <cellStyle name="Heading 1 15 2" xfId="3230" xr:uid="{00000000-0005-0000-0000-0000790C0000}"/>
    <cellStyle name="Heading 1 15 3" xfId="3231" xr:uid="{00000000-0005-0000-0000-00007A0C0000}"/>
    <cellStyle name="Heading 1 15 4" xfId="3232" xr:uid="{00000000-0005-0000-0000-00007B0C0000}"/>
    <cellStyle name="Heading 1 15 5" xfId="3233" xr:uid="{00000000-0005-0000-0000-00007C0C0000}"/>
    <cellStyle name="Heading 1 15 6" xfId="3234" xr:uid="{00000000-0005-0000-0000-00007D0C0000}"/>
    <cellStyle name="Heading 1 15 7" xfId="3235" xr:uid="{00000000-0005-0000-0000-00007E0C0000}"/>
    <cellStyle name="Heading 1 16" xfId="3236" xr:uid="{00000000-0005-0000-0000-00007F0C0000}"/>
    <cellStyle name="Heading 1 17" xfId="3237" xr:uid="{00000000-0005-0000-0000-0000800C0000}"/>
    <cellStyle name="Heading 1 18" xfId="3238" xr:uid="{00000000-0005-0000-0000-0000810C0000}"/>
    <cellStyle name="Heading 1 19" xfId="3239" xr:uid="{00000000-0005-0000-0000-0000820C0000}"/>
    <cellStyle name="Heading 1 2" xfId="3240" xr:uid="{00000000-0005-0000-0000-0000830C0000}"/>
    <cellStyle name="Heading 1 2 10" xfId="3241" xr:uid="{00000000-0005-0000-0000-0000840C0000}"/>
    <cellStyle name="Heading 1 2 11" xfId="3242" xr:uid="{00000000-0005-0000-0000-0000850C0000}"/>
    <cellStyle name="Heading 1 2 12" xfId="3243" xr:uid="{00000000-0005-0000-0000-0000860C0000}"/>
    <cellStyle name="Heading 1 2 13" xfId="3244" xr:uid="{00000000-0005-0000-0000-0000870C0000}"/>
    <cellStyle name="Heading 1 2 14" xfId="3245" xr:uid="{00000000-0005-0000-0000-0000880C0000}"/>
    <cellStyle name="Heading 1 2 2" xfId="3246" xr:uid="{00000000-0005-0000-0000-0000890C0000}"/>
    <cellStyle name="Heading 1 2 3" xfId="3247" xr:uid="{00000000-0005-0000-0000-00008A0C0000}"/>
    <cellStyle name="Heading 1 2 4" xfId="3248" xr:uid="{00000000-0005-0000-0000-00008B0C0000}"/>
    <cellStyle name="Heading 1 2 5" xfId="3249" xr:uid="{00000000-0005-0000-0000-00008C0C0000}"/>
    <cellStyle name="Heading 1 2 6" xfId="3250" xr:uid="{00000000-0005-0000-0000-00008D0C0000}"/>
    <cellStyle name="Heading 1 2 7" xfId="3251" xr:uid="{00000000-0005-0000-0000-00008E0C0000}"/>
    <cellStyle name="Heading 1 2 8" xfId="3252" xr:uid="{00000000-0005-0000-0000-00008F0C0000}"/>
    <cellStyle name="Heading 1 2 9" xfId="3253" xr:uid="{00000000-0005-0000-0000-0000900C0000}"/>
    <cellStyle name="Heading 1 20" xfId="3254" xr:uid="{00000000-0005-0000-0000-0000910C0000}"/>
    <cellStyle name="Heading 1 21" xfId="3255" xr:uid="{00000000-0005-0000-0000-0000920C0000}"/>
    <cellStyle name="Heading 1 22" xfId="3256" xr:uid="{00000000-0005-0000-0000-0000930C0000}"/>
    <cellStyle name="Heading 1 23" xfId="3257" xr:uid="{00000000-0005-0000-0000-0000940C0000}"/>
    <cellStyle name="Heading 1 24" xfId="3258" xr:uid="{00000000-0005-0000-0000-0000950C0000}"/>
    <cellStyle name="Heading 1 25" xfId="3259" xr:uid="{00000000-0005-0000-0000-0000960C0000}"/>
    <cellStyle name="Heading 1 26" xfId="3260" xr:uid="{00000000-0005-0000-0000-0000970C0000}"/>
    <cellStyle name="Heading 1 27" xfId="3261" xr:uid="{00000000-0005-0000-0000-0000980C0000}"/>
    <cellStyle name="Heading 1 28" xfId="3262" xr:uid="{00000000-0005-0000-0000-0000990C0000}"/>
    <cellStyle name="Heading 1 29" xfId="3263" xr:uid="{00000000-0005-0000-0000-00009A0C0000}"/>
    <cellStyle name="Heading 1 3" xfId="3264" xr:uid="{00000000-0005-0000-0000-00009B0C0000}"/>
    <cellStyle name="Heading 1 3 2" xfId="3265" xr:uid="{00000000-0005-0000-0000-00009C0C0000}"/>
    <cellStyle name="Heading 1 3 3" xfId="3266" xr:uid="{00000000-0005-0000-0000-00009D0C0000}"/>
    <cellStyle name="Heading 1 30" xfId="3267" xr:uid="{00000000-0005-0000-0000-00009E0C0000}"/>
    <cellStyle name="Heading 1 31" xfId="3268" xr:uid="{00000000-0005-0000-0000-00009F0C0000}"/>
    <cellStyle name="Heading 1 32" xfId="3269" xr:uid="{00000000-0005-0000-0000-0000A00C0000}"/>
    <cellStyle name="Heading 1 33" xfId="3270" xr:uid="{00000000-0005-0000-0000-0000A10C0000}"/>
    <cellStyle name="Heading 1 34" xfId="3271" xr:uid="{00000000-0005-0000-0000-0000A20C0000}"/>
    <cellStyle name="Heading 1 4" xfId="3272" xr:uid="{00000000-0005-0000-0000-0000A30C0000}"/>
    <cellStyle name="Heading 1 4 2" xfId="3273" xr:uid="{00000000-0005-0000-0000-0000A40C0000}"/>
    <cellStyle name="Heading 1 4 3" xfId="3274" xr:uid="{00000000-0005-0000-0000-0000A50C0000}"/>
    <cellStyle name="Heading 1 5" xfId="3275" xr:uid="{00000000-0005-0000-0000-0000A60C0000}"/>
    <cellStyle name="Heading 1 5 2" xfId="3276" xr:uid="{00000000-0005-0000-0000-0000A70C0000}"/>
    <cellStyle name="Heading 1 5 3" xfId="3277" xr:uid="{00000000-0005-0000-0000-0000A80C0000}"/>
    <cellStyle name="Heading 1 6" xfId="3278" xr:uid="{00000000-0005-0000-0000-0000A90C0000}"/>
    <cellStyle name="Heading 1 6 2" xfId="3279" xr:uid="{00000000-0005-0000-0000-0000AA0C0000}"/>
    <cellStyle name="Heading 1 6 3" xfId="3280" xr:uid="{00000000-0005-0000-0000-0000AB0C0000}"/>
    <cellStyle name="Heading 1 7" xfId="3281" xr:uid="{00000000-0005-0000-0000-0000AC0C0000}"/>
    <cellStyle name="Heading 1 7 2" xfId="3282" xr:uid="{00000000-0005-0000-0000-0000AD0C0000}"/>
    <cellStyle name="Heading 1 7 3" xfId="3283" xr:uid="{00000000-0005-0000-0000-0000AE0C0000}"/>
    <cellStyle name="Heading 1 8" xfId="3284" xr:uid="{00000000-0005-0000-0000-0000AF0C0000}"/>
    <cellStyle name="Heading 1 8 2" xfId="3285" xr:uid="{00000000-0005-0000-0000-0000B00C0000}"/>
    <cellStyle name="Heading 1 8 3" xfId="3286" xr:uid="{00000000-0005-0000-0000-0000B10C0000}"/>
    <cellStyle name="Heading 1 9" xfId="3287" xr:uid="{00000000-0005-0000-0000-0000B20C0000}"/>
    <cellStyle name="Heading 1 9 2" xfId="3288" xr:uid="{00000000-0005-0000-0000-0000B30C0000}"/>
    <cellStyle name="Heading 1 9 3" xfId="3289" xr:uid="{00000000-0005-0000-0000-0000B40C0000}"/>
    <cellStyle name="Heading 2 10" xfId="3290" xr:uid="{00000000-0005-0000-0000-0000B50C0000}"/>
    <cellStyle name="Heading 2 10 2" xfId="3291" xr:uid="{00000000-0005-0000-0000-0000B60C0000}"/>
    <cellStyle name="Heading 2 10 3" xfId="3292" xr:uid="{00000000-0005-0000-0000-0000B70C0000}"/>
    <cellStyle name="Heading 2 11" xfId="3293" xr:uid="{00000000-0005-0000-0000-0000B80C0000}"/>
    <cellStyle name="Heading 2 11 2" xfId="3294" xr:uid="{00000000-0005-0000-0000-0000B90C0000}"/>
    <cellStyle name="Heading 2 11 3" xfId="3295" xr:uid="{00000000-0005-0000-0000-0000BA0C0000}"/>
    <cellStyle name="Heading 2 12" xfId="3296" xr:uid="{00000000-0005-0000-0000-0000BB0C0000}"/>
    <cellStyle name="Heading 2 12 2" xfId="3297" xr:uid="{00000000-0005-0000-0000-0000BC0C0000}"/>
    <cellStyle name="Heading 2 12 3" xfId="3298" xr:uid="{00000000-0005-0000-0000-0000BD0C0000}"/>
    <cellStyle name="Heading 2 13" xfId="3299" xr:uid="{00000000-0005-0000-0000-0000BE0C0000}"/>
    <cellStyle name="Heading 2 13 2" xfId="3300" xr:uid="{00000000-0005-0000-0000-0000BF0C0000}"/>
    <cellStyle name="Heading 2 13 3" xfId="3301" xr:uid="{00000000-0005-0000-0000-0000C00C0000}"/>
    <cellStyle name="Heading 2 14" xfId="3302" xr:uid="{00000000-0005-0000-0000-0000C10C0000}"/>
    <cellStyle name="Heading 2 14 2" xfId="3303" xr:uid="{00000000-0005-0000-0000-0000C20C0000}"/>
    <cellStyle name="Heading 2 14 3" xfId="3304" xr:uid="{00000000-0005-0000-0000-0000C30C0000}"/>
    <cellStyle name="Heading 2 15" xfId="3305" xr:uid="{00000000-0005-0000-0000-0000C40C0000}"/>
    <cellStyle name="Heading 2 15 2" xfId="3306" xr:uid="{00000000-0005-0000-0000-0000C50C0000}"/>
    <cellStyle name="Heading 2 15 3" xfId="3307" xr:uid="{00000000-0005-0000-0000-0000C60C0000}"/>
    <cellStyle name="Heading 2 15 4" xfId="3308" xr:uid="{00000000-0005-0000-0000-0000C70C0000}"/>
    <cellStyle name="Heading 2 15 5" xfId="3309" xr:uid="{00000000-0005-0000-0000-0000C80C0000}"/>
    <cellStyle name="Heading 2 15 6" xfId="3310" xr:uid="{00000000-0005-0000-0000-0000C90C0000}"/>
    <cellStyle name="Heading 2 15 7" xfId="3311" xr:uid="{00000000-0005-0000-0000-0000CA0C0000}"/>
    <cellStyle name="Heading 2 16" xfId="3312" xr:uid="{00000000-0005-0000-0000-0000CB0C0000}"/>
    <cellStyle name="Heading 2 17" xfId="3313" xr:uid="{00000000-0005-0000-0000-0000CC0C0000}"/>
    <cellStyle name="Heading 2 18" xfId="3314" xr:uid="{00000000-0005-0000-0000-0000CD0C0000}"/>
    <cellStyle name="Heading 2 19" xfId="3315" xr:uid="{00000000-0005-0000-0000-0000CE0C0000}"/>
    <cellStyle name="Heading 2 2" xfId="3316" xr:uid="{00000000-0005-0000-0000-0000CF0C0000}"/>
    <cellStyle name="Heading 2 2 10" xfId="3317" xr:uid="{00000000-0005-0000-0000-0000D00C0000}"/>
    <cellStyle name="Heading 2 2 11" xfId="3318" xr:uid="{00000000-0005-0000-0000-0000D10C0000}"/>
    <cellStyle name="Heading 2 2 12" xfId="3319" xr:uid="{00000000-0005-0000-0000-0000D20C0000}"/>
    <cellStyle name="Heading 2 2 13" xfId="3320" xr:uid="{00000000-0005-0000-0000-0000D30C0000}"/>
    <cellStyle name="Heading 2 2 14" xfId="3321" xr:uid="{00000000-0005-0000-0000-0000D40C0000}"/>
    <cellStyle name="Heading 2 2 15" xfId="3322" xr:uid="{00000000-0005-0000-0000-0000D50C0000}"/>
    <cellStyle name="Heading 2 2 16" xfId="3323" xr:uid="{00000000-0005-0000-0000-0000D60C0000}"/>
    <cellStyle name="Heading 2 2 17" xfId="3324" xr:uid="{00000000-0005-0000-0000-0000D70C0000}"/>
    <cellStyle name="Heading 2 2 18" xfId="3325" xr:uid="{00000000-0005-0000-0000-0000D80C0000}"/>
    <cellStyle name="Heading 2 2 19" xfId="3326" xr:uid="{00000000-0005-0000-0000-0000D90C0000}"/>
    <cellStyle name="Heading 2 2 2" xfId="3327" xr:uid="{00000000-0005-0000-0000-0000DA0C0000}"/>
    <cellStyle name="Heading 2 2 20" xfId="3328" xr:uid="{00000000-0005-0000-0000-0000DB0C0000}"/>
    <cellStyle name="Heading 2 2 21" xfId="3329" xr:uid="{00000000-0005-0000-0000-0000DC0C0000}"/>
    <cellStyle name="Heading 2 2 3" xfId="3330" xr:uid="{00000000-0005-0000-0000-0000DD0C0000}"/>
    <cellStyle name="Heading 2 2 4" xfId="3331" xr:uid="{00000000-0005-0000-0000-0000DE0C0000}"/>
    <cellStyle name="Heading 2 2 5" xfId="3332" xr:uid="{00000000-0005-0000-0000-0000DF0C0000}"/>
    <cellStyle name="Heading 2 2 6" xfId="3333" xr:uid="{00000000-0005-0000-0000-0000E00C0000}"/>
    <cellStyle name="Heading 2 2 7" xfId="3334" xr:uid="{00000000-0005-0000-0000-0000E10C0000}"/>
    <cellStyle name="Heading 2 2 8" xfId="3335" xr:uid="{00000000-0005-0000-0000-0000E20C0000}"/>
    <cellStyle name="Heading 2 2 9" xfId="3336" xr:uid="{00000000-0005-0000-0000-0000E30C0000}"/>
    <cellStyle name="Heading 2 20" xfId="3337" xr:uid="{00000000-0005-0000-0000-0000E40C0000}"/>
    <cellStyle name="Heading 2 21" xfId="3338" xr:uid="{00000000-0005-0000-0000-0000E50C0000}"/>
    <cellStyle name="Heading 2 22" xfId="3339" xr:uid="{00000000-0005-0000-0000-0000E60C0000}"/>
    <cellStyle name="Heading 2 23" xfId="3340" xr:uid="{00000000-0005-0000-0000-0000E70C0000}"/>
    <cellStyle name="Heading 2 24" xfId="3341" xr:uid="{00000000-0005-0000-0000-0000E80C0000}"/>
    <cellStyle name="Heading 2 25" xfId="3342" xr:uid="{00000000-0005-0000-0000-0000E90C0000}"/>
    <cellStyle name="Heading 2 26" xfId="3343" xr:uid="{00000000-0005-0000-0000-0000EA0C0000}"/>
    <cellStyle name="Heading 2 27" xfId="3344" xr:uid="{00000000-0005-0000-0000-0000EB0C0000}"/>
    <cellStyle name="Heading 2 28" xfId="3345" xr:uid="{00000000-0005-0000-0000-0000EC0C0000}"/>
    <cellStyle name="Heading 2 29" xfId="3346" xr:uid="{00000000-0005-0000-0000-0000ED0C0000}"/>
    <cellStyle name="Heading 2 3" xfId="3347" xr:uid="{00000000-0005-0000-0000-0000EE0C0000}"/>
    <cellStyle name="Heading 2 3 2" xfId="3348" xr:uid="{00000000-0005-0000-0000-0000EF0C0000}"/>
    <cellStyle name="Heading 2 3 3" xfId="3349" xr:uid="{00000000-0005-0000-0000-0000F00C0000}"/>
    <cellStyle name="Heading 2 30" xfId="3350" xr:uid="{00000000-0005-0000-0000-0000F10C0000}"/>
    <cellStyle name="Heading 2 31" xfId="3351" xr:uid="{00000000-0005-0000-0000-0000F20C0000}"/>
    <cellStyle name="Heading 2 32" xfId="3352" xr:uid="{00000000-0005-0000-0000-0000F30C0000}"/>
    <cellStyle name="Heading 2 33" xfId="3353" xr:uid="{00000000-0005-0000-0000-0000F40C0000}"/>
    <cellStyle name="Heading 2 34" xfId="3354" xr:uid="{00000000-0005-0000-0000-0000F50C0000}"/>
    <cellStyle name="Heading 2 4" xfId="3355" xr:uid="{00000000-0005-0000-0000-0000F60C0000}"/>
    <cellStyle name="Heading 2 4 2" xfId="3356" xr:uid="{00000000-0005-0000-0000-0000F70C0000}"/>
    <cellStyle name="Heading 2 4 3" xfId="3357" xr:uid="{00000000-0005-0000-0000-0000F80C0000}"/>
    <cellStyle name="Heading 2 5" xfId="3358" xr:uid="{00000000-0005-0000-0000-0000F90C0000}"/>
    <cellStyle name="Heading 2 5 2" xfId="3359" xr:uid="{00000000-0005-0000-0000-0000FA0C0000}"/>
    <cellStyle name="Heading 2 5 3" xfId="3360" xr:uid="{00000000-0005-0000-0000-0000FB0C0000}"/>
    <cellStyle name="Heading 2 6" xfId="3361" xr:uid="{00000000-0005-0000-0000-0000FC0C0000}"/>
    <cellStyle name="Heading 2 6 2" xfId="3362" xr:uid="{00000000-0005-0000-0000-0000FD0C0000}"/>
    <cellStyle name="Heading 2 6 3" xfId="3363" xr:uid="{00000000-0005-0000-0000-0000FE0C0000}"/>
    <cellStyle name="Heading 2 7" xfId="3364" xr:uid="{00000000-0005-0000-0000-0000FF0C0000}"/>
    <cellStyle name="Heading 2 7 2" xfId="3365" xr:uid="{00000000-0005-0000-0000-0000000D0000}"/>
    <cellStyle name="Heading 2 7 3" xfId="3366" xr:uid="{00000000-0005-0000-0000-0000010D0000}"/>
    <cellStyle name="Heading 2 8" xfId="3367" xr:uid="{00000000-0005-0000-0000-0000020D0000}"/>
    <cellStyle name="Heading 2 8 2" xfId="3368" xr:uid="{00000000-0005-0000-0000-0000030D0000}"/>
    <cellStyle name="Heading 2 8 3" xfId="3369" xr:uid="{00000000-0005-0000-0000-0000040D0000}"/>
    <cellStyle name="Heading 2 9" xfId="3370" xr:uid="{00000000-0005-0000-0000-0000050D0000}"/>
    <cellStyle name="Heading 2 9 2" xfId="3371" xr:uid="{00000000-0005-0000-0000-0000060D0000}"/>
    <cellStyle name="Heading 2 9 3" xfId="3372" xr:uid="{00000000-0005-0000-0000-0000070D0000}"/>
    <cellStyle name="Heading 3 10" xfId="3373" xr:uid="{00000000-0005-0000-0000-0000080D0000}"/>
    <cellStyle name="Heading 3 10 2" xfId="3374" xr:uid="{00000000-0005-0000-0000-0000090D0000}"/>
    <cellStyle name="Heading 3 10 3" xfId="3375" xr:uid="{00000000-0005-0000-0000-00000A0D0000}"/>
    <cellStyle name="Heading 3 11" xfId="3376" xr:uid="{00000000-0005-0000-0000-00000B0D0000}"/>
    <cellStyle name="Heading 3 11 2" xfId="3377" xr:uid="{00000000-0005-0000-0000-00000C0D0000}"/>
    <cellStyle name="Heading 3 11 3" xfId="3378" xr:uid="{00000000-0005-0000-0000-00000D0D0000}"/>
    <cellStyle name="Heading 3 12" xfId="3379" xr:uid="{00000000-0005-0000-0000-00000E0D0000}"/>
    <cellStyle name="Heading 3 12 2" xfId="3380" xr:uid="{00000000-0005-0000-0000-00000F0D0000}"/>
    <cellStyle name="Heading 3 12 3" xfId="3381" xr:uid="{00000000-0005-0000-0000-0000100D0000}"/>
    <cellStyle name="Heading 3 13" xfId="3382" xr:uid="{00000000-0005-0000-0000-0000110D0000}"/>
    <cellStyle name="Heading 3 13 2" xfId="3383" xr:uid="{00000000-0005-0000-0000-0000120D0000}"/>
    <cellStyle name="Heading 3 13 3" xfId="3384" xr:uid="{00000000-0005-0000-0000-0000130D0000}"/>
    <cellStyle name="Heading 3 14" xfId="3385" xr:uid="{00000000-0005-0000-0000-0000140D0000}"/>
    <cellStyle name="Heading 3 14 2" xfId="3386" xr:uid="{00000000-0005-0000-0000-0000150D0000}"/>
    <cellStyle name="Heading 3 14 3" xfId="3387" xr:uid="{00000000-0005-0000-0000-0000160D0000}"/>
    <cellStyle name="Heading 3 15" xfId="3388" xr:uid="{00000000-0005-0000-0000-0000170D0000}"/>
    <cellStyle name="Heading 3 15 2" xfId="3389" xr:uid="{00000000-0005-0000-0000-0000180D0000}"/>
    <cellStyle name="Heading 3 15 3" xfId="3390" xr:uid="{00000000-0005-0000-0000-0000190D0000}"/>
    <cellStyle name="Heading 3 15 4" xfId="3391" xr:uid="{00000000-0005-0000-0000-00001A0D0000}"/>
    <cellStyle name="Heading 3 15 5" xfId="3392" xr:uid="{00000000-0005-0000-0000-00001B0D0000}"/>
    <cellStyle name="Heading 3 15 6" xfId="3393" xr:uid="{00000000-0005-0000-0000-00001C0D0000}"/>
    <cellStyle name="Heading 3 15 7" xfId="3394" xr:uid="{00000000-0005-0000-0000-00001D0D0000}"/>
    <cellStyle name="Heading 3 16" xfId="3395" xr:uid="{00000000-0005-0000-0000-00001E0D0000}"/>
    <cellStyle name="Heading 3 17" xfId="3396" xr:uid="{00000000-0005-0000-0000-00001F0D0000}"/>
    <cellStyle name="Heading 3 18" xfId="3397" xr:uid="{00000000-0005-0000-0000-0000200D0000}"/>
    <cellStyle name="Heading 3 19" xfId="3398" xr:uid="{00000000-0005-0000-0000-0000210D0000}"/>
    <cellStyle name="Heading 3 2" xfId="46" xr:uid="{00000000-0005-0000-0000-0000220D0000}"/>
    <cellStyle name="Heading 3 2 10" xfId="3400" xr:uid="{00000000-0005-0000-0000-0000230D0000}"/>
    <cellStyle name="Heading 3 2 11" xfId="3401" xr:uid="{00000000-0005-0000-0000-0000240D0000}"/>
    <cellStyle name="Heading 3 2 12" xfId="3402" xr:uid="{00000000-0005-0000-0000-0000250D0000}"/>
    <cellStyle name="Heading 3 2 13" xfId="3403" xr:uid="{00000000-0005-0000-0000-0000260D0000}"/>
    <cellStyle name="Heading 3 2 14" xfId="3404" xr:uid="{00000000-0005-0000-0000-0000270D0000}"/>
    <cellStyle name="Heading 3 2 15" xfId="3399" xr:uid="{00000000-0005-0000-0000-0000280D0000}"/>
    <cellStyle name="Heading 3 2 2" xfId="3405" xr:uid="{00000000-0005-0000-0000-0000290D0000}"/>
    <cellStyle name="Heading 3 2 3" xfId="3406" xr:uid="{00000000-0005-0000-0000-00002A0D0000}"/>
    <cellStyle name="Heading 3 2 4" xfId="3407" xr:uid="{00000000-0005-0000-0000-00002B0D0000}"/>
    <cellStyle name="Heading 3 2 5" xfId="3408" xr:uid="{00000000-0005-0000-0000-00002C0D0000}"/>
    <cellStyle name="Heading 3 2 6" xfId="3409" xr:uid="{00000000-0005-0000-0000-00002D0D0000}"/>
    <cellStyle name="Heading 3 2 7" xfId="3410" xr:uid="{00000000-0005-0000-0000-00002E0D0000}"/>
    <cellStyle name="Heading 3 2 8" xfId="3411" xr:uid="{00000000-0005-0000-0000-00002F0D0000}"/>
    <cellStyle name="Heading 3 2 9" xfId="3412" xr:uid="{00000000-0005-0000-0000-0000300D0000}"/>
    <cellStyle name="Heading 3 20" xfId="3413" xr:uid="{00000000-0005-0000-0000-0000310D0000}"/>
    <cellStyle name="Heading 3 21" xfId="3414" xr:uid="{00000000-0005-0000-0000-0000320D0000}"/>
    <cellStyle name="Heading 3 22" xfId="3415" xr:uid="{00000000-0005-0000-0000-0000330D0000}"/>
    <cellStyle name="Heading 3 23" xfId="3416" xr:uid="{00000000-0005-0000-0000-0000340D0000}"/>
    <cellStyle name="Heading 3 24" xfId="3417" xr:uid="{00000000-0005-0000-0000-0000350D0000}"/>
    <cellStyle name="Heading 3 25" xfId="3418" xr:uid="{00000000-0005-0000-0000-0000360D0000}"/>
    <cellStyle name="Heading 3 26" xfId="3419" xr:uid="{00000000-0005-0000-0000-0000370D0000}"/>
    <cellStyle name="Heading 3 27" xfId="3420" xr:uid="{00000000-0005-0000-0000-0000380D0000}"/>
    <cellStyle name="Heading 3 28" xfId="3421" xr:uid="{00000000-0005-0000-0000-0000390D0000}"/>
    <cellStyle name="Heading 3 29" xfId="3422" xr:uid="{00000000-0005-0000-0000-00003A0D0000}"/>
    <cellStyle name="Heading 3 3" xfId="3423" xr:uid="{00000000-0005-0000-0000-00003B0D0000}"/>
    <cellStyle name="Heading 3 3 2" xfId="3424" xr:uid="{00000000-0005-0000-0000-00003C0D0000}"/>
    <cellStyle name="Heading 3 3 3" xfId="3425" xr:uid="{00000000-0005-0000-0000-00003D0D0000}"/>
    <cellStyle name="Heading 3 30" xfId="3426" xr:uid="{00000000-0005-0000-0000-00003E0D0000}"/>
    <cellStyle name="Heading 3 31" xfId="3427" xr:uid="{00000000-0005-0000-0000-00003F0D0000}"/>
    <cellStyle name="Heading 3 32" xfId="3428" xr:uid="{00000000-0005-0000-0000-0000400D0000}"/>
    <cellStyle name="Heading 3 33" xfId="3429" xr:uid="{00000000-0005-0000-0000-0000410D0000}"/>
    <cellStyle name="Heading 3 34" xfId="3430" xr:uid="{00000000-0005-0000-0000-0000420D0000}"/>
    <cellStyle name="Heading 3 4" xfId="3431" xr:uid="{00000000-0005-0000-0000-0000430D0000}"/>
    <cellStyle name="Heading 3 4 2" xfId="3432" xr:uid="{00000000-0005-0000-0000-0000440D0000}"/>
    <cellStyle name="Heading 3 4 3" xfId="3433" xr:uid="{00000000-0005-0000-0000-0000450D0000}"/>
    <cellStyle name="Heading 3 5" xfId="3434" xr:uid="{00000000-0005-0000-0000-0000460D0000}"/>
    <cellStyle name="Heading 3 5 2" xfId="3435" xr:uid="{00000000-0005-0000-0000-0000470D0000}"/>
    <cellStyle name="Heading 3 5 3" xfId="3436" xr:uid="{00000000-0005-0000-0000-0000480D0000}"/>
    <cellStyle name="Heading 3 6" xfId="3437" xr:uid="{00000000-0005-0000-0000-0000490D0000}"/>
    <cellStyle name="Heading 3 6 2" xfId="3438" xr:uid="{00000000-0005-0000-0000-00004A0D0000}"/>
    <cellStyle name="Heading 3 6 3" xfId="3439" xr:uid="{00000000-0005-0000-0000-00004B0D0000}"/>
    <cellStyle name="Heading 3 7" xfId="3440" xr:uid="{00000000-0005-0000-0000-00004C0D0000}"/>
    <cellStyle name="Heading 3 7 2" xfId="3441" xr:uid="{00000000-0005-0000-0000-00004D0D0000}"/>
    <cellStyle name="Heading 3 7 3" xfId="3442" xr:uid="{00000000-0005-0000-0000-00004E0D0000}"/>
    <cellStyle name="Heading 3 8" xfId="3443" xr:uid="{00000000-0005-0000-0000-00004F0D0000}"/>
    <cellStyle name="Heading 3 8 2" xfId="3444" xr:uid="{00000000-0005-0000-0000-0000500D0000}"/>
    <cellStyle name="Heading 3 8 3" xfId="3445" xr:uid="{00000000-0005-0000-0000-0000510D0000}"/>
    <cellStyle name="Heading 3 9" xfId="3446" xr:uid="{00000000-0005-0000-0000-0000520D0000}"/>
    <cellStyle name="Heading 3 9 2" xfId="3447" xr:uid="{00000000-0005-0000-0000-0000530D0000}"/>
    <cellStyle name="Heading 3 9 3" xfId="3448" xr:uid="{00000000-0005-0000-0000-0000540D0000}"/>
    <cellStyle name="Heading 4 10" xfId="3449" xr:uid="{00000000-0005-0000-0000-0000550D0000}"/>
    <cellStyle name="Heading 4 10 2" xfId="3450" xr:uid="{00000000-0005-0000-0000-0000560D0000}"/>
    <cellStyle name="Heading 4 10 3" xfId="3451" xr:uid="{00000000-0005-0000-0000-0000570D0000}"/>
    <cellStyle name="Heading 4 11" xfId="3452" xr:uid="{00000000-0005-0000-0000-0000580D0000}"/>
    <cellStyle name="Heading 4 11 2" xfId="3453" xr:uid="{00000000-0005-0000-0000-0000590D0000}"/>
    <cellStyle name="Heading 4 11 3" xfId="3454" xr:uid="{00000000-0005-0000-0000-00005A0D0000}"/>
    <cellStyle name="Heading 4 12" xfId="3455" xr:uid="{00000000-0005-0000-0000-00005B0D0000}"/>
    <cellStyle name="Heading 4 12 2" xfId="3456" xr:uid="{00000000-0005-0000-0000-00005C0D0000}"/>
    <cellStyle name="Heading 4 12 3" xfId="3457" xr:uid="{00000000-0005-0000-0000-00005D0D0000}"/>
    <cellStyle name="Heading 4 13" xfId="3458" xr:uid="{00000000-0005-0000-0000-00005E0D0000}"/>
    <cellStyle name="Heading 4 13 2" xfId="3459" xr:uid="{00000000-0005-0000-0000-00005F0D0000}"/>
    <cellStyle name="Heading 4 13 3" xfId="3460" xr:uid="{00000000-0005-0000-0000-0000600D0000}"/>
    <cellStyle name="Heading 4 14" xfId="3461" xr:uid="{00000000-0005-0000-0000-0000610D0000}"/>
    <cellStyle name="Heading 4 14 2" xfId="3462" xr:uid="{00000000-0005-0000-0000-0000620D0000}"/>
    <cellStyle name="Heading 4 14 3" xfId="3463" xr:uid="{00000000-0005-0000-0000-0000630D0000}"/>
    <cellStyle name="Heading 4 15" xfId="3464" xr:uid="{00000000-0005-0000-0000-0000640D0000}"/>
    <cellStyle name="Heading 4 15 2" xfId="3465" xr:uid="{00000000-0005-0000-0000-0000650D0000}"/>
    <cellStyle name="Heading 4 15 3" xfId="3466" xr:uid="{00000000-0005-0000-0000-0000660D0000}"/>
    <cellStyle name="Heading 4 15 4" xfId="3467" xr:uid="{00000000-0005-0000-0000-0000670D0000}"/>
    <cellStyle name="Heading 4 15 5" xfId="3468" xr:uid="{00000000-0005-0000-0000-0000680D0000}"/>
    <cellStyle name="Heading 4 15 6" xfId="3469" xr:uid="{00000000-0005-0000-0000-0000690D0000}"/>
    <cellStyle name="Heading 4 15 7" xfId="3470" xr:uid="{00000000-0005-0000-0000-00006A0D0000}"/>
    <cellStyle name="Heading 4 16" xfId="3471" xr:uid="{00000000-0005-0000-0000-00006B0D0000}"/>
    <cellStyle name="Heading 4 17" xfId="3472" xr:uid="{00000000-0005-0000-0000-00006C0D0000}"/>
    <cellStyle name="Heading 4 18" xfId="3473" xr:uid="{00000000-0005-0000-0000-00006D0D0000}"/>
    <cellStyle name="Heading 4 19" xfId="3474" xr:uid="{00000000-0005-0000-0000-00006E0D0000}"/>
    <cellStyle name="Heading 4 2" xfId="3475" xr:uid="{00000000-0005-0000-0000-00006F0D0000}"/>
    <cellStyle name="Heading 4 2 10" xfId="3476" xr:uid="{00000000-0005-0000-0000-0000700D0000}"/>
    <cellStyle name="Heading 4 2 11" xfId="3477" xr:uid="{00000000-0005-0000-0000-0000710D0000}"/>
    <cellStyle name="Heading 4 2 12" xfId="3478" xr:uid="{00000000-0005-0000-0000-0000720D0000}"/>
    <cellStyle name="Heading 4 2 13" xfId="3479" xr:uid="{00000000-0005-0000-0000-0000730D0000}"/>
    <cellStyle name="Heading 4 2 14" xfId="3480" xr:uid="{00000000-0005-0000-0000-0000740D0000}"/>
    <cellStyle name="Heading 4 2 2" xfId="3481" xr:uid="{00000000-0005-0000-0000-0000750D0000}"/>
    <cellStyle name="Heading 4 2 3" xfId="3482" xr:uid="{00000000-0005-0000-0000-0000760D0000}"/>
    <cellStyle name="Heading 4 2 4" xfId="3483" xr:uid="{00000000-0005-0000-0000-0000770D0000}"/>
    <cellStyle name="Heading 4 2 5" xfId="3484" xr:uid="{00000000-0005-0000-0000-0000780D0000}"/>
    <cellStyle name="Heading 4 2 6" xfId="3485" xr:uid="{00000000-0005-0000-0000-0000790D0000}"/>
    <cellStyle name="Heading 4 2 7" xfId="3486" xr:uid="{00000000-0005-0000-0000-00007A0D0000}"/>
    <cellStyle name="Heading 4 2 8" xfId="3487" xr:uid="{00000000-0005-0000-0000-00007B0D0000}"/>
    <cellStyle name="Heading 4 2 9" xfId="3488" xr:uid="{00000000-0005-0000-0000-00007C0D0000}"/>
    <cellStyle name="Heading 4 20" xfId="3489" xr:uid="{00000000-0005-0000-0000-00007D0D0000}"/>
    <cellStyle name="Heading 4 21" xfId="3490" xr:uid="{00000000-0005-0000-0000-00007E0D0000}"/>
    <cellStyle name="Heading 4 22" xfId="3491" xr:uid="{00000000-0005-0000-0000-00007F0D0000}"/>
    <cellStyle name="Heading 4 23" xfId="3492" xr:uid="{00000000-0005-0000-0000-0000800D0000}"/>
    <cellStyle name="Heading 4 24" xfId="3493" xr:uid="{00000000-0005-0000-0000-0000810D0000}"/>
    <cellStyle name="Heading 4 25" xfId="3494" xr:uid="{00000000-0005-0000-0000-0000820D0000}"/>
    <cellStyle name="Heading 4 26" xfId="3495" xr:uid="{00000000-0005-0000-0000-0000830D0000}"/>
    <cellStyle name="Heading 4 27" xfId="3496" xr:uid="{00000000-0005-0000-0000-0000840D0000}"/>
    <cellStyle name="Heading 4 28" xfId="3497" xr:uid="{00000000-0005-0000-0000-0000850D0000}"/>
    <cellStyle name="Heading 4 29" xfId="3498" xr:uid="{00000000-0005-0000-0000-0000860D0000}"/>
    <cellStyle name="Heading 4 3" xfId="3499" xr:uid="{00000000-0005-0000-0000-0000870D0000}"/>
    <cellStyle name="Heading 4 3 2" xfId="3500" xr:uid="{00000000-0005-0000-0000-0000880D0000}"/>
    <cellStyle name="Heading 4 3 3" xfId="3501" xr:uid="{00000000-0005-0000-0000-0000890D0000}"/>
    <cellStyle name="Heading 4 30" xfId="3502" xr:uid="{00000000-0005-0000-0000-00008A0D0000}"/>
    <cellStyle name="Heading 4 31" xfId="3503" xr:uid="{00000000-0005-0000-0000-00008B0D0000}"/>
    <cellStyle name="Heading 4 32" xfId="3504" xr:uid="{00000000-0005-0000-0000-00008C0D0000}"/>
    <cellStyle name="Heading 4 33" xfId="3505" xr:uid="{00000000-0005-0000-0000-00008D0D0000}"/>
    <cellStyle name="Heading 4 34" xfId="3506" xr:uid="{00000000-0005-0000-0000-00008E0D0000}"/>
    <cellStyle name="Heading 4 4" xfId="3507" xr:uid="{00000000-0005-0000-0000-00008F0D0000}"/>
    <cellStyle name="Heading 4 4 2" xfId="3508" xr:uid="{00000000-0005-0000-0000-0000900D0000}"/>
    <cellStyle name="Heading 4 4 3" xfId="3509" xr:uid="{00000000-0005-0000-0000-0000910D0000}"/>
    <cellStyle name="Heading 4 5" xfId="3510" xr:uid="{00000000-0005-0000-0000-0000920D0000}"/>
    <cellStyle name="Heading 4 5 2" xfId="3511" xr:uid="{00000000-0005-0000-0000-0000930D0000}"/>
    <cellStyle name="Heading 4 5 3" xfId="3512" xr:uid="{00000000-0005-0000-0000-0000940D0000}"/>
    <cellStyle name="Heading 4 6" xfId="3513" xr:uid="{00000000-0005-0000-0000-0000950D0000}"/>
    <cellStyle name="Heading 4 6 2" xfId="3514" xr:uid="{00000000-0005-0000-0000-0000960D0000}"/>
    <cellStyle name="Heading 4 6 3" xfId="3515" xr:uid="{00000000-0005-0000-0000-0000970D0000}"/>
    <cellStyle name="Heading 4 7" xfId="3516" xr:uid="{00000000-0005-0000-0000-0000980D0000}"/>
    <cellStyle name="Heading 4 7 2" xfId="3517" xr:uid="{00000000-0005-0000-0000-0000990D0000}"/>
    <cellStyle name="Heading 4 7 3" xfId="3518" xr:uid="{00000000-0005-0000-0000-00009A0D0000}"/>
    <cellStyle name="Heading 4 8" xfId="3519" xr:uid="{00000000-0005-0000-0000-00009B0D0000}"/>
    <cellStyle name="Heading 4 8 2" xfId="3520" xr:uid="{00000000-0005-0000-0000-00009C0D0000}"/>
    <cellStyle name="Heading 4 8 3" xfId="3521" xr:uid="{00000000-0005-0000-0000-00009D0D0000}"/>
    <cellStyle name="Heading 4 9" xfId="3522" xr:uid="{00000000-0005-0000-0000-00009E0D0000}"/>
    <cellStyle name="Heading 4 9 2" xfId="3523" xr:uid="{00000000-0005-0000-0000-00009F0D0000}"/>
    <cellStyle name="Heading 4 9 3" xfId="3524" xr:uid="{00000000-0005-0000-0000-0000A00D0000}"/>
    <cellStyle name="Hyperlink" xfId="1" builtinId="8"/>
    <cellStyle name="Hyperlink 2" xfId="23" xr:uid="{00000000-0005-0000-0000-0000A20D0000}"/>
    <cellStyle name="Hyperlink 2 2" xfId="3525" xr:uid="{00000000-0005-0000-0000-0000A30D0000}"/>
    <cellStyle name="Hyperlink 3" xfId="24" xr:uid="{00000000-0005-0000-0000-0000A40D0000}"/>
    <cellStyle name="Hyperlink 3 2" xfId="3526" xr:uid="{00000000-0005-0000-0000-0000A50D0000}"/>
    <cellStyle name="Input 10" xfId="3527" xr:uid="{00000000-0005-0000-0000-0000A60D0000}"/>
    <cellStyle name="Input 10 2" xfId="3528" xr:uid="{00000000-0005-0000-0000-0000A70D0000}"/>
    <cellStyle name="Input 10 3" xfId="3529" xr:uid="{00000000-0005-0000-0000-0000A80D0000}"/>
    <cellStyle name="Input 11" xfId="3530" xr:uid="{00000000-0005-0000-0000-0000A90D0000}"/>
    <cellStyle name="Input 11 2" xfId="3531" xr:uid="{00000000-0005-0000-0000-0000AA0D0000}"/>
    <cellStyle name="Input 11 3" xfId="3532" xr:uid="{00000000-0005-0000-0000-0000AB0D0000}"/>
    <cellStyle name="Input 12" xfId="3533" xr:uid="{00000000-0005-0000-0000-0000AC0D0000}"/>
    <cellStyle name="Input 12 2" xfId="3534" xr:uid="{00000000-0005-0000-0000-0000AD0D0000}"/>
    <cellStyle name="Input 12 3" xfId="3535" xr:uid="{00000000-0005-0000-0000-0000AE0D0000}"/>
    <cellStyle name="Input 13" xfId="3536" xr:uid="{00000000-0005-0000-0000-0000AF0D0000}"/>
    <cellStyle name="Input 13 2" xfId="3537" xr:uid="{00000000-0005-0000-0000-0000B00D0000}"/>
    <cellStyle name="Input 13 3" xfId="3538" xr:uid="{00000000-0005-0000-0000-0000B10D0000}"/>
    <cellStyle name="Input 14" xfId="3539" xr:uid="{00000000-0005-0000-0000-0000B20D0000}"/>
    <cellStyle name="Input 14 2" xfId="3540" xr:uid="{00000000-0005-0000-0000-0000B30D0000}"/>
    <cellStyle name="Input 14 3" xfId="3541" xr:uid="{00000000-0005-0000-0000-0000B40D0000}"/>
    <cellStyle name="Input 15" xfId="3542" xr:uid="{00000000-0005-0000-0000-0000B50D0000}"/>
    <cellStyle name="Input 15 2" xfId="3543" xr:uid="{00000000-0005-0000-0000-0000B60D0000}"/>
    <cellStyle name="Input 15 3" xfId="3544" xr:uid="{00000000-0005-0000-0000-0000B70D0000}"/>
    <cellStyle name="Input 15 4" xfId="3545" xr:uid="{00000000-0005-0000-0000-0000B80D0000}"/>
    <cellStyle name="Input 15 5" xfId="3546" xr:uid="{00000000-0005-0000-0000-0000B90D0000}"/>
    <cellStyle name="Input 15 6" xfId="3547" xr:uid="{00000000-0005-0000-0000-0000BA0D0000}"/>
    <cellStyle name="Input 15 7" xfId="3548" xr:uid="{00000000-0005-0000-0000-0000BB0D0000}"/>
    <cellStyle name="Input 16" xfId="3549" xr:uid="{00000000-0005-0000-0000-0000BC0D0000}"/>
    <cellStyle name="Input 17" xfId="3550" xr:uid="{00000000-0005-0000-0000-0000BD0D0000}"/>
    <cellStyle name="Input 18" xfId="3551" xr:uid="{00000000-0005-0000-0000-0000BE0D0000}"/>
    <cellStyle name="Input 19" xfId="3552" xr:uid="{00000000-0005-0000-0000-0000BF0D0000}"/>
    <cellStyle name="Input 2" xfId="3553" xr:uid="{00000000-0005-0000-0000-0000C00D0000}"/>
    <cellStyle name="Input 2 10" xfId="3554" xr:uid="{00000000-0005-0000-0000-0000C10D0000}"/>
    <cellStyle name="Input 2 11" xfId="3555" xr:uid="{00000000-0005-0000-0000-0000C20D0000}"/>
    <cellStyle name="Input 2 12" xfId="3556" xr:uid="{00000000-0005-0000-0000-0000C30D0000}"/>
    <cellStyle name="Input 2 13" xfId="3557" xr:uid="{00000000-0005-0000-0000-0000C40D0000}"/>
    <cellStyle name="Input 2 14" xfId="3558" xr:uid="{00000000-0005-0000-0000-0000C50D0000}"/>
    <cellStyle name="Input 2 15" xfId="3559" xr:uid="{00000000-0005-0000-0000-0000C60D0000}"/>
    <cellStyle name="Input 2 16" xfId="3560" xr:uid="{00000000-0005-0000-0000-0000C70D0000}"/>
    <cellStyle name="Input 2 2" xfId="3561" xr:uid="{00000000-0005-0000-0000-0000C80D0000}"/>
    <cellStyle name="Input 2 3" xfId="3562" xr:uid="{00000000-0005-0000-0000-0000C90D0000}"/>
    <cellStyle name="Input 2 4" xfId="3563" xr:uid="{00000000-0005-0000-0000-0000CA0D0000}"/>
    <cellStyle name="Input 2 4 2" xfId="3564" xr:uid="{00000000-0005-0000-0000-0000CB0D0000}"/>
    <cellStyle name="Input 2 4 2 2" xfId="3565" xr:uid="{00000000-0005-0000-0000-0000CC0D0000}"/>
    <cellStyle name="Input 2 4 2 3" xfId="3566" xr:uid="{00000000-0005-0000-0000-0000CD0D0000}"/>
    <cellStyle name="Input 2 4 3" xfId="3567" xr:uid="{00000000-0005-0000-0000-0000CE0D0000}"/>
    <cellStyle name="Input 2 5" xfId="3568" xr:uid="{00000000-0005-0000-0000-0000CF0D0000}"/>
    <cellStyle name="Input 2 6" xfId="3569" xr:uid="{00000000-0005-0000-0000-0000D00D0000}"/>
    <cellStyle name="Input 2 7" xfId="3570" xr:uid="{00000000-0005-0000-0000-0000D10D0000}"/>
    <cellStyle name="Input 2 8" xfId="3571" xr:uid="{00000000-0005-0000-0000-0000D20D0000}"/>
    <cellStyle name="Input 2 9" xfId="3572" xr:uid="{00000000-0005-0000-0000-0000D30D0000}"/>
    <cellStyle name="Input 20" xfId="3573" xr:uid="{00000000-0005-0000-0000-0000D40D0000}"/>
    <cellStyle name="Input 21" xfId="3574" xr:uid="{00000000-0005-0000-0000-0000D50D0000}"/>
    <cellStyle name="Input 22" xfId="3575" xr:uid="{00000000-0005-0000-0000-0000D60D0000}"/>
    <cellStyle name="Input 23" xfId="3576" xr:uid="{00000000-0005-0000-0000-0000D70D0000}"/>
    <cellStyle name="Input 24" xfId="3577" xr:uid="{00000000-0005-0000-0000-0000D80D0000}"/>
    <cellStyle name="Input 25" xfId="3578" xr:uid="{00000000-0005-0000-0000-0000D90D0000}"/>
    <cellStyle name="Input 26" xfId="3579" xr:uid="{00000000-0005-0000-0000-0000DA0D0000}"/>
    <cellStyle name="Input 27" xfId="3580" xr:uid="{00000000-0005-0000-0000-0000DB0D0000}"/>
    <cellStyle name="Input 28" xfId="3581" xr:uid="{00000000-0005-0000-0000-0000DC0D0000}"/>
    <cellStyle name="Input 29" xfId="3582" xr:uid="{00000000-0005-0000-0000-0000DD0D0000}"/>
    <cellStyle name="Input 3" xfId="3583" xr:uid="{00000000-0005-0000-0000-0000DE0D0000}"/>
    <cellStyle name="Input 3 2" xfId="3584" xr:uid="{00000000-0005-0000-0000-0000DF0D0000}"/>
    <cellStyle name="Input 3 3" xfId="3585" xr:uid="{00000000-0005-0000-0000-0000E00D0000}"/>
    <cellStyle name="Input 30" xfId="3586" xr:uid="{00000000-0005-0000-0000-0000E10D0000}"/>
    <cellStyle name="Input 31" xfId="3587" xr:uid="{00000000-0005-0000-0000-0000E20D0000}"/>
    <cellStyle name="Input 32" xfId="3588" xr:uid="{00000000-0005-0000-0000-0000E30D0000}"/>
    <cellStyle name="Input 33" xfId="3589" xr:uid="{00000000-0005-0000-0000-0000E40D0000}"/>
    <cellStyle name="Input 34" xfId="3590" xr:uid="{00000000-0005-0000-0000-0000E50D0000}"/>
    <cellStyle name="Input 4" xfId="3591" xr:uid="{00000000-0005-0000-0000-0000E60D0000}"/>
    <cellStyle name="Input 4 2" xfId="3592" xr:uid="{00000000-0005-0000-0000-0000E70D0000}"/>
    <cellStyle name="Input 4 3" xfId="3593" xr:uid="{00000000-0005-0000-0000-0000E80D0000}"/>
    <cellStyle name="Input 5" xfId="3594" xr:uid="{00000000-0005-0000-0000-0000E90D0000}"/>
    <cellStyle name="Input 5 2" xfId="3595" xr:uid="{00000000-0005-0000-0000-0000EA0D0000}"/>
    <cellStyle name="Input 5 3" xfId="3596" xr:uid="{00000000-0005-0000-0000-0000EB0D0000}"/>
    <cellStyle name="Input 6" xfId="3597" xr:uid="{00000000-0005-0000-0000-0000EC0D0000}"/>
    <cellStyle name="Input 6 2" xfId="3598" xr:uid="{00000000-0005-0000-0000-0000ED0D0000}"/>
    <cellStyle name="Input 6 3" xfId="3599" xr:uid="{00000000-0005-0000-0000-0000EE0D0000}"/>
    <cellStyle name="Input 7" xfId="3600" xr:uid="{00000000-0005-0000-0000-0000EF0D0000}"/>
    <cellStyle name="Input 7 2" xfId="3601" xr:uid="{00000000-0005-0000-0000-0000F00D0000}"/>
    <cellStyle name="Input 7 3" xfId="3602" xr:uid="{00000000-0005-0000-0000-0000F10D0000}"/>
    <cellStyle name="Input 8" xfId="3603" xr:uid="{00000000-0005-0000-0000-0000F20D0000}"/>
    <cellStyle name="Input 8 2" xfId="3604" xr:uid="{00000000-0005-0000-0000-0000F30D0000}"/>
    <cellStyle name="Input 8 3" xfId="3605" xr:uid="{00000000-0005-0000-0000-0000F40D0000}"/>
    <cellStyle name="Input 9" xfId="3606" xr:uid="{00000000-0005-0000-0000-0000F50D0000}"/>
    <cellStyle name="Input 9 2" xfId="3607" xr:uid="{00000000-0005-0000-0000-0000F60D0000}"/>
    <cellStyle name="Input 9 3" xfId="3608" xr:uid="{00000000-0005-0000-0000-0000F70D0000}"/>
    <cellStyle name="Linked Cell 10" xfId="3609" xr:uid="{00000000-0005-0000-0000-0000F80D0000}"/>
    <cellStyle name="Linked Cell 10 2" xfId="3610" xr:uid="{00000000-0005-0000-0000-0000F90D0000}"/>
    <cellStyle name="Linked Cell 10 3" xfId="3611" xr:uid="{00000000-0005-0000-0000-0000FA0D0000}"/>
    <cellStyle name="Linked Cell 11" xfId="3612" xr:uid="{00000000-0005-0000-0000-0000FB0D0000}"/>
    <cellStyle name="Linked Cell 11 2" xfId="3613" xr:uid="{00000000-0005-0000-0000-0000FC0D0000}"/>
    <cellStyle name="Linked Cell 11 3" xfId="3614" xr:uid="{00000000-0005-0000-0000-0000FD0D0000}"/>
    <cellStyle name="Linked Cell 12" xfId="3615" xr:uid="{00000000-0005-0000-0000-0000FE0D0000}"/>
    <cellStyle name="Linked Cell 12 2" xfId="3616" xr:uid="{00000000-0005-0000-0000-0000FF0D0000}"/>
    <cellStyle name="Linked Cell 12 3" xfId="3617" xr:uid="{00000000-0005-0000-0000-0000000E0000}"/>
    <cellStyle name="Linked Cell 13" xfId="3618" xr:uid="{00000000-0005-0000-0000-0000010E0000}"/>
    <cellStyle name="Linked Cell 13 2" xfId="3619" xr:uid="{00000000-0005-0000-0000-0000020E0000}"/>
    <cellStyle name="Linked Cell 13 3" xfId="3620" xr:uid="{00000000-0005-0000-0000-0000030E0000}"/>
    <cellStyle name="Linked Cell 14" xfId="3621" xr:uid="{00000000-0005-0000-0000-0000040E0000}"/>
    <cellStyle name="Linked Cell 14 2" xfId="3622" xr:uid="{00000000-0005-0000-0000-0000050E0000}"/>
    <cellStyle name="Linked Cell 14 3" xfId="3623" xr:uid="{00000000-0005-0000-0000-0000060E0000}"/>
    <cellStyle name="Linked Cell 15" xfId="3624" xr:uid="{00000000-0005-0000-0000-0000070E0000}"/>
    <cellStyle name="Linked Cell 15 2" xfId="3625" xr:uid="{00000000-0005-0000-0000-0000080E0000}"/>
    <cellStyle name="Linked Cell 15 3" xfId="3626" xr:uid="{00000000-0005-0000-0000-0000090E0000}"/>
    <cellStyle name="Linked Cell 15 4" xfId="3627" xr:uid="{00000000-0005-0000-0000-00000A0E0000}"/>
    <cellStyle name="Linked Cell 15 5" xfId="3628" xr:uid="{00000000-0005-0000-0000-00000B0E0000}"/>
    <cellStyle name="Linked Cell 15 6" xfId="3629" xr:uid="{00000000-0005-0000-0000-00000C0E0000}"/>
    <cellStyle name="Linked Cell 15 7" xfId="3630" xr:uid="{00000000-0005-0000-0000-00000D0E0000}"/>
    <cellStyle name="Linked Cell 16" xfId="3631" xr:uid="{00000000-0005-0000-0000-00000E0E0000}"/>
    <cellStyle name="Linked Cell 17" xfId="3632" xr:uid="{00000000-0005-0000-0000-00000F0E0000}"/>
    <cellStyle name="Linked Cell 18" xfId="3633" xr:uid="{00000000-0005-0000-0000-0000100E0000}"/>
    <cellStyle name="Linked Cell 19" xfId="3634" xr:uid="{00000000-0005-0000-0000-0000110E0000}"/>
    <cellStyle name="Linked Cell 2" xfId="3635" xr:uid="{00000000-0005-0000-0000-0000120E0000}"/>
    <cellStyle name="Linked Cell 2 10" xfId="3636" xr:uid="{00000000-0005-0000-0000-0000130E0000}"/>
    <cellStyle name="Linked Cell 2 11" xfId="3637" xr:uid="{00000000-0005-0000-0000-0000140E0000}"/>
    <cellStyle name="Linked Cell 2 12" xfId="3638" xr:uid="{00000000-0005-0000-0000-0000150E0000}"/>
    <cellStyle name="Linked Cell 2 13" xfId="3639" xr:uid="{00000000-0005-0000-0000-0000160E0000}"/>
    <cellStyle name="Linked Cell 2 14" xfId="3640" xr:uid="{00000000-0005-0000-0000-0000170E0000}"/>
    <cellStyle name="Linked Cell 2 2" xfId="3641" xr:uid="{00000000-0005-0000-0000-0000180E0000}"/>
    <cellStyle name="Linked Cell 2 3" xfId="3642" xr:uid="{00000000-0005-0000-0000-0000190E0000}"/>
    <cellStyle name="Linked Cell 2 4" xfId="3643" xr:uid="{00000000-0005-0000-0000-00001A0E0000}"/>
    <cellStyle name="Linked Cell 2 5" xfId="3644" xr:uid="{00000000-0005-0000-0000-00001B0E0000}"/>
    <cellStyle name="Linked Cell 2 6" xfId="3645" xr:uid="{00000000-0005-0000-0000-00001C0E0000}"/>
    <cellStyle name="Linked Cell 2 7" xfId="3646" xr:uid="{00000000-0005-0000-0000-00001D0E0000}"/>
    <cellStyle name="Linked Cell 2 8" xfId="3647" xr:uid="{00000000-0005-0000-0000-00001E0E0000}"/>
    <cellStyle name="Linked Cell 2 9" xfId="3648" xr:uid="{00000000-0005-0000-0000-00001F0E0000}"/>
    <cellStyle name="Linked Cell 20" xfId="3649" xr:uid="{00000000-0005-0000-0000-0000200E0000}"/>
    <cellStyle name="Linked Cell 21" xfId="3650" xr:uid="{00000000-0005-0000-0000-0000210E0000}"/>
    <cellStyle name="Linked Cell 22" xfId="3651" xr:uid="{00000000-0005-0000-0000-0000220E0000}"/>
    <cellStyle name="Linked Cell 23" xfId="3652" xr:uid="{00000000-0005-0000-0000-0000230E0000}"/>
    <cellStyle name="Linked Cell 24" xfId="3653" xr:uid="{00000000-0005-0000-0000-0000240E0000}"/>
    <cellStyle name="Linked Cell 25" xfId="3654" xr:uid="{00000000-0005-0000-0000-0000250E0000}"/>
    <cellStyle name="Linked Cell 26" xfId="3655" xr:uid="{00000000-0005-0000-0000-0000260E0000}"/>
    <cellStyle name="Linked Cell 27" xfId="3656" xr:uid="{00000000-0005-0000-0000-0000270E0000}"/>
    <cellStyle name="Linked Cell 28" xfId="3657" xr:uid="{00000000-0005-0000-0000-0000280E0000}"/>
    <cellStyle name="Linked Cell 29" xfId="3658" xr:uid="{00000000-0005-0000-0000-0000290E0000}"/>
    <cellStyle name="Linked Cell 3" xfId="3659" xr:uid="{00000000-0005-0000-0000-00002A0E0000}"/>
    <cellStyle name="Linked Cell 3 2" xfId="3660" xr:uid="{00000000-0005-0000-0000-00002B0E0000}"/>
    <cellStyle name="Linked Cell 3 3" xfId="3661" xr:uid="{00000000-0005-0000-0000-00002C0E0000}"/>
    <cellStyle name="Linked Cell 30" xfId="3662" xr:uid="{00000000-0005-0000-0000-00002D0E0000}"/>
    <cellStyle name="Linked Cell 31" xfId="3663" xr:uid="{00000000-0005-0000-0000-00002E0E0000}"/>
    <cellStyle name="Linked Cell 32" xfId="3664" xr:uid="{00000000-0005-0000-0000-00002F0E0000}"/>
    <cellStyle name="Linked Cell 33" xfId="3665" xr:uid="{00000000-0005-0000-0000-0000300E0000}"/>
    <cellStyle name="Linked Cell 34" xfId="3666" xr:uid="{00000000-0005-0000-0000-0000310E0000}"/>
    <cellStyle name="Linked Cell 4" xfId="3667" xr:uid="{00000000-0005-0000-0000-0000320E0000}"/>
    <cellStyle name="Linked Cell 4 2" xfId="3668" xr:uid="{00000000-0005-0000-0000-0000330E0000}"/>
    <cellStyle name="Linked Cell 4 3" xfId="3669" xr:uid="{00000000-0005-0000-0000-0000340E0000}"/>
    <cellStyle name="Linked Cell 5" xfId="3670" xr:uid="{00000000-0005-0000-0000-0000350E0000}"/>
    <cellStyle name="Linked Cell 5 2" xfId="3671" xr:uid="{00000000-0005-0000-0000-0000360E0000}"/>
    <cellStyle name="Linked Cell 5 3" xfId="3672" xr:uid="{00000000-0005-0000-0000-0000370E0000}"/>
    <cellStyle name="Linked Cell 6" xfId="3673" xr:uid="{00000000-0005-0000-0000-0000380E0000}"/>
    <cellStyle name="Linked Cell 6 2" xfId="3674" xr:uid="{00000000-0005-0000-0000-0000390E0000}"/>
    <cellStyle name="Linked Cell 6 3" xfId="3675" xr:uid="{00000000-0005-0000-0000-00003A0E0000}"/>
    <cellStyle name="Linked Cell 7" xfId="3676" xr:uid="{00000000-0005-0000-0000-00003B0E0000}"/>
    <cellStyle name="Linked Cell 7 2" xfId="3677" xr:uid="{00000000-0005-0000-0000-00003C0E0000}"/>
    <cellStyle name="Linked Cell 7 3" xfId="3678" xr:uid="{00000000-0005-0000-0000-00003D0E0000}"/>
    <cellStyle name="Linked Cell 8" xfId="3679" xr:uid="{00000000-0005-0000-0000-00003E0E0000}"/>
    <cellStyle name="Linked Cell 8 2" xfId="3680" xr:uid="{00000000-0005-0000-0000-00003F0E0000}"/>
    <cellStyle name="Linked Cell 8 3" xfId="3681" xr:uid="{00000000-0005-0000-0000-0000400E0000}"/>
    <cellStyle name="Linked Cell 9" xfId="3682" xr:uid="{00000000-0005-0000-0000-0000410E0000}"/>
    <cellStyle name="Linked Cell 9 2" xfId="3683" xr:uid="{00000000-0005-0000-0000-0000420E0000}"/>
    <cellStyle name="Linked Cell 9 3" xfId="3684" xr:uid="{00000000-0005-0000-0000-0000430E0000}"/>
    <cellStyle name="Neutral 10" xfId="3685" xr:uid="{00000000-0005-0000-0000-0000440E0000}"/>
    <cellStyle name="Neutral 10 2" xfId="3686" xr:uid="{00000000-0005-0000-0000-0000450E0000}"/>
    <cellStyle name="Neutral 10 3" xfId="3687" xr:uid="{00000000-0005-0000-0000-0000460E0000}"/>
    <cellStyle name="Neutral 11" xfId="3688" xr:uid="{00000000-0005-0000-0000-0000470E0000}"/>
    <cellStyle name="Neutral 11 2" xfId="3689" xr:uid="{00000000-0005-0000-0000-0000480E0000}"/>
    <cellStyle name="Neutral 11 3" xfId="3690" xr:uid="{00000000-0005-0000-0000-0000490E0000}"/>
    <cellStyle name="Neutral 12" xfId="3691" xr:uid="{00000000-0005-0000-0000-00004A0E0000}"/>
    <cellStyle name="Neutral 12 2" xfId="3692" xr:uid="{00000000-0005-0000-0000-00004B0E0000}"/>
    <cellStyle name="Neutral 12 3" xfId="3693" xr:uid="{00000000-0005-0000-0000-00004C0E0000}"/>
    <cellStyle name="Neutral 13" xfId="3694" xr:uid="{00000000-0005-0000-0000-00004D0E0000}"/>
    <cellStyle name="Neutral 13 2" xfId="3695" xr:uid="{00000000-0005-0000-0000-00004E0E0000}"/>
    <cellStyle name="Neutral 13 3" xfId="3696" xr:uid="{00000000-0005-0000-0000-00004F0E0000}"/>
    <cellStyle name="Neutral 14" xfId="3697" xr:uid="{00000000-0005-0000-0000-0000500E0000}"/>
    <cellStyle name="Neutral 14 2" xfId="3698" xr:uid="{00000000-0005-0000-0000-0000510E0000}"/>
    <cellStyle name="Neutral 14 3" xfId="3699" xr:uid="{00000000-0005-0000-0000-0000520E0000}"/>
    <cellStyle name="Neutral 15" xfId="3700" xr:uid="{00000000-0005-0000-0000-0000530E0000}"/>
    <cellStyle name="Neutral 15 2" xfId="3701" xr:uid="{00000000-0005-0000-0000-0000540E0000}"/>
    <cellStyle name="Neutral 15 3" xfId="3702" xr:uid="{00000000-0005-0000-0000-0000550E0000}"/>
    <cellStyle name="Neutral 15 4" xfId="3703" xr:uid="{00000000-0005-0000-0000-0000560E0000}"/>
    <cellStyle name="Neutral 15 5" xfId="3704" xr:uid="{00000000-0005-0000-0000-0000570E0000}"/>
    <cellStyle name="Neutral 15 6" xfId="3705" xr:uid="{00000000-0005-0000-0000-0000580E0000}"/>
    <cellStyle name="Neutral 15 7" xfId="3706" xr:uid="{00000000-0005-0000-0000-0000590E0000}"/>
    <cellStyle name="Neutral 16" xfId="3707" xr:uid="{00000000-0005-0000-0000-00005A0E0000}"/>
    <cellStyle name="Neutral 17" xfId="3708" xr:uid="{00000000-0005-0000-0000-00005B0E0000}"/>
    <cellStyle name="Neutral 18" xfId="3709" xr:uid="{00000000-0005-0000-0000-00005C0E0000}"/>
    <cellStyle name="Neutral 19" xfId="3710" xr:uid="{00000000-0005-0000-0000-00005D0E0000}"/>
    <cellStyle name="Neutral 2" xfId="3711" xr:uid="{00000000-0005-0000-0000-00005E0E0000}"/>
    <cellStyle name="Neutral 2 10" xfId="3712" xr:uid="{00000000-0005-0000-0000-00005F0E0000}"/>
    <cellStyle name="Neutral 2 11" xfId="3713" xr:uid="{00000000-0005-0000-0000-0000600E0000}"/>
    <cellStyle name="Neutral 2 12" xfId="3714" xr:uid="{00000000-0005-0000-0000-0000610E0000}"/>
    <cellStyle name="Neutral 2 13" xfId="3715" xr:uid="{00000000-0005-0000-0000-0000620E0000}"/>
    <cellStyle name="Neutral 2 14" xfId="3716" xr:uid="{00000000-0005-0000-0000-0000630E0000}"/>
    <cellStyle name="Neutral 2 2" xfId="3717" xr:uid="{00000000-0005-0000-0000-0000640E0000}"/>
    <cellStyle name="Neutral 2 3" xfId="3718" xr:uid="{00000000-0005-0000-0000-0000650E0000}"/>
    <cellStyle name="Neutral 2 4" xfId="3719" xr:uid="{00000000-0005-0000-0000-0000660E0000}"/>
    <cellStyle name="Neutral 2 5" xfId="3720" xr:uid="{00000000-0005-0000-0000-0000670E0000}"/>
    <cellStyle name="Neutral 2 6" xfId="3721" xr:uid="{00000000-0005-0000-0000-0000680E0000}"/>
    <cellStyle name="Neutral 2 7" xfId="3722" xr:uid="{00000000-0005-0000-0000-0000690E0000}"/>
    <cellStyle name="Neutral 2 8" xfId="3723" xr:uid="{00000000-0005-0000-0000-00006A0E0000}"/>
    <cellStyle name="Neutral 2 9" xfId="3724" xr:uid="{00000000-0005-0000-0000-00006B0E0000}"/>
    <cellStyle name="Neutral 20" xfId="3725" xr:uid="{00000000-0005-0000-0000-00006C0E0000}"/>
    <cellStyle name="Neutral 21" xfId="3726" xr:uid="{00000000-0005-0000-0000-00006D0E0000}"/>
    <cellStyle name="Neutral 22" xfId="3727" xr:uid="{00000000-0005-0000-0000-00006E0E0000}"/>
    <cellStyle name="Neutral 23" xfId="3728" xr:uid="{00000000-0005-0000-0000-00006F0E0000}"/>
    <cellStyle name="Neutral 24" xfId="3729" xr:uid="{00000000-0005-0000-0000-0000700E0000}"/>
    <cellStyle name="Neutral 25" xfId="3730" xr:uid="{00000000-0005-0000-0000-0000710E0000}"/>
    <cellStyle name="Neutral 26" xfId="3731" xr:uid="{00000000-0005-0000-0000-0000720E0000}"/>
    <cellStyle name="Neutral 27" xfId="3732" xr:uid="{00000000-0005-0000-0000-0000730E0000}"/>
    <cellStyle name="Neutral 28" xfId="3733" xr:uid="{00000000-0005-0000-0000-0000740E0000}"/>
    <cellStyle name="Neutral 29" xfId="3734" xr:uid="{00000000-0005-0000-0000-0000750E0000}"/>
    <cellStyle name="Neutral 3" xfId="3735" xr:uid="{00000000-0005-0000-0000-0000760E0000}"/>
    <cellStyle name="Neutral 3 2" xfId="3736" xr:uid="{00000000-0005-0000-0000-0000770E0000}"/>
    <cellStyle name="Neutral 3 3" xfId="3737" xr:uid="{00000000-0005-0000-0000-0000780E0000}"/>
    <cellStyle name="Neutral 30" xfId="3738" xr:uid="{00000000-0005-0000-0000-0000790E0000}"/>
    <cellStyle name="Neutral 31" xfId="3739" xr:uid="{00000000-0005-0000-0000-00007A0E0000}"/>
    <cellStyle name="Neutral 32" xfId="3740" xr:uid="{00000000-0005-0000-0000-00007B0E0000}"/>
    <cellStyle name="Neutral 33" xfId="3741" xr:uid="{00000000-0005-0000-0000-00007C0E0000}"/>
    <cellStyle name="Neutral 34" xfId="3742" xr:uid="{00000000-0005-0000-0000-00007D0E0000}"/>
    <cellStyle name="Neutral 4" xfId="3743" xr:uid="{00000000-0005-0000-0000-00007E0E0000}"/>
    <cellStyle name="Neutral 4 2" xfId="3744" xr:uid="{00000000-0005-0000-0000-00007F0E0000}"/>
    <cellStyle name="Neutral 4 3" xfId="3745" xr:uid="{00000000-0005-0000-0000-0000800E0000}"/>
    <cellStyle name="Neutral 5" xfId="3746" xr:uid="{00000000-0005-0000-0000-0000810E0000}"/>
    <cellStyle name="Neutral 5 2" xfId="3747" xr:uid="{00000000-0005-0000-0000-0000820E0000}"/>
    <cellStyle name="Neutral 5 3" xfId="3748" xr:uid="{00000000-0005-0000-0000-0000830E0000}"/>
    <cellStyle name="Neutral 6" xfId="3749" xr:uid="{00000000-0005-0000-0000-0000840E0000}"/>
    <cellStyle name="Neutral 6 2" xfId="3750" xr:uid="{00000000-0005-0000-0000-0000850E0000}"/>
    <cellStyle name="Neutral 6 3" xfId="3751" xr:uid="{00000000-0005-0000-0000-0000860E0000}"/>
    <cellStyle name="Neutral 7" xfId="3752" xr:uid="{00000000-0005-0000-0000-0000870E0000}"/>
    <cellStyle name="Neutral 7 2" xfId="3753" xr:uid="{00000000-0005-0000-0000-0000880E0000}"/>
    <cellStyle name="Neutral 7 3" xfId="3754" xr:uid="{00000000-0005-0000-0000-0000890E0000}"/>
    <cellStyle name="Neutral 8" xfId="3755" xr:uid="{00000000-0005-0000-0000-00008A0E0000}"/>
    <cellStyle name="Neutral 8 2" xfId="3756" xr:uid="{00000000-0005-0000-0000-00008B0E0000}"/>
    <cellStyle name="Neutral 8 3" xfId="3757" xr:uid="{00000000-0005-0000-0000-00008C0E0000}"/>
    <cellStyle name="Neutral 9" xfId="3758" xr:uid="{00000000-0005-0000-0000-00008D0E0000}"/>
    <cellStyle name="Neutral 9 2" xfId="3759" xr:uid="{00000000-0005-0000-0000-00008E0E0000}"/>
    <cellStyle name="Neutral 9 3" xfId="3760" xr:uid="{00000000-0005-0000-0000-00008F0E0000}"/>
    <cellStyle name="Normal" xfId="0" builtinId="0"/>
    <cellStyle name="Normal 10" xfId="4" xr:uid="{00000000-0005-0000-0000-0000910E0000}"/>
    <cellStyle name="Normal 10 10" xfId="3762" xr:uid="{00000000-0005-0000-0000-0000920E0000}"/>
    <cellStyle name="Normal 10 11" xfId="3763" xr:uid="{00000000-0005-0000-0000-0000930E0000}"/>
    <cellStyle name="Normal 10 12" xfId="3764" xr:uid="{00000000-0005-0000-0000-0000940E0000}"/>
    <cellStyle name="Normal 10 13" xfId="3761" xr:uid="{00000000-0005-0000-0000-0000950E0000}"/>
    <cellStyle name="Normal 10 2" xfId="3765" xr:uid="{00000000-0005-0000-0000-0000960E0000}"/>
    <cellStyle name="Normal 10 3" xfId="3766" xr:uid="{00000000-0005-0000-0000-0000970E0000}"/>
    <cellStyle name="Normal 10 4" xfId="3767" xr:uid="{00000000-0005-0000-0000-0000980E0000}"/>
    <cellStyle name="Normal 10 5" xfId="3768" xr:uid="{00000000-0005-0000-0000-0000990E0000}"/>
    <cellStyle name="Normal 10 6" xfId="3769" xr:uid="{00000000-0005-0000-0000-00009A0E0000}"/>
    <cellStyle name="Normal 10 7" xfId="3770" xr:uid="{00000000-0005-0000-0000-00009B0E0000}"/>
    <cellStyle name="Normal 10 8" xfId="3771" xr:uid="{00000000-0005-0000-0000-00009C0E0000}"/>
    <cellStyle name="Normal 10 9" xfId="3772" xr:uid="{00000000-0005-0000-0000-00009D0E0000}"/>
    <cellStyle name="Normal 100" xfId="3773" xr:uid="{00000000-0005-0000-0000-00009E0E0000}"/>
    <cellStyle name="Normal 101" xfId="3774" xr:uid="{00000000-0005-0000-0000-00009F0E0000}"/>
    <cellStyle name="Normal 102" xfId="3775" xr:uid="{00000000-0005-0000-0000-0000A00E0000}"/>
    <cellStyle name="Normal 103" xfId="3776" xr:uid="{00000000-0005-0000-0000-0000A10E0000}"/>
    <cellStyle name="Normal 104" xfId="3777" xr:uid="{00000000-0005-0000-0000-0000A20E0000}"/>
    <cellStyle name="Normal 105" xfId="3778" xr:uid="{00000000-0005-0000-0000-0000A30E0000}"/>
    <cellStyle name="Normal 106" xfId="3779" xr:uid="{00000000-0005-0000-0000-0000A40E0000}"/>
    <cellStyle name="Normal 106 2" xfId="3780" xr:uid="{00000000-0005-0000-0000-0000A50E0000}"/>
    <cellStyle name="Normal 107" xfId="3781" xr:uid="{00000000-0005-0000-0000-0000A60E0000}"/>
    <cellStyle name="Normal 107 2" xfId="3782" xr:uid="{00000000-0005-0000-0000-0000A70E0000}"/>
    <cellStyle name="Normal 108" xfId="57076" xr:uid="{00000000-0005-0000-0000-0000A80E0000}"/>
    <cellStyle name="Normal 109" xfId="57077" xr:uid="{00000000-0005-0000-0000-0000A90E0000}"/>
    <cellStyle name="Normal 11" xfId="25" xr:uid="{00000000-0005-0000-0000-0000AA0E0000}"/>
    <cellStyle name="Normal 11 10" xfId="3784" xr:uid="{00000000-0005-0000-0000-0000AB0E0000}"/>
    <cellStyle name="Normal 11 10 10" xfId="3785" xr:uid="{00000000-0005-0000-0000-0000AC0E0000}"/>
    <cellStyle name="Normal 11 10 11" xfId="3786" xr:uid="{00000000-0005-0000-0000-0000AD0E0000}"/>
    <cellStyle name="Normal 11 10 12" xfId="3787" xr:uid="{00000000-0005-0000-0000-0000AE0E0000}"/>
    <cellStyle name="Normal 11 10 13" xfId="3788" xr:uid="{00000000-0005-0000-0000-0000AF0E0000}"/>
    <cellStyle name="Normal 11 10 14" xfId="3789" xr:uid="{00000000-0005-0000-0000-0000B00E0000}"/>
    <cellStyle name="Normal 11 10 2" xfId="3790" xr:uid="{00000000-0005-0000-0000-0000B10E0000}"/>
    <cellStyle name="Normal 11 10 2 2" xfId="3791" xr:uid="{00000000-0005-0000-0000-0000B20E0000}"/>
    <cellStyle name="Normal 11 10 2 2 2" xfId="3792" xr:uid="{00000000-0005-0000-0000-0000B30E0000}"/>
    <cellStyle name="Normal 11 10 2 2 3" xfId="3793" xr:uid="{00000000-0005-0000-0000-0000B40E0000}"/>
    <cellStyle name="Normal 11 10 2 3" xfId="3794" xr:uid="{00000000-0005-0000-0000-0000B50E0000}"/>
    <cellStyle name="Normal 11 10 3" xfId="3795" xr:uid="{00000000-0005-0000-0000-0000B60E0000}"/>
    <cellStyle name="Normal 11 10 4" xfId="3796" xr:uid="{00000000-0005-0000-0000-0000B70E0000}"/>
    <cellStyle name="Normal 11 10 5" xfId="3797" xr:uid="{00000000-0005-0000-0000-0000B80E0000}"/>
    <cellStyle name="Normal 11 10 6" xfId="3798" xr:uid="{00000000-0005-0000-0000-0000B90E0000}"/>
    <cellStyle name="Normal 11 10 7" xfId="3799" xr:uid="{00000000-0005-0000-0000-0000BA0E0000}"/>
    <cellStyle name="Normal 11 10 8" xfId="3800" xr:uid="{00000000-0005-0000-0000-0000BB0E0000}"/>
    <cellStyle name="Normal 11 10 9" xfId="3801" xr:uid="{00000000-0005-0000-0000-0000BC0E0000}"/>
    <cellStyle name="Normal 11 11" xfId="3802" xr:uid="{00000000-0005-0000-0000-0000BD0E0000}"/>
    <cellStyle name="Normal 11 12" xfId="3803" xr:uid="{00000000-0005-0000-0000-0000BE0E0000}"/>
    <cellStyle name="Normal 11 13" xfId="3804" xr:uid="{00000000-0005-0000-0000-0000BF0E0000}"/>
    <cellStyle name="Normal 11 13 2" xfId="3805" xr:uid="{00000000-0005-0000-0000-0000C00E0000}"/>
    <cellStyle name="Normal 11 13 2 2" xfId="3806" xr:uid="{00000000-0005-0000-0000-0000C10E0000}"/>
    <cellStyle name="Normal 11 13 2 3" xfId="3807" xr:uid="{00000000-0005-0000-0000-0000C20E0000}"/>
    <cellStyle name="Normal 11 13 3" xfId="3808" xr:uid="{00000000-0005-0000-0000-0000C30E0000}"/>
    <cellStyle name="Normal 11 14" xfId="3809" xr:uid="{00000000-0005-0000-0000-0000C40E0000}"/>
    <cellStyle name="Normal 11 14 2" xfId="3810" xr:uid="{00000000-0005-0000-0000-0000C50E0000}"/>
    <cellStyle name="Normal 11 14 2 2" xfId="3811" xr:uid="{00000000-0005-0000-0000-0000C60E0000}"/>
    <cellStyle name="Normal 11 14 2 3" xfId="3812" xr:uid="{00000000-0005-0000-0000-0000C70E0000}"/>
    <cellStyle name="Normal 11 14 3" xfId="3813" xr:uid="{00000000-0005-0000-0000-0000C80E0000}"/>
    <cellStyle name="Normal 11 15" xfId="3814" xr:uid="{00000000-0005-0000-0000-0000C90E0000}"/>
    <cellStyle name="Normal 11 16" xfId="3815" xr:uid="{00000000-0005-0000-0000-0000CA0E0000}"/>
    <cellStyle name="Normal 11 17" xfId="3816" xr:uid="{00000000-0005-0000-0000-0000CB0E0000}"/>
    <cellStyle name="Normal 11 18" xfId="3817" xr:uid="{00000000-0005-0000-0000-0000CC0E0000}"/>
    <cellStyle name="Normal 11 19" xfId="3818" xr:uid="{00000000-0005-0000-0000-0000CD0E0000}"/>
    <cellStyle name="Normal 11 2" xfId="3819" xr:uid="{00000000-0005-0000-0000-0000CE0E0000}"/>
    <cellStyle name="Normal 11 20" xfId="3820" xr:uid="{00000000-0005-0000-0000-0000CF0E0000}"/>
    <cellStyle name="Normal 11 21" xfId="3821" xr:uid="{00000000-0005-0000-0000-0000D00E0000}"/>
    <cellStyle name="Normal 11 22" xfId="3822" xr:uid="{00000000-0005-0000-0000-0000D10E0000}"/>
    <cellStyle name="Normal 11 23" xfId="3823" xr:uid="{00000000-0005-0000-0000-0000D20E0000}"/>
    <cellStyle name="Normal 11 24" xfId="3824" xr:uid="{00000000-0005-0000-0000-0000D30E0000}"/>
    <cellStyle name="Normal 11 25" xfId="3783" xr:uid="{00000000-0005-0000-0000-0000D40E0000}"/>
    <cellStyle name="Normal 11 3" xfId="3825" xr:uid="{00000000-0005-0000-0000-0000D50E0000}"/>
    <cellStyle name="Normal 11 4" xfId="3826" xr:uid="{00000000-0005-0000-0000-0000D60E0000}"/>
    <cellStyle name="Normal 11 5" xfId="3827" xr:uid="{00000000-0005-0000-0000-0000D70E0000}"/>
    <cellStyle name="Normal 11 6" xfId="3828" xr:uid="{00000000-0005-0000-0000-0000D80E0000}"/>
    <cellStyle name="Normal 11 7" xfId="3829" xr:uid="{00000000-0005-0000-0000-0000D90E0000}"/>
    <cellStyle name="Normal 11 8" xfId="3830" xr:uid="{00000000-0005-0000-0000-0000DA0E0000}"/>
    <cellStyle name="Normal 11 9" xfId="3831" xr:uid="{00000000-0005-0000-0000-0000DB0E0000}"/>
    <cellStyle name="Normal 110" xfId="57078" xr:uid="{00000000-0005-0000-0000-0000DC0E0000}"/>
    <cellStyle name="Normal 111" xfId="57079" xr:uid="{00000000-0005-0000-0000-0000DD0E0000}"/>
    <cellStyle name="Normal 112" xfId="57080" xr:uid="{00000000-0005-0000-0000-0000DE0E0000}"/>
    <cellStyle name="Normal 12" xfId="26" xr:uid="{00000000-0005-0000-0000-0000DF0E0000}"/>
    <cellStyle name="Normal 12 10" xfId="3833" xr:uid="{00000000-0005-0000-0000-0000E00E0000}"/>
    <cellStyle name="Normal 12 11" xfId="3834" xr:uid="{00000000-0005-0000-0000-0000E10E0000}"/>
    <cellStyle name="Normal 12 11 2" xfId="3835" xr:uid="{00000000-0005-0000-0000-0000E20E0000}"/>
    <cellStyle name="Normal 12 11 2 2" xfId="3836" xr:uid="{00000000-0005-0000-0000-0000E30E0000}"/>
    <cellStyle name="Normal 12 11 2 3" xfId="3837" xr:uid="{00000000-0005-0000-0000-0000E40E0000}"/>
    <cellStyle name="Normal 12 11 3" xfId="3838" xr:uid="{00000000-0005-0000-0000-0000E50E0000}"/>
    <cellStyle name="Normal 12 12" xfId="3839" xr:uid="{00000000-0005-0000-0000-0000E60E0000}"/>
    <cellStyle name="Normal 12 12 2" xfId="3840" xr:uid="{00000000-0005-0000-0000-0000E70E0000}"/>
    <cellStyle name="Normal 12 12 2 2" xfId="3841" xr:uid="{00000000-0005-0000-0000-0000E80E0000}"/>
    <cellStyle name="Normal 12 12 2 3" xfId="3842" xr:uid="{00000000-0005-0000-0000-0000E90E0000}"/>
    <cellStyle name="Normal 12 12 3" xfId="3843" xr:uid="{00000000-0005-0000-0000-0000EA0E0000}"/>
    <cellStyle name="Normal 12 13" xfId="3844" xr:uid="{00000000-0005-0000-0000-0000EB0E0000}"/>
    <cellStyle name="Normal 12 14" xfId="3845" xr:uid="{00000000-0005-0000-0000-0000EC0E0000}"/>
    <cellStyle name="Normal 12 15" xfId="3846" xr:uid="{00000000-0005-0000-0000-0000ED0E0000}"/>
    <cellStyle name="Normal 12 16" xfId="3847" xr:uid="{00000000-0005-0000-0000-0000EE0E0000}"/>
    <cellStyle name="Normal 12 17" xfId="3848" xr:uid="{00000000-0005-0000-0000-0000EF0E0000}"/>
    <cellStyle name="Normal 12 18" xfId="3849" xr:uid="{00000000-0005-0000-0000-0000F00E0000}"/>
    <cellStyle name="Normal 12 19" xfId="3850" xr:uid="{00000000-0005-0000-0000-0000F10E0000}"/>
    <cellStyle name="Normal 12 2" xfId="3851" xr:uid="{00000000-0005-0000-0000-0000F20E0000}"/>
    <cellStyle name="Normal 12 20" xfId="3852" xr:uid="{00000000-0005-0000-0000-0000F30E0000}"/>
    <cellStyle name="Normal 12 21" xfId="3853" xr:uid="{00000000-0005-0000-0000-0000F40E0000}"/>
    <cellStyle name="Normal 12 22" xfId="3854" xr:uid="{00000000-0005-0000-0000-0000F50E0000}"/>
    <cellStyle name="Normal 12 23" xfId="3832" xr:uid="{00000000-0005-0000-0000-0000F60E0000}"/>
    <cellStyle name="Normal 12 3" xfId="3855" xr:uid="{00000000-0005-0000-0000-0000F70E0000}"/>
    <cellStyle name="Normal 12 4" xfId="3856" xr:uid="{00000000-0005-0000-0000-0000F80E0000}"/>
    <cellStyle name="Normal 12 5" xfId="3857" xr:uid="{00000000-0005-0000-0000-0000F90E0000}"/>
    <cellStyle name="Normal 12 6" xfId="3858" xr:uid="{00000000-0005-0000-0000-0000FA0E0000}"/>
    <cellStyle name="Normal 12 7" xfId="3859" xr:uid="{00000000-0005-0000-0000-0000FB0E0000}"/>
    <cellStyle name="Normal 12 8" xfId="3860" xr:uid="{00000000-0005-0000-0000-0000FC0E0000}"/>
    <cellStyle name="Normal 12 8 10" xfId="3861" xr:uid="{00000000-0005-0000-0000-0000FD0E0000}"/>
    <cellStyle name="Normal 12 8 11" xfId="3862" xr:uid="{00000000-0005-0000-0000-0000FE0E0000}"/>
    <cellStyle name="Normal 12 8 12" xfId="3863" xr:uid="{00000000-0005-0000-0000-0000FF0E0000}"/>
    <cellStyle name="Normal 12 8 13" xfId="3864" xr:uid="{00000000-0005-0000-0000-0000000F0000}"/>
    <cellStyle name="Normal 12 8 14" xfId="3865" xr:uid="{00000000-0005-0000-0000-0000010F0000}"/>
    <cellStyle name="Normal 12 8 2" xfId="3866" xr:uid="{00000000-0005-0000-0000-0000020F0000}"/>
    <cellStyle name="Normal 12 8 2 2" xfId="3867" xr:uid="{00000000-0005-0000-0000-0000030F0000}"/>
    <cellStyle name="Normal 12 8 2 2 2" xfId="3868" xr:uid="{00000000-0005-0000-0000-0000040F0000}"/>
    <cellStyle name="Normal 12 8 2 2 3" xfId="3869" xr:uid="{00000000-0005-0000-0000-0000050F0000}"/>
    <cellStyle name="Normal 12 8 2 3" xfId="3870" xr:uid="{00000000-0005-0000-0000-0000060F0000}"/>
    <cellStyle name="Normal 12 8 3" xfId="3871" xr:uid="{00000000-0005-0000-0000-0000070F0000}"/>
    <cellStyle name="Normal 12 8 4" xfId="3872" xr:uid="{00000000-0005-0000-0000-0000080F0000}"/>
    <cellStyle name="Normal 12 8 5" xfId="3873" xr:uid="{00000000-0005-0000-0000-0000090F0000}"/>
    <cellStyle name="Normal 12 8 6" xfId="3874" xr:uid="{00000000-0005-0000-0000-00000A0F0000}"/>
    <cellStyle name="Normal 12 8 7" xfId="3875" xr:uid="{00000000-0005-0000-0000-00000B0F0000}"/>
    <cellStyle name="Normal 12 8 8" xfId="3876" xr:uid="{00000000-0005-0000-0000-00000C0F0000}"/>
    <cellStyle name="Normal 12 8 9" xfId="3877" xr:uid="{00000000-0005-0000-0000-00000D0F0000}"/>
    <cellStyle name="Normal 12 9" xfId="3878" xr:uid="{00000000-0005-0000-0000-00000E0F0000}"/>
    <cellStyle name="Normal 13" xfId="27" xr:uid="{00000000-0005-0000-0000-00000F0F0000}"/>
    <cellStyle name="Normal 13 10" xfId="3880" xr:uid="{00000000-0005-0000-0000-0000100F0000}"/>
    <cellStyle name="Normal 13 10 10" xfId="3881" xr:uid="{00000000-0005-0000-0000-0000110F0000}"/>
    <cellStyle name="Normal 13 10 11" xfId="3882" xr:uid="{00000000-0005-0000-0000-0000120F0000}"/>
    <cellStyle name="Normal 13 10 12" xfId="3883" xr:uid="{00000000-0005-0000-0000-0000130F0000}"/>
    <cellStyle name="Normal 13 10 13" xfId="3884" xr:uid="{00000000-0005-0000-0000-0000140F0000}"/>
    <cellStyle name="Normal 13 10 14" xfId="3885" xr:uid="{00000000-0005-0000-0000-0000150F0000}"/>
    <cellStyle name="Normal 13 10 2" xfId="3886" xr:uid="{00000000-0005-0000-0000-0000160F0000}"/>
    <cellStyle name="Normal 13 10 2 2" xfId="3887" xr:uid="{00000000-0005-0000-0000-0000170F0000}"/>
    <cellStyle name="Normal 13 10 2 2 2" xfId="3888" xr:uid="{00000000-0005-0000-0000-0000180F0000}"/>
    <cellStyle name="Normal 13 10 2 2 3" xfId="3889" xr:uid="{00000000-0005-0000-0000-0000190F0000}"/>
    <cellStyle name="Normal 13 10 2 3" xfId="3890" xr:uid="{00000000-0005-0000-0000-00001A0F0000}"/>
    <cellStyle name="Normal 13 10 3" xfId="3891" xr:uid="{00000000-0005-0000-0000-00001B0F0000}"/>
    <cellStyle name="Normal 13 10 4" xfId="3892" xr:uid="{00000000-0005-0000-0000-00001C0F0000}"/>
    <cellStyle name="Normal 13 10 5" xfId="3893" xr:uid="{00000000-0005-0000-0000-00001D0F0000}"/>
    <cellStyle name="Normal 13 10 6" xfId="3894" xr:uid="{00000000-0005-0000-0000-00001E0F0000}"/>
    <cellStyle name="Normal 13 10 7" xfId="3895" xr:uid="{00000000-0005-0000-0000-00001F0F0000}"/>
    <cellStyle name="Normal 13 10 8" xfId="3896" xr:uid="{00000000-0005-0000-0000-0000200F0000}"/>
    <cellStyle name="Normal 13 10 9" xfId="3897" xr:uid="{00000000-0005-0000-0000-0000210F0000}"/>
    <cellStyle name="Normal 13 11" xfId="3898" xr:uid="{00000000-0005-0000-0000-0000220F0000}"/>
    <cellStyle name="Normal 13 12" xfId="3899" xr:uid="{00000000-0005-0000-0000-0000230F0000}"/>
    <cellStyle name="Normal 13 13" xfId="3900" xr:uid="{00000000-0005-0000-0000-0000240F0000}"/>
    <cellStyle name="Normal 13 13 2" xfId="3901" xr:uid="{00000000-0005-0000-0000-0000250F0000}"/>
    <cellStyle name="Normal 13 13 2 2" xfId="3902" xr:uid="{00000000-0005-0000-0000-0000260F0000}"/>
    <cellStyle name="Normal 13 13 2 3" xfId="3903" xr:uid="{00000000-0005-0000-0000-0000270F0000}"/>
    <cellStyle name="Normal 13 13 3" xfId="3904" xr:uid="{00000000-0005-0000-0000-0000280F0000}"/>
    <cellStyle name="Normal 13 14" xfId="3905" xr:uid="{00000000-0005-0000-0000-0000290F0000}"/>
    <cellStyle name="Normal 13 14 2" xfId="3906" xr:uid="{00000000-0005-0000-0000-00002A0F0000}"/>
    <cellStyle name="Normal 13 14 2 2" xfId="3907" xr:uid="{00000000-0005-0000-0000-00002B0F0000}"/>
    <cellStyle name="Normal 13 14 2 3" xfId="3908" xr:uid="{00000000-0005-0000-0000-00002C0F0000}"/>
    <cellStyle name="Normal 13 14 3" xfId="3909" xr:uid="{00000000-0005-0000-0000-00002D0F0000}"/>
    <cellStyle name="Normal 13 15" xfId="3910" xr:uid="{00000000-0005-0000-0000-00002E0F0000}"/>
    <cellStyle name="Normal 13 16" xfId="3911" xr:uid="{00000000-0005-0000-0000-00002F0F0000}"/>
    <cellStyle name="Normal 13 17" xfId="3912" xr:uid="{00000000-0005-0000-0000-0000300F0000}"/>
    <cellStyle name="Normal 13 18" xfId="3913" xr:uid="{00000000-0005-0000-0000-0000310F0000}"/>
    <cellStyle name="Normal 13 19" xfId="3914" xr:uid="{00000000-0005-0000-0000-0000320F0000}"/>
    <cellStyle name="Normal 13 2" xfId="3915" xr:uid="{00000000-0005-0000-0000-0000330F0000}"/>
    <cellStyle name="Normal 13 20" xfId="3916" xr:uid="{00000000-0005-0000-0000-0000340F0000}"/>
    <cellStyle name="Normal 13 21" xfId="3917" xr:uid="{00000000-0005-0000-0000-0000350F0000}"/>
    <cellStyle name="Normal 13 22" xfId="3918" xr:uid="{00000000-0005-0000-0000-0000360F0000}"/>
    <cellStyle name="Normal 13 23" xfId="3919" xr:uid="{00000000-0005-0000-0000-0000370F0000}"/>
    <cellStyle name="Normal 13 24" xfId="3920" xr:uid="{00000000-0005-0000-0000-0000380F0000}"/>
    <cellStyle name="Normal 13 25" xfId="3879" xr:uid="{00000000-0005-0000-0000-0000390F0000}"/>
    <cellStyle name="Normal 13 3" xfId="3921" xr:uid="{00000000-0005-0000-0000-00003A0F0000}"/>
    <cellStyle name="Normal 13 4" xfId="3922" xr:uid="{00000000-0005-0000-0000-00003B0F0000}"/>
    <cellStyle name="Normal 13 5" xfId="3923" xr:uid="{00000000-0005-0000-0000-00003C0F0000}"/>
    <cellStyle name="Normal 13 6" xfId="3924" xr:uid="{00000000-0005-0000-0000-00003D0F0000}"/>
    <cellStyle name="Normal 13 7" xfId="3925" xr:uid="{00000000-0005-0000-0000-00003E0F0000}"/>
    <cellStyle name="Normal 13 8" xfId="3926" xr:uid="{00000000-0005-0000-0000-00003F0F0000}"/>
    <cellStyle name="Normal 13 9" xfId="3927" xr:uid="{00000000-0005-0000-0000-0000400F0000}"/>
    <cellStyle name="Normal 14" xfId="39" xr:uid="{00000000-0005-0000-0000-0000410F0000}"/>
    <cellStyle name="Normal 14 10" xfId="3929" xr:uid="{00000000-0005-0000-0000-0000420F0000}"/>
    <cellStyle name="Normal 14 10 10" xfId="3930" xr:uid="{00000000-0005-0000-0000-0000430F0000}"/>
    <cellStyle name="Normal 14 10 11" xfId="3931" xr:uid="{00000000-0005-0000-0000-0000440F0000}"/>
    <cellStyle name="Normal 14 10 12" xfId="3932" xr:uid="{00000000-0005-0000-0000-0000450F0000}"/>
    <cellStyle name="Normal 14 10 13" xfId="3933" xr:uid="{00000000-0005-0000-0000-0000460F0000}"/>
    <cellStyle name="Normal 14 10 14" xfId="3934" xr:uid="{00000000-0005-0000-0000-0000470F0000}"/>
    <cellStyle name="Normal 14 10 2" xfId="3935" xr:uid="{00000000-0005-0000-0000-0000480F0000}"/>
    <cellStyle name="Normal 14 10 2 2" xfId="3936" xr:uid="{00000000-0005-0000-0000-0000490F0000}"/>
    <cellStyle name="Normal 14 10 2 2 2" xfId="3937" xr:uid="{00000000-0005-0000-0000-00004A0F0000}"/>
    <cellStyle name="Normal 14 10 2 2 3" xfId="3938" xr:uid="{00000000-0005-0000-0000-00004B0F0000}"/>
    <cellStyle name="Normal 14 10 2 3" xfId="3939" xr:uid="{00000000-0005-0000-0000-00004C0F0000}"/>
    <cellStyle name="Normal 14 10 3" xfId="3940" xr:uid="{00000000-0005-0000-0000-00004D0F0000}"/>
    <cellStyle name="Normal 14 10 4" xfId="3941" xr:uid="{00000000-0005-0000-0000-00004E0F0000}"/>
    <cellStyle name="Normal 14 10 5" xfId="3942" xr:uid="{00000000-0005-0000-0000-00004F0F0000}"/>
    <cellStyle name="Normal 14 10 6" xfId="3943" xr:uid="{00000000-0005-0000-0000-0000500F0000}"/>
    <cellStyle name="Normal 14 10 7" xfId="3944" xr:uid="{00000000-0005-0000-0000-0000510F0000}"/>
    <cellStyle name="Normal 14 10 8" xfId="3945" xr:uid="{00000000-0005-0000-0000-0000520F0000}"/>
    <cellStyle name="Normal 14 10 9" xfId="3946" xr:uid="{00000000-0005-0000-0000-0000530F0000}"/>
    <cellStyle name="Normal 14 11" xfId="3947" xr:uid="{00000000-0005-0000-0000-0000540F0000}"/>
    <cellStyle name="Normal 14 12" xfId="3948" xr:uid="{00000000-0005-0000-0000-0000550F0000}"/>
    <cellStyle name="Normal 14 13" xfId="3949" xr:uid="{00000000-0005-0000-0000-0000560F0000}"/>
    <cellStyle name="Normal 14 13 2" xfId="3950" xr:uid="{00000000-0005-0000-0000-0000570F0000}"/>
    <cellStyle name="Normal 14 13 2 2" xfId="3951" xr:uid="{00000000-0005-0000-0000-0000580F0000}"/>
    <cellStyle name="Normal 14 13 2 3" xfId="3952" xr:uid="{00000000-0005-0000-0000-0000590F0000}"/>
    <cellStyle name="Normal 14 13 3" xfId="3953" xr:uid="{00000000-0005-0000-0000-00005A0F0000}"/>
    <cellStyle name="Normal 14 14" xfId="3954" xr:uid="{00000000-0005-0000-0000-00005B0F0000}"/>
    <cellStyle name="Normal 14 14 2" xfId="3955" xr:uid="{00000000-0005-0000-0000-00005C0F0000}"/>
    <cellStyle name="Normal 14 14 2 2" xfId="3956" xr:uid="{00000000-0005-0000-0000-00005D0F0000}"/>
    <cellStyle name="Normal 14 14 2 3" xfId="3957" xr:uid="{00000000-0005-0000-0000-00005E0F0000}"/>
    <cellStyle name="Normal 14 14 3" xfId="3958" xr:uid="{00000000-0005-0000-0000-00005F0F0000}"/>
    <cellStyle name="Normal 14 15" xfId="3959" xr:uid="{00000000-0005-0000-0000-0000600F0000}"/>
    <cellStyle name="Normal 14 16" xfId="3960" xr:uid="{00000000-0005-0000-0000-0000610F0000}"/>
    <cellStyle name="Normal 14 17" xfId="3961" xr:uid="{00000000-0005-0000-0000-0000620F0000}"/>
    <cellStyle name="Normal 14 18" xfId="3962" xr:uid="{00000000-0005-0000-0000-0000630F0000}"/>
    <cellStyle name="Normal 14 19" xfId="3963" xr:uid="{00000000-0005-0000-0000-0000640F0000}"/>
    <cellStyle name="Normal 14 2" xfId="3964" xr:uid="{00000000-0005-0000-0000-0000650F0000}"/>
    <cellStyle name="Normal 14 20" xfId="3965" xr:uid="{00000000-0005-0000-0000-0000660F0000}"/>
    <cellStyle name="Normal 14 21" xfId="3966" xr:uid="{00000000-0005-0000-0000-0000670F0000}"/>
    <cellStyle name="Normal 14 22" xfId="3967" xr:uid="{00000000-0005-0000-0000-0000680F0000}"/>
    <cellStyle name="Normal 14 23" xfId="3968" xr:uid="{00000000-0005-0000-0000-0000690F0000}"/>
    <cellStyle name="Normal 14 24" xfId="3969" xr:uid="{00000000-0005-0000-0000-00006A0F0000}"/>
    <cellStyle name="Normal 14 25" xfId="3928" xr:uid="{00000000-0005-0000-0000-00006B0F0000}"/>
    <cellStyle name="Normal 14 3" xfId="3970" xr:uid="{00000000-0005-0000-0000-00006C0F0000}"/>
    <cellStyle name="Normal 14 4" xfId="3971" xr:uid="{00000000-0005-0000-0000-00006D0F0000}"/>
    <cellStyle name="Normal 14 5" xfId="3972" xr:uid="{00000000-0005-0000-0000-00006E0F0000}"/>
    <cellStyle name="Normal 14 6" xfId="3973" xr:uid="{00000000-0005-0000-0000-00006F0F0000}"/>
    <cellStyle name="Normal 14 7" xfId="3974" xr:uid="{00000000-0005-0000-0000-0000700F0000}"/>
    <cellStyle name="Normal 14 8" xfId="3975" xr:uid="{00000000-0005-0000-0000-0000710F0000}"/>
    <cellStyle name="Normal 14 9" xfId="3976" xr:uid="{00000000-0005-0000-0000-0000720F0000}"/>
    <cellStyle name="Normal 15" xfId="37" xr:uid="{00000000-0005-0000-0000-0000730F0000}"/>
    <cellStyle name="Normal 15 10" xfId="3978" xr:uid="{00000000-0005-0000-0000-0000740F0000}"/>
    <cellStyle name="Normal 15 11" xfId="3979" xr:uid="{00000000-0005-0000-0000-0000750F0000}"/>
    <cellStyle name="Normal 15 11 2" xfId="3980" xr:uid="{00000000-0005-0000-0000-0000760F0000}"/>
    <cellStyle name="Normal 15 11 2 2" xfId="3981" xr:uid="{00000000-0005-0000-0000-0000770F0000}"/>
    <cellStyle name="Normal 15 11 2 3" xfId="3982" xr:uid="{00000000-0005-0000-0000-0000780F0000}"/>
    <cellStyle name="Normal 15 11 3" xfId="3983" xr:uid="{00000000-0005-0000-0000-0000790F0000}"/>
    <cellStyle name="Normal 15 12" xfId="3984" xr:uid="{00000000-0005-0000-0000-00007A0F0000}"/>
    <cellStyle name="Normal 15 12 2" xfId="3985" xr:uid="{00000000-0005-0000-0000-00007B0F0000}"/>
    <cellStyle name="Normal 15 12 2 2" xfId="3986" xr:uid="{00000000-0005-0000-0000-00007C0F0000}"/>
    <cellStyle name="Normal 15 12 2 3" xfId="3987" xr:uid="{00000000-0005-0000-0000-00007D0F0000}"/>
    <cellStyle name="Normal 15 12 3" xfId="3988" xr:uid="{00000000-0005-0000-0000-00007E0F0000}"/>
    <cellStyle name="Normal 15 13" xfId="3989" xr:uid="{00000000-0005-0000-0000-00007F0F0000}"/>
    <cellStyle name="Normal 15 14" xfId="3990" xr:uid="{00000000-0005-0000-0000-0000800F0000}"/>
    <cellStyle name="Normal 15 15" xfId="3991" xr:uid="{00000000-0005-0000-0000-0000810F0000}"/>
    <cellStyle name="Normal 15 16" xfId="3992" xr:uid="{00000000-0005-0000-0000-0000820F0000}"/>
    <cellStyle name="Normal 15 17" xfId="3993" xr:uid="{00000000-0005-0000-0000-0000830F0000}"/>
    <cellStyle name="Normal 15 18" xfId="3994" xr:uid="{00000000-0005-0000-0000-0000840F0000}"/>
    <cellStyle name="Normal 15 19" xfId="3995" xr:uid="{00000000-0005-0000-0000-0000850F0000}"/>
    <cellStyle name="Normal 15 2" xfId="3996" xr:uid="{00000000-0005-0000-0000-0000860F0000}"/>
    <cellStyle name="Normal 15 20" xfId="3997" xr:uid="{00000000-0005-0000-0000-0000870F0000}"/>
    <cellStyle name="Normal 15 21" xfId="3998" xr:uid="{00000000-0005-0000-0000-0000880F0000}"/>
    <cellStyle name="Normal 15 22" xfId="3999" xr:uid="{00000000-0005-0000-0000-0000890F0000}"/>
    <cellStyle name="Normal 15 23" xfId="3977" xr:uid="{00000000-0005-0000-0000-00008A0F0000}"/>
    <cellStyle name="Normal 15 3" xfId="4000" xr:uid="{00000000-0005-0000-0000-00008B0F0000}"/>
    <cellStyle name="Normal 15 4" xfId="4001" xr:uid="{00000000-0005-0000-0000-00008C0F0000}"/>
    <cellStyle name="Normal 15 5" xfId="4002" xr:uid="{00000000-0005-0000-0000-00008D0F0000}"/>
    <cellStyle name="Normal 15 6" xfId="4003" xr:uid="{00000000-0005-0000-0000-00008E0F0000}"/>
    <cellStyle name="Normal 15 7" xfId="4004" xr:uid="{00000000-0005-0000-0000-00008F0F0000}"/>
    <cellStyle name="Normal 15 8" xfId="4005" xr:uid="{00000000-0005-0000-0000-0000900F0000}"/>
    <cellStyle name="Normal 15 8 10" xfId="4006" xr:uid="{00000000-0005-0000-0000-0000910F0000}"/>
    <cellStyle name="Normal 15 8 11" xfId="4007" xr:uid="{00000000-0005-0000-0000-0000920F0000}"/>
    <cellStyle name="Normal 15 8 12" xfId="4008" xr:uid="{00000000-0005-0000-0000-0000930F0000}"/>
    <cellStyle name="Normal 15 8 13" xfId="4009" xr:uid="{00000000-0005-0000-0000-0000940F0000}"/>
    <cellStyle name="Normal 15 8 14" xfId="4010" xr:uid="{00000000-0005-0000-0000-0000950F0000}"/>
    <cellStyle name="Normal 15 8 2" xfId="4011" xr:uid="{00000000-0005-0000-0000-0000960F0000}"/>
    <cellStyle name="Normal 15 8 2 2" xfId="4012" xr:uid="{00000000-0005-0000-0000-0000970F0000}"/>
    <cellStyle name="Normal 15 8 2 2 2" xfId="4013" xr:uid="{00000000-0005-0000-0000-0000980F0000}"/>
    <cellStyle name="Normal 15 8 2 2 3" xfId="4014" xr:uid="{00000000-0005-0000-0000-0000990F0000}"/>
    <cellStyle name="Normal 15 8 2 3" xfId="4015" xr:uid="{00000000-0005-0000-0000-00009A0F0000}"/>
    <cellStyle name="Normal 15 8 3" xfId="4016" xr:uid="{00000000-0005-0000-0000-00009B0F0000}"/>
    <cellStyle name="Normal 15 8 4" xfId="4017" xr:uid="{00000000-0005-0000-0000-00009C0F0000}"/>
    <cellStyle name="Normal 15 8 5" xfId="4018" xr:uid="{00000000-0005-0000-0000-00009D0F0000}"/>
    <cellStyle name="Normal 15 8 6" xfId="4019" xr:uid="{00000000-0005-0000-0000-00009E0F0000}"/>
    <cellStyle name="Normal 15 8 7" xfId="4020" xr:uid="{00000000-0005-0000-0000-00009F0F0000}"/>
    <cellStyle name="Normal 15 8 8" xfId="4021" xr:uid="{00000000-0005-0000-0000-0000A00F0000}"/>
    <cellStyle name="Normal 15 8 9" xfId="4022" xr:uid="{00000000-0005-0000-0000-0000A10F0000}"/>
    <cellStyle name="Normal 15 9" xfId="4023" xr:uid="{00000000-0005-0000-0000-0000A20F0000}"/>
    <cellStyle name="Normal 16" xfId="40" xr:uid="{00000000-0005-0000-0000-0000A30F0000}"/>
    <cellStyle name="Normal 16 10" xfId="4025" xr:uid="{00000000-0005-0000-0000-0000A40F0000}"/>
    <cellStyle name="Normal 16 11" xfId="4026" xr:uid="{00000000-0005-0000-0000-0000A50F0000}"/>
    <cellStyle name="Normal 16 12" xfId="4027" xr:uid="{00000000-0005-0000-0000-0000A60F0000}"/>
    <cellStyle name="Normal 16 13" xfId="4028" xr:uid="{00000000-0005-0000-0000-0000A70F0000}"/>
    <cellStyle name="Normal 16 14" xfId="4029" xr:uid="{00000000-0005-0000-0000-0000A80F0000}"/>
    <cellStyle name="Normal 16 15" xfId="4030" xr:uid="{00000000-0005-0000-0000-0000A90F0000}"/>
    <cellStyle name="Normal 16 16" xfId="4031" xr:uid="{00000000-0005-0000-0000-0000AA0F0000}"/>
    <cellStyle name="Normal 16 17" xfId="4032" xr:uid="{00000000-0005-0000-0000-0000AB0F0000}"/>
    <cellStyle name="Normal 16 18" xfId="4033" xr:uid="{00000000-0005-0000-0000-0000AC0F0000}"/>
    <cellStyle name="Normal 16 19" xfId="4024" xr:uid="{00000000-0005-0000-0000-0000AD0F0000}"/>
    <cellStyle name="Normal 16 2" xfId="4034" xr:uid="{00000000-0005-0000-0000-0000AE0F0000}"/>
    <cellStyle name="Normal 16 2 10" xfId="4035" xr:uid="{00000000-0005-0000-0000-0000AF0F0000}"/>
    <cellStyle name="Normal 16 2 11" xfId="4036" xr:uid="{00000000-0005-0000-0000-0000B00F0000}"/>
    <cellStyle name="Normal 16 2 12" xfId="4037" xr:uid="{00000000-0005-0000-0000-0000B10F0000}"/>
    <cellStyle name="Normal 16 2 13" xfId="4038" xr:uid="{00000000-0005-0000-0000-0000B20F0000}"/>
    <cellStyle name="Normal 16 2 14" xfId="4039" xr:uid="{00000000-0005-0000-0000-0000B30F0000}"/>
    <cellStyle name="Normal 16 2 15" xfId="4040" xr:uid="{00000000-0005-0000-0000-0000B40F0000}"/>
    <cellStyle name="Normal 16 2 16" xfId="4041" xr:uid="{00000000-0005-0000-0000-0000B50F0000}"/>
    <cellStyle name="Normal 16 2 17" xfId="4042" xr:uid="{00000000-0005-0000-0000-0000B60F0000}"/>
    <cellStyle name="Normal 16 2 2" xfId="4043" xr:uid="{00000000-0005-0000-0000-0000B70F0000}"/>
    <cellStyle name="Normal 16 2 2 10" xfId="4044" xr:uid="{00000000-0005-0000-0000-0000B80F0000}"/>
    <cellStyle name="Normal 16 2 2 11" xfId="4045" xr:uid="{00000000-0005-0000-0000-0000B90F0000}"/>
    <cellStyle name="Normal 16 2 2 12" xfId="4046" xr:uid="{00000000-0005-0000-0000-0000BA0F0000}"/>
    <cellStyle name="Normal 16 2 2 13" xfId="4047" xr:uid="{00000000-0005-0000-0000-0000BB0F0000}"/>
    <cellStyle name="Normal 16 2 2 14" xfId="4048" xr:uid="{00000000-0005-0000-0000-0000BC0F0000}"/>
    <cellStyle name="Normal 16 2 2 2" xfId="4049" xr:uid="{00000000-0005-0000-0000-0000BD0F0000}"/>
    <cellStyle name="Normal 16 2 2 2 2" xfId="4050" xr:uid="{00000000-0005-0000-0000-0000BE0F0000}"/>
    <cellStyle name="Normal 16 2 2 2 2 2" xfId="4051" xr:uid="{00000000-0005-0000-0000-0000BF0F0000}"/>
    <cellStyle name="Normal 16 2 2 2 2 3" xfId="4052" xr:uid="{00000000-0005-0000-0000-0000C00F0000}"/>
    <cellStyle name="Normal 16 2 2 2 3" xfId="4053" xr:uid="{00000000-0005-0000-0000-0000C10F0000}"/>
    <cellStyle name="Normal 16 2 2 3" xfId="4054" xr:uid="{00000000-0005-0000-0000-0000C20F0000}"/>
    <cellStyle name="Normal 16 2 2 4" xfId="4055" xr:uid="{00000000-0005-0000-0000-0000C30F0000}"/>
    <cellStyle name="Normal 16 2 2 5" xfId="4056" xr:uid="{00000000-0005-0000-0000-0000C40F0000}"/>
    <cellStyle name="Normal 16 2 2 6" xfId="4057" xr:uid="{00000000-0005-0000-0000-0000C50F0000}"/>
    <cellStyle name="Normal 16 2 2 7" xfId="4058" xr:uid="{00000000-0005-0000-0000-0000C60F0000}"/>
    <cellStyle name="Normal 16 2 2 8" xfId="4059" xr:uid="{00000000-0005-0000-0000-0000C70F0000}"/>
    <cellStyle name="Normal 16 2 2 9" xfId="4060" xr:uid="{00000000-0005-0000-0000-0000C80F0000}"/>
    <cellStyle name="Normal 16 2 3" xfId="4061" xr:uid="{00000000-0005-0000-0000-0000C90F0000}"/>
    <cellStyle name="Normal 16 2 4" xfId="4062" xr:uid="{00000000-0005-0000-0000-0000CA0F0000}"/>
    <cellStyle name="Normal 16 2 5" xfId="4063" xr:uid="{00000000-0005-0000-0000-0000CB0F0000}"/>
    <cellStyle name="Normal 16 2 6" xfId="4064" xr:uid="{00000000-0005-0000-0000-0000CC0F0000}"/>
    <cellStyle name="Normal 16 2 6 2" xfId="4065" xr:uid="{00000000-0005-0000-0000-0000CD0F0000}"/>
    <cellStyle name="Normal 16 2 6 2 2" xfId="4066" xr:uid="{00000000-0005-0000-0000-0000CE0F0000}"/>
    <cellStyle name="Normal 16 2 6 2 3" xfId="4067" xr:uid="{00000000-0005-0000-0000-0000CF0F0000}"/>
    <cellStyle name="Normal 16 2 6 3" xfId="4068" xr:uid="{00000000-0005-0000-0000-0000D00F0000}"/>
    <cellStyle name="Normal 16 2 7" xfId="4069" xr:uid="{00000000-0005-0000-0000-0000D10F0000}"/>
    <cellStyle name="Normal 16 2 7 2" xfId="4070" xr:uid="{00000000-0005-0000-0000-0000D20F0000}"/>
    <cellStyle name="Normal 16 2 7 2 2" xfId="4071" xr:uid="{00000000-0005-0000-0000-0000D30F0000}"/>
    <cellStyle name="Normal 16 2 7 2 3" xfId="4072" xr:uid="{00000000-0005-0000-0000-0000D40F0000}"/>
    <cellStyle name="Normal 16 2 7 3" xfId="4073" xr:uid="{00000000-0005-0000-0000-0000D50F0000}"/>
    <cellStyle name="Normal 16 2 8" xfId="4074" xr:uid="{00000000-0005-0000-0000-0000D60F0000}"/>
    <cellStyle name="Normal 16 2 9" xfId="4075" xr:uid="{00000000-0005-0000-0000-0000D70F0000}"/>
    <cellStyle name="Normal 16 3" xfId="4076" xr:uid="{00000000-0005-0000-0000-0000D80F0000}"/>
    <cellStyle name="Normal 16 4" xfId="4077" xr:uid="{00000000-0005-0000-0000-0000D90F0000}"/>
    <cellStyle name="Normal 16 4 10" xfId="4078" xr:uid="{00000000-0005-0000-0000-0000DA0F0000}"/>
    <cellStyle name="Normal 16 4 11" xfId="4079" xr:uid="{00000000-0005-0000-0000-0000DB0F0000}"/>
    <cellStyle name="Normal 16 4 12" xfId="4080" xr:uid="{00000000-0005-0000-0000-0000DC0F0000}"/>
    <cellStyle name="Normal 16 4 13" xfId="4081" xr:uid="{00000000-0005-0000-0000-0000DD0F0000}"/>
    <cellStyle name="Normal 16 4 14" xfId="4082" xr:uid="{00000000-0005-0000-0000-0000DE0F0000}"/>
    <cellStyle name="Normal 16 4 2" xfId="4083" xr:uid="{00000000-0005-0000-0000-0000DF0F0000}"/>
    <cellStyle name="Normal 16 4 2 2" xfId="4084" xr:uid="{00000000-0005-0000-0000-0000E00F0000}"/>
    <cellStyle name="Normal 16 4 2 2 2" xfId="4085" xr:uid="{00000000-0005-0000-0000-0000E10F0000}"/>
    <cellStyle name="Normal 16 4 2 2 3" xfId="4086" xr:uid="{00000000-0005-0000-0000-0000E20F0000}"/>
    <cellStyle name="Normal 16 4 2 3" xfId="4087" xr:uid="{00000000-0005-0000-0000-0000E30F0000}"/>
    <cellStyle name="Normal 16 4 3" xfId="4088" xr:uid="{00000000-0005-0000-0000-0000E40F0000}"/>
    <cellStyle name="Normal 16 4 4" xfId="4089" xr:uid="{00000000-0005-0000-0000-0000E50F0000}"/>
    <cellStyle name="Normal 16 4 5" xfId="4090" xr:uid="{00000000-0005-0000-0000-0000E60F0000}"/>
    <cellStyle name="Normal 16 4 6" xfId="4091" xr:uid="{00000000-0005-0000-0000-0000E70F0000}"/>
    <cellStyle name="Normal 16 4 7" xfId="4092" xr:uid="{00000000-0005-0000-0000-0000E80F0000}"/>
    <cellStyle name="Normal 16 4 8" xfId="4093" xr:uid="{00000000-0005-0000-0000-0000E90F0000}"/>
    <cellStyle name="Normal 16 4 9" xfId="4094" xr:uid="{00000000-0005-0000-0000-0000EA0F0000}"/>
    <cellStyle name="Normal 16 5" xfId="4095" xr:uid="{00000000-0005-0000-0000-0000EB0F0000}"/>
    <cellStyle name="Normal 16 6" xfId="4096" xr:uid="{00000000-0005-0000-0000-0000EC0F0000}"/>
    <cellStyle name="Normal 16 7" xfId="4097" xr:uid="{00000000-0005-0000-0000-0000ED0F0000}"/>
    <cellStyle name="Normal 16 7 2" xfId="4098" xr:uid="{00000000-0005-0000-0000-0000EE0F0000}"/>
    <cellStyle name="Normal 16 7 2 2" xfId="4099" xr:uid="{00000000-0005-0000-0000-0000EF0F0000}"/>
    <cellStyle name="Normal 16 7 2 3" xfId="4100" xr:uid="{00000000-0005-0000-0000-0000F00F0000}"/>
    <cellStyle name="Normal 16 7 3" xfId="4101" xr:uid="{00000000-0005-0000-0000-0000F10F0000}"/>
    <cellStyle name="Normal 16 8" xfId="4102" xr:uid="{00000000-0005-0000-0000-0000F20F0000}"/>
    <cellStyle name="Normal 16 8 2" xfId="4103" xr:uid="{00000000-0005-0000-0000-0000F30F0000}"/>
    <cellStyle name="Normal 16 8 2 2" xfId="4104" xr:uid="{00000000-0005-0000-0000-0000F40F0000}"/>
    <cellStyle name="Normal 16 8 2 3" xfId="4105" xr:uid="{00000000-0005-0000-0000-0000F50F0000}"/>
    <cellStyle name="Normal 16 8 3" xfId="4106" xr:uid="{00000000-0005-0000-0000-0000F60F0000}"/>
    <cellStyle name="Normal 16 9" xfId="4107" xr:uid="{00000000-0005-0000-0000-0000F70F0000}"/>
    <cellStyle name="Normal 17" xfId="43" xr:uid="{00000000-0005-0000-0000-0000F80F0000}"/>
    <cellStyle name="Normal 17 10" xfId="4109" xr:uid="{00000000-0005-0000-0000-0000F90F0000}"/>
    <cellStyle name="Normal 17 11" xfId="4110" xr:uid="{00000000-0005-0000-0000-0000FA0F0000}"/>
    <cellStyle name="Normal 17 12" xfId="4111" xr:uid="{00000000-0005-0000-0000-0000FB0F0000}"/>
    <cellStyle name="Normal 17 13" xfId="4112" xr:uid="{00000000-0005-0000-0000-0000FC0F0000}"/>
    <cellStyle name="Normal 17 14" xfId="4113" xr:uid="{00000000-0005-0000-0000-0000FD0F0000}"/>
    <cellStyle name="Normal 17 15" xfId="4114" xr:uid="{00000000-0005-0000-0000-0000FE0F0000}"/>
    <cellStyle name="Normal 17 16" xfId="4115" xr:uid="{00000000-0005-0000-0000-0000FF0F0000}"/>
    <cellStyle name="Normal 17 17" xfId="4116" xr:uid="{00000000-0005-0000-0000-000000100000}"/>
    <cellStyle name="Normal 17 18" xfId="4117" xr:uid="{00000000-0005-0000-0000-000001100000}"/>
    <cellStyle name="Normal 17 19" xfId="4108" xr:uid="{00000000-0005-0000-0000-000002100000}"/>
    <cellStyle name="Normal 17 2" xfId="4118" xr:uid="{00000000-0005-0000-0000-000003100000}"/>
    <cellStyle name="Normal 17 2 10" xfId="4119" xr:uid="{00000000-0005-0000-0000-000004100000}"/>
    <cellStyle name="Normal 17 2 11" xfId="4120" xr:uid="{00000000-0005-0000-0000-000005100000}"/>
    <cellStyle name="Normal 17 2 12" xfId="4121" xr:uid="{00000000-0005-0000-0000-000006100000}"/>
    <cellStyle name="Normal 17 2 13" xfId="4122" xr:uid="{00000000-0005-0000-0000-000007100000}"/>
    <cellStyle name="Normal 17 2 14" xfId="4123" xr:uid="{00000000-0005-0000-0000-000008100000}"/>
    <cellStyle name="Normal 17 2 15" xfId="4124" xr:uid="{00000000-0005-0000-0000-000009100000}"/>
    <cellStyle name="Normal 17 2 16" xfId="4125" xr:uid="{00000000-0005-0000-0000-00000A100000}"/>
    <cellStyle name="Normal 17 2 17" xfId="4126" xr:uid="{00000000-0005-0000-0000-00000B100000}"/>
    <cellStyle name="Normal 17 2 2" xfId="4127" xr:uid="{00000000-0005-0000-0000-00000C100000}"/>
    <cellStyle name="Normal 17 2 2 10" xfId="4128" xr:uid="{00000000-0005-0000-0000-00000D100000}"/>
    <cellStyle name="Normal 17 2 2 11" xfId="4129" xr:uid="{00000000-0005-0000-0000-00000E100000}"/>
    <cellStyle name="Normal 17 2 2 12" xfId="4130" xr:uid="{00000000-0005-0000-0000-00000F100000}"/>
    <cellStyle name="Normal 17 2 2 13" xfId="4131" xr:uid="{00000000-0005-0000-0000-000010100000}"/>
    <cellStyle name="Normal 17 2 2 14" xfId="4132" xr:uid="{00000000-0005-0000-0000-000011100000}"/>
    <cellStyle name="Normal 17 2 2 2" xfId="4133" xr:uid="{00000000-0005-0000-0000-000012100000}"/>
    <cellStyle name="Normal 17 2 2 2 2" xfId="4134" xr:uid="{00000000-0005-0000-0000-000013100000}"/>
    <cellStyle name="Normal 17 2 2 2 2 2" xfId="4135" xr:uid="{00000000-0005-0000-0000-000014100000}"/>
    <cellStyle name="Normal 17 2 2 2 2 3" xfId="4136" xr:uid="{00000000-0005-0000-0000-000015100000}"/>
    <cellStyle name="Normal 17 2 2 2 3" xfId="4137" xr:uid="{00000000-0005-0000-0000-000016100000}"/>
    <cellStyle name="Normal 17 2 2 3" xfId="4138" xr:uid="{00000000-0005-0000-0000-000017100000}"/>
    <cellStyle name="Normal 17 2 2 4" xfId="4139" xr:uid="{00000000-0005-0000-0000-000018100000}"/>
    <cellStyle name="Normal 17 2 2 5" xfId="4140" xr:uid="{00000000-0005-0000-0000-000019100000}"/>
    <cellStyle name="Normal 17 2 2 6" xfId="4141" xr:uid="{00000000-0005-0000-0000-00001A100000}"/>
    <cellStyle name="Normal 17 2 2 7" xfId="4142" xr:uid="{00000000-0005-0000-0000-00001B100000}"/>
    <cellStyle name="Normal 17 2 2 8" xfId="4143" xr:uid="{00000000-0005-0000-0000-00001C100000}"/>
    <cellStyle name="Normal 17 2 2 9" xfId="4144" xr:uid="{00000000-0005-0000-0000-00001D100000}"/>
    <cellStyle name="Normal 17 2 3" xfId="4145" xr:uid="{00000000-0005-0000-0000-00001E100000}"/>
    <cellStyle name="Normal 17 2 4" xfId="4146" xr:uid="{00000000-0005-0000-0000-00001F100000}"/>
    <cellStyle name="Normal 17 2 5" xfId="4147" xr:uid="{00000000-0005-0000-0000-000020100000}"/>
    <cellStyle name="Normal 17 2 6" xfId="4148" xr:uid="{00000000-0005-0000-0000-000021100000}"/>
    <cellStyle name="Normal 17 2 6 2" xfId="4149" xr:uid="{00000000-0005-0000-0000-000022100000}"/>
    <cellStyle name="Normal 17 2 6 2 2" xfId="4150" xr:uid="{00000000-0005-0000-0000-000023100000}"/>
    <cellStyle name="Normal 17 2 6 2 3" xfId="4151" xr:uid="{00000000-0005-0000-0000-000024100000}"/>
    <cellStyle name="Normal 17 2 6 3" xfId="4152" xr:uid="{00000000-0005-0000-0000-000025100000}"/>
    <cellStyle name="Normal 17 2 7" xfId="4153" xr:uid="{00000000-0005-0000-0000-000026100000}"/>
    <cellStyle name="Normal 17 2 7 2" xfId="4154" xr:uid="{00000000-0005-0000-0000-000027100000}"/>
    <cellStyle name="Normal 17 2 7 2 2" xfId="4155" xr:uid="{00000000-0005-0000-0000-000028100000}"/>
    <cellStyle name="Normal 17 2 7 2 3" xfId="4156" xr:uid="{00000000-0005-0000-0000-000029100000}"/>
    <cellStyle name="Normal 17 2 7 3" xfId="4157" xr:uid="{00000000-0005-0000-0000-00002A100000}"/>
    <cellStyle name="Normal 17 2 8" xfId="4158" xr:uid="{00000000-0005-0000-0000-00002B100000}"/>
    <cellStyle name="Normal 17 2 9" xfId="4159" xr:uid="{00000000-0005-0000-0000-00002C100000}"/>
    <cellStyle name="Normal 17 3" xfId="4160" xr:uid="{00000000-0005-0000-0000-00002D100000}"/>
    <cellStyle name="Normal 17 4" xfId="4161" xr:uid="{00000000-0005-0000-0000-00002E100000}"/>
    <cellStyle name="Normal 17 4 10" xfId="4162" xr:uid="{00000000-0005-0000-0000-00002F100000}"/>
    <cellStyle name="Normal 17 4 11" xfId="4163" xr:uid="{00000000-0005-0000-0000-000030100000}"/>
    <cellStyle name="Normal 17 4 12" xfId="4164" xr:uid="{00000000-0005-0000-0000-000031100000}"/>
    <cellStyle name="Normal 17 4 13" xfId="4165" xr:uid="{00000000-0005-0000-0000-000032100000}"/>
    <cellStyle name="Normal 17 4 14" xfId="4166" xr:uid="{00000000-0005-0000-0000-000033100000}"/>
    <cellStyle name="Normal 17 4 2" xfId="4167" xr:uid="{00000000-0005-0000-0000-000034100000}"/>
    <cellStyle name="Normal 17 4 2 2" xfId="4168" xr:uid="{00000000-0005-0000-0000-000035100000}"/>
    <cellStyle name="Normal 17 4 2 2 2" xfId="4169" xr:uid="{00000000-0005-0000-0000-000036100000}"/>
    <cellStyle name="Normal 17 4 2 2 3" xfId="4170" xr:uid="{00000000-0005-0000-0000-000037100000}"/>
    <cellStyle name="Normal 17 4 2 3" xfId="4171" xr:uid="{00000000-0005-0000-0000-000038100000}"/>
    <cellStyle name="Normal 17 4 3" xfId="4172" xr:uid="{00000000-0005-0000-0000-000039100000}"/>
    <cellStyle name="Normal 17 4 4" xfId="4173" xr:uid="{00000000-0005-0000-0000-00003A100000}"/>
    <cellStyle name="Normal 17 4 5" xfId="4174" xr:uid="{00000000-0005-0000-0000-00003B100000}"/>
    <cellStyle name="Normal 17 4 6" xfId="4175" xr:uid="{00000000-0005-0000-0000-00003C100000}"/>
    <cellStyle name="Normal 17 4 7" xfId="4176" xr:uid="{00000000-0005-0000-0000-00003D100000}"/>
    <cellStyle name="Normal 17 4 8" xfId="4177" xr:uid="{00000000-0005-0000-0000-00003E100000}"/>
    <cellStyle name="Normal 17 4 9" xfId="4178" xr:uid="{00000000-0005-0000-0000-00003F100000}"/>
    <cellStyle name="Normal 17 5" xfId="4179" xr:uid="{00000000-0005-0000-0000-000040100000}"/>
    <cellStyle name="Normal 17 6" xfId="4180" xr:uid="{00000000-0005-0000-0000-000041100000}"/>
    <cellStyle name="Normal 17 7" xfId="4181" xr:uid="{00000000-0005-0000-0000-000042100000}"/>
    <cellStyle name="Normal 17 7 2" xfId="4182" xr:uid="{00000000-0005-0000-0000-000043100000}"/>
    <cellStyle name="Normal 17 7 2 2" xfId="4183" xr:uid="{00000000-0005-0000-0000-000044100000}"/>
    <cellStyle name="Normal 17 7 2 3" xfId="4184" xr:uid="{00000000-0005-0000-0000-000045100000}"/>
    <cellStyle name="Normal 17 7 3" xfId="4185" xr:uid="{00000000-0005-0000-0000-000046100000}"/>
    <cellStyle name="Normal 17 8" xfId="4186" xr:uid="{00000000-0005-0000-0000-000047100000}"/>
    <cellStyle name="Normal 17 8 2" xfId="4187" xr:uid="{00000000-0005-0000-0000-000048100000}"/>
    <cellStyle name="Normal 17 8 2 2" xfId="4188" xr:uid="{00000000-0005-0000-0000-000049100000}"/>
    <cellStyle name="Normal 17 8 2 3" xfId="4189" xr:uid="{00000000-0005-0000-0000-00004A100000}"/>
    <cellStyle name="Normal 17 8 3" xfId="4190" xr:uid="{00000000-0005-0000-0000-00004B100000}"/>
    <cellStyle name="Normal 17 9" xfId="4191" xr:uid="{00000000-0005-0000-0000-00004C100000}"/>
    <cellStyle name="Normal 18" xfId="41" xr:uid="{00000000-0005-0000-0000-00004D100000}"/>
    <cellStyle name="Normal 18 10" xfId="4193" xr:uid="{00000000-0005-0000-0000-00004E100000}"/>
    <cellStyle name="Normal 18 10 10" xfId="4194" xr:uid="{00000000-0005-0000-0000-00004F100000}"/>
    <cellStyle name="Normal 18 10 11" xfId="4195" xr:uid="{00000000-0005-0000-0000-000050100000}"/>
    <cellStyle name="Normal 18 10 12" xfId="4196" xr:uid="{00000000-0005-0000-0000-000051100000}"/>
    <cellStyle name="Normal 18 10 13" xfId="4197" xr:uid="{00000000-0005-0000-0000-000052100000}"/>
    <cellStyle name="Normal 18 10 14" xfId="4198" xr:uid="{00000000-0005-0000-0000-000053100000}"/>
    <cellStyle name="Normal 18 10 2" xfId="4199" xr:uid="{00000000-0005-0000-0000-000054100000}"/>
    <cellStyle name="Normal 18 10 2 2" xfId="4200" xr:uid="{00000000-0005-0000-0000-000055100000}"/>
    <cellStyle name="Normal 18 10 2 2 2" xfId="4201" xr:uid="{00000000-0005-0000-0000-000056100000}"/>
    <cellStyle name="Normal 18 10 2 2 3" xfId="4202" xr:uid="{00000000-0005-0000-0000-000057100000}"/>
    <cellStyle name="Normal 18 10 2 3" xfId="4203" xr:uid="{00000000-0005-0000-0000-000058100000}"/>
    <cellStyle name="Normal 18 10 3" xfId="4204" xr:uid="{00000000-0005-0000-0000-000059100000}"/>
    <cellStyle name="Normal 18 10 4" xfId="4205" xr:uid="{00000000-0005-0000-0000-00005A100000}"/>
    <cellStyle name="Normal 18 10 5" xfId="4206" xr:uid="{00000000-0005-0000-0000-00005B100000}"/>
    <cellStyle name="Normal 18 10 6" xfId="4207" xr:uid="{00000000-0005-0000-0000-00005C100000}"/>
    <cellStyle name="Normal 18 10 7" xfId="4208" xr:uid="{00000000-0005-0000-0000-00005D100000}"/>
    <cellStyle name="Normal 18 10 8" xfId="4209" xr:uid="{00000000-0005-0000-0000-00005E100000}"/>
    <cellStyle name="Normal 18 10 9" xfId="4210" xr:uid="{00000000-0005-0000-0000-00005F100000}"/>
    <cellStyle name="Normal 18 11" xfId="4211" xr:uid="{00000000-0005-0000-0000-000060100000}"/>
    <cellStyle name="Normal 18 12" xfId="4212" xr:uid="{00000000-0005-0000-0000-000061100000}"/>
    <cellStyle name="Normal 18 13" xfId="4213" xr:uid="{00000000-0005-0000-0000-000062100000}"/>
    <cellStyle name="Normal 18 13 2" xfId="4214" xr:uid="{00000000-0005-0000-0000-000063100000}"/>
    <cellStyle name="Normal 18 13 2 2" xfId="4215" xr:uid="{00000000-0005-0000-0000-000064100000}"/>
    <cellStyle name="Normal 18 13 2 3" xfId="4216" xr:uid="{00000000-0005-0000-0000-000065100000}"/>
    <cellStyle name="Normal 18 13 3" xfId="4217" xr:uid="{00000000-0005-0000-0000-000066100000}"/>
    <cellStyle name="Normal 18 14" xfId="4218" xr:uid="{00000000-0005-0000-0000-000067100000}"/>
    <cellStyle name="Normal 18 14 2" xfId="4219" xr:uid="{00000000-0005-0000-0000-000068100000}"/>
    <cellStyle name="Normal 18 14 2 2" xfId="4220" xr:uid="{00000000-0005-0000-0000-000069100000}"/>
    <cellStyle name="Normal 18 14 2 3" xfId="4221" xr:uid="{00000000-0005-0000-0000-00006A100000}"/>
    <cellStyle name="Normal 18 14 3" xfId="4222" xr:uid="{00000000-0005-0000-0000-00006B100000}"/>
    <cellStyle name="Normal 18 15" xfId="4223" xr:uid="{00000000-0005-0000-0000-00006C100000}"/>
    <cellStyle name="Normal 18 16" xfId="4224" xr:uid="{00000000-0005-0000-0000-00006D100000}"/>
    <cellStyle name="Normal 18 17" xfId="4225" xr:uid="{00000000-0005-0000-0000-00006E100000}"/>
    <cellStyle name="Normal 18 18" xfId="4226" xr:uid="{00000000-0005-0000-0000-00006F100000}"/>
    <cellStyle name="Normal 18 19" xfId="4227" xr:uid="{00000000-0005-0000-0000-000070100000}"/>
    <cellStyle name="Normal 18 2" xfId="4228" xr:uid="{00000000-0005-0000-0000-000071100000}"/>
    <cellStyle name="Normal 18 20" xfId="4229" xr:uid="{00000000-0005-0000-0000-000072100000}"/>
    <cellStyle name="Normal 18 21" xfId="4230" xr:uid="{00000000-0005-0000-0000-000073100000}"/>
    <cellStyle name="Normal 18 22" xfId="4231" xr:uid="{00000000-0005-0000-0000-000074100000}"/>
    <cellStyle name="Normal 18 23" xfId="4232" xr:uid="{00000000-0005-0000-0000-000075100000}"/>
    <cellStyle name="Normal 18 24" xfId="4233" xr:uid="{00000000-0005-0000-0000-000076100000}"/>
    <cellStyle name="Normal 18 25" xfId="4192" xr:uid="{00000000-0005-0000-0000-000077100000}"/>
    <cellStyle name="Normal 18 3" xfId="4234" xr:uid="{00000000-0005-0000-0000-000078100000}"/>
    <cellStyle name="Normal 18 4" xfId="4235" xr:uid="{00000000-0005-0000-0000-000079100000}"/>
    <cellStyle name="Normal 18 5" xfId="4236" xr:uid="{00000000-0005-0000-0000-00007A100000}"/>
    <cellStyle name="Normal 18 6" xfId="4237" xr:uid="{00000000-0005-0000-0000-00007B100000}"/>
    <cellStyle name="Normal 18 7" xfId="4238" xr:uid="{00000000-0005-0000-0000-00007C100000}"/>
    <cellStyle name="Normal 18 8" xfId="4239" xr:uid="{00000000-0005-0000-0000-00007D100000}"/>
    <cellStyle name="Normal 18 9" xfId="4240" xr:uid="{00000000-0005-0000-0000-00007E100000}"/>
    <cellStyle name="Normal 19" xfId="49" xr:uid="{00000000-0005-0000-0000-00007F100000}"/>
    <cellStyle name="Normal 19 10" xfId="4242" xr:uid="{00000000-0005-0000-0000-000080100000}"/>
    <cellStyle name="Normal 19 11" xfId="4243" xr:uid="{00000000-0005-0000-0000-000081100000}"/>
    <cellStyle name="Normal 19 12" xfId="4244" xr:uid="{00000000-0005-0000-0000-000082100000}"/>
    <cellStyle name="Normal 19 13" xfId="4245" xr:uid="{00000000-0005-0000-0000-000083100000}"/>
    <cellStyle name="Normal 19 14" xfId="4246" xr:uid="{00000000-0005-0000-0000-000084100000}"/>
    <cellStyle name="Normal 19 15" xfId="4247" xr:uid="{00000000-0005-0000-0000-000085100000}"/>
    <cellStyle name="Normal 19 16" xfId="4248" xr:uid="{00000000-0005-0000-0000-000086100000}"/>
    <cellStyle name="Normal 19 17" xfId="4249" xr:uid="{00000000-0005-0000-0000-000087100000}"/>
    <cellStyle name="Normal 19 18" xfId="4250" xr:uid="{00000000-0005-0000-0000-000088100000}"/>
    <cellStyle name="Normal 19 19" xfId="4241" xr:uid="{00000000-0005-0000-0000-000089100000}"/>
    <cellStyle name="Normal 19 2" xfId="4251" xr:uid="{00000000-0005-0000-0000-00008A100000}"/>
    <cellStyle name="Normal 19 2 10" xfId="4252" xr:uid="{00000000-0005-0000-0000-00008B100000}"/>
    <cellStyle name="Normal 19 2 11" xfId="4253" xr:uid="{00000000-0005-0000-0000-00008C100000}"/>
    <cellStyle name="Normal 19 2 12" xfId="4254" xr:uid="{00000000-0005-0000-0000-00008D100000}"/>
    <cellStyle name="Normal 19 2 13" xfId="4255" xr:uid="{00000000-0005-0000-0000-00008E100000}"/>
    <cellStyle name="Normal 19 2 14" xfId="4256" xr:uid="{00000000-0005-0000-0000-00008F100000}"/>
    <cellStyle name="Normal 19 2 15" xfId="4257" xr:uid="{00000000-0005-0000-0000-000090100000}"/>
    <cellStyle name="Normal 19 2 16" xfId="4258" xr:uid="{00000000-0005-0000-0000-000091100000}"/>
    <cellStyle name="Normal 19 2 17" xfId="4259" xr:uid="{00000000-0005-0000-0000-000092100000}"/>
    <cellStyle name="Normal 19 2 2" xfId="4260" xr:uid="{00000000-0005-0000-0000-000093100000}"/>
    <cellStyle name="Normal 19 2 2 10" xfId="4261" xr:uid="{00000000-0005-0000-0000-000094100000}"/>
    <cellStyle name="Normal 19 2 2 11" xfId="4262" xr:uid="{00000000-0005-0000-0000-000095100000}"/>
    <cellStyle name="Normal 19 2 2 12" xfId="4263" xr:uid="{00000000-0005-0000-0000-000096100000}"/>
    <cellStyle name="Normal 19 2 2 13" xfId="4264" xr:uid="{00000000-0005-0000-0000-000097100000}"/>
    <cellStyle name="Normal 19 2 2 14" xfId="4265" xr:uid="{00000000-0005-0000-0000-000098100000}"/>
    <cellStyle name="Normal 19 2 2 2" xfId="4266" xr:uid="{00000000-0005-0000-0000-000099100000}"/>
    <cellStyle name="Normal 19 2 2 2 2" xfId="4267" xr:uid="{00000000-0005-0000-0000-00009A100000}"/>
    <cellStyle name="Normal 19 2 2 2 2 2" xfId="4268" xr:uid="{00000000-0005-0000-0000-00009B100000}"/>
    <cellStyle name="Normal 19 2 2 2 2 3" xfId="4269" xr:uid="{00000000-0005-0000-0000-00009C100000}"/>
    <cellStyle name="Normal 19 2 2 2 3" xfId="4270" xr:uid="{00000000-0005-0000-0000-00009D100000}"/>
    <cellStyle name="Normal 19 2 2 3" xfId="4271" xr:uid="{00000000-0005-0000-0000-00009E100000}"/>
    <cellStyle name="Normal 19 2 2 4" xfId="4272" xr:uid="{00000000-0005-0000-0000-00009F100000}"/>
    <cellStyle name="Normal 19 2 2 5" xfId="4273" xr:uid="{00000000-0005-0000-0000-0000A0100000}"/>
    <cellStyle name="Normal 19 2 2 6" xfId="4274" xr:uid="{00000000-0005-0000-0000-0000A1100000}"/>
    <cellStyle name="Normal 19 2 2 7" xfId="4275" xr:uid="{00000000-0005-0000-0000-0000A2100000}"/>
    <cellStyle name="Normal 19 2 2 8" xfId="4276" xr:uid="{00000000-0005-0000-0000-0000A3100000}"/>
    <cellStyle name="Normal 19 2 2 9" xfId="4277" xr:uid="{00000000-0005-0000-0000-0000A4100000}"/>
    <cellStyle name="Normal 19 2 3" xfId="4278" xr:uid="{00000000-0005-0000-0000-0000A5100000}"/>
    <cellStyle name="Normal 19 2 4" xfId="4279" xr:uid="{00000000-0005-0000-0000-0000A6100000}"/>
    <cellStyle name="Normal 19 2 5" xfId="4280" xr:uid="{00000000-0005-0000-0000-0000A7100000}"/>
    <cellStyle name="Normal 19 2 6" xfId="4281" xr:uid="{00000000-0005-0000-0000-0000A8100000}"/>
    <cellStyle name="Normal 19 2 6 2" xfId="4282" xr:uid="{00000000-0005-0000-0000-0000A9100000}"/>
    <cellStyle name="Normal 19 2 6 2 2" xfId="4283" xr:uid="{00000000-0005-0000-0000-0000AA100000}"/>
    <cellStyle name="Normal 19 2 6 2 3" xfId="4284" xr:uid="{00000000-0005-0000-0000-0000AB100000}"/>
    <cellStyle name="Normal 19 2 6 3" xfId="4285" xr:uid="{00000000-0005-0000-0000-0000AC100000}"/>
    <cellStyle name="Normal 19 2 7" xfId="4286" xr:uid="{00000000-0005-0000-0000-0000AD100000}"/>
    <cellStyle name="Normal 19 2 7 2" xfId="4287" xr:uid="{00000000-0005-0000-0000-0000AE100000}"/>
    <cellStyle name="Normal 19 2 7 2 2" xfId="4288" xr:uid="{00000000-0005-0000-0000-0000AF100000}"/>
    <cellStyle name="Normal 19 2 7 2 3" xfId="4289" xr:uid="{00000000-0005-0000-0000-0000B0100000}"/>
    <cellStyle name="Normal 19 2 7 3" xfId="4290" xr:uid="{00000000-0005-0000-0000-0000B1100000}"/>
    <cellStyle name="Normal 19 2 8" xfId="4291" xr:uid="{00000000-0005-0000-0000-0000B2100000}"/>
    <cellStyle name="Normal 19 2 9" xfId="4292" xr:uid="{00000000-0005-0000-0000-0000B3100000}"/>
    <cellStyle name="Normal 19 3" xfId="4293" xr:uid="{00000000-0005-0000-0000-0000B4100000}"/>
    <cellStyle name="Normal 19 4" xfId="4294" xr:uid="{00000000-0005-0000-0000-0000B5100000}"/>
    <cellStyle name="Normal 19 4 10" xfId="4295" xr:uid="{00000000-0005-0000-0000-0000B6100000}"/>
    <cellStyle name="Normal 19 4 11" xfId="4296" xr:uid="{00000000-0005-0000-0000-0000B7100000}"/>
    <cellStyle name="Normal 19 4 12" xfId="4297" xr:uid="{00000000-0005-0000-0000-0000B8100000}"/>
    <cellStyle name="Normal 19 4 13" xfId="4298" xr:uid="{00000000-0005-0000-0000-0000B9100000}"/>
    <cellStyle name="Normal 19 4 14" xfId="4299" xr:uid="{00000000-0005-0000-0000-0000BA100000}"/>
    <cellStyle name="Normal 19 4 2" xfId="4300" xr:uid="{00000000-0005-0000-0000-0000BB100000}"/>
    <cellStyle name="Normal 19 4 2 2" xfId="4301" xr:uid="{00000000-0005-0000-0000-0000BC100000}"/>
    <cellStyle name="Normal 19 4 2 2 2" xfId="4302" xr:uid="{00000000-0005-0000-0000-0000BD100000}"/>
    <cellStyle name="Normal 19 4 2 2 3" xfId="4303" xr:uid="{00000000-0005-0000-0000-0000BE100000}"/>
    <cellStyle name="Normal 19 4 2 3" xfId="4304" xr:uid="{00000000-0005-0000-0000-0000BF100000}"/>
    <cellStyle name="Normal 19 4 3" xfId="4305" xr:uid="{00000000-0005-0000-0000-0000C0100000}"/>
    <cellStyle name="Normal 19 4 4" xfId="4306" xr:uid="{00000000-0005-0000-0000-0000C1100000}"/>
    <cellStyle name="Normal 19 4 5" xfId="4307" xr:uid="{00000000-0005-0000-0000-0000C2100000}"/>
    <cellStyle name="Normal 19 4 6" xfId="4308" xr:uid="{00000000-0005-0000-0000-0000C3100000}"/>
    <cellStyle name="Normal 19 4 7" xfId="4309" xr:uid="{00000000-0005-0000-0000-0000C4100000}"/>
    <cellStyle name="Normal 19 4 8" xfId="4310" xr:uid="{00000000-0005-0000-0000-0000C5100000}"/>
    <cellStyle name="Normal 19 4 9" xfId="4311" xr:uid="{00000000-0005-0000-0000-0000C6100000}"/>
    <cellStyle name="Normal 19 5" xfId="4312" xr:uid="{00000000-0005-0000-0000-0000C7100000}"/>
    <cellStyle name="Normal 19 6" xfId="4313" xr:uid="{00000000-0005-0000-0000-0000C8100000}"/>
    <cellStyle name="Normal 19 7" xfId="4314" xr:uid="{00000000-0005-0000-0000-0000C9100000}"/>
    <cellStyle name="Normal 19 7 2" xfId="4315" xr:uid="{00000000-0005-0000-0000-0000CA100000}"/>
    <cellStyle name="Normal 19 7 2 2" xfId="4316" xr:uid="{00000000-0005-0000-0000-0000CB100000}"/>
    <cellStyle name="Normal 19 7 2 3" xfId="4317" xr:uid="{00000000-0005-0000-0000-0000CC100000}"/>
    <cellStyle name="Normal 19 7 3" xfId="4318" xr:uid="{00000000-0005-0000-0000-0000CD100000}"/>
    <cellStyle name="Normal 19 8" xfId="4319" xr:uid="{00000000-0005-0000-0000-0000CE100000}"/>
    <cellStyle name="Normal 19 8 2" xfId="4320" xr:uid="{00000000-0005-0000-0000-0000CF100000}"/>
    <cellStyle name="Normal 19 8 2 2" xfId="4321" xr:uid="{00000000-0005-0000-0000-0000D0100000}"/>
    <cellStyle name="Normal 19 8 2 3" xfId="4322" xr:uid="{00000000-0005-0000-0000-0000D1100000}"/>
    <cellStyle name="Normal 19 8 3" xfId="4323" xr:uid="{00000000-0005-0000-0000-0000D2100000}"/>
    <cellStyle name="Normal 19 9" xfId="4324" xr:uid="{00000000-0005-0000-0000-0000D3100000}"/>
    <cellStyle name="Normal 2" xfId="5" xr:uid="{00000000-0005-0000-0000-0000D4100000}"/>
    <cellStyle name="Normal 2 10" xfId="4326" xr:uid="{00000000-0005-0000-0000-0000D5100000}"/>
    <cellStyle name="Normal 2 10 2" xfId="4327" xr:uid="{00000000-0005-0000-0000-0000D6100000}"/>
    <cellStyle name="Normal 2 10 2 2" xfId="4328" xr:uid="{00000000-0005-0000-0000-0000D7100000}"/>
    <cellStyle name="Normal 2 10 3" xfId="4329" xr:uid="{00000000-0005-0000-0000-0000D8100000}"/>
    <cellStyle name="Normal 2 10 3 2" xfId="4330" xr:uid="{00000000-0005-0000-0000-0000D9100000}"/>
    <cellStyle name="Normal 2 10 4" xfId="4331" xr:uid="{00000000-0005-0000-0000-0000DA100000}"/>
    <cellStyle name="Normal 2 10 4 2" xfId="4332" xr:uid="{00000000-0005-0000-0000-0000DB100000}"/>
    <cellStyle name="Normal 2 10 5" xfId="4333" xr:uid="{00000000-0005-0000-0000-0000DC100000}"/>
    <cellStyle name="Normal 2 10 5 2" xfId="4334" xr:uid="{00000000-0005-0000-0000-0000DD100000}"/>
    <cellStyle name="Normal 2 10 6" xfId="4335" xr:uid="{00000000-0005-0000-0000-0000DE100000}"/>
    <cellStyle name="Normal 2 10 6 2" xfId="4336" xr:uid="{00000000-0005-0000-0000-0000DF100000}"/>
    <cellStyle name="Normal 2 10 7" xfId="4337" xr:uid="{00000000-0005-0000-0000-0000E0100000}"/>
    <cellStyle name="Normal 2 10 7 2" xfId="4338" xr:uid="{00000000-0005-0000-0000-0000E1100000}"/>
    <cellStyle name="Normal 2 10 8" xfId="4339" xr:uid="{00000000-0005-0000-0000-0000E2100000}"/>
    <cellStyle name="Normal 2 11" xfId="4340" xr:uid="{00000000-0005-0000-0000-0000E3100000}"/>
    <cellStyle name="Normal 2 11 2" xfId="4341" xr:uid="{00000000-0005-0000-0000-0000E4100000}"/>
    <cellStyle name="Normal 2 11 2 2" xfId="4342" xr:uid="{00000000-0005-0000-0000-0000E5100000}"/>
    <cellStyle name="Normal 2 11 3" xfId="4343" xr:uid="{00000000-0005-0000-0000-0000E6100000}"/>
    <cellStyle name="Normal 2 11 3 2" xfId="4344" xr:uid="{00000000-0005-0000-0000-0000E7100000}"/>
    <cellStyle name="Normal 2 11 4" xfId="4345" xr:uid="{00000000-0005-0000-0000-0000E8100000}"/>
    <cellStyle name="Normal 2 11 4 2" xfId="4346" xr:uid="{00000000-0005-0000-0000-0000E9100000}"/>
    <cellStyle name="Normal 2 11 5" xfId="4347" xr:uid="{00000000-0005-0000-0000-0000EA100000}"/>
    <cellStyle name="Normal 2 11 5 2" xfId="4348" xr:uid="{00000000-0005-0000-0000-0000EB100000}"/>
    <cellStyle name="Normal 2 11 6" xfId="4349" xr:uid="{00000000-0005-0000-0000-0000EC100000}"/>
    <cellStyle name="Normal 2 11 6 2" xfId="4350" xr:uid="{00000000-0005-0000-0000-0000ED100000}"/>
    <cellStyle name="Normal 2 11 7" xfId="4351" xr:uid="{00000000-0005-0000-0000-0000EE100000}"/>
    <cellStyle name="Normal 2 11 7 2" xfId="4352" xr:uid="{00000000-0005-0000-0000-0000EF100000}"/>
    <cellStyle name="Normal 2 11 8" xfId="4353" xr:uid="{00000000-0005-0000-0000-0000F0100000}"/>
    <cellStyle name="Normal 2 12" xfId="4354" xr:uid="{00000000-0005-0000-0000-0000F1100000}"/>
    <cellStyle name="Normal 2 12 2" xfId="4355" xr:uid="{00000000-0005-0000-0000-0000F2100000}"/>
    <cellStyle name="Normal 2 12 2 2" xfId="4356" xr:uid="{00000000-0005-0000-0000-0000F3100000}"/>
    <cellStyle name="Normal 2 12 3" xfId="4357" xr:uid="{00000000-0005-0000-0000-0000F4100000}"/>
    <cellStyle name="Normal 2 12 3 2" xfId="4358" xr:uid="{00000000-0005-0000-0000-0000F5100000}"/>
    <cellStyle name="Normal 2 12 4" xfId="4359" xr:uid="{00000000-0005-0000-0000-0000F6100000}"/>
    <cellStyle name="Normal 2 12 4 2" xfId="4360" xr:uid="{00000000-0005-0000-0000-0000F7100000}"/>
    <cellStyle name="Normal 2 12 5" xfId="4361" xr:uid="{00000000-0005-0000-0000-0000F8100000}"/>
    <cellStyle name="Normal 2 12 5 2" xfId="4362" xr:uid="{00000000-0005-0000-0000-0000F9100000}"/>
    <cellStyle name="Normal 2 12 6" xfId="4363" xr:uid="{00000000-0005-0000-0000-0000FA100000}"/>
    <cellStyle name="Normal 2 12 6 2" xfId="4364" xr:uid="{00000000-0005-0000-0000-0000FB100000}"/>
    <cellStyle name="Normal 2 12 7" xfId="4365" xr:uid="{00000000-0005-0000-0000-0000FC100000}"/>
    <cellStyle name="Normal 2 12 7 2" xfId="4366" xr:uid="{00000000-0005-0000-0000-0000FD100000}"/>
    <cellStyle name="Normal 2 12 8" xfId="4367" xr:uid="{00000000-0005-0000-0000-0000FE100000}"/>
    <cellStyle name="Normal 2 13" xfId="4368" xr:uid="{00000000-0005-0000-0000-0000FF100000}"/>
    <cellStyle name="Normal 2 13 2" xfId="4369" xr:uid="{00000000-0005-0000-0000-000000110000}"/>
    <cellStyle name="Normal 2 13 2 2" xfId="4370" xr:uid="{00000000-0005-0000-0000-000001110000}"/>
    <cellStyle name="Normal 2 13 3" xfId="4371" xr:uid="{00000000-0005-0000-0000-000002110000}"/>
    <cellStyle name="Normal 2 13 3 2" xfId="4372" xr:uid="{00000000-0005-0000-0000-000003110000}"/>
    <cellStyle name="Normal 2 13 4" xfId="4373" xr:uid="{00000000-0005-0000-0000-000004110000}"/>
    <cellStyle name="Normal 2 13 4 2" xfId="4374" xr:uid="{00000000-0005-0000-0000-000005110000}"/>
    <cellStyle name="Normal 2 13 5" xfId="4375" xr:uid="{00000000-0005-0000-0000-000006110000}"/>
    <cellStyle name="Normal 2 13 5 2" xfId="4376" xr:uid="{00000000-0005-0000-0000-000007110000}"/>
    <cellStyle name="Normal 2 13 6" xfId="4377" xr:uid="{00000000-0005-0000-0000-000008110000}"/>
    <cellStyle name="Normal 2 13 6 2" xfId="4378" xr:uid="{00000000-0005-0000-0000-000009110000}"/>
    <cellStyle name="Normal 2 13 7" xfId="4379" xr:uid="{00000000-0005-0000-0000-00000A110000}"/>
    <cellStyle name="Normal 2 13 7 2" xfId="4380" xr:uid="{00000000-0005-0000-0000-00000B110000}"/>
    <cellStyle name="Normal 2 13 8" xfId="4381" xr:uid="{00000000-0005-0000-0000-00000C110000}"/>
    <cellStyle name="Normal 2 14" xfId="4382" xr:uid="{00000000-0005-0000-0000-00000D110000}"/>
    <cellStyle name="Normal 2 14 2" xfId="4383" xr:uid="{00000000-0005-0000-0000-00000E110000}"/>
    <cellStyle name="Normal 2 15" xfId="4384" xr:uid="{00000000-0005-0000-0000-00000F110000}"/>
    <cellStyle name="Normal 2 15 2" xfId="4385" xr:uid="{00000000-0005-0000-0000-000010110000}"/>
    <cellStyle name="Normal 2 16" xfId="4386" xr:uid="{00000000-0005-0000-0000-000011110000}"/>
    <cellStyle name="Normal 2 16 2" xfId="4387" xr:uid="{00000000-0005-0000-0000-000012110000}"/>
    <cellStyle name="Normal 2 17" xfId="4388" xr:uid="{00000000-0005-0000-0000-000013110000}"/>
    <cellStyle name="Normal 2 17 2" xfId="4389" xr:uid="{00000000-0005-0000-0000-000014110000}"/>
    <cellStyle name="Normal 2 18" xfId="4390" xr:uid="{00000000-0005-0000-0000-000015110000}"/>
    <cellStyle name="Normal 2 18 2" xfId="4391" xr:uid="{00000000-0005-0000-0000-000016110000}"/>
    <cellStyle name="Normal 2 18 2 2" xfId="4392" xr:uid="{00000000-0005-0000-0000-000017110000}"/>
    <cellStyle name="Normal 2 18 2 3" xfId="4393" xr:uid="{00000000-0005-0000-0000-000018110000}"/>
    <cellStyle name="Normal 2 18 2 4" xfId="4394" xr:uid="{00000000-0005-0000-0000-000019110000}"/>
    <cellStyle name="Normal 2 18 3" xfId="4395" xr:uid="{00000000-0005-0000-0000-00001A110000}"/>
    <cellStyle name="Normal 2 18 4" xfId="4396" xr:uid="{00000000-0005-0000-0000-00001B110000}"/>
    <cellStyle name="Normal 2 18 5" xfId="4397" xr:uid="{00000000-0005-0000-0000-00001C110000}"/>
    <cellStyle name="Normal 2 18 6" xfId="4398" xr:uid="{00000000-0005-0000-0000-00001D110000}"/>
    <cellStyle name="Normal 2 18 7" xfId="4399" xr:uid="{00000000-0005-0000-0000-00001E110000}"/>
    <cellStyle name="Normal 2 18 8" xfId="4400" xr:uid="{00000000-0005-0000-0000-00001F110000}"/>
    <cellStyle name="Normal 2 18 9" xfId="4401" xr:uid="{00000000-0005-0000-0000-000020110000}"/>
    <cellStyle name="Normal 2 19" xfId="4402" xr:uid="{00000000-0005-0000-0000-000021110000}"/>
    <cellStyle name="Normal 2 19 2" xfId="4403" xr:uid="{00000000-0005-0000-0000-000022110000}"/>
    <cellStyle name="Normal 2 19 2 2" xfId="4404" xr:uid="{00000000-0005-0000-0000-000023110000}"/>
    <cellStyle name="Normal 2 19 2 3" xfId="4405" xr:uid="{00000000-0005-0000-0000-000024110000}"/>
    <cellStyle name="Normal 2 19 2 4" xfId="4406" xr:uid="{00000000-0005-0000-0000-000025110000}"/>
    <cellStyle name="Normal 2 19 3" xfId="4407" xr:uid="{00000000-0005-0000-0000-000026110000}"/>
    <cellStyle name="Normal 2 19 4" xfId="4408" xr:uid="{00000000-0005-0000-0000-000027110000}"/>
    <cellStyle name="Normal 2 19 5" xfId="4409" xr:uid="{00000000-0005-0000-0000-000028110000}"/>
    <cellStyle name="Normal 2 19 6" xfId="4410" xr:uid="{00000000-0005-0000-0000-000029110000}"/>
    <cellStyle name="Normal 2 19 7" xfId="4411" xr:uid="{00000000-0005-0000-0000-00002A110000}"/>
    <cellStyle name="Normal 2 19 8" xfId="4412" xr:uid="{00000000-0005-0000-0000-00002B110000}"/>
    <cellStyle name="Normal 2 19 9" xfId="4413" xr:uid="{00000000-0005-0000-0000-00002C110000}"/>
    <cellStyle name="Normal 2 2" xfId="4414" xr:uid="{00000000-0005-0000-0000-00002D110000}"/>
    <cellStyle name="Normal 2 2 10" xfId="4415" xr:uid="{00000000-0005-0000-0000-00002E110000}"/>
    <cellStyle name="Normal 2 2 11" xfId="4416" xr:uid="{00000000-0005-0000-0000-00002F110000}"/>
    <cellStyle name="Normal 2 2 12" xfId="4417" xr:uid="{00000000-0005-0000-0000-000030110000}"/>
    <cellStyle name="Normal 2 2 13" xfId="4418" xr:uid="{00000000-0005-0000-0000-000031110000}"/>
    <cellStyle name="Normal 2 2 14" xfId="4419" xr:uid="{00000000-0005-0000-0000-000032110000}"/>
    <cellStyle name="Normal 2 2 15" xfId="4420" xr:uid="{00000000-0005-0000-0000-000033110000}"/>
    <cellStyle name="Normal 2 2 16" xfId="4421" xr:uid="{00000000-0005-0000-0000-000034110000}"/>
    <cellStyle name="Normal 2 2 17" xfId="4422" xr:uid="{00000000-0005-0000-0000-000035110000}"/>
    <cellStyle name="Normal 2 2 18" xfId="4423" xr:uid="{00000000-0005-0000-0000-000036110000}"/>
    <cellStyle name="Normal 2 2 19" xfId="4424" xr:uid="{00000000-0005-0000-0000-000037110000}"/>
    <cellStyle name="Normal 2 2 2" xfId="4425" xr:uid="{00000000-0005-0000-0000-000038110000}"/>
    <cellStyle name="Normal 2 2 2 10" xfId="4426" xr:uid="{00000000-0005-0000-0000-000039110000}"/>
    <cellStyle name="Normal 2 2 2 11" xfId="4427" xr:uid="{00000000-0005-0000-0000-00003A110000}"/>
    <cellStyle name="Normal 2 2 2 12" xfId="4428" xr:uid="{00000000-0005-0000-0000-00003B110000}"/>
    <cellStyle name="Normal 2 2 2 13" xfId="4429" xr:uid="{00000000-0005-0000-0000-00003C110000}"/>
    <cellStyle name="Normal 2 2 2 14" xfId="4430" xr:uid="{00000000-0005-0000-0000-00003D110000}"/>
    <cellStyle name="Normal 2 2 2 15" xfId="4431" xr:uid="{00000000-0005-0000-0000-00003E110000}"/>
    <cellStyle name="Normal 2 2 2 16" xfId="4432" xr:uid="{00000000-0005-0000-0000-00003F110000}"/>
    <cellStyle name="Normal 2 2 2 17" xfId="4433" xr:uid="{00000000-0005-0000-0000-000040110000}"/>
    <cellStyle name="Normal 2 2 2 18" xfId="4434" xr:uid="{00000000-0005-0000-0000-000041110000}"/>
    <cellStyle name="Normal 2 2 2 19" xfId="4435" xr:uid="{00000000-0005-0000-0000-000042110000}"/>
    <cellStyle name="Normal 2 2 2 2" xfId="4436" xr:uid="{00000000-0005-0000-0000-000043110000}"/>
    <cellStyle name="Normal 2 2 2 2 10" xfId="4437" xr:uid="{00000000-0005-0000-0000-000044110000}"/>
    <cellStyle name="Normal 2 2 2 2 11" xfId="4438" xr:uid="{00000000-0005-0000-0000-000045110000}"/>
    <cellStyle name="Normal 2 2 2 2 12" xfId="4439" xr:uid="{00000000-0005-0000-0000-000046110000}"/>
    <cellStyle name="Normal 2 2 2 2 13" xfId="4440" xr:uid="{00000000-0005-0000-0000-000047110000}"/>
    <cellStyle name="Normal 2 2 2 2 14" xfId="4441" xr:uid="{00000000-0005-0000-0000-000048110000}"/>
    <cellStyle name="Normal 2 2 2 2 15" xfId="4442" xr:uid="{00000000-0005-0000-0000-000049110000}"/>
    <cellStyle name="Normal 2 2 2 2 15 2" xfId="4443" xr:uid="{00000000-0005-0000-0000-00004A110000}"/>
    <cellStyle name="Normal 2 2 2 2 15 3" xfId="4444" xr:uid="{00000000-0005-0000-0000-00004B110000}"/>
    <cellStyle name="Normal 2 2 2 2 16" xfId="4445" xr:uid="{00000000-0005-0000-0000-00004C110000}"/>
    <cellStyle name="Normal 2 2 2 2 17" xfId="4446" xr:uid="{00000000-0005-0000-0000-00004D110000}"/>
    <cellStyle name="Normal 2 2 2 2 18" xfId="4447" xr:uid="{00000000-0005-0000-0000-00004E110000}"/>
    <cellStyle name="Normal 2 2 2 2 18 2" xfId="4448" xr:uid="{00000000-0005-0000-0000-00004F110000}"/>
    <cellStyle name="Normal 2 2 2 2 18 3" xfId="4449" xr:uid="{00000000-0005-0000-0000-000050110000}"/>
    <cellStyle name="Normal 2 2 2 2 19" xfId="4450" xr:uid="{00000000-0005-0000-0000-000051110000}"/>
    <cellStyle name="Normal 2 2 2 2 19 2" xfId="4451" xr:uid="{00000000-0005-0000-0000-000052110000}"/>
    <cellStyle name="Normal 2 2 2 2 19 3" xfId="4452" xr:uid="{00000000-0005-0000-0000-000053110000}"/>
    <cellStyle name="Normal 2 2 2 2 2" xfId="4453" xr:uid="{00000000-0005-0000-0000-000054110000}"/>
    <cellStyle name="Normal 2 2 2 2 2 10" xfId="4454" xr:uid="{00000000-0005-0000-0000-000055110000}"/>
    <cellStyle name="Normal 2 2 2 2 2 11" xfId="4455" xr:uid="{00000000-0005-0000-0000-000056110000}"/>
    <cellStyle name="Normal 2 2 2 2 2 12" xfId="4456" xr:uid="{00000000-0005-0000-0000-000057110000}"/>
    <cellStyle name="Normal 2 2 2 2 2 13" xfId="4457" xr:uid="{00000000-0005-0000-0000-000058110000}"/>
    <cellStyle name="Normal 2 2 2 2 2 14" xfId="4458" xr:uid="{00000000-0005-0000-0000-000059110000}"/>
    <cellStyle name="Normal 2 2 2 2 2 15" xfId="4459" xr:uid="{00000000-0005-0000-0000-00005A110000}"/>
    <cellStyle name="Normal 2 2 2 2 2 16" xfId="4460" xr:uid="{00000000-0005-0000-0000-00005B110000}"/>
    <cellStyle name="Normal 2 2 2 2 2 17" xfId="4461" xr:uid="{00000000-0005-0000-0000-00005C110000}"/>
    <cellStyle name="Normal 2 2 2 2 2 18" xfId="4462" xr:uid="{00000000-0005-0000-0000-00005D110000}"/>
    <cellStyle name="Normal 2 2 2 2 2 19" xfId="4463" xr:uid="{00000000-0005-0000-0000-00005E110000}"/>
    <cellStyle name="Normal 2 2 2 2 2 2" xfId="4464" xr:uid="{00000000-0005-0000-0000-00005F110000}"/>
    <cellStyle name="Normal 2 2 2 2 2 2 10" xfId="4465" xr:uid="{00000000-0005-0000-0000-000060110000}"/>
    <cellStyle name="Normal 2 2 2 2 2 2 11" xfId="4466" xr:uid="{00000000-0005-0000-0000-000061110000}"/>
    <cellStyle name="Normal 2 2 2 2 2 2 12" xfId="4467" xr:uid="{00000000-0005-0000-0000-000062110000}"/>
    <cellStyle name="Normal 2 2 2 2 2 2 13" xfId="4468" xr:uid="{00000000-0005-0000-0000-000063110000}"/>
    <cellStyle name="Normal 2 2 2 2 2 2 14" xfId="4469" xr:uid="{00000000-0005-0000-0000-000064110000}"/>
    <cellStyle name="Normal 2 2 2 2 2 2 15" xfId="4470" xr:uid="{00000000-0005-0000-0000-000065110000}"/>
    <cellStyle name="Normal 2 2 2 2 2 2 16" xfId="4471" xr:uid="{00000000-0005-0000-0000-000066110000}"/>
    <cellStyle name="Normal 2 2 2 2 2 2 17" xfId="4472" xr:uid="{00000000-0005-0000-0000-000067110000}"/>
    <cellStyle name="Normal 2 2 2 2 2 2 2" xfId="4473" xr:uid="{00000000-0005-0000-0000-000068110000}"/>
    <cellStyle name="Normal 2 2 2 2 2 2 2 10" xfId="4474" xr:uid="{00000000-0005-0000-0000-000069110000}"/>
    <cellStyle name="Normal 2 2 2 2 2 2 2 2" xfId="4475" xr:uid="{00000000-0005-0000-0000-00006A110000}"/>
    <cellStyle name="Normal 2 2 2 2 2 2 2 2 2" xfId="4476" xr:uid="{00000000-0005-0000-0000-00006B110000}"/>
    <cellStyle name="Normal 2 2 2 2 2 2 2 2 2 10" xfId="4477" xr:uid="{00000000-0005-0000-0000-00006C110000}"/>
    <cellStyle name="Normal 2 2 2 2 2 2 2 2 2 10 2" xfId="4478" xr:uid="{00000000-0005-0000-0000-00006D110000}"/>
    <cellStyle name="Normal 2 2 2 2 2 2 2 2 2 10 3" xfId="4479" xr:uid="{00000000-0005-0000-0000-00006E110000}"/>
    <cellStyle name="Normal 2 2 2 2 2 2 2 2 2 11" xfId="4480" xr:uid="{00000000-0005-0000-0000-00006F110000}"/>
    <cellStyle name="Normal 2 2 2 2 2 2 2 2 2 11 2" xfId="4481" xr:uid="{00000000-0005-0000-0000-000070110000}"/>
    <cellStyle name="Normal 2 2 2 2 2 2 2 2 2 11 3" xfId="4482" xr:uid="{00000000-0005-0000-0000-000071110000}"/>
    <cellStyle name="Normal 2 2 2 2 2 2 2 2 2 12" xfId="4483" xr:uid="{00000000-0005-0000-0000-000072110000}"/>
    <cellStyle name="Normal 2 2 2 2 2 2 2 2 2 12 2" xfId="4484" xr:uid="{00000000-0005-0000-0000-000073110000}"/>
    <cellStyle name="Normal 2 2 2 2 2 2 2 2 2 12 3" xfId="4485" xr:uid="{00000000-0005-0000-0000-000074110000}"/>
    <cellStyle name="Normal 2 2 2 2 2 2 2 2 2 13" xfId="4486" xr:uid="{00000000-0005-0000-0000-000075110000}"/>
    <cellStyle name="Normal 2 2 2 2 2 2 2 2 2 13 2" xfId="4487" xr:uid="{00000000-0005-0000-0000-000076110000}"/>
    <cellStyle name="Normal 2 2 2 2 2 2 2 2 2 13 3" xfId="4488" xr:uid="{00000000-0005-0000-0000-000077110000}"/>
    <cellStyle name="Normal 2 2 2 2 2 2 2 2 2 14" xfId="4489" xr:uid="{00000000-0005-0000-0000-000078110000}"/>
    <cellStyle name="Normal 2 2 2 2 2 2 2 2 2 14 2" xfId="4490" xr:uid="{00000000-0005-0000-0000-000079110000}"/>
    <cellStyle name="Normal 2 2 2 2 2 2 2 2 2 14 3" xfId="4491" xr:uid="{00000000-0005-0000-0000-00007A110000}"/>
    <cellStyle name="Normal 2 2 2 2 2 2 2 2 2 15" xfId="4492" xr:uid="{00000000-0005-0000-0000-00007B110000}"/>
    <cellStyle name="Normal 2 2 2 2 2 2 2 2 2 16" xfId="4493" xr:uid="{00000000-0005-0000-0000-00007C110000}"/>
    <cellStyle name="Normal 2 2 2 2 2 2 2 2 2 2" xfId="4494" xr:uid="{00000000-0005-0000-0000-00007D110000}"/>
    <cellStyle name="Normal 2 2 2 2 2 2 2 2 2 2 2" xfId="4495" xr:uid="{00000000-0005-0000-0000-00007E110000}"/>
    <cellStyle name="Normal 2 2 2 2 2 2 2 2 2 2 3" xfId="4496" xr:uid="{00000000-0005-0000-0000-00007F110000}"/>
    <cellStyle name="Normal 2 2 2 2 2 2 2 2 2 3" xfId="4497" xr:uid="{00000000-0005-0000-0000-000080110000}"/>
    <cellStyle name="Normal 2 2 2 2 2 2 2 2 2 3 2" xfId="4498" xr:uid="{00000000-0005-0000-0000-000081110000}"/>
    <cellStyle name="Normal 2 2 2 2 2 2 2 2 2 3 3" xfId="4499" xr:uid="{00000000-0005-0000-0000-000082110000}"/>
    <cellStyle name="Normal 2 2 2 2 2 2 2 2 2 4" xfId="4500" xr:uid="{00000000-0005-0000-0000-000083110000}"/>
    <cellStyle name="Normal 2 2 2 2 2 2 2 2 2 4 2" xfId="4501" xr:uid="{00000000-0005-0000-0000-000084110000}"/>
    <cellStyle name="Normal 2 2 2 2 2 2 2 2 2 4 3" xfId="4502" xr:uid="{00000000-0005-0000-0000-000085110000}"/>
    <cellStyle name="Normal 2 2 2 2 2 2 2 2 2 5" xfId="4503" xr:uid="{00000000-0005-0000-0000-000086110000}"/>
    <cellStyle name="Normal 2 2 2 2 2 2 2 2 2 5 2" xfId="4504" xr:uid="{00000000-0005-0000-0000-000087110000}"/>
    <cellStyle name="Normal 2 2 2 2 2 2 2 2 2 5 3" xfId="4505" xr:uid="{00000000-0005-0000-0000-000088110000}"/>
    <cellStyle name="Normal 2 2 2 2 2 2 2 2 2 6" xfId="4506" xr:uid="{00000000-0005-0000-0000-000089110000}"/>
    <cellStyle name="Normal 2 2 2 2 2 2 2 2 2 6 2" xfId="4507" xr:uid="{00000000-0005-0000-0000-00008A110000}"/>
    <cellStyle name="Normal 2 2 2 2 2 2 2 2 2 6 3" xfId="4508" xr:uid="{00000000-0005-0000-0000-00008B110000}"/>
    <cellStyle name="Normal 2 2 2 2 2 2 2 2 2 7" xfId="4509" xr:uid="{00000000-0005-0000-0000-00008C110000}"/>
    <cellStyle name="Normal 2 2 2 2 2 2 2 2 2 7 2" xfId="4510" xr:uid="{00000000-0005-0000-0000-00008D110000}"/>
    <cellStyle name="Normal 2 2 2 2 2 2 2 2 2 7 3" xfId="4511" xr:uid="{00000000-0005-0000-0000-00008E110000}"/>
    <cellStyle name="Normal 2 2 2 2 2 2 2 2 2 8" xfId="4512" xr:uid="{00000000-0005-0000-0000-00008F110000}"/>
    <cellStyle name="Normal 2 2 2 2 2 2 2 2 2 8 2" xfId="4513" xr:uid="{00000000-0005-0000-0000-000090110000}"/>
    <cellStyle name="Normal 2 2 2 2 2 2 2 2 2 8 3" xfId="4514" xr:uid="{00000000-0005-0000-0000-000091110000}"/>
    <cellStyle name="Normal 2 2 2 2 2 2 2 2 2 9" xfId="4515" xr:uid="{00000000-0005-0000-0000-000092110000}"/>
    <cellStyle name="Normal 2 2 2 2 2 2 2 2 2 9 2" xfId="4516" xr:uid="{00000000-0005-0000-0000-000093110000}"/>
    <cellStyle name="Normal 2 2 2 2 2 2 2 2 2 9 3" xfId="4517" xr:uid="{00000000-0005-0000-0000-000094110000}"/>
    <cellStyle name="Normal 2 2 2 2 2 2 2 3" xfId="4518" xr:uid="{00000000-0005-0000-0000-000095110000}"/>
    <cellStyle name="Normal 2 2 2 2 2 2 2 4" xfId="4519" xr:uid="{00000000-0005-0000-0000-000096110000}"/>
    <cellStyle name="Normal 2 2 2 2 2 2 2 5" xfId="4520" xr:uid="{00000000-0005-0000-0000-000097110000}"/>
    <cellStyle name="Normal 2 2 2 2 2 2 2 6" xfId="4521" xr:uid="{00000000-0005-0000-0000-000098110000}"/>
    <cellStyle name="Normal 2 2 2 2 2 2 2 7" xfId="4522" xr:uid="{00000000-0005-0000-0000-000099110000}"/>
    <cellStyle name="Normal 2 2 2 2 2 2 2 8" xfId="4523" xr:uid="{00000000-0005-0000-0000-00009A110000}"/>
    <cellStyle name="Normal 2 2 2 2 2 2 2 9" xfId="4524" xr:uid="{00000000-0005-0000-0000-00009B110000}"/>
    <cellStyle name="Normal 2 2 2 2 2 2 3" xfId="4525" xr:uid="{00000000-0005-0000-0000-00009C110000}"/>
    <cellStyle name="Normal 2 2 2 2 2 2 4" xfId="4526" xr:uid="{00000000-0005-0000-0000-00009D110000}"/>
    <cellStyle name="Normal 2 2 2 2 2 2 5" xfId="4527" xr:uid="{00000000-0005-0000-0000-00009E110000}"/>
    <cellStyle name="Normal 2 2 2 2 2 2 6" xfId="4528" xr:uid="{00000000-0005-0000-0000-00009F110000}"/>
    <cellStyle name="Normal 2 2 2 2 2 2 7" xfId="4529" xr:uid="{00000000-0005-0000-0000-0000A0110000}"/>
    <cellStyle name="Normal 2 2 2 2 2 2 8" xfId="4530" xr:uid="{00000000-0005-0000-0000-0000A1110000}"/>
    <cellStyle name="Normal 2 2 2 2 2 2 9" xfId="4531" xr:uid="{00000000-0005-0000-0000-0000A2110000}"/>
    <cellStyle name="Normal 2 2 2 2 2 3" xfId="4532" xr:uid="{00000000-0005-0000-0000-0000A3110000}"/>
    <cellStyle name="Normal 2 2 2 2 2 4" xfId="4533" xr:uid="{00000000-0005-0000-0000-0000A4110000}"/>
    <cellStyle name="Normal 2 2 2 2 2 5" xfId="4534" xr:uid="{00000000-0005-0000-0000-0000A5110000}"/>
    <cellStyle name="Normal 2 2 2 2 2 5 2" xfId="4535" xr:uid="{00000000-0005-0000-0000-0000A6110000}"/>
    <cellStyle name="Normal 2 2 2 2 2 5 3" xfId="4536" xr:uid="{00000000-0005-0000-0000-0000A7110000}"/>
    <cellStyle name="Normal 2 2 2 2 2 6" xfId="4537" xr:uid="{00000000-0005-0000-0000-0000A8110000}"/>
    <cellStyle name="Normal 2 2 2 2 2 6 2" xfId="4538" xr:uid="{00000000-0005-0000-0000-0000A9110000}"/>
    <cellStyle name="Normal 2 2 2 2 2 6 3" xfId="4539" xr:uid="{00000000-0005-0000-0000-0000AA110000}"/>
    <cellStyle name="Normal 2 2 2 2 2 7" xfId="4540" xr:uid="{00000000-0005-0000-0000-0000AB110000}"/>
    <cellStyle name="Normal 2 2 2 2 2 7 2" xfId="4541" xr:uid="{00000000-0005-0000-0000-0000AC110000}"/>
    <cellStyle name="Normal 2 2 2 2 2 7 3" xfId="4542" xr:uid="{00000000-0005-0000-0000-0000AD110000}"/>
    <cellStyle name="Normal 2 2 2 2 2 8" xfId="4543" xr:uid="{00000000-0005-0000-0000-0000AE110000}"/>
    <cellStyle name="Normal 2 2 2 2 2 8 2" xfId="4544" xr:uid="{00000000-0005-0000-0000-0000AF110000}"/>
    <cellStyle name="Normal 2 2 2 2 2 8 3" xfId="4545" xr:uid="{00000000-0005-0000-0000-0000B0110000}"/>
    <cellStyle name="Normal 2 2 2 2 2 9" xfId="4546" xr:uid="{00000000-0005-0000-0000-0000B1110000}"/>
    <cellStyle name="Normal 2 2 2 2 2 9 2" xfId="4547" xr:uid="{00000000-0005-0000-0000-0000B2110000}"/>
    <cellStyle name="Normal 2 2 2 2 2 9 3" xfId="4548" xr:uid="{00000000-0005-0000-0000-0000B3110000}"/>
    <cellStyle name="Normal 2 2 2 2 20" xfId="4549" xr:uid="{00000000-0005-0000-0000-0000B4110000}"/>
    <cellStyle name="Normal 2 2 2 2 20 2" xfId="4550" xr:uid="{00000000-0005-0000-0000-0000B5110000}"/>
    <cellStyle name="Normal 2 2 2 2 20 3" xfId="4551" xr:uid="{00000000-0005-0000-0000-0000B6110000}"/>
    <cellStyle name="Normal 2 2 2 2 21" xfId="4552" xr:uid="{00000000-0005-0000-0000-0000B7110000}"/>
    <cellStyle name="Normal 2 2 2 2 21 2" xfId="4553" xr:uid="{00000000-0005-0000-0000-0000B8110000}"/>
    <cellStyle name="Normal 2 2 2 2 21 3" xfId="4554" xr:uid="{00000000-0005-0000-0000-0000B9110000}"/>
    <cellStyle name="Normal 2 2 2 2 22" xfId="4555" xr:uid="{00000000-0005-0000-0000-0000BA110000}"/>
    <cellStyle name="Normal 2 2 2 2 23" xfId="4556" xr:uid="{00000000-0005-0000-0000-0000BB110000}"/>
    <cellStyle name="Normal 2 2 2 2 24" xfId="4557" xr:uid="{00000000-0005-0000-0000-0000BC110000}"/>
    <cellStyle name="Normal 2 2 2 2 25" xfId="4558" xr:uid="{00000000-0005-0000-0000-0000BD110000}"/>
    <cellStyle name="Normal 2 2 2 2 26" xfId="4559" xr:uid="{00000000-0005-0000-0000-0000BE110000}"/>
    <cellStyle name="Normal 2 2 2 2 27" xfId="4560" xr:uid="{00000000-0005-0000-0000-0000BF110000}"/>
    <cellStyle name="Normal 2 2 2 2 28" xfId="4561" xr:uid="{00000000-0005-0000-0000-0000C0110000}"/>
    <cellStyle name="Normal 2 2 2 2 29" xfId="4562" xr:uid="{00000000-0005-0000-0000-0000C1110000}"/>
    <cellStyle name="Normal 2 2 2 2 3" xfId="4563" xr:uid="{00000000-0005-0000-0000-0000C2110000}"/>
    <cellStyle name="Normal 2 2 2 2 30" xfId="4564" xr:uid="{00000000-0005-0000-0000-0000C3110000}"/>
    <cellStyle name="Normal 2 2 2 2 31" xfId="4565" xr:uid="{00000000-0005-0000-0000-0000C4110000}"/>
    <cellStyle name="Normal 2 2 2 2 32" xfId="4566" xr:uid="{00000000-0005-0000-0000-0000C5110000}"/>
    <cellStyle name="Normal 2 2 2 2 4" xfId="4567" xr:uid="{00000000-0005-0000-0000-0000C6110000}"/>
    <cellStyle name="Normal 2 2 2 2 5" xfId="4568" xr:uid="{00000000-0005-0000-0000-0000C7110000}"/>
    <cellStyle name="Normal 2 2 2 2 6" xfId="4569" xr:uid="{00000000-0005-0000-0000-0000C8110000}"/>
    <cellStyle name="Normal 2 2 2 2 7" xfId="4570" xr:uid="{00000000-0005-0000-0000-0000C9110000}"/>
    <cellStyle name="Normal 2 2 2 2 8" xfId="4571" xr:uid="{00000000-0005-0000-0000-0000CA110000}"/>
    <cellStyle name="Normal 2 2 2 2 9" xfId="4572" xr:uid="{00000000-0005-0000-0000-0000CB110000}"/>
    <cellStyle name="Normal 2 2 2 20" xfId="4573" xr:uid="{00000000-0005-0000-0000-0000CC110000}"/>
    <cellStyle name="Normal 2 2 2 20 2" xfId="4574" xr:uid="{00000000-0005-0000-0000-0000CD110000}"/>
    <cellStyle name="Normal 2 2 2 20 3" xfId="4575" xr:uid="{00000000-0005-0000-0000-0000CE110000}"/>
    <cellStyle name="Normal 2 2 2 21" xfId="4576" xr:uid="{00000000-0005-0000-0000-0000CF110000}"/>
    <cellStyle name="Normal 2 2 2 22" xfId="4577" xr:uid="{00000000-0005-0000-0000-0000D0110000}"/>
    <cellStyle name="Normal 2 2 2 23" xfId="4578" xr:uid="{00000000-0005-0000-0000-0000D1110000}"/>
    <cellStyle name="Normal 2 2 2 23 2" xfId="4579" xr:uid="{00000000-0005-0000-0000-0000D2110000}"/>
    <cellStyle name="Normal 2 2 2 23 3" xfId="4580" xr:uid="{00000000-0005-0000-0000-0000D3110000}"/>
    <cellStyle name="Normal 2 2 2 24" xfId="4581" xr:uid="{00000000-0005-0000-0000-0000D4110000}"/>
    <cellStyle name="Normal 2 2 2 24 2" xfId="4582" xr:uid="{00000000-0005-0000-0000-0000D5110000}"/>
    <cellStyle name="Normal 2 2 2 24 3" xfId="4583" xr:uid="{00000000-0005-0000-0000-0000D6110000}"/>
    <cellStyle name="Normal 2 2 2 25" xfId="4584" xr:uid="{00000000-0005-0000-0000-0000D7110000}"/>
    <cellStyle name="Normal 2 2 2 25 2" xfId="4585" xr:uid="{00000000-0005-0000-0000-0000D8110000}"/>
    <cellStyle name="Normal 2 2 2 25 3" xfId="4586" xr:uid="{00000000-0005-0000-0000-0000D9110000}"/>
    <cellStyle name="Normal 2 2 2 26" xfId="4587" xr:uid="{00000000-0005-0000-0000-0000DA110000}"/>
    <cellStyle name="Normal 2 2 2 26 2" xfId="4588" xr:uid="{00000000-0005-0000-0000-0000DB110000}"/>
    <cellStyle name="Normal 2 2 2 26 3" xfId="4589" xr:uid="{00000000-0005-0000-0000-0000DC110000}"/>
    <cellStyle name="Normal 2 2 2 27" xfId="4590" xr:uid="{00000000-0005-0000-0000-0000DD110000}"/>
    <cellStyle name="Normal 2 2 2 28" xfId="4591" xr:uid="{00000000-0005-0000-0000-0000DE110000}"/>
    <cellStyle name="Normal 2 2 2 29" xfId="4592" xr:uid="{00000000-0005-0000-0000-0000DF110000}"/>
    <cellStyle name="Normal 2 2 2 3" xfId="4593" xr:uid="{00000000-0005-0000-0000-0000E0110000}"/>
    <cellStyle name="Normal 2 2 2 3 2" xfId="4594" xr:uid="{00000000-0005-0000-0000-0000E1110000}"/>
    <cellStyle name="Normal 2 2 2 30" xfId="4595" xr:uid="{00000000-0005-0000-0000-0000E2110000}"/>
    <cellStyle name="Normal 2 2 2 31" xfId="4596" xr:uid="{00000000-0005-0000-0000-0000E3110000}"/>
    <cellStyle name="Normal 2 2 2 32" xfId="4597" xr:uid="{00000000-0005-0000-0000-0000E4110000}"/>
    <cellStyle name="Normal 2 2 2 33" xfId="4598" xr:uid="{00000000-0005-0000-0000-0000E5110000}"/>
    <cellStyle name="Normal 2 2 2 34" xfId="4599" xr:uid="{00000000-0005-0000-0000-0000E6110000}"/>
    <cellStyle name="Normal 2 2 2 35" xfId="4600" xr:uid="{00000000-0005-0000-0000-0000E7110000}"/>
    <cellStyle name="Normal 2 2 2 36" xfId="4601" xr:uid="{00000000-0005-0000-0000-0000E8110000}"/>
    <cellStyle name="Normal 2 2 2 37" xfId="4602" xr:uid="{00000000-0005-0000-0000-0000E9110000}"/>
    <cellStyle name="Normal 2 2 2 4" xfId="4603" xr:uid="{00000000-0005-0000-0000-0000EA110000}"/>
    <cellStyle name="Normal 2 2 2 4 2" xfId="4604" xr:uid="{00000000-0005-0000-0000-0000EB110000}"/>
    <cellStyle name="Normal 2 2 2 5" xfId="4605" xr:uid="{00000000-0005-0000-0000-0000EC110000}"/>
    <cellStyle name="Normal 2 2 2 5 2" xfId="4606" xr:uid="{00000000-0005-0000-0000-0000ED110000}"/>
    <cellStyle name="Normal 2 2 2 6" xfId="4607" xr:uid="{00000000-0005-0000-0000-0000EE110000}"/>
    <cellStyle name="Normal 2 2 2 6 2" xfId="4608" xr:uid="{00000000-0005-0000-0000-0000EF110000}"/>
    <cellStyle name="Normal 2 2 2 7" xfId="4609" xr:uid="{00000000-0005-0000-0000-0000F0110000}"/>
    <cellStyle name="Normal 2 2 2 7 2" xfId="4610" xr:uid="{00000000-0005-0000-0000-0000F1110000}"/>
    <cellStyle name="Normal 2 2 2 8" xfId="4611" xr:uid="{00000000-0005-0000-0000-0000F2110000}"/>
    <cellStyle name="Normal 2 2 2 8 10" xfId="4612" xr:uid="{00000000-0005-0000-0000-0000F3110000}"/>
    <cellStyle name="Normal 2 2 2 8 11" xfId="4613" xr:uid="{00000000-0005-0000-0000-0000F4110000}"/>
    <cellStyle name="Normal 2 2 2 8 2" xfId="4614" xr:uid="{00000000-0005-0000-0000-0000F5110000}"/>
    <cellStyle name="Normal 2 2 2 8 2 2" xfId="4615" xr:uid="{00000000-0005-0000-0000-0000F6110000}"/>
    <cellStyle name="Normal 2 2 2 8 2 3" xfId="4616" xr:uid="{00000000-0005-0000-0000-0000F7110000}"/>
    <cellStyle name="Normal 2 2 2 8 2 4" xfId="4617" xr:uid="{00000000-0005-0000-0000-0000F8110000}"/>
    <cellStyle name="Normal 2 2 2 8 2 5" xfId="4618" xr:uid="{00000000-0005-0000-0000-0000F9110000}"/>
    <cellStyle name="Normal 2 2 2 8 2 6" xfId="4619" xr:uid="{00000000-0005-0000-0000-0000FA110000}"/>
    <cellStyle name="Normal 2 2 2 8 2 7" xfId="4620" xr:uid="{00000000-0005-0000-0000-0000FB110000}"/>
    <cellStyle name="Normal 2 2 2 8 2 8" xfId="4621" xr:uid="{00000000-0005-0000-0000-0000FC110000}"/>
    <cellStyle name="Normal 2 2 2 8 2 9" xfId="4622" xr:uid="{00000000-0005-0000-0000-0000FD110000}"/>
    <cellStyle name="Normal 2 2 2 8 3" xfId="4623" xr:uid="{00000000-0005-0000-0000-0000FE110000}"/>
    <cellStyle name="Normal 2 2 2 8 4" xfId="4624" xr:uid="{00000000-0005-0000-0000-0000FF110000}"/>
    <cellStyle name="Normal 2 2 2 8 5" xfId="4625" xr:uid="{00000000-0005-0000-0000-000000120000}"/>
    <cellStyle name="Normal 2 2 2 8 5 2" xfId="4626" xr:uid="{00000000-0005-0000-0000-000001120000}"/>
    <cellStyle name="Normal 2 2 2 8 5 3" xfId="4627" xr:uid="{00000000-0005-0000-0000-000002120000}"/>
    <cellStyle name="Normal 2 2 2 8 6" xfId="4628" xr:uid="{00000000-0005-0000-0000-000003120000}"/>
    <cellStyle name="Normal 2 2 2 8 6 2" xfId="4629" xr:uid="{00000000-0005-0000-0000-000004120000}"/>
    <cellStyle name="Normal 2 2 2 8 6 3" xfId="4630" xr:uid="{00000000-0005-0000-0000-000005120000}"/>
    <cellStyle name="Normal 2 2 2 8 7" xfId="4631" xr:uid="{00000000-0005-0000-0000-000006120000}"/>
    <cellStyle name="Normal 2 2 2 8 7 2" xfId="4632" xr:uid="{00000000-0005-0000-0000-000007120000}"/>
    <cellStyle name="Normal 2 2 2 8 7 3" xfId="4633" xr:uid="{00000000-0005-0000-0000-000008120000}"/>
    <cellStyle name="Normal 2 2 2 8 8" xfId="4634" xr:uid="{00000000-0005-0000-0000-000009120000}"/>
    <cellStyle name="Normal 2 2 2 8 8 2" xfId="4635" xr:uid="{00000000-0005-0000-0000-00000A120000}"/>
    <cellStyle name="Normal 2 2 2 8 8 3" xfId="4636" xr:uid="{00000000-0005-0000-0000-00000B120000}"/>
    <cellStyle name="Normal 2 2 2 8 9" xfId="4637" xr:uid="{00000000-0005-0000-0000-00000C120000}"/>
    <cellStyle name="Normal 2 2 2 8 9 2" xfId="4638" xr:uid="{00000000-0005-0000-0000-00000D120000}"/>
    <cellStyle name="Normal 2 2 2 8 9 3" xfId="4639" xr:uid="{00000000-0005-0000-0000-00000E120000}"/>
    <cellStyle name="Normal 2 2 2 9" xfId="4640" xr:uid="{00000000-0005-0000-0000-00000F120000}"/>
    <cellStyle name="Normal 2 2 20" xfId="4641" xr:uid="{00000000-0005-0000-0000-000010120000}"/>
    <cellStyle name="Normal 2 2 20 2" xfId="4642" xr:uid="{00000000-0005-0000-0000-000011120000}"/>
    <cellStyle name="Normal 2 2 20 3" xfId="4643" xr:uid="{00000000-0005-0000-0000-000012120000}"/>
    <cellStyle name="Normal 2 2 21" xfId="4644" xr:uid="{00000000-0005-0000-0000-000013120000}"/>
    <cellStyle name="Normal 2 2 22" xfId="4645" xr:uid="{00000000-0005-0000-0000-000014120000}"/>
    <cellStyle name="Normal 2 2 23" xfId="4646" xr:uid="{00000000-0005-0000-0000-000015120000}"/>
    <cellStyle name="Normal 2 2 23 2" xfId="4647" xr:uid="{00000000-0005-0000-0000-000016120000}"/>
    <cellStyle name="Normal 2 2 23 3" xfId="4648" xr:uid="{00000000-0005-0000-0000-000017120000}"/>
    <cellStyle name="Normal 2 2 24" xfId="4649" xr:uid="{00000000-0005-0000-0000-000018120000}"/>
    <cellStyle name="Normal 2 2 24 2" xfId="4650" xr:uid="{00000000-0005-0000-0000-000019120000}"/>
    <cellStyle name="Normal 2 2 24 3" xfId="4651" xr:uid="{00000000-0005-0000-0000-00001A120000}"/>
    <cellStyle name="Normal 2 2 25" xfId="4652" xr:uid="{00000000-0005-0000-0000-00001B120000}"/>
    <cellStyle name="Normal 2 2 25 2" xfId="4653" xr:uid="{00000000-0005-0000-0000-00001C120000}"/>
    <cellStyle name="Normal 2 2 25 3" xfId="4654" xr:uid="{00000000-0005-0000-0000-00001D120000}"/>
    <cellStyle name="Normal 2 2 26" xfId="4655" xr:uid="{00000000-0005-0000-0000-00001E120000}"/>
    <cellStyle name="Normal 2 2 26 2" xfId="4656" xr:uid="{00000000-0005-0000-0000-00001F120000}"/>
    <cellStyle name="Normal 2 2 26 3" xfId="4657" xr:uid="{00000000-0005-0000-0000-000020120000}"/>
    <cellStyle name="Normal 2 2 27" xfId="4658" xr:uid="{00000000-0005-0000-0000-000021120000}"/>
    <cellStyle name="Normal 2 2 28" xfId="4659" xr:uid="{00000000-0005-0000-0000-000022120000}"/>
    <cellStyle name="Normal 2 2 29" xfId="4660" xr:uid="{00000000-0005-0000-0000-000023120000}"/>
    <cellStyle name="Normal 2 2 3" xfId="4661" xr:uid="{00000000-0005-0000-0000-000024120000}"/>
    <cellStyle name="Normal 2 2 30" xfId="4662" xr:uid="{00000000-0005-0000-0000-000025120000}"/>
    <cellStyle name="Normal 2 2 31" xfId="4663" xr:uid="{00000000-0005-0000-0000-000026120000}"/>
    <cellStyle name="Normal 2 2 32" xfId="4664" xr:uid="{00000000-0005-0000-0000-000027120000}"/>
    <cellStyle name="Normal 2 2 33" xfId="4665" xr:uid="{00000000-0005-0000-0000-000028120000}"/>
    <cellStyle name="Normal 2 2 34" xfId="4666" xr:uid="{00000000-0005-0000-0000-000029120000}"/>
    <cellStyle name="Normal 2 2 35" xfId="4667" xr:uid="{00000000-0005-0000-0000-00002A120000}"/>
    <cellStyle name="Normal 2 2 36" xfId="4668" xr:uid="{00000000-0005-0000-0000-00002B120000}"/>
    <cellStyle name="Normal 2 2 37" xfId="4669" xr:uid="{00000000-0005-0000-0000-00002C120000}"/>
    <cellStyle name="Normal 2 2 4" xfId="4670" xr:uid="{00000000-0005-0000-0000-00002D120000}"/>
    <cellStyle name="Normal 2 2 5" xfId="4671" xr:uid="{00000000-0005-0000-0000-00002E120000}"/>
    <cellStyle name="Normal 2 2 6" xfId="4672" xr:uid="{00000000-0005-0000-0000-00002F120000}"/>
    <cellStyle name="Normal 2 2 7" xfId="4673" xr:uid="{00000000-0005-0000-0000-000030120000}"/>
    <cellStyle name="Normal 2 2 8" xfId="4674" xr:uid="{00000000-0005-0000-0000-000031120000}"/>
    <cellStyle name="Normal 2 2 8 10" xfId="4675" xr:uid="{00000000-0005-0000-0000-000032120000}"/>
    <cellStyle name="Normal 2 2 8 11" xfId="4676" xr:uid="{00000000-0005-0000-0000-000033120000}"/>
    <cellStyle name="Normal 2 2 8 2" xfId="4677" xr:uid="{00000000-0005-0000-0000-000034120000}"/>
    <cellStyle name="Normal 2 2 8 2 2" xfId="4678" xr:uid="{00000000-0005-0000-0000-000035120000}"/>
    <cellStyle name="Normal 2 2 8 2 3" xfId="4679" xr:uid="{00000000-0005-0000-0000-000036120000}"/>
    <cellStyle name="Normal 2 2 8 2 4" xfId="4680" xr:uid="{00000000-0005-0000-0000-000037120000}"/>
    <cellStyle name="Normal 2 2 8 2 5" xfId="4681" xr:uid="{00000000-0005-0000-0000-000038120000}"/>
    <cellStyle name="Normal 2 2 8 2 6" xfId="4682" xr:uid="{00000000-0005-0000-0000-000039120000}"/>
    <cellStyle name="Normal 2 2 8 2 7" xfId="4683" xr:uid="{00000000-0005-0000-0000-00003A120000}"/>
    <cellStyle name="Normal 2 2 8 2 8" xfId="4684" xr:uid="{00000000-0005-0000-0000-00003B120000}"/>
    <cellStyle name="Normal 2 2 8 2 9" xfId="4685" xr:uid="{00000000-0005-0000-0000-00003C120000}"/>
    <cellStyle name="Normal 2 2 8 3" xfId="4686" xr:uid="{00000000-0005-0000-0000-00003D120000}"/>
    <cellStyle name="Normal 2 2 8 4" xfId="4687" xr:uid="{00000000-0005-0000-0000-00003E120000}"/>
    <cellStyle name="Normal 2 2 8 5" xfId="4688" xr:uid="{00000000-0005-0000-0000-00003F120000}"/>
    <cellStyle name="Normal 2 2 8 5 2" xfId="4689" xr:uid="{00000000-0005-0000-0000-000040120000}"/>
    <cellStyle name="Normal 2 2 8 5 3" xfId="4690" xr:uid="{00000000-0005-0000-0000-000041120000}"/>
    <cellStyle name="Normal 2 2 8 6" xfId="4691" xr:uid="{00000000-0005-0000-0000-000042120000}"/>
    <cellStyle name="Normal 2 2 8 6 2" xfId="4692" xr:uid="{00000000-0005-0000-0000-000043120000}"/>
    <cellStyle name="Normal 2 2 8 6 3" xfId="4693" xr:uid="{00000000-0005-0000-0000-000044120000}"/>
    <cellStyle name="Normal 2 2 8 7" xfId="4694" xr:uid="{00000000-0005-0000-0000-000045120000}"/>
    <cellStyle name="Normal 2 2 8 7 2" xfId="4695" xr:uid="{00000000-0005-0000-0000-000046120000}"/>
    <cellStyle name="Normal 2 2 8 7 3" xfId="4696" xr:uid="{00000000-0005-0000-0000-000047120000}"/>
    <cellStyle name="Normal 2 2 8 8" xfId="4697" xr:uid="{00000000-0005-0000-0000-000048120000}"/>
    <cellStyle name="Normal 2 2 8 8 2" xfId="4698" xr:uid="{00000000-0005-0000-0000-000049120000}"/>
    <cellStyle name="Normal 2 2 8 8 3" xfId="4699" xr:uid="{00000000-0005-0000-0000-00004A120000}"/>
    <cellStyle name="Normal 2 2 8 9" xfId="4700" xr:uid="{00000000-0005-0000-0000-00004B120000}"/>
    <cellStyle name="Normal 2 2 8 9 2" xfId="4701" xr:uid="{00000000-0005-0000-0000-00004C120000}"/>
    <cellStyle name="Normal 2 2 8 9 3" xfId="4702" xr:uid="{00000000-0005-0000-0000-00004D120000}"/>
    <cellStyle name="Normal 2 2 9" xfId="4703" xr:uid="{00000000-0005-0000-0000-00004E120000}"/>
    <cellStyle name="Normal 2 2_Residential Inputs Inland" xfId="4704" xr:uid="{00000000-0005-0000-0000-00004F120000}"/>
    <cellStyle name="Normal 2 20" xfId="4705" xr:uid="{00000000-0005-0000-0000-000050120000}"/>
    <cellStyle name="Normal 2 20 2" xfId="4706" xr:uid="{00000000-0005-0000-0000-000051120000}"/>
    <cellStyle name="Normal 2 20 2 2" xfId="4707" xr:uid="{00000000-0005-0000-0000-000052120000}"/>
    <cellStyle name="Normal 2 20 2 3" xfId="4708" xr:uid="{00000000-0005-0000-0000-000053120000}"/>
    <cellStyle name="Normal 2 20 2 4" xfId="4709" xr:uid="{00000000-0005-0000-0000-000054120000}"/>
    <cellStyle name="Normal 2 20 3" xfId="4710" xr:uid="{00000000-0005-0000-0000-000055120000}"/>
    <cellStyle name="Normal 2 20 4" xfId="4711" xr:uid="{00000000-0005-0000-0000-000056120000}"/>
    <cellStyle name="Normal 2 20 5" xfId="4712" xr:uid="{00000000-0005-0000-0000-000057120000}"/>
    <cellStyle name="Normal 2 20 6" xfId="4713" xr:uid="{00000000-0005-0000-0000-000058120000}"/>
    <cellStyle name="Normal 2 20 7" xfId="4714" xr:uid="{00000000-0005-0000-0000-000059120000}"/>
    <cellStyle name="Normal 2 20 8" xfId="4715" xr:uid="{00000000-0005-0000-0000-00005A120000}"/>
    <cellStyle name="Normal 2 20 9" xfId="4716" xr:uid="{00000000-0005-0000-0000-00005B120000}"/>
    <cellStyle name="Normal 2 21" xfId="4717" xr:uid="{00000000-0005-0000-0000-00005C120000}"/>
    <cellStyle name="Normal 2 21 2" xfId="4718" xr:uid="{00000000-0005-0000-0000-00005D120000}"/>
    <cellStyle name="Normal 2 21 2 2" xfId="4719" xr:uid="{00000000-0005-0000-0000-00005E120000}"/>
    <cellStyle name="Normal 2 21 2 3" xfId="4720" xr:uid="{00000000-0005-0000-0000-00005F120000}"/>
    <cellStyle name="Normal 2 21 2 4" xfId="4721" xr:uid="{00000000-0005-0000-0000-000060120000}"/>
    <cellStyle name="Normal 2 21 3" xfId="4722" xr:uid="{00000000-0005-0000-0000-000061120000}"/>
    <cellStyle name="Normal 2 21 4" xfId="4723" xr:uid="{00000000-0005-0000-0000-000062120000}"/>
    <cellStyle name="Normal 2 21 5" xfId="4724" xr:uid="{00000000-0005-0000-0000-000063120000}"/>
    <cellStyle name="Normal 2 21 6" xfId="4725" xr:uid="{00000000-0005-0000-0000-000064120000}"/>
    <cellStyle name="Normal 2 21 7" xfId="4726" xr:uid="{00000000-0005-0000-0000-000065120000}"/>
    <cellStyle name="Normal 2 21 8" xfId="4727" xr:uid="{00000000-0005-0000-0000-000066120000}"/>
    <cellStyle name="Normal 2 21 9" xfId="4728" xr:uid="{00000000-0005-0000-0000-000067120000}"/>
    <cellStyle name="Normal 2 22" xfId="4729" xr:uid="{00000000-0005-0000-0000-000068120000}"/>
    <cellStyle name="Normal 2 22 2" xfId="4730" xr:uid="{00000000-0005-0000-0000-000069120000}"/>
    <cellStyle name="Normal 2 22 2 2" xfId="4731" xr:uid="{00000000-0005-0000-0000-00006A120000}"/>
    <cellStyle name="Normal 2 22 2 3" xfId="4732" xr:uid="{00000000-0005-0000-0000-00006B120000}"/>
    <cellStyle name="Normal 2 22 2 4" xfId="4733" xr:uid="{00000000-0005-0000-0000-00006C120000}"/>
    <cellStyle name="Normal 2 22 3" xfId="4734" xr:uid="{00000000-0005-0000-0000-00006D120000}"/>
    <cellStyle name="Normal 2 22 4" xfId="4735" xr:uid="{00000000-0005-0000-0000-00006E120000}"/>
    <cellStyle name="Normal 2 22 5" xfId="4736" xr:uid="{00000000-0005-0000-0000-00006F120000}"/>
    <cellStyle name="Normal 2 22 6" xfId="4737" xr:uid="{00000000-0005-0000-0000-000070120000}"/>
    <cellStyle name="Normal 2 22 7" xfId="4738" xr:uid="{00000000-0005-0000-0000-000071120000}"/>
    <cellStyle name="Normal 2 22 8" xfId="4739" xr:uid="{00000000-0005-0000-0000-000072120000}"/>
    <cellStyle name="Normal 2 22 9" xfId="4740" xr:uid="{00000000-0005-0000-0000-000073120000}"/>
    <cellStyle name="Normal 2 23" xfId="4741" xr:uid="{00000000-0005-0000-0000-000074120000}"/>
    <cellStyle name="Normal 2 23 2" xfId="4742" xr:uid="{00000000-0005-0000-0000-000075120000}"/>
    <cellStyle name="Normal 2 23 2 2" xfId="4743" xr:uid="{00000000-0005-0000-0000-000076120000}"/>
    <cellStyle name="Normal 2 23 2 3" xfId="4744" xr:uid="{00000000-0005-0000-0000-000077120000}"/>
    <cellStyle name="Normal 2 23 2 4" xfId="4745" xr:uid="{00000000-0005-0000-0000-000078120000}"/>
    <cellStyle name="Normal 2 23 3" xfId="4746" xr:uid="{00000000-0005-0000-0000-000079120000}"/>
    <cellStyle name="Normal 2 23 4" xfId="4747" xr:uid="{00000000-0005-0000-0000-00007A120000}"/>
    <cellStyle name="Normal 2 23 5" xfId="4748" xr:uid="{00000000-0005-0000-0000-00007B120000}"/>
    <cellStyle name="Normal 2 23 6" xfId="4749" xr:uid="{00000000-0005-0000-0000-00007C120000}"/>
    <cellStyle name="Normal 2 23 7" xfId="4750" xr:uid="{00000000-0005-0000-0000-00007D120000}"/>
    <cellStyle name="Normal 2 23 8" xfId="4751" xr:uid="{00000000-0005-0000-0000-00007E120000}"/>
    <cellStyle name="Normal 2 23 9" xfId="4752" xr:uid="{00000000-0005-0000-0000-00007F120000}"/>
    <cellStyle name="Normal 2 24" xfId="4753" xr:uid="{00000000-0005-0000-0000-000080120000}"/>
    <cellStyle name="Normal 2 24 2" xfId="4754" xr:uid="{00000000-0005-0000-0000-000081120000}"/>
    <cellStyle name="Normal 2 24 2 2" xfId="4755" xr:uid="{00000000-0005-0000-0000-000082120000}"/>
    <cellStyle name="Normal 2 24 2 3" xfId="4756" xr:uid="{00000000-0005-0000-0000-000083120000}"/>
    <cellStyle name="Normal 2 24 2 4" xfId="4757" xr:uid="{00000000-0005-0000-0000-000084120000}"/>
    <cellStyle name="Normal 2 24 3" xfId="4758" xr:uid="{00000000-0005-0000-0000-000085120000}"/>
    <cellStyle name="Normal 2 24 4" xfId="4759" xr:uid="{00000000-0005-0000-0000-000086120000}"/>
    <cellStyle name="Normal 2 24 5" xfId="4760" xr:uid="{00000000-0005-0000-0000-000087120000}"/>
    <cellStyle name="Normal 2 24 6" xfId="4761" xr:uid="{00000000-0005-0000-0000-000088120000}"/>
    <cellStyle name="Normal 2 24 7" xfId="4762" xr:uid="{00000000-0005-0000-0000-000089120000}"/>
    <cellStyle name="Normal 2 24 8" xfId="4763" xr:uid="{00000000-0005-0000-0000-00008A120000}"/>
    <cellStyle name="Normal 2 24 9" xfId="4764" xr:uid="{00000000-0005-0000-0000-00008B120000}"/>
    <cellStyle name="Normal 2 25" xfId="4765" xr:uid="{00000000-0005-0000-0000-00008C120000}"/>
    <cellStyle name="Normal 2 25 2" xfId="4766" xr:uid="{00000000-0005-0000-0000-00008D120000}"/>
    <cellStyle name="Normal 2 25 2 2" xfId="4767" xr:uid="{00000000-0005-0000-0000-00008E120000}"/>
    <cellStyle name="Normal 2 25 2 3" xfId="4768" xr:uid="{00000000-0005-0000-0000-00008F120000}"/>
    <cellStyle name="Normal 2 25 2 4" xfId="4769" xr:uid="{00000000-0005-0000-0000-000090120000}"/>
    <cellStyle name="Normal 2 25 3" xfId="4770" xr:uid="{00000000-0005-0000-0000-000091120000}"/>
    <cellStyle name="Normal 2 25 4" xfId="4771" xr:uid="{00000000-0005-0000-0000-000092120000}"/>
    <cellStyle name="Normal 2 25 5" xfId="4772" xr:uid="{00000000-0005-0000-0000-000093120000}"/>
    <cellStyle name="Normal 2 25 6" xfId="4773" xr:uid="{00000000-0005-0000-0000-000094120000}"/>
    <cellStyle name="Normal 2 25 7" xfId="4774" xr:uid="{00000000-0005-0000-0000-000095120000}"/>
    <cellStyle name="Normal 2 25 8" xfId="4775" xr:uid="{00000000-0005-0000-0000-000096120000}"/>
    <cellStyle name="Normal 2 25 9" xfId="4776" xr:uid="{00000000-0005-0000-0000-000097120000}"/>
    <cellStyle name="Normal 2 26" xfId="4777" xr:uid="{00000000-0005-0000-0000-000098120000}"/>
    <cellStyle name="Normal 2 26 2" xfId="4778" xr:uid="{00000000-0005-0000-0000-000099120000}"/>
    <cellStyle name="Normal 2 26 2 2" xfId="4779" xr:uid="{00000000-0005-0000-0000-00009A120000}"/>
    <cellStyle name="Normal 2 26 2 3" xfId="4780" xr:uid="{00000000-0005-0000-0000-00009B120000}"/>
    <cellStyle name="Normal 2 26 2 4" xfId="4781" xr:uid="{00000000-0005-0000-0000-00009C120000}"/>
    <cellStyle name="Normal 2 26 3" xfId="4782" xr:uid="{00000000-0005-0000-0000-00009D120000}"/>
    <cellStyle name="Normal 2 26 4" xfId="4783" xr:uid="{00000000-0005-0000-0000-00009E120000}"/>
    <cellStyle name="Normal 2 26 5" xfId="4784" xr:uid="{00000000-0005-0000-0000-00009F120000}"/>
    <cellStyle name="Normal 2 26 6" xfId="4785" xr:uid="{00000000-0005-0000-0000-0000A0120000}"/>
    <cellStyle name="Normal 2 26 7" xfId="4786" xr:uid="{00000000-0005-0000-0000-0000A1120000}"/>
    <cellStyle name="Normal 2 26 8" xfId="4787" xr:uid="{00000000-0005-0000-0000-0000A2120000}"/>
    <cellStyle name="Normal 2 26 9" xfId="4788" xr:uid="{00000000-0005-0000-0000-0000A3120000}"/>
    <cellStyle name="Normal 2 27" xfId="4789" xr:uid="{00000000-0005-0000-0000-0000A4120000}"/>
    <cellStyle name="Normal 2 28" xfId="4790" xr:uid="{00000000-0005-0000-0000-0000A5120000}"/>
    <cellStyle name="Normal 2 29" xfId="4791" xr:uid="{00000000-0005-0000-0000-0000A6120000}"/>
    <cellStyle name="Normal 2 3" xfId="4792" xr:uid="{00000000-0005-0000-0000-0000A7120000}"/>
    <cellStyle name="Normal 2 3 2" xfId="4793" xr:uid="{00000000-0005-0000-0000-0000A8120000}"/>
    <cellStyle name="Normal 2 3 2 2" xfId="4794" xr:uid="{00000000-0005-0000-0000-0000A9120000}"/>
    <cellStyle name="Normal 2 3 2 2 2" xfId="4795" xr:uid="{00000000-0005-0000-0000-0000AA120000}"/>
    <cellStyle name="Normal 2 3 2 3" xfId="4796" xr:uid="{00000000-0005-0000-0000-0000AB120000}"/>
    <cellStyle name="Normal 2 3 2 3 2" xfId="4797" xr:uid="{00000000-0005-0000-0000-0000AC120000}"/>
    <cellStyle name="Normal 2 3 2 4" xfId="4798" xr:uid="{00000000-0005-0000-0000-0000AD120000}"/>
    <cellStyle name="Normal 2 3 2 4 2" xfId="4799" xr:uid="{00000000-0005-0000-0000-0000AE120000}"/>
    <cellStyle name="Normal 2 3 2 5" xfId="4800" xr:uid="{00000000-0005-0000-0000-0000AF120000}"/>
    <cellStyle name="Normal 2 3 2 5 2" xfId="4801" xr:uid="{00000000-0005-0000-0000-0000B0120000}"/>
    <cellStyle name="Normal 2 3 2 6" xfId="4802" xr:uid="{00000000-0005-0000-0000-0000B1120000}"/>
    <cellStyle name="Normal 2 3 2 6 2" xfId="4803" xr:uid="{00000000-0005-0000-0000-0000B2120000}"/>
    <cellStyle name="Normal 2 3 2 7" xfId="4804" xr:uid="{00000000-0005-0000-0000-0000B3120000}"/>
    <cellStyle name="Normal 2 3 2 7 2" xfId="4805" xr:uid="{00000000-0005-0000-0000-0000B4120000}"/>
    <cellStyle name="Normal 2 3 3" xfId="4806" xr:uid="{00000000-0005-0000-0000-0000B5120000}"/>
    <cellStyle name="Normal 2 3 4" xfId="4807" xr:uid="{00000000-0005-0000-0000-0000B6120000}"/>
    <cellStyle name="Normal 2 3 5" xfId="4808" xr:uid="{00000000-0005-0000-0000-0000B7120000}"/>
    <cellStyle name="Normal 2 3 6" xfId="4809" xr:uid="{00000000-0005-0000-0000-0000B8120000}"/>
    <cellStyle name="Normal 2 3 7" xfId="4810" xr:uid="{00000000-0005-0000-0000-0000B9120000}"/>
    <cellStyle name="Normal 2 3 8" xfId="4811" xr:uid="{00000000-0005-0000-0000-0000BA120000}"/>
    <cellStyle name="Normal 2 30" xfId="4812" xr:uid="{00000000-0005-0000-0000-0000BB120000}"/>
    <cellStyle name="Normal 2 30 2" xfId="4813" xr:uid="{00000000-0005-0000-0000-0000BC120000}"/>
    <cellStyle name="Normal 2 30 3" xfId="4814" xr:uid="{00000000-0005-0000-0000-0000BD120000}"/>
    <cellStyle name="Normal 2 31" xfId="4815" xr:uid="{00000000-0005-0000-0000-0000BE120000}"/>
    <cellStyle name="Normal 2 32" xfId="4816" xr:uid="{00000000-0005-0000-0000-0000BF120000}"/>
    <cellStyle name="Normal 2 33" xfId="4817" xr:uid="{00000000-0005-0000-0000-0000C0120000}"/>
    <cellStyle name="Normal 2 34" xfId="4818" xr:uid="{00000000-0005-0000-0000-0000C1120000}"/>
    <cellStyle name="Normal 2 35" xfId="4819" xr:uid="{00000000-0005-0000-0000-0000C2120000}"/>
    <cellStyle name="Normal 2 36" xfId="4820" xr:uid="{00000000-0005-0000-0000-0000C3120000}"/>
    <cellStyle name="Normal 2 37" xfId="4821" xr:uid="{00000000-0005-0000-0000-0000C4120000}"/>
    <cellStyle name="Normal 2 38" xfId="4822" xr:uid="{00000000-0005-0000-0000-0000C5120000}"/>
    <cellStyle name="Normal 2 39" xfId="4823" xr:uid="{00000000-0005-0000-0000-0000C6120000}"/>
    <cellStyle name="Normal 2 4" xfId="4824" xr:uid="{00000000-0005-0000-0000-0000C7120000}"/>
    <cellStyle name="Normal 2 4 10" xfId="4825" xr:uid="{00000000-0005-0000-0000-0000C8120000}"/>
    <cellStyle name="Normal 2 4 11" xfId="4826" xr:uid="{00000000-0005-0000-0000-0000C9120000}"/>
    <cellStyle name="Normal 2 4 12" xfId="4827" xr:uid="{00000000-0005-0000-0000-0000CA120000}"/>
    <cellStyle name="Normal 2 4 13" xfId="4828" xr:uid="{00000000-0005-0000-0000-0000CB120000}"/>
    <cellStyle name="Normal 2 4 14" xfId="4829" xr:uid="{00000000-0005-0000-0000-0000CC120000}"/>
    <cellStyle name="Normal 2 4 15" xfId="4830" xr:uid="{00000000-0005-0000-0000-0000CD120000}"/>
    <cellStyle name="Normal 2 4 16" xfId="4831" xr:uid="{00000000-0005-0000-0000-0000CE120000}"/>
    <cellStyle name="Normal 2 4 17" xfId="4832" xr:uid="{00000000-0005-0000-0000-0000CF120000}"/>
    <cellStyle name="Normal 2 4 17 10" xfId="4833" xr:uid="{00000000-0005-0000-0000-0000D0120000}"/>
    <cellStyle name="Normal 2 4 17 10 10" xfId="4834" xr:uid="{00000000-0005-0000-0000-0000D1120000}"/>
    <cellStyle name="Normal 2 4 17 10 10 2" xfId="4835" xr:uid="{00000000-0005-0000-0000-0000D2120000}"/>
    <cellStyle name="Normal 2 4 17 10 10 3" xfId="4836" xr:uid="{00000000-0005-0000-0000-0000D3120000}"/>
    <cellStyle name="Normal 2 4 17 10 11" xfId="4837" xr:uid="{00000000-0005-0000-0000-0000D4120000}"/>
    <cellStyle name="Normal 2 4 17 10 11 2" xfId="4838" xr:uid="{00000000-0005-0000-0000-0000D5120000}"/>
    <cellStyle name="Normal 2 4 17 10 11 3" xfId="4839" xr:uid="{00000000-0005-0000-0000-0000D6120000}"/>
    <cellStyle name="Normal 2 4 17 10 12" xfId="4840" xr:uid="{00000000-0005-0000-0000-0000D7120000}"/>
    <cellStyle name="Normal 2 4 17 10 12 2" xfId="4841" xr:uid="{00000000-0005-0000-0000-0000D8120000}"/>
    <cellStyle name="Normal 2 4 17 10 12 3" xfId="4842" xr:uid="{00000000-0005-0000-0000-0000D9120000}"/>
    <cellStyle name="Normal 2 4 17 10 13" xfId="4843" xr:uid="{00000000-0005-0000-0000-0000DA120000}"/>
    <cellStyle name="Normal 2 4 17 10 13 2" xfId="4844" xr:uid="{00000000-0005-0000-0000-0000DB120000}"/>
    <cellStyle name="Normal 2 4 17 10 13 3" xfId="4845" xr:uid="{00000000-0005-0000-0000-0000DC120000}"/>
    <cellStyle name="Normal 2 4 17 10 14" xfId="4846" xr:uid="{00000000-0005-0000-0000-0000DD120000}"/>
    <cellStyle name="Normal 2 4 17 10 14 2" xfId="4847" xr:uid="{00000000-0005-0000-0000-0000DE120000}"/>
    <cellStyle name="Normal 2 4 17 10 14 3" xfId="4848" xr:uid="{00000000-0005-0000-0000-0000DF120000}"/>
    <cellStyle name="Normal 2 4 17 10 15" xfId="4849" xr:uid="{00000000-0005-0000-0000-0000E0120000}"/>
    <cellStyle name="Normal 2 4 17 10 16" xfId="4850" xr:uid="{00000000-0005-0000-0000-0000E1120000}"/>
    <cellStyle name="Normal 2 4 17 10 2" xfId="4851" xr:uid="{00000000-0005-0000-0000-0000E2120000}"/>
    <cellStyle name="Normal 2 4 17 10 2 2" xfId="4852" xr:uid="{00000000-0005-0000-0000-0000E3120000}"/>
    <cellStyle name="Normal 2 4 17 10 2 3" xfId="4853" xr:uid="{00000000-0005-0000-0000-0000E4120000}"/>
    <cellStyle name="Normal 2 4 17 10 3" xfId="4854" xr:uid="{00000000-0005-0000-0000-0000E5120000}"/>
    <cellStyle name="Normal 2 4 17 10 3 2" xfId="4855" xr:uid="{00000000-0005-0000-0000-0000E6120000}"/>
    <cellStyle name="Normal 2 4 17 10 3 3" xfId="4856" xr:uid="{00000000-0005-0000-0000-0000E7120000}"/>
    <cellStyle name="Normal 2 4 17 10 4" xfId="4857" xr:uid="{00000000-0005-0000-0000-0000E8120000}"/>
    <cellStyle name="Normal 2 4 17 10 4 2" xfId="4858" xr:uid="{00000000-0005-0000-0000-0000E9120000}"/>
    <cellStyle name="Normal 2 4 17 10 4 3" xfId="4859" xr:uid="{00000000-0005-0000-0000-0000EA120000}"/>
    <cellStyle name="Normal 2 4 17 10 5" xfId="4860" xr:uid="{00000000-0005-0000-0000-0000EB120000}"/>
    <cellStyle name="Normal 2 4 17 10 5 2" xfId="4861" xr:uid="{00000000-0005-0000-0000-0000EC120000}"/>
    <cellStyle name="Normal 2 4 17 10 5 3" xfId="4862" xr:uid="{00000000-0005-0000-0000-0000ED120000}"/>
    <cellStyle name="Normal 2 4 17 10 6" xfId="4863" xr:uid="{00000000-0005-0000-0000-0000EE120000}"/>
    <cellStyle name="Normal 2 4 17 10 6 2" xfId="4864" xr:uid="{00000000-0005-0000-0000-0000EF120000}"/>
    <cellStyle name="Normal 2 4 17 10 6 3" xfId="4865" xr:uid="{00000000-0005-0000-0000-0000F0120000}"/>
    <cellStyle name="Normal 2 4 17 10 7" xfId="4866" xr:uid="{00000000-0005-0000-0000-0000F1120000}"/>
    <cellStyle name="Normal 2 4 17 10 7 2" xfId="4867" xr:uid="{00000000-0005-0000-0000-0000F2120000}"/>
    <cellStyle name="Normal 2 4 17 10 7 3" xfId="4868" xr:uid="{00000000-0005-0000-0000-0000F3120000}"/>
    <cellStyle name="Normal 2 4 17 10 8" xfId="4869" xr:uid="{00000000-0005-0000-0000-0000F4120000}"/>
    <cellStyle name="Normal 2 4 17 10 8 2" xfId="4870" xr:uid="{00000000-0005-0000-0000-0000F5120000}"/>
    <cellStyle name="Normal 2 4 17 10 8 3" xfId="4871" xr:uid="{00000000-0005-0000-0000-0000F6120000}"/>
    <cellStyle name="Normal 2 4 17 10 9" xfId="4872" xr:uid="{00000000-0005-0000-0000-0000F7120000}"/>
    <cellStyle name="Normal 2 4 17 10 9 2" xfId="4873" xr:uid="{00000000-0005-0000-0000-0000F8120000}"/>
    <cellStyle name="Normal 2 4 17 10 9 3" xfId="4874" xr:uid="{00000000-0005-0000-0000-0000F9120000}"/>
    <cellStyle name="Normal 2 4 17 11" xfId="4875" xr:uid="{00000000-0005-0000-0000-0000FA120000}"/>
    <cellStyle name="Normal 2 4 17 11 2" xfId="4876" xr:uid="{00000000-0005-0000-0000-0000FB120000}"/>
    <cellStyle name="Normal 2 4 17 11 3" xfId="4877" xr:uid="{00000000-0005-0000-0000-0000FC120000}"/>
    <cellStyle name="Normal 2 4 17 12" xfId="4878" xr:uid="{00000000-0005-0000-0000-0000FD120000}"/>
    <cellStyle name="Normal 2 4 17 12 2" xfId="4879" xr:uid="{00000000-0005-0000-0000-0000FE120000}"/>
    <cellStyle name="Normal 2 4 17 12 3" xfId="4880" xr:uid="{00000000-0005-0000-0000-0000FF120000}"/>
    <cellStyle name="Normal 2 4 17 13" xfId="4881" xr:uid="{00000000-0005-0000-0000-000000130000}"/>
    <cellStyle name="Normal 2 4 17 13 2" xfId="4882" xr:uid="{00000000-0005-0000-0000-000001130000}"/>
    <cellStyle name="Normal 2 4 17 13 3" xfId="4883" xr:uid="{00000000-0005-0000-0000-000002130000}"/>
    <cellStyle name="Normal 2 4 17 14" xfId="4884" xr:uid="{00000000-0005-0000-0000-000003130000}"/>
    <cellStyle name="Normal 2 4 17 14 2" xfId="4885" xr:uid="{00000000-0005-0000-0000-000004130000}"/>
    <cellStyle name="Normal 2 4 17 14 3" xfId="4886" xr:uid="{00000000-0005-0000-0000-000005130000}"/>
    <cellStyle name="Normal 2 4 17 15" xfId="4887" xr:uid="{00000000-0005-0000-0000-000006130000}"/>
    <cellStyle name="Normal 2 4 17 15 2" xfId="4888" xr:uid="{00000000-0005-0000-0000-000007130000}"/>
    <cellStyle name="Normal 2 4 17 15 3" xfId="4889" xr:uid="{00000000-0005-0000-0000-000008130000}"/>
    <cellStyle name="Normal 2 4 17 16" xfId="4890" xr:uid="{00000000-0005-0000-0000-000009130000}"/>
    <cellStyle name="Normal 2 4 17 16 2" xfId="4891" xr:uid="{00000000-0005-0000-0000-00000A130000}"/>
    <cellStyle name="Normal 2 4 17 16 3" xfId="4892" xr:uid="{00000000-0005-0000-0000-00000B130000}"/>
    <cellStyle name="Normal 2 4 17 17" xfId="4893" xr:uid="{00000000-0005-0000-0000-00000C130000}"/>
    <cellStyle name="Normal 2 4 17 17 2" xfId="4894" xr:uid="{00000000-0005-0000-0000-00000D130000}"/>
    <cellStyle name="Normal 2 4 17 17 3" xfId="4895" xr:uid="{00000000-0005-0000-0000-00000E130000}"/>
    <cellStyle name="Normal 2 4 17 18" xfId="4896" xr:uid="{00000000-0005-0000-0000-00000F130000}"/>
    <cellStyle name="Normal 2 4 17 18 2" xfId="4897" xr:uid="{00000000-0005-0000-0000-000010130000}"/>
    <cellStyle name="Normal 2 4 17 18 3" xfId="4898" xr:uid="{00000000-0005-0000-0000-000011130000}"/>
    <cellStyle name="Normal 2 4 17 19" xfId="4899" xr:uid="{00000000-0005-0000-0000-000012130000}"/>
    <cellStyle name="Normal 2 4 17 19 2" xfId="4900" xr:uid="{00000000-0005-0000-0000-000013130000}"/>
    <cellStyle name="Normal 2 4 17 19 3" xfId="4901" xr:uid="{00000000-0005-0000-0000-000014130000}"/>
    <cellStyle name="Normal 2 4 17 2" xfId="4902" xr:uid="{00000000-0005-0000-0000-000015130000}"/>
    <cellStyle name="Normal 2 4 17 2 10" xfId="4903" xr:uid="{00000000-0005-0000-0000-000016130000}"/>
    <cellStyle name="Normal 2 4 17 2 10 2" xfId="4904" xr:uid="{00000000-0005-0000-0000-000017130000}"/>
    <cellStyle name="Normal 2 4 17 2 10 3" xfId="4905" xr:uid="{00000000-0005-0000-0000-000018130000}"/>
    <cellStyle name="Normal 2 4 17 2 11" xfId="4906" xr:uid="{00000000-0005-0000-0000-000019130000}"/>
    <cellStyle name="Normal 2 4 17 2 11 2" xfId="4907" xr:uid="{00000000-0005-0000-0000-00001A130000}"/>
    <cellStyle name="Normal 2 4 17 2 11 3" xfId="4908" xr:uid="{00000000-0005-0000-0000-00001B130000}"/>
    <cellStyle name="Normal 2 4 17 2 12" xfId="4909" xr:uid="{00000000-0005-0000-0000-00001C130000}"/>
    <cellStyle name="Normal 2 4 17 2 12 2" xfId="4910" xr:uid="{00000000-0005-0000-0000-00001D130000}"/>
    <cellStyle name="Normal 2 4 17 2 12 3" xfId="4911" xr:uid="{00000000-0005-0000-0000-00001E130000}"/>
    <cellStyle name="Normal 2 4 17 2 13" xfId="4912" xr:uid="{00000000-0005-0000-0000-00001F130000}"/>
    <cellStyle name="Normal 2 4 17 2 13 2" xfId="4913" xr:uid="{00000000-0005-0000-0000-000020130000}"/>
    <cellStyle name="Normal 2 4 17 2 13 3" xfId="4914" xr:uid="{00000000-0005-0000-0000-000021130000}"/>
    <cellStyle name="Normal 2 4 17 2 14" xfId="4915" xr:uid="{00000000-0005-0000-0000-000022130000}"/>
    <cellStyle name="Normal 2 4 17 2 14 2" xfId="4916" xr:uid="{00000000-0005-0000-0000-000023130000}"/>
    <cellStyle name="Normal 2 4 17 2 14 3" xfId="4917" xr:uid="{00000000-0005-0000-0000-000024130000}"/>
    <cellStyle name="Normal 2 4 17 2 15" xfId="4918" xr:uid="{00000000-0005-0000-0000-000025130000}"/>
    <cellStyle name="Normal 2 4 17 2 15 2" xfId="4919" xr:uid="{00000000-0005-0000-0000-000026130000}"/>
    <cellStyle name="Normal 2 4 17 2 15 3" xfId="4920" xr:uid="{00000000-0005-0000-0000-000027130000}"/>
    <cellStyle name="Normal 2 4 17 2 16" xfId="4921" xr:uid="{00000000-0005-0000-0000-000028130000}"/>
    <cellStyle name="Normal 2 4 17 2 17" xfId="4922" xr:uid="{00000000-0005-0000-0000-000029130000}"/>
    <cellStyle name="Normal 2 4 17 2 2" xfId="4923" xr:uid="{00000000-0005-0000-0000-00002A130000}"/>
    <cellStyle name="Normal 2 4 17 2 2 10" xfId="4924" xr:uid="{00000000-0005-0000-0000-00002B130000}"/>
    <cellStyle name="Normal 2 4 17 2 2 10 2" xfId="4925" xr:uid="{00000000-0005-0000-0000-00002C130000}"/>
    <cellStyle name="Normal 2 4 17 2 2 10 3" xfId="4926" xr:uid="{00000000-0005-0000-0000-00002D130000}"/>
    <cellStyle name="Normal 2 4 17 2 2 11" xfId="4927" xr:uid="{00000000-0005-0000-0000-00002E130000}"/>
    <cellStyle name="Normal 2 4 17 2 2 11 2" xfId="4928" xr:uid="{00000000-0005-0000-0000-00002F130000}"/>
    <cellStyle name="Normal 2 4 17 2 2 11 3" xfId="4929" xr:uid="{00000000-0005-0000-0000-000030130000}"/>
    <cellStyle name="Normal 2 4 17 2 2 12" xfId="4930" xr:uid="{00000000-0005-0000-0000-000031130000}"/>
    <cellStyle name="Normal 2 4 17 2 2 12 2" xfId="4931" xr:uid="{00000000-0005-0000-0000-000032130000}"/>
    <cellStyle name="Normal 2 4 17 2 2 12 3" xfId="4932" xr:uid="{00000000-0005-0000-0000-000033130000}"/>
    <cellStyle name="Normal 2 4 17 2 2 13" xfId="4933" xr:uid="{00000000-0005-0000-0000-000034130000}"/>
    <cellStyle name="Normal 2 4 17 2 2 13 2" xfId="4934" xr:uid="{00000000-0005-0000-0000-000035130000}"/>
    <cellStyle name="Normal 2 4 17 2 2 13 3" xfId="4935" xr:uid="{00000000-0005-0000-0000-000036130000}"/>
    <cellStyle name="Normal 2 4 17 2 2 14" xfId="4936" xr:uid="{00000000-0005-0000-0000-000037130000}"/>
    <cellStyle name="Normal 2 4 17 2 2 14 2" xfId="4937" xr:uid="{00000000-0005-0000-0000-000038130000}"/>
    <cellStyle name="Normal 2 4 17 2 2 14 3" xfId="4938" xr:uid="{00000000-0005-0000-0000-000039130000}"/>
    <cellStyle name="Normal 2 4 17 2 2 15" xfId="4939" xr:uid="{00000000-0005-0000-0000-00003A130000}"/>
    <cellStyle name="Normal 2 4 17 2 2 16" xfId="4940" xr:uid="{00000000-0005-0000-0000-00003B130000}"/>
    <cellStyle name="Normal 2 4 17 2 2 2" xfId="4941" xr:uid="{00000000-0005-0000-0000-00003C130000}"/>
    <cellStyle name="Normal 2 4 17 2 2 2 2" xfId="4942" xr:uid="{00000000-0005-0000-0000-00003D130000}"/>
    <cellStyle name="Normal 2 4 17 2 2 2 3" xfId="4943" xr:uid="{00000000-0005-0000-0000-00003E130000}"/>
    <cellStyle name="Normal 2 4 17 2 2 3" xfId="4944" xr:uid="{00000000-0005-0000-0000-00003F130000}"/>
    <cellStyle name="Normal 2 4 17 2 2 3 2" xfId="4945" xr:uid="{00000000-0005-0000-0000-000040130000}"/>
    <cellStyle name="Normal 2 4 17 2 2 3 3" xfId="4946" xr:uid="{00000000-0005-0000-0000-000041130000}"/>
    <cellStyle name="Normal 2 4 17 2 2 4" xfId="4947" xr:uid="{00000000-0005-0000-0000-000042130000}"/>
    <cellStyle name="Normal 2 4 17 2 2 4 2" xfId="4948" xr:uid="{00000000-0005-0000-0000-000043130000}"/>
    <cellStyle name="Normal 2 4 17 2 2 4 3" xfId="4949" xr:uid="{00000000-0005-0000-0000-000044130000}"/>
    <cellStyle name="Normal 2 4 17 2 2 5" xfId="4950" xr:uid="{00000000-0005-0000-0000-000045130000}"/>
    <cellStyle name="Normal 2 4 17 2 2 5 2" xfId="4951" xr:uid="{00000000-0005-0000-0000-000046130000}"/>
    <cellStyle name="Normal 2 4 17 2 2 5 3" xfId="4952" xr:uid="{00000000-0005-0000-0000-000047130000}"/>
    <cellStyle name="Normal 2 4 17 2 2 6" xfId="4953" xr:uid="{00000000-0005-0000-0000-000048130000}"/>
    <cellStyle name="Normal 2 4 17 2 2 6 2" xfId="4954" xr:uid="{00000000-0005-0000-0000-000049130000}"/>
    <cellStyle name="Normal 2 4 17 2 2 6 3" xfId="4955" xr:uid="{00000000-0005-0000-0000-00004A130000}"/>
    <cellStyle name="Normal 2 4 17 2 2 7" xfId="4956" xr:uid="{00000000-0005-0000-0000-00004B130000}"/>
    <cellStyle name="Normal 2 4 17 2 2 7 2" xfId="4957" xr:uid="{00000000-0005-0000-0000-00004C130000}"/>
    <cellStyle name="Normal 2 4 17 2 2 7 3" xfId="4958" xr:uid="{00000000-0005-0000-0000-00004D130000}"/>
    <cellStyle name="Normal 2 4 17 2 2 8" xfId="4959" xr:uid="{00000000-0005-0000-0000-00004E130000}"/>
    <cellStyle name="Normal 2 4 17 2 2 8 2" xfId="4960" xr:uid="{00000000-0005-0000-0000-00004F130000}"/>
    <cellStyle name="Normal 2 4 17 2 2 8 3" xfId="4961" xr:uid="{00000000-0005-0000-0000-000050130000}"/>
    <cellStyle name="Normal 2 4 17 2 2 9" xfId="4962" xr:uid="{00000000-0005-0000-0000-000051130000}"/>
    <cellStyle name="Normal 2 4 17 2 2 9 2" xfId="4963" xr:uid="{00000000-0005-0000-0000-000052130000}"/>
    <cellStyle name="Normal 2 4 17 2 2 9 3" xfId="4964" xr:uid="{00000000-0005-0000-0000-000053130000}"/>
    <cellStyle name="Normal 2 4 17 2 3" xfId="4965" xr:uid="{00000000-0005-0000-0000-000054130000}"/>
    <cellStyle name="Normal 2 4 17 2 3 2" xfId="4966" xr:uid="{00000000-0005-0000-0000-000055130000}"/>
    <cellStyle name="Normal 2 4 17 2 3 3" xfId="4967" xr:uid="{00000000-0005-0000-0000-000056130000}"/>
    <cellStyle name="Normal 2 4 17 2 4" xfId="4968" xr:uid="{00000000-0005-0000-0000-000057130000}"/>
    <cellStyle name="Normal 2 4 17 2 4 2" xfId="4969" xr:uid="{00000000-0005-0000-0000-000058130000}"/>
    <cellStyle name="Normal 2 4 17 2 4 3" xfId="4970" xr:uid="{00000000-0005-0000-0000-000059130000}"/>
    <cellStyle name="Normal 2 4 17 2 5" xfId="4971" xr:uid="{00000000-0005-0000-0000-00005A130000}"/>
    <cellStyle name="Normal 2 4 17 2 5 2" xfId="4972" xr:uid="{00000000-0005-0000-0000-00005B130000}"/>
    <cellStyle name="Normal 2 4 17 2 5 3" xfId="4973" xr:uid="{00000000-0005-0000-0000-00005C130000}"/>
    <cellStyle name="Normal 2 4 17 2 6" xfId="4974" xr:uid="{00000000-0005-0000-0000-00005D130000}"/>
    <cellStyle name="Normal 2 4 17 2 6 2" xfId="4975" xr:uid="{00000000-0005-0000-0000-00005E130000}"/>
    <cellStyle name="Normal 2 4 17 2 6 3" xfId="4976" xr:uid="{00000000-0005-0000-0000-00005F130000}"/>
    <cellStyle name="Normal 2 4 17 2 7" xfId="4977" xr:uid="{00000000-0005-0000-0000-000060130000}"/>
    <cellStyle name="Normal 2 4 17 2 7 2" xfId="4978" xr:uid="{00000000-0005-0000-0000-000061130000}"/>
    <cellStyle name="Normal 2 4 17 2 7 3" xfId="4979" xr:uid="{00000000-0005-0000-0000-000062130000}"/>
    <cellStyle name="Normal 2 4 17 2 8" xfId="4980" xr:uid="{00000000-0005-0000-0000-000063130000}"/>
    <cellStyle name="Normal 2 4 17 2 8 2" xfId="4981" xr:uid="{00000000-0005-0000-0000-000064130000}"/>
    <cellStyle name="Normal 2 4 17 2 8 3" xfId="4982" xr:uid="{00000000-0005-0000-0000-000065130000}"/>
    <cellStyle name="Normal 2 4 17 2 9" xfId="4983" xr:uid="{00000000-0005-0000-0000-000066130000}"/>
    <cellStyle name="Normal 2 4 17 2 9 2" xfId="4984" xr:uid="{00000000-0005-0000-0000-000067130000}"/>
    <cellStyle name="Normal 2 4 17 2 9 3" xfId="4985" xr:uid="{00000000-0005-0000-0000-000068130000}"/>
    <cellStyle name="Normal 2 4 17 20" xfId="4986" xr:uid="{00000000-0005-0000-0000-000069130000}"/>
    <cellStyle name="Normal 2 4 17 20 2" xfId="4987" xr:uid="{00000000-0005-0000-0000-00006A130000}"/>
    <cellStyle name="Normal 2 4 17 20 3" xfId="4988" xr:uid="{00000000-0005-0000-0000-00006B130000}"/>
    <cellStyle name="Normal 2 4 17 21" xfId="4989" xr:uid="{00000000-0005-0000-0000-00006C130000}"/>
    <cellStyle name="Normal 2 4 17 21 2" xfId="4990" xr:uid="{00000000-0005-0000-0000-00006D130000}"/>
    <cellStyle name="Normal 2 4 17 21 3" xfId="4991" xr:uid="{00000000-0005-0000-0000-00006E130000}"/>
    <cellStyle name="Normal 2 4 17 22" xfId="4992" xr:uid="{00000000-0005-0000-0000-00006F130000}"/>
    <cellStyle name="Normal 2 4 17 22 2" xfId="4993" xr:uid="{00000000-0005-0000-0000-000070130000}"/>
    <cellStyle name="Normal 2 4 17 22 3" xfId="4994" xr:uid="{00000000-0005-0000-0000-000071130000}"/>
    <cellStyle name="Normal 2 4 17 23" xfId="4995" xr:uid="{00000000-0005-0000-0000-000072130000}"/>
    <cellStyle name="Normal 2 4 17 23 2" xfId="4996" xr:uid="{00000000-0005-0000-0000-000073130000}"/>
    <cellStyle name="Normal 2 4 17 23 3" xfId="4997" xr:uid="{00000000-0005-0000-0000-000074130000}"/>
    <cellStyle name="Normal 2 4 17 24" xfId="4998" xr:uid="{00000000-0005-0000-0000-000075130000}"/>
    <cellStyle name="Normal 2 4 17 25" xfId="4999" xr:uid="{00000000-0005-0000-0000-000076130000}"/>
    <cellStyle name="Normal 2 4 17 3" xfId="5000" xr:uid="{00000000-0005-0000-0000-000077130000}"/>
    <cellStyle name="Normal 2 4 17 3 10" xfId="5001" xr:uid="{00000000-0005-0000-0000-000078130000}"/>
    <cellStyle name="Normal 2 4 17 3 10 2" xfId="5002" xr:uid="{00000000-0005-0000-0000-000079130000}"/>
    <cellStyle name="Normal 2 4 17 3 10 3" xfId="5003" xr:uid="{00000000-0005-0000-0000-00007A130000}"/>
    <cellStyle name="Normal 2 4 17 3 11" xfId="5004" xr:uid="{00000000-0005-0000-0000-00007B130000}"/>
    <cellStyle name="Normal 2 4 17 3 11 2" xfId="5005" xr:uid="{00000000-0005-0000-0000-00007C130000}"/>
    <cellStyle name="Normal 2 4 17 3 11 3" xfId="5006" xr:uid="{00000000-0005-0000-0000-00007D130000}"/>
    <cellStyle name="Normal 2 4 17 3 12" xfId="5007" xr:uid="{00000000-0005-0000-0000-00007E130000}"/>
    <cellStyle name="Normal 2 4 17 3 12 2" xfId="5008" xr:uid="{00000000-0005-0000-0000-00007F130000}"/>
    <cellStyle name="Normal 2 4 17 3 12 3" xfId="5009" xr:uid="{00000000-0005-0000-0000-000080130000}"/>
    <cellStyle name="Normal 2 4 17 3 13" xfId="5010" xr:uid="{00000000-0005-0000-0000-000081130000}"/>
    <cellStyle name="Normal 2 4 17 3 13 2" xfId="5011" xr:uid="{00000000-0005-0000-0000-000082130000}"/>
    <cellStyle name="Normal 2 4 17 3 13 3" xfId="5012" xr:uid="{00000000-0005-0000-0000-000083130000}"/>
    <cellStyle name="Normal 2 4 17 3 14" xfId="5013" xr:uid="{00000000-0005-0000-0000-000084130000}"/>
    <cellStyle name="Normal 2 4 17 3 14 2" xfId="5014" xr:uid="{00000000-0005-0000-0000-000085130000}"/>
    <cellStyle name="Normal 2 4 17 3 14 3" xfId="5015" xr:uid="{00000000-0005-0000-0000-000086130000}"/>
    <cellStyle name="Normal 2 4 17 3 15" xfId="5016" xr:uid="{00000000-0005-0000-0000-000087130000}"/>
    <cellStyle name="Normal 2 4 17 3 15 2" xfId="5017" xr:uid="{00000000-0005-0000-0000-000088130000}"/>
    <cellStyle name="Normal 2 4 17 3 15 3" xfId="5018" xr:uid="{00000000-0005-0000-0000-000089130000}"/>
    <cellStyle name="Normal 2 4 17 3 16" xfId="5019" xr:uid="{00000000-0005-0000-0000-00008A130000}"/>
    <cellStyle name="Normal 2 4 17 3 17" xfId="5020" xr:uid="{00000000-0005-0000-0000-00008B130000}"/>
    <cellStyle name="Normal 2 4 17 3 2" xfId="5021" xr:uid="{00000000-0005-0000-0000-00008C130000}"/>
    <cellStyle name="Normal 2 4 17 3 2 10" xfId="5022" xr:uid="{00000000-0005-0000-0000-00008D130000}"/>
    <cellStyle name="Normal 2 4 17 3 2 10 2" xfId="5023" xr:uid="{00000000-0005-0000-0000-00008E130000}"/>
    <cellStyle name="Normal 2 4 17 3 2 10 3" xfId="5024" xr:uid="{00000000-0005-0000-0000-00008F130000}"/>
    <cellStyle name="Normal 2 4 17 3 2 11" xfId="5025" xr:uid="{00000000-0005-0000-0000-000090130000}"/>
    <cellStyle name="Normal 2 4 17 3 2 11 2" xfId="5026" xr:uid="{00000000-0005-0000-0000-000091130000}"/>
    <cellStyle name="Normal 2 4 17 3 2 11 3" xfId="5027" xr:uid="{00000000-0005-0000-0000-000092130000}"/>
    <cellStyle name="Normal 2 4 17 3 2 12" xfId="5028" xr:uid="{00000000-0005-0000-0000-000093130000}"/>
    <cellStyle name="Normal 2 4 17 3 2 12 2" xfId="5029" xr:uid="{00000000-0005-0000-0000-000094130000}"/>
    <cellStyle name="Normal 2 4 17 3 2 12 3" xfId="5030" xr:uid="{00000000-0005-0000-0000-000095130000}"/>
    <cellStyle name="Normal 2 4 17 3 2 13" xfId="5031" xr:uid="{00000000-0005-0000-0000-000096130000}"/>
    <cellStyle name="Normal 2 4 17 3 2 13 2" xfId="5032" xr:uid="{00000000-0005-0000-0000-000097130000}"/>
    <cellStyle name="Normal 2 4 17 3 2 13 3" xfId="5033" xr:uid="{00000000-0005-0000-0000-000098130000}"/>
    <cellStyle name="Normal 2 4 17 3 2 14" xfId="5034" xr:uid="{00000000-0005-0000-0000-000099130000}"/>
    <cellStyle name="Normal 2 4 17 3 2 14 2" xfId="5035" xr:uid="{00000000-0005-0000-0000-00009A130000}"/>
    <cellStyle name="Normal 2 4 17 3 2 14 3" xfId="5036" xr:uid="{00000000-0005-0000-0000-00009B130000}"/>
    <cellStyle name="Normal 2 4 17 3 2 15" xfId="5037" xr:uid="{00000000-0005-0000-0000-00009C130000}"/>
    <cellStyle name="Normal 2 4 17 3 2 16" xfId="5038" xr:uid="{00000000-0005-0000-0000-00009D130000}"/>
    <cellStyle name="Normal 2 4 17 3 2 2" xfId="5039" xr:uid="{00000000-0005-0000-0000-00009E130000}"/>
    <cellStyle name="Normal 2 4 17 3 2 2 2" xfId="5040" xr:uid="{00000000-0005-0000-0000-00009F130000}"/>
    <cellStyle name="Normal 2 4 17 3 2 2 3" xfId="5041" xr:uid="{00000000-0005-0000-0000-0000A0130000}"/>
    <cellStyle name="Normal 2 4 17 3 2 3" xfId="5042" xr:uid="{00000000-0005-0000-0000-0000A1130000}"/>
    <cellStyle name="Normal 2 4 17 3 2 3 2" xfId="5043" xr:uid="{00000000-0005-0000-0000-0000A2130000}"/>
    <cellStyle name="Normal 2 4 17 3 2 3 3" xfId="5044" xr:uid="{00000000-0005-0000-0000-0000A3130000}"/>
    <cellStyle name="Normal 2 4 17 3 2 4" xfId="5045" xr:uid="{00000000-0005-0000-0000-0000A4130000}"/>
    <cellStyle name="Normal 2 4 17 3 2 4 2" xfId="5046" xr:uid="{00000000-0005-0000-0000-0000A5130000}"/>
    <cellStyle name="Normal 2 4 17 3 2 4 3" xfId="5047" xr:uid="{00000000-0005-0000-0000-0000A6130000}"/>
    <cellStyle name="Normal 2 4 17 3 2 5" xfId="5048" xr:uid="{00000000-0005-0000-0000-0000A7130000}"/>
    <cellStyle name="Normal 2 4 17 3 2 5 2" xfId="5049" xr:uid="{00000000-0005-0000-0000-0000A8130000}"/>
    <cellStyle name="Normal 2 4 17 3 2 5 3" xfId="5050" xr:uid="{00000000-0005-0000-0000-0000A9130000}"/>
    <cellStyle name="Normal 2 4 17 3 2 6" xfId="5051" xr:uid="{00000000-0005-0000-0000-0000AA130000}"/>
    <cellStyle name="Normal 2 4 17 3 2 6 2" xfId="5052" xr:uid="{00000000-0005-0000-0000-0000AB130000}"/>
    <cellStyle name="Normal 2 4 17 3 2 6 3" xfId="5053" xr:uid="{00000000-0005-0000-0000-0000AC130000}"/>
    <cellStyle name="Normal 2 4 17 3 2 7" xfId="5054" xr:uid="{00000000-0005-0000-0000-0000AD130000}"/>
    <cellStyle name="Normal 2 4 17 3 2 7 2" xfId="5055" xr:uid="{00000000-0005-0000-0000-0000AE130000}"/>
    <cellStyle name="Normal 2 4 17 3 2 7 3" xfId="5056" xr:uid="{00000000-0005-0000-0000-0000AF130000}"/>
    <cellStyle name="Normal 2 4 17 3 2 8" xfId="5057" xr:uid="{00000000-0005-0000-0000-0000B0130000}"/>
    <cellStyle name="Normal 2 4 17 3 2 8 2" xfId="5058" xr:uid="{00000000-0005-0000-0000-0000B1130000}"/>
    <cellStyle name="Normal 2 4 17 3 2 8 3" xfId="5059" xr:uid="{00000000-0005-0000-0000-0000B2130000}"/>
    <cellStyle name="Normal 2 4 17 3 2 9" xfId="5060" xr:uid="{00000000-0005-0000-0000-0000B3130000}"/>
    <cellStyle name="Normal 2 4 17 3 2 9 2" xfId="5061" xr:uid="{00000000-0005-0000-0000-0000B4130000}"/>
    <cellStyle name="Normal 2 4 17 3 2 9 3" xfId="5062" xr:uid="{00000000-0005-0000-0000-0000B5130000}"/>
    <cellStyle name="Normal 2 4 17 3 3" xfId="5063" xr:uid="{00000000-0005-0000-0000-0000B6130000}"/>
    <cellStyle name="Normal 2 4 17 3 3 2" xfId="5064" xr:uid="{00000000-0005-0000-0000-0000B7130000}"/>
    <cellStyle name="Normal 2 4 17 3 3 3" xfId="5065" xr:uid="{00000000-0005-0000-0000-0000B8130000}"/>
    <cellStyle name="Normal 2 4 17 3 4" xfId="5066" xr:uid="{00000000-0005-0000-0000-0000B9130000}"/>
    <cellStyle name="Normal 2 4 17 3 4 2" xfId="5067" xr:uid="{00000000-0005-0000-0000-0000BA130000}"/>
    <cellStyle name="Normal 2 4 17 3 4 3" xfId="5068" xr:uid="{00000000-0005-0000-0000-0000BB130000}"/>
    <cellStyle name="Normal 2 4 17 3 5" xfId="5069" xr:uid="{00000000-0005-0000-0000-0000BC130000}"/>
    <cellStyle name="Normal 2 4 17 3 5 2" xfId="5070" xr:uid="{00000000-0005-0000-0000-0000BD130000}"/>
    <cellStyle name="Normal 2 4 17 3 5 3" xfId="5071" xr:uid="{00000000-0005-0000-0000-0000BE130000}"/>
    <cellStyle name="Normal 2 4 17 3 6" xfId="5072" xr:uid="{00000000-0005-0000-0000-0000BF130000}"/>
    <cellStyle name="Normal 2 4 17 3 6 2" xfId="5073" xr:uid="{00000000-0005-0000-0000-0000C0130000}"/>
    <cellStyle name="Normal 2 4 17 3 6 3" xfId="5074" xr:uid="{00000000-0005-0000-0000-0000C1130000}"/>
    <cellStyle name="Normal 2 4 17 3 7" xfId="5075" xr:uid="{00000000-0005-0000-0000-0000C2130000}"/>
    <cellStyle name="Normal 2 4 17 3 7 2" xfId="5076" xr:uid="{00000000-0005-0000-0000-0000C3130000}"/>
    <cellStyle name="Normal 2 4 17 3 7 3" xfId="5077" xr:uid="{00000000-0005-0000-0000-0000C4130000}"/>
    <cellStyle name="Normal 2 4 17 3 8" xfId="5078" xr:uid="{00000000-0005-0000-0000-0000C5130000}"/>
    <cellStyle name="Normal 2 4 17 3 8 2" xfId="5079" xr:uid="{00000000-0005-0000-0000-0000C6130000}"/>
    <cellStyle name="Normal 2 4 17 3 8 3" xfId="5080" xr:uid="{00000000-0005-0000-0000-0000C7130000}"/>
    <cellStyle name="Normal 2 4 17 3 9" xfId="5081" xr:uid="{00000000-0005-0000-0000-0000C8130000}"/>
    <cellStyle name="Normal 2 4 17 3 9 2" xfId="5082" xr:uid="{00000000-0005-0000-0000-0000C9130000}"/>
    <cellStyle name="Normal 2 4 17 3 9 3" xfId="5083" xr:uid="{00000000-0005-0000-0000-0000CA130000}"/>
    <cellStyle name="Normal 2 4 17 4" xfId="5084" xr:uid="{00000000-0005-0000-0000-0000CB130000}"/>
    <cellStyle name="Normal 2 4 17 4 10" xfId="5085" xr:uid="{00000000-0005-0000-0000-0000CC130000}"/>
    <cellStyle name="Normal 2 4 17 4 10 2" xfId="5086" xr:uid="{00000000-0005-0000-0000-0000CD130000}"/>
    <cellStyle name="Normal 2 4 17 4 10 3" xfId="5087" xr:uid="{00000000-0005-0000-0000-0000CE130000}"/>
    <cellStyle name="Normal 2 4 17 4 11" xfId="5088" xr:uid="{00000000-0005-0000-0000-0000CF130000}"/>
    <cellStyle name="Normal 2 4 17 4 11 2" xfId="5089" xr:uid="{00000000-0005-0000-0000-0000D0130000}"/>
    <cellStyle name="Normal 2 4 17 4 11 3" xfId="5090" xr:uid="{00000000-0005-0000-0000-0000D1130000}"/>
    <cellStyle name="Normal 2 4 17 4 12" xfId="5091" xr:uid="{00000000-0005-0000-0000-0000D2130000}"/>
    <cellStyle name="Normal 2 4 17 4 12 2" xfId="5092" xr:uid="{00000000-0005-0000-0000-0000D3130000}"/>
    <cellStyle name="Normal 2 4 17 4 12 3" xfId="5093" xr:uid="{00000000-0005-0000-0000-0000D4130000}"/>
    <cellStyle name="Normal 2 4 17 4 13" xfId="5094" xr:uid="{00000000-0005-0000-0000-0000D5130000}"/>
    <cellStyle name="Normal 2 4 17 4 13 2" xfId="5095" xr:uid="{00000000-0005-0000-0000-0000D6130000}"/>
    <cellStyle name="Normal 2 4 17 4 13 3" xfId="5096" xr:uid="{00000000-0005-0000-0000-0000D7130000}"/>
    <cellStyle name="Normal 2 4 17 4 14" xfId="5097" xr:uid="{00000000-0005-0000-0000-0000D8130000}"/>
    <cellStyle name="Normal 2 4 17 4 14 2" xfId="5098" xr:uid="{00000000-0005-0000-0000-0000D9130000}"/>
    <cellStyle name="Normal 2 4 17 4 14 3" xfId="5099" xr:uid="{00000000-0005-0000-0000-0000DA130000}"/>
    <cellStyle name="Normal 2 4 17 4 15" xfId="5100" xr:uid="{00000000-0005-0000-0000-0000DB130000}"/>
    <cellStyle name="Normal 2 4 17 4 15 2" xfId="5101" xr:uid="{00000000-0005-0000-0000-0000DC130000}"/>
    <cellStyle name="Normal 2 4 17 4 15 3" xfId="5102" xr:uid="{00000000-0005-0000-0000-0000DD130000}"/>
    <cellStyle name="Normal 2 4 17 4 16" xfId="5103" xr:uid="{00000000-0005-0000-0000-0000DE130000}"/>
    <cellStyle name="Normal 2 4 17 4 17" xfId="5104" xr:uid="{00000000-0005-0000-0000-0000DF130000}"/>
    <cellStyle name="Normal 2 4 17 4 2" xfId="5105" xr:uid="{00000000-0005-0000-0000-0000E0130000}"/>
    <cellStyle name="Normal 2 4 17 4 2 10" xfId="5106" xr:uid="{00000000-0005-0000-0000-0000E1130000}"/>
    <cellStyle name="Normal 2 4 17 4 2 10 2" xfId="5107" xr:uid="{00000000-0005-0000-0000-0000E2130000}"/>
    <cellStyle name="Normal 2 4 17 4 2 10 3" xfId="5108" xr:uid="{00000000-0005-0000-0000-0000E3130000}"/>
    <cellStyle name="Normal 2 4 17 4 2 11" xfId="5109" xr:uid="{00000000-0005-0000-0000-0000E4130000}"/>
    <cellStyle name="Normal 2 4 17 4 2 11 2" xfId="5110" xr:uid="{00000000-0005-0000-0000-0000E5130000}"/>
    <cellStyle name="Normal 2 4 17 4 2 11 3" xfId="5111" xr:uid="{00000000-0005-0000-0000-0000E6130000}"/>
    <cellStyle name="Normal 2 4 17 4 2 12" xfId="5112" xr:uid="{00000000-0005-0000-0000-0000E7130000}"/>
    <cellStyle name="Normal 2 4 17 4 2 12 2" xfId="5113" xr:uid="{00000000-0005-0000-0000-0000E8130000}"/>
    <cellStyle name="Normal 2 4 17 4 2 12 3" xfId="5114" xr:uid="{00000000-0005-0000-0000-0000E9130000}"/>
    <cellStyle name="Normal 2 4 17 4 2 13" xfId="5115" xr:uid="{00000000-0005-0000-0000-0000EA130000}"/>
    <cellStyle name="Normal 2 4 17 4 2 13 2" xfId="5116" xr:uid="{00000000-0005-0000-0000-0000EB130000}"/>
    <cellStyle name="Normal 2 4 17 4 2 13 3" xfId="5117" xr:uid="{00000000-0005-0000-0000-0000EC130000}"/>
    <cellStyle name="Normal 2 4 17 4 2 14" xfId="5118" xr:uid="{00000000-0005-0000-0000-0000ED130000}"/>
    <cellStyle name="Normal 2 4 17 4 2 14 2" xfId="5119" xr:uid="{00000000-0005-0000-0000-0000EE130000}"/>
    <cellStyle name="Normal 2 4 17 4 2 14 3" xfId="5120" xr:uid="{00000000-0005-0000-0000-0000EF130000}"/>
    <cellStyle name="Normal 2 4 17 4 2 15" xfId="5121" xr:uid="{00000000-0005-0000-0000-0000F0130000}"/>
    <cellStyle name="Normal 2 4 17 4 2 16" xfId="5122" xr:uid="{00000000-0005-0000-0000-0000F1130000}"/>
    <cellStyle name="Normal 2 4 17 4 2 2" xfId="5123" xr:uid="{00000000-0005-0000-0000-0000F2130000}"/>
    <cellStyle name="Normal 2 4 17 4 2 2 2" xfId="5124" xr:uid="{00000000-0005-0000-0000-0000F3130000}"/>
    <cellStyle name="Normal 2 4 17 4 2 2 3" xfId="5125" xr:uid="{00000000-0005-0000-0000-0000F4130000}"/>
    <cellStyle name="Normal 2 4 17 4 2 3" xfId="5126" xr:uid="{00000000-0005-0000-0000-0000F5130000}"/>
    <cellStyle name="Normal 2 4 17 4 2 3 2" xfId="5127" xr:uid="{00000000-0005-0000-0000-0000F6130000}"/>
    <cellStyle name="Normal 2 4 17 4 2 3 3" xfId="5128" xr:uid="{00000000-0005-0000-0000-0000F7130000}"/>
    <cellStyle name="Normal 2 4 17 4 2 4" xfId="5129" xr:uid="{00000000-0005-0000-0000-0000F8130000}"/>
    <cellStyle name="Normal 2 4 17 4 2 4 2" xfId="5130" xr:uid="{00000000-0005-0000-0000-0000F9130000}"/>
    <cellStyle name="Normal 2 4 17 4 2 4 3" xfId="5131" xr:uid="{00000000-0005-0000-0000-0000FA130000}"/>
    <cellStyle name="Normal 2 4 17 4 2 5" xfId="5132" xr:uid="{00000000-0005-0000-0000-0000FB130000}"/>
    <cellStyle name="Normal 2 4 17 4 2 5 2" xfId="5133" xr:uid="{00000000-0005-0000-0000-0000FC130000}"/>
    <cellStyle name="Normal 2 4 17 4 2 5 3" xfId="5134" xr:uid="{00000000-0005-0000-0000-0000FD130000}"/>
    <cellStyle name="Normal 2 4 17 4 2 6" xfId="5135" xr:uid="{00000000-0005-0000-0000-0000FE130000}"/>
    <cellStyle name="Normal 2 4 17 4 2 6 2" xfId="5136" xr:uid="{00000000-0005-0000-0000-0000FF130000}"/>
    <cellStyle name="Normal 2 4 17 4 2 6 3" xfId="5137" xr:uid="{00000000-0005-0000-0000-000000140000}"/>
    <cellStyle name="Normal 2 4 17 4 2 7" xfId="5138" xr:uid="{00000000-0005-0000-0000-000001140000}"/>
    <cellStyle name="Normal 2 4 17 4 2 7 2" xfId="5139" xr:uid="{00000000-0005-0000-0000-000002140000}"/>
    <cellStyle name="Normal 2 4 17 4 2 7 3" xfId="5140" xr:uid="{00000000-0005-0000-0000-000003140000}"/>
    <cellStyle name="Normal 2 4 17 4 2 8" xfId="5141" xr:uid="{00000000-0005-0000-0000-000004140000}"/>
    <cellStyle name="Normal 2 4 17 4 2 8 2" xfId="5142" xr:uid="{00000000-0005-0000-0000-000005140000}"/>
    <cellStyle name="Normal 2 4 17 4 2 8 3" xfId="5143" xr:uid="{00000000-0005-0000-0000-000006140000}"/>
    <cellStyle name="Normal 2 4 17 4 2 9" xfId="5144" xr:uid="{00000000-0005-0000-0000-000007140000}"/>
    <cellStyle name="Normal 2 4 17 4 2 9 2" xfId="5145" xr:uid="{00000000-0005-0000-0000-000008140000}"/>
    <cellStyle name="Normal 2 4 17 4 2 9 3" xfId="5146" xr:uid="{00000000-0005-0000-0000-000009140000}"/>
    <cellStyle name="Normal 2 4 17 4 3" xfId="5147" xr:uid="{00000000-0005-0000-0000-00000A140000}"/>
    <cellStyle name="Normal 2 4 17 4 3 2" xfId="5148" xr:uid="{00000000-0005-0000-0000-00000B140000}"/>
    <cellStyle name="Normal 2 4 17 4 3 3" xfId="5149" xr:uid="{00000000-0005-0000-0000-00000C140000}"/>
    <cellStyle name="Normal 2 4 17 4 4" xfId="5150" xr:uid="{00000000-0005-0000-0000-00000D140000}"/>
    <cellStyle name="Normal 2 4 17 4 4 2" xfId="5151" xr:uid="{00000000-0005-0000-0000-00000E140000}"/>
    <cellStyle name="Normal 2 4 17 4 4 3" xfId="5152" xr:uid="{00000000-0005-0000-0000-00000F140000}"/>
    <cellStyle name="Normal 2 4 17 4 5" xfId="5153" xr:uid="{00000000-0005-0000-0000-000010140000}"/>
    <cellStyle name="Normal 2 4 17 4 5 2" xfId="5154" xr:uid="{00000000-0005-0000-0000-000011140000}"/>
    <cellStyle name="Normal 2 4 17 4 5 3" xfId="5155" xr:uid="{00000000-0005-0000-0000-000012140000}"/>
    <cellStyle name="Normal 2 4 17 4 6" xfId="5156" xr:uid="{00000000-0005-0000-0000-000013140000}"/>
    <cellStyle name="Normal 2 4 17 4 6 2" xfId="5157" xr:uid="{00000000-0005-0000-0000-000014140000}"/>
    <cellStyle name="Normal 2 4 17 4 6 3" xfId="5158" xr:uid="{00000000-0005-0000-0000-000015140000}"/>
    <cellStyle name="Normal 2 4 17 4 7" xfId="5159" xr:uid="{00000000-0005-0000-0000-000016140000}"/>
    <cellStyle name="Normal 2 4 17 4 7 2" xfId="5160" xr:uid="{00000000-0005-0000-0000-000017140000}"/>
    <cellStyle name="Normal 2 4 17 4 7 3" xfId="5161" xr:uid="{00000000-0005-0000-0000-000018140000}"/>
    <cellStyle name="Normal 2 4 17 4 8" xfId="5162" xr:uid="{00000000-0005-0000-0000-000019140000}"/>
    <cellStyle name="Normal 2 4 17 4 8 2" xfId="5163" xr:uid="{00000000-0005-0000-0000-00001A140000}"/>
    <cellStyle name="Normal 2 4 17 4 8 3" xfId="5164" xr:uid="{00000000-0005-0000-0000-00001B140000}"/>
    <cellStyle name="Normal 2 4 17 4 9" xfId="5165" xr:uid="{00000000-0005-0000-0000-00001C140000}"/>
    <cellStyle name="Normal 2 4 17 4 9 2" xfId="5166" xr:uid="{00000000-0005-0000-0000-00001D140000}"/>
    <cellStyle name="Normal 2 4 17 4 9 3" xfId="5167" xr:uid="{00000000-0005-0000-0000-00001E140000}"/>
    <cellStyle name="Normal 2 4 17 5" xfId="5168" xr:uid="{00000000-0005-0000-0000-00001F140000}"/>
    <cellStyle name="Normal 2 4 17 5 10" xfId="5169" xr:uid="{00000000-0005-0000-0000-000020140000}"/>
    <cellStyle name="Normal 2 4 17 5 10 2" xfId="5170" xr:uid="{00000000-0005-0000-0000-000021140000}"/>
    <cellStyle name="Normal 2 4 17 5 10 3" xfId="5171" xr:uid="{00000000-0005-0000-0000-000022140000}"/>
    <cellStyle name="Normal 2 4 17 5 11" xfId="5172" xr:uid="{00000000-0005-0000-0000-000023140000}"/>
    <cellStyle name="Normal 2 4 17 5 11 2" xfId="5173" xr:uid="{00000000-0005-0000-0000-000024140000}"/>
    <cellStyle name="Normal 2 4 17 5 11 3" xfId="5174" xr:uid="{00000000-0005-0000-0000-000025140000}"/>
    <cellStyle name="Normal 2 4 17 5 12" xfId="5175" xr:uid="{00000000-0005-0000-0000-000026140000}"/>
    <cellStyle name="Normal 2 4 17 5 12 2" xfId="5176" xr:uid="{00000000-0005-0000-0000-000027140000}"/>
    <cellStyle name="Normal 2 4 17 5 12 3" xfId="5177" xr:uid="{00000000-0005-0000-0000-000028140000}"/>
    <cellStyle name="Normal 2 4 17 5 13" xfId="5178" xr:uid="{00000000-0005-0000-0000-000029140000}"/>
    <cellStyle name="Normal 2 4 17 5 13 2" xfId="5179" xr:uid="{00000000-0005-0000-0000-00002A140000}"/>
    <cellStyle name="Normal 2 4 17 5 13 3" xfId="5180" xr:uid="{00000000-0005-0000-0000-00002B140000}"/>
    <cellStyle name="Normal 2 4 17 5 14" xfId="5181" xr:uid="{00000000-0005-0000-0000-00002C140000}"/>
    <cellStyle name="Normal 2 4 17 5 14 2" xfId="5182" xr:uid="{00000000-0005-0000-0000-00002D140000}"/>
    <cellStyle name="Normal 2 4 17 5 14 3" xfId="5183" xr:uid="{00000000-0005-0000-0000-00002E140000}"/>
    <cellStyle name="Normal 2 4 17 5 15" xfId="5184" xr:uid="{00000000-0005-0000-0000-00002F140000}"/>
    <cellStyle name="Normal 2 4 17 5 16" xfId="5185" xr:uid="{00000000-0005-0000-0000-000030140000}"/>
    <cellStyle name="Normal 2 4 17 5 2" xfId="5186" xr:uid="{00000000-0005-0000-0000-000031140000}"/>
    <cellStyle name="Normal 2 4 17 5 2 2" xfId="5187" xr:uid="{00000000-0005-0000-0000-000032140000}"/>
    <cellStyle name="Normal 2 4 17 5 2 3" xfId="5188" xr:uid="{00000000-0005-0000-0000-000033140000}"/>
    <cellStyle name="Normal 2 4 17 5 3" xfId="5189" xr:uid="{00000000-0005-0000-0000-000034140000}"/>
    <cellStyle name="Normal 2 4 17 5 3 2" xfId="5190" xr:uid="{00000000-0005-0000-0000-000035140000}"/>
    <cellStyle name="Normal 2 4 17 5 3 3" xfId="5191" xr:uid="{00000000-0005-0000-0000-000036140000}"/>
    <cellStyle name="Normal 2 4 17 5 4" xfId="5192" xr:uid="{00000000-0005-0000-0000-000037140000}"/>
    <cellStyle name="Normal 2 4 17 5 4 2" xfId="5193" xr:uid="{00000000-0005-0000-0000-000038140000}"/>
    <cellStyle name="Normal 2 4 17 5 4 3" xfId="5194" xr:uid="{00000000-0005-0000-0000-000039140000}"/>
    <cellStyle name="Normal 2 4 17 5 5" xfId="5195" xr:uid="{00000000-0005-0000-0000-00003A140000}"/>
    <cellStyle name="Normal 2 4 17 5 5 2" xfId="5196" xr:uid="{00000000-0005-0000-0000-00003B140000}"/>
    <cellStyle name="Normal 2 4 17 5 5 3" xfId="5197" xr:uid="{00000000-0005-0000-0000-00003C140000}"/>
    <cellStyle name="Normal 2 4 17 5 6" xfId="5198" xr:uid="{00000000-0005-0000-0000-00003D140000}"/>
    <cellStyle name="Normal 2 4 17 5 6 2" xfId="5199" xr:uid="{00000000-0005-0000-0000-00003E140000}"/>
    <cellStyle name="Normal 2 4 17 5 6 3" xfId="5200" xr:uid="{00000000-0005-0000-0000-00003F140000}"/>
    <cellStyle name="Normal 2 4 17 5 7" xfId="5201" xr:uid="{00000000-0005-0000-0000-000040140000}"/>
    <cellStyle name="Normal 2 4 17 5 7 2" xfId="5202" xr:uid="{00000000-0005-0000-0000-000041140000}"/>
    <cellStyle name="Normal 2 4 17 5 7 3" xfId="5203" xr:uid="{00000000-0005-0000-0000-000042140000}"/>
    <cellStyle name="Normal 2 4 17 5 8" xfId="5204" xr:uid="{00000000-0005-0000-0000-000043140000}"/>
    <cellStyle name="Normal 2 4 17 5 8 2" xfId="5205" xr:uid="{00000000-0005-0000-0000-000044140000}"/>
    <cellStyle name="Normal 2 4 17 5 8 3" xfId="5206" xr:uid="{00000000-0005-0000-0000-000045140000}"/>
    <cellStyle name="Normal 2 4 17 5 9" xfId="5207" xr:uid="{00000000-0005-0000-0000-000046140000}"/>
    <cellStyle name="Normal 2 4 17 5 9 2" xfId="5208" xr:uid="{00000000-0005-0000-0000-000047140000}"/>
    <cellStyle name="Normal 2 4 17 5 9 3" xfId="5209" xr:uid="{00000000-0005-0000-0000-000048140000}"/>
    <cellStyle name="Normal 2 4 17 6" xfId="5210" xr:uid="{00000000-0005-0000-0000-000049140000}"/>
    <cellStyle name="Normal 2 4 17 6 10" xfId="5211" xr:uid="{00000000-0005-0000-0000-00004A140000}"/>
    <cellStyle name="Normal 2 4 17 6 10 2" xfId="5212" xr:uid="{00000000-0005-0000-0000-00004B140000}"/>
    <cellStyle name="Normal 2 4 17 6 10 3" xfId="5213" xr:uid="{00000000-0005-0000-0000-00004C140000}"/>
    <cellStyle name="Normal 2 4 17 6 11" xfId="5214" xr:uid="{00000000-0005-0000-0000-00004D140000}"/>
    <cellStyle name="Normal 2 4 17 6 11 2" xfId="5215" xr:uid="{00000000-0005-0000-0000-00004E140000}"/>
    <cellStyle name="Normal 2 4 17 6 11 3" xfId="5216" xr:uid="{00000000-0005-0000-0000-00004F140000}"/>
    <cellStyle name="Normal 2 4 17 6 12" xfId="5217" xr:uid="{00000000-0005-0000-0000-000050140000}"/>
    <cellStyle name="Normal 2 4 17 6 12 2" xfId="5218" xr:uid="{00000000-0005-0000-0000-000051140000}"/>
    <cellStyle name="Normal 2 4 17 6 12 3" xfId="5219" xr:uid="{00000000-0005-0000-0000-000052140000}"/>
    <cellStyle name="Normal 2 4 17 6 13" xfId="5220" xr:uid="{00000000-0005-0000-0000-000053140000}"/>
    <cellStyle name="Normal 2 4 17 6 13 2" xfId="5221" xr:uid="{00000000-0005-0000-0000-000054140000}"/>
    <cellStyle name="Normal 2 4 17 6 13 3" xfId="5222" xr:uid="{00000000-0005-0000-0000-000055140000}"/>
    <cellStyle name="Normal 2 4 17 6 14" xfId="5223" xr:uid="{00000000-0005-0000-0000-000056140000}"/>
    <cellStyle name="Normal 2 4 17 6 14 2" xfId="5224" xr:uid="{00000000-0005-0000-0000-000057140000}"/>
    <cellStyle name="Normal 2 4 17 6 14 3" xfId="5225" xr:uid="{00000000-0005-0000-0000-000058140000}"/>
    <cellStyle name="Normal 2 4 17 6 15" xfId="5226" xr:uid="{00000000-0005-0000-0000-000059140000}"/>
    <cellStyle name="Normal 2 4 17 6 16" xfId="5227" xr:uid="{00000000-0005-0000-0000-00005A140000}"/>
    <cellStyle name="Normal 2 4 17 6 2" xfId="5228" xr:uid="{00000000-0005-0000-0000-00005B140000}"/>
    <cellStyle name="Normal 2 4 17 6 2 2" xfId="5229" xr:uid="{00000000-0005-0000-0000-00005C140000}"/>
    <cellStyle name="Normal 2 4 17 6 2 3" xfId="5230" xr:uid="{00000000-0005-0000-0000-00005D140000}"/>
    <cellStyle name="Normal 2 4 17 6 3" xfId="5231" xr:uid="{00000000-0005-0000-0000-00005E140000}"/>
    <cellStyle name="Normal 2 4 17 6 3 2" xfId="5232" xr:uid="{00000000-0005-0000-0000-00005F140000}"/>
    <cellStyle name="Normal 2 4 17 6 3 3" xfId="5233" xr:uid="{00000000-0005-0000-0000-000060140000}"/>
    <cellStyle name="Normal 2 4 17 6 4" xfId="5234" xr:uid="{00000000-0005-0000-0000-000061140000}"/>
    <cellStyle name="Normal 2 4 17 6 4 2" xfId="5235" xr:uid="{00000000-0005-0000-0000-000062140000}"/>
    <cellStyle name="Normal 2 4 17 6 4 3" xfId="5236" xr:uid="{00000000-0005-0000-0000-000063140000}"/>
    <cellStyle name="Normal 2 4 17 6 5" xfId="5237" xr:uid="{00000000-0005-0000-0000-000064140000}"/>
    <cellStyle name="Normal 2 4 17 6 5 2" xfId="5238" xr:uid="{00000000-0005-0000-0000-000065140000}"/>
    <cellStyle name="Normal 2 4 17 6 5 3" xfId="5239" xr:uid="{00000000-0005-0000-0000-000066140000}"/>
    <cellStyle name="Normal 2 4 17 6 6" xfId="5240" xr:uid="{00000000-0005-0000-0000-000067140000}"/>
    <cellStyle name="Normal 2 4 17 6 6 2" xfId="5241" xr:uid="{00000000-0005-0000-0000-000068140000}"/>
    <cellStyle name="Normal 2 4 17 6 6 3" xfId="5242" xr:uid="{00000000-0005-0000-0000-000069140000}"/>
    <cellStyle name="Normal 2 4 17 6 7" xfId="5243" xr:uid="{00000000-0005-0000-0000-00006A140000}"/>
    <cellStyle name="Normal 2 4 17 6 7 2" xfId="5244" xr:uid="{00000000-0005-0000-0000-00006B140000}"/>
    <cellStyle name="Normal 2 4 17 6 7 3" xfId="5245" xr:uid="{00000000-0005-0000-0000-00006C140000}"/>
    <cellStyle name="Normal 2 4 17 6 8" xfId="5246" xr:uid="{00000000-0005-0000-0000-00006D140000}"/>
    <cellStyle name="Normal 2 4 17 6 8 2" xfId="5247" xr:uid="{00000000-0005-0000-0000-00006E140000}"/>
    <cellStyle name="Normal 2 4 17 6 8 3" xfId="5248" xr:uid="{00000000-0005-0000-0000-00006F140000}"/>
    <cellStyle name="Normal 2 4 17 6 9" xfId="5249" xr:uid="{00000000-0005-0000-0000-000070140000}"/>
    <cellStyle name="Normal 2 4 17 6 9 2" xfId="5250" xr:uid="{00000000-0005-0000-0000-000071140000}"/>
    <cellStyle name="Normal 2 4 17 6 9 3" xfId="5251" xr:uid="{00000000-0005-0000-0000-000072140000}"/>
    <cellStyle name="Normal 2 4 17 7" xfId="5252" xr:uid="{00000000-0005-0000-0000-000073140000}"/>
    <cellStyle name="Normal 2 4 17 7 10" xfId="5253" xr:uid="{00000000-0005-0000-0000-000074140000}"/>
    <cellStyle name="Normal 2 4 17 7 10 2" xfId="5254" xr:uid="{00000000-0005-0000-0000-000075140000}"/>
    <cellStyle name="Normal 2 4 17 7 10 3" xfId="5255" xr:uid="{00000000-0005-0000-0000-000076140000}"/>
    <cellStyle name="Normal 2 4 17 7 11" xfId="5256" xr:uid="{00000000-0005-0000-0000-000077140000}"/>
    <cellStyle name="Normal 2 4 17 7 11 2" xfId="5257" xr:uid="{00000000-0005-0000-0000-000078140000}"/>
    <cellStyle name="Normal 2 4 17 7 11 3" xfId="5258" xr:uid="{00000000-0005-0000-0000-000079140000}"/>
    <cellStyle name="Normal 2 4 17 7 12" xfId="5259" xr:uid="{00000000-0005-0000-0000-00007A140000}"/>
    <cellStyle name="Normal 2 4 17 7 12 2" xfId="5260" xr:uid="{00000000-0005-0000-0000-00007B140000}"/>
    <cellStyle name="Normal 2 4 17 7 12 3" xfId="5261" xr:uid="{00000000-0005-0000-0000-00007C140000}"/>
    <cellStyle name="Normal 2 4 17 7 13" xfId="5262" xr:uid="{00000000-0005-0000-0000-00007D140000}"/>
    <cellStyle name="Normal 2 4 17 7 13 2" xfId="5263" xr:uid="{00000000-0005-0000-0000-00007E140000}"/>
    <cellStyle name="Normal 2 4 17 7 13 3" xfId="5264" xr:uid="{00000000-0005-0000-0000-00007F140000}"/>
    <cellStyle name="Normal 2 4 17 7 14" xfId="5265" xr:uid="{00000000-0005-0000-0000-000080140000}"/>
    <cellStyle name="Normal 2 4 17 7 14 2" xfId="5266" xr:uid="{00000000-0005-0000-0000-000081140000}"/>
    <cellStyle name="Normal 2 4 17 7 14 3" xfId="5267" xr:uid="{00000000-0005-0000-0000-000082140000}"/>
    <cellStyle name="Normal 2 4 17 7 15" xfId="5268" xr:uid="{00000000-0005-0000-0000-000083140000}"/>
    <cellStyle name="Normal 2 4 17 7 16" xfId="5269" xr:uid="{00000000-0005-0000-0000-000084140000}"/>
    <cellStyle name="Normal 2 4 17 7 2" xfId="5270" xr:uid="{00000000-0005-0000-0000-000085140000}"/>
    <cellStyle name="Normal 2 4 17 7 2 2" xfId="5271" xr:uid="{00000000-0005-0000-0000-000086140000}"/>
    <cellStyle name="Normal 2 4 17 7 2 3" xfId="5272" xr:uid="{00000000-0005-0000-0000-000087140000}"/>
    <cellStyle name="Normal 2 4 17 7 3" xfId="5273" xr:uid="{00000000-0005-0000-0000-000088140000}"/>
    <cellStyle name="Normal 2 4 17 7 3 2" xfId="5274" xr:uid="{00000000-0005-0000-0000-000089140000}"/>
    <cellStyle name="Normal 2 4 17 7 3 3" xfId="5275" xr:uid="{00000000-0005-0000-0000-00008A140000}"/>
    <cellStyle name="Normal 2 4 17 7 4" xfId="5276" xr:uid="{00000000-0005-0000-0000-00008B140000}"/>
    <cellStyle name="Normal 2 4 17 7 4 2" xfId="5277" xr:uid="{00000000-0005-0000-0000-00008C140000}"/>
    <cellStyle name="Normal 2 4 17 7 4 3" xfId="5278" xr:uid="{00000000-0005-0000-0000-00008D140000}"/>
    <cellStyle name="Normal 2 4 17 7 5" xfId="5279" xr:uid="{00000000-0005-0000-0000-00008E140000}"/>
    <cellStyle name="Normal 2 4 17 7 5 2" xfId="5280" xr:uid="{00000000-0005-0000-0000-00008F140000}"/>
    <cellStyle name="Normal 2 4 17 7 5 3" xfId="5281" xr:uid="{00000000-0005-0000-0000-000090140000}"/>
    <cellStyle name="Normal 2 4 17 7 6" xfId="5282" xr:uid="{00000000-0005-0000-0000-000091140000}"/>
    <cellStyle name="Normal 2 4 17 7 6 2" xfId="5283" xr:uid="{00000000-0005-0000-0000-000092140000}"/>
    <cellStyle name="Normal 2 4 17 7 6 3" xfId="5284" xr:uid="{00000000-0005-0000-0000-000093140000}"/>
    <cellStyle name="Normal 2 4 17 7 7" xfId="5285" xr:uid="{00000000-0005-0000-0000-000094140000}"/>
    <cellStyle name="Normal 2 4 17 7 7 2" xfId="5286" xr:uid="{00000000-0005-0000-0000-000095140000}"/>
    <cellStyle name="Normal 2 4 17 7 7 3" xfId="5287" xr:uid="{00000000-0005-0000-0000-000096140000}"/>
    <cellStyle name="Normal 2 4 17 7 8" xfId="5288" xr:uid="{00000000-0005-0000-0000-000097140000}"/>
    <cellStyle name="Normal 2 4 17 7 8 2" xfId="5289" xr:uid="{00000000-0005-0000-0000-000098140000}"/>
    <cellStyle name="Normal 2 4 17 7 8 3" xfId="5290" xr:uid="{00000000-0005-0000-0000-000099140000}"/>
    <cellStyle name="Normal 2 4 17 7 9" xfId="5291" xr:uid="{00000000-0005-0000-0000-00009A140000}"/>
    <cellStyle name="Normal 2 4 17 7 9 2" xfId="5292" xr:uid="{00000000-0005-0000-0000-00009B140000}"/>
    <cellStyle name="Normal 2 4 17 7 9 3" xfId="5293" xr:uid="{00000000-0005-0000-0000-00009C140000}"/>
    <cellStyle name="Normal 2 4 17 8" xfId="5294" xr:uid="{00000000-0005-0000-0000-00009D140000}"/>
    <cellStyle name="Normal 2 4 17 8 10" xfId="5295" xr:uid="{00000000-0005-0000-0000-00009E140000}"/>
    <cellStyle name="Normal 2 4 17 8 10 2" xfId="5296" xr:uid="{00000000-0005-0000-0000-00009F140000}"/>
    <cellStyle name="Normal 2 4 17 8 10 3" xfId="5297" xr:uid="{00000000-0005-0000-0000-0000A0140000}"/>
    <cellStyle name="Normal 2 4 17 8 11" xfId="5298" xr:uid="{00000000-0005-0000-0000-0000A1140000}"/>
    <cellStyle name="Normal 2 4 17 8 11 2" xfId="5299" xr:uid="{00000000-0005-0000-0000-0000A2140000}"/>
    <cellStyle name="Normal 2 4 17 8 11 3" xfId="5300" xr:uid="{00000000-0005-0000-0000-0000A3140000}"/>
    <cellStyle name="Normal 2 4 17 8 12" xfId="5301" xr:uid="{00000000-0005-0000-0000-0000A4140000}"/>
    <cellStyle name="Normal 2 4 17 8 12 2" xfId="5302" xr:uid="{00000000-0005-0000-0000-0000A5140000}"/>
    <cellStyle name="Normal 2 4 17 8 12 3" xfId="5303" xr:uid="{00000000-0005-0000-0000-0000A6140000}"/>
    <cellStyle name="Normal 2 4 17 8 13" xfId="5304" xr:uid="{00000000-0005-0000-0000-0000A7140000}"/>
    <cellStyle name="Normal 2 4 17 8 13 2" xfId="5305" xr:uid="{00000000-0005-0000-0000-0000A8140000}"/>
    <cellStyle name="Normal 2 4 17 8 13 3" xfId="5306" xr:uid="{00000000-0005-0000-0000-0000A9140000}"/>
    <cellStyle name="Normal 2 4 17 8 14" xfId="5307" xr:uid="{00000000-0005-0000-0000-0000AA140000}"/>
    <cellStyle name="Normal 2 4 17 8 14 2" xfId="5308" xr:uid="{00000000-0005-0000-0000-0000AB140000}"/>
    <cellStyle name="Normal 2 4 17 8 14 3" xfId="5309" xr:uid="{00000000-0005-0000-0000-0000AC140000}"/>
    <cellStyle name="Normal 2 4 17 8 15" xfId="5310" xr:uid="{00000000-0005-0000-0000-0000AD140000}"/>
    <cellStyle name="Normal 2 4 17 8 16" xfId="5311" xr:uid="{00000000-0005-0000-0000-0000AE140000}"/>
    <cellStyle name="Normal 2 4 17 8 2" xfId="5312" xr:uid="{00000000-0005-0000-0000-0000AF140000}"/>
    <cellStyle name="Normal 2 4 17 8 2 2" xfId="5313" xr:uid="{00000000-0005-0000-0000-0000B0140000}"/>
    <cellStyle name="Normal 2 4 17 8 2 3" xfId="5314" xr:uid="{00000000-0005-0000-0000-0000B1140000}"/>
    <cellStyle name="Normal 2 4 17 8 3" xfId="5315" xr:uid="{00000000-0005-0000-0000-0000B2140000}"/>
    <cellStyle name="Normal 2 4 17 8 3 2" xfId="5316" xr:uid="{00000000-0005-0000-0000-0000B3140000}"/>
    <cellStyle name="Normal 2 4 17 8 3 3" xfId="5317" xr:uid="{00000000-0005-0000-0000-0000B4140000}"/>
    <cellStyle name="Normal 2 4 17 8 4" xfId="5318" xr:uid="{00000000-0005-0000-0000-0000B5140000}"/>
    <cellStyle name="Normal 2 4 17 8 4 2" xfId="5319" xr:uid="{00000000-0005-0000-0000-0000B6140000}"/>
    <cellStyle name="Normal 2 4 17 8 4 3" xfId="5320" xr:uid="{00000000-0005-0000-0000-0000B7140000}"/>
    <cellStyle name="Normal 2 4 17 8 5" xfId="5321" xr:uid="{00000000-0005-0000-0000-0000B8140000}"/>
    <cellStyle name="Normal 2 4 17 8 5 2" xfId="5322" xr:uid="{00000000-0005-0000-0000-0000B9140000}"/>
    <cellStyle name="Normal 2 4 17 8 5 3" xfId="5323" xr:uid="{00000000-0005-0000-0000-0000BA140000}"/>
    <cellStyle name="Normal 2 4 17 8 6" xfId="5324" xr:uid="{00000000-0005-0000-0000-0000BB140000}"/>
    <cellStyle name="Normal 2 4 17 8 6 2" xfId="5325" xr:uid="{00000000-0005-0000-0000-0000BC140000}"/>
    <cellStyle name="Normal 2 4 17 8 6 3" xfId="5326" xr:uid="{00000000-0005-0000-0000-0000BD140000}"/>
    <cellStyle name="Normal 2 4 17 8 7" xfId="5327" xr:uid="{00000000-0005-0000-0000-0000BE140000}"/>
    <cellStyle name="Normal 2 4 17 8 7 2" xfId="5328" xr:uid="{00000000-0005-0000-0000-0000BF140000}"/>
    <cellStyle name="Normal 2 4 17 8 7 3" xfId="5329" xr:uid="{00000000-0005-0000-0000-0000C0140000}"/>
    <cellStyle name="Normal 2 4 17 8 8" xfId="5330" xr:uid="{00000000-0005-0000-0000-0000C1140000}"/>
    <cellStyle name="Normal 2 4 17 8 8 2" xfId="5331" xr:uid="{00000000-0005-0000-0000-0000C2140000}"/>
    <cellStyle name="Normal 2 4 17 8 8 3" xfId="5332" xr:uid="{00000000-0005-0000-0000-0000C3140000}"/>
    <cellStyle name="Normal 2 4 17 8 9" xfId="5333" xr:uid="{00000000-0005-0000-0000-0000C4140000}"/>
    <cellStyle name="Normal 2 4 17 8 9 2" xfId="5334" xr:uid="{00000000-0005-0000-0000-0000C5140000}"/>
    <cellStyle name="Normal 2 4 17 8 9 3" xfId="5335" xr:uid="{00000000-0005-0000-0000-0000C6140000}"/>
    <cellStyle name="Normal 2 4 17 9" xfId="5336" xr:uid="{00000000-0005-0000-0000-0000C7140000}"/>
    <cellStyle name="Normal 2 4 17 9 10" xfId="5337" xr:uid="{00000000-0005-0000-0000-0000C8140000}"/>
    <cellStyle name="Normal 2 4 17 9 10 2" xfId="5338" xr:uid="{00000000-0005-0000-0000-0000C9140000}"/>
    <cellStyle name="Normal 2 4 17 9 10 3" xfId="5339" xr:uid="{00000000-0005-0000-0000-0000CA140000}"/>
    <cellStyle name="Normal 2 4 17 9 11" xfId="5340" xr:uid="{00000000-0005-0000-0000-0000CB140000}"/>
    <cellStyle name="Normal 2 4 17 9 11 2" xfId="5341" xr:uid="{00000000-0005-0000-0000-0000CC140000}"/>
    <cellStyle name="Normal 2 4 17 9 11 3" xfId="5342" xr:uid="{00000000-0005-0000-0000-0000CD140000}"/>
    <cellStyle name="Normal 2 4 17 9 12" xfId="5343" xr:uid="{00000000-0005-0000-0000-0000CE140000}"/>
    <cellStyle name="Normal 2 4 17 9 12 2" xfId="5344" xr:uid="{00000000-0005-0000-0000-0000CF140000}"/>
    <cellStyle name="Normal 2 4 17 9 12 3" xfId="5345" xr:uid="{00000000-0005-0000-0000-0000D0140000}"/>
    <cellStyle name="Normal 2 4 17 9 13" xfId="5346" xr:uid="{00000000-0005-0000-0000-0000D1140000}"/>
    <cellStyle name="Normal 2 4 17 9 13 2" xfId="5347" xr:uid="{00000000-0005-0000-0000-0000D2140000}"/>
    <cellStyle name="Normal 2 4 17 9 13 3" xfId="5348" xr:uid="{00000000-0005-0000-0000-0000D3140000}"/>
    <cellStyle name="Normal 2 4 17 9 14" xfId="5349" xr:uid="{00000000-0005-0000-0000-0000D4140000}"/>
    <cellStyle name="Normal 2 4 17 9 14 2" xfId="5350" xr:uid="{00000000-0005-0000-0000-0000D5140000}"/>
    <cellStyle name="Normal 2 4 17 9 14 3" xfId="5351" xr:uid="{00000000-0005-0000-0000-0000D6140000}"/>
    <cellStyle name="Normal 2 4 17 9 15" xfId="5352" xr:uid="{00000000-0005-0000-0000-0000D7140000}"/>
    <cellStyle name="Normal 2 4 17 9 16" xfId="5353" xr:uid="{00000000-0005-0000-0000-0000D8140000}"/>
    <cellStyle name="Normal 2 4 17 9 2" xfId="5354" xr:uid="{00000000-0005-0000-0000-0000D9140000}"/>
    <cellStyle name="Normal 2 4 17 9 2 2" xfId="5355" xr:uid="{00000000-0005-0000-0000-0000DA140000}"/>
    <cellStyle name="Normal 2 4 17 9 2 3" xfId="5356" xr:uid="{00000000-0005-0000-0000-0000DB140000}"/>
    <cellStyle name="Normal 2 4 17 9 3" xfId="5357" xr:uid="{00000000-0005-0000-0000-0000DC140000}"/>
    <cellStyle name="Normal 2 4 17 9 3 2" xfId="5358" xr:uid="{00000000-0005-0000-0000-0000DD140000}"/>
    <cellStyle name="Normal 2 4 17 9 3 3" xfId="5359" xr:uid="{00000000-0005-0000-0000-0000DE140000}"/>
    <cellStyle name="Normal 2 4 17 9 4" xfId="5360" xr:uid="{00000000-0005-0000-0000-0000DF140000}"/>
    <cellStyle name="Normal 2 4 17 9 4 2" xfId="5361" xr:uid="{00000000-0005-0000-0000-0000E0140000}"/>
    <cellStyle name="Normal 2 4 17 9 4 3" xfId="5362" xr:uid="{00000000-0005-0000-0000-0000E1140000}"/>
    <cellStyle name="Normal 2 4 17 9 5" xfId="5363" xr:uid="{00000000-0005-0000-0000-0000E2140000}"/>
    <cellStyle name="Normal 2 4 17 9 5 2" xfId="5364" xr:uid="{00000000-0005-0000-0000-0000E3140000}"/>
    <cellStyle name="Normal 2 4 17 9 5 3" xfId="5365" xr:uid="{00000000-0005-0000-0000-0000E4140000}"/>
    <cellStyle name="Normal 2 4 17 9 6" xfId="5366" xr:uid="{00000000-0005-0000-0000-0000E5140000}"/>
    <cellStyle name="Normal 2 4 17 9 6 2" xfId="5367" xr:uid="{00000000-0005-0000-0000-0000E6140000}"/>
    <cellStyle name="Normal 2 4 17 9 6 3" xfId="5368" xr:uid="{00000000-0005-0000-0000-0000E7140000}"/>
    <cellStyle name="Normal 2 4 17 9 7" xfId="5369" xr:uid="{00000000-0005-0000-0000-0000E8140000}"/>
    <cellStyle name="Normal 2 4 17 9 7 2" xfId="5370" xr:uid="{00000000-0005-0000-0000-0000E9140000}"/>
    <cellStyle name="Normal 2 4 17 9 7 3" xfId="5371" xr:uid="{00000000-0005-0000-0000-0000EA140000}"/>
    <cellStyle name="Normal 2 4 17 9 8" xfId="5372" xr:uid="{00000000-0005-0000-0000-0000EB140000}"/>
    <cellStyle name="Normal 2 4 17 9 8 2" xfId="5373" xr:uid="{00000000-0005-0000-0000-0000EC140000}"/>
    <cellStyle name="Normal 2 4 17 9 8 3" xfId="5374" xr:uid="{00000000-0005-0000-0000-0000ED140000}"/>
    <cellStyle name="Normal 2 4 17 9 9" xfId="5375" xr:uid="{00000000-0005-0000-0000-0000EE140000}"/>
    <cellStyle name="Normal 2 4 17 9 9 2" xfId="5376" xr:uid="{00000000-0005-0000-0000-0000EF140000}"/>
    <cellStyle name="Normal 2 4 17 9 9 3" xfId="5377" xr:uid="{00000000-0005-0000-0000-0000F0140000}"/>
    <cellStyle name="Normal 2 4 18" xfId="5378" xr:uid="{00000000-0005-0000-0000-0000F1140000}"/>
    <cellStyle name="Normal 2 4 18 10" xfId="5379" xr:uid="{00000000-0005-0000-0000-0000F2140000}"/>
    <cellStyle name="Normal 2 4 18 10 10" xfId="5380" xr:uid="{00000000-0005-0000-0000-0000F3140000}"/>
    <cellStyle name="Normal 2 4 18 10 10 2" xfId="5381" xr:uid="{00000000-0005-0000-0000-0000F4140000}"/>
    <cellStyle name="Normal 2 4 18 10 10 3" xfId="5382" xr:uid="{00000000-0005-0000-0000-0000F5140000}"/>
    <cellStyle name="Normal 2 4 18 10 11" xfId="5383" xr:uid="{00000000-0005-0000-0000-0000F6140000}"/>
    <cellStyle name="Normal 2 4 18 10 11 2" xfId="5384" xr:uid="{00000000-0005-0000-0000-0000F7140000}"/>
    <cellStyle name="Normal 2 4 18 10 11 3" xfId="5385" xr:uid="{00000000-0005-0000-0000-0000F8140000}"/>
    <cellStyle name="Normal 2 4 18 10 12" xfId="5386" xr:uid="{00000000-0005-0000-0000-0000F9140000}"/>
    <cellStyle name="Normal 2 4 18 10 12 2" xfId="5387" xr:uid="{00000000-0005-0000-0000-0000FA140000}"/>
    <cellStyle name="Normal 2 4 18 10 12 3" xfId="5388" xr:uid="{00000000-0005-0000-0000-0000FB140000}"/>
    <cellStyle name="Normal 2 4 18 10 13" xfId="5389" xr:uid="{00000000-0005-0000-0000-0000FC140000}"/>
    <cellStyle name="Normal 2 4 18 10 13 2" xfId="5390" xr:uid="{00000000-0005-0000-0000-0000FD140000}"/>
    <cellStyle name="Normal 2 4 18 10 13 3" xfId="5391" xr:uid="{00000000-0005-0000-0000-0000FE140000}"/>
    <cellStyle name="Normal 2 4 18 10 14" xfId="5392" xr:uid="{00000000-0005-0000-0000-0000FF140000}"/>
    <cellStyle name="Normal 2 4 18 10 14 2" xfId="5393" xr:uid="{00000000-0005-0000-0000-000000150000}"/>
    <cellStyle name="Normal 2 4 18 10 14 3" xfId="5394" xr:uid="{00000000-0005-0000-0000-000001150000}"/>
    <cellStyle name="Normal 2 4 18 10 15" xfId="5395" xr:uid="{00000000-0005-0000-0000-000002150000}"/>
    <cellStyle name="Normal 2 4 18 10 16" xfId="5396" xr:uid="{00000000-0005-0000-0000-000003150000}"/>
    <cellStyle name="Normal 2 4 18 10 2" xfId="5397" xr:uid="{00000000-0005-0000-0000-000004150000}"/>
    <cellStyle name="Normal 2 4 18 10 2 2" xfId="5398" xr:uid="{00000000-0005-0000-0000-000005150000}"/>
    <cellStyle name="Normal 2 4 18 10 2 3" xfId="5399" xr:uid="{00000000-0005-0000-0000-000006150000}"/>
    <cellStyle name="Normal 2 4 18 10 3" xfId="5400" xr:uid="{00000000-0005-0000-0000-000007150000}"/>
    <cellStyle name="Normal 2 4 18 10 3 2" xfId="5401" xr:uid="{00000000-0005-0000-0000-000008150000}"/>
    <cellStyle name="Normal 2 4 18 10 3 3" xfId="5402" xr:uid="{00000000-0005-0000-0000-000009150000}"/>
    <cellStyle name="Normal 2 4 18 10 4" xfId="5403" xr:uid="{00000000-0005-0000-0000-00000A150000}"/>
    <cellStyle name="Normal 2 4 18 10 4 2" xfId="5404" xr:uid="{00000000-0005-0000-0000-00000B150000}"/>
    <cellStyle name="Normal 2 4 18 10 4 3" xfId="5405" xr:uid="{00000000-0005-0000-0000-00000C150000}"/>
    <cellStyle name="Normal 2 4 18 10 5" xfId="5406" xr:uid="{00000000-0005-0000-0000-00000D150000}"/>
    <cellStyle name="Normal 2 4 18 10 5 2" xfId="5407" xr:uid="{00000000-0005-0000-0000-00000E150000}"/>
    <cellStyle name="Normal 2 4 18 10 5 3" xfId="5408" xr:uid="{00000000-0005-0000-0000-00000F150000}"/>
    <cellStyle name="Normal 2 4 18 10 6" xfId="5409" xr:uid="{00000000-0005-0000-0000-000010150000}"/>
    <cellStyle name="Normal 2 4 18 10 6 2" xfId="5410" xr:uid="{00000000-0005-0000-0000-000011150000}"/>
    <cellStyle name="Normal 2 4 18 10 6 3" xfId="5411" xr:uid="{00000000-0005-0000-0000-000012150000}"/>
    <cellStyle name="Normal 2 4 18 10 7" xfId="5412" xr:uid="{00000000-0005-0000-0000-000013150000}"/>
    <cellStyle name="Normal 2 4 18 10 7 2" xfId="5413" xr:uid="{00000000-0005-0000-0000-000014150000}"/>
    <cellStyle name="Normal 2 4 18 10 7 3" xfId="5414" xr:uid="{00000000-0005-0000-0000-000015150000}"/>
    <cellStyle name="Normal 2 4 18 10 8" xfId="5415" xr:uid="{00000000-0005-0000-0000-000016150000}"/>
    <cellStyle name="Normal 2 4 18 10 8 2" xfId="5416" xr:uid="{00000000-0005-0000-0000-000017150000}"/>
    <cellStyle name="Normal 2 4 18 10 8 3" xfId="5417" xr:uid="{00000000-0005-0000-0000-000018150000}"/>
    <cellStyle name="Normal 2 4 18 10 9" xfId="5418" xr:uid="{00000000-0005-0000-0000-000019150000}"/>
    <cellStyle name="Normal 2 4 18 10 9 2" xfId="5419" xr:uid="{00000000-0005-0000-0000-00001A150000}"/>
    <cellStyle name="Normal 2 4 18 10 9 3" xfId="5420" xr:uid="{00000000-0005-0000-0000-00001B150000}"/>
    <cellStyle name="Normal 2 4 18 11" xfId="5421" xr:uid="{00000000-0005-0000-0000-00001C150000}"/>
    <cellStyle name="Normal 2 4 18 11 2" xfId="5422" xr:uid="{00000000-0005-0000-0000-00001D150000}"/>
    <cellStyle name="Normal 2 4 18 11 3" xfId="5423" xr:uid="{00000000-0005-0000-0000-00001E150000}"/>
    <cellStyle name="Normal 2 4 18 12" xfId="5424" xr:uid="{00000000-0005-0000-0000-00001F150000}"/>
    <cellStyle name="Normal 2 4 18 12 2" xfId="5425" xr:uid="{00000000-0005-0000-0000-000020150000}"/>
    <cellStyle name="Normal 2 4 18 12 3" xfId="5426" xr:uid="{00000000-0005-0000-0000-000021150000}"/>
    <cellStyle name="Normal 2 4 18 13" xfId="5427" xr:uid="{00000000-0005-0000-0000-000022150000}"/>
    <cellStyle name="Normal 2 4 18 13 2" xfId="5428" xr:uid="{00000000-0005-0000-0000-000023150000}"/>
    <cellStyle name="Normal 2 4 18 13 3" xfId="5429" xr:uid="{00000000-0005-0000-0000-000024150000}"/>
    <cellStyle name="Normal 2 4 18 14" xfId="5430" xr:uid="{00000000-0005-0000-0000-000025150000}"/>
    <cellStyle name="Normal 2 4 18 14 2" xfId="5431" xr:uid="{00000000-0005-0000-0000-000026150000}"/>
    <cellStyle name="Normal 2 4 18 14 3" xfId="5432" xr:uid="{00000000-0005-0000-0000-000027150000}"/>
    <cellStyle name="Normal 2 4 18 15" xfId="5433" xr:uid="{00000000-0005-0000-0000-000028150000}"/>
    <cellStyle name="Normal 2 4 18 15 2" xfId="5434" xr:uid="{00000000-0005-0000-0000-000029150000}"/>
    <cellStyle name="Normal 2 4 18 15 3" xfId="5435" xr:uid="{00000000-0005-0000-0000-00002A150000}"/>
    <cellStyle name="Normal 2 4 18 16" xfId="5436" xr:uid="{00000000-0005-0000-0000-00002B150000}"/>
    <cellStyle name="Normal 2 4 18 16 2" xfId="5437" xr:uid="{00000000-0005-0000-0000-00002C150000}"/>
    <cellStyle name="Normal 2 4 18 16 3" xfId="5438" xr:uid="{00000000-0005-0000-0000-00002D150000}"/>
    <cellStyle name="Normal 2 4 18 17" xfId="5439" xr:uid="{00000000-0005-0000-0000-00002E150000}"/>
    <cellStyle name="Normal 2 4 18 17 2" xfId="5440" xr:uid="{00000000-0005-0000-0000-00002F150000}"/>
    <cellStyle name="Normal 2 4 18 17 3" xfId="5441" xr:uid="{00000000-0005-0000-0000-000030150000}"/>
    <cellStyle name="Normal 2 4 18 18" xfId="5442" xr:uid="{00000000-0005-0000-0000-000031150000}"/>
    <cellStyle name="Normal 2 4 18 18 2" xfId="5443" xr:uid="{00000000-0005-0000-0000-000032150000}"/>
    <cellStyle name="Normal 2 4 18 18 3" xfId="5444" xr:uid="{00000000-0005-0000-0000-000033150000}"/>
    <cellStyle name="Normal 2 4 18 19" xfId="5445" xr:uid="{00000000-0005-0000-0000-000034150000}"/>
    <cellStyle name="Normal 2 4 18 19 2" xfId="5446" xr:uid="{00000000-0005-0000-0000-000035150000}"/>
    <cellStyle name="Normal 2 4 18 19 3" xfId="5447" xr:uid="{00000000-0005-0000-0000-000036150000}"/>
    <cellStyle name="Normal 2 4 18 2" xfId="5448" xr:uid="{00000000-0005-0000-0000-000037150000}"/>
    <cellStyle name="Normal 2 4 18 2 10" xfId="5449" xr:uid="{00000000-0005-0000-0000-000038150000}"/>
    <cellStyle name="Normal 2 4 18 2 10 2" xfId="5450" xr:uid="{00000000-0005-0000-0000-000039150000}"/>
    <cellStyle name="Normal 2 4 18 2 10 3" xfId="5451" xr:uid="{00000000-0005-0000-0000-00003A150000}"/>
    <cellStyle name="Normal 2 4 18 2 11" xfId="5452" xr:uid="{00000000-0005-0000-0000-00003B150000}"/>
    <cellStyle name="Normal 2 4 18 2 11 2" xfId="5453" xr:uid="{00000000-0005-0000-0000-00003C150000}"/>
    <cellStyle name="Normal 2 4 18 2 11 3" xfId="5454" xr:uid="{00000000-0005-0000-0000-00003D150000}"/>
    <cellStyle name="Normal 2 4 18 2 12" xfId="5455" xr:uid="{00000000-0005-0000-0000-00003E150000}"/>
    <cellStyle name="Normal 2 4 18 2 12 2" xfId="5456" xr:uid="{00000000-0005-0000-0000-00003F150000}"/>
    <cellStyle name="Normal 2 4 18 2 12 3" xfId="5457" xr:uid="{00000000-0005-0000-0000-000040150000}"/>
    <cellStyle name="Normal 2 4 18 2 13" xfId="5458" xr:uid="{00000000-0005-0000-0000-000041150000}"/>
    <cellStyle name="Normal 2 4 18 2 13 2" xfId="5459" xr:uid="{00000000-0005-0000-0000-000042150000}"/>
    <cellStyle name="Normal 2 4 18 2 13 3" xfId="5460" xr:uid="{00000000-0005-0000-0000-000043150000}"/>
    <cellStyle name="Normal 2 4 18 2 14" xfId="5461" xr:uid="{00000000-0005-0000-0000-000044150000}"/>
    <cellStyle name="Normal 2 4 18 2 14 2" xfId="5462" xr:uid="{00000000-0005-0000-0000-000045150000}"/>
    <cellStyle name="Normal 2 4 18 2 14 3" xfId="5463" xr:uid="{00000000-0005-0000-0000-000046150000}"/>
    <cellStyle name="Normal 2 4 18 2 15" xfId="5464" xr:uid="{00000000-0005-0000-0000-000047150000}"/>
    <cellStyle name="Normal 2 4 18 2 15 2" xfId="5465" xr:uid="{00000000-0005-0000-0000-000048150000}"/>
    <cellStyle name="Normal 2 4 18 2 15 3" xfId="5466" xr:uid="{00000000-0005-0000-0000-000049150000}"/>
    <cellStyle name="Normal 2 4 18 2 16" xfId="5467" xr:uid="{00000000-0005-0000-0000-00004A150000}"/>
    <cellStyle name="Normal 2 4 18 2 17" xfId="5468" xr:uid="{00000000-0005-0000-0000-00004B150000}"/>
    <cellStyle name="Normal 2 4 18 2 2" xfId="5469" xr:uid="{00000000-0005-0000-0000-00004C150000}"/>
    <cellStyle name="Normal 2 4 18 2 2 10" xfId="5470" xr:uid="{00000000-0005-0000-0000-00004D150000}"/>
    <cellStyle name="Normal 2 4 18 2 2 10 2" xfId="5471" xr:uid="{00000000-0005-0000-0000-00004E150000}"/>
    <cellStyle name="Normal 2 4 18 2 2 10 3" xfId="5472" xr:uid="{00000000-0005-0000-0000-00004F150000}"/>
    <cellStyle name="Normal 2 4 18 2 2 11" xfId="5473" xr:uid="{00000000-0005-0000-0000-000050150000}"/>
    <cellStyle name="Normal 2 4 18 2 2 11 2" xfId="5474" xr:uid="{00000000-0005-0000-0000-000051150000}"/>
    <cellStyle name="Normal 2 4 18 2 2 11 3" xfId="5475" xr:uid="{00000000-0005-0000-0000-000052150000}"/>
    <cellStyle name="Normal 2 4 18 2 2 12" xfId="5476" xr:uid="{00000000-0005-0000-0000-000053150000}"/>
    <cellStyle name="Normal 2 4 18 2 2 12 2" xfId="5477" xr:uid="{00000000-0005-0000-0000-000054150000}"/>
    <cellStyle name="Normal 2 4 18 2 2 12 3" xfId="5478" xr:uid="{00000000-0005-0000-0000-000055150000}"/>
    <cellStyle name="Normal 2 4 18 2 2 13" xfId="5479" xr:uid="{00000000-0005-0000-0000-000056150000}"/>
    <cellStyle name="Normal 2 4 18 2 2 13 2" xfId="5480" xr:uid="{00000000-0005-0000-0000-000057150000}"/>
    <cellStyle name="Normal 2 4 18 2 2 13 3" xfId="5481" xr:uid="{00000000-0005-0000-0000-000058150000}"/>
    <cellStyle name="Normal 2 4 18 2 2 14" xfId="5482" xr:uid="{00000000-0005-0000-0000-000059150000}"/>
    <cellStyle name="Normal 2 4 18 2 2 14 2" xfId="5483" xr:uid="{00000000-0005-0000-0000-00005A150000}"/>
    <cellStyle name="Normal 2 4 18 2 2 14 3" xfId="5484" xr:uid="{00000000-0005-0000-0000-00005B150000}"/>
    <cellStyle name="Normal 2 4 18 2 2 15" xfId="5485" xr:uid="{00000000-0005-0000-0000-00005C150000}"/>
    <cellStyle name="Normal 2 4 18 2 2 16" xfId="5486" xr:uid="{00000000-0005-0000-0000-00005D150000}"/>
    <cellStyle name="Normal 2 4 18 2 2 2" xfId="5487" xr:uid="{00000000-0005-0000-0000-00005E150000}"/>
    <cellStyle name="Normal 2 4 18 2 2 2 2" xfId="5488" xr:uid="{00000000-0005-0000-0000-00005F150000}"/>
    <cellStyle name="Normal 2 4 18 2 2 2 3" xfId="5489" xr:uid="{00000000-0005-0000-0000-000060150000}"/>
    <cellStyle name="Normal 2 4 18 2 2 3" xfId="5490" xr:uid="{00000000-0005-0000-0000-000061150000}"/>
    <cellStyle name="Normal 2 4 18 2 2 3 2" xfId="5491" xr:uid="{00000000-0005-0000-0000-000062150000}"/>
    <cellStyle name="Normal 2 4 18 2 2 3 3" xfId="5492" xr:uid="{00000000-0005-0000-0000-000063150000}"/>
    <cellStyle name="Normal 2 4 18 2 2 4" xfId="5493" xr:uid="{00000000-0005-0000-0000-000064150000}"/>
    <cellStyle name="Normal 2 4 18 2 2 4 2" xfId="5494" xr:uid="{00000000-0005-0000-0000-000065150000}"/>
    <cellStyle name="Normal 2 4 18 2 2 4 3" xfId="5495" xr:uid="{00000000-0005-0000-0000-000066150000}"/>
    <cellStyle name="Normal 2 4 18 2 2 5" xfId="5496" xr:uid="{00000000-0005-0000-0000-000067150000}"/>
    <cellStyle name="Normal 2 4 18 2 2 5 2" xfId="5497" xr:uid="{00000000-0005-0000-0000-000068150000}"/>
    <cellStyle name="Normal 2 4 18 2 2 5 3" xfId="5498" xr:uid="{00000000-0005-0000-0000-000069150000}"/>
    <cellStyle name="Normal 2 4 18 2 2 6" xfId="5499" xr:uid="{00000000-0005-0000-0000-00006A150000}"/>
    <cellStyle name="Normal 2 4 18 2 2 6 2" xfId="5500" xr:uid="{00000000-0005-0000-0000-00006B150000}"/>
    <cellStyle name="Normal 2 4 18 2 2 6 3" xfId="5501" xr:uid="{00000000-0005-0000-0000-00006C150000}"/>
    <cellStyle name="Normal 2 4 18 2 2 7" xfId="5502" xr:uid="{00000000-0005-0000-0000-00006D150000}"/>
    <cellStyle name="Normal 2 4 18 2 2 7 2" xfId="5503" xr:uid="{00000000-0005-0000-0000-00006E150000}"/>
    <cellStyle name="Normal 2 4 18 2 2 7 3" xfId="5504" xr:uid="{00000000-0005-0000-0000-00006F150000}"/>
    <cellStyle name="Normal 2 4 18 2 2 8" xfId="5505" xr:uid="{00000000-0005-0000-0000-000070150000}"/>
    <cellStyle name="Normal 2 4 18 2 2 8 2" xfId="5506" xr:uid="{00000000-0005-0000-0000-000071150000}"/>
    <cellStyle name="Normal 2 4 18 2 2 8 3" xfId="5507" xr:uid="{00000000-0005-0000-0000-000072150000}"/>
    <cellStyle name="Normal 2 4 18 2 2 9" xfId="5508" xr:uid="{00000000-0005-0000-0000-000073150000}"/>
    <cellStyle name="Normal 2 4 18 2 2 9 2" xfId="5509" xr:uid="{00000000-0005-0000-0000-000074150000}"/>
    <cellStyle name="Normal 2 4 18 2 2 9 3" xfId="5510" xr:uid="{00000000-0005-0000-0000-000075150000}"/>
    <cellStyle name="Normal 2 4 18 2 3" xfId="5511" xr:uid="{00000000-0005-0000-0000-000076150000}"/>
    <cellStyle name="Normal 2 4 18 2 3 2" xfId="5512" xr:uid="{00000000-0005-0000-0000-000077150000}"/>
    <cellStyle name="Normal 2 4 18 2 3 3" xfId="5513" xr:uid="{00000000-0005-0000-0000-000078150000}"/>
    <cellStyle name="Normal 2 4 18 2 4" xfId="5514" xr:uid="{00000000-0005-0000-0000-000079150000}"/>
    <cellStyle name="Normal 2 4 18 2 4 2" xfId="5515" xr:uid="{00000000-0005-0000-0000-00007A150000}"/>
    <cellStyle name="Normal 2 4 18 2 4 3" xfId="5516" xr:uid="{00000000-0005-0000-0000-00007B150000}"/>
    <cellStyle name="Normal 2 4 18 2 5" xfId="5517" xr:uid="{00000000-0005-0000-0000-00007C150000}"/>
    <cellStyle name="Normal 2 4 18 2 5 2" xfId="5518" xr:uid="{00000000-0005-0000-0000-00007D150000}"/>
    <cellStyle name="Normal 2 4 18 2 5 3" xfId="5519" xr:uid="{00000000-0005-0000-0000-00007E150000}"/>
    <cellStyle name="Normal 2 4 18 2 6" xfId="5520" xr:uid="{00000000-0005-0000-0000-00007F150000}"/>
    <cellStyle name="Normal 2 4 18 2 6 2" xfId="5521" xr:uid="{00000000-0005-0000-0000-000080150000}"/>
    <cellStyle name="Normal 2 4 18 2 6 3" xfId="5522" xr:uid="{00000000-0005-0000-0000-000081150000}"/>
    <cellStyle name="Normal 2 4 18 2 7" xfId="5523" xr:uid="{00000000-0005-0000-0000-000082150000}"/>
    <cellStyle name="Normal 2 4 18 2 7 2" xfId="5524" xr:uid="{00000000-0005-0000-0000-000083150000}"/>
    <cellStyle name="Normal 2 4 18 2 7 3" xfId="5525" xr:uid="{00000000-0005-0000-0000-000084150000}"/>
    <cellStyle name="Normal 2 4 18 2 8" xfId="5526" xr:uid="{00000000-0005-0000-0000-000085150000}"/>
    <cellStyle name="Normal 2 4 18 2 8 2" xfId="5527" xr:uid="{00000000-0005-0000-0000-000086150000}"/>
    <cellStyle name="Normal 2 4 18 2 8 3" xfId="5528" xr:uid="{00000000-0005-0000-0000-000087150000}"/>
    <cellStyle name="Normal 2 4 18 2 9" xfId="5529" xr:uid="{00000000-0005-0000-0000-000088150000}"/>
    <cellStyle name="Normal 2 4 18 2 9 2" xfId="5530" xr:uid="{00000000-0005-0000-0000-000089150000}"/>
    <cellStyle name="Normal 2 4 18 2 9 3" xfId="5531" xr:uid="{00000000-0005-0000-0000-00008A150000}"/>
    <cellStyle name="Normal 2 4 18 20" xfId="5532" xr:uid="{00000000-0005-0000-0000-00008B150000}"/>
    <cellStyle name="Normal 2 4 18 20 2" xfId="5533" xr:uid="{00000000-0005-0000-0000-00008C150000}"/>
    <cellStyle name="Normal 2 4 18 20 3" xfId="5534" xr:uid="{00000000-0005-0000-0000-00008D150000}"/>
    <cellStyle name="Normal 2 4 18 21" xfId="5535" xr:uid="{00000000-0005-0000-0000-00008E150000}"/>
    <cellStyle name="Normal 2 4 18 21 2" xfId="5536" xr:uid="{00000000-0005-0000-0000-00008F150000}"/>
    <cellStyle name="Normal 2 4 18 21 3" xfId="5537" xr:uid="{00000000-0005-0000-0000-000090150000}"/>
    <cellStyle name="Normal 2 4 18 22" xfId="5538" xr:uid="{00000000-0005-0000-0000-000091150000}"/>
    <cellStyle name="Normal 2 4 18 22 2" xfId="5539" xr:uid="{00000000-0005-0000-0000-000092150000}"/>
    <cellStyle name="Normal 2 4 18 22 3" xfId="5540" xr:uid="{00000000-0005-0000-0000-000093150000}"/>
    <cellStyle name="Normal 2 4 18 23" xfId="5541" xr:uid="{00000000-0005-0000-0000-000094150000}"/>
    <cellStyle name="Normal 2 4 18 23 2" xfId="5542" xr:uid="{00000000-0005-0000-0000-000095150000}"/>
    <cellStyle name="Normal 2 4 18 23 3" xfId="5543" xr:uid="{00000000-0005-0000-0000-000096150000}"/>
    <cellStyle name="Normal 2 4 18 24" xfId="5544" xr:uid="{00000000-0005-0000-0000-000097150000}"/>
    <cellStyle name="Normal 2 4 18 25" xfId="5545" xr:uid="{00000000-0005-0000-0000-000098150000}"/>
    <cellStyle name="Normal 2 4 18 3" xfId="5546" xr:uid="{00000000-0005-0000-0000-000099150000}"/>
    <cellStyle name="Normal 2 4 18 3 10" xfId="5547" xr:uid="{00000000-0005-0000-0000-00009A150000}"/>
    <cellStyle name="Normal 2 4 18 3 10 2" xfId="5548" xr:uid="{00000000-0005-0000-0000-00009B150000}"/>
    <cellStyle name="Normal 2 4 18 3 10 3" xfId="5549" xr:uid="{00000000-0005-0000-0000-00009C150000}"/>
    <cellStyle name="Normal 2 4 18 3 11" xfId="5550" xr:uid="{00000000-0005-0000-0000-00009D150000}"/>
    <cellStyle name="Normal 2 4 18 3 11 2" xfId="5551" xr:uid="{00000000-0005-0000-0000-00009E150000}"/>
    <cellStyle name="Normal 2 4 18 3 11 3" xfId="5552" xr:uid="{00000000-0005-0000-0000-00009F150000}"/>
    <cellStyle name="Normal 2 4 18 3 12" xfId="5553" xr:uid="{00000000-0005-0000-0000-0000A0150000}"/>
    <cellStyle name="Normal 2 4 18 3 12 2" xfId="5554" xr:uid="{00000000-0005-0000-0000-0000A1150000}"/>
    <cellStyle name="Normal 2 4 18 3 12 3" xfId="5555" xr:uid="{00000000-0005-0000-0000-0000A2150000}"/>
    <cellStyle name="Normal 2 4 18 3 13" xfId="5556" xr:uid="{00000000-0005-0000-0000-0000A3150000}"/>
    <cellStyle name="Normal 2 4 18 3 13 2" xfId="5557" xr:uid="{00000000-0005-0000-0000-0000A4150000}"/>
    <cellStyle name="Normal 2 4 18 3 13 3" xfId="5558" xr:uid="{00000000-0005-0000-0000-0000A5150000}"/>
    <cellStyle name="Normal 2 4 18 3 14" xfId="5559" xr:uid="{00000000-0005-0000-0000-0000A6150000}"/>
    <cellStyle name="Normal 2 4 18 3 14 2" xfId="5560" xr:uid="{00000000-0005-0000-0000-0000A7150000}"/>
    <cellStyle name="Normal 2 4 18 3 14 3" xfId="5561" xr:uid="{00000000-0005-0000-0000-0000A8150000}"/>
    <cellStyle name="Normal 2 4 18 3 15" xfId="5562" xr:uid="{00000000-0005-0000-0000-0000A9150000}"/>
    <cellStyle name="Normal 2 4 18 3 15 2" xfId="5563" xr:uid="{00000000-0005-0000-0000-0000AA150000}"/>
    <cellStyle name="Normal 2 4 18 3 15 3" xfId="5564" xr:uid="{00000000-0005-0000-0000-0000AB150000}"/>
    <cellStyle name="Normal 2 4 18 3 16" xfId="5565" xr:uid="{00000000-0005-0000-0000-0000AC150000}"/>
    <cellStyle name="Normal 2 4 18 3 17" xfId="5566" xr:uid="{00000000-0005-0000-0000-0000AD150000}"/>
    <cellStyle name="Normal 2 4 18 3 2" xfId="5567" xr:uid="{00000000-0005-0000-0000-0000AE150000}"/>
    <cellStyle name="Normal 2 4 18 3 2 10" xfId="5568" xr:uid="{00000000-0005-0000-0000-0000AF150000}"/>
    <cellStyle name="Normal 2 4 18 3 2 10 2" xfId="5569" xr:uid="{00000000-0005-0000-0000-0000B0150000}"/>
    <cellStyle name="Normal 2 4 18 3 2 10 3" xfId="5570" xr:uid="{00000000-0005-0000-0000-0000B1150000}"/>
    <cellStyle name="Normal 2 4 18 3 2 11" xfId="5571" xr:uid="{00000000-0005-0000-0000-0000B2150000}"/>
    <cellStyle name="Normal 2 4 18 3 2 11 2" xfId="5572" xr:uid="{00000000-0005-0000-0000-0000B3150000}"/>
    <cellStyle name="Normal 2 4 18 3 2 11 3" xfId="5573" xr:uid="{00000000-0005-0000-0000-0000B4150000}"/>
    <cellStyle name="Normal 2 4 18 3 2 12" xfId="5574" xr:uid="{00000000-0005-0000-0000-0000B5150000}"/>
    <cellStyle name="Normal 2 4 18 3 2 12 2" xfId="5575" xr:uid="{00000000-0005-0000-0000-0000B6150000}"/>
    <cellStyle name="Normal 2 4 18 3 2 12 3" xfId="5576" xr:uid="{00000000-0005-0000-0000-0000B7150000}"/>
    <cellStyle name="Normal 2 4 18 3 2 13" xfId="5577" xr:uid="{00000000-0005-0000-0000-0000B8150000}"/>
    <cellStyle name="Normal 2 4 18 3 2 13 2" xfId="5578" xr:uid="{00000000-0005-0000-0000-0000B9150000}"/>
    <cellStyle name="Normal 2 4 18 3 2 13 3" xfId="5579" xr:uid="{00000000-0005-0000-0000-0000BA150000}"/>
    <cellStyle name="Normal 2 4 18 3 2 14" xfId="5580" xr:uid="{00000000-0005-0000-0000-0000BB150000}"/>
    <cellStyle name="Normal 2 4 18 3 2 14 2" xfId="5581" xr:uid="{00000000-0005-0000-0000-0000BC150000}"/>
    <cellStyle name="Normal 2 4 18 3 2 14 3" xfId="5582" xr:uid="{00000000-0005-0000-0000-0000BD150000}"/>
    <cellStyle name="Normal 2 4 18 3 2 15" xfId="5583" xr:uid="{00000000-0005-0000-0000-0000BE150000}"/>
    <cellStyle name="Normal 2 4 18 3 2 16" xfId="5584" xr:uid="{00000000-0005-0000-0000-0000BF150000}"/>
    <cellStyle name="Normal 2 4 18 3 2 2" xfId="5585" xr:uid="{00000000-0005-0000-0000-0000C0150000}"/>
    <cellStyle name="Normal 2 4 18 3 2 2 2" xfId="5586" xr:uid="{00000000-0005-0000-0000-0000C1150000}"/>
    <cellStyle name="Normal 2 4 18 3 2 2 3" xfId="5587" xr:uid="{00000000-0005-0000-0000-0000C2150000}"/>
    <cellStyle name="Normal 2 4 18 3 2 3" xfId="5588" xr:uid="{00000000-0005-0000-0000-0000C3150000}"/>
    <cellStyle name="Normal 2 4 18 3 2 3 2" xfId="5589" xr:uid="{00000000-0005-0000-0000-0000C4150000}"/>
    <cellStyle name="Normal 2 4 18 3 2 3 3" xfId="5590" xr:uid="{00000000-0005-0000-0000-0000C5150000}"/>
    <cellStyle name="Normal 2 4 18 3 2 4" xfId="5591" xr:uid="{00000000-0005-0000-0000-0000C6150000}"/>
    <cellStyle name="Normal 2 4 18 3 2 4 2" xfId="5592" xr:uid="{00000000-0005-0000-0000-0000C7150000}"/>
    <cellStyle name="Normal 2 4 18 3 2 4 3" xfId="5593" xr:uid="{00000000-0005-0000-0000-0000C8150000}"/>
    <cellStyle name="Normal 2 4 18 3 2 5" xfId="5594" xr:uid="{00000000-0005-0000-0000-0000C9150000}"/>
    <cellStyle name="Normal 2 4 18 3 2 5 2" xfId="5595" xr:uid="{00000000-0005-0000-0000-0000CA150000}"/>
    <cellStyle name="Normal 2 4 18 3 2 5 3" xfId="5596" xr:uid="{00000000-0005-0000-0000-0000CB150000}"/>
    <cellStyle name="Normal 2 4 18 3 2 6" xfId="5597" xr:uid="{00000000-0005-0000-0000-0000CC150000}"/>
    <cellStyle name="Normal 2 4 18 3 2 6 2" xfId="5598" xr:uid="{00000000-0005-0000-0000-0000CD150000}"/>
    <cellStyle name="Normal 2 4 18 3 2 6 3" xfId="5599" xr:uid="{00000000-0005-0000-0000-0000CE150000}"/>
    <cellStyle name="Normal 2 4 18 3 2 7" xfId="5600" xr:uid="{00000000-0005-0000-0000-0000CF150000}"/>
    <cellStyle name="Normal 2 4 18 3 2 7 2" xfId="5601" xr:uid="{00000000-0005-0000-0000-0000D0150000}"/>
    <cellStyle name="Normal 2 4 18 3 2 7 3" xfId="5602" xr:uid="{00000000-0005-0000-0000-0000D1150000}"/>
    <cellStyle name="Normal 2 4 18 3 2 8" xfId="5603" xr:uid="{00000000-0005-0000-0000-0000D2150000}"/>
    <cellStyle name="Normal 2 4 18 3 2 8 2" xfId="5604" xr:uid="{00000000-0005-0000-0000-0000D3150000}"/>
    <cellStyle name="Normal 2 4 18 3 2 8 3" xfId="5605" xr:uid="{00000000-0005-0000-0000-0000D4150000}"/>
    <cellStyle name="Normal 2 4 18 3 2 9" xfId="5606" xr:uid="{00000000-0005-0000-0000-0000D5150000}"/>
    <cellStyle name="Normal 2 4 18 3 2 9 2" xfId="5607" xr:uid="{00000000-0005-0000-0000-0000D6150000}"/>
    <cellStyle name="Normal 2 4 18 3 2 9 3" xfId="5608" xr:uid="{00000000-0005-0000-0000-0000D7150000}"/>
    <cellStyle name="Normal 2 4 18 3 3" xfId="5609" xr:uid="{00000000-0005-0000-0000-0000D8150000}"/>
    <cellStyle name="Normal 2 4 18 3 3 2" xfId="5610" xr:uid="{00000000-0005-0000-0000-0000D9150000}"/>
    <cellStyle name="Normal 2 4 18 3 3 3" xfId="5611" xr:uid="{00000000-0005-0000-0000-0000DA150000}"/>
    <cellStyle name="Normal 2 4 18 3 4" xfId="5612" xr:uid="{00000000-0005-0000-0000-0000DB150000}"/>
    <cellStyle name="Normal 2 4 18 3 4 2" xfId="5613" xr:uid="{00000000-0005-0000-0000-0000DC150000}"/>
    <cellStyle name="Normal 2 4 18 3 4 3" xfId="5614" xr:uid="{00000000-0005-0000-0000-0000DD150000}"/>
    <cellStyle name="Normal 2 4 18 3 5" xfId="5615" xr:uid="{00000000-0005-0000-0000-0000DE150000}"/>
    <cellStyle name="Normal 2 4 18 3 5 2" xfId="5616" xr:uid="{00000000-0005-0000-0000-0000DF150000}"/>
    <cellStyle name="Normal 2 4 18 3 5 3" xfId="5617" xr:uid="{00000000-0005-0000-0000-0000E0150000}"/>
    <cellStyle name="Normal 2 4 18 3 6" xfId="5618" xr:uid="{00000000-0005-0000-0000-0000E1150000}"/>
    <cellStyle name="Normal 2 4 18 3 6 2" xfId="5619" xr:uid="{00000000-0005-0000-0000-0000E2150000}"/>
    <cellStyle name="Normal 2 4 18 3 6 3" xfId="5620" xr:uid="{00000000-0005-0000-0000-0000E3150000}"/>
    <cellStyle name="Normal 2 4 18 3 7" xfId="5621" xr:uid="{00000000-0005-0000-0000-0000E4150000}"/>
    <cellStyle name="Normal 2 4 18 3 7 2" xfId="5622" xr:uid="{00000000-0005-0000-0000-0000E5150000}"/>
    <cellStyle name="Normal 2 4 18 3 7 3" xfId="5623" xr:uid="{00000000-0005-0000-0000-0000E6150000}"/>
    <cellStyle name="Normal 2 4 18 3 8" xfId="5624" xr:uid="{00000000-0005-0000-0000-0000E7150000}"/>
    <cellStyle name="Normal 2 4 18 3 8 2" xfId="5625" xr:uid="{00000000-0005-0000-0000-0000E8150000}"/>
    <cellStyle name="Normal 2 4 18 3 8 3" xfId="5626" xr:uid="{00000000-0005-0000-0000-0000E9150000}"/>
    <cellStyle name="Normal 2 4 18 3 9" xfId="5627" xr:uid="{00000000-0005-0000-0000-0000EA150000}"/>
    <cellStyle name="Normal 2 4 18 3 9 2" xfId="5628" xr:uid="{00000000-0005-0000-0000-0000EB150000}"/>
    <cellStyle name="Normal 2 4 18 3 9 3" xfId="5629" xr:uid="{00000000-0005-0000-0000-0000EC150000}"/>
    <cellStyle name="Normal 2 4 18 4" xfId="5630" xr:uid="{00000000-0005-0000-0000-0000ED150000}"/>
    <cellStyle name="Normal 2 4 18 4 10" xfId="5631" xr:uid="{00000000-0005-0000-0000-0000EE150000}"/>
    <cellStyle name="Normal 2 4 18 4 10 2" xfId="5632" xr:uid="{00000000-0005-0000-0000-0000EF150000}"/>
    <cellStyle name="Normal 2 4 18 4 10 3" xfId="5633" xr:uid="{00000000-0005-0000-0000-0000F0150000}"/>
    <cellStyle name="Normal 2 4 18 4 11" xfId="5634" xr:uid="{00000000-0005-0000-0000-0000F1150000}"/>
    <cellStyle name="Normal 2 4 18 4 11 2" xfId="5635" xr:uid="{00000000-0005-0000-0000-0000F2150000}"/>
    <cellStyle name="Normal 2 4 18 4 11 3" xfId="5636" xr:uid="{00000000-0005-0000-0000-0000F3150000}"/>
    <cellStyle name="Normal 2 4 18 4 12" xfId="5637" xr:uid="{00000000-0005-0000-0000-0000F4150000}"/>
    <cellStyle name="Normal 2 4 18 4 12 2" xfId="5638" xr:uid="{00000000-0005-0000-0000-0000F5150000}"/>
    <cellStyle name="Normal 2 4 18 4 12 3" xfId="5639" xr:uid="{00000000-0005-0000-0000-0000F6150000}"/>
    <cellStyle name="Normal 2 4 18 4 13" xfId="5640" xr:uid="{00000000-0005-0000-0000-0000F7150000}"/>
    <cellStyle name="Normal 2 4 18 4 13 2" xfId="5641" xr:uid="{00000000-0005-0000-0000-0000F8150000}"/>
    <cellStyle name="Normal 2 4 18 4 13 3" xfId="5642" xr:uid="{00000000-0005-0000-0000-0000F9150000}"/>
    <cellStyle name="Normal 2 4 18 4 14" xfId="5643" xr:uid="{00000000-0005-0000-0000-0000FA150000}"/>
    <cellStyle name="Normal 2 4 18 4 14 2" xfId="5644" xr:uid="{00000000-0005-0000-0000-0000FB150000}"/>
    <cellStyle name="Normal 2 4 18 4 14 3" xfId="5645" xr:uid="{00000000-0005-0000-0000-0000FC150000}"/>
    <cellStyle name="Normal 2 4 18 4 15" xfId="5646" xr:uid="{00000000-0005-0000-0000-0000FD150000}"/>
    <cellStyle name="Normal 2 4 18 4 15 2" xfId="5647" xr:uid="{00000000-0005-0000-0000-0000FE150000}"/>
    <cellStyle name="Normal 2 4 18 4 15 3" xfId="5648" xr:uid="{00000000-0005-0000-0000-0000FF150000}"/>
    <cellStyle name="Normal 2 4 18 4 16" xfId="5649" xr:uid="{00000000-0005-0000-0000-000000160000}"/>
    <cellStyle name="Normal 2 4 18 4 17" xfId="5650" xr:uid="{00000000-0005-0000-0000-000001160000}"/>
    <cellStyle name="Normal 2 4 18 4 2" xfId="5651" xr:uid="{00000000-0005-0000-0000-000002160000}"/>
    <cellStyle name="Normal 2 4 18 4 2 10" xfId="5652" xr:uid="{00000000-0005-0000-0000-000003160000}"/>
    <cellStyle name="Normal 2 4 18 4 2 10 2" xfId="5653" xr:uid="{00000000-0005-0000-0000-000004160000}"/>
    <cellStyle name="Normal 2 4 18 4 2 10 3" xfId="5654" xr:uid="{00000000-0005-0000-0000-000005160000}"/>
    <cellStyle name="Normal 2 4 18 4 2 11" xfId="5655" xr:uid="{00000000-0005-0000-0000-000006160000}"/>
    <cellStyle name="Normal 2 4 18 4 2 11 2" xfId="5656" xr:uid="{00000000-0005-0000-0000-000007160000}"/>
    <cellStyle name="Normal 2 4 18 4 2 11 3" xfId="5657" xr:uid="{00000000-0005-0000-0000-000008160000}"/>
    <cellStyle name="Normal 2 4 18 4 2 12" xfId="5658" xr:uid="{00000000-0005-0000-0000-000009160000}"/>
    <cellStyle name="Normal 2 4 18 4 2 12 2" xfId="5659" xr:uid="{00000000-0005-0000-0000-00000A160000}"/>
    <cellStyle name="Normal 2 4 18 4 2 12 3" xfId="5660" xr:uid="{00000000-0005-0000-0000-00000B160000}"/>
    <cellStyle name="Normal 2 4 18 4 2 13" xfId="5661" xr:uid="{00000000-0005-0000-0000-00000C160000}"/>
    <cellStyle name="Normal 2 4 18 4 2 13 2" xfId="5662" xr:uid="{00000000-0005-0000-0000-00000D160000}"/>
    <cellStyle name="Normal 2 4 18 4 2 13 3" xfId="5663" xr:uid="{00000000-0005-0000-0000-00000E160000}"/>
    <cellStyle name="Normal 2 4 18 4 2 14" xfId="5664" xr:uid="{00000000-0005-0000-0000-00000F160000}"/>
    <cellStyle name="Normal 2 4 18 4 2 14 2" xfId="5665" xr:uid="{00000000-0005-0000-0000-000010160000}"/>
    <cellStyle name="Normal 2 4 18 4 2 14 3" xfId="5666" xr:uid="{00000000-0005-0000-0000-000011160000}"/>
    <cellStyle name="Normal 2 4 18 4 2 15" xfId="5667" xr:uid="{00000000-0005-0000-0000-000012160000}"/>
    <cellStyle name="Normal 2 4 18 4 2 16" xfId="5668" xr:uid="{00000000-0005-0000-0000-000013160000}"/>
    <cellStyle name="Normal 2 4 18 4 2 2" xfId="5669" xr:uid="{00000000-0005-0000-0000-000014160000}"/>
    <cellStyle name="Normal 2 4 18 4 2 2 2" xfId="5670" xr:uid="{00000000-0005-0000-0000-000015160000}"/>
    <cellStyle name="Normal 2 4 18 4 2 2 3" xfId="5671" xr:uid="{00000000-0005-0000-0000-000016160000}"/>
    <cellStyle name="Normal 2 4 18 4 2 3" xfId="5672" xr:uid="{00000000-0005-0000-0000-000017160000}"/>
    <cellStyle name="Normal 2 4 18 4 2 3 2" xfId="5673" xr:uid="{00000000-0005-0000-0000-000018160000}"/>
    <cellStyle name="Normal 2 4 18 4 2 3 3" xfId="5674" xr:uid="{00000000-0005-0000-0000-000019160000}"/>
    <cellStyle name="Normal 2 4 18 4 2 4" xfId="5675" xr:uid="{00000000-0005-0000-0000-00001A160000}"/>
    <cellStyle name="Normal 2 4 18 4 2 4 2" xfId="5676" xr:uid="{00000000-0005-0000-0000-00001B160000}"/>
    <cellStyle name="Normal 2 4 18 4 2 4 3" xfId="5677" xr:uid="{00000000-0005-0000-0000-00001C160000}"/>
    <cellStyle name="Normal 2 4 18 4 2 5" xfId="5678" xr:uid="{00000000-0005-0000-0000-00001D160000}"/>
    <cellStyle name="Normal 2 4 18 4 2 5 2" xfId="5679" xr:uid="{00000000-0005-0000-0000-00001E160000}"/>
    <cellStyle name="Normal 2 4 18 4 2 5 3" xfId="5680" xr:uid="{00000000-0005-0000-0000-00001F160000}"/>
    <cellStyle name="Normal 2 4 18 4 2 6" xfId="5681" xr:uid="{00000000-0005-0000-0000-000020160000}"/>
    <cellStyle name="Normal 2 4 18 4 2 6 2" xfId="5682" xr:uid="{00000000-0005-0000-0000-000021160000}"/>
    <cellStyle name="Normal 2 4 18 4 2 6 3" xfId="5683" xr:uid="{00000000-0005-0000-0000-000022160000}"/>
    <cellStyle name="Normal 2 4 18 4 2 7" xfId="5684" xr:uid="{00000000-0005-0000-0000-000023160000}"/>
    <cellStyle name="Normal 2 4 18 4 2 7 2" xfId="5685" xr:uid="{00000000-0005-0000-0000-000024160000}"/>
    <cellStyle name="Normal 2 4 18 4 2 7 3" xfId="5686" xr:uid="{00000000-0005-0000-0000-000025160000}"/>
    <cellStyle name="Normal 2 4 18 4 2 8" xfId="5687" xr:uid="{00000000-0005-0000-0000-000026160000}"/>
    <cellStyle name="Normal 2 4 18 4 2 8 2" xfId="5688" xr:uid="{00000000-0005-0000-0000-000027160000}"/>
    <cellStyle name="Normal 2 4 18 4 2 8 3" xfId="5689" xr:uid="{00000000-0005-0000-0000-000028160000}"/>
    <cellStyle name="Normal 2 4 18 4 2 9" xfId="5690" xr:uid="{00000000-0005-0000-0000-000029160000}"/>
    <cellStyle name="Normal 2 4 18 4 2 9 2" xfId="5691" xr:uid="{00000000-0005-0000-0000-00002A160000}"/>
    <cellStyle name="Normal 2 4 18 4 2 9 3" xfId="5692" xr:uid="{00000000-0005-0000-0000-00002B160000}"/>
    <cellStyle name="Normal 2 4 18 4 3" xfId="5693" xr:uid="{00000000-0005-0000-0000-00002C160000}"/>
    <cellStyle name="Normal 2 4 18 4 3 2" xfId="5694" xr:uid="{00000000-0005-0000-0000-00002D160000}"/>
    <cellStyle name="Normal 2 4 18 4 3 3" xfId="5695" xr:uid="{00000000-0005-0000-0000-00002E160000}"/>
    <cellStyle name="Normal 2 4 18 4 4" xfId="5696" xr:uid="{00000000-0005-0000-0000-00002F160000}"/>
    <cellStyle name="Normal 2 4 18 4 4 2" xfId="5697" xr:uid="{00000000-0005-0000-0000-000030160000}"/>
    <cellStyle name="Normal 2 4 18 4 4 3" xfId="5698" xr:uid="{00000000-0005-0000-0000-000031160000}"/>
    <cellStyle name="Normal 2 4 18 4 5" xfId="5699" xr:uid="{00000000-0005-0000-0000-000032160000}"/>
    <cellStyle name="Normal 2 4 18 4 5 2" xfId="5700" xr:uid="{00000000-0005-0000-0000-000033160000}"/>
    <cellStyle name="Normal 2 4 18 4 5 3" xfId="5701" xr:uid="{00000000-0005-0000-0000-000034160000}"/>
    <cellStyle name="Normal 2 4 18 4 6" xfId="5702" xr:uid="{00000000-0005-0000-0000-000035160000}"/>
    <cellStyle name="Normal 2 4 18 4 6 2" xfId="5703" xr:uid="{00000000-0005-0000-0000-000036160000}"/>
    <cellStyle name="Normal 2 4 18 4 6 3" xfId="5704" xr:uid="{00000000-0005-0000-0000-000037160000}"/>
    <cellStyle name="Normal 2 4 18 4 7" xfId="5705" xr:uid="{00000000-0005-0000-0000-000038160000}"/>
    <cellStyle name="Normal 2 4 18 4 7 2" xfId="5706" xr:uid="{00000000-0005-0000-0000-000039160000}"/>
    <cellStyle name="Normal 2 4 18 4 7 3" xfId="5707" xr:uid="{00000000-0005-0000-0000-00003A160000}"/>
    <cellStyle name="Normal 2 4 18 4 8" xfId="5708" xr:uid="{00000000-0005-0000-0000-00003B160000}"/>
    <cellStyle name="Normal 2 4 18 4 8 2" xfId="5709" xr:uid="{00000000-0005-0000-0000-00003C160000}"/>
    <cellStyle name="Normal 2 4 18 4 8 3" xfId="5710" xr:uid="{00000000-0005-0000-0000-00003D160000}"/>
    <cellStyle name="Normal 2 4 18 4 9" xfId="5711" xr:uid="{00000000-0005-0000-0000-00003E160000}"/>
    <cellStyle name="Normal 2 4 18 4 9 2" xfId="5712" xr:uid="{00000000-0005-0000-0000-00003F160000}"/>
    <cellStyle name="Normal 2 4 18 4 9 3" xfId="5713" xr:uid="{00000000-0005-0000-0000-000040160000}"/>
    <cellStyle name="Normal 2 4 18 5" xfId="5714" xr:uid="{00000000-0005-0000-0000-000041160000}"/>
    <cellStyle name="Normal 2 4 18 5 10" xfId="5715" xr:uid="{00000000-0005-0000-0000-000042160000}"/>
    <cellStyle name="Normal 2 4 18 5 10 2" xfId="5716" xr:uid="{00000000-0005-0000-0000-000043160000}"/>
    <cellStyle name="Normal 2 4 18 5 10 3" xfId="5717" xr:uid="{00000000-0005-0000-0000-000044160000}"/>
    <cellStyle name="Normal 2 4 18 5 11" xfId="5718" xr:uid="{00000000-0005-0000-0000-000045160000}"/>
    <cellStyle name="Normal 2 4 18 5 11 2" xfId="5719" xr:uid="{00000000-0005-0000-0000-000046160000}"/>
    <cellStyle name="Normal 2 4 18 5 11 3" xfId="5720" xr:uid="{00000000-0005-0000-0000-000047160000}"/>
    <cellStyle name="Normal 2 4 18 5 12" xfId="5721" xr:uid="{00000000-0005-0000-0000-000048160000}"/>
    <cellStyle name="Normal 2 4 18 5 12 2" xfId="5722" xr:uid="{00000000-0005-0000-0000-000049160000}"/>
    <cellStyle name="Normal 2 4 18 5 12 3" xfId="5723" xr:uid="{00000000-0005-0000-0000-00004A160000}"/>
    <cellStyle name="Normal 2 4 18 5 13" xfId="5724" xr:uid="{00000000-0005-0000-0000-00004B160000}"/>
    <cellStyle name="Normal 2 4 18 5 13 2" xfId="5725" xr:uid="{00000000-0005-0000-0000-00004C160000}"/>
    <cellStyle name="Normal 2 4 18 5 13 3" xfId="5726" xr:uid="{00000000-0005-0000-0000-00004D160000}"/>
    <cellStyle name="Normal 2 4 18 5 14" xfId="5727" xr:uid="{00000000-0005-0000-0000-00004E160000}"/>
    <cellStyle name="Normal 2 4 18 5 14 2" xfId="5728" xr:uid="{00000000-0005-0000-0000-00004F160000}"/>
    <cellStyle name="Normal 2 4 18 5 14 3" xfId="5729" xr:uid="{00000000-0005-0000-0000-000050160000}"/>
    <cellStyle name="Normal 2 4 18 5 15" xfId="5730" xr:uid="{00000000-0005-0000-0000-000051160000}"/>
    <cellStyle name="Normal 2 4 18 5 16" xfId="5731" xr:uid="{00000000-0005-0000-0000-000052160000}"/>
    <cellStyle name="Normal 2 4 18 5 2" xfId="5732" xr:uid="{00000000-0005-0000-0000-000053160000}"/>
    <cellStyle name="Normal 2 4 18 5 2 2" xfId="5733" xr:uid="{00000000-0005-0000-0000-000054160000}"/>
    <cellStyle name="Normal 2 4 18 5 2 3" xfId="5734" xr:uid="{00000000-0005-0000-0000-000055160000}"/>
    <cellStyle name="Normal 2 4 18 5 3" xfId="5735" xr:uid="{00000000-0005-0000-0000-000056160000}"/>
    <cellStyle name="Normal 2 4 18 5 3 2" xfId="5736" xr:uid="{00000000-0005-0000-0000-000057160000}"/>
    <cellStyle name="Normal 2 4 18 5 3 3" xfId="5737" xr:uid="{00000000-0005-0000-0000-000058160000}"/>
    <cellStyle name="Normal 2 4 18 5 4" xfId="5738" xr:uid="{00000000-0005-0000-0000-000059160000}"/>
    <cellStyle name="Normal 2 4 18 5 4 2" xfId="5739" xr:uid="{00000000-0005-0000-0000-00005A160000}"/>
    <cellStyle name="Normal 2 4 18 5 4 3" xfId="5740" xr:uid="{00000000-0005-0000-0000-00005B160000}"/>
    <cellStyle name="Normal 2 4 18 5 5" xfId="5741" xr:uid="{00000000-0005-0000-0000-00005C160000}"/>
    <cellStyle name="Normal 2 4 18 5 5 2" xfId="5742" xr:uid="{00000000-0005-0000-0000-00005D160000}"/>
    <cellStyle name="Normal 2 4 18 5 5 3" xfId="5743" xr:uid="{00000000-0005-0000-0000-00005E160000}"/>
    <cellStyle name="Normal 2 4 18 5 6" xfId="5744" xr:uid="{00000000-0005-0000-0000-00005F160000}"/>
    <cellStyle name="Normal 2 4 18 5 6 2" xfId="5745" xr:uid="{00000000-0005-0000-0000-000060160000}"/>
    <cellStyle name="Normal 2 4 18 5 6 3" xfId="5746" xr:uid="{00000000-0005-0000-0000-000061160000}"/>
    <cellStyle name="Normal 2 4 18 5 7" xfId="5747" xr:uid="{00000000-0005-0000-0000-000062160000}"/>
    <cellStyle name="Normal 2 4 18 5 7 2" xfId="5748" xr:uid="{00000000-0005-0000-0000-000063160000}"/>
    <cellStyle name="Normal 2 4 18 5 7 3" xfId="5749" xr:uid="{00000000-0005-0000-0000-000064160000}"/>
    <cellStyle name="Normal 2 4 18 5 8" xfId="5750" xr:uid="{00000000-0005-0000-0000-000065160000}"/>
    <cellStyle name="Normal 2 4 18 5 8 2" xfId="5751" xr:uid="{00000000-0005-0000-0000-000066160000}"/>
    <cellStyle name="Normal 2 4 18 5 8 3" xfId="5752" xr:uid="{00000000-0005-0000-0000-000067160000}"/>
    <cellStyle name="Normal 2 4 18 5 9" xfId="5753" xr:uid="{00000000-0005-0000-0000-000068160000}"/>
    <cellStyle name="Normal 2 4 18 5 9 2" xfId="5754" xr:uid="{00000000-0005-0000-0000-000069160000}"/>
    <cellStyle name="Normal 2 4 18 5 9 3" xfId="5755" xr:uid="{00000000-0005-0000-0000-00006A160000}"/>
    <cellStyle name="Normal 2 4 18 6" xfId="5756" xr:uid="{00000000-0005-0000-0000-00006B160000}"/>
    <cellStyle name="Normal 2 4 18 6 10" xfId="5757" xr:uid="{00000000-0005-0000-0000-00006C160000}"/>
    <cellStyle name="Normal 2 4 18 6 10 2" xfId="5758" xr:uid="{00000000-0005-0000-0000-00006D160000}"/>
    <cellStyle name="Normal 2 4 18 6 10 3" xfId="5759" xr:uid="{00000000-0005-0000-0000-00006E160000}"/>
    <cellStyle name="Normal 2 4 18 6 11" xfId="5760" xr:uid="{00000000-0005-0000-0000-00006F160000}"/>
    <cellStyle name="Normal 2 4 18 6 11 2" xfId="5761" xr:uid="{00000000-0005-0000-0000-000070160000}"/>
    <cellStyle name="Normal 2 4 18 6 11 3" xfId="5762" xr:uid="{00000000-0005-0000-0000-000071160000}"/>
    <cellStyle name="Normal 2 4 18 6 12" xfId="5763" xr:uid="{00000000-0005-0000-0000-000072160000}"/>
    <cellStyle name="Normal 2 4 18 6 12 2" xfId="5764" xr:uid="{00000000-0005-0000-0000-000073160000}"/>
    <cellStyle name="Normal 2 4 18 6 12 3" xfId="5765" xr:uid="{00000000-0005-0000-0000-000074160000}"/>
    <cellStyle name="Normal 2 4 18 6 13" xfId="5766" xr:uid="{00000000-0005-0000-0000-000075160000}"/>
    <cellStyle name="Normal 2 4 18 6 13 2" xfId="5767" xr:uid="{00000000-0005-0000-0000-000076160000}"/>
    <cellStyle name="Normal 2 4 18 6 13 3" xfId="5768" xr:uid="{00000000-0005-0000-0000-000077160000}"/>
    <cellStyle name="Normal 2 4 18 6 14" xfId="5769" xr:uid="{00000000-0005-0000-0000-000078160000}"/>
    <cellStyle name="Normal 2 4 18 6 14 2" xfId="5770" xr:uid="{00000000-0005-0000-0000-000079160000}"/>
    <cellStyle name="Normal 2 4 18 6 14 3" xfId="5771" xr:uid="{00000000-0005-0000-0000-00007A160000}"/>
    <cellStyle name="Normal 2 4 18 6 15" xfId="5772" xr:uid="{00000000-0005-0000-0000-00007B160000}"/>
    <cellStyle name="Normal 2 4 18 6 16" xfId="5773" xr:uid="{00000000-0005-0000-0000-00007C160000}"/>
    <cellStyle name="Normal 2 4 18 6 2" xfId="5774" xr:uid="{00000000-0005-0000-0000-00007D160000}"/>
    <cellStyle name="Normal 2 4 18 6 2 2" xfId="5775" xr:uid="{00000000-0005-0000-0000-00007E160000}"/>
    <cellStyle name="Normal 2 4 18 6 2 3" xfId="5776" xr:uid="{00000000-0005-0000-0000-00007F160000}"/>
    <cellStyle name="Normal 2 4 18 6 3" xfId="5777" xr:uid="{00000000-0005-0000-0000-000080160000}"/>
    <cellStyle name="Normal 2 4 18 6 3 2" xfId="5778" xr:uid="{00000000-0005-0000-0000-000081160000}"/>
    <cellStyle name="Normal 2 4 18 6 3 3" xfId="5779" xr:uid="{00000000-0005-0000-0000-000082160000}"/>
    <cellStyle name="Normal 2 4 18 6 4" xfId="5780" xr:uid="{00000000-0005-0000-0000-000083160000}"/>
    <cellStyle name="Normal 2 4 18 6 4 2" xfId="5781" xr:uid="{00000000-0005-0000-0000-000084160000}"/>
    <cellStyle name="Normal 2 4 18 6 4 3" xfId="5782" xr:uid="{00000000-0005-0000-0000-000085160000}"/>
    <cellStyle name="Normal 2 4 18 6 5" xfId="5783" xr:uid="{00000000-0005-0000-0000-000086160000}"/>
    <cellStyle name="Normal 2 4 18 6 5 2" xfId="5784" xr:uid="{00000000-0005-0000-0000-000087160000}"/>
    <cellStyle name="Normal 2 4 18 6 5 3" xfId="5785" xr:uid="{00000000-0005-0000-0000-000088160000}"/>
    <cellStyle name="Normal 2 4 18 6 6" xfId="5786" xr:uid="{00000000-0005-0000-0000-000089160000}"/>
    <cellStyle name="Normal 2 4 18 6 6 2" xfId="5787" xr:uid="{00000000-0005-0000-0000-00008A160000}"/>
    <cellStyle name="Normal 2 4 18 6 6 3" xfId="5788" xr:uid="{00000000-0005-0000-0000-00008B160000}"/>
    <cellStyle name="Normal 2 4 18 6 7" xfId="5789" xr:uid="{00000000-0005-0000-0000-00008C160000}"/>
    <cellStyle name="Normal 2 4 18 6 7 2" xfId="5790" xr:uid="{00000000-0005-0000-0000-00008D160000}"/>
    <cellStyle name="Normal 2 4 18 6 7 3" xfId="5791" xr:uid="{00000000-0005-0000-0000-00008E160000}"/>
    <cellStyle name="Normal 2 4 18 6 8" xfId="5792" xr:uid="{00000000-0005-0000-0000-00008F160000}"/>
    <cellStyle name="Normal 2 4 18 6 8 2" xfId="5793" xr:uid="{00000000-0005-0000-0000-000090160000}"/>
    <cellStyle name="Normal 2 4 18 6 8 3" xfId="5794" xr:uid="{00000000-0005-0000-0000-000091160000}"/>
    <cellStyle name="Normal 2 4 18 6 9" xfId="5795" xr:uid="{00000000-0005-0000-0000-000092160000}"/>
    <cellStyle name="Normal 2 4 18 6 9 2" xfId="5796" xr:uid="{00000000-0005-0000-0000-000093160000}"/>
    <cellStyle name="Normal 2 4 18 6 9 3" xfId="5797" xr:uid="{00000000-0005-0000-0000-000094160000}"/>
    <cellStyle name="Normal 2 4 18 7" xfId="5798" xr:uid="{00000000-0005-0000-0000-000095160000}"/>
    <cellStyle name="Normal 2 4 18 7 10" xfId="5799" xr:uid="{00000000-0005-0000-0000-000096160000}"/>
    <cellStyle name="Normal 2 4 18 7 10 2" xfId="5800" xr:uid="{00000000-0005-0000-0000-000097160000}"/>
    <cellStyle name="Normal 2 4 18 7 10 3" xfId="5801" xr:uid="{00000000-0005-0000-0000-000098160000}"/>
    <cellStyle name="Normal 2 4 18 7 11" xfId="5802" xr:uid="{00000000-0005-0000-0000-000099160000}"/>
    <cellStyle name="Normal 2 4 18 7 11 2" xfId="5803" xr:uid="{00000000-0005-0000-0000-00009A160000}"/>
    <cellStyle name="Normal 2 4 18 7 11 3" xfId="5804" xr:uid="{00000000-0005-0000-0000-00009B160000}"/>
    <cellStyle name="Normal 2 4 18 7 12" xfId="5805" xr:uid="{00000000-0005-0000-0000-00009C160000}"/>
    <cellStyle name="Normal 2 4 18 7 12 2" xfId="5806" xr:uid="{00000000-0005-0000-0000-00009D160000}"/>
    <cellStyle name="Normal 2 4 18 7 12 3" xfId="5807" xr:uid="{00000000-0005-0000-0000-00009E160000}"/>
    <cellStyle name="Normal 2 4 18 7 13" xfId="5808" xr:uid="{00000000-0005-0000-0000-00009F160000}"/>
    <cellStyle name="Normal 2 4 18 7 13 2" xfId="5809" xr:uid="{00000000-0005-0000-0000-0000A0160000}"/>
    <cellStyle name="Normal 2 4 18 7 13 3" xfId="5810" xr:uid="{00000000-0005-0000-0000-0000A1160000}"/>
    <cellStyle name="Normal 2 4 18 7 14" xfId="5811" xr:uid="{00000000-0005-0000-0000-0000A2160000}"/>
    <cellStyle name="Normal 2 4 18 7 14 2" xfId="5812" xr:uid="{00000000-0005-0000-0000-0000A3160000}"/>
    <cellStyle name="Normal 2 4 18 7 14 3" xfId="5813" xr:uid="{00000000-0005-0000-0000-0000A4160000}"/>
    <cellStyle name="Normal 2 4 18 7 15" xfId="5814" xr:uid="{00000000-0005-0000-0000-0000A5160000}"/>
    <cellStyle name="Normal 2 4 18 7 16" xfId="5815" xr:uid="{00000000-0005-0000-0000-0000A6160000}"/>
    <cellStyle name="Normal 2 4 18 7 2" xfId="5816" xr:uid="{00000000-0005-0000-0000-0000A7160000}"/>
    <cellStyle name="Normal 2 4 18 7 2 2" xfId="5817" xr:uid="{00000000-0005-0000-0000-0000A8160000}"/>
    <cellStyle name="Normal 2 4 18 7 2 3" xfId="5818" xr:uid="{00000000-0005-0000-0000-0000A9160000}"/>
    <cellStyle name="Normal 2 4 18 7 3" xfId="5819" xr:uid="{00000000-0005-0000-0000-0000AA160000}"/>
    <cellStyle name="Normal 2 4 18 7 3 2" xfId="5820" xr:uid="{00000000-0005-0000-0000-0000AB160000}"/>
    <cellStyle name="Normal 2 4 18 7 3 3" xfId="5821" xr:uid="{00000000-0005-0000-0000-0000AC160000}"/>
    <cellStyle name="Normal 2 4 18 7 4" xfId="5822" xr:uid="{00000000-0005-0000-0000-0000AD160000}"/>
    <cellStyle name="Normal 2 4 18 7 4 2" xfId="5823" xr:uid="{00000000-0005-0000-0000-0000AE160000}"/>
    <cellStyle name="Normal 2 4 18 7 4 3" xfId="5824" xr:uid="{00000000-0005-0000-0000-0000AF160000}"/>
    <cellStyle name="Normal 2 4 18 7 5" xfId="5825" xr:uid="{00000000-0005-0000-0000-0000B0160000}"/>
    <cellStyle name="Normal 2 4 18 7 5 2" xfId="5826" xr:uid="{00000000-0005-0000-0000-0000B1160000}"/>
    <cellStyle name="Normal 2 4 18 7 5 3" xfId="5827" xr:uid="{00000000-0005-0000-0000-0000B2160000}"/>
    <cellStyle name="Normal 2 4 18 7 6" xfId="5828" xr:uid="{00000000-0005-0000-0000-0000B3160000}"/>
    <cellStyle name="Normal 2 4 18 7 6 2" xfId="5829" xr:uid="{00000000-0005-0000-0000-0000B4160000}"/>
    <cellStyle name="Normal 2 4 18 7 6 3" xfId="5830" xr:uid="{00000000-0005-0000-0000-0000B5160000}"/>
    <cellStyle name="Normal 2 4 18 7 7" xfId="5831" xr:uid="{00000000-0005-0000-0000-0000B6160000}"/>
    <cellStyle name="Normal 2 4 18 7 7 2" xfId="5832" xr:uid="{00000000-0005-0000-0000-0000B7160000}"/>
    <cellStyle name="Normal 2 4 18 7 7 3" xfId="5833" xr:uid="{00000000-0005-0000-0000-0000B8160000}"/>
    <cellStyle name="Normal 2 4 18 7 8" xfId="5834" xr:uid="{00000000-0005-0000-0000-0000B9160000}"/>
    <cellStyle name="Normal 2 4 18 7 8 2" xfId="5835" xr:uid="{00000000-0005-0000-0000-0000BA160000}"/>
    <cellStyle name="Normal 2 4 18 7 8 3" xfId="5836" xr:uid="{00000000-0005-0000-0000-0000BB160000}"/>
    <cellStyle name="Normal 2 4 18 7 9" xfId="5837" xr:uid="{00000000-0005-0000-0000-0000BC160000}"/>
    <cellStyle name="Normal 2 4 18 7 9 2" xfId="5838" xr:uid="{00000000-0005-0000-0000-0000BD160000}"/>
    <cellStyle name="Normal 2 4 18 7 9 3" xfId="5839" xr:uid="{00000000-0005-0000-0000-0000BE160000}"/>
    <cellStyle name="Normal 2 4 18 8" xfId="5840" xr:uid="{00000000-0005-0000-0000-0000BF160000}"/>
    <cellStyle name="Normal 2 4 18 8 10" xfId="5841" xr:uid="{00000000-0005-0000-0000-0000C0160000}"/>
    <cellStyle name="Normal 2 4 18 8 10 2" xfId="5842" xr:uid="{00000000-0005-0000-0000-0000C1160000}"/>
    <cellStyle name="Normal 2 4 18 8 10 3" xfId="5843" xr:uid="{00000000-0005-0000-0000-0000C2160000}"/>
    <cellStyle name="Normal 2 4 18 8 11" xfId="5844" xr:uid="{00000000-0005-0000-0000-0000C3160000}"/>
    <cellStyle name="Normal 2 4 18 8 11 2" xfId="5845" xr:uid="{00000000-0005-0000-0000-0000C4160000}"/>
    <cellStyle name="Normal 2 4 18 8 11 3" xfId="5846" xr:uid="{00000000-0005-0000-0000-0000C5160000}"/>
    <cellStyle name="Normal 2 4 18 8 12" xfId="5847" xr:uid="{00000000-0005-0000-0000-0000C6160000}"/>
    <cellStyle name="Normal 2 4 18 8 12 2" xfId="5848" xr:uid="{00000000-0005-0000-0000-0000C7160000}"/>
    <cellStyle name="Normal 2 4 18 8 12 3" xfId="5849" xr:uid="{00000000-0005-0000-0000-0000C8160000}"/>
    <cellStyle name="Normal 2 4 18 8 13" xfId="5850" xr:uid="{00000000-0005-0000-0000-0000C9160000}"/>
    <cellStyle name="Normal 2 4 18 8 13 2" xfId="5851" xr:uid="{00000000-0005-0000-0000-0000CA160000}"/>
    <cellStyle name="Normal 2 4 18 8 13 3" xfId="5852" xr:uid="{00000000-0005-0000-0000-0000CB160000}"/>
    <cellStyle name="Normal 2 4 18 8 14" xfId="5853" xr:uid="{00000000-0005-0000-0000-0000CC160000}"/>
    <cellStyle name="Normal 2 4 18 8 14 2" xfId="5854" xr:uid="{00000000-0005-0000-0000-0000CD160000}"/>
    <cellStyle name="Normal 2 4 18 8 14 3" xfId="5855" xr:uid="{00000000-0005-0000-0000-0000CE160000}"/>
    <cellStyle name="Normal 2 4 18 8 15" xfId="5856" xr:uid="{00000000-0005-0000-0000-0000CF160000}"/>
    <cellStyle name="Normal 2 4 18 8 16" xfId="5857" xr:uid="{00000000-0005-0000-0000-0000D0160000}"/>
    <cellStyle name="Normal 2 4 18 8 2" xfId="5858" xr:uid="{00000000-0005-0000-0000-0000D1160000}"/>
    <cellStyle name="Normal 2 4 18 8 2 2" xfId="5859" xr:uid="{00000000-0005-0000-0000-0000D2160000}"/>
    <cellStyle name="Normal 2 4 18 8 2 3" xfId="5860" xr:uid="{00000000-0005-0000-0000-0000D3160000}"/>
    <cellStyle name="Normal 2 4 18 8 3" xfId="5861" xr:uid="{00000000-0005-0000-0000-0000D4160000}"/>
    <cellStyle name="Normal 2 4 18 8 3 2" xfId="5862" xr:uid="{00000000-0005-0000-0000-0000D5160000}"/>
    <cellStyle name="Normal 2 4 18 8 3 3" xfId="5863" xr:uid="{00000000-0005-0000-0000-0000D6160000}"/>
    <cellStyle name="Normal 2 4 18 8 4" xfId="5864" xr:uid="{00000000-0005-0000-0000-0000D7160000}"/>
    <cellStyle name="Normal 2 4 18 8 4 2" xfId="5865" xr:uid="{00000000-0005-0000-0000-0000D8160000}"/>
    <cellStyle name="Normal 2 4 18 8 4 3" xfId="5866" xr:uid="{00000000-0005-0000-0000-0000D9160000}"/>
    <cellStyle name="Normal 2 4 18 8 5" xfId="5867" xr:uid="{00000000-0005-0000-0000-0000DA160000}"/>
    <cellStyle name="Normal 2 4 18 8 5 2" xfId="5868" xr:uid="{00000000-0005-0000-0000-0000DB160000}"/>
    <cellStyle name="Normal 2 4 18 8 5 3" xfId="5869" xr:uid="{00000000-0005-0000-0000-0000DC160000}"/>
    <cellStyle name="Normal 2 4 18 8 6" xfId="5870" xr:uid="{00000000-0005-0000-0000-0000DD160000}"/>
    <cellStyle name="Normal 2 4 18 8 6 2" xfId="5871" xr:uid="{00000000-0005-0000-0000-0000DE160000}"/>
    <cellStyle name="Normal 2 4 18 8 6 3" xfId="5872" xr:uid="{00000000-0005-0000-0000-0000DF160000}"/>
    <cellStyle name="Normal 2 4 18 8 7" xfId="5873" xr:uid="{00000000-0005-0000-0000-0000E0160000}"/>
    <cellStyle name="Normal 2 4 18 8 7 2" xfId="5874" xr:uid="{00000000-0005-0000-0000-0000E1160000}"/>
    <cellStyle name="Normal 2 4 18 8 7 3" xfId="5875" xr:uid="{00000000-0005-0000-0000-0000E2160000}"/>
    <cellStyle name="Normal 2 4 18 8 8" xfId="5876" xr:uid="{00000000-0005-0000-0000-0000E3160000}"/>
    <cellStyle name="Normal 2 4 18 8 8 2" xfId="5877" xr:uid="{00000000-0005-0000-0000-0000E4160000}"/>
    <cellStyle name="Normal 2 4 18 8 8 3" xfId="5878" xr:uid="{00000000-0005-0000-0000-0000E5160000}"/>
    <cellStyle name="Normal 2 4 18 8 9" xfId="5879" xr:uid="{00000000-0005-0000-0000-0000E6160000}"/>
    <cellStyle name="Normal 2 4 18 8 9 2" xfId="5880" xr:uid="{00000000-0005-0000-0000-0000E7160000}"/>
    <cellStyle name="Normal 2 4 18 8 9 3" xfId="5881" xr:uid="{00000000-0005-0000-0000-0000E8160000}"/>
    <cellStyle name="Normal 2 4 18 9" xfId="5882" xr:uid="{00000000-0005-0000-0000-0000E9160000}"/>
    <cellStyle name="Normal 2 4 18 9 10" xfId="5883" xr:uid="{00000000-0005-0000-0000-0000EA160000}"/>
    <cellStyle name="Normal 2 4 18 9 10 2" xfId="5884" xr:uid="{00000000-0005-0000-0000-0000EB160000}"/>
    <cellStyle name="Normal 2 4 18 9 10 3" xfId="5885" xr:uid="{00000000-0005-0000-0000-0000EC160000}"/>
    <cellStyle name="Normal 2 4 18 9 11" xfId="5886" xr:uid="{00000000-0005-0000-0000-0000ED160000}"/>
    <cellStyle name="Normal 2 4 18 9 11 2" xfId="5887" xr:uid="{00000000-0005-0000-0000-0000EE160000}"/>
    <cellStyle name="Normal 2 4 18 9 11 3" xfId="5888" xr:uid="{00000000-0005-0000-0000-0000EF160000}"/>
    <cellStyle name="Normal 2 4 18 9 12" xfId="5889" xr:uid="{00000000-0005-0000-0000-0000F0160000}"/>
    <cellStyle name="Normal 2 4 18 9 12 2" xfId="5890" xr:uid="{00000000-0005-0000-0000-0000F1160000}"/>
    <cellStyle name="Normal 2 4 18 9 12 3" xfId="5891" xr:uid="{00000000-0005-0000-0000-0000F2160000}"/>
    <cellStyle name="Normal 2 4 18 9 13" xfId="5892" xr:uid="{00000000-0005-0000-0000-0000F3160000}"/>
    <cellStyle name="Normal 2 4 18 9 13 2" xfId="5893" xr:uid="{00000000-0005-0000-0000-0000F4160000}"/>
    <cellStyle name="Normal 2 4 18 9 13 3" xfId="5894" xr:uid="{00000000-0005-0000-0000-0000F5160000}"/>
    <cellStyle name="Normal 2 4 18 9 14" xfId="5895" xr:uid="{00000000-0005-0000-0000-0000F6160000}"/>
    <cellStyle name="Normal 2 4 18 9 14 2" xfId="5896" xr:uid="{00000000-0005-0000-0000-0000F7160000}"/>
    <cellStyle name="Normal 2 4 18 9 14 3" xfId="5897" xr:uid="{00000000-0005-0000-0000-0000F8160000}"/>
    <cellStyle name="Normal 2 4 18 9 15" xfId="5898" xr:uid="{00000000-0005-0000-0000-0000F9160000}"/>
    <cellStyle name="Normal 2 4 18 9 16" xfId="5899" xr:uid="{00000000-0005-0000-0000-0000FA160000}"/>
    <cellStyle name="Normal 2 4 18 9 2" xfId="5900" xr:uid="{00000000-0005-0000-0000-0000FB160000}"/>
    <cellStyle name="Normal 2 4 18 9 2 2" xfId="5901" xr:uid="{00000000-0005-0000-0000-0000FC160000}"/>
    <cellStyle name="Normal 2 4 18 9 2 3" xfId="5902" xr:uid="{00000000-0005-0000-0000-0000FD160000}"/>
    <cellStyle name="Normal 2 4 18 9 3" xfId="5903" xr:uid="{00000000-0005-0000-0000-0000FE160000}"/>
    <cellStyle name="Normal 2 4 18 9 3 2" xfId="5904" xr:uid="{00000000-0005-0000-0000-0000FF160000}"/>
    <cellStyle name="Normal 2 4 18 9 3 3" xfId="5905" xr:uid="{00000000-0005-0000-0000-000000170000}"/>
    <cellStyle name="Normal 2 4 18 9 4" xfId="5906" xr:uid="{00000000-0005-0000-0000-000001170000}"/>
    <cellStyle name="Normal 2 4 18 9 4 2" xfId="5907" xr:uid="{00000000-0005-0000-0000-000002170000}"/>
    <cellStyle name="Normal 2 4 18 9 4 3" xfId="5908" xr:uid="{00000000-0005-0000-0000-000003170000}"/>
    <cellStyle name="Normal 2 4 18 9 5" xfId="5909" xr:uid="{00000000-0005-0000-0000-000004170000}"/>
    <cellStyle name="Normal 2 4 18 9 5 2" xfId="5910" xr:uid="{00000000-0005-0000-0000-000005170000}"/>
    <cellStyle name="Normal 2 4 18 9 5 3" xfId="5911" xr:uid="{00000000-0005-0000-0000-000006170000}"/>
    <cellStyle name="Normal 2 4 18 9 6" xfId="5912" xr:uid="{00000000-0005-0000-0000-000007170000}"/>
    <cellStyle name="Normal 2 4 18 9 6 2" xfId="5913" xr:uid="{00000000-0005-0000-0000-000008170000}"/>
    <cellStyle name="Normal 2 4 18 9 6 3" xfId="5914" xr:uid="{00000000-0005-0000-0000-000009170000}"/>
    <cellStyle name="Normal 2 4 18 9 7" xfId="5915" xr:uid="{00000000-0005-0000-0000-00000A170000}"/>
    <cellStyle name="Normal 2 4 18 9 7 2" xfId="5916" xr:uid="{00000000-0005-0000-0000-00000B170000}"/>
    <cellStyle name="Normal 2 4 18 9 7 3" xfId="5917" xr:uid="{00000000-0005-0000-0000-00000C170000}"/>
    <cellStyle name="Normal 2 4 18 9 8" xfId="5918" xr:uid="{00000000-0005-0000-0000-00000D170000}"/>
    <cellStyle name="Normal 2 4 18 9 8 2" xfId="5919" xr:uid="{00000000-0005-0000-0000-00000E170000}"/>
    <cellStyle name="Normal 2 4 18 9 8 3" xfId="5920" xr:uid="{00000000-0005-0000-0000-00000F170000}"/>
    <cellStyle name="Normal 2 4 18 9 9" xfId="5921" xr:uid="{00000000-0005-0000-0000-000010170000}"/>
    <cellStyle name="Normal 2 4 18 9 9 2" xfId="5922" xr:uid="{00000000-0005-0000-0000-000011170000}"/>
    <cellStyle name="Normal 2 4 18 9 9 3" xfId="5923" xr:uid="{00000000-0005-0000-0000-000012170000}"/>
    <cellStyle name="Normal 2 4 19" xfId="5924" xr:uid="{00000000-0005-0000-0000-000013170000}"/>
    <cellStyle name="Normal 2 4 19 10" xfId="5925" xr:uid="{00000000-0005-0000-0000-000014170000}"/>
    <cellStyle name="Normal 2 4 19 10 10" xfId="5926" xr:uid="{00000000-0005-0000-0000-000015170000}"/>
    <cellStyle name="Normal 2 4 19 10 10 2" xfId="5927" xr:uid="{00000000-0005-0000-0000-000016170000}"/>
    <cellStyle name="Normal 2 4 19 10 10 3" xfId="5928" xr:uid="{00000000-0005-0000-0000-000017170000}"/>
    <cellStyle name="Normal 2 4 19 10 11" xfId="5929" xr:uid="{00000000-0005-0000-0000-000018170000}"/>
    <cellStyle name="Normal 2 4 19 10 11 2" xfId="5930" xr:uid="{00000000-0005-0000-0000-000019170000}"/>
    <cellStyle name="Normal 2 4 19 10 11 3" xfId="5931" xr:uid="{00000000-0005-0000-0000-00001A170000}"/>
    <cellStyle name="Normal 2 4 19 10 12" xfId="5932" xr:uid="{00000000-0005-0000-0000-00001B170000}"/>
    <cellStyle name="Normal 2 4 19 10 12 2" xfId="5933" xr:uid="{00000000-0005-0000-0000-00001C170000}"/>
    <cellStyle name="Normal 2 4 19 10 12 3" xfId="5934" xr:uid="{00000000-0005-0000-0000-00001D170000}"/>
    <cellStyle name="Normal 2 4 19 10 13" xfId="5935" xr:uid="{00000000-0005-0000-0000-00001E170000}"/>
    <cellStyle name="Normal 2 4 19 10 13 2" xfId="5936" xr:uid="{00000000-0005-0000-0000-00001F170000}"/>
    <cellStyle name="Normal 2 4 19 10 13 3" xfId="5937" xr:uid="{00000000-0005-0000-0000-000020170000}"/>
    <cellStyle name="Normal 2 4 19 10 14" xfId="5938" xr:uid="{00000000-0005-0000-0000-000021170000}"/>
    <cellStyle name="Normal 2 4 19 10 14 2" xfId="5939" xr:uid="{00000000-0005-0000-0000-000022170000}"/>
    <cellStyle name="Normal 2 4 19 10 14 3" xfId="5940" xr:uid="{00000000-0005-0000-0000-000023170000}"/>
    <cellStyle name="Normal 2 4 19 10 15" xfId="5941" xr:uid="{00000000-0005-0000-0000-000024170000}"/>
    <cellStyle name="Normal 2 4 19 10 16" xfId="5942" xr:uid="{00000000-0005-0000-0000-000025170000}"/>
    <cellStyle name="Normal 2 4 19 10 2" xfId="5943" xr:uid="{00000000-0005-0000-0000-000026170000}"/>
    <cellStyle name="Normal 2 4 19 10 2 2" xfId="5944" xr:uid="{00000000-0005-0000-0000-000027170000}"/>
    <cellStyle name="Normal 2 4 19 10 2 3" xfId="5945" xr:uid="{00000000-0005-0000-0000-000028170000}"/>
    <cellStyle name="Normal 2 4 19 10 3" xfId="5946" xr:uid="{00000000-0005-0000-0000-000029170000}"/>
    <cellStyle name="Normal 2 4 19 10 3 2" xfId="5947" xr:uid="{00000000-0005-0000-0000-00002A170000}"/>
    <cellStyle name="Normal 2 4 19 10 3 3" xfId="5948" xr:uid="{00000000-0005-0000-0000-00002B170000}"/>
    <cellStyle name="Normal 2 4 19 10 4" xfId="5949" xr:uid="{00000000-0005-0000-0000-00002C170000}"/>
    <cellStyle name="Normal 2 4 19 10 4 2" xfId="5950" xr:uid="{00000000-0005-0000-0000-00002D170000}"/>
    <cellStyle name="Normal 2 4 19 10 4 3" xfId="5951" xr:uid="{00000000-0005-0000-0000-00002E170000}"/>
    <cellStyle name="Normal 2 4 19 10 5" xfId="5952" xr:uid="{00000000-0005-0000-0000-00002F170000}"/>
    <cellStyle name="Normal 2 4 19 10 5 2" xfId="5953" xr:uid="{00000000-0005-0000-0000-000030170000}"/>
    <cellStyle name="Normal 2 4 19 10 5 3" xfId="5954" xr:uid="{00000000-0005-0000-0000-000031170000}"/>
    <cellStyle name="Normal 2 4 19 10 6" xfId="5955" xr:uid="{00000000-0005-0000-0000-000032170000}"/>
    <cellStyle name="Normal 2 4 19 10 6 2" xfId="5956" xr:uid="{00000000-0005-0000-0000-000033170000}"/>
    <cellStyle name="Normal 2 4 19 10 6 3" xfId="5957" xr:uid="{00000000-0005-0000-0000-000034170000}"/>
    <cellStyle name="Normal 2 4 19 10 7" xfId="5958" xr:uid="{00000000-0005-0000-0000-000035170000}"/>
    <cellStyle name="Normal 2 4 19 10 7 2" xfId="5959" xr:uid="{00000000-0005-0000-0000-000036170000}"/>
    <cellStyle name="Normal 2 4 19 10 7 3" xfId="5960" xr:uid="{00000000-0005-0000-0000-000037170000}"/>
    <cellStyle name="Normal 2 4 19 10 8" xfId="5961" xr:uid="{00000000-0005-0000-0000-000038170000}"/>
    <cellStyle name="Normal 2 4 19 10 8 2" xfId="5962" xr:uid="{00000000-0005-0000-0000-000039170000}"/>
    <cellStyle name="Normal 2 4 19 10 8 3" xfId="5963" xr:uid="{00000000-0005-0000-0000-00003A170000}"/>
    <cellStyle name="Normal 2 4 19 10 9" xfId="5964" xr:uid="{00000000-0005-0000-0000-00003B170000}"/>
    <cellStyle name="Normal 2 4 19 10 9 2" xfId="5965" xr:uid="{00000000-0005-0000-0000-00003C170000}"/>
    <cellStyle name="Normal 2 4 19 10 9 3" xfId="5966" xr:uid="{00000000-0005-0000-0000-00003D170000}"/>
    <cellStyle name="Normal 2 4 19 11" xfId="5967" xr:uid="{00000000-0005-0000-0000-00003E170000}"/>
    <cellStyle name="Normal 2 4 19 11 2" xfId="5968" xr:uid="{00000000-0005-0000-0000-00003F170000}"/>
    <cellStyle name="Normal 2 4 19 11 3" xfId="5969" xr:uid="{00000000-0005-0000-0000-000040170000}"/>
    <cellStyle name="Normal 2 4 19 12" xfId="5970" xr:uid="{00000000-0005-0000-0000-000041170000}"/>
    <cellStyle name="Normal 2 4 19 12 2" xfId="5971" xr:uid="{00000000-0005-0000-0000-000042170000}"/>
    <cellStyle name="Normal 2 4 19 12 3" xfId="5972" xr:uid="{00000000-0005-0000-0000-000043170000}"/>
    <cellStyle name="Normal 2 4 19 13" xfId="5973" xr:uid="{00000000-0005-0000-0000-000044170000}"/>
    <cellStyle name="Normal 2 4 19 13 2" xfId="5974" xr:uid="{00000000-0005-0000-0000-000045170000}"/>
    <cellStyle name="Normal 2 4 19 13 3" xfId="5975" xr:uid="{00000000-0005-0000-0000-000046170000}"/>
    <cellStyle name="Normal 2 4 19 14" xfId="5976" xr:uid="{00000000-0005-0000-0000-000047170000}"/>
    <cellStyle name="Normal 2 4 19 14 2" xfId="5977" xr:uid="{00000000-0005-0000-0000-000048170000}"/>
    <cellStyle name="Normal 2 4 19 14 3" xfId="5978" xr:uid="{00000000-0005-0000-0000-000049170000}"/>
    <cellStyle name="Normal 2 4 19 15" xfId="5979" xr:uid="{00000000-0005-0000-0000-00004A170000}"/>
    <cellStyle name="Normal 2 4 19 15 2" xfId="5980" xr:uid="{00000000-0005-0000-0000-00004B170000}"/>
    <cellStyle name="Normal 2 4 19 15 3" xfId="5981" xr:uid="{00000000-0005-0000-0000-00004C170000}"/>
    <cellStyle name="Normal 2 4 19 16" xfId="5982" xr:uid="{00000000-0005-0000-0000-00004D170000}"/>
    <cellStyle name="Normal 2 4 19 16 2" xfId="5983" xr:uid="{00000000-0005-0000-0000-00004E170000}"/>
    <cellStyle name="Normal 2 4 19 16 3" xfId="5984" xr:uid="{00000000-0005-0000-0000-00004F170000}"/>
    <cellStyle name="Normal 2 4 19 17" xfId="5985" xr:uid="{00000000-0005-0000-0000-000050170000}"/>
    <cellStyle name="Normal 2 4 19 17 2" xfId="5986" xr:uid="{00000000-0005-0000-0000-000051170000}"/>
    <cellStyle name="Normal 2 4 19 17 3" xfId="5987" xr:uid="{00000000-0005-0000-0000-000052170000}"/>
    <cellStyle name="Normal 2 4 19 18" xfId="5988" xr:uid="{00000000-0005-0000-0000-000053170000}"/>
    <cellStyle name="Normal 2 4 19 18 2" xfId="5989" xr:uid="{00000000-0005-0000-0000-000054170000}"/>
    <cellStyle name="Normal 2 4 19 18 3" xfId="5990" xr:uid="{00000000-0005-0000-0000-000055170000}"/>
    <cellStyle name="Normal 2 4 19 19" xfId="5991" xr:uid="{00000000-0005-0000-0000-000056170000}"/>
    <cellStyle name="Normal 2 4 19 19 2" xfId="5992" xr:uid="{00000000-0005-0000-0000-000057170000}"/>
    <cellStyle name="Normal 2 4 19 19 3" xfId="5993" xr:uid="{00000000-0005-0000-0000-000058170000}"/>
    <cellStyle name="Normal 2 4 19 2" xfId="5994" xr:uid="{00000000-0005-0000-0000-000059170000}"/>
    <cellStyle name="Normal 2 4 19 2 10" xfId="5995" xr:uid="{00000000-0005-0000-0000-00005A170000}"/>
    <cellStyle name="Normal 2 4 19 2 10 2" xfId="5996" xr:uid="{00000000-0005-0000-0000-00005B170000}"/>
    <cellStyle name="Normal 2 4 19 2 10 3" xfId="5997" xr:uid="{00000000-0005-0000-0000-00005C170000}"/>
    <cellStyle name="Normal 2 4 19 2 11" xfId="5998" xr:uid="{00000000-0005-0000-0000-00005D170000}"/>
    <cellStyle name="Normal 2 4 19 2 11 2" xfId="5999" xr:uid="{00000000-0005-0000-0000-00005E170000}"/>
    <cellStyle name="Normal 2 4 19 2 11 3" xfId="6000" xr:uid="{00000000-0005-0000-0000-00005F170000}"/>
    <cellStyle name="Normal 2 4 19 2 12" xfId="6001" xr:uid="{00000000-0005-0000-0000-000060170000}"/>
    <cellStyle name="Normal 2 4 19 2 12 2" xfId="6002" xr:uid="{00000000-0005-0000-0000-000061170000}"/>
    <cellStyle name="Normal 2 4 19 2 12 3" xfId="6003" xr:uid="{00000000-0005-0000-0000-000062170000}"/>
    <cellStyle name="Normal 2 4 19 2 13" xfId="6004" xr:uid="{00000000-0005-0000-0000-000063170000}"/>
    <cellStyle name="Normal 2 4 19 2 13 2" xfId="6005" xr:uid="{00000000-0005-0000-0000-000064170000}"/>
    <cellStyle name="Normal 2 4 19 2 13 3" xfId="6006" xr:uid="{00000000-0005-0000-0000-000065170000}"/>
    <cellStyle name="Normal 2 4 19 2 14" xfId="6007" xr:uid="{00000000-0005-0000-0000-000066170000}"/>
    <cellStyle name="Normal 2 4 19 2 14 2" xfId="6008" xr:uid="{00000000-0005-0000-0000-000067170000}"/>
    <cellStyle name="Normal 2 4 19 2 14 3" xfId="6009" xr:uid="{00000000-0005-0000-0000-000068170000}"/>
    <cellStyle name="Normal 2 4 19 2 15" xfId="6010" xr:uid="{00000000-0005-0000-0000-000069170000}"/>
    <cellStyle name="Normal 2 4 19 2 15 2" xfId="6011" xr:uid="{00000000-0005-0000-0000-00006A170000}"/>
    <cellStyle name="Normal 2 4 19 2 15 3" xfId="6012" xr:uid="{00000000-0005-0000-0000-00006B170000}"/>
    <cellStyle name="Normal 2 4 19 2 16" xfId="6013" xr:uid="{00000000-0005-0000-0000-00006C170000}"/>
    <cellStyle name="Normal 2 4 19 2 17" xfId="6014" xr:uid="{00000000-0005-0000-0000-00006D170000}"/>
    <cellStyle name="Normal 2 4 19 2 2" xfId="6015" xr:uid="{00000000-0005-0000-0000-00006E170000}"/>
    <cellStyle name="Normal 2 4 19 2 2 10" xfId="6016" xr:uid="{00000000-0005-0000-0000-00006F170000}"/>
    <cellStyle name="Normal 2 4 19 2 2 10 2" xfId="6017" xr:uid="{00000000-0005-0000-0000-000070170000}"/>
    <cellStyle name="Normal 2 4 19 2 2 10 3" xfId="6018" xr:uid="{00000000-0005-0000-0000-000071170000}"/>
    <cellStyle name="Normal 2 4 19 2 2 11" xfId="6019" xr:uid="{00000000-0005-0000-0000-000072170000}"/>
    <cellStyle name="Normal 2 4 19 2 2 11 2" xfId="6020" xr:uid="{00000000-0005-0000-0000-000073170000}"/>
    <cellStyle name="Normal 2 4 19 2 2 11 3" xfId="6021" xr:uid="{00000000-0005-0000-0000-000074170000}"/>
    <cellStyle name="Normal 2 4 19 2 2 12" xfId="6022" xr:uid="{00000000-0005-0000-0000-000075170000}"/>
    <cellStyle name="Normal 2 4 19 2 2 12 2" xfId="6023" xr:uid="{00000000-0005-0000-0000-000076170000}"/>
    <cellStyle name="Normal 2 4 19 2 2 12 3" xfId="6024" xr:uid="{00000000-0005-0000-0000-000077170000}"/>
    <cellStyle name="Normal 2 4 19 2 2 13" xfId="6025" xr:uid="{00000000-0005-0000-0000-000078170000}"/>
    <cellStyle name="Normal 2 4 19 2 2 13 2" xfId="6026" xr:uid="{00000000-0005-0000-0000-000079170000}"/>
    <cellStyle name="Normal 2 4 19 2 2 13 3" xfId="6027" xr:uid="{00000000-0005-0000-0000-00007A170000}"/>
    <cellStyle name="Normal 2 4 19 2 2 14" xfId="6028" xr:uid="{00000000-0005-0000-0000-00007B170000}"/>
    <cellStyle name="Normal 2 4 19 2 2 14 2" xfId="6029" xr:uid="{00000000-0005-0000-0000-00007C170000}"/>
    <cellStyle name="Normal 2 4 19 2 2 14 3" xfId="6030" xr:uid="{00000000-0005-0000-0000-00007D170000}"/>
    <cellStyle name="Normal 2 4 19 2 2 15" xfId="6031" xr:uid="{00000000-0005-0000-0000-00007E170000}"/>
    <cellStyle name="Normal 2 4 19 2 2 16" xfId="6032" xr:uid="{00000000-0005-0000-0000-00007F170000}"/>
    <cellStyle name="Normal 2 4 19 2 2 2" xfId="6033" xr:uid="{00000000-0005-0000-0000-000080170000}"/>
    <cellStyle name="Normal 2 4 19 2 2 2 2" xfId="6034" xr:uid="{00000000-0005-0000-0000-000081170000}"/>
    <cellStyle name="Normal 2 4 19 2 2 2 3" xfId="6035" xr:uid="{00000000-0005-0000-0000-000082170000}"/>
    <cellStyle name="Normal 2 4 19 2 2 3" xfId="6036" xr:uid="{00000000-0005-0000-0000-000083170000}"/>
    <cellStyle name="Normal 2 4 19 2 2 3 2" xfId="6037" xr:uid="{00000000-0005-0000-0000-000084170000}"/>
    <cellStyle name="Normal 2 4 19 2 2 3 3" xfId="6038" xr:uid="{00000000-0005-0000-0000-000085170000}"/>
    <cellStyle name="Normal 2 4 19 2 2 4" xfId="6039" xr:uid="{00000000-0005-0000-0000-000086170000}"/>
    <cellStyle name="Normal 2 4 19 2 2 4 2" xfId="6040" xr:uid="{00000000-0005-0000-0000-000087170000}"/>
    <cellStyle name="Normal 2 4 19 2 2 4 3" xfId="6041" xr:uid="{00000000-0005-0000-0000-000088170000}"/>
    <cellStyle name="Normal 2 4 19 2 2 5" xfId="6042" xr:uid="{00000000-0005-0000-0000-000089170000}"/>
    <cellStyle name="Normal 2 4 19 2 2 5 2" xfId="6043" xr:uid="{00000000-0005-0000-0000-00008A170000}"/>
    <cellStyle name="Normal 2 4 19 2 2 5 3" xfId="6044" xr:uid="{00000000-0005-0000-0000-00008B170000}"/>
    <cellStyle name="Normal 2 4 19 2 2 6" xfId="6045" xr:uid="{00000000-0005-0000-0000-00008C170000}"/>
    <cellStyle name="Normal 2 4 19 2 2 6 2" xfId="6046" xr:uid="{00000000-0005-0000-0000-00008D170000}"/>
    <cellStyle name="Normal 2 4 19 2 2 6 3" xfId="6047" xr:uid="{00000000-0005-0000-0000-00008E170000}"/>
    <cellStyle name="Normal 2 4 19 2 2 7" xfId="6048" xr:uid="{00000000-0005-0000-0000-00008F170000}"/>
    <cellStyle name="Normal 2 4 19 2 2 7 2" xfId="6049" xr:uid="{00000000-0005-0000-0000-000090170000}"/>
    <cellStyle name="Normal 2 4 19 2 2 7 3" xfId="6050" xr:uid="{00000000-0005-0000-0000-000091170000}"/>
    <cellStyle name="Normal 2 4 19 2 2 8" xfId="6051" xr:uid="{00000000-0005-0000-0000-000092170000}"/>
    <cellStyle name="Normal 2 4 19 2 2 8 2" xfId="6052" xr:uid="{00000000-0005-0000-0000-000093170000}"/>
    <cellStyle name="Normal 2 4 19 2 2 8 3" xfId="6053" xr:uid="{00000000-0005-0000-0000-000094170000}"/>
    <cellStyle name="Normal 2 4 19 2 2 9" xfId="6054" xr:uid="{00000000-0005-0000-0000-000095170000}"/>
    <cellStyle name="Normal 2 4 19 2 2 9 2" xfId="6055" xr:uid="{00000000-0005-0000-0000-000096170000}"/>
    <cellStyle name="Normal 2 4 19 2 2 9 3" xfId="6056" xr:uid="{00000000-0005-0000-0000-000097170000}"/>
    <cellStyle name="Normal 2 4 19 2 3" xfId="6057" xr:uid="{00000000-0005-0000-0000-000098170000}"/>
    <cellStyle name="Normal 2 4 19 2 3 2" xfId="6058" xr:uid="{00000000-0005-0000-0000-000099170000}"/>
    <cellStyle name="Normal 2 4 19 2 3 3" xfId="6059" xr:uid="{00000000-0005-0000-0000-00009A170000}"/>
    <cellStyle name="Normal 2 4 19 2 4" xfId="6060" xr:uid="{00000000-0005-0000-0000-00009B170000}"/>
    <cellStyle name="Normal 2 4 19 2 4 2" xfId="6061" xr:uid="{00000000-0005-0000-0000-00009C170000}"/>
    <cellStyle name="Normal 2 4 19 2 4 3" xfId="6062" xr:uid="{00000000-0005-0000-0000-00009D170000}"/>
    <cellStyle name="Normal 2 4 19 2 5" xfId="6063" xr:uid="{00000000-0005-0000-0000-00009E170000}"/>
    <cellStyle name="Normal 2 4 19 2 5 2" xfId="6064" xr:uid="{00000000-0005-0000-0000-00009F170000}"/>
    <cellStyle name="Normal 2 4 19 2 5 3" xfId="6065" xr:uid="{00000000-0005-0000-0000-0000A0170000}"/>
    <cellStyle name="Normal 2 4 19 2 6" xfId="6066" xr:uid="{00000000-0005-0000-0000-0000A1170000}"/>
    <cellStyle name="Normal 2 4 19 2 6 2" xfId="6067" xr:uid="{00000000-0005-0000-0000-0000A2170000}"/>
    <cellStyle name="Normal 2 4 19 2 6 3" xfId="6068" xr:uid="{00000000-0005-0000-0000-0000A3170000}"/>
    <cellStyle name="Normal 2 4 19 2 7" xfId="6069" xr:uid="{00000000-0005-0000-0000-0000A4170000}"/>
    <cellStyle name="Normal 2 4 19 2 7 2" xfId="6070" xr:uid="{00000000-0005-0000-0000-0000A5170000}"/>
    <cellStyle name="Normal 2 4 19 2 7 3" xfId="6071" xr:uid="{00000000-0005-0000-0000-0000A6170000}"/>
    <cellStyle name="Normal 2 4 19 2 8" xfId="6072" xr:uid="{00000000-0005-0000-0000-0000A7170000}"/>
    <cellStyle name="Normal 2 4 19 2 8 2" xfId="6073" xr:uid="{00000000-0005-0000-0000-0000A8170000}"/>
    <cellStyle name="Normal 2 4 19 2 8 3" xfId="6074" xr:uid="{00000000-0005-0000-0000-0000A9170000}"/>
    <cellStyle name="Normal 2 4 19 2 9" xfId="6075" xr:uid="{00000000-0005-0000-0000-0000AA170000}"/>
    <cellStyle name="Normal 2 4 19 2 9 2" xfId="6076" xr:uid="{00000000-0005-0000-0000-0000AB170000}"/>
    <cellStyle name="Normal 2 4 19 2 9 3" xfId="6077" xr:uid="{00000000-0005-0000-0000-0000AC170000}"/>
    <cellStyle name="Normal 2 4 19 20" xfId="6078" xr:uid="{00000000-0005-0000-0000-0000AD170000}"/>
    <cellStyle name="Normal 2 4 19 20 2" xfId="6079" xr:uid="{00000000-0005-0000-0000-0000AE170000}"/>
    <cellStyle name="Normal 2 4 19 20 3" xfId="6080" xr:uid="{00000000-0005-0000-0000-0000AF170000}"/>
    <cellStyle name="Normal 2 4 19 21" xfId="6081" xr:uid="{00000000-0005-0000-0000-0000B0170000}"/>
    <cellStyle name="Normal 2 4 19 21 2" xfId="6082" xr:uid="{00000000-0005-0000-0000-0000B1170000}"/>
    <cellStyle name="Normal 2 4 19 21 3" xfId="6083" xr:uid="{00000000-0005-0000-0000-0000B2170000}"/>
    <cellStyle name="Normal 2 4 19 22" xfId="6084" xr:uid="{00000000-0005-0000-0000-0000B3170000}"/>
    <cellStyle name="Normal 2 4 19 22 2" xfId="6085" xr:uid="{00000000-0005-0000-0000-0000B4170000}"/>
    <cellStyle name="Normal 2 4 19 22 3" xfId="6086" xr:uid="{00000000-0005-0000-0000-0000B5170000}"/>
    <cellStyle name="Normal 2 4 19 23" xfId="6087" xr:uid="{00000000-0005-0000-0000-0000B6170000}"/>
    <cellStyle name="Normal 2 4 19 23 2" xfId="6088" xr:uid="{00000000-0005-0000-0000-0000B7170000}"/>
    <cellStyle name="Normal 2 4 19 23 3" xfId="6089" xr:uid="{00000000-0005-0000-0000-0000B8170000}"/>
    <cellStyle name="Normal 2 4 19 24" xfId="6090" xr:uid="{00000000-0005-0000-0000-0000B9170000}"/>
    <cellStyle name="Normal 2 4 19 25" xfId="6091" xr:uid="{00000000-0005-0000-0000-0000BA170000}"/>
    <cellStyle name="Normal 2 4 19 3" xfId="6092" xr:uid="{00000000-0005-0000-0000-0000BB170000}"/>
    <cellStyle name="Normal 2 4 19 3 10" xfId="6093" xr:uid="{00000000-0005-0000-0000-0000BC170000}"/>
    <cellStyle name="Normal 2 4 19 3 10 2" xfId="6094" xr:uid="{00000000-0005-0000-0000-0000BD170000}"/>
    <cellStyle name="Normal 2 4 19 3 10 3" xfId="6095" xr:uid="{00000000-0005-0000-0000-0000BE170000}"/>
    <cellStyle name="Normal 2 4 19 3 11" xfId="6096" xr:uid="{00000000-0005-0000-0000-0000BF170000}"/>
    <cellStyle name="Normal 2 4 19 3 11 2" xfId="6097" xr:uid="{00000000-0005-0000-0000-0000C0170000}"/>
    <cellStyle name="Normal 2 4 19 3 11 3" xfId="6098" xr:uid="{00000000-0005-0000-0000-0000C1170000}"/>
    <cellStyle name="Normal 2 4 19 3 12" xfId="6099" xr:uid="{00000000-0005-0000-0000-0000C2170000}"/>
    <cellStyle name="Normal 2 4 19 3 12 2" xfId="6100" xr:uid="{00000000-0005-0000-0000-0000C3170000}"/>
    <cellStyle name="Normal 2 4 19 3 12 3" xfId="6101" xr:uid="{00000000-0005-0000-0000-0000C4170000}"/>
    <cellStyle name="Normal 2 4 19 3 13" xfId="6102" xr:uid="{00000000-0005-0000-0000-0000C5170000}"/>
    <cellStyle name="Normal 2 4 19 3 13 2" xfId="6103" xr:uid="{00000000-0005-0000-0000-0000C6170000}"/>
    <cellStyle name="Normal 2 4 19 3 13 3" xfId="6104" xr:uid="{00000000-0005-0000-0000-0000C7170000}"/>
    <cellStyle name="Normal 2 4 19 3 14" xfId="6105" xr:uid="{00000000-0005-0000-0000-0000C8170000}"/>
    <cellStyle name="Normal 2 4 19 3 14 2" xfId="6106" xr:uid="{00000000-0005-0000-0000-0000C9170000}"/>
    <cellStyle name="Normal 2 4 19 3 14 3" xfId="6107" xr:uid="{00000000-0005-0000-0000-0000CA170000}"/>
    <cellStyle name="Normal 2 4 19 3 15" xfId="6108" xr:uid="{00000000-0005-0000-0000-0000CB170000}"/>
    <cellStyle name="Normal 2 4 19 3 15 2" xfId="6109" xr:uid="{00000000-0005-0000-0000-0000CC170000}"/>
    <cellStyle name="Normal 2 4 19 3 15 3" xfId="6110" xr:uid="{00000000-0005-0000-0000-0000CD170000}"/>
    <cellStyle name="Normal 2 4 19 3 16" xfId="6111" xr:uid="{00000000-0005-0000-0000-0000CE170000}"/>
    <cellStyle name="Normal 2 4 19 3 17" xfId="6112" xr:uid="{00000000-0005-0000-0000-0000CF170000}"/>
    <cellStyle name="Normal 2 4 19 3 2" xfId="6113" xr:uid="{00000000-0005-0000-0000-0000D0170000}"/>
    <cellStyle name="Normal 2 4 19 3 2 10" xfId="6114" xr:uid="{00000000-0005-0000-0000-0000D1170000}"/>
    <cellStyle name="Normal 2 4 19 3 2 10 2" xfId="6115" xr:uid="{00000000-0005-0000-0000-0000D2170000}"/>
    <cellStyle name="Normal 2 4 19 3 2 10 3" xfId="6116" xr:uid="{00000000-0005-0000-0000-0000D3170000}"/>
    <cellStyle name="Normal 2 4 19 3 2 11" xfId="6117" xr:uid="{00000000-0005-0000-0000-0000D4170000}"/>
    <cellStyle name="Normal 2 4 19 3 2 11 2" xfId="6118" xr:uid="{00000000-0005-0000-0000-0000D5170000}"/>
    <cellStyle name="Normal 2 4 19 3 2 11 3" xfId="6119" xr:uid="{00000000-0005-0000-0000-0000D6170000}"/>
    <cellStyle name="Normal 2 4 19 3 2 12" xfId="6120" xr:uid="{00000000-0005-0000-0000-0000D7170000}"/>
    <cellStyle name="Normal 2 4 19 3 2 12 2" xfId="6121" xr:uid="{00000000-0005-0000-0000-0000D8170000}"/>
    <cellStyle name="Normal 2 4 19 3 2 12 3" xfId="6122" xr:uid="{00000000-0005-0000-0000-0000D9170000}"/>
    <cellStyle name="Normal 2 4 19 3 2 13" xfId="6123" xr:uid="{00000000-0005-0000-0000-0000DA170000}"/>
    <cellStyle name="Normal 2 4 19 3 2 13 2" xfId="6124" xr:uid="{00000000-0005-0000-0000-0000DB170000}"/>
    <cellStyle name="Normal 2 4 19 3 2 13 3" xfId="6125" xr:uid="{00000000-0005-0000-0000-0000DC170000}"/>
    <cellStyle name="Normal 2 4 19 3 2 14" xfId="6126" xr:uid="{00000000-0005-0000-0000-0000DD170000}"/>
    <cellStyle name="Normal 2 4 19 3 2 14 2" xfId="6127" xr:uid="{00000000-0005-0000-0000-0000DE170000}"/>
    <cellStyle name="Normal 2 4 19 3 2 14 3" xfId="6128" xr:uid="{00000000-0005-0000-0000-0000DF170000}"/>
    <cellStyle name="Normal 2 4 19 3 2 15" xfId="6129" xr:uid="{00000000-0005-0000-0000-0000E0170000}"/>
    <cellStyle name="Normal 2 4 19 3 2 16" xfId="6130" xr:uid="{00000000-0005-0000-0000-0000E1170000}"/>
    <cellStyle name="Normal 2 4 19 3 2 2" xfId="6131" xr:uid="{00000000-0005-0000-0000-0000E2170000}"/>
    <cellStyle name="Normal 2 4 19 3 2 2 2" xfId="6132" xr:uid="{00000000-0005-0000-0000-0000E3170000}"/>
    <cellStyle name="Normal 2 4 19 3 2 2 3" xfId="6133" xr:uid="{00000000-0005-0000-0000-0000E4170000}"/>
    <cellStyle name="Normal 2 4 19 3 2 3" xfId="6134" xr:uid="{00000000-0005-0000-0000-0000E5170000}"/>
    <cellStyle name="Normal 2 4 19 3 2 3 2" xfId="6135" xr:uid="{00000000-0005-0000-0000-0000E6170000}"/>
    <cellStyle name="Normal 2 4 19 3 2 3 3" xfId="6136" xr:uid="{00000000-0005-0000-0000-0000E7170000}"/>
    <cellStyle name="Normal 2 4 19 3 2 4" xfId="6137" xr:uid="{00000000-0005-0000-0000-0000E8170000}"/>
    <cellStyle name="Normal 2 4 19 3 2 4 2" xfId="6138" xr:uid="{00000000-0005-0000-0000-0000E9170000}"/>
    <cellStyle name="Normal 2 4 19 3 2 4 3" xfId="6139" xr:uid="{00000000-0005-0000-0000-0000EA170000}"/>
    <cellStyle name="Normal 2 4 19 3 2 5" xfId="6140" xr:uid="{00000000-0005-0000-0000-0000EB170000}"/>
    <cellStyle name="Normal 2 4 19 3 2 5 2" xfId="6141" xr:uid="{00000000-0005-0000-0000-0000EC170000}"/>
    <cellStyle name="Normal 2 4 19 3 2 5 3" xfId="6142" xr:uid="{00000000-0005-0000-0000-0000ED170000}"/>
    <cellStyle name="Normal 2 4 19 3 2 6" xfId="6143" xr:uid="{00000000-0005-0000-0000-0000EE170000}"/>
    <cellStyle name="Normal 2 4 19 3 2 6 2" xfId="6144" xr:uid="{00000000-0005-0000-0000-0000EF170000}"/>
    <cellStyle name="Normal 2 4 19 3 2 6 3" xfId="6145" xr:uid="{00000000-0005-0000-0000-0000F0170000}"/>
    <cellStyle name="Normal 2 4 19 3 2 7" xfId="6146" xr:uid="{00000000-0005-0000-0000-0000F1170000}"/>
    <cellStyle name="Normal 2 4 19 3 2 7 2" xfId="6147" xr:uid="{00000000-0005-0000-0000-0000F2170000}"/>
    <cellStyle name="Normal 2 4 19 3 2 7 3" xfId="6148" xr:uid="{00000000-0005-0000-0000-0000F3170000}"/>
    <cellStyle name="Normal 2 4 19 3 2 8" xfId="6149" xr:uid="{00000000-0005-0000-0000-0000F4170000}"/>
    <cellStyle name="Normal 2 4 19 3 2 8 2" xfId="6150" xr:uid="{00000000-0005-0000-0000-0000F5170000}"/>
    <cellStyle name="Normal 2 4 19 3 2 8 3" xfId="6151" xr:uid="{00000000-0005-0000-0000-0000F6170000}"/>
    <cellStyle name="Normal 2 4 19 3 2 9" xfId="6152" xr:uid="{00000000-0005-0000-0000-0000F7170000}"/>
    <cellStyle name="Normal 2 4 19 3 2 9 2" xfId="6153" xr:uid="{00000000-0005-0000-0000-0000F8170000}"/>
    <cellStyle name="Normal 2 4 19 3 2 9 3" xfId="6154" xr:uid="{00000000-0005-0000-0000-0000F9170000}"/>
    <cellStyle name="Normal 2 4 19 3 3" xfId="6155" xr:uid="{00000000-0005-0000-0000-0000FA170000}"/>
    <cellStyle name="Normal 2 4 19 3 3 2" xfId="6156" xr:uid="{00000000-0005-0000-0000-0000FB170000}"/>
    <cellStyle name="Normal 2 4 19 3 3 3" xfId="6157" xr:uid="{00000000-0005-0000-0000-0000FC170000}"/>
    <cellStyle name="Normal 2 4 19 3 4" xfId="6158" xr:uid="{00000000-0005-0000-0000-0000FD170000}"/>
    <cellStyle name="Normal 2 4 19 3 4 2" xfId="6159" xr:uid="{00000000-0005-0000-0000-0000FE170000}"/>
    <cellStyle name="Normal 2 4 19 3 4 3" xfId="6160" xr:uid="{00000000-0005-0000-0000-0000FF170000}"/>
    <cellStyle name="Normal 2 4 19 3 5" xfId="6161" xr:uid="{00000000-0005-0000-0000-000000180000}"/>
    <cellStyle name="Normal 2 4 19 3 5 2" xfId="6162" xr:uid="{00000000-0005-0000-0000-000001180000}"/>
    <cellStyle name="Normal 2 4 19 3 5 3" xfId="6163" xr:uid="{00000000-0005-0000-0000-000002180000}"/>
    <cellStyle name="Normal 2 4 19 3 6" xfId="6164" xr:uid="{00000000-0005-0000-0000-000003180000}"/>
    <cellStyle name="Normal 2 4 19 3 6 2" xfId="6165" xr:uid="{00000000-0005-0000-0000-000004180000}"/>
    <cellStyle name="Normal 2 4 19 3 6 3" xfId="6166" xr:uid="{00000000-0005-0000-0000-000005180000}"/>
    <cellStyle name="Normal 2 4 19 3 7" xfId="6167" xr:uid="{00000000-0005-0000-0000-000006180000}"/>
    <cellStyle name="Normal 2 4 19 3 7 2" xfId="6168" xr:uid="{00000000-0005-0000-0000-000007180000}"/>
    <cellStyle name="Normal 2 4 19 3 7 3" xfId="6169" xr:uid="{00000000-0005-0000-0000-000008180000}"/>
    <cellStyle name="Normal 2 4 19 3 8" xfId="6170" xr:uid="{00000000-0005-0000-0000-000009180000}"/>
    <cellStyle name="Normal 2 4 19 3 8 2" xfId="6171" xr:uid="{00000000-0005-0000-0000-00000A180000}"/>
    <cellStyle name="Normal 2 4 19 3 8 3" xfId="6172" xr:uid="{00000000-0005-0000-0000-00000B180000}"/>
    <cellStyle name="Normal 2 4 19 3 9" xfId="6173" xr:uid="{00000000-0005-0000-0000-00000C180000}"/>
    <cellStyle name="Normal 2 4 19 3 9 2" xfId="6174" xr:uid="{00000000-0005-0000-0000-00000D180000}"/>
    <cellStyle name="Normal 2 4 19 3 9 3" xfId="6175" xr:uid="{00000000-0005-0000-0000-00000E180000}"/>
    <cellStyle name="Normal 2 4 19 4" xfId="6176" xr:uid="{00000000-0005-0000-0000-00000F180000}"/>
    <cellStyle name="Normal 2 4 19 4 10" xfId="6177" xr:uid="{00000000-0005-0000-0000-000010180000}"/>
    <cellStyle name="Normal 2 4 19 4 10 2" xfId="6178" xr:uid="{00000000-0005-0000-0000-000011180000}"/>
    <cellStyle name="Normal 2 4 19 4 10 3" xfId="6179" xr:uid="{00000000-0005-0000-0000-000012180000}"/>
    <cellStyle name="Normal 2 4 19 4 11" xfId="6180" xr:uid="{00000000-0005-0000-0000-000013180000}"/>
    <cellStyle name="Normal 2 4 19 4 11 2" xfId="6181" xr:uid="{00000000-0005-0000-0000-000014180000}"/>
    <cellStyle name="Normal 2 4 19 4 11 3" xfId="6182" xr:uid="{00000000-0005-0000-0000-000015180000}"/>
    <cellStyle name="Normal 2 4 19 4 12" xfId="6183" xr:uid="{00000000-0005-0000-0000-000016180000}"/>
    <cellStyle name="Normal 2 4 19 4 12 2" xfId="6184" xr:uid="{00000000-0005-0000-0000-000017180000}"/>
    <cellStyle name="Normal 2 4 19 4 12 3" xfId="6185" xr:uid="{00000000-0005-0000-0000-000018180000}"/>
    <cellStyle name="Normal 2 4 19 4 13" xfId="6186" xr:uid="{00000000-0005-0000-0000-000019180000}"/>
    <cellStyle name="Normal 2 4 19 4 13 2" xfId="6187" xr:uid="{00000000-0005-0000-0000-00001A180000}"/>
    <cellStyle name="Normal 2 4 19 4 13 3" xfId="6188" xr:uid="{00000000-0005-0000-0000-00001B180000}"/>
    <cellStyle name="Normal 2 4 19 4 14" xfId="6189" xr:uid="{00000000-0005-0000-0000-00001C180000}"/>
    <cellStyle name="Normal 2 4 19 4 14 2" xfId="6190" xr:uid="{00000000-0005-0000-0000-00001D180000}"/>
    <cellStyle name="Normal 2 4 19 4 14 3" xfId="6191" xr:uid="{00000000-0005-0000-0000-00001E180000}"/>
    <cellStyle name="Normal 2 4 19 4 15" xfId="6192" xr:uid="{00000000-0005-0000-0000-00001F180000}"/>
    <cellStyle name="Normal 2 4 19 4 15 2" xfId="6193" xr:uid="{00000000-0005-0000-0000-000020180000}"/>
    <cellStyle name="Normal 2 4 19 4 15 3" xfId="6194" xr:uid="{00000000-0005-0000-0000-000021180000}"/>
    <cellStyle name="Normal 2 4 19 4 16" xfId="6195" xr:uid="{00000000-0005-0000-0000-000022180000}"/>
    <cellStyle name="Normal 2 4 19 4 17" xfId="6196" xr:uid="{00000000-0005-0000-0000-000023180000}"/>
    <cellStyle name="Normal 2 4 19 4 2" xfId="6197" xr:uid="{00000000-0005-0000-0000-000024180000}"/>
    <cellStyle name="Normal 2 4 19 4 2 10" xfId="6198" xr:uid="{00000000-0005-0000-0000-000025180000}"/>
    <cellStyle name="Normal 2 4 19 4 2 10 2" xfId="6199" xr:uid="{00000000-0005-0000-0000-000026180000}"/>
    <cellStyle name="Normal 2 4 19 4 2 10 3" xfId="6200" xr:uid="{00000000-0005-0000-0000-000027180000}"/>
    <cellStyle name="Normal 2 4 19 4 2 11" xfId="6201" xr:uid="{00000000-0005-0000-0000-000028180000}"/>
    <cellStyle name="Normal 2 4 19 4 2 11 2" xfId="6202" xr:uid="{00000000-0005-0000-0000-000029180000}"/>
    <cellStyle name="Normal 2 4 19 4 2 11 3" xfId="6203" xr:uid="{00000000-0005-0000-0000-00002A180000}"/>
    <cellStyle name="Normal 2 4 19 4 2 12" xfId="6204" xr:uid="{00000000-0005-0000-0000-00002B180000}"/>
    <cellStyle name="Normal 2 4 19 4 2 12 2" xfId="6205" xr:uid="{00000000-0005-0000-0000-00002C180000}"/>
    <cellStyle name="Normal 2 4 19 4 2 12 3" xfId="6206" xr:uid="{00000000-0005-0000-0000-00002D180000}"/>
    <cellStyle name="Normal 2 4 19 4 2 13" xfId="6207" xr:uid="{00000000-0005-0000-0000-00002E180000}"/>
    <cellStyle name="Normal 2 4 19 4 2 13 2" xfId="6208" xr:uid="{00000000-0005-0000-0000-00002F180000}"/>
    <cellStyle name="Normal 2 4 19 4 2 13 3" xfId="6209" xr:uid="{00000000-0005-0000-0000-000030180000}"/>
    <cellStyle name="Normal 2 4 19 4 2 14" xfId="6210" xr:uid="{00000000-0005-0000-0000-000031180000}"/>
    <cellStyle name="Normal 2 4 19 4 2 14 2" xfId="6211" xr:uid="{00000000-0005-0000-0000-000032180000}"/>
    <cellStyle name="Normal 2 4 19 4 2 14 3" xfId="6212" xr:uid="{00000000-0005-0000-0000-000033180000}"/>
    <cellStyle name="Normal 2 4 19 4 2 15" xfId="6213" xr:uid="{00000000-0005-0000-0000-000034180000}"/>
    <cellStyle name="Normal 2 4 19 4 2 16" xfId="6214" xr:uid="{00000000-0005-0000-0000-000035180000}"/>
    <cellStyle name="Normal 2 4 19 4 2 2" xfId="6215" xr:uid="{00000000-0005-0000-0000-000036180000}"/>
    <cellStyle name="Normal 2 4 19 4 2 2 2" xfId="6216" xr:uid="{00000000-0005-0000-0000-000037180000}"/>
    <cellStyle name="Normal 2 4 19 4 2 2 3" xfId="6217" xr:uid="{00000000-0005-0000-0000-000038180000}"/>
    <cellStyle name="Normal 2 4 19 4 2 3" xfId="6218" xr:uid="{00000000-0005-0000-0000-000039180000}"/>
    <cellStyle name="Normal 2 4 19 4 2 3 2" xfId="6219" xr:uid="{00000000-0005-0000-0000-00003A180000}"/>
    <cellStyle name="Normal 2 4 19 4 2 3 3" xfId="6220" xr:uid="{00000000-0005-0000-0000-00003B180000}"/>
    <cellStyle name="Normal 2 4 19 4 2 4" xfId="6221" xr:uid="{00000000-0005-0000-0000-00003C180000}"/>
    <cellStyle name="Normal 2 4 19 4 2 4 2" xfId="6222" xr:uid="{00000000-0005-0000-0000-00003D180000}"/>
    <cellStyle name="Normal 2 4 19 4 2 4 3" xfId="6223" xr:uid="{00000000-0005-0000-0000-00003E180000}"/>
    <cellStyle name="Normal 2 4 19 4 2 5" xfId="6224" xr:uid="{00000000-0005-0000-0000-00003F180000}"/>
    <cellStyle name="Normal 2 4 19 4 2 5 2" xfId="6225" xr:uid="{00000000-0005-0000-0000-000040180000}"/>
    <cellStyle name="Normal 2 4 19 4 2 5 3" xfId="6226" xr:uid="{00000000-0005-0000-0000-000041180000}"/>
    <cellStyle name="Normal 2 4 19 4 2 6" xfId="6227" xr:uid="{00000000-0005-0000-0000-000042180000}"/>
    <cellStyle name="Normal 2 4 19 4 2 6 2" xfId="6228" xr:uid="{00000000-0005-0000-0000-000043180000}"/>
    <cellStyle name="Normal 2 4 19 4 2 6 3" xfId="6229" xr:uid="{00000000-0005-0000-0000-000044180000}"/>
    <cellStyle name="Normal 2 4 19 4 2 7" xfId="6230" xr:uid="{00000000-0005-0000-0000-000045180000}"/>
    <cellStyle name="Normal 2 4 19 4 2 7 2" xfId="6231" xr:uid="{00000000-0005-0000-0000-000046180000}"/>
    <cellStyle name="Normal 2 4 19 4 2 7 3" xfId="6232" xr:uid="{00000000-0005-0000-0000-000047180000}"/>
    <cellStyle name="Normal 2 4 19 4 2 8" xfId="6233" xr:uid="{00000000-0005-0000-0000-000048180000}"/>
    <cellStyle name="Normal 2 4 19 4 2 8 2" xfId="6234" xr:uid="{00000000-0005-0000-0000-000049180000}"/>
    <cellStyle name="Normal 2 4 19 4 2 8 3" xfId="6235" xr:uid="{00000000-0005-0000-0000-00004A180000}"/>
    <cellStyle name="Normal 2 4 19 4 2 9" xfId="6236" xr:uid="{00000000-0005-0000-0000-00004B180000}"/>
    <cellStyle name="Normal 2 4 19 4 2 9 2" xfId="6237" xr:uid="{00000000-0005-0000-0000-00004C180000}"/>
    <cellStyle name="Normal 2 4 19 4 2 9 3" xfId="6238" xr:uid="{00000000-0005-0000-0000-00004D180000}"/>
    <cellStyle name="Normal 2 4 19 4 3" xfId="6239" xr:uid="{00000000-0005-0000-0000-00004E180000}"/>
    <cellStyle name="Normal 2 4 19 4 3 2" xfId="6240" xr:uid="{00000000-0005-0000-0000-00004F180000}"/>
    <cellStyle name="Normal 2 4 19 4 3 3" xfId="6241" xr:uid="{00000000-0005-0000-0000-000050180000}"/>
    <cellStyle name="Normal 2 4 19 4 4" xfId="6242" xr:uid="{00000000-0005-0000-0000-000051180000}"/>
    <cellStyle name="Normal 2 4 19 4 4 2" xfId="6243" xr:uid="{00000000-0005-0000-0000-000052180000}"/>
    <cellStyle name="Normal 2 4 19 4 4 3" xfId="6244" xr:uid="{00000000-0005-0000-0000-000053180000}"/>
    <cellStyle name="Normal 2 4 19 4 5" xfId="6245" xr:uid="{00000000-0005-0000-0000-000054180000}"/>
    <cellStyle name="Normal 2 4 19 4 5 2" xfId="6246" xr:uid="{00000000-0005-0000-0000-000055180000}"/>
    <cellStyle name="Normal 2 4 19 4 5 3" xfId="6247" xr:uid="{00000000-0005-0000-0000-000056180000}"/>
    <cellStyle name="Normal 2 4 19 4 6" xfId="6248" xr:uid="{00000000-0005-0000-0000-000057180000}"/>
    <cellStyle name="Normal 2 4 19 4 6 2" xfId="6249" xr:uid="{00000000-0005-0000-0000-000058180000}"/>
    <cellStyle name="Normal 2 4 19 4 6 3" xfId="6250" xr:uid="{00000000-0005-0000-0000-000059180000}"/>
    <cellStyle name="Normal 2 4 19 4 7" xfId="6251" xr:uid="{00000000-0005-0000-0000-00005A180000}"/>
    <cellStyle name="Normal 2 4 19 4 7 2" xfId="6252" xr:uid="{00000000-0005-0000-0000-00005B180000}"/>
    <cellStyle name="Normal 2 4 19 4 7 3" xfId="6253" xr:uid="{00000000-0005-0000-0000-00005C180000}"/>
    <cellStyle name="Normal 2 4 19 4 8" xfId="6254" xr:uid="{00000000-0005-0000-0000-00005D180000}"/>
    <cellStyle name="Normal 2 4 19 4 8 2" xfId="6255" xr:uid="{00000000-0005-0000-0000-00005E180000}"/>
    <cellStyle name="Normal 2 4 19 4 8 3" xfId="6256" xr:uid="{00000000-0005-0000-0000-00005F180000}"/>
    <cellStyle name="Normal 2 4 19 4 9" xfId="6257" xr:uid="{00000000-0005-0000-0000-000060180000}"/>
    <cellStyle name="Normal 2 4 19 4 9 2" xfId="6258" xr:uid="{00000000-0005-0000-0000-000061180000}"/>
    <cellStyle name="Normal 2 4 19 4 9 3" xfId="6259" xr:uid="{00000000-0005-0000-0000-000062180000}"/>
    <cellStyle name="Normal 2 4 19 5" xfId="6260" xr:uid="{00000000-0005-0000-0000-000063180000}"/>
    <cellStyle name="Normal 2 4 19 5 10" xfId="6261" xr:uid="{00000000-0005-0000-0000-000064180000}"/>
    <cellStyle name="Normal 2 4 19 5 10 2" xfId="6262" xr:uid="{00000000-0005-0000-0000-000065180000}"/>
    <cellStyle name="Normal 2 4 19 5 10 3" xfId="6263" xr:uid="{00000000-0005-0000-0000-000066180000}"/>
    <cellStyle name="Normal 2 4 19 5 11" xfId="6264" xr:uid="{00000000-0005-0000-0000-000067180000}"/>
    <cellStyle name="Normal 2 4 19 5 11 2" xfId="6265" xr:uid="{00000000-0005-0000-0000-000068180000}"/>
    <cellStyle name="Normal 2 4 19 5 11 3" xfId="6266" xr:uid="{00000000-0005-0000-0000-000069180000}"/>
    <cellStyle name="Normal 2 4 19 5 12" xfId="6267" xr:uid="{00000000-0005-0000-0000-00006A180000}"/>
    <cellStyle name="Normal 2 4 19 5 12 2" xfId="6268" xr:uid="{00000000-0005-0000-0000-00006B180000}"/>
    <cellStyle name="Normal 2 4 19 5 12 3" xfId="6269" xr:uid="{00000000-0005-0000-0000-00006C180000}"/>
    <cellStyle name="Normal 2 4 19 5 13" xfId="6270" xr:uid="{00000000-0005-0000-0000-00006D180000}"/>
    <cellStyle name="Normal 2 4 19 5 13 2" xfId="6271" xr:uid="{00000000-0005-0000-0000-00006E180000}"/>
    <cellStyle name="Normal 2 4 19 5 13 3" xfId="6272" xr:uid="{00000000-0005-0000-0000-00006F180000}"/>
    <cellStyle name="Normal 2 4 19 5 14" xfId="6273" xr:uid="{00000000-0005-0000-0000-000070180000}"/>
    <cellStyle name="Normal 2 4 19 5 14 2" xfId="6274" xr:uid="{00000000-0005-0000-0000-000071180000}"/>
    <cellStyle name="Normal 2 4 19 5 14 3" xfId="6275" xr:uid="{00000000-0005-0000-0000-000072180000}"/>
    <cellStyle name="Normal 2 4 19 5 15" xfId="6276" xr:uid="{00000000-0005-0000-0000-000073180000}"/>
    <cellStyle name="Normal 2 4 19 5 16" xfId="6277" xr:uid="{00000000-0005-0000-0000-000074180000}"/>
    <cellStyle name="Normal 2 4 19 5 2" xfId="6278" xr:uid="{00000000-0005-0000-0000-000075180000}"/>
    <cellStyle name="Normal 2 4 19 5 2 2" xfId="6279" xr:uid="{00000000-0005-0000-0000-000076180000}"/>
    <cellStyle name="Normal 2 4 19 5 2 3" xfId="6280" xr:uid="{00000000-0005-0000-0000-000077180000}"/>
    <cellStyle name="Normal 2 4 19 5 3" xfId="6281" xr:uid="{00000000-0005-0000-0000-000078180000}"/>
    <cellStyle name="Normal 2 4 19 5 3 2" xfId="6282" xr:uid="{00000000-0005-0000-0000-000079180000}"/>
    <cellStyle name="Normal 2 4 19 5 3 3" xfId="6283" xr:uid="{00000000-0005-0000-0000-00007A180000}"/>
    <cellStyle name="Normal 2 4 19 5 4" xfId="6284" xr:uid="{00000000-0005-0000-0000-00007B180000}"/>
    <cellStyle name="Normal 2 4 19 5 4 2" xfId="6285" xr:uid="{00000000-0005-0000-0000-00007C180000}"/>
    <cellStyle name="Normal 2 4 19 5 4 3" xfId="6286" xr:uid="{00000000-0005-0000-0000-00007D180000}"/>
    <cellStyle name="Normal 2 4 19 5 5" xfId="6287" xr:uid="{00000000-0005-0000-0000-00007E180000}"/>
    <cellStyle name="Normal 2 4 19 5 5 2" xfId="6288" xr:uid="{00000000-0005-0000-0000-00007F180000}"/>
    <cellStyle name="Normal 2 4 19 5 5 3" xfId="6289" xr:uid="{00000000-0005-0000-0000-000080180000}"/>
    <cellStyle name="Normal 2 4 19 5 6" xfId="6290" xr:uid="{00000000-0005-0000-0000-000081180000}"/>
    <cellStyle name="Normal 2 4 19 5 6 2" xfId="6291" xr:uid="{00000000-0005-0000-0000-000082180000}"/>
    <cellStyle name="Normal 2 4 19 5 6 3" xfId="6292" xr:uid="{00000000-0005-0000-0000-000083180000}"/>
    <cellStyle name="Normal 2 4 19 5 7" xfId="6293" xr:uid="{00000000-0005-0000-0000-000084180000}"/>
    <cellStyle name="Normal 2 4 19 5 7 2" xfId="6294" xr:uid="{00000000-0005-0000-0000-000085180000}"/>
    <cellStyle name="Normal 2 4 19 5 7 3" xfId="6295" xr:uid="{00000000-0005-0000-0000-000086180000}"/>
    <cellStyle name="Normal 2 4 19 5 8" xfId="6296" xr:uid="{00000000-0005-0000-0000-000087180000}"/>
    <cellStyle name="Normal 2 4 19 5 8 2" xfId="6297" xr:uid="{00000000-0005-0000-0000-000088180000}"/>
    <cellStyle name="Normal 2 4 19 5 8 3" xfId="6298" xr:uid="{00000000-0005-0000-0000-000089180000}"/>
    <cellStyle name="Normal 2 4 19 5 9" xfId="6299" xr:uid="{00000000-0005-0000-0000-00008A180000}"/>
    <cellStyle name="Normal 2 4 19 5 9 2" xfId="6300" xr:uid="{00000000-0005-0000-0000-00008B180000}"/>
    <cellStyle name="Normal 2 4 19 5 9 3" xfId="6301" xr:uid="{00000000-0005-0000-0000-00008C180000}"/>
    <cellStyle name="Normal 2 4 19 6" xfId="6302" xr:uid="{00000000-0005-0000-0000-00008D180000}"/>
    <cellStyle name="Normal 2 4 19 6 10" xfId="6303" xr:uid="{00000000-0005-0000-0000-00008E180000}"/>
    <cellStyle name="Normal 2 4 19 6 10 2" xfId="6304" xr:uid="{00000000-0005-0000-0000-00008F180000}"/>
    <cellStyle name="Normal 2 4 19 6 10 3" xfId="6305" xr:uid="{00000000-0005-0000-0000-000090180000}"/>
    <cellStyle name="Normal 2 4 19 6 11" xfId="6306" xr:uid="{00000000-0005-0000-0000-000091180000}"/>
    <cellStyle name="Normal 2 4 19 6 11 2" xfId="6307" xr:uid="{00000000-0005-0000-0000-000092180000}"/>
    <cellStyle name="Normal 2 4 19 6 11 3" xfId="6308" xr:uid="{00000000-0005-0000-0000-000093180000}"/>
    <cellStyle name="Normal 2 4 19 6 12" xfId="6309" xr:uid="{00000000-0005-0000-0000-000094180000}"/>
    <cellStyle name="Normal 2 4 19 6 12 2" xfId="6310" xr:uid="{00000000-0005-0000-0000-000095180000}"/>
    <cellStyle name="Normal 2 4 19 6 12 3" xfId="6311" xr:uid="{00000000-0005-0000-0000-000096180000}"/>
    <cellStyle name="Normal 2 4 19 6 13" xfId="6312" xr:uid="{00000000-0005-0000-0000-000097180000}"/>
    <cellStyle name="Normal 2 4 19 6 13 2" xfId="6313" xr:uid="{00000000-0005-0000-0000-000098180000}"/>
    <cellStyle name="Normal 2 4 19 6 13 3" xfId="6314" xr:uid="{00000000-0005-0000-0000-000099180000}"/>
    <cellStyle name="Normal 2 4 19 6 14" xfId="6315" xr:uid="{00000000-0005-0000-0000-00009A180000}"/>
    <cellStyle name="Normal 2 4 19 6 14 2" xfId="6316" xr:uid="{00000000-0005-0000-0000-00009B180000}"/>
    <cellStyle name="Normal 2 4 19 6 14 3" xfId="6317" xr:uid="{00000000-0005-0000-0000-00009C180000}"/>
    <cellStyle name="Normal 2 4 19 6 15" xfId="6318" xr:uid="{00000000-0005-0000-0000-00009D180000}"/>
    <cellStyle name="Normal 2 4 19 6 16" xfId="6319" xr:uid="{00000000-0005-0000-0000-00009E180000}"/>
    <cellStyle name="Normal 2 4 19 6 2" xfId="6320" xr:uid="{00000000-0005-0000-0000-00009F180000}"/>
    <cellStyle name="Normal 2 4 19 6 2 2" xfId="6321" xr:uid="{00000000-0005-0000-0000-0000A0180000}"/>
    <cellStyle name="Normal 2 4 19 6 2 3" xfId="6322" xr:uid="{00000000-0005-0000-0000-0000A1180000}"/>
    <cellStyle name="Normal 2 4 19 6 3" xfId="6323" xr:uid="{00000000-0005-0000-0000-0000A2180000}"/>
    <cellStyle name="Normal 2 4 19 6 3 2" xfId="6324" xr:uid="{00000000-0005-0000-0000-0000A3180000}"/>
    <cellStyle name="Normal 2 4 19 6 3 3" xfId="6325" xr:uid="{00000000-0005-0000-0000-0000A4180000}"/>
    <cellStyle name="Normal 2 4 19 6 4" xfId="6326" xr:uid="{00000000-0005-0000-0000-0000A5180000}"/>
    <cellStyle name="Normal 2 4 19 6 4 2" xfId="6327" xr:uid="{00000000-0005-0000-0000-0000A6180000}"/>
    <cellStyle name="Normal 2 4 19 6 4 3" xfId="6328" xr:uid="{00000000-0005-0000-0000-0000A7180000}"/>
    <cellStyle name="Normal 2 4 19 6 5" xfId="6329" xr:uid="{00000000-0005-0000-0000-0000A8180000}"/>
    <cellStyle name="Normal 2 4 19 6 5 2" xfId="6330" xr:uid="{00000000-0005-0000-0000-0000A9180000}"/>
    <cellStyle name="Normal 2 4 19 6 5 3" xfId="6331" xr:uid="{00000000-0005-0000-0000-0000AA180000}"/>
    <cellStyle name="Normal 2 4 19 6 6" xfId="6332" xr:uid="{00000000-0005-0000-0000-0000AB180000}"/>
    <cellStyle name="Normal 2 4 19 6 6 2" xfId="6333" xr:uid="{00000000-0005-0000-0000-0000AC180000}"/>
    <cellStyle name="Normal 2 4 19 6 6 3" xfId="6334" xr:uid="{00000000-0005-0000-0000-0000AD180000}"/>
    <cellStyle name="Normal 2 4 19 6 7" xfId="6335" xr:uid="{00000000-0005-0000-0000-0000AE180000}"/>
    <cellStyle name="Normal 2 4 19 6 7 2" xfId="6336" xr:uid="{00000000-0005-0000-0000-0000AF180000}"/>
    <cellStyle name="Normal 2 4 19 6 7 3" xfId="6337" xr:uid="{00000000-0005-0000-0000-0000B0180000}"/>
    <cellStyle name="Normal 2 4 19 6 8" xfId="6338" xr:uid="{00000000-0005-0000-0000-0000B1180000}"/>
    <cellStyle name="Normal 2 4 19 6 8 2" xfId="6339" xr:uid="{00000000-0005-0000-0000-0000B2180000}"/>
    <cellStyle name="Normal 2 4 19 6 8 3" xfId="6340" xr:uid="{00000000-0005-0000-0000-0000B3180000}"/>
    <cellStyle name="Normal 2 4 19 6 9" xfId="6341" xr:uid="{00000000-0005-0000-0000-0000B4180000}"/>
    <cellStyle name="Normal 2 4 19 6 9 2" xfId="6342" xr:uid="{00000000-0005-0000-0000-0000B5180000}"/>
    <cellStyle name="Normal 2 4 19 6 9 3" xfId="6343" xr:uid="{00000000-0005-0000-0000-0000B6180000}"/>
    <cellStyle name="Normal 2 4 19 7" xfId="6344" xr:uid="{00000000-0005-0000-0000-0000B7180000}"/>
    <cellStyle name="Normal 2 4 19 7 10" xfId="6345" xr:uid="{00000000-0005-0000-0000-0000B8180000}"/>
    <cellStyle name="Normal 2 4 19 7 10 2" xfId="6346" xr:uid="{00000000-0005-0000-0000-0000B9180000}"/>
    <cellStyle name="Normal 2 4 19 7 10 3" xfId="6347" xr:uid="{00000000-0005-0000-0000-0000BA180000}"/>
    <cellStyle name="Normal 2 4 19 7 11" xfId="6348" xr:uid="{00000000-0005-0000-0000-0000BB180000}"/>
    <cellStyle name="Normal 2 4 19 7 11 2" xfId="6349" xr:uid="{00000000-0005-0000-0000-0000BC180000}"/>
    <cellStyle name="Normal 2 4 19 7 11 3" xfId="6350" xr:uid="{00000000-0005-0000-0000-0000BD180000}"/>
    <cellStyle name="Normal 2 4 19 7 12" xfId="6351" xr:uid="{00000000-0005-0000-0000-0000BE180000}"/>
    <cellStyle name="Normal 2 4 19 7 12 2" xfId="6352" xr:uid="{00000000-0005-0000-0000-0000BF180000}"/>
    <cellStyle name="Normal 2 4 19 7 12 3" xfId="6353" xr:uid="{00000000-0005-0000-0000-0000C0180000}"/>
    <cellStyle name="Normal 2 4 19 7 13" xfId="6354" xr:uid="{00000000-0005-0000-0000-0000C1180000}"/>
    <cellStyle name="Normal 2 4 19 7 13 2" xfId="6355" xr:uid="{00000000-0005-0000-0000-0000C2180000}"/>
    <cellStyle name="Normal 2 4 19 7 13 3" xfId="6356" xr:uid="{00000000-0005-0000-0000-0000C3180000}"/>
    <cellStyle name="Normal 2 4 19 7 14" xfId="6357" xr:uid="{00000000-0005-0000-0000-0000C4180000}"/>
    <cellStyle name="Normal 2 4 19 7 14 2" xfId="6358" xr:uid="{00000000-0005-0000-0000-0000C5180000}"/>
    <cellStyle name="Normal 2 4 19 7 14 3" xfId="6359" xr:uid="{00000000-0005-0000-0000-0000C6180000}"/>
    <cellStyle name="Normal 2 4 19 7 15" xfId="6360" xr:uid="{00000000-0005-0000-0000-0000C7180000}"/>
    <cellStyle name="Normal 2 4 19 7 16" xfId="6361" xr:uid="{00000000-0005-0000-0000-0000C8180000}"/>
    <cellStyle name="Normal 2 4 19 7 2" xfId="6362" xr:uid="{00000000-0005-0000-0000-0000C9180000}"/>
    <cellStyle name="Normal 2 4 19 7 2 2" xfId="6363" xr:uid="{00000000-0005-0000-0000-0000CA180000}"/>
    <cellStyle name="Normal 2 4 19 7 2 3" xfId="6364" xr:uid="{00000000-0005-0000-0000-0000CB180000}"/>
    <cellStyle name="Normal 2 4 19 7 3" xfId="6365" xr:uid="{00000000-0005-0000-0000-0000CC180000}"/>
    <cellStyle name="Normal 2 4 19 7 3 2" xfId="6366" xr:uid="{00000000-0005-0000-0000-0000CD180000}"/>
    <cellStyle name="Normal 2 4 19 7 3 3" xfId="6367" xr:uid="{00000000-0005-0000-0000-0000CE180000}"/>
    <cellStyle name="Normal 2 4 19 7 4" xfId="6368" xr:uid="{00000000-0005-0000-0000-0000CF180000}"/>
    <cellStyle name="Normal 2 4 19 7 4 2" xfId="6369" xr:uid="{00000000-0005-0000-0000-0000D0180000}"/>
    <cellStyle name="Normal 2 4 19 7 4 3" xfId="6370" xr:uid="{00000000-0005-0000-0000-0000D1180000}"/>
    <cellStyle name="Normal 2 4 19 7 5" xfId="6371" xr:uid="{00000000-0005-0000-0000-0000D2180000}"/>
    <cellStyle name="Normal 2 4 19 7 5 2" xfId="6372" xr:uid="{00000000-0005-0000-0000-0000D3180000}"/>
    <cellStyle name="Normal 2 4 19 7 5 3" xfId="6373" xr:uid="{00000000-0005-0000-0000-0000D4180000}"/>
    <cellStyle name="Normal 2 4 19 7 6" xfId="6374" xr:uid="{00000000-0005-0000-0000-0000D5180000}"/>
    <cellStyle name="Normal 2 4 19 7 6 2" xfId="6375" xr:uid="{00000000-0005-0000-0000-0000D6180000}"/>
    <cellStyle name="Normal 2 4 19 7 6 3" xfId="6376" xr:uid="{00000000-0005-0000-0000-0000D7180000}"/>
    <cellStyle name="Normal 2 4 19 7 7" xfId="6377" xr:uid="{00000000-0005-0000-0000-0000D8180000}"/>
    <cellStyle name="Normal 2 4 19 7 7 2" xfId="6378" xr:uid="{00000000-0005-0000-0000-0000D9180000}"/>
    <cellStyle name="Normal 2 4 19 7 7 3" xfId="6379" xr:uid="{00000000-0005-0000-0000-0000DA180000}"/>
    <cellStyle name="Normal 2 4 19 7 8" xfId="6380" xr:uid="{00000000-0005-0000-0000-0000DB180000}"/>
    <cellStyle name="Normal 2 4 19 7 8 2" xfId="6381" xr:uid="{00000000-0005-0000-0000-0000DC180000}"/>
    <cellStyle name="Normal 2 4 19 7 8 3" xfId="6382" xr:uid="{00000000-0005-0000-0000-0000DD180000}"/>
    <cellStyle name="Normal 2 4 19 7 9" xfId="6383" xr:uid="{00000000-0005-0000-0000-0000DE180000}"/>
    <cellStyle name="Normal 2 4 19 7 9 2" xfId="6384" xr:uid="{00000000-0005-0000-0000-0000DF180000}"/>
    <cellStyle name="Normal 2 4 19 7 9 3" xfId="6385" xr:uid="{00000000-0005-0000-0000-0000E0180000}"/>
    <cellStyle name="Normal 2 4 19 8" xfId="6386" xr:uid="{00000000-0005-0000-0000-0000E1180000}"/>
    <cellStyle name="Normal 2 4 19 8 10" xfId="6387" xr:uid="{00000000-0005-0000-0000-0000E2180000}"/>
    <cellStyle name="Normal 2 4 19 8 10 2" xfId="6388" xr:uid="{00000000-0005-0000-0000-0000E3180000}"/>
    <cellStyle name="Normal 2 4 19 8 10 3" xfId="6389" xr:uid="{00000000-0005-0000-0000-0000E4180000}"/>
    <cellStyle name="Normal 2 4 19 8 11" xfId="6390" xr:uid="{00000000-0005-0000-0000-0000E5180000}"/>
    <cellStyle name="Normal 2 4 19 8 11 2" xfId="6391" xr:uid="{00000000-0005-0000-0000-0000E6180000}"/>
    <cellStyle name="Normal 2 4 19 8 11 3" xfId="6392" xr:uid="{00000000-0005-0000-0000-0000E7180000}"/>
    <cellStyle name="Normal 2 4 19 8 12" xfId="6393" xr:uid="{00000000-0005-0000-0000-0000E8180000}"/>
    <cellStyle name="Normal 2 4 19 8 12 2" xfId="6394" xr:uid="{00000000-0005-0000-0000-0000E9180000}"/>
    <cellStyle name="Normal 2 4 19 8 12 3" xfId="6395" xr:uid="{00000000-0005-0000-0000-0000EA180000}"/>
    <cellStyle name="Normal 2 4 19 8 13" xfId="6396" xr:uid="{00000000-0005-0000-0000-0000EB180000}"/>
    <cellStyle name="Normal 2 4 19 8 13 2" xfId="6397" xr:uid="{00000000-0005-0000-0000-0000EC180000}"/>
    <cellStyle name="Normal 2 4 19 8 13 3" xfId="6398" xr:uid="{00000000-0005-0000-0000-0000ED180000}"/>
    <cellStyle name="Normal 2 4 19 8 14" xfId="6399" xr:uid="{00000000-0005-0000-0000-0000EE180000}"/>
    <cellStyle name="Normal 2 4 19 8 14 2" xfId="6400" xr:uid="{00000000-0005-0000-0000-0000EF180000}"/>
    <cellStyle name="Normal 2 4 19 8 14 3" xfId="6401" xr:uid="{00000000-0005-0000-0000-0000F0180000}"/>
    <cellStyle name="Normal 2 4 19 8 15" xfId="6402" xr:uid="{00000000-0005-0000-0000-0000F1180000}"/>
    <cellStyle name="Normal 2 4 19 8 16" xfId="6403" xr:uid="{00000000-0005-0000-0000-0000F2180000}"/>
    <cellStyle name="Normal 2 4 19 8 2" xfId="6404" xr:uid="{00000000-0005-0000-0000-0000F3180000}"/>
    <cellStyle name="Normal 2 4 19 8 2 2" xfId="6405" xr:uid="{00000000-0005-0000-0000-0000F4180000}"/>
    <cellStyle name="Normal 2 4 19 8 2 3" xfId="6406" xr:uid="{00000000-0005-0000-0000-0000F5180000}"/>
    <cellStyle name="Normal 2 4 19 8 3" xfId="6407" xr:uid="{00000000-0005-0000-0000-0000F6180000}"/>
    <cellStyle name="Normal 2 4 19 8 3 2" xfId="6408" xr:uid="{00000000-0005-0000-0000-0000F7180000}"/>
    <cellStyle name="Normal 2 4 19 8 3 3" xfId="6409" xr:uid="{00000000-0005-0000-0000-0000F8180000}"/>
    <cellStyle name="Normal 2 4 19 8 4" xfId="6410" xr:uid="{00000000-0005-0000-0000-0000F9180000}"/>
    <cellStyle name="Normal 2 4 19 8 4 2" xfId="6411" xr:uid="{00000000-0005-0000-0000-0000FA180000}"/>
    <cellStyle name="Normal 2 4 19 8 4 3" xfId="6412" xr:uid="{00000000-0005-0000-0000-0000FB180000}"/>
    <cellStyle name="Normal 2 4 19 8 5" xfId="6413" xr:uid="{00000000-0005-0000-0000-0000FC180000}"/>
    <cellStyle name="Normal 2 4 19 8 5 2" xfId="6414" xr:uid="{00000000-0005-0000-0000-0000FD180000}"/>
    <cellStyle name="Normal 2 4 19 8 5 3" xfId="6415" xr:uid="{00000000-0005-0000-0000-0000FE180000}"/>
    <cellStyle name="Normal 2 4 19 8 6" xfId="6416" xr:uid="{00000000-0005-0000-0000-0000FF180000}"/>
    <cellStyle name="Normal 2 4 19 8 6 2" xfId="6417" xr:uid="{00000000-0005-0000-0000-000000190000}"/>
    <cellStyle name="Normal 2 4 19 8 6 3" xfId="6418" xr:uid="{00000000-0005-0000-0000-000001190000}"/>
    <cellStyle name="Normal 2 4 19 8 7" xfId="6419" xr:uid="{00000000-0005-0000-0000-000002190000}"/>
    <cellStyle name="Normal 2 4 19 8 7 2" xfId="6420" xr:uid="{00000000-0005-0000-0000-000003190000}"/>
    <cellStyle name="Normal 2 4 19 8 7 3" xfId="6421" xr:uid="{00000000-0005-0000-0000-000004190000}"/>
    <cellStyle name="Normal 2 4 19 8 8" xfId="6422" xr:uid="{00000000-0005-0000-0000-000005190000}"/>
    <cellStyle name="Normal 2 4 19 8 8 2" xfId="6423" xr:uid="{00000000-0005-0000-0000-000006190000}"/>
    <cellStyle name="Normal 2 4 19 8 8 3" xfId="6424" xr:uid="{00000000-0005-0000-0000-000007190000}"/>
    <cellStyle name="Normal 2 4 19 8 9" xfId="6425" xr:uid="{00000000-0005-0000-0000-000008190000}"/>
    <cellStyle name="Normal 2 4 19 8 9 2" xfId="6426" xr:uid="{00000000-0005-0000-0000-000009190000}"/>
    <cellStyle name="Normal 2 4 19 8 9 3" xfId="6427" xr:uid="{00000000-0005-0000-0000-00000A190000}"/>
    <cellStyle name="Normal 2 4 19 9" xfId="6428" xr:uid="{00000000-0005-0000-0000-00000B190000}"/>
    <cellStyle name="Normal 2 4 19 9 10" xfId="6429" xr:uid="{00000000-0005-0000-0000-00000C190000}"/>
    <cellStyle name="Normal 2 4 19 9 10 2" xfId="6430" xr:uid="{00000000-0005-0000-0000-00000D190000}"/>
    <cellStyle name="Normal 2 4 19 9 10 3" xfId="6431" xr:uid="{00000000-0005-0000-0000-00000E190000}"/>
    <cellStyle name="Normal 2 4 19 9 11" xfId="6432" xr:uid="{00000000-0005-0000-0000-00000F190000}"/>
    <cellStyle name="Normal 2 4 19 9 11 2" xfId="6433" xr:uid="{00000000-0005-0000-0000-000010190000}"/>
    <cellStyle name="Normal 2 4 19 9 11 3" xfId="6434" xr:uid="{00000000-0005-0000-0000-000011190000}"/>
    <cellStyle name="Normal 2 4 19 9 12" xfId="6435" xr:uid="{00000000-0005-0000-0000-000012190000}"/>
    <cellStyle name="Normal 2 4 19 9 12 2" xfId="6436" xr:uid="{00000000-0005-0000-0000-000013190000}"/>
    <cellStyle name="Normal 2 4 19 9 12 3" xfId="6437" xr:uid="{00000000-0005-0000-0000-000014190000}"/>
    <cellStyle name="Normal 2 4 19 9 13" xfId="6438" xr:uid="{00000000-0005-0000-0000-000015190000}"/>
    <cellStyle name="Normal 2 4 19 9 13 2" xfId="6439" xr:uid="{00000000-0005-0000-0000-000016190000}"/>
    <cellStyle name="Normal 2 4 19 9 13 3" xfId="6440" xr:uid="{00000000-0005-0000-0000-000017190000}"/>
    <cellStyle name="Normal 2 4 19 9 14" xfId="6441" xr:uid="{00000000-0005-0000-0000-000018190000}"/>
    <cellStyle name="Normal 2 4 19 9 14 2" xfId="6442" xr:uid="{00000000-0005-0000-0000-000019190000}"/>
    <cellStyle name="Normal 2 4 19 9 14 3" xfId="6443" xr:uid="{00000000-0005-0000-0000-00001A190000}"/>
    <cellStyle name="Normal 2 4 19 9 15" xfId="6444" xr:uid="{00000000-0005-0000-0000-00001B190000}"/>
    <cellStyle name="Normal 2 4 19 9 16" xfId="6445" xr:uid="{00000000-0005-0000-0000-00001C190000}"/>
    <cellStyle name="Normal 2 4 19 9 2" xfId="6446" xr:uid="{00000000-0005-0000-0000-00001D190000}"/>
    <cellStyle name="Normal 2 4 19 9 2 2" xfId="6447" xr:uid="{00000000-0005-0000-0000-00001E190000}"/>
    <cellStyle name="Normal 2 4 19 9 2 3" xfId="6448" xr:uid="{00000000-0005-0000-0000-00001F190000}"/>
    <cellStyle name="Normal 2 4 19 9 3" xfId="6449" xr:uid="{00000000-0005-0000-0000-000020190000}"/>
    <cellStyle name="Normal 2 4 19 9 3 2" xfId="6450" xr:uid="{00000000-0005-0000-0000-000021190000}"/>
    <cellStyle name="Normal 2 4 19 9 3 3" xfId="6451" xr:uid="{00000000-0005-0000-0000-000022190000}"/>
    <cellStyle name="Normal 2 4 19 9 4" xfId="6452" xr:uid="{00000000-0005-0000-0000-000023190000}"/>
    <cellStyle name="Normal 2 4 19 9 4 2" xfId="6453" xr:uid="{00000000-0005-0000-0000-000024190000}"/>
    <cellStyle name="Normal 2 4 19 9 4 3" xfId="6454" xr:uid="{00000000-0005-0000-0000-000025190000}"/>
    <cellStyle name="Normal 2 4 19 9 5" xfId="6455" xr:uid="{00000000-0005-0000-0000-000026190000}"/>
    <cellStyle name="Normal 2 4 19 9 5 2" xfId="6456" xr:uid="{00000000-0005-0000-0000-000027190000}"/>
    <cellStyle name="Normal 2 4 19 9 5 3" xfId="6457" xr:uid="{00000000-0005-0000-0000-000028190000}"/>
    <cellStyle name="Normal 2 4 19 9 6" xfId="6458" xr:uid="{00000000-0005-0000-0000-000029190000}"/>
    <cellStyle name="Normal 2 4 19 9 6 2" xfId="6459" xr:uid="{00000000-0005-0000-0000-00002A190000}"/>
    <cellStyle name="Normal 2 4 19 9 6 3" xfId="6460" xr:uid="{00000000-0005-0000-0000-00002B190000}"/>
    <cellStyle name="Normal 2 4 19 9 7" xfId="6461" xr:uid="{00000000-0005-0000-0000-00002C190000}"/>
    <cellStyle name="Normal 2 4 19 9 7 2" xfId="6462" xr:uid="{00000000-0005-0000-0000-00002D190000}"/>
    <cellStyle name="Normal 2 4 19 9 7 3" xfId="6463" xr:uid="{00000000-0005-0000-0000-00002E190000}"/>
    <cellStyle name="Normal 2 4 19 9 8" xfId="6464" xr:uid="{00000000-0005-0000-0000-00002F190000}"/>
    <cellStyle name="Normal 2 4 19 9 8 2" xfId="6465" xr:uid="{00000000-0005-0000-0000-000030190000}"/>
    <cellStyle name="Normal 2 4 19 9 8 3" xfId="6466" xr:uid="{00000000-0005-0000-0000-000031190000}"/>
    <cellStyle name="Normal 2 4 19 9 9" xfId="6467" xr:uid="{00000000-0005-0000-0000-000032190000}"/>
    <cellStyle name="Normal 2 4 19 9 9 2" xfId="6468" xr:uid="{00000000-0005-0000-0000-000033190000}"/>
    <cellStyle name="Normal 2 4 19 9 9 3" xfId="6469" xr:uid="{00000000-0005-0000-0000-000034190000}"/>
    <cellStyle name="Normal 2 4 2" xfId="6470" xr:uid="{00000000-0005-0000-0000-000035190000}"/>
    <cellStyle name="Normal 2 4 2 10" xfId="6471" xr:uid="{00000000-0005-0000-0000-000036190000}"/>
    <cellStyle name="Normal 2 4 2 11" xfId="6472" xr:uid="{00000000-0005-0000-0000-000037190000}"/>
    <cellStyle name="Normal 2 4 2 12" xfId="6473" xr:uid="{00000000-0005-0000-0000-000038190000}"/>
    <cellStyle name="Normal 2 4 2 13" xfId="6474" xr:uid="{00000000-0005-0000-0000-000039190000}"/>
    <cellStyle name="Normal 2 4 2 14" xfId="6475" xr:uid="{00000000-0005-0000-0000-00003A190000}"/>
    <cellStyle name="Normal 2 4 2 15" xfId="6476" xr:uid="{00000000-0005-0000-0000-00003B190000}"/>
    <cellStyle name="Normal 2 4 2 16" xfId="6477" xr:uid="{00000000-0005-0000-0000-00003C190000}"/>
    <cellStyle name="Normal 2 4 2 16 10" xfId="6478" xr:uid="{00000000-0005-0000-0000-00003D190000}"/>
    <cellStyle name="Normal 2 4 2 16 10 2" xfId="6479" xr:uid="{00000000-0005-0000-0000-00003E190000}"/>
    <cellStyle name="Normal 2 4 2 16 10 3" xfId="6480" xr:uid="{00000000-0005-0000-0000-00003F190000}"/>
    <cellStyle name="Normal 2 4 2 16 11" xfId="6481" xr:uid="{00000000-0005-0000-0000-000040190000}"/>
    <cellStyle name="Normal 2 4 2 16 11 2" xfId="6482" xr:uid="{00000000-0005-0000-0000-000041190000}"/>
    <cellStyle name="Normal 2 4 2 16 11 3" xfId="6483" xr:uid="{00000000-0005-0000-0000-000042190000}"/>
    <cellStyle name="Normal 2 4 2 16 12" xfId="6484" xr:uid="{00000000-0005-0000-0000-000043190000}"/>
    <cellStyle name="Normal 2 4 2 16 12 2" xfId="6485" xr:uid="{00000000-0005-0000-0000-000044190000}"/>
    <cellStyle name="Normal 2 4 2 16 12 3" xfId="6486" xr:uid="{00000000-0005-0000-0000-000045190000}"/>
    <cellStyle name="Normal 2 4 2 16 13" xfId="6487" xr:uid="{00000000-0005-0000-0000-000046190000}"/>
    <cellStyle name="Normal 2 4 2 16 13 2" xfId="6488" xr:uid="{00000000-0005-0000-0000-000047190000}"/>
    <cellStyle name="Normal 2 4 2 16 13 3" xfId="6489" xr:uid="{00000000-0005-0000-0000-000048190000}"/>
    <cellStyle name="Normal 2 4 2 16 14" xfId="6490" xr:uid="{00000000-0005-0000-0000-000049190000}"/>
    <cellStyle name="Normal 2 4 2 16 14 2" xfId="6491" xr:uid="{00000000-0005-0000-0000-00004A190000}"/>
    <cellStyle name="Normal 2 4 2 16 14 3" xfId="6492" xr:uid="{00000000-0005-0000-0000-00004B190000}"/>
    <cellStyle name="Normal 2 4 2 16 15" xfId="6493" xr:uid="{00000000-0005-0000-0000-00004C190000}"/>
    <cellStyle name="Normal 2 4 2 16 15 2" xfId="6494" xr:uid="{00000000-0005-0000-0000-00004D190000}"/>
    <cellStyle name="Normal 2 4 2 16 15 3" xfId="6495" xr:uid="{00000000-0005-0000-0000-00004E190000}"/>
    <cellStyle name="Normal 2 4 2 16 16" xfId="6496" xr:uid="{00000000-0005-0000-0000-00004F190000}"/>
    <cellStyle name="Normal 2 4 2 16 16 2" xfId="6497" xr:uid="{00000000-0005-0000-0000-000050190000}"/>
    <cellStyle name="Normal 2 4 2 16 16 3" xfId="6498" xr:uid="{00000000-0005-0000-0000-000051190000}"/>
    <cellStyle name="Normal 2 4 2 16 17" xfId="6499" xr:uid="{00000000-0005-0000-0000-000052190000}"/>
    <cellStyle name="Normal 2 4 2 16 17 2" xfId="6500" xr:uid="{00000000-0005-0000-0000-000053190000}"/>
    <cellStyle name="Normal 2 4 2 16 17 3" xfId="6501" xr:uid="{00000000-0005-0000-0000-000054190000}"/>
    <cellStyle name="Normal 2 4 2 16 18" xfId="6502" xr:uid="{00000000-0005-0000-0000-000055190000}"/>
    <cellStyle name="Normal 2 4 2 16 19" xfId="6503" xr:uid="{00000000-0005-0000-0000-000056190000}"/>
    <cellStyle name="Normal 2 4 2 16 2" xfId="6504" xr:uid="{00000000-0005-0000-0000-000057190000}"/>
    <cellStyle name="Normal 2 4 2 16 3" xfId="6505" xr:uid="{00000000-0005-0000-0000-000058190000}"/>
    <cellStyle name="Normal 2 4 2 16 4" xfId="6506" xr:uid="{00000000-0005-0000-0000-000059190000}"/>
    <cellStyle name="Normal 2 4 2 16 5" xfId="6507" xr:uid="{00000000-0005-0000-0000-00005A190000}"/>
    <cellStyle name="Normal 2 4 2 16 5 2" xfId="6508" xr:uid="{00000000-0005-0000-0000-00005B190000}"/>
    <cellStyle name="Normal 2 4 2 16 5 3" xfId="6509" xr:uid="{00000000-0005-0000-0000-00005C190000}"/>
    <cellStyle name="Normal 2 4 2 16 6" xfId="6510" xr:uid="{00000000-0005-0000-0000-00005D190000}"/>
    <cellStyle name="Normal 2 4 2 16 6 2" xfId="6511" xr:uid="{00000000-0005-0000-0000-00005E190000}"/>
    <cellStyle name="Normal 2 4 2 16 6 3" xfId="6512" xr:uid="{00000000-0005-0000-0000-00005F190000}"/>
    <cellStyle name="Normal 2 4 2 16 7" xfId="6513" xr:uid="{00000000-0005-0000-0000-000060190000}"/>
    <cellStyle name="Normal 2 4 2 16 7 2" xfId="6514" xr:uid="{00000000-0005-0000-0000-000061190000}"/>
    <cellStyle name="Normal 2 4 2 16 7 3" xfId="6515" xr:uid="{00000000-0005-0000-0000-000062190000}"/>
    <cellStyle name="Normal 2 4 2 16 8" xfId="6516" xr:uid="{00000000-0005-0000-0000-000063190000}"/>
    <cellStyle name="Normal 2 4 2 16 8 2" xfId="6517" xr:uid="{00000000-0005-0000-0000-000064190000}"/>
    <cellStyle name="Normal 2 4 2 16 8 3" xfId="6518" xr:uid="{00000000-0005-0000-0000-000065190000}"/>
    <cellStyle name="Normal 2 4 2 16 9" xfId="6519" xr:uid="{00000000-0005-0000-0000-000066190000}"/>
    <cellStyle name="Normal 2 4 2 16 9 2" xfId="6520" xr:uid="{00000000-0005-0000-0000-000067190000}"/>
    <cellStyle name="Normal 2 4 2 16 9 3" xfId="6521" xr:uid="{00000000-0005-0000-0000-000068190000}"/>
    <cellStyle name="Normal 2 4 2 17" xfId="6522" xr:uid="{00000000-0005-0000-0000-000069190000}"/>
    <cellStyle name="Normal 2 4 2 18" xfId="6523" xr:uid="{00000000-0005-0000-0000-00006A190000}"/>
    <cellStyle name="Normal 2 4 2 19" xfId="6524" xr:uid="{00000000-0005-0000-0000-00006B190000}"/>
    <cellStyle name="Normal 2 4 2 19 10" xfId="6525" xr:uid="{00000000-0005-0000-0000-00006C190000}"/>
    <cellStyle name="Normal 2 4 2 19 10 2" xfId="6526" xr:uid="{00000000-0005-0000-0000-00006D190000}"/>
    <cellStyle name="Normal 2 4 2 19 10 3" xfId="6527" xr:uid="{00000000-0005-0000-0000-00006E190000}"/>
    <cellStyle name="Normal 2 4 2 19 11" xfId="6528" xr:uid="{00000000-0005-0000-0000-00006F190000}"/>
    <cellStyle name="Normal 2 4 2 19 11 2" xfId="6529" xr:uid="{00000000-0005-0000-0000-000070190000}"/>
    <cellStyle name="Normal 2 4 2 19 11 3" xfId="6530" xr:uid="{00000000-0005-0000-0000-000071190000}"/>
    <cellStyle name="Normal 2 4 2 19 12" xfId="6531" xr:uid="{00000000-0005-0000-0000-000072190000}"/>
    <cellStyle name="Normal 2 4 2 19 12 2" xfId="6532" xr:uid="{00000000-0005-0000-0000-000073190000}"/>
    <cellStyle name="Normal 2 4 2 19 12 3" xfId="6533" xr:uid="{00000000-0005-0000-0000-000074190000}"/>
    <cellStyle name="Normal 2 4 2 19 13" xfId="6534" xr:uid="{00000000-0005-0000-0000-000075190000}"/>
    <cellStyle name="Normal 2 4 2 19 13 2" xfId="6535" xr:uid="{00000000-0005-0000-0000-000076190000}"/>
    <cellStyle name="Normal 2 4 2 19 13 3" xfId="6536" xr:uid="{00000000-0005-0000-0000-000077190000}"/>
    <cellStyle name="Normal 2 4 2 19 14" xfId="6537" xr:uid="{00000000-0005-0000-0000-000078190000}"/>
    <cellStyle name="Normal 2 4 2 19 14 2" xfId="6538" xr:uid="{00000000-0005-0000-0000-000079190000}"/>
    <cellStyle name="Normal 2 4 2 19 14 3" xfId="6539" xr:uid="{00000000-0005-0000-0000-00007A190000}"/>
    <cellStyle name="Normal 2 4 2 19 15" xfId="6540" xr:uid="{00000000-0005-0000-0000-00007B190000}"/>
    <cellStyle name="Normal 2 4 2 19 15 2" xfId="6541" xr:uid="{00000000-0005-0000-0000-00007C190000}"/>
    <cellStyle name="Normal 2 4 2 19 15 3" xfId="6542" xr:uid="{00000000-0005-0000-0000-00007D190000}"/>
    <cellStyle name="Normal 2 4 2 19 16" xfId="6543" xr:uid="{00000000-0005-0000-0000-00007E190000}"/>
    <cellStyle name="Normal 2 4 2 19 17" xfId="6544" xr:uid="{00000000-0005-0000-0000-00007F190000}"/>
    <cellStyle name="Normal 2 4 2 19 2" xfId="6545" xr:uid="{00000000-0005-0000-0000-000080190000}"/>
    <cellStyle name="Normal 2 4 2 19 2 10" xfId="6546" xr:uid="{00000000-0005-0000-0000-000081190000}"/>
    <cellStyle name="Normal 2 4 2 19 2 10 2" xfId="6547" xr:uid="{00000000-0005-0000-0000-000082190000}"/>
    <cellStyle name="Normal 2 4 2 19 2 10 3" xfId="6548" xr:uid="{00000000-0005-0000-0000-000083190000}"/>
    <cellStyle name="Normal 2 4 2 19 2 11" xfId="6549" xr:uid="{00000000-0005-0000-0000-000084190000}"/>
    <cellStyle name="Normal 2 4 2 19 2 11 2" xfId="6550" xr:uid="{00000000-0005-0000-0000-000085190000}"/>
    <cellStyle name="Normal 2 4 2 19 2 11 3" xfId="6551" xr:uid="{00000000-0005-0000-0000-000086190000}"/>
    <cellStyle name="Normal 2 4 2 19 2 12" xfId="6552" xr:uid="{00000000-0005-0000-0000-000087190000}"/>
    <cellStyle name="Normal 2 4 2 19 2 12 2" xfId="6553" xr:uid="{00000000-0005-0000-0000-000088190000}"/>
    <cellStyle name="Normal 2 4 2 19 2 12 3" xfId="6554" xr:uid="{00000000-0005-0000-0000-000089190000}"/>
    <cellStyle name="Normal 2 4 2 19 2 13" xfId="6555" xr:uid="{00000000-0005-0000-0000-00008A190000}"/>
    <cellStyle name="Normal 2 4 2 19 2 13 2" xfId="6556" xr:uid="{00000000-0005-0000-0000-00008B190000}"/>
    <cellStyle name="Normal 2 4 2 19 2 13 3" xfId="6557" xr:uid="{00000000-0005-0000-0000-00008C190000}"/>
    <cellStyle name="Normal 2 4 2 19 2 14" xfId="6558" xr:uid="{00000000-0005-0000-0000-00008D190000}"/>
    <cellStyle name="Normal 2 4 2 19 2 14 2" xfId="6559" xr:uid="{00000000-0005-0000-0000-00008E190000}"/>
    <cellStyle name="Normal 2 4 2 19 2 14 3" xfId="6560" xr:uid="{00000000-0005-0000-0000-00008F190000}"/>
    <cellStyle name="Normal 2 4 2 19 2 15" xfId="6561" xr:uid="{00000000-0005-0000-0000-000090190000}"/>
    <cellStyle name="Normal 2 4 2 19 2 16" xfId="6562" xr:uid="{00000000-0005-0000-0000-000091190000}"/>
    <cellStyle name="Normal 2 4 2 19 2 2" xfId="6563" xr:uid="{00000000-0005-0000-0000-000092190000}"/>
    <cellStyle name="Normal 2 4 2 19 2 2 2" xfId="6564" xr:uid="{00000000-0005-0000-0000-000093190000}"/>
    <cellStyle name="Normal 2 4 2 19 2 2 3" xfId="6565" xr:uid="{00000000-0005-0000-0000-000094190000}"/>
    <cellStyle name="Normal 2 4 2 19 2 3" xfId="6566" xr:uid="{00000000-0005-0000-0000-000095190000}"/>
    <cellStyle name="Normal 2 4 2 19 2 3 2" xfId="6567" xr:uid="{00000000-0005-0000-0000-000096190000}"/>
    <cellStyle name="Normal 2 4 2 19 2 3 3" xfId="6568" xr:uid="{00000000-0005-0000-0000-000097190000}"/>
    <cellStyle name="Normal 2 4 2 19 2 4" xfId="6569" xr:uid="{00000000-0005-0000-0000-000098190000}"/>
    <cellStyle name="Normal 2 4 2 19 2 4 2" xfId="6570" xr:uid="{00000000-0005-0000-0000-000099190000}"/>
    <cellStyle name="Normal 2 4 2 19 2 4 3" xfId="6571" xr:uid="{00000000-0005-0000-0000-00009A190000}"/>
    <cellStyle name="Normal 2 4 2 19 2 5" xfId="6572" xr:uid="{00000000-0005-0000-0000-00009B190000}"/>
    <cellStyle name="Normal 2 4 2 19 2 5 2" xfId="6573" xr:uid="{00000000-0005-0000-0000-00009C190000}"/>
    <cellStyle name="Normal 2 4 2 19 2 5 3" xfId="6574" xr:uid="{00000000-0005-0000-0000-00009D190000}"/>
    <cellStyle name="Normal 2 4 2 19 2 6" xfId="6575" xr:uid="{00000000-0005-0000-0000-00009E190000}"/>
    <cellStyle name="Normal 2 4 2 19 2 6 2" xfId="6576" xr:uid="{00000000-0005-0000-0000-00009F190000}"/>
    <cellStyle name="Normal 2 4 2 19 2 6 3" xfId="6577" xr:uid="{00000000-0005-0000-0000-0000A0190000}"/>
    <cellStyle name="Normal 2 4 2 19 2 7" xfId="6578" xr:uid="{00000000-0005-0000-0000-0000A1190000}"/>
    <cellStyle name="Normal 2 4 2 19 2 7 2" xfId="6579" xr:uid="{00000000-0005-0000-0000-0000A2190000}"/>
    <cellStyle name="Normal 2 4 2 19 2 7 3" xfId="6580" xr:uid="{00000000-0005-0000-0000-0000A3190000}"/>
    <cellStyle name="Normal 2 4 2 19 2 8" xfId="6581" xr:uid="{00000000-0005-0000-0000-0000A4190000}"/>
    <cellStyle name="Normal 2 4 2 19 2 8 2" xfId="6582" xr:uid="{00000000-0005-0000-0000-0000A5190000}"/>
    <cellStyle name="Normal 2 4 2 19 2 8 3" xfId="6583" xr:uid="{00000000-0005-0000-0000-0000A6190000}"/>
    <cellStyle name="Normal 2 4 2 19 2 9" xfId="6584" xr:uid="{00000000-0005-0000-0000-0000A7190000}"/>
    <cellStyle name="Normal 2 4 2 19 2 9 2" xfId="6585" xr:uid="{00000000-0005-0000-0000-0000A8190000}"/>
    <cellStyle name="Normal 2 4 2 19 2 9 3" xfId="6586" xr:uid="{00000000-0005-0000-0000-0000A9190000}"/>
    <cellStyle name="Normal 2 4 2 19 3" xfId="6587" xr:uid="{00000000-0005-0000-0000-0000AA190000}"/>
    <cellStyle name="Normal 2 4 2 19 3 2" xfId="6588" xr:uid="{00000000-0005-0000-0000-0000AB190000}"/>
    <cellStyle name="Normal 2 4 2 19 3 3" xfId="6589" xr:uid="{00000000-0005-0000-0000-0000AC190000}"/>
    <cellStyle name="Normal 2 4 2 19 4" xfId="6590" xr:uid="{00000000-0005-0000-0000-0000AD190000}"/>
    <cellStyle name="Normal 2 4 2 19 4 2" xfId="6591" xr:uid="{00000000-0005-0000-0000-0000AE190000}"/>
    <cellStyle name="Normal 2 4 2 19 4 3" xfId="6592" xr:uid="{00000000-0005-0000-0000-0000AF190000}"/>
    <cellStyle name="Normal 2 4 2 19 5" xfId="6593" xr:uid="{00000000-0005-0000-0000-0000B0190000}"/>
    <cellStyle name="Normal 2 4 2 19 5 2" xfId="6594" xr:uid="{00000000-0005-0000-0000-0000B1190000}"/>
    <cellStyle name="Normal 2 4 2 19 5 3" xfId="6595" xr:uid="{00000000-0005-0000-0000-0000B2190000}"/>
    <cellStyle name="Normal 2 4 2 19 6" xfId="6596" xr:uid="{00000000-0005-0000-0000-0000B3190000}"/>
    <cellStyle name="Normal 2 4 2 19 6 2" xfId="6597" xr:uid="{00000000-0005-0000-0000-0000B4190000}"/>
    <cellStyle name="Normal 2 4 2 19 6 3" xfId="6598" xr:uid="{00000000-0005-0000-0000-0000B5190000}"/>
    <cellStyle name="Normal 2 4 2 19 7" xfId="6599" xr:uid="{00000000-0005-0000-0000-0000B6190000}"/>
    <cellStyle name="Normal 2 4 2 19 7 2" xfId="6600" xr:uid="{00000000-0005-0000-0000-0000B7190000}"/>
    <cellStyle name="Normal 2 4 2 19 7 3" xfId="6601" xr:uid="{00000000-0005-0000-0000-0000B8190000}"/>
    <cellStyle name="Normal 2 4 2 19 8" xfId="6602" xr:uid="{00000000-0005-0000-0000-0000B9190000}"/>
    <cellStyle name="Normal 2 4 2 19 8 2" xfId="6603" xr:uid="{00000000-0005-0000-0000-0000BA190000}"/>
    <cellStyle name="Normal 2 4 2 19 8 3" xfId="6604" xr:uid="{00000000-0005-0000-0000-0000BB190000}"/>
    <cellStyle name="Normal 2 4 2 19 9" xfId="6605" xr:uid="{00000000-0005-0000-0000-0000BC190000}"/>
    <cellStyle name="Normal 2 4 2 19 9 2" xfId="6606" xr:uid="{00000000-0005-0000-0000-0000BD190000}"/>
    <cellStyle name="Normal 2 4 2 19 9 3" xfId="6607" xr:uid="{00000000-0005-0000-0000-0000BE190000}"/>
    <cellStyle name="Normal 2 4 2 2" xfId="6608" xr:uid="{00000000-0005-0000-0000-0000BF190000}"/>
    <cellStyle name="Normal 2 4 2 2 10" xfId="6609" xr:uid="{00000000-0005-0000-0000-0000C0190000}"/>
    <cellStyle name="Normal 2 4 2 2 11" xfId="6610" xr:uid="{00000000-0005-0000-0000-0000C1190000}"/>
    <cellStyle name="Normal 2 4 2 2 12" xfId="6611" xr:uid="{00000000-0005-0000-0000-0000C2190000}"/>
    <cellStyle name="Normal 2 4 2 2 13" xfId="6612" xr:uid="{00000000-0005-0000-0000-0000C3190000}"/>
    <cellStyle name="Normal 2 4 2 2 14" xfId="6613" xr:uid="{00000000-0005-0000-0000-0000C4190000}"/>
    <cellStyle name="Normal 2 4 2 2 2" xfId="6614" xr:uid="{00000000-0005-0000-0000-0000C5190000}"/>
    <cellStyle name="Normal 2 4 2 2 2 10" xfId="6615" xr:uid="{00000000-0005-0000-0000-0000C6190000}"/>
    <cellStyle name="Normal 2 4 2 2 2 11" xfId="6616" xr:uid="{00000000-0005-0000-0000-0000C7190000}"/>
    <cellStyle name="Normal 2 4 2 2 2 12" xfId="6617" xr:uid="{00000000-0005-0000-0000-0000C8190000}"/>
    <cellStyle name="Normal 2 4 2 2 2 13" xfId="6618" xr:uid="{00000000-0005-0000-0000-0000C9190000}"/>
    <cellStyle name="Normal 2 4 2 2 2 14" xfId="6619" xr:uid="{00000000-0005-0000-0000-0000CA190000}"/>
    <cellStyle name="Normal 2 4 2 2 2 15" xfId="6620" xr:uid="{00000000-0005-0000-0000-0000CB190000}"/>
    <cellStyle name="Normal 2 4 2 2 2 16" xfId="6621" xr:uid="{00000000-0005-0000-0000-0000CC190000}"/>
    <cellStyle name="Normal 2 4 2 2 2 17" xfId="6622" xr:uid="{00000000-0005-0000-0000-0000CD190000}"/>
    <cellStyle name="Normal 2 4 2 2 2 18" xfId="6623" xr:uid="{00000000-0005-0000-0000-0000CE190000}"/>
    <cellStyle name="Normal 2 4 2 2 2 19" xfId="6624" xr:uid="{00000000-0005-0000-0000-0000CF190000}"/>
    <cellStyle name="Normal 2 4 2 2 2 2" xfId="6625" xr:uid="{00000000-0005-0000-0000-0000D0190000}"/>
    <cellStyle name="Normal 2 4 2 2 2 2 2" xfId="6626" xr:uid="{00000000-0005-0000-0000-0000D1190000}"/>
    <cellStyle name="Normal 2 4 2 2 2 2 2 2" xfId="6627" xr:uid="{00000000-0005-0000-0000-0000D2190000}"/>
    <cellStyle name="Normal 2 4 2 2 2 2 2 3" xfId="6628" xr:uid="{00000000-0005-0000-0000-0000D3190000}"/>
    <cellStyle name="Normal 2 4 2 2 2 2 3" xfId="6629" xr:uid="{00000000-0005-0000-0000-0000D4190000}"/>
    <cellStyle name="Normal 2 4 2 2 2 2 4" xfId="6630" xr:uid="{00000000-0005-0000-0000-0000D5190000}"/>
    <cellStyle name="Normal 2 4 2 2 2 3" xfId="6631" xr:uid="{00000000-0005-0000-0000-0000D6190000}"/>
    <cellStyle name="Normal 2 4 2 2 2 4" xfId="6632" xr:uid="{00000000-0005-0000-0000-0000D7190000}"/>
    <cellStyle name="Normal 2 4 2 2 2 5" xfId="6633" xr:uid="{00000000-0005-0000-0000-0000D8190000}"/>
    <cellStyle name="Normal 2 4 2 2 2 6" xfId="6634" xr:uid="{00000000-0005-0000-0000-0000D9190000}"/>
    <cellStyle name="Normal 2 4 2 2 2 7" xfId="6635" xr:uid="{00000000-0005-0000-0000-0000DA190000}"/>
    <cellStyle name="Normal 2 4 2 2 2 7 2" xfId="6636" xr:uid="{00000000-0005-0000-0000-0000DB190000}"/>
    <cellStyle name="Normal 2 4 2 2 2 7 2 2" xfId="6637" xr:uid="{00000000-0005-0000-0000-0000DC190000}"/>
    <cellStyle name="Normal 2 4 2 2 2 7 2 3" xfId="6638" xr:uid="{00000000-0005-0000-0000-0000DD190000}"/>
    <cellStyle name="Normal 2 4 2 2 2 7 3" xfId="6639" xr:uid="{00000000-0005-0000-0000-0000DE190000}"/>
    <cellStyle name="Normal 2 4 2 2 2 8" xfId="6640" xr:uid="{00000000-0005-0000-0000-0000DF190000}"/>
    <cellStyle name="Normal 2 4 2 2 2 9" xfId="6641" xr:uid="{00000000-0005-0000-0000-0000E0190000}"/>
    <cellStyle name="Normal 2 4 2 2 3" xfId="6642" xr:uid="{00000000-0005-0000-0000-0000E1190000}"/>
    <cellStyle name="Normal 2 4 2 2 4" xfId="6643" xr:uid="{00000000-0005-0000-0000-0000E2190000}"/>
    <cellStyle name="Normal 2 4 2 2 5" xfId="6644" xr:uid="{00000000-0005-0000-0000-0000E3190000}"/>
    <cellStyle name="Normal 2 4 2 2 6" xfId="6645" xr:uid="{00000000-0005-0000-0000-0000E4190000}"/>
    <cellStyle name="Normal 2 4 2 2 7" xfId="6646" xr:uid="{00000000-0005-0000-0000-0000E5190000}"/>
    <cellStyle name="Normal 2 4 2 2 8" xfId="6647" xr:uid="{00000000-0005-0000-0000-0000E6190000}"/>
    <cellStyle name="Normal 2 4 2 2 9" xfId="6648" xr:uid="{00000000-0005-0000-0000-0000E7190000}"/>
    <cellStyle name="Normal 2 4 2 20" xfId="6649" xr:uid="{00000000-0005-0000-0000-0000E8190000}"/>
    <cellStyle name="Normal 2 4 2 20 10" xfId="6650" xr:uid="{00000000-0005-0000-0000-0000E9190000}"/>
    <cellStyle name="Normal 2 4 2 20 10 2" xfId="6651" xr:uid="{00000000-0005-0000-0000-0000EA190000}"/>
    <cellStyle name="Normal 2 4 2 20 10 3" xfId="6652" xr:uid="{00000000-0005-0000-0000-0000EB190000}"/>
    <cellStyle name="Normal 2 4 2 20 11" xfId="6653" xr:uid="{00000000-0005-0000-0000-0000EC190000}"/>
    <cellStyle name="Normal 2 4 2 20 11 2" xfId="6654" xr:uid="{00000000-0005-0000-0000-0000ED190000}"/>
    <cellStyle name="Normal 2 4 2 20 11 3" xfId="6655" xr:uid="{00000000-0005-0000-0000-0000EE190000}"/>
    <cellStyle name="Normal 2 4 2 20 12" xfId="6656" xr:uid="{00000000-0005-0000-0000-0000EF190000}"/>
    <cellStyle name="Normal 2 4 2 20 12 2" xfId="6657" xr:uid="{00000000-0005-0000-0000-0000F0190000}"/>
    <cellStyle name="Normal 2 4 2 20 12 3" xfId="6658" xr:uid="{00000000-0005-0000-0000-0000F1190000}"/>
    <cellStyle name="Normal 2 4 2 20 13" xfId="6659" xr:uid="{00000000-0005-0000-0000-0000F2190000}"/>
    <cellStyle name="Normal 2 4 2 20 13 2" xfId="6660" xr:uid="{00000000-0005-0000-0000-0000F3190000}"/>
    <cellStyle name="Normal 2 4 2 20 13 3" xfId="6661" xr:uid="{00000000-0005-0000-0000-0000F4190000}"/>
    <cellStyle name="Normal 2 4 2 20 14" xfId="6662" xr:uid="{00000000-0005-0000-0000-0000F5190000}"/>
    <cellStyle name="Normal 2 4 2 20 14 2" xfId="6663" xr:uid="{00000000-0005-0000-0000-0000F6190000}"/>
    <cellStyle name="Normal 2 4 2 20 14 3" xfId="6664" xr:uid="{00000000-0005-0000-0000-0000F7190000}"/>
    <cellStyle name="Normal 2 4 2 20 15" xfId="6665" xr:uid="{00000000-0005-0000-0000-0000F8190000}"/>
    <cellStyle name="Normal 2 4 2 20 15 2" xfId="6666" xr:uid="{00000000-0005-0000-0000-0000F9190000}"/>
    <cellStyle name="Normal 2 4 2 20 15 3" xfId="6667" xr:uid="{00000000-0005-0000-0000-0000FA190000}"/>
    <cellStyle name="Normal 2 4 2 20 16" xfId="6668" xr:uid="{00000000-0005-0000-0000-0000FB190000}"/>
    <cellStyle name="Normal 2 4 2 20 17" xfId="6669" xr:uid="{00000000-0005-0000-0000-0000FC190000}"/>
    <cellStyle name="Normal 2 4 2 20 2" xfId="6670" xr:uid="{00000000-0005-0000-0000-0000FD190000}"/>
    <cellStyle name="Normal 2 4 2 20 2 10" xfId="6671" xr:uid="{00000000-0005-0000-0000-0000FE190000}"/>
    <cellStyle name="Normal 2 4 2 20 2 10 2" xfId="6672" xr:uid="{00000000-0005-0000-0000-0000FF190000}"/>
    <cellStyle name="Normal 2 4 2 20 2 10 3" xfId="6673" xr:uid="{00000000-0005-0000-0000-0000001A0000}"/>
    <cellStyle name="Normal 2 4 2 20 2 11" xfId="6674" xr:uid="{00000000-0005-0000-0000-0000011A0000}"/>
    <cellStyle name="Normal 2 4 2 20 2 11 2" xfId="6675" xr:uid="{00000000-0005-0000-0000-0000021A0000}"/>
    <cellStyle name="Normal 2 4 2 20 2 11 3" xfId="6676" xr:uid="{00000000-0005-0000-0000-0000031A0000}"/>
    <cellStyle name="Normal 2 4 2 20 2 12" xfId="6677" xr:uid="{00000000-0005-0000-0000-0000041A0000}"/>
    <cellStyle name="Normal 2 4 2 20 2 12 2" xfId="6678" xr:uid="{00000000-0005-0000-0000-0000051A0000}"/>
    <cellStyle name="Normal 2 4 2 20 2 12 3" xfId="6679" xr:uid="{00000000-0005-0000-0000-0000061A0000}"/>
    <cellStyle name="Normal 2 4 2 20 2 13" xfId="6680" xr:uid="{00000000-0005-0000-0000-0000071A0000}"/>
    <cellStyle name="Normal 2 4 2 20 2 13 2" xfId="6681" xr:uid="{00000000-0005-0000-0000-0000081A0000}"/>
    <cellStyle name="Normal 2 4 2 20 2 13 3" xfId="6682" xr:uid="{00000000-0005-0000-0000-0000091A0000}"/>
    <cellStyle name="Normal 2 4 2 20 2 14" xfId="6683" xr:uid="{00000000-0005-0000-0000-00000A1A0000}"/>
    <cellStyle name="Normal 2 4 2 20 2 14 2" xfId="6684" xr:uid="{00000000-0005-0000-0000-00000B1A0000}"/>
    <cellStyle name="Normal 2 4 2 20 2 14 3" xfId="6685" xr:uid="{00000000-0005-0000-0000-00000C1A0000}"/>
    <cellStyle name="Normal 2 4 2 20 2 15" xfId="6686" xr:uid="{00000000-0005-0000-0000-00000D1A0000}"/>
    <cellStyle name="Normal 2 4 2 20 2 16" xfId="6687" xr:uid="{00000000-0005-0000-0000-00000E1A0000}"/>
    <cellStyle name="Normal 2 4 2 20 2 2" xfId="6688" xr:uid="{00000000-0005-0000-0000-00000F1A0000}"/>
    <cellStyle name="Normal 2 4 2 20 2 2 2" xfId="6689" xr:uid="{00000000-0005-0000-0000-0000101A0000}"/>
    <cellStyle name="Normal 2 4 2 20 2 2 3" xfId="6690" xr:uid="{00000000-0005-0000-0000-0000111A0000}"/>
    <cellStyle name="Normal 2 4 2 20 2 3" xfId="6691" xr:uid="{00000000-0005-0000-0000-0000121A0000}"/>
    <cellStyle name="Normal 2 4 2 20 2 3 2" xfId="6692" xr:uid="{00000000-0005-0000-0000-0000131A0000}"/>
    <cellStyle name="Normal 2 4 2 20 2 3 3" xfId="6693" xr:uid="{00000000-0005-0000-0000-0000141A0000}"/>
    <cellStyle name="Normal 2 4 2 20 2 4" xfId="6694" xr:uid="{00000000-0005-0000-0000-0000151A0000}"/>
    <cellStyle name="Normal 2 4 2 20 2 4 2" xfId="6695" xr:uid="{00000000-0005-0000-0000-0000161A0000}"/>
    <cellStyle name="Normal 2 4 2 20 2 4 3" xfId="6696" xr:uid="{00000000-0005-0000-0000-0000171A0000}"/>
    <cellStyle name="Normal 2 4 2 20 2 5" xfId="6697" xr:uid="{00000000-0005-0000-0000-0000181A0000}"/>
    <cellStyle name="Normal 2 4 2 20 2 5 2" xfId="6698" xr:uid="{00000000-0005-0000-0000-0000191A0000}"/>
    <cellStyle name="Normal 2 4 2 20 2 5 3" xfId="6699" xr:uid="{00000000-0005-0000-0000-00001A1A0000}"/>
    <cellStyle name="Normal 2 4 2 20 2 6" xfId="6700" xr:uid="{00000000-0005-0000-0000-00001B1A0000}"/>
    <cellStyle name="Normal 2 4 2 20 2 6 2" xfId="6701" xr:uid="{00000000-0005-0000-0000-00001C1A0000}"/>
    <cellStyle name="Normal 2 4 2 20 2 6 3" xfId="6702" xr:uid="{00000000-0005-0000-0000-00001D1A0000}"/>
    <cellStyle name="Normal 2 4 2 20 2 7" xfId="6703" xr:uid="{00000000-0005-0000-0000-00001E1A0000}"/>
    <cellStyle name="Normal 2 4 2 20 2 7 2" xfId="6704" xr:uid="{00000000-0005-0000-0000-00001F1A0000}"/>
    <cellStyle name="Normal 2 4 2 20 2 7 3" xfId="6705" xr:uid="{00000000-0005-0000-0000-0000201A0000}"/>
    <cellStyle name="Normal 2 4 2 20 2 8" xfId="6706" xr:uid="{00000000-0005-0000-0000-0000211A0000}"/>
    <cellStyle name="Normal 2 4 2 20 2 8 2" xfId="6707" xr:uid="{00000000-0005-0000-0000-0000221A0000}"/>
    <cellStyle name="Normal 2 4 2 20 2 8 3" xfId="6708" xr:uid="{00000000-0005-0000-0000-0000231A0000}"/>
    <cellStyle name="Normal 2 4 2 20 2 9" xfId="6709" xr:uid="{00000000-0005-0000-0000-0000241A0000}"/>
    <cellStyle name="Normal 2 4 2 20 2 9 2" xfId="6710" xr:uid="{00000000-0005-0000-0000-0000251A0000}"/>
    <cellStyle name="Normal 2 4 2 20 2 9 3" xfId="6711" xr:uid="{00000000-0005-0000-0000-0000261A0000}"/>
    <cellStyle name="Normal 2 4 2 20 3" xfId="6712" xr:uid="{00000000-0005-0000-0000-0000271A0000}"/>
    <cellStyle name="Normal 2 4 2 20 3 2" xfId="6713" xr:uid="{00000000-0005-0000-0000-0000281A0000}"/>
    <cellStyle name="Normal 2 4 2 20 3 3" xfId="6714" xr:uid="{00000000-0005-0000-0000-0000291A0000}"/>
    <cellStyle name="Normal 2 4 2 20 4" xfId="6715" xr:uid="{00000000-0005-0000-0000-00002A1A0000}"/>
    <cellStyle name="Normal 2 4 2 20 4 2" xfId="6716" xr:uid="{00000000-0005-0000-0000-00002B1A0000}"/>
    <cellStyle name="Normal 2 4 2 20 4 3" xfId="6717" xr:uid="{00000000-0005-0000-0000-00002C1A0000}"/>
    <cellStyle name="Normal 2 4 2 20 5" xfId="6718" xr:uid="{00000000-0005-0000-0000-00002D1A0000}"/>
    <cellStyle name="Normal 2 4 2 20 5 2" xfId="6719" xr:uid="{00000000-0005-0000-0000-00002E1A0000}"/>
    <cellStyle name="Normal 2 4 2 20 5 3" xfId="6720" xr:uid="{00000000-0005-0000-0000-00002F1A0000}"/>
    <cellStyle name="Normal 2 4 2 20 6" xfId="6721" xr:uid="{00000000-0005-0000-0000-0000301A0000}"/>
    <cellStyle name="Normal 2 4 2 20 6 2" xfId="6722" xr:uid="{00000000-0005-0000-0000-0000311A0000}"/>
    <cellStyle name="Normal 2 4 2 20 6 3" xfId="6723" xr:uid="{00000000-0005-0000-0000-0000321A0000}"/>
    <cellStyle name="Normal 2 4 2 20 7" xfId="6724" xr:uid="{00000000-0005-0000-0000-0000331A0000}"/>
    <cellStyle name="Normal 2 4 2 20 7 2" xfId="6725" xr:uid="{00000000-0005-0000-0000-0000341A0000}"/>
    <cellStyle name="Normal 2 4 2 20 7 3" xfId="6726" xr:uid="{00000000-0005-0000-0000-0000351A0000}"/>
    <cellStyle name="Normal 2 4 2 20 8" xfId="6727" xr:uid="{00000000-0005-0000-0000-0000361A0000}"/>
    <cellStyle name="Normal 2 4 2 20 8 2" xfId="6728" xr:uid="{00000000-0005-0000-0000-0000371A0000}"/>
    <cellStyle name="Normal 2 4 2 20 8 3" xfId="6729" xr:uid="{00000000-0005-0000-0000-0000381A0000}"/>
    <cellStyle name="Normal 2 4 2 20 9" xfId="6730" xr:uid="{00000000-0005-0000-0000-0000391A0000}"/>
    <cellStyle name="Normal 2 4 2 20 9 2" xfId="6731" xr:uid="{00000000-0005-0000-0000-00003A1A0000}"/>
    <cellStyle name="Normal 2 4 2 20 9 3" xfId="6732" xr:uid="{00000000-0005-0000-0000-00003B1A0000}"/>
    <cellStyle name="Normal 2 4 2 21" xfId="6733" xr:uid="{00000000-0005-0000-0000-00003C1A0000}"/>
    <cellStyle name="Normal 2 4 2 21 10" xfId="6734" xr:uid="{00000000-0005-0000-0000-00003D1A0000}"/>
    <cellStyle name="Normal 2 4 2 21 10 2" xfId="6735" xr:uid="{00000000-0005-0000-0000-00003E1A0000}"/>
    <cellStyle name="Normal 2 4 2 21 10 3" xfId="6736" xr:uid="{00000000-0005-0000-0000-00003F1A0000}"/>
    <cellStyle name="Normal 2 4 2 21 11" xfId="6737" xr:uid="{00000000-0005-0000-0000-0000401A0000}"/>
    <cellStyle name="Normal 2 4 2 21 11 2" xfId="6738" xr:uid="{00000000-0005-0000-0000-0000411A0000}"/>
    <cellStyle name="Normal 2 4 2 21 11 3" xfId="6739" xr:uid="{00000000-0005-0000-0000-0000421A0000}"/>
    <cellStyle name="Normal 2 4 2 21 12" xfId="6740" xr:uid="{00000000-0005-0000-0000-0000431A0000}"/>
    <cellStyle name="Normal 2 4 2 21 12 2" xfId="6741" xr:uid="{00000000-0005-0000-0000-0000441A0000}"/>
    <cellStyle name="Normal 2 4 2 21 12 3" xfId="6742" xr:uid="{00000000-0005-0000-0000-0000451A0000}"/>
    <cellStyle name="Normal 2 4 2 21 13" xfId="6743" xr:uid="{00000000-0005-0000-0000-0000461A0000}"/>
    <cellStyle name="Normal 2 4 2 21 13 2" xfId="6744" xr:uid="{00000000-0005-0000-0000-0000471A0000}"/>
    <cellStyle name="Normal 2 4 2 21 13 3" xfId="6745" xr:uid="{00000000-0005-0000-0000-0000481A0000}"/>
    <cellStyle name="Normal 2 4 2 21 14" xfId="6746" xr:uid="{00000000-0005-0000-0000-0000491A0000}"/>
    <cellStyle name="Normal 2 4 2 21 14 2" xfId="6747" xr:uid="{00000000-0005-0000-0000-00004A1A0000}"/>
    <cellStyle name="Normal 2 4 2 21 14 3" xfId="6748" xr:uid="{00000000-0005-0000-0000-00004B1A0000}"/>
    <cellStyle name="Normal 2 4 2 21 15" xfId="6749" xr:uid="{00000000-0005-0000-0000-00004C1A0000}"/>
    <cellStyle name="Normal 2 4 2 21 15 2" xfId="6750" xr:uid="{00000000-0005-0000-0000-00004D1A0000}"/>
    <cellStyle name="Normal 2 4 2 21 15 3" xfId="6751" xr:uid="{00000000-0005-0000-0000-00004E1A0000}"/>
    <cellStyle name="Normal 2 4 2 21 16" xfId="6752" xr:uid="{00000000-0005-0000-0000-00004F1A0000}"/>
    <cellStyle name="Normal 2 4 2 21 17" xfId="6753" xr:uid="{00000000-0005-0000-0000-0000501A0000}"/>
    <cellStyle name="Normal 2 4 2 21 2" xfId="6754" xr:uid="{00000000-0005-0000-0000-0000511A0000}"/>
    <cellStyle name="Normal 2 4 2 21 2 10" xfId="6755" xr:uid="{00000000-0005-0000-0000-0000521A0000}"/>
    <cellStyle name="Normal 2 4 2 21 2 10 2" xfId="6756" xr:uid="{00000000-0005-0000-0000-0000531A0000}"/>
    <cellStyle name="Normal 2 4 2 21 2 10 3" xfId="6757" xr:uid="{00000000-0005-0000-0000-0000541A0000}"/>
    <cellStyle name="Normal 2 4 2 21 2 11" xfId="6758" xr:uid="{00000000-0005-0000-0000-0000551A0000}"/>
    <cellStyle name="Normal 2 4 2 21 2 11 2" xfId="6759" xr:uid="{00000000-0005-0000-0000-0000561A0000}"/>
    <cellStyle name="Normal 2 4 2 21 2 11 3" xfId="6760" xr:uid="{00000000-0005-0000-0000-0000571A0000}"/>
    <cellStyle name="Normal 2 4 2 21 2 12" xfId="6761" xr:uid="{00000000-0005-0000-0000-0000581A0000}"/>
    <cellStyle name="Normal 2 4 2 21 2 12 2" xfId="6762" xr:uid="{00000000-0005-0000-0000-0000591A0000}"/>
    <cellStyle name="Normal 2 4 2 21 2 12 3" xfId="6763" xr:uid="{00000000-0005-0000-0000-00005A1A0000}"/>
    <cellStyle name="Normal 2 4 2 21 2 13" xfId="6764" xr:uid="{00000000-0005-0000-0000-00005B1A0000}"/>
    <cellStyle name="Normal 2 4 2 21 2 13 2" xfId="6765" xr:uid="{00000000-0005-0000-0000-00005C1A0000}"/>
    <cellStyle name="Normal 2 4 2 21 2 13 3" xfId="6766" xr:uid="{00000000-0005-0000-0000-00005D1A0000}"/>
    <cellStyle name="Normal 2 4 2 21 2 14" xfId="6767" xr:uid="{00000000-0005-0000-0000-00005E1A0000}"/>
    <cellStyle name="Normal 2 4 2 21 2 14 2" xfId="6768" xr:uid="{00000000-0005-0000-0000-00005F1A0000}"/>
    <cellStyle name="Normal 2 4 2 21 2 14 3" xfId="6769" xr:uid="{00000000-0005-0000-0000-0000601A0000}"/>
    <cellStyle name="Normal 2 4 2 21 2 15" xfId="6770" xr:uid="{00000000-0005-0000-0000-0000611A0000}"/>
    <cellStyle name="Normal 2 4 2 21 2 16" xfId="6771" xr:uid="{00000000-0005-0000-0000-0000621A0000}"/>
    <cellStyle name="Normal 2 4 2 21 2 2" xfId="6772" xr:uid="{00000000-0005-0000-0000-0000631A0000}"/>
    <cellStyle name="Normal 2 4 2 21 2 2 2" xfId="6773" xr:uid="{00000000-0005-0000-0000-0000641A0000}"/>
    <cellStyle name="Normal 2 4 2 21 2 2 3" xfId="6774" xr:uid="{00000000-0005-0000-0000-0000651A0000}"/>
    <cellStyle name="Normal 2 4 2 21 2 3" xfId="6775" xr:uid="{00000000-0005-0000-0000-0000661A0000}"/>
    <cellStyle name="Normal 2 4 2 21 2 3 2" xfId="6776" xr:uid="{00000000-0005-0000-0000-0000671A0000}"/>
    <cellStyle name="Normal 2 4 2 21 2 3 3" xfId="6777" xr:uid="{00000000-0005-0000-0000-0000681A0000}"/>
    <cellStyle name="Normal 2 4 2 21 2 4" xfId="6778" xr:uid="{00000000-0005-0000-0000-0000691A0000}"/>
    <cellStyle name="Normal 2 4 2 21 2 4 2" xfId="6779" xr:uid="{00000000-0005-0000-0000-00006A1A0000}"/>
    <cellStyle name="Normal 2 4 2 21 2 4 3" xfId="6780" xr:uid="{00000000-0005-0000-0000-00006B1A0000}"/>
    <cellStyle name="Normal 2 4 2 21 2 5" xfId="6781" xr:uid="{00000000-0005-0000-0000-00006C1A0000}"/>
    <cellStyle name="Normal 2 4 2 21 2 5 2" xfId="6782" xr:uid="{00000000-0005-0000-0000-00006D1A0000}"/>
    <cellStyle name="Normal 2 4 2 21 2 5 3" xfId="6783" xr:uid="{00000000-0005-0000-0000-00006E1A0000}"/>
    <cellStyle name="Normal 2 4 2 21 2 6" xfId="6784" xr:uid="{00000000-0005-0000-0000-00006F1A0000}"/>
    <cellStyle name="Normal 2 4 2 21 2 6 2" xfId="6785" xr:uid="{00000000-0005-0000-0000-0000701A0000}"/>
    <cellStyle name="Normal 2 4 2 21 2 6 3" xfId="6786" xr:uid="{00000000-0005-0000-0000-0000711A0000}"/>
    <cellStyle name="Normal 2 4 2 21 2 7" xfId="6787" xr:uid="{00000000-0005-0000-0000-0000721A0000}"/>
    <cellStyle name="Normal 2 4 2 21 2 7 2" xfId="6788" xr:uid="{00000000-0005-0000-0000-0000731A0000}"/>
    <cellStyle name="Normal 2 4 2 21 2 7 3" xfId="6789" xr:uid="{00000000-0005-0000-0000-0000741A0000}"/>
    <cellStyle name="Normal 2 4 2 21 2 8" xfId="6790" xr:uid="{00000000-0005-0000-0000-0000751A0000}"/>
    <cellStyle name="Normal 2 4 2 21 2 8 2" xfId="6791" xr:uid="{00000000-0005-0000-0000-0000761A0000}"/>
    <cellStyle name="Normal 2 4 2 21 2 8 3" xfId="6792" xr:uid="{00000000-0005-0000-0000-0000771A0000}"/>
    <cellStyle name="Normal 2 4 2 21 2 9" xfId="6793" xr:uid="{00000000-0005-0000-0000-0000781A0000}"/>
    <cellStyle name="Normal 2 4 2 21 2 9 2" xfId="6794" xr:uid="{00000000-0005-0000-0000-0000791A0000}"/>
    <cellStyle name="Normal 2 4 2 21 2 9 3" xfId="6795" xr:uid="{00000000-0005-0000-0000-00007A1A0000}"/>
    <cellStyle name="Normal 2 4 2 21 3" xfId="6796" xr:uid="{00000000-0005-0000-0000-00007B1A0000}"/>
    <cellStyle name="Normal 2 4 2 21 3 2" xfId="6797" xr:uid="{00000000-0005-0000-0000-00007C1A0000}"/>
    <cellStyle name="Normal 2 4 2 21 3 3" xfId="6798" xr:uid="{00000000-0005-0000-0000-00007D1A0000}"/>
    <cellStyle name="Normal 2 4 2 21 4" xfId="6799" xr:uid="{00000000-0005-0000-0000-00007E1A0000}"/>
    <cellStyle name="Normal 2 4 2 21 4 2" xfId="6800" xr:uid="{00000000-0005-0000-0000-00007F1A0000}"/>
    <cellStyle name="Normal 2 4 2 21 4 3" xfId="6801" xr:uid="{00000000-0005-0000-0000-0000801A0000}"/>
    <cellStyle name="Normal 2 4 2 21 5" xfId="6802" xr:uid="{00000000-0005-0000-0000-0000811A0000}"/>
    <cellStyle name="Normal 2 4 2 21 5 2" xfId="6803" xr:uid="{00000000-0005-0000-0000-0000821A0000}"/>
    <cellStyle name="Normal 2 4 2 21 5 3" xfId="6804" xr:uid="{00000000-0005-0000-0000-0000831A0000}"/>
    <cellStyle name="Normal 2 4 2 21 6" xfId="6805" xr:uid="{00000000-0005-0000-0000-0000841A0000}"/>
    <cellStyle name="Normal 2 4 2 21 6 2" xfId="6806" xr:uid="{00000000-0005-0000-0000-0000851A0000}"/>
    <cellStyle name="Normal 2 4 2 21 6 3" xfId="6807" xr:uid="{00000000-0005-0000-0000-0000861A0000}"/>
    <cellStyle name="Normal 2 4 2 21 7" xfId="6808" xr:uid="{00000000-0005-0000-0000-0000871A0000}"/>
    <cellStyle name="Normal 2 4 2 21 7 2" xfId="6809" xr:uid="{00000000-0005-0000-0000-0000881A0000}"/>
    <cellStyle name="Normal 2 4 2 21 7 3" xfId="6810" xr:uid="{00000000-0005-0000-0000-0000891A0000}"/>
    <cellStyle name="Normal 2 4 2 21 8" xfId="6811" xr:uid="{00000000-0005-0000-0000-00008A1A0000}"/>
    <cellStyle name="Normal 2 4 2 21 8 2" xfId="6812" xr:uid="{00000000-0005-0000-0000-00008B1A0000}"/>
    <cellStyle name="Normal 2 4 2 21 8 3" xfId="6813" xr:uid="{00000000-0005-0000-0000-00008C1A0000}"/>
    <cellStyle name="Normal 2 4 2 21 9" xfId="6814" xr:uid="{00000000-0005-0000-0000-00008D1A0000}"/>
    <cellStyle name="Normal 2 4 2 21 9 2" xfId="6815" xr:uid="{00000000-0005-0000-0000-00008E1A0000}"/>
    <cellStyle name="Normal 2 4 2 21 9 3" xfId="6816" xr:uid="{00000000-0005-0000-0000-00008F1A0000}"/>
    <cellStyle name="Normal 2 4 2 22" xfId="6817" xr:uid="{00000000-0005-0000-0000-0000901A0000}"/>
    <cellStyle name="Normal 2 4 2 22 10" xfId="6818" xr:uid="{00000000-0005-0000-0000-0000911A0000}"/>
    <cellStyle name="Normal 2 4 2 22 10 2" xfId="6819" xr:uid="{00000000-0005-0000-0000-0000921A0000}"/>
    <cellStyle name="Normal 2 4 2 22 10 3" xfId="6820" xr:uid="{00000000-0005-0000-0000-0000931A0000}"/>
    <cellStyle name="Normal 2 4 2 22 11" xfId="6821" xr:uid="{00000000-0005-0000-0000-0000941A0000}"/>
    <cellStyle name="Normal 2 4 2 22 11 2" xfId="6822" xr:uid="{00000000-0005-0000-0000-0000951A0000}"/>
    <cellStyle name="Normal 2 4 2 22 11 3" xfId="6823" xr:uid="{00000000-0005-0000-0000-0000961A0000}"/>
    <cellStyle name="Normal 2 4 2 22 12" xfId="6824" xr:uid="{00000000-0005-0000-0000-0000971A0000}"/>
    <cellStyle name="Normal 2 4 2 22 12 2" xfId="6825" xr:uid="{00000000-0005-0000-0000-0000981A0000}"/>
    <cellStyle name="Normal 2 4 2 22 12 3" xfId="6826" xr:uid="{00000000-0005-0000-0000-0000991A0000}"/>
    <cellStyle name="Normal 2 4 2 22 13" xfId="6827" xr:uid="{00000000-0005-0000-0000-00009A1A0000}"/>
    <cellStyle name="Normal 2 4 2 22 13 2" xfId="6828" xr:uid="{00000000-0005-0000-0000-00009B1A0000}"/>
    <cellStyle name="Normal 2 4 2 22 13 3" xfId="6829" xr:uid="{00000000-0005-0000-0000-00009C1A0000}"/>
    <cellStyle name="Normal 2 4 2 22 14" xfId="6830" xr:uid="{00000000-0005-0000-0000-00009D1A0000}"/>
    <cellStyle name="Normal 2 4 2 22 14 2" xfId="6831" xr:uid="{00000000-0005-0000-0000-00009E1A0000}"/>
    <cellStyle name="Normal 2 4 2 22 14 3" xfId="6832" xr:uid="{00000000-0005-0000-0000-00009F1A0000}"/>
    <cellStyle name="Normal 2 4 2 22 15" xfId="6833" xr:uid="{00000000-0005-0000-0000-0000A01A0000}"/>
    <cellStyle name="Normal 2 4 2 22 16" xfId="6834" xr:uid="{00000000-0005-0000-0000-0000A11A0000}"/>
    <cellStyle name="Normal 2 4 2 22 2" xfId="6835" xr:uid="{00000000-0005-0000-0000-0000A21A0000}"/>
    <cellStyle name="Normal 2 4 2 22 2 2" xfId="6836" xr:uid="{00000000-0005-0000-0000-0000A31A0000}"/>
    <cellStyle name="Normal 2 4 2 22 2 3" xfId="6837" xr:uid="{00000000-0005-0000-0000-0000A41A0000}"/>
    <cellStyle name="Normal 2 4 2 22 3" xfId="6838" xr:uid="{00000000-0005-0000-0000-0000A51A0000}"/>
    <cellStyle name="Normal 2 4 2 22 3 2" xfId="6839" xr:uid="{00000000-0005-0000-0000-0000A61A0000}"/>
    <cellStyle name="Normal 2 4 2 22 3 3" xfId="6840" xr:uid="{00000000-0005-0000-0000-0000A71A0000}"/>
    <cellStyle name="Normal 2 4 2 22 4" xfId="6841" xr:uid="{00000000-0005-0000-0000-0000A81A0000}"/>
    <cellStyle name="Normal 2 4 2 22 4 2" xfId="6842" xr:uid="{00000000-0005-0000-0000-0000A91A0000}"/>
    <cellStyle name="Normal 2 4 2 22 4 3" xfId="6843" xr:uid="{00000000-0005-0000-0000-0000AA1A0000}"/>
    <cellStyle name="Normal 2 4 2 22 5" xfId="6844" xr:uid="{00000000-0005-0000-0000-0000AB1A0000}"/>
    <cellStyle name="Normal 2 4 2 22 5 2" xfId="6845" xr:uid="{00000000-0005-0000-0000-0000AC1A0000}"/>
    <cellStyle name="Normal 2 4 2 22 5 3" xfId="6846" xr:uid="{00000000-0005-0000-0000-0000AD1A0000}"/>
    <cellStyle name="Normal 2 4 2 22 6" xfId="6847" xr:uid="{00000000-0005-0000-0000-0000AE1A0000}"/>
    <cellStyle name="Normal 2 4 2 22 6 2" xfId="6848" xr:uid="{00000000-0005-0000-0000-0000AF1A0000}"/>
    <cellStyle name="Normal 2 4 2 22 6 3" xfId="6849" xr:uid="{00000000-0005-0000-0000-0000B01A0000}"/>
    <cellStyle name="Normal 2 4 2 22 7" xfId="6850" xr:uid="{00000000-0005-0000-0000-0000B11A0000}"/>
    <cellStyle name="Normal 2 4 2 22 7 2" xfId="6851" xr:uid="{00000000-0005-0000-0000-0000B21A0000}"/>
    <cellStyle name="Normal 2 4 2 22 7 3" xfId="6852" xr:uid="{00000000-0005-0000-0000-0000B31A0000}"/>
    <cellStyle name="Normal 2 4 2 22 8" xfId="6853" xr:uid="{00000000-0005-0000-0000-0000B41A0000}"/>
    <cellStyle name="Normal 2 4 2 22 8 2" xfId="6854" xr:uid="{00000000-0005-0000-0000-0000B51A0000}"/>
    <cellStyle name="Normal 2 4 2 22 8 3" xfId="6855" xr:uid="{00000000-0005-0000-0000-0000B61A0000}"/>
    <cellStyle name="Normal 2 4 2 22 9" xfId="6856" xr:uid="{00000000-0005-0000-0000-0000B71A0000}"/>
    <cellStyle name="Normal 2 4 2 22 9 2" xfId="6857" xr:uid="{00000000-0005-0000-0000-0000B81A0000}"/>
    <cellStyle name="Normal 2 4 2 22 9 3" xfId="6858" xr:uid="{00000000-0005-0000-0000-0000B91A0000}"/>
    <cellStyle name="Normal 2 4 2 23" xfId="6859" xr:uid="{00000000-0005-0000-0000-0000BA1A0000}"/>
    <cellStyle name="Normal 2 4 2 23 10" xfId="6860" xr:uid="{00000000-0005-0000-0000-0000BB1A0000}"/>
    <cellStyle name="Normal 2 4 2 23 10 2" xfId="6861" xr:uid="{00000000-0005-0000-0000-0000BC1A0000}"/>
    <cellStyle name="Normal 2 4 2 23 10 3" xfId="6862" xr:uid="{00000000-0005-0000-0000-0000BD1A0000}"/>
    <cellStyle name="Normal 2 4 2 23 11" xfId="6863" xr:uid="{00000000-0005-0000-0000-0000BE1A0000}"/>
    <cellStyle name="Normal 2 4 2 23 11 2" xfId="6864" xr:uid="{00000000-0005-0000-0000-0000BF1A0000}"/>
    <cellStyle name="Normal 2 4 2 23 11 3" xfId="6865" xr:uid="{00000000-0005-0000-0000-0000C01A0000}"/>
    <cellStyle name="Normal 2 4 2 23 12" xfId="6866" xr:uid="{00000000-0005-0000-0000-0000C11A0000}"/>
    <cellStyle name="Normal 2 4 2 23 12 2" xfId="6867" xr:uid="{00000000-0005-0000-0000-0000C21A0000}"/>
    <cellStyle name="Normal 2 4 2 23 12 3" xfId="6868" xr:uid="{00000000-0005-0000-0000-0000C31A0000}"/>
    <cellStyle name="Normal 2 4 2 23 13" xfId="6869" xr:uid="{00000000-0005-0000-0000-0000C41A0000}"/>
    <cellStyle name="Normal 2 4 2 23 13 2" xfId="6870" xr:uid="{00000000-0005-0000-0000-0000C51A0000}"/>
    <cellStyle name="Normal 2 4 2 23 13 3" xfId="6871" xr:uid="{00000000-0005-0000-0000-0000C61A0000}"/>
    <cellStyle name="Normal 2 4 2 23 14" xfId="6872" xr:uid="{00000000-0005-0000-0000-0000C71A0000}"/>
    <cellStyle name="Normal 2 4 2 23 14 2" xfId="6873" xr:uid="{00000000-0005-0000-0000-0000C81A0000}"/>
    <cellStyle name="Normal 2 4 2 23 14 3" xfId="6874" xr:uid="{00000000-0005-0000-0000-0000C91A0000}"/>
    <cellStyle name="Normal 2 4 2 23 15" xfId="6875" xr:uid="{00000000-0005-0000-0000-0000CA1A0000}"/>
    <cellStyle name="Normal 2 4 2 23 16" xfId="6876" xr:uid="{00000000-0005-0000-0000-0000CB1A0000}"/>
    <cellStyle name="Normal 2 4 2 23 2" xfId="6877" xr:uid="{00000000-0005-0000-0000-0000CC1A0000}"/>
    <cellStyle name="Normal 2 4 2 23 2 2" xfId="6878" xr:uid="{00000000-0005-0000-0000-0000CD1A0000}"/>
    <cellStyle name="Normal 2 4 2 23 2 3" xfId="6879" xr:uid="{00000000-0005-0000-0000-0000CE1A0000}"/>
    <cellStyle name="Normal 2 4 2 23 3" xfId="6880" xr:uid="{00000000-0005-0000-0000-0000CF1A0000}"/>
    <cellStyle name="Normal 2 4 2 23 3 2" xfId="6881" xr:uid="{00000000-0005-0000-0000-0000D01A0000}"/>
    <cellStyle name="Normal 2 4 2 23 3 3" xfId="6882" xr:uid="{00000000-0005-0000-0000-0000D11A0000}"/>
    <cellStyle name="Normal 2 4 2 23 4" xfId="6883" xr:uid="{00000000-0005-0000-0000-0000D21A0000}"/>
    <cellStyle name="Normal 2 4 2 23 4 2" xfId="6884" xr:uid="{00000000-0005-0000-0000-0000D31A0000}"/>
    <cellStyle name="Normal 2 4 2 23 4 3" xfId="6885" xr:uid="{00000000-0005-0000-0000-0000D41A0000}"/>
    <cellStyle name="Normal 2 4 2 23 5" xfId="6886" xr:uid="{00000000-0005-0000-0000-0000D51A0000}"/>
    <cellStyle name="Normal 2 4 2 23 5 2" xfId="6887" xr:uid="{00000000-0005-0000-0000-0000D61A0000}"/>
    <cellStyle name="Normal 2 4 2 23 5 3" xfId="6888" xr:uid="{00000000-0005-0000-0000-0000D71A0000}"/>
    <cellStyle name="Normal 2 4 2 23 6" xfId="6889" xr:uid="{00000000-0005-0000-0000-0000D81A0000}"/>
    <cellStyle name="Normal 2 4 2 23 6 2" xfId="6890" xr:uid="{00000000-0005-0000-0000-0000D91A0000}"/>
    <cellStyle name="Normal 2 4 2 23 6 3" xfId="6891" xr:uid="{00000000-0005-0000-0000-0000DA1A0000}"/>
    <cellStyle name="Normal 2 4 2 23 7" xfId="6892" xr:uid="{00000000-0005-0000-0000-0000DB1A0000}"/>
    <cellStyle name="Normal 2 4 2 23 7 2" xfId="6893" xr:uid="{00000000-0005-0000-0000-0000DC1A0000}"/>
    <cellStyle name="Normal 2 4 2 23 7 3" xfId="6894" xr:uid="{00000000-0005-0000-0000-0000DD1A0000}"/>
    <cellStyle name="Normal 2 4 2 23 8" xfId="6895" xr:uid="{00000000-0005-0000-0000-0000DE1A0000}"/>
    <cellStyle name="Normal 2 4 2 23 8 2" xfId="6896" xr:uid="{00000000-0005-0000-0000-0000DF1A0000}"/>
    <cellStyle name="Normal 2 4 2 23 8 3" xfId="6897" xr:uid="{00000000-0005-0000-0000-0000E01A0000}"/>
    <cellStyle name="Normal 2 4 2 23 9" xfId="6898" xr:uid="{00000000-0005-0000-0000-0000E11A0000}"/>
    <cellStyle name="Normal 2 4 2 23 9 2" xfId="6899" xr:uid="{00000000-0005-0000-0000-0000E21A0000}"/>
    <cellStyle name="Normal 2 4 2 23 9 3" xfId="6900" xr:uid="{00000000-0005-0000-0000-0000E31A0000}"/>
    <cellStyle name="Normal 2 4 2 24" xfId="6901" xr:uid="{00000000-0005-0000-0000-0000E41A0000}"/>
    <cellStyle name="Normal 2 4 2 24 10" xfId="6902" xr:uid="{00000000-0005-0000-0000-0000E51A0000}"/>
    <cellStyle name="Normal 2 4 2 24 10 2" xfId="6903" xr:uid="{00000000-0005-0000-0000-0000E61A0000}"/>
    <cellStyle name="Normal 2 4 2 24 10 3" xfId="6904" xr:uid="{00000000-0005-0000-0000-0000E71A0000}"/>
    <cellStyle name="Normal 2 4 2 24 11" xfId="6905" xr:uid="{00000000-0005-0000-0000-0000E81A0000}"/>
    <cellStyle name="Normal 2 4 2 24 11 2" xfId="6906" xr:uid="{00000000-0005-0000-0000-0000E91A0000}"/>
    <cellStyle name="Normal 2 4 2 24 11 3" xfId="6907" xr:uid="{00000000-0005-0000-0000-0000EA1A0000}"/>
    <cellStyle name="Normal 2 4 2 24 12" xfId="6908" xr:uid="{00000000-0005-0000-0000-0000EB1A0000}"/>
    <cellStyle name="Normal 2 4 2 24 12 2" xfId="6909" xr:uid="{00000000-0005-0000-0000-0000EC1A0000}"/>
    <cellStyle name="Normal 2 4 2 24 12 3" xfId="6910" xr:uid="{00000000-0005-0000-0000-0000ED1A0000}"/>
    <cellStyle name="Normal 2 4 2 24 13" xfId="6911" xr:uid="{00000000-0005-0000-0000-0000EE1A0000}"/>
    <cellStyle name="Normal 2 4 2 24 13 2" xfId="6912" xr:uid="{00000000-0005-0000-0000-0000EF1A0000}"/>
    <cellStyle name="Normal 2 4 2 24 13 3" xfId="6913" xr:uid="{00000000-0005-0000-0000-0000F01A0000}"/>
    <cellStyle name="Normal 2 4 2 24 14" xfId="6914" xr:uid="{00000000-0005-0000-0000-0000F11A0000}"/>
    <cellStyle name="Normal 2 4 2 24 14 2" xfId="6915" xr:uid="{00000000-0005-0000-0000-0000F21A0000}"/>
    <cellStyle name="Normal 2 4 2 24 14 3" xfId="6916" xr:uid="{00000000-0005-0000-0000-0000F31A0000}"/>
    <cellStyle name="Normal 2 4 2 24 15" xfId="6917" xr:uid="{00000000-0005-0000-0000-0000F41A0000}"/>
    <cellStyle name="Normal 2 4 2 24 16" xfId="6918" xr:uid="{00000000-0005-0000-0000-0000F51A0000}"/>
    <cellStyle name="Normal 2 4 2 24 2" xfId="6919" xr:uid="{00000000-0005-0000-0000-0000F61A0000}"/>
    <cellStyle name="Normal 2 4 2 24 2 2" xfId="6920" xr:uid="{00000000-0005-0000-0000-0000F71A0000}"/>
    <cellStyle name="Normal 2 4 2 24 2 3" xfId="6921" xr:uid="{00000000-0005-0000-0000-0000F81A0000}"/>
    <cellStyle name="Normal 2 4 2 24 3" xfId="6922" xr:uid="{00000000-0005-0000-0000-0000F91A0000}"/>
    <cellStyle name="Normal 2 4 2 24 3 2" xfId="6923" xr:uid="{00000000-0005-0000-0000-0000FA1A0000}"/>
    <cellStyle name="Normal 2 4 2 24 3 3" xfId="6924" xr:uid="{00000000-0005-0000-0000-0000FB1A0000}"/>
    <cellStyle name="Normal 2 4 2 24 4" xfId="6925" xr:uid="{00000000-0005-0000-0000-0000FC1A0000}"/>
    <cellStyle name="Normal 2 4 2 24 4 2" xfId="6926" xr:uid="{00000000-0005-0000-0000-0000FD1A0000}"/>
    <cellStyle name="Normal 2 4 2 24 4 3" xfId="6927" xr:uid="{00000000-0005-0000-0000-0000FE1A0000}"/>
    <cellStyle name="Normal 2 4 2 24 5" xfId="6928" xr:uid="{00000000-0005-0000-0000-0000FF1A0000}"/>
    <cellStyle name="Normal 2 4 2 24 5 2" xfId="6929" xr:uid="{00000000-0005-0000-0000-0000001B0000}"/>
    <cellStyle name="Normal 2 4 2 24 5 3" xfId="6930" xr:uid="{00000000-0005-0000-0000-0000011B0000}"/>
    <cellStyle name="Normal 2 4 2 24 6" xfId="6931" xr:uid="{00000000-0005-0000-0000-0000021B0000}"/>
    <cellStyle name="Normal 2 4 2 24 6 2" xfId="6932" xr:uid="{00000000-0005-0000-0000-0000031B0000}"/>
    <cellStyle name="Normal 2 4 2 24 6 3" xfId="6933" xr:uid="{00000000-0005-0000-0000-0000041B0000}"/>
    <cellStyle name="Normal 2 4 2 24 7" xfId="6934" xr:uid="{00000000-0005-0000-0000-0000051B0000}"/>
    <cellStyle name="Normal 2 4 2 24 7 2" xfId="6935" xr:uid="{00000000-0005-0000-0000-0000061B0000}"/>
    <cellStyle name="Normal 2 4 2 24 7 3" xfId="6936" xr:uid="{00000000-0005-0000-0000-0000071B0000}"/>
    <cellStyle name="Normal 2 4 2 24 8" xfId="6937" xr:uid="{00000000-0005-0000-0000-0000081B0000}"/>
    <cellStyle name="Normal 2 4 2 24 8 2" xfId="6938" xr:uid="{00000000-0005-0000-0000-0000091B0000}"/>
    <cellStyle name="Normal 2 4 2 24 8 3" xfId="6939" xr:uid="{00000000-0005-0000-0000-00000A1B0000}"/>
    <cellStyle name="Normal 2 4 2 24 9" xfId="6940" xr:uid="{00000000-0005-0000-0000-00000B1B0000}"/>
    <cellStyle name="Normal 2 4 2 24 9 2" xfId="6941" xr:uid="{00000000-0005-0000-0000-00000C1B0000}"/>
    <cellStyle name="Normal 2 4 2 24 9 3" xfId="6942" xr:uid="{00000000-0005-0000-0000-00000D1B0000}"/>
    <cellStyle name="Normal 2 4 2 25" xfId="6943" xr:uid="{00000000-0005-0000-0000-00000E1B0000}"/>
    <cellStyle name="Normal 2 4 2 25 10" xfId="6944" xr:uid="{00000000-0005-0000-0000-00000F1B0000}"/>
    <cellStyle name="Normal 2 4 2 25 10 2" xfId="6945" xr:uid="{00000000-0005-0000-0000-0000101B0000}"/>
    <cellStyle name="Normal 2 4 2 25 10 3" xfId="6946" xr:uid="{00000000-0005-0000-0000-0000111B0000}"/>
    <cellStyle name="Normal 2 4 2 25 11" xfId="6947" xr:uid="{00000000-0005-0000-0000-0000121B0000}"/>
    <cellStyle name="Normal 2 4 2 25 11 2" xfId="6948" xr:uid="{00000000-0005-0000-0000-0000131B0000}"/>
    <cellStyle name="Normal 2 4 2 25 11 3" xfId="6949" xr:uid="{00000000-0005-0000-0000-0000141B0000}"/>
    <cellStyle name="Normal 2 4 2 25 12" xfId="6950" xr:uid="{00000000-0005-0000-0000-0000151B0000}"/>
    <cellStyle name="Normal 2 4 2 25 12 2" xfId="6951" xr:uid="{00000000-0005-0000-0000-0000161B0000}"/>
    <cellStyle name="Normal 2 4 2 25 12 3" xfId="6952" xr:uid="{00000000-0005-0000-0000-0000171B0000}"/>
    <cellStyle name="Normal 2 4 2 25 13" xfId="6953" xr:uid="{00000000-0005-0000-0000-0000181B0000}"/>
    <cellStyle name="Normal 2 4 2 25 13 2" xfId="6954" xr:uid="{00000000-0005-0000-0000-0000191B0000}"/>
    <cellStyle name="Normal 2 4 2 25 13 3" xfId="6955" xr:uid="{00000000-0005-0000-0000-00001A1B0000}"/>
    <cellStyle name="Normal 2 4 2 25 14" xfId="6956" xr:uid="{00000000-0005-0000-0000-00001B1B0000}"/>
    <cellStyle name="Normal 2 4 2 25 14 2" xfId="6957" xr:uid="{00000000-0005-0000-0000-00001C1B0000}"/>
    <cellStyle name="Normal 2 4 2 25 14 3" xfId="6958" xr:uid="{00000000-0005-0000-0000-00001D1B0000}"/>
    <cellStyle name="Normal 2 4 2 25 15" xfId="6959" xr:uid="{00000000-0005-0000-0000-00001E1B0000}"/>
    <cellStyle name="Normal 2 4 2 25 16" xfId="6960" xr:uid="{00000000-0005-0000-0000-00001F1B0000}"/>
    <cellStyle name="Normal 2 4 2 25 2" xfId="6961" xr:uid="{00000000-0005-0000-0000-0000201B0000}"/>
    <cellStyle name="Normal 2 4 2 25 2 2" xfId="6962" xr:uid="{00000000-0005-0000-0000-0000211B0000}"/>
    <cellStyle name="Normal 2 4 2 25 2 3" xfId="6963" xr:uid="{00000000-0005-0000-0000-0000221B0000}"/>
    <cellStyle name="Normal 2 4 2 25 3" xfId="6964" xr:uid="{00000000-0005-0000-0000-0000231B0000}"/>
    <cellStyle name="Normal 2 4 2 25 3 2" xfId="6965" xr:uid="{00000000-0005-0000-0000-0000241B0000}"/>
    <cellStyle name="Normal 2 4 2 25 3 3" xfId="6966" xr:uid="{00000000-0005-0000-0000-0000251B0000}"/>
    <cellStyle name="Normal 2 4 2 25 4" xfId="6967" xr:uid="{00000000-0005-0000-0000-0000261B0000}"/>
    <cellStyle name="Normal 2 4 2 25 4 2" xfId="6968" xr:uid="{00000000-0005-0000-0000-0000271B0000}"/>
    <cellStyle name="Normal 2 4 2 25 4 3" xfId="6969" xr:uid="{00000000-0005-0000-0000-0000281B0000}"/>
    <cellStyle name="Normal 2 4 2 25 5" xfId="6970" xr:uid="{00000000-0005-0000-0000-0000291B0000}"/>
    <cellStyle name="Normal 2 4 2 25 5 2" xfId="6971" xr:uid="{00000000-0005-0000-0000-00002A1B0000}"/>
    <cellStyle name="Normal 2 4 2 25 5 3" xfId="6972" xr:uid="{00000000-0005-0000-0000-00002B1B0000}"/>
    <cellStyle name="Normal 2 4 2 25 6" xfId="6973" xr:uid="{00000000-0005-0000-0000-00002C1B0000}"/>
    <cellStyle name="Normal 2 4 2 25 6 2" xfId="6974" xr:uid="{00000000-0005-0000-0000-00002D1B0000}"/>
    <cellStyle name="Normal 2 4 2 25 6 3" xfId="6975" xr:uid="{00000000-0005-0000-0000-00002E1B0000}"/>
    <cellStyle name="Normal 2 4 2 25 7" xfId="6976" xr:uid="{00000000-0005-0000-0000-00002F1B0000}"/>
    <cellStyle name="Normal 2 4 2 25 7 2" xfId="6977" xr:uid="{00000000-0005-0000-0000-0000301B0000}"/>
    <cellStyle name="Normal 2 4 2 25 7 3" xfId="6978" xr:uid="{00000000-0005-0000-0000-0000311B0000}"/>
    <cellStyle name="Normal 2 4 2 25 8" xfId="6979" xr:uid="{00000000-0005-0000-0000-0000321B0000}"/>
    <cellStyle name="Normal 2 4 2 25 8 2" xfId="6980" xr:uid="{00000000-0005-0000-0000-0000331B0000}"/>
    <cellStyle name="Normal 2 4 2 25 8 3" xfId="6981" xr:uid="{00000000-0005-0000-0000-0000341B0000}"/>
    <cellStyle name="Normal 2 4 2 25 9" xfId="6982" xr:uid="{00000000-0005-0000-0000-0000351B0000}"/>
    <cellStyle name="Normal 2 4 2 25 9 2" xfId="6983" xr:uid="{00000000-0005-0000-0000-0000361B0000}"/>
    <cellStyle name="Normal 2 4 2 25 9 3" xfId="6984" xr:uid="{00000000-0005-0000-0000-0000371B0000}"/>
    <cellStyle name="Normal 2 4 2 26" xfId="6985" xr:uid="{00000000-0005-0000-0000-0000381B0000}"/>
    <cellStyle name="Normal 2 4 2 26 10" xfId="6986" xr:uid="{00000000-0005-0000-0000-0000391B0000}"/>
    <cellStyle name="Normal 2 4 2 26 10 2" xfId="6987" xr:uid="{00000000-0005-0000-0000-00003A1B0000}"/>
    <cellStyle name="Normal 2 4 2 26 10 3" xfId="6988" xr:uid="{00000000-0005-0000-0000-00003B1B0000}"/>
    <cellStyle name="Normal 2 4 2 26 11" xfId="6989" xr:uid="{00000000-0005-0000-0000-00003C1B0000}"/>
    <cellStyle name="Normal 2 4 2 26 11 2" xfId="6990" xr:uid="{00000000-0005-0000-0000-00003D1B0000}"/>
    <cellStyle name="Normal 2 4 2 26 11 3" xfId="6991" xr:uid="{00000000-0005-0000-0000-00003E1B0000}"/>
    <cellStyle name="Normal 2 4 2 26 12" xfId="6992" xr:uid="{00000000-0005-0000-0000-00003F1B0000}"/>
    <cellStyle name="Normal 2 4 2 26 12 2" xfId="6993" xr:uid="{00000000-0005-0000-0000-0000401B0000}"/>
    <cellStyle name="Normal 2 4 2 26 12 3" xfId="6994" xr:uid="{00000000-0005-0000-0000-0000411B0000}"/>
    <cellStyle name="Normal 2 4 2 26 13" xfId="6995" xr:uid="{00000000-0005-0000-0000-0000421B0000}"/>
    <cellStyle name="Normal 2 4 2 26 13 2" xfId="6996" xr:uid="{00000000-0005-0000-0000-0000431B0000}"/>
    <cellStyle name="Normal 2 4 2 26 13 3" xfId="6997" xr:uid="{00000000-0005-0000-0000-0000441B0000}"/>
    <cellStyle name="Normal 2 4 2 26 14" xfId="6998" xr:uid="{00000000-0005-0000-0000-0000451B0000}"/>
    <cellStyle name="Normal 2 4 2 26 14 2" xfId="6999" xr:uid="{00000000-0005-0000-0000-0000461B0000}"/>
    <cellStyle name="Normal 2 4 2 26 14 3" xfId="7000" xr:uid="{00000000-0005-0000-0000-0000471B0000}"/>
    <cellStyle name="Normal 2 4 2 26 15" xfId="7001" xr:uid="{00000000-0005-0000-0000-0000481B0000}"/>
    <cellStyle name="Normal 2 4 2 26 16" xfId="7002" xr:uid="{00000000-0005-0000-0000-0000491B0000}"/>
    <cellStyle name="Normal 2 4 2 26 2" xfId="7003" xr:uid="{00000000-0005-0000-0000-00004A1B0000}"/>
    <cellStyle name="Normal 2 4 2 26 2 2" xfId="7004" xr:uid="{00000000-0005-0000-0000-00004B1B0000}"/>
    <cellStyle name="Normal 2 4 2 26 2 3" xfId="7005" xr:uid="{00000000-0005-0000-0000-00004C1B0000}"/>
    <cellStyle name="Normal 2 4 2 26 3" xfId="7006" xr:uid="{00000000-0005-0000-0000-00004D1B0000}"/>
    <cellStyle name="Normal 2 4 2 26 3 2" xfId="7007" xr:uid="{00000000-0005-0000-0000-00004E1B0000}"/>
    <cellStyle name="Normal 2 4 2 26 3 3" xfId="7008" xr:uid="{00000000-0005-0000-0000-00004F1B0000}"/>
    <cellStyle name="Normal 2 4 2 26 4" xfId="7009" xr:uid="{00000000-0005-0000-0000-0000501B0000}"/>
    <cellStyle name="Normal 2 4 2 26 4 2" xfId="7010" xr:uid="{00000000-0005-0000-0000-0000511B0000}"/>
    <cellStyle name="Normal 2 4 2 26 4 3" xfId="7011" xr:uid="{00000000-0005-0000-0000-0000521B0000}"/>
    <cellStyle name="Normal 2 4 2 26 5" xfId="7012" xr:uid="{00000000-0005-0000-0000-0000531B0000}"/>
    <cellStyle name="Normal 2 4 2 26 5 2" xfId="7013" xr:uid="{00000000-0005-0000-0000-0000541B0000}"/>
    <cellStyle name="Normal 2 4 2 26 5 3" xfId="7014" xr:uid="{00000000-0005-0000-0000-0000551B0000}"/>
    <cellStyle name="Normal 2 4 2 26 6" xfId="7015" xr:uid="{00000000-0005-0000-0000-0000561B0000}"/>
    <cellStyle name="Normal 2 4 2 26 6 2" xfId="7016" xr:uid="{00000000-0005-0000-0000-0000571B0000}"/>
    <cellStyle name="Normal 2 4 2 26 6 3" xfId="7017" xr:uid="{00000000-0005-0000-0000-0000581B0000}"/>
    <cellStyle name="Normal 2 4 2 26 7" xfId="7018" xr:uid="{00000000-0005-0000-0000-0000591B0000}"/>
    <cellStyle name="Normal 2 4 2 26 7 2" xfId="7019" xr:uid="{00000000-0005-0000-0000-00005A1B0000}"/>
    <cellStyle name="Normal 2 4 2 26 7 3" xfId="7020" xr:uid="{00000000-0005-0000-0000-00005B1B0000}"/>
    <cellStyle name="Normal 2 4 2 26 8" xfId="7021" xr:uid="{00000000-0005-0000-0000-00005C1B0000}"/>
    <cellStyle name="Normal 2 4 2 26 8 2" xfId="7022" xr:uid="{00000000-0005-0000-0000-00005D1B0000}"/>
    <cellStyle name="Normal 2 4 2 26 8 3" xfId="7023" xr:uid="{00000000-0005-0000-0000-00005E1B0000}"/>
    <cellStyle name="Normal 2 4 2 26 9" xfId="7024" xr:uid="{00000000-0005-0000-0000-00005F1B0000}"/>
    <cellStyle name="Normal 2 4 2 26 9 2" xfId="7025" xr:uid="{00000000-0005-0000-0000-0000601B0000}"/>
    <cellStyle name="Normal 2 4 2 26 9 3" xfId="7026" xr:uid="{00000000-0005-0000-0000-0000611B0000}"/>
    <cellStyle name="Normal 2 4 2 27" xfId="7027" xr:uid="{00000000-0005-0000-0000-0000621B0000}"/>
    <cellStyle name="Normal 2 4 2 27 10" xfId="7028" xr:uid="{00000000-0005-0000-0000-0000631B0000}"/>
    <cellStyle name="Normal 2 4 2 27 10 2" xfId="7029" xr:uid="{00000000-0005-0000-0000-0000641B0000}"/>
    <cellStyle name="Normal 2 4 2 27 10 3" xfId="7030" xr:uid="{00000000-0005-0000-0000-0000651B0000}"/>
    <cellStyle name="Normal 2 4 2 27 11" xfId="7031" xr:uid="{00000000-0005-0000-0000-0000661B0000}"/>
    <cellStyle name="Normal 2 4 2 27 11 2" xfId="7032" xr:uid="{00000000-0005-0000-0000-0000671B0000}"/>
    <cellStyle name="Normal 2 4 2 27 11 3" xfId="7033" xr:uid="{00000000-0005-0000-0000-0000681B0000}"/>
    <cellStyle name="Normal 2 4 2 27 12" xfId="7034" xr:uid="{00000000-0005-0000-0000-0000691B0000}"/>
    <cellStyle name="Normal 2 4 2 27 12 2" xfId="7035" xr:uid="{00000000-0005-0000-0000-00006A1B0000}"/>
    <cellStyle name="Normal 2 4 2 27 12 3" xfId="7036" xr:uid="{00000000-0005-0000-0000-00006B1B0000}"/>
    <cellStyle name="Normal 2 4 2 27 13" xfId="7037" xr:uid="{00000000-0005-0000-0000-00006C1B0000}"/>
    <cellStyle name="Normal 2 4 2 27 13 2" xfId="7038" xr:uid="{00000000-0005-0000-0000-00006D1B0000}"/>
    <cellStyle name="Normal 2 4 2 27 13 3" xfId="7039" xr:uid="{00000000-0005-0000-0000-00006E1B0000}"/>
    <cellStyle name="Normal 2 4 2 27 14" xfId="7040" xr:uid="{00000000-0005-0000-0000-00006F1B0000}"/>
    <cellStyle name="Normal 2 4 2 27 14 2" xfId="7041" xr:uid="{00000000-0005-0000-0000-0000701B0000}"/>
    <cellStyle name="Normal 2 4 2 27 14 3" xfId="7042" xr:uid="{00000000-0005-0000-0000-0000711B0000}"/>
    <cellStyle name="Normal 2 4 2 27 15" xfId="7043" xr:uid="{00000000-0005-0000-0000-0000721B0000}"/>
    <cellStyle name="Normal 2 4 2 27 16" xfId="7044" xr:uid="{00000000-0005-0000-0000-0000731B0000}"/>
    <cellStyle name="Normal 2 4 2 27 2" xfId="7045" xr:uid="{00000000-0005-0000-0000-0000741B0000}"/>
    <cellStyle name="Normal 2 4 2 27 2 2" xfId="7046" xr:uid="{00000000-0005-0000-0000-0000751B0000}"/>
    <cellStyle name="Normal 2 4 2 27 2 3" xfId="7047" xr:uid="{00000000-0005-0000-0000-0000761B0000}"/>
    <cellStyle name="Normal 2 4 2 27 3" xfId="7048" xr:uid="{00000000-0005-0000-0000-0000771B0000}"/>
    <cellStyle name="Normal 2 4 2 27 3 2" xfId="7049" xr:uid="{00000000-0005-0000-0000-0000781B0000}"/>
    <cellStyle name="Normal 2 4 2 27 3 3" xfId="7050" xr:uid="{00000000-0005-0000-0000-0000791B0000}"/>
    <cellStyle name="Normal 2 4 2 27 4" xfId="7051" xr:uid="{00000000-0005-0000-0000-00007A1B0000}"/>
    <cellStyle name="Normal 2 4 2 27 4 2" xfId="7052" xr:uid="{00000000-0005-0000-0000-00007B1B0000}"/>
    <cellStyle name="Normal 2 4 2 27 4 3" xfId="7053" xr:uid="{00000000-0005-0000-0000-00007C1B0000}"/>
    <cellStyle name="Normal 2 4 2 27 5" xfId="7054" xr:uid="{00000000-0005-0000-0000-00007D1B0000}"/>
    <cellStyle name="Normal 2 4 2 27 5 2" xfId="7055" xr:uid="{00000000-0005-0000-0000-00007E1B0000}"/>
    <cellStyle name="Normal 2 4 2 27 5 3" xfId="7056" xr:uid="{00000000-0005-0000-0000-00007F1B0000}"/>
    <cellStyle name="Normal 2 4 2 27 6" xfId="7057" xr:uid="{00000000-0005-0000-0000-0000801B0000}"/>
    <cellStyle name="Normal 2 4 2 27 6 2" xfId="7058" xr:uid="{00000000-0005-0000-0000-0000811B0000}"/>
    <cellStyle name="Normal 2 4 2 27 6 3" xfId="7059" xr:uid="{00000000-0005-0000-0000-0000821B0000}"/>
    <cellStyle name="Normal 2 4 2 27 7" xfId="7060" xr:uid="{00000000-0005-0000-0000-0000831B0000}"/>
    <cellStyle name="Normal 2 4 2 27 7 2" xfId="7061" xr:uid="{00000000-0005-0000-0000-0000841B0000}"/>
    <cellStyle name="Normal 2 4 2 27 7 3" xfId="7062" xr:uid="{00000000-0005-0000-0000-0000851B0000}"/>
    <cellStyle name="Normal 2 4 2 27 8" xfId="7063" xr:uid="{00000000-0005-0000-0000-0000861B0000}"/>
    <cellStyle name="Normal 2 4 2 27 8 2" xfId="7064" xr:uid="{00000000-0005-0000-0000-0000871B0000}"/>
    <cellStyle name="Normal 2 4 2 27 8 3" xfId="7065" xr:uid="{00000000-0005-0000-0000-0000881B0000}"/>
    <cellStyle name="Normal 2 4 2 27 9" xfId="7066" xr:uid="{00000000-0005-0000-0000-0000891B0000}"/>
    <cellStyle name="Normal 2 4 2 27 9 2" xfId="7067" xr:uid="{00000000-0005-0000-0000-00008A1B0000}"/>
    <cellStyle name="Normal 2 4 2 27 9 3" xfId="7068" xr:uid="{00000000-0005-0000-0000-00008B1B0000}"/>
    <cellStyle name="Normal 2 4 2 28" xfId="7069" xr:uid="{00000000-0005-0000-0000-00008C1B0000}"/>
    <cellStyle name="Normal 2 4 2 28 10" xfId="7070" xr:uid="{00000000-0005-0000-0000-00008D1B0000}"/>
    <cellStyle name="Normal 2 4 2 28 10 2" xfId="7071" xr:uid="{00000000-0005-0000-0000-00008E1B0000}"/>
    <cellStyle name="Normal 2 4 2 28 10 3" xfId="7072" xr:uid="{00000000-0005-0000-0000-00008F1B0000}"/>
    <cellStyle name="Normal 2 4 2 28 11" xfId="7073" xr:uid="{00000000-0005-0000-0000-0000901B0000}"/>
    <cellStyle name="Normal 2 4 2 28 11 2" xfId="7074" xr:uid="{00000000-0005-0000-0000-0000911B0000}"/>
    <cellStyle name="Normal 2 4 2 28 11 3" xfId="7075" xr:uid="{00000000-0005-0000-0000-0000921B0000}"/>
    <cellStyle name="Normal 2 4 2 28 12" xfId="7076" xr:uid="{00000000-0005-0000-0000-0000931B0000}"/>
    <cellStyle name="Normal 2 4 2 28 12 2" xfId="7077" xr:uid="{00000000-0005-0000-0000-0000941B0000}"/>
    <cellStyle name="Normal 2 4 2 28 12 3" xfId="7078" xr:uid="{00000000-0005-0000-0000-0000951B0000}"/>
    <cellStyle name="Normal 2 4 2 28 13" xfId="7079" xr:uid="{00000000-0005-0000-0000-0000961B0000}"/>
    <cellStyle name="Normal 2 4 2 28 13 2" xfId="7080" xr:uid="{00000000-0005-0000-0000-0000971B0000}"/>
    <cellStyle name="Normal 2 4 2 28 13 3" xfId="7081" xr:uid="{00000000-0005-0000-0000-0000981B0000}"/>
    <cellStyle name="Normal 2 4 2 28 14" xfId="7082" xr:uid="{00000000-0005-0000-0000-0000991B0000}"/>
    <cellStyle name="Normal 2 4 2 28 14 2" xfId="7083" xr:uid="{00000000-0005-0000-0000-00009A1B0000}"/>
    <cellStyle name="Normal 2 4 2 28 14 3" xfId="7084" xr:uid="{00000000-0005-0000-0000-00009B1B0000}"/>
    <cellStyle name="Normal 2 4 2 28 15" xfId="7085" xr:uid="{00000000-0005-0000-0000-00009C1B0000}"/>
    <cellStyle name="Normal 2 4 2 28 16" xfId="7086" xr:uid="{00000000-0005-0000-0000-00009D1B0000}"/>
    <cellStyle name="Normal 2 4 2 28 2" xfId="7087" xr:uid="{00000000-0005-0000-0000-00009E1B0000}"/>
    <cellStyle name="Normal 2 4 2 28 2 2" xfId="7088" xr:uid="{00000000-0005-0000-0000-00009F1B0000}"/>
    <cellStyle name="Normal 2 4 2 28 2 3" xfId="7089" xr:uid="{00000000-0005-0000-0000-0000A01B0000}"/>
    <cellStyle name="Normal 2 4 2 28 3" xfId="7090" xr:uid="{00000000-0005-0000-0000-0000A11B0000}"/>
    <cellStyle name="Normal 2 4 2 28 3 2" xfId="7091" xr:uid="{00000000-0005-0000-0000-0000A21B0000}"/>
    <cellStyle name="Normal 2 4 2 28 3 3" xfId="7092" xr:uid="{00000000-0005-0000-0000-0000A31B0000}"/>
    <cellStyle name="Normal 2 4 2 28 4" xfId="7093" xr:uid="{00000000-0005-0000-0000-0000A41B0000}"/>
    <cellStyle name="Normal 2 4 2 28 4 2" xfId="7094" xr:uid="{00000000-0005-0000-0000-0000A51B0000}"/>
    <cellStyle name="Normal 2 4 2 28 4 3" xfId="7095" xr:uid="{00000000-0005-0000-0000-0000A61B0000}"/>
    <cellStyle name="Normal 2 4 2 28 5" xfId="7096" xr:uid="{00000000-0005-0000-0000-0000A71B0000}"/>
    <cellStyle name="Normal 2 4 2 28 5 2" xfId="7097" xr:uid="{00000000-0005-0000-0000-0000A81B0000}"/>
    <cellStyle name="Normal 2 4 2 28 5 3" xfId="7098" xr:uid="{00000000-0005-0000-0000-0000A91B0000}"/>
    <cellStyle name="Normal 2 4 2 28 6" xfId="7099" xr:uid="{00000000-0005-0000-0000-0000AA1B0000}"/>
    <cellStyle name="Normal 2 4 2 28 6 2" xfId="7100" xr:uid="{00000000-0005-0000-0000-0000AB1B0000}"/>
    <cellStyle name="Normal 2 4 2 28 6 3" xfId="7101" xr:uid="{00000000-0005-0000-0000-0000AC1B0000}"/>
    <cellStyle name="Normal 2 4 2 28 7" xfId="7102" xr:uid="{00000000-0005-0000-0000-0000AD1B0000}"/>
    <cellStyle name="Normal 2 4 2 28 7 2" xfId="7103" xr:uid="{00000000-0005-0000-0000-0000AE1B0000}"/>
    <cellStyle name="Normal 2 4 2 28 7 3" xfId="7104" xr:uid="{00000000-0005-0000-0000-0000AF1B0000}"/>
    <cellStyle name="Normal 2 4 2 28 8" xfId="7105" xr:uid="{00000000-0005-0000-0000-0000B01B0000}"/>
    <cellStyle name="Normal 2 4 2 28 8 2" xfId="7106" xr:uid="{00000000-0005-0000-0000-0000B11B0000}"/>
    <cellStyle name="Normal 2 4 2 28 8 3" xfId="7107" xr:uid="{00000000-0005-0000-0000-0000B21B0000}"/>
    <cellStyle name="Normal 2 4 2 28 9" xfId="7108" xr:uid="{00000000-0005-0000-0000-0000B31B0000}"/>
    <cellStyle name="Normal 2 4 2 28 9 2" xfId="7109" xr:uid="{00000000-0005-0000-0000-0000B41B0000}"/>
    <cellStyle name="Normal 2 4 2 28 9 3" xfId="7110" xr:uid="{00000000-0005-0000-0000-0000B51B0000}"/>
    <cellStyle name="Normal 2 4 2 29" xfId="7111" xr:uid="{00000000-0005-0000-0000-0000B61B0000}"/>
    <cellStyle name="Normal 2 4 2 29 10" xfId="7112" xr:uid="{00000000-0005-0000-0000-0000B71B0000}"/>
    <cellStyle name="Normal 2 4 2 29 10 2" xfId="7113" xr:uid="{00000000-0005-0000-0000-0000B81B0000}"/>
    <cellStyle name="Normal 2 4 2 29 10 3" xfId="7114" xr:uid="{00000000-0005-0000-0000-0000B91B0000}"/>
    <cellStyle name="Normal 2 4 2 29 11" xfId="7115" xr:uid="{00000000-0005-0000-0000-0000BA1B0000}"/>
    <cellStyle name="Normal 2 4 2 29 11 2" xfId="7116" xr:uid="{00000000-0005-0000-0000-0000BB1B0000}"/>
    <cellStyle name="Normal 2 4 2 29 11 3" xfId="7117" xr:uid="{00000000-0005-0000-0000-0000BC1B0000}"/>
    <cellStyle name="Normal 2 4 2 29 12" xfId="7118" xr:uid="{00000000-0005-0000-0000-0000BD1B0000}"/>
    <cellStyle name="Normal 2 4 2 29 12 2" xfId="7119" xr:uid="{00000000-0005-0000-0000-0000BE1B0000}"/>
    <cellStyle name="Normal 2 4 2 29 12 3" xfId="7120" xr:uid="{00000000-0005-0000-0000-0000BF1B0000}"/>
    <cellStyle name="Normal 2 4 2 29 13" xfId="7121" xr:uid="{00000000-0005-0000-0000-0000C01B0000}"/>
    <cellStyle name="Normal 2 4 2 29 13 2" xfId="7122" xr:uid="{00000000-0005-0000-0000-0000C11B0000}"/>
    <cellStyle name="Normal 2 4 2 29 13 3" xfId="7123" xr:uid="{00000000-0005-0000-0000-0000C21B0000}"/>
    <cellStyle name="Normal 2 4 2 29 14" xfId="7124" xr:uid="{00000000-0005-0000-0000-0000C31B0000}"/>
    <cellStyle name="Normal 2 4 2 29 14 2" xfId="7125" xr:uid="{00000000-0005-0000-0000-0000C41B0000}"/>
    <cellStyle name="Normal 2 4 2 29 14 3" xfId="7126" xr:uid="{00000000-0005-0000-0000-0000C51B0000}"/>
    <cellStyle name="Normal 2 4 2 29 15" xfId="7127" xr:uid="{00000000-0005-0000-0000-0000C61B0000}"/>
    <cellStyle name="Normal 2 4 2 29 16" xfId="7128" xr:uid="{00000000-0005-0000-0000-0000C71B0000}"/>
    <cellStyle name="Normal 2 4 2 29 2" xfId="7129" xr:uid="{00000000-0005-0000-0000-0000C81B0000}"/>
    <cellStyle name="Normal 2 4 2 29 2 2" xfId="7130" xr:uid="{00000000-0005-0000-0000-0000C91B0000}"/>
    <cellStyle name="Normal 2 4 2 29 2 3" xfId="7131" xr:uid="{00000000-0005-0000-0000-0000CA1B0000}"/>
    <cellStyle name="Normal 2 4 2 29 3" xfId="7132" xr:uid="{00000000-0005-0000-0000-0000CB1B0000}"/>
    <cellStyle name="Normal 2 4 2 29 3 2" xfId="7133" xr:uid="{00000000-0005-0000-0000-0000CC1B0000}"/>
    <cellStyle name="Normal 2 4 2 29 3 3" xfId="7134" xr:uid="{00000000-0005-0000-0000-0000CD1B0000}"/>
    <cellStyle name="Normal 2 4 2 29 4" xfId="7135" xr:uid="{00000000-0005-0000-0000-0000CE1B0000}"/>
    <cellStyle name="Normal 2 4 2 29 4 2" xfId="7136" xr:uid="{00000000-0005-0000-0000-0000CF1B0000}"/>
    <cellStyle name="Normal 2 4 2 29 4 3" xfId="7137" xr:uid="{00000000-0005-0000-0000-0000D01B0000}"/>
    <cellStyle name="Normal 2 4 2 29 5" xfId="7138" xr:uid="{00000000-0005-0000-0000-0000D11B0000}"/>
    <cellStyle name="Normal 2 4 2 29 5 2" xfId="7139" xr:uid="{00000000-0005-0000-0000-0000D21B0000}"/>
    <cellStyle name="Normal 2 4 2 29 5 3" xfId="7140" xr:uid="{00000000-0005-0000-0000-0000D31B0000}"/>
    <cellStyle name="Normal 2 4 2 29 6" xfId="7141" xr:uid="{00000000-0005-0000-0000-0000D41B0000}"/>
    <cellStyle name="Normal 2 4 2 29 6 2" xfId="7142" xr:uid="{00000000-0005-0000-0000-0000D51B0000}"/>
    <cellStyle name="Normal 2 4 2 29 6 3" xfId="7143" xr:uid="{00000000-0005-0000-0000-0000D61B0000}"/>
    <cellStyle name="Normal 2 4 2 29 7" xfId="7144" xr:uid="{00000000-0005-0000-0000-0000D71B0000}"/>
    <cellStyle name="Normal 2 4 2 29 7 2" xfId="7145" xr:uid="{00000000-0005-0000-0000-0000D81B0000}"/>
    <cellStyle name="Normal 2 4 2 29 7 3" xfId="7146" xr:uid="{00000000-0005-0000-0000-0000D91B0000}"/>
    <cellStyle name="Normal 2 4 2 29 8" xfId="7147" xr:uid="{00000000-0005-0000-0000-0000DA1B0000}"/>
    <cellStyle name="Normal 2 4 2 29 8 2" xfId="7148" xr:uid="{00000000-0005-0000-0000-0000DB1B0000}"/>
    <cellStyle name="Normal 2 4 2 29 8 3" xfId="7149" xr:uid="{00000000-0005-0000-0000-0000DC1B0000}"/>
    <cellStyle name="Normal 2 4 2 29 9" xfId="7150" xr:uid="{00000000-0005-0000-0000-0000DD1B0000}"/>
    <cellStyle name="Normal 2 4 2 29 9 2" xfId="7151" xr:uid="{00000000-0005-0000-0000-0000DE1B0000}"/>
    <cellStyle name="Normal 2 4 2 29 9 3" xfId="7152" xr:uid="{00000000-0005-0000-0000-0000DF1B0000}"/>
    <cellStyle name="Normal 2 4 2 3" xfId="7153" xr:uid="{00000000-0005-0000-0000-0000E01B0000}"/>
    <cellStyle name="Normal 2 4 2 3 2" xfId="7154" xr:uid="{00000000-0005-0000-0000-0000E11B0000}"/>
    <cellStyle name="Normal 2 4 2 30" xfId="7155" xr:uid="{00000000-0005-0000-0000-0000E21B0000}"/>
    <cellStyle name="Normal 2 4 2 30 10" xfId="7156" xr:uid="{00000000-0005-0000-0000-0000E31B0000}"/>
    <cellStyle name="Normal 2 4 2 30 10 2" xfId="7157" xr:uid="{00000000-0005-0000-0000-0000E41B0000}"/>
    <cellStyle name="Normal 2 4 2 30 10 3" xfId="7158" xr:uid="{00000000-0005-0000-0000-0000E51B0000}"/>
    <cellStyle name="Normal 2 4 2 30 11" xfId="7159" xr:uid="{00000000-0005-0000-0000-0000E61B0000}"/>
    <cellStyle name="Normal 2 4 2 30 11 2" xfId="7160" xr:uid="{00000000-0005-0000-0000-0000E71B0000}"/>
    <cellStyle name="Normal 2 4 2 30 11 3" xfId="7161" xr:uid="{00000000-0005-0000-0000-0000E81B0000}"/>
    <cellStyle name="Normal 2 4 2 30 12" xfId="7162" xr:uid="{00000000-0005-0000-0000-0000E91B0000}"/>
    <cellStyle name="Normal 2 4 2 30 12 2" xfId="7163" xr:uid="{00000000-0005-0000-0000-0000EA1B0000}"/>
    <cellStyle name="Normal 2 4 2 30 12 3" xfId="7164" xr:uid="{00000000-0005-0000-0000-0000EB1B0000}"/>
    <cellStyle name="Normal 2 4 2 30 13" xfId="7165" xr:uid="{00000000-0005-0000-0000-0000EC1B0000}"/>
    <cellStyle name="Normal 2 4 2 30 13 2" xfId="7166" xr:uid="{00000000-0005-0000-0000-0000ED1B0000}"/>
    <cellStyle name="Normal 2 4 2 30 13 3" xfId="7167" xr:uid="{00000000-0005-0000-0000-0000EE1B0000}"/>
    <cellStyle name="Normal 2 4 2 30 14" xfId="7168" xr:uid="{00000000-0005-0000-0000-0000EF1B0000}"/>
    <cellStyle name="Normal 2 4 2 30 14 2" xfId="7169" xr:uid="{00000000-0005-0000-0000-0000F01B0000}"/>
    <cellStyle name="Normal 2 4 2 30 14 3" xfId="7170" xr:uid="{00000000-0005-0000-0000-0000F11B0000}"/>
    <cellStyle name="Normal 2 4 2 30 15" xfId="7171" xr:uid="{00000000-0005-0000-0000-0000F21B0000}"/>
    <cellStyle name="Normal 2 4 2 30 16" xfId="7172" xr:uid="{00000000-0005-0000-0000-0000F31B0000}"/>
    <cellStyle name="Normal 2 4 2 30 2" xfId="7173" xr:uid="{00000000-0005-0000-0000-0000F41B0000}"/>
    <cellStyle name="Normal 2 4 2 30 2 2" xfId="7174" xr:uid="{00000000-0005-0000-0000-0000F51B0000}"/>
    <cellStyle name="Normal 2 4 2 30 2 3" xfId="7175" xr:uid="{00000000-0005-0000-0000-0000F61B0000}"/>
    <cellStyle name="Normal 2 4 2 30 3" xfId="7176" xr:uid="{00000000-0005-0000-0000-0000F71B0000}"/>
    <cellStyle name="Normal 2 4 2 30 3 2" xfId="7177" xr:uid="{00000000-0005-0000-0000-0000F81B0000}"/>
    <cellStyle name="Normal 2 4 2 30 3 3" xfId="7178" xr:uid="{00000000-0005-0000-0000-0000F91B0000}"/>
    <cellStyle name="Normal 2 4 2 30 4" xfId="7179" xr:uid="{00000000-0005-0000-0000-0000FA1B0000}"/>
    <cellStyle name="Normal 2 4 2 30 4 2" xfId="7180" xr:uid="{00000000-0005-0000-0000-0000FB1B0000}"/>
    <cellStyle name="Normal 2 4 2 30 4 3" xfId="7181" xr:uid="{00000000-0005-0000-0000-0000FC1B0000}"/>
    <cellStyle name="Normal 2 4 2 30 5" xfId="7182" xr:uid="{00000000-0005-0000-0000-0000FD1B0000}"/>
    <cellStyle name="Normal 2 4 2 30 5 2" xfId="7183" xr:uid="{00000000-0005-0000-0000-0000FE1B0000}"/>
    <cellStyle name="Normal 2 4 2 30 5 3" xfId="7184" xr:uid="{00000000-0005-0000-0000-0000FF1B0000}"/>
    <cellStyle name="Normal 2 4 2 30 6" xfId="7185" xr:uid="{00000000-0005-0000-0000-0000001C0000}"/>
    <cellStyle name="Normal 2 4 2 30 6 2" xfId="7186" xr:uid="{00000000-0005-0000-0000-0000011C0000}"/>
    <cellStyle name="Normal 2 4 2 30 6 3" xfId="7187" xr:uid="{00000000-0005-0000-0000-0000021C0000}"/>
    <cellStyle name="Normal 2 4 2 30 7" xfId="7188" xr:uid="{00000000-0005-0000-0000-0000031C0000}"/>
    <cellStyle name="Normal 2 4 2 30 7 2" xfId="7189" xr:uid="{00000000-0005-0000-0000-0000041C0000}"/>
    <cellStyle name="Normal 2 4 2 30 7 3" xfId="7190" xr:uid="{00000000-0005-0000-0000-0000051C0000}"/>
    <cellStyle name="Normal 2 4 2 30 8" xfId="7191" xr:uid="{00000000-0005-0000-0000-0000061C0000}"/>
    <cellStyle name="Normal 2 4 2 30 8 2" xfId="7192" xr:uid="{00000000-0005-0000-0000-0000071C0000}"/>
    <cellStyle name="Normal 2 4 2 30 8 3" xfId="7193" xr:uid="{00000000-0005-0000-0000-0000081C0000}"/>
    <cellStyle name="Normal 2 4 2 30 9" xfId="7194" xr:uid="{00000000-0005-0000-0000-0000091C0000}"/>
    <cellStyle name="Normal 2 4 2 30 9 2" xfId="7195" xr:uid="{00000000-0005-0000-0000-00000A1C0000}"/>
    <cellStyle name="Normal 2 4 2 30 9 3" xfId="7196" xr:uid="{00000000-0005-0000-0000-00000B1C0000}"/>
    <cellStyle name="Normal 2 4 2 31" xfId="7197" xr:uid="{00000000-0005-0000-0000-00000C1C0000}"/>
    <cellStyle name="Normal 2 4 2 31 10" xfId="7198" xr:uid="{00000000-0005-0000-0000-00000D1C0000}"/>
    <cellStyle name="Normal 2 4 2 31 10 2" xfId="7199" xr:uid="{00000000-0005-0000-0000-00000E1C0000}"/>
    <cellStyle name="Normal 2 4 2 31 10 3" xfId="7200" xr:uid="{00000000-0005-0000-0000-00000F1C0000}"/>
    <cellStyle name="Normal 2 4 2 31 11" xfId="7201" xr:uid="{00000000-0005-0000-0000-0000101C0000}"/>
    <cellStyle name="Normal 2 4 2 31 11 2" xfId="7202" xr:uid="{00000000-0005-0000-0000-0000111C0000}"/>
    <cellStyle name="Normal 2 4 2 31 11 3" xfId="7203" xr:uid="{00000000-0005-0000-0000-0000121C0000}"/>
    <cellStyle name="Normal 2 4 2 31 12" xfId="7204" xr:uid="{00000000-0005-0000-0000-0000131C0000}"/>
    <cellStyle name="Normal 2 4 2 31 12 2" xfId="7205" xr:uid="{00000000-0005-0000-0000-0000141C0000}"/>
    <cellStyle name="Normal 2 4 2 31 12 3" xfId="7206" xr:uid="{00000000-0005-0000-0000-0000151C0000}"/>
    <cellStyle name="Normal 2 4 2 31 13" xfId="7207" xr:uid="{00000000-0005-0000-0000-0000161C0000}"/>
    <cellStyle name="Normal 2 4 2 31 13 2" xfId="7208" xr:uid="{00000000-0005-0000-0000-0000171C0000}"/>
    <cellStyle name="Normal 2 4 2 31 13 3" xfId="7209" xr:uid="{00000000-0005-0000-0000-0000181C0000}"/>
    <cellStyle name="Normal 2 4 2 31 14" xfId="7210" xr:uid="{00000000-0005-0000-0000-0000191C0000}"/>
    <cellStyle name="Normal 2 4 2 31 14 2" xfId="7211" xr:uid="{00000000-0005-0000-0000-00001A1C0000}"/>
    <cellStyle name="Normal 2 4 2 31 14 3" xfId="7212" xr:uid="{00000000-0005-0000-0000-00001B1C0000}"/>
    <cellStyle name="Normal 2 4 2 31 15" xfId="7213" xr:uid="{00000000-0005-0000-0000-00001C1C0000}"/>
    <cellStyle name="Normal 2 4 2 31 16" xfId="7214" xr:uid="{00000000-0005-0000-0000-00001D1C0000}"/>
    <cellStyle name="Normal 2 4 2 31 2" xfId="7215" xr:uid="{00000000-0005-0000-0000-00001E1C0000}"/>
    <cellStyle name="Normal 2 4 2 31 2 2" xfId="7216" xr:uid="{00000000-0005-0000-0000-00001F1C0000}"/>
    <cellStyle name="Normal 2 4 2 31 2 3" xfId="7217" xr:uid="{00000000-0005-0000-0000-0000201C0000}"/>
    <cellStyle name="Normal 2 4 2 31 3" xfId="7218" xr:uid="{00000000-0005-0000-0000-0000211C0000}"/>
    <cellStyle name="Normal 2 4 2 31 3 2" xfId="7219" xr:uid="{00000000-0005-0000-0000-0000221C0000}"/>
    <cellStyle name="Normal 2 4 2 31 3 3" xfId="7220" xr:uid="{00000000-0005-0000-0000-0000231C0000}"/>
    <cellStyle name="Normal 2 4 2 31 4" xfId="7221" xr:uid="{00000000-0005-0000-0000-0000241C0000}"/>
    <cellStyle name="Normal 2 4 2 31 4 2" xfId="7222" xr:uid="{00000000-0005-0000-0000-0000251C0000}"/>
    <cellStyle name="Normal 2 4 2 31 4 3" xfId="7223" xr:uid="{00000000-0005-0000-0000-0000261C0000}"/>
    <cellStyle name="Normal 2 4 2 31 5" xfId="7224" xr:uid="{00000000-0005-0000-0000-0000271C0000}"/>
    <cellStyle name="Normal 2 4 2 31 5 2" xfId="7225" xr:uid="{00000000-0005-0000-0000-0000281C0000}"/>
    <cellStyle name="Normal 2 4 2 31 5 3" xfId="7226" xr:uid="{00000000-0005-0000-0000-0000291C0000}"/>
    <cellStyle name="Normal 2 4 2 31 6" xfId="7227" xr:uid="{00000000-0005-0000-0000-00002A1C0000}"/>
    <cellStyle name="Normal 2 4 2 31 6 2" xfId="7228" xr:uid="{00000000-0005-0000-0000-00002B1C0000}"/>
    <cellStyle name="Normal 2 4 2 31 6 3" xfId="7229" xr:uid="{00000000-0005-0000-0000-00002C1C0000}"/>
    <cellStyle name="Normal 2 4 2 31 7" xfId="7230" xr:uid="{00000000-0005-0000-0000-00002D1C0000}"/>
    <cellStyle name="Normal 2 4 2 31 7 2" xfId="7231" xr:uid="{00000000-0005-0000-0000-00002E1C0000}"/>
    <cellStyle name="Normal 2 4 2 31 7 3" xfId="7232" xr:uid="{00000000-0005-0000-0000-00002F1C0000}"/>
    <cellStyle name="Normal 2 4 2 31 8" xfId="7233" xr:uid="{00000000-0005-0000-0000-0000301C0000}"/>
    <cellStyle name="Normal 2 4 2 31 8 2" xfId="7234" xr:uid="{00000000-0005-0000-0000-0000311C0000}"/>
    <cellStyle name="Normal 2 4 2 31 8 3" xfId="7235" xr:uid="{00000000-0005-0000-0000-0000321C0000}"/>
    <cellStyle name="Normal 2 4 2 31 9" xfId="7236" xr:uid="{00000000-0005-0000-0000-0000331C0000}"/>
    <cellStyle name="Normal 2 4 2 31 9 2" xfId="7237" xr:uid="{00000000-0005-0000-0000-0000341C0000}"/>
    <cellStyle name="Normal 2 4 2 31 9 3" xfId="7238" xr:uid="{00000000-0005-0000-0000-0000351C0000}"/>
    <cellStyle name="Normal 2 4 2 32" xfId="7239" xr:uid="{00000000-0005-0000-0000-0000361C0000}"/>
    <cellStyle name="Normal 2 4 2 33" xfId="7240" xr:uid="{00000000-0005-0000-0000-0000371C0000}"/>
    <cellStyle name="Normal 2 4 2 33 2" xfId="7241" xr:uid="{00000000-0005-0000-0000-0000381C0000}"/>
    <cellStyle name="Normal 2 4 2 33 3" xfId="7242" xr:uid="{00000000-0005-0000-0000-0000391C0000}"/>
    <cellStyle name="Normal 2 4 2 34" xfId="7243" xr:uid="{00000000-0005-0000-0000-00003A1C0000}"/>
    <cellStyle name="Normal 2 4 2 34 2" xfId="7244" xr:uid="{00000000-0005-0000-0000-00003B1C0000}"/>
    <cellStyle name="Normal 2 4 2 34 3" xfId="7245" xr:uid="{00000000-0005-0000-0000-00003C1C0000}"/>
    <cellStyle name="Normal 2 4 2 35" xfId="7246" xr:uid="{00000000-0005-0000-0000-00003D1C0000}"/>
    <cellStyle name="Normal 2 4 2 35 2" xfId="7247" xr:uid="{00000000-0005-0000-0000-00003E1C0000}"/>
    <cellStyle name="Normal 2 4 2 35 3" xfId="7248" xr:uid="{00000000-0005-0000-0000-00003F1C0000}"/>
    <cellStyle name="Normal 2 4 2 36" xfId="7249" xr:uid="{00000000-0005-0000-0000-0000401C0000}"/>
    <cellStyle name="Normal 2 4 2 36 2" xfId="7250" xr:uid="{00000000-0005-0000-0000-0000411C0000}"/>
    <cellStyle name="Normal 2 4 2 36 3" xfId="7251" xr:uid="{00000000-0005-0000-0000-0000421C0000}"/>
    <cellStyle name="Normal 2 4 2 37" xfId="7252" xr:uid="{00000000-0005-0000-0000-0000431C0000}"/>
    <cellStyle name="Normal 2 4 2 37 2" xfId="7253" xr:uid="{00000000-0005-0000-0000-0000441C0000}"/>
    <cellStyle name="Normal 2 4 2 37 3" xfId="7254" xr:uid="{00000000-0005-0000-0000-0000451C0000}"/>
    <cellStyle name="Normal 2 4 2 38" xfId="7255" xr:uid="{00000000-0005-0000-0000-0000461C0000}"/>
    <cellStyle name="Normal 2 4 2 38 2" xfId="7256" xr:uid="{00000000-0005-0000-0000-0000471C0000}"/>
    <cellStyle name="Normal 2 4 2 38 3" xfId="7257" xr:uid="{00000000-0005-0000-0000-0000481C0000}"/>
    <cellStyle name="Normal 2 4 2 39" xfId="7258" xr:uid="{00000000-0005-0000-0000-0000491C0000}"/>
    <cellStyle name="Normal 2 4 2 39 2" xfId="7259" xr:uid="{00000000-0005-0000-0000-00004A1C0000}"/>
    <cellStyle name="Normal 2 4 2 39 3" xfId="7260" xr:uid="{00000000-0005-0000-0000-00004B1C0000}"/>
    <cellStyle name="Normal 2 4 2 4" xfId="7261" xr:uid="{00000000-0005-0000-0000-00004C1C0000}"/>
    <cellStyle name="Normal 2 4 2 4 2" xfId="7262" xr:uid="{00000000-0005-0000-0000-00004D1C0000}"/>
    <cellStyle name="Normal 2 4 2 40" xfId="7263" xr:uid="{00000000-0005-0000-0000-00004E1C0000}"/>
    <cellStyle name="Normal 2 4 2 40 2" xfId="7264" xr:uid="{00000000-0005-0000-0000-00004F1C0000}"/>
    <cellStyle name="Normal 2 4 2 40 3" xfId="7265" xr:uid="{00000000-0005-0000-0000-0000501C0000}"/>
    <cellStyle name="Normal 2 4 2 41" xfId="7266" xr:uid="{00000000-0005-0000-0000-0000511C0000}"/>
    <cellStyle name="Normal 2 4 2 41 2" xfId="7267" xr:uid="{00000000-0005-0000-0000-0000521C0000}"/>
    <cellStyle name="Normal 2 4 2 41 3" xfId="7268" xr:uid="{00000000-0005-0000-0000-0000531C0000}"/>
    <cellStyle name="Normal 2 4 2 42" xfId="7269" xr:uid="{00000000-0005-0000-0000-0000541C0000}"/>
    <cellStyle name="Normal 2 4 2 42 2" xfId="7270" xr:uid="{00000000-0005-0000-0000-0000551C0000}"/>
    <cellStyle name="Normal 2 4 2 42 3" xfId="7271" xr:uid="{00000000-0005-0000-0000-0000561C0000}"/>
    <cellStyle name="Normal 2 4 2 43" xfId="7272" xr:uid="{00000000-0005-0000-0000-0000571C0000}"/>
    <cellStyle name="Normal 2 4 2 43 2" xfId="7273" xr:uid="{00000000-0005-0000-0000-0000581C0000}"/>
    <cellStyle name="Normal 2 4 2 43 3" xfId="7274" xr:uid="{00000000-0005-0000-0000-0000591C0000}"/>
    <cellStyle name="Normal 2 4 2 44" xfId="7275" xr:uid="{00000000-0005-0000-0000-00005A1C0000}"/>
    <cellStyle name="Normal 2 4 2 44 2" xfId="7276" xr:uid="{00000000-0005-0000-0000-00005B1C0000}"/>
    <cellStyle name="Normal 2 4 2 44 3" xfId="7277" xr:uid="{00000000-0005-0000-0000-00005C1C0000}"/>
    <cellStyle name="Normal 2 4 2 45" xfId="7278" xr:uid="{00000000-0005-0000-0000-00005D1C0000}"/>
    <cellStyle name="Normal 2 4 2 45 2" xfId="7279" xr:uid="{00000000-0005-0000-0000-00005E1C0000}"/>
    <cellStyle name="Normal 2 4 2 45 3" xfId="7280" xr:uid="{00000000-0005-0000-0000-00005F1C0000}"/>
    <cellStyle name="Normal 2 4 2 46" xfId="7281" xr:uid="{00000000-0005-0000-0000-0000601C0000}"/>
    <cellStyle name="Normal 2 4 2 47" xfId="7282" xr:uid="{00000000-0005-0000-0000-0000611C0000}"/>
    <cellStyle name="Normal 2 4 2 48" xfId="7283" xr:uid="{00000000-0005-0000-0000-0000621C0000}"/>
    <cellStyle name="Normal 2 4 2 49" xfId="7284" xr:uid="{00000000-0005-0000-0000-0000631C0000}"/>
    <cellStyle name="Normal 2 4 2 5" xfId="7285" xr:uid="{00000000-0005-0000-0000-0000641C0000}"/>
    <cellStyle name="Normal 2 4 2 5 2" xfId="7286" xr:uid="{00000000-0005-0000-0000-0000651C0000}"/>
    <cellStyle name="Normal 2 4 2 50" xfId="7287" xr:uid="{00000000-0005-0000-0000-0000661C0000}"/>
    <cellStyle name="Normal 2 4 2 51" xfId="7288" xr:uid="{00000000-0005-0000-0000-0000671C0000}"/>
    <cellStyle name="Normal 2 4 2 52" xfId="7289" xr:uid="{00000000-0005-0000-0000-0000681C0000}"/>
    <cellStyle name="Normal 2 4 2 53" xfId="7290" xr:uid="{00000000-0005-0000-0000-0000691C0000}"/>
    <cellStyle name="Normal 2 4 2 54" xfId="7291" xr:uid="{00000000-0005-0000-0000-00006A1C0000}"/>
    <cellStyle name="Normal 2 4 2 55" xfId="7292" xr:uid="{00000000-0005-0000-0000-00006B1C0000}"/>
    <cellStyle name="Normal 2 4 2 56" xfId="7293" xr:uid="{00000000-0005-0000-0000-00006C1C0000}"/>
    <cellStyle name="Normal 2 4 2 57" xfId="7294" xr:uid="{00000000-0005-0000-0000-00006D1C0000}"/>
    <cellStyle name="Normal 2 4 2 58" xfId="7295" xr:uid="{00000000-0005-0000-0000-00006E1C0000}"/>
    <cellStyle name="Normal 2 4 2 6" xfId="7296" xr:uid="{00000000-0005-0000-0000-00006F1C0000}"/>
    <cellStyle name="Normal 2 4 2 6 2" xfId="7297" xr:uid="{00000000-0005-0000-0000-0000701C0000}"/>
    <cellStyle name="Normal 2 4 2 7" xfId="7298" xr:uid="{00000000-0005-0000-0000-0000711C0000}"/>
    <cellStyle name="Normal 2 4 2 7 2" xfId="7299" xr:uid="{00000000-0005-0000-0000-0000721C0000}"/>
    <cellStyle name="Normal 2 4 2 8" xfId="7300" xr:uid="{00000000-0005-0000-0000-0000731C0000}"/>
    <cellStyle name="Normal 2 4 2 8 2" xfId="7301" xr:uid="{00000000-0005-0000-0000-0000741C0000}"/>
    <cellStyle name="Normal 2 4 2 8 2 2" xfId="7302" xr:uid="{00000000-0005-0000-0000-0000751C0000}"/>
    <cellStyle name="Normal 2 4 2 8 2 3" xfId="7303" xr:uid="{00000000-0005-0000-0000-0000761C0000}"/>
    <cellStyle name="Normal 2 4 2 8 3" xfId="7304" xr:uid="{00000000-0005-0000-0000-0000771C0000}"/>
    <cellStyle name="Normal 2 4 2 8 4" xfId="7305" xr:uid="{00000000-0005-0000-0000-0000781C0000}"/>
    <cellStyle name="Normal 2 4 2 9" xfId="7306" xr:uid="{00000000-0005-0000-0000-0000791C0000}"/>
    <cellStyle name="Normal 2 4 20" xfId="7307" xr:uid="{00000000-0005-0000-0000-00007A1C0000}"/>
    <cellStyle name="Normal 2 4 20 10" xfId="7308" xr:uid="{00000000-0005-0000-0000-00007B1C0000}"/>
    <cellStyle name="Normal 2 4 20 10 2" xfId="7309" xr:uid="{00000000-0005-0000-0000-00007C1C0000}"/>
    <cellStyle name="Normal 2 4 20 10 3" xfId="7310" xr:uid="{00000000-0005-0000-0000-00007D1C0000}"/>
    <cellStyle name="Normal 2 4 20 11" xfId="7311" xr:uid="{00000000-0005-0000-0000-00007E1C0000}"/>
    <cellStyle name="Normal 2 4 20 11 2" xfId="7312" xr:uid="{00000000-0005-0000-0000-00007F1C0000}"/>
    <cellStyle name="Normal 2 4 20 11 3" xfId="7313" xr:uid="{00000000-0005-0000-0000-0000801C0000}"/>
    <cellStyle name="Normal 2 4 20 12" xfId="7314" xr:uid="{00000000-0005-0000-0000-0000811C0000}"/>
    <cellStyle name="Normal 2 4 20 12 2" xfId="7315" xr:uid="{00000000-0005-0000-0000-0000821C0000}"/>
    <cellStyle name="Normal 2 4 20 12 3" xfId="7316" xr:uid="{00000000-0005-0000-0000-0000831C0000}"/>
    <cellStyle name="Normal 2 4 20 13" xfId="7317" xr:uid="{00000000-0005-0000-0000-0000841C0000}"/>
    <cellStyle name="Normal 2 4 20 13 2" xfId="7318" xr:uid="{00000000-0005-0000-0000-0000851C0000}"/>
    <cellStyle name="Normal 2 4 20 13 3" xfId="7319" xr:uid="{00000000-0005-0000-0000-0000861C0000}"/>
    <cellStyle name="Normal 2 4 20 14" xfId="7320" xr:uid="{00000000-0005-0000-0000-0000871C0000}"/>
    <cellStyle name="Normal 2 4 20 14 2" xfId="7321" xr:uid="{00000000-0005-0000-0000-0000881C0000}"/>
    <cellStyle name="Normal 2 4 20 14 3" xfId="7322" xr:uid="{00000000-0005-0000-0000-0000891C0000}"/>
    <cellStyle name="Normal 2 4 20 15" xfId="7323" xr:uid="{00000000-0005-0000-0000-00008A1C0000}"/>
    <cellStyle name="Normal 2 4 20 16" xfId="7324" xr:uid="{00000000-0005-0000-0000-00008B1C0000}"/>
    <cellStyle name="Normal 2 4 20 2" xfId="7325" xr:uid="{00000000-0005-0000-0000-00008C1C0000}"/>
    <cellStyle name="Normal 2 4 20 2 2" xfId="7326" xr:uid="{00000000-0005-0000-0000-00008D1C0000}"/>
    <cellStyle name="Normal 2 4 20 2 3" xfId="7327" xr:uid="{00000000-0005-0000-0000-00008E1C0000}"/>
    <cellStyle name="Normal 2 4 20 3" xfId="7328" xr:uid="{00000000-0005-0000-0000-00008F1C0000}"/>
    <cellStyle name="Normal 2 4 20 3 2" xfId="7329" xr:uid="{00000000-0005-0000-0000-0000901C0000}"/>
    <cellStyle name="Normal 2 4 20 3 3" xfId="7330" xr:uid="{00000000-0005-0000-0000-0000911C0000}"/>
    <cellStyle name="Normal 2 4 20 4" xfId="7331" xr:uid="{00000000-0005-0000-0000-0000921C0000}"/>
    <cellStyle name="Normal 2 4 20 4 2" xfId="7332" xr:uid="{00000000-0005-0000-0000-0000931C0000}"/>
    <cellStyle name="Normal 2 4 20 4 3" xfId="7333" xr:uid="{00000000-0005-0000-0000-0000941C0000}"/>
    <cellStyle name="Normal 2 4 20 5" xfId="7334" xr:uid="{00000000-0005-0000-0000-0000951C0000}"/>
    <cellStyle name="Normal 2 4 20 5 2" xfId="7335" xr:uid="{00000000-0005-0000-0000-0000961C0000}"/>
    <cellStyle name="Normal 2 4 20 5 3" xfId="7336" xr:uid="{00000000-0005-0000-0000-0000971C0000}"/>
    <cellStyle name="Normal 2 4 20 6" xfId="7337" xr:uid="{00000000-0005-0000-0000-0000981C0000}"/>
    <cellStyle name="Normal 2 4 20 6 2" xfId="7338" xr:uid="{00000000-0005-0000-0000-0000991C0000}"/>
    <cellStyle name="Normal 2 4 20 6 3" xfId="7339" xr:uid="{00000000-0005-0000-0000-00009A1C0000}"/>
    <cellStyle name="Normal 2 4 20 7" xfId="7340" xr:uid="{00000000-0005-0000-0000-00009B1C0000}"/>
    <cellStyle name="Normal 2 4 20 7 2" xfId="7341" xr:uid="{00000000-0005-0000-0000-00009C1C0000}"/>
    <cellStyle name="Normal 2 4 20 7 3" xfId="7342" xr:uid="{00000000-0005-0000-0000-00009D1C0000}"/>
    <cellStyle name="Normal 2 4 20 8" xfId="7343" xr:uid="{00000000-0005-0000-0000-00009E1C0000}"/>
    <cellStyle name="Normal 2 4 20 8 2" xfId="7344" xr:uid="{00000000-0005-0000-0000-00009F1C0000}"/>
    <cellStyle name="Normal 2 4 20 8 3" xfId="7345" xr:uid="{00000000-0005-0000-0000-0000A01C0000}"/>
    <cellStyle name="Normal 2 4 20 9" xfId="7346" xr:uid="{00000000-0005-0000-0000-0000A11C0000}"/>
    <cellStyle name="Normal 2 4 20 9 2" xfId="7347" xr:uid="{00000000-0005-0000-0000-0000A21C0000}"/>
    <cellStyle name="Normal 2 4 20 9 3" xfId="7348" xr:uid="{00000000-0005-0000-0000-0000A31C0000}"/>
    <cellStyle name="Normal 2 4 3" xfId="7349" xr:uid="{00000000-0005-0000-0000-0000A41C0000}"/>
    <cellStyle name="Normal 2 4 3 10" xfId="7350" xr:uid="{00000000-0005-0000-0000-0000A51C0000}"/>
    <cellStyle name="Normal 2 4 3 11" xfId="7351" xr:uid="{00000000-0005-0000-0000-0000A61C0000}"/>
    <cellStyle name="Normal 2 4 3 11 2" xfId="7352" xr:uid="{00000000-0005-0000-0000-0000A71C0000}"/>
    <cellStyle name="Normal 2 4 3 11 2 10" xfId="7353" xr:uid="{00000000-0005-0000-0000-0000A81C0000}"/>
    <cellStyle name="Normal 2 4 3 11 2 10 2" xfId="7354" xr:uid="{00000000-0005-0000-0000-0000A91C0000}"/>
    <cellStyle name="Normal 2 4 3 11 2 10 3" xfId="7355" xr:uid="{00000000-0005-0000-0000-0000AA1C0000}"/>
    <cellStyle name="Normal 2 4 3 11 2 11" xfId="7356" xr:uid="{00000000-0005-0000-0000-0000AB1C0000}"/>
    <cellStyle name="Normal 2 4 3 11 2 11 2" xfId="7357" xr:uid="{00000000-0005-0000-0000-0000AC1C0000}"/>
    <cellStyle name="Normal 2 4 3 11 2 11 3" xfId="7358" xr:uid="{00000000-0005-0000-0000-0000AD1C0000}"/>
    <cellStyle name="Normal 2 4 3 11 2 12" xfId="7359" xr:uid="{00000000-0005-0000-0000-0000AE1C0000}"/>
    <cellStyle name="Normal 2 4 3 11 2 12 2" xfId="7360" xr:uid="{00000000-0005-0000-0000-0000AF1C0000}"/>
    <cellStyle name="Normal 2 4 3 11 2 12 3" xfId="7361" xr:uid="{00000000-0005-0000-0000-0000B01C0000}"/>
    <cellStyle name="Normal 2 4 3 11 2 13" xfId="7362" xr:uid="{00000000-0005-0000-0000-0000B11C0000}"/>
    <cellStyle name="Normal 2 4 3 11 2 13 2" xfId="7363" xr:uid="{00000000-0005-0000-0000-0000B21C0000}"/>
    <cellStyle name="Normal 2 4 3 11 2 13 3" xfId="7364" xr:uid="{00000000-0005-0000-0000-0000B31C0000}"/>
    <cellStyle name="Normal 2 4 3 11 2 14" xfId="7365" xr:uid="{00000000-0005-0000-0000-0000B41C0000}"/>
    <cellStyle name="Normal 2 4 3 11 2 14 2" xfId="7366" xr:uid="{00000000-0005-0000-0000-0000B51C0000}"/>
    <cellStyle name="Normal 2 4 3 11 2 14 3" xfId="7367" xr:uid="{00000000-0005-0000-0000-0000B61C0000}"/>
    <cellStyle name="Normal 2 4 3 11 2 15" xfId="7368" xr:uid="{00000000-0005-0000-0000-0000B71C0000}"/>
    <cellStyle name="Normal 2 4 3 11 2 16" xfId="7369" xr:uid="{00000000-0005-0000-0000-0000B81C0000}"/>
    <cellStyle name="Normal 2 4 3 11 2 2" xfId="7370" xr:uid="{00000000-0005-0000-0000-0000B91C0000}"/>
    <cellStyle name="Normal 2 4 3 11 2 2 2" xfId="7371" xr:uid="{00000000-0005-0000-0000-0000BA1C0000}"/>
    <cellStyle name="Normal 2 4 3 11 2 2 3" xfId="7372" xr:uid="{00000000-0005-0000-0000-0000BB1C0000}"/>
    <cellStyle name="Normal 2 4 3 11 2 3" xfId="7373" xr:uid="{00000000-0005-0000-0000-0000BC1C0000}"/>
    <cellStyle name="Normal 2 4 3 11 2 3 2" xfId="7374" xr:uid="{00000000-0005-0000-0000-0000BD1C0000}"/>
    <cellStyle name="Normal 2 4 3 11 2 3 3" xfId="7375" xr:uid="{00000000-0005-0000-0000-0000BE1C0000}"/>
    <cellStyle name="Normal 2 4 3 11 2 4" xfId="7376" xr:uid="{00000000-0005-0000-0000-0000BF1C0000}"/>
    <cellStyle name="Normal 2 4 3 11 2 4 2" xfId="7377" xr:uid="{00000000-0005-0000-0000-0000C01C0000}"/>
    <cellStyle name="Normal 2 4 3 11 2 4 3" xfId="7378" xr:uid="{00000000-0005-0000-0000-0000C11C0000}"/>
    <cellStyle name="Normal 2 4 3 11 2 5" xfId="7379" xr:uid="{00000000-0005-0000-0000-0000C21C0000}"/>
    <cellStyle name="Normal 2 4 3 11 2 5 2" xfId="7380" xr:uid="{00000000-0005-0000-0000-0000C31C0000}"/>
    <cellStyle name="Normal 2 4 3 11 2 5 3" xfId="7381" xr:uid="{00000000-0005-0000-0000-0000C41C0000}"/>
    <cellStyle name="Normal 2 4 3 11 2 6" xfId="7382" xr:uid="{00000000-0005-0000-0000-0000C51C0000}"/>
    <cellStyle name="Normal 2 4 3 11 2 6 2" xfId="7383" xr:uid="{00000000-0005-0000-0000-0000C61C0000}"/>
    <cellStyle name="Normal 2 4 3 11 2 6 3" xfId="7384" xr:uid="{00000000-0005-0000-0000-0000C71C0000}"/>
    <cellStyle name="Normal 2 4 3 11 2 7" xfId="7385" xr:uid="{00000000-0005-0000-0000-0000C81C0000}"/>
    <cellStyle name="Normal 2 4 3 11 2 7 2" xfId="7386" xr:uid="{00000000-0005-0000-0000-0000C91C0000}"/>
    <cellStyle name="Normal 2 4 3 11 2 7 3" xfId="7387" xr:uid="{00000000-0005-0000-0000-0000CA1C0000}"/>
    <cellStyle name="Normal 2 4 3 11 2 8" xfId="7388" xr:uid="{00000000-0005-0000-0000-0000CB1C0000}"/>
    <cellStyle name="Normal 2 4 3 11 2 8 2" xfId="7389" xr:uid="{00000000-0005-0000-0000-0000CC1C0000}"/>
    <cellStyle name="Normal 2 4 3 11 2 8 3" xfId="7390" xr:uid="{00000000-0005-0000-0000-0000CD1C0000}"/>
    <cellStyle name="Normal 2 4 3 11 2 9" xfId="7391" xr:uid="{00000000-0005-0000-0000-0000CE1C0000}"/>
    <cellStyle name="Normal 2 4 3 11 2 9 2" xfId="7392" xr:uid="{00000000-0005-0000-0000-0000CF1C0000}"/>
    <cellStyle name="Normal 2 4 3 11 2 9 3" xfId="7393" xr:uid="{00000000-0005-0000-0000-0000D01C0000}"/>
    <cellStyle name="Normal 2 4 3 11 3" xfId="7394" xr:uid="{00000000-0005-0000-0000-0000D11C0000}"/>
    <cellStyle name="Normal 2 4 3 11 3 10" xfId="7395" xr:uid="{00000000-0005-0000-0000-0000D21C0000}"/>
    <cellStyle name="Normal 2 4 3 11 3 10 2" xfId="7396" xr:uid="{00000000-0005-0000-0000-0000D31C0000}"/>
    <cellStyle name="Normal 2 4 3 11 3 10 3" xfId="7397" xr:uid="{00000000-0005-0000-0000-0000D41C0000}"/>
    <cellStyle name="Normal 2 4 3 11 3 11" xfId="7398" xr:uid="{00000000-0005-0000-0000-0000D51C0000}"/>
    <cellStyle name="Normal 2 4 3 11 3 11 2" xfId="7399" xr:uid="{00000000-0005-0000-0000-0000D61C0000}"/>
    <cellStyle name="Normal 2 4 3 11 3 11 3" xfId="7400" xr:uid="{00000000-0005-0000-0000-0000D71C0000}"/>
    <cellStyle name="Normal 2 4 3 11 3 12" xfId="7401" xr:uid="{00000000-0005-0000-0000-0000D81C0000}"/>
    <cellStyle name="Normal 2 4 3 11 3 12 2" xfId="7402" xr:uid="{00000000-0005-0000-0000-0000D91C0000}"/>
    <cellStyle name="Normal 2 4 3 11 3 12 3" xfId="7403" xr:uid="{00000000-0005-0000-0000-0000DA1C0000}"/>
    <cellStyle name="Normal 2 4 3 11 3 13" xfId="7404" xr:uid="{00000000-0005-0000-0000-0000DB1C0000}"/>
    <cellStyle name="Normal 2 4 3 11 3 13 2" xfId="7405" xr:uid="{00000000-0005-0000-0000-0000DC1C0000}"/>
    <cellStyle name="Normal 2 4 3 11 3 13 3" xfId="7406" xr:uid="{00000000-0005-0000-0000-0000DD1C0000}"/>
    <cellStyle name="Normal 2 4 3 11 3 14" xfId="7407" xr:uid="{00000000-0005-0000-0000-0000DE1C0000}"/>
    <cellStyle name="Normal 2 4 3 11 3 14 2" xfId="7408" xr:uid="{00000000-0005-0000-0000-0000DF1C0000}"/>
    <cellStyle name="Normal 2 4 3 11 3 14 3" xfId="7409" xr:uid="{00000000-0005-0000-0000-0000E01C0000}"/>
    <cellStyle name="Normal 2 4 3 11 3 15" xfId="7410" xr:uid="{00000000-0005-0000-0000-0000E11C0000}"/>
    <cellStyle name="Normal 2 4 3 11 3 16" xfId="7411" xr:uid="{00000000-0005-0000-0000-0000E21C0000}"/>
    <cellStyle name="Normal 2 4 3 11 3 2" xfId="7412" xr:uid="{00000000-0005-0000-0000-0000E31C0000}"/>
    <cellStyle name="Normal 2 4 3 11 3 2 2" xfId="7413" xr:uid="{00000000-0005-0000-0000-0000E41C0000}"/>
    <cellStyle name="Normal 2 4 3 11 3 2 3" xfId="7414" xr:uid="{00000000-0005-0000-0000-0000E51C0000}"/>
    <cellStyle name="Normal 2 4 3 11 3 3" xfId="7415" xr:uid="{00000000-0005-0000-0000-0000E61C0000}"/>
    <cellStyle name="Normal 2 4 3 11 3 3 2" xfId="7416" xr:uid="{00000000-0005-0000-0000-0000E71C0000}"/>
    <cellStyle name="Normal 2 4 3 11 3 3 3" xfId="7417" xr:uid="{00000000-0005-0000-0000-0000E81C0000}"/>
    <cellStyle name="Normal 2 4 3 11 3 4" xfId="7418" xr:uid="{00000000-0005-0000-0000-0000E91C0000}"/>
    <cellStyle name="Normal 2 4 3 11 3 4 2" xfId="7419" xr:uid="{00000000-0005-0000-0000-0000EA1C0000}"/>
    <cellStyle name="Normal 2 4 3 11 3 4 3" xfId="7420" xr:uid="{00000000-0005-0000-0000-0000EB1C0000}"/>
    <cellStyle name="Normal 2 4 3 11 3 5" xfId="7421" xr:uid="{00000000-0005-0000-0000-0000EC1C0000}"/>
    <cellStyle name="Normal 2 4 3 11 3 5 2" xfId="7422" xr:uid="{00000000-0005-0000-0000-0000ED1C0000}"/>
    <cellStyle name="Normal 2 4 3 11 3 5 3" xfId="7423" xr:uid="{00000000-0005-0000-0000-0000EE1C0000}"/>
    <cellStyle name="Normal 2 4 3 11 3 6" xfId="7424" xr:uid="{00000000-0005-0000-0000-0000EF1C0000}"/>
    <cellStyle name="Normal 2 4 3 11 3 6 2" xfId="7425" xr:uid="{00000000-0005-0000-0000-0000F01C0000}"/>
    <cellStyle name="Normal 2 4 3 11 3 6 3" xfId="7426" xr:uid="{00000000-0005-0000-0000-0000F11C0000}"/>
    <cellStyle name="Normal 2 4 3 11 3 7" xfId="7427" xr:uid="{00000000-0005-0000-0000-0000F21C0000}"/>
    <cellStyle name="Normal 2 4 3 11 3 7 2" xfId="7428" xr:uid="{00000000-0005-0000-0000-0000F31C0000}"/>
    <cellStyle name="Normal 2 4 3 11 3 7 3" xfId="7429" xr:uid="{00000000-0005-0000-0000-0000F41C0000}"/>
    <cellStyle name="Normal 2 4 3 11 3 8" xfId="7430" xr:uid="{00000000-0005-0000-0000-0000F51C0000}"/>
    <cellStyle name="Normal 2 4 3 11 3 8 2" xfId="7431" xr:uid="{00000000-0005-0000-0000-0000F61C0000}"/>
    <cellStyle name="Normal 2 4 3 11 3 8 3" xfId="7432" xr:uid="{00000000-0005-0000-0000-0000F71C0000}"/>
    <cellStyle name="Normal 2 4 3 11 3 9" xfId="7433" xr:uid="{00000000-0005-0000-0000-0000F81C0000}"/>
    <cellStyle name="Normal 2 4 3 11 3 9 2" xfId="7434" xr:uid="{00000000-0005-0000-0000-0000F91C0000}"/>
    <cellStyle name="Normal 2 4 3 11 3 9 3" xfId="7435" xr:uid="{00000000-0005-0000-0000-0000FA1C0000}"/>
    <cellStyle name="Normal 2 4 3 11 4" xfId="7436" xr:uid="{00000000-0005-0000-0000-0000FB1C0000}"/>
    <cellStyle name="Normal 2 4 3 11 4 10" xfId="7437" xr:uid="{00000000-0005-0000-0000-0000FC1C0000}"/>
    <cellStyle name="Normal 2 4 3 11 4 10 2" xfId="7438" xr:uid="{00000000-0005-0000-0000-0000FD1C0000}"/>
    <cellStyle name="Normal 2 4 3 11 4 10 3" xfId="7439" xr:uid="{00000000-0005-0000-0000-0000FE1C0000}"/>
    <cellStyle name="Normal 2 4 3 11 4 11" xfId="7440" xr:uid="{00000000-0005-0000-0000-0000FF1C0000}"/>
    <cellStyle name="Normal 2 4 3 11 4 11 2" xfId="7441" xr:uid="{00000000-0005-0000-0000-0000001D0000}"/>
    <cellStyle name="Normal 2 4 3 11 4 11 3" xfId="7442" xr:uid="{00000000-0005-0000-0000-0000011D0000}"/>
    <cellStyle name="Normal 2 4 3 11 4 12" xfId="7443" xr:uid="{00000000-0005-0000-0000-0000021D0000}"/>
    <cellStyle name="Normal 2 4 3 11 4 12 2" xfId="7444" xr:uid="{00000000-0005-0000-0000-0000031D0000}"/>
    <cellStyle name="Normal 2 4 3 11 4 12 3" xfId="7445" xr:uid="{00000000-0005-0000-0000-0000041D0000}"/>
    <cellStyle name="Normal 2 4 3 11 4 13" xfId="7446" xr:uid="{00000000-0005-0000-0000-0000051D0000}"/>
    <cellStyle name="Normal 2 4 3 11 4 13 2" xfId="7447" xr:uid="{00000000-0005-0000-0000-0000061D0000}"/>
    <cellStyle name="Normal 2 4 3 11 4 13 3" xfId="7448" xr:uid="{00000000-0005-0000-0000-0000071D0000}"/>
    <cellStyle name="Normal 2 4 3 11 4 14" xfId="7449" xr:uid="{00000000-0005-0000-0000-0000081D0000}"/>
    <cellStyle name="Normal 2 4 3 11 4 14 2" xfId="7450" xr:uid="{00000000-0005-0000-0000-0000091D0000}"/>
    <cellStyle name="Normal 2 4 3 11 4 14 3" xfId="7451" xr:uid="{00000000-0005-0000-0000-00000A1D0000}"/>
    <cellStyle name="Normal 2 4 3 11 4 15" xfId="7452" xr:uid="{00000000-0005-0000-0000-00000B1D0000}"/>
    <cellStyle name="Normal 2 4 3 11 4 16" xfId="7453" xr:uid="{00000000-0005-0000-0000-00000C1D0000}"/>
    <cellStyle name="Normal 2 4 3 11 4 2" xfId="7454" xr:uid="{00000000-0005-0000-0000-00000D1D0000}"/>
    <cellStyle name="Normal 2 4 3 11 4 2 2" xfId="7455" xr:uid="{00000000-0005-0000-0000-00000E1D0000}"/>
    <cellStyle name="Normal 2 4 3 11 4 2 3" xfId="7456" xr:uid="{00000000-0005-0000-0000-00000F1D0000}"/>
    <cellStyle name="Normal 2 4 3 11 4 3" xfId="7457" xr:uid="{00000000-0005-0000-0000-0000101D0000}"/>
    <cellStyle name="Normal 2 4 3 11 4 3 2" xfId="7458" xr:uid="{00000000-0005-0000-0000-0000111D0000}"/>
    <cellStyle name="Normal 2 4 3 11 4 3 3" xfId="7459" xr:uid="{00000000-0005-0000-0000-0000121D0000}"/>
    <cellStyle name="Normal 2 4 3 11 4 4" xfId="7460" xr:uid="{00000000-0005-0000-0000-0000131D0000}"/>
    <cellStyle name="Normal 2 4 3 11 4 4 2" xfId="7461" xr:uid="{00000000-0005-0000-0000-0000141D0000}"/>
    <cellStyle name="Normal 2 4 3 11 4 4 3" xfId="7462" xr:uid="{00000000-0005-0000-0000-0000151D0000}"/>
    <cellStyle name="Normal 2 4 3 11 4 5" xfId="7463" xr:uid="{00000000-0005-0000-0000-0000161D0000}"/>
    <cellStyle name="Normal 2 4 3 11 4 5 2" xfId="7464" xr:uid="{00000000-0005-0000-0000-0000171D0000}"/>
    <cellStyle name="Normal 2 4 3 11 4 5 3" xfId="7465" xr:uid="{00000000-0005-0000-0000-0000181D0000}"/>
    <cellStyle name="Normal 2 4 3 11 4 6" xfId="7466" xr:uid="{00000000-0005-0000-0000-0000191D0000}"/>
    <cellStyle name="Normal 2 4 3 11 4 6 2" xfId="7467" xr:uid="{00000000-0005-0000-0000-00001A1D0000}"/>
    <cellStyle name="Normal 2 4 3 11 4 6 3" xfId="7468" xr:uid="{00000000-0005-0000-0000-00001B1D0000}"/>
    <cellStyle name="Normal 2 4 3 11 4 7" xfId="7469" xr:uid="{00000000-0005-0000-0000-00001C1D0000}"/>
    <cellStyle name="Normal 2 4 3 11 4 7 2" xfId="7470" xr:uid="{00000000-0005-0000-0000-00001D1D0000}"/>
    <cellStyle name="Normal 2 4 3 11 4 7 3" xfId="7471" xr:uid="{00000000-0005-0000-0000-00001E1D0000}"/>
    <cellStyle name="Normal 2 4 3 11 4 8" xfId="7472" xr:uid="{00000000-0005-0000-0000-00001F1D0000}"/>
    <cellStyle name="Normal 2 4 3 11 4 8 2" xfId="7473" xr:uid="{00000000-0005-0000-0000-0000201D0000}"/>
    <cellStyle name="Normal 2 4 3 11 4 8 3" xfId="7474" xr:uid="{00000000-0005-0000-0000-0000211D0000}"/>
    <cellStyle name="Normal 2 4 3 11 4 9" xfId="7475" xr:uid="{00000000-0005-0000-0000-0000221D0000}"/>
    <cellStyle name="Normal 2 4 3 11 4 9 2" xfId="7476" xr:uid="{00000000-0005-0000-0000-0000231D0000}"/>
    <cellStyle name="Normal 2 4 3 11 4 9 3" xfId="7477" xr:uid="{00000000-0005-0000-0000-0000241D0000}"/>
    <cellStyle name="Normal 2 4 3 12" xfId="7478" xr:uid="{00000000-0005-0000-0000-0000251D0000}"/>
    <cellStyle name="Normal 2 4 3 12 10" xfId="7479" xr:uid="{00000000-0005-0000-0000-0000261D0000}"/>
    <cellStyle name="Normal 2 4 3 12 10 2" xfId="7480" xr:uid="{00000000-0005-0000-0000-0000271D0000}"/>
    <cellStyle name="Normal 2 4 3 12 10 3" xfId="7481" xr:uid="{00000000-0005-0000-0000-0000281D0000}"/>
    <cellStyle name="Normal 2 4 3 12 11" xfId="7482" xr:uid="{00000000-0005-0000-0000-0000291D0000}"/>
    <cellStyle name="Normal 2 4 3 12 11 2" xfId="7483" xr:uid="{00000000-0005-0000-0000-00002A1D0000}"/>
    <cellStyle name="Normal 2 4 3 12 11 3" xfId="7484" xr:uid="{00000000-0005-0000-0000-00002B1D0000}"/>
    <cellStyle name="Normal 2 4 3 12 12" xfId="7485" xr:uid="{00000000-0005-0000-0000-00002C1D0000}"/>
    <cellStyle name="Normal 2 4 3 12 12 2" xfId="7486" xr:uid="{00000000-0005-0000-0000-00002D1D0000}"/>
    <cellStyle name="Normal 2 4 3 12 12 3" xfId="7487" xr:uid="{00000000-0005-0000-0000-00002E1D0000}"/>
    <cellStyle name="Normal 2 4 3 12 13" xfId="7488" xr:uid="{00000000-0005-0000-0000-00002F1D0000}"/>
    <cellStyle name="Normal 2 4 3 12 13 2" xfId="7489" xr:uid="{00000000-0005-0000-0000-0000301D0000}"/>
    <cellStyle name="Normal 2 4 3 12 13 3" xfId="7490" xr:uid="{00000000-0005-0000-0000-0000311D0000}"/>
    <cellStyle name="Normal 2 4 3 12 14" xfId="7491" xr:uid="{00000000-0005-0000-0000-0000321D0000}"/>
    <cellStyle name="Normal 2 4 3 12 14 2" xfId="7492" xr:uid="{00000000-0005-0000-0000-0000331D0000}"/>
    <cellStyle name="Normal 2 4 3 12 14 3" xfId="7493" xr:uid="{00000000-0005-0000-0000-0000341D0000}"/>
    <cellStyle name="Normal 2 4 3 12 15" xfId="7494" xr:uid="{00000000-0005-0000-0000-0000351D0000}"/>
    <cellStyle name="Normal 2 4 3 12 16" xfId="7495" xr:uid="{00000000-0005-0000-0000-0000361D0000}"/>
    <cellStyle name="Normal 2 4 3 12 2" xfId="7496" xr:uid="{00000000-0005-0000-0000-0000371D0000}"/>
    <cellStyle name="Normal 2 4 3 12 2 2" xfId="7497" xr:uid="{00000000-0005-0000-0000-0000381D0000}"/>
    <cellStyle name="Normal 2 4 3 12 2 3" xfId="7498" xr:uid="{00000000-0005-0000-0000-0000391D0000}"/>
    <cellStyle name="Normal 2 4 3 12 3" xfId="7499" xr:uid="{00000000-0005-0000-0000-00003A1D0000}"/>
    <cellStyle name="Normal 2 4 3 12 3 2" xfId="7500" xr:uid="{00000000-0005-0000-0000-00003B1D0000}"/>
    <cellStyle name="Normal 2 4 3 12 3 3" xfId="7501" xr:uid="{00000000-0005-0000-0000-00003C1D0000}"/>
    <cellStyle name="Normal 2 4 3 12 4" xfId="7502" xr:uid="{00000000-0005-0000-0000-00003D1D0000}"/>
    <cellStyle name="Normal 2 4 3 12 4 2" xfId="7503" xr:uid="{00000000-0005-0000-0000-00003E1D0000}"/>
    <cellStyle name="Normal 2 4 3 12 4 3" xfId="7504" xr:uid="{00000000-0005-0000-0000-00003F1D0000}"/>
    <cellStyle name="Normal 2 4 3 12 5" xfId="7505" xr:uid="{00000000-0005-0000-0000-0000401D0000}"/>
    <cellStyle name="Normal 2 4 3 12 5 2" xfId="7506" xr:uid="{00000000-0005-0000-0000-0000411D0000}"/>
    <cellStyle name="Normal 2 4 3 12 5 3" xfId="7507" xr:uid="{00000000-0005-0000-0000-0000421D0000}"/>
    <cellStyle name="Normal 2 4 3 12 6" xfId="7508" xr:uid="{00000000-0005-0000-0000-0000431D0000}"/>
    <cellStyle name="Normal 2 4 3 12 6 2" xfId="7509" xr:uid="{00000000-0005-0000-0000-0000441D0000}"/>
    <cellStyle name="Normal 2 4 3 12 6 3" xfId="7510" xr:uid="{00000000-0005-0000-0000-0000451D0000}"/>
    <cellStyle name="Normal 2 4 3 12 7" xfId="7511" xr:uid="{00000000-0005-0000-0000-0000461D0000}"/>
    <cellStyle name="Normal 2 4 3 12 7 2" xfId="7512" xr:uid="{00000000-0005-0000-0000-0000471D0000}"/>
    <cellStyle name="Normal 2 4 3 12 7 3" xfId="7513" xr:uid="{00000000-0005-0000-0000-0000481D0000}"/>
    <cellStyle name="Normal 2 4 3 12 8" xfId="7514" xr:uid="{00000000-0005-0000-0000-0000491D0000}"/>
    <cellStyle name="Normal 2 4 3 12 8 2" xfId="7515" xr:uid="{00000000-0005-0000-0000-00004A1D0000}"/>
    <cellStyle name="Normal 2 4 3 12 8 3" xfId="7516" xr:uid="{00000000-0005-0000-0000-00004B1D0000}"/>
    <cellStyle name="Normal 2 4 3 12 9" xfId="7517" xr:uid="{00000000-0005-0000-0000-00004C1D0000}"/>
    <cellStyle name="Normal 2 4 3 12 9 2" xfId="7518" xr:uid="{00000000-0005-0000-0000-00004D1D0000}"/>
    <cellStyle name="Normal 2 4 3 12 9 3" xfId="7519" xr:uid="{00000000-0005-0000-0000-00004E1D0000}"/>
    <cellStyle name="Normal 2 4 3 13" xfId="7520" xr:uid="{00000000-0005-0000-0000-00004F1D0000}"/>
    <cellStyle name="Normal 2 4 3 14" xfId="7521" xr:uid="{00000000-0005-0000-0000-0000501D0000}"/>
    <cellStyle name="Normal 2 4 3 15" xfId="7522" xr:uid="{00000000-0005-0000-0000-0000511D0000}"/>
    <cellStyle name="Normal 2 4 3 16" xfId="7523" xr:uid="{00000000-0005-0000-0000-0000521D0000}"/>
    <cellStyle name="Normal 2 4 3 16 2" xfId="7524" xr:uid="{00000000-0005-0000-0000-0000531D0000}"/>
    <cellStyle name="Normal 2 4 3 16 3" xfId="7525" xr:uid="{00000000-0005-0000-0000-0000541D0000}"/>
    <cellStyle name="Normal 2 4 3 17" xfId="7526" xr:uid="{00000000-0005-0000-0000-0000551D0000}"/>
    <cellStyle name="Normal 2 4 3 17 2" xfId="7527" xr:uid="{00000000-0005-0000-0000-0000561D0000}"/>
    <cellStyle name="Normal 2 4 3 17 3" xfId="7528" xr:uid="{00000000-0005-0000-0000-0000571D0000}"/>
    <cellStyle name="Normal 2 4 3 18" xfId="7529" xr:uid="{00000000-0005-0000-0000-0000581D0000}"/>
    <cellStyle name="Normal 2 4 3 18 2" xfId="7530" xr:uid="{00000000-0005-0000-0000-0000591D0000}"/>
    <cellStyle name="Normal 2 4 3 18 3" xfId="7531" xr:uid="{00000000-0005-0000-0000-00005A1D0000}"/>
    <cellStyle name="Normal 2 4 3 19" xfId="7532" xr:uid="{00000000-0005-0000-0000-00005B1D0000}"/>
    <cellStyle name="Normal 2 4 3 19 2" xfId="7533" xr:uid="{00000000-0005-0000-0000-00005C1D0000}"/>
    <cellStyle name="Normal 2 4 3 19 3" xfId="7534" xr:uid="{00000000-0005-0000-0000-00005D1D0000}"/>
    <cellStyle name="Normal 2 4 3 2" xfId="7535" xr:uid="{00000000-0005-0000-0000-00005E1D0000}"/>
    <cellStyle name="Normal 2 4 3 2 2" xfId="7536" xr:uid="{00000000-0005-0000-0000-00005F1D0000}"/>
    <cellStyle name="Normal 2 4 3 2 2 2" xfId="7537" xr:uid="{00000000-0005-0000-0000-0000601D0000}"/>
    <cellStyle name="Normal 2 4 3 2 2 2 2" xfId="7538" xr:uid="{00000000-0005-0000-0000-0000611D0000}"/>
    <cellStyle name="Normal 2 4 3 2 2 2 2 2" xfId="7539" xr:uid="{00000000-0005-0000-0000-0000621D0000}"/>
    <cellStyle name="Normal 2 4 3 2 2 2 2 2 2" xfId="7540" xr:uid="{00000000-0005-0000-0000-0000631D0000}"/>
    <cellStyle name="Normal 2 4 3 2 2 2 2 2 3" xfId="7541" xr:uid="{00000000-0005-0000-0000-0000641D0000}"/>
    <cellStyle name="Normal 2 4 3 2 2 2 2 3" xfId="7542" xr:uid="{00000000-0005-0000-0000-0000651D0000}"/>
    <cellStyle name="Normal 2 4 3 2 2 2 2 4" xfId="7543" xr:uid="{00000000-0005-0000-0000-0000661D0000}"/>
    <cellStyle name="Normal 2 4 3 2 2 2 3" xfId="7544" xr:uid="{00000000-0005-0000-0000-0000671D0000}"/>
    <cellStyle name="Normal 2 4 3 2 2 2 4" xfId="7545" xr:uid="{00000000-0005-0000-0000-0000681D0000}"/>
    <cellStyle name="Normal 2 4 3 2 2 2 5" xfId="7546" xr:uid="{00000000-0005-0000-0000-0000691D0000}"/>
    <cellStyle name="Normal 2 4 3 2 2 2 5 2" xfId="7547" xr:uid="{00000000-0005-0000-0000-00006A1D0000}"/>
    <cellStyle name="Normal 2 4 3 2 2 2 5 3" xfId="7548" xr:uid="{00000000-0005-0000-0000-00006B1D0000}"/>
    <cellStyle name="Normal 2 4 3 2 2 2 6" xfId="7549" xr:uid="{00000000-0005-0000-0000-00006C1D0000}"/>
    <cellStyle name="Normal 2 4 3 2 2 3" xfId="7550" xr:uid="{00000000-0005-0000-0000-00006D1D0000}"/>
    <cellStyle name="Normal 2 4 3 2 2 4" xfId="7551" xr:uid="{00000000-0005-0000-0000-00006E1D0000}"/>
    <cellStyle name="Normal 2 4 3 2 2 5" xfId="7552" xr:uid="{00000000-0005-0000-0000-00006F1D0000}"/>
    <cellStyle name="Normal 2 4 3 2 2 6" xfId="7553" xr:uid="{00000000-0005-0000-0000-0000701D0000}"/>
    <cellStyle name="Normal 2 4 3 2 2 6 2" xfId="7554" xr:uid="{00000000-0005-0000-0000-0000711D0000}"/>
    <cellStyle name="Normal 2 4 3 2 2 6 3" xfId="7555" xr:uid="{00000000-0005-0000-0000-0000721D0000}"/>
    <cellStyle name="Normal 2 4 3 2 2 7" xfId="7556" xr:uid="{00000000-0005-0000-0000-0000731D0000}"/>
    <cellStyle name="Normal 2 4 3 2 3" xfId="7557" xr:uid="{00000000-0005-0000-0000-0000741D0000}"/>
    <cellStyle name="Normal 2 4 3 2 3 2" xfId="7558" xr:uid="{00000000-0005-0000-0000-0000751D0000}"/>
    <cellStyle name="Normal 2 4 3 2 3 3" xfId="7559" xr:uid="{00000000-0005-0000-0000-0000761D0000}"/>
    <cellStyle name="Normal 2 4 3 2 3 4" xfId="7560" xr:uid="{00000000-0005-0000-0000-0000771D0000}"/>
    <cellStyle name="Normal 2 4 3 2 4" xfId="7561" xr:uid="{00000000-0005-0000-0000-0000781D0000}"/>
    <cellStyle name="Normal 2 4 3 2 5" xfId="7562" xr:uid="{00000000-0005-0000-0000-0000791D0000}"/>
    <cellStyle name="Normal 2 4 3 2 6" xfId="7563" xr:uid="{00000000-0005-0000-0000-00007A1D0000}"/>
    <cellStyle name="Normal 2 4 3 2 7" xfId="7564" xr:uid="{00000000-0005-0000-0000-00007B1D0000}"/>
    <cellStyle name="Normal 2 4 3 2 7 2" xfId="7565" xr:uid="{00000000-0005-0000-0000-00007C1D0000}"/>
    <cellStyle name="Normal 2 4 3 2 7 3" xfId="7566" xr:uid="{00000000-0005-0000-0000-00007D1D0000}"/>
    <cellStyle name="Normal 2 4 3 2 8" xfId="7567" xr:uid="{00000000-0005-0000-0000-00007E1D0000}"/>
    <cellStyle name="Normal 2 4 3 20" xfId="7568" xr:uid="{00000000-0005-0000-0000-00007F1D0000}"/>
    <cellStyle name="Normal 2 4 3 20 2" xfId="7569" xr:uid="{00000000-0005-0000-0000-0000801D0000}"/>
    <cellStyle name="Normal 2 4 3 20 3" xfId="7570" xr:uid="{00000000-0005-0000-0000-0000811D0000}"/>
    <cellStyle name="Normal 2 4 3 21" xfId="7571" xr:uid="{00000000-0005-0000-0000-0000821D0000}"/>
    <cellStyle name="Normal 2 4 3 21 2" xfId="7572" xr:uid="{00000000-0005-0000-0000-0000831D0000}"/>
    <cellStyle name="Normal 2 4 3 21 3" xfId="7573" xr:uid="{00000000-0005-0000-0000-0000841D0000}"/>
    <cellStyle name="Normal 2 4 3 22" xfId="7574" xr:uid="{00000000-0005-0000-0000-0000851D0000}"/>
    <cellStyle name="Normal 2 4 3 22 2" xfId="7575" xr:uid="{00000000-0005-0000-0000-0000861D0000}"/>
    <cellStyle name="Normal 2 4 3 22 3" xfId="7576" xr:uid="{00000000-0005-0000-0000-0000871D0000}"/>
    <cellStyle name="Normal 2 4 3 23" xfId="7577" xr:uid="{00000000-0005-0000-0000-0000881D0000}"/>
    <cellStyle name="Normal 2 4 3 23 2" xfId="7578" xr:uid="{00000000-0005-0000-0000-0000891D0000}"/>
    <cellStyle name="Normal 2 4 3 23 3" xfId="7579" xr:uid="{00000000-0005-0000-0000-00008A1D0000}"/>
    <cellStyle name="Normal 2 4 3 24" xfId="7580" xr:uid="{00000000-0005-0000-0000-00008B1D0000}"/>
    <cellStyle name="Normal 2 4 3 24 2" xfId="7581" xr:uid="{00000000-0005-0000-0000-00008C1D0000}"/>
    <cellStyle name="Normal 2 4 3 24 3" xfId="7582" xr:uid="{00000000-0005-0000-0000-00008D1D0000}"/>
    <cellStyle name="Normal 2 4 3 25" xfId="7583" xr:uid="{00000000-0005-0000-0000-00008E1D0000}"/>
    <cellStyle name="Normal 2 4 3 25 2" xfId="7584" xr:uid="{00000000-0005-0000-0000-00008F1D0000}"/>
    <cellStyle name="Normal 2 4 3 25 3" xfId="7585" xr:uid="{00000000-0005-0000-0000-0000901D0000}"/>
    <cellStyle name="Normal 2 4 3 26" xfId="7586" xr:uid="{00000000-0005-0000-0000-0000911D0000}"/>
    <cellStyle name="Normal 2 4 3 26 2" xfId="7587" xr:uid="{00000000-0005-0000-0000-0000921D0000}"/>
    <cellStyle name="Normal 2 4 3 26 3" xfId="7588" xr:uid="{00000000-0005-0000-0000-0000931D0000}"/>
    <cellStyle name="Normal 2 4 3 27" xfId="7589" xr:uid="{00000000-0005-0000-0000-0000941D0000}"/>
    <cellStyle name="Normal 2 4 3 27 2" xfId="7590" xr:uid="{00000000-0005-0000-0000-0000951D0000}"/>
    <cellStyle name="Normal 2 4 3 27 3" xfId="7591" xr:uid="{00000000-0005-0000-0000-0000961D0000}"/>
    <cellStyle name="Normal 2 4 3 28" xfId="7592" xr:uid="{00000000-0005-0000-0000-0000971D0000}"/>
    <cellStyle name="Normal 2 4 3 28 2" xfId="7593" xr:uid="{00000000-0005-0000-0000-0000981D0000}"/>
    <cellStyle name="Normal 2 4 3 28 3" xfId="7594" xr:uid="{00000000-0005-0000-0000-0000991D0000}"/>
    <cellStyle name="Normal 2 4 3 29" xfId="7595" xr:uid="{00000000-0005-0000-0000-00009A1D0000}"/>
    <cellStyle name="Normal 2 4 3 3" xfId="7596" xr:uid="{00000000-0005-0000-0000-00009B1D0000}"/>
    <cellStyle name="Normal 2 4 3 30" xfId="7597" xr:uid="{00000000-0005-0000-0000-00009C1D0000}"/>
    <cellStyle name="Normal 2 4 3 31" xfId="7598" xr:uid="{00000000-0005-0000-0000-00009D1D0000}"/>
    <cellStyle name="Normal 2 4 3 32" xfId="7599" xr:uid="{00000000-0005-0000-0000-00009E1D0000}"/>
    <cellStyle name="Normal 2 4 3 33" xfId="7600" xr:uid="{00000000-0005-0000-0000-00009F1D0000}"/>
    <cellStyle name="Normal 2 4 3 34" xfId="7601" xr:uid="{00000000-0005-0000-0000-0000A01D0000}"/>
    <cellStyle name="Normal 2 4 3 35" xfId="7602" xr:uid="{00000000-0005-0000-0000-0000A11D0000}"/>
    <cellStyle name="Normal 2 4 3 36" xfId="7603" xr:uid="{00000000-0005-0000-0000-0000A21D0000}"/>
    <cellStyle name="Normal 2 4 3 37" xfId="7604" xr:uid="{00000000-0005-0000-0000-0000A31D0000}"/>
    <cellStyle name="Normal 2 4 3 38" xfId="7605" xr:uid="{00000000-0005-0000-0000-0000A41D0000}"/>
    <cellStyle name="Normal 2 4 3 39" xfId="7606" xr:uid="{00000000-0005-0000-0000-0000A51D0000}"/>
    <cellStyle name="Normal 2 4 3 4" xfId="7607" xr:uid="{00000000-0005-0000-0000-0000A61D0000}"/>
    <cellStyle name="Normal 2 4 3 40" xfId="7608" xr:uid="{00000000-0005-0000-0000-0000A71D0000}"/>
    <cellStyle name="Normal 2 4 3 41" xfId="7609" xr:uid="{00000000-0005-0000-0000-0000A81D0000}"/>
    <cellStyle name="Normal 2 4 3 5" xfId="7610" xr:uid="{00000000-0005-0000-0000-0000A91D0000}"/>
    <cellStyle name="Normal 2 4 3 6" xfId="7611" xr:uid="{00000000-0005-0000-0000-0000AA1D0000}"/>
    <cellStyle name="Normal 2 4 3 7" xfId="7612" xr:uid="{00000000-0005-0000-0000-0000AB1D0000}"/>
    <cellStyle name="Normal 2 4 3 8" xfId="7613" xr:uid="{00000000-0005-0000-0000-0000AC1D0000}"/>
    <cellStyle name="Normal 2 4 3 9" xfId="7614" xr:uid="{00000000-0005-0000-0000-0000AD1D0000}"/>
    <cellStyle name="Normal 2 4 4" xfId="7615" xr:uid="{00000000-0005-0000-0000-0000AE1D0000}"/>
    <cellStyle name="Normal 2 4 4 10" xfId="7616" xr:uid="{00000000-0005-0000-0000-0000AF1D0000}"/>
    <cellStyle name="Normal 2 4 4 10 2" xfId="7617" xr:uid="{00000000-0005-0000-0000-0000B01D0000}"/>
    <cellStyle name="Normal 2 4 4 10 3" xfId="7618" xr:uid="{00000000-0005-0000-0000-0000B11D0000}"/>
    <cellStyle name="Normal 2 4 4 11" xfId="7619" xr:uid="{00000000-0005-0000-0000-0000B21D0000}"/>
    <cellStyle name="Normal 2 4 4 11 2" xfId="7620" xr:uid="{00000000-0005-0000-0000-0000B31D0000}"/>
    <cellStyle name="Normal 2 4 4 11 3" xfId="7621" xr:uid="{00000000-0005-0000-0000-0000B41D0000}"/>
    <cellStyle name="Normal 2 4 4 12" xfId="7622" xr:uid="{00000000-0005-0000-0000-0000B51D0000}"/>
    <cellStyle name="Normal 2 4 4 12 2" xfId="7623" xr:uid="{00000000-0005-0000-0000-0000B61D0000}"/>
    <cellStyle name="Normal 2 4 4 12 3" xfId="7624" xr:uid="{00000000-0005-0000-0000-0000B71D0000}"/>
    <cellStyle name="Normal 2 4 4 13" xfId="7625" xr:uid="{00000000-0005-0000-0000-0000B81D0000}"/>
    <cellStyle name="Normal 2 4 4 13 2" xfId="7626" xr:uid="{00000000-0005-0000-0000-0000B91D0000}"/>
    <cellStyle name="Normal 2 4 4 13 3" xfId="7627" xr:uid="{00000000-0005-0000-0000-0000BA1D0000}"/>
    <cellStyle name="Normal 2 4 4 14" xfId="7628" xr:uid="{00000000-0005-0000-0000-0000BB1D0000}"/>
    <cellStyle name="Normal 2 4 4 14 2" xfId="7629" xr:uid="{00000000-0005-0000-0000-0000BC1D0000}"/>
    <cellStyle name="Normal 2 4 4 14 3" xfId="7630" xr:uid="{00000000-0005-0000-0000-0000BD1D0000}"/>
    <cellStyle name="Normal 2 4 4 15" xfId="7631" xr:uid="{00000000-0005-0000-0000-0000BE1D0000}"/>
    <cellStyle name="Normal 2 4 4 15 2" xfId="7632" xr:uid="{00000000-0005-0000-0000-0000BF1D0000}"/>
    <cellStyle name="Normal 2 4 4 15 3" xfId="7633" xr:uid="{00000000-0005-0000-0000-0000C01D0000}"/>
    <cellStyle name="Normal 2 4 4 16" xfId="7634" xr:uid="{00000000-0005-0000-0000-0000C11D0000}"/>
    <cellStyle name="Normal 2 4 4 16 2" xfId="7635" xr:uid="{00000000-0005-0000-0000-0000C21D0000}"/>
    <cellStyle name="Normal 2 4 4 16 3" xfId="7636" xr:uid="{00000000-0005-0000-0000-0000C31D0000}"/>
    <cellStyle name="Normal 2 4 4 17" xfId="7637" xr:uid="{00000000-0005-0000-0000-0000C41D0000}"/>
    <cellStyle name="Normal 2 4 4 17 2" xfId="7638" xr:uid="{00000000-0005-0000-0000-0000C51D0000}"/>
    <cellStyle name="Normal 2 4 4 17 3" xfId="7639" xr:uid="{00000000-0005-0000-0000-0000C61D0000}"/>
    <cellStyle name="Normal 2 4 4 18" xfId="7640" xr:uid="{00000000-0005-0000-0000-0000C71D0000}"/>
    <cellStyle name="Normal 2 4 4 18 2" xfId="7641" xr:uid="{00000000-0005-0000-0000-0000C81D0000}"/>
    <cellStyle name="Normal 2 4 4 18 3" xfId="7642" xr:uid="{00000000-0005-0000-0000-0000C91D0000}"/>
    <cellStyle name="Normal 2 4 4 19" xfId="7643" xr:uid="{00000000-0005-0000-0000-0000CA1D0000}"/>
    <cellStyle name="Normal 2 4 4 19 2" xfId="7644" xr:uid="{00000000-0005-0000-0000-0000CB1D0000}"/>
    <cellStyle name="Normal 2 4 4 19 3" xfId="7645" xr:uid="{00000000-0005-0000-0000-0000CC1D0000}"/>
    <cellStyle name="Normal 2 4 4 2" xfId="7646" xr:uid="{00000000-0005-0000-0000-0000CD1D0000}"/>
    <cellStyle name="Normal 2 4 4 2 2" xfId="7647" xr:uid="{00000000-0005-0000-0000-0000CE1D0000}"/>
    <cellStyle name="Normal 2 4 4 2 2 10" xfId="7648" xr:uid="{00000000-0005-0000-0000-0000CF1D0000}"/>
    <cellStyle name="Normal 2 4 4 2 2 10 2" xfId="7649" xr:uid="{00000000-0005-0000-0000-0000D01D0000}"/>
    <cellStyle name="Normal 2 4 4 2 2 10 3" xfId="7650" xr:uid="{00000000-0005-0000-0000-0000D11D0000}"/>
    <cellStyle name="Normal 2 4 4 2 2 11" xfId="7651" xr:uid="{00000000-0005-0000-0000-0000D21D0000}"/>
    <cellStyle name="Normal 2 4 4 2 2 11 2" xfId="7652" xr:uid="{00000000-0005-0000-0000-0000D31D0000}"/>
    <cellStyle name="Normal 2 4 4 2 2 11 3" xfId="7653" xr:uid="{00000000-0005-0000-0000-0000D41D0000}"/>
    <cellStyle name="Normal 2 4 4 2 2 12" xfId="7654" xr:uid="{00000000-0005-0000-0000-0000D51D0000}"/>
    <cellStyle name="Normal 2 4 4 2 2 12 2" xfId="7655" xr:uid="{00000000-0005-0000-0000-0000D61D0000}"/>
    <cellStyle name="Normal 2 4 4 2 2 12 3" xfId="7656" xr:uid="{00000000-0005-0000-0000-0000D71D0000}"/>
    <cellStyle name="Normal 2 4 4 2 2 13" xfId="7657" xr:uid="{00000000-0005-0000-0000-0000D81D0000}"/>
    <cellStyle name="Normal 2 4 4 2 2 13 2" xfId="7658" xr:uid="{00000000-0005-0000-0000-0000D91D0000}"/>
    <cellStyle name="Normal 2 4 4 2 2 13 3" xfId="7659" xr:uid="{00000000-0005-0000-0000-0000DA1D0000}"/>
    <cellStyle name="Normal 2 4 4 2 2 14" xfId="7660" xr:uid="{00000000-0005-0000-0000-0000DB1D0000}"/>
    <cellStyle name="Normal 2 4 4 2 2 14 2" xfId="7661" xr:uid="{00000000-0005-0000-0000-0000DC1D0000}"/>
    <cellStyle name="Normal 2 4 4 2 2 14 3" xfId="7662" xr:uid="{00000000-0005-0000-0000-0000DD1D0000}"/>
    <cellStyle name="Normal 2 4 4 2 2 15" xfId="7663" xr:uid="{00000000-0005-0000-0000-0000DE1D0000}"/>
    <cellStyle name="Normal 2 4 4 2 2 15 2" xfId="7664" xr:uid="{00000000-0005-0000-0000-0000DF1D0000}"/>
    <cellStyle name="Normal 2 4 4 2 2 15 3" xfId="7665" xr:uid="{00000000-0005-0000-0000-0000E01D0000}"/>
    <cellStyle name="Normal 2 4 4 2 2 16" xfId="7666" xr:uid="{00000000-0005-0000-0000-0000E11D0000}"/>
    <cellStyle name="Normal 2 4 4 2 2 16 2" xfId="7667" xr:uid="{00000000-0005-0000-0000-0000E21D0000}"/>
    <cellStyle name="Normal 2 4 4 2 2 16 3" xfId="7668" xr:uid="{00000000-0005-0000-0000-0000E31D0000}"/>
    <cellStyle name="Normal 2 4 4 2 2 17" xfId="7669" xr:uid="{00000000-0005-0000-0000-0000E41D0000}"/>
    <cellStyle name="Normal 2 4 4 2 2 17 2" xfId="7670" xr:uid="{00000000-0005-0000-0000-0000E51D0000}"/>
    <cellStyle name="Normal 2 4 4 2 2 17 3" xfId="7671" xr:uid="{00000000-0005-0000-0000-0000E61D0000}"/>
    <cellStyle name="Normal 2 4 4 2 2 18" xfId="7672" xr:uid="{00000000-0005-0000-0000-0000E71D0000}"/>
    <cellStyle name="Normal 2 4 4 2 2 19" xfId="7673" xr:uid="{00000000-0005-0000-0000-0000E81D0000}"/>
    <cellStyle name="Normal 2 4 4 2 2 2" xfId="7674" xr:uid="{00000000-0005-0000-0000-0000E91D0000}"/>
    <cellStyle name="Normal 2 4 4 2 2 2 2" xfId="7675" xr:uid="{00000000-0005-0000-0000-0000EA1D0000}"/>
    <cellStyle name="Normal 2 4 4 2 2 2 2 2" xfId="7676" xr:uid="{00000000-0005-0000-0000-0000EB1D0000}"/>
    <cellStyle name="Normal 2 4 4 2 2 2 2 3" xfId="7677" xr:uid="{00000000-0005-0000-0000-0000EC1D0000}"/>
    <cellStyle name="Normal 2 4 4 2 2 2 3" xfId="7678" xr:uid="{00000000-0005-0000-0000-0000ED1D0000}"/>
    <cellStyle name="Normal 2 4 4 2 2 2 4" xfId="7679" xr:uid="{00000000-0005-0000-0000-0000EE1D0000}"/>
    <cellStyle name="Normal 2 4 4 2 2 3" xfId="7680" xr:uid="{00000000-0005-0000-0000-0000EF1D0000}"/>
    <cellStyle name="Normal 2 4 4 2 2 4" xfId="7681" xr:uid="{00000000-0005-0000-0000-0000F01D0000}"/>
    <cellStyle name="Normal 2 4 4 2 2 5" xfId="7682" xr:uid="{00000000-0005-0000-0000-0000F11D0000}"/>
    <cellStyle name="Normal 2 4 4 2 2 5 2" xfId="7683" xr:uid="{00000000-0005-0000-0000-0000F21D0000}"/>
    <cellStyle name="Normal 2 4 4 2 2 5 3" xfId="7684" xr:uid="{00000000-0005-0000-0000-0000F31D0000}"/>
    <cellStyle name="Normal 2 4 4 2 2 6" xfId="7685" xr:uid="{00000000-0005-0000-0000-0000F41D0000}"/>
    <cellStyle name="Normal 2 4 4 2 2 6 2" xfId="7686" xr:uid="{00000000-0005-0000-0000-0000F51D0000}"/>
    <cellStyle name="Normal 2 4 4 2 2 6 3" xfId="7687" xr:uid="{00000000-0005-0000-0000-0000F61D0000}"/>
    <cellStyle name="Normal 2 4 4 2 2 7" xfId="7688" xr:uid="{00000000-0005-0000-0000-0000F71D0000}"/>
    <cellStyle name="Normal 2 4 4 2 2 7 2" xfId="7689" xr:uid="{00000000-0005-0000-0000-0000F81D0000}"/>
    <cellStyle name="Normal 2 4 4 2 2 7 3" xfId="7690" xr:uid="{00000000-0005-0000-0000-0000F91D0000}"/>
    <cellStyle name="Normal 2 4 4 2 2 8" xfId="7691" xr:uid="{00000000-0005-0000-0000-0000FA1D0000}"/>
    <cellStyle name="Normal 2 4 4 2 2 8 2" xfId="7692" xr:uid="{00000000-0005-0000-0000-0000FB1D0000}"/>
    <cellStyle name="Normal 2 4 4 2 2 8 3" xfId="7693" xr:uid="{00000000-0005-0000-0000-0000FC1D0000}"/>
    <cellStyle name="Normal 2 4 4 2 2 9" xfId="7694" xr:uid="{00000000-0005-0000-0000-0000FD1D0000}"/>
    <cellStyle name="Normal 2 4 4 2 2 9 2" xfId="7695" xr:uid="{00000000-0005-0000-0000-0000FE1D0000}"/>
    <cellStyle name="Normal 2 4 4 2 2 9 3" xfId="7696" xr:uid="{00000000-0005-0000-0000-0000FF1D0000}"/>
    <cellStyle name="Normal 2 4 4 2 3" xfId="7697" xr:uid="{00000000-0005-0000-0000-0000001E0000}"/>
    <cellStyle name="Normal 2 4 4 2 4" xfId="7698" xr:uid="{00000000-0005-0000-0000-0000011E0000}"/>
    <cellStyle name="Normal 2 4 4 2 4 10" xfId="7699" xr:uid="{00000000-0005-0000-0000-0000021E0000}"/>
    <cellStyle name="Normal 2 4 4 2 4 10 2" xfId="7700" xr:uid="{00000000-0005-0000-0000-0000031E0000}"/>
    <cellStyle name="Normal 2 4 4 2 4 10 3" xfId="7701" xr:uid="{00000000-0005-0000-0000-0000041E0000}"/>
    <cellStyle name="Normal 2 4 4 2 4 11" xfId="7702" xr:uid="{00000000-0005-0000-0000-0000051E0000}"/>
    <cellStyle name="Normal 2 4 4 2 4 11 2" xfId="7703" xr:uid="{00000000-0005-0000-0000-0000061E0000}"/>
    <cellStyle name="Normal 2 4 4 2 4 11 3" xfId="7704" xr:uid="{00000000-0005-0000-0000-0000071E0000}"/>
    <cellStyle name="Normal 2 4 4 2 4 12" xfId="7705" xr:uid="{00000000-0005-0000-0000-0000081E0000}"/>
    <cellStyle name="Normal 2 4 4 2 4 12 2" xfId="7706" xr:uid="{00000000-0005-0000-0000-0000091E0000}"/>
    <cellStyle name="Normal 2 4 4 2 4 12 3" xfId="7707" xr:uid="{00000000-0005-0000-0000-00000A1E0000}"/>
    <cellStyle name="Normal 2 4 4 2 4 13" xfId="7708" xr:uid="{00000000-0005-0000-0000-00000B1E0000}"/>
    <cellStyle name="Normal 2 4 4 2 4 13 2" xfId="7709" xr:uid="{00000000-0005-0000-0000-00000C1E0000}"/>
    <cellStyle name="Normal 2 4 4 2 4 13 3" xfId="7710" xr:uid="{00000000-0005-0000-0000-00000D1E0000}"/>
    <cellStyle name="Normal 2 4 4 2 4 14" xfId="7711" xr:uid="{00000000-0005-0000-0000-00000E1E0000}"/>
    <cellStyle name="Normal 2 4 4 2 4 14 2" xfId="7712" xr:uid="{00000000-0005-0000-0000-00000F1E0000}"/>
    <cellStyle name="Normal 2 4 4 2 4 14 3" xfId="7713" xr:uid="{00000000-0005-0000-0000-0000101E0000}"/>
    <cellStyle name="Normal 2 4 4 2 4 15" xfId="7714" xr:uid="{00000000-0005-0000-0000-0000111E0000}"/>
    <cellStyle name="Normal 2 4 4 2 4 16" xfId="7715" xr:uid="{00000000-0005-0000-0000-0000121E0000}"/>
    <cellStyle name="Normal 2 4 4 2 4 2" xfId="7716" xr:uid="{00000000-0005-0000-0000-0000131E0000}"/>
    <cellStyle name="Normal 2 4 4 2 4 2 2" xfId="7717" xr:uid="{00000000-0005-0000-0000-0000141E0000}"/>
    <cellStyle name="Normal 2 4 4 2 4 2 3" xfId="7718" xr:uid="{00000000-0005-0000-0000-0000151E0000}"/>
    <cellStyle name="Normal 2 4 4 2 4 3" xfId="7719" xr:uid="{00000000-0005-0000-0000-0000161E0000}"/>
    <cellStyle name="Normal 2 4 4 2 4 3 2" xfId="7720" xr:uid="{00000000-0005-0000-0000-0000171E0000}"/>
    <cellStyle name="Normal 2 4 4 2 4 3 3" xfId="7721" xr:uid="{00000000-0005-0000-0000-0000181E0000}"/>
    <cellStyle name="Normal 2 4 4 2 4 4" xfId="7722" xr:uid="{00000000-0005-0000-0000-0000191E0000}"/>
    <cellStyle name="Normal 2 4 4 2 4 4 2" xfId="7723" xr:uid="{00000000-0005-0000-0000-00001A1E0000}"/>
    <cellStyle name="Normal 2 4 4 2 4 4 3" xfId="7724" xr:uid="{00000000-0005-0000-0000-00001B1E0000}"/>
    <cellStyle name="Normal 2 4 4 2 4 5" xfId="7725" xr:uid="{00000000-0005-0000-0000-00001C1E0000}"/>
    <cellStyle name="Normal 2 4 4 2 4 5 2" xfId="7726" xr:uid="{00000000-0005-0000-0000-00001D1E0000}"/>
    <cellStyle name="Normal 2 4 4 2 4 5 3" xfId="7727" xr:uid="{00000000-0005-0000-0000-00001E1E0000}"/>
    <cellStyle name="Normal 2 4 4 2 4 6" xfId="7728" xr:uid="{00000000-0005-0000-0000-00001F1E0000}"/>
    <cellStyle name="Normal 2 4 4 2 4 6 2" xfId="7729" xr:uid="{00000000-0005-0000-0000-0000201E0000}"/>
    <cellStyle name="Normal 2 4 4 2 4 6 3" xfId="7730" xr:uid="{00000000-0005-0000-0000-0000211E0000}"/>
    <cellStyle name="Normal 2 4 4 2 4 7" xfId="7731" xr:uid="{00000000-0005-0000-0000-0000221E0000}"/>
    <cellStyle name="Normal 2 4 4 2 4 7 2" xfId="7732" xr:uid="{00000000-0005-0000-0000-0000231E0000}"/>
    <cellStyle name="Normal 2 4 4 2 4 7 3" xfId="7733" xr:uid="{00000000-0005-0000-0000-0000241E0000}"/>
    <cellStyle name="Normal 2 4 4 2 4 8" xfId="7734" xr:uid="{00000000-0005-0000-0000-0000251E0000}"/>
    <cellStyle name="Normal 2 4 4 2 4 8 2" xfId="7735" xr:uid="{00000000-0005-0000-0000-0000261E0000}"/>
    <cellStyle name="Normal 2 4 4 2 4 8 3" xfId="7736" xr:uid="{00000000-0005-0000-0000-0000271E0000}"/>
    <cellStyle name="Normal 2 4 4 2 4 9" xfId="7737" xr:uid="{00000000-0005-0000-0000-0000281E0000}"/>
    <cellStyle name="Normal 2 4 4 2 4 9 2" xfId="7738" xr:uid="{00000000-0005-0000-0000-0000291E0000}"/>
    <cellStyle name="Normal 2 4 4 2 4 9 3" xfId="7739" xr:uid="{00000000-0005-0000-0000-00002A1E0000}"/>
    <cellStyle name="Normal 2 4 4 2 5" xfId="7740" xr:uid="{00000000-0005-0000-0000-00002B1E0000}"/>
    <cellStyle name="Normal 2 4 4 2 5 10" xfId="7741" xr:uid="{00000000-0005-0000-0000-00002C1E0000}"/>
    <cellStyle name="Normal 2 4 4 2 5 10 2" xfId="7742" xr:uid="{00000000-0005-0000-0000-00002D1E0000}"/>
    <cellStyle name="Normal 2 4 4 2 5 10 3" xfId="7743" xr:uid="{00000000-0005-0000-0000-00002E1E0000}"/>
    <cellStyle name="Normal 2 4 4 2 5 11" xfId="7744" xr:uid="{00000000-0005-0000-0000-00002F1E0000}"/>
    <cellStyle name="Normal 2 4 4 2 5 11 2" xfId="7745" xr:uid="{00000000-0005-0000-0000-0000301E0000}"/>
    <cellStyle name="Normal 2 4 4 2 5 11 3" xfId="7746" xr:uid="{00000000-0005-0000-0000-0000311E0000}"/>
    <cellStyle name="Normal 2 4 4 2 5 12" xfId="7747" xr:uid="{00000000-0005-0000-0000-0000321E0000}"/>
    <cellStyle name="Normal 2 4 4 2 5 12 2" xfId="7748" xr:uid="{00000000-0005-0000-0000-0000331E0000}"/>
    <cellStyle name="Normal 2 4 4 2 5 12 3" xfId="7749" xr:uid="{00000000-0005-0000-0000-0000341E0000}"/>
    <cellStyle name="Normal 2 4 4 2 5 13" xfId="7750" xr:uid="{00000000-0005-0000-0000-0000351E0000}"/>
    <cellStyle name="Normal 2 4 4 2 5 13 2" xfId="7751" xr:uid="{00000000-0005-0000-0000-0000361E0000}"/>
    <cellStyle name="Normal 2 4 4 2 5 13 3" xfId="7752" xr:uid="{00000000-0005-0000-0000-0000371E0000}"/>
    <cellStyle name="Normal 2 4 4 2 5 14" xfId="7753" xr:uid="{00000000-0005-0000-0000-0000381E0000}"/>
    <cellStyle name="Normal 2 4 4 2 5 14 2" xfId="7754" xr:uid="{00000000-0005-0000-0000-0000391E0000}"/>
    <cellStyle name="Normal 2 4 4 2 5 14 3" xfId="7755" xr:uid="{00000000-0005-0000-0000-00003A1E0000}"/>
    <cellStyle name="Normal 2 4 4 2 5 15" xfId="7756" xr:uid="{00000000-0005-0000-0000-00003B1E0000}"/>
    <cellStyle name="Normal 2 4 4 2 5 16" xfId="7757" xr:uid="{00000000-0005-0000-0000-00003C1E0000}"/>
    <cellStyle name="Normal 2 4 4 2 5 2" xfId="7758" xr:uid="{00000000-0005-0000-0000-00003D1E0000}"/>
    <cellStyle name="Normal 2 4 4 2 5 2 2" xfId="7759" xr:uid="{00000000-0005-0000-0000-00003E1E0000}"/>
    <cellStyle name="Normal 2 4 4 2 5 2 3" xfId="7760" xr:uid="{00000000-0005-0000-0000-00003F1E0000}"/>
    <cellStyle name="Normal 2 4 4 2 5 3" xfId="7761" xr:uid="{00000000-0005-0000-0000-0000401E0000}"/>
    <cellStyle name="Normal 2 4 4 2 5 3 2" xfId="7762" xr:uid="{00000000-0005-0000-0000-0000411E0000}"/>
    <cellStyle name="Normal 2 4 4 2 5 3 3" xfId="7763" xr:uid="{00000000-0005-0000-0000-0000421E0000}"/>
    <cellStyle name="Normal 2 4 4 2 5 4" xfId="7764" xr:uid="{00000000-0005-0000-0000-0000431E0000}"/>
    <cellStyle name="Normal 2 4 4 2 5 4 2" xfId="7765" xr:uid="{00000000-0005-0000-0000-0000441E0000}"/>
    <cellStyle name="Normal 2 4 4 2 5 4 3" xfId="7766" xr:uid="{00000000-0005-0000-0000-0000451E0000}"/>
    <cellStyle name="Normal 2 4 4 2 5 5" xfId="7767" xr:uid="{00000000-0005-0000-0000-0000461E0000}"/>
    <cellStyle name="Normal 2 4 4 2 5 5 2" xfId="7768" xr:uid="{00000000-0005-0000-0000-0000471E0000}"/>
    <cellStyle name="Normal 2 4 4 2 5 5 3" xfId="7769" xr:uid="{00000000-0005-0000-0000-0000481E0000}"/>
    <cellStyle name="Normal 2 4 4 2 5 6" xfId="7770" xr:uid="{00000000-0005-0000-0000-0000491E0000}"/>
    <cellStyle name="Normal 2 4 4 2 5 6 2" xfId="7771" xr:uid="{00000000-0005-0000-0000-00004A1E0000}"/>
    <cellStyle name="Normal 2 4 4 2 5 6 3" xfId="7772" xr:uid="{00000000-0005-0000-0000-00004B1E0000}"/>
    <cellStyle name="Normal 2 4 4 2 5 7" xfId="7773" xr:uid="{00000000-0005-0000-0000-00004C1E0000}"/>
    <cellStyle name="Normal 2 4 4 2 5 7 2" xfId="7774" xr:uid="{00000000-0005-0000-0000-00004D1E0000}"/>
    <cellStyle name="Normal 2 4 4 2 5 7 3" xfId="7775" xr:uid="{00000000-0005-0000-0000-00004E1E0000}"/>
    <cellStyle name="Normal 2 4 4 2 5 8" xfId="7776" xr:uid="{00000000-0005-0000-0000-00004F1E0000}"/>
    <cellStyle name="Normal 2 4 4 2 5 8 2" xfId="7777" xr:uid="{00000000-0005-0000-0000-0000501E0000}"/>
    <cellStyle name="Normal 2 4 4 2 5 8 3" xfId="7778" xr:uid="{00000000-0005-0000-0000-0000511E0000}"/>
    <cellStyle name="Normal 2 4 4 2 5 9" xfId="7779" xr:uid="{00000000-0005-0000-0000-0000521E0000}"/>
    <cellStyle name="Normal 2 4 4 2 5 9 2" xfId="7780" xr:uid="{00000000-0005-0000-0000-0000531E0000}"/>
    <cellStyle name="Normal 2 4 4 2 5 9 3" xfId="7781" xr:uid="{00000000-0005-0000-0000-0000541E0000}"/>
    <cellStyle name="Normal 2 4 4 2 6" xfId="7782" xr:uid="{00000000-0005-0000-0000-0000551E0000}"/>
    <cellStyle name="Normal 2 4 4 2 6 2" xfId="7783" xr:uid="{00000000-0005-0000-0000-0000561E0000}"/>
    <cellStyle name="Normal 2 4 4 2 6 3" xfId="7784" xr:uid="{00000000-0005-0000-0000-0000571E0000}"/>
    <cellStyle name="Normal 2 4 4 2 7" xfId="7785" xr:uid="{00000000-0005-0000-0000-0000581E0000}"/>
    <cellStyle name="Normal 2 4 4 20" xfId="7786" xr:uid="{00000000-0005-0000-0000-0000591E0000}"/>
    <cellStyle name="Normal 2 4 4 21" xfId="7787" xr:uid="{00000000-0005-0000-0000-00005A1E0000}"/>
    <cellStyle name="Normal 2 4 4 22" xfId="7788" xr:uid="{00000000-0005-0000-0000-00005B1E0000}"/>
    <cellStyle name="Normal 2 4 4 23" xfId="7789" xr:uid="{00000000-0005-0000-0000-00005C1E0000}"/>
    <cellStyle name="Normal 2 4 4 24" xfId="7790" xr:uid="{00000000-0005-0000-0000-00005D1E0000}"/>
    <cellStyle name="Normal 2 4 4 25" xfId="7791" xr:uid="{00000000-0005-0000-0000-00005E1E0000}"/>
    <cellStyle name="Normal 2 4 4 26" xfId="7792" xr:uid="{00000000-0005-0000-0000-00005F1E0000}"/>
    <cellStyle name="Normal 2 4 4 27" xfId="7793" xr:uid="{00000000-0005-0000-0000-0000601E0000}"/>
    <cellStyle name="Normal 2 4 4 28" xfId="7794" xr:uid="{00000000-0005-0000-0000-0000611E0000}"/>
    <cellStyle name="Normal 2 4 4 29" xfId="7795" xr:uid="{00000000-0005-0000-0000-0000621E0000}"/>
    <cellStyle name="Normal 2 4 4 3" xfId="7796" xr:uid="{00000000-0005-0000-0000-0000631E0000}"/>
    <cellStyle name="Normal 2 4 4 3 2" xfId="7797" xr:uid="{00000000-0005-0000-0000-0000641E0000}"/>
    <cellStyle name="Normal 2 4 4 3 2 10" xfId="7798" xr:uid="{00000000-0005-0000-0000-0000651E0000}"/>
    <cellStyle name="Normal 2 4 4 3 2 10 2" xfId="7799" xr:uid="{00000000-0005-0000-0000-0000661E0000}"/>
    <cellStyle name="Normal 2 4 4 3 2 10 3" xfId="7800" xr:uid="{00000000-0005-0000-0000-0000671E0000}"/>
    <cellStyle name="Normal 2 4 4 3 2 11" xfId="7801" xr:uid="{00000000-0005-0000-0000-0000681E0000}"/>
    <cellStyle name="Normal 2 4 4 3 2 11 2" xfId="7802" xr:uid="{00000000-0005-0000-0000-0000691E0000}"/>
    <cellStyle name="Normal 2 4 4 3 2 11 3" xfId="7803" xr:uid="{00000000-0005-0000-0000-00006A1E0000}"/>
    <cellStyle name="Normal 2 4 4 3 2 12" xfId="7804" xr:uid="{00000000-0005-0000-0000-00006B1E0000}"/>
    <cellStyle name="Normal 2 4 4 3 2 12 2" xfId="7805" xr:uid="{00000000-0005-0000-0000-00006C1E0000}"/>
    <cellStyle name="Normal 2 4 4 3 2 12 3" xfId="7806" xr:uid="{00000000-0005-0000-0000-00006D1E0000}"/>
    <cellStyle name="Normal 2 4 4 3 2 13" xfId="7807" xr:uid="{00000000-0005-0000-0000-00006E1E0000}"/>
    <cellStyle name="Normal 2 4 4 3 2 13 2" xfId="7808" xr:uid="{00000000-0005-0000-0000-00006F1E0000}"/>
    <cellStyle name="Normal 2 4 4 3 2 13 3" xfId="7809" xr:uid="{00000000-0005-0000-0000-0000701E0000}"/>
    <cellStyle name="Normal 2 4 4 3 2 14" xfId="7810" xr:uid="{00000000-0005-0000-0000-0000711E0000}"/>
    <cellStyle name="Normal 2 4 4 3 2 14 2" xfId="7811" xr:uid="{00000000-0005-0000-0000-0000721E0000}"/>
    <cellStyle name="Normal 2 4 4 3 2 14 3" xfId="7812" xr:uid="{00000000-0005-0000-0000-0000731E0000}"/>
    <cellStyle name="Normal 2 4 4 3 2 15" xfId="7813" xr:uid="{00000000-0005-0000-0000-0000741E0000}"/>
    <cellStyle name="Normal 2 4 4 3 2 16" xfId="7814" xr:uid="{00000000-0005-0000-0000-0000751E0000}"/>
    <cellStyle name="Normal 2 4 4 3 2 2" xfId="7815" xr:uid="{00000000-0005-0000-0000-0000761E0000}"/>
    <cellStyle name="Normal 2 4 4 3 2 2 2" xfId="7816" xr:uid="{00000000-0005-0000-0000-0000771E0000}"/>
    <cellStyle name="Normal 2 4 4 3 2 2 3" xfId="7817" xr:uid="{00000000-0005-0000-0000-0000781E0000}"/>
    <cellStyle name="Normal 2 4 4 3 2 3" xfId="7818" xr:uid="{00000000-0005-0000-0000-0000791E0000}"/>
    <cellStyle name="Normal 2 4 4 3 2 3 2" xfId="7819" xr:uid="{00000000-0005-0000-0000-00007A1E0000}"/>
    <cellStyle name="Normal 2 4 4 3 2 3 3" xfId="7820" xr:uid="{00000000-0005-0000-0000-00007B1E0000}"/>
    <cellStyle name="Normal 2 4 4 3 2 4" xfId="7821" xr:uid="{00000000-0005-0000-0000-00007C1E0000}"/>
    <cellStyle name="Normal 2 4 4 3 2 4 2" xfId="7822" xr:uid="{00000000-0005-0000-0000-00007D1E0000}"/>
    <cellStyle name="Normal 2 4 4 3 2 4 3" xfId="7823" xr:uid="{00000000-0005-0000-0000-00007E1E0000}"/>
    <cellStyle name="Normal 2 4 4 3 2 5" xfId="7824" xr:uid="{00000000-0005-0000-0000-00007F1E0000}"/>
    <cellStyle name="Normal 2 4 4 3 2 5 2" xfId="7825" xr:uid="{00000000-0005-0000-0000-0000801E0000}"/>
    <cellStyle name="Normal 2 4 4 3 2 5 3" xfId="7826" xr:uid="{00000000-0005-0000-0000-0000811E0000}"/>
    <cellStyle name="Normal 2 4 4 3 2 6" xfId="7827" xr:uid="{00000000-0005-0000-0000-0000821E0000}"/>
    <cellStyle name="Normal 2 4 4 3 2 6 2" xfId="7828" xr:uid="{00000000-0005-0000-0000-0000831E0000}"/>
    <cellStyle name="Normal 2 4 4 3 2 6 3" xfId="7829" xr:uid="{00000000-0005-0000-0000-0000841E0000}"/>
    <cellStyle name="Normal 2 4 4 3 2 7" xfId="7830" xr:uid="{00000000-0005-0000-0000-0000851E0000}"/>
    <cellStyle name="Normal 2 4 4 3 2 7 2" xfId="7831" xr:uid="{00000000-0005-0000-0000-0000861E0000}"/>
    <cellStyle name="Normal 2 4 4 3 2 7 3" xfId="7832" xr:uid="{00000000-0005-0000-0000-0000871E0000}"/>
    <cellStyle name="Normal 2 4 4 3 2 8" xfId="7833" xr:uid="{00000000-0005-0000-0000-0000881E0000}"/>
    <cellStyle name="Normal 2 4 4 3 2 8 2" xfId="7834" xr:uid="{00000000-0005-0000-0000-0000891E0000}"/>
    <cellStyle name="Normal 2 4 4 3 2 8 3" xfId="7835" xr:uid="{00000000-0005-0000-0000-00008A1E0000}"/>
    <cellStyle name="Normal 2 4 4 3 2 9" xfId="7836" xr:uid="{00000000-0005-0000-0000-00008B1E0000}"/>
    <cellStyle name="Normal 2 4 4 3 2 9 2" xfId="7837" xr:uid="{00000000-0005-0000-0000-00008C1E0000}"/>
    <cellStyle name="Normal 2 4 4 3 2 9 3" xfId="7838" xr:uid="{00000000-0005-0000-0000-00008D1E0000}"/>
    <cellStyle name="Normal 2 4 4 3 3" xfId="7839" xr:uid="{00000000-0005-0000-0000-00008E1E0000}"/>
    <cellStyle name="Normal 2 4 4 3 3 10" xfId="7840" xr:uid="{00000000-0005-0000-0000-00008F1E0000}"/>
    <cellStyle name="Normal 2 4 4 3 3 10 2" xfId="7841" xr:uid="{00000000-0005-0000-0000-0000901E0000}"/>
    <cellStyle name="Normal 2 4 4 3 3 10 3" xfId="7842" xr:uid="{00000000-0005-0000-0000-0000911E0000}"/>
    <cellStyle name="Normal 2 4 4 3 3 11" xfId="7843" xr:uid="{00000000-0005-0000-0000-0000921E0000}"/>
    <cellStyle name="Normal 2 4 4 3 3 11 2" xfId="7844" xr:uid="{00000000-0005-0000-0000-0000931E0000}"/>
    <cellStyle name="Normal 2 4 4 3 3 11 3" xfId="7845" xr:uid="{00000000-0005-0000-0000-0000941E0000}"/>
    <cellStyle name="Normal 2 4 4 3 3 12" xfId="7846" xr:uid="{00000000-0005-0000-0000-0000951E0000}"/>
    <cellStyle name="Normal 2 4 4 3 3 12 2" xfId="7847" xr:uid="{00000000-0005-0000-0000-0000961E0000}"/>
    <cellStyle name="Normal 2 4 4 3 3 12 3" xfId="7848" xr:uid="{00000000-0005-0000-0000-0000971E0000}"/>
    <cellStyle name="Normal 2 4 4 3 3 13" xfId="7849" xr:uid="{00000000-0005-0000-0000-0000981E0000}"/>
    <cellStyle name="Normal 2 4 4 3 3 13 2" xfId="7850" xr:uid="{00000000-0005-0000-0000-0000991E0000}"/>
    <cellStyle name="Normal 2 4 4 3 3 13 3" xfId="7851" xr:uid="{00000000-0005-0000-0000-00009A1E0000}"/>
    <cellStyle name="Normal 2 4 4 3 3 14" xfId="7852" xr:uid="{00000000-0005-0000-0000-00009B1E0000}"/>
    <cellStyle name="Normal 2 4 4 3 3 14 2" xfId="7853" xr:uid="{00000000-0005-0000-0000-00009C1E0000}"/>
    <cellStyle name="Normal 2 4 4 3 3 14 3" xfId="7854" xr:uid="{00000000-0005-0000-0000-00009D1E0000}"/>
    <cellStyle name="Normal 2 4 4 3 3 15" xfId="7855" xr:uid="{00000000-0005-0000-0000-00009E1E0000}"/>
    <cellStyle name="Normal 2 4 4 3 3 16" xfId="7856" xr:uid="{00000000-0005-0000-0000-00009F1E0000}"/>
    <cellStyle name="Normal 2 4 4 3 3 2" xfId="7857" xr:uid="{00000000-0005-0000-0000-0000A01E0000}"/>
    <cellStyle name="Normal 2 4 4 3 3 2 2" xfId="7858" xr:uid="{00000000-0005-0000-0000-0000A11E0000}"/>
    <cellStyle name="Normal 2 4 4 3 3 2 3" xfId="7859" xr:uid="{00000000-0005-0000-0000-0000A21E0000}"/>
    <cellStyle name="Normal 2 4 4 3 3 3" xfId="7860" xr:uid="{00000000-0005-0000-0000-0000A31E0000}"/>
    <cellStyle name="Normal 2 4 4 3 3 3 2" xfId="7861" xr:uid="{00000000-0005-0000-0000-0000A41E0000}"/>
    <cellStyle name="Normal 2 4 4 3 3 3 3" xfId="7862" xr:uid="{00000000-0005-0000-0000-0000A51E0000}"/>
    <cellStyle name="Normal 2 4 4 3 3 4" xfId="7863" xr:uid="{00000000-0005-0000-0000-0000A61E0000}"/>
    <cellStyle name="Normal 2 4 4 3 3 4 2" xfId="7864" xr:uid="{00000000-0005-0000-0000-0000A71E0000}"/>
    <cellStyle name="Normal 2 4 4 3 3 4 3" xfId="7865" xr:uid="{00000000-0005-0000-0000-0000A81E0000}"/>
    <cellStyle name="Normal 2 4 4 3 3 5" xfId="7866" xr:uid="{00000000-0005-0000-0000-0000A91E0000}"/>
    <cellStyle name="Normal 2 4 4 3 3 5 2" xfId="7867" xr:uid="{00000000-0005-0000-0000-0000AA1E0000}"/>
    <cellStyle name="Normal 2 4 4 3 3 5 3" xfId="7868" xr:uid="{00000000-0005-0000-0000-0000AB1E0000}"/>
    <cellStyle name="Normal 2 4 4 3 3 6" xfId="7869" xr:uid="{00000000-0005-0000-0000-0000AC1E0000}"/>
    <cellStyle name="Normal 2 4 4 3 3 6 2" xfId="7870" xr:uid="{00000000-0005-0000-0000-0000AD1E0000}"/>
    <cellStyle name="Normal 2 4 4 3 3 6 3" xfId="7871" xr:uid="{00000000-0005-0000-0000-0000AE1E0000}"/>
    <cellStyle name="Normal 2 4 4 3 3 7" xfId="7872" xr:uid="{00000000-0005-0000-0000-0000AF1E0000}"/>
    <cellStyle name="Normal 2 4 4 3 3 7 2" xfId="7873" xr:uid="{00000000-0005-0000-0000-0000B01E0000}"/>
    <cellStyle name="Normal 2 4 4 3 3 7 3" xfId="7874" xr:uid="{00000000-0005-0000-0000-0000B11E0000}"/>
    <cellStyle name="Normal 2 4 4 3 3 8" xfId="7875" xr:uid="{00000000-0005-0000-0000-0000B21E0000}"/>
    <cellStyle name="Normal 2 4 4 3 3 8 2" xfId="7876" xr:uid="{00000000-0005-0000-0000-0000B31E0000}"/>
    <cellStyle name="Normal 2 4 4 3 3 8 3" xfId="7877" xr:uid="{00000000-0005-0000-0000-0000B41E0000}"/>
    <cellStyle name="Normal 2 4 4 3 3 9" xfId="7878" xr:uid="{00000000-0005-0000-0000-0000B51E0000}"/>
    <cellStyle name="Normal 2 4 4 3 3 9 2" xfId="7879" xr:uid="{00000000-0005-0000-0000-0000B61E0000}"/>
    <cellStyle name="Normal 2 4 4 3 3 9 3" xfId="7880" xr:uid="{00000000-0005-0000-0000-0000B71E0000}"/>
    <cellStyle name="Normal 2 4 4 3 4" xfId="7881" xr:uid="{00000000-0005-0000-0000-0000B81E0000}"/>
    <cellStyle name="Normal 2 4 4 3 4 10" xfId="7882" xr:uid="{00000000-0005-0000-0000-0000B91E0000}"/>
    <cellStyle name="Normal 2 4 4 3 4 10 2" xfId="7883" xr:uid="{00000000-0005-0000-0000-0000BA1E0000}"/>
    <cellStyle name="Normal 2 4 4 3 4 10 3" xfId="7884" xr:uid="{00000000-0005-0000-0000-0000BB1E0000}"/>
    <cellStyle name="Normal 2 4 4 3 4 11" xfId="7885" xr:uid="{00000000-0005-0000-0000-0000BC1E0000}"/>
    <cellStyle name="Normal 2 4 4 3 4 11 2" xfId="7886" xr:uid="{00000000-0005-0000-0000-0000BD1E0000}"/>
    <cellStyle name="Normal 2 4 4 3 4 11 3" xfId="7887" xr:uid="{00000000-0005-0000-0000-0000BE1E0000}"/>
    <cellStyle name="Normal 2 4 4 3 4 12" xfId="7888" xr:uid="{00000000-0005-0000-0000-0000BF1E0000}"/>
    <cellStyle name="Normal 2 4 4 3 4 12 2" xfId="7889" xr:uid="{00000000-0005-0000-0000-0000C01E0000}"/>
    <cellStyle name="Normal 2 4 4 3 4 12 3" xfId="7890" xr:uid="{00000000-0005-0000-0000-0000C11E0000}"/>
    <cellStyle name="Normal 2 4 4 3 4 13" xfId="7891" xr:uid="{00000000-0005-0000-0000-0000C21E0000}"/>
    <cellStyle name="Normal 2 4 4 3 4 13 2" xfId="7892" xr:uid="{00000000-0005-0000-0000-0000C31E0000}"/>
    <cellStyle name="Normal 2 4 4 3 4 13 3" xfId="7893" xr:uid="{00000000-0005-0000-0000-0000C41E0000}"/>
    <cellStyle name="Normal 2 4 4 3 4 14" xfId="7894" xr:uid="{00000000-0005-0000-0000-0000C51E0000}"/>
    <cellStyle name="Normal 2 4 4 3 4 14 2" xfId="7895" xr:uid="{00000000-0005-0000-0000-0000C61E0000}"/>
    <cellStyle name="Normal 2 4 4 3 4 14 3" xfId="7896" xr:uid="{00000000-0005-0000-0000-0000C71E0000}"/>
    <cellStyle name="Normal 2 4 4 3 4 15" xfId="7897" xr:uid="{00000000-0005-0000-0000-0000C81E0000}"/>
    <cellStyle name="Normal 2 4 4 3 4 16" xfId="7898" xr:uid="{00000000-0005-0000-0000-0000C91E0000}"/>
    <cellStyle name="Normal 2 4 4 3 4 2" xfId="7899" xr:uid="{00000000-0005-0000-0000-0000CA1E0000}"/>
    <cellStyle name="Normal 2 4 4 3 4 2 2" xfId="7900" xr:uid="{00000000-0005-0000-0000-0000CB1E0000}"/>
    <cellStyle name="Normal 2 4 4 3 4 2 3" xfId="7901" xr:uid="{00000000-0005-0000-0000-0000CC1E0000}"/>
    <cellStyle name="Normal 2 4 4 3 4 3" xfId="7902" xr:uid="{00000000-0005-0000-0000-0000CD1E0000}"/>
    <cellStyle name="Normal 2 4 4 3 4 3 2" xfId="7903" xr:uid="{00000000-0005-0000-0000-0000CE1E0000}"/>
    <cellStyle name="Normal 2 4 4 3 4 3 3" xfId="7904" xr:uid="{00000000-0005-0000-0000-0000CF1E0000}"/>
    <cellStyle name="Normal 2 4 4 3 4 4" xfId="7905" xr:uid="{00000000-0005-0000-0000-0000D01E0000}"/>
    <cellStyle name="Normal 2 4 4 3 4 4 2" xfId="7906" xr:uid="{00000000-0005-0000-0000-0000D11E0000}"/>
    <cellStyle name="Normal 2 4 4 3 4 4 3" xfId="7907" xr:uid="{00000000-0005-0000-0000-0000D21E0000}"/>
    <cellStyle name="Normal 2 4 4 3 4 5" xfId="7908" xr:uid="{00000000-0005-0000-0000-0000D31E0000}"/>
    <cellStyle name="Normal 2 4 4 3 4 5 2" xfId="7909" xr:uid="{00000000-0005-0000-0000-0000D41E0000}"/>
    <cellStyle name="Normal 2 4 4 3 4 5 3" xfId="7910" xr:uid="{00000000-0005-0000-0000-0000D51E0000}"/>
    <cellStyle name="Normal 2 4 4 3 4 6" xfId="7911" xr:uid="{00000000-0005-0000-0000-0000D61E0000}"/>
    <cellStyle name="Normal 2 4 4 3 4 6 2" xfId="7912" xr:uid="{00000000-0005-0000-0000-0000D71E0000}"/>
    <cellStyle name="Normal 2 4 4 3 4 6 3" xfId="7913" xr:uid="{00000000-0005-0000-0000-0000D81E0000}"/>
    <cellStyle name="Normal 2 4 4 3 4 7" xfId="7914" xr:uid="{00000000-0005-0000-0000-0000D91E0000}"/>
    <cellStyle name="Normal 2 4 4 3 4 7 2" xfId="7915" xr:uid="{00000000-0005-0000-0000-0000DA1E0000}"/>
    <cellStyle name="Normal 2 4 4 3 4 7 3" xfId="7916" xr:uid="{00000000-0005-0000-0000-0000DB1E0000}"/>
    <cellStyle name="Normal 2 4 4 3 4 8" xfId="7917" xr:uid="{00000000-0005-0000-0000-0000DC1E0000}"/>
    <cellStyle name="Normal 2 4 4 3 4 8 2" xfId="7918" xr:uid="{00000000-0005-0000-0000-0000DD1E0000}"/>
    <cellStyle name="Normal 2 4 4 3 4 8 3" xfId="7919" xr:uid="{00000000-0005-0000-0000-0000DE1E0000}"/>
    <cellStyle name="Normal 2 4 4 3 4 9" xfId="7920" xr:uid="{00000000-0005-0000-0000-0000DF1E0000}"/>
    <cellStyle name="Normal 2 4 4 3 4 9 2" xfId="7921" xr:uid="{00000000-0005-0000-0000-0000E01E0000}"/>
    <cellStyle name="Normal 2 4 4 3 4 9 3" xfId="7922" xr:uid="{00000000-0005-0000-0000-0000E11E0000}"/>
    <cellStyle name="Normal 2 4 4 30" xfId="7923" xr:uid="{00000000-0005-0000-0000-0000E21E0000}"/>
    <cellStyle name="Normal 2 4 4 31" xfId="7924" xr:uid="{00000000-0005-0000-0000-0000E31E0000}"/>
    <cellStyle name="Normal 2 4 4 32" xfId="7925" xr:uid="{00000000-0005-0000-0000-0000E41E0000}"/>
    <cellStyle name="Normal 2 4 4 4" xfId="7926" xr:uid="{00000000-0005-0000-0000-0000E51E0000}"/>
    <cellStyle name="Normal 2 4 4 5" xfId="7927" xr:uid="{00000000-0005-0000-0000-0000E61E0000}"/>
    <cellStyle name="Normal 2 4 4 6" xfId="7928" xr:uid="{00000000-0005-0000-0000-0000E71E0000}"/>
    <cellStyle name="Normal 2 4 4 7" xfId="7929" xr:uid="{00000000-0005-0000-0000-0000E81E0000}"/>
    <cellStyle name="Normal 2 4 4 7 2" xfId="7930" xr:uid="{00000000-0005-0000-0000-0000E91E0000}"/>
    <cellStyle name="Normal 2 4 4 7 3" xfId="7931" xr:uid="{00000000-0005-0000-0000-0000EA1E0000}"/>
    <cellStyle name="Normal 2 4 4 8" xfId="7932" xr:uid="{00000000-0005-0000-0000-0000EB1E0000}"/>
    <cellStyle name="Normal 2 4 4 8 2" xfId="7933" xr:uid="{00000000-0005-0000-0000-0000EC1E0000}"/>
    <cellStyle name="Normal 2 4 4 8 3" xfId="7934" xr:uid="{00000000-0005-0000-0000-0000ED1E0000}"/>
    <cellStyle name="Normal 2 4 4 9" xfId="7935" xr:uid="{00000000-0005-0000-0000-0000EE1E0000}"/>
    <cellStyle name="Normal 2 4 4 9 2" xfId="7936" xr:uid="{00000000-0005-0000-0000-0000EF1E0000}"/>
    <cellStyle name="Normal 2 4 4 9 3" xfId="7937" xr:uid="{00000000-0005-0000-0000-0000F01E0000}"/>
    <cellStyle name="Normal 2 4 5" xfId="7938" xr:uid="{00000000-0005-0000-0000-0000F11E0000}"/>
    <cellStyle name="Normal 2 4 5 10" xfId="7939" xr:uid="{00000000-0005-0000-0000-0000F21E0000}"/>
    <cellStyle name="Normal 2 4 5 10 2" xfId="7940" xr:uid="{00000000-0005-0000-0000-0000F31E0000}"/>
    <cellStyle name="Normal 2 4 5 10 3" xfId="7941" xr:uid="{00000000-0005-0000-0000-0000F41E0000}"/>
    <cellStyle name="Normal 2 4 5 11" xfId="7942" xr:uid="{00000000-0005-0000-0000-0000F51E0000}"/>
    <cellStyle name="Normal 2 4 5 11 2" xfId="7943" xr:uid="{00000000-0005-0000-0000-0000F61E0000}"/>
    <cellStyle name="Normal 2 4 5 11 3" xfId="7944" xr:uid="{00000000-0005-0000-0000-0000F71E0000}"/>
    <cellStyle name="Normal 2 4 5 12" xfId="7945" xr:uid="{00000000-0005-0000-0000-0000F81E0000}"/>
    <cellStyle name="Normal 2 4 5 12 2" xfId="7946" xr:uid="{00000000-0005-0000-0000-0000F91E0000}"/>
    <cellStyle name="Normal 2 4 5 12 3" xfId="7947" xr:uid="{00000000-0005-0000-0000-0000FA1E0000}"/>
    <cellStyle name="Normal 2 4 5 13" xfId="7948" xr:uid="{00000000-0005-0000-0000-0000FB1E0000}"/>
    <cellStyle name="Normal 2 4 5 13 2" xfId="7949" xr:uid="{00000000-0005-0000-0000-0000FC1E0000}"/>
    <cellStyle name="Normal 2 4 5 13 3" xfId="7950" xr:uid="{00000000-0005-0000-0000-0000FD1E0000}"/>
    <cellStyle name="Normal 2 4 5 14" xfId="7951" xr:uid="{00000000-0005-0000-0000-0000FE1E0000}"/>
    <cellStyle name="Normal 2 4 5 14 2" xfId="7952" xr:uid="{00000000-0005-0000-0000-0000FF1E0000}"/>
    <cellStyle name="Normal 2 4 5 14 3" xfId="7953" xr:uid="{00000000-0005-0000-0000-0000001F0000}"/>
    <cellStyle name="Normal 2 4 5 15" xfId="7954" xr:uid="{00000000-0005-0000-0000-0000011F0000}"/>
    <cellStyle name="Normal 2 4 5 15 2" xfId="7955" xr:uid="{00000000-0005-0000-0000-0000021F0000}"/>
    <cellStyle name="Normal 2 4 5 15 3" xfId="7956" xr:uid="{00000000-0005-0000-0000-0000031F0000}"/>
    <cellStyle name="Normal 2 4 5 16" xfId="7957" xr:uid="{00000000-0005-0000-0000-0000041F0000}"/>
    <cellStyle name="Normal 2 4 5 16 2" xfId="7958" xr:uid="{00000000-0005-0000-0000-0000051F0000}"/>
    <cellStyle name="Normal 2 4 5 16 3" xfId="7959" xr:uid="{00000000-0005-0000-0000-0000061F0000}"/>
    <cellStyle name="Normal 2 4 5 17" xfId="7960" xr:uid="{00000000-0005-0000-0000-0000071F0000}"/>
    <cellStyle name="Normal 2 4 5 17 2" xfId="7961" xr:uid="{00000000-0005-0000-0000-0000081F0000}"/>
    <cellStyle name="Normal 2 4 5 17 3" xfId="7962" xr:uid="{00000000-0005-0000-0000-0000091F0000}"/>
    <cellStyle name="Normal 2 4 5 18" xfId="7963" xr:uid="{00000000-0005-0000-0000-00000A1F0000}"/>
    <cellStyle name="Normal 2 4 5 18 2" xfId="7964" xr:uid="{00000000-0005-0000-0000-00000B1F0000}"/>
    <cellStyle name="Normal 2 4 5 18 3" xfId="7965" xr:uid="{00000000-0005-0000-0000-00000C1F0000}"/>
    <cellStyle name="Normal 2 4 5 19" xfId="7966" xr:uid="{00000000-0005-0000-0000-00000D1F0000}"/>
    <cellStyle name="Normal 2 4 5 19 2" xfId="7967" xr:uid="{00000000-0005-0000-0000-00000E1F0000}"/>
    <cellStyle name="Normal 2 4 5 19 3" xfId="7968" xr:uid="{00000000-0005-0000-0000-00000F1F0000}"/>
    <cellStyle name="Normal 2 4 5 2" xfId="7969" xr:uid="{00000000-0005-0000-0000-0000101F0000}"/>
    <cellStyle name="Normal 2 4 5 2 2" xfId="7970" xr:uid="{00000000-0005-0000-0000-0000111F0000}"/>
    <cellStyle name="Normal 2 4 5 2 2 10" xfId="7971" xr:uid="{00000000-0005-0000-0000-0000121F0000}"/>
    <cellStyle name="Normal 2 4 5 2 2 10 2" xfId="7972" xr:uid="{00000000-0005-0000-0000-0000131F0000}"/>
    <cellStyle name="Normal 2 4 5 2 2 10 3" xfId="7973" xr:uid="{00000000-0005-0000-0000-0000141F0000}"/>
    <cellStyle name="Normal 2 4 5 2 2 11" xfId="7974" xr:uid="{00000000-0005-0000-0000-0000151F0000}"/>
    <cellStyle name="Normal 2 4 5 2 2 11 2" xfId="7975" xr:uid="{00000000-0005-0000-0000-0000161F0000}"/>
    <cellStyle name="Normal 2 4 5 2 2 11 3" xfId="7976" xr:uid="{00000000-0005-0000-0000-0000171F0000}"/>
    <cellStyle name="Normal 2 4 5 2 2 12" xfId="7977" xr:uid="{00000000-0005-0000-0000-0000181F0000}"/>
    <cellStyle name="Normal 2 4 5 2 2 12 2" xfId="7978" xr:uid="{00000000-0005-0000-0000-0000191F0000}"/>
    <cellStyle name="Normal 2 4 5 2 2 12 3" xfId="7979" xr:uid="{00000000-0005-0000-0000-00001A1F0000}"/>
    <cellStyle name="Normal 2 4 5 2 2 13" xfId="7980" xr:uid="{00000000-0005-0000-0000-00001B1F0000}"/>
    <cellStyle name="Normal 2 4 5 2 2 13 2" xfId="7981" xr:uid="{00000000-0005-0000-0000-00001C1F0000}"/>
    <cellStyle name="Normal 2 4 5 2 2 13 3" xfId="7982" xr:uid="{00000000-0005-0000-0000-00001D1F0000}"/>
    <cellStyle name="Normal 2 4 5 2 2 14" xfId="7983" xr:uid="{00000000-0005-0000-0000-00001E1F0000}"/>
    <cellStyle name="Normal 2 4 5 2 2 14 2" xfId="7984" xr:uid="{00000000-0005-0000-0000-00001F1F0000}"/>
    <cellStyle name="Normal 2 4 5 2 2 14 3" xfId="7985" xr:uid="{00000000-0005-0000-0000-0000201F0000}"/>
    <cellStyle name="Normal 2 4 5 2 2 15" xfId="7986" xr:uid="{00000000-0005-0000-0000-0000211F0000}"/>
    <cellStyle name="Normal 2 4 5 2 2 15 2" xfId="7987" xr:uid="{00000000-0005-0000-0000-0000221F0000}"/>
    <cellStyle name="Normal 2 4 5 2 2 15 3" xfId="7988" xr:uid="{00000000-0005-0000-0000-0000231F0000}"/>
    <cellStyle name="Normal 2 4 5 2 2 16" xfId="7989" xr:uid="{00000000-0005-0000-0000-0000241F0000}"/>
    <cellStyle name="Normal 2 4 5 2 2 16 2" xfId="7990" xr:uid="{00000000-0005-0000-0000-0000251F0000}"/>
    <cellStyle name="Normal 2 4 5 2 2 16 3" xfId="7991" xr:uid="{00000000-0005-0000-0000-0000261F0000}"/>
    <cellStyle name="Normal 2 4 5 2 2 17" xfId="7992" xr:uid="{00000000-0005-0000-0000-0000271F0000}"/>
    <cellStyle name="Normal 2 4 5 2 2 17 2" xfId="7993" xr:uid="{00000000-0005-0000-0000-0000281F0000}"/>
    <cellStyle name="Normal 2 4 5 2 2 17 3" xfId="7994" xr:uid="{00000000-0005-0000-0000-0000291F0000}"/>
    <cellStyle name="Normal 2 4 5 2 2 18" xfId="7995" xr:uid="{00000000-0005-0000-0000-00002A1F0000}"/>
    <cellStyle name="Normal 2 4 5 2 2 19" xfId="7996" xr:uid="{00000000-0005-0000-0000-00002B1F0000}"/>
    <cellStyle name="Normal 2 4 5 2 2 2" xfId="7997" xr:uid="{00000000-0005-0000-0000-00002C1F0000}"/>
    <cellStyle name="Normal 2 4 5 2 2 2 2" xfId="7998" xr:uid="{00000000-0005-0000-0000-00002D1F0000}"/>
    <cellStyle name="Normal 2 4 5 2 2 2 2 2" xfId="7999" xr:uid="{00000000-0005-0000-0000-00002E1F0000}"/>
    <cellStyle name="Normal 2 4 5 2 2 2 2 3" xfId="8000" xr:uid="{00000000-0005-0000-0000-00002F1F0000}"/>
    <cellStyle name="Normal 2 4 5 2 2 2 3" xfId="8001" xr:uid="{00000000-0005-0000-0000-0000301F0000}"/>
    <cellStyle name="Normal 2 4 5 2 2 2 4" xfId="8002" xr:uid="{00000000-0005-0000-0000-0000311F0000}"/>
    <cellStyle name="Normal 2 4 5 2 2 3" xfId="8003" xr:uid="{00000000-0005-0000-0000-0000321F0000}"/>
    <cellStyle name="Normal 2 4 5 2 2 4" xfId="8004" xr:uid="{00000000-0005-0000-0000-0000331F0000}"/>
    <cellStyle name="Normal 2 4 5 2 2 5" xfId="8005" xr:uid="{00000000-0005-0000-0000-0000341F0000}"/>
    <cellStyle name="Normal 2 4 5 2 2 5 2" xfId="8006" xr:uid="{00000000-0005-0000-0000-0000351F0000}"/>
    <cellStyle name="Normal 2 4 5 2 2 5 3" xfId="8007" xr:uid="{00000000-0005-0000-0000-0000361F0000}"/>
    <cellStyle name="Normal 2 4 5 2 2 6" xfId="8008" xr:uid="{00000000-0005-0000-0000-0000371F0000}"/>
    <cellStyle name="Normal 2 4 5 2 2 6 2" xfId="8009" xr:uid="{00000000-0005-0000-0000-0000381F0000}"/>
    <cellStyle name="Normal 2 4 5 2 2 6 3" xfId="8010" xr:uid="{00000000-0005-0000-0000-0000391F0000}"/>
    <cellStyle name="Normal 2 4 5 2 2 7" xfId="8011" xr:uid="{00000000-0005-0000-0000-00003A1F0000}"/>
    <cellStyle name="Normal 2 4 5 2 2 7 2" xfId="8012" xr:uid="{00000000-0005-0000-0000-00003B1F0000}"/>
    <cellStyle name="Normal 2 4 5 2 2 7 3" xfId="8013" xr:uid="{00000000-0005-0000-0000-00003C1F0000}"/>
    <cellStyle name="Normal 2 4 5 2 2 8" xfId="8014" xr:uid="{00000000-0005-0000-0000-00003D1F0000}"/>
    <cellStyle name="Normal 2 4 5 2 2 8 2" xfId="8015" xr:uid="{00000000-0005-0000-0000-00003E1F0000}"/>
    <cellStyle name="Normal 2 4 5 2 2 8 3" xfId="8016" xr:uid="{00000000-0005-0000-0000-00003F1F0000}"/>
    <cellStyle name="Normal 2 4 5 2 2 9" xfId="8017" xr:uid="{00000000-0005-0000-0000-0000401F0000}"/>
    <cellStyle name="Normal 2 4 5 2 2 9 2" xfId="8018" xr:uid="{00000000-0005-0000-0000-0000411F0000}"/>
    <cellStyle name="Normal 2 4 5 2 2 9 3" xfId="8019" xr:uid="{00000000-0005-0000-0000-0000421F0000}"/>
    <cellStyle name="Normal 2 4 5 2 3" xfId="8020" xr:uid="{00000000-0005-0000-0000-0000431F0000}"/>
    <cellStyle name="Normal 2 4 5 2 4" xfId="8021" xr:uid="{00000000-0005-0000-0000-0000441F0000}"/>
    <cellStyle name="Normal 2 4 5 2 4 10" xfId="8022" xr:uid="{00000000-0005-0000-0000-0000451F0000}"/>
    <cellStyle name="Normal 2 4 5 2 4 10 2" xfId="8023" xr:uid="{00000000-0005-0000-0000-0000461F0000}"/>
    <cellStyle name="Normal 2 4 5 2 4 10 3" xfId="8024" xr:uid="{00000000-0005-0000-0000-0000471F0000}"/>
    <cellStyle name="Normal 2 4 5 2 4 11" xfId="8025" xr:uid="{00000000-0005-0000-0000-0000481F0000}"/>
    <cellStyle name="Normal 2 4 5 2 4 11 2" xfId="8026" xr:uid="{00000000-0005-0000-0000-0000491F0000}"/>
    <cellStyle name="Normal 2 4 5 2 4 11 3" xfId="8027" xr:uid="{00000000-0005-0000-0000-00004A1F0000}"/>
    <cellStyle name="Normal 2 4 5 2 4 12" xfId="8028" xr:uid="{00000000-0005-0000-0000-00004B1F0000}"/>
    <cellStyle name="Normal 2 4 5 2 4 12 2" xfId="8029" xr:uid="{00000000-0005-0000-0000-00004C1F0000}"/>
    <cellStyle name="Normal 2 4 5 2 4 12 3" xfId="8030" xr:uid="{00000000-0005-0000-0000-00004D1F0000}"/>
    <cellStyle name="Normal 2 4 5 2 4 13" xfId="8031" xr:uid="{00000000-0005-0000-0000-00004E1F0000}"/>
    <cellStyle name="Normal 2 4 5 2 4 13 2" xfId="8032" xr:uid="{00000000-0005-0000-0000-00004F1F0000}"/>
    <cellStyle name="Normal 2 4 5 2 4 13 3" xfId="8033" xr:uid="{00000000-0005-0000-0000-0000501F0000}"/>
    <cellStyle name="Normal 2 4 5 2 4 14" xfId="8034" xr:uid="{00000000-0005-0000-0000-0000511F0000}"/>
    <cellStyle name="Normal 2 4 5 2 4 14 2" xfId="8035" xr:uid="{00000000-0005-0000-0000-0000521F0000}"/>
    <cellStyle name="Normal 2 4 5 2 4 14 3" xfId="8036" xr:uid="{00000000-0005-0000-0000-0000531F0000}"/>
    <cellStyle name="Normal 2 4 5 2 4 15" xfId="8037" xr:uid="{00000000-0005-0000-0000-0000541F0000}"/>
    <cellStyle name="Normal 2 4 5 2 4 16" xfId="8038" xr:uid="{00000000-0005-0000-0000-0000551F0000}"/>
    <cellStyle name="Normal 2 4 5 2 4 2" xfId="8039" xr:uid="{00000000-0005-0000-0000-0000561F0000}"/>
    <cellStyle name="Normal 2 4 5 2 4 2 2" xfId="8040" xr:uid="{00000000-0005-0000-0000-0000571F0000}"/>
    <cellStyle name="Normal 2 4 5 2 4 2 3" xfId="8041" xr:uid="{00000000-0005-0000-0000-0000581F0000}"/>
    <cellStyle name="Normal 2 4 5 2 4 3" xfId="8042" xr:uid="{00000000-0005-0000-0000-0000591F0000}"/>
    <cellStyle name="Normal 2 4 5 2 4 3 2" xfId="8043" xr:uid="{00000000-0005-0000-0000-00005A1F0000}"/>
    <cellStyle name="Normal 2 4 5 2 4 3 3" xfId="8044" xr:uid="{00000000-0005-0000-0000-00005B1F0000}"/>
    <cellStyle name="Normal 2 4 5 2 4 4" xfId="8045" xr:uid="{00000000-0005-0000-0000-00005C1F0000}"/>
    <cellStyle name="Normal 2 4 5 2 4 4 2" xfId="8046" xr:uid="{00000000-0005-0000-0000-00005D1F0000}"/>
    <cellStyle name="Normal 2 4 5 2 4 4 3" xfId="8047" xr:uid="{00000000-0005-0000-0000-00005E1F0000}"/>
    <cellStyle name="Normal 2 4 5 2 4 5" xfId="8048" xr:uid="{00000000-0005-0000-0000-00005F1F0000}"/>
    <cellStyle name="Normal 2 4 5 2 4 5 2" xfId="8049" xr:uid="{00000000-0005-0000-0000-0000601F0000}"/>
    <cellStyle name="Normal 2 4 5 2 4 5 3" xfId="8050" xr:uid="{00000000-0005-0000-0000-0000611F0000}"/>
    <cellStyle name="Normal 2 4 5 2 4 6" xfId="8051" xr:uid="{00000000-0005-0000-0000-0000621F0000}"/>
    <cellStyle name="Normal 2 4 5 2 4 6 2" xfId="8052" xr:uid="{00000000-0005-0000-0000-0000631F0000}"/>
    <cellStyle name="Normal 2 4 5 2 4 6 3" xfId="8053" xr:uid="{00000000-0005-0000-0000-0000641F0000}"/>
    <cellStyle name="Normal 2 4 5 2 4 7" xfId="8054" xr:uid="{00000000-0005-0000-0000-0000651F0000}"/>
    <cellStyle name="Normal 2 4 5 2 4 7 2" xfId="8055" xr:uid="{00000000-0005-0000-0000-0000661F0000}"/>
    <cellStyle name="Normal 2 4 5 2 4 7 3" xfId="8056" xr:uid="{00000000-0005-0000-0000-0000671F0000}"/>
    <cellStyle name="Normal 2 4 5 2 4 8" xfId="8057" xr:uid="{00000000-0005-0000-0000-0000681F0000}"/>
    <cellStyle name="Normal 2 4 5 2 4 8 2" xfId="8058" xr:uid="{00000000-0005-0000-0000-0000691F0000}"/>
    <cellStyle name="Normal 2 4 5 2 4 8 3" xfId="8059" xr:uid="{00000000-0005-0000-0000-00006A1F0000}"/>
    <cellStyle name="Normal 2 4 5 2 4 9" xfId="8060" xr:uid="{00000000-0005-0000-0000-00006B1F0000}"/>
    <cellStyle name="Normal 2 4 5 2 4 9 2" xfId="8061" xr:uid="{00000000-0005-0000-0000-00006C1F0000}"/>
    <cellStyle name="Normal 2 4 5 2 4 9 3" xfId="8062" xr:uid="{00000000-0005-0000-0000-00006D1F0000}"/>
    <cellStyle name="Normal 2 4 5 2 5" xfId="8063" xr:uid="{00000000-0005-0000-0000-00006E1F0000}"/>
    <cellStyle name="Normal 2 4 5 2 5 10" xfId="8064" xr:uid="{00000000-0005-0000-0000-00006F1F0000}"/>
    <cellStyle name="Normal 2 4 5 2 5 10 2" xfId="8065" xr:uid="{00000000-0005-0000-0000-0000701F0000}"/>
    <cellStyle name="Normal 2 4 5 2 5 10 3" xfId="8066" xr:uid="{00000000-0005-0000-0000-0000711F0000}"/>
    <cellStyle name="Normal 2 4 5 2 5 11" xfId="8067" xr:uid="{00000000-0005-0000-0000-0000721F0000}"/>
    <cellStyle name="Normal 2 4 5 2 5 11 2" xfId="8068" xr:uid="{00000000-0005-0000-0000-0000731F0000}"/>
    <cellStyle name="Normal 2 4 5 2 5 11 3" xfId="8069" xr:uid="{00000000-0005-0000-0000-0000741F0000}"/>
    <cellStyle name="Normal 2 4 5 2 5 12" xfId="8070" xr:uid="{00000000-0005-0000-0000-0000751F0000}"/>
    <cellStyle name="Normal 2 4 5 2 5 12 2" xfId="8071" xr:uid="{00000000-0005-0000-0000-0000761F0000}"/>
    <cellStyle name="Normal 2 4 5 2 5 12 3" xfId="8072" xr:uid="{00000000-0005-0000-0000-0000771F0000}"/>
    <cellStyle name="Normal 2 4 5 2 5 13" xfId="8073" xr:uid="{00000000-0005-0000-0000-0000781F0000}"/>
    <cellStyle name="Normal 2 4 5 2 5 13 2" xfId="8074" xr:uid="{00000000-0005-0000-0000-0000791F0000}"/>
    <cellStyle name="Normal 2 4 5 2 5 13 3" xfId="8075" xr:uid="{00000000-0005-0000-0000-00007A1F0000}"/>
    <cellStyle name="Normal 2 4 5 2 5 14" xfId="8076" xr:uid="{00000000-0005-0000-0000-00007B1F0000}"/>
    <cellStyle name="Normal 2 4 5 2 5 14 2" xfId="8077" xr:uid="{00000000-0005-0000-0000-00007C1F0000}"/>
    <cellStyle name="Normal 2 4 5 2 5 14 3" xfId="8078" xr:uid="{00000000-0005-0000-0000-00007D1F0000}"/>
    <cellStyle name="Normal 2 4 5 2 5 15" xfId="8079" xr:uid="{00000000-0005-0000-0000-00007E1F0000}"/>
    <cellStyle name="Normal 2 4 5 2 5 16" xfId="8080" xr:uid="{00000000-0005-0000-0000-00007F1F0000}"/>
    <cellStyle name="Normal 2 4 5 2 5 2" xfId="8081" xr:uid="{00000000-0005-0000-0000-0000801F0000}"/>
    <cellStyle name="Normal 2 4 5 2 5 2 2" xfId="8082" xr:uid="{00000000-0005-0000-0000-0000811F0000}"/>
    <cellStyle name="Normal 2 4 5 2 5 2 3" xfId="8083" xr:uid="{00000000-0005-0000-0000-0000821F0000}"/>
    <cellStyle name="Normal 2 4 5 2 5 3" xfId="8084" xr:uid="{00000000-0005-0000-0000-0000831F0000}"/>
    <cellStyle name="Normal 2 4 5 2 5 3 2" xfId="8085" xr:uid="{00000000-0005-0000-0000-0000841F0000}"/>
    <cellStyle name="Normal 2 4 5 2 5 3 3" xfId="8086" xr:uid="{00000000-0005-0000-0000-0000851F0000}"/>
    <cellStyle name="Normal 2 4 5 2 5 4" xfId="8087" xr:uid="{00000000-0005-0000-0000-0000861F0000}"/>
    <cellStyle name="Normal 2 4 5 2 5 4 2" xfId="8088" xr:uid="{00000000-0005-0000-0000-0000871F0000}"/>
    <cellStyle name="Normal 2 4 5 2 5 4 3" xfId="8089" xr:uid="{00000000-0005-0000-0000-0000881F0000}"/>
    <cellStyle name="Normal 2 4 5 2 5 5" xfId="8090" xr:uid="{00000000-0005-0000-0000-0000891F0000}"/>
    <cellStyle name="Normal 2 4 5 2 5 5 2" xfId="8091" xr:uid="{00000000-0005-0000-0000-00008A1F0000}"/>
    <cellStyle name="Normal 2 4 5 2 5 5 3" xfId="8092" xr:uid="{00000000-0005-0000-0000-00008B1F0000}"/>
    <cellStyle name="Normal 2 4 5 2 5 6" xfId="8093" xr:uid="{00000000-0005-0000-0000-00008C1F0000}"/>
    <cellStyle name="Normal 2 4 5 2 5 6 2" xfId="8094" xr:uid="{00000000-0005-0000-0000-00008D1F0000}"/>
    <cellStyle name="Normal 2 4 5 2 5 6 3" xfId="8095" xr:uid="{00000000-0005-0000-0000-00008E1F0000}"/>
    <cellStyle name="Normal 2 4 5 2 5 7" xfId="8096" xr:uid="{00000000-0005-0000-0000-00008F1F0000}"/>
    <cellStyle name="Normal 2 4 5 2 5 7 2" xfId="8097" xr:uid="{00000000-0005-0000-0000-0000901F0000}"/>
    <cellStyle name="Normal 2 4 5 2 5 7 3" xfId="8098" xr:uid="{00000000-0005-0000-0000-0000911F0000}"/>
    <cellStyle name="Normal 2 4 5 2 5 8" xfId="8099" xr:uid="{00000000-0005-0000-0000-0000921F0000}"/>
    <cellStyle name="Normal 2 4 5 2 5 8 2" xfId="8100" xr:uid="{00000000-0005-0000-0000-0000931F0000}"/>
    <cellStyle name="Normal 2 4 5 2 5 8 3" xfId="8101" xr:uid="{00000000-0005-0000-0000-0000941F0000}"/>
    <cellStyle name="Normal 2 4 5 2 5 9" xfId="8102" xr:uid="{00000000-0005-0000-0000-0000951F0000}"/>
    <cellStyle name="Normal 2 4 5 2 5 9 2" xfId="8103" xr:uid="{00000000-0005-0000-0000-0000961F0000}"/>
    <cellStyle name="Normal 2 4 5 2 5 9 3" xfId="8104" xr:uid="{00000000-0005-0000-0000-0000971F0000}"/>
    <cellStyle name="Normal 2 4 5 2 6" xfId="8105" xr:uid="{00000000-0005-0000-0000-0000981F0000}"/>
    <cellStyle name="Normal 2 4 5 2 6 2" xfId="8106" xr:uid="{00000000-0005-0000-0000-0000991F0000}"/>
    <cellStyle name="Normal 2 4 5 2 6 3" xfId="8107" xr:uid="{00000000-0005-0000-0000-00009A1F0000}"/>
    <cellStyle name="Normal 2 4 5 2 7" xfId="8108" xr:uid="{00000000-0005-0000-0000-00009B1F0000}"/>
    <cellStyle name="Normal 2 4 5 20" xfId="8109" xr:uid="{00000000-0005-0000-0000-00009C1F0000}"/>
    <cellStyle name="Normal 2 4 5 21" xfId="8110" xr:uid="{00000000-0005-0000-0000-00009D1F0000}"/>
    <cellStyle name="Normal 2 4 5 22" xfId="8111" xr:uid="{00000000-0005-0000-0000-00009E1F0000}"/>
    <cellStyle name="Normal 2 4 5 23" xfId="8112" xr:uid="{00000000-0005-0000-0000-00009F1F0000}"/>
    <cellStyle name="Normal 2 4 5 24" xfId="8113" xr:uid="{00000000-0005-0000-0000-0000A01F0000}"/>
    <cellStyle name="Normal 2 4 5 25" xfId="8114" xr:uid="{00000000-0005-0000-0000-0000A11F0000}"/>
    <cellStyle name="Normal 2 4 5 26" xfId="8115" xr:uid="{00000000-0005-0000-0000-0000A21F0000}"/>
    <cellStyle name="Normal 2 4 5 27" xfId="8116" xr:uid="{00000000-0005-0000-0000-0000A31F0000}"/>
    <cellStyle name="Normal 2 4 5 28" xfId="8117" xr:uid="{00000000-0005-0000-0000-0000A41F0000}"/>
    <cellStyle name="Normal 2 4 5 29" xfId="8118" xr:uid="{00000000-0005-0000-0000-0000A51F0000}"/>
    <cellStyle name="Normal 2 4 5 3" xfId="8119" xr:uid="{00000000-0005-0000-0000-0000A61F0000}"/>
    <cellStyle name="Normal 2 4 5 3 2" xfId="8120" xr:uid="{00000000-0005-0000-0000-0000A71F0000}"/>
    <cellStyle name="Normal 2 4 5 3 2 10" xfId="8121" xr:uid="{00000000-0005-0000-0000-0000A81F0000}"/>
    <cellStyle name="Normal 2 4 5 3 2 10 2" xfId="8122" xr:uid="{00000000-0005-0000-0000-0000A91F0000}"/>
    <cellStyle name="Normal 2 4 5 3 2 10 3" xfId="8123" xr:uid="{00000000-0005-0000-0000-0000AA1F0000}"/>
    <cellStyle name="Normal 2 4 5 3 2 11" xfId="8124" xr:uid="{00000000-0005-0000-0000-0000AB1F0000}"/>
    <cellStyle name="Normal 2 4 5 3 2 11 2" xfId="8125" xr:uid="{00000000-0005-0000-0000-0000AC1F0000}"/>
    <cellStyle name="Normal 2 4 5 3 2 11 3" xfId="8126" xr:uid="{00000000-0005-0000-0000-0000AD1F0000}"/>
    <cellStyle name="Normal 2 4 5 3 2 12" xfId="8127" xr:uid="{00000000-0005-0000-0000-0000AE1F0000}"/>
    <cellStyle name="Normal 2 4 5 3 2 12 2" xfId="8128" xr:uid="{00000000-0005-0000-0000-0000AF1F0000}"/>
    <cellStyle name="Normal 2 4 5 3 2 12 3" xfId="8129" xr:uid="{00000000-0005-0000-0000-0000B01F0000}"/>
    <cellStyle name="Normal 2 4 5 3 2 13" xfId="8130" xr:uid="{00000000-0005-0000-0000-0000B11F0000}"/>
    <cellStyle name="Normal 2 4 5 3 2 13 2" xfId="8131" xr:uid="{00000000-0005-0000-0000-0000B21F0000}"/>
    <cellStyle name="Normal 2 4 5 3 2 13 3" xfId="8132" xr:uid="{00000000-0005-0000-0000-0000B31F0000}"/>
    <cellStyle name="Normal 2 4 5 3 2 14" xfId="8133" xr:uid="{00000000-0005-0000-0000-0000B41F0000}"/>
    <cellStyle name="Normal 2 4 5 3 2 14 2" xfId="8134" xr:uid="{00000000-0005-0000-0000-0000B51F0000}"/>
    <cellStyle name="Normal 2 4 5 3 2 14 3" xfId="8135" xr:uid="{00000000-0005-0000-0000-0000B61F0000}"/>
    <cellStyle name="Normal 2 4 5 3 2 15" xfId="8136" xr:uid="{00000000-0005-0000-0000-0000B71F0000}"/>
    <cellStyle name="Normal 2 4 5 3 2 16" xfId="8137" xr:uid="{00000000-0005-0000-0000-0000B81F0000}"/>
    <cellStyle name="Normal 2 4 5 3 2 2" xfId="8138" xr:uid="{00000000-0005-0000-0000-0000B91F0000}"/>
    <cellStyle name="Normal 2 4 5 3 2 2 2" xfId="8139" xr:uid="{00000000-0005-0000-0000-0000BA1F0000}"/>
    <cellStyle name="Normal 2 4 5 3 2 2 3" xfId="8140" xr:uid="{00000000-0005-0000-0000-0000BB1F0000}"/>
    <cellStyle name="Normal 2 4 5 3 2 3" xfId="8141" xr:uid="{00000000-0005-0000-0000-0000BC1F0000}"/>
    <cellStyle name="Normal 2 4 5 3 2 3 2" xfId="8142" xr:uid="{00000000-0005-0000-0000-0000BD1F0000}"/>
    <cellStyle name="Normal 2 4 5 3 2 3 3" xfId="8143" xr:uid="{00000000-0005-0000-0000-0000BE1F0000}"/>
    <cellStyle name="Normal 2 4 5 3 2 4" xfId="8144" xr:uid="{00000000-0005-0000-0000-0000BF1F0000}"/>
    <cellStyle name="Normal 2 4 5 3 2 4 2" xfId="8145" xr:uid="{00000000-0005-0000-0000-0000C01F0000}"/>
    <cellStyle name="Normal 2 4 5 3 2 4 3" xfId="8146" xr:uid="{00000000-0005-0000-0000-0000C11F0000}"/>
    <cellStyle name="Normal 2 4 5 3 2 5" xfId="8147" xr:uid="{00000000-0005-0000-0000-0000C21F0000}"/>
    <cellStyle name="Normal 2 4 5 3 2 5 2" xfId="8148" xr:uid="{00000000-0005-0000-0000-0000C31F0000}"/>
    <cellStyle name="Normal 2 4 5 3 2 5 3" xfId="8149" xr:uid="{00000000-0005-0000-0000-0000C41F0000}"/>
    <cellStyle name="Normal 2 4 5 3 2 6" xfId="8150" xr:uid="{00000000-0005-0000-0000-0000C51F0000}"/>
    <cellStyle name="Normal 2 4 5 3 2 6 2" xfId="8151" xr:uid="{00000000-0005-0000-0000-0000C61F0000}"/>
    <cellStyle name="Normal 2 4 5 3 2 6 3" xfId="8152" xr:uid="{00000000-0005-0000-0000-0000C71F0000}"/>
    <cellStyle name="Normal 2 4 5 3 2 7" xfId="8153" xr:uid="{00000000-0005-0000-0000-0000C81F0000}"/>
    <cellStyle name="Normal 2 4 5 3 2 7 2" xfId="8154" xr:uid="{00000000-0005-0000-0000-0000C91F0000}"/>
    <cellStyle name="Normal 2 4 5 3 2 7 3" xfId="8155" xr:uid="{00000000-0005-0000-0000-0000CA1F0000}"/>
    <cellStyle name="Normal 2 4 5 3 2 8" xfId="8156" xr:uid="{00000000-0005-0000-0000-0000CB1F0000}"/>
    <cellStyle name="Normal 2 4 5 3 2 8 2" xfId="8157" xr:uid="{00000000-0005-0000-0000-0000CC1F0000}"/>
    <cellStyle name="Normal 2 4 5 3 2 8 3" xfId="8158" xr:uid="{00000000-0005-0000-0000-0000CD1F0000}"/>
    <cellStyle name="Normal 2 4 5 3 2 9" xfId="8159" xr:uid="{00000000-0005-0000-0000-0000CE1F0000}"/>
    <cellStyle name="Normal 2 4 5 3 2 9 2" xfId="8160" xr:uid="{00000000-0005-0000-0000-0000CF1F0000}"/>
    <cellStyle name="Normal 2 4 5 3 2 9 3" xfId="8161" xr:uid="{00000000-0005-0000-0000-0000D01F0000}"/>
    <cellStyle name="Normal 2 4 5 3 3" xfId="8162" xr:uid="{00000000-0005-0000-0000-0000D11F0000}"/>
    <cellStyle name="Normal 2 4 5 3 3 10" xfId="8163" xr:uid="{00000000-0005-0000-0000-0000D21F0000}"/>
    <cellStyle name="Normal 2 4 5 3 3 10 2" xfId="8164" xr:uid="{00000000-0005-0000-0000-0000D31F0000}"/>
    <cellStyle name="Normal 2 4 5 3 3 10 3" xfId="8165" xr:uid="{00000000-0005-0000-0000-0000D41F0000}"/>
    <cellStyle name="Normal 2 4 5 3 3 11" xfId="8166" xr:uid="{00000000-0005-0000-0000-0000D51F0000}"/>
    <cellStyle name="Normal 2 4 5 3 3 11 2" xfId="8167" xr:uid="{00000000-0005-0000-0000-0000D61F0000}"/>
    <cellStyle name="Normal 2 4 5 3 3 11 3" xfId="8168" xr:uid="{00000000-0005-0000-0000-0000D71F0000}"/>
    <cellStyle name="Normal 2 4 5 3 3 12" xfId="8169" xr:uid="{00000000-0005-0000-0000-0000D81F0000}"/>
    <cellStyle name="Normal 2 4 5 3 3 12 2" xfId="8170" xr:uid="{00000000-0005-0000-0000-0000D91F0000}"/>
    <cellStyle name="Normal 2 4 5 3 3 12 3" xfId="8171" xr:uid="{00000000-0005-0000-0000-0000DA1F0000}"/>
    <cellStyle name="Normal 2 4 5 3 3 13" xfId="8172" xr:uid="{00000000-0005-0000-0000-0000DB1F0000}"/>
    <cellStyle name="Normal 2 4 5 3 3 13 2" xfId="8173" xr:uid="{00000000-0005-0000-0000-0000DC1F0000}"/>
    <cellStyle name="Normal 2 4 5 3 3 13 3" xfId="8174" xr:uid="{00000000-0005-0000-0000-0000DD1F0000}"/>
    <cellStyle name="Normal 2 4 5 3 3 14" xfId="8175" xr:uid="{00000000-0005-0000-0000-0000DE1F0000}"/>
    <cellStyle name="Normal 2 4 5 3 3 14 2" xfId="8176" xr:uid="{00000000-0005-0000-0000-0000DF1F0000}"/>
    <cellStyle name="Normal 2 4 5 3 3 14 3" xfId="8177" xr:uid="{00000000-0005-0000-0000-0000E01F0000}"/>
    <cellStyle name="Normal 2 4 5 3 3 15" xfId="8178" xr:uid="{00000000-0005-0000-0000-0000E11F0000}"/>
    <cellStyle name="Normal 2 4 5 3 3 16" xfId="8179" xr:uid="{00000000-0005-0000-0000-0000E21F0000}"/>
    <cellStyle name="Normal 2 4 5 3 3 2" xfId="8180" xr:uid="{00000000-0005-0000-0000-0000E31F0000}"/>
    <cellStyle name="Normal 2 4 5 3 3 2 2" xfId="8181" xr:uid="{00000000-0005-0000-0000-0000E41F0000}"/>
    <cellStyle name="Normal 2 4 5 3 3 2 3" xfId="8182" xr:uid="{00000000-0005-0000-0000-0000E51F0000}"/>
    <cellStyle name="Normal 2 4 5 3 3 3" xfId="8183" xr:uid="{00000000-0005-0000-0000-0000E61F0000}"/>
    <cellStyle name="Normal 2 4 5 3 3 3 2" xfId="8184" xr:uid="{00000000-0005-0000-0000-0000E71F0000}"/>
    <cellStyle name="Normal 2 4 5 3 3 3 3" xfId="8185" xr:uid="{00000000-0005-0000-0000-0000E81F0000}"/>
    <cellStyle name="Normal 2 4 5 3 3 4" xfId="8186" xr:uid="{00000000-0005-0000-0000-0000E91F0000}"/>
    <cellStyle name="Normal 2 4 5 3 3 4 2" xfId="8187" xr:uid="{00000000-0005-0000-0000-0000EA1F0000}"/>
    <cellStyle name="Normal 2 4 5 3 3 4 3" xfId="8188" xr:uid="{00000000-0005-0000-0000-0000EB1F0000}"/>
    <cellStyle name="Normal 2 4 5 3 3 5" xfId="8189" xr:uid="{00000000-0005-0000-0000-0000EC1F0000}"/>
    <cellStyle name="Normal 2 4 5 3 3 5 2" xfId="8190" xr:uid="{00000000-0005-0000-0000-0000ED1F0000}"/>
    <cellStyle name="Normal 2 4 5 3 3 5 3" xfId="8191" xr:uid="{00000000-0005-0000-0000-0000EE1F0000}"/>
    <cellStyle name="Normal 2 4 5 3 3 6" xfId="8192" xr:uid="{00000000-0005-0000-0000-0000EF1F0000}"/>
    <cellStyle name="Normal 2 4 5 3 3 6 2" xfId="8193" xr:uid="{00000000-0005-0000-0000-0000F01F0000}"/>
    <cellStyle name="Normal 2 4 5 3 3 6 3" xfId="8194" xr:uid="{00000000-0005-0000-0000-0000F11F0000}"/>
    <cellStyle name="Normal 2 4 5 3 3 7" xfId="8195" xr:uid="{00000000-0005-0000-0000-0000F21F0000}"/>
    <cellStyle name="Normal 2 4 5 3 3 7 2" xfId="8196" xr:uid="{00000000-0005-0000-0000-0000F31F0000}"/>
    <cellStyle name="Normal 2 4 5 3 3 7 3" xfId="8197" xr:uid="{00000000-0005-0000-0000-0000F41F0000}"/>
    <cellStyle name="Normal 2 4 5 3 3 8" xfId="8198" xr:uid="{00000000-0005-0000-0000-0000F51F0000}"/>
    <cellStyle name="Normal 2 4 5 3 3 8 2" xfId="8199" xr:uid="{00000000-0005-0000-0000-0000F61F0000}"/>
    <cellStyle name="Normal 2 4 5 3 3 8 3" xfId="8200" xr:uid="{00000000-0005-0000-0000-0000F71F0000}"/>
    <cellStyle name="Normal 2 4 5 3 3 9" xfId="8201" xr:uid="{00000000-0005-0000-0000-0000F81F0000}"/>
    <cellStyle name="Normal 2 4 5 3 3 9 2" xfId="8202" xr:uid="{00000000-0005-0000-0000-0000F91F0000}"/>
    <cellStyle name="Normal 2 4 5 3 3 9 3" xfId="8203" xr:uid="{00000000-0005-0000-0000-0000FA1F0000}"/>
    <cellStyle name="Normal 2 4 5 3 4" xfId="8204" xr:uid="{00000000-0005-0000-0000-0000FB1F0000}"/>
    <cellStyle name="Normal 2 4 5 3 4 10" xfId="8205" xr:uid="{00000000-0005-0000-0000-0000FC1F0000}"/>
    <cellStyle name="Normal 2 4 5 3 4 10 2" xfId="8206" xr:uid="{00000000-0005-0000-0000-0000FD1F0000}"/>
    <cellStyle name="Normal 2 4 5 3 4 10 3" xfId="8207" xr:uid="{00000000-0005-0000-0000-0000FE1F0000}"/>
    <cellStyle name="Normal 2 4 5 3 4 11" xfId="8208" xr:uid="{00000000-0005-0000-0000-0000FF1F0000}"/>
    <cellStyle name="Normal 2 4 5 3 4 11 2" xfId="8209" xr:uid="{00000000-0005-0000-0000-000000200000}"/>
    <cellStyle name="Normal 2 4 5 3 4 11 3" xfId="8210" xr:uid="{00000000-0005-0000-0000-000001200000}"/>
    <cellStyle name="Normal 2 4 5 3 4 12" xfId="8211" xr:uid="{00000000-0005-0000-0000-000002200000}"/>
    <cellStyle name="Normal 2 4 5 3 4 12 2" xfId="8212" xr:uid="{00000000-0005-0000-0000-000003200000}"/>
    <cellStyle name="Normal 2 4 5 3 4 12 3" xfId="8213" xr:uid="{00000000-0005-0000-0000-000004200000}"/>
    <cellStyle name="Normal 2 4 5 3 4 13" xfId="8214" xr:uid="{00000000-0005-0000-0000-000005200000}"/>
    <cellStyle name="Normal 2 4 5 3 4 13 2" xfId="8215" xr:uid="{00000000-0005-0000-0000-000006200000}"/>
    <cellStyle name="Normal 2 4 5 3 4 13 3" xfId="8216" xr:uid="{00000000-0005-0000-0000-000007200000}"/>
    <cellStyle name="Normal 2 4 5 3 4 14" xfId="8217" xr:uid="{00000000-0005-0000-0000-000008200000}"/>
    <cellStyle name="Normal 2 4 5 3 4 14 2" xfId="8218" xr:uid="{00000000-0005-0000-0000-000009200000}"/>
    <cellStyle name="Normal 2 4 5 3 4 14 3" xfId="8219" xr:uid="{00000000-0005-0000-0000-00000A200000}"/>
    <cellStyle name="Normal 2 4 5 3 4 15" xfId="8220" xr:uid="{00000000-0005-0000-0000-00000B200000}"/>
    <cellStyle name="Normal 2 4 5 3 4 16" xfId="8221" xr:uid="{00000000-0005-0000-0000-00000C200000}"/>
    <cellStyle name="Normal 2 4 5 3 4 2" xfId="8222" xr:uid="{00000000-0005-0000-0000-00000D200000}"/>
    <cellStyle name="Normal 2 4 5 3 4 2 2" xfId="8223" xr:uid="{00000000-0005-0000-0000-00000E200000}"/>
    <cellStyle name="Normal 2 4 5 3 4 2 3" xfId="8224" xr:uid="{00000000-0005-0000-0000-00000F200000}"/>
    <cellStyle name="Normal 2 4 5 3 4 3" xfId="8225" xr:uid="{00000000-0005-0000-0000-000010200000}"/>
    <cellStyle name="Normal 2 4 5 3 4 3 2" xfId="8226" xr:uid="{00000000-0005-0000-0000-000011200000}"/>
    <cellStyle name="Normal 2 4 5 3 4 3 3" xfId="8227" xr:uid="{00000000-0005-0000-0000-000012200000}"/>
    <cellStyle name="Normal 2 4 5 3 4 4" xfId="8228" xr:uid="{00000000-0005-0000-0000-000013200000}"/>
    <cellStyle name="Normal 2 4 5 3 4 4 2" xfId="8229" xr:uid="{00000000-0005-0000-0000-000014200000}"/>
    <cellStyle name="Normal 2 4 5 3 4 4 3" xfId="8230" xr:uid="{00000000-0005-0000-0000-000015200000}"/>
    <cellStyle name="Normal 2 4 5 3 4 5" xfId="8231" xr:uid="{00000000-0005-0000-0000-000016200000}"/>
    <cellStyle name="Normal 2 4 5 3 4 5 2" xfId="8232" xr:uid="{00000000-0005-0000-0000-000017200000}"/>
    <cellStyle name="Normal 2 4 5 3 4 5 3" xfId="8233" xr:uid="{00000000-0005-0000-0000-000018200000}"/>
    <cellStyle name="Normal 2 4 5 3 4 6" xfId="8234" xr:uid="{00000000-0005-0000-0000-000019200000}"/>
    <cellStyle name="Normal 2 4 5 3 4 6 2" xfId="8235" xr:uid="{00000000-0005-0000-0000-00001A200000}"/>
    <cellStyle name="Normal 2 4 5 3 4 6 3" xfId="8236" xr:uid="{00000000-0005-0000-0000-00001B200000}"/>
    <cellStyle name="Normal 2 4 5 3 4 7" xfId="8237" xr:uid="{00000000-0005-0000-0000-00001C200000}"/>
    <cellStyle name="Normal 2 4 5 3 4 7 2" xfId="8238" xr:uid="{00000000-0005-0000-0000-00001D200000}"/>
    <cellStyle name="Normal 2 4 5 3 4 7 3" xfId="8239" xr:uid="{00000000-0005-0000-0000-00001E200000}"/>
    <cellStyle name="Normal 2 4 5 3 4 8" xfId="8240" xr:uid="{00000000-0005-0000-0000-00001F200000}"/>
    <cellStyle name="Normal 2 4 5 3 4 8 2" xfId="8241" xr:uid="{00000000-0005-0000-0000-000020200000}"/>
    <cellStyle name="Normal 2 4 5 3 4 8 3" xfId="8242" xr:uid="{00000000-0005-0000-0000-000021200000}"/>
    <cellStyle name="Normal 2 4 5 3 4 9" xfId="8243" xr:uid="{00000000-0005-0000-0000-000022200000}"/>
    <cellStyle name="Normal 2 4 5 3 4 9 2" xfId="8244" xr:uid="{00000000-0005-0000-0000-000023200000}"/>
    <cellStyle name="Normal 2 4 5 3 4 9 3" xfId="8245" xr:uid="{00000000-0005-0000-0000-000024200000}"/>
    <cellStyle name="Normal 2 4 5 30" xfId="8246" xr:uid="{00000000-0005-0000-0000-000025200000}"/>
    <cellStyle name="Normal 2 4 5 31" xfId="8247" xr:uid="{00000000-0005-0000-0000-000026200000}"/>
    <cellStyle name="Normal 2 4 5 32" xfId="8248" xr:uid="{00000000-0005-0000-0000-000027200000}"/>
    <cellStyle name="Normal 2 4 5 4" xfId="8249" xr:uid="{00000000-0005-0000-0000-000028200000}"/>
    <cellStyle name="Normal 2 4 5 5" xfId="8250" xr:uid="{00000000-0005-0000-0000-000029200000}"/>
    <cellStyle name="Normal 2 4 5 6" xfId="8251" xr:uid="{00000000-0005-0000-0000-00002A200000}"/>
    <cellStyle name="Normal 2 4 5 7" xfId="8252" xr:uid="{00000000-0005-0000-0000-00002B200000}"/>
    <cellStyle name="Normal 2 4 5 7 2" xfId="8253" xr:uid="{00000000-0005-0000-0000-00002C200000}"/>
    <cellStyle name="Normal 2 4 5 7 3" xfId="8254" xr:uid="{00000000-0005-0000-0000-00002D200000}"/>
    <cellStyle name="Normal 2 4 5 8" xfId="8255" xr:uid="{00000000-0005-0000-0000-00002E200000}"/>
    <cellStyle name="Normal 2 4 5 8 2" xfId="8256" xr:uid="{00000000-0005-0000-0000-00002F200000}"/>
    <cellStyle name="Normal 2 4 5 8 3" xfId="8257" xr:uid="{00000000-0005-0000-0000-000030200000}"/>
    <cellStyle name="Normal 2 4 5 9" xfId="8258" xr:uid="{00000000-0005-0000-0000-000031200000}"/>
    <cellStyle name="Normal 2 4 5 9 2" xfId="8259" xr:uid="{00000000-0005-0000-0000-000032200000}"/>
    <cellStyle name="Normal 2 4 5 9 3" xfId="8260" xr:uid="{00000000-0005-0000-0000-000033200000}"/>
    <cellStyle name="Normal 2 4 6" xfId="8261" xr:uid="{00000000-0005-0000-0000-000034200000}"/>
    <cellStyle name="Normal 2 4 7" xfId="8262" xr:uid="{00000000-0005-0000-0000-000035200000}"/>
    <cellStyle name="Normal 2 4 8" xfId="8263" xr:uid="{00000000-0005-0000-0000-000036200000}"/>
    <cellStyle name="Normal 2 4 9" xfId="8264" xr:uid="{00000000-0005-0000-0000-000037200000}"/>
    <cellStyle name="Normal 2 40" xfId="8265" xr:uid="{00000000-0005-0000-0000-000038200000}"/>
    <cellStyle name="Normal 2 41" xfId="8266" xr:uid="{00000000-0005-0000-0000-000039200000}"/>
    <cellStyle name="Normal 2 42" xfId="8267" xr:uid="{00000000-0005-0000-0000-00003A200000}"/>
    <cellStyle name="Normal 2 43" xfId="8268" xr:uid="{00000000-0005-0000-0000-00003B200000}"/>
    <cellStyle name="Normal 2 44" xfId="8269" xr:uid="{00000000-0005-0000-0000-00003C200000}"/>
    <cellStyle name="Normal 2 45" xfId="8270" xr:uid="{00000000-0005-0000-0000-00003D200000}"/>
    <cellStyle name="Normal 2 46" xfId="8271" xr:uid="{00000000-0005-0000-0000-00003E200000}"/>
    <cellStyle name="Normal 2 47" xfId="8272" xr:uid="{00000000-0005-0000-0000-00003F200000}"/>
    <cellStyle name="Normal 2 48" xfId="8273" xr:uid="{00000000-0005-0000-0000-000040200000}"/>
    <cellStyle name="Normal 2 49" xfId="8274" xr:uid="{00000000-0005-0000-0000-000041200000}"/>
    <cellStyle name="Normal 2 49 10" xfId="8275" xr:uid="{00000000-0005-0000-0000-000042200000}"/>
    <cellStyle name="Normal 2 49 10 10" xfId="8276" xr:uid="{00000000-0005-0000-0000-000043200000}"/>
    <cellStyle name="Normal 2 49 10 10 2" xfId="8277" xr:uid="{00000000-0005-0000-0000-000044200000}"/>
    <cellStyle name="Normal 2 49 10 10 3" xfId="8278" xr:uid="{00000000-0005-0000-0000-000045200000}"/>
    <cellStyle name="Normal 2 49 10 11" xfId="8279" xr:uid="{00000000-0005-0000-0000-000046200000}"/>
    <cellStyle name="Normal 2 49 10 11 2" xfId="8280" xr:uid="{00000000-0005-0000-0000-000047200000}"/>
    <cellStyle name="Normal 2 49 10 11 3" xfId="8281" xr:uid="{00000000-0005-0000-0000-000048200000}"/>
    <cellStyle name="Normal 2 49 10 12" xfId="8282" xr:uid="{00000000-0005-0000-0000-000049200000}"/>
    <cellStyle name="Normal 2 49 10 12 2" xfId="8283" xr:uid="{00000000-0005-0000-0000-00004A200000}"/>
    <cellStyle name="Normal 2 49 10 12 3" xfId="8284" xr:uid="{00000000-0005-0000-0000-00004B200000}"/>
    <cellStyle name="Normal 2 49 10 13" xfId="8285" xr:uid="{00000000-0005-0000-0000-00004C200000}"/>
    <cellStyle name="Normal 2 49 10 13 2" xfId="8286" xr:uid="{00000000-0005-0000-0000-00004D200000}"/>
    <cellStyle name="Normal 2 49 10 13 3" xfId="8287" xr:uid="{00000000-0005-0000-0000-00004E200000}"/>
    <cellStyle name="Normal 2 49 10 14" xfId="8288" xr:uid="{00000000-0005-0000-0000-00004F200000}"/>
    <cellStyle name="Normal 2 49 10 14 2" xfId="8289" xr:uid="{00000000-0005-0000-0000-000050200000}"/>
    <cellStyle name="Normal 2 49 10 14 3" xfId="8290" xr:uid="{00000000-0005-0000-0000-000051200000}"/>
    <cellStyle name="Normal 2 49 10 15" xfId="8291" xr:uid="{00000000-0005-0000-0000-000052200000}"/>
    <cellStyle name="Normal 2 49 10 16" xfId="8292" xr:uid="{00000000-0005-0000-0000-000053200000}"/>
    <cellStyle name="Normal 2 49 10 2" xfId="8293" xr:uid="{00000000-0005-0000-0000-000054200000}"/>
    <cellStyle name="Normal 2 49 10 2 2" xfId="8294" xr:uid="{00000000-0005-0000-0000-000055200000}"/>
    <cellStyle name="Normal 2 49 10 2 3" xfId="8295" xr:uid="{00000000-0005-0000-0000-000056200000}"/>
    <cellStyle name="Normal 2 49 10 3" xfId="8296" xr:uid="{00000000-0005-0000-0000-000057200000}"/>
    <cellStyle name="Normal 2 49 10 3 2" xfId="8297" xr:uid="{00000000-0005-0000-0000-000058200000}"/>
    <cellStyle name="Normal 2 49 10 3 3" xfId="8298" xr:uid="{00000000-0005-0000-0000-000059200000}"/>
    <cellStyle name="Normal 2 49 10 4" xfId="8299" xr:uid="{00000000-0005-0000-0000-00005A200000}"/>
    <cellStyle name="Normal 2 49 10 4 2" xfId="8300" xr:uid="{00000000-0005-0000-0000-00005B200000}"/>
    <cellStyle name="Normal 2 49 10 4 3" xfId="8301" xr:uid="{00000000-0005-0000-0000-00005C200000}"/>
    <cellStyle name="Normal 2 49 10 5" xfId="8302" xr:uid="{00000000-0005-0000-0000-00005D200000}"/>
    <cellStyle name="Normal 2 49 10 5 2" xfId="8303" xr:uid="{00000000-0005-0000-0000-00005E200000}"/>
    <cellStyle name="Normal 2 49 10 5 3" xfId="8304" xr:uid="{00000000-0005-0000-0000-00005F200000}"/>
    <cellStyle name="Normal 2 49 10 6" xfId="8305" xr:uid="{00000000-0005-0000-0000-000060200000}"/>
    <cellStyle name="Normal 2 49 10 6 2" xfId="8306" xr:uid="{00000000-0005-0000-0000-000061200000}"/>
    <cellStyle name="Normal 2 49 10 6 3" xfId="8307" xr:uid="{00000000-0005-0000-0000-000062200000}"/>
    <cellStyle name="Normal 2 49 10 7" xfId="8308" xr:uid="{00000000-0005-0000-0000-000063200000}"/>
    <cellStyle name="Normal 2 49 10 7 2" xfId="8309" xr:uid="{00000000-0005-0000-0000-000064200000}"/>
    <cellStyle name="Normal 2 49 10 7 3" xfId="8310" xr:uid="{00000000-0005-0000-0000-000065200000}"/>
    <cellStyle name="Normal 2 49 10 8" xfId="8311" xr:uid="{00000000-0005-0000-0000-000066200000}"/>
    <cellStyle name="Normal 2 49 10 8 2" xfId="8312" xr:uid="{00000000-0005-0000-0000-000067200000}"/>
    <cellStyle name="Normal 2 49 10 8 3" xfId="8313" xr:uid="{00000000-0005-0000-0000-000068200000}"/>
    <cellStyle name="Normal 2 49 10 9" xfId="8314" xr:uid="{00000000-0005-0000-0000-000069200000}"/>
    <cellStyle name="Normal 2 49 10 9 2" xfId="8315" xr:uid="{00000000-0005-0000-0000-00006A200000}"/>
    <cellStyle name="Normal 2 49 10 9 3" xfId="8316" xr:uid="{00000000-0005-0000-0000-00006B200000}"/>
    <cellStyle name="Normal 2 49 11" xfId="8317" xr:uid="{00000000-0005-0000-0000-00006C200000}"/>
    <cellStyle name="Normal 2 49 11 2" xfId="8318" xr:uid="{00000000-0005-0000-0000-00006D200000}"/>
    <cellStyle name="Normal 2 49 11 3" xfId="8319" xr:uid="{00000000-0005-0000-0000-00006E200000}"/>
    <cellStyle name="Normal 2 49 12" xfId="8320" xr:uid="{00000000-0005-0000-0000-00006F200000}"/>
    <cellStyle name="Normal 2 49 12 2" xfId="8321" xr:uid="{00000000-0005-0000-0000-000070200000}"/>
    <cellStyle name="Normal 2 49 12 3" xfId="8322" xr:uid="{00000000-0005-0000-0000-000071200000}"/>
    <cellStyle name="Normal 2 49 13" xfId="8323" xr:uid="{00000000-0005-0000-0000-000072200000}"/>
    <cellStyle name="Normal 2 49 13 2" xfId="8324" xr:uid="{00000000-0005-0000-0000-000073200000}"/>
    <cellStyle name="Normal 2 49 13 3" xfId="8325" xr:uid="{00000000-0005-0000-0000-000074200000}"/>
    <cellStyle name="Normal 2 49 14" xfId="8326" xr:uid="{00000000-0005-0000-0000-000075200000}"/>
    <cellStyle name="Normal 2 49 14 2" xfId="8327" xr:uid="{00000000-0005-0000-0000-000076200000}"/>
    <cellStyle name="Normal 2 49 14 3" xfId="8328" xr:uid="{00000000-0005-0000-0000-000077200000}"/>
    <cellStyle name="Normal 2 49 15" xfId="8329" xr:uid="{00000000-0005-0000-0000-000078200000}"/>
    <cellStyle name="Normal 2 49 15 2" xfId="8330" xr:uid="{00000000-0005-0000-0000-000079200000}"/>
    <cellStyle name="Normal 2 49 15 3" xfId="8331" xr:uid="{00000000-0005-0000-0000-00007A200000}"/>
    <cellStyle name="Normal 2 49 16" xfId="8332" xr:uid="{00000000-0005-0000-0000-00007B200000}"/>
    <cellStyle name="Normal 2 49 16 2" xfId="8333" xr:uid="{00000000-0005-0000-0000-00007C200000}"/>
    <cellStyle name="Normal 2 49 16 3" xfId="8334" xr:uid="{00000000-0005-0000-0000-00007D200000}"/>
    <cellStyle name="Normal 2 49 17" xfId="8335" xr:uid="{00000000-0005-0000-0000-00007E200000}"/>
    <cellStyle name="Normal 2 49 17 2" xfId="8336" xr:uid="{00000000-0005-0000-0000-00007F200000}"/>
    <cellStyle name="Normal 2 49 17 3" xfId="8337" xr:uid="{00000000-0005-0000-0000-000080200000}"/>
    <cellStyle name="Normal 2 49 18" xfId="8338" xr:uid="{00000000-0005-0000-0000-000081200000}"/>
    <cellStyle name="Normal 2 49 18 2" xfId="8339" xr:uid="{00000000-0005-0000-0000-000082200000}"/>
    <cellStyle name="Normal 2 49 18 3" xfId="8340" xr:uid="{00000000-0005-0000-0000-000083200000}"/>
    <cellStyle name="Normal 2 49 19" xfId="8341" xr:uid="{00000000-0005-0000-0000-000084200000}"/>
    <cellStyle name="Normal 2 49 19 2" xfId="8342" xr:uid="{00000000-0005-0000-0000-000085200000}"/>
    <cellStyle name="Normal 2 49 19 3" xfId="8343" xr:uid="{00000000-0005-0000-0000-000086200000}"/>
    <cellStyle name="Normal 2 49 2" xfId="8344" xr:uid="{00000000-0005-0000-0000-000087200000}"/>
    <cellStyle name="Normal 2 49 2 10" xfId="8345" xr:uid="{00000000-0005-0000-0000-000088200000}"/>
    <cellStyle name="Normal 2 49 2 10 2" xfId="8346" xr:uid="{00000000-0005-0000-0000-000089200000}"/>
    <cellStyle name="Normal 2 49 2 10 3" xfId="8347" xr:uid="{00000000-0005-0000-0000-00008A200000}"/>
    <cellStyle name="Normal 2 49 2 11" xfId="8348" xr:uid="{00000000-0005-0000-0000-00008B200000}"/>
    <cellStyle name="Normal 2 49 2 11 2" xfId="8349" xr:uid="{00000000-0005-0000-0000-00008C200000}"/>
    <cellStyle name="Normal 2 49 2 11 3" xfId="8350" xr:uid="{00000000-0005-0000-0000-00008D200000}"/>
    <cellStyle name="Normal 2 49 2 12" xfId="8351" xr:uid="{00000000-0005-0000-0000-00008E200000}"/>
    <cellStyle name="Normal 2 49 2 12 2" xfId="8352" xr:uid="{00000000-0005-0000-0000-00008F200000}"/>
    <cellStyle name="Normal 2 49 2 12 3" xfId="8353" xr:uid="{00000000-0005-0000-0000-000090200000}"/>
    <cellStyle name="Normal 2 49 2 13" xfId="8354" xr:uid="{00000000-0005-0000-0000-000091200000}"/>
    <cellStyle name="Normal 2 49 2 13 2" xfId="8355" xr:uid="{00000000-0005-0000-0000-000092200000}"/>
    <cellStyle name="Normal 2 49 2 13 3" xfId="8356" xr:uid="{00000000-0005-0000-0000-000093200000}"/>
    <cellStyle name="Normal 2 49 2 14" xfId="8357" xr:uid="{00000000-0005-0000-0000-000094200000}"/>
    <cellStyle name="Normal 2 49 2 14 2" xfId="8358" xr:uid="{00000000-0005-0000-0000-000095200000}"/>
    <cellStyle name="Normal 2 49 2 14 3" xfId="8359" xr:uid="{00000000-0005-0000-0000-000096200000}"/>
    <cellStyle name="Normal 2 49 2 15" xfId="8360" xr:uid="{00000000-0005-0000-0000-000097200000}"/>
    <cellStyle name="Normal 2 49 2 15 2" xfId="8361" xr:uid="{00000000-0005-0000-0000-000098200000}"/>
    <cellStyle name="Normal 2 49 2 15 3" xfId="8362" xr:uid="{00000000-0005-0000-0000-000099200000}"/>
    <cellStyle name="Normal 2 49 2 16" xfId="8363" xr:uid="{00000000-0005-0000-0000-00009A200000}"/>
    <cellStyle name="Normal 2 49 2 17" xfId="8364" xr:uid="{00000000-0005-0000-0000-00009B200000}"/>
    <cellStyle name="Normal 2 49 2 2" xfId="8365" xr:uid="{00000000-0005-0000-0000-00009C200000}"/>
    <cellStyle name="Normal 2 49 2 2 10" xfId="8366" xr:uid="{00000000-0005-0000-0000-00009D200000}"/>
    <cellStyle name="Normal 2 49 2 2 10 2" xfId="8367" xr:uid="{00000000-0005-0000-0000-00009E200000}"/>
    <cellStyle name="Normal 2 49 2 2 10 3" xfId="8368" xr:uid="{00000000-0005-0000-0000-00009F200000}"/>
    <cellStyle name="Normal 2 49 2 2 11" xfId="8369" xr:uid="{00000000-0005-0000-0000-0000A0200000}"/>
    <cellStyle name="Normal 2 49 2 2 11 2" xfId="8370" xr:uid="{00000000-0005-0000-0000-0000A1200000}"/>
    <cellStyle name="Normal 2 49 2 2 11 3" xfId="8371" xr:uid="{00000000-0005-0000-0000-0000A2200000}"/>
    <cellStyle name="Normal 2 49 2 2 12" xfId="8372" xr:uid="{00000000-0005-0000-0000-0000A3200000}"/>
    <cellStyle name="Normal 2 49 2 2 12 2" xfId="8373" xr:uid="{00000000-0005-0000-0000-0000A4200000}"/>
    <cellStyle name="Normal 2 49 2 2 12 3" xfId="8374" xr:uid="{00000000-0005-0000-0000-0000A5200000}"/>
    <cellStyle name="Normal 2 49 2 2 13" xfId="8375" xr:uid="{00000000-0005-0000-0000-0000A6200000}"/>
    <cellStyle name="Normal 2 49 2 2 13 2" xfId="8376" xr:uid="{00000000-0005-0000-0000-0000A7200000}"/>
    <cellStyle name="Normal 2 49 2 2 13 3" xfId="8377" xr:uid="{00000000-0005-0000-0000-0000A8200000}"/>
    <cellStyle name="Normal 2 49 2 2 14" xfId="8378" xr:uid="{00000000-0005-0000-0000-0000A9200000}"/>
    <cellStyle name="Normal 2 49 2 2 14 2" xfId="8379" xr:uid="{00000000-0005-0000-0000-0000AA200000}"/>
    <cellStyle name="Normal 2 49 2 2 14 3" xfId="8380" xr:uid="{00000000-0005-0000-0000-0000AB200000}"/>
    <cellStyle name="Normal 2 49 2 2 15" xfId="8381" xr:uid="{00000000-0005-0000-0000-0000AC200000}"/>
    <cellStyle name="Normal 2 49 2 2 16" xfId="8382" xr:uid="{00000000-0005-0000-0000-0000AD200000}"/>
    <cellStyle name="Normal 2 49 2 2 2" xfId="8383" xr:uid="{00000000-0005-0000-0000-0000AE200000}"/>
    <cellStyle name="Normal 2 49 2 2 2 2" xfId="8384" xr:uid="{00000000-0005-0000-0000-0000AF200000}"/>
    <cellStyle name="Normal 2 49 2 2 2 3" xfId="8385" xr:uid="{00000000-0005-0000-0000-0000B0200000}"/>
    <cellStyle name="Normal 2 49 2 2 3" xfId="8386" xr:uid="{00000000-0005-0000-0000-0000B1200000}"/>
    <cellStyle name="Normal 2 49 2 2 3 2" xfId="8387" xr:uid="{00000000-0005-0000-0000-0000B2200000}"/>
    <cellStyle name="Normal 2 49 2 2 3 3" xfId="8388" xr:uid="{00000000-0005-0000-0000-0000B3200000}"/>
    <cellStyle name="Normal 2 49 2 2 4" xfId="8389" xr:uid="{00000000-0005-0000-0000-0000B4200000}"/>
    <cellStyle name="Normal 2 49 2 2 4 2" xfId="8390" xr:uid="{00000000-0005-0000-0000-0000B5200000}"/>
    <cellStyle name="Normal 2 49 2 2 4 3" xfId="8391" xr:uid="{00000000-0005-0000-0000-0000B6200000}"/>
    <cellStyle name="Normal 2 49 2 2 5" xfId="8392" xr:uid="{00000000-0005-0000-0000-0000B7200000}"/>
    <cellStyle name="Normal 2 49 2 2 5 2" xfId="8393" xr:uid="{00000000-0005-0000-0000-0000B8200000}"/>
    <cellStyle name="Normal 2 49 2 2 5 3" xfId="8394" xr:uid="{00000000-0005-0000-0000-0000B9200000}"/>
    <cellStyle name="Normal 2 49 2 2 6" xfId="8395" xr:uid="{00000000-0005-0000-0000-0000BA200000}"/>
    <cellStyle name="Normal 2 49 2 2 6 2" xfId="8396" xr:uid="{00000000-0005-0000-0000-0000BB200000}"/>
    <cellStyle name="Normal 2 49 2 2 6 3" xfId="8397" xr:uid="{00000000-0005-0000-0000-0000BC200000}"/>
    <cellStyle name="Normal 2 49 2 2 7" xfId="8398" xr:uid="{00000000-0005-0000-0000-0000BD200000}"/>
    <cellStyle name="Normal 2 49 2 2 7 2" xfId="8399" xr:uid="{00000000-0005-0000-0000-0000BE200000}"/>
    <cellStyle name="Normal 2 49 2 2 7 3" xfId="8400" xr:uid="{00000000-0005-0000-0000-0000BF200000}"/>
    <cellStyle name="Normal 2 49 2 2 8" xfId="8401" xr:uid="{00000000-0005-0000-0000-0000C0200000}"/>
    <cellStyle name="Normal 2 49 2 2 8 2" xfId="8402" xr:uid="{00000000-0005-0000-0000-0000C1200000}"/>
    <cellStyle name="Normal 2 49 2 2 8 3" xfId="8403" xr:uid="{00000000-0005-0000-0000-0000C2200000}"/>
    <cellStyle name="Normal 2 49 2 2 9" xfId="8404" xr:uid="{00000000-0005-0000-0000-0000C3200000}"/>
    <cellStyle name="Normal 2 49 2 2 9 2" xfId="8405" xr:uid="{00000000-0005-0000-0000-0000C4200000}"/>
    <cellStyle name="Normal 2 49 2 2 9 3" xfId="8406" xr:uid="{00000000-0005-0000-0000-0000C5200000}"/>
    <cellStyle name="Normal 2 49 2 3" xfId="8407" xr:uid="{00000000-0005-0000-0000-0000C6200000}"/>
    <cellStyle name="Normal 2 49 2 3 2" xfId="8408" xr:uid="{00000000-0005-0000-0000-0000C7200000}"/>
    <cellStyle name="Normal 2 49 2 3 3" xfId="8409" xr:uid="{00000000-0005-0000-0000-0000C8200000}"/>
    <cellStyle name="Normal 2 49 2 4" xfId="8410" xr:uid="{00000000-0005-0000-0000-0000C9200000}"/>
    <cellStyle name="Normal 2 49 2 4 2" xfId="8411" xr:uid="{00000000-0005-0000-0000-0000CA200000}"/>
    <cellStyle name="Normal 2 49 2 4 3" xfId="8412" xr:uid="{00000000-0005-0000-0000-0000CB200000}"/>
    <cellStyle name="Normal 2 49 2 5" xfId="8413" xr:uid="{00000000-0005-0000-0000-0000CC200000}"/>
    <cellStyle name="Normal 2 49 2 5 2" xfId="8414" xr:uid="{00000000-0005-0000-0000-0000CD200000}"/>
    <cellStyle name="Normal 2 49 2 5 3" xfId="8415" xr:uid="{00000000-0005-0000-0000-0000CE200000}"/>
    <cellStyle name="Normal 2 49 2 6" xfId="8416" xr:uid="{00000000-0005-0000-0000-0000CF200000}"/>
    <cellStyle name="Normal 2 49 2 6 2" xfId="8417" xr:uid="{00000000-0005-0000-0000-0000D0200000}"/>
    <cellStyle name="Normal 2 49 2 6 3" xfId="8418" xr:uid="{00000000-0005-0000-0000-0000D1200000}"/>
    <cellStyle name="Normal 2 49 2 7" xfId="8419" xr:uid="{00000000-0005-0000-0000-0000D2200000}"/>
    <cellStyle name="Normal 2 49 2 7 2" xfId="8420" xr:uid="{00000000-0005-0000-0000-0000D3200000}"/>
    <cellStyle name="Normal 2 49 2 7 3" xfId="8421" xr:uid="{00000000-0005-0000-0000-0000D4200000}"/>
    <cellStyle name="Normal 2 49 2 8" xfId="8422" xr:uid="{00000000-0005-0000-0000-0000D5200000}"/>
    <cellStyle name="Normal 2 49 2 8 2" xfId="8423" xr:uid="{00000000-0005-0000-0000-0000D6200000}"/>
    <cellStyle name="Normal 2 49 2 8 3" xfId="8424" xr:uid="{00000000-0005-0000-0000-0000D7200000}"/>
    <cellStyle name="Normal 2 49 2 9" xfId="8425" xr:uid="{00000000-0005-0000-0000-0000D8200000}"/>
    <cellStyle name="Normal 2 49 2 9 2" xfId="8426" xr:uid="{00000000-0005-0000-0000-0000D9200000}"/>
    <cellStyle name="Normal 2 49 2 9 3" xfId="8427" xr:uid="{00000000-0005-0000-0000-0000DA200000}"/>
    <cellStyle name="Normal 2 49 20" xfId="8428" xr:uid="{00000000-0005-0000-0000-0000DB200000}"/>
    <cellStyle name="Normal 2 49 20 2" xfId="8429" xr:uid="{00000000-0005-0000-0000-0000DC200000}"/>
    <cellStyle name="Normal 2 49 20 3" xfId="8430" xr:uid="{00000000-0005-0000-0000-0000DD200000}"/>
    <cellStyle name="Normal 2 49 21" xfId="8431" xr:uid="{00000000-0005-0000-0000-0000DE200000}"/>
    <cellStyle name="Normal 2 49 21 2" xfId="8432" xr:uid="{00000000-0005-0000-0000-0000DF200000}"/>
    <cellStyle name="Normal 2 49 21 3" xfId="8433" xr:uid="{00000000-0005-0000-0000-0000E0200000}"/>
    <cellStyle name="Normal 2 49 22" xfId="8434" xr:uid="{00000000-0005-0000-0000-0000E1200000}"/>
    <cellStyle name="Normal 2 49 22 2" xfId="8435" xr:uid="{00000000-0005-0000-0000-0000E2200000}"/>
    <cellStyle name="Normal 2 49 22 3" xfId="8436" xr:uid="{00000000-0005-0000-0000-0000E3200000}"/>
    <cellStyle name="Normal 2 49 23" xfId="8437" xr:uid="{00000000-0005-0000-0000-0000E4200000}"/>
    <cellStyle name="Normal 2 49 23 2" xfId="8438" xr:uid="{00000000-0005-0000-0000-0000E5200000}"/>
    <cellStyle name="Normal 2 49 23 3" xfId="8439" xr:uid="{00000000-0005-0000-0000-0000E6200000}"/>
    <cellStyle name="Normal 2 49 24" xfId="8440" xr:uid="{00000000-0005-0000-0000-0000E7200000}"/>
    <cellStyle name="Normal 2 49 25" xfId="8441" xr:uid="{00000000-0005-0000-0000-0000E8200000}"/>
    <cellStyle name="Normal 2 49 3" xfId="8442" xr:uid="{00000000-0005-0000-0000-0000E9200000}"/>
    <cellStyle name="Normal 2 49 3 10" xfId="8443" xr:uid="{00000000-0005-0000-0000-0000EA200000}"/>
    <cellStyle name="Normal 2 49 3 10 2" xfId="8444" xr:uid="{00000000-0005-0000-0000-0000EB200000}"/>
    <cellStyle name="Normal 2 49 3 10 3" xfId="8445" xr:uid="{00000000-0005-0000-0000-0000EC200000}"/>
    <cellStyle name="Normal 2 49 3 11" xfId="8446" xr:uid="{00000000-0005-0000-0000-0000ED200000}"/>
    <cellStyle name="Normal 2 49 3 11 2" xfId="8447" xr:uid="{00000000-0005-0000-0000-0000EE200000}"/>
    <cellStyle name="Normal 2 49 3 11 3" xfId="8448" xr:uid="{00000000-0005-0000-0000-0000EF200000}"/>
    <cellStyle name="Normal 2 49 3 12" xfId="8449" xr:uid="{00000000-0005-0000-0000-0000F0200000}"/>
    <cellStyle name="Normal 2 49 3 12 2" xfId="8450" xr:uid="{00000000-0005-0000-0000-0000F1200000}"/>
    <cellStyle name="Normal 2 49 3 12 3" xfId="8451" xr:uid="{00000000-0005-0000-0000-0000F2200000}"/>
    <cellStyle name="Normal 2 49 3 13" xfId="8452" xr:uid="{00000000-0005-0000-0000-0000F3200000}"/>
    <cellStyle name="Normal 2 49 3 13 2" xfId="8453" xr:uid="{00000000-0005-0000-0000-0000F4200000}"/>
    <cellStyle name="Normal 2 49 3 13 3" xfId="8454" xr:uid="{00000000-0005-0000-0000-0000F5200000}"/>
    <cellStyle name="Normal 2 49 3 14" xfId="8455" xr:uid="{00000000-0005-0000-0000-0000F6200000}"/>
    <cellStyle name="Normal 2 49 3 14 2" xfId="8456" xr:uid="{00000000-0005-0000-0000-0000F7200000}"/>
    <cellStyle name="Normal 2 49 3 14 3" xfId="8457" xr:uid="{00000000-0005-0000-0000-0000F8200000}"/>
    <cellStyle name="Normal 2 49 3 15" xfId="8458" xr:uid="{00000000-0005-0000-0000-0000F9200000}"/>
    <cellStyle name="Normal 2 49 3 15 2" xfId="8459" xr:uid="{00000000-0005-0000-0000-0000FA200000}"/>
    <cellStyle name="Normal 2 49 3 15 3" xfId="8460" xr:uid="{00000000-0005-0000-0000-0000FB200000}"/>
    <cellStyle name="Normal 2 49 3 16" xfId="8461" xr:uid="{00000000-0005-0000-0000-0000FC200000}"/>
    <cellStyle name="Normal 2 49 3 17" xfId="8462" xr:uid="{00000000-0005-0000-0000-0000FD200000}"/>
    <cellStyle name="Normal 2 49 3 2" xfId="8463" xr:uid="{00000000-0005-0000-0000-0000FE200000}"/>
    <cellStyle name="Normal 2 49 3 2 10" xfId="8464" xr:uid="{00000000-0005-0000-0000-0000FF200000}"/>
    <cellStyle name="Normal 2 49 3 2 10 2" xfId="8465" xr:uid="{00000000-0005-0000-0000-000000210000}"/>
    <cellStyle name="Normal 2 49 3 2 10 3" xfId="8466" xr:uid="{00000000-0005-0000-0000-000001210000}"/>
    <cellStyle name="Normal 2 49 3 2 11" xfId="8467" xr:uid="{00000000-0005-0000-0000-000002210000}"/>
    <cellStyle name="Normal 2 49 3 2 11 2" xfId="8468" xr:uid="{00000000-0005-0000-0000-000003210000}"/>
    <cellStyle name="Normal 2 49 3 2 11 3" xfId="8469" xr:uid="{00000000-0005-0000-0000-000004210000}"/>
    <cellStyle name="Normal 2 49 3 2 12" xfId="8470" xr:uid="{00000000-0005-0000-0000-000005210000}"/>
    <cellStyle name="Normal 2 49 3 2 12 2" xfId="8471" xr:uid="{00000000-0005-0000-0000-000006210000}"/>
    <cellStyle name="Normal 2 49 3 2 12 3" xfId="8472" xr:uid="{00000000-0005-0000-0000-000007210000}"/>
    <cellStyle name="Normal 2 49 3 2 13" xfId="8473" xr:uid="{00000000-0005-0000-0000-000008210000}"/>
    <cellStyle name="Normal 2 49 3 2 13 2" xfId="8474" xr:uid="{00000000-0005-0000-0000-000009210000}"/>
    <cellStyle name="Normal 2 49 3 2 13 3" xfId="8475" xr:uid="{00000000-0005-0000-0000-00000A210000}"/>
    <cellStyle name="Normal 2 49 3 2 14" xfId="8476" xr:uid="{00000000-0005-0000-0000-00000B210000}"/>
    <cellStyle name="Normal 2 49 3 2 14 2" xfId="8477" xr:uid="{00000000-0005-0000-0000-00000C210000}"/>
    <cellStyle name="Normal 2 49 3 2 14 3" xfId="8478" xr:uid="{00000000-0005-0000-0000-00000D210000}"/>
    <cellStyle name="Normal 2 49 3 2 15" xfId="8479" xr:uid="{00000000-0005-0000-0000-00000E210000}"/>
    <cellStyle name="Normal 2 49 3 2 16" xfId="8480" xr:uid="{00000000-0005-0000-0000-00000F210000}"/>
    <cellStyle name="Normal 2 49 3 2 2" xfId="8481" xr:uid="{00000000-0005-0000-0000-000010210000}"/>
    <cellStyle name="Normal 2 49 3 2 2 2" xfId="8482" xr:uid="{00000000-0005-0000-0000-000011210000}"/>
    <cellStyle name="Normal 2 49 3 2 2 3" xfId="8483" xr:uid="{00000000-0005-0000-0000-000012210000}"/>
    <cellStyle name="Normal 2 49 3 2 3" xfId="8484" xr:uid="{00000000-0005-0000-0000-000013210000}"/>
    <cellStyle name="Normal 2 49 3 2 3 2" xfId="8485" xr:uid="{00000000-0005-0000-0000-000014210000}"/>
    <cellStyle name="Normal 2 49 3 2 3 3" xfId="8486" xr:uid="{00000000-0005-0000-0000-000015210000}"/>
    <cellStyle name="Normal 2 49 3 2 4" xfId="8487" xr:uid="{00000000-0005-0000-0000-000016210000}"/>
    <cellStyle name="Normal 2 49 3 2 4 2" xfId="8488" xr:uid="{00000000-0005-0000-0000-000017210000}"/>
    <cellStyle name="Normal 2 49 3 2 4 3" xfId="8489" xr:uid="{00000000-0005-0000-0000-000018210000}"/>
    <cellStyle name="Normal 2 49 3 2 5" xfId="8490" xr:uid="{00000000-0005-0000-0000-000019210000}"/>
    <cellStyle name="Normal 2 49 3 2 5 2" xfId="8491" xr:uid="{00000000-0005-0000-0000-00001A210000}"/>
    <cellStyle name="Normal 2 49 3 2 5 3" xfId="8492" xr:uid="{00000000-0005-0000-0000-00001B210000}"/>
    <cellStyle name="Normal 2 49 3 2 6" xfId="8493" xr:uid="{00000000-0005-0000-0000-00001C210000}"/>
    <cellStyle name="Normal 2 49 3 2 6 2" xfId="8494" xr:uid="{00000000-0005-0000-0000-00001D210000}"/>
    <cellStyle name="Normal 2 49 3 2 6 3" xfId="8495" xr:uid="{00000000-0005-0000-0000-00001E210000}"/>
    <cellStyle name="Normal 2 49 3 2 7" xfId="8496" xr:uid="{00000000-0005-0000-0000-00001F210000}"/>
    <cellStyle name="Normal 2 49 3 2 7 2" xfId="8497" xr:uid="{00000000-0005-0000-0000-000020210000}"/>
    <cellStyle name="Normal 2 49 3 2 7 3" xfId="8498" xr:uid="{00000000-0005-0000-0000-000021210000}"/>
    <cellStyle name="Normal 2 49 3 2 8" xfId="8499" xr:uid="{00000000-0005-0000-0000-000022210000}"/>
    <cellStyle name="Normal 2 49 3 2 8 2" xfId="8500" xr:uid="{00000000-0005-0000-0000-000023210000}"/>
    <cellStyle name="Normal 2 49 3 2 8 3" xfId="8501" xr:uid="{00000000-0005-0000-0000-000024210000}"/>
    <cellStyle name="Normal 2 49 3 2 9" xfId="8502" xr:uid="{00000000-0005-0000-0000-000025210000}"/>
    <cellStyle name="Normal 2 49 3 2 9 2" xfId="8503" xr:uid="{00000000-0005-0000-0000-000026210000}"/>
    <cellStyle name="Normal 2 49 3 2 9 3" xfId="8504" xr:uid="{00000000-0005-0000-0000-000027210000}"/>
    <cellStyle name="Normal 2 49 3 3" xfId="8505" xr:uid="{00000000-0005-0000-0000-000028210000}"/>
    <cellStyle name="Normal 2 49 3 3 2" xfId="8506" xr:uid="{00000000-0005-0000-0000-000029210000}"/>
    <cellStyle name="Normal 2 49 3 3 3" xfId="8507" xr:uid="{00000000-0005-0000-0000-00002A210000}"/>
    <cellStyle name="Normal 2 49 3 4" xfId="8508" xr:uid="{00000000-0005-0000-0000-00002B210000}"/>
    <cellStyle name="Normal 2 49 3 4 2" xfId="8509" xr:uid="{00000000-0005-0000-0000-00002C210000}"/>
    <cellStyle name="Normal 2 49 3 4 3" xfId="8510" xr:uid="{00000000-0005-0000-0000-00002D210000}"/>
    <cellStyle name="Normal 2 49 3 5" xfId="8511" xr:uid="{00000000-0005-0000-0000-00002E210000}"/>
    <cellStyle name="Normal 2 49 3 5 2" xfId="8512" xr:uid="{00000000-0005-0000-0000-00002F210000}"/>
    <cellStyle name="Normal 2 49 3 5 3" xfId="8513" xr:uid="{00000000-0005-0000-0000-000030210000}"/>
    <cellStyle name="Normal 2 49 3 6" xfId="8514" xr:uid="{00000000-0005-0000-0000-000031210000}"/>
    <cellStyle name="Normal 2 49 3 6 2" xfId="8515" xr:uid="{00000000-0005-0000-0000-000032210000}"/>
    <cellStyle name="Normal 2 49 3 6 3" xfId="8516" xr:uid="{00000000-0005-0000-0000-000033210000}"/>
    <cellStyle name="Normal 2 49 3 7" xfId="8517" xr:uid="{00000000-0005-0000-0000-000034210000}"/>
    <cellStyle name="Normal 2 49 3 7 2" xfId="8518" xr:uid="{00000000-0005-0000-0000-000035210000}"/>
    <cellStyle name="Normal 2 49 3 7 3" xfId="8519" xr:uid="{00000000-0005-0000-0000-000036210000}"/>
    <cellStyle name="Normal 2 49 3 8" xfId="8520" xr:uid="{00000000-0005-0000-0000-000037210000}"/>
    <cellStyle name="Normal 2 49 3 8 2" xfId="8521" xr:uid="{00000000-0005-0000-0000-000038210000}"/>
    <cellStyle name="Normal 2 49 3 8 3" xfId="8522" xr:uid="{00000000-0005-0000-0000-000039210000}"/>
    <cellStyle name="Normal 2 49 3 9" xfId="8523" xr:uid="{00000000-0005-0000-0000-00003A210000}"/>
    <cellStyle name="Normal 2 49 3 9 2" xfId="8524" xr:uid="{00000000-0005-0000-0000-00003B210000}"/>
    <cellStyle name="Normal 2 49 3 9 3" xfId="8525" xr:uid="{00000000-0005-0000-0000-00003C210000}"/>
    <cellStyle name="Normal 2 49 4" xfId="8526" xr:uid="{00000000-0005-0000-0000-00003D210000}"/>
    <cellStyle name="Normal 2 49 4 10" xfId="8527" xr:uid="{00000000-0005-0000-0000-00003E210000}"/>
    <cellStyle name="Normal 2 49 4 10 2" xfId="8528" xr:uid="{00000000-0005-0000-0000-00003F210000}"/>
    <cellStyle name="Normal 2 49 4 10 3" xfId="8529" xr:uid="{00000000-0005-0000-0000-000040210000}"/>
    <cellStyle name="Normal 2 49 4 11" xfId="8530" xr:uid="{00000000-0005-0000-0000-000041210000}"/>
    <cellStyle name="Normal 2 49 4 11 2" xfId="8531" xr:uid="{00000000-0005-0000-0000-000042210000}"/>
    <cellStyle name="Normal 2 49 4 11 3" xfId="8532" xr:uid="{00000000-0005-0000-0000-000043210000}"/>
    <cellStyle name="Normal 2 49 4 12" xfId="8533" xr:uid="{00000000-0005-0000-0000-000044210000}"/>
    <cellStyle name="Normal 2 49 4 12 2" xfId="8534" xr:uid="{00000000-0005-0000-0000-000045210000}"/>
    <cellStyle name="Normal 2 49 4 12 3" xfId="8535" xr:uid="{00000000-0005-0000-0000-000046210000}"/>
    <cellStyle name="Normal 2 49 4 13" xfId="8536" xr:uid="{00000000-0005-0000-0000-000047210000}"/>
    <cellStyle name="Normal 2 49 4 13 2" xfId="8537" xr:uid="{00000000-0005-0000-0000-000048210000}"/>
    <cellStyle name="Normal 2 49 4 13 3" xfId="8538" xr:uid="{00000000-0005-0000-0000-000049210000}"/>
    <cellStyle name="Normal 2 49 4 14" xfId="8539" xr:uid="{00000000-0005-0000-0000-00004A210000}"/>
    <cellStyle name="Normal 2 49 4 14 2" xfId="8540" xr:uid="{00000000-0005-0000-0000-00004B210000}"/>
    <cellStyle name="Normal 2 49 4 14 3" xfId="8541" xr:uid="{00000000-0005-0000-0000-00004C210000}"/>
    <cellStyle name="Normal 2 49 4 15" xfId="8542" xr:uid="{00000000-0005-0000-0000-00004D210000}"/>
    <cellStyle name="Normal 2 49 4 15 2" xfId="8543" xr:uid="{00000000-0005-0000-0000-00004E210000}"/>
    <cellStyle name="Normal 2 49 4 15 3" xfId="8544" xr:uid="{00000000-0005-0000-0000-00004F210000}"/>
    <cellStyle name="Normal 2 49 4 16" xfId="8545" xr:uid="{00000000-0005-0000-0000-000050210000}"/>
    <cellStyle name="Normal 2 49 4 17" xfId="8546" xr:uid="{00000000-0005-0000-0000-000051210000}"/>
    <cellStyle name="Normal 2 49 4 2" xfId="8547" xr:uid="{00000000-0005-0000-0000-000052210000}"/>
    <cellStyle name="Normal 2 49 4 2 10" xfId="8548" xr:uid="{00000000-0005-0000-0000-000053210000}"/>
    <cellStyle name="Normal 2 49 4 2 10 2" xfId="8549" xr:uid="{00000000-0005-0000-0000-000054210000}"/>
    <cellStyle name="Normal 2 49 4 2 10 3" xfId="8550" xr:uid="{00000000-0005-0000-0000-000055210000}"/>
    <cellStyle name="Normal 2 49 4 2 11" xfId="8551" xr:uid="{00000000-0005-0000-0000-000056210000}"/>
    <cellStyle name="Normal 2 49 4 2 11 2" xfId="8552" xr:uid="{00000000-0005-0000-0000-000057210000}"/>
    <cellStyle name="Normal 2 49 4 2 11 3" xfId="8553" xr:uid="{00000000-0005-0000-0000-000058210000}"/>
    <cellStyle name="Normal 2 49 4 2 12" xfId="8554" xr:uid="{00000000-0005-0000-0000-000059210000}"/>
    <cellStyle name="Normal 2 49 4 2 12 2" xfId="8555" xr:uid="{00000000-0005-0000-0000-00005A210000}"/>
    <cellStyle name="Normal 2 49 4 2 12 3" xfId="8556" xr:uid="{00000000-0005-0000-0000-00005B210000}"/>
    <cellStyle name="Normal 2 49 4 2 13" xfId="8557" xr:uid="{00000000-0005-0000-0000-00005C210000}"/>
    <cellStyle name="Normal 2 49 4 2 13 2" xfId="8558" xr:uid="{00000000-0005-0000-0000-00005D210000}"/>
    <cellStyle name="Normal 2 49 4 2 13 3" xfId="8559" xr:uid="{00000000-0005-0000-0000-00005E210000}"/>
    <cellStyle name="Normal 2 49 4 2 14" xfId="8560" xr:uid="{00000000-0005-0000-0000-00005F210000}"/>
    <cellStyle name="Normal 2 49 4 2 14 2" xfId="8561" xr:uid="{00000000-0005-0000-0000-000060210000}"/>
    <cellStyle name="Normal 2 49 4 2 14 3" xfId="8562" xr:uid="{00000000-0005-0000-0000-000061210000}"/>
    <cellStyle name="Normal 2 49 4 2 15" xfId="8563" xr:uid="{00000000-0005-0000-0000-000062210000}"/>
    <cellStyle name="Normal 2 49 4 2 16" xfId="8564" xr:uid="{00000000-0005-0000-0000-000063210000}"/>
    <cellStyle name="Normal 2 49 4 2 2" xfId="8565" xr:uid="{00000000-0005-0000-0000-000064210000}"/>
    <cellStyle name="Normal 2 49 4 2 2 2" xfId="8566" xr:uid="{00000000-0005-0000-0000-000065210000}"/>
    <cellStyle name="Normal 2 49 4 2 2 3" xfId="8567" xr:uid="{00000000-0005-0000-0000-000066210000}"/>
    <cellStyle name="Normal 2 49 4 2 3" xfId="8568" xr:uid="{00000000-0005-0000-0000-000067210000}"/>
    <cellStyle name="Normal 2 49 4 2 3 2" xfId="8569" xr:uid="{00000000-0005-0000-0000-000068210000}"/>
    <cellStyle name="Normal 2 49 4 2 3 3" xfId="8570" xr:uid="{00000000-0005-0000-0000-000069210000}"/>
    <cellStyle name="Normal 2 49 4 2 4" xfId="8571" xr:uid="{00000000-0005-0000-0000-00006A210000}"/>
    <cellStyle name="Normal 2 49 4 2 4 2" xfId="8572" xr:uid="{00000000-0005-0000-0000-00006B210000}"/>
    <cellStyle name="Normal 2 49 4 2 4 3" xfId="8573" xr:uid="{00000000-0005-0000-0000-00006C210000}"/>
    <cellStyle name="Normal 2 49 4 2 5" xfId="8574" xr:uid="{00000000-0005-0000-0000-00006D210000}"/>
    <cellStyle name="Normal 2 49 4 2 5 2" xfId="8575" xr:uid="{00000000-0005-0000-0000-00006E210000}"/>
    <cellStyle name="Normal 2 49 4 2 5 3" xfId="8576" xr:uid="{00000000-0005-0000-0000-00006F210000}"/>
    <cellStyle name="Normal 2 49 4 2 6" xfId="8577" xr:uid="{00000000-0005-0000-0000-000070210000}"/>
    <cellStyle name="Normal 2 49 4 2 6 2" xfId="8578" xr:uid="{00000000-0005-0000-0000-000071210000}"/>
    <cellStyle name="Normal 2 49 4 2 6 3" xfId="8579" xr:uid="{00000000-0005-0000-0000-000072210000}"/>
    <cellStyle name="Normal 2 49 4 2 7" xfId="8580" xr:uid="{00000000-0005-0000-0000-000073210000}"/>
    <cellStyle name="Normal 2 49 4 2 7 2" xfId="8581" xr:uid="{00000000-0005-0000-0000-000074210000}"/>
    <cellStyle name="Normal 2 49 4 2 7 3" xfId="8582" xr:uid="{00000000-0005-0000-0000-000075210000}"/>
    <cellStyle name="Normal 2 49 4 2 8" xfId="8583" xr:uid="{00000000-0005-0000-0000-000076210000}"/>
    <cellStyle name="Normal 2 49 4 2 8 2" xfId="8584" xr:uid="{00000000-0005-0000-0000-000077210000}"/>
    <cellStyle name="Normal 2 49 4 2 8 3" xfId="8585" xr:uid="{00000000-0005-0000-0000-000078210000}"/>
    <cellStyle name="Normal 2 49 4 2 9" xfId="8586" xr:uid="{00000000-0005-0000-0000-000079210000}"/>
    <cellStyle name="Normal 2 49 4 2 9 2" xfId="8587" xr:uid="{00000000-0005-0000-0000-00007A210000}"/>
    <cellStyle name="Normal 2 49 4 2 9 3" xfId="8588" xr:uid="{00000000-0005-0000-0000-00007B210000}"/>
    <cellStyle name="Normal 2 49 4 3" xfId="8589" xr:uid="{00000000-0005-0000-0000-00007C210000}"/>
    <cellStyle name="Normal 2 49 4 3 2" xfId="8590" xr:uid="{00000000-0005-0000-0000-00007D210000}"/>
    <cellStyle name="Normal 2 49 4 3 3" xfId="8591" xr:uid="{00000000-0005-0000-0000-00007E210000}"/>
    <cellStyle name="Normal 2 49 4 4" xfId="8592" xr:uid="{00000000-0005-0000-0000-00007F210000}"/>
    <cellStyle name="Normal 2 49 4 4 2" xfId="8593" xr:uid="{00000000-0005-0000-0000-000080210000}"/>
    <cellStyle name="Normal 2 49 4 4 3" xfId="8594" xr:uid="{00000000-0005-0000-0000-000081210000}"/>
    <cellStyle name="Normal 2 49 4 5" xfId="8595" xr:uid="{00000000-0005-0000-0000-000082210000}"/>
    <cellStyle name="Normal 2 49 4 5 2" xfId="8596" xr:uid="{00000000-0005-0000-0000-000083210000}"/>
    <cellStyle name="Normal 2 49 4 5 3" xfId="8597" xr:uid="{00000000-0005-0000-0000-000084210000}"/>
    <cellStyle name="Normal 2 49 4 6" xfId="8598" xr:uid="{00000000-0005-0000-0000-000085210000}"/>
    <cellStyle name="Normal 2 49 4 6 2" xfId="8599" xr:uid="{00000000-0005-0000-0000-000086210000}"/>
    <cellStyle name="Normal 2 49 4 6 3" xfId="8600" xr:uid="{00000000-0005-0000-0000-000087210000}"/>
    <cellStyle name="Normal 2 49 4 7" xfId="8601" xr:uid="{00000000-0005-0000-0000-000088210000}"/>
    <cellStyle name="Normal 2 49 4 7 2" xfId="8602" xr:uid="{00000000-0005-0000-0000-000089210000}"/>
    <cellStyle name="Normal 2 49 4 7 3" xfId="8603" xr:uid="{00000000-0005-0000-0000-00008A210000}"/>
    <cellStyle name="Normal 2 49 4 8" xfId="8604" xr:uid="{00000000-0005-0000-0000-00008B210000}"/>
    <cellStyle name="Normal 2 49 4 8 2" xfId="8605" xr:uid="{00000000-0005-0000-0000-00008C210000}"/>
    <cellStyle name="Normal 2 49 4 8 3" xfId="8606" xr:uid="{00000000-0005-0000-0000-00008D210000}"/>
    <cellStyle name="Normal 2 49 4 9" xfId="8607" xr:uid="{00000000-0005-0000-0000-00008E210000}"/>
    <cellStyle name="Normal 2 49 4 9 2" xfId="8608" xr:uid="{00000000-0005-0000-0000-00008F210000}"/>
    <cellStyle name="Normal 2 49 4 9 3" xfId="8609" xr:uid="{00000000-0005-0000-0000-000090210000}"/>
    <cellStyle name="Normal 2 49 5" xfId="8610" xr:uid="{00000000-0005-0000-0000-000091210000}"/>
    <cellStyle name="Normal 2 49 5 10" xfId="8611" xr:uid="{00000000-0005-0000-0000-000092210000}"/>
    <cellStyle name="Normal 2 49 5 10 2" xfId="8612" xr:uid="{00000000-0005-0000-0000-000093210000}"/>
    <cellStyle name="Normal 2 49 5 10 3" xfId="8613" xr:uid="{00000000-0005-0000-0000-000094210000}"/>
    <cellStyle name="Normal 2 49 5 11" xfId="8614" xr:uid="{00000000-0005-0000-0000-000095210000}"/>
    <cellStyle name="Normal 2 49 5 11 2" xfId="8615" xr:uid="{00000000-0005-0000-0000-000096210000}"/>
    <cellStyle name="Normal 2 49 5 11 3" xfId="8616" xr:uid="{00000000-0005-0000-0000-000097210000}"/>
    <cellStyle name="Normal 2 49 5 12" xfId="8617" xr:uid="{00000000-0005-0000-0000-000098210000}"/>
    <cellStyle name="Normal 2 49 5 12 2" xfId="8618" xr:uid="{00000000-0005-0000-0000-000099210000}"/>
    <cellStyle name="Normal 2 49 5 12 3" xfId="8619" xr:uid="{00000000-0005-0000-0000-00009A210000}"/>
    <cellStyle name="Normal 2 49 5 13" xfId="8620" xr:uid="{00000000-0005-0000-0000-00009B210000}"/>
    <cellStyle name="Normal 2 49 5 13 2" xfId="8621" xr:uid="{00000000-0005-0000-0000-00009C210000}"/>
    <cellStyle name="Normal 2 49 5 13 3" xfId="8622" xr:uid="{00000000-0005-0000-0000-00009D210000}"/>
    <cellStyle name="Normal 2 49 5 14" xfId="8623" xr:uid="{00000000-0005-0000-0000-00009E210000}"/>
    <cellStyle name="Normal 2 49 5 14 2" xfId="8624" xr:uid="{00000000-0005-0000-0000-00009F210000}"/>
    <cellStyle name="Normal 2 49 5 14 3" xfId="8625" xr:uid="{00000000-0005-0000-0000-0000A0210000}"/>
    <cellStyle name="Normal 2 49 5 15" xfId="8626" xr:uid="{00000000-0005-0000-0000-0000A1210000}"/>
    <cellStyle name="Normal 2 49 5 16" xfId="8627" xr:uid="{00000000-0005-0000-0000-0000A2210000}"/>
    <cellStyle name="Normal 2 49 5 2" xfId="8628" xr:uid="{00000000-0005-0000-0000-0000A3210000}"/>
    <cellStyle name="Normal 2 49 5 2 2" xfId="8629" xr:uid="{00000000-0005-0000-0000-0000A4210000}"/>
    <cellStyle name="Normal 2 49 5 2 3" xfId="8630" xr:uid="{00000000-0005-0000-0000-0000A5210000}"/>
    <cellStyle name="Normal 2 49 5 3" xfId="8631" xr:uid="{00000000-0005-0000-0000-0000A6210000}"/>
    <cellStyle name="Normal 2 49 5 3 2" xfId="8632" xr:uid="{00000000-0005-0000-0000-0000A7210000}"/>
    <cellStyle name="Normal 2 49 5 3 3" xfId="8633" xr:uid="{00000000-0005-0000-0000-0000A8210000}"/>
    <cellStyle name="Normal 2 49 5 4" xfId="8634" xr:uid="{00000000-0005-0000-0000-0000A9210000}"/>
    <cellStyle name="Normal 2 49 5 4 2" xfId="8635" xr:uid="{00000000-0005-0000-0000-0000AA210000}"/>
    <cellStyle name="Normal 2 49 5 4 3" xfId="8636" xr:uid="{00000000-0005-0000-0000-0000AB210000}"/>
    <cellStyle name="Normal 2 49 5 5" xfId="8637" xr:uid="{00000000-0005-0000-0000-0000AC210000}"/>
    <cellStyle name="Normal 2 49 5 5 2" xfId="8638" xr:uid="{00000000-0005-0000-0000-0000AD210000}"/>
    <cellStyle name="Normal 2 49 5 5 3" xfId="8639" xr:uid="{00000000-0005-0000-0000-0000AE210000}"/>
    <cellStyle name="Normal 2 49 5 6" xfId="8640" xr:uid="{00000000-0005-0000-0000-0000AF210000}"/>
    <cellStyle name="Normal 2 49 5 6 2" xfId="8641" xr:uid="{00000000-0005-0000-0000-0000B0210000}"/>
    <cellStyle name="Normal 2 49 5 6 3" xfId="8642" xr:uid="{00000000-0005-0000-0000-0000B1210000}"/>
    <cellStyle name="Normal 2 49 5 7" xfId="8643" xr:uid="{00000000-0005-0000-0000-0000B2210000}"/>
    <cellStyle name="Normal 2 49 5 7 2" xfId="8644" xr:uid="{00000000-0005-0000-0000-0000B3210000}"/>
    <cellStyle name="Normal 2 49 5 7 3" xfId="8645" xr:uid="{00000000-0005-0000-0000-0000B4210000}"/>
    <cellStyle name="Normal 2 49 5 8" xfId="8646" xr:uid="{00000000-0005-0000-0000-0000B5210000}"/>
    <cellStyle name="Normal 2 49 5 8 2" xfId="8647" xr:uid="{00000000-0005-0000-0000-0000B6210000}"/>
    <cellStyle name="Normal 2 49 5 8 3" xfId="8648" xr:uid="{00000000-0005-0000-0000-0000B7210000}"/>
    <cellStyle name="Normal 2 49 5 9" xfId="8649" xr:uid="{00000000-0005-0000-0000-0000B8210000}"/>
    <cellStyle name="Normal 2 49 5 9 2" xfId="8650" xr:uid="{00000000-0005-0000-0000-0000B9210000}"/>
    <cellStyle name="Normal 2 49 5 9 3" xfId="8651" xr:uid="{00000000-0005-0000-0000-0000BA210000}"/>
    <cellStyle name="Normal 2 49 6" xfId="8652" xr:uid="{00000000-0005-0000-0000-0000BB210000}"/>
    <cellStyle name="Normal 2 49 6 10" xfId="8653" xr:uid="{00000000-0005-0000-0000-0000BC210000}"/>
    <cellStyle name="Normal 2 49 6 10 2" xfId="8654" xr:uid="{00000000-0005-0000-0000-0000BD210000}"/>
    <cellStyle name="Normal 2 49 6 10 3" xfId="8655" xr:uid="{00000000-0005-0000-0000-0000BE210000}"/>
    <cellStyle name="Normal 2 49 6 11" xfId="8656" xr:uid="{00000000-0005-0000-0000-0000BF210000}"/>
    <cellStyle name="Normal 2 49 6 11 2" xfId="8657" xr:uid="{00000000-0005-0000-0000-0000C0210000}"/>
    <cellStyle name="Normal 2 49 6 11 3" xfId="8658" xr:uid="{00000000-0005-0000-0000-0000C1210000}"/>
    <cellStyle name="Normal 2 49 6 12" xfId="8659" xr:uid="{00000000-0005-0000-0000-0000C2210000}"/>
    <cellStyle name="Normal 2 49 6 12 2" xfId="8660" xr:uid="{00000000-0005-0000-0000-0000C3210000}"/>
    <cellStyle name="Normal 2 49 6 12 3" xfId="8661" xr:uid="{00000000-0005-0000-0000-0000C4210000}"/>
    <cellStyle name="Normal 2 49 6 13" xfId="8662" xr:uid="{00000000-0005-0000-0000-0000C5210000}"/>
    <cellStyle name="Normal 2 49 6 13 2" xfId="8663" xr:uid="{00000000-0005-0000-0000-0000C6210000}"/>
    <cellStyle name="Normal 2 49 6 13 3" xfId="8664" xr:uid="{00000000-0005-0000-0000-0000C7210000}"/>
    <cellStyle name="Normal 2 49 6 14" xfId="8665" xr:uid="{00000000-0005-0000-0000-0000C8210000}"/>
    <cellStyle name="Normal 2 49 6 14 2" xfId="8666" xr:uid="{00000000-0005-0000-0000-0000C9210000}"/>
    <cellStyle name="Normal 2 49 6 14 3" xfId="8667" xr:uid="{00000000-0005-0000-0000-0000CA210000}"/>
    <cellStyle name="Normal 2 49 6 15" xfId="8668" xr:uid="{00000000-0005-0000-0000-0000CB210000}"/>
    <cellStyle name="Normal 2 49 6 16" xfId="8669" xr:uid="{00000000-0005-0000-0000-0000CC210000}"/>
    <cellStyle name="Normal 2 49 6 2" xfId="8670" xr:uid="{00000000-0005-0000-0000-0000CD210000}"/>
    <cellStyle name="Normal 2 49 6 2 2" xfId="8671" xr:uid="{00000000-0005-0000-0000-0000CE210000}"/>
    <cellStyle name="Normal 2 49 6 2 3" xfId="8672" xr:uid="{00000000-0005-0000-0000-0000CF210000}"/>
    <cellStyle name="Normal 2 49 6 3" xfId="8673" xr:uid="{00000000-0005-0000-0000-0000D0210000}"/>
    <cellStyle name="Normal 2 49 6 3 2" xfId="8674" xr:uid="{00000000-0005-0000-0000-0000D1210000}"/>
    <cellStyle name="Normal 2 49 6 3 3" xfId="8675" xr:uid="{00000000-0005-0000-0000-0000D2210000}"/>
    <cellStyle name="Normal 2 49 6 4" xfId="8676" xr:uid="{00000000-0005-0000-0000-0000D3210000}"/>
    <cellStyle name="Normal 2 49 6 4 2" xfId="8677" xr:uid="{00000000-0005-0000-0000-0000D4210000}"/>
    <cellStyle name="Normal 2 49 6 4 3" xfId="8678" xr:uid="{00000000-0005-0000-0000-0000D5210000}"/>
    <cellStyle name="Normal 2 49 6 5" xfId="8679" xr:uid="{00000000-0005-0000-0000-0000D6210000}"/>
    <cellStyle name="Normal 2 49 6 5 2" xfId="8680" xr:uid="{00000000-0005-0000-0000-0000D7210000}"/>
    <cellStyle name="Normal 2 49 6 5 3" xfId="8681" xr:uid="{00000000-0005-0000-0000-0000D8210000}"/>
    <cellStyle name="Normal 2 49 6 6" xfId="8682" xr:uid="{00000000-0005-0000-0000-0000D9210000}"/>
    <cellStyle name="Normal 2 49 6 6 2" xfId="8683" xr:uid="{00000000-0005-0000-0000-0000DA210000}"/>
    <cellStyle name="Normal 2 49 6 6 3" xfId="8684" xr:uid="{00000000-0005-0000-0000-0000DB210000}"/>
    <cellStyle name="Normal 2 49 6 7" xfId="8685" xr:uid="{00000000-0005-0000-0000-0000DC210000}"/>
    <cellStyle name="Normal 2 49 6 7 2" xfId="8686" xr:uid="{00000000-0005-0000-0000-0000DD210000}"/>
    <cellStyle name="Normal 2 49 6 7 3" xfId="8687" xr:uid="{00000000-0005-0000-0000-0000DE210000}"/>
    <cellStyle name="Normal 2 49 6 8" xfId="8688" xr:uid="{00000000-0005-0000-0000-0000DF210000}"/>
    <cellStyle name="Normal 2 49 6 8 2" xfId="8689" xr:uid="{00000000-0005-0000-0000-0000E0210000}"/>
    <cellStyle name="Normal 2 49 6 8 3" xfId="8690" xr:uid="{00000000-0005-0000-0000-0000E1210000}"/>
    <cellStyle name="Normal 2 49 6 9" xfId="8691" xr:uid="{00000000-0005-0000-0000-0000E2210000}"/>
    <cellStyle name="Normal 2 49 6 9 2" xfId="8692" xr:uid="{00000000-0005-0000-0000-0000E3210000}"/>
    <cellStyle name="Normal 2 49 6 9 3" xfId="8693" xr:uid="{00000000-0005-0000-0000-0000E4210000}"/>
    <cellStyle name="Normal 2 49 7" xfId="8694" xr:uid="{00000000-0005-0000-0000-0000E5210000}"/>
    <cellStyle name="Normal 2 49 7 10" xfId="8695" xr:uid="{00000000-0005-0000-0000-0000E6210000}"/>
    <cellStyle name="Normal 2 49 7 10 2" xfId="8696" xr:uid="{00000000-0005-0000-0000-0000E7210000}"/>
    <cellStyle name="Normal 2 49 7 10 3" xfId="8697" xr:uid="{00000000-0005-0000-0000-0000E8210000}"/>
    <cellStyle name="Normal 2 49 7 11" xfId="8698" xr:uid="{00000000-0005-0000-0000-0000E9210000}"/>
    <cellStyle name="Normal 2 49 7 11 2" xfId="8699" xr:uid="{00000000-0005-0000-0000-0000EA210000}"/>
    <cellStyle name="Normal 2 49 7 11 3" xfId="8700" xr:uid="{00000000-0005-0000-0000-0000EB210000}"/>
    <cellStyle name="Normal 2 49 7 12" xfId="8701" xr:uid="{00000000-0005-0000-0000-0000EC210000}"/>
    <cellStyle name="Normal 2 49 7 12 2" xfId="8702" xr:uid="{00000000-0005-0000-0000-0000ED210000}"/>
    <cellStyle name="Normal 2 49 7 12 3" xfId="8703" xr:uid="{00000000-0005-0000-0000-0000EE210000}"/>
    <cellStyle name="Normal 2 49 7 13" xfId="8704" xr:uid="{00000000-0005-0000-0000-0000EF210000}"/>
    <cellStyle name="Normal 2 49 7 13 2" xfId="8705" xr:uid="{00000000-0005-0000-0000-0000F0210000}"/>
    <cellStyle name="Normal 2 49 7 13 3" xfId="8706" xr:uid="{00000000-0005-0000-0000-0000F1210000}"/>
    <cellStyle name="Normal 2 49 7 14" xfId="8707" xr:uid="{00000000-0005-0000-0000-0000F2210000}"/>
    <cellStyle name="Normal 2 49 7 14 2" xfId="8708" xr:uid="{00000000-0005-0000-0000-0000F3210000}"/>
    <cellStyle name="Normal 2 49 7 14 3" xfId="8709" xr:uid="{00000000-0005-0000-0000-0000F4210000}"/>
    <cellStyle name="Normal 2 49 7 15" xfId="8710" xr:uid="{00000000-0005-0000-0000-0000F5210000}"/>
    <cellStyle name="Normal 2 49 7 16" xfId="8711" xr:uid="{00000000-0005-0000-0000-0000F6210000}"/>
    <cellStyle name="Normal 2 49 7 2" xfId="8712" xr:uid="{00000000-0005-0000-0000-0000F7210000}"/>
    <cellStyle name="Normal 2 49 7 2 2" xfId="8713" xr:uid="{00000000-0005-0000-0000-0000F8210000}"/>
    <cellStyle name="Normal 2 49 7 2 3" xfId="8714" xr:uid="{00000000-0005-0000-0000-0000F9210000}"/>
    <cellStyle name="Normal 2 49 7 3" xfId="8715" xr:uid="{00000000-0005-0000-0000-0000FA210000}"/>
    <cellStyle name="Normal 2 49 7 3 2" xfId="8716" xr:uid="{00000000-0005-0000-0000-0000FB210000}"/>
    <cellStyle name="Normal 2 49 7 3 3" xfId="8717" xr:uid="{00000000-0005-0000-0000-0000FC210000}"/>
    <cellStyle name="Normal 2 49 7 4" xfId="8718" xr:uid="{00000000-0005-0000-0000-0000FD210000}"/>
    <cellStyle name="Normal 2 49 7 4 2" xfId="8719" xr:uid="{00000000-0005-0000-0000-0000FE210000}"/>
    <cellStyle name="Normal 2 49 7 4 3" xfId="8720" xr:uid="{00000000-0005-0000-0000-0000FF210000}"/>
    <cellStyle name="Normal 2 49 7 5" xfId="8721" xr:uid="{00000000-0005-0000-0000-000000220000}"/>
    <cellStyle name="Normal 2 49 7 5 2" xfId="8722" xr:uid="{00000000-0005-0000-0000-000001220000}"/>
    <cellStyle name="Normal 2 49 7 5 3" xfId="8723" xr:uid="{00000000-0005-0000-0000-000002220000}"/>
    <cellStyle name="Normal 2 49 7 6" xfId="8724" xr:uid="{00000000-0005-0000-0000-000003220000}"/>
    <cellStyle name="Normal 2 49 7 6 2" xfId="8725" xr:uid="{00000000-0005-0000-0000-000004220000}"/>
    <cellStyle name="Normal 2 49 7 6 3" xfId="8726" xr:uid="{00000000-0005-0000-0000-000005220000}"/>
    <cellStyle name="Normal 2 49 7 7" xfId="8727" xr:uid="{00000000-0005-0000-0000-000006220000}"/>
    <cellStyle name="Normal 2 49 7 7 2" xfId="8728" xr:uid="{00000000-0005-0000-0000-000007220000}"/>
    <cellStyle name="Normal 2 49 7 7 3" xfId="8729" xr:uid="{00000000-0005-0000-0000-000008220000}"/>
    <cellStyle name="Normal 2 49 7 8" xfId="8730" xr:uid="{00000000-0005-0000-0000-000009220000}"/>
    <cellStyle name="Normal 2 49 7 8 2" xfId="8731" xr:uid="{00000000-0005-0000-0000-00000A220000}"/>
    <cellStyle name="Normal 2 49 7 8 3" xfId="8732" xr:uid="{00000000-0005-0000-0000-00000B220000}"/>
    <cellStyle name="Normal 2 49 7 9" xfId="8733" xr:uid="{00000000-0005-0000-0000-00000C220000}"/>
    <cellStyle name="Normal 2 49 7 9 2" xfId="8734" xr:uid="{00000000-0005-0000-0000-00000D220000}"/>
    <cellStyle name="Normal 2 49 7 9 3" xfId="8735" xr:uid="{00000000-0005-0000-0000-00000E220000}"/>
    <cellStyle name="Normal 2 49 8" xfId="8736" xr:uid="{00000000-0005-0000-0000-00000F220000}"/>
    <cellStyle name="Normal 2 49 8 10" xfId="8737" xr:uid="{00000000-0005-0000-0000-000010220000}"/>
    <cellStyle name="Normal 2 49 8 10 2" xfId="8738" xr:uid="{00000000-0005-0000-0000-000011220000}"/>
    <cellStyle name="Normal 2 49 8 10 3" xfId="8739" xr:uid="{00000000-0005-0000-0000-000012220000}"/>
    <cellStyle name="Normal 2 49 8 11" xfId="8740" xr:uid="{00000000-0005-0000-0000-000013220000}"/>
    <cellStyle name="Normal 2 49 8 11 2" xfId="8741" xr:uid="{00000000-0005-0000-0000-000014220000}"/>
    <cellStyle name="Normal 2 49 8 11 3" xfId="8742" xr:uid="{00000000-0005-0000-0000-000015220000}"/>
    <cellStyle name="Normal 2 49 8 12" xfId="8743" xr:uid="{00000000-0005-0000-0000-000016220000}"/>
    <cellStyle name="Normal 2 49 8 12 2" xfId="8744" xr:uid="{00000000-0005-0000-0000-000017220000}"/>
    <cellStyle name="Normal 2 49 8 12 3" xfId="8745" xr:uid="{00000000-0005-0000-0000-000018220000}"/>
    <cellStyle name="Normal 2 49 8 13" xfId="8746" xr:uid="{00000000-0005-0000-0000-000019220000}"/>
    <cellStyle name="Normal 2 49 8 13 2" xfId="8747" xr:uid="{00000000-0005-0000-0000-00001A220000}"/>
    <cellStyle name="Normal 2 49 8 13 3" xfId="8748" xr:uid="{00000000-0005-0000-0000-00001B220000}"/>
    <cellStyle name="Normal 2 49 8 14" xfId="8749" xr:uid="{00000000-0005-0000-0000-00001C220000}"/>
    <cellStyle name="Normal 2 49 8 14 2" xfId="8750" xr:uid="{00000000-0005-0000-0000-00001D220000}"/>
    <cellStyle name="Normal 2 49 8 14 3" xfId="8751" xr:uid="{00000000-0005-0000-0000-00001E220000}"/>
    <cellStyle name="Normal 2 49 8 15" xfId="8752" xr:uid="{00000000-0005-0000-0000-00001F220000}"/>
    <cellStyle name="Normal 2 49 8 16" xfId="8753" xr:uid="{00000000-0005-0000-0000-000020220000}"/>
    <cellStyle name="Normal 2 49 8 2" xfId="8754" xr:uid="{00000000-0005-0000-0000-000021220000}"/>
    <cellStyle name="Normal 2 49 8 2 2" xfId="8755" xr:uid="{00000000-0005-0000-0000-000022220000}"/>
    <cellStyle name="Normal 2 49 8 2 3" xfId="8756" xr:uid="{00000000-0005-0000-0000-000023220000}"/>
    <cellStyle name="Normal 2 49 8 3" xfId="8757" xr:uid="{00000000-0005-0000-0000-000024220000}"/>
    <cellStyle name="Normal 2 49 8 3 2" xfId="8758" xr:uid="{00000000-0005-0000-0000-000025220000}"/>
    <cellStyle name="Normal 2 49 8 3 3" xfId="8759" xr:uid="{00000000-0005-0000-0000-000026220000}"/>
    <cellStyle name="Normal 2 49 8 4" xfId="8760" xr:uid="{00000000-0005-0000-0000-000027220000}"/>
    <cellStyle name="Normal 2 49 8 4 2" xfId="8761" xr:uid="{00000000-0005-0000-0000-000028220000}"/>
    <cellStyle name="Normal 2 49 8 4 3" xfId="8762" xr:uid="{00000000-0005-0000-0000-000029220000}"/>
    <cellStyle name="Normal 2 49 8 5" xfId="8763" xr:uid="{00000000-0005-0000-0000-00002A220000}"/>
    <cellStyle name="Normal 2 49 8 5 2" xfId="8764" xr:uid="{00000000-0005-0000-0000-00002B220000}"/>
    <cellStyle name="Normal 2 49 8 5 3" xfId="8765" xr:uid="{00000000-0005-0000-0000-00002C220000}"/>
    <cellStyle name="Normal 2 49 8 6" xfId="8766" xr:uid="{00000000-0005-0000-0000-00002D220000}"/>
    <cellStyle name="Normal 2 49 8 6 2" xfId="8767" xr:uid="{00000000-0005-0000-0000-00002E220000}"/>
    <cellStyle name="Normal 2 49 8 6 3" xfId="8768" xr:uid="{00000000-0005-0000-0000-00002F220000}"/>
    <cellStyle name="Normal 2 49 8 7" xfId="8769" xr:uid="{00000000-0005-0000-0000-000030220000}"/>
    <cellStyle name="Normal 2 49 8 7 2" xfId="8770" xr:uid="{00000000-0005-0000-0000-000031220000}"/>
    <cellStyle name="Normal 2 49 8 7 3" xfId="8771" xr:uid="{00000000-0005-0000-0000-000032220000}"/>
    <cellStyle name="Normal 2 49 8 8" xfId="8772" xr:uid="{00000000-0005-0000-0000-000033220000}"/>
    <cellStyle name="Normal 2 49 8 8 2" xfId="8773" xr:uid="{00000000-0005-0000-0000-000034220000}"/>
    <cellStyle name="Normal 2 49 8 8 3" xfId="8774" xr:uid="{00000000-0005-0000-0000-000035220000}"/>
    <cellStyle name="Normal 2 49 8 9" xfId="8775" xr:uid="{00000000-0005-0000-0000-000036220000}"/>
    <cellStyle name="Normal 2 49 8 9 2" xfId="8776" xr:uid="{00000000-0005-0000-0000-000037220000}"/>
    <cellStyle name="Normal 2 49 8 9 3" xfId="8777" xr:uid="{00000000-0005-0000-0000-000038220000}"/>
    <cellStyle name="Normal 2 49 9" xfId="8778" xr:uid="{00000000-0005-0000-0000-000039220000}"/>
    <cellStyle name="Normal 2 49 9 10" xfId="8779" xr:uid="{00000000-0005-0000-0000-00003A220000}"/>
    <cellStyle name="Normal 2 49 9 10 2" xfId="8780" xr:uid="{00000000-0005-0000-0000-00003B220000}"/>
    <cellStyle name="Normal 2 49 9 10 3" xfId="8781" xr:uid="{00000000-0005-0000-0000-00003C220000}"/>
    <cellStyle name="Normal 2 49 9 11" xfId="8782" xr:uid="{00000000-0005-0000-0000-00003D220000}"/>
    <cellStyle name="Normal 2 49 9 11 2" xfId="8783" xr:uid="{00000000-0005-0000-0000-00003E220000}"/>
    <cellStyle name="Normal 2 49 9 11 3" xfId="8784" xr:uid="{00000000-0005-0000-0000-00003F220000}"/>
    <cellStyle name="Normal 2 49 9 12" xfId="8785" xr:uid="{00000000-0005-0000-0000-000040220000}"/>
    <cellStyle name="Normal 2 49 9 12 2" xfId="8786" xr:uid="{00000000-0005-0000-0000-000041220000}"/>
    <cellStyle name="Normal 2 49 9 12 3" xfId="8787" xr:uid="{00000000-0005-0000-0000-000042220000}"/>
    <cellStyle name="Normal 2 49 9 13" xfId="8788" xr:uid="{00000000-0005-0000-0000-000043220000}"/>
    <cellStyle name="Normal 2 49 9 13 2" xfId="8789" xr:uid="{00000000-0005-0000-0000-000044220000}"/>
    <cellStyle name="Normal 2 49 9 13 3" xfId="8790" xr:uid="{00000000-0005-0000-0000-000045220000}"/>
    <cellStyle name="Normal 2 49 9 14" xfId="8791" xr:uid="{00000000-0005-0000-0000-000046220000}"/>
    <cellStyle name="Normal 2 49 9 14 2" xfId="8792" xr:uid="{00000000-0005-0000-0000-000047220000}"/>
    <cellStyle name="Normal 2 49 9 14 3" xfId="8793" xr:uid="{00000000-0005-0000-0000-000048220000}"/>
    <cellStyle name="Normal 2 49 9 15" xfId="8794" xr:uid="{00000000-0005-0000-0000-000049220000}"/>
    <cellStyle name="Normal 2 49 9 16" xfId="8795" xr:uid="{00000000-0005-0000-0000-00004A220000}"/>
    <cellStyle name="Normal 2 49 9 2" xfId="8796" xr:uid="{00000000-0005-0000-0000-00004B220000}"/>
    <cellStyle name="Normal 2 49 9 2 2" xfId="8797" xr:uid="{00000000-0005-0000-0000-00004C220000}"/>
    <cellStyle name="Normal 2 49 9 2 3" xfId="8798" xr:uid="{00000000-0005-0000-0000-00004D220000}"/>
    <cellStyle name="Normal 2 49 9 3" xfId="8799" xr:uid="{00000000-0005-0000-0000-00004E220000}"/>
    <cellStyle name="Normal 2 49 9 3 2" xfId="8800" xr:uid="{00000000-0005-0000-0000-00004F220000}"/>
    <cellStyle name="Normal 2 49 9 3 3" xfId="8801" xr:uid="{00000000-0005-0000-0000-000050220000}"/>
    <cellStyle name="Normal 2 49 9 4" xfId="8802" xr:uid="{00000000-0005-0000-0000-000051220000}"/>
    <cellStyle name="Normal 2 49 9 4 2" xfId="8803" xr:uid="{00000000-0005-0000-0000-000052220000}"/>
    <cellStyle name="Normal 2 49 9 4 3" xfId="8804" xr:uid="{00000000-0005-0000-0000-000053220000}"/>
    <cellStyle name="Normal 2 49 9 5" xfId="8805" xr:uid="{00000000-0005-0000-0000-000054220000}"/>
    <cellStyle name="Normal 2 49 9 5 2" xfId="8806" xr:uid="{00000000-0005-0000-0000-000055220000}"/>
    <cellStyle name="Normal 2 49 9 5 3" xfId="8807" xr:uid="{00000000-0005-0000-0000-000056220000}"/>
    <cellStyle name="Normal 2 49 9 6" xfId="8808" xr:uid="{00000000-0005-0000-0000-000057220000}"/>
    <cellStyle name="Normal 2 49 9 6 2" xfId="8809" xr:uid="{00000000-0005-0000-0000-000058220000}"/>
    <cellStyle name="Normal 2 49 9 6 3" xfId="8810" xr:uid="{00000000-0005-0000-0000-000059220000}"/>
    <cellStyle name="Normal 2 49 9 7" xfId="8811" xr:uid="{00000000-0005-0000-0000-00005A220000}"/>
    <cellStyle name="Normal 2 49 9 7 2" xfId="8812" xr:uid="{00000000-0005-0000-0000-00005B220000}"/>
    <cellStyle name="Normal 2 49 9 7 3" xfId="8813" xr:uid="{00000000-0005-0000-0000-00005C220000}"/>
    <cellStyle name="Normal 2 49 9 8" xfId="8814" xr:uid="{00000000-0005-0000-0000-00005D220000}"/>
    <cellStyle name="Normal 2 49 9 8 2" xfId="8815" xr:uid="{00000000-0005-0000-0000-00005E220000}"/>
    <cellStyle name="Normal 2 49 9 8 3" xfId="8816" xr:uid="{00000000-0005-0000-0000-00005F220000}"/>
    <cellStyle name="Normal 2 49 9 9" xfId="8817" xr:uid="{00000000-0005-0000-0000-000060220000}"/>
    <cellStyle name="Normal 2 49 9 9 2" xfId="8818" xr:uid="{00000000-0005-0000-0000-000061220000}"/>
    <cellStyle name="Normal 2 49 9 9 3" xfId="8819" xr:uid="{00000000-0005-0000-0000-000062220000}"/>
    <cellStyle name="Normal 2 5" xfId="8820" xr:uid="{00000000-0005-0000-0000-000063220000}"/>
    <cellStyle name="Normal 2 5 2" xfId="8821" xr:uid="{00000000-0005-0000-0000-000064220000}"/>
    <cellStyle name="Normal 2 5 2 2" xfId="8822" xr:uid="{00000000-0005-0000-0000-000065220000}"/>
    <cellStyle name="Normal 2 5 2 2 2" xfId="8823" xr:uid="{00000000-0005-0000-0000-000066220000}"/>
    <cellStyle name="Normal 2 5 2 3" xfId="8824" xr:uid="{00000000-0005-0000-0000-000067220000}"/>
    <cellStyle name="Normal 2 5 2 3 2" xfId="8825" xr:uid="{00000000-0005-0000-0000-000068220000}"/>
    <cellStyle name="Normal 2 5 2 4" xfId="8826" xr:uid="{00000000-0005-0000-0000-000069220000}"/>
    <cellStyle name="Normal 2 5 2 4 2" xfId="8827" xr:uid="{00000000-0005-0000-0000-00006A220000}"/>
    <cellStyle name="Normal 2 5 2 5" xfId="8828" xr:uid="{00000000-0005-0000-0000-00006B220000}"/>
    <cellStyle name="Normal 2 5 2 5 2" xfId="8829" xr:uid="{00000000-0005-0000-0000-00006C220000}"/>
    <cellStyle name="Normal 2 5 2 6" xfId="8830" xr:uid="{00000000-0005-0000-0000-00006D220000}"/>
    <cellStyle name="Normal 2 5 2 6 2" xfId="8831" xr:uid="{00000000-0005-0000-0000-00006E220000}"/>
    <cellStyle name="Normal 2 5 2 7" xfId="8832" xr:uid="{00000000-0005-0000-0000-00006F220000}"/>
    <cellStyle name="Normal 2 5 2 7 2" xfId="8833" xr:uid="{00000000-0005-0000-0000-000070220000}"/>
    <cellStyle name="Normal 2 5 3" xfId="8834" xr:uid="{00000000-0005-0000-0000-000071220000}"/>
    <cellStyle name="Normal 2 5 4" xfId="8835" xr:uid="{00000000-0005-0000-0000-000072220000}"/>
    <cellStyle name="Normal 2 5 5" xfId="8836" xr:uid="{00000000-0005-0000-0000-000073220000}"/>
    <cellStyle name="Normal 2 5 6" xfId="8837" xr:uid="{00000000-0005-0000-0000-000074220000}"/>
    <cellStyle name="Normal 2 5 7" xfId="8838" xr:uid="{00000000-0005-0000-0000-000075220000}"/>
    <cellStyle name="Normal 2 5 8" xfId="8839" xr:uid="{00000000-0005-0000-0000-000076220000}"/>
    <cellStyle name="Normal 2 50" xfId="8840" xr:uid="{00000000-0005-0000-0000-000077220000}"/>
    <cellStyle name="Normal 2 50 10" xfId="8841" xr:uid="{00000000-0005-0000-0000-000078220000}"/>
    <cellStyle name="Normal 2 50 10 10" xfId="8842" xr:uid="{00000000-0005-0000-0000-000079220000}"/>
    <cellStyle name="Normal 2 50 10 10 2" xfId="8843" xr:uid="{00000000-0005-0000-0000-00007A220000}"/>
    <cellStyle name="Normal 2 50 10 10 3" xfId="8844" xr:uid="{00000000-0005-0000-0000-00007B220000}"/>
    <cellStyle name="Normal 2 50 10 11" xfId="8845" xr:uid="{00000000-0005-0000-0000-00007C220000}"/>
    <cellStyle name="Normal 2 50 10 11 2" xfId="8846" xr:uid="{00000000-0005-0000-0000-00007D220000}"/>
    <cellStyle name="Normal 2 50 10 11 3" xfId="8847" xr:uid="{00000000-0005-0000-0000-00007E220000}"/>
    <cellStyle name="Normal 2 50 10 12" xfId="8848" xr:uid="{00000000-0005-0000-0000-00007F220000}"/>
    <cellStyle name="Normal 2 50 10 12 2" xfId="8849" xr:uid="{00000000-0005-0000-0000-000080220000}"/>
    <cellStyle name="Normal 2 50 10 12 3" xfId="8850" xr:uid="{00000000-0005-0000-0000-000081220000}"/>
    <cellStyle name="Normal 2 50 10 13" xfId="8851" xr:uid="{00000000-0005-0000-0000-000082220000}"/>
    <cellStyle name="Normal 2 50 10 13 2" xfId="8852" xr:uid="{00000000-0005-0000-0000-000083220000}"/>
    <cellStyle name="Normal 2 50 10 13 3" xfId="8853" xr:uid="{00000000-0005-0000-0000-000084220000}"/>
    <cellStyle name="Normal 2 50 10 14" xfId="8854" xr:uid="{00000000-0005-0000-0000-000085220000}"/>
    <cellStyle name="Normal 2 50 10 14 2" xfId="8855" xr:uid="{00000000-0005-0000-0000-000086220000}"/>
    <cellStyle name="Normal 2 50 10 14 3" xfId="8856" xr:uid="{00000000-0005-0000-0000-000087220000}"/>
    <cellStyle name="Normal 2 50 10 15" xfId="8857" xr:uid="{00000000-0005-0000-0000-000088220000}"/>
    <cellStyle name="Normal 2 50 10 16" xfId="8858" xr:uid="{00000000-0005-0000-0000-000089220000}"/>
    <cellStyle name="Normal 2 50 10 2" xfId="8859" xr:uid="{00000000-0005-0000-0000-00008A220000}"/>
    <cellStyle name="Normal 2 50 10 2 2" xfId="8860" xr:uid="{00000000-0005-0000-0000-00008B220000}"/>
    <cellStyle name="Normal 2 50 10 2 3" xfId="8861" xr:uid="{00000000-0005-0000-0000-00008C220000}"/>
    <cellStyle name="Normal 2 50 10 3" xfId="8862" xr:uid="{00000000-0005-0000-0000-00008D220000}"/>
    <cellStyle name="Normal 2 50 10 3 2" xfId="8863" xr:uid="{00000000-0005-0000-0000-00008E220000}"/>
    <cellStyle name="Normal 2 50 10 3 3" xfId="8864" xr:uid="{00000000-0005-0000-0000-00008F220000}"/>
    <cellStyle name="Normal 2 50 10 4" xfId="8865" xr:uid="{00000000-0005-0000-0000-000090220000}"/>
    <cellStyle name="Normal 2 50 10 4 2" xfId="8866" xr:uid="{00000000-0005-0000-0000-000091220000}"/>
    <cellStyle name="Normal 2 50 10 4 3" xfId="8867" xr:uid="{00000000-0005-0000-0000-000092220000}"/>
    <cellStyle name="Normal 2 50 10 5" xfId="8868" xr:uid="{00000000-0005-0000-0000-000093220000}"/>
    <cellStyle name="Normal 2 50 10 5 2" xfId="8869" xr:uid="{00000000-0005-0000-0000-000094220000}"/>
    <cellStyle name="Normal 2 50 10 5 3" xfId="8870" xr:uid="{00000000-0005-0000-0000-000095220000}"/>
    <cellStyle name="Normal 2 50 10 6" xfId="8871" xr:uid="{00000000-0005-0000-0000-000096220000}"/>
    <cellStyle name="Normal 2 50 10 6 2" xfId="8872" xr:uid="{00000000-0005-0000-0000-000097220000}"/>
    <cellStyle name="Normal 2 50 10 6 3" xfId="8873" xr:uid="{00000000-0005-0000-0000-000098220000}"/>
    <cellStyle name="Normal 2 50 10 7" xfId="8874" xr:uid="{00000000-0005-0000-0000-000099220000}"/>
    <cellStyle name="Normal 2 50 10 7 2" xfId="8875" xr:uid="{00000000-0005-0000-0000-00009A220000}"/>
    <cellStyle name="Normal 2 50 10 7 3" xfId="8876" xr:uid="{00000000-0005-0000-0000-00009B220000}"/>
    <cellStyle name="Normal 2 50 10 8" xfId="8877" xr:uid="{00000000-0005-0000-0000-00009C220000}"/>
    <cellStyle name="Normal 2 50 10 8 2" xfId="8878" xr:uid="{00000000-0005-0000-0000-00009D220000}"/>
    <cellStyle name="Normal 2 50 10 8 3" xfId="8879" xr:uid="{00000000-0005-0000-0000-00009E220000}"/>
    <cellStyle name="Normal 2 50 10 9" xfId="8880" xr:uid="{00000000-0005-0000-0000-00009F220000}"/>
    <cellStyle name="Normal 2 50 10 9 2" xfId="8881" xr:uid="{00000000-0005-0000-0000-0000A0220000}"/>
    <cellStyle name="Normal 2 50 10 9 3" xfId="8882" xr:uid="{00000000-0005-0000-0000-0000A1220000}"/>
    <cellStyle name="Normal 2 50 11" xfId="8883" xr:uid="{00000000-0005-0000-0000-0000A2220000}"/>
    <cellStyle name="Normal 2 50 11 2" xfId="8884" xr:uid="{00000000-0005-0000-0000-0000A3220000}"/>
    <cellStyle name="Normal 2 50 11 3" xfId="8885" xr:uid="{00000000-0005-0000-0000-0000A4220000}"/>
    <cellStyle name="Normal 2 50 12" xfId="8886" xr:uid="{00000000-0005-0000-0000-0000A5220000}"/>
    <cellStyle name="Normal 2 50 12 2" xfId="8887" xr:uid="{00000000-0005-0000-0000-0000A6220000}"/>
    <cellStyle name="Normal 2 50 12 3" xfId="8888" xr:uid="{00000000-0005-0000-0000-0000A7220000}"/>
    <cellStyle name="Normal 2 50 13" xfId="8889" xr:uid="{00000000-0005-0000-0000-0000A8220000}"/>
    <cellStyle name="Normal 2 50 13 2" xfId="8890" xr:uid="{00000000-0005-0000-0000-0000A9220000}"/>
    <cellStyle name="Normal 2 50 13 3" xfId="8891" xr:uid="{00000000-0005-0000-0000-0000AA220000}"/>
    <cellStyle name="Normal 2 50 14" xfId="8892" xr:uid="{00000000-0005-0000-0000-0000AB220000}"/>
    <cellStyle name="Normal 2 50 14 2" xfId="8893" xr:uid="{00000000-0005-0000-0000-0000AC220000}"/>
    <cellStyle name="Normal 2 50 14 3" xfId="8894" xr:uid="{00000000-0005-0000-0000-0000AD220000}"/>
    <cellStyle name="Normal 2 50 15" xfId="8895" xr:uid="{00000000-0005-0000-0000-0000AE220000}"/>
    <cellStyle name="Normal 2 50 15 2" xfId="8896" xr:uid="{00000000-0005-0000-0000-0000AF220000}"/>
    <cellStyle name="Normal 2 50 15 3" xfId="8897" xr:uid="{00000000-0005-0000-0000-0000B0220000}"/>
    <cellStyle name="Normal 2 50 16" xfId="8898" xr:uid="{00000000-0005-0000-0000-0000B1220000}"/>
    <cellStyle name="Normal 2 50 16 2" xfId="8899" xr:uid="{00000000-0005-0000-0000-0000B2220000}"/>
    <cellStyle name="Normal 2 50 16 3" xfId="8900" xr:uid="{00000000-0005-0000-0000-0000B3220000}"/>
    <cellStyle name="Normal 2 50 17" xfId="8901" xr:uid="{00000000-0005-0000-0000-0000B4220000}"/>
    <cellStyle name="Normal 2 50 17 2" xfId="8902" xr:uid="{00000000-0005-0000-0000-0000B5220000}"/>
    <cellStyle name="Normal 2 50 17 3" xfId="8903" xr:uid="{00000000-0005-0000-0000-0000B6220000}"/>
    <cellStyle name="Normal 2 50 18" xfId="8904" xr:uid="{00000000-0005-0000-0000-0000B7220000}"/>
    <cellStyle name="Normal 2 50 18 2" xfId="8905" xr:uid="{00000000-0005-0000-0000-0000B8220000}"/>
    <cellStyle name="Normal 2 50 18 3" xfId="8906" xr:uid="{00000000-0005-0000-0000-0000B9220000}"/>
    <cellStyle name="Normal 2 50 19" xfId="8907" xr:uid="{00000000-0005-0000-0000-0000BA220000}"/>
    <cellStyle name="Normal 2 50 19 2" xfId="8908" xr:uid="{00000000-0005-0000-0000-0000BB220000}"/>
    <cellStyle name="Normal 2 50 19 3" xfId="8909" xr:uid="{00000000-0005-0000-0000-0000BC220000}"/>
    <cellStyle name="Normal 2 50 2" xfId="8910" xr:uid="{00000000-0005-0000-0000-0000BD220000}"/>
    <cellStyle name="Normal 2 50 2 10" xfId="8911" xr:uid="{00000000-0005-0000-0000-0000BE220000}"/>
    <cellStyle name="Normal 2 50 2 10 2" xfId="8912" xr:uid="{00000000-0005-0000-0000-0000BF220000}"/>
    <cellStyle name="Normal 2 50 2 10 3" xfId="8913" xr:uid="{00000000-0005-0000-0000-0000C0220000}"/>
    <cellStyle name="Normal 2 50 2 11" xfId="8914" xr:uid="{00000000-0005-0000-0000-0000C1220000}"/>
    <cellStyle name="Normal 2 50 2 11 2" xfId="8915" xr:uid="{00000000-0005-0000-0000-0000C2220000}"/>
    <cellStyle name="Normal 2 50 2 11 3" xfId="8916" xr:uid="{00000000-0005-0000-0000-0000C3220000}"/>
    <cellStyle name="Normal 2 50 2 12" xfId="8917" xr:uid="{00000000-0005-0000-0000-0000C4220000}"/>
    <cellStyle name="Normal 2 50 2 12 2" xfId="8918" xr:uid="{00000000-0005-0000-0000-0000C5220000}"/>
    <cellStyle name="Normal 2 50 2 12 3" xfId="8919" xr:uid="{00000000-0005-0000-0000-0000C6220000}"/>
    <cellStyle name="Normal 2 50 2 13" xfId="8920" xr:uid="{00000000-0005-0000-0000-0000C7220000}"/>
    <cellStyle name="Normal 2 50 2 13 2" xfId="8921" xr:uid="{00000000-0005-0000-0000-0000C8220000}"/>
    <cellStyle name="Normal 2 50 2 13 3" xfId="8922" xr:uid="{00000000-0005-0000-0000-0000C9220000}"/>
    <cellStyle name="Normal 2 50 2 14" xfId="8923" xr:uid="{00000000-0005-0000-0000-0000CA220000}"/>
    <cellStyle name="Normal 2 50 2 14 2" xfId="8924" xr:uid="{00000000-0005-0000-0000-0000CB220000}"/>
    <cellStyle name="Normal 2 50 2 14 3" xfId="8925" xr:uid="{00000000-0005-0000-0000-0000CC220000}"/>
    <cellStyle name="Normal 2 50 2 15" xfId="8926" xr:uid="{00000000-0005-0000-0000-0000CD220000}"/>
    <cellStyle name="Normal 2 50 2 15 2" xfId="8927" xr:uid="{00000000-0005-0000-0000-0000CE220000}"/>
    <cellStyle name="Normal 2 50 2 15 3" xfId="8928" xr:uid="{00000000-0005-0000-0000-0000CF220000}"/>
    <cellStyle name="Normal 2 50 2 16" xfId="8929" xr:uid="{00000000-0005-0000-0000-0000D0220000}"/>
    <cellStyle name="Normal 2 50 2 17" xfId="8930" xr:uid="{00000000-0005-0000-0000-0000D1220000}"/>
    <cellStyle name="Normal 2 50 2 2" xfId="8931" xr:uid="{00000000-0005-0000-0000-0000D2220000}"/>
    <cellStyle name="Normal 2 50 2 2 10" xfId="8932" xr:uid="{00000000-0005-0000-0000-0000D3220000}"/>
    <cellStyle name="Normal 2 50 2 2 10 2" xfId="8933" xr:uid="{00000000-0005-0000-0000-0000D4220000}"/>
    <cellStyle name="Normal 2 50 2 2 10 3" xfId="8934" xr:uid="{00000000-0005-0000-0000-0000D5220000}"/>
    <cellStyle name="Normal 2 50 2 2 11" xfId="8935" xr:uid="{00000000-0005-0000-0000-0000D6220000}"/>
    <cellStyle name="Normal 2 50 2 2 11 2" xfId="8936" xr:uid="{00000000-0005-0000-0000-0000D7220000}"/>
    <cellStyle name="Normal 2 50 2 2 11 3" xfId="8937" xr:uid="{00000000-0005-0000-0000-0000D8220000}"/>
    <cellStyle name="Normal 2 50 2 2 12" xfId="8938" xr:uid="{00000000-0005-0000-0000-0000D9220000}"/>
    <cellStyle name="Normal 2 50 2 2 12 2" xfId="8939" xr:uid="{00000000-0005-0000-0000-0000DA220000}"/>
    <cellStyle name="Normal 2 50 2 2 12 3" xfId="8940" xr:uid="{00000000-0005-0000-0000-0000DB220000}"/>
    <cellStyle name="Normal 2 50 2 2 13" xfId="8941" xr:uid="{00000000-0005-0000-0000-0000DC220000}"/>
    <cellStyle name="Normal 2 50 2 2 13 2" xfId="8942" xr:uid="{00000000-0005-0000-0000-0000DD220000}"/>
    <cellStyle name="Normal 2 50 2 2 13 3" xfId="8943" xr:uid="{00000000-0005-0000-0000-0000DE220000}"/>
    <cellStyle name="Normal 2 50 2 2 14" xfId="8944" xr:uid="{00000000-0005-0000-0000-0000DF220000}"/>
    <cellStyle name="Normal 2 50 2 2 14 2" xfId="8945" xr:uid="{00000000-0005-0000-0000-0000E0220000}"/>
    <cellStyle name="Normal 2 50 2 2 14 3" xfId="8946" xr:uid="{00000000-0005-0000-0000-0000E1220000}"/>
    <cellStyle name="Normal 2 50 2 2 15" xfId="8947" xr:uid="{00000000-0005-0000-0000-0000E2220000}"/>
    <cellStyle name="Normal 2 50 2 2 16" xfId="8948" xr:uid="{00000000-0005-0000-0000-0000E3220000}"/>
    <cellStyle name="Normal 2 50 2 2 2" xfId="8949" xr:uid="{00000000-0005-0000-0000-0000E4220000}"/>
    <cellStyle name="Normal 2 50 2 2 2 2" xfId="8950" xr:uid="{00000000-0005-0000-0000-0000E5220000}"/>
    <cellStyle name="Normal 2 50 2 2 2 3" xfId="8951" xr:uid="{00000000-0005-0000-0000-0000E6220000}"/>
    <cellStyle name="Normal 2 50 2 2 3" xfId="8952" xr:uid="{00000000-0005-0000-0000-0000E7220000}"/>
    <cellStyle name="Normal 2 50 2 2 3 2" xfId="8953" xr:uid="{00000000-0005-0000-0000-0000E8220000}"/>
    <cellStyle name="Normal 2 50 2 2 3 3" xfId="8954" xr:uid="{00000000-0005-0000-0000-0000E9220000}"/>
    <cellStyle name="Normal 2 50 2 2 4" xfId="8955" xr:uid="{00000000-0005-0000-0000-0000EA220000}"/>
    <cellStyle name="Normal 2 50 2 2 4 2" xfId="8956" xr:uid="{00000000-0005-0000-0000-0000EB220000}"/>
    <cellStyle name="Normal 2 50 2 2 4 3" xfId="8957" xr:uid="{00000000-0005-0000-0000-0000EC220000}"/>
    <cellStyle name="Normal 2 50 2 2 5" xfId="8958" xr:uid="{00000000-0005-0000-0000-0000ED220000}"/>
    <cellStyle name="Normal 2 50 2 2 5 2" xfId="8959" xr:uid="{00000000-0005-0000-0000-0000EE220000}"/>
    <cellStyle name="Normal 2 50 2 2 5 3" xfId="8960" xr:uid="{00000000-0005-0000-0000-0000EF220000}"/>
    <cellStyle name="Normal 2 50 2 2 6" xfId="8961" xr:uid="{00000000-0005-0000-0000-0000F0220000}"/>
    <cellStyle name="Normal 2 50 2 2 6 2" xfId="8962" xr:uid="{00000000-0005-0000-0000-0000F1220000}"/>
    <cellStyle name="Normal 2 50 2 2 6 3" xfId="8963" xr:uid="{00000000-0005-0000-0000-0000F2220000}"/>
    <cellStyle name="Normal 2 50 2 2 7" xfId="8964" xr:uid="{00000000-0005-0000-0000-0000F3220000}"/>
    <cellStyle name="Normal 2 50 2 2 7 2" xfId="8965" xr:uid="{00000000-0005-0000-0000-0000F4220000}"/>
    <cellStyle name="Normal 2 50 2 2 7 3" xfId="8966" xr:uid="{00000000-0005-0000-0000-0000F5220000}"/>
    <cellStyle name="Normal 2 50 2 2 8" xfId="8967" xr:uid="{00000000-0005-0000-0000-0000F6220000}"/>
    <cellStyle name="Normal 2 50 2 2 8 2" xfId="8968" xr:uid="{00000000-0005-0000-0000-0000F7220000}"/>
    <cellStyle name="Normal 2 50 2 2 8 3" xfId="8969" xr:uid="{00000000-0005-0000-0000-0000F8220000}"/>
    <cellStyle name="Normal 2 50 2 2 9" xfId="8970" xr:uid="{00000000-0005-0000-0000-0000F9220000}"/>
    <cellStyle name="Normal 2 50 2 2 9 2" xfId="8971" xr:uid="{00000000-0005-0000-0000-0000FA220000}"/>
    <cellStyle name="Normal 2 50 2 2 9 3" xfId="8972" xr:uid="{00000000-0005-0000-0000-0000FB220000}"/>
    <cellStyle name="Normal 2 50 2 3" xfId="8973" xr:uid="{00000000-0005-0000-0000-0000FC220000}"/>
    <cellStyle name="Normal 2 50 2 3 2" xfId="8974" xr:uid="{00000000-0005-0000-0000-0000FD220000}"/>
    <cellStyle name="Normal 2 50 2 3 3" xfId="8975" xr:uid="{00000000-0005-0000-0000-0000FE220000}"/>
    <cellStyle name="Normal 2 50 2 4" xfId="8976" xr:uid="{00000000-0005-0000-0000-0000FF220000}"/>
    <cellStyle name="Normal 2 50 2 4 2" xfId="8977" xr:uid="{00000000-0005-0000-0000-000000230000}"/>
    <cellStyle name="Normal 2 50 2 4 3" xfId="8978" xr:uid="{00000000-0005-0000-0000-000001230000}"/>
    <cellStyle name="Normal 2 50 2 5" xfId="8979" xr:uid="{00000000-0005-0000-0000-000002230000}"/>
    <cellStyle name="Normal 2 50 2 5 2" xfId="8980" xr:uid="{00000000-0005-0000-0000-000003230000}"/>
    <cellStyle name="Normal 2 50 2 5 3" xfId="8981" xr:uid="{00000000-0005-0000-0000-000004230000}"/>
    <cellStyle name="Normal 2 50 2 6" xfId="8982" xr:uid="{00000000-0005-0000-0000-000005230000}"/>
    <cellStyle name="Normal 2 50 2 6 2" xfId="8983" xr:uid="{00000000-0005-0000-0000-000006230000}"/>
    <cellStyle name="Normal 2 50 2 6 3" xfId="8984" xr:uid="{00000000-0005-0000-0000-000007230000}"/>
    <cellStyle name="Normal 2 50 2 7" xfId="8985" xr:uid="{00000000-0005-0000-0000-000008230000}"/>
    <cellStyle name="Normal 2 50 2 7 2" xfId="8986" xr:uid="{00000000-0005-0000-0000-000009230000}"/>
    <cellStyle name="Normal 2 50 2 7 3" xfId="8987" xr:uid="{00000000-0005-0000-0000-00000A230000}"/>
    <cellStyle name="Normal 2 50 2 8" xfId="8988" xr:uid="{00000000-0005-0000-0000-00000B230000}"/>
    <cellStyle name="Normal 2 50 2 8 2" xfId="8989" xr:uid="{00000000-0005-0000-0000-00000C230000}"/>
    <cellStyle name="Normal 2 50 2 8 3" xfId="8990" xr:uid="{00000000-0005-0000-0000-00000D230000}"/>
    <cellStyle name="Normal 2 50 2 9" xfId="8991" xr:uid="{00000000-0005-0000-0000-00000E230000}"/>
    <cellStyle name="Normal 2 50 2 9 2" xfId="8992" xr:uid="{00000000-0005-0000-0000-00000F230000}"/>
    <cellStyle name="Normal 2 50 2 9 3" xfId="8993" xr:uid="{00000000-0005-0000-0000-000010230000}"/>
    <cellStyle name="Normal 2 50 20" xfId="8994" xr:uid="{00000000-0005-0000-0000-000011230000}"/>
    <cellStyle name="Normal 2 50 20 2" xfId="8995" xr:uid="{00000000-0005-0000-0000-000012230000}"/>
    <cellStyle name="Normal 2 50 20 3" xfId="8996" xr:uid="{00000000-0005-0000-0000-000013230000}"/>
    <cellStyle name="Normal 2 50 21" xfId="8997" xr:uid="{00000000-0005-0000-0000-000014230000}"/>
    <cellStyle name="Normal 2 50 21 2" xfId="8998" xr:uid="{00000000-0005-0000-0000-000015230000}"/>
    <cellStyle name="Normal 2 50 21 3" xfId="8999" xr:uid="{00000000-0005-0000-0000-000016230000}"/>
    <cellStyle name="Normal 2 50 22" xfId="9000" xr:uid="{00000000-0005-0000-0000-000017230000}"/>
    <cellStyle name="Normal 2 50 22 2" xfId="9001" xr:uid="{00000000-0005-0000-0000-000018230000}"/>
    <cellStyle name="Normal 2 50 22 3" xfId="9002" xr:uid="{00000000-0005-0000-0000-000019230000}"/>
    <cellStyle name="Normal 2 50 23" xfId="9003" xr:uid="{00000000-0005-0000-0000-00001A230000}"/>
    <cellStyle name="Normal 2 50 23 2" xfId="9004" xr:uid="{00000000-0005-0000-0000-00001B230000}"/>
    <cellStyle name="Normal 2 50 23 3" xfId="9005" xr:uid="{00000000-0005-0000-0000-00001C230000}"/>
    <cellStyle name="Normal 2 50 24" xfId="9006" xr:uid="{00000000-0005-0000-0000-00001D230000}"/>
    <cellStyle name="Normal 2 50 25" xfId="9007" xr:uid="{00000000-0005-0000-0000-00001E230000}"/>
    <cellStyle name="Normal 2 50 3" xfId="9008" xr:uid="{00000000-0005-0000-0000-00001F230000}"/>
    <cellStyle name="Normal 2 50 3 10" xfId="9009" xr:uid="{00000000-0005-0000-0000-000020230000}"/>
    <cellStyle name="Normal 2 50 3 10 2" xfId="9010" xr:uid="{00000000-0005-0000-0000-000021230000}"/>
    <cellStyle name="Normal 2 50 3 10 3" xfId="9011" xr:uid="{00000000-0005-0000-0000-000022230000}"/>
    <cellStyle name="Normal 2 50 3 11" xfId="9012" xr:uid="{00000000-0005-0000-0000-000023230000}"/>
    <cellStyle name="Normal 2 50 3 11 2" xfId="9013" xr:uid="{00000000-0005-0000-0000-000024230000}"/>
    <cellStyle name="Normal 2 50 3 11 3" xfId="9014" xr:uid="{00000000-0005-0000-0000-000025230000}"/>
    <cellStyle name="Normal 2 50 3 12" xfId="9015" xr:uid="{00000000-0005-0000-0000-000026230000}"/>
    <cellStyle name="Normal 2 50 3 12 2" xfId="9016" xr:uid="{00000000-0005-0000-0000-000027230000}"/>
    <cellStyle name="Normal 2 50 3 12 3" xfId="9017" xr:uid="{00000000-0005-0000-0000-000028230000}"/>
    <cellStyle name="Normal 2 50 3 13" xfId="9018" xr:uid="{00000000-0005-0000-0000-000029230000}"/>
    <cellStyle name="Normal 2 50 3 13 2" xfId="9019" xr:uid="{00000000-0005-0000-0000-00002A230000}"/>
    <cellStyle name="Normal 2 50 3 13 3" xfId="9020" xr:uid="{00000000-0005-0000-0000-00002B230000}"/>
    <cellStyle name="Normal 2 50 3 14" xfId="9021" xr:uid="{00000000-0005-0000-0000-00002C230000}"/>
    <cellStyle name="Normal 2 50 3 14 2" xfId="9022" xr:uid="{00000000-0005-0000-0000-00002D230000}"/>
    <cellStyle name="Normal 2 50 3 14 3" xfId="9023" xr:uid="{00000000-0005-0000-0000-00002E230000}"/>
    <cellStyle name="Normal 2 50 3 15" xfId="9024" xr:uid="{00000000-0005-0000-0000-00002F230000}"/>
    <cellStyle name="Normal 2 50 3 15 2" xfId="9025" xr:uid="{00000000-0005-0000-0000-000030230000}"/>
    <cellStyle name="Normal 2 50 3 15 3" xfId="9026" xr:uid="{00000000-0005-0000-0000-000031230000}"/>
    <cellStyle name="Normal 2 50 3 16" xfId="9027" xr:uid="{00000000-0005-0000-0000-000032230000}"/>
    <cellStyle name="Normal 2 50 3 17" xfId="9028" xr:uid="{00000000-0005-0000-0000-000033230000}"/>
    <cellStyle name="Normal 2 50 3 2" xfId="9029" xr:uid="{00000000-0005-0000-0000-000034230000}"/>
    <cellStyle name="Normal 2 50 3 2 10" xfId="9030" xr:uid="{00000000-0005-0000-0000-000035230000}"/>
    <cellStyle name="Normal 2 50 3 2 10 2" xfId="9031" xr:uid="{00000000-0005-0000-0000-000036230000}"/>
    <cellStyle name="Normal 2 50 3 2 10 3" xfId="9032" xr:uid="{00000000-0005-0000-0000-000037230000}"/>
    <cellStyle name="Normal 2 50 3 2 11" xfId="9033" xr:uid="{00000000-0005-0000-0000-000038230000}"/>
    <cellStyle name="Normal 2 50 3 2 11 2" xfId="9034" xr:uid="{00000000-0005-0000-0000-000039230000}"/>
    <cellStyle name="Normal 2 50 3 2 11 3" xfId="9035" xr:uid="{00000000-0005-0000-0000-00003A230000}"/>
    <cellStyle name="Normal 2 50 3 2 12" xfId="9036" xr:uid="{00000000-0005-0000-0000-00003B230000}"/>
    <cellStyle name="Normal 2 50 3 2 12 2" xfId="9037" xr:uid="{00000000-0005-0000-0000-00003C230000}"/>
    <cellStyle name="Normal 2 50 3 2 12 3" xfId="9038" xr:uid="{00000000-0005-0000-0000-00003D230000}"/>
    <cellStyle name="Normal 2 50 3 2 13" xfId="9039" xr:uid="{00000000-0005-0000-0000-00003E230000}"/>
    <cellStyle name="Normal 2 50 3 2 13 2" xfId="9040" xr:uid="{00000000-0005-0000-0000-00003F230000}"/>
    <cellStyle name="Normal 2 50 3 2 13 3" xfId="9041" xr:uid="{00000000-0005-0000-0000-000040230000}"/>
    <cellStyle name="Normal 2 50 3 2 14" xfId="9042" xr:uid="{00000000-0005-0000-0000-000041230000}"/>
    <cellStyle name="Normal 2 50 3 2 14 2" xfId="9043" xr:uid="{00000000-0005-0000-0000-000042230000}"/>
    <cellStyle name="Normal 2 50 3 2 14 3" xfId="9044" xr:uid="{00000000-0005-0000-0000-000043230000}"/>
    <cellStyle name="Normal 2 50 3 2 15" xfId="9045" xr:uid="{00000000-0005-0000-0000-000044230000}"/>
    <cellStyle name="Normal 2 50 3 2 16" xfId="9046" xr:uid="{00000000-0005-0000-0000-000045230000}"/>
    <cellStyle name="Normal 2 50 3 2 2" xfId="9047" xr:uid="{00000000-0005-0000-0000-000046230000}"/>
    <cellStyle name="Normal 2 50 3 2 2 2" xfId="9048" xr:uid="{00000000-0005-0000-0000-000047230000}"/>
    <cellStyle name="Normal 2 50 3 2 2 3" xfId="9049" xr:uid="{00000000-0005-0000-0000-000048230000}"/>
    <cellStyle name="Normal 2 50 3 2 3" xfId="9050" xr:uid="{00000000-0005-0000-0000-000049230000}"/>
    <cellStyle name="Normal 2 50 3 2 3 2" xfId="9051" xr:uid="{00000000-0005-0000-0000-00004A230000}"/>
    <cellStyle name="Normal 2 50 3 2 3 3" xfId="9052" xr:uid="{00000000-0005-0000-0000-00004B230000}"/>
    <cellStyle name="Normal 2 50 3 2 4" xfId="9053" xr:uid="{00000000-0005-0000-0000-00004C230000}"/>
    <cellStyle name="Normal 2 50 3 2 4 2" xfId="9054" xr:uid="{00000000-0005-0000-0000-00004D230000}"/>
    <cellStyle name="Normal 2 50 3 2 4 3" xfId="9055" xr:uid="{00000000-0005-0000-0000-00004E230000}"/>
    <cellStyle name="Normal 2 50 3 2 5" xfId="9056" xr:uid="{00000000-0005-0000-0000-00004F230000}"/>
    <cellStyle name="Normal 2 50 3 2 5 2" xfId="9057" xr:uid="{00000000-0005-0000-0000-000050230000}"/>
    <cellStyle name="Normal 2 50 3 2 5 3" xfId="9058" xr:uid="{00000000-0005-0000-0000-000051230000}"/>
    <cellStyle name="Normal 2 50 3 2 6" xfId="9059" xr:uid="{00000000-0005-0000-0000-000052230000}"/>
    <cellStyle name="Normal 2 50 3 2 6 2" xfId="9060" xr:uid="{00000000-0005-0000-0000-000053230000}"/>
    <cellStyle name="Normal 2 50 3 2 6 3" xfId="9061" xr:uid="{00000000-0005-0000-0000-000054230000}"/>
    <cellStyle name="Normal 2 50 3 2 7" xfId="9062" xr:uid="{00000000-0005-0000-0000-000055230000}"/>
    <cellStyle name="Normal 2 50 3 2 7 2" xfId="9063" xr:uid="{00000000-0005-0000-0000-000056230000}"/>
    <cellStyle name="Normal 2 50 3 2 7 3" xfId="9064" xr:uid="{00000000-0005-0000-0000-000057230000}"/>
    <cellStyle name="Normal 2 50 3 2 8" xfId="9065" xr:uid="{00000000-0005-0000-0000-000058230000}"/>
    <cellStyle name="Normal 2 50 3 2 8 2" xfId="9066" xr:uid="{00000000-0005-0000-0000-000059230000}"/>
    <cellStyle name="Normal 2 50 3 2 8 3" xfId="9067" xr:uid="{00000000-0005-0000-0000-00005A230000}"/>
    <cellStyle name="Normal 2 50 3 2 9" xfId="9068" xr:uid="{00000000-0005-0000-0000-00005B230000}"/>
    <cellStyle name="Normal 2 50 3 2 9 2" xfId="9069" xr:uid="{00000000-0005-0000-0000-00005C230000}"/>
    <cellStyle name="Normal 2 50 3 2 9 3" xfId="9070" xr:uid="{00000000-0005-0000-0000-00005D230000}"/>
    <cellStyle name="Normal 2 50 3 3" xfId="9071" xr:uid="{00000000-0005-0000-0000-00005E230000}"/>
    <cellStyle name="Normal 2 50 3 3 2" xfId="9072" xr:uid="{00000000-0005-0000-0000-00005F230000}"/>
    <cellStyle name="Normal 2 50 3 3 3" xfId="9073" xr:uid="{00000000-0005-0000-0000-000060230000}"/>
    <cellStyle name="Normal 2 50 3 4" xfId="9074" xr:uid="{00000000-0005-0000-0000-000061230000}"/>
    <cellStyle name="Normal 2 50 3 4 2" xfId="9075" xr:uid="{00000000-0005-0000-0000-000062230000}"/>
    <cellStyle name="Normal 2 50 3 4 3" xfId="9076" xr:uid="{00000000-0005-0000-0000-000063230000}"/>
    <cellStyle name="Normal 2 50 3 5" xfId="9077" xr:uid="{00000000-0005-0000-0000-000064230000}"/>
    <cellStyle name="Normal 2 50 3 5 2" xfId="9078" xr:uid="{00000000-0005-0000-0000-000065230000}"/>
    <cellStyle name="Normal 2 50 3 5 3" xfId="9079" xr:uid="{00000000-0005-0000-0000-000066230000}"/>
    <cellStyle name="Normal 2 50 3 6" xfId="9080" xr:uid="{00000000-0005-0000-0000-000067230000}"/>
    <cellStyle name="Normal 2 50 3 6 2" xfId="9081" xr:uid="{00000000-0005-0000-0000-000068230000}"/>
    <cellStyle name="Normal 2 50 3 6 3" xfId="9082" xr:uid="{00000000-0005-0000-0000-000069230000}"/>
    <cellStyle name="Normal 2 50 3 7" xfId="9083" xr:uid="{00000000-0005-0000-0000-00006A230000}"/>
    <cellStyle name="Normal 2 50 3 7 2" xfId="9084" xr:uid="{00000000-0005-0000-0000-00006B230000}"/>
    <cellStyle name="Normal 2 50 3 7 3" xfId="9085" xr:uid="{00000000-0005-0000-0000-00006C230000}"/>
    <cellStyle name="Normal 2 50 3 8" xfId="9086" xr:uid="{00000000-0005-0000-0000-00006D230000}"/>
    <cellStyle name="Normal 2 50 3 8 2" xfId="9087" xr:uid="{00000000-0005-0000-0000-00006E230000}"/>
    <cellStyle name="Normal 2 50 3 8 3" xfId="9088" xr:uid="{00000000-0005-0000-0000-00006F230000}"/>
    <cellStyle name="Normal 2 50 3 9" xfId="9089" xr:uid="{00000000-0005-0000-0000-000070230000}"/>
    <cellStyle name="Normal 2 50 3 9 2" xfId="9090" xr:uid="{00000000-0005-0000-0000-000071230000}"/>
    <cellStyle name="Normal 2 50 3 9 3" xfId="9091" xr:uid="{00000000-0005-0000-0000-000072230000}"/>
    <cellStyle name="Normal 2 50 4" xfId="9092" xr:uid="{00000000-0005-0000-0000-000073230000}"/>
    <cellStyle name="Normal 2 50 4 10" xfId="9093" xr:uid="{00000000-0005-0000-0000-000074230000}"/>
    <cellStyle name="Normal 2 50 4 10 2" xfId="9094" xr:uid="{00000000-0005-0000-0000-000075230000}"/>
    <cellStyle name="Normal 2 50 4 10 3" xfId="9095" xr:uid="{00000000-0005-0000-0000-000076230000}"/>
    <cellStyle name="Normal 2 50 4 11" xfId="9096" xr:uid="{00000000-0005-0000-0000-000077230000}"/>
    <cellStyle name="Normal 2 50 4 11 2" xfId="9097" xr:uid="{00000000-0005-0000-0000-000078230000}"/>
    <cellStyle name="Normal 2 50 4 11 3" xfId="9098" xr:uid="{00000000-0005-0000-0000-000079230000}"/>
    <cellStyle name="Normal 2 50 4 12" xfId="9099" xr:uid="{00000000-0005-0000-0000-00007A230000}"/>
    <cellStyle name="Normal 2 50 4 12 2" xfId="9100" xr:uid="{00000000-0005-0000-0000-00007B230000}"/>
    <cellStyle name="Normal 2 50 4 12 3" xfId="9101" xr:uid="{00000000-0005-0000-0000-00007C230000}"/>
    <cellStyle name="Normal 2 50 4 13" xfId="9102" xr:uid="{00000000-0005-0000-0000-00007D230000}"/>
    <cellStyle name="Normal 2 50 4 13 2" xfId="9103" xr:uid="{00000000-0005-0000-0000-00007E230000}"/>
    <cellStyle name="Normal 2 50 4 13 3" xfId="9104" xr:uid="{00000000-0005-0000-0000-00007F230000}"/>
    <cellStyle name="Normal 2 50 4 14" xfId="9105" xr:uid="{00000000-0005-0000-0000-000080230000}"/>
    <cellStyle name="Normal 2 50 4 14 2" xfId="9106" xr:uid="{00000000-0005-0000-0000-000081230000}"/>
    <cellStyle name="Normal 2 50 4 14 3" xfId="9107" xr:uid="{00000000-0005-0000-0000-000082230000}"/>
    <cellStyle name="Normal 2 50 4 15" xfId="9108" xr:uid="{00000000-0005-0000-0000-000083230000}"/>
    <cellStyle name="Normal 2 50 4 15 2" xfId="9109" xr:uid="{00000000-0005-0000-0000-000084230000}"/>
    <cellStyle name="Normal 2 50 4 15 3" xfId="9110" xr:uid="{00000000-0005-0000-0000-000085230000}"/>
    <cellStyle name="Normal 2 50 4 16" xfId="9111" xr:uid="{00000000-0005-0000-0000-000086230000}"/>
    <cellStyle name="Normal 2 50 4 17" xfId="9112" xr:uid="{00000000-0005-0000-0000-000087230000}"/>
    <cellStyle name="Normal 2 50 4 2" xfId="9113" xr:uid="{00000000-0005-0000-0000-000088230000}"/>
    <cellStyle name="Normal 2 50 4 2 10" xfId="9114" xr:uid="{00000000-0005-0000-0000-000089230000}"/>
    <cellStyle name="Normal 2 50 4 2 10 2" xfId="9115" xr:uid="{00000000-0005-0000-0000-00008A230000}"/>
    <cellStyle name="Normal 2 50 4 2 10 3" xfId="9116" xr:uid="{00000000-0005-0000-0000-00008B230000}"/>
    <cellStyle name="Normal 2 50 4 2 11" xfId="9117" xr:uid="{00000000-0005-0000-0000-00008C230000}"/>
    <cellStyle name="Normal 2 50 4 2 11 2" xfId="9118" xr:uid="{00000000-0005-0000-0000-00008D230000}"/>
    <cellStyle name="Normal 2 50 4 2 11 3" xfId="9119" xr:uid="{00000000-0005-0000-0000-00008E230000}"/>
    <cellStyle name="Normal 2 50 4 2 12" xfId="9120" xr:uid="{00000000-0005-0000-0000-00008F230000}"/>
    <cellStyle name="Normal 2 50 4 2 12 2" xfId="9121" xr:uid="{00000000-0005-0000-0000-000090230000}"/>
    <cellStyle name="Normal 2 50 4 2 12 3" xfId="9122" xr:uid="{00000000-0005-0000-0000-000091230000}"/>
    <cellStyle name="Normal 2 50 4 2 13" xfId="9123" xr:uid="{00000000-0005-0000-0000-000092230000}"/>
    <cellStyle name="Normal 2 50 4 2 13 2" xfId="9124" xr:uid="{00000000-0005-0000-0000-000093230000}"/>
    <cellStyle name="Normal 2 50 4 2 13 3" xfId="9125" xr:uid="{00000000-0005-0000-0000-000094230000}"/>
    <cellStyle name="Normal 2 50 4 2 14" xfId="9126" xr:uid="{00000000-0005-0000-0000-000095230000}"/>
    <cellStyle name="Normal 2 50 4 2 14 2" xfId="9127" xr:uid="{00000000-0005-0000-0000-000096230000}"/>
    <cellStyle name="Normal 2 50 4 2 14 3" xfId="9128" xr:uid="{00000000-0005-0000-0000-000097230000}"/>
    <cellStyle name="Normal 2 50 4 2 15" xfId="9129" xr:uid="{00000000-0005-0000-0000-000098230000}"/>
    <cellStyle name="Normal 2 50 4 2 16" xfId="9130" xr:uid="{00000000-0005-0000-0000-000099230000}"/>
    <cellStyle name="Normal 2 50 4 2 2" xfId="9131" xr:uid="{00000000-0005-0000-0000-00009A230000}"/>
    <cellStyle name="Normal 2 50 4 2 2 2" xfId="9132" xr:uid="{00000000-0005-0000-0000-00009B230000}"/>
    <cellStyle name="Normal 2 50 4 2 2 3" xfId="9133" xr:uid="{00000000-0005-0000-0000-00009C230000}"/>
    <cellStyle name="Normal 2 50 4 2 3" xfId="9134" xr:uid="{00000000-0005-0000-0000-00009D230000}"/>
    <cellStyle name="Normal 2 50 4 2 3 2" xfId="9135" xr:uid="{00000000-0005-0000-0000-00009E230000}"/>
    <cellStyle name="Normal 2 50 4 2 3 3" xfId="9136" xr:uid="{00000000-0005-0000-0000-00009F230000}"/>
    <cellStyle name="Normal 2 50 4 2 4" xfId="9137" xr:uid="{00000000-0005-0000-0000-0000A0230000}"/>
    <cellStyle name="Normal 2 50 4 2 4 2" xfId="9138" xr:uid="{00000000-0005-0000-0000-0000A1230000}"/>
    <cellStyle name="Normal 2 50 4 2 4 3" xfId="9139" xr:uid="{00000000-0005-0000-0000-0000A2230000}"/>
    <cellStyle name="Normal 2 50 4 2 5" xfId="9140" xr:uid="{00000000-0005-0000-0000-0000A3230000}"/>
    <cellStyle name="Normal 2 50 4 2 5 2" xfId="9141" xr:uid="{00000000-0005-0000-0000-0000A4230000}"/>
    <cellStyle name="Normal 2 50 4 2 5 3" xfId="9142" xr:uid="{00000000-0005-0000-0000-0000A5230000}"/>
    <cellStyle name="Normal 2 50 4 2 6" xfId="9143" xr:uid="{00000000-0005-0000-0000-0000A6230000}"/>
    <cellStyle name="Normal 2 50 4 2 6 2" xfId="9144" xr:uid="{00000000-0005-0000-0000-0000A7230000}"/>
    <cellStyle name="Normal 2 50 4 2 6 3" xfId="9145" xr:uid="{00000000-0005-0000-0000-0000A8230000}"/>
    <cellStyle name="Normal 2 50 4 2 7" xfId="9146" xr:uid="{00000000-0005-0000-0000-0000A9230000}"/>
    <cellStyle name="Normal 2 50 4 2 7 2" xfId="9147" xr:uid="{00000000-0005-0000-0000-0000AA230000}"/>
    <cellStyle name="Normal 2 50 4 2 7 3" xfId="9148" xr:uid="{00000000-0005-0000-0000-0000AB230000}"/>
    <cellStyle name="Normal 2 50 4 2 8" xfId="9149" xr:uid="{00000000-0005-0000-0000-0000AC230000}"/>
    <cellStyle name="Normal 2 50 4 2 8 2" xfId="9150" xr:uid="{00000000-0005-0000-0000-0000AD230000}"/>
    <cellStyle name="Normal 2 50 4 2 8 3" xfId="9151" xr:uid="{00000000-0005-0000-0000-0000AE230000}"/>
    <cellStyle name="Normal 2 50 4 2 9" xfId="9152" xr:uid="{00000000-0005-0000-0000-0000AF230000}"/>
    <cellStyle name="Normal 2 50 4 2 9 2" xfId="9153" xr:uid="{00000000-0005-0000-0000-0000B0230000}"/>
    <cellStyle name="Normal 2 50 4 2 9 3" xfId="9154" xr:uid="{00000000-0005-0000-0000-0000B1230000}"/>
    <cellStyle name="Normal 2 50 4 3" xfId="9155" xr:uid="{00000000-0005-0000-0000-0000B2230000}"/>
    <cellStyle name="Normal 2 50 4 3 2" xfId="9156" xr:uid="{00000000-0005-0000-0000-0000B3230000}"/>
    <cellStyle name="Normal 2 50 4 3 3" xfId="9157" xr:uid="{00000000-0005-0000-0000-0000B4230000}"/>
    <cellStyle name="Normal 2 50 4 4" xfId="9158" xr:uid="{00000000-0005-0000-0000-0000B5230000}"/>
    <cellStyle name="Normal 2 50 4 4 2" xfId="9159" xr:uid="{00000000-0005-0000-0000-0000B6230000}"/>
    <cellStyle name="Normal 2 50 4 4 3" xfId="9160" xr:uid="{00000000-0005-0000-0000-0000B7230000}"/>
    <cellStyle name="Normal 2 50 4 5" xfId="9161" xr:uid="{00000000-0005-0000-0000-0000B8230000}"/>
    <cellStyle name="Normal 2 50 4 5 2" xfId="9162" xr:uid="{00000000-0005-0000-0000-0000B9230000}"/>
    <cellStyle name="Normal 2 50 4 5 3" xfId="9163" xr:uid="{00000000-0005-0000-0000-0000BA230000}"/>
    <cellStyle name="Normal 2 50 4 6" xfId="9164" xr:uid="{00000000-0005-0000-0000-0000BB230000}"/>
    <cellStyle name="Normal 2 50 4 6 2" xfId="9165" xr:uid="{00000000-0005-0000-0000-0000BC230000}"/>
    <cellStyle name="Normal 2 50 4 6 3" xfId="9166" xr:uid="{00000000-0005-0000-0000-0000BD230000}"/>
    <cellStyle name="Normal 2 50 4 7" xfId="9167" xr:uid="{00000000-0005-0000-0000-0000BE230000}"/>
    <cellStyle name="Normal 2 50 4 7 2" xfId="9168" xr:uid="{00000000-0005-0000-0000-0000BF230000}"/>
    <cellStyle name="Normal 2 50 4 7 3" xfId="9169" xr:uid="{00000000-0005-0000-0000-0000C0230000}"/>
    <cellStyle name="Normal 2 50 4 8" xfId="9170" xr:uid="{00000000-0005-0000-0000-0000C1230000}"/>
    <cellStyle name="Normal 2 50 4 8 2" xfId="9171" xr:uid="{00000000-0005-0000-0000-0000C2230000}"/>
    <cellStyle name="Normal 2 50 4 8 3" xfId="9172" xr:uid="{00000000-0005-0000-0000-0000C3230000}"/>
    <cellStyle name="Normal 2 50 4 9" xfId="9173" xr:uid="{00000000-0005-0000-0000-0000C4230000}"/>
    <cellStyle name="Normal 2 50 4 9 2" xfId="9174" xr:uid="{00000000-0005-0000-0000-0000C5230000}"/>
    <cellStyle name="Normal 2 50 4 9 3" xfId="9175" xr:uid="{00000000-0005-0000-0000-0000C6230000}"/>
    <cellStyle name="Normal 2 50 5" xfId="9176" xr:uid="{00000000-0005-0000-0000-0000C7230000}"/>
    <cellStyle name="Normal 2 50 5 10" xfId="9177" xr:uid="{00000000-0005-0000-0000-0000C8230000}"/>
    <cellStyle name="Normal 2 50 5 10 2" xfId="9178" xr:uid="{00000000-0005-0000-0000-0000C9230000}"/>
    <cellStyle name="Normal 2 50 5 10 3" xfId="9179" xr:uid="{00000000-0005-0000-0000-0000CA230000}"/>
    <cellStyle name="Normal 2 50 5 11" xfId="9180" xr:uid="{00000000-0005-0000-0000-0000CB230000}"/>
    <cellStyle name="Normal 2 50 5 11 2" xfId="9181" xr:uid="{00000000-0005-0000-0000-0000CC230000}"/>
    <cellStyle name="Normal 2 50 5 11 3" xfId="9182" xr:uid="{00000000-0005-0000-0000-0000CD230000}"/>
    <cellStyle name="Normal 2 50 5 12" xfId="9183" xr:uid="{00000000-0005-0000-0000-0000CE230000}"/>
    <cellStyle name="Normal 2 50 5 12 2" xfId="9184" xr:uid="{00000000-0005-0000-0000-0000CF230000}"/>
    <cellStyle name="Normal 2 50 5 12 3" xfId="9185" xr:uid="{00000000-0005-0000-0000-0000D0230000}"/>
    <cellStyle name="Normal 2 50 5 13" xfId="9186" xr:uid="{00000000-0005-0000-0000-0000D1230000}"/>
    <cellStyle name="Normal 2 50 5 13 2" xfId="9187" xr:uid="{00000000-0005-0000-0000-0000D2230000}"/>
    <cellStyle name="Normal 2 50 5 13 3" xfId="9188" xr:uid="{00000000-0005-0000-0000-0000D3230000}"/>
    <cellStyle name="Normal 2 50 5 14" xfId="9189" xr:uid="{00000000-0005-0000-0000-0000D4230000}"/>
    <cellStyle name="Normal 2 50 5 14 2" xfId="9190" xr:uid="{00000000-0005-0000-0000-0000D5230000}"/>
    <cellStyle name="Normal 2 50 5 14 3" xfId="9191" xr:uid="{00000000-0005-0000-0000-0000D6230000}"/>
    <cellStyle name="Normal 2 50 5 15" xfId="9192" xr:uid="{00000000-0005-0000-0000-0000D7230000}"/>
    <cellStyle name="Normal 2 50 5 16" xfId="9193" xr:uid="{00000000-0005-0000-0000-0000D8230000}"/>
    <cellStyle name="Normal 2 50 5 2" xfId="9194" xr:uid="{00000000-0005-0000-0000-0000D9230000}"/>
    <cellStyle name="Normal 2 50 5 2 2" xfId="9195" xr:uid="{00000000-0005-0000-0000-0000DA230000}"/>
    <cellStyle name="Normal 2 50 5 2 3" xfId="9196" xr:uid="{00000000-0005-0000-0000-0000DB230000}"/>
    <cellStyle name="Normal 2 50 5 3" xfId="9197" xr:uid="{00000000-0005-0000-0000-0000DC230000}"/>
    <cellStyle name="Normal 2 50 5 3 2" xfId="9198" xr:uid="{00000000-0005-0000-0000-0000DD230000}"/>
    <cellStyle name="Normal 2 50 5 3 3" xfId="9199" xr:uid="{00000000-0005-0000-0000-0000DE230000}"/>
    <cellStyle name="Normal 2 50 5 4" xfId="9200" xr:uid="{00000000-0005-0000-0000-0000DF230000}"/>
    <cellStyle name="Normal 2 50 5 4 2" xfId="9201" xr:uid="{00000000-0005-0000-0000-0000E0230000}"/>
    <cellStyle name="Normal 2 50 5 4 3" xfId="9202" xr:uid="{00000000-0005-0000-0000-0000E1230000}"/>
    <cellStyle name="Normal 2 50 5 5" xfId="9203" xr:uid="{00000000-0005-0000-0000-0000E2230000}"/>
    <cellStyle name="Normal 2 50 5 5 2" xfId="9204" xr:uid="{00000000-0005-0000-0000-0000E3230000}"/>
    <cellStyle name="Normal 2 50 5 5 3" xfId="9205" xr:uid="{00000000-0005-0000-0000-0000E4230000}"/>
    <cellStyle name="Normal 2 50 5 6" xfId="9206" xr:uid="{00000000-0005-0000-0000-0000E5230000}"/>
    <cellStyle name="Normal 2 50 5 6 2" xfId="9207" xr:uid="{00000000-0005-0000-0000-0000E6230000}"/>
    <cellStyle name="Normal 2 50 5 6 3" xfId="9208" xr:uid="{00000000-0005-0000-0000-0000E7230000}"/>
    <cellStyle name="Normal 2 50 5 7" xfId="9209" xr:uid="{00000000-0005-0000-0000-0000E8230000}"/>
    <cellStyle name="Normal 2 50 5 7 2" xfId="9210" xr:uid="{00000000-0005-0000-0000-0000E9230000}"/>
    <cellStyle name="Normal 2 50 5 7 3" xfId="9211" xr:uid="{00000000-0005-0000-0000-0000EA230000}"/>
    <cellStyle name="Normal 2 50 5 8" xfId="9212" xr:uid="{00000000-0005-0000-0000-0000EB230000}"/>
    <cellStyle name="Normal 2 50 5 8 2" xfId="9213" xr:uid="{00000000-0005-0000-0000-0000EC230000}"/>
    <cellStyle name="Normal 2 50 5 8 3" xfId="9214" xr:uid="{00000000-0005-0000-0000-0000ED230000}"/>
    <cellStyle name="Normal 2 50 5 9" xfId="9215" xr:uid="{00000000-0005-0000-0000-0000EE230000}"/>
    <cellStyle name="Normal 2 50 5 9 2" xfId="9216" xr:uid="{00000000-0005-0000-0000-0000EF230000}"/>
    <cellStyle name="Normal 2 50 5 9 3" xfId="9217" xr:uid="{00000000-0005-0000-0000-0000F0230000}"/>
    <cellStyle name="Normal 2 50 6" xfId="9218" xr:uid="{00000000-0005-0000-0000-0000F1230000}"/>
    <cellStyle name="Normal 2 50 6 10" xfId="9219" xr:uid="{00000000-0005-0000-0000-0000F2230000}"/>
    <cellStyle name="Normal 2 50 6 10 2" xfId="9220" xr:uid="{00000000-0005-0000-0000-0000F3230000}"/>
    <cellStyle name="Normal 2 50 6 10 3" xfId="9221" xr:uid="{00000000-0005-0000-0000-0000F4230000}"/>
    <cellStyle name="Normal 2 50 6 11" xfId="9222" xr:uid="{00000000-0005-0000-0000-0000F5230000}"/>
    <cellStyle name="Normal 2 50 6 11 2" xfId="9223" xr:uid="{00000000-0005-0000-0000-0000F6230000}"/>
    <cellStyle name="Normal 2 50 6 11 3" xfId="9224" xr:uid="{00000000-0005-0000-0000-0000F7230000}"/>
    <cellStyle name="Normal 2 50 6 12" xfId="9225" xr:uid="{00000000-0005-0000-0000-0000F8230000}"/>
    <cellStyle name="Normal 2 50 6 12 2" xfId="9226" xr:uid="{00000000-0005-0000-0000-0000F9230000}"/>
    <cellStyle name="Normal 2 50 6 12 3" xfId="9227" xr:uid="{00000000-0005-0000-0000-0000FA230000}"/>
    <cellStyle name="Normal 2 50 6 13" xfId="9228" xr:uid="{00000000-0005-0000-0000-0000FB230000}"/>
    <cellStyle name="Normal 2 50 6 13 2" xfId="9229" xr:uid="{00000000-0005-0000-0000-0000FC230000}"/>
    <cellStyle name="Normal 2 50 6 13 3" xfId="9230" xr:uid="{00000000-0005-0000-0000-0000FD230000}"/>
    <cellStyle name="Normal 2 50 6 14" xfId="9231" xr:uid="{00000000-0005-0000-0000-0000FE230000}"/>
    <cellStyle name="Normal 2 50 6 14 2" xfId="9232" xr:uid="{00000000-0005-0000-0000-0000FF230000}"/>
    <cellStyle name="Normal 2 50 6 14 3" xfId="9233" xr:uid="{00000000-0005-0000-0000-000000240000}"/>
    <cellStyle name="Normal 2 50 6 15" xfId="9234" xr:uid="{00000000-0005-0000-0000-000001240000}"/>
    <cellStyle name="Normal 2 50 6 16" xfId="9235" xr:uid="{00000000-0005-0000-0000-000002240000}"/>
    <cellStyle name="Normal 2 50 6 2" xfId="9236" xr:uid="{00000000-0005-0000-0000-000003240000}"/>
    <cellStyle name="Normal 2 50 6 2 2" xfId="9237" xr:uid="{00000000-0005-0000-0000-000004240000}"/>
    <cellStyle name="Normal 2 50 6 2 3" xfId="9238" xr:uid="{00000000-0005-0000-0000-000005240000}"/>
    <cellStyle name="Normal 2 50 6 3" xfId="9239" xr:uid="{00000000-0005-0000-0000-000006240000}"/>
    <cellStyle name="Normal 2 50 6 3 2" xfId="9240" xr:uid="{00000000-0005-0000-0000-000007240000}"/>
    <cellStyle name="Normal 2 50 6 3 3" xfId="9241" xr:uid="{00000000-0005-0000-0000-000008240000}"/>
    <cellStyle name="Normal 2 50 6 4" xfId="9242" xr:uid="{00000000-0005-0000-0000-000009240000}"/>
    <cellStyle name="Normal 2 50 6 4 2" xfId="9243" xr:uid="{00000000-0005-0000-0000-00000A240000}"/>
    <cellStyle name="Normal 2 50 6 4 3" xfId="9244" xr:uid="{00000000-0005-0000-0000-00000B240000}"/>
    <cellStyle name="Normal 2 50 6 5" xfId="9245" xr:uid="{00000000-0005-0000-0000-00000C240000}"/>
    <cellStyle name="Normal 2 50 6 5 2" xfId="9246" xr:uid="{00000000-0005-0000-0000-00000D240000}"/>
    <cellStyle name="Normal 2 50 6 5 3" xfId="9247" xr:uid="{00000000-0005-0000-0000-00000E240000}"/>
    <cellStyle name="Normal 2 50 6 6" xfId="9248" xr:uid="{00000000-0005-0000-0000-00000F240000}"/>
    <cellStyle name="Normal 2 50 6 6 2" xfId="9249" xr:uid="{00000000-0005-0000-0000-000010240000}"/>
    <cellStyle name="Normal 2 50 6 6 3" xfId="9250" xr:uid="{00000000-0005-0000-0000-000011240000}"/>
    <cellStyle name="Normal 2 50 6 7" xfId="9251" xr:uid="{00000000-0005-0000-0000-000012240000}"/>
    <cellStyle name="Normal 2 50 6 7 2" xfId="9252" xr:uid="{00000000-0005-0000-0000-000013240000}"/>
    <cellStyle name="Normal 2 50 6 7 3" xfId="9253" xr:uid="{00000000-0005-0000-0000-000014240000}"/>
    <cellStyle name="Normal 2 50 6 8" xfId="9254" xr:uid="{00000000-0005-0000-0000-000015240000}"/>
    <cellStyle name="Normal 2 50 6 8 2" xfId="9255" xr:uid="{00000000-0005-0000-0000-000016240000}"/>
    <cellStyle name="Normal 2 50 6 8 3" xfId="9256" xr:uid="{00000000-0005-0000-0000-000017240000}"/>
    <cellStyle name="Normal 2 50 6 9" xfId="9257" xr:uid="{00000000-0005-0000-0000-000018240000}"/>
    <cellStyle name="Normal 2 50 6 9 2" xfId="9258" xr:uid="{00000000-0005-0000-0000-000019240000}"/>
    <cellStyle name="Normal 2 50 6 9 3" xfId="9259" xr:uid="{00000000-0005-0000-0000-00001A240000}"/>
    <cellStyle name="Normal 2 50 7" xfId="9260" xr:uid="{00000000-0005-0000-0000-00001B240000}"/>
    <cellStyle name="Normal 2 50 7 10" xfId="9261" xr:uid="{00000000-0005-0000-0000-00001C240000}"/>
    <cellStyle name="Normal 2 50 7 10 2" xfId="9262" xr:uid="{00000000-0005-0000-0000-00001D240000}"/>
    <cellStyle name="Normal 2 50 7 10 3" xfId="9263" xr:uid="{00000000-0005-0000-0000-00001E240000}"/>
    <cellStyle name="Normal 2 50 7 11" xfId="9264" xr:uid="{00000000-0005-0000-0000-00001F240000}"/>
    <cellStyle name="Normal 2 50 7 11 2" xfId="9265" xr:uid="{00000000-0005-0000-0000-000020240000}"/>
    <cellStyle name="Normal 2 50 7 11 3" xfId="9266" xr:uid="{00000000-0005-0000-0000-000021240000}"/>
    <cellStyle name="Normal 2 50 7 12" xfId="9267" xr:uid="{00000000-0005-0000-0000-000022240000}"/>
    <cellStyle name="Normal 2 50 7 12 2" xfId="9268" xr:uid="{00000000-0005-0000-0000-000023240000}"/>
    <cellStyle name="Normal 2 50 7 12 3" xfId="9269" xr:uid="{00000000-0005-0000-0000-000024240000}"/>
    <cellStyle name="Normal 2 50 7 13" xfId="9270" xr:uid="{00000000-0005-0000-0000-000025240000}"/>
    <cellStyle name="Normal 2 50 7 13 2" xfId="9271" xr:uid="{00000000-0005-0000-0000-000026240000}"/>
    <cellStyle name="Normal 2 50 7 13 3" xfId="9272" xr:uid="{00000000-0005-0000-0000-000027240000}"/>
    <cellStyle name="Normal 2 50 7 14" xfId="9273" xr:uid="{00000000-0005-0000-0000-000028240000}"/>
    <cellStyle name="Normal 2 50 7 14 2" xfId="9274" xr:uid="{00000000-0005-0000-0000-000029240000}"/>
    <cellStyle name="Normal 2 50 7 14 3" xfId="9275" xr:uid="{00000000-0005-0000-0000-00002A240000}"/>
    <cellStyle name="Normal 2 50 7 15" xfId="9276" xr:uid="{00000000-0005-0000-0000-00002B240000}"/>
    <cellStyle name="Normal 2 50 7 16" xfId="9277" xr:uid="{00000000-0005-0000-0000-00002C240000}"/>
    <cellStyle name="Normal 2 50 7 2" xfId="9278" xr:uid="{00000000-0005-0000-0000-00002D240000}"/>
    <cellStyle name="Normal 2 50 7 2 2" xfId="9279" xr:uid="{00000000-0005-0000-0000-00002E240000}"/>
    <cellStyle name="Normal 2 50 7 2 3" xfId="9280" xr:uid="{00000000-0005-0000-0000-00002F240000}"/>
    <cellStyle name="Normal 2 50 7 3" xfId="9281" xr:uid="{00000000-0005-0000-0000-000030240000}"/>
    <cellStyle name="Normal 2 50 7 3 2" xfId="9282" xr:uid="{00000000-0005-0000-0000-000031240000}"/>
    <cellStyle name="Normal 2 50 7 3 3" xfId="9283" xr:uid="{00000000-0005-0000-0000-000032240000}"/>
    <cellStyle name="Normal 2 50 7 4" xfId="9284" xr:uid="{00000000-0005-0000-0000-000033240000}"/>
    <cellStyle name="Normal 2 50 7 4 2" xfId="9285" xr:uid="{00000000-0005-0000-0000-000034240000}"/>
    <cellStyle name="Normal 2 50 7 4 3" xfId="9286" xr:uid="{00000000-0005-0000-0000-000035240000}"/>
    <cellStyle name="Normal 2 50 7 5" xfId="9287" xr:uid="{00000000-0005-0000-0000-000036240000}"/>
    <cellStyle name="Normal 2 50 7 5 2" xfId="9288" xr:uid="{00000000-0005-0000-0000-000037240000}"/>
    <cellStyle name="Normal 2 50 7 5 3" xfId="9289" xr:uid="{00000000-0005-0000-0000-000038240000}"/>
    <cellStyle name="Normal 2 50 7 6" xfId="9290" xr:uid="{00000000-0005-0000-0000-000039240000}"/>
    <cellStyle name="Normal 2 50 7 6 2" xfId="9291" xr:uid="{00000000-0005-0000-0000-00003A240000}"/>
    <cellStyle name="Normal 2 50 7 6 3" xfId="9292" xr:uid="{00000000-0005-0000-0000-00003B240000}"/>
    <cellStyle name="Normal 2 50 7 7" xfId="9293" xr:uid="{00000000-0005-0000-0000-00003C240000}"/>
    <cellStyle name="Normal 2 50 7 7 2" xfId="9294" xr:uid="{00000000-0005-0000-0000-00003D240000}"/>
    <cellStyle name="Normal 2 50 7 7 3" xfId="9295" xr:uid="{00000000-0005-0000-0000-00003E240000}"/>
    <cellStyle name="Normal 2 50 7 8" xfId="9296" xr:uid="{00000000-0005-0000-0000-00003F240000}"/>
    <cellStyle name="Normal 2 50 7 8 2" xfId="9297" xr:uid="{00000000-0005-0000-0000-000040240000}"/>
    <cellStyle name="Normal 2 50 7 8 3" xfId="9298" xr:uid="{00000000-0005-0000-0000-000041240000}"/>
    <cellStyle name="Normal 2 50 7 9" xfId="9299" xr:uid="{00000000-0005-0000-0000-000042240000}"/>
    <cellStyle name="Normal 2 50 7 9 2" xfId="9300" xr:uid="{00000000-0005-0000-0000-000043240000}"/>
    <cellStyle name="Normal 2 50 7 9 3" xfId="9301" xr:uid="{00000000-0005-0000-0000-000044240000}"/>
    <cellStyle name="Normal 2 50 8" xfId="9302" xr:uid="{00000000-0005-0000-0000-000045240000}"/>
    <cellStyle name="Normal 2 50 8 10" xfId="9303" xr:uid="{00000000-0005-0000-0000-000046240000}"/>
    <cellStyle name="Normal 2 50 8 10 2" xfId="9304" xr:uid="{00000000-0005-0000-0000-000047240000}"/>
    <cellStyle name="Normal 2 50 8 10 3" xfId="9305" xr:uid="{00000000-0005-0000-0000-000048240000}"/>
    <cellStyle name="Normal 2 50 8 11" xfId="9306" xr:uid="{00000000-0005-0000-0000-000049240000}"/>
    <cellStyle name="Normal 2 50 8 11 2" xfId="9307" xr:uid="{00000000-0005-0000-0000-00004A240000}"/>
    <cellStyle name="Normal 2 50 8 11 3" xfId="9308" xr:uid="{00000000-0005-0000-0000-00004B240000}"/>
    <cellStyle name="Normal 2 50 8 12" xfId="9309" xr:uid="{00000000-0005-0000-0000-00004C240000}"/>
    <cellStyle name="Normal 2 50 8 12 2" xfId="9310" xr:uid="{00000000-0005-0000-0000-00004D240000}"/>
    <cellStyle name="Normal 2 50 8 12 3" xfId="9311" xr:uid="{00000000-0005-0000-0000-00004E240000}"/>
    <cellStyle name="Normal 2 50 8 13" xfId="9312" xr:uid="{00000000-0005-0000-0000-00004F240000}"/>
    <cellStyle name="Normal 2 50 8 13 2" xfId="9313" xr:uid="{00000000-0005-0000-0000-000050240000}"/>
    <cellStyle name="Normal 2 50 8 13 3" xfId="9314" xr:uid="{00000000-0005-0000-0000-000051240000}"/>
    <cellStyle name="Normal 2 50 8 14" xfId="9315" xr:uid="{00000000-0005-0000-0000-000052240000}"/>
    <cellStyle name="Normal 2 50 8 14 2" xfId="9316" xr:uid="{00000000-0005-0000-0000-000053240000}"/>
    <cellStyle name="Normal 2 50 8 14 3" xfId="9317" xr:uid="{00000000-0005-0000-0000-000054240000}"/>
    <cellStyle name="Normal 2 50 8 15" xfId="9318" xr:uid="{00000000-0005-0000-0000-000055240000}"/>
    <cellStyle name="Normal 2 50 8 16" xfId="9319" xr:uid="{00000000-0005-0000-0000-000056240000}"/>
    <cellStyle name="Normal 2 50 8 2" xfId="9320" xr:uid="{00000000-0005-0000-0000-000057240000}"/>
    <cellStyle name="Normal 2 50 8 2 2" xfId="9321" xr:uid="{00000000-0005-0000-0000-000058240000}"/>
    <cellStyle name="Normal 2 50 8 2 3" xfId="9322" xr:uid="{00000000-0005-0000-0000-000059240000}"/>
    <cellStyle name="Normal 2 50 8 3" xfId="9323" xr:uid="{00000000-0005-0000-0000-00005A240000}"/>
    <cellStyle name="Normal 2 50 8 3 2" xfId="9324" xr:uid="{00000000-0005-0000-0000-00005B240000}"/>
    <cellStyle name="Normal 2 50 8 3 3" xfId="9325" xr:uid="{00000000-0005-0000-0000-00005C240000}"/>
    <cellStyle name="Normal 2 50 8 4" xfId="9326" xr:uid="{00000000-0005-0000-0000-00005D240000}"/>
    <cellStyle name="Normal 2 50 8 4 2" xfId="9327" xr:uid="{00000000-0005-0000-0000-00005E240000}"/>
    <cellStyle name="Normal 2 50 8 4 3" xfId="9328" xr:uid="{00000000-0005-0000-0000-00005F240000}"/>
    <cellStyle name="Normal 2 50 8 5" xfId="9329" xr:uid="{00000000-0005-0000-0000-000060240000}"/>
    <cellStyle name="Normal 2 50 8 5 2" xfId="9330" xr:uid="{00000000-0005-0000-0000-000061240000}"/>
    <cellStyle name="Normal 2 50 8 5 3" xfId="9331" xr:uid="{00000000-0005-0000-0000-000062240000}"/>
    <cellStyle name="Normal 2 50 8 6" xfId="9332" xr:uid="{00000000-0005-0000-0000-000063240000}"/>
    <cellStyle name="Normal 2 50 8 6 2" xfId="9333" xr:uid="{00000000-0005-0000-0000-000064240000}"/>
    <cellStyle name="Normal 2 50 8 6 3" xfId="9334" xr:uid="{00000000-0005-0000-0000-000065240000}"/>
    <cellStyle name="Normal 2 50 8 7" xfId="9335" xr:uid="{00000000-0005-0000-0000-000066240000}"/>
    <cellStyle name="Normal 2 50 8 7 2" xfId="9336" xr:uid="{00000000-0005-0000-0000-000067240000}"/>
    <cellStyle name="Normal 2 50 8 7 3" xfId="9337" xr:uid="{00000000-0005-0000-0000-000068240000}"/>
    <cellStyle name="Normal 2 50 8 8" xfId="9338" xr:uid="{00000000-0005-0000-0000-000069240000}"/>
    <cellStyle name="Normal 2 50 8 8 2" xfId="9339" xr:uid="{00000000-0005-0000-0000-00006A240000}"/>
    <cellStyle name="Normal 2 50 8 8 3" xfId="9340" xr:uid="{00000000-0005-0000-0000-00006B240000}"/>
    <cellStyle name="Normal 2 50 8 9" xfId="9341" xr:uid="{00000000-0005-0000-0000-00006C240000}"/>
    <cellStyle name="Normal 2 50 8 9 2" xfId="9342" xr:uid="{00000000-0005-0000-0000-00006D240000}"/>
    <cellStyle name="Normal 2 50 8 9 3" xfId="9343" xr:uid="{00000000-0005-0000-0000-00006E240000}"/>
    <cellStyle name="Normal 2 50 9" xfId="9344" xr:uid="{00000000-0005-0000-0000-00006F240000}"/>
    <cellStyle name="Normal 2 50 9 10" xfId="9345" xr:uid="{00000000-0005-0000-0000-000070240000}"/>
    <cellStyle name="Normal 2 50 9 10 2" xfId="9346" xr:uid="{00000000-0005-0000-0000-000071240000}"/>
    <cellStyle name="Normal 2 50 9 10 3" xfId="9347" xr:uid="{00000000-0005-0000-0000-000072240000}"/>
    <cellStyle name="Normal 2 50 9 11" xfId="9348" xr:uid="{00000000-0005-0000-0000-000073240000}"/>
    <cellStyle name="Normal 2 50 9 11 2" xfId="9349" xr:uid="{00000000-0005-0000-0000-000074240000}"/>
    <cellStyle name="Normal 2 50 9 11 3" xfId="9350" xr:uid="{00000000-0005-0000-0000-000075240000}"/>
    <cellStyle name="Normal 2 50 9 12" xfId="9351" xr:uid="{00000000-0005-0000-0000-000076240000}"/>
    <cellStyle name="Normal 2 50 9 12 2" xfId="9352" xr:uid="{00000000-0005-0000-0000-000077240000}"/>
    <cellStyle name="Normal 2 50 9 12 3" xfId="9353" xr:uid="{00000000-0005-0000-0000-000078240000}"/>
    <cellStyle name="Normal 2 50 9 13" xfId="9354" xr:uid="{00000000-0005-0000-0000-000079240000}"/>
    <cellStyle name="Normal 2 50 9 13 2" xfId="9355" xr:uid="{00000000-0005-0000-0000-00007A240000}"/>
    <cellStyle name="Normal 2 50 9 13 3" xfId="9356" xr:uid="{00000000-0005-0000-0000-00007B240000}"/>
    <cellStyle name="Normal 2 50 9 14" xfId="9357" xr:uid="{00000000-0005-0000-0000-00007C240000}"/>
    <cellStyle name="Normal 2 50 9 14 2" xfId="9358" xr:uid="{00000000-0005-0000-0000-00007D240000}"/>
    <cellStyle name="Normal 2 50 9 14 3" xfId="9359" xr:uid="{00000000-0005-0000-0000-00007E240000}"/>
    <cellStyle name="Normal 2 50 9 15" xfId="9360" xr:uid="{00000000-0005-0000-0000-00007F240000}"/>
    <cellStyle name="Normal 2 50 9 16" xfId="9361" xr:uid="{00000000-0005-0000-0000-000080240000}"/>
    <cellStyle name="Normal 2 50 9 2" xfId="9362" xr:uid="{00000000-0005-0000-0000-000081240000}"/>
    <cellStyle name="Normal 2 50 9 2 2" xfId="9363" xr:uid="{00000000-0005-0000-0000-000082240000}"/>
    <cellStyle name="Normal 2 50 9 2 3" xfId="9364" xr:uid="{00000000-0005-0000-0000-000083240000}"/>
    <cellStyle name="Normal 2 50 9 3" xfId="9365" xr:uid="{00000000-0005-0000-0000-000084240000}"/>
    <cellStyle name="Normal 2 50 9 3 2" xfId="9366" xr:uid="{00000000-0005-0000-0000-000085240000}"/>
    <cellStyle name="Normal 2 50 9 3 3" xfId="9367" xr:uid="{00000000-0005-0000-0000-000086240000}"/>
    <cellStyle name="Normal 2 50 9 4" xfId="9368" xr:uid="{00000000-0005-0000-0000-000087240000}"/>
    <cellStyle name="Normal 2 50 9 4 2" xfId="9369" xr:uid="{00000000-0005-0000-0000-000088240000}"/>
    <cellStyle name="Normal 2 50 9 4 3" xfId="9370" xr:uid="{00000000-0005-0000-0000-000089240000}"/>
    <cellStyle name="Normal 2 50 9 5" xfId="9371" xr:uid="{00000000-0005-0000-0000-00008A240000}"/>
    <cellStyle name="Normal 2 50 9 5 2" xfId="9372" xr:uid="{00000000-0005-0000-0000-00008B240000}"/>
    <cellStyle name="Normal 2 50 9 5 3" xfId="9373" xr:uid="{00000000-0005-0000-0000-00008C240000}"/>
    <cellStyle name="Normal 2 50 9 6" xfId="9374" xr:uid="{00000000-0005-0000-0000-00008D240000}"/>
    <cellStyle name="Normal 2 50 9 6 2" xfId="9375" xr:uid="{00000000-0005-0000-0000-00008E240000}"/>
    <cellStyle name="Normal 2 50 9 6 3" xfId="9376" xr:uid="{00000000-0005-0000-0000-00008F240000}"/>
    <cellStyle name="Normal 2 50 9 7" xfId="9377" xr:uid="{00000000-0005-0000-0000-000090240000}"/>
    <cellStyle name="Normal 2 50 9 7 2" xfId="9378" xr:uid="{00000000-0005-0000-0000-000091240000}"/>
    <cellStyle name="Normal 2 50 9 7 3" xfId="9379" xr:uid="{00000000-0005-0000-0000-000092240000}"/>
    <cellStyle name="Normal 2 50 9 8" xfId="9380" xr:uid="{00000000-0005-0000-0000-000093240000}"/>
    <cellStyle name="Normal 2 50 9 8 2" xfId="9381" xr:uid="{00000000-0005-0000-0000-000094240000}"/>
    <cellStyle name="Normal 2 50 9 8 3" xfId="9382" xr:uid="{00000000-0005-0000-0000-000095240000}"/>
    <cellStyle name="Normal 2 50 9 9" xfId="9383" xr:uid="{00000000-0005-0000-0000-000096240000}"/>
    <cellStyle name="Normal 2 50 9 9 2" xfId="9384" xr:uid="{00000000-0005-0000-0000-000097240000}"/>
    <cellStyle name="Normal 2 50 9 9 3" xfId="9385" xr:uid="{00000000-0005-0000-0000-000098240000}"/>
    <cellStyle name="Normal 2 51" xfId="9386" xr:uid="{00000000-0005-0000-0000-000099240000}"/>
    <cellStyle name="Normal 2 51 10" xfId="9387" xr:uid="{00000000-0005-0000-0000-00009A240000}"/>
    <cellStyle name="Normal 2 51 10 10" xfId="9388" xr:uid="{00000000-0005-0000-0000-00009B240000}"/>
    <cellStyle name="Normal 2 51 10 10 2" xfId="9389" xr:uid="{00000000-0005-0000-0000-00009C240000}"/>
    <cellStyle name="Normal 2 51 10 10 3" xfId="9390" xr:uid="{00000000-0005-0000-0000-00009D240000}"/>
    <cellStyle name="Normal 2 51 10 11" xfId="9391" xr:uid="{00000000-0005-0000-0000-00009E240000}"/>
    <cellStyle name="Normal 2 51 10 11 2" xfId="9392" xr:uid="{00000000-0005-0000-0000-00009F240000}"/>
    <cellStyle name="Normal 2 51 10 11 3" xfId="9393" xr:uid="{00000000-0005-0000-0000-0000A0240000}"/>
    <cellStyle name="Normal 2 51 10 12" xfId="9394" xr:uid="{00000000-0005-0000-0000-0000A1240000}"/>
    <cellStyle name="Normal 2 51 10 12 2" xfId="9395" xr:uid="{00000000-0005-0000-0000-0000A2240000}"/>
    <cellStyle name="Normal 2 51 10 12 3" xfId="9396" xr:uid="{00000000-0005-0000-0000-0000A3240000}"/>
    <cellStyle name="Normal 2 51 10 13" xfId="9397" xr:uid="{00000000-0005-0000-0000-0000A4240000}"/>
    <cellStyle name="Normal 2 51 10 13 2" xfId="9398" xr:uid="{00000000-0005-0000-0000-0000A5240000}"/>
    <cellStyle name="Normal 2 51 10 13 3" xfId="9399" xr:uid="{00000000-0005-0000-0000-0000A6240000}"/>
    <cellStyle name="Normal 2 51 10 14" xfId="9400" xr:uid="{00000000-0005-0000-0000-0000A7240000}"/>
    <cellStyle name="Normal 2 51 10 14 2" xfId="9401" xr:uid="{00000000-0005-0000-0000-0000A8240000}"/>
    <cellStyle name="Normal 2 51 10 14 3" xfId="9402" xr:uid="{00000000-0005-0000-0000-0000A9240000}"/>
    <cellStyle name="Normal 2 51 10 15" xfId="9403" xr:uid="{00000000-0005-0000-0000-0000AA240000}"/>
    <cellStyle name="Normal 2 51 10 16" xfId="9404" xr:uid="{00000000-0005-0000-0000-0000AB240000}"/>
    <cellStyle name="Normal 2 51 10 2" xfId="9405" xr:uid="{00000000-0005-0000-0000-0000AC240000}"/>
    <cellStyle name="Normal 2 51 10 2 2" xfId="9406" xr:uid="{00000000-0005-0000-0000-0000AD240000}"/>
    <cellStyle name="Normal 2 51 10 2 3" xfId="9407" xr:uid="{00000000-0005-0000-0000-0000AE240000}"/>
    <cellStyle name="Normal 2 51 10 3" xfId="9408" xr:uid="{00000000-0005-0000-0000-0000AF240000}"/>
    <cellStyle name="Normal 2 51 10 3 2" xfId="9409" xr:uid="{00000000-0005-0000-0000-0000B0240000}"/>
    <cellStyle name="Normal 2 51 10 3 3" xfId="9410" xr:uid="{00000000-0005-0000-0000-0000B1240000}"/>
    <cellStyle name="Normal 2 51 10 4" xfId="9411" xr:uid="{00000000-0005-0000-0000-0000B2240000}"/>
    <cellStyle name="Normal 2 51 10 4 2" xfId="9412" xr:uid="{00000000-0005-0000-0000-0000B3240000}"/>
    <cellStyle name="Normal 2 51 10 4 3" xfId="9413" xr:uid="{00000000-0005-0000-0000-0000B4240000}"/>
    <cellStyle name="Normal 2 51 10 5" xfId="9414" xr:uid="{00000000-0005-0000-0000-0000B5240000}"/>
    <cellStyle name="Normal 2 51 10 5 2" xfId="9415" xr:uid="{00000000-0005-0000-0000-0000B6240000}"/>
    <cellStyle name="Normal 2 51 10 5 3" xfId="9416" xr:uid="{00000000-0005-0000-0000-0000B7240000}"/>
    <cellStyle name="Normal 2 51 10 6" xfId="9417" xr:uid="{00000000-0005-0000-0000-0000B8240000}"/>
    <cellStyle name="Normal 2 51 10 6 2" xfId="9418" xr:uid="{00000000-0005-0000-0000-0000B9240000}"/>
    <cellStyle name="Normal 2 51 10 6 3" xfId="9419" xr:uid="{00000000-0005-0000-0000-0000BA240000}"/>
    <cellStyle name="Normal 2 51 10 7" xfId="9420" xr:uid="{00000000-0005-0000-0000-0000BB240000}"/>
    <cellStyle name="Normal 2 51 10 7 2" xfId="9421" xr:uid="{00000000-0005-0000-0000-0000BC240000}"/>
    <cellStyle name="Normal 2 51 10 7 3" xfId="9422" xr:uid="{00000000-0005-0000-0000-0000BD240000}"/>
    <cellStyle name="Normal 2 51 10 8" xfId="9423" xr:uid="{00000000-0005-0000-0000-0000BE240000}"/>
    <cellStyle name="Normal 2 51 10 8 2" xfId="9424" xr:uid="{00000000-0005-0000-0000-0000BF240000}"/>
    <cellStyle name="Normal 2 51 10 8 3" xfId="9425" xr:uid="{00000000-0005-0000-0000-0000C0240000}"/>
    <cellStyle name="Normal 2 51 10 9" xfId="9426" xr:uid="{00000000-0005-0000-0000-0000C1240000}"/>
    <cellStyle name="Normal 2 51 10 9 2" xfId="9427" xr:uid="{00000000-0005-0000-0000-0000C2240000}"/>
    <cellStyle name="Normal 2 51 10 9 3" xfId="9428" xr:uid="{00000000-0005-0000-0000-0000C3240000}"/>
    <cellStyle name="Normal 2 51 11" xfId="9429" xr:uid="{00000000-0005-0000-0000-0000C4240000}"/>
    <cellStyle name="Normal 2 51 11 2" xfId="9430" xr:uid="{00000000-0005-0000-0000-0000C5240000}"/>
    <cellStyle name="Normal 2 51 11 3" xfId="9431" xr:uid="{00000000-0005-0000-0000-0000C6240000}"/>
    <cellStyle name="Normal 2 51 12" xfId="9432" xr:uid="{00000000-0005-0000-0000-0000C7240000}"/>
    <cellStyle name="Normal 2 51 12 2" xfId="9433" xr:uid="{00000000-0005-0000-0000-0000C8240000}"/>
    <cellStyle name="Normal 2 51 12 3" xfId="9434" xr:uid="{00000000-0005-0000-0000-0000C9240000}"/>
    <cellStyle name="Normal 2 51 13" xfId="9435" xr:uid="{00000000-0005-0000-0000-0000CA240000}"/>
    <cellStyle name="Normal 2 51 13 2" xfId="9436" xr:uid="{00000000-0005-0000-0000-0000CB240000}"/>
    <cellStyle name="Normal 2 51 13 3" xfId="9437" xr:uid="{00000000-0005-0000-0000-0000CC240000}"/>
    <cellStyle name="Normal 2 51 14" xfId="9438" xr:uid="{00000000-0005-0000-0000-0000CD240000}"/>
    <cellStyle name="Normal 2 51 14 2" xfId="9439" xr:uid="{00000000-0005-0000-0000-0000CE240000}"/>
    <cellStyle name="Normal 2 51 14 3" xfId="9440" xr:uid="{00000000-0005-0000-0000-0000CF240000}"/>
    <cellStyle name="Normal 2 51 15" xfId="9441" xr:uid="{00000000-0005-0000-0000-0000D0240000}"/>
    <cellStyle name="Normal 2 51 15 2" xfId="9442" xr:uid="{00000000-0005-0000-0000-0000D1240000}"/>
    <cellStyle name="Normal 2 51 15 3" xfId="9443" xr:uid="{00000000-0005-0000-0000-0000D2240000}"/>
    <cellStyle name="Normal 2 51 16" xfId="9444" xr:uid="{00000000-0005-0000-0000-0000D3240000}"/>
    <cellStyle name="Normal 2 51 16 2" xfId="9445" xr:uid="{00000000-0005-0000-0000-0000D4240000}"/>
    <cellStyle name="Normal 2 51 16 3" xfId="9446" xr:uid="{00000000-0005-0000-0000-0000D5240000}"/>
    <cellStyle name="Normal 2 51 17" xfId="9447" xr:uid="{00000000-0005-0000-0000-0000D6240000}"/>
    <cellStyle name="Normal 2 51 17 2" xfId="9448" xr:uid="{00000000-0005-0000-0000-0000D7240000}"/>
    <cellStyle name="Normal 2 51 17 3" xfId="9449" xr:uid="{00000000-0005-0000-0000-0000D8240000}"/>
    <cellStyle name="Normal 2 51 18" xfId="9450" xr:uid="{00000000-0005-0000-0000-0000D9240000}"/>
    <cellStyle name="Normal 2 51 18 2" xfId="9451" xr:uid="{00000000-0005-0000-0000-0000DA240000}"/>
    <cellStyle name="Normal 2 51 18 3" xfId="9452" xr:uid="{00000000-0005-0000-0000-0000DB240000}"/>
    <cellStyle name="Normal 2 51 19" xfId="9453" xr:uid="{00000000-0005-0000-0000-0000DC240000}"/>
    <cellStyle name="Normal 2 51 19 2" xfId="9454" xr:uid="{00000000-0005-0000-0000-0000DD240000}"/>
    <cellStyle name="Normal 2 51 19 3" xfId="9455" xr:uid="{00000000-0005-0000-0000-0000DE240000}"/>
    <cellStyle name="Normal 2 51 2" xfId="9456" xr:uid="{00000000-0005-0000-0000-0000DF240000}"/>
    <cellStyle name="Normal 2 51 2 10" xfId="9457" xr:uid="{00000000-0005-0000-0000-0000E0240000}"/>
    <cellStyle name="Normal 2 51 2 10 2" xfId="9458" xr:uid="{00000000-0005-0000-0000-0000E1240000}"/>
    <cellStyle name="Normal 2 51 2 10 3" xfId="9459" xr:uid="{00000000-0005-0000-0000-0000E2240000}"/>
    <cellStyle name="Normal 2 51 2 11" xfId="9460" xr:uid="{00000000-0005-0000-0000-0000E3240000}"/>
    <cellStyle name="Normal 2 51 2 11 2" xfId="9461" xr:uid="{00000000-0005-0000-0000-0000E4240000}"/>
    <cellStyle name="Normal 2 51 2 11 3" xfId="9462" xr:uid="{00000000-0005-0000-0000-0000E5240000}"/>
    <cellStyle name="Normal 2 51 2 12" xfId="9463" xr:uid="{00000000-0005-0000-0000-0000E6240000}"/>
    <cellStyle name="Normal 2 51 2 12 2" xfId="9464" xr:uid="{00000000-0005-0000-0000-0000E7240000}"/>
    <cellStyle name="Normal 2 51 2 12 3" xfId="9465" xr:uid="{00000000-0005-0000-0000-0000E8240000}"/>
    <cellStyle name="Normal 2 51 2 13" xfId="9466" xr:uid="{00000000-0005-0000-0000-0000E9240000}"/>
    <cellStyle name="Normal 2 51 2 13 2" xfId="9467" xr:uid="{00000000-0005-0000-0000-0000EA240000}"/>
    <cellStyle name="Normal 2 51 2 13 3" xfId="9468" xr:uid="{00000000-0005-0000-0000-0000EB240000}"/>
    <cellStyle name="Normal 2 51 2 14" xfId="9469" xr:uid="{00000000-0005-0000-0000-0000EC240000}"/>
    <cellStyle name="Normal 2 51 2 14 2" xfId="9470" xr:uid="{00000000-0005-0000-0000-0000ED240000}"/>
    <cellStyle name="Normal 2 51 2 14 3" xfId="9471" xr:uid="{00000000-0005-0000-0000-0000EE240000}"/>
    <cellStyle name="Normal 2 51 2 15" xfId="9472" xr:uid="{00000000-0005-0000-0000-0000EF240000}"/>
    <cellStyle name="Normal 2 51 2 15 2" xfId="9473" xr:uid="{00000000-0005-0000-0000-0000F0240000}"/>
    <cellStyle name="Normal 2 51 2 15 3" xfId="9474" xr:uid="{00000000-0005-0000-0000-0000F1240000}"/>
    <cellStyle name="Normal 2 51 2 16" xfId="9475" xr:uid="{00000000-0005-0000-0000-0000F2240000}"/>
    <cellStyle name="Normal 2 51 2 17" xfId="9476" xr:uid="{00000000-0005-0000-0000-0000F3240000}"/>
    <cellStyle name="Normal 2 51 2 2" xfId="9477" xr:uid="{00000000-0005-0000-0000-0000F4240000}"/>
    <cellStyle name="Normal 2 51 2 2 10" xfId="9478" xr:uid="{00000000-0005-0000-0000-0000F5240000}"/>
    <cellStyle name="Normal 2 51 2 2 10 2" xfId="9479" xr:uid="{00000000-0005-0000-0000-0000F6240000}"/>
    <cellStyle name="Normal 2 51 2 2 10 3" xfId="9480" xr:uid="{00000000-0005-0000-0000-0000F7240000}"/>
    <cellStyle name="Normal 2 51 2 2 11" xfId="9481" xr:uid="{00000000-0005-0000-0000-0000F8240000}"/>
    <cellStyle name="Normal 2 51 2 2 11 2" xfId="9482" xr:uid="{00000000-0005-0000-0000-0000F9240000}"/>
    <cellStyle name="Normal 2 51 2 2 11 3" xfId="9483" xr:uid="{00000000-0005-0000-0000-0000FA240000}"/>
    <cellStyle name="Normal 2 51 2 2 12" xfId="9484" xr:uid="{00000000-0005-0000-0000-0000FB240000}"/>
    <cellStyle name="Normal 2 51 2 2 12 2" xfId="9485" xr:uid="{00000000-0005-0000-0000-0000FC240000}"/>
    <cellStyle name="Normal 2 51 2 2 12 3" xfId="9486" xr:uid="{00000000-0005-0000-0000-0000FD240000}"/>
    <cellStyle name="Normal 2 51 2 2 13" xfId="9487" xr:uid="{00000000-0005-0000-0000-0000FE240000}"/>
    <cellStyle name="Normal 2 51 2 2 13 2" xfId="9488" xr:uid="{00000000-0005-0000-0000-0000FF240000}"/>
    <cellStyle name="Normal 2 51 2 2 13 3" xfId="9489" xr:uid="{00000000-0005-0000-0000-000000250000}"/>
    <cellStyle name="Normal 2 51 2 2 14" xfId="9490" xr:uid="{00000000-0005-0000-0000-000001250000}"/>
    <cellStyle name="Normal 2 51 2 2 14 2" xfId="9491" xr:uid="{00000000-0005-0000-0000-000002250000}"/>
    <cellStyle name="Normal 2 51 2 2 14 3" xfId="9492" xr:uid="{00000000-0005-0000-0000-000003250000}"/>
    <cellStyle name="Normal 2 51 2 2 15" xfId="9493" xr:uid="{00000000-0005-0000-0000-000004250000}"/>
    <cellStyle name="Normal 2 51 2 2 16" xfId="9494" xr:uid="{00000000-0005-0000-0000-000005250000}"/>
    <cellStyle name="Normal 2 51 2 2 2" xfId="9495" xr:uid="{00000000-0005-0000-0000-000006250000}"/>
    <cellStyle name="Normal 2 51 2 2 2 2" xfId="9496" xr:uid="{00000000-0005-0000-0000-000007250000}"/>
    <cellStyle name="Normal 2 51 2 2 2 3" xfId="9497" xr:uid="{00000000-0005-0000-0000-000008250000}"/>
    <cellStyle name="Normal 2 51 2 2 3" xfId="9498" xr:uid="{00000000-0005-0000-0000-000009250000}"/>
    <cellStyle name="Normal 2 51 2 2 3 2" xfId="9499" xr:uid="{00000000-0005-0000-0000-00000A250000}"/>
    <cellStyle name="Normal 2 51 2 2 3 3" xfId="9500" xr:uid="{00000000-0005-0000-0000-00000B250000}"/>
    <cellStyle name="Normal 2 51 2 2 4" xfId="9501" xr:uid="{00000000-0005-0000-0000-00000C250000}"/>
    <cellStyle name="Normal 2 51 2 2 4 2" xfId="9502" xr:uid="{00000000-0005-0000-0000-00000D250000}"/>
    <cellStyle name="Normal 2 51 2 2 4 3" xfId="9503" xr:uid="{00000000-0005-0000-0000-00000E250000}"/>
    <cellStyle name="Normal 2 51 2 2 5" xfId="9504" xr:uid="{00000000-0005-0000-0000-00000F250000}"/>
    <cellStyle name="Normal 2 51 2 2 5 2" xfId="9505" xr:uid="{00000000-0005-0000-0000-000010250000}"/>
    <cellStyle name="Normal 2 51 2 2 5 3" xfId="9506" xr:uid="{00000000-0005-0000-0000-000011250000}"/>
    <cellStyle name="Normal 2 51 2 2 6" xfId="9507" xr:uid="{00000000-0005-0000-0000-000012250000}"/>
    <cellStyle name="Normal 2 51 2 2 6 2" xfId="9508" xr:uid="{00000000-0005-0000-0000-000013250000}"/>
    <cellStyle name="Normal 2 51 2 2 6 3" xfId="9509" xr:uid="{00000000-0005-0000-0000-000014250000}"/>
    <cellStyle name="Normal 2 51 2 2 7" xfId="9510" xr:uid="{00000000-0005-0000-0000-000015250000}"/>
    <cellStyle name="Normal 2 51 2 2 7 2" xfId="9511" xr:uid="{00000000-0005-0000-0000-000016250000}"/>
    <cellStyle name="Normal 2 51 2 2 7 3" xfId="9512" xr:uid="{00000000-0005-0000-0000-000017250000}"/>
    <cellStyle name="Normal 2 51 2 2 8" xfId="9513" xr:uid="{00000000-0005-0000-0000-000018250000}"/>
    <cellStyle name="Normal 2 51 2 2 8 2" xfId="9514" xr:uid="{00000000-0005-0000-0000-000019250000}"/>
    <cellStyle name="Normal 2 51 2 2 8 3" xfId="9515" xr:uid="{00000000-0005-0000-0000-00001A250000}"/>
    <cellStyle name="Normal 2 51 2 2 9" xfId="9516" xr:uid="{00000000-0005-0000-0000-00001B250000}"/>
    <cellStyle name="Normal 2 51 2 2 9 2" xfId="9517" xr:uid="{00000000-0005-0000-0000-00001C250000}"/>
    <cellStyle name="Normal 2 51 2 2 9 3" xfId="9518" xr:uid="{00000000-0005-0000-0000-00001D250000}"/>
    <cellStyle name="Normal 2 51 2 3" xfId="9519" xr:uid="{00000000-0005-0000-0000-00001E250000}"/>
    <cellStyle name="Normal 2 51 2 3 2" xfId="9520" xr:uid="{00000000-0005-0000-0000-00001F250000}"/>
    <cellStyle name="Normal 2 51 2 3 3" xfId="9521" xr:uid="{00000000-0005-0000-0000-000020250000}"/>
    <cellStyle name="Normal 2 51 2 4" xfId="9522" xr:uid="{00000000-0005-0000-0000-000021250000}"/>
    <cellStyle name="Normal 2 51 2 4 2" xfId="9523" xr:uid="{00000000-0005-0000-0000-000022250000}"/>
    <cellStyle name="Normal 2 51 2 4 3" xfId="9524" xr:uid="{00000000-0005-0000-0000-000023250000}"/>
    <cellStyle name="Normal 2 51 2 5" xfId="9525" xr:uid="{00000000-0005-0000-0000-000024250000}"/>
    <cellStyle name="Normal 2 51 2 5 2" xfId="9526" xr:uid="{00000000-0005-0000-0000-000025250000}"/>
    <cellStyle name="Normal 2 51 2 5 3" xfId="9527" xr:uid="{00000000-0005-0000-0000-000026250000}"/>
    <cellStyle name="Normal 2 51 2 6" xfId="9528" xr:uid="{00000000-0005-0000-0000-000027250000}"/>
    <cellStyle name="Normal 2 51 2 6 2" xfId="9529" xr:uid="{00000000-0005-0000-0000-000028250000}"/>
    <cellStyle name="Normal 2 51 2 6 3" xfId="9530" xr:uid="{00000000-0005-0000-0000-000029250000}"/>
    <cellStyle name="Normal 2 51 2 7" xfId="9531" xr:uid="{00000000-0005-0000-0000-00002A250000}"/>
    <cellStyle name="Normal 2 51 2 7 2" xfId="9532" xr:uid="{00000000-0005-0000-0000-00002B250000}"/>
    <cellStyle name="Normal 2 51 2 7 3" xfId="9533" xr:uid="{00000000-0005-0000-0000-00002C250000}"/>
    <cellStyle name="Normal 2 51 2 8" xfId="9534" xr:uid="{00000000-0005-0000-0000-00002D250000}"/>
    <cellStyle name="Normal 2 51 2 8 2" xfId="9535" xr:uid="{00000000-0005-0000-0000-00002E250000}"/>
    <cellStyle name="Normal 2 51 2 8 3" xfId="9536" xr:uid="{00000000-0005-0000-0000-00002F250000}"/>
    <cellStyle name="Normal 2 51 2 9" xfId="9537" xr:uid="{00000000-0005-0000-0000-000030250000}"/>
    <cellStyle name="Normal 2 51 2 9 2" xfId="9538" xr:uid="{00000000-0005-0000-0000-000031250000}"/>
    <cellStyle name="Normal 2 51 2 9 3" xfId="9539" xr:uid="{00000000-0005-0000-0000-000032250000}"/>
    <cellStyle name="Normal 2 51 20" xfId="9540" xr:uid="{00000000-0005-0000-0000-000033250000}"/>
    <cellStyle name="Normal 2 51 20 2" xfId="9541" xr:uid="{00000000-0005-0000-0000-000034250000}"/>
    <cellStyle name="Normal 2 51 20 3" xfId="9542" xr:uid="{00000000-0005-0000-0000-000035250000}"/>
    <cellStyle name="Normal 2 51 21" xfId="9543" xr:uid="{00000000-0005-0000-0000-000036250000}"/>
    <cellStyle name="Normal 2 51 21 2" xfId="9544" xr:uid="{00000000-0005-0000-0000-000037250000}"/>
    <cellStyle name="Normal 2 51 21 3" xfId="9545" xr:uid="{00000000-0005-0000-0000-000038250000}"/>
    <cellStyle name="Normal 2 51 22" xfId="9546" xr:uid="{00000000-0005-0000-0000-000039250000}"/>
    <cellStyle name="Normal 2 51 22 2" xfId="9547" xr:uid="{00000000-0005-0000-0000-00003A250000}"/>
    <cellStyle name="Normal 2 51 22 3" xfId="9548" xr:uid="{00000000-0005-0000-0000-00003B250000}"/>
    <cellStyle name="Normal 2 51 23" xfId="9549" xr:uid="{00000000-0005-0000-0000-00003C250000}"/>
    <cellStyle name="Normal 2 51 23 2" xfId="9550" xr:uid="{00000000-0005-0000-0000-00003D250000}"/>
    <cellStyle name="Normal 2 51 23 3" xfId="9551" xr:uid="{00000000-0005-0000-0000-00003E250000}"/>
    <cellStyle name="Normal 2 51 24" xfId="9552" xr:uid="{00000000-0005-0000-0000-00003F250000}"/>
    <cellStyle name="Normal 2 51 25" xfId="9553" xr:uid="{00000000-0005-0000-0000-000040250000}"/>
    <cellStyle name="Normal 2 51 3" xfId="9554" xr:uid="{00000000-0005-0000-0000-000041250000}"/>
    <cellStyle name="Normal 2 51 3 10" xfId="9555" xr:uid="{00000000-0005-0000-0000-000042250000}"/>
    <cellStyle name="Normal 2 51 3 10 2" xfId="9556" xr:uid="{00000000-0005-0000-0000-000043250000}"/>
    <cellStyle name="Normal 2 51 3 10 3" xfId="9557" xr:uid="{00000000-0005-0000-0000-000044250000}"/>
    <cellStyle name="Normal 2 51 3 11" xfId="9558" xr:uid="{00000000-0005-0000-0000-000045250000}"/>
    <cellStyle name="Normal 2 51 3 11 2" xfId="9559" xr:uid="{00000000-0005-0000-0000-000046250000}"/>
    <cellStyle name="Normal 2 51 3 11 3" xfId="9560" xr:uid="{00000000-0005-0000-0000-000047250000}"/>
    <cellStyle name="Normal 2 51 3 12" xfId="9561" xr:uid="{00000000-0005-0000-0000-000048250000}"/>
    <cellStyle name="Normal 2 51 3 12 2" xfId="9562" xr:uid="{00000000-0005-0000-0000-000049250000}"/>
    <cellStyle name="Normal 2 51 3 12 3" xfId="9563" xr:uid="{00000000-0005-0000-0000-00004A250000}"/>
    <cellStyle name="Normal 2 51 3 13" xfId="9564" xr:uid="{00000000-0005-0000-0000-00004B250000}"/>
    <cellStyle name="Normal 2 51 3 13 2" xfId="9565" xr:uid="{00000000-0005-0000-0000-00004C250000}"/>
    <cellStyle name="Normal 2 51 3 13 3" xfId="9566" xr:uid="{00000000-0005-0000-0000-00004D250000}"/>
    <cellStyle name="Normal 2 51 3 14" xfId="9567" xr:uid="{00000000-0005-0000-0000-00004E250000}"/>
    <cellStyle name="Normal 2 51 3 14 2" xfId="9568" xr:uid="{00000000-0005-0000-0000-00004F250000}"/>
    <cellStyle name="Normal 2 51 3 14 3" xfId="9569" xr:uid="{00000000-0005-0000-0000-000050250000}"/>
    <cellStyle name="Normal 2 51 3 15" xfId="9570" xr:uid="{00000000-0005-0000-0000-000051250000}"/>
    <cellStyle name="Normal 2 51 3 15 2" xfId="9571" xr:uid="{00000000-0005-0000-0000-000052250000}"/>
    <cellStyle name="Normal 2 51 3 15 3" xfId="9572" xr:uid="{00000000-0005-0000-0000-000053250000}"/>
    <cellStyle name="Normal 2 51 3 16" xfId="9573" xr:uid="{00000000-0005-0000-0000-000054250000}"/>
    <cellStyle name="Normal 2 51 3 17" xfId="9574" xr:uid="{00000000-0005-0000-0000-000055250000}"/>
    <cellStyle name="Normal 2 51 3 2" xfId="9575" xr:uid="{00000000-0005-0000-0000-000056250000}"/>
    <cellStyle name="Normal 2 51 3 2 10" xfId="9576" xr:uid="{00000000-0005-0000-0000-000057250000}"/>
    <cellStyle name="Normal 2 51 3 2 10 2" xfId="9577" xr:uid="{00000000-0005-0000-0000-000058250000}"/>
    <cellStyle name="Normal 2 51 3 2 10 3" xfId="9578" xr:uid="{00000000-0005-0000-0000-000059250000}"/>
    <cellStyle name="Normal 2 51 3 2 11" xfId="9579" xr:uid="{00000000-0005-0000-0000-00005A250000}"/>
    <cellStyle name="Normal 2 51 3 2 11 2" xfId="9580" xr:uid="{00000000-0005-0000-0000-00005B250000}"/>
    <cellStyle name="Normal 2 51 3 2 11 3" xfId="9581" xr:uid="{00000000-0005-0000-0000-00005C250000}"/>
    <cellStyle name="Normal 2 51 3 2 12" xfId="9582" xr:uid="{00000000-0005-0000-0000-00005D250000}"/>
    <cellStyle name="Normal 2 51 3 2 12 2" xfId="9583" xr:uid="{00000000-0005-0000-0000-00005E250000}"/>
    <cellStyle name="Normal 2 51 3 2 12 3" xfId="9584" xr:uid="{00000000-0005-0000-0000-00005F250000}"/>
    <cellStyle name="Normal 2 51 3 2 13" xfId="9585" xr:uid="{00000000-0005-0000-0000-000060250000}"/>
    <cellStyle name="Normal 2 51 3 2 13 2" xfId="9586" xr:uid="{00000000-0005-0000-0000-000061250000}"/>
    <cellStyle name="Normal 2 51 3 2 13 3" xfId="9587" xr:uid="{00000000-0005-0000-0000-000062250000}"/>
    <cellStyle name="Normal 2 51 3 2 14" xfId="9588" xr:uid="{00000000-0005-0000-0000-000063250000}"/>
    <cellStyle name="Normal 2 51 3 2 14 2" xfId="9589" xr:uid="{00000000-0005-0000-0000-000064250000}"/>
    <cellStyle name="Normal 2 51 3 2 14 3" xfId="9590" xr:uid="{00000000-0005-0000-0000-000065250000}"/>
    <cellStyle name="Normal 2 51 3 2 15" xfId="9591" xr:uid="{00000000-0005-0000-0000-000066250000}"/>
    <cellStyle name="Normal 2 51 3 2 16" xfId="9592" xr:uid="{00000000-0005-0000-0000-000067250000}"/>
    <cellStyle name="Normal 2 51 3 2 2" xfId="9593" xr:uid="{00000000-0005-0000-0000-000068250000}"/>
    <cellStyle name="Normal 2 51 3 2 2 2" xfId="9594" xr:uid="{00000000-0005-0000-0000-000069250000}"/>
    <cellStyle name="Normal 2 51 3 2 2 3" xfId="9595" xr:uid="{00000000-0005-0000-0000-00006A250000}"/>
    <cellStyle name="Normal 2 51 3 2 3" xfId="9596" xr:uid="{00000000-0005-0000-0000-00006B250000}"/>
    <cellStyle name="Normal 2 51 3 2 3 2" xfId="9597" xr:uid="{00000000-0005-0000-0000-00006C250000}"/>
    <cellStyle name="Normal 2 51 3 2 3 3" xfId="9598" xr:uid="{00000000-0005-0000-0000-00006D250000}"/>
    <cellStyle name="Normal 2 51 3 2 4" xfId="9599" xr:uid="{00000000-0005-0000-0000-00006E250000}"/>
    <cellStyle name="Normal 2 51 3 2 4 2" xfId="9600" xr:uid="{00000000-0005-0000-0000-00006F250000}"/>
    <cellStyle name="Normal 2 51 3 2 4 3" xfId="9601" xr:uid="{00000000-0005-0000-0000-000070250000}"/>
    <cellStyle name="Normal 2 51 3 2 5" xfId="9602" xr:uid="{00000000-0005-0000-0000-000071250000}"/>
    <cellStyle name="Normal 2 51 3 2 5 2" xfId="9603" xr:uid="{00000000-0005-0000-0000-000072250000}"/>
    <cellStyle name="Normal 2 51 3 2 5 3" xfId="9604" xr:uid="{00000000-0005-0000-0000-000073250000}"/>
    <cellStyle name="Normal 2 51 3 2 6" xfId="9605" xr:uid="{00000000-0005-0000-0000-000074250000}"/>
    <cellStyle name="Normal 2 51 3 2 6 2" xfId="9606" xr:uid="{00000000-0005-0000-0000-000075250000}"/>
    <cellStyle name="Normal 2 51 3 2 6 3" xfId="9607" xr:uid="{00000000-0005-0000-0000-000076250000}"/>
    <cellStyle name="Normal 2 51 3 2 7" xfId="9608" xr:uid="{00000000-0005-0000-0000-000077250000}"/>
    <cellStyle name="Normal 2 51 3 2 7 2" xfId="9609" xr:uid="{00000000-0005-0000-0000-000078250000}"/>
    <cellStyle name="Normal 2 51 3 2 7 3" xfId="9610" xr:uid="{00000000-0005-0000-0000-000079250000}"/>
    <cellStyle name="Normal 2 51 3 2 8" xfId="9611" xr:uid="{00000000-0005-0000-0000-00007A250000}"/>
    <cellStyle name="Normal 2 51 3 2 8 2" xfId="9612" xr:uid="{00000000-0005-0000-0000-00007B250000}"/>
    <cellStyle name="Normal 2 51 3 2 8 3" xfId="9613" xr:uid="{00000000-0005-0000-0000-00007C250000}"/>
    <cellStyle name="Normal 2 51 3 2 9" xfId="9614" xr:uid="{00000000-0005-0000-0000-00007D250000}"/>
    <cellStyle name="Normal 2 51 3 2 9 2" xfId="9615" xr:uid="{00000000-0005-0000-0000-00007E250000}"/>
    <cellStyle name="Normal 2 51 3 2 9 3" xfId="9616" xr:uid="{00000000-0005-0000-0000-00007F250000}"/>
    <cellStyle name="Normal 2 51 3 3" xfId="9617" xr:uid="{00000000-0005-0000-0000-000080250000}"/>
    <cellStyle name="Normal 2 51 3 3 2" xfId="9618" xr:uid="{00000000-0005-0000-0000-000081250000}"/>
    <cellStyle name="Normal 2 51 3 3 3" xfId="9619" xr:uid="{00000000-0005-0000-0000-000082250000}"/>
    <cellStyle name="Normal 2 51 3 4" xfId="9620" xr:uid="{00000000-0005-0000-0000-000083250000}"/>
    <cellStyle name="Normal 2 51 3 4 2" xfId="9621" xr:uid="{00000000-0005-0000-0000-000084250000}"/>
    <cellStyle name="Normal 2 51 3 4 3" xfId="9622" xr:uid="{00000000-0005-0000-0000-000085250000}"/>
    <cellStyle name="Normal 2 51 3 5" xfId="9623" xr:uid="{00000000-0005-0000-0000-000086250000}"/>
    <cellStyle name="Normal 2 51 3 5 2" xfId="9624" xr:uid="{00000000-0005-0000-0000-000087250000}"/>
    <cellStyle name="Normal 2 51 3 5 3" xfId="9625" xr:uid="{00000000-0005-0000-0000-000088250000}"/>
    <cellStyle name="Normal 2 51 3 6" xfId="9626" xr:uid="{00000000-0005-0000-0000-000089250000}"/>
    <cellStyle name="Normal 2 51 3 6 2" xfId="9627" xr:uid="{00000000-0005-0000-0000-00008A250000}"/>
    <cellStyle name="Normal 2 51 3 6 3" xfId="9628" xr:uid="{00000000-0005-0000-0000-00008B250000}"/>
    <cellStyle name="Normal 2 51 3 7" xfId="9629" xr:uid="{00000000-0005-0000-0000-00008C250000}"/>
    <cellStyle name="Normal 2 51 3 7 2" xfId="9630" xr:uid="{00000000-0005-0000-0000-00008D250000}"/>
    <cellStyle name="Normal 2 51 3 7 3" xfId="9631" xr:uid="{00000000-0005-0000-0000-00008E250000}"/>
    <cellStyle name="Normal 2 51 3 8" xfId="9632" xr:uid="{00000000-0005-0000-0000-00008F250000}"/>
    <cellStyle name="Normal 2 51 3 8 2" xfId="9633" xr:uid="{00000000-0005-0000-0000-000090250000}"/>
    <cellStyle name="Normal 2 51 3 8 3" xfId="9634" xr:uid="{00000000-0005-0000-0000-000091250000}"/>
    <cellStyle name="Normal 2 51 3 9" xfId="9635" xr:uid="{00000000-0005-0000-0000-000092250000}"/>
    <cellStyle name="Normal 2 51 3 9 2" xfId="9636" xr:uid="{00000000-0005-0000-0000-000093250000}"/>
    <cellStyle name="Normal 2 51 3 9 3" xfId="9637" xr:uid="{00000000-0005-0000-0000-000094250000}"/>
    <cellStyle name="Normal 2 51 4" xfId="9638" xr:uid="{00000000-0005-0000-0000-000095250000}"/>
    <cellStyle name="Normal 2 51 4 10" xfId="9639" xr:uid="{00000000-0005-0000-0000-000096250000}"/>
    <cellStyle name="Normal 2 51 4 10 2" xfId="9640" xr:uid="{00000000-0005-0000-0000-000097250000}"/>
    <cellStyle name="Normal 2 51 4 10 3" xfId="9641" xr:uid="{00000000-0005-0000-0000-000098250000}"/>
    <cellStyle name="Normal 2 51 4 11" xfId="9642" xr:uid="{00000000-0005-0000-0000-000099250000}"/>
    <cellStyle name="Normal 2 51 4 11 2" xfId="9643" xr:uid="{00000000-0005-0000-0000-00009A250000}"/>
    <cellStyle name="Normal 2 51 4 11 3" xfId="9644" xr:uid="{00000000-0005-0000-0000-00009B250000}"/>
    <cellStyle name="Normal 2 51 4 12" xfId="9645" xr:uid="{00000000-0005-0000-0000-00009C250000}"/>
    <cellStyle name="Normal 2 51 4 12 2" xfId="9646" xr:uid="{00000000-0005-0000-0000-00009D250000}"/>
    <cellStyle name="Normal 2 51 4 12 3" xfId="9647" xr:uid="{00000000-0005-0000-0000-00009E250000}"/>
    <cellStyle name="Normal 2 51 4 13" xfId="9648" xr:uid="{00000000-0005-0000-0000-00009F250000}"/>
    <cellStyle name="Normal 2 51 4 13 2" xfId="9649" xr:uid="{00000000-0005-0000-0000-0000A0250000}"/>
    <cellStyle name="Normal 2 51 4 13 3" xfId="9650" xr:uid="{00000000-0005-0000-0000-0000A1250000}"/>
    <cellStyle name="Normal 2 51 4 14" xfId="9651" xr:uid="{00000000-0005-0000-0000-0000A2250000}"/>
    <cellStyle name="Normal 2 51 4 14 2" xfId="9652" xr:uid="{00000000-0005-0000-0000-0000A3250000}"/>
    <cellStyle name="Normal 2 51 4 14 3" xfId="9653" xr:uid="{00000000-0005-0000-0000-0000A4250000}"/>
    <cellStyle name="Normal 2 51 4 15" xfId="9654" xr:uid="{00000000-0005-0000-0000-0000A5250000}"/>
    <cellStyle name="Normal 2 51 4 15 2" xfId="9655" xr:uid="{00000000-0005-0000-0000-0000A6250000}"/>
    <cellStyle name="Normal 2 51 4 15 3" xfId="9656" xr:uid="{00000000-0005-0000-0000-0000A7250000}"/>
    <cellStyle name="Normal 2 51 4 16" xfId="9657" xr:uid="{00000000-0005-0000-0000-0000A8250000}"/>
    <cellStyle name="Normal 2 51 4 17" xfId="9658" xr:uid="{00000000-0005-0000-0000-0000A9250000}"/>
    <cellStyle name="Normal 2 51 4 2" xfId="9659" xr:uid="{00000000-0005-0000-0000-0000AA250000}"/>
    <cellStyle name="Normal 2 51 4 2 10" xfId="9660" xr:uid="{00000000-0005-0000-0000-0000AB250000}"/>
    <cellStyle name="Normal 2 51 4 2 10 2" xfId="9661" xr:uid="{00000000-0005-0000-0000-0000AC250000}"/>
    <cellStyle name="Normal 2 51 4 2 10 3" xfId="9662" xr:uid="{00000000-0005-0000-0000-0000AD250000}"/>
    <cellStyle name="Normal 2 51 4 2 11" xfId="9663" xr:uid="{00000000-0005-0000-0000-0000AE250000}"/>
    <cellStyle name="Normal 2 51 4 2 11 2" xfId="9664" xr:uid="{00000000-0005-0000-0000-0000AF250000}"/>
    <cellStyle name="Normal 2 51 4 2 11 3" xfId="9665" xr:uid="{00000000-0005-0000-0000-0000B0250000}"/>
    <cellStyle name="Normal 2 51 4 2 12" xfId="9666" xr:uid="{00000000-0005-0000-0000-0000B1250000}"/>
    <cellStyle name="Normal 2 51 4 2 12 2" xfId="9667" xr:uid="{00000000-0005-0000-0000-0000B2250000}"/>
    <cellStyle name="Normal 2 51 4 2 12 3" xfId="9668" xr:uid="{00000000-0005-0000-0000-0000B3250000}"/>
    <cellStyle name="Normal 2 51 4 2 13" xfId="9669" xr:uid="{00000000-0005-0000-0000-0000B4250000}"/>
    <cellStyle name="Normal 2 51 4 2 13 2" xfId="9670" xr:uid="{00000000-0005-0000-0000-0000B5250000}"/>
    <cellStyle name="Normal 2 51 4 2 13 3" xfId="9671" xr:uid="{00000000-0005-0000-0000-0000B6250000}"/>
    <cellStyle name="Normal 2 51 4 2 14" xfId="9672" xr:uid="{00000000-0005-0000-0000-0000B7250000}"/>
    <cellStyle name="Normal 2 51 4 2 14 2" xfId="9673" xr:uid="{00000000-0005-0000-0000-0000B8250000}"/>
    <cellStyle name="Normal 2 51 4 2 14 3" xfId="9674" xr:uid="{00000000-0005-0000-0000-0000B9250000}"/>
    <cellStyle name="Normal 2 51 4 2 15" xfId="9675" xr:uid="{00000000-0005-0000-0000-0000BA250000}"/>
    <cellStyle name="Normal 2 51 4 2 16" xfId="9676" xr:uid="{00000000-0005-0000-0000-0000BB250000}"/>
    <cellStyle name="Normal 2 51 4 2 2" xfId="9677" xr:uid="{00000000-0005-0000-0000-0000BC250000}"/>
    <cellStyle name="Normal 2 51 4 2 2 2" xfId="9678" xr:uid="{00000000-0005-0000-0000-0000BD250000}"/>
    <cellStyle name="Normal 2 51 4 2 2 3" xfId="9679" xr:uid="{00000000-0005-0000-0000-0000BE250000}"/>
    <cellStyle name="Normal 2 51 4 2 3" xfId="9680" xr:uid="{00000000-0005-0000-0000-0000BF250000}"/>
    <cellStyle name="Normal 2 51 4 2 3 2" xfId="9681" xr:uid="{00000000-0005-0000-0000-0000C0250000}"/>
    <cellStyle name="Normal 2 51 4 2 3 3" xfId="9682" xr:uid="{00000000-0005-0000-0000-0000C1250000}"/>
    <cellStyle name="Normal 2 51 4 2 4" xfId="9683" xr:uid="{00000000-0005-0000-0000-0000C2250000}"/>
    <cellStyle name="Normal 2 51 4 2 4 2" xfId="9684" xr:uid="{00000000-0005-0000-0000-0000C3250000}"/>
    <cellStyle name="Normal 2 51 4 2 4 3" xfId="9685" xr:uid="{00000000-0005-0000-0000-0000C4250000}"/>
    <cellStyle name="Normal 2 51 4 2 5" xfId="9686" xr:uid="{00000000-0005-0000-0000-0000C5250000}"/>
    <cellStyle name="Normal 2 51 4 2 5 2" xfId="9687" xr:uid="{00000000-0005-0000-0000-0000C6250000}"/>
    <cellStyle name="Normal 2 51 4 2 5 3" xfId="9688" xr:uid="{00000000-0005-0000-0000-0000C7250000}"/>
    <cellStyle name="Normal 2 51 4 2 6" xfId="9689" xr:uid="{00000000-0005-0000-0000-0000C8250000}"/>
    <cellStyle name="Normal 2 51 4 2 6 2" xfId="9690" xr:uid="{00000000-0005-0000-0000-0000C9250000}"/>
    <cellStyle name="Normal 2 51 4 2 6 3" xfId="9691" xr:uid="{00000000-0005-0000-0000-0000CA250000}"/>
    <cellStyle name="Normal 2 51 4 2 7" xfId="9692" xr:uid="{00000000-0005-0000-0000-0000CB250000}"/>
    <cellStyle name="Normal 2 51 4 2 7 2" xfId="9693" xr:uid="{00000000-0005-0000-0000-0000CC250000}"/>
    <cellStyle name="Normal 2 51 4 2 7 3" xfId="9694" xr:uid="{00000000-0005-0000-0000-0000CD250000}"/>
    <cellStyle name="Normal 2 51 4 2 8" xfId="9695" xr:uid="{00000000-0005-0000-0000-0000CE250000}"/>
    <cellStyle name="Normal 2 51 4 2 8 2" xfId="9696" xr:uid="{00000000-0005-0000-0000-0000CF250000}"/>
    <cellStyle name="Normal 2 51 4 2 8 3" xfId="9697" xr:uid="{00000000-0005-0000-0000-0000D0250000}"/>
    <cellStyle name="Normal 2 51 4 2 9" xfId="9698" xr:uid="{00000000-0005-0000-0000-0000D1250000}"/>
    <cellStyle name="Normal 2 51 4 2 9 2" xfId="9699" xr:uid="{00000000-0005-0000-0000-0000D2250000}"/>
    <cellStyle name="Normal 2 51 4 2 9 3" xfId="9700" xr:uid="{00000000-0005-0000-0000-0000D3250000}"/>
    <cellStyle name="Normal 2 51 4 3" xfId="9701" xr:uid="{00000000-0005-0000-0000-0000D4250000}"/>
    <cellStyle name="Normal 2 51 4 3 2" xfId="9702" xr:uid="{00000000-0005-0000-0000-0000D5250000}"/>
    <cellStyle name="Normal 2 51 4 3 3" xfId="9703" xr:uid="{00000000-0005-0000-0000-0000D6250000}"/>
    <cellStyle name="Normal 2 51 4 4" xfId="9704" xr:uid="{00000000-0005-0000-0000-0000D7250000}"/>
    <cellStyle name="Normal 2 51 4 4 2" xfId="9705" xr:uid="{00000000-0005-0000-0000-0000D8250000}"/>
    <cellStyle name="Normal 2 51 4 4 3" xfId="9706" xr:uid="{00000000-0005-0000-0000-0000D9250000}"/>
    <cellStyle name="Normal 2 51 4 5" xfId="9707" xr:uid="{00000000-0005-0000-0000-0000DA250000}"/>
    <cellStyle name="Normal 2 51 4 5 2" xfId="9708" xr:uid="{00000000-0005-0000-0000-0000DB250000}"/>
    <cellStyle name="Normal 2 51 4 5 3" xfId="9709" xr:uid="{00000000-0005-0000-0000-0000DC250000}"/>
    <cellStyle name="Normal 2 51 4 6" xfId="9710" xr:uid="{00000000-0005-0000-0000-0000DD250000}"/>
    <cellStyle name="Normal 2 51 4 6 2" xfId="9711" xr:uid="{00000000-0005-0000-0000-0000DE250000}"/>
    <cellStyle name="Normal 2 51 4 6 3" xfId="9712" xr:uid="{00000000-0005-0000-0000-0000DF250000}"/>
    <cellStyle name="Normal 2 51 4 7" xfId="9713" xr:uid="{00000000-0005-0000-0000-0000E0250000}"/>
    <cellStyle name="Normal 2 51 4 7 2" xfId="9714" xr:uid="{00000000-0005-0000-0000-0000E1250000}"/>
    <cellStyle name="Normal 2 51 4 7 3" xfId="9715" xr:uid="{00000000-0005-0000-0000-0000E2250000}"/>
    <cellStyle name="Normal 2 51 4 8" xfId="9716" xr:uid="{00000000-0005-0000-0000-0000E3250000}"/>
    <cellStyle name="Normal 2 51 4 8 2" xfId="9717" xr:uid="{00000000-0005-0000-0000-0000E4250000}"/>
    <cellStyle name="Normal 2 51 4 8 3" xfId="9718" xr:uid="{00000000-0005-0000-0000-0000E5250000}"/>
    <cellStyle name="Normal 2 51 4 9" xfId="9719" xr:uid="{00000000-0005-0000-0000-0000E6250000}"/>
    <cellStyle name="Normal 2 51 4 9 2" xfId="9720" xr:uid="{00000000-0005-0000-0000-0000E7250000}"/>
    <cellStyle name="Normal 2 51 4 9 3" xfId="9721" xr:uid="{00000000-0005-0000-0000-0000E8250000}"/>
    <cellStyle name="Normal 2 51 5" xfId="9722" xr:uid="{00000000-0005-0000-0000-0000E9250000}"/>
    <cellStyle name="Normal 2 51 5 10" xfId="9723" xr:uid="{00000000-0005-0000-0000-0000EA250000}"/>
    <cellStyle name="Normal 2 51 5 10 2" xfId="9724" xr:uid="{00000000-0005-0000-0000-0000EB250000}"/>
    <cellStyle name="Normal 2 51 5 10 3" xfId="9725" xr:uid="{00000000-0005-0000-0000-0000EC250000}"/>
    <cellStyle name="Normal 2 51 5 11" xfId="9726" xr:uid="{00000000-0005-0000-0000-0000ED250000}"/>
    <cellStyle name="Normal 2 51 5 11 2" xfId="9727" xr:uid="{00000000-0005-0000-0000-0000EE250000}"/>
    <cellStyle name="Normal 2 51 5 11 3" xfId="9728" xr:uid="{00000000-0005-0000-0000-0000EF250000}"/>
    <cellStyle name="Normal 2 51 5 12" xfId="9729" xr:uid="{00000000-0005-0000-0000-0000F0250000}"/>
    <cellStyle name="Normal 2 51 5 12 2" xfId="9730" xr:uid="{00000000-0005-0000-0000-0000F1250000}"/>
    <cellStyle name="Normal 2 51 5 12 3" xfId="9731" xr:uid="{00000000-0005-0000-0000-0000F2250000}"/>
    <cellStyle name="Normal 2 51 5 13" xfId="9732" xr:uid="{00000000-0005-0000-0000-0000F3250000}"/>
    <cellStyle name="Normal 2 51 5 13 2" xfId="9733" xr:uid="{00000000-0005-0000-0000-0000F4250000}"/>
    <cellStyle name="Normal 2 51 5 13 3" xfId="9734" xr:uid="{00000000-0005-0000-0000-0000F5250000}"/>
    <cellStyle name="Normal 2 51 5 14" xfId="9735" xr:uid="{00000000-0005-0000-0000-0000F6250000}"/>
    <cellStyle name="Normal 2 51 5 14 2" xfId="9736" xr:uid="{00000000-0005-0000-0000-0000F7250000}"/>
    <cellStyle name="Normal 2 51 5 14 3" xfId="9737" xr:uid="{00000000-0005-0000-0000-0000F8250000}"/>
    <cellStyle name="Normal 2 51 5 15" xfId="9738" xr:uid="{00000000-0005-0000-0000-0000F9250000}"/>
    <cellStyle name="Normal 2 51 5 16" xfId="9739" xr:uid="{00000000-0005-0000-0000-0000FA250000}"/>
    <cellStyle name="Normal 2 51 5 2" xfId="9740" xr:uid="{00000000-0005-0000-0000-0000FB250000}"/>
    <cellStyle name="Normal 2 51 5 2 2" xfId="9741" xr:uid="{00000000-0005-0000-0000-0000FC250000}"/>
    <cellStyle name="Normal 2 51 5 2 3" xfId="9742" xr:uid="{00000000-0005-0000-0000-0000FD250000}"/>
    <cellStyle name="Normal 2 51 5 3" xfId="9743" xr:uid="{00000000-0005-0000-0000-0000FE250000}"/>
    <cellStyle name="Normal 2 51 5 3 2" xfId="9744" xr:uid="{00000000-0005-0000-0000-0000FF250000}"/>
    <cellStyle name="Normal 2 51 5 3 3" xfId="9745" xr:uid="{00000000-0005-0000-0000-000000260000}"/>
    <cellStyle name="Normal 2 51 5 4" xfId="9746" xr:uid="{00000000-0005-0000-0000-000001260000}"/>
    <cellStyle name="Normal 2 51 5 4 2" xfId="9747" xr:uid="{00000000-0005-0000-0000-000002260000}"/>
    <cellStyle name="Normal 2 51 5 4 3" xfId="9748" xr:uid="{00000000-0005-0000-0000-000003260000}"/>
    <cellStyle name="Normal 2 51 5 5" xfId="9749" xr:uid="{00000000-0005-0000-0000-000004260000}"/>
    <cellStyle name="Normal 2 51 5 5 2" xfId="9750" xr:uid="{00000000-0005-0000-0000-000005260000}"/>
    <cellStyle name="Normal 2 51 5 5 3" xfId="9751" xr:uid="{00000000-0005-0000-0000-000006260000}"/>
    <cellStyle name="Normal 2 51 5 6" xfId="9752" xr:uid="{00000000-0005-0000-0000-000007260000}"/>
    <cellStyle name="Normal 2 51 5 6 2" xfId="9753" xr:uid="{00000000-0005-0000-0000-000008260000}"/>
    <cellStyle name="Normal 2 51 5 6 3" xfId="9754" xr:uid="{00000000-0005-0000-0000-000009260000}"/>
    <cellStyle name="Normal 2 51 5 7" xfId="9755" xr:uid="{00000000-0005-0000-0000-00000A260000}"/>
    <cellStyle name="Normal 2 51 5 7 2" xfId="9756" xr:uid="{00000000-0005-0000-0000-00000B260000}"/>
    <cellStyle name="Normal 2 51 5 7 3" xfId="9757" xr:uid="{00000000-0005-0000-0000-00000C260000}"/>
    <cellStyle name="Normal 2 51 5 8" xfId="9758" xr:uid="{00000000-0005-0000-0000-00000D260000}"/>
    <cellStyle name="Normal 2 51 5 8 2" xfId="9759" xr:uid="{00000000-0005-0000-0000-00000E260000}"/>
    <cellStyle name="Normal 2 51 5 8 3" xfId="9760" xr:uid="{00000000-0005-0000-0000-00000F260000}"/>
    <cellStyle name="Normal 2 51 5 9" xfId="9761" xr:uid="{00000000-0005-0000-0000-000010260000}"/>
    <cellStyle name="Normal 2 51 5 9 2" xfId="9762" xr:uid="{00000000-0005-0000-0000-000011260000}"/>
    <cellStyle name="Normal 2 51 5 9 3" xfId="9763" xr:uid="{00000000-0005-0000-0000-000012260000}"/>
    <cellStyle name="Normal 2 51 6" xfId="9764" xr:uid="{00000000-0005-0000-0000-000013260000}"/>
    <cellStyle name="Normal 2 51 6 10" xfId="9765" xr:uid="{00000000-0005-0000-0000-000014260000}"/>
    <cellStyle name="Normal 2 51 6 10 2" xfId="9766" xr:uid="{00000000-0005-0000-0000-000015260000}"/>
    <cellStyle name="Normal 2 51 6 10 3" xfId="9767" xr:uid="{00000000-0005-0000-0000-000016260000}"/>
    <cellStyle name="Normal 2 51 6 11" xfId="9768" xr:uid="{00000000-0005-0000-0000-000017260000}"/>
    <cellStyle name="Normal 2 51 6 11 2" xfId="9769" xr:uid="{00000000-0005-0000-0000-000018260000}"/>
    <cellStyle name="Normal 2 51 6 11 3" xfId="9770" xr:uid="{00000000-0005-0000-0000-000019260000}"/>
    <cellStyle name="Normal 2 51 6 12" xfId="9771" xr:uid="{00000000-0005-0000-0000-00001A260000}"/>
    <cellStyle name="Normal 2 51 6 12 2" xfId="9772" xr:uid="{00000000-0005-0000-0000-00001B260000}"/>
    <cellStyle name="Normal 2 51 6 12 3" xfId="9773" xr:uid="{00000000-0005-0000-0000-00001C260000}"/>
    <cellStyle name="Normal 2 51 6 13" xfId="9774" xr:uid="{00000000-0005-0000-0000-00001D260000}"/>
    <cellStyle name="Normal 2 51 6 13 2" xfId="9775" xr:uid="{00000000-0005-0000-0000-00001E260000}"/>
    <cellStyle name="Normal 2 51 6 13 3" xfId="9776" xr:uid="{00000000-0005-0000-0000-00001F260000}"/>
    <cellStyle name="Normal 2 51 6 14" xfId="9777" xr:uid="{00000000-0005-0000-0000-000020260000}"/>
    <cellStyle name="Normal 2 51 6 14 2" xfId="9778" xr:uid="{00000000-0005-0000-0000-000021260000}"/>
    <cellStyle name="Normal 2 51 6 14 3" xfId="9779" xr:uid="{00000000-0005-0000-0000-000022260000}"/>
    <cellStyle name="Normal 2 51 6 15" xfId="9780" xr:uid="{00000000-0005-0000-0000-000023260000}"/>
    <cellStyle name="Normal 2 51 6 16" xfId="9781" xr:uid="{00000000-0005-0000-0000-000024260000}"/>
    <cellStyle name="Normal 2 51 6 2" xfId="9782" xr:uid="{00000000-0005-0000-0000-000025260000}"/>
    <cellStyle name="Normal 2 51 6 2 2" xfId="9783" xr:uid="{00000000-0005-0000-0000-000026260000}"/>
    <cellStyle name="Normal 2 51 6 2 3" xfId="9784" xr:uid="{00000000-0005-0000-0000-000027260000}"/>
    <cellStyle name="Normal 2 51 6 3" xfId="9785" xr:uid="{00000000-0005-0000-0000-000028260000}"/>
    <cellStyle name="Normal 2 51 6 3 2" xfId="9786" xr:uid="{00000000-0005-0000-0000-000029260000}"/>
    <cellStyle name="Normal 2 51 6 3 3" xfId="9787" xr:uid="{00000000-0005-0000-0000-00002A260000}"/>
    <cellStyle name="Normal 2 51 6 4" xfId="9788" xr:uid="{00000000-0005-0000-0000-00002B260000}"/>
    <cellStyle name="Normal 2 51 6 4 2" xfId="9789" xr:uid="{00000000-0005-0000-0000-00002C260000}"/>
    <cellStyle name="Normal 2 51 6 4 3" xfId="9790" xr:uid="{00000000-0005-0000-0000-00002D260000}"/>
    <cellStyle name="Normal 2 51 6 5" xfId="9791" xr:uid="{00000000-0005-0000-0000-00002E260000}"/>
    <cellStyle name="Normal 2 51 6 5 2" xfId="9792" xr:uid="{00000000-0005-0000-0000-00002F260000}"/>
    <cellStyle name="Normal 2 51 6 5 3" xfId="9793" xr:uid="{00000000-0005-0000-0000-000030260000}"/>
    <cellStyle name="Normal 2 51 6 6" xfId="9794" xr:uid="{00000000-0005-0000-0000-000031260000}"/>
    <cellStyle name="Normal 2 51 6 6 2" xfId="9795" xr:uid="{00000000-0005-0000-0000-000032260000}"/>
    <cellStyle name="Normal 2 51 6 6 3" xfId="9796" xr:uid="{00000000-0005-0000-0000-000033260000}"/>
    <cellStyle name="Normal 2 51 6 7" xfId="9797" xr:uid="{00000000-0005-0000-0000-000034260000}"/>
    <cellStyle name="Normal 2 51 6 7 2" xfId="9798" xr:uid="{00000000-0005-0000-0000-000035260000}"/>
    <cellStyle name="Normal 2 51 6 7 3" xfId="9799" xr:uid="{00000000-0005-0000-0000-000036260000}"/>
    <cellStyle name="Normal 2 51 6 8" xfId="9800" xr:uid="{00000000-0005-0000-0000-000037260000}"/>
    <cellStyle name="Normal 2 51 6 8 2" xfId="9801" xr:uid="{00000000-0005-0000-0000-000038260000}"/>
    <cellStyle name="Normal 2 51 6 8 3" xfId="9802" xr:uid="{00000000-0005-0000-0000-000039260000}"/>
    <cellStyle name="Normal 2 51 6 9" xfId="9803" xr:uid="{00000000-0005-0000-0000-00003A260000}"/>
    <cellStyle name="Normal 2 51 6 9 2" xfId="9804" xr:uid="{00000000-0005-0000-0000-00003B260000}"/>
    <cellStyle name="Normal 2 51 6 9 3" xfId="9805" xr:uid="{00000000-0005-0000-0000-00003C260000}"/>
    <cellStyle name="Normal 2 51 7" xfId="9806" xr:uid="{00000000-0005-0000-0000-00003D260000}"/>
    <cellStyle name="Normal 2 51 7 10" xfId="9807" xr:uid="{00000000-0005-0000-0000-00003E260000}"/>
    <cellStyle name="Normal 2 51 7 10 2" xfId="9808" xr:uid="{00000000-0005-0000-0000-00003F260000}"/>
    <cellStyle name="Normal 2 51 7 10 3" xfId="9809" xr:uid="{00000000-0005-0000-0000-000040260000}"/>
    <cellStyle name="Normal 2 51 7 11" xfId="9810" xr:uid="{00000000-0005-0000-0000-000041260000}"/>
    <cellStyle name="Normal 2 51 7 11 2" xfId="9811" xr:uid="{00000000-0005-0000-0000-000042260000}"/>
    <cellStyle name="Normal 2 51 7 11 3" xfId="9812" xr:uid="{00000000-0005-0000-0000-000043260000}"/>
    <cellStyle name="Normal 2 51 7 12" xfId="9813" xr:uid="{00000000-0005-0000-0000-000044260000}"/>
    <cellStyle name="Normal 2 51 7 12 2" xfId="9814" xr:uid="{00000000-0005-0000-0000-000045260000}"/>
    <cellStyle name="Normal 2 51 7 12 3" xfId="9815" xr:uid="{00000000-0005-0000-0000-000046260000}"/>
    <cellStyle name="Normal 2 51 7 13" xfId="9816" xr:uid="{00000000-0005-0000-0000-000047260000}"/>
    <cellStyle name="Normal 2 51 7 13 2" xfId="9817" xr:uid="{00000000-0005-0000-0000-000048260000}"/>
    <cellStyle name="Normal 2 51 7 13 3" xfId="9818" xr:uid="{00000000-0005-0000-0000-000049260000}"/>
    <cellStyle name="Normal 2 51 7 14" xfId="9819" xr:uid="{00000000-0005-0000-0000-00004A260000}"/>
    <cellStyle name="Normal 2 51 7 14 2" xfId="9820" xr:uid="{00000000-0005-0000-0000-00004B260000}"/>
    <cellStyle name="Normal 2 51 7 14 3" xfId="9821" xr:uid="{00000000-0005-0000-0000-00004C260000}"/>
    <cellStyle name="Normal 2 51 7 15" xfId="9822" xr:uid="{00000000-0005-0000-0000-00004D260000}"/>
    <cellStyle name="Normal 2 51 7 16" xfId="9823" xr:uid="{00000000-0005-0000-0000-00004E260000}"/>
    <cellStyle name="Normal 2 51 7 2" xfId="9824" xr:uid="{00000000-0005-0000-0000-00004F260000}"/>
    <cellStyle name="Normal 2 51 7 2 2" xfId="9825" xr:uid="{00000000-0005-0000-0000-000050260000}"/>
    <cellStyle name="Normal 2 51 7 2 3" xfId="9826" xr:uid="{00000000-0005-0000-0000-000051260000}"/>
    <cellStyle name="Normal 2 51 7 3" xfId="9827" xr:uid="{00000000-0005-0000-0000-000052260000}"/>
    <cellStyle name="Normal 2 51 7 3 2" xfId="9828" xr:uid="{00000000-0005-0000-0000-000053260000}"/>
    <cellStyle name="Normal 2 51 7 3 3" xfId="9829" xr:uid="{00000000-0005-0000-0000-000054260000}"/>
    <cellStyle name="Normal 2 51 7 4" xfId="9830" xr:uid="{00000000-0005-0000-0000-000055260000}"/>
    <cellStyle name="Normal 2 51 7 4 2" xfId="9831" xr:uid="{00000000-0005-0000-0000-000056260000}"/>
    <cellStyle name="Normal 2 51 7 4 3" xfId="9832" xr:uid="{00000000-0005-0000-0000-000057260000}"/>
    <cellStyle name="Normal 2 51 7 5" xfId="9833" xr:uid="{00000000-0005-0000-0000-000058260000}"/>
    <cellStyle name="Normal 2 51 7 5 2" xfId="9834" xr:uid="{00000000-0005-0000-0000-000059260000}"/>
    <cellStyle name="Normal 2 51 7 5 3" xfId="9835" xr:uid="{00000000-0005-0000-0000-00005A260000}"/>
    <cellStyle name="Normal 2 51 7 6" xfId="9836" xr:uid="{00000000-0005-0000-0000-00005B260000}"/>
    <cellStyle name="Normal 2 51 7 6 2" xfId="9837" xr:uid="{00000000-0005-0000-0000-00005C260000}"/>
    <cellStyle name="Normal 2 51 7 6 3" xfId="9838" xr:uid="{00000000-0005-0000-0000-00005D260000}"/>
    <cellStyle name="Normal 2 51 7 7" xfId="9839" xr:uid="{00000000-0005-0000-0000-00005E260000}"/>
    <cellStyle name="Normal 2 51 7 7 2" xfId="9840" xr:uid="{00000000-0005-0000-0000-00005F260000}"/>
    <cellStyle name="Normal 2 51 7 7 3" xfId="9841" xr:uid="{00000000-0005-0000-0000-000060260000}"/>
    <cellStyle name="Normal 2 51 7 8" xfId="9842" xr:uid="{00000000-0005-0000-0000-000061260000}"/>
    <cellStyle name="Normal 2 51 7 8 2" xfId="9843" xr:uid="{00000000-0005-0000-0000-000062260000}"/>
    <cellStyle name="Normal 2 51 7 8 3" xfId="9844" xr:uid="{00000000-0005-0000-0000-000063260000}"/>
    <cellStyle name="Normal 2 51 7 9" xfId="9845" xr:uid="{00000000-0005-0000-0000-000064260000}"/>
    <cellStyle name="Normal 2 51 7 9 2" xfId="9846" xr:uid="{00000000-0005-0000-0000-000065260000}"/>
    <cellStyle name="Normal 2 51 7 9 3" xfId="9847" xr:uid="{00000000-0005-0000-0000-000066260000}"/>
    <cellStyle name="Normal 2 51 8" xfId="9848" xr:uid="{00000000-0005-0000-0000-000067260000}"/>
    <cellStyle name="Normal 2 51 8 10" xfId="9849" xr:uid="{00000000-0005-0000-0000-000068260000}"/>
    <cellStyle name="Normal 2 51 8 10 2" xfId="9850" xr:uid="{00000000-0005-0000-0000-000069260000}"/>
    <cellStyle name="Normal 2 51 8 10 3" xfId="9851" xr:uid="{00000000-0005-0000-0000-00006A260000}"/>
    <cellStyle name="Normal 2 51 8 11" xfId="9852" xr:uid="{00000000-0005-0000-0000-00006B260000}"/>
    <cellStyle name="Normal 2 51 8 11 2" xfId="9853" xr:uid="{00000000-0005-0000-0000-00006C260000}"/>
    <cellStyle name="Normal 2 51 8 11 3" xfId="9854" xr:uid="{00000000-0005-0000-0000-00006D260000}"/>
    <cellStyle name="Normal 2 51 8 12" xfId="9855" xr:uid="{00000000-0005-0000-0000-00006E260000}"/>
    <cellStyle name="Normal 2 51 8 12 2" xfId="9856" xr:uid="{00000000-0005-0000-0000-00006F260000}"/>
    <cellStyle name="Normal 2 51 8 12 3" xfId="9857" xr:uid="{00000000-0005-0000-0000-000070260000}"/>
    <cellStyle name="Normal 2 51 8 13" xfId="9858" xr:uid="{00000000-0005-0000-0000-000071260000}"/>
    <cellStyle name="Normal 2 51 8 13 2" xfId="9859" xr:uid="{00000000-0005-0000-0000-000072260000}"/>
    <cellStyle name="Normal 2 51 8 13 3" xfId="9860" xr:uid="{00000000-0005-0000-0000-000073260000}"/>
    <cellStyle name="Normal 2 51 8 14" xfId="9861" xr:uid="{00000000-0005-0000-0000-000074260000}"/>
    <cellStyle name="Normal 2 51 8 14 2" xfId="9862" xr:uid="{00000000-0005-0000-0000-000075260000}"/>
    <cellStyle name="Normal 2 51 8 14 3" xfId="9863" xr:uid="{00000000-0005-0000-0000-000076260000}"/>
    <cellStyle name="Normal 2 51 8 15" xfId="9864" xr:uid="{00000000-0005-0000-0000-000077260000}"/>
    <cellStyle name="Normal 2 51 8 16" xfId="9865" xr:uid="{00000000-0005-0000-0000-000078260000}"/>
    <cellStyle name="Normal 2 51 8 2" xfId="9866" xr:uid="{00000000-0005-0000-0000-000079260000}"/>
    <cellStyle name="Normal 2 51 8 2 2" xfId="9867" xr:uid="{00000000-0005-0000-0000-00007A260000}"/>
    <cellStyle name="Normal 2 51 8 2 3" xfId="9868" xr:uid="{00000000-0005-0000-0000-00007B260000}"/>
    <cellStyle name="Normal 2 51 8 3" xfId="9869" xr:uid="{00000000-0005-0000-0000-00007C260000}"/>
    <cellStyle name="Normal 2 51 8 3 2" xfId="9870" xr:uid="{00000000-0005-0000-0000-00007D260000}"/>
    <cellStyle name="Normal 2 51 8 3 3" xfId="9871" xr:uid="{00000000-0005-0000-0000-00007E260000}"/>
    <cellStyle name="Normal 2 51 8 4" xfId="9872" xr:uid="{00000000-0005-0000-0000-00007F260000}"/>
    <cellStyle name="Normal 2 51 8 4 2" xfId="9873" xr:uid="{00000000-0005-0000-0000-000080260000}"/>
    <cellStyle name="Normal 2 51 8 4 3" xfId="9874" xr:uid="{00000000-0005-0000-0000-000081260000}"/>
    <cellStyle name="Normal 2 51 8 5" xfId="9875" xr:uid="{00000000-0005-0000-0000-000082260000}"/>
    <cellStyle name="Normal 2 51 8 5 2" xfId="9876" xr:uid="{00000000-0005-0000-0000-000083260000}"/>
    <cellStyle name="Normal 2 51 8 5 3" xfId="9877" xr:uid="{00000000-0005-0000-0000-000084260000}"/>
    <cellStyle name="Normal 2 51 8 6" xfId="9878" xr:uid="{00000000-0005-0000-0000-000085260000}"/>
    <cellStyle name="Normal 2 51 8 6 2" xfId="9879" xr:uid="{00000000-0005-0000-0000-000086260000}"/>
    <cellStyle name="Normal 2 51 8 6 3" xfId="9880" xr:uid="{00000000-0005-0000-0000-000087260000}"/>
    <cellStyle name="Normal 2 51 8 7" xfId="9881" xr:uid="{00000000-0005-0000-0000-000088260000}"/>
    <cellStyle name="Normal 2 51 8 7 2" xfId="9882" xr:uid="{00000000-0005-0000-0000-000089260000}"/>
    <cellStyle name="Normal 2 51 8 7 3" xfId="9883" xr:uid="{00000000-0005-0000-0000-00008A260000}"/>
    <cellStyle name="Normal 2 51 8 8" xfId="9884" xr:uid="{00000000-0005-0000-0000-00008B260000}"/>
    <cellStyle name="Normal 2 51 8 8 2" xfId="9885" xr:uid="{00000000-0005-0000-0000-00008C260000}"/>
    <cellStyle name="Normal 2 51 8 8 3" xfId="9886" xr:uid="{00000000-0005-0000-0000-00008D260000}"/>
    <cellStyle name="Normal 2 51 8 9" xfId="9887" xr:uid="{00000000-0005-0000-0000-00008E260000}"/>
    <cellStyle name="Normal 2 51 8 9 2" xfId="9888" xr:uid="{00000000-0005-0000-0000-00008F260000}"/>
    <cellStyle name="Normal 2 51 8 9 3" xfId="9889" xr:uid="{00000000-0005-0000-0000-000090260000}"/>
    <cellStyle name="Normal 2 51 9" xfId="9890" xr:uid="{00000000-0005-0000-0000-000091260000}"/>
    <cellStyle name="Normal 2 51 9 10" xfId="9891" xr:uid="{00000000-0005-0000-0000-000092260000}"/>
    <cellStyle name="Normal 2 51 9 10 2" xfId="9892" xr:uid="{00000000-0005-0000-0000-000093260000}"/>
    <cellStyle name="Normal 2 51 9 10 3" xfId="9893" xr:uid="{00000000-0005-0000-0000-000094260000}"/>
    <cellStyle name="Normal 2 51 9 11" xfId="9894" xr:uid="{00000000-0005-0000-0000-000095260000}"/>
    <cellStyle name="Normal 2 51 9 11 2" xfId="9895" xr:uid="{00000000-0005-0000-0000-000096260000}"/>
    <cellStyle name="Normal 2 51 9 11 3" xfId="9896" xr:uid="{00000000-0005-0000-0000-000097260000}"/>
    <cellStyle name="Normal 2 51 9 12" xfId="9897" xr:uid="{00000000-0005-0000-0000-000098260000}"/>
    <cellStyle name="Normal 2 51 9 12 2" xfId="9898" xr:uid="{00000000-0005-0000-0000-000099260000}"/>
    <cellStyle name="Normal 2 51 9 12 3" xfId="9899" xr:uid="{00000000-0005-0000-0000-00009A260000}"/>
    <cellStyle name="Normal 2 51 9 13" xfId="9900" xr:uid="{00000000-0005-0000-0000-00009B260000}"/>
    <cellStyle name="Normal 2 51 9 13 2" xfId="9901" xr:uid="{00000000-0005-0000-0000-00009C260000}"/>
    <cellStyle name="Normal 2 51 9 13 3" xfId="9902" xr:uid="{00000000-0005-0000-0000-00009D260000}"/>
    <cellStyle name="Normal 2 51 9 14" xfId="9903" xr:uid="{00000000-0005-0000-0000-00009E260000}"/>
    <cellStyle name="Normal 2 51 9 14 2" xfId="9904" xr:uid="{00000000-0005-0000-0000-00009F260000}"/>
    <cellStyle name="Normal 2 51 9 14 3" xfId="9905" xr:uid="{00000000-0005-0000-0000-0000A0260000}"/>
    <cellStyle name="Normal 2 51 9 15" xfId="9906" xr:uid="{00000000-0005-0000-0000-0000A1260000}"/>
    <cellStyle name="Normal 2 51 9 16" xfId="9907" xr:uid="{00000000-0005-0000-0000-0000A2260000}"/>
    <cellStyle name="Normal 2 51 9 2" xfId="9908" xr:uid="{00000000-0005-0000-0000-0000A3260000}"/>
    <cellStyle name="Normal 2 51 9 2 2" xfId="9909" xr:uid="{00000000-0005-0000-0000-0000A4260000}"/>
    <cellStyle name="Normal 2 51 9 2 3" xfId="9910" xr:uid="{00000000-0005-0000-0000-0000A5260000}"/>
    <cellStyle name="Normal 2 51 9 3" xfId="9911" xr:uid="{00000000-0005-0000-0000-0000A6260000}"/>
    <cellStyle name="Normal 2 51 9 3 2" xfId="9912" xr:uid="{00000000-0005-0000-0000-0000A7260000}"/>
    <cellStyle name="Normal 2 51 9 3 3" xfId="9913" xr:uid="{00000000-0005-0000-0000-0000A8260000}"/>
    <cellStyle name="Normal 2 51 9 4" xfId="9914" xr:uid="{00000000-0005-0000-0000-0000A9260000}"/>
    <cellStyle name="Normal 2 51 9 4 2" xfId="9915" xr:uid="{00000000-0005-0000-0000-0000AA260000}"/>
    <cellStyle name="Normal 2 51 9 4 3" xfId="9916" xr:uid="{00000000-0005-0000-0000-0000AB260000}"/>
    <cellStyle name="Normal 2 51 9 5" xfId="9917" xr:uid="{00000000-0005-0000-0000-0000AC260000}"/>
    <cellStyle name="Normal 2 51 9 5 2" xfId="9918" xr:uid="{00000000-0005-0000-0000-0000AD260000}"/>
    <cellStyle name="Normal 2 51 9 5 3" xfId="9919" xr:uid="{00000000-0005-0000-0000-0000AE260000}"/>
    <cellStyle name="Normal 2 51 9 6" xfId="9920" xr:uid="{00000000-0005-0000-0000-0000AF260000}"/>
    <cellStyle name="Normal 2 51 9 6 2" xfId="9921" xr:uid="{00000000-0005-0000-0000-0000B0260000}"/>
    <cellStyle name="Normal 2 51 9 6 3" xfId="9922" xr:uid="{00000000-0005-0000-0000-0000B1260000}"/>
    <cellStyle name="Normal 2 51 9 7" xfId="9923" xr:uid="{00000000-0005-0000-0000-0000B2260000}"/>
    <cellStyle name="Normal 2 51 9 7 2" xfId="9924" xr:uid="{00000000-0005-0000-0000-0000B3260000}"/>
    <cellStyle name="Normal 2 51 9 7 3" xfId="9925" xr:uid="{00000000-0005-0000-0000-0000B4260000}"/>
    <cellStyle name="Normal 2 51 9 8" xfId="9926" xr:uid="{00000000-0005-0000-0000-0000B5260000}"/>
    <cellStyle name="Normal 2 51 9 8 2" xfId="9927" xr:uid="{00000000-0005-0000-0000-0000B6260000}"/>
    <cellStyle name="Normal 2 51 9 8 3" xfId="9928" xr:uid="{00000000-0005-0000-0000-0000B7260000}"/>
    <cellStyle name="Normal 2 51 9 9" xfId="9929" xr:uid="{00000000-0005-0000-0000-0000B8260000}"/>
    <cellStyle name="Normal 2 51 9 9 2" xfId="9930" xr:uid="{00000000-0005-0000-0000-0000B9260000}"/>
    <cellStyle name="Normal 2 51 9 9 3" xfId="9931" xr:uid="{00000000-0005-0000-0000-0000BA260000}"/>
    <cellStyle name="Normal 2 52" xfId="9932" xr:uid="{00000000-0005-0000-0000-0000BB260000}"/>
    <cellStyle name="Normal 2 52 10" xfId="9933" xr:uid="{00000000-0005-0000-0000-0000BC260000}"/>
    <cellStyle name="Normal 2 52 10 10" xfId="9934" xr:uid="{00000000-0005-0000-0000-0000BD260000}"/>
    <cellStyle name="Normal 2 52 10 10 2" xfId="9935" xr:uid="{00000000-0005-0000-0000-0000BE260000}"/>
    <cellStyle name="Normal 2 52 10 10 3" xfId="9936" xr:uid="{00000000-0005-0000-0000-0000BF260000}"/>
    <cellStyle name="Normal 2 52 10 11" xfId="9937" xr:uid="{00000000-0005-0000-0000-0000C0260000}"/>
    <cellStyle name="Normal 2 52 10 11 2" xfId="9938" xr:uid="{00000000-0005-0000-0000-0000C1260000}"/>
    <cellStyle name="Normal 2 52 10 11 3" xfId="9939" xr:uid="{00000000-0005-0000-0000-0000C2260000}"/>
    <cellStyle name="Normal 2 52 10 12" xfId="9940" xr:uid="{00000000-0005-0000-0000-0000C3260000}"/>
    <cellStyle name="Normal 2 52 10 12 2" xfId="9941" xr:uid="{00000000-0005-0000-0000-0000C4260000}"/>
    <cellStyle name="Normal 2 52 10 12 3" xfId="9942" xr:uid="{00000000-0005-0000-0000-0000C5260000}"/>
    <cellStyle name="Normal 2 52 10 13" xfId="9943" xr:uid="{00000000-0005-0000-0000-0000C6260000}"/>
    <cellStyle name="Normal 2 52 10 13 2" xfId="9944" xr:uid="{00000000-0005-0000-0000-0000C7260000}"/>
    <cellStyle name="Normal 2 52 10 13 3" xfId="9945" xr:uid="{00000000-0005-0000-0000-0000C8260000}"/>
    <cellStyle name="Normal 2 52 10 14" xfId="9946" xr:uid="{00000000-0005-0000-0000-0000C9260000}"/>
    <cellStyle name="Normal 2 52 10 14 2" xfId="9947" xr:uid="{00000000-0005-0000-0000-0000CA260000}"/>
    <cellStyle name="Normal 2 52 10 14 3" xfId="9948" xr:uid="{00000000-0005-0000-0000-0000CB260000}"/>
    <cellStyle name="Normal 2 52 10 15" xfId="9949" xr:uid="{00000000-0005-0000-0000-0000CC260000}"/>
    <cellStyle name="Normal 2 52 10 16" xfId="9950" xr:uid="{00000000-0005-0000-0000-0000CD260000}"/>
    <cellStyle name="Normal 2 52 10 2" xfId="9951" xr:uid="{00000000-0005-0000-0000-0000CE260000}"/>
    <cellStyle name="Normal 2 52 10 2 2" xfId="9952" xr:uid="{00000000-0005-0000-0000-0000CF260000}"/>
    <cellStyle name="Normal 2 52 10 2 3" xfId="9953" xr:uid="{00000000-0005-0000-0000-0000D0260000}"/>
    <cellStyle name="Normal 2 52 10 3" xfId="9954" xr:uid="{00000000-0005-0000-0000-0000D1260000}"/>
    <cellStyle name="Normal 2 52 10 3 2" xfId="9955" xr:uid="{00000000-0005-0000-0000-0000D2260000}"/>
    <cellStyle name="Normal 2 52 10 3 3" xfId="9956" xr:uid="{00000000-0005-0000-0000-0000D3260000}"/>
    <cellStyle name="Normal 2 52 10 4" xfId="9957" xr:uid="{00000000-0005-0000-0000-0000D4260000}"/>
    <cellStyle name="Normal 2 52 10 4 2" xfId="9958" xr:uid="{00000000-0005-0000-0000-0000D5260000}"/>
    <cellStyle name="Normal 2 52 10 4 3" xfId="9959" xr:uid="{00000000-0005-0000-0000-0000D6260000}"/>
    <cellStyle name="Normal 2 52 10 5" xfId="9960" xr:uid="{00000000-0005-0000-0000-0000D7260000}"/>
    <cellStyle name="Normal 2 52 10 5 2" xfId="9961" xr:uid="{00000000-0005-0000-0000-0000D8260000}"/>
    <cellStyle name="Normal 2 52 10 5 3" xfId="9962" xr:uid="{00000000-0005-0000-0000-0000D9260000}"/>
    <cellStyle name="Normal 2 52 10 6" xfId="9963" xr:uid="{00000000-0005-0000-0000-0000DA260000}"/>
    <cellStyle name="Normal 2 52 10 6 2" xfId="9964" xr:uid="{00000000-0005-0000-0000-0000DB260000}"/>
    <cellStyle name="Normal 2 52 10 6 3" xfId="9965" xr:uid="{00000000-0005-0000-0000-0000DC260000}"/>
    <cellStyle name="Normal 2 52 10 7" xfId="9966" xr:uid="{00000000-0005-0000-0000-0000DD260000}"/>
    <cellStyle name="Normal 2 52 10 7 2" xfId="9967" xr:uid="{00000000-0005-0000-0000-0000DE260000}"/>
    <cellStyle name="Normal 2 52 10 7 3" xfId="9968" xr:uid="{00000000-0005-0000-0000-0000DF260000}"/>
    <cellStyle name="Normal 2 52 10 8" xfId="9969" xr:uid="{00000000-0005-0000-0000-0000E0260000}"/>
    <cellStyle name="Normal 2 52 10 8 2" xfId="9970" xr:uid="{00000000-0005-0000-0000-0000E1260000}"/>
    <cellStyle name="Normal 2 52 10 8 3" xfId="9971" xr:uid="{00000000-0005-0000-0000-0000E2260000}"/>
    <cellStyle name="Normal 2 52 10 9" xfId="9972" xr:uid="{00000000-0005-0000-0000-0000E3260000}"/>
    <cellStyle name="Normal 2 52 10 9 2" xfId="9973" xr:uid="{00000000-0005-0000-0000-0000E4260000}"/>
    <cellStyle name="Normal 2 52 10 9 3" xfId="9974" xr:uid="{00000000-0005-0000-0000-0000E5260000}"/>
    <cellStyle name="Normal 2 52 11" xfId="9975" xr:uid="{00000000-0005-0000-0000-0000E6260000}"/>
    <cellStyle name="Normal 2 52 11 2" xfId="9976" xr:uid="{00000000-0005-0000-0000-0000E7260000}"/>
    <cellStyle name="Normal 2 52 11 3" xfId="9977" xr:uid="{00000000-0005-0000-0000-0000E8260000}"/>
    <cellStyle name="Normal 2 52 12" xfId="9978" xr:uid="{00000000-0005-0000-0000-0000E9260000}"/>
    <cellStyle name="Normal 2 52 12 2" xfId="9979" xr:uid="{00000000-0005-0000-0000-0000EA260000}"/>
    <cellStyle name="Normal 2 52 12 3" xfId="9980" xr:uid="{00000000-0005-0000-0000-0000EB260000}"/>
    <cellStyle name="Normal 2 52 13" xfId="9981" xr:uid="{00000000-0005-0000-0000-0000EC260000}"/>
    <cellStyle name="Normal 2 52 13 2" xfId="9982" xr:uid="{00000000-0005-0000-0000-0000ED260000}"/>
    <cellStyle name="Normal 2 52 13 3" xfId="9983" xr:uid="{00000000-0005-0000-0000-0000EE260000}"/>
    <cellStyle name="Normal 2 52 14" xfId="9984" xr:uid="{00000000-0005-0000-0000-0000EF260000}"/>
    <cellStyle name="Normal 2 52 14 2" xfId="9985" xr:uid="{00000000-0005-0000-0000-0000F0260000}"/>
    <cellStyle name="Normal 2 52 14 3" xfId="9986" xr:uid="{00000000-0005-0000-0000-0000F1260000}"/>
    <cellStyle name="Normal 2 52 15" xfId="9987" xr:uid="{00000000-0005-0000-0000-0000F2260000}"/>
    <cellStyle name="Normal 2 52 15 2" xfId="9988" xr:uid="{00000000-0005-0000-0000-0000F3260000}"/>
    <cellStyle name="Normal 2 52 15 3" xfId="9989" xr:uid="{00000000-0005-0000-0000-0000F4260000}"/>
    <cellStyle name="Normal 2 52 16" xfId="9990" xr:uid="{00000000-0005-0000-0000-0000F5260000}"/>
    <cellStyle name="Normal 2 52 16 2" xfId="9991" xr:uid="{00000000-0005-0000-0000-0000F6260000}"/>
    <cellStyle name="Normal 2 52 16 3" xfId="9992" xr:uid="{00000000-0005-0000-0000-0000F7260000}"/>
    <cellStyle name="Normal 2 52 17" xfId="9993" xr:uid="{00000000-0005-0000-0000-0000F8260000}"/>
    <cellStyle name="Normal 2 52 17 2" xfId="9994" xr:uid="{00000000-0005-0000-0000-0000F9260000}"/>
    <cellStyle name="Normal 2 52 17 3" xfId="9995" xr:uid="{00000000-0005-0000-0000-0000FA260000}"/>
    <cellStyle name="Normal 2 52 18" xfId="9996" xr:uid="{00000000-0005-0000-0000-0000FB260000}"/>
    <cellStyle name="Normal 2 52 18 2" xfId="9997" xr:uid="{00000000-0005-0000-0000-0000FC260000}"/>
    <cellStyle name="Normal 2 52 18 3" xfId="9998" xr:uid="{00000000-0005-0000-0000-0000FD260000}"/>
    <cellStyle name="Normal 2 52 19" xfId="9999" xr:uid="{00000000-0005-0000-0000-0000FE260000}"/>
    <cellStyle name="Normal 2 52 19 2" xfId="10000" xr:uid="{00000000-0005-0000-0000-0000FF260000}"/>
    <cellStyle name="Normal 2 52 19 3" xfId="10001" xr:uid="{00000000-0005-0000-0000-000000270000}"/>
    <cellStyle name="Normal 2 52 2" xfId="10002" xr:uid="{00000000-0005-0000-0000-000001270000}"/>
    <cellStyle name="Normal 2 52 2 10" xfId="10003" xr:uid="{00000000-0005-0000-0000-000002270000}"/>
    <cellStyle name="Normal 2 52 2 10 2" xfId="10004" xr:uid="{00000000-0005-0000-0000-000003270000}"/>
    <cellStyle name="Normal 2 52 2 10 3" xfId="10005" xr:uid="{00000000-0005-0000-0000-000004270000}"/>
    <cellStyle name="Normal 2 52 2 11" xfId="10006" xr:uid="{00000000-0005-0000-0000-000005270000}"/>
    <cellStyle name="Normal 2 52 2 11 2" xfId="10007" xr:uid="{00000000-0005-0000-0000-000006270000}"/>
    <cellStyle name="Normal 2 52 2 11 3" xfId="10008" xr:uid="{00000000-0005-0000-0000-000007270000}"/>
    <cellStyle name="Normal 2 52 2 12" xfId="10009" xr:uid="{00000000-0005-0000-0000-000008270000}"/>
    <cellStyle name="Normal 2 52 2 12 2" xfId="10010" xr:uid="{00000000-0005-0000-0000-000009270000}"/>
    <cellStyle name="Normal 2 52 2 12 3" xfId="10011" xr:uid="{00000000-0005-0000-0000-00000A270000}"/>
    <cellStyle name="Normal 2 52 2 13" xfId="10012" xr:uid="{00000000-0005-0000-0000-00000B270000}"/>
    <cellStyle name="Normal 2 52 2 13 2" xfId="10013" xr:uid="{00000000-0005-0000-0000-00000C270000}"/>
    <cellStyle name="Normal 2 52 2 13 3" xfId="10014" xr:uid="{00000000-0005-0000-0000-00000D270000}"/>
    <cellStyle name="Normal 2 52 2 14" xfId="10015" xr:uid="{00000000-0005-0000-0000-00000E270000}"/>
    <cellStyle name="Normal 2 52 2 14 2" xfId="10016" xr:uid="{00000000-0005-0000-0000-00000F270000}"/>
    <cellStyle name="Normal 2 52 2 14 3" xfId="10017" xr:uid="{00000000-0005-0000-0000-000010270000}"/>
    <cellStyle name="Normal 2 52 2 15" xfId="10018" xr:uid="{00000000-0005-0000-0000-000011270000}"/>
    <cellStyle name="Normal 2 52 2 15 2" xfId="10019" xr:uid="{00000000-0005-0000-0000-000012270000}"/>
    <cellStyle name="Normal 2 52 2 15 3" xfId="10020" xr:uid="{00000000-0005-0000-0000-000013270000}"/>
    <cellStyle name="Normal 2 52 2 16" xfId="10021" xr:uid="{00000000-0005-0000-0000-000014270000}"/>
    <cellStyle name="Normal 2 52 2 17" xfId="10022" xr:uid="{00000000-0005-0000-0000-000015270000}"/>
    <cellStyle name="Normal 2 52 2 2" xfId="10023" xr:uid="{00000000-0005-0000-0000-000016270000}"/>
    <cellStyle name="Normal 2 52 2 2 10" xfId="10024" xr:uid="{00000000-0005-0000-0000-000017270000}"/>
    <cellStyle name="Normal 2 52 2 2 10 2" xfId="10025" xr:uid="{00000000-0005-0000-0000-000018270000}"/>
    <cellStyle name="Normal 2 52 2 2 10 3" xfId="10026" xr:uid="{00000000-0005-0000-0000-000019270000}"/>
    <cellStyle name="Normal 2 52 2 2 11" xfId="10027" xr:uid="{00000000-0005-0000-0000-00001A270000}"/>
    <cellStyle name="Normal 2 52 2 2 11 2" xfId="10028" xr:uid="{00000000-0005-0000-0000-00001B270000}"/>
    <cellStyle name="Normal 2 52 2 2 11 3" xfId="10029" xr:uid="{00000000-0005-0000-0000-00001C270000}"/>
    <cellStyle name="Normal 2 52 2 2 12" xfId="10030" xr:uid="{00000000-0005-0000-0000-00001D270000}"/>
    <cellStyle name="Normal 2 52 2 2 12 2" xfId="10031" xr:uid="{00000000-0005-0000-0000-00001E270000}"/>
    <cellStyle name="Normal 2 52 2 2 12 3" xfId="10032" xr:uid="{00000000-0005-0000-0000-00001F270000}"/>
    <cellStyle name="Normal 2 52 2 2 13" xfId="10033" xr:uid="{00000000-0005-0000-0000-000020270000}"/>
    <cellStyle name="Normal 2 52 2 2 13 2" xfId="10034" xr:uid="{00000000-0005-0000-0000-000021270000}"/>
    <cellStyle name="Normal 2 52 2 2 13 3" xfId="10035" xr:uid="{00000000-0005-0000-0000-000022270000}"/>
    <cellStyle name="Normal 2 52 2 2 14" xfId="10036" xr:uid="{00000000-0005-0000-0000-000023270000}"/>
    <cellStyle name="Normal 2 52 2 2 14 2" xfId="10037" xr:uid="{00000000-0005-0000-0000-000024270000}"/>
    <cellStyle name="Normal 2 52 2 2 14 3" xfId="10038" xr:uid="{00000000-0005-0000-0000-000025270000}"/>
    <cellStyle name="Normal 2 52 2 2 15" xfId="10039" xr:uid="{00000000-0005-0000-0000-000026270000}"/>
    <cellStyle name="Normal 2 52 2 2 16" xfId="10040" xr:uid="{00000000-0005-0000-0000-000027270000}"/>
    <cellStyle name="Normal 2 52 2 2 2" xfId="10041" xr:uid="{00000000-0005-0000-0000-000028270000}"/>
    <cellStyle name="Normal 2 52 2 2 2 2" xfId="10042" xr:uid="{00000000-0005-0000-0000-000029270000}"/>
    <cellStyle name="Normal 2 52 2 2 2 3" xfId="10043" xr:uid="{00000000-0005-0000-0000-00002A270000}"/>
    <cellStyle name="Normal 2 52 2 2 3" xfId="10044" xr:uid="{00000000-0005-0000-0000-00002B270000}"/>
    <cellStyle name="Normal 2 52 2 2 3 2" xfId="10045" xr:uid="{00000000-0005-0000-0000-00002C270000}"/>
    <cellStyle name="Normal 2 52 2 2 3 3" xfId="10046" xr:uid="{00000000-0005-0000-0000-00002D270000}"/>
    <cellStyle name="Normal 2 52 2 2 4" xfId="10047" xr:uid="{00000000-0005-0000-0000-00002E270000}"/>
    <cellStyle name="Normal 2 52 2 2 4 2" xfId="10048" xr:uid="{00000000-0005-0000-0000-00002F270000}"/>
    <cellStyle name="Normal 2 52 2 2 4 3" xfId="10049" xr:uid="{00000000-0005-0000-0000-000030270000}"/>
    <cellStyle name="Normal 2 52 2 2 5" xfId="10050" xr:uid="{00000000-0005-0000-0000-000031270000}"/>
    <cellStyle name="Normal 2 52 2 2 5 2" xfId="10051" xr:uid="{00000000-0005-0000-0000-000032270000}"/>
    <cellStyle name="Normal 2 52 2 2 5 3" xfId="10052" xr:uid="{00000000-0005-0000-0000-000033270000}"/>
    <cellStyle name="Normal 2 52 2 2 6" xfId="10053" xr:uid="{00000000-0005-0000-0000-000034270000}"/>
    <cellStyle name="Normal 2 52 2 2 6 2" xfId="10054" xr:uid="{00000000-0005-0000-0000-000035270000}"/>
    <cellStyle name="Normal 2 52 2 2 6 3" xfId="10055" xr:uid="{00000000-0005-0000-0000-000036270000}"/>
    <cellStyle name="Normal 2 52 2 2 7" xfId="10056" xr:uid="{00000000-0005-0000-0000-000037270000}"/>
    <cellStyle name="Normal 2 52 2 2 7 2" xfId="10057" xr:uid="{00000000-0005-0000-0000-000038270000}"/>
    <cellStyle name="Normal 2 52 2 2 7 3" xfId="10058" xr:uid="{00000000-0005-0000-0000-000039270000}"/>
    <cellStyle name="Normal 2 52 2 2 8" xfId="10059" xr:uid="{00000000-0005-0000-0000-00003A270000}"/>
    <cellStyle name="Normal 2 52 2 2 8 2" xfId="10060" xr:uid="{00000000-0005-0000-0000-00003B270000}"/>
    <cellStyle name="Normal 2 52 2 2 8 3" xfId="10061" xr:uid="{00000000-0005-0000-0000-00003C270000}"/>
    <cellStyle name="Normal 2 52 2 2 9" xfId="10062" xr:uid="{00000000-0005-0000-0000-00003D270000}"/>
    <cellStyle name="Normal 2 52 2 2 9 2" xfId="10063" xr:uid="{00000000-0005-0000-0000-00003E270000}"/>
    <cellStyle name="Normal 2 52 2 2 9 3" xfId="10064" xr:uid="{00000000-0005-0000-0000-00003F270000}"/>
    <cellStyle name="Normal 2 52 2 3" xfId="10065" xr:uid="{00000000-0005-0000-0000-000040270000}"/>
    <cellStyle name="Normal 2 52 2 3 2" xfId="10066" xr:uid="{00000000-0005-0000-0000-000041270000}"/>
    <cellStyle name="Normal 2 52 2 3 3" xfId="10067" xr:uid="{00000000-0005-0000-0000-000042270000}"/>
    <cellStyle name="Normal 2 52 2 4" xfId="10068" xr:uid="{00000000-0005-0000-0000-000043270000}"/>
    <cellStyle name="Normal 2 52 2 4 2" xfId="10069" xr:uid="{00000000-0005-0000-0000-000044270000}"/>
    <cellStyle name="Normal 2 52 2 4 3" xfId="10070" xr:uid="{00000000-0005-0000-0000-000045270000}"/>
    <cellStyle name="Normal 2 52 2 5" xfId="10071" xr:uid="{00000000-0005-0000-0000-000046270000}"/>
    <cellStyle name="Normal 2 52 2 5 2" xfId="10072" xr:uid="{00000000-0005-0000-0000-000047270000}"/>
    <cellStyle name="Normal 2 52 2 5 3" xfId="10073" xr:uid="{00000000-0005-0000-0000-000048270000}"/>
    <cellStyle name="Normal 2 52 2 6" xfId="10074" xr:uid="{00000000-0005-0000-0000-000049270000}"/>
    <cellStyle name="Normal 2 52 2 6 2" xfId="10075" xr:uid="{00000000-0005-0000-0000-00004A270000}"/>
    <cellStyle name="Normal 2 52 2 6 3" xfId="10076" xr:uid="{00000000-0005-0000-0000-00004B270000}"/>
    <cellStyle name="Normal 2 52 2 7" xfId="10077" xr:uid="{00000000-0005-0000-0000-00004C270000}"/>
    <cellStyle name="Normal 2 52 2 7 2" xfId="10078" xr:uid="{00000000-0005-0000-0000-00004D270000}"/>
    <cellStyle name="Normal 2 52 2 7 3" xfId="10079" xr:uid="{00000000-0005-0000-0000-00004E270000}"/>
    <cellStyle name="Normal 2 52 2 8" xfId="10080" xr:uid="{00000000-0005-0000-0000-00004F270000}"/>
    <cellStyle name="Normal 2 52 2 8 2" xfId="10081" xr:uid="{00000000-0005-0000-0000-000050270000}"/>
    <cellStyle name="Normal 2 52 2 8 3" xfId="10082" xr:uid="{00000000-0005-0000-0000-000051270000}"/>
    <cellStyle name="Normal 2 52 2 9" xfId="10083" xr:uid="{00000000-0005-0000-0000-000052270000}"/>
    <cellStyle name="Normal 2 52 2 9 2" xfId="10084" xr:uid="{00000000-0005-0000-0000-000053270000}"/>
    <cellStyle name="Normal 2 52 2 9 3" xfId="10085" xr:uid="{00000000-0005-0000-0000-000054270000}"/>
    <cellStyle name="Normal 2 52 20" xfId="10086" xr:uid="{00000000-0005-0000-0000-000055270000}"/>
    <cellStyle name="Normal 2 52 20 2" xfId="10087" xr:uid="{00000000-0005-0000-0000-000056270000}"/>
    <cellStyle name="Normal 2 52 20 3" xfId="10088" xr:uid="{00000000-0005-0000-0000-000057270000}"/>
    <cellStyle name="Normal 2 52 21" xfId="10089" xr:uid="{00000000-0005-0000-0000-000058270000}"/>
    <cellStyle name="Normal 2 52 21 2" xfId="10090" xr:uid="{00000000-0005-0000-0000-000059270000}"/>
    <cellStyle name="Normal 2 52 21 3" xfId="10091" xr:uid="{00000000-0005-0000-0000-00005A270000}"/>
    <cellStyle name="Normal 2 52 22" xfId="10092" xr:uid="{00000000-0005-0000-0000-00005B270000}"/>
    <cellStyle name="Normal 2 52 22 2" xfId="10093" xr:uid="{00000000-0005-0000-0000-00005C270000}"/>
    <cellStyle name="Normal 2 52 22 3" xfId="10094" xr:uid="{00000000-0005-0000-0000-00005D270000}"/>
    <cellStyle name="Normal 2 52 23" xfId="10095" xr:uid="{00000000-0005-0000-0000-00005E270000}"/>
    <cellStyle name="Normal 2 52 23 2" xfId="10096" xr:uid="{00000000-0005-0000-0000-00005F270000}"/>
    <cellStyle name="Normal 2 52 23 3" xfId="10097" xr:uid="{00000000-0005-0000-0000-000060270000}"/>
    <cellStyle name="Normal 2 52 24" xfId="10098" xr:uid="{00000000-0005-0000-0000-000061270000}"/>
    <cellStyle name="Normal 2 52 25" xfId="10099" xr:uid="{00000000-0005-0000-0000-000062270000}"/>
    <cellStyle name="Normal 2 52 3" xfId="10100" xr:uid="{00000000-0005-0000-0000-000063270000}"/>
    <cellStyle name="Normal 2 52 3 10" xfId="10101" xr:uid="{00000000-0005-0000-0000-000064270000}"/>
    <cellStyle name="Normal 2 52 3 10 2" xfId="10102" xr:uid="{00000000-0005-0000-0000-000065270000}"/>
    <cellStyle name="Normal 2 52 3 10 3" xfId="10103" xr:uid="{00000000-0005-0000-0000-000066270000}"/>
    <cellStyle name="Normal 2 52 3 11" xfId="10104" xr:uid="{00000000-0005-0000-0000-000067270000}"/>
    <cellStyle name="Normal 2 52 3 11 2" xfId="10105" xr:uid="{00000000-0005-0000-0000-000068270000}"/>
    <cellStyle name="Normal 2 52 3 11 3" xfId="10106" xr:uid="{00000000-0005-0000-0000-000069270000}"/>
    <cellStyle name="Normal 2 52 3 12" xfId="10107" xr:uid="{00000000-0005-0000-0000-00006A270000}"/>
    <cellStyle name="Normal 2 52 3 12 2" xfId="10108" xr:uid="{00000000-0005-0000-0000-00006B270000}"/>
    <cellStyle name="Normal 2 52 3 12 3" xfId="10109" xr:uid="{00000000-0005-0000-0000-00006C270000}"/>
    <cellStyle name="Normal 2 52 3 13" xfId="10110" xr:uid="{00000000-0005-0000-0000-00006D270000}"/>
    <cellStyle name="Normal 2 52 3 13 2" xfId="10111" xr:uid="{00000000-0005-0000-0000-00006E270000}"/>
    <cellStyle name="Normal 2 52 3 13 3" xfId="10112" xr:uid="{00000000-0005-0000-0000-00006F270000}"/>
    <cellStyle name="Normal 2 52 3 14" xfId="10113" xr:uid="{00000000-0005-0000-0000-000070270000}"/>
    <cellStyle name="Normal 2 52 3 14 2" xfId="10114" xr:uid="{00000000-0005-0000-0000-000071270000}"/>
    <cellStyle name="Normal 2 52 3 14 3" xfId="10115" xr:uid="{00000000-0005-0000-0000-000072270000}"/>
    <cellStyle name="Normal 2 52 3 15" xfId="10116" xr:uid="{00000000-0005-0000-0000-000073270000}"/>
    <cellStyle name="Normal 2 52 3 15 2" xfId="10117" xr:uid="{00000000-0005-0000-0000-000074270000}"/>
    <cellStyle name="Normal 2 52 3 15 3" xfId="10118" xr:uid="{00000000-0005-0000-0000-000075270000}"/>
    <cellStyle name="Normal 2 52 3 16" xfId="10119" xr:uid="{00000000-0005-0000-0000-000076270000}"/>
    <cellStyle name="Normal 2 52 3 17" xfId="10120" xr:uid="{00000000-0005-0000-0000-000077270000}"/>
    <cellStyle name="Normal 2 52 3 2" xfId="10121" xr:uid="{00000000-0005-0000-0000-000078270000}"/>
    <cellStyle name="Normal 2 52 3 2 10" xfId="10122" xr:uid="{00000000-0005-0000-0000-000079270000}"/>
    <cellStyle name="Normal 2 52 3 2 10 2" xfId="10123" xr:uid="{00000000-0005-0000-0000-00007A270000}"/>
    <cellStyle name="Normal 2 52 3 2 10 3" xfId="10124" xr:uid="{00000000-0005-0000-0000-00007B270000}"/>
    <cellStyle name="Normal 2 52 3 2 11" xfId="10125" xr:uid="{00000000-0005-0000-0000-00007C270000}"/>
    <cellStyle name="Normal 2 52 3 2 11 2" xfId="10126" xr:uid="{00000000-0005-0000-0000-00007D270000}"/>
    <cellStyle name="Normal 2 52 3 2 11 3" xfId="10127" xr:uid="{00000000-0005-0000-0000-00007E270000}"/>
    <cellStyle name="Normal 2 52 3 2 12" xfId="10128" xr:uid="{00000000-0005-0000-0000-00007F270000}"/>
    <cellStyle name="Normal 2 52 3 2 12 2" xfId="10129" xr:uid="{00000000-0005-0000-0000-000080270000}"/>
    <cellStyle name="Normal 2 52 3 2 12 3" xfId="10130" xr:uid="{00000000-0005-0000-0000-000081270000}"/>
    <cellStyle name="Normal 2 52 3 2 13" xfId="10131" xr:uid="{00000000-0005-0000-0000-000082270000}"/>
    <cellStyle name="Normal 2 52 3 2 13 2" xfId="10132" xr:uid="{00000000-0005-0000-0000-000083270000}"/>
    <cellStyle name="Normal 2 52 3 2 13 3" xfId="10133" xr:uid="{00000000-0005-0000-0000-000084270000}"/>
    <cellStyle name="Normal 2 52 3 2 14" xfId="10134" xr:uid="{00000000-0005-0000-0000-000085270000}"/>
    <cellStyle name="Normal 2 52 3 2 14 2" xfId="10135" xr:uid="{00000000-0005-0000-0000-000086270000}"/>
    <cellStyle name="Normal 2 52 3 2 14 3" xfId="10136" xr:uid="{00000000-0005-0000-0000-000087270000}"/>
    <cellStyle name="Normal 2 52 3 2 15" xfId="10137" xr:uid="{00000000-0005-0000-0000-000088270000}"/>
    <cellStyle name="Normal 2 52 3 2 16" xfId="10138" xr:uid="{00000000-0005-0000-0000-000089270000}"/>
    <cellStyle name="Normal 2 52 3 2 2" xfId="10139" xr:uid="{00000000-0005-0000-0000-00008A270000}"/>
    <cellStyle name="Normal 2 52 3 2 2 2" xfId="10140" xr:uid="{00000000-0005-0000-0000-00008B270000}"/>
    <cellStyle name="Normal 2 52 3 2 2 3" xfId="10141" xr:uid="{00000000-0005-0000-0000-00008C270000}"/>
    <cellStyle name="Normal 2 52 3 2 3" xfId="10142" xr:uid="{00000000-0005-0000-0000-00008D270000}"/>
    <cellStyle name="Normal 2 52 3 2 3 2" xfId="10143" xr:uid="{00000000-0005-0000-0000-00008E270000}"/>
    <cellStyle name="Normal 2 52 3 2 3 3" xfId="10144" xr:uid="{00000000-0005-0000-0000-00008F270000}"/>
    <cellStyle name="Normal 2 52 3 2 4" xfId="10145" xr:uid="{00000000-0005-0000-0000-000090270000}"/>
    <cellStyle name="Normal 2 52 3 2 4 2" xfId="10146" xr:uid="{00000000-0005-0000-0000-000091270000}"/>
    <cellStyle name="Normal 2 52 3 2 4 3" xfId="10147" xr:uid="{00000000-0005-0000-0000-000092270000}"/>
    <cellStyle name="Normal 2 52 3 2 5" xfId="10148" xr:uid="{00000000-0005-0000-0000-000093270000}"/>
    <cellStyle name="Normal 2 52 3 2 5 2" xfId="10149" xr:uid="{00000000-0005-0000-0000-000094270000}"/>
    <cellStyle name="Normal 2 52 3 2 5 3" xfId="10150" xr:uid="{00000000-0005-0000-0000-000095270000}"/>
    <cellStyle name="Normal 2 52 3 2 6" xfId="10151" xr:uid="{00000000-0005-0000-0000-000096270000}"/>
    <cellStyle name="Normal 2 52 3 2 6 2" xfId="10152" xr:uid="{00000000-0005-0000-0000-000097270000}"/>
    <cellStyle name="Normal 2 52 3 2 6 3" xfId="10153" xr:uid="{00000000-0005-0000-0000-000098270000}"/>
    <cellStyle name="Normal 2 52 3 2 7" xfId="10154" xr:uid="{00000000-0005-0000-0000-000099270000}"/>
    <cellStyle name="Normal 2 52 3 2 7 2" xfId="10155" xr:uid="{00000000-0005-0000-0000-00009A270000}"/>
    <cellStyle name="Normal 2 52 3 2 7 3" xfId="10156" xr:uid="{00000000-0005-0000-0000-00009B270000}"/>
    <cellStyle name="Normal 2 52 3 2 8" xfId="10157" xr:uid="{00000000-0005-0000-0000-00009C270000}"/>
    <cellStyle name="Normal 2 52 3 2 8 2" xfId="10158" xr:uid="{00000000-0005-0000-0000-00009D270000}"/>
    <cellStyle name="Normal 2 52 3 2 8 3" xfId="10159" xr:uid="{00000000-0005-0000-0000-00009E270000}"/>
    <cellStyle name="Normal 2 52 3 2 9" xfId="10160" xr:uid="{00000000-0005-0000-0000-00009F270000}"/>
    <cellStyle name="Normal 2 52 3 2 9 2" xfId="10161" xr:uid="{00000000-0005-0000-0000-0000A0270000}"/>
    <cellStyle name="Normal 2 52 3 2 9 3" xfId="10162" xr:uid="{00000000-0005-0000-0000-0000A1270000}"/>
    <cellStyle name="Normal 2 52 3 3" xfId="10163" xr:uid="{00000000-0005-0000-0000-0000A2270000}"/>
    <cellStyle name="Normal 2 52 3 3 2" xfId="10164" xr:uid="{00000000-0005-0000-0000-0000A3270000}"/>
    <cellStyle name="Normal 2 52 3 3 3" xfId="10165" xr:uid="{00000000-0005-0000-0000-0000A4270000}"/>
    <cellStyle name="Normal 2 52 3 4" xfId="10166" xr:uid="{00000000-0005-0000-0000-0000A5270000}"/>
    <cellStyle name="Normal 2 52 3 4 2" xfId="10167" xr:uid="{00000000-0005-0000-0000-0000A6270000}"/>
    <cellStyle name="Normal 2 52 3 4 3" xfId="10168" xr:uid="{00000000-0005-0000-0000-0000A7270000}"/>
    <cellStyle name="Normal 2 52 3 5" xfId="10169" xr:uid="{00000000-0005-0000-0000-0000A8270000}"/>
    <cellStyle name="Normal 2 52 3 5 2" xfId="10170" xr:uid="{00000000-0005-0000-0000-0000A9270000}"/>
    <cellStyle name="Normal 2 52 3 5 3" xfId="10171" xr:uid="{00000000-0005-0000-0000-0000AA270000}"/>
    <cellStyle name="Normal 2 52 3 6" xfId="10172" xr:uid="{00000000-0005-0000-0000-0000AB270000}"/>
    <cellStyle name="Normal 2 52 3 6 2" xfId="10173" xr:uid="{00000000-0005-0000-0000-0000AC270000}"/>
    <cellStyle name="Normal 2 52 3 6 3" xfId="10174" xr:uid="{00000000-0005-0000-0000-0000AD270000}"/>
    <cellStyle name="Normal 2 52 3 7" xfId="10175" xr:uid="{00000000-0005-0000-0000-0000AE270000}"/>
    <cellStyle name="Normal 2 52 3 7 2" xfId="10176" xr:uid="{00000000-0005-0000-0000-0000AF270000}"/>
    <cellStyle name="Normal 2 52 3 7 3" xfId="10177" xr:uid="{00000000-0005-0000-0000-0000B0270000}"/>
    <cellStyle name="Normal 2 52 3 8" xfId="10178" xr:uid="{00000000-0005-0000-0000-0000B1270000}"/>
    <cellStyle name="Normal 2 52 3 8 2" xfId="10179" xr:uid="{00000000-0005-0000-0000-0000B2270000}"/>
    <cellStyle name="Normal 2 52 3 8 3" xfId="10180" xr:uid="{00000000-0005-0000-0000-0000B3270000}"/>
    <cellStyle name="Normal 2 52 3 9" xfId="10181" xr:uid="{00000000-0005-0000-0000-0000B4270000}"/>
    <cellStyle name="Normal 2 52 3 9 2" xfId="10182" xr:uid="{00000000-0005-0000-0000-0000B5270000}"/>
    <cellStyle name="Normal 2 52 3 9 3" xfId="10183" xr:uid="{00000000-0005-0000-0000-0000B6270000}"/>
    <cellStyle name="Normal 2 52 4" xfId="10184" xr:uid="{00000000-0005-0000-0000-0000B7270000}"/>
    <cellStyle name="Normal 2 52 4 10" xfId="10185" xr:uid="{00000000-0005-0000-0000-0000B8270000}"/>
    <cellStyle name="Normal 2 52 4 10 2" xfId="10186" xr:uid="{00000000-0005-0000-0000-0000B9270000}"/>
    <cellStyle name="Normal 2 52 4 10 3" xfId="10187" xr:uid="{00000000-0005-0000-0000-0000BA270000}"/>
    <cellStyle name="Normal 2 52 4 11" xfId="10188" xr:uid="{00000000-0005-0000-0000-0000BB270000}"/>
    <cellStyle name="Normal 2 52 4 11 2" xfId="10189" xr:uid="{00000000-0005-0000-0000-0000BC270000}"/>
    <cellStyle name="Normal 2 52 4 11 3" xfId="10190" xr:uid="{00000000-0005-0000-0000-0000BD270000}"/>
    <cellStyle name="Normal 2 52 4 12" xfId="10191" xr:uid="{00000000-0005-0000-0000-0000BE270000}"/>
    <cellStyle name="Normal 2 52 4 12 2" xfId="10192" xr:uid="{00000000-0005-0000-0000-0000BF270000}"/>
    <cellStyle name="Normal 2 52 4 12 3" xfId="10193" xr:uid="{00000000-0005-0000-0000-0000C0270000}"/>
    <cellStyle name="Normal 2 52 4 13" xfId="10194" xr:uid="{00000000-0005-0000-0000-0000C1270000}"/>
    <cellStyle name="Normal 2 52 4 13 2" xfId="10195" xr:uid="{00000000-0005-0000-0000-0000C2270000}"/>
    <cellStyle name="Normal 2 52 4 13 3" xfId="10196" xr:uid="{00000000-0005-0000-0000-0000C3270000}"/>
    <cellStyle name="Normal 2 52 4 14" xfId="10197" xr:uid="{00000000-0005-0000-0000-0000C4270000}"/>
    <cellStyle name="Normal 2 52 4 14 2" xfId="10198" xr:uid="{00000000-0005-0000-0000-0000C5270000}"/>
    <cellStyle name="Normal 2 52 4 14 3" xfId="10199" xr:uid="{00000000-0005-0000-0000-0000C6270000}"/>
    <cellStyle name="Normal 2 52 4 15" xfId="10200" xr:uid="{00000000-0005-0000-0000-0000C7270000}"/>
    <cellStyle name="Normal 2 52 4 15 2" xfId="10201" xr:uid="{00000000-0005-0000-0000-0000C8270000}"/>
    <cellStyle name="Normal 2 52 4 15 3" xfId="10202" xr:uid="{00000000-0005-0000-0000-0000C9270000}"/>
    <cellStyle name="Normal 2 52 4 16" xfId="10203" xr:uid="{00000000-0005-0000-0000-0000CA270000}"/>
    <cellStyle name="Normal 2 52 4 17" xfId="10204" xr:uid="{00000000-0005-0000-0000-0000CB270000}"/>
    <cellStyle name="Normal 2 52 4 2" xfId="10205" xr:uid="{00000000-0005-0000-0000-0000CC270000}"/>
    <cellStyle name="Normal 2 52 4 2 10" xfId="10206" xr:uid="{00000000-0005-0000-0000-0000CD270000}"/>
    <cellStyle name="Normal 2 52 4 2 10 2" xfId="10207" xr:uid="{00000000-0005-0000-0000-0000CE270000}"/>
    <cellStyle name="Normal 2 52 4 2 10 3" xfId="10208" xr:uid="{00000000-0005-0000-0000-0000CF270000}"/>
    <cellStyle name="Normal 2 52 4 2 11" xfId="10209" xr:uid="{00000000-0005-0000-0000-0000D0270000}"/>
    <cellStyle name="Normal 2 52 4 2 11 2" xfId="10210" xr:uid="{00000000-0005-0000-0000-0000D1270000}"/>
    <cellStyle name="Normal 2 52 4 2 11 3" xfId="10211" xr:uid="{00000000-0005-0000-0000-0000D2270000}"/>
    <cellStyle name="Normal 2 52 4 2 12" xfId="10212" xr:uid="{00000000-0005-0000-0000-0000D3270000}"/>
    <cellStyle name="Normal 2 52 4 2 12 2" xfId="10213" xr:uid="{00000000-0005-0000-0000-0000D4270000}"/>
    <cellStyle name="Normal 2 52 4 2 12 3" xfId="10214" xr:uid="{00000000-0005-0000-0000-0000D5270000}"/>
    <cellStyle name="Normal 2 52 4 2 13" xfId="10215" xr:uid="{00000000-0005-0000-0000-0000D6270000}"/>
    <cellStyle name="Normal 2 52 4 2 13 2" xfId="10216" xr:uid="{00000000-0005-0000-0000-0000D7270000}"/>
    <cellStyle name="Normal 2 52 4 2 13 3" xfId="10217" xr:uid="{00000000-0005-0000-0000-0000D8270000}"/>
    <cellStyle name="Normal 2 52 4 2 14" xfId="10218" xr:uid="{00000000-0005-0000-0000-0000D9270000}"/>
    <cellStyle name="Normal 2 52 4 2 14 2" xfId="10219" xr:uid="{00000000-0005-0000-0000-0000DA270000}"/>
    <cellStyle name="Normal 2 52 4 2 14 3" xfId="10220" xr:uid="{00000000-0005-0000-0000-0000DB270000}"/>
    <cellStyle name="Normal 2 52 4 2 15" xfId="10221" xr:uid="{00000000-0005-0000-0000-0000DC270000}"/>
    <cellStyle name="Normal 2 52 4 2 16" xfId="10222" xr:uid="{00000000-0005-0000-0000-0000DD270000}"/>
    <cellStyle name="Normal 2 52 4 2 2" xfId="10223" xr:uid="{00000000-0005-0000-0000-0000DE270000}"/>
    <cellStyle name="Normal 2 52 4 2 2 2" xfId="10224" xr:uid="{00000000-0005-0000-0000-0000DF270000}"/>
    <cellStyle name="Normal 2 52 4 2 2 3" xfId="10225" xr:uid="{00000000-0005-0000-0000-0000E0270000}"/>
    <cellStyle name="Normal 2 52 4 2 3" xfId="10226" xr:uid="{00000000-0005-0000-0000-0000E1270000}"/>
    <cellStyle name="Normal 2 52 4 2 3 2" xfId="10227" xr:uid="{00000000-0005-0000-0000-0000E2270000}"/>
    <cellStyle name="Normal 2 52 4 2 3 3" xfId="10228" xr:uid="{00000000-0005-0000-0000-0000E3270000}"/>
    <cellStyle name="Normal 2 52 4 2 4" xfId="10229" xr:uid="{00000000-0005-0000-0000-0000E4270000}"/>
    <cellStyle name="Normal 2 52 4 2 4 2" xfId="10230" xr:uid="{00000000-0005-0000-0000-0000E5270000}"/>
    <cellStyle name="Normal 2 52 4 2 4 3" xfId="10231" xr:uid="{00000000-0005-0000-0000-0000E6270000}"/>
    <cellStyle name="Normal 2 52 4 2 5" xfId="10232" xr:uid="{00000000-0005-0000-0000-0000E7270000}"/>
    <cellStyle name="Normal 2 52 4 2 5 2" xfId="10233" xr:uid="{00000000-0005-0000-0000-0000E8270000}"/>
    <cellStyle name="Normal 2 52 4 2 5 3" xfId="10234" xr:uid="{00000000-0005-0000-0000-0000E9270000}"/>
    <cellStyle name="Normal 2 52 4 2 6" xfId="10235" xr:uid="{00000000-0005-0000-0000-0000EA270000}"/>
    <cellStyle name="Normal 2 52 4 2 6 2" xfId="10236" xr:uid="{00000000-0005-0000-0000-0000EB270000}"/>
    <cellStyle name="Normal 2 52 4 2 6 3" xfId="10237" xr:uid="{00000000-0005-0000-0000-0000EC270000}"/>
    <cellStyle name="Normal 2 52 4 2 7" xfId="10238" xr:uid="{00000000-0005-0000-0000-0000ED270000}"/>
    <cellStyle name="Normal 2 52 4 2 7 2" xfId="10239" xr:uid="{00000000-0005-0000-0000-0000EE270000}"/>
    <cellStyle name="Normal 2 52 4 2 7 3" xfId="10240" xr:uid="{00000000-0005-0000-0000-0000EF270000}"/>
    <cellStyle name="Normal 2 52 4 2 8" xfId="10241" xr:uid="{00000000-0005-0000-0000-0000F0270000}"/>
    <cellStyle name="Normal 2 52 4 2 8 2" xfId="10242" xr:uid="{00000000-0005-0000-0000-0000F1270000}"/>
    <cellStyle name="Normal 2 52 4 2 8 3" xfId="10243" xr:uid="{00000000-0005-0000-0000-0000F2270000}"/>
    <cellStyle name="Normal 2 52 4 2 9" xfId="10244" xr:uid="{00000000-0005-0000-0000-0000F3270000}"/>
    <cellStyle name="Normal 2 52 4 2 9 2" xfId="10245" xr:uid="{00000000-0005-0000-0000-0000F4270000}"/>
    <cellStyle name="Normal 2 52 4 2 9 3" xfId="10246" xr:uid="{00000000-0005-0000-0000-0000F5270000}"/>
    <cellStyle name="Normal 2 52 4 3" xfId="10247" xr:uid="{00000000-0005-0000-0000-0000F6270000}"/>
    <cellStyle name="Normal 2 52 4 3 2" xfId="10248" xr:uid="{00000000-0005-0000-0000-0000F7270000}"/>
    <cellStyle name="Normal 2 52 4 3 3" xfId="10249" xr:uid="{00000000-0005-0000-0000-0000F8270000}"/>
    <cellStyle name="Normal 2 52 4 4" xfId="10250" xr:uid="{00000000-0005-0000-0000-0000F9270000}"/>
    <cellStyle name="Normal 2 52 4 4 2" xfId="10251" xr:uid="{00000000-0005-0000-0000-0000FA270000}"/>
    <cellStyle name="Normal 2 52 4 4 3" xfId="10252" xr:uid="{00000000-0005-0000-0000-0000FB270000}"/>
    <cellStyle name="Normal 2 52 4 5" xfId="10253" xr:uid="{00000000-0005-0000-0000-0000FC270000}"/>
    <cellStyle name="Normal 2 52 4 5 2" xfId="10254" xr:uid="{00000000-0005-0000-0000-0000FD270000}"/>
    <cellStyle name="Normal 2 52 4 5 3" xfId="10255" xr:uid="{00000000-0005-0000-0000-0000FE270000}"/>
    <cellStyle name="Normal 2 52 4 6" xfId="10256" xr:uid="{00000000-0005-0000-0000-0000FF270000}"/>
    <cellStyle name="Normal 2 52 4 6 2" xfId="10257" xr:uid="{00000000-0005-0000-0000-000000280000}"/>
    <cellStyle name="Normal 2 52 4 6 3" xfId="10258" xr:uid="{00000000-0005-0000-0000-000001280000}"/>
    <cellStyle name="Normal 2 52 4 7" xfId="10259" xr:uid="{00000000-0005-0000-0000-000002280000}"/>
    <cellStyle name="Normal 2 52 4 7 2" xfId="10260" xr:uid="{00000000-0005-0000-0000-000003280000}"/>
    <cellStyle name="Normal 2 52 4 7 3" xfId="10261" xr:uid="{00000000-0005-0000-0000-000004280000}"/>
    <cellStyle name="Normal 2 52 4 8" xfId="10262" xr:uid="{00000000-0005-0000-0000-000005280000}"/>
    <cellStyle name="Normal 2 52 4 8 2" xfId="10263" xr:uid="{00000000-0005-0000-0000-000006280000}"/>
    <cellStyle name="Normal 2 52 4 8 3" xfId="10264" xr:uid="{00000000-0005-0000-0000-000007280000}"/>
    <cellStyle name="Normal 2 52 4 9" xfId="10265" xr:uid="{00000000-0005-0000-0000-000008280000}"/>
    <cellStyle name="Normal 2 52 4 9 2" xfId="10266" xr:uid="{00000000-0005-0000-0000-000009280000}"/>
    <cellStyle name="Normal 2 52 4 9 3" xfId="10267" xr:uid="{00000000-0005-0000-0000-00000A280000}"/>
    <cellStyle name="Normal 2 52 5" xfId="10268" xr:uid="{00000000-0005-0000-0000-00000B280000}"/>
    <cellStyle name="Normal 2 52 5 10" xfId="10269" xr:uid="{00000000-0005-0000-0000-00000C280000}"/>
    <cellStyle name="Normal 2 52 5 10 2" xfId="10270" xr:uid="{00000000-0005-0000-0000-00000D280000}"/>
    <cellStyle name="Normal 2 52 5 10 3" xfId="10271" xr:uid="{00000000-0005-0000-0000-00000E280000}"/>
    <cellStyle name="Normal 2 52 5 11" xfId="10272" xr:uid="{00000000-0005-0000-0000-00000F280000}"/>
    <cellStyle name="Normal 2 52 5 11 2" xfId="10273" xr:uid="{00000000-0005-0000-0000-000010280000}"/>
    <cellStyle name="Normal 2 52 5 11 3" xfId="10274" xr:uid="{00000000-0005-0000-0000-000011280000}"/>
    <cellStyle name="Normal 2 52 5 12" xfId="10275" xr:uid="{00000000-0005-0000-0000-000012280000}"/>
    <cellStyle name="Normal 2 52 5 12 2" xfId="10276" xr:uid="{00000000-0005-0000-0000-000013280000}"/>
    <cellStyle name="Normal 2 52 5 12 3" xfId="10277" xr:uid="{00000000-0005-0000-0000-000014280000}"/>
    <cellStyle name="Normal 2 52 5 13" xfId="10278" xr:uid="{00000000-0005-0000-0000-000015280000}"/>
    <cellStyle name="Normal 2 52 5 13 2" xfId="10279" xr:uid="{00000000-0005-0000-0000-000016280000}"/>
    <cellStyle name="Normal 2 52 5 13 3" xfId="10280" xr:uid="{00000000-0005-0000-0000-000017280000}"/>
    <cellStyle name="Normal 2 52 5 14" xfId="10281" xr:uid="{00000000-0005-0000-0000-000018280000}"/>
    <cellStyle name="Normal 2 52 5 14 2" xfId="10282" xr:uid="{00000000-0005-0000-0000-000019280000}"/>
    <cellStyle name="Normal 2 52 5 14 3" xfId="10283" xr:uid="{00000000-0005-0000-0000-00001A280000}"/>
    <cellStyle name="Normal 2 52 5 15" xfId="10284" xr:uid="{00000000-0005-0000-0000-00001B280000}"/>
    <cellStyle name="Normal 2 52 5 16" xfId="10285" xr:uid="{00000000-0005-0000-0000-00001C280000}"/>
    <cellStyle name="Normal 2 52 5 2" xfId="10286" xr:uid="{00000000-0005-0000-0000-00001D280000}"/>
    <cellStyle name="Normal 2 52 5 2 2" xfId="10287" xr:uid="{00000000-0005-0000-0000-00001E280000}"/>
    <cellStyle name="Normal 2 52 5 2 3" xfId="10288" xr:uid="{00000000-0005-0000-0000-00001F280000}"/>
    <cellStyle name="Normal 2 52 5 3" xfId="10289" xr:uid="{00000000-0005-0000-0000-000020280000}"/>
    <cellStyle name="Normal 2 52 5 3 2" xfId="10290" xr:uid="{00000000-0005-0000-0000-000021280000}"/>
    <cellStyle name="Normal 2 52 5 3 3" xfId="10291" xr:uid="{00000000-0005-0000-0000-000022280000}"/>
    <cellStyle name="Normal 2 52 5 4" xfId="10292" xr:uid="{00000000-0005-0000-0000-000023280000}"/>
    <cellStyle name="Normal 2 52 5 4 2" xfId="10293" xr:uid="{00000000-0005-0000-0000-000024280000}"/>
    <cellStyle name="Normal 2 52 5 4 3" xfId="10294" xr:uid="{00000000-0005-0000-0000-000025280000}"/>
    <cellStyle name="Normal 2 52 5 5" xfId="10295" xr:uid="{00000000-0005-0000-0000-000026280000}"/>
    <cellStyle name="Normal 2 52 5 5 2" xfId="10296" xr:uid="{00000000-0005-0000-0000-000027280000}"/>
    <cellStyle name="Normal 2 52 5 5 3" xfId="10297" xr:uid="{00000000-0005-0000-0000-000028280000}"/>
    <cellStyle name="Normal 2 52 5 6" xfId="10298" xr:uid="{00000000-0005-0000-0000-000029280000}"/>
    <cellStyle name="Normal 2 52 5 6 2" xfId="10299" xr:uid="{00000000-0005-0000-0000-00002A280000}"/>
    <cellStyle name="Normal 2 52 5 6 3" xfId="10300" xr:uid="{00000000-0005-0000-0000-00002B280000}"/>
    <cellStyle name="Normal 2 52 5 7" xfId="10301" xr:uid="{00000000-0005-0000-0000-00002C280000}"/>
    <cellStyle name="Normal 2 52 5 7 2" xfId="10302" xr:uid="{00000000-0005-0000-0000-00002D280000}"/>
    <cellStyle name="Normal 2 52 5 7 3" xfId="10303" xr:uid="{00000000-0005-0000-0000-00002E280000}"/>
    <cellStyle name="Normal 2 52 5 8" xfId="10304" xr:uid="{00000000-0005-0000-0000-00002F280000}"/>
    <cellStyle name="Normal 2 52 5 8 2" xfId="10305" xr:uid="{00000000-0005-0000-0000-000030280000}"/>
    <cellStyle name="Normal 2 52 5 8 3" xfId="10306" xr:uid="{00000000-0005-0000-0000-000031280000}"/>
    <cellStyle name="Normal 2 52 5 9" xfId="10307" xr:uid="{00000000-0005-0000-0000-000032280000}"/>
    <cellStyle name="Normal 2 52 5 9 2" xfId="10308" xr:uid="{00000000-0005-0000-0000-000033280000}"/>
    <cellStyle name="Normal 2 52 5 9 3" xfId="10309" xr:uid="{00000000-0005-0000-0000-000034280000}"/>
    <cellStyle name="Normal 2 52 6" xfId="10310" xr:uid="{00000000-0005-0000-0000-000035280000}"/>
    <cellStyle name="Normal 2 52 6 10" xfId="10311" xr:uid="{00000000-0005-0000-0000-000036280000}"/>
    <cellStyle name="Normal 2 52 6 10 2" xfId="10312" xr:uid="{00000000-0005-0000-0000-000037280000}"/>
    <cellStyle name="Normal 2 52 6 10 3" xfId="10313" xr:uid="{00000000-0005-0000-0000-000038280000}"/>
    <cellStyle name="Normal 2 52 6 11" xfId="10314" xr:uid="{00000000-0005-0000-0000-000039280000}"/>
    <cellStyle name="Normal 2 52 6 11 2" xfId="10315" xr:uid="{00000000-0005-0000-0000-00003A280000}"/>
    <cellStyle name="Normal 2 52 6 11 3" xfId="10316" xr:uid="{00000000-0005-0000-0000-00003B280000}"/>
    <cellStyle name="Normal 2 52 6 12" xfId="10317" xr:uid="{00000000-0005-0000-0000-00003C280000}"/>
    <cellStyle name="Normal 2 52 6 12 2" xfId="10318" xr:uid="{00000000-0005-0000-0000-00003D280000}"/>
    <cellStyle name="Normal 2 52 6 12 3" xfId="10319" xr:uid="{00000000-0005-0000-0000-00003E280000}"/>
    <cellStyle name="Normal 2 52 6 13" xfId="10320" xr:uid="{00000000-0005-0000-0000-00003F280000}"/>
    <cellStyle name="Normal 2 52 6 13 2" xfId="10321" xr:uid="{00000000-0005-0000-0000-000040280000}"/>
    <cellStyle name="Normal 2 52 6 13 3" xfId="10322" xr:uid="{00000000-0005-0000-0000-000041280000}"/>
    <cellStyle name="Normal 2 52 6 14" xfId="10323" xr:uid="{00000000-0005-0000-0000-000042280000}"/>
    <cellStyle name="Normal 2 52 6 14 2" xfId="10324" xr:uid="{00000000-0005-0000-0000-000043280000}"/>
    <cellStyle name="Normal 2 52 6 14 3" xfId="10325" xr:uid="{00000000-0005-0000-0000-000044280000}"/>
    <cellStyle name="Normal 2 52 6 15" xfId="10326" xr:uid="{00000000-0005-0000-0000-000045280000}"/>
    <cellStyle name="Normal 2 52 6 16" xfId="10327" xr:uid="{00000000-0005-0000-0000-000046280000}"/>
    <cellStyle name="Normal 2 52 6 2" xfId="10328" xr:uid="{00000000-0005-0000-0000-000047280000}"/>
    <cellStyle name="Normal 2 52 6 2 2" xfId="10329" xr:uid="{00000000-0005-0000-0000-000048280000}"/>
    <cellStyle name="Normal 2 52 6 2 3" xfId="10330" xr:uid="{00000000-0005-0000-0000-000049280000}"/>
    <cellStyle name="Normal 2 52 6 3" xfId="10331" xr:uid="{00000000-0005-0000-0000-00004A280000}"/>
    <cellStyle name="Normal 2 52 6 3 2" xfId="10332" xr:uid="{00000000-0005-0000-0000-00004B280000}"/>
    <cellStyle name="Normal 2 52 6 3 3" xfId="10333" xr:uid="{00000000-0005-0000-0000-00004C280000}"/>
    <cellStyle name="Normal 2 52 6 4" xfId="10334" xr:uid="{00000000-0005-0000-0000-00004D280000}"/>
    <cellStyle name="Normal 2 52 6 4 2" xfId="10335" xr:uid="{00000000-0005-0000-0000-00004E280000}"/>
    <cellStyle name="Normal 2 52 6 4 3" xfId="10336" xr:uid="{00000000-0005-0000-0000-00004F280000}"/>
    <cellStyle name="Normal 2 52 6 5" xfId="10337" xr:uid="{00000000-0005-0000-0000-000050280000}"/>
    <cellStyle name="Normal 2 52 6 5 2" xfId="10338" xr:uid="{00000000-0005-0000-0000-000051280000}"/>
    <cellStyle name="Normal 2 52 6 5 3" xfId="10339" xr:uid="{00000000-0005-0000-0000-000052280000}"/>
    <cellStyle name="Normal 2 52 6 6" xfId="10340" xr:uid="{00000000-0005-0000-0000-000053280000}"/>
    <cellStyle name="Normal 2 52 6 6 2" xfId="10341" xr:uid="{00000000-0005-0000-0000-000054280000}"/>
    <cellStyle name="Normal 2 52 6 6 3" xfId="10342" xr:uid="{00000000-0005-0000-0000-000055280000}"/>
    <cellStyle name="Normal 2 52 6 7" xfId="10343" xr:uid="{00000000-0005-0000-0000-000056280000}"/>
    <cellStyle name="Normal 2 52 6 7 2" xfId="10344" xr:uid="{00000000-0005-0000-0000-000057280000}"/>
    <cellStyle name="Normal 2 52 6 7 3" xfId="10345" xr:uid="{00000000-0005-0000-0000-000058280000}"/>
    <cellStyle name="Normal 2 52 6 8" xfId="10346" xr:uid="{00000000-0005-0000-0000-000059280000}"/>
    <cellStyle name="Normal 2 52 6 8 2" xfId="10347" xr:uid="{00000000-0005-0000-0000-00005A280000}"/>
    <cellStyle name="Normal 2 52 6 8 3" xfId="10348" xr:uid="{00000000-0005-0000-0000-00005B280000}"/>
    <cellStyle name="Normal 2 52 6 9" xfId="10349" xr:uid="{00000000-0005-0000-0000-00005C280000}"/>
    <cellStyle name="Normal 2 52 6 9 2" xfId="10350" xr:uid="{00000000-0005-0000-0000-00005D280000}"/>
    <cellStyle name="Normal 2 52 6 9 3" xfId="10351" xr:uid="{00000000-0005-0000-0000-00005E280000}"/>
    <cellStyle name="Normal 2 52 7" xfId="10352" xr:uid="{00000000-0005-0000-0000-00005F280000}"/>
    <cellStyle name="Normal 2 52 7 10" xfId="10353" xr:uid="{00000000-0005-0000-0000-000060280000}"/>
    <cellStyle name="Normal 2 52 7 10 2" xfId="10354" xr:uid="{00000000-0005-0000-0000-000061280000}"/>
    <cellStyle name="Normal 2 52 7 10 3" xfId="10355" xr:uid="{00000000-0005-0000-0000-000062280000}"/>
    <cellStyle name="Normal 2 52 7 11" xfId="10356" xr:uid="{00000000-0005-0000-0000-000063280000}"/>
    <cellStyle name="Normal 2 52 7 11 2" xfId="10357" xr:uid="{00000000-0005-0000-0000-000064280000}"/>
    <cellStyle name="Normal 2 52 7 11 3" xfId="10358" xr:uid="{00000000-0005-0000-0000-000065280000}"/>
    <cellStyle name="Normal 2 52 7 12" xfId="10359" xr:uid="{00000000-0005-0000-0000-000066280000}"/>
    <cellStyle name="Normal 2 52 7 12 2" xfId="10360" xr:uid="{00000000-0005-0000-0000-000067280000}"/>
    <cellStyle name="Normal 2 52 7 12 3" xfId="10361" xr:uid="{00000000-0005-0000-0000-000068280000}"/>
    <cellStyle name="Normal 2 52 7 13" xfId="10362" xr:uid="{00000000-0005-0000-0000-000069280000}"/>
    <cellStyle name="Normal 2 52 7 13 2" xfId="10363" xr:uid="{00000000-0005-0000-0000-00006A280000}"/>
    <cellStyle name="Normal 2 52 7 13 3" xfId="10364" xr:uid="{00000000-0005-0000-0000-00006B280000}"/>
    <cellStyle name="Normal 2 52 7 14" xfId="10365" xr:uid="{00000000-0005-0000-0000-00006C280000}"/>
    <cellStyle name="Normal 2 52 7 14 2" xfId="10366" xr:uid="{00000000-0005-0000-0000-00006D280000}"/>
    <cellStyle name="Normal 2 52 7 14 3" xfId="10367" xr:uid="{00000000-0005-0000-0000-00006E280000}"/>
    <cellStyle name="Normal 2 52 7 15" xfId="10368" xr:uid="{00000000-0005-0000-0000-00006F280000}"/>
    <cellStyle name="Normal 2 52 7 16" xfId="10369" xr:uid="{00000000-0005-0000-0000-000070280000}"/>
    <cellStyle name="Normal 2 52 7 2" xfId="10370" xr:uid="{00000000-0005-0000-0000-000071280000}"/>
    <cellStyle name="Normal 2 52 7 2 2" xfId="10371" xr:uid="{00000000-0005-0000-0000-000072280000}"/>
    <cellStyle name="Normal 2 52 7 2 3" xfId="10372" xr:uid="{00000000-0005-0000-0000-000073280000}"/>
    <cellStyle name="Normal 2 52 7 3" xfId="10373" xr:uid="{00000000-0005-0000-0000-000074280000}"/>
    <cellStyle name="Normal 2 52 7 3 2" xfId="10374" xr:uid="{00000000-0005-0000-0000-000075280000}"/>
    <cellStyle name="Normal 2 52 7 3 3" xfId="10375" xr:uid="{00000000-0005-0000-0000-000076280000}"/>
    <cellStyle name="Normal 2 52 7 4" xfId="10376" xr:uid="{00000000-0005-0000-0000-000077280000}"/>
    <cellStyle name="Normal 2 52 7 4 2" xfId="10377" xr:uid="{00000000-0005-0000-0000-000078280000}"/>
    <cellStyle name="Normal 2 52 7 4 3" xfId="10378" xr:uid="{00000000-0005-0000-0000-000079280000}"/>
    <cellStyle name="Normal 2 52 7 5" xfId="10379" xr:uid="{00000000-0005-0000-0000-00007A280000}"/>
    <cellStyle name="Normal 2 52 7 5 2" xfId="10380" xr:uid="{00000000-0005-0000-0000-00007B280000}"/>
    <cellStyle name="Normal 2 52 7 5 3" xfId="10381" xr:uid="{00000000-0005-0000-0000-00007C280000}"/>
    <cellStyle name="Normal 2 52 7 6" xfId="10382" xr:uid="{00000000-0005-0000-0000-00007D280000}"/>
    <cellStyle name="Normal 2 52 7 6 2" xfId="10383" xr:uid="{00000000-0005-0000-0000-00007E280000}"/>
    <cellStyle name="Normal 2 52 7 6 3" xfId="10384" xr:uid="{00000000-0005-0000-0000-00007F280000}"/>
    <cellStyle name="Normal 2 52 7 7" xfId="10385" xr:uid="{00000000-0005-0000-0000-000080280000}"/>
    <cellStyle name="Normal 2 52 7 7 2" xfId="10386" xr:uid="{00000000-0005-0000-0000-000081280000}"/>
    <cellStyle name="Normal 2 52 7 7 3" xfId="10387" xr:uid="{00000000-0005-0000-0000-000082280000}"/>
    <cellStyle name="Normal 2 52 7 8" xfId="10388" xr:uid="{00000000-0005-0000-0000-000083280000}"/>
    <cellStyle name="Normal 2 52 7 8 2" xfId="10389" xr:uid="{00000000-0005-0000-0000-000084280000}"/>
    <cellStyle name="Normal 2 52 7 8 3" xfId="10390" xr:uid="{00000000-0005-0000-0000-000085280000}"/>
    <cellStyle name="Normal 2 52 7 9" xfId="10391" xr:uid="{00000000-0005-0000-0000-000086280000}"/>
    <cellStyle name="Normal 2 52 7 9 2" xfId="10392" xr:uid="{00000000-0005-0000-0000-000087280000}"/>
    <cellStyle name="Normal 2 52 7 9 3" xfId="10393" xr:uid="{00000000-0005-0000-0000-000088280000}"/>
    <cellStyle name="Normal 2 52 8" xfId="10394" xr:uid="{00000000-0005-0000-0000-000089280000}"/>
    <cellStyle name="Normal 2 52 8 10" xfId="10395" xr:uid="{00000000-0005-0000-0000-00008A280000}"/>
    <cellStyle name="Normal 2 52 8 10 2" xfId="10396" xr:uid="{00000000-0005-0000-0000-00008B280000}"/>
    <cellStyle name="Normal 2 52 8 10 3" xfId="10397" xr:uid="{00000000-0005-0000-0000-00008C280000}"/>
    <cellStyle name="Normal 2 52 8 11" xfId="10398" xr:uid="{00000000-0005-0000-0000-00008D280000}"/>
    <cellStyle name="Normal 2 52 8 11 2" xfId="10399" xr:uid="{00000000-0005-0000-0000-00008E280000}"/>
    <cellStyle name="Normal 2 52 8 11 3" xfId="10400" xr:uid="{00000000-0005-0000-0000-00008F280000}"/>
    <cellStyle name="Normal 2 52 8 12" xfId="10401" xr:uid="{00000000-0005-0000-0000-000090280000}"/>
    <cellStyle name="Normal 2 52 8 12 2" xfId="10402" xr:uid="{00000000-0005-0000-0000-000091280000}"/>
    <cellStyle name="Normal 2 52 8 12 3" xfId="10403" xr:uid="{00000000-0005-0000-0000-000092280000}"/>
    <cellStyle name="Normal 2 52 8 13" xfId="10404" xr:uid="{00000000-0005-0000-0000-000093280000}"/>
    <cellStyle name="Normal 2 52 8 13 2" xfId="10405" xr:uid="{00000000-0005-0000-0000-000094280000}"/>
    <cellStyle name="Normal 2 52 8 13 3" xfId="10406" xr:uid="{00000000-0005-0000-0000-000095280000}"/>
    <cellStyle name="Normal 2 52 8 14" xfId="10407" xr:uid="{00000000-0005-0000-0000-000096280000}"/>
    <cellStyle name="Normal 2 52 8 14 2" xfId="10408" xr:uid="{00000000-0005-0000-0000-000097280000}"/>
    <cellStyle name="Normal 2 52 8 14 3" xfId="10409" xr:uid="{00000000-0005-0000-0000-000098280000}"/>
    <cellStyle name="Normal 2 52 8 15" xfId="10410" xr:uid="{00000000-0005-0000-0000-000099280000}"/>
    <cellStyle name="Normal 2 52 8 16" xfId="10411" xr:uid="{00000000-0005-0000-0000-00009A280000}"/>
    <cellStyle name="Normal 2 52 8 2" xfId="10412" xr:uid="{00000000-0005-0000-0000-00009B280000}"/>
    <cellStyle name="Normal 2 52 8 2 2" xfId="10413" xr:uid="{00000000-0005-0000-0000-00009C280000}"/>
    <cellStyle name="Normal 2 52 8 2 3" xfId="10414" xr:uid="{00000000-0005-0000-0000-00009D280000}"/>
    <cellStyle name="Normal 2 52 8 3" xfId="10415" xr:uid="{00000000-0005-0000-0000-00009E280000}"/>
    <cellStyle name="Normal 2 52 8 3 2" xfId="10416" xr:uid="{00000000-0005-0000-0000-00009F280000}"/>
    <cellStyle name="Normal 2 52 8 3 3" xfId="10417" xr:uid="{00000000-0005-0000-0000-0000A0280000}"/>
    <cellStyle name="Normal 2 52 8 4" xfId="10418" xr:uid="{00000000-0005-0000-0000-0000A1280000}"/>
    <cellStyle name="Normal 2 52 8 4 2" xfId="10419" xr:uid="{00000000-0005-0000-0000-0000A2280000}"/>
    <cellStyle name="Normal 2 52 8 4 3" xfId="10420" xr:uid="{00000000-0005-0000-0000-0000A3280000}"/>
    <cellStyle name="Normal 2 52 8 5" xfId="10421" xr:uid="{00000000-0005-0000-0000-0000A4280000}"/>
    <cellStyle name="Normal 2 52 8 5 2" xfId="10422" xr:uid="{00000000-0005-0000-0000-0000A5280000}"/>
    <cellStyle name="Normal 2 52 8 5 3" xfId="10423" xr:uid="{00000000-0005-0000-0000-0000A6280000}"/>
    <cellStyle name="Normal 2 52 8 6" xfId="10424" xr:uid="{00000000-0005-0000-0000-0000A7280000}"/>
    <cellStyle name="Normal 2 52 8 6 2" xfId="10425" xr:uid="{00000000-0005-0000-0000-0000A8280000}"/>
    <cellStyle name="Normal 2 52 8 6 3" xfId="10426" xr:uid="{00000000-0005-0000-0000-0000A9280000}"/>
    <cellStyle name="Normal 2 52 8 7" xfId="10427" xr:uid="{00000000-0005-0000-0000-0000AA280000}"/>
    <cellStyle name="Normal 2 52 8 7 2" xfId="10428" xr:uid="{00000000-0005-0000-0000-0000AB280000}"/>
    <cellStyle name="Normal 2 52 8 7 3" xfId="10429" xr:uid="{00000000-0005-0000-0000-0000AC280000}"/>
    <cellStyle name="Normal 2 52 8 8" xfId="10430" xr:uid="{00000000-0005-0000-0000-0000AD280000}"/>
    <cellStyle name="Normal 2 52 8 8 2" xfId="10431" xr:uid="{00000000-0005-0000-0000-0000AE280000}"/>
    <cellStyle name="Normal 2 52 8 8 3" xfId="10432" xr:uid="{00000000-0005-0000-0000-0000AF280000}"/>
    <cellStyle name="Normal 2 52 8 9" xfId="10433" xr:uid="{00000000-0005-0000-0000-0000B0280000}"/>
    <cellStyle name="Normal 2 52 8 9 2" xfId="10434" xr:uid="{00000000-0005-0000-0000-0000B1280000}"/>
    <cellStyle name="Normal 2 52 8 9 3" xfId="10435" xr:uid="{00000000-0005-0000-0000-0000B2280000}"/>
    <cellStyle name="Normal 2 52 9" xfId="10436" xr:uid="{00000000-0005-0000-0000-0000B3280000}"/>
    <cellStyle name="Normal 2 52 9 10" xfId="10437" xr:uid="{00000000-0005-0000-0000-0000B4280000}"/>
    <cellStyle name="Normal 2 52 9 10 2" xfId="10438" xr:uid="{00000000-0005-0000-0000-0000B5280000}"/>
    <cellStyle name="Normal 2 52 9 10 3" xfId="10439" xr:uid="{00000000-0005-0000-0000-0000B6280000}"/>
    <cellStyle name="Normal 2 52 9 11" xfId="10440" xr:uid="{00000000-0005-0000-0000-0000B7280000}"/>
    <cellStyle name="Normal 2 52 9 11 2" xfId="10441" xr:uid="{00000000-0005-0000-0000-0000B8280000}"/>
    <cellStyle name="Normal 2 52 9 11 3" xfId="10442" xr:uid="{00000000-0005-0000-0000-0000B9280000}"/>
    <cellStyle name="Normal 2 52 9 12" xfId="10443" xr:uid="{00000000-0005-0000-0000-0000BA280000}"/>
    <cellStyle name="Normal 2 52 9 12 2" xfId="10444" xr:uid="{00000000-0005-0000-0000-0000BB280000}"/>
    <cellStyle name="Normal 2 52 9 12 3" xfId="10445" xr:uid="{00000000-0005-0000-0000-0000BC280000}"/>
    <cellStyle name="Normal 2 52 9 13" xfId="10446" xr:uid="{00000000-0005-0000-0000-0000BD280000}"/>
    <cellStyle name="Normal 2 52 9 13 2" xfId="10447" xr:uid="{00000000-0005-0000-0000-0000BE280000}"/>
    <cellStyle name="Normal 2 52 9 13 3" xfId="10448" xr:uid="{00000000-0005-0000-0000-0000BF280000}"/>
    <cellStyle name="Normal 2 52 9 14" xfId="10449" xr:uid="{00000000-0005-0000-0000-0000C0280000}"/>
    <cellStyle name="Normal 2 52 9 14 2" xfId="10450" xr:uid="{00000000-0005-0000-0000-0000C1280000}"/>
    <cellStyle name="Normal 2 52 9 14 3" xfId="10451" xr:uid="{00000000-0005-0000-0000-0000C2280000}"/>
    <cellStyle name="Normal 2 52 9 15" xfId="10452" xr:uid="{00000000-0005-0000-0000-0000C3280000}"/>
    <cellStyle name="Normal 2 52 9 16" xfId="10453" xr:uid="{00000000-0005-0000-0000-0000C4280000}"/>
    <cellStyle name="Normal 2 52 9 2" xfId="10454" xr:uid="{00000000-0005-0000-0000-0000C5280000}"/>
    <cellStyle name="Normal 2 52 9 2 2" xfId="10455" xr:uid="{00000000-0005-0000-0000-0000C6280000}"/>
    <cellStyle name="Normal 2 52 9 2 3" xfId="10456" xr:uid="{00000000-0005-0000-0000-0000C7280000}"/>
    <cellStyle name="Normal 2 52 9 3" xfId="10457" xr:uid="{00000000-0005-0000-0000-0000C8280000}"/>
    <cellStyle name="Normal 2 52 9 3 2" xfId="10458" xr:uid="{00000000-0005-0000-0000-0000C9280000}"/>
    <cellStyle name="Normal 2 52 9 3 3" xfId="10459" xr:uid="{00000000-0005-0000-0000-0000CA280000}"/>
    <cellStyle name="Normal 2 52 9 4" xfId="10460" xr:uid="{00000000-0005-0000-0000-0000CB280000}"/>
    <cellStyle name="Normal 2 52 9 4 2" xfId="10461" xr:uid="{00000000-0005-0000-0000-0000CC280000}"/>
    <cellStyle name="Normal 2 52 9 4 3" xfId="10462" xr:uid="{00000000-0005-0000-0000-0000CD280000}"/>
    <cellStyle name="Normal 2 52 9 5" xfId="10463" xr:uid="{00000000-0005-0000-0000-0000CE280000}"/>
    <cellStyle name="Normal 2 52 9 5 2" xfId="10464" xr:uid="{00000000-0005-0000-0000-0000CF280000}"/>
    <cellStyle name="Normal 2 52 9 5 3" xfId="10465" xr:uid="{00000000-0005-0000-0000-0000D0280000}"/>
    <cellStyle name="Normal 2 52 9 6" xfId="10466" xr:uid="{00000000-0005-0000-0000-0000D1280000}"/>
    <cellStyle name="Normal 2 52 9 6 2" xfId="10467" xr:uid="{00000000-0005-0000-0000-0000D2280000}"/>
    <cellStyle name="Normal 2 52 9 6 3" xfId="10468" xr:uid="{00000000-0005-0000-0000-0000D3280000}"/>
    <cellStyle name="Normal 2 52 9 7" xfId="10469" xr:uid="{00000000-0005-0000-0000-0000D4280000}"/>
    <cellStyle name="Normal 2 52 9 7 2" xfId="10470" xr:uid="{00000000-0005-0000-0000-0000D5280000}"/>
    <cellStyle name="Normal 2 52 9 7 3" xfId="10471" xr:uid="{00000000-0005-0000-0000-0000D6280000}"/>
    <cellStyle name="Normal 2 52 9 8" xfId="10472" xr:uid="{00000000-0005-0000-0000-0000D7280000}"/>
    <cellStyle name="Normal 2 52 9 8 2" xfId="10473" xr:uid="{00000000-0005-0000-0000-0000D8280000}"/>
    <cellStyle name="Normal 2 52 9 8 3" xfId="10474" xr:uid="{00000000-0005-0000-0000-0000D9280000}"/>
    <cellStyle name="Normal 2 52 9 9" xfId="10475" xr:uid="{00000000-0005-0000-0000-0000DA280000}"/>
    <cellStyle name="Normal 2 52 9 9 2" xfId="10476" xr:uid="{00000000-0005-0000-0000-0000DB280000}"/>
    <cellStyle name="Normal 2 52 9 9 3" xfId="10477" xr:uid="{00000000-0005-0000-0000-0000DC280000}"/>
    <cellStyle name="Normal 2 53" xfId="10478" xr:uid="{00000000-0005-0000-0000-0000DD280000}"/>
    <cellStyle name="Normal 2 53 10" xfId="10479" xr:uid="{00000000-0005-0000-0000-0000DE280000}"/>
    <cellStyle name="Normal 2 53 10 10" xfId="10480" xr:uid="{00000000-0005-0000-0000-0000DF280000}"/>
    <cellStyle name="Normal 2 53 10 10 2" xfId="10481" xr:uid="{00000000-0005-0000-0000-0000E0280000}"/>
    <cellStyle name="Normal 2 53 10 10 3" xfId="10482" xr:uid="{00000000-0005-0000-0000-0000E1280000}"/>
    <cellStyle name="Normal 2 53 10 11" xfId="10483" xr:uid="{00000000-0005-0000-0000-0000E2280000}"/>
    <cellStyle name="Normal 2 53 10 11 2" xfId="10484" xr:uid="{00000000-0005-0000-0000-0000E3280000}"/>
    <cellStyle name="Normal 2 53 10 11 3" xfId="10485" xr:uid="{00000000-0005-0000-0000-0000E4280000}"/>
    <cellStyle name="Normal 2 53 10 12" xfId="10486" xr:uid="{00000000-0005-0000-0000-0000E5280000}"/>
    <cellStyle name="Normal 2 53 10 12 2" xfId="10487" xr:uid="{00000000-0005-0000-0000-0000E6280000}"/>
    <cellStyle name="Normal 2 53 10 12 3" xfId="10488" xr:uid="{00000000-0005-0000-0000-0000E7280000}"/>
    <cellStyle name="Normal 2 53 10 13" xfId="10489" xr:uid="{00000000-0005-0000-0000-0000E8280000}"/>
    <cellStyle name="Normal 2 53 10 13 2" xfId="10490" xr:uid="{00000000-0005-0000-0000-0000E9280000}"/>
    <cellStyle name="Normal 2 53 10 13 3" xfId="10491" xr:uid="{00000000-0005-0000-0000-0000EA280000}"/>
    <cellStyle name="Normal 2 53 10 14" xfId="10492" xr:uid="{00000000-0005-0000-0000-0000EB280000}"/>
    <cellStyle name="Normal 2 53 10 14 2" xfId="10493" xr:uid="{00000000-0005-0000-0000-0000EC280000}"/>
    <cellStyle name="Normal 2 53 10 14 3" xfId="10494" xr:uid="{00000000-0005-0000-0000-0000ED280000}"/>
    <cellStyle name="Normal 2 53 10 15" xfId="10495" xr:uid="{00000000-0005-0000-0000-0000EE280000}"/>
    <cellStyle name="Normal 2 53 10 16" xfId="10496" xr:uid="{00000000-0005-0000-0000-0000EF280000}"/>
    <cellStyle name="Normal 2 53 10 2" xfId="10497" xr:uid="{00000000-0005-0000-0000-0000F0280000}"/>
    <cellStyle name="Normal 2 53 10 2 2" xfId="10498" xr:uid="{00000000-0005-0000-0000-0000F1280000}"/>
    <cellStyle name="Normal 2 53 10 2 3" xfId="10499" xr:uid="{00000000-0005-0000-0000-0000F2280000}"/>
    <cellStyle name="Normal 2 53 10 3" xfId="10500" xr:uid="{00000000-0005-0000-0000-0000F3280000}"/>
    <cellStyle name="Normal 2 53 10 3 2" xfId="10501" xr:uid="{00000000-0005-0000-0000-0000F4280000}"/>
    <cellStyle name="Normal 2 53 10 3 3" xfId="10502" xr:uid="{00000000-0005-0000-0000-0000F5280000}"/>
    <cellStyle name="Normal 2 53 10 4" xfId="10503" xr:uid="{00000000-0005-0000-0000-0000F6280000}"/>
    <cellStyle name="Normal 2 53 10 4 2" xfId="10504" xr:uid="{00000000-0005-0000-0000-0000F7280000}"/>
    <cellStyle name="Normal 2 53 10 4 3" xfId="10505" xr:uid="{00000000-0005-0000-0000-0000F8280000}"/>
    <cellStyle name="Normal 2 53 10 5" xfId="10506" xr:uid="{00000000-0005-0000-0000-0000F9280000}"/>
    <cellStyle name="Normal 2 53 10 5 2" xfId="10507" xr:uid="{00000000-0005-0000-0000-0000FA280000}"/>
    <cellStyle name="Normal 2 53 10 5 3" xfId="10508" xr:uid="{00000000-0005-0000-0000-0000FB280000}"/>
    <cellStyle name="Normal 2 53 10 6" xfId="10509" xr:uid="{00000000-0005-0000-0000-0000FC280000}"/>
    <cellStyle name="Normal 2 53 10 6 2" xfId="10510" xr:uid="{00000000-0005-0000-0000-0000FD280000}"/>
    <cellStyle name="Normal 2 53 10 6 3" xfId="10511" xr:uid="{00000000-0005-0000-0000-0000FE280000}"/>
    <cellStyle name="Normal 2 53 10 7" xfId="10512" xr:uid="{00000000-0005-0000-0000-0000FF280000}"/>
    <cellStyle name="Normal 2 53 10 7 2" xfId="10513" xr:uid="{00000000-0005-0000-0000-000000290000}"/>
    <cellStyle name="Normal 2 53 10 7 3" xfId="10514" xr:uid="{00000000-0005-0000-0000-000001290000}"/>
    <cellStyle name="Normal 2 53 10 8" xfId="10515" xr:uid="{00000000-0005-0000-0000-000002290000}"/>
    <cellStyle name="Normal 2 53 10 8 2" xfId="10516" xr:uid="{00000000-0005-0000-0000-000003290000}"/>
    <cellStyle name="Normal 2 53 10 8 3" xfId="10517" xr:uid="{00000000-0005-0000-0000-000004290000}"/>
    <cellStyle name="Normal 2 53 10 9" xfId="10518" xr:uid="{00000000-0005-0000-0000-000005290000}"/>
    <cellStyle name="Normal 2 53 10 9 2" xfId="10519" xr:uid="{00000000-0005-0000-0000-000006290000}"/>
    <cellStyle name="Normal 2 53 10 9 3" xfId="10520" xr:uid="{00000000-0005-0000-0000-000007290000}"/>
    <cellStyle name="Normal 2 53 11" xfId="10521" xr:uid="{00000000-0005-0000-0000-000008290000}"/>
    <cellStyle name="Normal 2 53 11 2" xfId="10522" xr:uid="{00000000-0005-0000-0000-000009290000}"/>
    <cellStyle name="Normal 2 53 11 3" xfId="10523" xr:uid="{00000000-0005-0000-0000-00000A290000}"/>
    <cellStyle name="Normal 2 53 12" xfId="10524" xr:uid="{00000000-0005-0000-0000-00000B290000}"/>
    <cellStyle name="Normal 2 53 12 2" xfId="10525" xr:uid="{00000000-0005-0000-0000-00000C290000}"/>
    <cellStyle name="Normal 2 53 12 3" xfId="10526" xr:uid="{00000000-0005-0000-0000-00000D290000}"/>
    <cellStyle name="Normal 2 53 13" xfId="10527" xr:uid="{00000000-0005-0000-0000-00000E290000}"/>
    <cellStyle name="Normal 2 53 13 2" xfId="10528" xr:uid="{00000000-0005-0000-0000-00000F290000}"/>
    <cellStyle name="Normal 2 53 13 3" xfId="10529" xr:uid="{00000000-0005-0000-0000-000010290000}"/>
    <cellStyle name="Normal 2 53 14" xfId="10530" xr:uid="{00000000-0005-0000-0000-000011290000}"/>
    <cellStyle name="Normal 2 53 14 2" xfId="10531" xr:uid="{00000000-0005-0000-0000-000012290000}"/>
    <cellStyle name="Normal 2 53 14 3" xfId="10532" xr:uid="{00000000-0005-0000-0000-000013290000}"/>
    <cellStyle name="Normal 2 53 15" xfId="10533" xr:uid="{00000000-0005-0000-0000-000014290000}"/>
    <cellStyle name="Normal 2 53 15 2" xfId="10534" xr:uid="{00000000-0005-0000-0000-000015290000}"/>
    <cellStyle name="Normal 2 53 15 3" xfId="10535" xr:uid="{00000000-0005-0000-0000-000016290000}"/>
    <cellStyle name="Normal 2 53 16" xfId="10536" xr:uid="{00000000-0005-0000-0000-000017290000}"/>
    <cellStyle name="Normal 2 53 16 2" xfId="10537" xr:uid="{00000000-0005-0000-0000-000018290000}"/>
    <cellStyle name="Normal 2 53 16 3" xfId="10538" xr:uid="{00000000-0005-0000-0000-000019290000}"/>
    <cellStyle name="Normal 2 53 17" xfId="10539" xr:uid="{00000000-0005-0000-0000-00001A290000}"/>
    <cellStyle name="Normal 2 53 17 2" xfId="10540" xr:uid="{00000000-0005-0000-0000-00001B290000}"/>
    <cellStyle name="Normal 2 53 17 3" xfId="10541" xr:uid="{00000000-0005-0000-0000-00001C290000}"/>
    <cellStyle name="Normal 2 53 18" xfId="10542" xr:uid="{00000000-0005-0000-0000-00001D290000}"/>
    <cellStyle name="Normal 2 53 18 2" xfId="10543" xr:uid="{00000000-0005-0000-0000-00001E290000}"/>
    <cellStyle name="Normal 2 53 18 3" xfId="10544" xr:uid="{00000000-0005-0000-0000-00001F290000}"/>
    <cellStyle name="Normal 2 53 19" xfId="10545" xr:uid="{00000000-0005-0000-0000-000020290000}"/>
    <cellStyle name="Normal 2 53 19 2" xfId="10546" xr:uid="{00000000-0005-0000-0000-000021290000}"/>
    <cellStyle name="Normal 2 53 19 3" xfId="10547" xr:uid="{00000000-0005-0000-0000-000022290000}"/>
    <cellStyle name="Normal 2 53 2" xfId="10548" xr:uid="{00000000-0005-0000-0000-000023290000}"/>
    <cellStyle name="Normal 2 53 2 10" xfId="10549" xr:uid="{00000000-0005-0000-0000-000024290000}"/>
    <cellStyle name="Normal 2 53 2 10 2" xfId="10550" xr:uid="{00000000-0005-0000-0000-000025290000}"/>
    <cellStyle name="Normal 2 53 2 10 3" xfId="10551" xr:uid="{00000000-0005-0000-0000-000026290000}"/>
    <cellStyle name="Normal 2 53 2 11" xfId="10552" xr:uid="{00000000-0005-0000-0000-000027290000}"/>
    <cellStyle name="Normal 2 53 2 11 2" xfId="10553" xr:uid="{00000000-0005-0000-0000-000028290000}"/>
    <cellStyle name="Normal 2 53 2 11 3" xfId="10554" xr:uid="{00000000-0005-0000-0000-000029290000}"/>
    <cellStyle name="Normal 2 53 2 12" xfId="10555" xr:uid="{00000000-0005-0000-0000-00002A290000}"/>
    <cellStyle name="Normal 2 53 2 12 2" xfId="10556" xr:uid="{00000000-0005-0000-0000-00002B290000}"/>
    <cellStyle name="Normal 2 53 2 12 3" xfId="10557" xr:uid="{00000000-0005-0000-0000-00002C290000}"/>
    <cellStyle name="Normal 2 53 2 13" xfId="10558" xr:uid="{00000000-0005-0000-0000-00002D290000}"/>
    <cellStyle name="Normal 2 53 2 13 2" xfId="10559" xr:uid="{00000000-0005-0000-0000-00002E290000}"/>
    <cellStyle name="Normal 2 53 2 13 3" xfId="10560" xr:uid="{00000000-0005-0000-0000-00002F290000}"/>
    <cellStyle name="Normal 2 53 2 14" xfId="10561" xr:uid="{00000000-0005-0000-0000-000030290000}"/>
    <cellStyle name="Normal 2 53 2 14 2" xfId="10562" xr:uid="{00000000-0005-0000-0000-000031290000}"/>
    <cellStyle name="Normal 2 53 2 14 3" xfId="10563" xr:uid="{00000000-0005-0000-0000-000032290000}"/>
    <cellStyle name="Normal 2 53 2 15" xfId="10564" xr:uid="{00000000-0005-0000-0000-000033290000}"/>
    <cellStyle name="Normal 2 53 2 15 2" xfId="10565" xr:uid="{00000000-0005-0000-0000-000034290000}"/>
    <cellStyle name="Normal 2 53 2 15 3" xfId="10566" xr:uid="{00000000-0005-0000-0000-000035290000}"/>
    <cellStyle name="Normal 2 53 2 16" xfId="10567" xr:uid="{00000000-0005-0000-0000-000036290000}"/>
    <cellStyle name="Normal 2 53 2 17" xfId="10568" xr:uid="{00000000-0005-0000-0000-000037290000}"/>
    <cellStyle name="Normal 2 53 2 2" xfId="10569" xr:uid="{00000000-0005-0000-0000-000038290000}"/>
    <cellStyle name="Normal 2 53 2 2 10" xfId="10570" xr:uid="{00000000-0005-0000-0000-000039290000}"/>
    <cellStyle name="Normal 2 53 2 2 10 2" xfId="10571" xr:uid="{00000000-0005-0000-0000-00003A290000}"/>
    <cellStyle name="Normal 2 53 2 2 10 3" xfId="10572" xr:uid="{00000000-0005-0000-0000-00003B290000}"/>
    <cellStyle name="Normal 2 53 2 2 11" xfId="10573" xr:uid="{00000000-0005-0000-0000-00003C290000}"/>
    <cellStyle name="Normal 2 53 2 2 11 2" xfId="10574" xr:uid="{00000000-0005-0000-0000-00003D290000}"/>
    <cellStyle name="Normal 2 53 2 2 11 3" xfId="10575" xr:uid="{00000000-0005-0000-0000-00003E290000}"/>
    <cellStyle name="Normal 2 53 2 2 12" xfId="10576" xr:uid="{00000000-0005-0000-0000-00003F290000}"/>
    <cellStyle name="Normal 2 53 2 2 12 2" xfId="10577" xr:uid="{00000000-0005-0000-0000-000040290000}"/>
    <cellStyle name="Normal 2 53 2 2 12 3" xfId="10578" xr:uid="{00000000-0005-0000-0000-000041290000}"/>
    <cellStyle name="Normal 2 53 2 2 13" xfId="10579" xr:uid="{00000000-0005-0000-0000-000042290000}"/>
    <cellStyle name="Normal 2 53 2 2 13 2" xfId="10580" xr:uid="{00000000-0005-0000-0000-000043290000}"/>
    <cellStyle name="Normal 2 53 2 2 13 3" xfId="10581" xr:uid="{00000000-0005-0000-0000-000044290000}"/>
    <cellStyle name="Normal 2 53 2 2 14" xfId="10582" xr:uid="{00000000-0005-0000-0000-000045290000}"/>
    <cellStyle name="Normal 2 53 2 2 14 2" xfId="10583" xr:uid="{00000000-0005-0000-0000-000046290000}"/>
    <cellStyle name="Normal 2 53 2 2 14 3" xfId="10584" xr:uid="{00000000-0005-0000-0000-000047290000}"/>
    <cellStyle name="Normal 2 53 2 2 15" xfId="10585" xr:uid="{00000000-0005-0000-0000-000048290000}"/>
    <cellStyle name="Normal 2 53 2 2 16" xfId="10586" xr:uid="{00000000-0005-0000-0000-000049290000}"/>
    <cellStyle name="Normal 2 53 2 2 2" xfId="10587" xr:uid="{00000000-0005-0000-0000-00004A290000}"/>
    <cellStyle name="Normal 2 53 2 2 2 2" xfId="10588" xr:uid="{00000000-0005-0000-0000-00004B290000}"/>
    <cellStyle name="Normal 2 53 2 2 2 3" xfId="10589" xr:uid="{00000000-0005-0000-0000-00004C290000}"/>
    <cellStyle name="Normal 2 53 2 2 3" xfId="10590" xr:uid="{00000000-0005-0000-0000-00004D290000}"/>
    <cellStyle name="Normal 2 53 2 2 3 2" xfId="10591" xr:uid="{00000000-0005-0000-0000-00004E290000}"/>
    <cellStyle name="Normal 2 53 2 2 3 3" xfId="10592" xr:uid="{00000000-0005-0000-0000-00004F290000}"/>
    <cellStyle name="Normal 2 53 2 2 4" xfId="10593" xr:uid="{00000000-0005-0000-0000-000050290000}"/>
    <cellStyle name="Normal 2 53 2 2 4 2" xfId="10594" xr:uid="{00000000-0005-0000-0000-000051290000}"/>
    <cellStyle name="Normal 2 53 2 2 4 3" xfId="10595" xr:uid="{00000000-0005-0000-0000-000052290000}"/>
    <cellStyle name="Normal 2 53 2 2 5" xfId="10596" xr:uid="{00000000-0005-0000-0000-000053290000}"/>
    <cellStyle name="Normal 2 53 2 2 5 2" xfId="10597" xr:uid="{00000000-0005-0000-0000-000054290000}"/>
    <cellStyle name="Normal 2 53 2 2 5 3" xfId="10598" xr:uid="{00000000-0005-0000-0000-000055290000}"/>
    <cellStyle name="Normal 2 53 2 2 6" xfId="10599" xr:uid="{00000000-0005-0000-0000-000056290000}"/>
    <cellStyle name="Normal 2 53 2 2 6 2" xfId="10600" xr:uid="{00000000-0005-0000-0000-000057290000}"/>
    <cellStyle name="Normal 2 53 2 2 6 3" xfId="10601" xr:uid="{00000000-0005-0000-0000-000058290000}"/>
    <cellStyle name="Normal 2 53 2 2 7" xfId="10602" xr:uid="{00000000-0005-0000-0000-000059290000}"/>
    <cellStyle name="Normal 2 53 2 2 7 2" xfId="10603" xr:uid="{00000000-0005-0000-0000-00005A290000}"/>
    <cellStyle name="Normal 2 53 2 2 7 3" xfId="10604" xr:uid="{00000000-0005-0000-0000-00005B290000}"/>
    <cellStyle name="Normal 2 53 2 2 8" xfId="10605" xr:uid="{00000000-0005-0000-0000-00005C290000}"/>
    <cellStyle name="Normal 2 53 2 2 8 2" xfId="10606" xr:uid="{00000000-0005-0000-0000-00005D290000}"/>
    <cellStyle name="Normal 2 53 2 2 8 3" xfId="10607" xr:uid="{00000000-0005-0000-0000-00005E290000}"/>
    <cellStyle name="Normal 2 53 2 2 9" xfId="10608" xr:uid="{00000000-0005-0000-0000-00005F290000}"/>
    <cellStyle name="Normal 2 53 2 2 9 2" xfId="10609" xr:uid="{00000000-0005-0000-0000-000060290000}"/>
    <cellStyle name="Normal 2 53 2 2 9 3" xfId="10610" xr:uid="{00000000-0005-0000-0000-000061290000}"/>
    <cellStyle name="Normal 2 53 2 3" xfId="10611" xr:uid="{00000000-0005-0000-0000-000062290000}"/>
    <cellStyle name="Normal 2 53 2 3 2" xfId="10612" xr:uid="{00000000-0005-0000-0000-000063290000}"/>
    <cellStyle name="Normal 2 53 2 3 3" xfId="10613" xr:uid="{00000000-0005-0000-0000-000064290000}"/>
    <cellStyle name="Normal 2 53 2 4" xfId="10614" xr:uid="{00000000-0005-0000-0000-000065290000}"/>
    <cellStyle name="Normal 2 53 2 4 2" xfId="10615" xr:uid="{00000000-0005-0000-0000-000066290000}"/>
    <cellStyle name="Normal 2 53 2 4 3" xfId="10616" xr:uid="{00000000-0005-0000-0000-000067290000}"/>
    <cellStyle name="Normal 2 53 2 5" xfId="10617" xr:uid="{00000000-0005-0000-0000-000068290000}"/>
    <cellStyle name="Normal 2 53 2 5 2" xfId="10618" xr:uid="{00000000-0005-0000-0000-000069290000}"/>
    <cellStyle name="Normal 2 53 2 5 3" xfId="10619" xr:uid="{00000000-0005-0000-0000-00006A290000}"/>
    <cellStyle name="Normal 2 53 2 6" xfId="10620" xr:uid="{00000000-0005-0000-0000-00006B290000}"/>
    <cellStyle name="Normal 2 53 2 6 2" xfId="10621" xr:uid="{00000000-0005-0000-0000-00006C290000}"/>
    <cellStyle name="Normal 2 53 2 6 3" xfId="10622" xr:uid="{00000000-0005-0000-0000-00006D290000}"/>
    <cellStyle name="Normal 2 53 2 7" xfId="10623" xr:uid="{00000000-0005-0000-0000-00006E290000}"/>
    <cellStyle name="Normal 2 53 2 7 2" xfId="10624" xr:uid="{00000000-0005-0000-0000-00006F290000}"/>
    <cellStyle name="Normal 2 53 2 7 3" xfId="10625" xr:uid="{00000000-0005-0000-0000-000070290000}"/>
    <cellStyle name="Normal 2 53 2 8" xfId="10626" xr:uid="{00000000-0005-0000-0000-000071290000}"/>
    <cellStyle name="Normal 2 53 2 8 2" xfId="10627" xr:uid="{00000000-0005-0000-0000-000072290000}"/>
    <cellStyle name="Normal 2 53 2 8 3" xfId="10628" xr:uid="{00000000-0005-0000-0000-000073290000}"/>
    <cellStyle name="Normal 2 53 2 9" xfId="10629" xr:uid="{00000000-0005-0000-0000-000074290000}"/>
    <cellStyle name="Normal 2 53 2 9 2" xfId="10630" xr:uid="{00000000-0005-0000-0000-000075290000}"/>
    <cellStyle name="Normal 2 53 2 9 3" xfId="10631" xr:uid="{00000000-0005-0000-0000-000076290000}"/>
    <cellStyle name="Normal 2 53 20" xfId="10632" xr:uid="{00000000-0005-0000-0000-000077290000}"/>
    <cellStyle name="Normal 2 53 20 2" xfId="10633" xr:uid="{00000000-0005-0000-0000-000078290000}"/>
    <cellStyle name="Normal 2 53 20 3" xfId="10634" xr:uid="{00000000-0005-0000-0000-000079290000}"/>
    <cellStyle name="Normal 2 53 21" xfId="10635" xr:uid="{00000000-0005-0000-0000-00007A290000}"/>
    <cellStyle name="Normal 2 53 21 2" xfId="10636" xr:uid="{00000000-0005-0000-0000-00007B290000}"/>
    <cellStyle name="Normal 2 53 21 3" xfId="10637" xr:uid="{00000000-0005-0000-0000-00007C290000}"/>
    <cellStyle name="Normal 2 53 22" xfId="10638" xr:uid="{00000000-0005-0000-0000-00007D290000}"/>
    <cellStyle name="Normal 2 53 22 2" xfId="10639" xr:uid="{00000000-0005-0000-0000-00007E290000}"/>
    <cellStyle name="Normal 2 53 22 3" xfId="10640" xr:uid="{00000000-0005-0000-0000-00007F290000}"/>
    <cellStyle name="Normal 2 53 23" xfId="10641" xr:uid="{00000000-0005-0000-0000-000080290000}"/>
    <cellStyle name="Normal 2 53 23 2" xfId="10642" xr:uid="{00000000-0005-0000-0000-000081290000}"/>
    <cellStyle name="Normal 2 53 23 3" xfId="10643" xr:uid="{00000000-0005-0000-0000-000082290000}"/>
    <cellStyle name="Normal 2 53 24" xfId="10644" xr:uid="{00000000-0005-0000-0000-000083290000}"/>
    <cellStyle name="Normal 2 53 25" xfId="10645" xr:uid="{00000000-0005-0000-0000-000084290000}"/>
    <cellStyle name="Normal 2 53 3" xfId="10646" xr:uid="{00000000-0005-0000-0000-000085290000}"/>
    <cellStyle name="Normal 2 53 3 10" xfId="10647" xr:uid="{00000000-0005-0000-0000-000086290000}"/>
    <cellStyle name="Normal 2 53 3 10 2" xfId="10648" xr:uid="{00000000-0005-0000-0000-000087290000}"/>
    <cellStyle name="Normal 2 53 3 10 3" xfId="10649" xr:uid="{00000000-0005-0000-0000-000088290000}"/>
    <cellStyle name="Normal 2 53 3 11" xfId="10650" xr:uid="{00000000-0005-0000-0000-000089290000}"/>
    <cellStyle name="Normal 2 53 3 11 2" xfId="10651" xr:uid="{00000000-0005-0000-0000-00008A290000}"/>
    <cellStyle name="Normal 2 53 3 11 3" xfId="10652" xr:uid="{00000000-0005-0000-0000-00008B290000}"/>
    <cellStyle name="Normal 2 53 3 12" xfId="10653" xr:uid="{00000000-0005-0000-0000-00008C290000}"/>
    <cellStyle name="Normal 2 53 3 12 2" xfId="10654" xr:uid="{00000000-0005-0000-0000-00008D290000}"/>
    <cellStyle name="Normal 2 53 3 12 3" xfId="10655" xr:uid="{00000000-0005-0000-0000-00008E290000}"/>
    <cellStyle name="Normal 2 53 3 13" xfId="10656" xr:uid="{00000000-0005-0000-0000-00008F290000}"/>
    <cellStyle name="Normal 2 53 3 13 2" xfId="10657" xr:uid="{00000000-0005-0000-0000-000090290000}"/>
    <cellStyle name="Normal 2 53 3 13 3" xfId="10658" xr:uid="{00000000-0005-0000-0000-000091290000}"/>
    <cellStyle name="Normal 2 53 3 14" xfId="10659" xr:uid="{00000000-0005-0000-0000-000092290000}"/>
    <cellStyle name="Normal 2 53 3 14 2" xfId="10660" xr:uid="{00000000-0005-0000-0000-000093290000}"/>
    <cellStyle name="Normal 2 53 3 14 3" xfId="10661" xr:uid="{00000000-0005-0000-0000-000094290000}"/>
    <cellStyle name="Normal 2 53 3 15" xfId="10662" xr:uid="{00000000-0005-0000-0000-000095290000}"/>
    <cellStyle name="Normal 2 53 3 15 2" xfId="10663" xr:uid="{00000000-0005-0000-0000-000096290000}"/>
    <cellStyle name="Normal 2 53 3 15 3" xfId="10664" xr:uid="{00000000-0005-0000-0000-000097290000}"/>
    <cellStyle name="Normal 2 53 3 16" xfId="10665" xr:uid="{00000000-0005-0000-0000-000098290000}"/>
    <cellStyle name="Normal 2 53 3 17" xfId="10666" xr:uid="{00000000-0005-0000-0000-000099290000}"/>
    <cellStyle name="Normal 2 53 3 2" xfId="10667" xr:uid="{00000000-0005-0000-0000-00009A290000}"/>
    <cellStyle name="Normal 2 53 3 2 10" xfId="10668" xr:uid="{00000000-0005-0000-0000-00009B290000}"/>
    <cellStyle name="Normal 2 53 3 2 10 2" xfId="10669" xr:uid="{00000000-0005-0000-0000-00009C290000}"/>
    <cellStyle name="Normal 2 53 3 2 10 3" xfId="10670" xr:uid="{00000000-0005-0000-0000-00009D290000}"/>
    <cellStyle name="Normal 2 53 3 2 11" xfId="10671" xr:uid="{00000000-0005-0000-0000-00009E290000}"/>
    <cellStyle name="Normal 2 53 3 2 11 2" xfId="10672" xr:uid="{00000000-0005-0000-0000-00009F290000}"/>
    <cellStyle name="Normal 2 53 3 2 11 3" xfId="10673" xr:uid="{00000000-0005-0000-0000-0000A0290000}"/>
    <cellStyle name="Normal 2 53 3 2 12" xfId="10674" xr:uid="{00000000-0005-0000-0000-0000A1290000}"/>
    <cellStyle name="Normal 2 53 3 2 12 2" xfId="10675" xr:uid="{00000000-0005-0000-0000-0000A2290000}"/>
    <cellStyle name="Normal 2 53 3 2 12 3" xfId="10676" xr:uid="{00000000-0005-0000-0000-0000A3290000}"/>
    <cellStyle name="Normal 2 53 3 2 13" xfId="10677" xr:uid="{00000000-0005-0000-0000-0000A4290000}"/>
    <cellStyle name="Normal 2 53 3 2 13 2" xfId="10678" xr:uid="{00000000-0005-0000-0000-0000A5290000}"/>
    <cellStyle name="Normal 2 53 3 2 13 3" xfId="10679" xr:uid="{00000000-0005-0000-0000-0000A6290000}"/>
    <cellStyle name="Normal 2 53 3 2 14" xfId="10680" xr:uid="{00000000-0005-0000-0000-0000A7290000}"/>
    <cellStyle name="Normal 2 53 3 2 14 2" xfId="10681" xr:uid="{00000000-0005-0000-0000-0000A8290000}"/>
    <cellStyle name="Normal 2 53 3 2 14 3" xfId="10682" xr:uid="{00000000-0005-0000-0000-0000A9290000}"/>
    <cellStyle name="Normal 2 53 3 2 15" xfId="10683" xr:uid="{00000000-0005-0000-0000-0000AA290000}"/>
    <cellStyle name="Normal 2 53 3 2 16" xfId="10684" xr:uid="{00000000-0005-0000-0000-0000AB290000}"/>
    <cellStyle name="Normal 2 53 3 2 2" xfId="10685" xr:uid="{00000000-0005-0000-0000-0000AC290000}"/>
    <cellStyle name="Normal 2 53 3 2 2 2" xfId="10686" xr:uid="{00000000-0005-0000-0000-0000AD290000}"/>
    <cellStyle name="Normal 2 53 3 2 2 3" xfId="10687" xr:uid="{00000000-0005-0000-0000-0000AE290000}"/>
    <cellStyle name="Normal 2 53 3 2 3" xfId="10688" xr:uid="{00000000-0005-0000-0000-0000AF290000}"/>
    <cellStyle name="Normal 2 53 3 2 3 2" xfId="10689" xr:uid="{00000000-0005-0000-0000-0000B0290000}"/>
    <cellStyle name="Normal 2 53 3 2 3 3" xfId="10690" xr:uid="{00000000-0005-0000-0000-0000B1290000}"/>
    <cellStyle name="Normal 2 53 3 2 4" xfId="10691" xr:uid="{00000000-0005-0000-0000-0000B2290000}"/>
    <cellStyle name="Normal 2 53 3 2 4 2" xfId="10692" xr:uid="{00000000-0005-0000-0000-0000B3290000}"/>
    <cellStyle name="Normal 2 53 3 2 4 3" xfId="10693" xr:uid="{00000000-0005-0000-0000-0000B4290000}"/>
    <cellStyle name="Normal 2 53 3 2 5" xfId="10694" xr:uid="{00000000-0005-0000-0000-0000B5290000}"/>
    <cellStyle name="Normal 2 53 3 2 5 2" xfId="10695" xr:uid="{00000000-0005-0000-0000-0000B6290000}"/>
    <cellStyle name="Normal 2 53 3 2 5 3" xfId="10696" xr:uid="{00000000-0005-0000-0000-0000B7290000}"/>
    <cellStyle name="Normal 2 53 3 2 6" xfId="10697" xr:uid="{00000000-0005-0000-0000-0000B8290000}"/>
    <cellStyle name="Normal 2 53 3 2 6 2" xfId="10698" xr:uid="{00000000-0005-0000-0000-0000B9290000}"/>
    <cellStyle name="Normal 2 53 3 2 6 3" xfId="10699" xr:uid="{00000000-0005-0000-0000-0000BA290000}"/>
    <cellStyle name="Normal 2 53 3 2 7" xfId="10700" xr:uid="{00000000-0005-0000-0000-0000BB290000}"/>
    <cellStyle name="Normal 2 53 3 2 7 2" xfId="10701" xr:uid="{00000000-0005-0000-0000-0000BC290000}"/>
    <cellStyle name="Normal 2 53 3 2 7 3" xfId="10702" xr:uid="{00000000-0005-0000-0000-0000BD290000}"/>
    <cellStyle name="Normal 2 53 3 2 8" xfId="10703" xr:uid="{00000000-0005-0000-0000-0000BE290000}"/>
    <cellStyle name="Normal 2 53 3 2 8 2" xfId="10704" xr:uid="{00000000-0005-0000-0000-0000BF290000}"/>
    <cellStyle name="Normal 2 53 3 2 8 3" xfId="10705" xr:uid="{00000000-0005-0000-0000-0000C0290000}"/>
    <cellStyle name="Normal 2 53 3 2 9" xfId="10706" xr:uid="{00000000-0005-0000-0000-0000C1290000}"/>
    <cellStyle name="Normal 2 53 3 2 9 2" xfId="10707" xr:uid="{00000000-0005-0000-0000-0000C2290000}"/>
    <cellStyle name="Normal 2 53 3 2 9 3" xfId="10708" xr:uid="{00000000-0005-0000-0000-0000C3290000}"/>
    <cellStyle name="Normal 2 53 3 3" xfId="10709" xr:uid="{00000000-0005-0000-0000-0000C4290000}"/>
    <cellStyle name="Normal 2 53 3 3 2" xfId="10710" xr:uid="{00000000-0005-0000-0000-0000C5290000}"/>
    <cellStyle name="Normal 2 53 3 3 3" xfId="10711" xr:uid="{00000000-0005-0000-0000-0000C6290000}"/>
    <cellStyle name="Normal 2 53 3 4" xfId="10712" xr:uid="{00000000-0005-0000-0000-0000C7290000}"/>
    <cellStyle name="Normal 2 53 3 4 2" xfId="10713" xr:uid="{00000000-0005-0000-0000-0000C8290000}"/>
    <cellStyle name="Normal 2 53 3 4 3" xfId="10714" xr:uid="{00000000-0005-0000-0000-0000C9290000}"/>
    <cellStyle name="Normal 2 53 3 5" xfId="10715" xr:uid="{00000000-0005-0000-0000-0000CA290000}"/>
    <cellStyle name="Normal 2 53 3 5 2" xfId="10716" xr:uid="{00000000-0005-0000-0000-0000CB290000}"/>
    <cellStyle name="Normal 2 53 3 5 3" xfId="10717" xr:uid="{00000000-0005-0000-0000-0000CC290000}"/>
    <cellStyle name="Normal 2 53 3 6" xfId="10718" xr:uid="{00000000-0005-0000-0000-0000CD290000}"/>
    <cellStyle name="Normal 2 53 3 6 2" xfId="10719" xr:uid="{00000000-0005-0000-0000-0000CE290000}"/>
    <cellStyle name="Normal 2 53 3 6 3" xfId="10720" xr:uid="{00000000-0005-0000-0000-0000CF290000}"/>
    <cellStyle name="Normal 2 53 3 7" xfId="10721" xr:uid="{00000000-0005-0000-0000-0000D0290000}"/>
    <cellStyle name="Normal 2 53 3 7 2" xfId="10722" xr:uid="{00000000-0005-0000-0000-0000D1290000}"/>
    <cellStyle name="Normal 2 53 3 7 3" xfId="10723" xr:uid="{00000000-0005-0000-0000-0000D2290000}"/>
    <cellStyle name="Normal 2 53 3 8" xfId="10724" xr:uid="{00000000-0005-0000-0000-0000D3290000}"/>
    <cellStyle name="Normal 2 53 3 8 2" xfId="10725" xr:uid="{00000000-0005-0000-0000-0000D4290000}"/>
    <cellStyle name="Normal 2 53 3 8 3" xfId="10726" xr:uid="{00000000-0005-0000-0000-0000D5290000}"/>
    <cellStyle name="Normal 2 53 3 9" xfId="10727" xr:uid="{00000000-0005-0000-0000-0000D6290000}"/>
    <cellStyle name="Normal 2 53 3 9 2" xfId="10728" xr:uid="{00000000-0005-0000-0000-0000D7290000}"/>
    <cellStyle name="Normal 2 53 3 9 3" xfId="10729" xr:uid="{00000000-0005-0000-0000-0000D8290000}"/>
    <cellStyle name="Normal 2 53 4" xfId="10730" xr:uid="{00000000-0005-0000-0000-0000D9290000}"/>
    <cellStyle name="Normal 2 53 4 10" xfId="10731" xr:uid="{00000000-0005-0000-0000-0000DA290000}"/>
    <cellStyle name="Normal 2 53 4 10 2" xfId="10732" xr:uid="{00000000-0005-0000-0000-0000DB290000}"/>
    <cellStyle name="Normal 2 53 4 10 3" xfId="10733" xr:uid="{00000000-0005-0000-0000-0000DC290000}"/>
    <cellStyle name="Normal 2 53 4 11" xfId="10734" xr:uid="{00000000-0005-0000-0000-0000DD290000}"/>
    <cellStyle name="Normal 2 53 4 11 2" xfId="10735" xr:uid="{00000000-0005-0000-0000-0000DE290000}"/>
    <cellStyle name="Normal 2 53 4 11 3" xfId="10736" xr:uid="{00000000-0005-0000-0000-0000DF290000}"/>
    <cellStyle name="Normal 2 53 4 12" xfId="10737" xr:uid="{00000000-0005-0000-0000-0000E0290000}"/>
    <cellStyle name="Normal 2 53 4 12 2" xfId="10738" xr:uid="{00000000-0005-0000-0000-0000E1290000}"/>
    <cellStyle name="Normal 2 53 4 12 3" xfId="10739" xr:uid="{00000000-0005-0000-0000-0000E2290000}"/>
    <cellStyle name="Normal 2 53 4 13" xfId="10740" xr:uid="{00000000-0005-0000-0000-0000E3290000}"/>
    <cellStyle name="Normal 2 53 4 13 2" xfId="10741" xr:uid="{00000000-0005-0000-0000-0000E4290000}"/>
    <cellStyle name="Normal 2 53 4 13 3" xfId="10742" xr:uid="{00000000-0005-0000-0000-0000E5290000}"/>
    <cellStyle name="Normal 2 53 4 14" xfId="10743" xr:uid="{00000000-0005-0000-0000-0000E6290000}"/>
    <cellStyle name="Normal 2 53 4 14 2" xfId="10744" xr:uid="{00000000-0005-0000-0000-0000E7290000}"/>
    <cellStyle name="Normal 2 53 4 14 3" xfId="10745" xr:uid="{00000000-0005-0000-0000-0000E8290000}"/>
    <cellStyle name="Normal 2 53 4 15" xfId="10746" xr:uid="{00000000-0005-0000-0000-0000E9290000}"/>
    <cellStyle name="Normal 2 53 4 15 2" xfId="10747" xr:uid="{00000000-0005-0000-0000-0000EA290000}"/>
    <cellStyle name="Normal 2 53 4 15 3" xfId="10748" xr:uid="{00000000-0005-0000-0000-0000EB290000}"/>
    <cellStyle name="Normal 2 53 4 16" xfId="10749" xr:uid="{00000000-0005-0000-0000-0000EC290000}"/>
    <cellStyle name="Normal 2 53 4 17" xfId="10750" xr:uid="{00000000-0005-0000-0000-0000ED290000}"/>
    <cellStyle name="Normal 2 53 4 2" xfId="10751" xr:uid="{00000000-0005-0000-0000-0000EE290000}"/>
    <cellStyle name="Normal 2 53 4 2 10" xfId="10752" xr:uid="{00000000-0005-0000-0000-0000EF290000}"/>
    <cellStyle name="Normal 2 53 4 2 10 2" xfId="10753" xr:uid="{00000000-0005-0000-0000-0000F0290000}"/>
    <cellStyle name="Normal 2 53 4 2 10 3" xfId="10754" xr:uid="{00000000-0005-0000-0000-0000F1290000}"/>
    <cellStyle name="Normal 2 53 4 2 11" xfId="10755" xr:uid="{00000000-0005-0000-0000-0000F2290000}"/>
    <cellStyle name="Normal 2 53 4 2 11 2" xfId="10756" xr:uid="{00000000-0005-0000-0000-0000F3290000}"/>
    <cellStyle name="Normal 2 53 4 2 11 3" xfId="10757" xr:uid="{00000000-0005-0000-0000-0000F4290000}"/>
    <cellStyle name="Normal 2 53 4 2 12" xfId="10758" xr:uid="{00000000-0005-0000-0000-0000F5290000}"/>
    <cellStyle name="Normal 2 53 4 2 12 2" xfId="10759" xr:uid="{00000000-0005-0000-0000-0000F6290000}"/>
    <cellStyle name="Normal 2 53 4 2 12 3" xfId="10760" xr:uid="{00000000-0005-0000-0000-0000F7290000}"/>
    <cellStyle name="Normal 2 53 4 2 13" xfId="10761" xr:uid="{00000000-0005-0000-0000-0000F8290000}"/>
    <cellStyle name="Normal 2 53 4 2 13 2" xfId="10762" xr:uid="{00000000-0005-0000-0000-0000F9290000}"/>
    <cellStyle name="Normal 2 53 4 2 13 3" xfId="10763" xr:uid="{00000000-0005-0000-0000-0000FA290000}"/>
    <cellStyle name="Normal 2 53 4 2 14" xfId="10764" xr:uid="{00000000-0005-0000-0000-0000FB290000}"/>
    <cellStyle name="Normal 2 53 4 2 14 2" xfId="10765" xr:uid="{00000000-0005-0000-0000-0000FC290000}"/>
    <cellStyle name="Normal 2 53 4 2 14 3" xfId="10766" xr:uid="{00000000-0005-0000-0000-0000FD290000}"/>
    <cellStyle name="Normal 2 53 4 2 15" xfId="10767" xr:uid="{00000000-0005-0000-0000-0000FE290000}"/>
    <cellStyle name="Normal 2 53 4 2 16" xfId="10768" xr:uid="{00000000-0005-0000-0000-0000FF290000}"/>
    <cellStyle name="Normal 2 53 4 2 2" xfId="10769" xr:uid="{00000000-0005-0000-0000-0000002A0000}"/>
    <cellStyle name="Normal 2 53 4 2 2 2" xfId="10770" xr:uid="{00000000-0005-0000-0000-0000012A0000}"/>
    <cellStyle name="Normal 2 53 4 2 2 3" xfId="10771" xr:uid="{00000000-0005-0000-0000-0000022A0000}"/>
    <cellStyle name="Normal 2 53 4 2 3" xfId="10772" xr:uid="{00000000-0005-0000-0000-0000032A0000}"/>
    <cellStyle name="Normal 2 53 4 2 3 2" xfId="10773" xr:uid="{00000000-0005-0000-0000-0000042A0000}"/>
    <cellStyle name="Normal 2 53 4 2 3 3" xfId="10774" xr:uid="{00000000-0005-0000-0000-0000052A0000}"/>
    <cellStyle name="Normal 2 53 4 2 4" xfId="10775" xr:uid="{00000000-0005-0000-0000-0000062A0000}"/>
    <cellStyle name="Normal 2 53 4 2 4 2" xfId="10776" xr:uid="{00000000-0005-0000-0000-0000072A0000}"/>
    <cellStyle name="Normal 2 53 4 2 4 3" xfId="10777" xr:uid="{00000000-0005-0000-0000-0000082A0000}"/>
    <cellStyle name="Normal 2 53 4 2 5" xfId="10778" xr:uid="{00000000-0005-0000-0000-0000092A0000}"/>
    <cellStyle name="Normal 2 53 4 2 5 2" xfId="10779" xr:uid="{00000000-0005-0000-0000-00000A2A0000}"/>
    <cellStyle name="Normal 2 53 4 2 5 3" xfId="10780" xr:uid="{00000000-0005-0000-0000-00000B2A0000}"/>
    <cellStyle name="Normal 2 53 4 2 6" xfId="10781" xr:uid="{00000000-0005-0000-0000-00000C2A0000}"/>
    <cellStyle name="Normal 2 53 4 2 6 2" xfId="10782" xr:uid="{00000000-0005-0000-0000-00000D2A0000}"/>
    <cellStyle name="Normal 2 53 4 2 6 3" xfId="10783" xr:uid="{00000000-0005-0000-0000-00000E2A0000}"/>
    <cellStyle name="Normal 2 53 4 2 7" xfId="10784" xr:uid="{00000000-0005-0000-0000-00000F2A0000}"/>
    <cellStyle name="Normal 2 53 4 2 7 2" xfId="10785" xr:uid="{00000000-0005-0000-0000-0000102A0000}"/>
    <cellStyle name="Normal 2 53 4 2 7 3" xfId="10786" xr:uid="{00000000-0005-0000-0000-0000112A0000}"/>
    <cellStyle name="Normal 2 53 4 2 8" xfId="10787" xr:uid="{00000000-0005-0000-0000-0000122A0000}"/>
    <cellStyle name="Normal 2 53 4 2 8 2" xfId="10788" xr:uid="{00000000-0005-0000-0000-0000132A0000}"/>
    <cellStyle name="Normal 2 53 4 2 8 3" xfId="10789" xr:uid="{00000000-0005-0000-0000-0000142A0000}"/>
    <cellStyle name="Normal 2 53 4 2 9" xfId="10790" xr:uid="{00000000-0005-0000-0000-0000152A0000}"/>
    <cellStyle name="Normal 2 53 4 2 9 2" xfId="10791" xr:uid="{00000000-0005-0000-0000-0000162A0000}"/>
    <cellStyle name="Normal 2 53 4 2 9 3" xfId="10792" xr:uid="{00000000-0005-0000-0000-0000172A0000}"/>
    <cellStyle name="Normal 2 53 4 3" xfId="10793" xr:uid="{00000000-0005-0000-0000-0000182A0000}"/>
    <cellStyle name="Normal 2 53 4 3 2" xfId="10794" xr:uid="{00000000-0005-0000-0000-0000192A0000}"/>
    <cellStyle name="Normal 2 53 4 3 3" xfId="10795" xr:uid="{00000000-0005-0000-0000-00001A2A0000}"/>
    <cellStyle name="Normal 2 53 4 4" xfId="10796" xr:uid="{00000000-0005-0000-0000-00001B2A0000}"/>
    <cellStyle name="Normal 2 53 4 4 2" xfId="10797" xr:uid="{00000000-0005-0000-0000-00001C2A0000}"/>
    <cellStyle name="Normal 2 53 4 4 3" xfId="10798" xr:uid="{00000000-0005-0000-0000-00001D2A0000}"/>
    <cellStyle name="Normal 2 53 4 5" xfId="10799" xr:uid="{00000000-0005-0000-0000-00001E2A0000}"/>
    <cellStyle name="Normal 2 53 4 5 2" xfId="10800" xr:uid="{00000000-0005-0000-0000-00001F2A0000}"/>
    <cellStyle name="Normal 2 53 4 5 3" xfId="10801" xr:uid="{00000000-0005-0000-0000-0000202A0000}"/>
    <cellStyle name="Normal 2 53 4 6" xfId="10802" xr:uid="{00000000-0005-0000-0000-0000212A0000}"/>
    <cellStyle name="Normal 2 53 4 6 2" xfId="10803" xr:uid="{00000000-0005-0000-0000-0000222A0000}"/>
    <cellStyle name="Normal 2 53 4 6 3" xfId="10804" xr:uid="{00000000-0005-0000-0000-0000232A0000}"/>
    <cellStyle name="Normal 2 53 4 7" xfId="10805" xr:uid="{00000000-0005-0000-0000-0000242A0000}"/>
    <cellStyle name="Normal 2 53 4 7 2" xfId="10806" xr:uid="{00000000-0005-0000-0000-0000252A0000}"/>
    <cellStyle name="Normal 2 53 4 7 3" xfId="10807" xr:uid="{00000000-0005-0000-0000-0000262A0000}"/>
    <cellStyle name="Normal 2 53 4 8" xfId="10808" xr:uid="{00000000-0005-0000-0000-0000272A0000}"/>
    <cellStyle name="Normal 2 53 4 8 2" xfId="10809" xr:uid="{00000000-0005-0000-0000-0000282A0000}"/>
    <cellStyle name="Normal 2 53 4 8 3" xfId="10810" xr:uid="{00000000-0005-0000-0000-0000292A0000}"/>
    <cellStyle name="Normal 2 53 4 9" xfId="10811" xr:uid="{00000000-0005-0000-0000-00002A2A0000}"/>
    <cellStyle name="Normal 2 53 4 9 2" xfId="10812" xr:uid="{00000000-0005-0000-0000-00002B2A0000}"/>
    <cellStyle name="Normal 2 53 4 9 3" xfId="10813" xr:uid="{00000000-0005-0000-0000-00002C2A0000}"/>
    <cellStyle name="Normal 2 53 5" xfId="10814" xr:uid="{00000000-0005-0000-0000-00002D2A0000}"/>
    <cellStyle name="Normal 2 53 5 10" xfId="10815" xr:uid="{00000000-0005-0000-0000-00002E2A0000}"/>
    <cellStyle name="Normal 2 53 5 10 2" xfId="10816" xr:uid="{00000000-0005-0000-0000-00002F2A0000}"/>
    <cellStyle name="Normal 2 53 5 10 3" xfId="10817" xr:uid="{00000000-0005-0000-0000-0000302A0000}"/>
    <cellStyle name="Normal 2 53 5 11" xfId="10818" xr:uid="{00000000-0005-0000-0000-0000312A0000}"/>
    <cellStyle name="Normal 2 53 5 11 2" xfId="10819" xr:uid="{00000000-0005-0000-0000-0000322A0000}"/>
    <cellStyle name="Normal 2 53 5 11 3" xfId="10820" xr:uid="{00000000-0005-0000-0000-0000332A0000}"/>
    <cellStyle name="Normal 2 53 5 12" xfId="10821" xr:uid="{00000000-0005-0000-0000-0000342A0000}"/>
    <cellStyle name="Normal 2 53 5 12 2" xfId="10822" xr:uid="{00000000-0005-0000-0000-0000352A0000}"/>
    <cellStyle name="Normal 2 53 5 12 3" xfId="10823" xr:uid="{00000000-0005-0000-0000-0000362A0000}"/>
    <cellStyle name="Normal 2 53 5 13" xfId="10824" xr:uid="{00000000-0005-0000-0000-0000372A0000}"/>
    <cellStyle name="Normal 2 53 5 13 2" xfId="10825" xr:uid="{00000000-0005-0000-0000-0000382A0000}"/>
    <cellStyle name="Normal 2 53 5 13 3" xfId="10826" xr:uid="{00000000-0005-0000-0000-0000392A0000}"/>
    <cellStyle name="Normal 2 53 5 14" xfId="10827" xr:uid="{00000000-0005-0000-0000-00003A2A0000}"/>
    <cellStyle name="Normal 2 53 5 14 2" xfId="10828" xr:uid="{00000000-0005-0000-0000-00003B2A0000}"/>
    <cellStyle name="Normal 2 53 5 14 3" xfId="10829" xr:uid="{00000000-0005-0000-0000-00003C2A0000}"/>
    <cellStyle name="Normal 2 53 5 15" xfId="10830" xr:uid="{00000000-0005-0000-0000-00003D2A0000}"/>
    <cellStyle name="Normal 2 53 5 16" xfId="10831" xr:uid="{00000000-0005-0000-0000-00003E2A0000}"/>
    <cellStyle name="Normal 2 53 5 2" xfId="10832" xr:uid="{00000000-0005-0000-0000-00003F2A0000}"/>
    <cellStyle name="Normal 2 53 5 2 2" xfId="10833" xr:uid="{00000000-0005-0000-0000-0000402A0000}"/>
    <cellStyle name="Normal 2 53 5 2 3" xfId="10834" xr:uid="{00000000-0005-0000-0000-0000412A0000}"/>
    <cellStyle name="Normal 2 53 5 3" xfId="10835" xr:uid="{00000000-0005-0000-0000-0000422A0000}"/>
    <cellStyle name="Normal 2 53 5 3 2" xfId="10836" xr:uid="{00000000-0005-0000-0000-0000432A0000}"/>
    <cellStyle name="Normal 2 53 5 3 3" xfId="10837" xr:uid="{00000000-0005-0000-0000-0000442A0000}"/>
    <cellStyle name="Normal 2 53 5 4" xfId="10838" xr:uid="{00000000-0005-0000-0000-0000452A0000}"/>
    <cellStyle name="Normal 2 53 5 4 2" xfId="10839" xr:uid="{00000000-0005-0000-0000-0000462A0000}"/>
    <cellStyle name="Normal 2 53 5 4 3" xfId="10840" xr:uid="{00000000-0005-0000-0000-0000472A0000}"/>
    <cellStyle name="Normal 2 53 5 5" xfId="10841" xr:uid="{00000000-0005-0000-0000-0000482A0000}"/>
    <cellStyle name="Normal 2 53 5 5 2" xfId="10842" xr:uid="{00000000-0005-0000-0000-0000492A0000}"/>
    <cellStyle name="Normal 2 53 5 5 3" xfId="10843" xr:uid="{00000000-0005-0000-0000-00004A2A0000}"/>
    <cellStyle name="Normal 2 53 5 6" xfId="10844" xr:uid="{00000000-0005-0000-0000-00004B2A0000}"/>
    <cellStyle name="Normal 2 53 5 6 2" xfId="10845" xr:uid="{00000000-0005-0000-0000-00004C2A0000}"/>
    <cellStyle name="Normal 2 53 5 6 3" xfId="10846" xr:uid="{00000000-0005-0000-0000-00004D2A0000}"/>
    <cellStyle name="Normal 2 53 5 7" xfId="10847" xr:uid="{00000000-0005-0000-0000-00004E2A0000}"/>
    <cellStyle name="Normal 2 53 5 7 2" xfId="10848" xr:uid="{00000000-0005-0000-0000-00004F2A0000}"/>
    <cellStyle name="Normal 2 53 5 7 3" xfId="10849" xr:uid="{00000000-0005-0000-0000-0000502A0000}"/>
    <cellStyle name="Normal 2 53 5 8" xfId="10850" xr:uid="{00000000-0005-0000-0000-0000512A0000}"/>
    <cellStyle name="Normal 2 53 5 8 2" xfId="10851" xr:uid="{00000000-0005-0000-0000-0000522A0000}"/>
    <cellStyle name="Normal 2 53 5 8 3" xfId="10852" xr:uid="{00000000-0005-0000-0000-0000532A0000}"/>
    <cellStyle name="Normal 2 53 5 9" xfId="10853" xr:uid="{00000000-0005-0000-0000-0000542A0000}"/>
    <cellStyle name="Normal 2 53 5 9 2" xfId="10854" xr:uid="{00000000-0005-0000-0000-0000552A0000}"/>
    <cellStyle name="Normal 2 53 5 9 3" xfId="10855" xr:uid="{00000000-0005-0000-0000-0000562A0000}"/>
    <cellStyle name="Normal 2 53 6" xfId="10856" xr:uid="{00000000-0005-0000-0000-0000572A0000}"/>
    <cellStyle name="Normal 2 53 6 10" xfId="10857" xr:uid="{00000000-0005-0000-0000-0000582A0000}"/>
    <cellStyle name="Normal 2 53 6 10 2" xfId="10858" xr:uid="{00000000-0005-0000-0000-0000592A0000}"/>
    <cellStyle name="Normal 2 53 6 10 3" xfId="10859" xr:uid="{00000000-0005-0000-0000-00005A2A0000}"/>
    <cellStyle name="Normal 2 53 6 11" xfId="10860" xr:uid="{00000000-0005-0000-0000-00005B2A0000}"/>
    <cellStyle name="Normal 2 53 6 11 2" xfId="10861" xr:uid="{00000000-0005-0000-0000-00005C2A0000}"/>
    <cellStyle name="Normal 2 53 6 11 3" xfId="10862" xr:uid="{00000000-0005-0000-0000-00005D2A0000}"/>
    <cellStyle name="Normal 2 53 6 12" xfId="10863" xr:uid="{00000000-0005-0000-0000-00005E2A0000}"/>
    <cellStyle name="Normal 2 53 6 12 2" xfId="10864" xr:uid="{00000000-0005-0000-0000-00005F2A0000}"/>
    <cellStyle name="Normal 2 53 6 12 3" xfId="10865" xr:uid="{00000000-0005-0000-0000-0000602A0000}"/>
    <cellStyle name="Normal 2 53 6 13" xfId="10866" xr:uid="{00000000-0005-0000-0000-0000612A0000}"/>
    <cellStyle name="Normal 2 53 6 13 2" xfId="10867" xr:uid="{00000000-0005-0000-0000-0000622A0000}"/>
    <cellStyle name="Normal 2 53 6 13 3" xfId="10868" xr:uid="{00000000-0005-0000-0000-0000632A0000}"/>
    <cellStyle name="Normal 2 53 6 14" xfId="10869" xr:uid="{00000000-0005-0000-0000-0000642A0000}"/>
    <cellStyle name="Normal 2 53 6 14 2" xfId="10870" xr:uid="{00000000-0005-0000-0000-0000652A0000}"/>
    <cellStyle name="Normal 2 53 6 14 3" xfId="10871" xr:uid="{00000000-0005-0000-0000-0000662A0000}"/>
    <cellStyle name="Normal 2 53 6 15" xfId="10872" xr:uid="{00000000-0005-0000-0000-0000672A0000}"/>
    <cellStyle name="Normal 2 53 6 16" xfId="10873" xr:uid="{00000000-0005-0000-0000-0000682A0000}"/>
    <cellStyle name="Normal 2 53 6 2" xfId="10874" xr:uid="{00000000-0005-0000-0000-0000692A0000}"/>
    <cellStyle name="Normal 2 53 6 2 2" xfId="10875" xr:uid="{00000000-0005-0000-0000-00006A2A0000}"/>
    <cellStyle name="Normal 2 53 6 2 3" xfId="10876" xr:uid="{00000000-0005-0000-0000-00006B2A0000}"/>
    <cellStyle name="Normal 2 53 6 3" xfId="10877" xr:uid="{00000000-0005-0000-0000-00006C2A0000}"/>
    <cellStyle name="Normal 2 53 6 3 2" xfId="10878" xr:uid="{00000000-0005-0000-0000-00006D2A0000}"/>
    <cellStyle name="Normal 2 53 6 3 3" xfId="10879" xr:uid="{00000000-0005-0000-0000-00006E2A0000}"/>
    <cellStyle name="Normal 2 53 6 4" xfId="10880" xr:uid="{00000000-0005-0000-0000-00006F2A0000}"/>
    <cellStyle name="Normal 2 53 6 4 2" xfId="10881" xr:uid="{00000000-0005-0000-0000-0000702A0000}"/>
    <cellStyle name="Normal 2 53 6 4 3" xfId="10882" xr:uid="{00000000-0005-0000-0000-0000712A0000}"/>
    <cellStyle name="Normal 2 53 6 5" xfId="10883" xr:uid="{00000000-0005-0000-0000-0000722A0000}"/>
    <cellStyle name="Normal 2 53 6 5 2" xfId="10884" xr:uid="{00000000-0005-0000-0000-0000732A0000}"/>
    <cellStyle name="Normal 2 53 6 5 3" xfId="10885" xr:uid="{00000000-0005-0000-0000-0000742A0000}"/>
    <cellStyle name="Normal 2 53 6 6" xfId="10886" xr:uid="{00000000-0005-0000-0000-0000752A0000}"/>
    <cellStyle name="Normal 2 53 6 6 2" xfId="10887" xr:uid="{00000000-0005-0000-0000-0000762A0000}"/>
    <cellStyle name="Normal 2 53 6 6 3" xfId="10888" xr:uid="{00000000-0005-0000-0000-0000772A0000}"/>
    <cellStyle name="Normal 2 53 6 7" xfId="10889" xr:uid="{00000000-0005-0000-0000-0000782A0000}"/>
    <cellStyle name="Normal 2 53 6 7 2" xfId="10890" xr:uid="{00000000-0005-0000-0000-0000792A0000}"/>
    <cellStyle name="Normal 2 53 6 7 3" xfId="10891" xr:uid="{00000000-0005-0000-0000-00007A2A0000}"/>
    <cellStyle name="Normal 2 53 6 8" xfId="10892" xr:uid="{00000000-0005-0000-0000-00007B2A0000}"/>
    <cellStyle name="Normal 2 53 6 8 2" xfId="10893" xr:uid="{00000000-0005-0000-0000-00007C2A0000}"/>
    <cellStyle name="Normal 2 53 6 8 3" xfId="10894" xr:uid="{00000000-0005-0000-0000-00007D2A0000}"/>
    <cellStyle name="Normal 2 53 6 9" xfId="10895" xr:uid="{00000000-0005-0000-0000-00007E2A0000}"/>
    <cellStyle name="Normal 2 53 6 9 2" xfId="10896" xr:uid="{00000000-0005-0000-0000-00007F2A0000}"/>
    <cellStyle name="Normal 2 53 6 9 3" xfId="10897" xr:uid="{00000000-0005-0000-0000-0000802A0000}"/>
    <cellStyle name="Normal 2 53 7" xfId="10898" xr:uid="{00000000-0005-0000-0000-0000812A0000}"/>
    <cellStyle name="Normal 2 53 7 10" xfId="10899" xr:uid="{00000000-0005-0000-0000-0000822A0000}"/>
    <cellStyle name="Normal 2 53 7 10 2" xfId="10900" xr:uid="{00000000-0005-0000-0000-0000832A0000}"/>
    <cellStyle name="Normal 2 53 7 10 3" xfId="10901" xr:uid="{00000000-0005-0000-0000-0000842A0000}"/>
    <cellStyle name="Normal 2 53 7 11" xfId="10902" xr:uid="{00000000-0005-0000-0000-0000852A0000}"/>
    <cellStyle name="Normal 2 53 7 11 2" xfId="10903" xr:uid="{00000000-0005-0000-0000-0000862A0000}"/>
    <cellStyle name="Normal 2 53 7 11 3" xfId="10904" xr:uid="{00000000-0005-0000-0000-0000872A0000}"/>
    <cellStyle name="Normal 2 53 7 12" xfId="10905" xr:uid="{00000000-0005-0000-0000-0000882A0000}"/>
    <cellStyle name="Normal 2 53 7 12 2" xfId="10906" xr:uid="{00000000-0005-0000-0000-0000892A0000}"/>
    <cellStyle name="Normal 2 53 7 12 3" xfId="10907" xr:uid="{00000000-0005-0000-0000-00008A2A0000}"/>
    <cellStyle name="Normal 2 53 7 13" xfId="10908" xr:uid="{00000000-0005-0000-0000-00008B2A0000}"/>
    <cellStyle name="Normal 2 53 7 13 2" xfId="10909" xr:uid="{00000000-0005-0000-0000-00008C2A0000}"/>
    <cellStyle name="Normal 2 53 7 13 3" xfId="10910" xr:uid="{00000000-0005-0000-0000-00008D2A0000}"/>
    <cellStyle name="Normal 2 53 7 14" xfId="10911" xr:uid="{00000000-0005-0000-0000-00008E2A0000}"/>
    <cellStyle name="Normal 2 53 7 14 2" xfId="10912" xr:uid="{00000000-0005-0000-0000-00008F2A0000}"/>
    <cellStyle name="Normal 2 53 7 14 3" xfId="10913" xr:uid="{00000000-0005-0000-0000-0000902A0000}"/>
    <cellStyle name="Normal 2 53 7 15" xfId="10914" xr:uid="{00000000-0005-0000-0000-0000912A0000}"/>
    <cellStyle name="Normal 2 53 7 16" xfId="10915" xr:uid="{00000000-0005-0000-0000-0000922A0000}"/>
    <cellStyle name="Normal 2 53 7 2" xfId="10916" xr:uid="{00000000-0005-0000-0000-0000932A0000}"/>
    <cellStyle name="Normal 2 53 7 2 2" xfId="10917" xr:uid="{00000000-0005-0000-0000-0000942A0000}"/>
    <cellStyle name="Normal 2 53 7 2 3" xfId="10918" xr:uid="{00000000-0005-0000-0000-0000952A0000}"/>
    <cellStyle name="Normal 2 53 7 3" xfId="10919" xr:uid="{00000000-0005-0000-0000-0000962A0000}"/>
    <cellStyle name="Normal 2 53 7 3 2" xfId="10920" xr:uid="{00000000-0005-0000-0000-0000972A0000}"/>
    <cellStyle name="Normal 2 53 7 3 3" xfId="10921" xr:uid="{00000000-0005-0000-0000-0000982A0000}"/>
    <cellStyle name="Normal 2 53 7 4" xfId="10922" xr:uid="{00000000-0005-0000-0000-0000992A0000}"/>
    <cellStyle name="Normal 2 53 7 4 2" xfId="10923" xr:uid="{00000000-0005-0000-0000-00009A2A0000}"/>
    <cellStyle name="Normal 2 53 7 4 3" xfId="10924" xr:uid="{00000000-0005-0000-0000-00009B2A0000}"/>
    <cellStyle name="Normal 2 53 7 5" xfId="10925" xr:uid="{00000000-0005-0000-0000-00009C2A0000}"/>
    <cellStyle name="Normal 2 53 7 5 2" xfId="10926" xr:uid="{00000000-0005-0000-0000-00009D2A0000}"/>
    <cellStyle name="Normal 2 53 7 5 3" xfId="10927" xr:uid="{00000000-0005-0000-0000-00009E2A0000}"/>
    <cellStyle name="Normal 2 53 7 6" xfId="10928" xr:uid="{00000000-0005-0000-0000-00009F2A0000}"/>
    <cellStyle name="Normal 2 53 7 6 2" xfId="10929" xr:uid="{00000000-0005-0000-0000-0000A02A0000}"/>
    <cellStyle name="Normal 2 53 7 6 3" xfId="10930" xr:uid="{00000000-0005-0000-0000-0000A12A0000}"/>
    <cellStyle name="Normal 2 53 7 7" xfId="10931" xr:uid="{00000000-0005-0000-0000-0000A22A0000}"/>
    <cellStyle name="Normal 2 53 7 7 2" xfId="10932" xr:uid="{00000000-0005-0000-0000-0000A32A0000}"/>
    <cellStyle name="Normal 2 53 7 7 3" xfId="10933" xr:uid="{00000000-0005-0000-0000-0000A42A0000}"/>
    <cellStyle name="Normal 2 53 7 8" xfId="10934" xr:uid="{00000000-0005-0000-0000-0000A52A0000}"/>
    <cellStyle name="Normal 2 53 7 8 2" xfId="10935" xr:uid="{00000000-0005-0000-0000-0000A62A0000}"/>
    <cellStyle name="Normal 2 53 7 8 3" xfId="10936" xr:uid="{00000000-0005-0000-0000-0000A72A0000}"/>
    <cellStyle name="Normal 2 53 7 9" xfId="10937" xr:uid="{00000000-0005-0000-0000-0000A82A0000}"/>
    <cellStyle name="Normal 2 53 7 9 2" xfId="10938" xr:uid="{00000000-0005-0000-0000-0000A92A0000}"/>
    <cellStyle name="Normal 2 53 7 9 3" xfId="10939" xr:uid="{00000000-0005-0000-0000-0000AA2A0000}"/>
    <cellStyle name="Normal 2 53 8" xfId="10940" xr:uid="{00000000-0005-0000-0000-0000AB2A0000}"/>
    <cellStyle name="Normal 2 53 8 10" xfId="10941" xr:uid="{00000000-0005-0000-0000-0000AC2A0000}"/>
    <cellStyle name="Normal 2 53 8 10 2" xfId="10942" xr:uid="{00000000-0005-0000-0000-0000AD2A0000}"/>
    <cellStyle name="Normal 2 53 8 10 3" xfId="10943" xr:uid="{00000000-0005-0000-0000-0000AE2A0000}"/>
    <cellStyle name="Normal 2 53 8 11" xfId="10944" xr:uid="{00000000-0005-0000-0000-0000AF2A0000}"/>
    <cellStyle name="Normal 2 53 8 11 2" xfId="10945" xr:uid="{00000000-0005-0000-0000-0000B02A0000}"/>
    <cellStyle name="Normal 2 53 8 11 3" xfId="10946" xr:uid="{00000000-0005-0000-0000-0000B12A0000}"/>
    <cellStyle name="Normal 2 53 8 12" xfId="10947" xr:uid="{00000000-0005-0000-0000-0000B22A0000}"/>
    <cellStyle name="Normal 2 53 8 12 2" xfId="10948" xr:uid="{00000000-0005-0000-0000-0000B32A0000}"/>
    <cellStyle name="Normal 2 53 8 12 3" xfId="10949" xr:uid="{00000000-0005-0000-0000-0000B42A0000}"/>
    <cellStyle name="Normal 2 53 8 13" xfId="10950" xr:uid="{00000000-0005-0000-0000-0000B52A0000}"/>
    <cellStyle name="Normal 2 53 8 13 2" xfId="10951" xr:uid="{00000000-0005-0000-0000-0000B62A0000}"/>
    <cellStyle name="Normal 2 53 8 13 3" xfId="10952" xr:uid="{00000000-0005-0000-0000-0000B72A0000}"/>
    <cellStyle name="Normal 2 53 8 14" xfId="10953" xr:uid="{00000000-0005-0000-0000-0000B82A0000}"/>
    <cellStyle name="Normal 2 53 8 14 2" xfId="10954" xr:uid="{00000000-0005-0000-0000-0000B92A0000}"/>
    <cellStyle name="Normal 2 53 8 14 3" xfId="10955" xr:uid="{00000000-0005-0000-0000-0000BA2A0000}"/>
    <cellStyle name="Normal 2 53 8 15" xfId="10956" xr:uid="{00000000-0005-0000-0000-0000BB2A0000}"/>
    <cellStyle name="Normal 2 53 8 16" xfId="10957" xr:uid="{00000000-0005-0000-0000-0000BC2A0000}"/>
    <cellStyle name="Normal 2 53 8 2" xfId="10958" xr:uid="{00000000-0005-0000-0000-0000BD2A0000}"/>
    <cellStyle name="Normal 2 53 8 2 2" xfId="10959" xr:uid="{00000000-0005-0000-0000-0000BE2A0000}"/>
    <cellStyle name="Normal 2 53 8 2 3" xfId="10960" xr:uid="{00000000-0005-0000-0000-0000BF2A0000}"/>
    <cellStyle name="Normal 2 53 8 3" xfId="10961" xr:uid="{00000000-0005-0000-0000-0000C02A0000}"/>
    <cellStyle name="Normal 2 53 8 3 2" xfId="10962" xr:uid="{00000000-0005-0000-0000-0000C12A0000}"/>
    <cellStyle name="Normal 2 53 8 3 3" xfId="10963" xr:uid="{00000000-0005-0000-0000-0000C22A0000}"/>
    <cellStyle name="Normal 2 53 8 4" xfId="10964" xr:uid="{00000000-0005-0000-0000-0000C32A0000}"/>
    <cellStyle name="Normal 2 53 8 4 2" xfId="10965" xr:uid="{00000000-0005-0000-0000-0000C42A0000}"/>
    <cellStyle name="Normal 2 53 8 4 3" xfId="10966" xr:uid="{00000000-0005-0000-0000-0000C52A0000}"/>
    <cellStyle name="Normal 2 53 8 5" xfId="10967" xr:uid="{00000000-0005-0000-0000-0000C62A0000}"/>
    <cellStyle name="Normal 2 53 8 5 2" xfId="10968" xr:uid="{00000000-0005-0000-0000-0000C72A0000}"/>
    <cellStyle name="Normal 2 53 8 5 3" xfId="10969" xr:uid="{00000000-0005-0000-0000-0000C82A0000}"/>
    <cellStyle name="Normal 2 53 8 6" xfId="10970" xr:uid="{00000000-0005-0000-0000-0000C92A0000}"/>
    <cellStyle name="Normal 2 53 8 6 2" xfId="10971" xr:uid="{00000000-0005-0000-0000-0000CA2A0000}"/>
    <cellStyle name="Normal 2 53 8 6 3" xfId="10972" xr:uid="{00000000-0005-0000-0000-0000CB2A0000}"/>
    <cellStyle name="Normal 2 53 8 7" xfId="10973" xr:uid="{00000000-0005-0000-0000-0000CC2A0000}"/>
    <cellStyle name="Normal 2 53 8 7 2" xfId="10974" xr:uid="{00000000-0005-0000-0000-0000CD2A0000}"/>
    <cellStyle name="Normal 2 53 8 7 3" xfId="10975" xr:uid="{00000000-0005-0000-0000-0000CE2A0000}"/>
    <cellStyle name="Normal 2 53 8 8" xfId="10976" xr:uid="{00000000-0005-0000-0000-0000CF2A0000}"/>
    <cellStyle name="Normal 2 53 8 8 2" xfId="10977" xr:uid="{00000000-0005-0000-0000-0000D02A0000}"/>
    <cellStyle name="Normal 2 53 8 8 3" xfId="10978" xr:uid="{00000000-0005-0000-0000-0000D12A0000}"/>
    <cellStyle name="Normal 2 53 8 9" xfId="10979" xr:uid="{00000000-0005-0000-0000-0000D22A0000}"/>
    <cellStyle name="Normal 2 53 8 9 2" xfId="10980" xr:uid="{00000000-0005-0000-0000-0000D32A0000}"/>
    <cellStyle name="Normal 2 53 8 9 3" xfId="10981" xr:uid="{00000000-0005-0000-0000-0000D42A0000}"/>
    <cellStyle name="Normal 2 53 9" xfId="10982" xr:uid="{00000000-0005-0000-0000-0000D52A0000}"/>
    <cellStyle name="Normal 2 53 9 10" xfId="10983" xr:uid="{00000000-0005-0000-0000-0000D62A0000}"/>
    <cellStyle name="Normal 2 53 9 10 2" xfId="10984" xr:uid="{00000000-0005-0000-0000-0000D72A0000}"/>
    <cellStyle name="Normal 2 53 9 10 3" xfId="10985" xr:uid="{00000000-0005-0000-0000-0000D82A0000}"/>
    <cellStyle name="Normal 2 53 9 11" xfId="10986" xr:uid="{00000000-0005-0000-0000-0000D92A0000}"/>
    <cellStyle name="Normal 2 53 9 11 2" xfId="10987" xr:uid="{00000000-0005-0000-0000-0000DA2A0000}"/>
    <cellStyle name="Normal 2 53 9 11 3" xfId="10988" xr:uid="{00000000-0005-0000-0000-0000DB2A0000}"/>
    <cellStyle name="Normal 2 53 9 12" xfId="10989" xr:uid="{00000000-0005-0000-0000-0000DC2A0000}"/>
    <cellStyle name="Normal 2 53 9 12 2" xfId="10990" xr:uid="{00000000-0005-0000-0000-0000DD2A0000}"/>
    <cellStyle name="Normal 2 53 9 12 3" xfId="10991" xr:uid="{00000000-0005-0000-0000-0000DE2A0000}"/>
    <cellStyle name="Normal 2 53 9 13" xfId="10992" xr:uid="{00000000-0005-0000-0000-0000DF2A0000}"/>
    <cellStyle name="Normal 2 53 9 13 2" xfId="10993" xr:uid="{00000000-0005-0000-0000-0000E02A0000}"/>
    <cellStyle name="Normal 2 53 9 13 3" xfId="10994" xr:uid="{00000000-0005-0000-0000-0000E12A0000}"/>
    <cellStyle name="Normal 2 53 9 14" xfId="10995" xr:uid="{00000000-0005-0000-0000-0000E22A0000}"/>
    <cellStyle name="Normal 2 53 9 14 2" xfId="10996" xr:uid="{00000000-0005-0000-0000-0000E32A0000}"/>
    <cellStyle name="Normal 2 53 9 14 3" xfId="10997" xr:uid="{00000000-0005-0000-0000-0000E42A0000}"/>
    <cellStyle name="Normal 2 53 9 15" xfId="10998" xr:uid="{00000000-0005-0000-0000-0000E52A0000}"/>
    <cellStyle name="Normal 2 53 9 16" xfId="10999" xr:uid="{00000000-0005-0000-0000-0000E62A0000}"/>
    <cellStyle name="Normal 2 53 9 2" xfId="11000" xr:uid="{00000000-0005-0000-0000-0000E72A0000}"/>
    <cellStyle name="Normal 2 53 9 2 2" xfId="11001" xr:uid="{00000000-0005-0000-0000-0000E82A0000}"/>
    <cellStyle name="Normal 2 53 9 2 3" xfId="11002" xr:uid="{00000000-0005-0000-0000-0000E92A0000}"/>
    <cellStyle name="Normal 2 53 9 3" xfId="11003" xr:uid="{00000000-0005-0000-0000-0000EA2A0000}"/>
    <cellStyle name="Normal 2 53 9 3 2" xfId="11004" xr:uid="{00000000-0005-0000-0000-0000EB2A0000}"/>
    <cellStyle name="Normal 2 53 9 3 3" xfId="11005" xr:uid="{00000000-0005-0000-0000-0000EC2A0000}"/>
    <cellStyle name="Normal 2 53 9 4" xfId="11006" xr:uid="{00000000-0005-0000-0000-0000ED2A0000}"/>
    <cellStyle name="Normal 2 53 9 4 2" xfId="11007" xr:uid="{00000000-0005-0000-0000-0000EE2A0000}"/>
    <cellStyle name="Normal 2 53 9 4 3" xfId="11008" xr:uid="{00000000-0005-0000-0000-0000EF2A0000}"/>
    <cellStyle name="Normal 2 53 9 5" xfId="11009" xr:uid="{00000000-0005-0000-0000-0000F02A0000}"/>
    <cellStyle name="Normal 2 53 9 5 2" xfId="11010" xr:uid="{00000000-0005-0000-0000-0000F12A0000}"/>
    <cellStyle name="Normal 2 53 9 5 3" xfId="11011" xr:uid="{00000000-0005-0000-0000-0000F22A0000}"/>
    <cellStyle name="Normal 2 53 9 6" xfId="11012" xr:uid="{00000000-0005-0000-0000-0000F32A0000}"/>
    <cellStyle name="Normal 2 53 9 6 2" xfId="11013" xr:uid="{00000000-0005-0000-0000-0000F42A0000}"/>
    <cellStyle name="Normal 2 53 9 6 3" xfId="11014" xr:uid="{00000000-0005-0000-0000-0000F52A0000}"/>
    <cellStyle name="Normal 2 53 9 7" xfId="11015" xr:uid="{00000000-0005-0000-0000-0000F62A0000}"/>
    <cellStyle name="Normal 2 53 9 7 2" xfId="11016" xr:uid="{00000000-0005-0000-0000-0000F72A0000}"/>
    <cellStyle name="Normal 2 53 9 7 3" xfId="11017" xr:uid="{00000000-0005-0000-0000-0000F82A0000}"/>
    <cellStyle name="Normal 2 53 9 8" xfId="11018" xr:uid="{00000000-0005-0000-0000-0000F92A0000}"/>
    <cellStyle name="Normal 2 53 9 8 2" xfId="11019" xr:uid="{00000000-0005-0000-0000-0000FA2A0000}"/>
    <cellStyle name="Normal 2 53 9 8 3" xfId="11020" xr:uid="{00000000-0005-0000-0000-0000FB2A0000}"/>
    <cellStyle name="Normal 2 53 9 9" xfId="11021" xr:uid="{00000000-0005-0000-0000-0000FC2A0000}"/>
    <cellStyle name="Normal 2 53 9 9 2" xfId="11022" xr:uid="{00000000-0005-0000-0000-0000FD2A0000}"/>
    <cellStyle name="Normal 2 53 9 9 3" xfId="11023" xr:uid="{00000000-0005-0000-0000-0000FE2A0000}"/>
    <cellStyle name="Normal 2 54" xfId="11024" xr:uid="{00000000-0005-0000-0000-0000FF2A0000}"/>
    <cellStyle name="Normal 2 54 10" xfId="11025" xr:uid="{00000000-0005-0000-0000-0000002B0000}"/>
    <cellStyle name="Normal 2 54 10 10" xfId="11026" xr:uid="{00000000-0005-0000-0000-0000012B0000}"/>
    <cellStyle name="Normal 2 54 10 10 2" xfId="11027" xr:uid="{00000000-0005-0000-0000-0000022B0000}"/>
    <cellStyle name="Normal 2 54 10 10 3" xfId="11028" xr:uid="{00000000-0005-0000-0000-0000032B0000}"/>
    <cellStyle name="Normal 2 54 10 11" xfId="11029" xr:uid="{00000000-0005-0000-0000-0000042B0000}"/>
    <cellStyle name="Normal 2 54 10 11 2" xfId="11030" xr:uid="{00000000-0005-0000-0000-0000052B0000}"/>
    <cellStyle name="Normal 2 54 10 11 3" xfId="11031" xr:uid="{00000000-0005-0000-0000-0000062B0000}"/>
    <cellStyle name="Normal 2 54 10 12" xfId="11032" xr:uid="{00000000-0005-0000-0000-0000072B0000}"/>
    <cellStyle name="Normal 2 54 10 12 2" xfId="11033" xr:uid="{00000000-0005-0000-0000-0000082B0000}"/>
    <cellStyle name="Normal 2 54 10 12 3" xfId="11034" xr:uid="{00000000-0005-0000-0000-0000092B0000}"/>
    <cellStyle name="Normal 2 54 10 13" xfId="11035" xr:uid="{00000000-0005-0000-0000-00000A2B0000}"/>
    <cellStyle name="Normal 2 54 10 13 2" xfId="11036" xr:uid="{00000000-0005-0000-0000-00000B2B0000}"/>
    <cellStyle name="Normal 2 54 10 13 3" xfId="11037" xr:uid="{00000000-0005-0000-0000-00000C2B0000}"/>
    <cellStyle name="Normal 2 54 10 14" xfId="11038" xr:uid="{00000000-0005-0000-0000-00000D2B0000}"/>
    <cellStyle name="Normal 2 54 10 14 2" xfId="11039" xr:uid="{00000000-0005-0000-0000-00000E2B0000}"/>
    <cellStyle name="Normal 2 54 10 14 3" xfId="11040" xr:uid="{00000000-0005-0000-0000-00000F2B0000}"/>
    <cellStyle name="Normal 2 54 10 15" xfId="11041" xr:uid="{00000000-0005-0000-0000-0000102B0000}"/>
    <cellStyle name="Normal 2 54 10 16" xfId="11042" xr:uid="{00000000-0005-0000-0000-0000112B0000}"/>
    <cellStyle name="Normal 2 54 10 2" xfId="11043" xr:uid="{00000000-0005-0000-0000-0000122B0000}"/>
    <cellStyle name="Normal 2 54 10 2 2" xfId="11044" xr:uid="{00000000-0005-0000-0000-0000132B0000}"/>
    <cellStyle name="Normal 2 54 10 2 3" xfId="11045" xr:uid="{00000000-0005-0000-0000-0000142B0000}"/>
    <cellStyle name="Normal 2 54 10 3" xfId="11046" xr:uid="{00000000-0005-0000-0000-0000152B0000}"/>
    <cellStyle name="Normal 2 54 10 3 2" xfId="11047" xr:uid="{00000000-0005-0000-0000-0000162B0000}"/>
    <cellStyle name="Normal 2 54 10 3 3" xfId="11048" xr:uid="{00000000-0005-0000-0000-0000172B0000}"/>
    <cellStyle name="Normal 2 54 10 4" xfId="11049" xr:uid="{00000000-0005-0000-0000-0000182B0000}"/>
    <cellStyle name="Normal 2 54 10 4 2" xfId="11050" xr:uid="{00000000-0005-0000-0000-0000192B0000}"/>
    <cellStyle name="Normal 2 54 10 4 3" xfId="11051" xr:uid="{00000000-0005-0000-0000-00001A2B0000}"/>
    <cellStyle name="Normal 2 54 10 5" xfId="11052" xr:uid="{00000000-0005-0000-0000-00001B2B0000}"/>
    <cellStyle name="Normal 2 54 10 5 2" xfId="11053" xr:uid="{00000000-0005-0000-0000-00001C2B0000}"/>
    <cellStyle name="Normal 2 54 10 5 3" xfId="11054" xr:uid="{00000000-0005-0000-0000-00001D2B0000}"/>
    <cellStyle name="Normal 2 54 10 6" xfId="11055" xr:uid="{00000000-0005-0000-0000-00001E2B0000}"/>
    <cellStyle name="Normal 2 54 10 6 2" xfId="11056" xr:uid="{00000000-0005-0000-0000-00001F2B0000}"/>
    <cellStyle name="Normal 2 54 10 6 3" xfId="11057" xr:uid="{00000000-0005-0000-0000-0000202B0000}"/>
    <cellStyle name="Normal 2 54 10 7" xfId="11058" xr:uid="{00000000-0005-0000-0000-0000212B0000}"/>
    <cellStyle name="Normal 2 54 10 7 2" xfId="11059" xr:uid="{00000000-0005-0000-0000-0000222B0000}"/>
    <cellStyle name="Normal 2 54 10 7 3" xfId="11060" xr:uid="{00000000-0005-0000-0000-0000232B0000}"/>
    <cellStyle name="Normal 2 54 10 8" xfId="11061" xr:uid="{00000000-0005-0000-0000-0000242B0000}"/>
    <cellStyle name="Normal 2 54 10 8 2" xfId="11062" xr:uid="{00000000-0005-0000-0000-0000252B0000}"/>
    <cellStyle name="Normal 2 54 10 8 3" xfId="11063" xr:uid="{00000000-0005-0000-0000-0000262B0000}"/>
    <cellStyle name="Normal 2 54 10 9" xfId="11064" xr:uid="{00000000-0005-0000-0000-0000272B0000}"/>
    <cellStyle name="Normal 2 54 10 9 2" xfId="11065" xr:uid="{00000000-0005-0000-0000-0000282B0000}"/>
    <cellStyle name="Normal 2 54 10 9 3" xfId="11066" xr:uid="{00000000-0005-0000-0000-0000292B0000}"/>
    <cellStyle name="Normal 2 54 11" xfId="11067" xr:uid="{00000000-0005-0000-0000-00002A2B0000}"/>
    <cellStyle name="Normal 2 54 11 2" xfId="11068" xr:uid="{00000000-0005-0000-0000-00002B2B0000}"/>
    <cellStyle name="Normal 2 54 11 3" xfId="11069" xr:uid="{00000000-0005-0000-0000-00002C2B0000}"/>
    <cellStyle name="Normal 2 54 12" xfId="11070" xr:uid="{00000000-0005-0000-0000-00002D2B0000}"/>
    <cellStyle name="Normal 2 54 12 2" xfId="11071" xr:uid="{00000000-0005-0000-0000-00002E2B0000}"/>
    <cellStyle name="Normal 2 54 12 3" xfId="11072" xr:uid="{00000000-0005-0000-0000-00002F2B0000}"/>
    <cellStyle name="Normal 2 54 13" xfId="11073" xr:uid="{00000000-0005-0000-0000-0000302B0000}"/>
    <cellStyle name="Normal 2 54 13 2" xfId="11074" xr:uid="{00000000-0005-0000-0000-0000312B0000}"/>
    <cellStyle name="Normal 2 54 13 3" xfId="11075" xr:uid="{00000000-0005-0000-0000-0000322B0000}"/>
    <cellStyle name="Normal 2 54 14" xfId="11076" xr:uid="{00000000-0005-0000-0000-0000332B0000}"/>
    <cellStyle name="Normal 2 54 14 2" xfId="11077" xr:uid="{00000000-0005-0000-0000-0000342B0000}"/>
    <cellStyle name="Normal 2 54 14 3" xfId="11078" xr:uid="{00000000-0005-0000-0000-0000352B0000}"/>
    <cellStyle name="Normal 2 54 15" xfId="11079" xr:uid="{00000000-0005-0000-0000-0000362B0000}"/>
    <cellStyle name="Normal 2 54 15 2" xfId="11080" xr:uid="{00000000-0005-0000-0000-0000372B0000}"/>
    <cellStyle name="Normal 2 54 15 3" xfId="11081" xr:uid="{00000000-0005-0000-0000-0000382B0000}"/>
    <cellStyle name="Normal 2 54 16" xfId="11082" xr:uid="{00000000-0005-0000-0000-0000392B0000}"/>
    <cellStyle name="Normal 2 54 16 2" xfId="11083" xr:uid="{00000000-0005-0000-0000-00003A2B0000}"/>
    <cellStyle name="Normal 2 54 16 3" xfId="11084" xr:uid="{00000000-0005-0000-0000-00003B2B0000}"/>
    <cellStyle name="Normal 2 54 17" xfId="11085" xr:uid="{00000000-0005-0000-0000-00003C2B0000}"/>
    <cellStyle name="Normal 2 54 17 2" xfId="11086" xr:uid="{00000000-0005-0000-0000-00003D2B0000}"/>
    <cellStyle name="Normal 2 54 17 3" xfId="11087" xr:uid="{00000000-0005-0000-0000-00003E2B0000}"/>
    <cellStyle name="Normal 2 54 18" xfId="11088" xr:uid="{00000000-0005-0000-0000-00003F2B0000}"/>
    <cellStyle name="Normal 2 54 18 2" xfId="11089" xr:uid="{00000000-0005-0000-0000-0000402B0000}"/>
    <cellStyle name="Normal 2 54 18 3" xfId="11090" xr:uid="{00000000-0005-0000-0000-0000412B0000}"/>
    <cellStyle name="Normal 2 54 19" xfId="11091" xr:uid="{00000000-0005-0000-0000-0000422B0000}"/>
    <cellStyle name="Normal 2 54 19 2" xfId="11092" xr:uid="{00000000-0005-0000-0000-0000432B0000}"/>
    <cellStyle name="Normal 2 54 19 3" xfId="11093" xr:uid="{00000000-0005-0000-0000-0000442B0000}"/>
    <cellStyle name="Normal 2 54 2" xfId="11094" xr:uid="{00000000-0005-0000-0000-0000452B0000}"/>
    <cellStyle name="Normal 2 54 2 10" xfId="11095" xr:uid="{00000000-0005-0000-0000-0000462B0000}"/>
    <cellStyle name="Normal 2 54 2 10 2" xfId="11096" xr:uid="{00000000-0005-0000-0000-0000472B0000}"/>
    <cellStyle name="Normal 2 54 2 10 3" xfId="11097" xr:uid="{00000000-0005-0000-0000-0000482B0000}"/>
    <cellStyle name="Normal 2 54 2 11" xfId="11098" xr:uid="{00000000-0005-0000-0000-0000492B0000}"/>
    <cellStyle name="Normal 2 54 2 11 2" xfId="11099" xr:uid="{00000000-0005-0000-0000-00004A2B0000}"/>
    <cellStyle name="Normal 2 54 2 11 3" xfId="11100" xr:uid="{00000000-0005-0000-0000-00004B2B0000}"/>
    <cellStyle name="Normal 2 54 2 12" xfId="11101" xr:uid="{00000000-0005-0000-0000-00004C2B0000}"/>
    <cellStyle name="Normal 2 54 2 12 2" xfId="11102" xr:uid="{00000000-0005-0000-0000-00004D2B0000}"/>
    <cellStyle name="Normal 2 54 2 12 3" xfId="11103" xr:uid="{00000000-0005-0000-0000-00004E2B0000}"/>
    <cellStyle name="Normal 2 54 2 13" xfId="11104" xr:uid="{00000000-0005-0000-0000-00004F2B0000}"/>
    <cellStyle name="Normal 2 54 2 13 2" xfId="11105" xr:uid="{00000000-0005-0000-0000-0000502B0000}"/>
    <cellStyle name="Normal 2 54 2 13 3" xfId="11106" xr:uid="{00000000-0005-0000-0000-0000512B0000}"/>
    <cellStyle name="Normal 2 54 2 14" xfId="11107" xr:uid="{00000000-0005-0000-0000-0000522B0000}"/>
    <cellStyle name="Normal 2 54 2 14 2" xfId="11108" xr:uid="{00000000-0005-0000-0000-0000532B0000}"/>
    <cellStyle name="Normal 2 54 2 14 3" xfId="11109" xr:uid="{00000000-0005-0000-0000-0000542B0000}"/>
    <cellStyle name="Normal 2 54 2 15" xfId="11110" xr:uid="{00000000-0005-0000-0000-0000552B0000}"/>
    <cellStyle name="Normal 2 54 2 15 2" xfId="11111" xr:uid="{00000000-0005-0000-0000-0000562B0000}"/>
    <cellStyle name="Normal 2 54 2 15 3" xfId="11112" xr:uid="{00000000-0005-0000-0000-0000572B0000}"/>
    <cellStyle name="Normal 2 54 2 16" xfId="11113" xr:uid="{00000000-0005-0000-0000-0000582B0000}"/>
    <cellStyle name="Normal 2 54 2 17" xfId="11114" xr:uid="{00000000-0005-0000-0000-0000592B0000}"/>
    <cellStyle name="Normal 2 54 2 2" xfId="11115" xr:uid="{00000000-0005-0000-0000-00005A2B0000}"/>
    <cellStyle name="Normal 2 54 2 2 10" xfId="11116" xr:uid="{00000000-0005-0000-0000-00005B2B0000}"/>
    <cellStyle name="Normal 2 54 2 2 10 2" xfId="11117" xr:uid="{00000000-0005-0000-0000-00005C2B0000}"/>
    <cellStyle name="Normal 2 54 2 2 10 3" xfId="11118" xr:uid="{00000000-0005-0000-0000-00005D2B0000}"/>
    <cellStyle name="Normal 2 54 2 2 11" xfId="11119" xr:uid="{00000000-0005-0000-0000-00005E2B0000}"/>
    <cellStyle name="Normal 2 54 2 2 11 2" xfId="11120" xr:uid="{00000000-0005-0000-0000-00005F2B0000}"/>
    <cellStyle name="Normal 2 54 2 2 11 3" xfId="11121" xr:uid="{00000000-0005-0000-0000-0000602B0000}"/>
    <cellStyle name="Normal 2 54 2 2 12" xfId="11122" xr:uid="{00000000-0005-0000-0000-0000612B0000}"/>
    <cellStyle name="Normal 2 54 2 2 12 2" xfId="11123" xr:uid="{00000000-0005-0000-0000-0000622B0000}"/>
    <cellStyle name="Normal 2 54 2 2 12 3" xfId="11124" xr:uid="{00000000-0005-0000-0000-0000632B0000}"/>
    <cellStyle name="Normal 2 54 2 2 13" xfId="11125" xr:uid="{00000000-0005-0000-0000-0000642B0000}"/>
    <cellStyle name="Normal 2 54 2 2 13 2" xfId="11126" xr:uid="{00000000-0005-0000-0000-0000652B0000}"/>
    <cellStyle name="Normal 2 54 2 2 13 3" xfId="11127" xr:uid="{00000000-0005-0000-0000-0000662B0000}"/>
    <cellStyle name="Normal 2 54 2 2 14" xfId="11128" xr:uid="{00000000-0005-0000-0000-0000672B0000}"/>
    <cellStyle name="Normal 2 54 2 2 14 2" xfId="11129" xr:uid="{00000000-0005-0000-0000-0000682B0000}"/>
    <cellStyle name="Normal 2 54 2 2 14 3" xfId="11130" xr:uid="{00000000-0005-0000-0000-0000692B0000}"/>
    <cellStyle name="Normal 2 54 2 2 15" xfId="11131" xr:uid="{00000000-0005-0000-0000-00006A2B0000}"/>
    <cellStyle name="Normal 2 54 2 2 16" xfId="11132" xr:uid="{00000000-0005-0000-0000-00006B2B0000}"/>
    <cellStyle name="Normal 2 54 2 2 2" xfId="11133" xr:uid="{00000000-0005-0000-0000-00006C2B0000}"/>
    <cellStyle name="Normal 2 54 2 2 2 2" xfId="11134" xr:uid="{00000000-0005-0000-0000-00006D2B0000}"/>
    <cellStyle name="Normal 2 54 2 2 2 3" xfId="11135" xr:uid="{00000000-0005-0000-0000-00006E2B0000}"/>
    <cellStyle name="Normal 2 54 2 2 3" xfId="11136" xr:uid="{00000000-0005-0000-0000-00006F2B0000}"/>
    <cellStyle name="Normal 2 54 2 2 3 2" xfId="11137" xr:uid="{00000000-0005-0000-0000-0000702B0000}"/>
    <cellStyle name="Normal 2 54 2 2 3 3" xfId="11138" xr:uid="{00000000-0005-0000-0000-0000712B0000}"/>
    <cellStyle name="Normal 2 54 2 2 4" xfId="11139" xr:uid="{00000000-0005-0000-0000-0000722B0000}"/>
    <cellStyle name="Normal 2 54 2 2 4 2" xfId="11140" xr:uid="{00000000-0005-0000-0000-0000732B0000}"/>
    <cellStyle name="Normal 2 54 2 2 4 3" xfId="11141" xr:uid="{00000000-0005-0000-0000-0000742B0000}"/>
    <cellStyle name="Normal 2 54 2 2 5" xfId="11142" xr:uid="{00000000-0005-0000-0000-0000752B0000}"/>
    <cellStyle name="Normal 2 54 2 2 5 2" xfId="11143" xr:uid="{00000000-0005-0000-0000-0000762B0000}"/>
    <cellStyle name="Normal 2 54 2 2 5 3" xfId="11144" xr:uid="{00000000-0005-0000-0000-0000772B0000}"/>
    <cellStyle name="Normal 2 54 2 2 6" xfId="11145" xr:uid="{00000000-0005-0000-0000-0000782B0000}"/>
    <cellStyle name="Normal 2 54 2 2 6 2" xfId="11146" xr:uid="{00000000-0005-0000-0000-0000792B0000}"/>
    <cellStyle name="Normal 2 54 2 2 6 3" xfId="11147" xr:uid="{00000000-0005-0000-0000-00007A2B0000}"/>
    <cellStyle name="Normal 2 54 2 2 7" xfId="11148" xr:uid="{00000000-0005-0000-0000-00007B2B0000}"/>
    <cellStyle name="Normal 2 54 2 2 7 2" xfId="11149" xr:uid="{00000000-0005-0000-0000-00007C2B0000}"/>
    <cellStyle name="Normal 2 54 2 2 7 3" xfId="11150" xr:uid="{00000000-0005-0000-0000-00007D2B0000}"/>
    <cellStyle name="Normal 2 54 2 2 8" xfId="11151" xr:uid="{00000000-0005-0000-0000-00007E2B0000}"/>
    <cellStyle name="Normal 2 54 2 2 8 2" xfId="11152" xr:uid="{00000000-0005-0000-0000-00007F2B0000}"/>
    <cellStyle name="Normal 2 54 2 2 8 3" xfId="11153" xr:uid="{00000000-0005-0000-0000-0000802B0000}"/>
    <cellStyle name="Normal 2 54 2 2 9" xfId="11154" xr:uid="{00000000-0005-0000-0000-0000812B0000}"/>
    <cellStyle name="Normal 2 54 2 2 9 2" xfId="11155" xr:uid="{00000000-0005-0000-0000-0000822B0000}"/>
    <cellStyle name="Normal 2 54 2 2 9 3" xfId="11156" xr:uid="{00000000-0005-0000-0000-0000832B0000}"/>
    <cellStyle name="Normal 2 54 2 3" xfId="11157" xr:uid="{00000000-0005-0000-0000-0000842B0000}"/>
    <cellStyle name="Normal 2 54 2 3 2" xfId="11158" xr:uid="{00000000-0005-0000-0000-0000852B0000}"/>
    <cellStyle name="Normal 2 54 2 3 3" xfId="11159" xr:uid="{00000000-0005-0000-0000-0000862B0000}"/>
    <cellStyle name="Normal 2 54 2 4" xfId="11160" xr:uid="{00000000-0005-0000-0000-0000872B0000}"/>
    <cellStyle name="Normal 2 54 2 4 2" xfId="11161" xr:uid="{00000000-0005-0000-0000-0000882B0000}"/>
    <cellStyle name="Normal 2 54 2 4 3" xfId="11162" xr:uid="{00000000-0005-0000-0000-0000892B0000}"/>
    <cellStyle name="Normal 2 54 2 5" xfId="11163" xr:uid="{00000000-0005-0000-0000-00008A2B0000}"/>
    <cellStyle name="Normal 2 54 2 5 2" xfId="11164" xr:uid="{00000000-0005-0000-0000-00008B2B0000}"/>
    <cellStyle name="Normal 2 54 2 5 3" xfId="11165" xr:uid="{00000000-0005-0000-0000-00008C2B0000}"/>
    <cellStyle name="Normal 2 54 2 6" xfId="11166" xr:uid="{00000000-0005-0000-0000-00008D2B0000}"/>
    <cellStyle name="Normal 2 54 2 6 2" xfId="11167" xr:uid="{00000000-0005-0000-0000-00008E2B0000}"/>
    <cellStyle name="Normal 2 54 2 6 3" xfId="11168" xr:uid="{00000000-0005-0000-0000-00008F2B0000}"/>
    <cellStyle name="Normal 2 54 2 7" xfId="11169" xr:uid="{00000000-0005-0000-0000-0000902B0000}"/>
    <cellStyle name="Normal 2 54 2 7 2" xfId="11170" xr:uid="{00000000-0005-0000-0000-0000912B0000}"/>
    <cellStyle name="Normal 2 54 2 7 3" xfId="11171" xr:uid="{00000000-0005-0000-0000-0000922B0000}"/>
    <cellStyle name="Normal 2 54 2 8" xfId="11172" xr:uid="{00000000-0005-0000-0000-0000932B0000}"/>
    <cellStyle name="Normal 2 54 2 8 2" xfId="11173" xr:uid="{00000000-0005-0000-0000-0000942B0000}"/>
    <cellStyle name="Normal 2 54 2 8 3" xfId="11174" xr:uid="{00000000-0005-0000-0000-0000952B0000}"/>
    <cellStyle name="Normal 2 54 2 9" xfId="11175" xr:uid="{00000000-0005-0000-0000-0000962B0000}"/>
    <cellStyle name="Normal 2 54 2 9 2" xfId="11176" xr:uid="{00000000-0005-0000-0000-0000972B0000}"/>
    <cellStyle name="Normal 2 54 2 9 3" xfId="11177" xr:uid="{00000000-0005-0000-0000-0000982B0000}"/>
    <cellStyle name="Normal 2 54 20" xfId="11178" xr:uid="{00000000-0005-0000-0000-0000992B0000}"/>
    <cellStyle name="Normal 2 54 20 2" xfId="11179" xr:uid="{00000000-0005-0000-0000-00009A2B0000}"/>
    <cellStyle name="Normal 2 54 20 3" xfId="11180" xr:uid="{00000000-0005-0000-0000-00009B2B0000}"/>
    <cellStyle name="Normal 2 54 21" xfId="11181" xr:uid="{00000000-0005-0000-0000-00009C2B0000}"/>
    <cellStyle name="Normal 2 54 21 2" xfId="11182" xr:uid="{00000000-0005-0000-0000-00009D2B0000}"/>
    <cellStyle name="Normal 2 54 21 3" xfId="11183" xr:uid="{00000000-0005-0000-0000-00009E2B0000}"/>
    <cellStyle name="Normal 2 54 22" xfId="11184" xr:uid="{00000000-0005-0000-0000-00009F2B0000}"/>
    <cellStyle name="Normal 2 54 22 2" xfId="11185" xr:uid="{00000000-0005-0000-0000-0000A02B0000}"/>
    <cellStyle name="Normal 2 54 22 3" xfId="11186" xr:uid="{00000000-0005-0000-0000-0000A12B0000}"/>
    <cellStyle name="Normal 2 54 23" xfId="11187" xr:uid="{00000000-0005-0000-0000-0000A22B0000}"/>
    <cellStyle name="Normal 2 54 23 2" xfId="11188" xr:uid="{00000000-0005-0000-0000-0000A32B0000}"/>
    <cellStyle name="Normal 2 54 23 3" xfId="11189" xr:uid="{00000000-0005-0000-0000-0000A42B0000}"/>
    <cellStyle name="Normal 2 54 24" xfId="11190" xr:uid="{00000000-0005-0000-0000-0000A52B0000}"/>
    <cellStyle name="Normal 2 54 25" xfId="11191" xr:uid="{00000000-0005-0000-0000-0000A62B0000}"/>
    <cellStyle name="Normal 2 54 3" xfId="11192" xr:uid="{00000000-0005-0000-0000-0000A72B0000}"/>
    <cellStyle name="Normal 2 54 3 10" xfId="11193" xr:uid="{00000000-0005-0000-0000-0000A82B0000}"/>
    <cellStyle name="Normal 2 54 3 10 2" xfId="11194" xr:uid="{00000000-0005-0000-0000-0000A92B0000}"/>
    <cellStyle name="Normal 2 54 3 10 3" xfId="11195" xr:uid="{00000000-0005-0000-0000-0000AA2B0000}"/>
    <cellStyle name="Normal 2 54 3 11" xfId="11196" xr:uid="{00000000-0005-0000-0000-0000AB2B0000}"/>
    <cellStyle name="Normal 2 54 3 11 2" xfId="11197" xr:uid="{00000000-0005-0000-0000-0000AC2B0000}"/>
    <cellStyle name="Normal 2 54 3 11 3" xfId="11198" xr:uid="{00000000-0005-0000-0000-0000AD2B0000}"/>
    <cellStyle name="Normal 2 54 3 12" xfId="11199" xr:uid="{00000000-0005-0000-0000-0000AE2B0000}"/>
    <cellStyle name="Normal 2 54 3 12 2" xfId="11200" xr:uid="{00000000-0005-0000-0000-0000AF2B0000}"/>
    <cellStyle name="Normal 2 54 3 12 3" xfId="11201" xr:uid="{00000000-0005-0000-0000-0000B02B0000}"/>
    <cellStyle name="Normal 2 54 3 13" xfId="11202" xr:uid="{00000000-0005-0000-0000-0000B12B0000}"/>
    <cellStyle name="Normal 2 54 3 13 2" xfId="11203" xr:uid="{00000000-0005-0000-0000-0000B22B0000}"/>
    <cellStyle name="Normal 2 54 3 13 3" xfId="11204" xr:uid="{00000000-0005-0000-0000-0000B32B0000}"/>
    <cellStyle name="Normal 2 54 3 14" xfId="11205" xr:uid="{00000000-0005-0000-0000-0000B42B0000}"/>
    <cellStyle name="Normal 2 54 3 14 2" xfId="11206" xr:uid="{00000000-0005-0000-0000-0000B52B0000}"/>
    <cellStyle name="Normal 2 54 3 14 3" xfId="11207" xr:uid="{00000000-0005-0000-0000-0000B62B0000}"/>
    <cellStyle name="Normal 2 54 3 15" xfId="11208" xr:uid="{00000000-0005-0000-0000-0000B72B0000}"/>
    <cellStyle name="Normal 2 54 3 15 2" xfId="11209" xr:uid="{00000000-0005-0000-0000-0000B82B0000}"/>
    <cellStyle name="Normal 2 54 3 15 3" xfId="11210" xr:uid="{00000000-0005-0000-0000-0000B92B0000}"/>
    <cellStyle name="Normal 2 54 3 16" xfId="11211" xr:uid="{00000000-0005-0000-0000-0000BA2B0000}"/>
    <cellStyle name="Normal 2 54 3 17" xfId="11212" xr:uid="{00000000-0005-0000-0000-0000BB2B0000}"/>
    <cellStyle name="Normal 2 54 3 2" xfId="11213" xr:uid="{00000000-0005-0000-0000-0000BC2B0000}"/>
    <cellStyle name="Normal 2 54 3 2 10" xfId="11214" xr:uid="{00000000-0005-0000-0000-0000BD2B0000}"/>
    <cellStyle name="Normal 2 54 3 2 10 2" xfId="11215" xr:uid="{00000000-0005-0000-0000-0000BE2B0000}"/>
    <cellStyle name="Normal 2 54 3 2 10 3" xfId="11216" xr:uid="{00000000-0005-0000-0000-0000BF2B0000}"/>
    <cellStyle name="Normal 2 54 3 2 11" xfId="11217" xr:uid="{00000000-0005-0000-0000-0000C02B0000}"/>
    <cellStyle name="Normal 2 54 3 2 11 2" xfId="11218" xr:uid="{00000000-0005-0000-0000-0000C12B0000}"/>
    <cellStyle name="Normal 2 54 3 2 11 3" xfId="11219" xr:uid="{00000000-0005-0000-0000-0000C22B0000}"/>
    <cellStyle name="Normal 2 54 3 2 12" xfId="11220" xr:uid="{00000000-0005-0000-0000-0000C32B0000}"/>
    <cellStyle name="Normal 2 54 3 2 12 2" xfId="11221" xr:uid="{00000000-0005-0000-0000-0000C42B0000}"/>
    <cellStyle name="Normal 2 54 3 2 12 3" xfId="11222" xr:uid="{00000000-0005-0000-0000-0000C52B0000}"/>
    <cellStyle name="Normal 2 54 3 2 13" xfId="11223" xr:uid="{00000000-0005-0000-0000-0000C62B0000}"/>
    <cellStyle name="Normal 2 54 3 2 13 2" xfId="11224" xr:uid="{00000000-0005-0000-0000-0000C72B0000}"/>
    <cellStyle name="Normal 2 54 3 2 13 3" xfId="11225" xr:uid="{00000000-0005-0000-0000-0000C82B0000}"/>
    <cellStyle name="Normal 2 54 3 2 14" xfId="11226" xr:uid="{00000000-0005-0000-0000-0000C92B0000}"/>
    <cellStyle name="Normal 2 54 3 2 14 2" xfId="11227" xr:uid="{00000000-0005-0000-0000-0000CA2B0000}"/>
    <cellStyle name="Normal 2 54 3 2 14 3" xfId="11228" xr:uid="{00000000-0005-0000-0000-0000CB2B0000}"/>
    <cellStyle name="Normal 2 54 3 2 15" xfId="11229" xr:uid="{00000000-0005-0000-0000-0000CC2B0000}"/>
    <cellStyle name="Normal 2 54 3 2 16" xfId="11230" xr:uid="{00000000-0005-0000-0000-0000CD2B0000}"/>
    <cellStyle name="Normal 2 54 3 2 2" xfId="11231" xr:uid="{00000000-0005-0000-0000-0000CE2B0000}"/>
    <cellStyle name="Normal 2 54 3 2 2 2" xfId="11232" xr:uid="{00000000-0005-0000-0000-0000CF2B0000}"/>
    <cellStyle name="Normal 2 54 3 2 2 3" xfId="11233" xr:uid="{00000000-0005-0000-0000-0000D02B0000}"/>
    <cellStyle name="Normal 2 54 3 2 3" xfId="11234" xr:uid="{00000000-0005-0000-0000-0000D12B0000}"/>
    <cellStyle name="Normal 2 54 3 2 3 2" xfId="11235" xr:uid="{00000000-0005-0000-0000-0000D22B0000}"/>
    <cellStyle name="Normal 2 54 3 2 3 3" xfId="11236" xr:uid="{00000000-0005-0000-0000-0000D32B0000}"/>
    <cellStyle name="Normal 2 54 3 2 4" xfId="11237" xr:uid="{00000000-0005-0000-0000-0000D42B0000}"/>
    <cellStyle name="Normal 2 54 3 2 4 2" xfId="11238" xr:uid="{00000000-0005-0000-0000-0000D52B0000}"/>
    <cellStyle name="Normal 2 54 3 2 4 3" xfId="11239" xr:uid="{00000000-0005-0000-0000-0000D62B0000}"/>
    <cellStyle name="Normal 2 54 3 2 5" xfId="11240" xr:uid="{00000000-0005-0000-0000-0000D72B0000}"/>
    <cellStyle name="Normal 2 54 3 2 5 2" xfId="11241" xr:uid="{00000000-0005-0000-0000-0000D82B0000}"/>
    <cellStyle name="Normal 2 54 3 2 5 3" xfId="11242" xr:uid="{00000000-0005-0000-0000-0000D92B0000}"/>
    <cellStyle name="Normal 2 54 3 2 6" xfId="11243" xr:uid="{00000000-0005-0000-0000-0000DA2B0000}"/>
    <cellStyle name="Normal 2 54 3 2 6 2" xfId="11244" xr:uid="{00000000-0005-0000-0000-0000DB2B0000}"/>
    <cellStyle name="Normal 2 54 3 2 6 3" xfId="11245" xr:uid="{00000000-0005-0000-0000-0000DC2B0000}"/>
    <cellStyle name="Normal 2 54 3 2 7" xfId="11246" xr:uid="{00000000-0005-0000-0000-0000DD2B0000}"/>
    <cellStyle name="Normal 2 54 3 2 7 2" xfId="11247" xr:uid="{00000000-0005-0000-0000-0000DE2B0000}"/>
    <cellStyle name="Normal 2 54 3 2 7 3" xfId="11248" xr:uid="{00000000-0005-0000-0000-0000DF2B0000}"/>
    <cellStyle name="Normal 2 54 3 2 8" xfId="11249" xr:uid="{00000000-0005-0000-0000-0000E02B0000}"/>
    <cellStyle name="Normal 2 54 3 2 8 2" xfId="11250" xr:uid="{00000000-0005-0000-0000-0000E12B0000}"/>
    <cellStyle name="Normal 2 54 3 2 8 3" xfId="11251" xr:uid="{00000000-0005-0000-0000-0000E22B0000}"/>
    <cellStyle name="Normal 2 54 3 2 9" xfId="11252" xr:uid="{00000000-0005-0000-0000-0000E32B0000}"/>
    <cellStyle name="Normal 2 54 3 2 9 2" xfId="11253" xr:uid="{00000000-0005-0000-0000-0000E42B0000}"/>
    <cellStyle name="Normal 2 54 3 2 9 3" xfId="11254" xr:uid="{00000000-0005-0000-0000-0000E52B0000}"/>
    <cellStyle name="Normal 2 54 3 3" xfId="11255" xr:uid="{00000000-0005-0000-0000-0000E62B0000}"/>
    <cellStyle name="Normal 2 54 3 3 2" xfId="11256" xr:uid="{00000000-0005-0000-0000-0000E72B0000}"/>
    <cellStyle name="Normal 2 54 3 3 3" xfId="11257" xr:uid="{00000000-0005-0000-0000-0000E82B0000}"/>
    <cellStyle name="Normal 2 54 3 4" xfId="11258" xr:uid="{00000000-0005-0000-0000-0000E92B0000}"/>
    <cellStyle name="Normal 2 54 3 4 2" xfId="11259" xr:uid="{00000000-0005-0000-0000-0000EA2B0000}"/>
    <cellStyle name="Normal 2 54 3 4 3" xfId="11260" xr:uid="{00000000-0005-0000-0000-0000EB2B0000}"/>
    <cellStyle name="Normal 2 54 3 5" xfId="11261" xr:uid="{00000000-0005-0000-0000-0000EC2B0000}"/>
    <cellStyle name="Normal 2 54 3 5 2" xfId="11262" xr:uid="{00000000-0005-0000-0000-0000ED2B0000}"/>
    <cellStyle name="Normal 2 54 3 5 3" xfId="11263" xr:uid="{00000000-0005-0000-0000-0000EE2B0000}"/>
    <cellStyle name="Normal 2 54 3 6" xfId="11264" xr:uid="{00000000-0005-0000-0000-0000EF2B0000}"/>
    <cellStyle name="Normal 2 54 3 6 2" xfId="11265" xr:uid="{00000000-0005-0000-0000-0000F02B0000}"/>
    <cellStyle name="Normal 2 54 3 6 3" xfId="11266" xr:uid="{00000000-0005-0000-0000-0000F12B0000}"/>
    <cellStyle name="Normal 2 54 3 7" xfId="11267" xr:uid="{00000000-0005-0000-0000-0000F22B0000}"/>
    <cellStyle name="Normal 2 54 3 7 2" xfId="11268" xr:uid="{00000000-0005-0000-0000-0000F32B0000}"/>
    <cellStyle name="Normal 2 54 3 7 3" xfId="11269" xr:uid="{00000000-0005-0000-0000-0000F42B0000}"/>
    <cellStyle name="Normal 2 54 3 8" xfId="11270" xr:uid="{00000000-0005-0000-0000-0000F52B0000}"/>
    <cellStyle name="Normal 2 54 3 8 2" xfId="11271" xr:uid="{00000000-0005-0000-0000-0000F62B0000}"/>
    <cellStyle name="Normal 2 54 3 8 3" xfId="11272" xr:uid="{00000000-0005-0000-0000-0000F72B0000}"/>
    <cellStyle name="Normal 2 54 3 9" xfId="11273" xr:uid="{00000000-0005-0000-0000-0000F82B0000}"/>
    <cellStyle name="Normal 2 54 3 9 2" xfId="11274" xr:uid="{00000000-0005-0000-0000-0000F92B0000}"/>
    <cellStyle name="Normal 2 54 3 9 3" xfId="11275" xr:uid="{00000000-0005-0000-0000-0000FA2B0000}"/>
    <cellStyle name="Normal 2 54 4" xfId="11276" xr:uid="{00000000-0005-0000-0000-0000FB2B0000}"/>
    <cellStyle name="Normal 2 54 4 10" xfId="11277" xr:uid="{00000000-0005-0000-0000-0000FC2B0000}"/>
    <cellStyle name="Normal 2 54 4 10 2" xfId="11278" xr:uid="{00000000-0005-0000-0000-0000FD2B0000}"/>
    <cellStyle name="Normal 2 54 4 10 3" xfId="11279" xr:uid="{00000000-0005-0000-0000-0000FE2B0000}"/>
    <cellStyle name="Normal 2 54 4 11" xfId="11280" xr:uid="{00000000-0005-0000-0000-0000FF2B0000}"/>
    <cellStyle name="Normal 2 54 4 11 2" xfId="11281" xr:uid="{00000000-0005-0000-0000-0000002C0000}"/>
    <cellStyle name="Normal 2 54 4 11 3" xfId="11282" xr:uid="{00000000-0005-0000-0000-0000012C0000}"/>
    <cellStyle name="Normal 2 54 4 12" xfId="11283" xr:uid="{00000000-0005-0000-0000-0000022C0000}"/>
    <cellStyle name="Normal 2 54 4 12 2" xfId="11284" xr:uid="{00000000-0005-0000-0000-0000032C0000}"/>
    <cellStyle name="Normal 2 54 4 12 3" xfId="11285" xr:uid="{00000000-0005-0000-0000-0000042C0000}"/>
    <cellStyle name="Normal 2 54 4 13" xfId="11286" xr:uid="{00000000-0005-0000-0000-0000052C0000}"/>
    <cellStyle name="Normal 2 54 4 13 2" xfId="11287" xr:uid="{00000000-0005-0000-0000-0000062C0000}"/>
    <cellStyle name="Normal 2 54 4 13 3" xfId="11288" xr:uid="{00000000-0005-0000-0000-0000072C0000}"/>
    <cellStyle name="Normal 2 54 4 14" xfId="11289" xr:uid="{00000000-0005-0000-0000-0000082C0000}"/>
    <cellStyle name="Normal 2 54 4 14 2" xfId="11290" xr:uid="{00000000-0005-0000-0000-0000092C0000}"/>
    <cellStyle name="Normal 2 54 4 14 3" xfId="11291" xr:uid="{00000000-0005-0000-0000-00000A2C0000}"/>
    <cellStyle name="Normal 2 54 4 15" xfId="11292" xr:uid="{00000000-0005-0000-0000-00000B2C0000}"/>
    <cellStyle name="Normal 2 54 4 15 2" xfId="11293" xr:uid="{00000000-0005-0000-0000-00000C2C0000}"/>
    <cellStyle name="Normal 2 54 4 15 3" xfId="11294" xr:uid="{00000000-0005-0000-0000-00000D2C0000}"/>
    <cellStyle name="Normal 2 54 4 16" xfId="11295" xr:uid="{00000000-0005-0000-0000-00000E2C0000}"/>
    <cellStyle name="Normal 2 54 4 17" xfId="11296" xr:uid="{00000000-0005-0000-0000-00000F2C0000}"/>
    <cellStyle name="Normal 2 54 4 2" xfId="11297" xr:uid="{00000000-0005-0000-0000-0000102C0000}"/>
    <cellStyle name="Normal 2 54 4 2 10" xfId="11298" xr:uid="{00000000-0005-0000-0000-0000112C0000}"/>
    <cellStyle name="Normal 2 54 4 2 10 2" xfId="11299" xr:uid="{00000000-0005-0000-0000-0000122C0000}"/>
    <cellStyle name="Normal 2 54 4 2 10 3" xfId="11300" xr:uid="{00000000-0005-0000-0000-0000132C0000}"/>
    <cellStyle name="Normal 2 54 4 2 11" xfId="11301" xr:uid="{00000000-0005-0000-0000-0000142C0000}"/>
    <cellStyle name="Normal 2 54 4 2 11 2" xfId="11302" xr:uid="{00000000-0005-0000-0000-0000152C0000}"/>
    <cellStyle name="Normal 2 54 4 2 11 3" xfId="11303" xr:uid="{00000000-0005-0000-0000-0000162C0000}"/>
    <cellStyle name="Normal 2 54 4 2 12" xfId="11304" xr:uid="{00000000-0005-0000-0000-0000172C0000}"/>
    <cellStyle name="Normal 2 54 4 2 12 2" xfId="11305" xr:uid="{00000000-0005-0000-0000-0000182C0000}"/>
    <cellStyle name="Normal 2 54 4 2 12 3" xfId="11306" xr:uid="{00000000-0005-0000-0000-0000192C0000}"/>
    <cellStyle name="Normal 2 54 4 2 13" xfId="11307" xr:uid="{00000000-0005-0000-0000-00001A2C0000}"/>
    <cellStyle name="Normal 2 54 4 2 13 2" xfId="11308" xr:uid="{00000000-0005-0000-0000-00001B2C0000}"/>
    <cellStyle name="Normal 2 54 4 2 13 3" xfId="11309" xr:uid="{00000000-0005-0000-0000-00001C2C0000}"/>
    <cellStyle name="Normal 2 54 4 2 14" xfId="11310" xr:uid="{00000000-0005-0000-0000-00001D2C0000}"/>
    <cellStyle name="Normal 2 54 4 2 14 2" xfId="11311" xr:uid="{00000000-0005-0000-0000-00001E2C0000}"/>
    <cellStyle name="Normal 2 54 4 2 14 3" xfId="11312" xr:uid="{00000000-0005-0000-0000-00001F2C0000}"/>
    <cellStyle name="Normal 2 54 4 2 15" xfId="11313" xr:uid="{00000000-0005-0000-0000-0000202C0000}"/>
    <cellStyle name="Normal 2 54 4 2 16" xfId="11314" xr:uid="{00000000-0005-0000-0000-0000212C0000}"/>
    <cellStyle name="Normal 2 54 4 2 2" xfId="11315" xr:uid="{00000000-0005-0000-0000-0000222C0000}"/>
    <cellStyle name="Normal 2 54 4 2 2 2" xfId="11316" xr:uid="{00000000-0005-0000-0000-0000232C0000}"/>
    <cellStyle name="Normal 2 54 4 2 2 3" xfId="11317" xr:uid="{00000000-0005-0000-0000-0000242C0000}"/>
    <cellStyle name="Normal 2 54 4 2 3" xfId="11318" xr:uid="{00000000-0005-0000-0000-0000252C0000}"/>
    <cellStyle name="Normal 2 54 4 2 3 2" xfId="11319" xr:uid="{00000000-0005-0000-0000-0000262C0000}"/>
    <cellStyle name="Normal 2 54 4 2 3 3" xfId="11320" xr:uid="{00000000-0005-0000-0000-0000272C0000}"/>
    <cellStyle name="Normal 2 54 4 2 4" xfId="11321" xr:uid="{00000000-0005-0000-0000-0000282C0000}"/>
    <cellStyle name="Normal 2 54 4 2 4 2" xfId="11322" xr:uid="{00000000-0005-0000-0000-0000292C0000}"/>
    <cellStyle name="Normal 2 54 4 2 4 3" xfId="11323" xr:uid="{00000000-0005-0000-0000-00002A2C0000}"/>
    <cellStyle name="Normal 2 54 4 2 5" xfId="11324" xr:uid="{00000000-0005-0000-0000-00002B2C0000}"/>
    <cellStyle name="Normal 2 54 4 2 5 2" xfId="11325" xr:uid="{00000000-0005-0000-0000-00002C2C0000}"/>
    <cellStyle name="Normal 2 54 4 2 5 3" xfId="11326" xr:uid="{00000000-0005-0000-0000-00002D2C0000}"/>
    <cellStyle name="Normal 2 54 4 2 6" xfId="11327" xr:uid="{00000000-0005-0000-0000-00002E2C0000}"/>
    <cellStyle name="Normal 2 54 4 2 6 2" xfId="11328" xr:uid="{00000000-0005-0000-0000-00002F2C0000}"/>
    <cellStyle name="Normal 2 54 4 2 6 3" xfId="11329" xr:uid="{00000000-0005-0000-0000-0000302C0000}"/>
    <cellStyle name="Normal 2 54 4 2 7" xfId="11330" xr:uid="{00000000-0005-0000-0000-0000312C0000}"/>
    <cellStyle name="Normal 2 54 4 2 7 2" xfId="11331" xr:uid="{00000000-0005-0000-0000-0000322C0000}"/>
    <cellStyle name="Normal 2 54 4 2 7 3" xfId="11332" xr:uid="{00000000-0005-0000-0000-0000332C0000}"/>
    <cellStyle name="Normal 2 54 4 2 8" xfId="11333" xr:uid="{00000000-0005-0000-0000-0000342C0000}"/>
    <cellStyle name="Normal 2 54 4 2 8 2" xfId="11334" xr:uid="{00000000-0005-0000-0000-0000352C0000}"/>
    <cellStyle name="Normal 2 54 4 2 8 3" xfId="11335" xr:uid="{00000000-0005-0000-0000-0000362C0000}"/>
    <cellStyle name="Normal 2 54 4 2 9" xfId="11336" xr:uid="{00000000-0005-0000-0000-0000372C0000}"/>
    <cellStyle name="Normal 2 54 4 2 9 2" xfId="11337" xr:uid="{00000000-0005-0000-0000-0000382C0000}"/>
    <cellStyle name="Normal 2 54 4 2 9 3" xfId="11338" xr:uid="{00000000-0005-0000-0000-0000392C0000}"/>
    <cellStyle name="Normal 2 54 4 3" xfId="11339" xr:uid="{00000000-0005-0000-0000-00003A2C0000}"/>
    <cellStyle name="Normal 2 54 4 3 2" xfId="11340" xr:uid="{00000000-0005-0000-0000-00003B2C0000}"/>
    <cellStyle name="Normal 2 54 4 3 3" xfId="11341" xr:uid="{00000000-0005-0000-0000-00003C2C0000}"/>
    <cellStyle name="Normal 2 54 4 4" xfId="11342" xr:uid="{00000000-0005-0000-0000-00003D2C0000}"/>
    <cellStyle name="Normal 2 54 4 4 2" xfId="11343" xr:uid="{00000000-0005-0000-0000-00003E2C0000}"/>
    <cellStyle name="Normal 2 54 4 4 3" xfId="11344" xr:uid="{00000000-0005-0000-0000-00003F2C0000}"/>
    <cellStyle name="Normal 2 54 4 5" xfId="11345" xr:uid="{00000000-0005-0000-0000-0000402C0000}"/>
    <cellStyle name="Normal 2 54 4 5 2" xfId="11346" xr:uid="{00000000-0005-0000-0000-0000412C0000}"/>
    <cellStyle name="Normal 2 54 4 5 3" xfId="11347" xr:uid="{00000000-0005-0000-0000-0000422C0000}"/>
    <cellStyle name="Normal 2 54 4 6" xfId="11348" xr:uid="{00000000-0005-0000-0000-0000432C0000}"/>
    <cellStyle name="Normal 2 54 4 6 2" xfId="11349" xr:uid="{00000000-0005-0000-0000-0000442C0000}"/>
    <cellStyle name="Normal 2 54 4 6 3" xfId="11350" xr:uid="{00000000-0005-0000-0000-0000452C0000}"/>
    <cellStyle name="Normal 2 54 4 7" xfId="11351" xr:uid="{00000000-0005-0000-0000-0000462C0000}"/>
    <cellStyle name="Normal 2 54 4 7 2" xfId="11352" xr:uid="{00000000-0005-0000-0000-0000472C0000}"/>
    <cellStyle name="Normal 2 54 4 7 3" xfId="11353" xr:uid="{00000000-0005-0000-0000-0000482C0000}"/>
    <cellStyle name="Normal 2 54 4 8" xfId="11354" xr:uid="{00000000-0005-0000-0000-0000492C0000}"/>
    <cellStyle name="Normal 2 54 4 8 2" xfId="11355" xr:uid="{00000000-0005-0000-0000-00004A2C0000}"/>
    <cellStyle name="Normal 2 54 4 8 3" xfId="11356" xr:uid="{00000000-0005-0000-0000-00004B2C0000}"/>
    <cellStyle name="Normal 2 54 4 9" xfId="11357" xr:uid="{00000000-0005-0000-0000-00004C2C0000}"/>
    <cellStyle name="Normal 2 54 4 9 2" xfId="11358" xr:uid="{00000000-0005-0000-0000-00004D2C0000}"/>
    <cellStyle name="Normal 2 54 4 9 3" xfId="11359" xr:uid="{00000000-0005-0000-0000-00004E2C0000}"/>
    <cellStyle name="Normal 2 54 5" xfId="11360" xr:uid="{00000000-0005-0000-0000-00004F2C0000}"/>
    <cellStyle name="Normal 2 54 5 10" xfId="11361" xr:uid="{00000000-0005-0000-0000-0000502C0000}"/>
    <cellStyle name="Normal 2 54 5 10 2" xfId="11362" xr:uid="{00000000-0005-0000-0000-0000512C0000}"/>
    <cellStyle name="Normal 2 54 5 10 3" xfId="11363" xr:uid="{00000000-0005-0000-0000-0000522C0000}"/>
    <cellStyle name="Normal 2 54 5 11" xfId="11364" xr:uid="{00000000-0005-0000-0000-0000532C0000}"/>
    <cellStyle name="Normal 2 54 5 11 2" xfId="11365" xr:uid="{00000000-0005-0000-0000-0000542C0000}"/>
    <cellStyle name="Normal 2 54 5 11 3" xfId="11366" xr:uid="{00000000-0005-0000-0000-0000552C0000}"/>
    <cellStyle name="Normal 2 54 5 12" xfId="11367" xr:uid="{00000000-0005-0000-0000-0000562C0000}"/>
    <cellStyle name="Normal 2 54 5 12 2" xfId="11368" xr:uid="{00000000-0005-0000-0000-0000572C0000}"/>
    <cellStyle name="Normal 2 54 5 12 3" xfId="11369" xr:uid="{00000000-0005-0000-0000-0000582C0000}"/>
    <cellStyle name="Normal 2 54 5 13" xfId="11370" xr:uid="{00000000-0005-0000-0000-0000592C0000}"/>
    <cellStyle name="Normal 2 54 5 13 2" xfId="11371" xr:uid="{00000000-0005-0000-0000-00005A2C0000}"/>
    <cellStyle name="Normal 2 54 5 13 3" xfId="11372" xr:uid="{00000000-0005-0000-0000-00005B2C0000}"/>
    <cellStyle name="Normal 2 54 5 14" xfId="11373" xr:uid="{00000000-0005-0000-0000-00005C2C0000}"/>
    <cellStyle name="Normal 2 54 5 14 2" xfId="11374" xr:uid="{00000000-0005-0000-0000-00005D2C0000}"/>
    <cellStyle name="Normal 2 54 5 14 3" xfId="11375" xr:uid="{00000000-0005-0000-0000-00005E2C0000}"/>
    <cellStyle name="Normal 2 54 5 15" xfId="11376" xr:uid="{00000000-0005-0000-0000-00005F2C0000}"/>
    <cellStyle name="Normal 2 54 5 16" xfId="11377" xr:uid="{00000000-0005-0000-0000-0000602C0000}"/>
    <cellStyle name="Normal 2 54 5 2" xfId="11378" xr:uid="{00000000-0005-0000-0000-0000612C0000}"/>
    <cellStyle name="Normal 2 54 5 2 2" xfId="11379" xr:uid="{00000000-0005-0000-0000-0000622C0000}"/>
    <cellStyle name="Normal 2 54 5 2 3" xfId="11380" xr:uid="{00000000-0005-0000-0000-0000632C0000}"/>
    <cellStyle name="Normal 2 54 5 3" xfId="11381" xr:uid="{00000000-0005-0000-0000-0000642C0000}"/>
    <cellStyle name="Normal 2 54 5 3 2" xfId="11382" xr:uid="{00000000-0005-0000-0000-0000652C0000}"/>
    <cellStyle name="Normal 2 54 5 3 3" xfId="11383" xr:uid="{00000000-0005-0000-0000-0000662C0000}"/>
    <cellStyle name="Normal 2 54 5 4" xfId="11384" xr:uid="{00000000-0005-0000-0000-0000672C0000}"/>
    <cellStyle name="Normal 2 54 5 4 2" xfId="11385" xr:uid="{00000000-0005-0000-0000-0000682C0000}"/>
    <cellStyle name="Normal 2 54 5 4 3" xfId="11386" xr:uid="{00000000-0005-0000-0000-0000692C0000}"/>
    <cellStyle name="Normal 2 54 5 5" xfId="11387" xr:uid="{00000000-0005-0000-0000-00006A2C0000}"/>
    <cellStyle name="Normal 2 54 5 5 2" xfId="11388" xr:uid="{00000000-0005-0000-0000-00006B2C0000}"/>
    <cellStyle name="Normal 2 54 5 5 3" xfId="11389" xr:uid="{00000000-0005-0000-0000-00006C2C0000}"/>
    <cellStyle name="Normal 2 54 5 6" xfId="11390" xr:uid="{00000000-0005-0000-0000-00006D2C0000}"/>
    <cellStyle name="Normal 2 54 5 6 2" xfId="11391" xr:uid="{00000000-0005-0000-0000-00006E2C0000}"/>
    <cellStyle name="Normal 2 54 5 6 3" xfId="11392" xr:uid="{00000000-0005-0000-0000-00006F2C0000}"/>
    <cellStyle name="Normal 2 54 5 7" xfId="11393" xr:uid="{00000000-0005-0000-0000-0000702C0000}"/>
    <cellStyle name="Normal 2 54 5 7 2" xfId="11394" xr:uid="{00000000-0005-0000-0000-0000712C0000}"/>
    <cellStyle name="Normal 2 54 5 7 3" xfId="11395" xr:uid="{00000000-0005-0000-0000-0000722C0000}"/>
    <cellStyle name="Normal 2 54 5 8" xfId="11396" xr:uid="{00000000-0005-0000-0000-0000732C0000}"/>
    <cellStyle name="Normal 2 54 5 8 2" xfId="11397" xr:uid="{00000000-0005-0000-0000-0000742C0000}"/>
    <cellStyle name="Normal 2 54 5 8 3" xfId="11398" xr:uid="{00000000-0005-0000-0000-0000752C0000}"/>
    <cellStyle name="Normal 2 54 5 9" xfId="11399" xr:uid="{00000000-0005-0000-0000-0000762C0000}"/>
    <cellStyle name="Normal 2 54 5 9 2" xfId="11400" xr:uid="{00000000-0005-0000-0000-0000772C0000}"/>
    <cellStyle name="Normal 2 54 5 9 3" xfId="11401" xr:uid="{00000000-0005-0000-0000-0000782C0000}"/>
    <cellStyle name="Normal 2 54 6" xfId="11402" xr:uid="{00000000-0005-0000-0000-0000792C0000}"/>
    <cellStyle name="Normal 2 54 6 10" xfId="11403" xr:uid="{00000000-0005-0000-0000-00007A2C0000}"/>
    <cellStyle name="Normal 2 54 6 10 2" xfId="11404" xr:uid="{00000000-0005-0000-0000-00007B2C0000}"/>
    <cellStyle name="Normal 2 54 6 10 3" xfId="11405" xr:uid="{00000000-0005-0000-0000-00007C2C0000}"/>
    <cellStyle name="Normal 2 54 6 11" xfId="11406" xr:uid="{00000000-0005-0000-0000-00007D2C0000}"/>
    <cellStyle name="Normal 2 54 6 11 2" xfId="11407" xr:uid="{00000000-0005-0000-0000-00007E2C0000}"/>
    <cellStyle name="Normal 2 54 6 11 3" xfId="11408" xr:uid="{00000000-0005-0000-0000-00007F2C0000}"/>
    <cellStyle name="Normal 2 54 6 12" xfId="11409" xr:uid="{00000000-0005-0000-0000-0000802C0000}"/>
    <cellStyle name="Normal 2 54 6 12 2" xfId="11410" xr:uid="{00000000-0005-0000-0000-0000812C0000}"/>
    <cellStyle name="Normal 2 54 6 12 3" xfId="11411" xr:uid="{00000000-0005-0000-0000-0000822C0000}"/>
    <cellStyle name="Normal 2 54 6 13" xfId="11412" xr:uid="{00000000-0005-0000-0000-0000832C0000}"/>
    <cellStyle name="Normal 2 54 6 13 2" xfId="11413" xr:uid="{00000000-0005-0000-0000-0000842C0000}"/>
    <cellStyle name="Normal 2 54 6 13 3" xfId="11414" xr:uid="{00000000-0005-0000-0000-0000852C0000}"/>
    <cellStyle name="Normal 2 54 6 14" xfId="11415" xr:uid="{00000000-0005-0000-0000-0000862C0000}"/>
    <cellStyle name="Normal 2 54 6 14 2" xfId="11416" xr:uid="{00000000-0005-0000-0000-0000872C0000}"/>
    <cellStyle name="Normal 2 54 6 14 3" xfId="11417" xr:uid="{00000000-0005-0000-0000-0000882C0000}"/>
    <cellStyle name="Normal 2 54 6 15" xfId="11418" xr:uid="{00000000-0005-0000-0000-0000892C0000}"/>
    <cellStyle name="Normal 2 54 6 16" xfId="11419" xr:uid="{00000000-0005-0000-0000-00008A2C0000}"/>
    <cellStyle name="Normal 2 54 6 2" xfId="11420" xr:uid="{00000000-0005-0000-0000-00008B2C0000}"/>
    <cellStyle name="Normal 2 54 6 2 2" xfId="11421" xr:uid="{00000000-0005-0000-0000-00008C2C0000}"/>
    <cellStyle name="Normal 2 54 6 2 3" xfId="11422" xr:uid="{00000000-0005-0000-0000-00008D2C0000}"/>
    <cellStyle name="Normal 2 54 6 3" xfId="11423" xr:uid="{00000000-0005-0000-0000-00008E2C0000}"/>
    <cellStyle name="Normal 2 54 6 3 2" xfId="11424" xr:uid="{00000000-0005-0000-0000-00008F2C0000}"/>
    <cellStyle name="Normal 2 54 6 3 3" xfId="11425" xr:uid="{00000000-0005-0000-0000-0000902C0000}"/>
    <cellStyle name="Normal 2 54 6 4" xfId="11426" xr:uid="{00000000-0005-0000-0000-0000912C0000}"/>
    <cellStyle name="Normal 2 54 6 4 2" xfId="11427" xr:uid="{00000000-0005-0000-0000-0000922C0000}"/>
    <cellStyle name="Normal 2 54 6 4 3" xfId="11428" xr:uid="{00000000-0005-0000-0000-0000932C0000}"/>
    <cellStyle name="Normal 2 54 6 5" xfId="11429" xr:uid="{00000000-0005-0000-0000-0000942C0000}"/>
    <cellStyle name="Normal 2 54 6 5 2" xfId="11430" xr:uid="{00000000-0005-0000-0000-0000952C0000}"/>
    <cellStyle name="Normal 2 54 6 5 3" xfId="11431" xr:uid="{00000000-0005-0000-0000-0000962C0000}"/>
    <cellStyle name="Normal 2 54 6 6" xfId="11432" xr:uid="{00000000-0005-0000-0000-0000972C0000}"/>
    <cellStyle name="Normal 2 54 6 6 2" xfId="11433" xr:uid="{00000000-0005-0000-0000-0000982C0000}"/>
    <cellStyle name="Normal 2 54 6 6 3" xfId="11434" xr:uid="{00000000-0005-0000-0000-0000992C0000}"/>
    <cellStyle name="Normal 2 54 6 7" xfId="11435" xr:uid="{00000000-0005-0000-0000-00009A2C0000}"/>
    <cellStyle name="Normal 2 54 6 7 2" xfId="11436" xr:uid="{00000000-0005-0000-0000-00009B2C0000}"/>
    <cellStyle name="Normal 2 54 6 7 3" xfId="11437" xr:uid="{00000000-0005-0000-0000-00009C2C0000}"/>
    <cellStyle name="Normal 2 54 6 8" xfId="11438" xr:uid="{00000000-0005-0000-0000-00009D2C0000}"/>
    <cellStyle name="Normal 2 54 6 8 2" xfId="11439" xr:uid="{00000000-0005-0000-0000-00009E2C0000}"/>
    <cellStyle name="Normal 2 54 6 8 3" xfId="11440" xr:uid="{00000000-0005-0000-0000-00009F2C0000}"/>
    <cellStyle name="Normal 2 54 6 9" xfId="11441" xr:uid="{00000000-0005-0000-0000-0000A02C0000}"/>
    <cellStyle name="Normal 2 54 6 9 2" xfId="11442" xr:uid="{00000000-0005-0000-0000-0000A12C0000}"/>
    <cellStyle name="Normal 2 54 6 9 3" xfId="11443" xr:uid="{00000000-0005-0000-0000-0000A22C0000}"/>
    <cellStyle name="Normal 2 54 7" xfId="11444" xr:uid="{00000000-0005-0000-0000-0000A32C0000}"/>
    <cellStyle name="Normal 2 54 7 10" xfId="11445" xr:uid="{00000000-0005-0000-0000-0000A42C0000}"/>
    <cellStyle name="Normal 2 54 7 10 2" xfId="11446" xr:uid="{00000000-0005-0000-0000-0000A52C0000}"/>
    <cellStyle name="Normal 2 54 7 10 3" xfId="11447" xr:uid="{00000000-0005-0000-0000-0000A62C0000}"/>
    <cellStyle name="Normal 2 54 7 11" xfId="11448" xr:uid="{00000000-0005-0000-0000-0000A72C0000}"/>
    <cellStyle name="Normal 2 54 7 11 2" xfId="11449" xr:uid="{00000000-0005-0000-0000-0000A82C0000}"/>
    <cellStyle name="Normal 2 54 7 11 3" xfId="11450" xr:uid="{00000000-0005-0000-0000-0000A92C0000}"/>
    <cellStyle name="Normal 2 54 7 12" xfId="11451" xr:uid="{00000000-0005-0000-0000-0000AA2C0000}"/>
    <cellStyle name="Normal 2 54 7 12 2" xfId="11452" xr:uid="{00000000-0005-0000-0000-0000AB2C0000}"/>
    <cellStyle name="Normal 2 54 7 12 3" xfId="11453" xr:uid="{00000000-0005-0000-0000-0000AC2C0000}"/>
    <cellStyle name="Normal 2 54 7 13" xfId="11454" xr:uid="{00000000-0005-0000-0000-0000AD2C0000}"/>
    <cellStyle name="Normal 2 54 7 13 2" xfId="11455" xr:uid="{00000000-0005-0000-0000-0000AE2C0000}"/>
    <cellStyle name="Normal 2 54 7 13 3" xfId="11456" xr:uid="{00000000-0005-0000-0000-0000AF2C0000}"/>
    <cellStyle name="Normal 2 54 7 14" xfId="11457" xr:uid="{00000000-0005-0000-0000-0000B02C0000}"/>
    <cellStyle name="Normal 2 54 7 14 2" xfId="11458" xr:uid="{00000000-0005-0000-0000-0000B12C0000}"/>
    <cellStyle name="Normal 2 54 7 14 3" xfId="11459" xr:uid="{00000000-0005-0000-0000-0000B22C0000}"/>
    <cellStyle name="Normal 2 54 7 15" xfId="11460" xr:uid="{00000000-0005-0000-0000-0000B32C0000}"/>
    <cellStyle name="Normal 2 54 7 16" xfId="11461" xr:uid="{00000000-0005-0000-0000-0000B42C0000}"/>
    <cellStyle name="Normal 2 54 7 2" xfId="11462" xr:uid="{00000000-0005-0000-0000-0000B52C0000}"/>
    <cellStyle name="Normal 2 54 7 2 2" xfId="11463" xr:uid="{00000000-0005-0000-0000-0000B62C0000}"/>
    <cellStyle name="Normal 2 54 7 2 3" xfId="11464" xr:uid="{00000000-0005-0000-0000-0000B72C0000}"/>
    <cellStyle name="Normal 2 54 7 3" xfId="11465" xr:uid="{00000000-0005-0000-0000-0000B82C0000}"/>
    <cellStyle name="Normal 2 54 7 3 2" xfId="11466" xr:uid="{00000000-0005-0000-0000-0000B92C0000}"/>
    <cellStyle name="Normal 2 54 7 3 3" xfId="11467" xr:uid="{00000000-0005-0000-0000-0000BA2C0000}"/>
    <cellStyle name="Normal 2 54 7 4" xfId="11468" xr:uid="{00000000-0005-0000-0000-0000BB2C0000}"/>
    <cellStyle name="Normal 2 54 7 4 2" xfId="11469" xr:uid="{00000000-0005-0000-0000-0000BC2C0000}"/>
    <cellStyle name="Normal 2 54 7 4 3" xfId="11470" xr:uid="{00000000-0005-0000-0000-0000BD2C0000}"/>
    <cellStyle name="Normal 2 54 7 5" xfId="11471" xr:uid="{00000000-0005-0000-0000-0000BE2C0000}"/>
    <cellStyle name="Normal 2 54 7 5 2" xfId="11472" xr:uid="{00000000-0005-0000-0000-0000BF2C0000}"/>
    <cellStyle name="Normal 2 54 7 5 3" xfId="11473" xr:uid="{00000000-0005-0000-0000-0000C02C0000}"/>
    <cellStyle name="Normal 2 54 7 6" xfId="11474" xr:uid="{00000000-0005-0000-0000-0000C12C0000}"/>
    <cellStyle name="Normal 2 54 7 6 2" xfId="11475" xr:uid="{00000000-0005-0000-0000-0000C22C0000}"/>
    <cellStyle name="Normal 2 54 7 6 3" xfId="11476" xr:uid="{00000000-0005-0000-0000-0000C32C0000}"/>
    <cellStyle name="Normal 2 54 7 7" xfId="11477" xr:uid="{00000000-0005-0000-0000-0000C42C0000}"/>
    <cellStyle name="Normal 2 54 7 7 2" xfId="11478" xr:uid="{00000000-0005-0000-0000-0000C52C0000}"/>
    <cellStyle name="Normal 2 54 7 7 3" xfId="11479" xr:uid="{00000000-0005-0000-0000-0000C62C0000}"/>
    <cellStyle name="Normal 2 54 7 8" xfId="11480" xr:uid="{00000000-0005-0000-0000-0000C72C0000}"/>
    <cellStyle name="Normal 2 54 7 8 2" xfId="11481" xr:uid="{00000000-0005-0000-0000-0000C82C0000}"/>
    <cellStyle name="Normal 2 54 7 8 3" xfId="11482" xr:uid="{00000000-0005-0000-0000-0000C92C0000}"/>
    <cellStyle name="Normal 2 54 7 9" xfId="11483" xr:uid="{00000000-0005-0000-0000-0000CA2C0000}"/>
    <cellStyle name="Normal 2 54 7 9 2" xfId="11484" xr:uid="{00000000-0005-0000-0000-0000CB2C0000}"/>
    <cellStyle name="Normal 2 54 7 9 3" xfId="11485" xr:uid="{00000000-0005-0000-0000-0000CC2C0000}"/>
    <cellStyle name="Normal 2 54 8" xfId="11486" xr:uid="{00000000-0005-0000-0000-0000CD2C0000}"/>
    <cellStyle name="Normal 2 54 8 10" xfId="11487" xr:uid="{00000000-0005-0000-0000-0000CE2C0000}"/>
    <cellStyle name="Normal 2 54 8 10 2" xfId="11488" xr:uid="{00000000-0005-0000-0000-0000CF2C0000}"/>
    <cellStyle name="Normal 2 54 8 10 3" xfId="11489" xr:uid="{00000000-0005-0000-0000-0000D02C0000}"/>
    <cellStyle name="Normal 2 54 8 11" xfId="11490" xr:uid="{00000000-0005-0000-0000-0000D12C0000}"/>
    <cellStyle name="Normal 2 54 8 11 2" xfId="11491" xr:uid="{00000000-0005-0000-0000-0000D22C0000}"/>
    <cellStyle name="Normal 2 54 8 11 3" xfId="11492" xr:uid="{00000000-0005-0000-0000-0000D32C0000}"/>
    <cellStyle name="Normal 2 54 8 12" xfId="11493" xr:uid="{00000000-0005-0000-0000-0000D42C0000}"/>
    <cellStyle name="Normal 2 54 8 12 2" xfId="11494" xr:uid="{00000000-0005-0000-0000-0000D52C0000}"/>
    <cellStyle name="Normal 2 54 8 12 3" xfId="11495" xr:uid="{00000000-0005-0000-0000-0000D62C0000}"/>
    <cellStyle name="Normal 2 54 8 13" xfId="11496" xr:uid="{00000000-0005-0000-0000-0000D72C0000}"/>
    <cellStyle name="Normal 2 54 8 13 2" xfId="11497" xr:uid="{00000000-0005-0000-0000-0000D82C0000}"/>
    <cellStyle name="Normal 2 54 8 13 3" xfId="11498" xr:uid="{00000000-0005-0000-0000-0000D92C0000}"/>
    <cellStyle name="Normal 2 54 8 14" xfId="11499" xr:uid="{00000000-0005-0000-0000-0000DA2C0000}"/>
    <cellStyle name="Normal 2 54 8 14 2" xfId="11500" xr:uid="{00000000-0005-0000-0000-0000DB2C0000}"/>
    <cellStyle name="Normal 2 54 8 14 3" xfId="11501" xr:uid="{00000000-0005-0000-0000-0000DC2C0000}"/>
    <cellStyle name="Normal 2 54 8 15" xfId="11502" xr:uid="{00000000-0005-0000-0000-0000DD2C0000}"/>
    <cellStyle name="Normal 2 54 8 16" xfId="11503" xr:uid="{00000000-0005-0000-0000-0000DE2C0000}"/>
    <cellStyle name="Normal 2 54 8 2" xfId="11504" xr:uid="{00000000-0005-0000-0000-0000DF2C0000}"/>
    <cellStyle name="Normal 2 54 8 2 2" xfId="11505" xr:uid="{00000000-0005-0000-0000-0000E02C0000}"/>
    <cellStyle name="Normal 2 54 8 2 3" xfId="11506" xr:uid="{00000000-0005-0000-0000-0000E12C0000}"/>
    <cellStyle name="Normal 2 54 8 3" xfId="11507" xr:uid="{00000000-0005-0000-0000-0000E22C0000}"/>
    <cellStyle name="Normal 2 54 8 3 2" xfId="11508" xr:uid="{00000000-0005-0000-0000-0000E32C0000}"/>
    <cellStyle name="Normal 2 54 8 3 3" xfId="11509" xr:uid="{00000000-0005-0000-0000-0000E42C0000}"/>
    <cellStyle name="Normal 2 54 8 4" xfId="11510" xr:uid="{00000000-0005-0000-0000-0000E52C0000}"/>
    <cellStyle name="Normal 2 54 8 4 2" xfId="11511" xr:uid="{00000000-0005-0000-0000-0000E62C0000}"/>
    <cellStyle name="Normal 2 54 8 4 3" xfId="11512" xr:uid="{00000000-0005-0000-0000-0000E72C0000}"/>
    <cellStyle name="Normal 2 54 8 5" xfId="11513" xr:uid="{00000000-0005-0000-0000-0000E82C0000}"/>
    <cellStyle name="Normal 2 54 8 5 2" xfId="11514" xr:uid="{00000000-0005-0000-0000-0000E92C0000}"/>
    <cellStyle name="Normal 2 54 8 5 3" xfId="11515" xr:uid="{00000000-0005-0000-0000-0000EA2C0000}"/>
    <cellStyle name="Normal 2 54 8 6" xfId="11516" xr:uid="{00000000-0005-0000-0000-0000EB2C0000}"/>
    <cellStyle name="Normal 2 54 8 6 2" xfId="11517" xr:uid="{00000000-0005-0000-0000-0000EC2C0000}"/>
    <cellStyle name="Normal 2 54 8 6 3" xfId="11518" xr:uid="{00000000-0005-0000-0000-0000ED2C0000}"/>
    <cellStyle name="Normal 2 54 8 7" xfId="11519" xr:uid="{00000000-0005-0000-0000-0000EE2C0000}"/>
    <cellStyle name="Normal 2 54 8 7 2" xfId="11520" xr:uid="{00000000-0005-0000-0000-0000EF2C0000}"/>
    <cellStyle name="Normal 2 54 8 7 3" xfId="11521" xr:uid="{00000000-0005-0000-0000-0000F02C0000}"/>
    <cellStyle name="Normal 2 54 8 8" xfId="11522" xr:uid="{00000000-0005-0000-0000-0000F12C0000}"/>
    <cellStyle name="Normal 2 54 8 8 2" xfId="11523" xr:uid="{00000000-0005-0000-0000-0000F22C0000}"/>
    <cellStyle name="Normal 2 54 8 8 3" xfId="11524" xr:uid="{00000000-0005-0000-0000-0000F32C0000}"/>
    <cellStyle name="Normal 2 54 8 9" xfId="11525" xr:uid="{00000000-0005-0000-0000-0000F42C0000}"/>
    <cellStyle name="Normal 2 54 8 9 2" xfId="11526" xr:uid="{00000000-0005-0000-0000-0000F52C0000}"/>
    <cellStyle name="Normal 2 54 8 9 3" xfId="11527" xr:uid="{00000000-0005-0000-0000-0000F62C0000}"/>
    <cellStyle name="Normal 2 54 9" xfId="11528" xr:uid="{00000000-0005-0000-0000-0000F72C0000}"/>
    <cellStyle name="Normal 2 54 9 10" xfId="11529" xr:uid="{00000000-0005-0000-0000-0000F82C0000}"/>
    <cellStyle name="Normal 2 54 9 10 2" xfId="11530" xr:uid="{00000000-0005-0000-0000-0000F92C0000}"/>
    <cellStyle name="Normal 2 54 9 10 3" xfId="11531" xr:uid="{00000000-0005-0000-0000-0000FA2C0000}"/>
    <cellStyle name="Normal 2 54 9 11" xfId="11532" xr:uid="{00000000-0005-0000-0000-0000FB2C0000}"/>
    <cellStyle name="Normal 2 54 9 11 2" xfId="11533" xr:uid="{00000000-0005-0000-0000-0000FC2C0000}"/>
    <cellStyle name="Normal 2 54 9 11 3" xfId="11534" xr:uid="{00000000-0005-0000-0000-0000FD2C0000}"/>
    <cellStyle name="Normal 2 54 9 12" xfId="11535" xr:uid="{00000000-0005-0000-0000-0000FE2C0000}"/>
    <cellStyle name="Normal 2 54 9 12 2" xfId="11536" xr:uid="{00000000-0005-0000-0000-0000FF2C0000}"/>
    <cellStyle name="Normal 2 54 9 12 3" xfId="11537" xr:uid="{00000000-0005-0000-0000-0000002D0000}"/>
    <cellStyle name="Normal 2 54 9 13" xfId="11538" xr:uid="{00000000-0005-0000-0000-0000012D0000}"/>
    <cellStyle name="Normal 2 54 9 13 2" xfId="11539" xr:uid="{00000000-0005-0000-0000-0000022D0000}"/>
    <cellStyle name="Normal 2 54 9 13 3" xfId="11540" xr:uid="{00000000-0005-0000-0000-0000032D0000}"/>
    <cellStyle name="Normal 2 54 9 14" xfId="11541" xr:uid="{00000000-0005-0000-0000-0000042D0000}"/>
    <cellStyle name="Normal 2 54 9 14 2" xfId="11542" xr:uid="{00000000-0005-0000-0000-0000052D0000}"/>
    <cellStyle name="Normal 2 54 9 14 3" xfId="11543" xr:uid="{00000000-0005-0000-0000-0000062D0000}"/>
    <cellStyle name="Normal 2 54 9 15" xfId="11544" xr:uid="{00000000-0005-0000-0000-0000072D0000}"/>
    <cellStyle name="Normal 2 54 9 16" xfId="11545" xr:uid="{00000000-0005-0000-0000-0000082D0000}"/>
    <cellStyle name="Normal 2 54 9 2" xfId="11546" xr:uid="{00000000-0005-0000-0000-0000092D0000}"/>
    <cellStyle name="Normal 2 54 9 2 2" xfId="11547" xr:uid="{00000000-0005-0000-0000-00000A2D0000}"/>
    <cellStyle name="Normal 2 54 9 2 3" xfId="11548" xr:uid="{00000000-0005-0000-0000-00000B2D0000}"/>
    <cellStyle name="Normal 2 54 9 3" xfId="11549" xr:uid="{00000000-0005-0000-0000-00000C2D0000}"/>
    <cellStyle name="Normal 2 54 9 3 2" xfId="11550" xr:uid="{00000000-0005-0000-0000-00000D2D0000}"/>
    <cellStyle name="Normal 2 54 9 3 3" xfId="11551" xr:uid="{00000000-0005-0000-0000-00000E2D0000}"/>
    <cellStyle name="Normal 2 54 9 4" xfId="11552" xr:uid="{00000000-0005-0000-0000-00000F2D0000}"/>
    <cellStyle name="Normal 2 54 9 4 2" xfId="11553" xr:uid="{00000000-0005-0000-0000-0000102D0000}"/>
    <cellStyle name="Normal 2 54 9 4 3" xfId="11554" xr:uid="{00000000-0005-0000-0000-0000112D0000}"/>
    <cellStyle name="Normal 2 54 9 5" xfId="11555" xr:uid="{00000000-0005-0000-0000-0000122D0000}"/>
    <cellStyle name="Normal 2 54 9 5 2" xfId="11556" xr:uid="{00000000-0005-0000-0000-0000132D0000}"/>
    <cellStyle name="Normal 2 54 9 5 3" xfId="11557" xr:uid="{00000000-0005-0000-0000-0000142D0000}"/>
    <cellStyle name="Normal 2 54 9 6" xfId="11558" xr:uid="{00000000-0005-0000-0000-0000152D0000}"/>
    <cellStyle name="Normal 2 54 9 6 2" xfId="11559" xr:uid="{00000000-0005-0000-0000-0000162D0000}"/>
    <cellStyle name="Normal 2 54 9 6 3" xfId="11560" xr:uid="{00000000-0005-0000-0000-0000172D0000}"/>
    <cellStyle name="Normal 2 54 9 7" xfId="11561" xr:uid="{00000000-0005-0000-0000-0000182D0000}"/>
    <cellStyle name="Normal 2 54 9 7 2" xfId="11562" xr:uid="{00000000-0005-0000-0000-0000192D0000}"/>
    <cellStyle name="Normal 2 54 9 7 3" xfId="11563" xr:uid="{00000000-0005-0000-0000-00001A2D0000}"/>
    <cellStyle name="Normal 2 54 9 8" xfId="11564" xr:uid="{00000000-0005-0000-0000-00001B2D0000}"/>
    <cellStyle name="Normal 2 54 9 8 2" xfId="11565" xr:uid="{00000000-0005-0000-0000-00001C2D0000}"/>
    <cellStyle name="Normal 2 54 9 8 3" xfId="11566" xr:uid="{00000000-0005-0000-0000-00001D2D0000}"/>
    <cellStyle name="Normal 2 54 9 9" xfId="11567" xr:uid="{00000000-0005-0000-0000-00001E2D0000}"/>
    <cellStyle name="Normal 2 54 9 9 2" xfId="11568" xr:uid="{00000000-0005-0000-0000-00001F2D0000}"/>
    <cellStyle name="Normal 2 54 9 9 3" xfId="11569" xr:uid="{00000000-0005-0000-0000-0000202D0000}"/>
    <cellStyle name="Normal 2 55" xfId="11570" xr:uid="{00000000-0005-0000-0000-0000212D0000}"/>
    <cellStyle name="Normal 2 55 10" xfId="11571" xr:uid="{00000000-0005-0000-0000-0000222D0000}"/>
    <cellStyle name="Normal 2 55 10 10" xfId="11572" xr:uid="{00000000-0005-0000-0000-0000232D0000}"/>
    <cellStyle name="Normal 2 55 10 10 2" xfId="11573" xr:uid="{00000000-0005-0000-0000-0000242D0000}"/>
    <cellStyle name="Normal 2 55 10 10 3" xfId="11574" xr:uid="{00000000-0005-0000-0000-0000252D0000}"/>
    <cellStyle name="Normal 2 55 10 11" xfId="11575" xr:uid="{00000000-0005-0000-0000-0000262D0000}"/>
    <cellStyle name="Normal 2 55 10 11 2" xfId="11576" xr:uid="{00000000-0005-0000-0000-0000272D0000}"/>
    <cellStyle name="Normal 2 55 10 11 3" xfId="11577" xr:uid="{00000000-0005-0000-0000-0000282D0000}"/>
    <cellStyle name="Normal 2 55 10 12" xfId="11578" xr:uid="{00000000-0005-0000-0000-0000292D0000}"/>
    <cellStyle name="Normal 2 55 10 12 2" xfId="11579" xr:uid="{00000000-0005-0000-0000-00002A2D0000}"/>
    <cellStyle name="Normal 2 55 10 12 3" xfId="11580" xr:uid="{00000000-0005-0000-0000-00002B2D0000}"/>
    <cellStyle name="Normal 2 55 10 13" xfId="11581" xr:uid="{00000000-0005-0000-0000-00002C2D0000}"/>
    <cellStyle name="Normal 2 55 10 13 2" xfId="11582" xr:uid="{00000000-0005-0000-0000-00002D2D0000}"/>
    <cellStyle name="Normal 2 55 10 13 3" xfId="11583" xr:uid="{00000000-0005-0000-0000-00002E2D0000}"/>
    <cellStyle name="Normal 2 55 10 14" xfId="11584" xr:uid="{00000000-0005-0000-0000-00002F2D0000}"/>
    <cellStyle name="Normal 2 55 10 14 2" xfId="11585" xr:uid="{00000000-0005-0000-0000-0000302D0000}"/>
    <cellStyle name="Normal 2 55 10 14 3" xfId="11586" xr:uid="{00000000-0005-0000-0000-0000312D0000}"/>
    <cellStyle name="Normal 2 55 10 15" xfId="11587" xr:uid="{00000000-0005-0000-0000-0000322D0000}"/>
    <cellStyle name="Normal 2 55 10 16" xfId="11588" xr:uid="{00000000-0005-0000-0000-0000332D0000}"/>
    <cellStyle name="Normal 2 55 10 2" xfId="11589" xr:uid="{00000000-0005-0000-0000-0000342D0000}"/>
    <cellStyle name="Normal 2 55 10 2 2" xfId="11590" xr:uid="{00000000-0005-0000-0000-0000352D0000}"/>
    <cellStyle name="Normal 2 55 10 2 3" xfId="11591" xr:uid="{00000000-0005-0000-0000-0000362D0000}"/>
    <cellStyle name="Normal 2 55 10 3" xfId="11592" xr:uid="{00000000-0005-0000-0000-0000372D0000}"/>
    <cellStyle name="Normal 2 55 10 3 2" xfId="11593" xr:uid="{00000000-0005-0000-0000-0000382D0000}"/>
    <cellStyle name="Normal 2 55 10 3 3" xfId="11594" xr:uid="{00000000-0005-0000-0000-0000392D0000}"/>
    <cellStyle name="Normal 2 55 10 4" xfId="11595" xr:uid="{00000000-0005-0000-0000-00003A2D0000}"/>
    <cellStyle name="Normal 2 55 10 4 2" xfId="11596" xr:uid="{00000000-0005-0000-0000-00003B2D0000}"/>
    <cellStyle name="Normal 2 55 10 4 3" xfId="11597" xr:uid="{00000000-0005-0000-0000-00003C2D0000}"/>
    <cellStyle name="Normal 2 55 10 5" xfId="11598" xr:uid="{00000000-0005-0000-0000-00003D2D0000}"/>
    <cellStyle name="Normal 2 55 10 5 2" xfId="11599" xr:uid="{00000000-0005-0000-0000-00003E2D0000}"/>
    <cellStyle name="Normal 2 55 10 5 3" xfId="11600" xr:uid="{00000000-0005-0000-0000-00003F2D0000}"/>
    <cellStyle name="Normal 2 55 10 6" xfId="11601" xr:uid="{00000000-0005-0000-0000-0000402D0000}"/>
    <cellStyle name="Normal 2 55 10 6 2" xfId="11602" xr:uid="{00000000-0005-0000-0000-0000412D0000}"/>
    <cellStyle name="Normal 2 55 10 6 3" xfId="11603" xr:uid="{00000000-0005-0000-0000-0000422D0000}"/>
    <cellStyle name="Normal 2 55 10 7" xfId="11604" xr:uid="{00000000-0005-0000-0000-0000432D0000}"/>
    <cellStyle name="Normal 2 55 10 7 2" xfId="11605" xr:uid="{00000000-0005-0000-0000-0000442D0000}"/>
    <cellStyle name="Normal 2 55 10 7 3" xfId="11606" xr:uid="{00000000-0005-0000-0000-0000452D0000}"/>
    <cellStyle name="Normal 2 55 10 8" xfId="11607" xr:uid="{00000000-0005-0000-0000-0000462D0000}"/>
    <cellStyle name="Normal 2 55 10 8 2" xfId="11608" xr:uid="{00000000-0005-0000-0000-0000472D0000}"/>
    <cellStyle name="Normal 2 55 10 8 3" xfId="11609" xr:uid="{00000000-0005-0000-0000-0000482D0000}"/>
    <cellStyle name="Normal 2 55 10 9" xfId="11610" xr:uid="{00000000-0005-0000-0000-0000492D0000}"/>
    <cellStyle name="Normal 2 55 10 9 2" xfId="11611" xr:uid="{00000000-0005-0000-0000-00004A2D0000}"/>
    <cellStyle name="Normal 2 55 10 9 3" xfId="11612" xr:uid="{00000000-0005-0000-0000-00004B2D0000}"/>
    <cellStyle name="Normal 2 55 11" xfId="11613" xr:uid="{00000000-0005-0000-0000-00004C2D0000}"/>
    <cellStyle name="Normal 2 55 11 2" xfId="11614" xr:uid="{00000000-0005-0000-0000-00004D2D0000}"/>
    <cellStyle name="Normal 2 55 11 3" xfId="11615" xr:uid="{00000000-0005-0000-0000-00004E2D0000}"/>
    <cellStyle name="Normal 2 55 12" xfId="11616" xr:uid="{00000000-0005-0000-0000-00004F2D0000}"/>
    <cellStyle name="Normal 2 55 12 2" xfId="11617" xr:uid="{00000000-0005-0000-0000-0000502D0000}"/>
    <cellStyle name="Normal 2 55 12 3" xfId="11618" xr:uid="{00000000-0005-0000-0000-0000512D0000}"/>
    <cellStyle name="Normal 2 55 13" xfId="11619" xr:uid="{00000000-0005-0000-0000-0000522D0000}"/>
    <cellStyle name="Normal 2 55 13 2" xfId="11620" xr:uid="{00000000-0005-0000-0000-0000532D0000}"/>
    <cellStyle name="Normal 2 55 13 3" xfId="11621" xr:uid="{00000000-0005-0000-0000-0000542D0000}"/>
    <cellStyle name="Normal 2 55 14" xfId="11622" xr:uid="{00000000-0005-0000-0000-0000552D0000}"/>
    <cellStyle name="Normal 2 55 14 2" xfId="11623" xr:uid="{00000000-0005-0000-0000-0000562D0000}"/>
    <cellStyle name="Normal 2 55 14 3" xfId="11624" xr:uid="{00000000-0005-0000-0000-0000572D0000}"/>
    <cellStyle name="Normal 2 55 15" xfId="11625" xr:uid="{00000000-0005-0000-0000-0000582D0000}"/>
    <cellStyle name="Normal 2 55 15 2" xfId="11626" xr:uid="{00000000-0005-0000-0000-0000592D0000}"/>
    <cellStyle name="Normal 2 55 15 3" xfId="11627" xr:uid="{00000000-0005-0000-0000-00005A2D0000}"/>
    <cellStyle name="Normal 2 55 16" xfId="11628" xr:uid="{00000000-0005-0000-0000-00005B2D0000}"/>
    <cellStyle name="Normal 2 55 16 2" xfId="11629" xr:uid="{00000000-0005-0000-0000-00005C2D0000}"/>
    <cellStyle name="Normal 2 55 16 3" xfId="11630" xr:uid="{00000000-0005-0000-0000-00005D2D0000}"/>
    <cellStyle name="Normal 2 55 17" xfId="11631" xr:uid="{00000000-0005-0000-0000-00005E2D0000}"/>
    <cellStyle name="Normal 2 55 17 2" xfId="11632" xr:uid="{00000000-0005-0000-0000-00005F2D0000}"/>
    <cellStyle name="Normal 2 55 17 3" xfId="11633" xr:uid="{00000000-0005-0000-0000-0000602D0000}"/>
    <cellStyle name="Normal 2 55 18" xfId="11634" xr:uid="{00000000-0005-0000-0000-0000612D0000}"/>
    <cellStyle name="Normal 2 55 18 2" xfId="11635" xr:uid="{00000000-0005-0000-0000-0000622D0000}"/>
    <cellStyle name="Normal 2 55 18 3" xfId="11636" xr:uid="{00000000-0005-0000-0000-0000632D0000}"/>
    <cellStyle name="Normal 2 55 19" xfId="11637" xr:uid="{00000000-0005-0000-0000-0000642D0000}"/>
    <cellStyle name="Normal 2 55 19 2" xfId="11638" xr:uid="{00000000-0005-0000-0000-0000652D0000}"/>
    <cellStyle name="Normal 2 55 19 3" xfId="11639" xr:uid="{00000000-0005-0000-0000-0000662D0000}"/>
    <cellStyle name="Normal 2 55 2" xfId="11640" xr:uid="{00000000-0005-0000-0000-0000672D0000}"/>
    <cellStyle name="Normal 2 55 2 10" xfId="11641" xr:uid="{00000000-0005-0000-0000-0000682D0000}"/>
    <cellStyle name="Normal 2 55 2 10 2" xfId="11642" xr:uid="{00000000-0005-0000-0000-0000692D0000}"/>
    <cellStyle name="Normal 2 55 2 10 3" xfId="11643" xr:uid="{00000000-0005-0000-0000-00006A2D0000}"/>
    <cellStyle name="Normal 2 55 2 11" xfId="11644" xr:uid="{00000000-0005-0000-0000-00006B2D0000}"/>
    <cellStyle name="Normal 2 55 2 11 2" xfId="11645" xr:uid="{00000000-0005-0000-0000-00006C2D0000}"/>
    <cellStyle name="Normal 2 55 2 11 3" xfId="11646" xr:uid="{00000000-0005-0000-0000-00006D2D0000}"/>
    <cellStyle name="Normal 2 55 2 12" xfId="11647" xr:uid="{00000000-0005-0000-0000-00006E2D0000}"/>
    <cellStyle name="Normal 2 55 2 12 2" xfId="11648" xr:uid="{00000000-0005-0000-0000-00006F2D0000}"/>
    <cellStyle name="Normal 2 55 2 12 3" xfId="11649" xr:uid="{00000000-0005-0000-0000-0000702D0000}"/>
    <cellStyle name="Normal 2 55 2 13" xfId="11650" xr:uid="{00000000-0005-0000-0000-0000712D0000}"/>
    <cellStyle name="Normal 2 55 2 13 2" xfId="11651" xr:uid="{00000000-0005-0000-0000-0000722D0000}"/>
    <cellStyle name="Normal 2 55 2 13 3" xfId="11652" xr:uid="{00000000-0005-0000-0000-0000732D0000}"/>
    <cellStyle name="Normal 2 55 2 14" xfId="11653" xr:uid="{00000000-0005-0000-0000-0000742D0000}"/>
    <cellStyle name="Normal 2 55 2 14 2" xfId="11654" xr:uid="{00000000-0005-0000-0000-0000752D0000}"/>
    <cellStyle name="Normal 2 55 2 14 3" xfId="11655" xr:uid="{00000000-0005-0000-0000-0000762D0000}"/>
    <cellStyle name="Normal 2 55 2 15" xfId="11656" xr:uid="{00000000-0005-0000-0000-0000772D0000}"/>
    <cellStyle name="Normal 2 55 2 15 2" xfId="11657" xr:uid="{00000000-0005-0000-0000-0000782D0000}"/>
    <cellStyle name="Normal 2 55 2 15 3" xfId="11658" xr:uid="{00000000-0005-0000-0000-0000792D0000}"/>
    <cellStyle name="Normal 2 55 2 16" xfId="11659" xr:uid="{00000000-0005-0000-0000-00007A2D0000}"/>
    <cellStyle name="Normal 2 55 2 17" xfId="11660" xr:uid="{00000000-0005-0000-0000-00007B2D0000}"/>
    <cellStyle name="Normal 2 55 2 2" xfId="11661" xr:uid="{00000000-0005-0000-0000-00007C2D0000}"/>
    <cellStyle name="Normal 2 55 2 2 10" xfId="11662" xr:uid="{00000000-0005-0000-0000-00007D2D0000}"/>
    <cellStyle name="Normal 2 55 2 2 10 2" xfId="11663" xr:uid="{00000000-0005-0000-0000-00007E2D0000}"/>
    <cellStyle name="Normal 2 55 2 2 10 3" xfId="11664" xr:uid="{00000000-0005-0000-0000-00007F2D0000}"/>
    <cellStyle name="Normal 2 55 2 2 11" xfId="11665" xr:uid="{00000000-0005-0000-0000-0000802D0000}"/>
    <cellStyle name="Normal 2 55 2 2 11 2" xfId="11666" xr:uid="{00000000-0005-0000-0000-0000812D0000}"/>
    <cellStyle name="Normal 2 55 2 2 11 3" xfId="11667" xr:uid="{00000000-0005-0000-0000-0000822D0000}"/>
    <cellStyle name="Normal 2 55 2 2 12" xfId="11668" xr:uid="{00000000-0005-0000-0000-0000832D0000}"/>
    <cellStyle name="Normal 2 55 2 2 12 2" xfId="11669" xr:uid="{00000000-0005-0000-0000-0000842D0000}"/>
    <cellStyle name="Normal 2 55 2 2 12 3" xfId="11670" xr:uid="{00000000-0005-0000-0000-0000852D0000}"/>
    <cellStyle name="Normal 2 55 2 2 13" xfId="11671" xr:uid="{00000000-0005-0000-0000-0000862D0000}"/>
    <cellStyle name="Normal 2 55 2 2 13 2" xfId="11672" xr:uid="{00000000-0005-0000-0000-0000872D0000}"/>
    <cellStyle name="Normal 2 55 2 2 13 3" xfId="11673" xr:uid="{00000000-0005-0000-0000-0000882D0000}"/>
    <cellStyle name="Normal 2 55 2 2 14" xfId="11674" xr:uid="{00000000-0005-0000-0000-0000892D0000}"/>
    <cellStyle name="Normal 2 55 2 2 14 2" xfId="11675" xr:uid="{00000000-0005-0000-0000-00008A2D0000}"/>
    <cellStyle name="Normal 2 55 2 2 14 3" xfId="11676" xr:uid="{00000000-0005-0000-0000-00008B2D0000}"/>
    <cellStyle name="Normal 2 55 2 2 15" xfId="11677" xr:uid="{00000000-0005-0000-0000-00008C2D0000}"/>
    <cellStyle name="Normal 2 55 2 2 16" xfId="11678" xr:uid="{00000000-0005-0000-0000-00008D2D0000}"/>
    <cellStyle name="Normal 2 55 2 2 2" xfId="11679" xr:uid="{00000000-0005-0000-0000-00008E2D0000}"/>
    <cellStyle name="Normal 2 55 2 2 2 2" xfId="11680" xr:uid="{00000000-0005-0000-0000-00008F2D0000}"/>
    <cellStyle name="Normal 2 55 2 2 2 3" xfId="11681" xr:uid="{00000000-0005-0000-0000-0000902D0000}"/>
    <cellStyle name="Normal 2 55 2 2 3" xfId="11682" xr:uid="{00000000-0005-0000-0000-0000912D0000}"/>
    <cellStyle name="Normal 2 55 2 2 3 2" xfId="11683" xr:uid="{00000000-0005-0000-0000-0000922D0000}"/>
    <cellStyle name="Normal 2 55 2 2 3 3" xfId="11684" xr:uid="{00000000-0005-0000-0000-0000932D0000}"/>
    <cellStyle name="Normal 2 55 2 2 4" xfId="11685" xr:uid="{00000000-0005-0000-0000-0000942D0000}"/>
    <cellStyle name="Normal 2 55 2 2 4 2" xfId="11686" xr:uid="{00000000-0005-0000-0000-0000952D0000}"/>
    <cellStyle name="Normal 2 55 2 2 4 3" xfId="11687" xr:uid="{00000000-0005-0000-0000-0000962D0000}"/>
    <cellStyle name="Normal 2 55 2 2 5" xfId="11688" xr:uid="{00000000-0005-0000-0000-0000972D0000}"/>
    <cellStyle name="Normal 2 55 2 2 5 2" xfId="11689" xr:uid="{00000000-0005-0000-0000-0000982D0000}"/>
    <cellStyle name="Normal 2 55 2 2 5 3" xfId="11690" xr:uid="{00000000-0005-0000-0000-0000992D0000}"/>
    <cellStyle name="Normal 2 55 2 2 6" xfId="11691" xr:uid="{00000000-0005-0000-0000-00009A2D0000}"/>
    <cellStyle name="Normal 2 55 2 2 6 2" xfId="11692" xr:uid="{00000000-0005-0000-0000-00009B2D0000}"/>
    <cellStyle name="Normal 2 55 2 2 6 3" xfId="11693" xr:uid="{00000000-0005-0000-0000-00009C2D0000}"/>
    <cellStyle name="Normal 2 55 2 2 7" xfId="11694" xr:uid="{00000000-0005-0000-0000-00009D2D0000}"/>
    <cellStyle name="Normal 2 55 2 2 7 2" xfId="11695" xr:uid="{00000000-0005-0000-0000-00009E2D0000}"/>
    <cellStyle name="Normal 2 55 2 2 7 3" xfId="11696" xr:uid="{00000000-0005-0000-0000-00009F2D0000}"/>
    <cellStyle name="Normal 2 55 2 2 8" xfId="11697" xr:uid="{00000000-0005-0000-0000-0000A02D0000}"/>
    <cellStyle name="Normal 2 55 2 2 8 2" xfId="11698" xr:uid="{00000000-0005-0000-0000-0000A12D0000}"/>
    <cellStyle name="Normal 2 55 2 2 8 3" xfId="11699" xr:uid="{00000000-0005-0000-0000-0000A22D0000}"/>
    <cellStyle name="Normal 2 55 2 2 9" xfId="11700" xr:uid="{00000000-0005-0000-0000-0000A32D0000}"/>
    <cellStyle name="Normal 2 55 2 2 9 2" xfId="11701" xr:uid="{00000000-0005-0000-0000-0000A42D0000}"/>
    <cellStyle name="Normal 2 55 2 2 9 3" xfId="11702" xr:uid="{00000000-0005-0000-0000-0000A52D0000}"/>
    <cellStyle name="Normal 2 55 2 3" xfId="11703" xr:uid="{00000000-0005-0000-0000-0000A62D0000}"/>
    <cellStyle name="Normal 2 55 2 3 2" xfId="11704" xr:uid="{00000000-0005-0000-0000-0000A72D0000}"/>
    <cellStyle name="Normal 2 55 2 3 3" xfId="11705" xr:uid="{00000000-0005-0000-0000-0000A82D0000}"/>
    <cellStyle name="Normal 2 55 2 4" xfId="11706" xr:uid="{00000000-0005-0000-0000-0000A92D0000}"/>
    <cellStyle name="Normal 2 55 2 4 2" xfId="11707" xr:uid="{00000000-0005-0000-0000-0000AA2D0000}"/>
    <cellStyle name="Normal 2 55 2 4 3" xfId="11708" xr:uid="{00000000-0005-0000-0000-0000AB2D0000}"/>
    <cellStyle name="Normal 2 55 2 5" xfId="11709" xr:uid="{00000000-0005-0000-0000-0000AC2D0000}"/>
    <cellStyle name="Normal 2 55 2 5 2" xfId="11710" xr:uid="{00000000-0005-0000-0000-0000AD2D0000}"/>
    <cellStyle name="Normal 2 55 2 5 3" xfId="11711" xr:uid="{00000000-0005-0000-0000-0000AE2D0000}"/>
    <cellStyle name="Normal 2 55 2 6" xfId="11712" xr:uid="{00000000-0005-0000-0000-0000AF2D0000}"/>
    <cellStyle name="Normal 2 55 2 6 2" xfId="11713" xr:uid="{00000000-0005-0000-0000-0000B02D0000}"/>
    <cellStyle name="Normal 2 55 2 6 3" xfId="11714" xr:uid="{00000000-0005-0000-0000-0000B12D0000}"/>
    <cellStyle name="Normal 2 55 2 7" xfId="11715" xr:uid="{00000000-0005-0000-0000-0000B22D0000}"/>
    <cellStyle name="Normal 2 55 2 7 2" xfId="11716" xr:uid="{00000000-0005-0000-0000-0000B32D0000}"/>
    <cellStyle name="Normal 2 55 2 7 3" xfId="11717" xr:uid="{00000000-0005-0000-0000-0000B42D0000}"/>
    <cellStyle name="Normal 2 55 2 8" xfId="11718" xr:uid="{00000000-0005-0000-0000-0000B52D0000}"/>
    <cellStyle name="Normal 2 55 2 8 2" xfId="11719" xr:uid="{00000000-0005-0000-0000-0000B62D0000}"/>
    <cellStyle name="Normal 2 55 2 8 3" xfId="11720" xr:uid="{00000000-0005-0000-0000-0000B72D0000}"/>
    <cellStyle name="Normal 2 55 2 9" xfId="11721" xr:uid="{00000000-0005-0000-0000-0000B82D0000}"/>
    <cellStyle name="Normal 2 55 2 9 2" xfId="11722" xr:uid="{00000000-0005-0000-0000-0000B92D0000}"/>
    <cellStyle name="Normal 2 55 2 9 3" xfId="11723" xr:uid="{00000000-0005-0000-0000-0000BA2D0000}"/>
    <cellStyle name="Normal 2 55 20" xfId="11724" xr:uid="{00000000-0005-0000-0000-0000BB2D0000}"/>
    <cellStyle name="Normal 2 55 20 2" xfId="11725" xr:uid="{00000000-0005-0000-0000-0000BC2D0000}"/>
    <cellStyle name="Normal 2 55 20 3" xfId="11726" xr:uid="{00000000-0005-0000-0000-0000BD2D0000}"/>
    <cellStyle name="Normal 2 55 21" xfId="11727" xr:uid="{00000000-0005-0000-0000-0000BE2D0000}"/>
    <cellStyle name="Normal 2 55 21 2" xfId="11728" xr:uid="{00000000-0005-0000-0000-0000BF2D0000}"/>
    <cellStyle name="Normal 2 55 21 3" xfId="11729" xr:uid="{00000000-0005-0000-0000-0000C02D0000}"/>
    <cellStyle name="Normal 2 55 22" xfId="11730" xr:uid="{00000000-0005-0000-0000-0000C12D0000}"/>
    <cellStyle name="Normal 2 55 22 2" xfId="11731" xr:uid="{00000000-0005-0000-0000-0000C22D0000}"/>
    <cellStyle name="Normal 2 55 22 3" xfId="11732" xr:uid="{00000000-0005-0000-0000-0000C32D0000}"/>
    <cellStyle name="Normal 2 55 23" xfId="11733" xr:uid="{00000000-0005-0000-0000-0000C42D0000}"/>
    <cellStyle name="Normal 2 55 23 2" xfId="11734" xr:uid="{00000000-0005-0000-0000-0000C52D0000}"/>
    <cellStyle name="Normal 2 55 23 3" xfId="11735" xr:uid="{00000000-0005-0000-0000-0000C62D0000}"/>
    <cellStyle name="Normal 2 55 24" xfId="11736" xr:uid="{00000000-0005-0000-0000-0000C72D0000}"/>
    <cellStyle name="Normal 2 55 25" xfId="11737" xr:uid="{00000000-0005-0000-0000-0000C82D0000}"/>
    <cellStyle name="Normal 2 55 3" xfId="11738" xr:uid="{00000000-0005-0000-0000-0000C92D0000}"/>
    <cellStyle name="Normal 2 55 3 10" xfId="11739" xr:uid="{00000000-0005-0000-0000-0000CA2D0000}"/>
    <cellStyle name="Normal 2 55 3 10 2" xfId="11740" xr:uid="{00000000-0005-0000-0000-0000CB2D0000}"/>
    <cellStyle name="Normal 2 55 3 10 3" xfId="11741" xr:uid="{00000000-0005-0000-0000-0000CC2D0000}"/>
    <cellStyle name="Normal 2 55 3 11" xfId="11742" xr:uid="{00000000-0005-0000-0000-0000CD2D0000}"/>
    <cellStyle name="Normal 2 55 3 11 2" xfId="11743" xr:uid="{00000000-0005-0000-0000-0000CE2D0000}"/>
    <cellStyle name="Normal 2 55 3 11 3" xfId="11744" xr:uid="{00000000-0005-0000-0000-0000CF2D0000}"/>
    <cellStyle name="Normal 2 55 3 12" xfId="11745" xr:uid="{00000000-0005-0000-0000-0000D02D0000}"/>
    <cellStyle name="Normal 2 55 3 12 2" xfId="11746" xr:uid="{00000000-0005-0000-0000-0000D12D0000}"/>
    <cellStyle name="Normal 2 55 3 12 3" xfId="11747" xr:uid="{00000000-0005-0000-0000-0000D22D0000}"/>
    <cellStyle name="Normal 2 55 3 13" xfId="11748" xr:uid="{00000000-0005-0000-0000-0000D32D0000}"/>
    <cellStyle name="Normal 2 55 3 13 2" xfId="11749" xr:uid="{00000000-0005-0000-0000-0000D42D0000}"/>
    <cellStyle name="Normal 2 55 3 13 3" xfId="11750" xr:uid="{00000000-0005-0000-0000-0000D52D0000}"/>
    <cellStyle name="Normal 2 55 3 14" xfId="11751" xr:uid="{00000000-0005-0000-0000-0000D62D0000}"/>
    <cellStyle name="Normal 2 55 3 14 2" xfId="11752" xr:uid="{00000000-0005-0000-0000-0000D72D0000}"/>
    <cellStyle name="Normal 2 55 3 14 3" xfId="11753" xr:uid="{00000000-0005-0000-0000-0000D82D0000}"/>
    <cellStyle name="Normal 2 55 3 15" xfId="11754" xr:uid="{00000000-0005-0000-0000-0000D92D0000}"/>
    <cellStyle name="Normal 2 55 3 15 2" xfId="11755" xr:uid="{00000000-0005-0000-0000-0000DA2D0000}"/>
    <cellStyle name="Normal 2 55 3 15 3" xfId="11756" xr:uid="{00000000-0005-0000-0000-0000DB2D0000}"/>
    <cellStyle name="Normal 2 55 3 16" xfId="11757" xr:uid="{00000000-0005-0000-0000-0000DC2D0000}"/>
    <cellStyle name="Normal 2 55 3 17" xfId="11758" xr:uid="{00000000-0005-0000-0000-0000DD2D0000}"/>
    <cellStyle name="Normal 2 55 3 2" xfId="11759" xr:uid="{00000000-0005-0000-0000-0000DE2D0000}"/>
    <cellStyle name="Normal 2 55 3 2 10" xfId="11760" xr:uid="{00000000-0005-0000-0000-0000DF2D0000}"/>
    <cellStyle name="Normal 2 55 3 2 10 2" xfId="11761" xr:uid="{00000000-0005-0000-0000-0000E02D0000}"/>
    <cellStyle name="Normal 2 55 3 2 10 3" xfId="11762" xr:uid="{00000000-0005-0000-0000-0000E12D0000}"/>
    <cellStyle name="Normal 2 55 3 2 11" xfId="11763" xr:uid="{00000000-0005-0000-0000-0000E22D0000}"/>
    <cellStyle name="Normal 2 55 3 2 11 2" xfId="11764" xr:uid="{00000000-0005-0000-0000-0000E32D0000}"/>
    <cellStyle name="Normal 2 55 3 2 11 3" xfId="11765" xr:uid="{00000000-0005-0000-0000-0000E42D0000}"/>
    <cellStyle name="Normal 2 55 3 2 12" xfId="11766" xr:uid="{00000000-0005-0000-0000-0000E52D0000}"/>
    <cellStyle name="Normal 2 55 3 2 12 2" xfId="11767" xr:uid="{00000000-0005-0000-0000-0000E62D0000}"/>
    <cellStyle name="Normal 2 55 3 2 12 3" xfId="11768" xr:uid="{00000000-0005-0000-0000-0000E72D0000}"/>
    <cellStyle name="Normal 2 55 3 2 13" xfId="11769" xr:uid="{00000000-0005-0000-0000-0000E82D0000}"/>
    <cellStyle name="Normal 2 55 3 2 13 2" xfId="11770" xr:uid="{00000000-0005-0000-0000-0000E92D0000}"/>
    <cellStyle name="Normal 2 55 3 2 13 3" xfId="11771" xr:uid="{00000000-0005-0000-0000-0000EA2D0000}"/>
    <cellStyle name="Normal 2 55 3 2 14" xfId="11772" xr:uid="{00000000-0005-0000-0000-0000EB2D0000}"/>
    <cellStyle name="Normal 2 55 3 2 14 2" xfId="11773" xr:uid="{00000000-0005-0000-0000-0000EC2D0000}"/>
    <cellStyle name="Normal 2 55 3 2 14 3" xfId="11774" xr:uid="{00000000-0005-0000-0000-0000ED2D0000}"/>
    <cellStyle name="Normal 2 55 3 2 15" xfId="11775" xr:uid="{00000000-0005-0000-0000-0000EE2D0000}"/>
    <cellStyle name="Normal 2 55 3 2 16" xfId="11776" xr:uid="{00000000-0005-0000-0000-0000EF2D0000}"/>
    <cellStyle name="Normal 2 55 3 2 2" xfId="11777" xr:uid="{00000000-0005-0000-0000-0000F02D0000}"/>
    <cellStyle name="Normal 2 55 3 2 2 2" xfId="11778" xr:uid="{00000000-0005-0000-0000-0000F12D0000}"/>
    <cellStyle name="Normal 2 55 3 2 2 3" xfId="11779" xr:uid="{00000000-0005-0000-0000-0000F22D0000}"/>
    <cellStyle name="Normal 2 55 3 2 3" xfId="11780" xr:uid="{00000000-0005-0000-0000-0000F32D0000}"/>
    <cellStyle name="Normal 2 55 3 2 3 2" xfId="11781" xr:uid="{00000000-0005-0000-0000-0000F42D0000}"/>
    <cellStyle name="Normal 2 55 3 2 3 3" xfId="11782" xr:uid="{00000000-0005-0000-0000-0000F52D0000}"/>
    <cellStyle name="Normal 2 55 3 2 4" xfId="11783" xr:uid="{00000000-0005-0000-0000-0000F62D0000}"/>
    <cellStyle name="Normal 2 55 3 2 4 2" xfId="11784" xr:uid="{00000000-0005-0000-0000-0000F72D0000}"/>
    <cellStyle name="Normal 2 55 3 2 4 3" xfId="11785" xr:uid="{00000000-0005-0000-0000-0000F82D0000}"/>
    <cellStyle name="Normal 2 55 3 2 5" xfId="11786" xr:uid="{00000000-0005-0000-0000-0000F92D0000}"/>
    <cellStyle name="Normal 2 55 3 2 5 2" xfId="11787" xr:uid="{00000000-0005-0000-0000-0000FA2D0000}"/>
    <cellStyle name="Normal 2 55 3 2 5 3" xfId="11788" xr:uid="{00000000-0005-0000-0000-0000FB2D0000}"/>
    <cellStyle name="Normal 2 55 3 2 6" xfId="11789" xr:uid="{00000000-0005-0000-0000-0000FC2D0000}"/>
    <cellStyle name="Normal 2 55 3 2 6 2" xfId="11790" xr:uid="{00000000-0005-0000-0000-0000FD2D0000}"/>
    <cellStyle name="Normal 2 55 3 2 6 3" xfId="11791" xr:uid="{00000000-0005-0000-0000-0000FE2D0000}"/>
    <cellStyle name="Normal 2 55 3 2 7" xfId="11792" xr:uid="{00000000-0005-0000-0000-0000FF2D0000}"/>
    <cellStyle name="Normal 2 55 3 2 7 2" xfId="11793" xr:uid="{00000000-0005-0000-0000-0000002E0000}"/>
    <cellStyle name="Normal 2 55 3 2 7 3" xfId="11794" xr:uid="{00000000-0005-0000-0000-0000012E0000}"/>
    <cellStyle name="Normal 2 55 3 2 8" xfId="11795" xr:uid="{00000000-0005-0000-0000-0000022E0000}"/>
    <cellStyle name="Normal 2 55 3 2 8 2" xfId="11796" xr:uid="{00000000-0005-0000-0000-0000032E0000}"/>
    <cellStyle name="Normal 2 55 3 2 8 3" xfId="11797" xr:uid="{00000000-0005-0000-0000-0000042E0000}"/>
    <cellStyle name="Normal 2 55 3 2 9" xfId="11798" xr:uid="{00000000-0005-0000-0000-0000052E0000}"/>
    <cellStyle name="Normal 2 55 3 2 9 2" xfId="11799" xr:uid="{00000000-0005-0000-0000-0000062E0000}"/>
    <cellStyle name="Normal 2 55 3 2 9 3" xfId="11800" xr:uid="{00000000-0005-0000-0000-0000072E0000}"/>
    <cellStyle name="Normal 2 55 3 3" xfId="11801" xr:uid="{00000000-0005-0000-0000-0000082E0000}"/>
    <cellStyle name="Normal 2 55 3 3 2" xfId="11802" xr:uid="{00000000-0005-0000-0000-0000092E0000}"/>
    <cellStyle name="Normal 2 55 3 3 3" xfId="11803" xr:uid="{00000000-0005-0000-0000-00000A2E0000}"/>
    <cellStyle name="Normal 2 55 3 4" xfId="11804" xr:uid="{00000000-0005-0000-0000-00000B2E0000}"/>
    <cellStyle name="Normal 2 55 3 4 2" xfId="11805" xr:uid="{00000000-0005-0000-0000-00000C2E0000}"/>
    <cellStyle name="Normal 2 55 3 4 3" xfId="11806" xr:uid="{00000000-0005-0000-0000-00000D2E0000}"/>
    <cellStyle name="Normal 2 55 3 5" xfId="11807" xr:uid="{00000000-0005-0000-0000-00000E2E0000}"/>
    <cellStyle name="Normal 2 55 3 5 2" xfId="11808" xr:uid="{00000000-0005-0000-0000-00000F2E0000}"/>
    <cellStyle name="Normal 2 55 3 5 3" xfId="11809" xr:uid="{00000000-0005-0000-0000-0000102E0000}"/>
    <cellStyle name="Normal 2 55 3 6" xfId="11810" xr:uid="{00000000-0005-0000-0000-0000112E0000}"/>
    <cellStyle name="Normal 2 55 3 6 2" xfId="11811" xr:uid="{00000000-0005-0000-0000-0000122E0000}"/>
    <cellStyle name="Normal 2 55 3 6 3" xfId="11812" xr:uid="{00000000-0005-0000-0000-0000132E0000}"/>
    <cellStyle name="Normal 2 55 3 7" xfId="11813" xr:uid="{00000000-0005-0000-0000-0000142E0000}"/>
    <cellStyle name="Normal 2 55 3 7 2" xfId="11814" xr:uid="{00000000-0005-0000-0000-0000152E0000}"/>
    <cellStyle name="Normal 2 55 3 7 3" xfId="11815" xr:uid="{00000000-0005-0000-0000-0000162E0000}"/>
    <cellStyle name="Normal 2 55 3 8" xfId="11816" xr:uid="{00000000-0005-0000-0000-0000172E0000}"/>
    <cellStyle name="Normal 2 55 3 8 2" xfId="11817" xr:uid="{00000000-0005-0000-0000-0000182E0000}"/>
    <cellStyle name="Normal 2 55 3 8 3" xfId="11818" xr:uid="{00000000-0005-0000-0000-0000192E0000}"/>
    <cellStyle name="Normal 2 55 3 9" xfId="11819" xr:uid="{00000000-0005-0000-0000-00001A2E0000}"/>
    <cellStyle name="Normal 2 55 3 9 2" xfId="11820" xr:uid="{00000000-0005-0000-0000-00001B2E0000}"/>
    <cellStyle name="Normal 2 55 3 9 3" xfId="11821" xr:uid="{00000000-0005-0000-0000-00001C2E0000}"/>
    <cellStyle name="Normal 2 55 4" xfId="11822" xr:uid="{00000000-0005-0000-0000-00001D2E0000}"/>
    <cellStyle name="Normal 2 55 4 10" xfId="11823" xr:uid="{00000000-0005-0000-0000-00001E2E0000}"/>
    <cellStyle name="Normal 2 55 4 10 2" xfId="11824" xr:uid="{00000000-0005-0000-0000-00001F2E0000}"/>
    <cellStyle name="Normal 2 55 4 10 3" xfId="11825" xr:uid="{00000000-0005-0000-0000-0000202E0000}"/>
    <cellStyle name="Normal 2 55 4 11" xfId="11826" xr:uid="{00000000-0005-0000-0000-0000212E0000}"/>
    <cellStyle name="Normal 2 55 4 11 2" xfId="11827" xr:uid="{00000000-0005-0000-0000-0000222E0000}"/>
    <cellStyle name="Normal 2 55 4 11 3" xfId="11828" xr:uid="{00000000-0005-0000-0000-0000232E0000}"/>
    <cellStyle name="Normal 2 55 4 12" xfId="11829" xr:uid="{00000000-0005-0000-0000-0000242E0000}"/>
    <cellStyle name="Normal 2 55 4 12 2" xfId="11830" xr:uid="{00000000-0005-0000-0000-0000252E0000}"/>
    <cellStyle name="Normal 2 55 4 12 3" xfId="11831" xr:uid="{00000000-0005-0000-0000-0000262E0000}"/>
    <cellStyle name="Normal 2 55 4 13" xfId="11832" xr:uid="{00000000-0005-0000-0000-0000272E0000}"/>
    <cellStyle name="Normal 2 55 4 13 2" xfId="11833" xr:uid="{00000000-0005-0000-0000-0000282E0000}"/>
    <cellStyle name="Normal 2 55 4 13 3" xfId="11834" xr:uid="{00000000-0005-0000-0000-0000292E0000}"/>
    <cellStyle name="Normal 2 55 4 14" xfId="11835" xr:uid="{00000000-0005-0000-0000-00002A2E0000}"/>
    <cellStyle name="Normal 2 55 4 14 2" xfId="11836" xr:uid="{00000000-0005-0000-0000-00002B2E0000}"/>
    <cellStyle name="Normal 2 55 4 14 3" xfId="11837" xr:uid="{00000000-0005-0000-0000-00002C2E0000}"/>
    <cellStyle name="Normal 2 55 4 15" xfId="11838" xr:uid="{00000000-0005-0000-0000-00002D2E0000}"/>
    <cellStyle name="Normal 2 55 4 15 2" xfId="11839" xr:uid="{00000000-0005-0000-0000-00002E2E0000}"/>
    <cellStyle name="Normal 2 55 4 15 3" xfId="11840" xr:uid="{00000000-0005-0000-0000-00002F2E0000}"/>
    <cellStyle name="Normal 2 55 4 16" xfId="11841" xr:uid="{00000000-0005-0000-0000-0000302E0000}"/>
    <cellStyle name="Normal 2 55 4 17" xfId="11842" xr:uid="{00000000-0005-0000-0000-0000312E0000}"/>
    <cellStyle name="Normal 2 55 4 2" xfId="11843" xr:uid="{00000000-0005-0000-0000-0000322E0000}"/>
    <cellStyle name="Normal 2 55 4 2 10" xfId="11844" xr:uid="{00000000-0005-0000-0000-0000332E0000}"/>
    <cellStyle name="Normal 2 55 4 2 10 2" xfId="11845" xr:uid="{00000000-0005-0000-0000-0000342E0000}"/>
    <cellStyle name="Normal 2 55 4 2 10 3" xfId="11846" xr:uid="{00000000-0005-0000-0000-0000352E0000}"/>
    <cellStyle name="Normal 2 55 4 2 11" xfId="11847" xr:uid="{00000000-0005-0000-0000-0000362E0000}"/>
    <cellStyle name="Normal 2 55 4 2 11 2" xfId="11848" xr:uid="{00000000-0005-0000-0000-0000372E0000}"/>
    <cellStyle name="Normal 2 55 4 2 11 3" xfId="11849" xr:uid="{00000000-0005-0000-0000-0000382E0000}"/>
    <cellStyle name="Normal 2 55 4 2 12" xfId="11850" xr:uid="{00000000-0005-0000-0000-0000392E0000}"/>
    <cellStyle name="Normal 2 55 4 2 12 2" xfId="11851" xr:uid="{00000000-0005-0000-0000-00003A2E0000}"/>
    <cellStyle name="Normal 2 55 4 2 12 3" xfId="11852" xr:uid="{00000000-0005-0000-0000-00003B2E0000}"/>
    <cellStyle name="Normal 2 55 4 2 13" xfId="11853" xr:uid="{00000000-0005-0000-0000-00003C2E0000}"/>
    <cellStyle name="Normal 2 55 4 2 13 2" xfId="11854" xr:uid="{00000000-0005-0000-0000-00003D2E0000}"/>
    <cellStyle name="Normal 2 55 4 2 13 3" xfId="11855" xr:uid="{00000000-0005-0000-0000-00003E2E0000}"/>
    <cellStyle name="Normal 2 55 4 2 14" xfId="11856" xr:uid="{00000000-0005-0000-0000-00003F2E0000}"/>
    <cellStyle name="Normal 2 55 4 2 14 2" xfId="11857" xr:uid="{00000000-0005-0000-0000-0000402E0000}"/>
    <cellStyle name="Normal 2 55 4 2 14 3" xfId="11858" xr:uid="{00000000-0005-0000-0000-0000412E0000}"/>
    <cellStyle name="Normal 2 55 4 2 15" xfId="11859" xr:uid="{00000000-0005-0000-0000-0000422E0000}"/>
    <cellStyle name="Normal 2 55 4 2 16" xfId="11860" xr:uid="{00000000-0005-0000-0000-0000432E0000}"/>
    <cellStyle name="Normal 2 55 4 2 2" xfId="11861" xr:uid="{00000000-0005-0000-0000-0000442E0000}"/>
    <cellStyle name="Normal 2 55 4 2 2 2" xfId="11862" xr:uid="{00000000-0005-0000-0000-0000452E0000}"/>
    <cellStyle name="Normal 2 55 4 2 2 3" xfId="11863" xr:uid="{00000000-0005-0000-0000-0000462E0000}"/>
    <cellStyle name="Normal 2 55 4 2 3" xfId="11864" xr:uid="{00000000-0005-0000-0000-0000472E0000}"/>
    <cellStyle name="Normal 2 55 4 2 3 2" xfId="11865" xr:uid="{00000000-0005-0000-0000-0000482E0000}"/>
    <cellStyle name="Normal 2 55 4 2 3 3" xfId="11866" xr:uid="{00000000-0005-0000-0000-0000492E0000}"/>
    <cellStyle name="Normal 2 55 4 2 4" xfId="11867" xr:uid="{00000000-0005-0000-0000-00004A2E0000}"/>
    <cellStyle name="Normal 2 55 4 2 4 2" xfId="11868" xr:uid="{00000000-0005-0000-0000-00004B2E0000}"/>
    <cellStyle name="Normal 2 55 4 2 4 3" xfId="11869" xr:uid="{00000000-0005-0000-0000-00004C2E0000}"/>
    <cellStyle name="Normal 2 55 4 2 5" xfId="11870" xr:uid="{00000000-0005-0000-0000-00004D2E0000}"/>
    <cellStyle name="Normal 2 55 4 2 5 2" xfId="11871" xr:uid="{00000000-0005-0000-0000-00004E2E0000}"/>
    <cellStyle name="Normal 2 55 4 2 5 3" xfId="11872" xr:uid="{00000000-0005-0000-0000-00004F2E0000}"/>
    <cellStyle name="Normal 2 55 4 2 6" xfId="11873" xr:uid="{00000000-0005-0000-0000-0000502E0000}"/>
    <cellStyle name="Normal 2 55 4 2 6 2" xfId="11874" xr:uid="{00000000-0005-0000-0000-0000512E0000}"/>
    <cellStyle name="Normal 2 55 4 2 6 3" xfId="11875" xr:uid="{00000000-0005-0000-0000-0000522E0000}"/>
    <cellStyle name="Normal 2 55 4 2 7" xfId="11876" xr:uid="{00000000-0005-0000-0000-0000532E0000}"/>
    <cellStyle name="Normal 2 55 4 2 7 2" xfId="11877" xr:uid="{00000000-0005-0000-0000-0000542E0000}"/>
    <cellStyle name="Normal 2 55 4 2 7 3" xfId="11878" xr:uid="{00000000-0005-0000-0000-0000552E0000}"/>
    <cellStyle name="Normal 2 55 4 2 8" xfId="11879" xr:uid="{00000000-0005-0000-0000-0000562E0000}"/>
    <cellStyle name="Normal 2 55 4 2 8 2" xfId="11880" xr:uid="{00000000-0005-0000-0000-0000572E0000}"/>
    <cellStyle name="Normal 2 55 4 2 8 3" xfId="11881" xr:uid="{00000000-0005-0000-0000-0000582E0000}"/>
    <cellStyle name="Normal 2 55 4 2 9" xfId="11882" xr:uid="{00000000-0005-0000-0000-0000592E0000}"/>
    <cellStyle name="Normal 2 55 4 2 9 2" xfId="11883" xr:uid="{00000000-0005-0000-0000-00005A2E0000}"/>
    <cellStyle name="Normal 2 55 4 2 9 3" xfId="11884" xr:uid="{00000000-0005-0000-0000-00005B2E0000}"/>
    <cellStyle name="Normal 2 55 4 3" xfId="11885" xr:uid="{00000000-0005-0000-0000-00005C2E0000}"/>
    <cellStyle name="Normal 2 55 4 3 2" xfId="11886" xr:uid="{00000000-0005-0000-0000-00005D2E0000}"/>
    <cellStyle name="Normal 2 55 4 3 3" xfId="11887" xr:uid="{00000000-0005-0000-0000-00005E2E0000}"/>
    <cellStyle name="Normal 2 55 4 4" xfId="11888" xr:uid="{00000000-0005-0000-0000-00005F2E0000}"/>
    <cellStyle name="Normal 2 55 4 4 2" xfId="11889" xr:uid="{00000000-0005-0000-0000-0000602E0000}"/>
    <cellStyle name="Normal 2 55 4 4 3" xfId="11890" xr:uid="{00000000-0005-0000-0000-0000612E0000}"/>
    <cellStyle name="Normal 2 55 4 5" xfId="11891" xr:uid="{00000000-0005-0000-0000-0000622E0000}"/>
    <cellStyle name="Normal 2 55 4 5 2" xfId="11892" xr:uid="{00000000-0005-0000-0000-0000632E0000}"/>
    <cellStyle name="Normal 2 55 4 5 3" xfId="11893" xr:uid="{00000000-0005-0000-0000-0000642E0000}"/>
    <cellStyle name="Normal 2 55 4 6" xfId="11894" xr:uid="{00000000-0005-0000-0000-0000652E0000}"/>
    <cellStyle name="Normal 2 55 4 6 2" xfId="11895" xr:uid="{00000000-0005-0000-0000-0000662E0000}"/>
    <cellStyle name="Normal 2 55 4 6 3" xfId="11896" xr:uid="{00000000-0005-0000-0000-0000672E0000}"/>
    <cellStyle name="Normal 2 55 4 7" xfId="11897" xr:uid="{00000000-0005-0000-0000-0000682E0000}"/>
    <cellStyle name="Normal 2 55 4 7 2" xfId="11898" xr:uid="{00000000-0005-0000-0000-0000692E0000}"/>
    <cellStyle name="Normal 2 55 4 7 3" xfId="11899" xr:uid="{00000000-0005-0000-0000-00006A2E0000}"/>
    <cellStyle name="Normal 2 55 4 8" xfId="11900" xr:uid="{00000000-0005-0000-0000-00006B2E0000}"/>
    <cellStyle name="Normal 2 55 4 8 2" xfId="11901" xr:uid="{00000000-0005-0000-0000-00006C2E0000}"/>
    <cellStyle name="Normal 2 55 4 8 3" xfId="11902" xr:uid="{00000000-0005-0000-0000-00006D2E0000}"/>
    <cellStyle name="Normal 2 55 4 9" xfId="11903" xr:uid="{00000000-0005-0000-0000-00006E2E0000}"/>
    <cellStyle name="Normal 2 55 4 9 2" xfId="11904" xr:uid="{00000000-0005-0000-0000-00006F2E0000}"/>
    <cellStyle name="Normal 2 55 4 9 3" xfId="11905" xr:uid="{00000000-0005-0000-0000-0000702E0000}"/>
    <cellStyle name="Normal 2 55 5" xfId="11906" xr:uid="{00000000-0005-0000-0000-0000712E0000}"/>
    <cellStyle name="Normal 2 55 5 10" xfId="11907" xr:uid="{00000000-0005-0000-0000-0000722E0000}"/>
    <cellStyle name="Normal 2 55 5 10 2" xfId="11908" xr:uid="{00000000-0005-0000-0000-0000732E0000}"/>
    <cellStyle name="Normal 2 55 5 10 3" xfId="11909" xr:uid="{00000000-0005-0000-0000-0000742E0000}"/>
    <cellStyle name="Normal 2 55 5 11" xfId="11910" xr:uid="{00000000-0005-0000-0000-0000752E0000}"/>
    <cellStyle name="Normal 2 55 5 11 2" xfId="11911" xr:uid="{00000000-0005-0000-0000-0000762E0000}"/>
    <cellStyle name="Normal 2 55 5 11 3" xfId="11912" xr:uid="{00000000-0005-0000-0000-0000772E0000}"/>
    <cellStyle name="Normal 2 55 5 12" xfId="11913" xr:uid="{00000000-0005-0000-0000-0000782E0000}"/>
    <cellStyle name="Normal 2 55 5 12 2" xfId="11914" xr:uid="{00000000-0005-0000-0000-0000792E0000}"/>
    <cellStyle name="Normal 2 55 5 12 3" xfId="11915" xr:uid="{00000000-0005-0000-0000-00007A2E0000}"/>
    <cellStyle name="Normal 2 55 5 13" xfId="11916" xr:uid="{00000000-0005-0000-0000-00007B2E0000}"/>
    <cellStyle name="Normal 2 55 5 13 2" xfId="11917" xr:uid="{00000000-0005-0000-0000-00007C2E0000}"/>
    <cellStyle name="Normal 2 55 5 13 3" xfId="11918" xr:uid="{00000000-0005-0000-0000-00007D2E0000}"/>
    <cellStyle name="Normal 2 55 5 14" xfId="11919" xr:uid="{00000000-0005-0000-0000-00007E2E0000}"/>
    <cellStyle name="Normal 2 55 5 14 2" xfId="11920" xr:uid="{00000000-0005-0000-0000-00007F2E0000}"/>
    <cellStyle name="Normal 2 55 5 14 3" xfId="11921" xr:uid="{00000000-0005-0000-0000-0000802E0000}"/>
    <cellStyle name="Normal 2 55 5 15" xfId="11922" xr:uid="{00000000-0005-0000-0000-0000812E0000}"/>
    <cellStyle name="Normal 2 55 5 16" xfId="11923" xr:uid="{00000000-0005-0000-0000-0000822E0000}"/>
    <cellStyle name="Normal 2 55 5 2" xfId="11924" xr:uid="{00000000-0005-0000-0000-0000832E0000}"/>
    <cellStyle name="Normal 2 55 5 2 2" xfId="11925" xr:uid="{00000000-0005-0000-0000-0000842E0000}"/>
    <cellStyle name="Normal 2 55 5 2 3" xfId="11926" xr:uid="{00000000-0005-0000-0000-0000852E0000}"/>
    <cellStyle name="Normal 2 55 5 3" xfId="11927" xr:uid="{00000000-0005-0000-0000-0000862E0000}"/>
    <cellStyle name="Normal 2 55 5 3 2" xfId="11928" xr:uid="{00000000-0005-0000-0000-0000872E0000}"/>
    <cellStyle name="Normal 2 55 5 3 3" xfId="11929" xr:uid="{00000000-0005-0000-0000-0000882E0000}"/>
    <cellStyle name="Normal 2 55 5 4" xfId="11930" xr:uid="{00000000-0005-0000-0000-0000892E0000}"/>
    <cellStyle name="Normal 2 55 5 4 2" xfId="11931" xr:uid="{00000000-0005-0000-0000-00008A2E0000}"/>
    <cellStyle name="Normal 2 55 5 4 3" xfId="11932" xr:uid="{00000000-0005-0000-0000-00008B2E0000}"/>
    <cellStyle name="Normal 2 55 5 5" xfId="11933" xr:uid="{00000000-0005-0000-0000-00008C2E0000}"/>
    <cellStyle name="Normal 2 55 5 5 2" xfId="11934" xr:uid="{00000000-0005-0000-0000-00008D2E0000}"/>
    <cellStyle name="Normal 2 55 5 5 3" xfId="11935" xr:uid="{00000000-0005-0000-0000-00008E2E0000}"/>
    <cellStyle name="Normal 2 55 5 6" xfId="11936" xr:uid="{00000000-0005-0000-0000-00008F2E0000}"/>
    <cellStyle name="Normal 2 55 5 6 2" xfId="11937" xr:uid="{00000000-0005-0000-0000-0000902E0000}"/>
    <cellStyle name="Normal 2 55 5 6 3" xfId="11938" xr:uid="{00000000-0005-0000-0000-0000912E0000}"/>
    <cellStyle name="Normal 2 55 5 7" xfId="11939" xr:uid="{00000000-0005-0000-0000-0000922E0000}"/>
    <cellStyle name="Normal 2 55 5 7 2" xfId="11940" xr:uid="{00000000-0005-0000-0000-0000932E0000}"/>
    <cellStyle name="Normal 2 55 5 7 3" xfId="11941" xr:uid="{00000000-0005-0000-0000-0000942E0000}"/>
    <cellStyle name="Normal 2 55 5 8" xfId="11942" xr:uid="{00000000-0005-0000-0000-0000952E0000}"/>
    <cellStyle name="Normal 2 55 5 8 2" xfId="11943" xr:uid="{00000000-0005-0000-0000-0000962E0000}"/>
    <cellStyle name="Normal 2 55 5 8 3" xfId="11944" xr:uid="{00000000-0005-0000-0000-0000972E0000}"/>
    <cellStyle name="Normal 2 55 5 9" xfId="11945" xr:uid="{00000000-0005-0000-0000-0000982E0000}"/>
    <cellStyle name="Normal 2 55 5 9 2" xfId="11946" xr:uid="{00000000-0005-0000-0000-0000992E0000}"/>
    <cellStyle name="Normal 2 55 5 9 3" xfId="11947" xr:uid="{00000000-0005-0000-0000-00009A2E0000}"/>
    <cellStyle name="Normal 2 55 6" xfId="11948" xr:uid="{00000000-0005-0000-0000-00009B2E0000}"/>
    <cellStyle name="Normal 2 55 6 10" xfId="11949" xr:uid="{00000000-0005-0000-0000-00009C2E0000}"/>
    <cellStyle name="Normal 2 55 6 10 2" xfId="11950" xr:uid="{00000000-0005-0000-0000-00009D2E0000}"/>
    <cellStyle name="Normal 2 55 6 10 3" xfId="11951" xr:uid="{00000000-0005-0000-0000-00009E2E0000}"/>
    <cellStyle name="Normal 2 55 6 11" xfId="11952" xr:uid="{00000000-0005-0000-0000-00009F2E0000}"/>
    <cellStyle name="Normal 2 55 6 11 2" xfId="11953" xr:uid="{00000000-0005-0000-0000-0000A02E0000}"/>
    <cellStyle name="Normal 2 55 6 11 3" xfId="11954" xr:uid="{00000000-0005-0000-0000-0000A12E0000}"/>
    <cellStyle name="Normal 2 55 6 12" xfId="11955" xr:uid="{00000000-0005-0000-0000-0000A22E0000}"/>
    <cellStyle name="Normal 2 55 6 12 2" xfId="11956" xr:uid="{00000000-0005-0000-0000-0000A32E0000}"/>
    <cellStyle name="Normal 2 55 6 12 3" xfId="11957" xr:uid="{00000000-0005-0000-0000-0000A42E0000}"/>
    <cellStyle name="Normal 2 55 6 13" xfId="11958" xr:uid="{00000000-0005-0000-0000-0000A52E0000}"/>
    <cellStyle name="Normal 2 55 6 13 2" xfId="11959" xr:uid="{00000000-0005-0000-0000-0000A62E0000}"/>
    <cellStyle name="Normal 2 55 6 13 3" xfId="11960" xr:uid="{00000000-0005-0000-0000-0000A72E0000}"/>
    <cellStyle name="Normal 2 55 6 14" xfId="11961" xr:uid="{00000000-0005-0000-0000-0000A82E0000}"/>
    <cellStyle name="Normal 2 55 6 14 2" xfId="11962" xr:uid="{00000000-0005-0000-0000-0000A92E0000}"/>
    <cellStyle name="Normal 2 55 6 14 3" xfId="11963" xr:uid="{00000000-0005-0000-0000-0000AA2E0000}"/>
    <cellStyle name="Normal 2 55 6 15" xfId="11964" xr:uid="{00000000-0005-0000-0000-0000AB2E0000}"/>
    <cellStyle name="Normal 2 55 6 16" xfId="11965" xr:uid="{00000000-0005-0000-0000-0000AC2E0000}"/>
    <cellStyle name="Normal 2 55 6 2" xfId="11966" xr:uid="{00000000-0005-0000-0000-0000AD2E0000}"/>
    <cellStyle name="Normal 2 55 6 2 2" xfId="11967" xr:uid="{00000000-0005-0000-0000-0000AE2E0000}"/>
    <cellStyle name="Normal 2 55 6 2 3" xfId="11968" xr:uid="{00000000-0005-0000-0000-0000AF2E0000}"/>
    <cellStyle name="Normal 2 55 6 3" xfId="11969" xr:uid="{00000000-0005-0000-0000-0000B02E0000}"/>
    <cellStyle name="Normal 2 55 6 3 2" xfId="11970" xr:uid="{00000000-0005-0000-0000-0000B12E0000}"/>
    <cellStyle name="Normal 2 55 6 3 3" xfId="11971" xr:uid="{00000000-0005-0000-0000-0000B22E0000}"/>
    <cellStyle name="Normal 2 55 6 4" xfId="11972" xr:uid="{00000000-0005-0000-0000-0000B32E0000}"/>
    <cellStyle name="Normal 2 55 6 4 2" xfId="11973" xr:uid="{00000000-0005-0000-0000-0000B42E0000}"/>
    <cellStyle name="Normal 2 55 6 4 3" xfId="11974" xr:uid="{00000000-0005-0000-0000-0000B52E0000}"/>
    <cellStyle name="Normal 2 55 6 5" xfId="11975" xr:uid="{00000000-0005-0000-0000-0000B62E0000}"/>
    <cellStyle name="Normal 2 55 6 5 2" xfId="11976" xr:uid="{00000000-0005-0000-0000-0000B72E0000}"/>
    <cellStyle name="Normal 2 55 6 5 3" xfId="11977" xr:uid="{00000000-0005-0000-0000-0000B82E0000}"/>
    <cellStyle name="Normal 2 55 6 6" xfId="11978" xr:uid="{00000000-0005-0000-0000-0000B92E0000}"/>
    <cellStyle name="Normal 2 55 6 6 2" xfId="11979" xr:uid="{00000000-0005-0000-0000-0000BA2E0000}"/>
    <cellStyle name="Normal 2 55 6 6 3" xfId="11980" xr:uid="{00000000-0005-0000-0000-0000BB2E0000}"/>
    <cellStyle name="Normal 2 55 6 7" xfId="11981" xr:uid="{00000000-0005-0000-0000-0000BC2E0000}"/>
    <cellStyle name="Normal 2 55 6 7 2" xfId="11982" xr:uid="{00000000-0005-0000-0000-0000BD2E0000}"/>
    <cellStyle name="Normal 2 55 6 7 3" xfId="11983" xr:uid="{00000000-0005-0000-0000-0000BE2E0000}"/>
    <cellStyle name="Normal 2 55 6 8" xfId="11984" xr:uid="{00000000-0005-0000-0000-0000BF2E0000}"/>
    <cellStyle name="Normal 2 55 6 8 2" xfId="11985" xr:uid="{00000000-0005-0000-0000-0000C02E0000}"/>
    <cellStyle name="Normal 2 55 6 8 3" xfId="11986" xr:uid="{00000000-0005-0000-0000-0000C12E0000}"/>
    <cellStyle name="Normal 2 55 6 9" xfId="11987" xr:uid="{00000000-0005-0000-0000-0000C22E0000}"/>
    <cellStyle name="Normal 2 55 6 9 2" xfId="11988" xr:uid="{00000000-0005-0000-0000-0000C32E0000}"/>
    <cellStyle name="Normal 2 55 6 9 3" xfId="11989" xr:uid="{00000000-0005-0000-0000-0000C42E0000}"/>
    <cellStyle name="Normal 2 55 7" xfId="11990" xr:uid="{00000000-0005-0000-0000-0000C52E0000}"/>
    <cellStyle name="Normal 2 55 7 10" xfId="11991" xr:uid="{00000000-0005-0000-0000-0000C62E0000}"/>
    <cellStyle name="Normal 2 55 7 10 2" xfId="11992" xr:uid="{00000000-0005-0000-0000-0000C72E0000}"/>
    <cellStyle name="Normal 2 55 7 10 3" xfId="11993" xr:uid="{00000000-0005-0000-0000-0000C82E0000}"/>
    <cellStyle name="Normal 2 55 7 11" xfId="11994" xr:uid="{00000000-0005-0000-0000-0000C92E0000}"/>
    <cellStyle name="Normal 2 55 7 11 2" xfId="11995" xr:uid="{00000000-0005-0000-0000-0000CA2E0000}"/>
    <cellStyle name="Normal 2 55 7 11 3" xfId="11996" xr:uid="{00000000-0005-0000-0000-0000CB2E0000}"/>
    <cellStyle name="Normal 2 55 7 12" xfId="11997" xr:uid="{00000000-0005-0000-0000-0000CC2E0000}"/>
    <cellStyle name="Normal 2 55 7 12 2" xfId="11998" xr:uid="{00000000-0005-0000-0000-0000CD2E0000}"/>
    <cellStyle name="Normal 2 55 7 12 3" xfId="11999" xr:uid="{00000000-0005-0000-0000-0000CE2E0000}"/>
    <cellStyle name="Normal 2 55 7 13" xfId="12000" xr:uid="{00000000-0005-0000-0000-0000CF2E0000}"/>
    <cellStyle name="Normal 2 55 7 13 2" xfId="12001" xr:uid="{00000000-0005-0000-0000-0000D02E0000}"/>
    <cellStyle name="Normal 2 55 7 13 3" xfId="12002" xr:uid="{00000000-0005-0000-0000-0000D12E0000}"/>
    <cellStyle name="Normal 2 55 7 14" xfId="12003" xr:uid="{00000000-0005-0000-0000-0000D22E0000}"/>
    <cellStyle name="Normal 2 55 7 14 2" xfId="12004" xr:uid="{00000000-0005-0000-0000-0000D32E0000}"/>
    <cellStyle name="Normal 2 55 7 14 3" xfId="12005" xr:uid="{00000000-0005-0000-0000-0000D42E0000}"/>
    <cellStyle name="Normal 2 55 7 15" xfId="12006" xr:uid="{00000000-0005-0000-0000-0000D52E0000}"/>
    <cellStyle name="Normal 2 55 7 16" xfId="12007" xr:uid="{00000000-0005-0000-0000-0000D62E0000}"/>
    <cellStyle name="Normal 2 55 7 2" xfId="12008" xr:uid="{00000000-0005-0000-0000-0000D72E0000}"/>
    <cellStyle name="Normal 2 55 7 2 2" xfId="12009" xr:uid="{00000000-0005-0000-0000-0000D82E0000}"/>
    <cellStyle name="Normal 2 55 7 2 3" xfId="12010" xr:uid="{00000000-0005-0000-0000-0000D92E0000}"/>
    <cellStyle name="Normal 2 55 7 3" xfId="12011" xr:uid="{00000000-0005-0000-0000-0000DA2E0000}"/>
    <cellStyle name="Normal 2 55 7 3 2" xfId="12012" xr:uid="{00000000-0005-0000-0000-0000DB2E0000}"/>
    <cellStyle name="Normal 2 55 7 3 3" xfId="12013" xr:uid="{00000000-0005-0000-0000-0000DC2E0000}"/>
    <cellStyle name="Normal 2 55 7 4" xfId="12014" xr:uid="{00000000-0005-0000-0000-0000DD2E0000}"/>
    <cellStyle name="Normal 2 55 7 4 2" xfId="12015" xr:uid="{00000000-0005-0000-0000-0000DE2E0000}"/>
    <cellStyle name="Normal 2 55 7 4 3" xfId="12016" xr:uid="{00000000-0005-0000-0000-0000DF2E0000}"/>
    <cellStyle name="Normal 2 55 7 5" xfId="12017" xr:uid="{00000000-0005-0000-0000-0000E02E0000}"/>
    <cellStyle name="Normal 2 55 7 5 2" xfId="12018" xr:uid="{00000000-0005-0000-0000-0000E12E0000}"/>
    <cellStyle name="Normal 2 55 7 5 3" xfId="12019" xr:uid="{00000000-0005-0000-0000-0000E22E0000}"/>
    <cellStyle name="Normal 2 55 7 6" xfId="12020" xr:uid="{00000000-0005-0000-0000-0000E32E0000}"/>
    <cellStyle name="Normal 2 55 7 6 2" xfId="12021" xr:uid="{00000000-0005-0000-0000-0000E42E0000}"/>
    <cellStyle name="Normal 2 55 7 6 3" xfId="12022" xr:uid="{00000000-0005-0000-0000-0000E52E0000}"/>
    <cellStyle name="Normal 2 55 7 7" xfId="12023" xr:uid="{00000000-0005-0000-0000-0000E62E0000}"/>
    <cellStyle name="Normal 2 55 7 7 2" xfId="12024" xr:uid="{00000000-0005-0000-0000-0000E72E0000}"/>
    <cellStyle name="Normal 2 55 7 7 3" xfId="12025" xr:uid="{00000000-0005-0000-0000-0000E82E0000}"/>
    <cellStyle name="Normal 2 55 7 8" xfId="12026" xr:uid="{00000000-0005-0000-0000-0000E92E0000}"/>
    <cellStyle name="Normal 2 55 7 8 2" xfId="12027" xr:uid="{00000000-0005-0000-0000-0000EA2E0000}"/>
    <cellStyle name="Normal 2 55 7 8 3" xfId="12028" xr:uid="{00000000-0005-0000-0000-0000EB2E0000}"/>
    <cellStyle name="Normal 2 55 7 9" xfId="12029" xr:uid="{00000000-0005-0000-0000-0000EC2E0000}"/>
    <cellStyle name="Normal 2 55 7 9 2" xfId="12030" xr:uid="{00000000-0005-0000-0000-0000ED2E0000}"/>
    <cellStyle name="Normal 2 55 7 9 3" xfId="12031" xr:uid="{00000000-0005-0000-0000-0000EE2E0000}"/>
    <cellStyle name="Normal 2 55 8" xfId="12032" xr:uid="{00000000-0005-0000-0000-0000EF2E0000}"/>
    <cellStyle name="Normal 2 55 8 10" xfId="12033" xr:uid="{00000000-0005-0000-0000-0000F02E0000}"/>
    <cellStyle name="Normal 2 55 8 10 2" xfId="12034" xr:uid="{00000000-0005-0000-0000-0000F12E0000}"/>
    <cellStyle name="Normal 2 55 8 10 3" xfId="12035" xr:uid="{00000000-0005-0000-0000-0000F22E0000}"/>
    <cellStyle name="Normal 2 55 8 11" xfId="12036" xr:uid="{00000000-0005-0000-0000-0000F32E0000}"/>
    <cellStyle name="Normal 2 55 8 11 2" xfId="12037" xr:uid="{00000000-0005-0000-0000-0000F42E0000}"/>
    <cellStyle name="Normal 2 55 8 11 3" xfId="12038" xr:uid="{00000000-0005-0000-0000-0000F52E0000}"/>
    <cellStyle name="Normal 2 55 8 12" xfId="12039" xr:uid="{00000000-0005-0000-0000-0000F62E0000}"/>
    <cellStyle name="Normal 2 55 8 12 2" xfId="12040" xr:uid="{00000000-0005-0000-0000-0000F72E0000}"/>
    <cellStyle name="Normal 2 55 8 12 3" xfId="12041" xr:uid="{00000000-0005-0000-0000-0000F82E0000}"/>
    <cellStyle name="Normal 2 55 8 13" xfId="12042" xr:uid="{00000000-0005-0000-0000-0000F92E0000}"/>
    <cellStyle name="Normal 2 55 8 13 2" xfId="12043" xr:uid="{00000000-0005-0000-0000-0000FA2E0000}"/>
    <cellStyle name="Normal 2 55 8 13 3" xfId="12044" xr:uid="{00000000-0005-0000-0000-0000FB2E0000}"/>
    <cellStyle name="Normal 2 55 8 14" xfId="12045" xr:uid="{00000000-0005-0000-0000-0000FC2E0000}"/>
    <cellStyle name="Normal 2 55 8 14 2" xfId="12046" xr:uid="{00000000-0005-0000-0000-0000FD2E0000}"/>
    <cellStyle name="Normal 2 55 8 14 3" xfId="12047" xr:uid="{00000000-0005-0000-0000-0000FE2E0000}"/>
    <cellStyle name="Normal 2 55 8 15" xfId="12048" xr:uid="{00000000-0005-0000-0000-0000FF2E0000}"/>
    <cellStyle name="Normal 2 55 8 16" xfId="12049" xr:uid="{00000000-0005-0000-0000-0000002F0000}"/>
    <cellStyle name="Normal 2 55 8 2" xfId="12050" xr:uid="{00000000-0005-0000-0000-0000012F0000}"/>
    <cellStyle name="Normal 2 55 8 2 2" xfId="12051" xr:uid="{00000000-0005-0000-0000-0000022F0000}"/>
    <cellStyle name="Normal 2 55 8 2 3" xfId="12052" xr:uid="{00000000-0005-0000-0000-0000032F0000}"/>
    <cellStyle name="Normal 2 55 8 3" xfId="12053" xr:uid="{00000000-0005-0000-0000-0000042F0000}"/>
    <cellStyle name="Normal 2 55 8 3 2" xfId="12054" xr:uid="{00000000-0005-0000-0000-0000052F0000}"/>
    <cellStyle name="Normal 2 55 8 3 3" xfId="12055" xr:uid="{00000000-0005-0000-0000-0000062F0000}"/>
    <cellStyle name="Normal 2 55 8 4" xfId="12056" xr:uid="{00000000-0005-0000-0000-0000072F0000}"/>
    <cellStyle name="Normal 2 55 8 4 2" xfId="12057" xr:uid="{00000000-0005-0000-0000-0000082F0000}"/>
    <cellStyle name="Normal 2 55 8 4 3" xfId="12058" xr:uid="{00000000-0005-0000-0000-0000092F0000}"/>
    <cellStyle name="Normal 2 55 8 5" xfId="12059" xr:uid="{00000000-0005-0000-0000-00000A2F0000}"/>
    <cellStyle name="Normal 2 55 8 5 2" xfId="12060" xr:uid="{00000000-0005-0000-0000-00000B2F0000}"/>
    <cellStyle name="Normal 2 55 8 5 3" xfId="12061" xr:uid="{00000000-0005-0000-0000-00000C2F0000}"/>
    <cellStyle name="Normal 2 55 8 6" xfId="12062" xr:uid="{00000000-0005-0000-0000-00000D2F0000}"/>
    <cellStyle name="Normal 2 55 8 6 2" xfId="12063" xr:uid="{00000000-0005-0000-0000-00000E2F0000}"/>
    <cellStyle name="Normal 2 55 8 6 3" xfId="12064" xr:uid="{00000000-0005-0000-0000-00000F2F0000}"/>
    <cellStyle name="Normal 2 55 8 7" xfId="12065" xr:uid="{00000000-0005-0000-0000-0000102F0000}"/>
    <cellStyle name="Normal 2 55 8 7 2" xfId="12066" xr:uid="{00000000-0005-0000-0000-0000112F0000}"/>
    <cellStyle name="Normal 2 55 8 7 3" xfId="12067" xr:uid="{00000000-0005-0000-0000-0000122F0000}"/>
    <cellStyle name="Normal 2 55 8 8" xfId="12068" xr:uid="{00000000-0005-0000-0000-0000132F0000}"/>
    <cellStyle name="Normal 2 55 8 8 2" xfId="12069" xr:uid="{00000000-0005-0000-0000-0000142F0000}"/>
    <cellStyle name="Normal 2 55 8 8 3" xfId="12070" xr:uid="{00000000-0005-0000-0000-0000152F0000}"/>
    <cellStyle name="Normal 2 55 8 9" xfId="12071" xr:uid="{00000000-0005-0000-0000-0000162F0000}"/>
    <cellStyle name="Normal 2 55 8 9 2" xfId="12072" xr:uid="{00000000-0005-0000-0000-0000172F0000}"/>
    <cellStyle name="Normal 2 55 8 9 3" xfId="12073" xr:uid="{00000000-0005-0000-0000-0000182F0000}"/>
    <cellStyle name="Normal 2 55 9" xfId="12074" xr:uid="{00000000-0005-0000-0000-0000192F0000}"/>
    <cellStyle name="Normal 2 55 9 10" xfId="12075" xr:uid="{00000000-0005-0000-0000-00001A2F0000}"/>
    <cellStyle name="Normal 2 55 9 10 2" xfId="12076" xr:uid="{00000000-0005-0000-0000-00001B2F0000}"/>
    <cellStyle name="Normal 2 55 9 10 3" xfId="12077" xr:uid="{00000000-0005-0000-0000-00001C2F0000}"/>
    <cellStyle name="Normal 2 55 9 11" xfId="12078" xr:uid="{00000000-0005-0000-0000-00001D2F0000}"/>
    <cellStyle name="Normal 2 55 9 11 2" xfId="12079" xr:uid="{00000000-0005-0000-0000-00001E2F0000}"/>
    <cellStyle name="Normal 2 55 9 11 3" xfId="12080" xr:uid="{00000000-0005-0000-0000-00001F2F0000}"/>
    <cellStyle name="Normal 2 55 9 12" xfId="12081" xr:uid="{00000000-0005-0000-0000-0000202F0000}"/>
    <cellStyle name="Normal 2 55 9 12 2" xfId="12082" xr:uid="{00000000-0005-0000-0000-0000212F0000}"/>
    <cellStyle name="Normal 2 55 9 12 3" xfId="12083" xr:uid="{00000000-0005-0000-0000-0000222F0000}"/>
    <cellStyle name="Normal 2 55 9 13" xfId="12084" xr:uid="{00000000-0005-0000-0000-0000232F0000}"/>
    <cellStyle name="Normal 2 55 9 13 2" xfId="12085" xr:uid="{00000000-0005-0000-0000-0000242F0000}"/>
    <cellStyle name="Normal 2 55 9 13 3" xfId="12086" xr:uid="{00000000-0005-0000-0000-0000252F0000}"/>
    <cellStyle name="Normal 2 55 9 14" xfId="12087" xr:uid="{00000000-0005-0000-0000-0000262F0000}"/>
    <cellStyle name="Normal 2 55 9 14 2" xfId="12088" xr:uid="{00000000-0005-0000-0000-0000272F0000}"/>
    <cellStyle name="Normal 2 55 9 14 3" xfId="12089" xr:uid="{00000000-0005-0000-0000-0000282F0000}"/>
    <cellStyle name="Normal 2 55 9 15" xfId="12090" xr:uid="{00000000-0005-0000-0000-0000292F0000}"/>
    <cellStyle name="Normal 2 55 9 16" xfId="12091" xr:uid="{00000000-0005-0000-0000-00002A2F0000}"/>
    <cellStyle name="Normal 2 55 9 2" xfId="12092" xr:uid="{00000000-0005-0000-0000-00002B2F0000}"/>
    <cellStyle name="Normal 2 55 9 2 2" xfId="12093" xr:uid="{00000000-0005-0000-0000-00002C2F0000}"/>
    <cellStyle name="Normal 2 55 9 2 3" xfId="12094" xr:uid="{00000000-0005-0000-0000-00002D2F0000}"/>
    <cellStyle name="Normal 2 55 9 3" xfId="12095" xr:uid="{00000000-0005-0000-0000-00002E2F0000}"/>
    <cellStyle name="Normal 2 55 9 3 2" xfId="12096" xr:uid="{00000000-0005-0000-0000-00002F2F0000}"/>
    <cellStyle name="Normal 2 55 9 3 3" xfId="12097" xr:uid="{00000000-0005-0000-0000-0000302F0000}"/>
    <cellStyle name="Normal 2 55 9 4" xfId="12098" xr:uid="{00000000-0005-0000-0000-0000312F0000}"/>
    <cellStyle name="Normal 2 55 9 4 2" xfId="12099" xr:uid="{00000000-0005-0000-0000-0000322F0000}"/>
    <cellStyle name="Normal 2 55 9 4 3" xfId="12100" xr:uid="{00000000-0005-0000-0000-0000332F0000}"/>
    <cellStyle name="Normal 2 55 9 5" xfId="12101" xr:uid="{00000000-0005-0000-0000-0000342F0000}"/>
    <cellStyle name="Normal 2 55 9 5 2" xfId="12102" xr:uid="{00000000-0005-0000-0000-0000352F0000}"/>
    <cellStyle name="Normal 2 55 9 5 3" xfId="12103" xr:uid="{00000000-0005-0000-0000-0000362F0000}"/>
    <cellStyle name="Normal 2 55 9 6" xfId="12104" xr:uid="{00000000-0005-0000-0000-0000372F0000}"/>
    <cellStyle name="Normal 2 55 9 6 2" xfId="12105" xr:uid="{00000000-0005-0000-0000-0000382F0000}"/>
    <cellStyle name="Normal 2 55 9 6 3" xfId="12106" xr:uid="{00000000-0005-0000-0000-0000392F0000}"/>
    <cellStyle name="Normal 2 55 9 7" xfId="12107" xr:uid="{00000000-0005-0000-0000-00003A2F0000}"/>
    <cellStyle name="Normal 2 55 9 7 2" xfId="12108" xr:uid="{00000000-0005-0000-0000-00003B2F0000}"/>
    <cellStyle name="Normal 2 55 9 7 3" xfId="12109" xr:uid="{00000000-0005-0000-0000-00003C2F0000}"/>
    <cellStyle name="Normal 2 55 9 8" xfId="12110" xr:uid="{00000000-0005-0000-0000-00003D2F0000}"/>
    <cellStyle name="Normal 2 55 9 8 2" xfId="12111" xr:uid="{00000000-0005-0000-0000-00003E2F0000}"/>
    <cellStyle name="Normal 2 55 9 8 3" xfId="12112" xr:uid="{00000000-0005-0000-0000-00003F2F0000}"/>
    <cellStyle name="Normal 2 55 9 9" xfId="12113" xr:uid="{00000000-0005-0000-0000-0000402F0000}"/>
    <cellStyle name="Normal 2 55 9 9 2" xfId="12114" xr:uid="{00000000-0005-0000-0000-0000412F0000}"/>
    <cellStyle name="Normal 2 55 9 9 3" xfId="12115" xr:uid="{00000000-0005-0000-0000-0000422F0000}"/>
    <cellStyle name="Normal 2 56" xfId="12116" xr:uid="{00000000-0005-0000-0000-0000432F0000}"/>
    <cellStyle name="Normal 2 56 10" xfId="12117" xr:uid="{00000000-0005-0000-0000-0000442F0000}"/>
    <cellStyle name="Normal 2 56 10 10" xfId="12118" xr:uid="{00000000-0005-0000-0000-0000452F0000}"/>
    <cellStyle name="Normal 2 56 10 10 2" xfId="12119" xr:uid="{00000000-0005-0000-0000-0000462F0000}"/>
    <cellStyle name="Normal 2 56 10 10 3" xfId="12120" xr:uid="{00000000-0005-0000-0000-0000472F0000}"/>
    <cellStyle name="Normal 2 56 10 11" xfId="12121" xr:uid="{00000000-0005-0000-0000-0000482F0000}"/>
    <cellStyle name="Normal 2 56 10 11 2" xfId="12122" xr:uid="{00000000-0005-0000-0000-0000492F0000}"/>
    <cellStyle name="Normal 2 56 10 11 3" xfId="12123" xr:uid="{00000000-0005-0000-0000-00004A2F0000}"/>
    <cellStyle name="Normal 2 56 10 12" xfId="12124" xr:uid="{00000000-0005-0000-0000-00004B2F0000}"/>
    <cellStyle name="Normal 2 56 10 12 2" xfId="12125" xr:uid="{00000000-0005-0000-0000-00004C2F0000}"/>
    <cellStyle name="Normal 2 56 10 12 3" xfId="12126" xr:uid="{00000000-0005-0000-0000-00004D2F0000}"/>
    <cellStyle name="Normal 2 56 10 13" xfId="12127" xr:uid="{00000000-0005-0000-0000-00004E2F0000}"/>
    <cellStyle name="Normal 2 56 10 13 2" xfId="12128" xr:uid="{00000000-0005-0000-0000-00004F2F0000}"/>
    <cellStyle name="Normal 2 56 10 13 3" xfId="12129" xr:uid="{00000000-0005-0000-0000-0000502F0000}"/>
    <cellStyle name="Normal 2 56 10 14" xfId="12130" xr:uid="{00000000-0005-0000-0000-0000512F0000}"/>
    <cellStyle name="Normal 2 56 10 14 2" xfId="12131" xr:uid="{00000000-0005-0000-0000-0000522F0000}"/>
    <cellStyle name="Normal 2 56 10 14 3" xfId="12132" xr:uid="{00000000-0005-0000-0000-0000532F0000}"/>
    <cellStyle name="Normal 2 56 10 15" xfId="12133" xr:uid="{00000000-0005-0000-0000-0000542F0000}"/>
    <cellStyle name="Normal 2 56 10 16" xfId="12134" xr:uid="{00000000-0005-0000-0000-0000552F0000}"/>
    <cellStyle name="Normal 2 56 10 2" xfId="12135" xr:uid="{00000000-0005-0000-0000-0000562F0000}"/>
    <cellStyle name="Normal 2 56 10 2 2" xfId="12136" xr:uid="{00000000-0005-0000-0000-0000572F0000}"/>
    <cellStyle name="Normal 2 56 10 2 3" xfId="12137" xr:uid="{00000000-0005-0000-0000-0000582F0000}"/>
    <cellStyle name="Normal 2 56 10 3" xfId="12138" xr:uid="{00000000-0005-0000-0000-0000592F0000}"/>
    <cellStyle name="Normal 2 56 10 3 2" xfId="12139" xr:uid="{00000000-0005-0000-0000-00005A2F0000}"/>
    <cellStyle name="Normal 2 56 10 3 3" xfId="12140" xr:uid="{00000000-0005-0000-0000-00005B2F0000}"/>
    <cellStyle name="Normal 2 56 10 4" xfId="12141" xr:uid="{00000000-0005-0000-0000-00005C2F0000}"/>
    <cellStyle name="Normal 2 56 10 4 2" xfId="12142" xr:uid="{00000000-0005-0000-0000-00005D2F0000}"/>
    <cellStyle name="Normal 2 56 10 4 3" xfId="12143" xr:uid="{00000000-0005-0000-0000-00005E2F0000}"/>
    <cellStyle name="Normal 2 56 10 5" xfId="12144" xr:uid="{00000000-0005-0000-0000-00005F2F0000}"/>
    <cellStyle name="Normal 2 56 10 5 2" xfId="12145" xr:uid="{00000000-0005-0000-0000-0000602F0000}"/>
    <cellStyle name="Normal 2 56 10 5 3" xfId="12146" xr:uid="{00000000-0005-0000-0000-0000612F0000}"/>
    <cellStyle name="Normal 2 56 10 6" xfId="12147" xr:uid="{00000000-0005-0000-0000-0000622F0000}"/>
    <cellStyle name="Normal 2 56 10 6 2" xfId="12148" xr:uid="{00000000-0005-0000-0000-0000632F0000}"/>
    <cellStyle name="Normal 2 56 10 6 3" xfId="12149" xr:uid="{00000000-0005-0000-0000-0000642F0000}"/>
    <cellStyle name="Normal 2 56 10 7" xfId="12150" xr:uid="{00000000-0005-0000-0000-0000652F0000}"/>
    <cellStyle name="Normal 2 56 10 7 2" xfId="12151" xr:uid="{00000000-0005-0000-0000-0000662F0000}"/>
    <cellStyle name="Normal 2 56 10 7 3" xfId="12152" xr:uid="{00000000-0005-0000-0000-0000672F0000}"/>
    <cellStyle name="Normal 2 56 10 8" xfId="12153" xr:uid="{00000000-0005-0000-0000-0000682F0000}"/>
    <cellStyle name="Normal 2 56 10 8 2" xfId="12154" xr:uid="{00000000-0005-0000-0000-0000692F0000}"/>
    <cellStyle name="Normal 2 56 10 8 3" xfId="12155" xr:uid="{00000000-0005-0000-0000-00006A2F0000}"/>
    <cellStyle name="Normal 2 56 10 9" xfId="12156" xr:uid="{00000000-0005-0000-0000-00006B2F0000}"/>
    <cellStyle name="Normal 2 56 10 9 2" xfId="12157" xr:uid="{00000000-0005-0000-0000-00006C2F0000}"/>
    <cellStyle name="Normal 2 56 10 9 3" xfId="12158" xr:uid="{00000000-0005-0000-0000-00006D2F0000}"/>
    <cellStyle name="Normal 2 56 11" xfId="12159" xr:uid="{00000000-0005-0000-0000-00006E2F0000}"/>
    <cellStyle name="Normal 2 56 11 2" xfId="12160" xr:uid="{00000000-0005-0000-0000-00006F2F0000}"/>
    <cellStyle name="Normal 2 56 11 3" xfId="12161" xr:uid="{00000000-0005-0000-0000-0000702F0000}"/>
    <cellStyle name="Normal 2 56 12" xfId="12162" xr:uid="{00000000-0005-0000-0000-0000712F0000}"/>
    <cellStyle name="Normal 2 56 12 2" xfId="12163" xr:uid="{00000000-0005-0000-0000-0000722F0000}"/>
    <cellStyle name="Normal 2 56 12 3" xfId="12164" xr:uid="{00000000-0005-0000-0000-0000732F0000}"/>
    <cellStyle name="Normal 2 56 13" xfId="12165" xr:uid="{00000000-0005-0000-0000-0000742F0000}"/>
    <cellStyle name="Normal 2 56 13 2" xfId="12166" xr:uid="{00000000-0005-0000-0000-0000752F0000}"/>
    <cellStyle name="Normal 2 56 13 3" xfId="12167" xr:uid="{00000000-0005-0000-0000-0000762F0000}"/>
    <cellStyle name="Normal 2 56 14" xfId="12168" xr:uid="{00000000-0005-0000-0000-0000772F0000}"/>
    <cellStyle name="Normal 2 56 14 2" xfId="12169" xr:uid="{00000000-0005-0000-0000-0000782F0000}"/>
    <cellStyle name="Normal 2 56 14 3" xfId="12170" xr:uid="{00000000-0005-0000-0000-0000792F0000}"/>
    <cellStyle name="Normal 2 56 15" xfId="12171" xr:uid="{00000000-0005-0000-0000-00007A2F0000}"/>
    <cellStyle name="Normal 2 56 15 2" xfId="12172" xr:uid="{00000000-0005-0000-0000-00007B2F0000}"/>
    <cellStyle name="Normal 2 56 15 3" xfId="12173" xr:uid="{00000000-0005-0000-0000-00007C2F0000}"/>
    <cellStyle name="Normal 2 56 16" xfId="12174" xr:uid="{00000000-0005-0000-0000-00007D2F0000}"/>
    <cellStyle name="Normal 2 56 16 2" xfId="12175" xr:uid="{00000000-0005-0000-0000-00007E2F0000}"/>
    <cellStyle name="Normal 2 56 16 3" xfId="12176" xr:uid="{00000000-0005-0000-0000-00007F2F0000}"/>
    <cellStyle name="Normal 2 56 17" xfId="12177" xr:uid="{00000000-0005-0000-0000-0000802F0000}"/>
    <cellStyle name="Normal 2 56 17 2" xfId="12178" xr:uid="{00000000-0005-0000-0000-0000812F0000}"/>
    <cellStyle name="Normal 2 56 17 3" xfId="12179" xr:uid="{00000000-0005-0000-0000-0000822F0000}"/>
    <cellStyle name="Normal 2 56 18" xfId="12180" xr:uid="{00000000-0005-0000-0000-0000832F0000}"/>
    <cellStyle name="Normal 2 56 18 2" xfId="12181" xr:uid="{00000000-0005-0000-0000-0000842F0000}"/>
    <cellStyle name="Normal 2 56 18 3" xfId="12182" xr:uid="{00000000-0005-0000-0000-0000852F0000}"/>
    <cellStyle name="Normal 2 56 19" xfId="12183" xr:uid="{00000000-0005-0000-0000-0000862F0000}"/>
    <cellStyle name="Normal 2 56 19 2" xfId="12184" xr:uid="{00000000-0005-0000-0000-0000872F0000}"/>
    <cellStyle name="Normal 2 56 19 3" xfId="12185" xr:uid="{00000000-0005-0000-0000-0000882F0000}"/>
    <cellStyle name="Normal 2 56 2" xfId="12186" xr:uid="{00000000-0005-0000-0000-0000892F0000}"/>
    <cellStyle name="Normal 2 56 2 10" xfId="12187" xr:uid="{00000000-0005-0000-0000-00008A2F0000}"/>
    <cellStyle name="Normal 2 56 2 10 2" xfId="12188" xr:uid="{00000000-0005-0000-0000-00008B2F0000}"/>
    <cellStyle name="Normal 2 56 2 10 3" xfId="12189" xr:uid="{00000000-0005-0000-0000-00008C2F0000}"/>
    <cellStyle name="Normal 2 56 2 11" xfId="12190" xr:uid="{00000000-0005-0000-0000-00008D2F0000}"/>
    <cellStyle name="Normal 2 56 2 11 2" xfId="12191" xr:uid="{00000000-0005-0000-0000-00008E2F0000}"/>
    <cellStyle name="Normal 2 56 2 11 3" xfId="12192" xr:uid="{00000000-0005-0000-0000-00008F2F0000}"/>
    <cellStyle name="Normal 2 56 2 12" xfId="12193" xr:uid="{00000000-0005-0000-0000-0000902F0000}"/>
    <cellStyle name="Normal 2 56 2 12 2" xfId="12194" xr:uid="{00000000-0005-0000-0000-0000912F0000}"/>
    <cellStyle name="Normal 2 56 2 12 3" xfId="12195" xr:uid="{00000000-0005-0000-0000-0000922F0000}"/>
    <cellStyle name="Normal 2 56 2 13" xfId="12196" xr:uid="{00000000-0005-0000-0000-0000932F0000}"/>
    <cellStyle name="Normal 2 56 2 13 2" xfId="12197" xr:uid="{00000000-0005-0000-0000-0000942F0000}"/>
    <cellStyle name="Normal 2 56 2 13 3" xfId="12198" xr:uid="{00000000-0005-0000-0000-0000952F0000}"/>
    <cellStyle name="Normal 2 56 2 14" xfId="12199" xr:uid="{00000000-0005-0000-0000-0000962F0000}"/>
    <cellStyle name="Normal 2 56 2 14 2" xfId="12200" xr:uid="{00000000-0005-0000-0000-0000972F0000}"/>
    <cellStyle name="Normal 2 56 2 14 3" xfId="12201" xr:uid="{00000000-0005-0000-0000-0000982F0000}"/>
    <cellStyle name="Normal 2 56 2 15" xfId="12202" xr:uid="{00000000-0005-0000-0000-0000992F0000}"/>
    <cellStyle name="Normal 2 56 2 15 2" xfId="12203" xr:uid="{00000000-0005-0000-0000-00009A2F0000}"/>
    <cellStyle name="Normal 2 56 2 15 3" xfId="12204" xr:uid="{00000000-0005-0000-0000-00009B2F0000}"/>
    <cellStyle name="Normal 2 56 2 16" xfId="12205" xr:uid="{00000000-0005-0000-0000-00009C2F0000}"/>
    <cellStyle name="Normal 2 56 2 17" xfId="12206" xr:uid="{00000000-0005-0000-0000-00009D2F0000}"/>
    <cellStyle name="Normal 2 56 2 2" xfId="12207" xr:uid="{00000000-0005-0000-0000-00009E2F0000}"/>
    <cellStyle name="Normal 2 56 2 2 10" xfId="12208" xr:uid="{00000000-0005-0000-0000-00009F2F0000}"/>
    <cellStyle name="Normal 2 56 2 2 10 2" xfId="12209" xr:uid="{00000000-0005-0000-0000-0000A02F0000}"/>
    <cellStyle name="Normal 2 56 2 2 10 3" xfId="12210" xr:uid="{00000000-0005-0000-0000-0000A12F0000}"/>
    <cellStyle name="Normal 2 56 2 2 11" xfId="12211" xr:uid="{00000000-0005-0000-0000-0000A22F0000}"/>
    <cellStyle name="Normal 2 56 2 2 11 2" xfId="12212" xr:uid="{00000000-0005-0000-0000-0000A32F0000}"/>
    <cellStyle name="Normal 2 56 2 2 11 3" xfId="12213" xr:uid="{00000000-0005-0000-0000-0000A42F0000}"/>
    <cellStyle name="Normal 2 56 2 2 12" xfId="12214" xr:uid="{00000000-0005-0000-0000-0000A52F0000}"/>
    <cellStyle name="Normal 2 56 2 2 12 2" xfId="12215" xr:uid="{00000000-0005-0000-0000-0000A62F0000}"/>
    <cellStyle name="Normal 2 56 2 2 12 3" xfId="12216" xr:uid="{00000000-0005-0000-0000-0000A72F0000}"/>
    <cellStyle name="Normal 2 56 2 2 13" xfId="12217" xr:uid="{00000000-0005-0000-0000-0000A82F0000}"/>
    <cellStyle name="Normal 2 56 2 2 13 2" xfId="12218" xr:uid="{00000000-0005-0000-0000-0000A92F0000}"/>
    <cellStyle name="Normal 2 56 2 2 13 3" xfId="12219" xr:uid="{00000000-0005-0000-0000-0000AA2F0000}"/>
    <cellStyle name="Normal 2 56 2 2 14" xfId="12220" xr:uid="{00000000-0005-0000-0000-0000AB2F0000}"/>
    <cellStyle name="Normal 2 56 2 2 14 2" xfId="12221" xr:uid="{00000000-0005-0000-0000-0000AC2F0000}"/>
    <cellStyle name="Normal 2 56 2 2 14 3" xfId="12222" xr:uid="{00000000-0005-0000-0000-0000AD2F0000}"/>
    <cellStyle name="Normal 2 56 2 2 15" xfId="12223" xr:uid="{00000000-0005-0000-0000-0000AE2F0000}"/>
    <cellStyle name="Normal 2 56 2 2 16" xfId="12224" xr:uid="{00000000-0005-0000-0000-0000AF2F0000}"/>
    <cellStyle name="Normal 2 56 2 2 2" xfId="12225" xr:uid="{00000000-0005-0000-0000-0000B02F0000}"/>
    <cellStyle name="Normal 2 56 2 2 2 2" xfId="12226" xr:uid="{00000000-0005-0000-0000-0000B12F0000}"/>
    <cellStyle name="Normal 2 56 2 2 2 3" xfId="12227" xr:uid="{00000000-0005-0000-0000-0000B22F0000}"/>
    <cellStyle name="Normal 2 56 2 2 3" xfId="12228" xr:uid="{00000000-0005-0000-0000-0000B32F0000}"/>
    <cellStyle name="Normal 2 56 2 2 3 2" xfId="12229" xr:uid="{00000000-0005-0000-0000-0000B42F0000}"/>
    <cellStyle name="Normal 2 56 2 2 3 3" xfId="12230" xr:uid="{00000000-0005-0000-0000-0000B52F0000}"/>
    <cellStyle name="Normal 2 56 2 2 4" xfId="12231" xr:uid="{00000000-0005-0000-0000-0000B62F0000}"/>
    <cellStyle name="Normal 2 56 2 2 4 2" xfId="12232" xr:uid="{00000000-0005-0000-0000-0000B72F0000}"/>
    <cellStyle name="Normal 2 56 2 2 4 3" xfId="12233" xr:uid="{00000000-0005-0000-0000-0000B82F0000}"/>
    <cellStyle name="Normal 2 56 2 2 5" xfId="12234" xr:uid="{00000000-0005-0000-0000-0000B92F0000}"/>
    <cellStyle name="Normal 2 56 2 2 5 2" xfId="12235" xr:uid="{00000000-0005-0000-0000-0000BA2F0000}"/>
    <cellStyle name="Normal 2 56 2 2 5 3" xfId="12236" xr:uid="{00000000-0005-0000-0000-0000BB2F0000}"/>
    <cellStyle name="Normal 2 56 2 2 6" xfId="12237" xr:uid="{00000000-0005-0000-0000-0000BC2F0000}"/>
    <cellStyle name="Normal 2 56 2 2 6 2" xfId="12238" xr:uid="{00000000-0005-0000-0000-0000BD2F0000}"/>
    <cellStyle name="Normal 2 56 2 2 6 3" xfId="12239" xr:uid="{00000000-0005-0000-0000-0000BE2F0000}"/>
    <cellStyle name="Normal 2 56 2 2 7" xfId="12240" xr:uid="{00000000-0005-0000-0000-0000BF2F0000}"/>
    <cellStyle name="Normal 2 56 2 2 7 2" xfId="12241" xr:uid="{00000000-0005-0000-0000-0000C02F0000}"/>
    <cellStyle name="Normal 2 56 2 2 7 3" xfId="12242" xr:uid="{00000000-0005-0000-0000-0000C12F0000}"/>
    <cellStyle name="Normal 2 56 2 2 8" xfId="12243" xr:uid="{00000000-0005-0000-0000-0000C22F0000}"/>
    <cellStyle name="Normal 2 56 2 2 8 2" xfId="12244" xr:uid="{00000000-0005-0000-0000-0000C32F0000}"/>
    <cellStyle name="Normal 2 56 2 2 8 3" xfId="12245" xr:uid="{00000000-0005-0000-0000-0000C42F0000}"/>
    <cellStyle name="Normal 2 56 2 2 9" xfId="12246" xr:uid="{00000000-0005-0000-0000-0000C52F0000}"/>
    <cellStyle name="Normal 2 56 2 2 9 2" xfId="12247" xr:uid="{00000000-0005-0000-0000-0000C62F0000}"/>
    <cellStyle name="Normal 2 56 2 2 9 3" xfId="12248" xr:uid="{00000000-0005-0000-0000-0000C72F0000}"/>
    <cellStyle name="Normal 2 56 2 3" xfId="12249" xr:uid="{00000000-0005-0000-0000-0000C82F0000}"/>
    <cellStyle name="Normal 2 56 2 3 2" xfId="12250" xr:uid="{00000000-0005-0000-0000-0000C92F0000}"/>
    <cellStyle name="Normal 2 56 2 3 3" xfId="12251" xr:uid="{00000000-0005-0000-0000-0000CA2F0000}"/>
    <cellStyle name="Normal 2 56 2 4" xfId="12252" xr:uid="{00000000-0005-0000-0000-0000CB2F0000}"/>
    <cellStyle name="Normal 2 56 2 4 2" xfId="12253" xr:uid="{00000000-0005-0000-0000-0000CC2F0000}"/>
    <cellStyle name="Normal 2 56 2 4 3" xfId="12254" xr:uid="{00000000-0005-0000-0000-0000CD2F0000}"/>
    <cellStyle name="Normal 2 56 2 5" xfId="12255" xr:uid="{00000000-0005-0000-0000-0000CE2F0000}"/>
    <cellStyle name="Normal 2 56 2 5 2" xfId="12256" xr:uid="{00000000-0005-0000-0000-0000CF2F0000}"/>
    <cellStyle name="Normal 2 56 2 5 3" xfId="12257" xr:uid="{00000000-0005-0000-0000-0000D02F0000}"/>
    <cellStyle name="Normal 2 56 2 6" xfId="12258" xr:uid="{00000000-0005-0000-0000-0000D12F0000}"/>
    <cellStyle name="Normal 2 56 2 6 2" xfId="12259" xr:uid="{00000000-0005-0000-0000-0000D22F0000}"/>
    <cellStyle name="Normal 2 56 2 6 3" xfId="12260" xr:uid="{00000000-0005-0000-0000-0000D32F0000}"/>
    <cellStyle name="Normal 2 56 2 7" xfId="12261" xr:uid="{00000000-0005-0000-0000-0000D42F0000}"/>
    <cellStyle name="Normal 2 56 2 7 2" xfId="12262" xr:uid="{00000000-0005-0000-0000-0000D52F0000}"/>
    <cellStyle name="Normal 2 56 2 7 3" xfId="12263" xr:uid="{00000000-0005-0000-0000-0000D62F0000}"/>
    <cellStyle name="Normal 2 56 2 8" xfId="12264" xr:uid="{00000000-0005-0000-0000-0000D72F0000}"/>
    <cellStyle name="Normal 2 56 2 8 2" xfId="12265" xr:uid="{00000000-0005-0000-0000-0000D82F0000}"/>
    <cellStyle name="Normal 2 56 2 8 3" xfId="12266" xr:uid="{00000000-0005-0000-0000-0000D92F0000}"/>
    <cellStyle name="Normal 2 56 2 9" xfId="12267" xr:uid="{00000000-0005-0000-0000-0000DA2F0000}"/>
    <cellStyle name="Normal 2 56 2 9 2" xfId="12268" xr:uid="{00000000-0005-0000-0000-0000DB2F0000}"/>
    <cellStyle name="Normal 2 56 2 9 3" xfId="12269" xr:uid="{00000000-0005-0000-0000-0000DC2F0000}"/>
    <cellStyle name="Normal 2 56 20" xfId="12270" xr:uid="{00000000-0005-0000-0000-0000DD2F0000}"/>
    <cellStyle name="Normal 2 56 20 2" xfId="12271" xr:uid="{00000000-0005-0000-0000-0000DE2F0000}"/>
    <cellStyle name="Normal 2 56 20 3" xfId="12272" xr:uid="{00000000-0005-0000-0000-0000DF2F0000}"/>
    <cellStyle name="Normal 2 56 21" xfId="12273" xr:uid="{00000000-0005-0000-0000-0000E02F0000}"/>
    <cellStyle name="Normal 2 56 21 2" xfId="12274" xr:uid="{00000000-0005-0000-0000-0000E12F0000}"/>
    <cellStyle name="Normal 2 56 21 3" xfId="12275" xr:uid="{00000000-0005-0000-0000-0000E22F0000}"/>
    <cellStyle name="Normal 2 56 22" xfId="12276" xr:uid="{00000000-0005-0000-0000-0000E32F0000}"/>
    <cellStyle name="Normal 2 56 22 2" xfId="12277" xr:uid="{00000000-0005-0000-0000-0000E42F0000}"/>
    <cellStyle name="Normal 2 56 22 3" xfId="12278" xr:uid="{00000000-0005-0000-0000-0000E52F0000}"/>
    <cellStyle name="Normal 2 56 23" xfId="12279" xr:uid="{00000000-0005-0000-0000-0000E62F0000}"/>
    <cellStyle name="Normal 2 56 23 2" xfId="12280" xr:uid="{00000000-0005-0000-0000-0000E72F0000}"/>
    <cellStyle name="Normal 2 56 23 3" xfId="12281" xr:uid="{00000000-0005-0000-0000-0000E82F0000}"/>
    <cellStyle name="Normal 2 56 24" xfId="12282" xr:uid="{00000000-0005-0000-0000-0000E92F0000}"/>
    <cellStyle name="Normal 2 56 25" xfId="12283" xr:uid="{00000000-0005-0000-0000-0000EA2F0000}"/>
    <cellStyle name="Normal 2 56 3" xfId="12284" xr:uid="{00000000-0005-0000-0000-0000EB2F0000}"/>
    <cellStyle name="Normal 2 56 3 10" xfId="12285" xr:uid="{00000000-0005-0000-0000-0000EC2F0000}"/>
    <cellStyle name="Normal 2 56 3 10 2" xfId="12286" xr:uid="{00000000-0005-0000-0000-0000ED2F0000}"/>
    <cellStyle name="Normal 2 56 3 10 3" xfId="12287" xr:uid="{00000000-0005-0000-0000-0000EE2F0000}"/>
    <cellStyle name="Normal 2 56 3 11" xfId="12288" xr:uid="{00000000-0005-0000-0000-0000EF2F0000}"/>
    <cellStyle name="Normal 2 56 3 11 2" xfId="12289" xr:uid="{00000000-0005-0000-0000-0000F02F0000}"/>
    <cellStyle name="Normal 2 56 3 11 3" xfId="12290" xr:uid="{00000000-0005-0000-0000-0000F12F0000}"/>
    <cellStyle name="Normal 2 56 3 12" xfId="12291" xr:uid="{00000000-0005-0000-0000-0000F22F0000}"/>
    <cellStyle name="Normal 2 56 3 12 2" xfId="12292" xr:uid="{00000000-0005-0000-0000-0000F32F0000}"/>
    <cellStyle name="Normal 2 56 3 12 3" xfId="12293" xr:uid="{00000000-0005-0000-0000-0000F42F0000}"/>
    <cellStyle name="Normal 2 56 3 13" xfId="12294" xr:uid="{00000000-0005-0000-0000-0000F52F0000}"/>
    <cellStyle name="Normal 2 56 3 13 2" xfId="12295" xr:uid="{00000000-0005-0000-0000-0000F62F0000}"/>
    <cellStyle name="Normal 2 56 3 13 3" xfId="12296" xr:uid="{00000000-0005-0000-0000-0000F72F0000}"/>
    <cellStyle name="Normal 2 56 3 14" xfId="12297" xr:uid="{00000000-0005-0000-0000-0000F82F0000}"/>
    <cellStyle name="Normal 2 56 3 14 2" xfId="12298" xr:uid="{00000000-0005-0000-0000-0000F92F0000}"/>
    <cellStyle name="Normal 2 56 3 14 3" xfId="12299" xr:uid="{00000000-0005-0000-0000-0000FA2F0000}"/>
    <cellStyle name="Normal 2 56 3 15" xfId="12300" xr:uid="{00000000-0005-0000-0000-0000FB2F0000}"/>
    <cellStyle name="Normal 2 56 3 15 2" xfId="12301" xr:uid="{00000000-0005-0000-0000-0000FC2F0000}"/>
    <cellStyle name="Normal 2 56 3 15 3" xfId="12302" xr:uid="{00000000-0005-0000-0000-0000FD2F0000}"/>
    <cellStyle name="Normal 2 56 3 16" xfId="12303" xr:uid="{00000000-0005-0000-0000-0000FE2F0000}"/>
    <cellStyle name="Normal 2 56 3 17" xfId="12304" xr:uid="{00000000-0005-0000-0000-0000FF2F0000}"/>
    <cellStyle name="Normal 2 56 3 2" xfId="12305" xr:uid="{00000000-0005-0000-0000-000000300000}"/>
    <cellStyle name="Normal 2 56 3 2 10" xfId="12306" xr:uid="{00000000-0005-0000-0000-000001300000}"/>
    <cellStyle name="Normal 2 56 3 2 10 2" xfId="12307" xr:uid="{00000000-0005-0000-0000-000002300000}"/>
    <cellStyle name="Normal 2 56 3 2 10 3" xfId="12308" xr:uid="{00000000-0005-0000-0000-000003300000}"/>
    <cellStyle name="Normal 2 56 3 2 11" xfId="12309" xr:uid="{00000000-0005-0000-0000-000004300000}"/>
    <cellStyle name="Normal 2 56 3 2 11 2" xfId="12310" xr:uid="{00000000-0005-0000-0000-000005300000}"/>
    <cellStyle name="Normal 2 56 3 2 11 3" xfId="12311" xr:uid="{00000000-0005-0000-0000-000006300000}"/>
    <cellStyle name="Normal 2 56 3 2 12" xfId="12312" xr:uid="{00000000-0005-0000-0000-000007300000}"/>
    <cellStyle name="Normal 2 56 3 2 12 2" xfId="12313" xr:uid="{00000000-0005-0000-0000-000008300000}"/>
    <cellStyle name="Normal 2 56 3 2 12 3" xfId="12314" xr:uid="{00000000-0005-0000-0000-000009300000}"/>
    <cellStyle name="Normal 2 56 3 2 13" xfId="12315" xr:uid="{00000000-0005-0000-0000-00000A300000}"/>
    <cellStyle name="Normal 2 56 3 2 13 2" xfId="12316" xr:uid="{00000000-0005-0000-0000-00000B300000}"/>
    <cellStyle name="Normal 2 56 3 2 13 3" xfId="12317" xr:uid="{00000000-0005-0000-0000-00000C300000}"/>
    <cellStyle name="Normal 2 56 3 2 14" xfId="12318" xr:uid="{00000000-0005-0000-0000-00000D300000}"/>
    <cellStyle name="Normal 2 56 3 2 14 2" xfId="12319" xr:uid="{00000000-0005-0000-0000-00000E300000}"/>
    <cellStyle name="Normal 2 56 3 2 14 3" xfId="12320" xr:uid="{00000000-0005-0000-0000-00000F300000}"/>
    <cellStyle name="Normal 2 56 3 2 15" xfId="12321" xr:uid="{00000000-0005-0000-0000-000010300000}"/>
    <cellStyle name="Normal 2 56 3 2 16" xfId="12322" xr:uid="{00000000-0005-0000-0000-000011300000}"/>
    <cellStyle name="Normal 2 56 3 2 2" xfId="12323" xr:uid="{00000000-0005-0000-0000-000012300000}"/>
    <cellStyle name="Normal 2 56 3 2 2 2" xfId="12324" xr:uid="{00000000-0005-0000-0000-000013300000}"/>
    <cellStyle name="Normal 2 56 3 2 2 3" xfId="12325" xr:uid="{00000000-0005-0000-0000-000014300000}"/>
    <cellStyle name="Normal 2 56 3 2 3" xfId="12326" xr:uid="{00000000-0005-0000-0000-000015300000}"/>
    <cellStyle name="Normal 2 56 3 2 3 2" xfId="12327" xr:uid="{00000000-0005-0000-0000-000016300000}"/>
    <cellStyle name="Normal 2 56 3 2 3 3" xfId="12328" xr:uid="{00000000-0005-0000-0000-000017300000}"/>
    <cellStyle name="Normal 2 56 3 2 4" xfId="12329" xr:uid="{00000000-0005-0000-0000-000018300000}"/>
    <cellStyle name="Normal 2 56 3 2 4 2" xfId="12330" xr:uid="{00000000-0005-0000-0000-000019300000}"/>
    <cellStyle name="Normal 2 56 3 2 4 3" xfId="12331" xr:uid="{00000000-0005-0000-0000-00001A300000}"/>
    <cellStyle name="Normal 2 56 3 2 5" xfId="12332" xr:uid="{00000000-0005-0000-0000-00001B300000}"/>
    <cellStyle name="Normal 2 56 3 2 5 2" xfId="12333" xr:uid="{00000000-0005-0000-0000-00001C300000}"/>
    <cellStyle name="Normal 2 56 3 2 5 3" xfId="12334" xr:uid="{00000000-0005-0000-0000-00001D300000}"/>
    <cellStyle name="Normal 2 56 3 2 6" xfId="12335" xr:uid="{00000000-0005-0000-0000-00001E300000}"/>
    <cellStyle name="Normal 2 56 3 2 6 2" xfId="12336" xr:uid="{00000000-0005-0000-0000-00001F300000}"/>
    <cellStyle name="Normal 2 56 3 2 6 3" xfId="12337" xr:uid="{00000000-0005-0000-0000-000020300000}"/>
    <cellStyle name="Normal 2 56 3 2 7" xfId="12338" xr:uid="{00000000-0005-0000-0000-000021300000}"/>
    <cellStyle name="Normal 2 56 3 2 7 2" xfId="12339" xr:uid="{00000000-0005-0000-0000-000022300000}"/>
    <cellStyle name="Normal 2 56 3 2 7 3" xfId="12340" xr:uid="{00000000-0005-0000-0000-000023300000}"/>
    <cellStyle name="Normal 2 56 3 2 8" xfId="12341" xr:uid="{00000000-0005-0000-0000-000024300000}"/>
    <cellStyle name="Normal 2 56 3 2 8 2" xfId="12342" xr:uid="{00000000-0005-0000-0000-000025300000}"/>
    <cellStyle name="Normal 2 56 3 2 8 3" xfId="12343" xr:uid="{00000000-0005-0000-0000-000026300000}"/>
    <cellStyle name="Normal 2 56 3 2 9" xfId="12344" xr:uid="{00000000-0005-0000-0000-000027300000}"/>
    <cellStyle name="Normal 2 56 3 2 9 2" xfId="12345" xr:uid="{00000000-0005-0000-0000-000028300000}"/>
    <cellStyle name="Normal 2 56 3 2 9 3" xfId="12346" xr:uid="{00000000-0005-0000-0000-000029300000}"/>
    <cellStyle name="Normal 2 56 3 3" xfId="12347" xr:uid="{00000000-0005-0000-0000-00002A300000}"/>
    <cellStyle name="Normal 2 56 3 3 2" xfId="12348" xr:uid="{00000000-0005-0000-0000-00002B300000}"/>
    <cellStyle name="Normal 2 56 3 3 3" xfId="12349" xr:uid="{00000000-0005-0000-0000-00002C300000}"/>
    <cellStyle name="Normal 2 56 3 4" xfId="12350" xr:uid="{00000000-0005-0000-0000-00002D300000}"/>
    <cellStyle name="Normal 2 56 3 4 2" xfId="12351" xr:uid="{00000000-0005-0000-0000-00002E300000}"/>
    <cellStyle name="Normal 2 56 3 4 3" xfId="12352" xr:uid="{00000000-0005-0000-0000-00002F300000}"/>
    <cellStyle name="Normal 2 56 3 5" xfId="12353" xr:uid="{00000000-0005-0000-0000-000030300000}"/>
    <cellStyle name="Normal 2 56 3 5 2" xfId="12354" xr:uid="{00000000-0005-0000-0000-000031300000}"/>
    <cellStyle name="Normal 2 56 3 5 3" xfId="12355" xr:uid="{00000000-0005-0000-0000-000032300000}"/>
    <cellStyle name="Normal 2 56 3 6" xfId="12356" xr:uid="{00000000-0005-0000-0000-000033300000}"/>
    <cellStyle name="Normal 2 56 3 6 2" xfId="12357" xr:uid="{00000000-0005-0000-0000-000034300000}"/>
    <cellStyle name="Normal 2 56 3 6 3" xfId="12358" xr:uid="{00000000-0005-0000-0000-000035300000}"/>
    <cellStyle name="Normal 2 56 3 7" xfId="12359" xr:uid="{00000000-0005-0000-0000-000036300000}"/>
    <cellStyle name="Normal 2 56 3 7 2" xfId="12360" xr:uid="{00000000-0005-0000-0000-000037300000}"/>
    <cellStyle name="Normal 2 56 3 7 3" xfId="12361" xr:uid="{00000000-0005-0000-0000-000038300000}"/>
    <cellStyle name="Normal 2 56 3 8" xfId="12362" xr:uid="{00000000-0005-0000-0000-000039300000}"/>
    <cellStyle name="Normal 2 56 3 8 2" xfId="12363" xr:uid="{00000000-0005-0000-0000-00003A300000}"/>
    <cellStyle name="Normal 2 56 3 8 3" xfId="12364" xr:uid="{00000000-0005-0000-0000-00003B300000}"/>
    <cellStyle name="Normal 2 56 3 9" xfId="12365" xr:uid="{00000000-0005-0000-0000-00003C300000}"/>
    <cellStyle name="Normal 2 56 3 9 2" xfId="12366" xr:uid="{00000000-0005-0000-0000-00003D300000}"/>
    <cellStyle name="Normal 2 56 3 9 3" xfId="12367" xr:uid="{00000000-0005-0000-0000-00003E300000}"/>
    <cellStyle name="Normal 2 56 4" xfId="12368" xr:uid="{00000000-0005-0000-0000-00003F300000}"/>
    <cellStyle name="Normal 2 56 4 10" xfId="12369" xr:uid="{00000000-0005-0000-0000-000040300000}"/>
    <cellStyle name="Normal 2 56 4 10 2" xfId="12370" xr:uid="{00000000-0005-0000-0000-000041300000}"/>
    <cellStyle name="Normal 2 56 4 10 3" xfId="12371" xr:uid="{00000000-0005-0000-0000-000042300000}"/>
    <cellStyle name="Normal 2 56 4 11" xfId="12372" xr:uid="{00000000-0005-0000-0000-000043300000}"/>
    <cellStyle name="Normal 2 56 4 11 2" xfId="12373" xr:uid="{00000000-0005-0000-0000-000044300000}"/>
    <cellStyle name="Normal 2 56 4 11 3" xfId="12374" xr:uid="{00000000-0005-0000-0000-000045300000}"/>
    <cellStyle name="Normal 2 56 4 12" xfId="12375" xr:uid="{00000000-0005-0000-0000-000046300000}"/>
    <cellStyle name="Normal 2 56 4 12 2" xfId="12376" xr:uid="{00000000-0005-0000-0000-000047300000}"/>
    <cellStyle name="Normal 2 56 4 12 3" xfId="12377" xr:uid="{00000000-0005-0000-0000-000048300000}"/>
    <cellStyle name="Normal 2 56 4 13" xfId="12378" xr:uid="{00000000-0005-0000-0000-000049300000}"/>
    <cellStyle name="Normal 2 56 4 13 2" xfId="12379" xr:uid="{00000000-0005-0000-0000-00004A300000}"/>
    <cellStyle name="Normal 2 56 4 13 3" xfId="12380" xr:uid="{00000000-0005-0000-0000-00004B300000}"/>
    <cellStyle name="Normal 2 56 4 14" xfId="12381" xr:uid="{00000000-0005-0000-0000-00004C300000}"/>
    <cellStyle name="Normal 2 56 4 14 2" xfId="12382" xr:uid="{00000000-0005-0000-0000-00004D300000}"/>
    <cellStyle name="Normal 2 56 4 14 3" xfId="12383" xr:uid="{00000000-0005-0000-0000-00004E300000}"/>
    <cellStyle name="Normal 2 56 4 15" xfId="12384" xr:uid="{00000000-0005-0000-0000-00004F300000}"/>
    <cellStyle name="Normal 2 56 4 15 2" xfId="12385" xr:uid="{00000000-0005-0000-0000-000050300000}"/>
    <cellStyle name="Normal 2 56 4 15 3" xfId="12386" xr:uid="{00000000-0005-0000-0000-000051300000}"/>
    <cellStyle name="Normal 2 56 4 16" xfId="12387" xr:uid="{00000000-0005-0000-0000-000052300000}"/>
    <cellStyle name="Normal 2 56 4 17" xfId="12388" xr:uid="{00000000-0005-0000-0000-000053300000}"/>
    <cellStyle name="Normal 2 56 4 2" xfId="12389" xr:uid="{00000000-0005-0000-0000-000054300000}"/>
    <cellStyle name="Normal 2 56 4 2 10" xfId="12390" xr:uid="{00000000-0005-0000-0000-000055300000}"/>
    <cellStyle name="Normal 2 56 4 2 10 2" xfId="12391" xr:uid="{00000000-0005-0000-0000-000056300000}"/>
    <cellStyle name="Normal 2 56 4 2 10 3" xfId="12392" xr:uid="{00000000-0005-0000-0000-000057300000}"/>
    <cellStyle name="Normal 2 56 4 2 11" xfId="12393" xr:uid="{00000000-0005-0000-0000-000058300000}"/>
    <cellStyle name="Normal 2 56 4 2 11 2" xfId="12394" xr:uid="{00000000-0005-0000-0000-000059300000}"/>
    <cellStyle name="Normal 2 56 4 2 11 3" xfId="12395" xr:uid="{00000000-0005-0000-0000-00005A300000}"/>
    <cellStyle name="Normal 2 56 4 2 12" xfId="12396" xr:uid="{00000000-0005-0000-0000-00005B300000}"/>
    <cellStyle name="Normal 2 56 4 2 12 2" xfId="12397" xr:uid="{00000000-0005-0000-0000-00005C300000}"/>
    <cellStyle name="Normal 2 56 4 2 12 3" xfId="12398" xr:uid="{00000000-0005-0000-0000-00005D300000}"/>
    <cellStyle name="Normal 2 56 4 2 13" xfId="12399" xr:uid="{00000000-0005-0000-0000-00005E300000}"/>
    <cellStyle name="Normal 2 56 4 2 13 2" xfId="12400" xr:uid="{00000000-0005-0000-0000-00005F300000}"/>
    <cellStyle name="Normal 2 56 4 2 13 3" xfId="12401" xr:uid="{00000000-0005-0000-0000-000060300000}"/>
    <cellStyle name="Normal 2 56 4 2 14" xfId="12402" xr:uid="{00000000-0005-0000-0000-000061300000}"/>
    <cellStyle name="Normal 2 56 4 2 14 2" xfId="12403" xr:uid="{00000000-0005-0000-0000-000062300000}"/>
    <cellStyle name="Normal 2 56 4 2 14 3" xfId="12404" xr:uid="{00000000-0005-0000-0000-000063300000}"/>
    <cellStyle name="Normal 2 56 4 2 15" xfId="12405" xr:uid="{00000000-0005-0000-0000-000064300000}"/>
    <cellStyle name="Normal 2 56 4 2 16" xfId="12406" xr:uid="{00000000-0005-0000-0000-000065300000}"/>
    <cellStyle name="Normal 2 56 4 2 2" xfId="12407" xr:uid="{00000000-0005-0000-0000-000066300000}"/>
    <cellStyle name="Normal 2 56 4 2 2 2" xfId="12408" xr:uid="{00000000-0005-0000-0000-000067300000}"/>
    <cellStyle name="Normal 2 56 4 2 2 3" xfId="12409" xr:uid="{00000000-0005-0000-0000-000068300000}"/>
    <cellStyle name="Normal 2 56 4 2 3" xfId="12410" xr:uid="{00000000-0005-0000-0000-000069300000}"/>
    <cellStyle name="Normal 2 56 4 2 3 2" xfId="12411" xr:uid="{00000000-0005-0000-0000-00006A300000}"/>
    <cellStyle name="Normal 2 56 4 2 3 3" xfId="12412" xr:uid="{00000000-0005-0000-0000-00006B300000}"/>
    <cellStyle name="Normal 2 56 4 2 4" xfId="12413" xr:uid="{00000000-0005-0000-0000-00006C300000}"/>
    <cellStyle name="Normal 2 56 4 2 4 2" xfId="12414" xr:uid="{00000000-0005-0000-0000-00006D300000}"/>
    <cellStyle name="Normal 2 56 4 2 4 3" xfId="12415" xr:uid="{00000000-0005-0000-0000-00006E300000}"/>
    <cellStyle name="Normal 2 56 4 2 5" xfId="12416" xr:uid="{00000000-0005-0000-0000-00006F300000}"/>
    <cellStyle name="Normal 2 56 4 2 5 2" xfId="12417" xr:uid="{00000000-0005-0000-0000-000070300000}"/>
    <cellStyle name="Normal 2 56 4 2 5 3" xfId="12418" xr:uid="{00000000-0005-0000-0000-000071300000}"/>
    <cellStyle name="Normal 2 56 4 2 6" xfId="12419" xr:uid="{00000000-0005-0000-0000-000072300000}"/>
    <cellStyle name="Normal 2 56 4 2 6 2" xfId="12420" xr:uid="{00000000-0005-0000-0000-000073300000}"/>
    <cellStyle name="Normal 2 56 4 2 6 3" xfId="12421" xr:uid="{00000000-0005-0000-0000-000074300000}"/>
    <cellStyle name="Normal 2 56 4 2 7" xfId="12422" xr:uid="{00000000-0005-0000-0000-000075300000}"/>
    <cellStyle name="Normal 2 56 4 2 7 2" xfId="12423" xr:uid="{00000000-0005-0000-0000-000076300000}"/>
    <cellStyle name="Normal 2 56 4 2 7 3" xfId="12424" xr:uid="{00000000-0005-0000-0000-000077300000}"/>
    <cellStyle name="Normal 2 56 4 2 8" xfId="12425" xr:uid="{00000000-0005-0000-0000-000078300000}"/>
    <cellStyle name="Normal 2 56 4 2 8 2" xfId="12426" xr:uid="{00000000-0005-0000-0000-000079300000}"/>
    <cellStyle name="Normal 2 56 4 2 8 3" xfId="12427" xr:uid="{00000000-0005-0000-0000-00007A300000}"/>
    <cellStyle name="Normal 2 56 4 2 9" xfId="12428" xr:uid="{00000000-0005-0000-0000-00007B300000}"/>
    <cellStyle name="Normal 2 56 4 2 9 2" xfId="12429" xr:uid="{00000000-0005-0000-0000-00007C300000}"/>
    <cellStyle name="Normal 2 56 4 2 9 3" xfId="12430" xr:uid="{00000000-0005-0000-0000-00007D300000}"/>
    <cellStyle name="Normal 2 56 4 3" xfId="12431" xr:uid="{00000000-0005-0000-0000-00007E300000}"/>
    <cellStyle name="Normal 2 56 4 3 2" xfId="12432" xr:uid="{00000000-0005-0000-0000-00007F300000}"/>
    <cellStyle name="Normal 2 56 4 3 3" xfId="12433" xr:uid="{00000000-0005-0000-0000-000080300000}"/>
    <cellStyle name="Normal 2 56 4 4" xfId="12434" xr:uid="{00000000-0005-0000-0000-000081300000}"/>
    <cellStyle name="Normal 2 56 4 4 2" xfId="12435" xr:uid="{00000000-0005-0000-0000-000082300000}"/>
    <cellStyle name="Normal 2 56 4 4 3" xfId="12436" xr:uid="{00000000-0005-0000-0000-000083300000}"/>
    <cellStyle name="Normal 2 56 4 5" xfId="12437" xr:uid="{00000000-0005-0000-0000-000084300000}"/>
    <cellStyle name="Normal 2 56 4 5 2" xfId="12438" xr:uid="{00000000-0005-0000-0000-000085300000}"/>
    <cellStyle name="Normal 2 56 4 5 3" xfId="12439" xr:uid="{00000000-0005-0000-0000-000086300000}"/>
    <cellStyle name="Normal 2 56 4 6" xfId="12440" xr:uid="{00000000-0005-0000-0000-000087300000}"/>
    <cellStyle name="Normal 2 56 4 6 2" xfId="12441" xr:uid="{00000000-0005-0000-0000-000088300000}"/>
    <cellStyle name="Normal 2 56 4 6 3" xfId="12442" xr:uid="{00000000-0005-0000-0000-000089300000}"/>
    <cellStyle name="Normal 2 56 4 7" xfId="12443" xr:uid="{00000000-0005-0000-0000-00008A300000}"/>
    <cellStyle name="Normal 2 56 4 7 2" xfId="12444" xr:uid="{00000000-0005-0000-0000-00008B300000}"/>
    <cellStyle name="Normal 2 56 4 7 3" xfId="12445" xr:uid="{00000000-0005-0000-0000-00008C300000}"/>
    <cellStyle name="Normal 2 56 4 8" xfId="12446" xr:uid="{00000000-0005-0000-0000-00008D300000}"/>
    <cellStyle name="Normal 2 56 4 8 2" xfId="12447" xr:uid="{00000000-0005-0000-0000-00008E300000}"/>
    <cellStyle name="Normal 2 56 4 8 3" xfId="12448" xr:uid="{00000000-0005-0000-0000-00008F300000}"/>
    <cellStyle name="Normal 2 56 4 9" xfId="12449" xr:uid="{00000000-0005-0000-0000-000090300000}"/>
    <cellStyle name="Normal 2 56 4 9 2" xfId="12450" xr:uid="{00000000-0005-0000-0000-000091300000}"/>
    <cellStyle name="Normal 2 56 4 9 3" xfId="12451" xr:uid="{00000000-0005-0000-0000-000092300000}"/>
    <cellStyle name="Normal 2 56 5" xfId="12452" xr:uid="{00000000-0005-0000-0000-000093300000}"/>
    <cellStyle name="Normal 2 56 5 10" xfId="12453" xr:uid="{00000000-0005-0000-0000-000094300000}"/>
    <cellStyle name="Normal 2 56 5 10 2" xfId="12454" xr:uid="{00000000-0005-0000-0000-000095300000}"/>
    <cellStyle name="Normal 2 56 5 10 3" xfId="12455" xr:uid="{00000000-0005-0000-0000-000096300000}"/>
    <cellStyle name="Normal 2 56 5 11" xfId="12456" xr:uid="{00000000-0005-0000-0000-000097300000}"/>
    <cellStyle name="Normal 2 56 5 11 2" xfId="12457" xr:uid="{00000000-0005-0000-0000-000098300000}"/>
    <cellStyle name="Normal 2 56 5 11 3" xfId="12458" xr:uid="{00000000-0005-0000-0000-000099300000}"/>
    <cellStyle name="Normal 2 56 5 12" xfId="12459" xr:uid="{00000000-0005-0000-0000-00009A300000}"/>
    <cellStyle name="Normal 2 56 5 12 2" xfId="12460" xr:uid="{00000000-0005-0000-0000-00009B300000}"/>
    <cellStyle name="Normal 2 56 5 12 3" xfId="12461" xr:uid="{00000000-0005-0000-0000-00009C300000}"/>
    <cellStyle name="Normal 2 56 5 13" xfId="12462" xr:uid="{00000000-0005-0000-0000-00009D300000}"/>
    <cellStyle name="Normal 2 56 5 13 2" xfId="12463" xr:uid="{00000000-0005-0000-0000-00009E300000}"/>
    <cellStyle name="Normal 2 56 5 13 3" xfId="12464" xr:uid="{00000000-0005-0000-0000-00009F300000}"/>
    <cellStyle name="Normal 2 56 5 14" xfId="12465" xr:uid="{00000000-0005-0000-0000-0000A0300000}"/>
    <cellStyle name="Normal 2 56 5 14 2" xfId="12466" xr:uid="{00000000-0005-0000-0000-0000A1300000}"/>
    <cellStyle name="Normal 2 56 5 14 3" xfId="12467" xr:uid="{00000000-0005-0000-0000-0000A2300000}"/>
    <cellStyle name="Normal 2 56 5 15" xfId="12468" xr:uid="{00000000-0005-0000-0000-0000A3300000}"/>
    <cellStyle name="Normal 2 56 5 16" xfId="12469" xr:uid="{00000000-0005-0000-0000-0000A4300000}"/>
    <cellStyle name="Normal 2 56 5 2" xfId="12470" xr:uid="{00000000-0005-0000-0000-0000A5300000}"/>
    <cellStyle name="Normal 2 56 5 2 2" xfId="12471" xr:uid="{00000000-0005-0000-0000-0000A6300000}"/>
    <cellStyle name="Normal 2 56 5 2 3" xfId="12472" xr:uid="{00000000-0005-0000-0000-0000A7300000}"/>
    <cellStyle name="Normal 2 56 5 3" xfId="12473" xr:uid="{00000000-0005-0000-0000-0000A8300000}"/>
    <cellStyle name="Normal 2 56 5 3 2" xfId="12474" xr:uid="{00000000-0005-0000-0000-0000A9300000}"/>
    <cellStyle name="Normal 2 56 5 3 3" xfId="12475" xr:uid="{00000000-0005-0000-0000-0000AA300000}"/>
    <cellStyle name="Normal 2 56 5 4" xfId="12476" xr:uid="{00000000-0005-0000-0000-0000AB300000}"/>
    <cellStyle name="Normal 2 56 5 4 2" xfId="12477" xr:uid="{00000000-0005-0000-0000-0000AC300000}"/>
    <cellStyle name="Normal 2 56 5 4 3" xfId="12478" xr:uid="{00000000-0005-0000-0000-0000AD300000}"/>
    <cellStyle name="Normal 2 56 5 5" xfId="12479" xr:uid="{00000000-0005-0000-0000-0000AE300000}"/>
    <cellStyle name="Normal 2 56 5 5 2" xfId="12480" xr:uid="{00000000-0005-0000-0000-0000AF300000}"/>
    <cellStyle name="Normal 2 56 5 5 3" xfId="12481" xr:uid="{00000000-0005-0000-0000-0000B0300000}"/>
    <cellStyle name="Normal 2 56 5 6" xfId="12482" xr:uid="{00000000-0005-0000-0000-0000B1300000}"/>
    <cellStyle name="Normal 2 56 5 6 2" xfId="12483" xr:uid="{00000000-0005-0000-0000-0000B2300000}"/>
    <cellStyle name="Normal 2 56 5 6 3" xfId="12484" xr:uid="{00000000-0005-0000-0000-0000B3300000}"/>
    <cellStyle name="Normal 2 56 5 7" xfId="12485" xr:uid="{00000000-0005-0000-0000-0000B4300000}"/>
    <cellStyle name="Normal 2 56 5 7 2" xfId="12486" xr:uid="{00000000-0005-0000-0000-0000B5300000}"/>
    <cellStyle name="Normal 2 56 5 7 3" xfId="12487" xr:uid="{00000000-0005-0000-0000-0000B6300000}"/>
    <cellStyle name="Normal 2 56 5 8" xfId="12488" xr:uid="{00000000-0005-0000-0000-0000B7300000}"/>
    <cellStyle name="Normal 2 56 5 8 2" xfId="12489" xr:uid="{00000000-0005-0000-0000-0000B8300000}"/>
    <cellStyle name="Normal 2 56 5 8 3" xfId="12490" xr:uid="{00000000-0005-0000-0000-0000B9300000}"/>
    <cellStyle name="Normal 2 56 5 9" xfId="12491" xr:uid="{00000000-0005-0000-0000-0000BA300000}"/>
    <cellStyle name="Normal 2 56 5 9 2" xfId="12492" xr:uid="{00000000-0005-0000-0000-0000BB300000}"/>
    <cellStyle name="Normal 2 56 5 9 3" xfId="12493" xr:uid="{00000000-0005-0000-0000-0000BC300000}"/>
    <cellStyle name="Normal 2 56 6" xfId="12494" xr:uid="{00000000-0005-0000-0000-0000BD300000}"/>
    <cellStyle name="Normal 2 56 6 10" xfId="12495" xr:uid="{00000000-0005-0000-0000-0000BE300000}"/>
    <cellStyle name="Normal 2 56 6 10 2" xfId="12496" xr:uid="{00000000-0005-0000-0000-0000BF300000}"/>
    <cellStyle name="Normal 2 56 6 10 3" xfId="12497" xr:uid="{00000000-0005-0000-0000-0000C0300000}"/>
    <cellStyle name="Normal 2 56 6 11" xfId="12498" xr:uid="{00000000-0005-0000-0000-0000C1300000}"/>
    <cellStyle name="Normal 2 56 6 11 2" xfId="12499" xr:uid="{00000000-0005-0000-0000-0000C2300000}"/>
    <cellStyle name="Normal 2 56 6 11 3" xfId="12500" xr:uid="{00000000-0005-0000-0000-0000C3300000}"/>
    <cellStyle name="Normal 2 56 6 12" xfId="12501" xr:uid="{00000000-0005-0000-0000-0000C4300000}"/>
    <cellStyle name="Normal 2 56 6 12 2" xfId="12502" xr:uid="{00000000-0005-0000-0000-0000C5300000}"/>
    <cellStyle name="Normal 2 56 6 12 3" xfId="12503" xr:uid="{00000000-0005-0000-0000-0000C6300000}"/>
    <cellStyle name="Normal 2 56 6 13" xfId="12504" xr:uid="{00000000-0005-0000-0000-0000C7300000}"/>
    <cellStyle name="Normal 2 56 6 13 2" xfId="12505" xr:uid="{00000000-0005-0000-0000-0000C8300000}"/>
    <cellStyle name="Normal 2 56 6 13 3" xfId="12506" xr:uid="{00000000-0005-0000-0000-0000C9300000}"/>
    <cellStyle name="Normal 2 56 6 14" xfId="12507" xr:uid="{00000000-0005-0000-0000-0000CA300000}"/>
    <cellStyle name="Normal 2 56 6 14 2" xfId="12508" xr:uid="{00000000-0005-0000-0000-0000CB300000}"/>
    <cellStyle name="Normal 2 56 6 14 3" xfId="12509" xr:uid="{00000000-0005-0000-0000-0000CC300000}"/>
    <cellStyle name="Normal 2 56 6 15" xfId="12510" xr:uid="{00000000-0005-0000-0000-0000CD300000}"/>
    <cellStyle name="Normal 2 56 6 16" xfId="12511" xr:uid="{00000000-0005-0000-0000-0000CE300000}"/>
    <cellStyle name="Normal 2 56 6 2" xfId="12512" xr:uid="{00000000-0005-0000-0000-0000CF300000}"/>
    <cellStyle name="Normal 2 56 6 2 2" xfId="12513" xr:uid="{00000000-0005-0000-0000-0000D0300000}"/>
    <cellStyle name="Normal 2 56 6 2 3" xfId="12514" xr:uid="{00000000-0005-0000-0000-0000D1300000}"/>
    <cellStyle name="Normal 2 56 6 3" xfId="12515" xr:uid="{00000000-0005-0000-0000-0000D2300000}"/>
    <cellStyle name="Normal 2 56 6 3 2" xfId="12516" xr:uid="{00000000-0005-0000-0000-0000D3300000}"/>
    <cellStyle name="Normal 2 56 6 3 3" xfId="12517" xr:uid="{00000000-0005-0000-0000-0000D4300000}"/>
    <cellStyle name="Normal 2 56 6 4" xfId="12518" xr:uid="{00000000-0005-0000-0000-0000D5300000}"/>
    <cellStyle name="Normal 2 56 6 4 2" xfId="12519" xr:uid="{00000000-0005-0000-0000-0000D6300000}"/>
    <cellStyle name="Normal 2 56 6 4 3" xfId="12520" xr:uid="{00000000-0005-0000-0000-0000D7300000}"/>
    <cellStyle name="Normal 2 56 6 5" xfId="12521" xr:uid="{00000000-0005-0000-0000-0000D8300000}"/>
    <cellStyle name="Normal 2 56 6 5 2" xfId="12522" xr:uid="{00000000-0005-0000-0000-0000D9300000}"/>
    <cellStyle name="Normal 2 56 6 5 3" xfId="12523" xr:uid="{00000000-0005-0000-0000-0000DA300000}"/>
    <cellStyle name="Normal 2 56 6 6" xfId="12524" xr:uid="{00000000-0005-0000-0000-0000DB300000}"/>
    <cellStyle name="Normal 2 56 6 6 2" xfId="12525" xr:uid="{00000000-0005-0000-0000-0000DC300000}"/>
    <cellStyle name="Normal 2 56 6 6 3" xfId="12526" xr:uid="{00000000-0005-0000-0000-0000DD300000}"/>
    <cellStyle name="Normal 2 56 6 7" xfId="12527" xr:uid="{00000000-0005-0000-0000-0000DE300000}"/>
    <cellStyle name="Normal 2 56 6 7 2" xfId="12528" xr:uid="{00000000-0005-0000-0000-0000DF300000}"/>
    <cellStyle name="Normal 2 56 6 7 3" xfId="12529" xr:uid="{00000000-0005-0000-0000-0000E0300000}"/>
    <cellStyle name="Normal 2 56 6 8" xfId="12530" xr:uid="{00000000-0005-0000-0000-0000E1300000}"/>
    <cellStyle name="Normal 2 56 6 8 2" xfId="12531" xr:uid="{00000000-0005-0000-0000-0000E2300000}"/>
    <cellStyle name="Normal 2 56 6 8 3" xfId="12532" xr:uid="{00000000-0005-0000-0000-0000E3300000}"/>
    <cellStyle name="Normal 2 56 6 9" xfId="12533" xr:uid="{00000000-0005-0000-0000-0000E4300000}"/>
    <cellStyle name="Normal 2 56 6 9 2" xfId="12534" xr:uid="{00000000-0005-0000-0000-0000E5300000}"/>
    <cellStyle name="Normal 2 56 6 9 3" xfId="12535" xr:uid="{00000000-0005-0000-0000-0000E6300000}"/>
    <cellStyle name="Normal 2 56 7" xfId="12536" xr:uid="{00000000-0005-0000-0000-0000E7300000}"/>
    <cellStyle name="Normal 2 56 7 10" xfId="12537" xr:uid="{00000000-0005-0000-0000-0000E8300000}"/>
    <cellStyle name="Normal 2 56 7 10 2" xfId="12538" xr:uid="{00000000-0005-0000-0000-0000E9300000}"/>
    <cellStyle name="Normal 2 56 7 10 3" xfId="12539" xr:uid="{00000000-0005-0000-0000-0000EA300000}"/>
    <cellStyle name="Normal 2 56 7 11" xfId="12540" xr:uid="{00000000-0005-0000-0000-0000EB300000}"/>
    <cellStyle name="Normal 2 56 7 11 2" xfId="12541" xr:uid="{00000000-0005-0000-0000-0000EC300000}"/>
    <cellStyle name="Normal 2 56 7 11 3" xfId="12542" xr:uid="{00000000-0005-0000-0000-0000ED300000}"/>
    <cellStyle name="Normal 2 56 7 12" xfId="12543" xr:uid="{00000000-0005-0000-0000-0000EE300000}"/>
    <cellStyle name="Normal 2 56 7 12 2" xfId="12544" xr:uid="{00000000-0005-0000-0000-0000EF300000}"/>
    <cellStyle name="Normal 2 56 7 12 3" xfId="12545" xr:uid="{00000000-0005-0000-0000-0000F0300000}"/>
    <cellStyle name="Normal 2 56 7 13" xfId="12546" xr:uid="{00000000-0005-0000-0000-0000F1300000}"/>
    <cellStyle name="Normal 2 56 7 13 2" xfId="12547" xr:uid="{00000000-0005-0000-0000-0000F2300000}"/>
    <cellStyle name="Normal 2 56 7 13 3" xfId="12548" xr:uid="{00000000-0005-0000-0000-0000F3300000}"/>
    <cellStyle name="Normal 2 56 7 14" xfId="12549" xr:uid="{00000000-0005-0000-0000-0000F4300000}"/>
    <cellStyle name="Normal 2 56 7 14 2" xfId="12550" xr:uid="{00000000-0005-0000-0000-0000F5300000}"/>
    <cellStyle name="Normal 2 56 7 14 3" xfId="12551" xr:uid="{00000000-0005-0000-0000-0000F6300000}"/>
    <cellStyle name="Normal 2 56 7 15" xfId="12552" xr:uid="{00000000-0005-0000-0000-0000F7300000}"/>
    <cellStyle name="Normal 2 56 7 16" xfId="12553" xr:uid="{00000000-0005-0000-0000-0000F8300000}"/>
    <cellStyle name="Normal 2 56 7 2" xfId="12554" xr:uid="{00000000-0005-0000-0000-0000F9300000}"/>
    <cellStyle name="Normal 2 56 7 2 2" xfId="12555" xr:uid="{00000000-0005-0000-0000-0000FA300000}"/>
    <cellStyle name="Normal 2 56 7 2 3" xfId="12556" xr:uid="{00000000-0005-0000-0000-0000FB300000}"/>
    <cellStyle name="Normal 2 56 7 3" xfId="12557" xr:uid="{00000000-0005-0000-0000-0000FC300000}"/>
    <cellStyle name="Normal 2 56 7 3 2" xfId="12558" xr:uid="{00000000-0005-0000-0000-0000FD300000}"/>
    <cellStyle name="Normal 2 56 7 3 3" xfId="12559" xr:uid="{00000000-0005-0000-0000-0000FE300000}"/>
    <cellStyle name="Normal 2 56 7 4" xfId="12560" xr:uid="{00000000-0005-0000-0000-0000FF300000}"/>
    <cellStyle name="Normal 2 56 7 4 2" xfId="12561" xr:uid="{00000000-0005-0000-0000-000000310000}"/>
    <cellStyle name="Normal 2 56 7 4 3" xfId="12562" xr:uid="{00000000-0005-0000-0000-000001310000}"/>
    <cellStyle name="Normal 2 56 7 5" xfId="12563" xr:uid="{00000000-0005-0000-0000-000002310000}"/>
    <cellStyle name="Normal 2 56 7 5 2" xfId="12564" xr:uid="{00000000-0005-0000-0000-000003310000}"/>
    <cellStyle name="Normal 2 56 7 5 3" xfId="12565" xr:uid="{00000000-0005-0000-0000-000004310000}"/>
    <cellStyle name="Normal 2 56 7 6" xfId="12566" xr:uid="{00000000-0005-0000-0000-000005310000}"/>
    <cellStyle name="Normal 2 56 7 6 2" xfId="12567" xr:uid="{00000000-0005-0000-0000-000006310000}"/>
    <cellStyle name="Normal 2 56 7 6 3" xfId="12568" xr:uid="{00000000-0005-0000-0000-000007310000}"/>
    <cellStyle name="Normal 2 56 7 7" xfId="12569" xr:uid="{00000000-0005-0000-0000-000008310000}"/>
    <cellStyle name="Normal 2 56 7 7 2" xfId="12570" xr:uid="{00000000-0005-0000-0000-000009310000}"/>
    <cellStyle name="Normal 2 56 7 7 3" xfId="12571" xr:uid="{00000000-0005-0000-0000-00000A310000}"/>
    <cellStyle name="Normal 2 56 7 8" xfId="12572" xr:uid="{00000000-0005-0000-0000-00000B310000}"/>
    <cellStyle name="Normal 2 56 7 8 2" xfId="12573" xr:uid="{00000000-0005-0000-0000-00000C310000}"/>
    <cellStyle name="Normal 2 56 7 8 3" xfId="12574" xr:uid="{00000000-0005-0000-0000-00000D310000}"/>
    <cellStyle name="Normal 2 56 7 9" xfId="12575" xr:uid="{00000000-0005-0000-0000-00000E310000}"/>
    <cellStyle name="Normal 2 56 7 9 2" xfId="12576" xr:uid="{00000000-0005-0000-0000-00000F310000}"/>
    <cellStyle name="Normal 2 56 7 9 3" xfId="12577" xr:uid="{00000000-0005-0000-0000-000010310000}"/>
    <cellStyle name="Normal 2 56 8" xfId="12578" xr:uid="{00000000-0005-0000-0000-000011310000}"/>
    <cellStyle name="Normal 2 56 8 10" xfId="12579" xr:uid="{00000000-0005-0000-0000-000012310000}"/>
    <cellStyle name="Normal 2 56 8 10 2" xfId="12580" xr:uid="{00000000-0005-0000-0000-000013310000}"/>
    <cellStyle name="Normal 2 56 8 10 3" xfId="12581" xr:uid="{00000000-0005-0000-0000-000014310000}"/>
    <cellStyle name="Normal 2 56 8 11" xfId="12582" xr:uid="{00000000-0005-0000-0000-000015310000}"/>
    <cellStyle name="Normal 2 56 8 11 2" xfId="12583" xr:uid="{00000000-0005-0000-0000-000016310000}"/>
    <cellStyle name="Normal 2 56 8 11 3" xfId="12584" xr:uid="{00000000-0005-0000-0000-000017310000}"/>
    <cellStyle name="Normal 2 56 8 12" xfId="12585" xr:uid="{00000000-0005-0000-0000-000018310000}"/>
    <cellStyle name="Normal 2 56 8 12 2" xfId="12586" xr:uid="{00000000-0005-0000-0000-000019310000}"/>
    <cellStyle name="Normal 2 56 8 12 3" xfId="12587" xr:uid="{00000000-0005-0000-0000-00001A310000}"/>
    <cellStyle name="Normal 2 56 8 13" xfId="12588" xr:uid="{00000000-0005-0000-0000-00001B310000}"/>
    <cellStyle name="Normal 2 56 8 13 2" xfId="12589" xr:uid="{00000000-0005-0000-0000-00001C310000}"/>
    <cellStyle name="Normal 2 56 8 13 3" xfId="12590" xr:uid="{00000000-0005-0000-0000-00001D310000}"/>
    <cellStyle name="Normal 2 56 8 14" xfId="12591" xr:uid="{00000000-0005-0000-0000-00001E310000}"/>
    <cellStyle name="Normal 2 56 8 14 2" xfId="12592" xr:uid="{00000000-0005-0000-0000-00001F310000}"/>
    <cellStyle name="Normal 2 56 8 14 3" xfId="12593" xr:uid="{00000000-0005-0000-0000-000020310000}"/>
    <cellStyle name="Normal 2 56 8 15" xfId="12594" xr:uid="{00000000-0005-0000-0000-000021310000}"/>
    <cellStyle name="Normal 2 56 8 16" xfId="12595" xr:uid="{00000000-0005-0000-0000-000022310000}"/>
    <cellStyle name="Normal 2 56 8 2" xfId="12596" xr:uid="{00000000-0005-0000-0000-000023310000}"/>
    <cellStyle name="Normal 2 56 8 2 2" xfId="12597" xr:uid="{00000000-0005-0000-0000-000024310000}"/>
    <cellStyle name="Normal 2 56 8 2 3" xfId="12598" xr:uid="{00000000-0005-0000-0000-000025310000}"/>
    <cellStyle name="Normal 2 56 8 3" xfId="12599" xr:uid="{00000000-0005-0000-0000-000026310000}"/>
    <cellStyle name="Normal 2 56 8 3 2" xfId="12600" xr:uid="{00000000-0005-0000-0000-000027310000}"/>
    <cellStyle name="Normal 2 56 8 3 3" xfId="12601" xr:uid="{00000000-0005-0000-0000-000028310000}"/>
    <cellStyle name="Normal 2 56 8 4" xfId="12602" xr:uid="{00000000-0005-0000-0000-000029310000}"/>
    <cellStyle name="Normal 2 56 8 4 2" xfId="12603" xr:uid="{00000000-0005-0000-0000-00002A310000}"/>
    <cellStyle name="Normal 2 56 8 4 3" xfId="12604" xr:uid="{00000000-0005-0000-0000-00002B310000}"/>
    <cellStyle name="Normal 2 56 8 5" xfId="12605" xr:uid="{00000000-0005-0000-0000-00002C310000}"/>
    <cellStyle name="Normal 2 56 8 5 2" xfId="12606" xr:uid="{00000000-0005-0000-0000-00002D310000}"/>
    <cellStyle name="Normal 2 56 8 5 3" xfId="12607" xr:uid="{00000000-0005-0000-0000-00002E310000}"/>
    <cellStyle name="Normal 2 56 8 6" xfId="12608" xr:uid="{00000000-0005-0000-0000-00002F310000}"/>
    <cellStyle name="Normal 2 56 8 6 2" xfId="12609" xr:uid="{00000000-0005-0000-0000-000030310000}"/>
    <cellStyle name="Normal 2 56 8 6 3" xfId="12610" xr:uid="{00000000-0005-0000-0000-000031310000}"/>
    <cellStyle name="Normal 2 56 8 7" xfId="12611" xr:uid="{00000000-0005-0000-0000-000032310000}"/>
    <cellStyle name="Normal 2 56 8 7 2" xfId="12612" xr:uid="{00000000-0005-0000-0000-000033310000}"/>
    <cellStyle name="Normal 2 56 8 7 3" xfId="12613" xr:uid="{00000000-0005-0000-0000-000034310000}"/>
    <cellStyle name="Normal 2 56 8 8" xfId="12614" xr:uid="{00000000-0005-0000-0000-000035310000}"/>
    <cellStyle name="Normal 2 56 8 8 2" xfId="12615" xr:uid="{00000000-0005-0000-0000-000036310000}"/>
    <cellStyle name="Normal 2 56 8 8 3" xfId="12616" xr:uid="{00000000-0005-0000-0000-000037310000}"/>
    <cellStyle name="Normal 2 56 8 9" xfId="12617" xr:uid="{00000000-0005-0000-0000-000038310000}"/>
    <cellStyle name="Normal 2 56 8 9 2" xfId="12618" xr:uid="{00000000-0005-0000-0000-000039310000}"/>
    <cellStyle name="Normal 2 56 8 9 3" xfId="12619" xr:uid="{00000000-0005-0000-0000-00003A310000}"/>
    <cellStyle name="Normal 2 56 9" xfId="12620" xr:uid="{00000000-0005-0000-0000-00003B310000}"/>
    <cellStyle name="Normal 2 56 9 10" xfId="12621" xr:uid="{00000000-0005-0000-0000-00003C310000}"/>
    <cellStyle name="Normal 2 56 9 10 2" xfId="12622" xr:uid="{00000000-0005-0000-0000-00003D310000}"/>
    <cellStyle name="Normal 2 56 9 10 3" xfId="12623" xr:uid="{00000000-0005-0000-0000-00003E310000}"/>
    <cellStyle name="Normal 2 56 9 11" xfId="12624" xr:uid="{00000000-0005-0000-0000-00003F310000}"/>
    <cellStyle name="Normal 2 56 9 11 2" xfId="12625" xr:uid="{00000000-0005-0000-0000-000040310000}"/>
    <cellStyle name="Normal 2 56 9 11 3" xfId="12626" xr:uid="{00000000-0005-0000-0000-000041310000}"/>
    <cellStyle name="Normal 2 56 9 12" xfId="12627" xr:uid="{00000000-0005-0000-0000-000042310000}"/>
    <cellStyle name="Normal 2 56 9 12 2" xfId="12628" xr:uid="{00000000-0005-0000-0000-000043310000}"/>
    <cellStyle name="Normal 2 56 9 12 3" xfId="12629" xr:uid="{00000000-0005-0000-0000-000044310000}"/>
    <cellStyle name="Normal 2 56 9 13" xfId="12630" xr:uid="{00000000-0005-0000-0000-000045310000}"/>
    <cellStyle name="Normal 2 56 9 13 2" xfId="12631" xr:uid="{00000000-0005-0000-0000-000046310000}"/>
    <cellStyle name="Normal 2 56 9 13 3" xfId="12632" xr:uid="{00000000-0005-0000-0000-000047310000}"/>
    <cellStyle name="Normal 2 56 9 14" xfId="12633" xr:uid="{00000000-0005-0000-0000-000048310000}"/>
    <cellStyle name="Normal 2 56 9 14 2" xfId="12634" xr:uid="{00000000-0005-0000-0000-000049310000}"/>
    <cellStyle name="Normal 2 56 9 14 3" xfId="12635" xr:uid="{00000000-0005-0000-0000-00004A310000}"/>
    <cellStyle name="Normal 2 56 9 15" xfId="12636" xr:uid="{00000000-0005-0000-0000-00004B310000}"/>
    <cellStyle name="Normal 2 56 9 16" xfId="12637" xr:uid="{00000000-0005-0000-0000-00004C310000}"/>
    <cellStyle name="Normal 2 56 9 2" xfId="12638" xr:uid="{00000000-0005-0000-0000-00004D310000}"/>
    <cellStyle name="Normal 2 56 9 2 2" xfId="12639" xr:uid="{00000000-0005-0000-0000-00004E310000}"/>
    <cellStyle name="Normal 2 56 9 2 3" xfId="12640" xr:uid="{00000000-0005-0000-0000-00004F310000}"/>
    <cellStyle name="Normal 2 56 9 3" xfId="12641" xr:uid="{00000000-0005-0000-0000-000050310000}"/>
    <cellStyle name="Normal 2 56 9 3 2" xfId="12642" xr:uid="{00000000-0005-0000-0000-000051310000}"/>
    <cellStyle name="Normal 2 56 9 3 3" xfId="12643" xr:uid="{00000000-0005-0000-0000-000052310000}"/>
    <cellStyle name="Normal 2 56 9 4" xfId="12644" xr:uid="{00000000-0005-0000-0000-000053310000}"/>
    <cellStyle name="Normal 2 56 9 4 2" xfId="12645" xr:uid="{00000000-0005-0000-0000-000054310000}"/>
    <cellStyle name="Normal 2 56 9 4 3" xfId="12646" xr:uid="{00000000-0005-0000-0000-000055310000}"/>
    <cellStyle name="Normal 2 56 9 5" xfId="12647" xr:uid="{00000000-0005-0000-0000-000056310000}"/>
    <cellStyle name="Normal 2 56 9 5 2" xfId="12648" xr:uid="{00000000-0005-0000-0000-000057310000}"/>
    <cellStyle name="Normal 2 56 9 5 3" xfId="12649" xr:uid="{00000000-0005-0000-0000-000058310000}"/>
    <cellStyle name="Normal 2 56 9 6" xfId="12650" xr:uid="{00000000-0005-0000-0000-000059310000}"/>
    <cellStyle name="Normal 2 56 9 6 2" xfId="12651" xr:uid="{00000000-0005-0000-0000-00005A310000}"/>
    <cellStyle name="Normal 2 56 9 6 3" xfId="12652" xr:uid="{00000000-0005-0000-0000-00005B310000}"/>
    <cellStyle name="Normal 2 56 9 7" xfId="12653" xr:uid="{00000000-0005-0000-0000-00005C310000}"/>
    <cellStyle name="Normal 2 56 9 7 2" xfId="12654" xr:uid="{00000000-0005-0000-0000-00005D310000}"/>
    <cellStyle name="Normal 2 56 9 7 3" xfId="12655" xr:uid="{00000000-0005-0000-0000-00005E310000}"/>
    <cellStyle name="Normal 2 56 9 8" xfId="12656" xr:uid="{00000000-0005-0000-0000-00005F310000}"/>
    <cellStyle name="Normal 2 56 9 8 2" xfId="12657" xr:uid="{00000000-0005-0000-0000-000060310000}"/>
    <cellStyle name="Normal 2 56 9 8 3" xfId="12658" xr:uid="{00000000-0005-0000-0000-000061310000}"/>
    <cellStyle name="Normal 2 56 9 9" xfId="12659" xr:uid="{00000000-0005-0000-0000-000062310000}"/>
    <cellStyle name="Normal 2 56 9 9 2" xfId="12660" xr:uid="{00000000-0005-0000-0000-000063310000}"/>
    <cellStyle name="Normal 2 56 9 9 3" xfId="12661" xr:uid="{00000000-0005-0000-0000-000064310000}"/>
    <cellStyle name="Normal 2 57" xfId="12662" xr:uid="{00000000-0005-0000-0000-000065310000}"/>
    <cellStyle name="Normal 2 57 10" xfId="12663" xr:uid="{00000000-0005-0000-0000-000066310000}"/>
    <cellStyle name="Normal 2 57 10 10" xfId="12664" xr:uid="{00000000-0005-0000-0000-000067310000}"/>
    <cellStyle name="Normal 2 57 10 10 2" xfId="12665" xr:uid="{00000000-0005-0000-0000-000068310000}"/>
    <cellStyle name="Normal 2 57 10 10 3" xfId="12666" xr:uid="{00000000-0005-0000-0000-000069310000}"/>
    <cellStyle name="Normal 2 57 10 11" xfId="12667" xr:uid="{00000000-0005-0000-0000-00006A310000}"/>
    <cellStyle name="Normal 2 57 10 11 2" xfId="12668" xr:uid="{00000000-0005-0000-0000-00006B310000}"/>
    <cellStyle name="Normal 2 57 10 11 3" xfId="12669" xr:uid="{00000000-0005-0000-0000-00006C310000}"/>
    <cellStyle name="Normal 2 57 10 12" xfId="12670" xr:uid="{00000000-0005-0000-0000-00006D310000}"/>
    <cellStyle name="Normal 2 57 10 12 2" xfId="12671" xr:uid="{00000000-0005-0000-0000-00006E310000}"/>
    <cellStyle name="Normal 2 57 10 12 3" xfId="12672" xr:uid="{00000000-0005-0000-0000-00006F310000}"/>
    <cellStyle name="Normal 2 57 10 13" xfId="12673" xr:uid="{00000000-0005-0000-0000-000070310000}"/>
    <cellStyle name="Normal 2 57 10 13 2" xfId="12674" xr:uid="{00000000-0005-0000-0000-000071310000}"/>
    <cellStyle name="Normal 2 57 10 13 3" xfId="12675" xr:uid="{00000000-0005-0000-0000-000072310000}"/>
    <cellStyle name="Normal 2 57 10 14" xfId="12676" xr:uid="{00000000-0005-0000-0000-000073310000}"/>
    <cellStyle name="Normal 2 57 10 14 2" xfId="12677" xr:uid="{00000000-0005-0000-0000-000074310000}"/>
    <cellStyle name="Normal 2 57 10 14 3" xfId="12678" xr:uid="{00000000-0005-0000-0000-000075310000}"/>
    <cellStyle name="Normal 2 57 10 15" xfId="12679" xr:uid="{00000000-0005-0000-0000-000076310000}"/>
    <cellStyle name="Normal 2 57 10 16" xfId="12680" xr:uid="{00000000-0005-0000-0000-000077310000}"/>
    <cellStyle name="Normal 2 57 10 2" xfId="12681" xr:uid="{00000000-0005-0000-0000-000078310000}"/>
    <cellStyle name="Normal 2 57 10 2 2" xfId="12682" xr:uid="{00000000-0005-0000-0000-000079310000}"/>
    <cellStyle name="Normal 2 57 10 2 3" xfId="12683" xr:uid="{00000000-0005-0000-0000-00007A310000}"/>
    <cellStyle name="Normal 2 57 10 3" xfId="12684" xr:uid="{00000000-0005-0000-0000-00007B310000}"/>
    <cellStyle name="Normal 2 57 10 3 2" xfId="12685" xr:uid="{00000000-0005-0000-0000-00007C310000}"/>
    <cellStyle name="Normal 2 57 10 3 3" xfId="12686" xr:uid="{00000000-0005-0000-0000-00007D310000}"/>
    <cellStyle name="Normal 2 57 10 4" xfId="12687" xr:uid="{00000000-0005-0000-0000-00007E310000}"/>
    <cellStyle name="Normal 2 57 10 4 2" xfId="12688" xr:uid="{00000000-0005-0000-0000-00007F310000}"/>
    <cellStyle name="Normal 2 57 10 4 3" xfId="12689" xr:uid="{00000000-0005-0000-0000-000080310000}"/>
    <cellStyle name="Normal 2 57 10 5" xfId="12690" xr:uid="{00000000-0005-0000-0000-000081310000}"/>
    <cellStyle name="Normal 2 57 10 5 2" xfId="12691" xr:uid="{00000000-0005-0000-0000-000082310000}"/>
    <cellStyle name="Normal 2 57 10 5 3" xfId="12692" xr:uid="{00000000-0005-0000-0000-000083310000}"/>
    <cellStyle name="Normal 2 57 10 6" xfId="12693" xr:uid="{00000000-0005-0000-0000-000084310000}"/>
    <cellStyle name="Normal 2 57 10 6 2" xfId="12694" xr:uid="{00000000-0005-0000-0000-000085310000}"/>
    <cellStyle name="Normal 2 57 10 6 3" xfId="12695" xr:uid="{00000000-0005-0000-0000-000086310000}"/>
    <cellStyle name="Normal 2 57 10 7" xfId="12696" xr:uid="{00000000-0005-0000-0000-000087310000}"/>
    <cellStyle name="Normal 2 57 10 7 2" xfId="12697" xr:uid="{00000000-0005-0000-0000-000088310000}"/>
    <cellStyle name="Normal 2 57 10 7 3" xfId="12698" xr:uid="{00000000-0005-0000-0000-000089310000}"/>
    <cellStyle name="Normal 2 57 10 8" xfId="12699" xr:uid="{00000000-0005-0000-0000-00008A310000}"/>
    <cellStyle name="Normal 2 57 10 8 2" xfId="12700" xr:uid="{00000000-0005-0000-0000-00008B310000}"/>
    <cellStyle name="Normal 2 57 10 8 3" xfId="12701" xr:uid="{00000000-0005-0000-0000-00008C310000}"/>
    <cellStyle name="Normal 2 57 10 9" xfId="12702" xr:uid="{00000000-0005-0000-0000-00008D310000}"/>
    <cellStyle name="Normal 2 57 10 9 2" xfId="12703" xr:uid="{00000000-0005-0000-0000-00008E310000}"/>
    <cellStyle name="Normal 2 57 10 9 3" xfId="12704" xr:uid="{00000000-0005-0000-0000-00008F310000}"/>
    <cellStyle name="Normal 2 57 11" xfId="12705" xr:uid="{00000000-0005-0000-0000-000090310000}"/>
    <cellStyle name="Normal 2 57 11 2" xfId="12706" xr:uid="{00000000-0005-0000-0000-000091310000}"/>
    <cellStyle name="Normal 2 57 11 3" xfId="12707" xr:uid="{00000000-0005-0000-0000-000092310000}"/>
    <cellStyle name="Normal 2 57 12" xfId="12708" xr:uid="{00000000-0005-0000-0000-000093310000}"/>
    <cellStyle name="Normal 2 57 12 2" xfId="12709" xr:uid="{00000000-0005-0000-0000-000094310000}"/>
    <cellStyle name="Normal 2 57 12 3" xfId="12710" xr:uid="{00000000-0005-0000-0000-000095310000}"/>
    <cellStyle name="Normal 2 57 13" xfId="12711" xr:uid="{00000000-0005-0000-0000-000096310000}"/>
    <cellStyle name="Normal 2 57 13 2" xfId="12712" xr:uid="{00000000-0005-0000-0000-000097310000}"/>
    <cellStyle name="Normal 2 57 13 3" xfId="12713" xr:uid="{00000000-0005-0000-0000-000098310000}"/>
    <cellStyle name="Normal 2 57 14" xfId="12714" xr:uid="{00000000-0005-0000-0000-000099310000}"/>
    <cellStyle name="Normal 2 57 14 2" xfId="12715" xr:uid="{00000000-0005-0000-0000-00009A310000}"/>
    <cellStyle name="Normal 2 57 14 3" xfId="12716" xr:uid="{00000000-0005-0000-0000-00009B310000}"/>
    <cellStyle name="Normal 2 57 15" xfId="12717" xr:uid="{00000000-0005-0000-0000-00009C310000}"/>
    <cellStyle name="Normal 2 57 15 2" xfId="12718" xr:uid="{00000000-0005-0000-0000-00009D310000}"/>
    <cellStyle name="Normal 2 57 15 3" xfId="12719" xr:uid="{00000000-0005-0000-0000-00009E310000}"/>
    <cellStyle name="Normal 2 57 16" xfId="12720" xr:uid="{00000000-0005-0000-0000-00009F310000}"/>
    <cellStyle name="Normal 2 57 16 2" xfId="12721" xr:uid="{00000000-0005-0000-0000-0000A0310000}"/>
    <cellStyle name="Normal 2 57 16 3" xfId="12722" xr:uid="{00000000-0005-0000-0000-0000A1310000}"/>
    <cellStyle name="Normal 2 57 17" xfId="12723" xr:uid="{00000000-0005-0000-0000-0000A2310000}"/>
    <cellStyle name="Normal 2 57 17 2" xfId="12724" xr:uid="{00000000-0005-0000-0000-0000A3310000}"/>
    <cellStyle name="Normal 2 57 17 3" xfId="12725" xr:uid="{00000000-0005-0000-0000-0000A4310000}"/>
    <cellStyle name="Normal 2 57 18" xfId="12726" xr:uid="{00000000-0005-0000-0000-0000A5310000}"/>
    <cellStyle name="Normal 2 57 18 2" xfId="12727" xr:uid="{00000000-0005-0000-0000-0000A6310000}"/>
    <cellStyle name="Normal 2 57 18 3" xfId="12728" xr:uid="{00000000-0005-0000-0000-0000A7310000}"/>
    <cellStyle name="Normal 2 57 19" xfId="12729" xr:uid="{00000000-0005-0000-0000-0000A8310000}"/>
    <cellStyle name="Normal 2 57 19 2" xfId="12730" xr:uid="{00000000-0005-0000-0000-0000A9310000}"/>
    <cellStyle name="Normal 2 57 19 3" xfId="12731" xr:uid="{00000000-0005-0000-0000-0000AA310000}"/>
    <cellStyle name="Normal 2 57 2" xfId="12732" xr:uid="{00000000-0005-0000-0000-0000AB310000}"/>
    <cellStyle name="Normal 2 57 2 10" xfId="12733" xr:uid="{00000000-0005-0000-0000-0000AC310000}"/>
    <cellStyle name="Normal 2 57 2 10 2" xfId="12734" xr:uid="{00000000-0005-0000-0000-0000AD310000}"/>
    <cellStyle name="Normal 2 57 2 10 3" xfId="12735" xr:uid="{00000000-0005-0000-0000-0000AE310000}"/>
    <cellStyle name="Normal 2 57 2 11" xfId="12736" xr:uid="{00000000-0005-0000-0000-0000AF310000}"/>
    <cellStyle name="Normal 2 57 2 11 2" xfId="12737" xr:uid="{00000000-0005-0000-0000-0000B0310000}"/>
    <cellStyle name="Normal 2 57 2 11 3" xfId="12738" xr:uid="{00000000-0005-0000-0000-0000B1310000}"/>
    <cellStyle name="Normal 2 57 2 12" xfId="12739" xr:uid="{00000000-0005-0000-0000-0000B2310000}"/>
    <cellStyle name="Normal 2 57 2 12 2" xfId="12740" xr:uid="{00000000-0005-0000-0000-0000B3310000}"/>
    <cellStyle name="Normal 2 57 2 12 3" xfId="12741" xr:uid="{00000000-0005-0000-0000-0000B4310000}"/>
    <cellStyle name="Normal 2 57 2 13" xfId="12742" xr:uid="{00000000-0005-0000-0000-0000B5310000}"/>
    <cellStyle name="Normal 2 57 2 13 2" xfId="12743" xr:uid="{00000000-0005-0000-0000-0000B6310000}"/>
    <cellStyle name="Normal 2 57 2 13 3" xfId="12744" xr:uid="{00000000-0005-0000-0000-0000B7310000}"/>
    <cellStyle name="Normal 2 57 2 14" xfId="12745" xr:uid="{00000000-0005-0000-0000-0000B8310000}"/>
    <cellStyle name="Normal 2 57 2 14 2" xfId="12746" xr:uid="{00000000-0005-0000-0000-0000B9310000}"/>
    <cellStyle name="Normal 2 57 2 14 3" xfId="12747" xr:uid="{00000000-0005-0000-0000-0000BA310000}"/>
    <cellStyle name="Normal 2 57 2 15" xfId="12748" xr:uid="{00000000-0005-0000-0000-0000BB310000}"/>
    <cellStyle name="Normal 2 57 2 15 2" xfId="12749" xr:uid="{00000000-0005-0000-0000-0000BC310000}"/>
    <cellStyle name="Normal 2 57 2 15 3" xfId="12750" xr:uid="{00000000-0005-0000-0000-0000BD310000}"/>
    <cellStyle name="Normal 2 57 2 16" xfId="12751" xr:uid="{00000000-0005-0000-0000-0000BE310000}"/>
    <cellStyle name="Normal 2 57 2 17" xfId="12752" xr:uid="{00000000-0005-0000-0000-0000BF310000}"/>
    <cellStyle name="Normal 2 57 2 2" xfId="12753" xr:uid="{00000000-0005-0000-0000-0000C0310000}"/>
    <cellStyle name="Normal 2 57 2 2 10" xfId="12754" xr:uid="{00000000-0005-0000-0000-0000C1310000}"/>
    <cellStyle name="Normal 2 57 2 2 10 2" xfId="12755" xr:uid="{00000000-0005-0000-0000-0000C2310000}"/>
    <cellStyle name="Normal 2 57 2 2 10 3" xfId="12756" xr:uid="{00000000-0005-0000-0000-0000C3310000}"/>
    <cellStyle name="Normal 2 57 2 2 11" xfId="12757" xr:uid="{00000000-0005-0000-0000-0000C4310000}"/>
    <cellStyle name="Normal 2 57 2 2 11 2" xfId="12758" xr:uid="{00000000-0005-0000-0000-0000C5310000}"/>
    <cellStyle name="Normal 2 57 2 2 11 3" xfId="12759" xr:uid="{00000000-0005-0000-0000-0000C6310000}"/>
    <cellStyle name="Normal 2 57 2 2 12" xfId="12760" xr:uid="{00000000-0005-0000-0000-0000C7310000}"/>
    <cellStyle name="Normal 2 57 2 2 12 2" xfId="12761" xr:uid="{00000000-0005-0000-0000-0000C8310000}"/>
    <cellStyle name="Normal 2 57 2 2 12 3" xfId="12762" xr:uid="{00000000-0005-0000-0000-0000C9310000}"/>
    <cellStyle name="Normal 2 57 2 2 13" xfId="12763" xr:uid="{00000000-0005-0000-0000-0000CA310000}"/>
    <cellStyle name="Normal 2 57 2 2 13 2" xfId="12764" xr:uid="{00000000-0005-0000-0000-0000CB310000}"/>
    <cellStyle name="Normal 2 57 2 2 13 3" xfId="12765" xr:uid="{00000000-0005-0000-0000-0000CC310000}"/>
    <cellStyle name="Normal 2 57 2 2 14" xfId="12766" xr:uid="{00000000-0005-0000-0000-0000CD310000}"/>
    <cellStyle name="Normal 2 57 2 2 14 2" xfId="12767" xr:uid="{00000000-0005-0000-0000-0000CE310000}"/>
    <cellStyle name="Normal 2 57 2 2 14 3" xfId="12768" xr:uid="{00000000-0005-0000-0000-0000CF310000}"/>
    <cellStyle name="Normal 2 57 2 2 15" xfId="12769" xr:uid="{00000000-0005-0000-0000-0000D0310000}"/>
    <cellStyle name="Normal 2 57 2 2 16" xfId="12770" xr:uid="{00000000-0005-0000-0000-0000D1310000}"/>
    <cellStyle name="Normal 2 57 2 2 2" xfId="12771" xr:uid="{00000000-0005-0000-0000-0000D2310000}"/>
    <cellStyle name="Normal 2 57 2 2 2 2" xfId="12772" xr:uid="{00000000-0005-0000-0000-0000D3310000}"/>
    <cellStyle name="Normal 2 57 2 2 2 3" xfId="12773" xr:uid="{00000000-0005-0000-0000-0000D4310000}"/>
    <cellStyle name="Normal 2 57 2 2 3" xfId="12774" xr:uid="{00000000-0005-0000-0000-0000D5310000}"/>
    <cellStyle name="Normal 2 57 2 2 3 2" xfId="12775" xr:uid="{00000000-0005-0000-0000-0000D6310000}"/>
    <cellStyle name="Normal 2 57 2 2 3 3" xfId="12776" xr:uid="{00000000-0005-0000-0000-0000D7310000}"/>
    <cellStyle name="Normal 2 57 2 2 4" xfId="12777" xr:uid="{00000000-0005-0000-0000-0000D8310000}"/>
    <cellStyle name="Normal 2 57 2 2 4 2" xfId="12778" xr:uid="{00000000-0005-0000-0000-0000D9310000}"/>
    <cellStyle name="Normal 2 57 2 2 4 3" xfId="12779" xr:uid="{00000000-0005-0000-0000-0000DA310000}"/>
    <cellStyle name="Normal 2 57 2 2 5" xfId="12780" xr:uid="{00000000-0005-0000-0000-0000DB310000}"/>
    <cellStyle name="Normal 2 57 2 2 5 2" xfId="12781" xr:uid="{00000000-0005-0000-0000-0000DC310000}"/>
    <cellStyle name="Normal 2 57 2 2 5 3" xfId="12782" xr:uid="{00000000-0005-0000-0000-0000DD310000}"/>
    <cellStyle name="Normal 2 57 2 2 6" xfId="12783" xr:uid="{00000000-0005-0000-0000-0000DE310000}"/>
    <cellStyle name="Normal 2 57 2 2 6 2" xfId="12784" xr:uid="{00000000-0005-0000-0000-0000DF310000}"/>
    <cellStyle name="Normal 2 57 2 2 6 3" xfId="12785" xr:uid="{00000000-0005-0000-0000-0000E0310000}"/>
    <cellStyle name="Normal 2 57 2 2 7" xfId="12786" xr:uid="{00000000-0005-0000-0000-0000E1310000}"/>
    <cellStyle name="Normal 2 57 2 2 7 2" xfId="12787" xr:uid="{00000000-0005-0000-0000-0000E2310000}"/>
    <cellStyle name="Normal 2 57 2 2 7 3" xfId="12788" xr:uid="{00000000-0005-0000-0000-0000E3310000}"/>
    <cellStyle name="Normal 2 57 2 2 8" xfId="12789" xr:uid="{00000000-0005-0000-0000-0000E4310000}"/>
    <cellStyle name="Normal 2 57 2 2 8 2" xfId="12790" xr:uid="{00000000-0005-0000-0000-0000E5310000}"/>
    <cellStyle name="Normal 2 57 2 2 8 3" xfId="12791" xr:uid="{00000000-0005-0000-0000-0000E6310000}"/>
    <cellStyle name="Normal 2 57 2 2 9" xfId="12792" xr:uid="{00000000-0005-0000-0000-0000E7310000}"/>
    <cellStyle name="Normal 2 57 2 2 9 2" xfId="12793" xr:uid="{00000000-0005-0000-0000-0000E8310000}"/>
    <cellStyle name="Normal 2 57 2 2 9 3" xfId="12794" xr:uid="{00000000-0005-0000-0000-0000E9310000}"/>
    <cellStyle name="Normal 2 57 2 3" xfId="12795" xr:uid="{00000000-0005-0000-0000-0000EA310000}"/>
    <cellStyle name="Normal 2 57 2 3 2" xfId="12796" xr:uid="{00000000-0005-0000-0000-0000EB310000}"/>
    <cellStyle name="Normal 2 57 2 3 3" xfId="12797" xr:uid="{00000000-0005-0000-0000-0000EC310000}"/>
    <cellStyle name="Normal 2 57 2 4" xfId="12798" xr:uid="{00000000-0005-0000-0000-0000ED310000}"/>
    <cellStyle name="Normal 2 57 2 4 2" xfId="12799" xr:uid="{00000000-0005-0000-0000-0000EE310000}"/>
    <cellStyle name="Normal 2 57 2 4 3" xfId="12800" xr:uid="{00000000-0005-0000-0000-0000EF310000}"/>
    <cellStyle name="Normal 2 57 2 5" xfId="12801" xr:uid="{00000000-0005-0000-0000-0000F0310000}"/>
    <cellStyle name="Normal 2 57 2 5 2" xfId="12802" xr:uid="{00000000-0005-0000-0000-0000F1310000}"/>
    <cellStyle name="Normal 2 57 2 5 3" xfId="12803" xr:uid="{00000000-0005-0000-0000-0000F2310000}"/>
    <cellStyle name="Normal 2 57 2 6" xfId="12804" xr:uid="{00000000-0005-0000-0000-0000F3310000}"/>
    <cellStyle name="Normal 2 57 2 6 2" xfId="12805" xr:uid="{00000000-0005-0000-0000-0000F4310000}"/>
    <cellStyle name="Normal 2 57 2 6 3" xfId="12806" xr:uid="{00000000-0005-0000-0000-0000F5310000}"/>
    <cellStyle name="Normal 2 57 2 7" xfId="12807" xr:uid="{00000000-0005-0000-0000-0000F6310000}"/>
    <cellStyle name="Normal 2 57 2 7 2" xfId="12808" xr:uid="{00000000-0005-0000-0000-0000F7310000}"/>
    <cellStyle name="Normal 2 57 2 7 3" xfId="12809" xr:uid="{00000000-0005-0000-0000-0000F8310000}"/>
    <cellStyle name="Normal 2 57 2 8" xfId="12810" xr:uid="{00000000-0005-0000-0000-0000F9310000}"/>
    <cellStyle name="Normal 2 57 2 8 2" xfId="12811" xr:uid="{00000000-0005-0000-0000-0000FA310000}"/>
    <cellStyle name="Normal 2 57 2 8 3" xfId="12812" xr:uid="{00000000-0005-0000-0000-0000FB310000}"/>
    <cellStyle name="Normal 2 57 2 9" xfId="12813" xr:uid="{00000000-0005-0000-0000-0000FC310000}"/>
    <cellStyle name="Normal 2 57 2 9 2" xfId="12814" xr:uid="{00000000-0005-0000-0000-0000FD310000}"/>
    <cellStyle name="Normal 2 57 2 9 3" xfId="12815" xr:uid="{00000000-0005-0000-0000-0000FE310000}"/>
    <cellStyle name="Normal 2 57 20" xfId="12816" xr:uid="{00000000-0005-0000-0000-0000FF310000}"/>
    <cellStyle name="Normal 2 57 20 2" xfId="12817" xr:uid="{00000000-0005-0000-0000-000000320000}"/>
    <cellStyle name="Normal 2 57 20 3" xfId="12818" xr:uid="{00000000-0005-0000-0000-000001320000}"/>
    <cellStyle name="Normal 2 57 21" xfId="12819" xr:uid="{00000000-0005-0000-0000-000002320000}"/>
    <cellStyle name="Normal 2 57 21 2" xfId="12820" xr:uid="{00000000-0005-0000-0000-000003320000}"/>
    <cellStyle name="Normal 2 57 21 3" xfId="12821" xr:uid="{00000000-0005-0000-0000-000004320000}"/>
    <cellStyle name="Normal 2 57 22" xfId="12822" xr:uid="{00000000-0005-0000-0000-000005320000}"/>
    <cellStyle name="Normal 2 57 22 2" xfId="12823" xr:uid="{00000000-0005-0000-0000-000006320000}"/>
    <cellStyle name="Normal 2 57 22 3" xfId="12824" xr:uid="{00000000-0005-0000-0000-000007320000}"/>
    <cellStyle name="Normal 2 57 23" xfId="12825" xr:uid="{00000000-0005-0000-0000-000008320000}"/>
    <cellStyle name="Normal 2 57 23 2" xfId="12826" xr:uid="{00000000-0005-0000-0000-000009320000}"/>
    <cellStyle name="Normal 2 57 23 3" xfId="12827" xr:uid="{00000000-0005-0000-0000-00000A320000}"/>
    <cellStyle name="Normal 2 57 24" xfId="12828" xr:uid="{00000000-0005-0000-0000-00000B320000}"/>
    <cellStyle name="Normal 2 57 25" xfId="12829" xr:uid="{00000000-0005-0000-0000-00000C320000}"/>
    <cellStyle name="Normal 2 57 3" xfId="12830" xr:uid="{00000000-0005-0000-0000-00000D320000}"/>
    <cellStyle name="Normal 2 57 3 10" xfId="12831" xr:uid="{00000000-0005-0000-0000-00000E320000}"/>
    <cellStyle name="Normal 2 57 3 10 2" xfId="12832" xr:uid="{00000000-0005-0000-0000-00000F320000}"/>
    <cellStyle name="Normal 2 57 3 10 3" xfId="12833" xr:uid="{00000000-0005-0000-0000-000010320000}"/>
    <cellStyle name="Normal 2 57 3 11" xfId="12834" xr:uid="{00000000-0005-0000-0000-000011320000}"/>
    <cellStyle name="Normal 2 57 3 11 2" xfId="12835" xr:uid="{00000000-0005-0000-0000-000012320000}"/>
    <cellStyle name="Normal 2 57 3 11 3" xfId="12836" xr:uid="{00000000-0005-0000-0000-000013320000}"/>
    <cellStyle name="Normal 2 57 3 12" xfId="12837" xr:uid="{00000000-0005-0000-0000-000014320000}"/>
    <cellStyle name="Normal 2 57 3 12 2" xfId="12838" xr:uid="{00000000-0005-0000-0000-000015320000}"/>
    <cellStyle name="Normal 2 57 3 12 3" xfId="12839" xr:uid="{00000000-0005-0000-0000-000016320000}"/>
    <cellStyle name="Normal 2 57 3 13" xfId="12840" xr:uid="{00000000-0005-0000-0000-000017320000}"/>
    <cellStyle name="Normal 2 57 3 13 2" xfId="12841" xr:uid="{00000000-0005-0000-0000-000018320000}"/>
    <cellStyle name="Normal 2 57 3 13 3" xfId="12842" xr:uid="{00000000-0005-0000-0000-000019320000}"/>
    <cellStyle name="Normal 2 57 3 14" xfId="12843" xr:uid="{00000000-0005-0000-0000-00001A320000}"/>
    <cellStyle name="Normal 2 57 3 14 2" xfId="12844" xr:uid="{00000000-0005-0000-0000-00001B320000}"/>
    <cellStyle name="Normal 2 57 3 14 3" xfId="12845" xr:uid="{00000000-0005-0000-0000-00001C320000}"/>
    <cellStyle name="Normal 2 57 3 15" xfId="12846" xr:uid="{00000000-0005-0000-0000-00001D320000}"/>
    <cellStyle name="Normal 2 57 3 15 2" xfId="12847" xr:uid="{00000000-0005-0000-0000-00001E320000}"/>
    <cellStyle name="Normal 2 57 3 15 3" xfId="12848" xr:uid="{00000000-0005-0000-0000-00001F320000}"/>
    <cellStyle name="Normal 2 57 3 16" xfId="12849" xr:uid="{00000000-0005-0000-0000-000020320000}"/>
    <cellStyle name="Normal 2 57 3 17" xfId="12850" xr:uid="{00000000-0005-0000-0000-000021320000}"/>
    <cellStyle name="Normal 2 57 3 2" xfId="12851" xr:uid="{00000000-0005-0000-0000-000022320000}"/>
    <cellStyle name="Normal 2 57 3 2 10" xfId="12852" xr:uid="{00000000-0005-0000-0000-000023320000}"/>
    <cellStyle name="Normal 2 57 3 2 10 2" xfId="12853" xr:uid="{00000000-0005-0000-0000-000024320000}"/>
    <cellStyle name="Normal 2 57 3 2 10 3" xfId="12854" xr:uid="{00000000-0005-0000-0000-000025320000}"/>
    <cellStyle name="Normal 2 57 3 2 11" xfId="12855" xr:uid="{00000000-0005-0000-0000-000026320000}"/>
    <cellStyle name="Normal 2 57 3 2 11 2" xfId="12856" xr:uid="{00000000-0005-0000-0000-000027320000}"/>
    <cellStyle name="Normal 2 57 3 2 11 3" xfId="12857" xr:uid="{00000000-0005-0000-0000-000028320000}"/>
    <cellStyle name="Normal 2 57 3 2 12" xfId="12858" xr:uid="{00000000-0005-0000-0000-000029320000}"/>
    <cellStyle name="Normal 2 57 3 2 12 2" xfId="12859" xr:uid="{00000000-0005-0000-0000-00002A320000}"/>
    <cellStyle name="Normal 2 57 3 2 12 3" xfId="12860" xr:uid="{00000000-0005-0000-0000-00002B320000}"/>
    <cellStyle name="Normal 2 57 3 2 13" xfId="12861" xr:uid="{00000000-0005-0000-0000-00002C320000}"/>
    <cellStyle name="Normal 2 57 3 2 13 2" xfId="12862" xr:uid="{00000000-0005-0000-0000-00002D320000}"/>
    <cellStyle name="Normal 2 57 3 2 13 3" xfId="12863" xr:uid="{00000000-0005-0000-0000-00002E320000}"/>
    <cellStyle name="Normal 2 57 3 2 14" xfId="12864" xr:uid="{00000000-0005-0000-0000-00002F320000}"/>
    <cellStyle name="Normal 2 57 3 2 14 2" xfId="12865" xr:uid="{00000000-0005-0000-0000-000030320000}"/>
    <cellStyle name="Normal 2 57 3 2 14 3" xfId="12866" xr:uid="{00000000-0005-0000-0000-000031320000}"/>
    <cellStyle name="Normal 2 57 3 2 15" xfId="12867" xr:uid="{00000000-0005-0000-0000-000032320000}"/>
    <cellStyle name="Normal 2 57 3 2 16" xfId="12868" xr:uid="{00000000-0005-0000-0000-000033320000}"/>
    <cellStyle name="Normal 2 57 3 2 2" xfId="12869" xr:uid="{00000000-0005-0000-0000-000034320000}"/>
    <cellStyle name="Normal 2 57 3 2 2 2" xfId="12870" xr:uid="{00000000-0005-0000-0000-000035320000}"/>
    <cellStyle name="Normal 2 57 3 2 2 3" xfId="12871" xr:uid="{00000000-0005-0000-0000-000036320000}"/>
    <cellStyle name="Normal 2 57 3 2 3" xfId="12872" xr:uid="{00000000-0005-0000-0000-000037320000}"/>
    <cellStyle name="Normal 2 57 3 2 3 2" xfId="12873" xr:uid="{00000000-0005-0000-0000-000038320000}"/>
    <cellStyle name="Normal 2 57 3 2 3 3" xfId="12874" xr:uid="{00000000-0005-0000-0000-000039320000}"/>
    <cellStyle name="Normal 2 57 3 2 4" xfId="12875" xr:uid="{00000000-0005-0000-0000-00003A320000}"/>
    <cellStyle name="Normal 2 57 3 2 4 2" xfId="12876" xr:uid="{00000000-0005-0000-0000-00003B320000}"/>
    <cellStyle name="Normal 2 57 3 2 4 3" xfId="12877" xr:uid="{00000000-0005-0000-0000-00003C320000}"/>
    <cellStyle name="Normal 2 57 3 2 5" xfId="12878" xr:uid="{00000000-0005-0000-0000-00003D320000}"/>
    <cellStyle name="Normal 2 57 3 2 5 2" xfId="12879" xr:uid="{00000000-0005-0000-0000-00003E320000}"/>
    <cellStyle name="Normal 2 57 3 2 5 3" xfId="12880" xr:uid="{00000000-0005-0000-0000-00003F320000}"/>
    <cellStyle name="Normal 2 57 3 2 6" xfId="12881" xr:uid="{00000000-0005-0000-0000-000040320000}"/>
    <cellStyle name="Normal 2 57 3 2 6 2" xfId="12882" xr:uid="{00000000-0005-0000-0000-000041320000}"/>
    <cellStyle name="Normal 2 57 3 2 6 3" xfId="12883" xr:uid="{00000000-0005-0000-0000-000042320000}"/>
    <cellStyle name="Normal 2 57 3 2 7" xfId="12884" xr:uid="{00000000-0005-0000-0000-000043320000}"/>
    <cellStyle name="Normal 2 57 3 2 7 2" xfId="12885" xr:uid="{00000000-0005-0000-0000-000044320000}"/>
    <cellStyle name="Normal 2 57 3 2 7 3" xfId="12886" xr:uid="{00000000-0005-0000-0000-000045320000}"/>
    <cellStyle name="Normal 2 57 3 2 8" xfId="12887" xr:uid="{00000000-0005-0000-0000-000046320000}"/>
    <cellStyle name="Normal 2 57 3 2 8 2" xfId="12888" xr:uid="{00000000-0005-0000-0000-000047320000}"/>
    <cellStyle name="Normal 2 57 3 2 8 3" xfId="12889" xr:uid="{00000000-0005-0000-0000-000048320000}"/>
    <cellStyle name="Normal 2 57 3 2 9" xfId="12890" xr:uid="{00000000-0005-0000-0000-000049320000}"/>
    <cellStyle name="Normal 2 57 3 2 9 2" xfId="12891" xr:uid="{00000000-0005-0000-0000-00004A320000}"/>
    <cellStyle name="Normal 2 57 3 2 9 3" xfId="12892" xr:uid="{00000000-0005-0000-0000-00004B320000}"/>
    <cellStyle name="Normal 2 57 3 3" xfId="12893" xr:uid="{00000000-0005-0000-0000-00004C320000}"/>
    <cellStyle name="Normal 2 57 3 3 2" xfId="12894" xr:uid="{00000000-0005-0000-0000-00004D320000}"/>
    <cellStyle name="Normal 2 57 3 3 3" xfId="12895" xr:uid="{00000000-0005-0000-0000-00004E320000}"/>
    <cellStyle name="Normal 2 57 3 4" xfId="12896" xr:uid="{00000000-0005-0000-0000-00004F320000}"/>
    <cellStyle name="Normal 2 57 3 4 2" xfId="12897" xr:uid="{00000000-0005-0000-0000-000050320000}"/>
    <cellStyle name="Normal 2 57 3 4 3" xfId="12898" xr:uid="{00000000-0005-0000-0000-000051320000}"/>
    <cellStyle name="Normal 2 57 3 5" xfId="12899" xr:uid="{00000000-0005-0000-0000-000052320000}"/>
    <cellStyle name="Normal 2 57 3 5 2" xfId="12900" xr:uid="{00000000-0005-0000-0000-000053320000}"/>
    <cellStyle name="Normal 2 57 3 5 3" xfId="12901" xr:uid="{00000000-0005-0000-0000-000054320000}"/>
    <cellStyle name="Normal 2 57 3 6" xfId="12902" xr:uid="{00000000-0005-0000-0000-000055320000}"/>
    <cellStyle name="Normal 2 57 3 6 2" xfId="12903" xr:uid="{00000000-0005-0000-0000-000056320000}"/>
    <cellStyle name="Normal 2 57 3 6 3" xfId="12904" xr:uid="{00000000-0005-0000-0000-000057320000}"/>
    <cellStyle name="Normal 2 57 3 7" xfId="12905" xr:uid="{00000000-0005-0000-0000-000058320000}"/>
    <cellStyle name="Normal 2 57 3 7 2" xfId="12906" xr:uid="{00000000-0005-0000-0000-000059320000}"/>
    <cellStyle name="Normal 2 57 3 7 3" xfId="12907" xr:uid="{00000000-0005-0000-0000-00005A320000}"/>
    <cellStyle name="Normal 2 57 3 8" xfId="12908" xr:uid="{00000000-0005-0000-0000-00005B320000}"/>
    <cellStyle name="Normal 2 57 3 8 2" xfId="12909" xr:uid="{00000000-0005-0000-0000-00005C320000}"/>
    <cellStyle name="Normal 2 57 3 8 3" xfId="12910" xr:uid="{00000000-0005-0000-0000-00005D320000}"/>
    <cellStyle name="Normal 2 57 3 9" xfId="12911" xr:uid="{00000000-0005-0000-0000-00005E320000}"/>
    <cellStyle name="Normal 2 57 3 9 2" xfId="12912" xr:uid="{00000000-0005-0000-0000-00005F320000}"/>
    <cellStyle name="Normal 2 57 3 9 3" xfId="12913" xr:uid="{00000000-0005-0000-0000-000060320000}"/>
    <cellStyle name="Normal 2 57 4" xfId="12914" xr:uid="{00000000-0005-0000-0000-000061320000}"/>
    <cellStyle name="Normal 2 57 4 10" xfId="12915" xr:uid="{00000000-0005-0000-0000-000062320000}"/>
    <cellStyle name="Normal 2 57 4 10 2" xfId="12916" xr:uid="{00000000-0005-0000-0000-000063320000}"/>
    <cellStyle name="Normal 2 57 4 10 3" xfId="12917" xr:uid="{00000000-0005-0000-0000-000064320000}"/>
    <cellStyle name="Normal 2 57 4 11" xfId="12918" xr:uid="{00000000-0005-0000-0000-000065320000}"/>
    <cellStyle name="Normal 2 57 4 11 2" xfId="12919" xr:uid="{00000000-0005-0000-0000-000066320000}"/>
    <cellStyle name="Normal 2 57 4 11 3" xfId="12920" xr:uid="{00000000-0005-0000-0000-000067320000}"/>
    <cellStyle name="Normal 2 57 4 12" xfId="12921" xr:uid="{00000000-0005-0000-0000-000068320000}"/>
    <cellStyle name="Normal 2 57 4 12 2" xfId="12922" xr:uid="{00000000-0005-0000-0000-000069320000}"/>
    <cellStyle name="Normal 2 57 4 12 3" xfId="12923" xr:uid="{00000000-0005-0000-0000-00006A320000}"/>
    <cellStyle name="Normal 2 57 4 13" xfId="12924" xr:uid="{00000000-0005-0000-0000-00006B320000}"/>
    <cellStyle name="Normal 2 57 4 13 2" xfId="12925" xr:uid="{00000000-0005-0000-0000-00006C320000}"/>
    <cellStyle name="Normal 2 57 4 13 3" xfId="12926" xr:uid="{00000000-0005-0000-0000-00006D320000}"/>
    <cellStyle name="Normal 2 57 4 14" xfId="12927" xr:uid="{00000000-0005-0000-0000-00006E320000}"/>
    <cellStyle name="Normal 2 57 4 14 2" xfId="12928" xr:uid="{00000000-0005-0000-0000-00006F320000}"/>
    <cellStyle name="Normal 2 57 4 14 3" xfId="12929" xr:uid="{00000000-0005-0000-0000-000070320000}"/>
    <cellStyle name="Normal 2 57 4 15" xfId="12930" xr:uid="{00000000-0005-0000-0000-000071320000}"/>
    <cellStyle name="Normal 2 57 4 15 2" xfId="12931" xr:uid="{00000000-0005-0000-0000-000072320000}"/>
    <cellStyle name="Normal 2 57 4 15 3" xfId="12932" xr:uid="{00000000-0005-0000-0000-000073320000}"/>
    <cellStyle name="Normal 2 57 4 16" xfId="12933" xr:uid="{00000000-0005-0000-0000-000074320000}"/>
    <cellStyle name="Normal 2 57 4 17" xfId="12934" xr:uid="{00000000-0005-0000-0000-000075320000}"/>
    <cellStyle name="Normal 2 57 4 2" xfId="12935" xr:uid="{00000000-0005-0000-0000-000076320000}"/>
    <cellStyle name="Normal 2 57 4 2 10" xfId="12936" xr:uid="{00000000-0005-0000-0000-000077320000}"/>
    <cellStyle name="Normal 2 57 4 2 10 2" xfId="12937" xr:uid="{00000000-0005-0000-0000-000078320000}"/>
    <cellStyle name="Normal 2 57 4 2 10 3" xfId="12938" xr:uid="{00000000-0005-0000-0000-000079320000}"/>
    <cellStyle name="Normal 2 57 4 2 11" xfId="12939" xr:uid="{00000000-0005-0000-0000-00007A320000}"/>
    <cellStyle name="Normal 2 57 4 2 11 2" xfId="12940" xr:uid="{00000000-0005-0000-0000-00007B320000}"/>
    <cellStyle name="Normal 2 57 4 2 11 3" xfId="12941" xr:uid="{00000000-0005-0000-0000-00007C320000}"/>
    <cellStyle name="Normal 2 57 4 2 12" xfId="12942" xr:uid="{00000000-0005-0000-0000-00007D320000}"/>
    <cellStyle name="Normal 2 57 4 2 12 2" xfId="12943" xr:uid="{00000000-0005-0000-0000-00007E320000}"/>
    <cellStyle name="Normal 2 57 4 2 12 3" xfId="12944" xr:uid="{00000000-0005-0000-0000-00007F320000}"/>
    <cellStyle name="Normal 2 57 4 2 13" xfId="12945" xr:uid="{00000000-0005-0000-0000-000080320000}"/>
    <cellStyle name="Normal 2 57 4 2 13 2" xfId="12946" xr:uid="{00000000-0005-0000-0000-000081320000}"/>
    <cellStyle name="Normal 2 57 4 2 13 3" xfId="12947" xr:uid="{00000000-0005-0000-0000-000082320000}"/>
    <cellStyle name="Normal 2 57 4 2 14" xfId="12948" xr:uid="{00000000-0005-0000-0000-000083320000}"/>
    <cellStyle name="Normal 2 57 4 2 14 2" xfId="12949" xr:uid="{00000000-0005-0000-0000-000084320000}"/>
    <cellStyle name="Normal 2 57 4 2 14 3" xfId="12950" xr:uid="{00000000-0005-0000-0000-000085320000}"/>
    <cellStyle name="Normal 2 57 4 2 15" xfId="12951" xr:uid="{00000000-0005-0000-0000-000086320000}"/>
    <cellStyle name="Normal 2 57 4 2 16" xfId="12952" xr:uid="{00000000-0005-0000-0000-000087320000}"/>
    <cellStyle name="Normal 2 57 4 2 2" xfId="12953" xr:uid="{00000000-0005-0000-0000-000088320000}"/>
    <cellStyle name="Normal 2 57 4 2 2 2" xfId="12954" xr:uid="{00000000-0005-0000-0000-000089320000}"/>
    <cellStyle name="Normal 2 57 4 2 2 3" xfId="12955" xr:uid="{00000000-0005-0000-0000-00008A320000}"/>
    <cellStyle name="Normal 2 57 4 2 3" xfId="12956" xr:uid="{00000000-0005-0000-0000-00008B320000}"/>
    <cellStyle name="Normal 2 57 4 2 3 2" xfId="12957" xr:uid="{00000000-0005-0000-0000-00008C320000}"/>
    <cellStyle name="Normal 2 57 4 2 3 3" xfId="12958" xr:uid="{00000000-0005-0000-0000-00008D320000}"/>
    <cellStyle name="Normal 2 57 4 2 4" xfId="12959" xr:uid="{00000000-0005-0000-0000-00008E320000}"/>
    <cellStyle name="Normal 2 57 4 2 4 2" xfId="12960" xr:uid="{00000000-0005-0000-0000-00008F320000}"/>
    <cellStyle name="Normal 2 57 4 2 4 3" xfId="12961" xr:uid="{00000000-0005-0000-0000-000090320000}"/>
    <cellStyle name="Normal 2 57 4 2 5" xfId="12962" xr:uid="{00000000-0005-0000-0000-000091320000}"/>
    <cellStyle name="Normal 2 57 4 2 5 2" xfId="12963" xr:uid="{00000000-0005-0000-0000-000092320000}"/>
    <cellStyle name="Normal 2 57 4 2 5 3" xfId="12964" xr:uid="{00000000-0005-0000-0000-000093320000}"/>
    <cellStyle name="Normal 2 57 4 2 6" xfId="12965" xr:uid="{00000000-0005-0000-0000-000094320000}"/>
    <cellStyle name="Normal 2 57 4 2 6 2" xfId="12966" xr:uid="{00000000-0005-0000-0000-000095320000}"/>
    <cellStyle name="Normal 2 57 4 2 6 3" xfId="12967" xr:uid="{00000000-0005-0000-0000-000096320000}"/>
    <cellStyle name="Normal 2 57 4 2 7" xfId="12968" xr:uid="{00000000-0005-0000-0000-000097320000}"/>
    <cellStyle name="Normal 2 57 4 2 7 2" xfId="12969" xr:uid="{00000000-0005-0000-0000-000098320000}"/>
    <cellStyle name="Normal 2 57 4 2 7 3" xfId="12970" xr:uid="{00000000-0005-0000-0000-000099320000}"/>
    <cellStyle name="Normal 2 57 4 2 8" xfId="12971" xr:uid="{00000000-0005-0000-0000-00009A320000}"/>
    <cellStyle name="Normal 2 57 4 2 8 2" xfId="12972" xr:uid="{00000000-0005-0000-0000-00009B320000}"/>
    <cellStyle name="Normal 2 57 4 2 8 3" xfId="12973" xr:uid="{00000000-0005-0000-0000-00009C320000}"/>
    <cellStyle name="Normal 2 57 4 2 9" xfId="12974" xr:uid="{00000000-0005-0000-0000-00009D320000}"/>
    <cellStyle name="Normal 2 57 4 2 9 2" xfId="12975" xr:uid="{00000000-0005-0000-0000-00009E320000}"/>
    <cellStyle name="Normal 2 57 4 2 9 3" xfId="12976" xr:uid="{00000000-0005-0000-0000-00009F320000}"/>
    <cellStyle name="Normal 2 57 4 3" xfId="12977" xr:uid="{00000000-0005-0000-0000-0000A0320000}"/>
    <cellStyle name="Normal 2 57 4 3 2" xfId="12978" xr:uid="{00000000-0005-0000-0000-0000A1320000}"/>
    <cellStyle name="Normal 2 57 4 3 3" xfId="12979" xr:uid="{00000000-0005-0000-0000-0000A2320000}"/>
    <cellStyle name="Normal 2 57 4 4" xfId="12980" xr:uid="{00000000-0005-0000-0000-0000A3320000}"/>
    <cellStyle name="Normal 2 57 4 4 2" xfId="12981" xr:uid="{00000000-0005-0000-0000-0000A4320000}"/>
    <cellStyle name="Normal 2 57 4 4 3" xfId="12982" xr:uid="{00000000-0005-0000-0000-0000A5320000}"/>
    <cellStyle name="Normal 2 57 4 5" xfId="12983" xr:uid="{00000000-0005-0000-0000-0000A6320000}"/>
    <cellStyle name="Normal 2 57 4 5 2" xfId="12984" xr:uid="{00000000-0005-0000-0000-0000A7320000}"/>
    <cellStyle name="Normal 2 57 4 5 3" xfId="12985" xr:uid="{00000000-0005-0000-0000-0000A8320000}"/>
    <cellStyle name="Normal 2 57 4 6" xfId="12986" xr:uid="{00000000-0005-0000-0000-0000A9320000}"/>
    <cellStyle name="Normal 2 57 4 6 2" xfId="12987" xr:uid="{00000000-0005-0000-0000-0000AA320000}"/>
    <cellStyle name="Normal 2 57 4 6 3" xfId="12988" xr:uid="{00000000-0005-0000-0000-0000AB320000}"/>
    <cellStyle name="Normal 2 57 4 7" xfId="12989" xr:uid="{00000000-0005-0000-0000-0000AC320000}"/>
    <cellStyle name="Normal 2 57 4 7 2" xfId="12990" xr:uid="{00000000-0005-0000-0000-0000AD320000}"/>
    <cellStyle name="Normal 2 57 4 7 3" xfId="12991" xr:uid="{00000000-0005-0000-0000-0000AE320000}"/>
    <cellStyle name="Normal 2 57 4 8" xfId="12992" xr:uid="{00000000-0005-0000-0000-0000AF320000}"/>
    <cellStyle name="Normal 2 57 4 8 2" xfId="12993" xr:uid="{00000000-0005-0000-0000-0000B0320000}"/>
    <cellStyle name="Normal 2 57 4 8 3" xfId="12994" xr:uid="{00000000-0005-0000-0000-0000B1320000}"/>
    <cellStyle name="Normal 2 57 4 9" xfId="12995" xr:uid="{00000000-0005-0000-0000-0000B2320000}"/>
    <cellStyle name="Normal 2 57 4 9 2" xfId="12996" xr:uid="{00000000-0005-0000-0000-0000B3320000}"/>
    <cellStyle name="Normal 2 57 4 9 3" xfId="12997" xr:uid="{00000000-0005-0000-0000-0000B4320000}"/>
    <cellStyle name="Normal 2 57 5" xfId="12998" xr:uid="{00000000-0005-0000-0000-0000B5320000}"/>
    <cellStyle name="Normal 2 57 5 10" xfId="12999" xr:uid="{00000000-0005-0000-0000-0000B6320000}"/>
    <cellStyle name="Normal 2 57 5 10 2" xfId="13000" xr:uid="{00000000-0005-0000-0000-0000B7320000}"/>
    <cellStyle name="Normal 2 57 5 10 3" xfId="13001" xr:uid="{00000000-0005-0000-0000-0000B8320000}"/>
    <cellStyle name="Normal 2 57 5 11" xfId="13002" xr:uid="{00000000-0005-0000-0000-0000B9320000}"/>
    <cellStyle name="Normal 2 57 5 11 2" xfId="13003" xr:uid="{00000000-0005-0000-0000-0000BA320000}"/>
    <cellStyle name="Normal 2 57 5 11 3" xfId="13004" xr:uid="{00000000-0005-0000-0000-0000BB320000}"/>
    <cellStyle name="Normal 2 57 5 12" xfId="13005" xr:uid="{00000000-0005-0000-0000-0000BC320000}"/>
    <cellStyle name="Normal 2 57 5 12 2" xfId="13006" xr:uid="{00000000-0005-0000-0000-0000BD320000}"/>
    <cellStyle name="Normal 2 57 5 12 3" xfId="13007" xr:uid="{00000000-0005-0000-0000-0000BE320000}"/>
    <cellStyle name="Normal 2 57 5 13" xfId="13008" xr:uid="{00000000-0005-0000-0000-0000BF320000}"/>
    <cellStyle name="Normal 2 57 5 13 2" xfId="13009" xr:uid="{00000000-0005-0000-0000-0000C0320000}"/>
    <cellStyle name="Normal 2 57 5 13 3" xfId="13010" xr:uid="{00000000-0005-0000-0000-0000C1320000}"/>
    <cellStyle name="Normal 2 57 5 14" xfId="13011" xr:uid="{00000000-0005-0000-0000-0000C2320000}"/>
    <cellStyle name="Normal 2 57 5 14 2" xfId="13012" xr:uid="{00000000-0005-0000-0000-0000C3320000}"/>
    <cellStyle name="Normal 2 57 5 14 3" xfId="13013" xr:uid="{00000000-0005-0000-0000-0000C4320000}"/>
    <cellStyle name="Normal 2 57 5 15" xfId="13014" xr:uid="{00000000-0005-0000-0000-0000C5320000}"/>
    <cellStyle name="Normal 2 57 5 16" xfId="13015" xr:uid="{00000000-0005-0000-0000-0000C6320000}"/>
    <cellStyle name="Normal 2 57 5 2" xfId="13016" xr:uid="{00000000-0005-0000-0000-0000C7320000}"/>
    <cellStyle name="Normal 2 57 5 2 2" xfId="13017" xr:uid="{00000000-0005-0000-0000-0000C8320000}"/>
    <cellStyle name="Normal 2 57 5 2 3" xfId="13018" xr:uid="{00000000-0005-0000-0000-0000C9320000}"/>
    <cellStyle name="Normal 2 57 5 3" xfId="13019" xr:uid="{00000000-0005-0000-0000-0000CA320000}"/>
    <cellStyle name="Normal 2 57 5 3 2" xfId="13020" xr:uid="{00000000-0005-0000-0000-0000CB320000}"/>
    <cellStyle name="Normal 2 57 5 3 3" xfId="13021" xr:uid="{00000000-0005-0000-0000-0000CC320000}"/>
    <cellStyle name="Normal 2 57 5 4" xfId="13022" xr:uid="{00000000-0005-0000-0000-0000CD320000}"/>
    <cellStyle name="Normal 2 57 5 4 2" xfId="13023" xr:uid="{00000000-0005-0000-0000-0000CE320000}"/>
    <cellStyle name="Normal 2 57 5 4 3" xfId="13024" xr:uid="{00000000-0005-0000-0000-0000CF320000}"/>
    <cellStyle name="Normal 2 57 5 5" xfId="13025" xr:uid="{00000000-0005-0000-0000-0000D0320000}"/>
    <cellStyle name="Normal 2 57 5 5 2" xfId="13026" xr:uid="{00000000-0005-0000-0000-0000D1320000}"/>
    <cellStyle name="Normal 2 57 5 5 3" xfId="13027" xr:uid="{00000000-0005-0000-0000-0000D2320000}"/>
    <cellStyle name="Normal 2 57 5 6" xfId="13028" xr:uid="{00000000-0005-0000-0000-0000D3320000}"/>
    <cellStyle name="Normal 2 57 5 6 2" xfId="13029" xr:uid="{00000000-0005-0000-0000-0000D4320000}"/>
    <cellStyle name="Normal 2 57 5 6 3" xfId="13030" xr:uid="{00000000-0005-0000-0000-0000D5320000}"/>
    <cellStyle name="Normal 2 57 5 7" xfId="13031" xr:uid="{00000000-0005-0000-0000-0000D6320000}"/>
    <cellStyle name="Normal 2 57 5 7 2" xfId="13032" xr:uid="{00000000-0005-0000-0000-0000D7320000}"/>
    <cellStyle name="Normal 2 57 5 7 3" xfId="13033" xr:uid="{00000000-0005-0000-0000-0000D8320000}"/>
    <cellStyle name="Normal 2 57 5 8" xfId="13034" xr:uid="{00000000-0005-0000-0000-0000D9320000}"/>
    <cellStyle name="Normal 2 57 5 8 2" xfId="13035" xr:uid="{00000000-0005-0000-0000-0000DA320000}"/>
    <cellStyle name="Normal 2 57 5 8 3" xfId="13036" xr:uid="{00000000-0005-0000-0000-0000DB320000}"/>
    <cellStyle name="Normal 2 57 5 9" xfId="13037" xr:uid="{00000000-0005-0000-0000-0000DC320000}"/>
    <cellStyle name="Normal 2 57 5 9 2" xfId="13038" xr:uid="{00000000-0005-0000-0000-0000DD320000}"/>
    <cellStyle name="Normal 2 57 5 9 3" xfId="13039" xr:uid="{00000000-0005-0000-0000-0000DE320000}"/>
    <cellStyle name="Normal 2 57 6" xfId="13040" xr:uid="{00000000-0005-0000-0000-0000DF320000}"/>
    <cellStyle name="Normal 2 57 6 10" xfId="13041" xr:uid="{00000000-0005-0000-0000-0000E0320000}"/>
    <cellStyle name="Normal 2 57 6 10 2" xfId="13042" xr:uid="{00000000-0005-0000-0000-0000E1320000}"/>
    <cellStyle name="Normal 2 57 6 10 3" xfId="13043" xr:uid="{00000000-0005-0000-0000-0000E2320000}"/>
    <cellStyle name="Normal 2 57 6 11" xfId="13044" xr:uid="{00000000-0005-0000-0000-0000E3320000}"/>
    <cellStyle name="Normal 2 57 6 11 2" xfId="13045" xr:uid="{00000000-0005-0000-0000-0000E4320000}"/>
    <cellStyle name="Normal 2 57 6 11 3" xfId="13046" xr:uid="{00000000-0005-0000-0000-0000E5320000}"/>
    <cellStyle name="Normal 2 57 6 12" xfId="13047" xr:uid="{00000000-0005-0000-0000-0000E6320000}"/>
    <cellStyle name="Normal 2 57 6 12 2" xfId="13048" xr:uid="{00000000-0005-0000-0000-0000E7320000}"/>
    <cellStyle name="Normal 2 57 6 12 3" xfId="13049" xr:uid="{00000000-0005-0000-0000-0000E8320000}"/>
    <cellStyle name="Normal 2 57 6 13" xfId="13050" xr:uid="{00000000-0005-0000-0000-0000E9320000}"/>
    <cellStyle name="Normal 2 57 6 13 2" xfId="13051" xr:uid="{00000000-0005-0000-0000-0000EA320000}"/>
    <cellStyle name="Normal 2 57 6 13 3" xfId="13052" xr:uid="{00000000-0005-0000-0000-0000EB320000}"/>
    <cellStyle name="Normal 2 57 6 14" xfId="13053" xr:uid="{00000000-0005-0000-0000-0000EC320000}"/>
    <cellStyle name="Normal 2 57 6 14 2" xfId="13054" xr:uid="{00000000-0005-0000-0000-0000ED320000}"/>
    <cellStyle name="Normal 2 57 6 14 3" xfId="13055" xr:uid="{00000000-0005-0000-0000-0000EE320000}"/>
    <cellStyle name="Normal 2 57 6 15" xfId="13056" xr:uid="{00000000-0005-0000-0000-0000EF320000}"/>
    <cellStyle name="Normal 2 57 6 16" xfId="13057" xr:uid="{00000000-0005-0000-0000-0000F0320000}"/>
    <cellStyle name="Normal 2 57 6 2" xfId="13058" xr:uid="{00000000-0005-0000-0000-0000F1320000}"/>
    <cellStyle name="Normal 2 57 6 2 2" xfId="13059" xr:uid="{00000000-0005-0000-0000-0000F2320000}"/>
    <cellStyle name="Normal 2 57 6 2 3" xfId="13060" xr:uid="{00000000-0005-0000-0000-0000F3320000}"/>
    <cellStyle name="Normal 2 57 6 3" xfId="13061" xr:uid="{00000000-0005-0000-0000-0000F4320000}"/>
    <cellStyle name="Normal 2 57 6 3 2" xfId="13062" xr:uid="{00000000-0005-0000-0000-0000F5320000}"/>
    <cellStyle name="Normal 2 57 6 3 3" xfId="13063" xr:uid="{00000000-0005-0000-0000-0000F6320000}"/>
    <cellStyle name="Normal 2 57 6 4" xfId="13064" xr:uid="{00000000-0005-0000-0000-0000F7320000}"/>
    <cellStyle name="Normal 2 57 6 4 2" xfId="13065" xr:uid="{00000000-0005-0000-0000-0000F8320000}"/>
    <cellStyle name="Normal 2 57 6 4 3" xfId="13066" xr:uid="{00000000-0005-0000-0000-0000F9320000}"/>
    <cellStyle name="Normal 2 57 6 5" xfId="13067" xr:uid="{00000000-0005-0000-0000-0000FA320000}"/>
    <cellStyle name="Normal 2 57 6 5 2" xfId="13068" xr:uid="{00000000-0005-0000-0000-0000FB320000}"/>
    <cellStyle name="Normal 2 57 6 5 3" xfId="13069" xr:uid="{00000000-0005-0000-0000-0000FC320000}"/>
    <cellStyle name="Normal 2 57 6 6" xfId="13070" xr:uid="{00000000-0005-0000-0000-0000FD320000}"/>
    <cellStyle name="Normal 2 57 6 6 2" xfId="13071" xr:uid="{00000000-0005-0000-0000-0000FE320000}"/>
    <cellStyle name="Normal 2 57 6 6 3" xfId="13072" xr:uid="{00000000-0005-0000-0000-0000FF320000}"/>
    <cellStyle name="Normal 2 57 6 7" xfId="13073" xr:uid="{00000000-0005-0000-0000-000000330000}"/>
    <cellStyle name="Normal 2 57 6 7 2" xfId="13074" xr:uid="{00000000-0005-0000-0000-000001330000}"/>
    <cellStyle name="Normal 2 57 6 7 3" xfId="13075" xr:uid="{00000000-0005-0000-0000-000002330000}"/>
    <cellStyle name="Normal 2 57 6 8" xfId="13076" xr:uid="{00000000-0005-0000-0000-000003330000}"/>
    <cellStyle name="Normal 2 57 6 8 2" xfId="13077" xr:uid="{00000000-0005-0000-0000-000004330000}"/>
    <cellStyle name="Normal 2 57 6 8 3" xfId="13078" xr:uid="{00000000-0005-0000-0000-000005330000}"/>
    <cellStyle name="Normal 2 57 6 9" xfId="13079" xr:uid="{00000000-0005-0000-0000-000006330000}"/>
    <cellStyle name="Normal 2 57 6 9 2" xfId="13080" xr:uid="{00000000-0005-0000-0000-000007330000}"/>
    <cellStyle name="Normal 2 57 6 9 3" xfId="13081" xr:uid="{00000000-0005-0000-0000-000008330000}"/>
    <cellStyle name="Normal 2 57 7" xfId="13082" xr:uid="{00000000-0005-0000-0000-000009330000}"/>
    <cellStyle name="Normal 2 57 7 10" xfId="13083" xr:uid="{00000000-0005-0000-0000-00000A330000}"/>
    <cellStyle name="Normal 2 57 7 10 2" xfId="13084" xr:uid="{00000000-0005-0000-0000-00000B330000}"/>
    <cellStyle name="Normal 2 57 7 10 3" xfId="13085" xr:uid="{00000000-0005-0000-0000-00000C330000}"/>
    <cellStyle name="Normal 2 57 7 11" xfId="13086" xr:uid="{00000000-0005-0000-0000-00000D330000}"/>
    <cellStyle name="Normal 2 57 7 11 2" xfId="13087" xr:uid="{00000000-0005-0000-0000-00000E330000}"/>
    <cellStyle name="Normal 2 57 7 11 3" xfId="13088" xr:uid="{00000000-0005-0000-0000-00000F330000}"/>
    <cellStyle name="Normal 2 57 7 12" xfId="13089" xr:uid="{00000000-0005-0000-0000-000010330000}"/>
    <cellStyle name="Normal 2 57 7 12 2" xfId="13090" xr:uid="{00000000-0005-0000-0000-000011330000}"/>
    <cellStyle name="Normal 2 57 7 12 3" xfId="13091" xr:uid="{00000000-0005-0000-0000-000012330000}"/>
    <cellStyle name="Normal 2 57 7 13" xfId="13092" xr:uid="{00000000-0005-0000-0000-000013330000}"/>
    <cellStyle name="Normal 2 57 7 13 2" xfId="13093" xr:uid="{00000000-0005-0000-0000-000014330000}"/>
    <cellStyle name="Normal 2 57 7 13 3" xfId="13094" xr:uid="{00000000-0005-0000-0000-000015330000}"/>
    <cellStyle name="Normal 2 57 7 14" xfId="13095" xr:uid="{00000000-0005-0000-0000-000016330000}"/>
    <cellStyle name="Normal 2 57 7 14 2" xfId="13096" xr:uid="{00000000-0005-0000-0000-000017330000}"/>
    <cellStyle name="Normal 2 57 7 14 3" xfId="13097" xr:uid="{00000000-0005-0000-0000-000018330000}"/>
    <cellStyle name="Normal 2 57 7 15" xfId="13098" xr:uid="{00000000-0005-0000-0000-000019330000}"/>
    <cellStyle name="Normal 2 57 7 16" xfId="13099" xr:uid="{00000000-0005-0000-0000-00001A330000}"/>
    <cellStyle name="Normal 2 57 7 2" xfId="13100" xr:uid="{00000000-0005-0000-0000-00001B330000}"/>
    <cellStyle name="Normal 2 57 7 2 2" xfId="13101" xr:uid="{00000000-0005-0000-0000-00001C330000}"/>
    <cellStyle name="Normal 2 57 7 2 3" xfId="13102" xr:uid="{00000000-0005-0000-0000-00001D330000}"/>
    <cellStyle name="Normal 2 57 7 3" xfId="13103" xr:uid="{00000000-0005-0000-0000-00001E330000}"/>
    <cellStyle name="Normal 2 57 7 3 2" xfId="13104" xr:uid="{00000000-0005-0000-0000-00001F330000}"/>
    <cellStyle name="Normal 2 57 7 3 3" xfId="13105" xr:uid="{00000000-0005-0000-0000-000020330000}"/>
    <cellStyle name="Normal 2 57 7 4" xfId="13106" xr:uid="{00000000-0005-0000-0000-000021330000}"/>
    <cellStyle name="Normal 2 57 7 4 2" xfId="13107" xr:uid="{00000000-0005-0000-0000-000022330000}"/>
    <cellStyle name="Normal 2 57 7 4 3" xfId="13108" xr:uid="{00000000-0005-0000-0000-000023330000}"/>
    <cellStyle name="Normal 2 57 7 5" xfId="13109" xr:uid="{00000000-0005-0000-0000-000024330000}"/>
    <cellStyle name="Normal 2 57 7 5 2" xfId="13110" xr:uid="{00000000-0005-0000-0000-000025330000}"/>
    <cellStyle name="Normal 2 57 7 5 3" xfId="13111" xr:uid="{00000000-0005-0000-0000-000026330000}"/>
    <cellStyle name="Normal 2 57 7 6" xfId="13112" xr:uid="{00000000-0005-0000-0000-000027330000}"/>
    <cellStyle name="Normal 2 57 7 6 2" xfId="13113" xr:uid="{00000000-0005-0000-0000-000028330000}"/>
    <cellStyle name="Normal 2 57 7 6 3" xfId="13114" xr:uid="{00000000-0005-0000-0000-000029330000}"/>
    <cellStyle name="Normal 2 57 7 7" xfId="13115" xr:uid="{00000000-0005-0000-0000-00002A330000}"/>
    <cellStyle name="Normal 2 57 7 7 2" xfId="13116" xr:uid="{00000000-0005-0000-0000-00002B330000}"/>
    <cellStyle name="Normal 2 57 7 7 3" xfId="13117" xr:uid="{00000000-0005-0000-0000-00002C330000}"/>
    <cellStyle name="Normal 2 57 7 8" xfId="13118" xr:uid="{00000000-0005-0000-0000-00002D330000}"/>
    <cellStyle name="Normal 2 57 7 8 2" xfId="13119" xr:uid="{00000000-0005-0000-0000-00002E330000}"/>
    <cellStyle name="Normal 2 57 7 8 3" xfId="13120" xr:uid="{00000000-0005-0000-0000-00002F330000}"/>
    <cellStyle name="Normal 2 57 7 9" xfId="13121" xr:uid="{00000000-0005-0000-0000-000030330000}"/>
    <cellStyle name="Normal 2 57 7 9 2" xfId="13122" xr:uid="{00000000-0005-0000-0000-000031330000}"/>
    <cellStyle name="Normal 2 57 7 9 3" xfId="13123" xr:uid="{00000000-0005-0000-0000-000032330000}"/>
    <cellStyle name="Normal 2 57 8" xfId="13124" xr:uid="{00000000-0005-0000-0000-000033330000}"/>
    <cellStyle name="Normal 2 57 8 10" xfId="13125" xr:uid="{00000000-0005-0000-0000-000034330000}"/>
    <cellStyle name="Normal 2 57 8 10 2" xfId="13126" xr:uid="{00000000-0005-0000-0000-000035330000}"/>
    <cellStyle name="Normal 2 57 8 10 3" xfId="13127" xr:uid="{00000000-0005-0000-0000-000036330000}"/>
    <cellStyle name="Normal 2 57 8 11" xfId="13128" xr:uid="{00000000-0005-0000-0000-000037330000}"/>
    <cellStyle name="Normal 2 57 8 11 2" xfId="13129" xr:uid="{00000000-0005-0000-0000-000038330000}"/>
    <cellStyle name="Normal 2 57 8 11 3" xfId="13130" xr:uid="{00000000-0005-0000-0000-000039330000}"/>
    <cellStyle name="Normal 2 57 8 12" xfId="13131" xr:uid="{00000000-0005-0000-0000-00003A330000}"/>
    <cellStyle name="Normal 2 57 8 12 2" xfId="13132" xr:uid="{00000000-0005-0000-0000-00003B330000}"/>
    <cellStyle name="Normal 2 57 8 12 3" xfId="13133" xr:uid="{00000000-0005-0000-0000-00003C330000}"/>
    <cellStyle name="Normal 2 57 8 13" xfId="13134" xr:uid="{00000000-0005-0000-0000-00003D330000}"/>
    <cellStyle name="Normal 2 57 8 13 2" xfId="13135" xr:uid="{00000000-0005-0000-0000-00003E330000}"/>
    <cellStyle name="Normal 2 57 8 13 3" xfId="13136" xr:uid="{00000000-0005-0000-0000-00003F330000}"/>
    <cellStyle name="Normal 2 57 8 14" xfId="13137" xr:uid="{00000000-0005-0000-0000-000040330000}"/>
    <cellStyle name="Normal 2 57 8 14 2" xfId="13138" xr:uid="{00000000-0005-0000-0000-000041330000}"/>
    <cellStyle name="Normal 2 57 8 14 3" xfId="13139" xr:uid="{00000000-0005-0000-0000-000042330000}"/>
    <cellStyle name="Normal 2 57 8 15" xfId="13140" xr:uid="{00000000-0005-0000-0000-000043330000}"/>
    <cellStyle name="Normal 2 57 8 16" xfId="13141" xr:uid="{00000000-0005-0000-0000-000044330000}"/>
    <cellStyle name="Normal 2 57 8 2" xfId="13142" xr:uid="{00000000-0005-0000-0000-000045330000}"/>
    <cellStyle name="Normal 2 57 8 2 2" xfId="13143" xr:uid="{00000000-0005-0000-0000-000046330000}"/>
    <cellStyle name="Normal 2 57 8 2 3" xfId="13144" xr:uid="{00000000-0005-0000-0000-000047330000}"/>
    <cellStyle name="Normal 2 57 8 3" xfId="13145" xr:uid="{00000000-0005-0000-0000-000048330000}"/>
    <cellStyle name="Normal 2 57 8 3 2" xfId="13146" xr:uid="{00000000-0005-0000-0000-000049330000}"/>
    <cellStyle name="Normal 2 57 8 3 3" xfId="13147" xr:uid="{00000000-0005-0000-0000-00004A330000}"/>
    <cellStyle name="Normal 2 57 8 4" xfId="13148" xr:uid="{00000000-0005-0000-0000-00004B330000}"/>
    <cellStyle name="Normal 2 57 8 4 2" xfId="13149" xr:uid="{00000000-0005-0000-0000-00004C330000}"/>
    <cellStyle name="Normal 2 57 8 4 3" xfId="13150" xr:uid="{00000000-0005-0000-0000-00004D330000}"/>
    <cellStyle name="Normal 2 57 8 5" xfId="13151" xr:uid="{00000000-0005-0000-0000-00004E330000}"/>
    <cellStyle name="Normal 2 57 8 5 2" xfId="13152" xr:uid="{00000000-0005-0000-0000-00004F330000}"/>
    <cellStyle name="Normal 2 57 8 5 3" xfId="13153" xr:uid="{00000000-0005-0000-0000-000050330000}"/>
    <cellStyle name="Normal 2 57 8 6" xfId="13154" xr:uid="{00000000-0005-0000-0000-000051330000}"/>
    <cellStyle name="Normal 2 57 8 6 2" xfId="13155" xr:uid="{00000000-0005-0000-0000-000052330000}"/>
    <cellStyle name="Normal 2 57 8 6 3" xfId="13156" xr:uid="{00000000-0005-0000-0000-000053330000}"/>
    <cellStyle name="Normal 2 57 8 7" xfId="13157" xr:uid="{00000000-0005-0000-0000-000054330000}"/>
    <cellStyle name="Normal 2 57 8 7 2" xfId="13158" xr:uid="{00000000-0005-0000-0000-000055330000}"/>
    <cellStyle name="Normal 2 57 8 7 3" xfId="13159" xr:uid="{00000000-0005-0000-0000-000056330000}"/>
    <cellStyle name="Normal 2 57 8 8" xfId="13160" xr:uid="{00000000-0005-0000-0000-000057330000}"/>
    <cellStyle name="Normal 2 57 8 8 2" xfId="13161" xr:uid="{00000000-0005-0000-0000-000058330000}"/>
    <cellStyle name="Normal 2 57 8 8 3" xfId="13162" xr:uid="{00000000-0005-0000-0000-000059330000}"/>
    <cellStyle name="Normal 2 57 8 9" xfId="13163" xr:uid="{00000000-0005-0000-0000-00005A330000}"/>
    <cellStyle name="Normal 2 57 8 9 2" xfId="13164" xr:uid="{00000000-0005-0000-0000-00005B330000}"/>
    <cellStyle name="Normal 2 57 8 9 3" xfId="13165" xr:uid="{00000000-0005-0000-0000-00005C330000}"/>
    <cellStyle name="Normal 2 57 9" xfId="13166" xr:uid="{00000000-0005-0000-0000-00005D330000}"/>
    <cellStyle name="Normal 2 57 9 10" xfId="13167" xr:uid="{00000000-0005-0000-0000-00005E330000}"/>
    <cellStyle name="Normal 2 57 9 10 2" xfId="13168" xr:uid="{00000000-0005-0000-0000-00005F330000}"/>
    <cellStyle name="Normal 2 57 9 10 3" xfId="13169" xr:uid="{00000000-0005-0000-0000-000060330000}"/>
    <cellStyle name="Normal 2 57 9 11" xfId="13170" xr:uid="{00000000-0005-0000-0000-000061330000}"/>
    <cellStyle name="Normal 2 57 9 11 2" xfId="13171" xr:uid="{00000000-0005-0000-0000-000062330000}"/>
    <cellStyle name="Normal 2 57 9 11 3" xfId="13172" xr:uid="{00000000-0005-0000-0000-000063330000}"/>
    <cellStyle name="Normal 2 57 9 12" xfId="13173" xr:uid="{00000000-0005-0000-0000-000064330000}"/>
    <cellStyle name="Normal 2 57 9 12 2" xfId="13174" xr:uid="{00000000-0005-0000-0000-000065330000}"/>
    <cellStyle name="Normal 2 57 9 12 3" xfId="13175" xr:uid="{00000000-0005-0000-0000-000066330000}"/>
    <cellStyle name="Normal 2 57 9 13" xfId="13176" xr:uid="{00000000-0005-0000-0000-000067330000}"/>
    <cellStyle name="Normal 2 57 9 13 2" xfId="13177" xr:uid="{00000000-0005-0000-0000-000068330000}"/>
    <cellStyle name="Normal 2 57 9 13 3" xfId="13178" xr:uid="{00000000-0005-0000-0000-000069330000}"/>
    <cellStyle name="Normal 2 57 9 14" xfId="13179" xr:uid="{00000000-0005-0000-0000-00006A330000}"/>
    <cellStyle name="Normal 2 57 9 14 2" xfId="13180" xr:uid="{00000000-0005-0000-0000-00006B330000}"/>
    <cellStyle name="Normal 2 57 9 14 3" xfId="13181" xr:uid="{00000000-0005-0000-0000-00006C330000}"/>
    <cellStyle name="Normal 2 57 9 15" xfId="13182" xr:uid="{00000000-0005-0000-0000-00006D330000}"/>
    <cellStyle name="Normal 2 57 9 16" xfId="13183" xr:uid="{00000000-0005-0000-0000-00006E330000}"/>
    <cellStyle name="Normal 2 57 9 2" xfId="13184" xr:uid="{00000000-0005-0000-0000-00006F330000}"/>
    <cellStyle name="Normal 2 57 9 2 2" xfId="13185" xr:uid="{00000000-0005-0000-0000-000070330000}"/>
    <cellStyle name="Normal 2 57 9 2 3" xfId="13186" xr:uid="{00000000-0005-0000-0000-000071330000}"/>
    <cellStyle name="Normal 2 57 9 3" xfId="13187" xr:uid="{00000000-0005-0000-0000-000072330000}"/>
    <cellStyle name="Normal 2 57 9 3 2" xfId="13188" xr:uid="{00000000-0005-0000-0000-000073330000}"/>
    <cellStyle name="Normal 2 57 9 3 3" xfId="13189" xr:uid="{00000000-0005-0000-0000-000074330000}"/>
    <cellStyle name="Normal 2 57 9 4" xfId="13190" xr:uid="{00000000-0005-0000-0000-000075330000}"/>
    <cellStyle name="Normal 2 57 9 4 2" xfId="13191" xr:uid="{00000000-0005-0000-0000-000076330000}"/>
    <cellStyle name="Normal 2 57 9 4 3" xfId="13192" xr:uid="{00000000-0005-0000-0000-000077330000}"/>
    <cellStyle name="Normal 2 57 9 5" xfId="13193" xr:uid="{00000000-0005-0000-0000-000078330000}"/>
    <cellStyle name="Normal 2 57 9 5 2" xfId="13194" xr:uid="{00000000-0005-0000-0000-000079330000}"/>
    <cellStyle name="Normal 2 57 9 5 3" xfId="13195" xr:uid="{00000000-0005-0000-0000-00007A330000}"/>
    <cellStyle name="Normal 2 57 9 6" xfId="13196" xr:uid="{00000000-0005-0000-0000-00007B330000}"/>
    <cellStyle name="Normal 2 57 9 6 2" xfId="13197" xr:uid="{00000000-0005-0000-0000-00007C330000}"/>
    <cellStyle name="Normal 2 57 9 6 3" xfId="13198" xr:uid="{00000000-0005-0000-0000-00007D330000}"/>
    <cellStyle name="Normal 2 57 9 7" xfId="13199" xr:uid="{00000000-0005-0000-0000-00007E330000}"/>
    <cellStyle name="Normal 2 57 9 7 2" xfId="13200" xr:uid="{00000000-0005-0000-0000-00007F330000}"/>
    <cellStyle name="Normal 2 57 9 7 3" xfId="13201" xr:uid="{00000000-0005-0000-0000-000080330000}"/>
    <cellStyle name="Normal 2 57 9 8" xfId="13202" xr:uid="{00000000-0005-0000-0000-000081330000}"/>
    <cellStyle name="Normal 2 57 9 8 2" xfId="13203" xr:uid="{00000000-0005-0000-0000-000082330000}"/>
    <cellStyle name="Normal 2 57 9 8 3" xfId="13204" xr:uid="{00000000-0005-0000-0000-000083330000}"/>
    <cellStyle name="Normal 2 57 9 9" xfId="13205" xr:uid="{00000000-0005-0000-0000-000084330000}"/>
    <cellStyle name="Normal 2 57 9 9 2" xfId="13206" xr:uid="{00000000-0005-0000-0000-000085330000}"/>
    <cellStyle name="Normal 2 57 9 9 3" xfId="13207" xr:uid="{00000000-0005-0000-0000-000086330000}"/>
    <cellStyle name="Normal 2 58" xfId="13208" xr:uid="{00000000-0005-0000-0000-000087330000}"/>
    <cellStyle name="Normal 2 58 10" xfId="13209" xr:uid="{00000000-0005-0000-0000-000088330000}"/>
    <cellStyle name="Normal 2 58 10 10" xfId="13210" xr:uid="{00000000-0005-0000-0000-000089330000}"/>
    <cellStyle name="Normal 2 58 10 10 2" xfId="13211" xr:uid="{00000000-0005-0000-0000-00008A330000}"/>
    <cellStyle name="Normal 2 58 10 10 3" xfId="13212" xr:uid="{00000000-0005-0000-0000-00008B330000}"/>
    <cellStyle name="Normal 2 58 10 11" xfId="13213" xr:uid="{00000000-0005-0000-0000-00008C330000}"/>
    <cellStyle name="Normal 2 58 10 11 2" xfId="13214" xr:uid="{00000000-0005-0000-0000-00008D330000}"/>
    <cellStyle name="Normal 2 58 10 11 3" xfId="13215" xr:uid="{00000000-0005-0000-0000-00008E330000}"/>
    <cellStyle name="Normal 2 58 10 12" xfId="13216" xr:uid="{00000000-0005-0000-0000-00008F330000}"/>
    <cellStyle name="Normal 2 58 10 12 2" xfId="13217" xr:uid="{00000000-0005-0000-0000-000090330000}"/>
    <cellStyle name="Normal 2 58 10 12 3" xfId="13218" xr:uid="{00000000-0005-0000-0000-000091330000}"/>
    <cellStyle name="Normal 2 58 10 13" xfId="13219" xr:uid="{00000000-0005-0000-0000-000092330000}"/>
    <cellStyle name="Normal 2 58 10 13 2" xfId="13220" xr:uid="{00000000-0005-0000-0000-000093330000}"/>
    <cellStyle name="Normal 2 58 10 13 3" xfId="13221" xr:uid="{00000000-0005-0000-0000-000094330000}"/>
    <cellStyle name="Normal 2 58 10 14" xfId="13222" xr:uid="{00000000-0005-0000-0000-000095330000}"/>
    <cellStyle name="Normal 2 58 10 14 2" xfId="13223" xr:uid="{00000000-0005-0000-0000-000096330000}"/>
    <cellStyle name="Normal 2 58 10 14 3" xfId="13224" xr:uid="{00000000-0005-0000-0000-000097330000}"/>
    <cellStyle name="Normal 2 58 10 15" xfId="13225" xr:uid="{00000000-0005-0000-0000-000098330000}"/>
    <cellStyle name="Normal 2 58 10 16" xfId="13226" xr:uid="{00000000-0005-0000-0000-000099330000}"/>
    <cellStyle name="Normal 2 58 10 2" xfId="13227" xr:uid="{00000000-0005-0000-0000-00009A330000}"/>
    <cellStyle name="Normal 2 58 10 2 2" xfId="13228" xr:uid="{00000000-0005-0000-0000-00009B330000}"/>
    <cellStyle name="Normal 2 58 10 2 3" xfId="13229" xr:uid="{00000000-0005-0000-0000-00009C330000}"/>
    <cellStyle name="Normal 2 58 10 3" xfId="13230" xr:uid="{00000000-0005-0000-0000-00009D330000}"/>
    <cellStyle name="Normal 2 58 10 3 2" xfId="13231" xr:uid="{00000000-0005-0000-0000-00009E330000}"/>
    <cellStyle name="Normal 2 58 10 3 3" xfId="13232" xr:uid="{00000000-0005-0000-0000-00009F330000}"/>
    <cellStyle name="Normal 2 58 10 4" xfId="13233" xr:uid="{00000000-0005-0000-0000-0000A0330000}"/>
    <cellStyle name="Normal 2 58 10 4 2" xfId="13234" xr:uid="{00000000-0005-0000-0000-0000A1330000}"/>
    <cellStyle name="Normal 2 58 10 4 3" xfId="13235" xr:uid="{00000000-0005-0000-0000-0000A2330000}"/>
    <cellStyle name="Normal 2 58 10 5" xfId="13236" xr:uid="{00000000-0005-0000-0000-0000A3330000}"/>
    <cellStyle name="Normal 2 58 10 5 2" xfId="13237" xr:uid="{00000000-0005-0000-0000-0000A4330000}"/>
    <cellStyle name="Normal 2 58 10 5 3" xfId="13238" xr:uid="{00000000-0005-0000-0000-0000A5330000}"/>
    <cellStyle name="Normal 2 58 10 6" xfId="13239" xr:uid="{00000000-0005-0000-0000-0000A6330000}"/>
    <cellStyle name="Normal 2 58 10 6 2" xfId="13240" xr:uid="{00000000-0005-0000-0000-0000A7330000}"/>
    <cellStyle name="Normal 2 58 10 6 3" xfId="13241" xr:uid="{00000000-0005-0000-0000-0000A8330000}"/>
    <cellStyle name="Normal 2 58 10 7" xfId="13242" xr:uid="{00000000-0005-0000-0000-0000A9330000}"/>
    <cellStyle name="Normal 2 58 10 7 2" xfId="13243" xr:uid="{00000000-0005-0000-0000-0000AA330000}"/>
    <cellStyle name="Normal 2 58 10 7 3" xfId="13244" xr:uid="{00000000-0005-0000-0000-0000AB330000}"/>
    <cellStyle name="Normal 2 58 10 8" xfId="13245" xr:uid="{00000000-0005-0000-0000-0000AC330000}"/>
    <cellStyle name="Normal 2 58 10 8 2" xfId="13246" xr:uid="{00000000-0005-0000-0000-0000AD330000}"/>
    <cellStyle name="Normal 2 58 10 8 3" xfId="13247" xr:uid="{00000000-0005-0000-0000-0000AE330000}"/>
    <cellStyle name="Normal 2 58 10 9" xfId="13248" xr:uid="{00000000-0005-0000-0000-0000AF330000}"/>
    <cellStyle name="Normal 2 58 10 9 2" xfId="13249" xr:uid="{00000000-0005-0000-0000-0000B0330000}"/>
    <cellStyle name="Normal 2 58 10 9 3" xfId="13250" xr:uid="{00000000-0005-0000-0000-0000B1330000}"/>
    <cellStyle name="Normal 2 58 11" xfId="13251" xr:uid="{00000000-0005-0000-0000-0000B2330000}"/>
    <cellStyle name="Normal 2 58 11 2" xfId="13252" xr:uid="{00000000-0005-0000-0000-0000B3330000}"/>
    <cellStyle name="Normal 2 58 11 3" xfId="13253" xr:uid="{00000000-0005-0000-0000-0000B4330000}"/>
    <cellStyle name="Normal 2 58 12" xfId="13254" xr:uid="{00000000-0005-0000-0000-0000B5330000}"/>
    <cellStyle name="Normal 2 58 12 2" xfId="13255" xr:uid="{00000000-0005-0000-0000-0000B6330000}"/>
    <cellStyle name="Normal 2 58 12 3" xfId="13256" xr:uid="{00000000-0005-0000-0000-0000B7330000}"/>
    <cellStyle name="Normal 2 58 13" xfId="13257" xr:uid="{00000000-0005-0000-0000-0000B8330000}"/>
    <cellStyle name="Normal 2 58 13 2" xfId="13258" xr:uid="{00000000-0005-0000-0000-0000B9330000}"/>
    <cellStyle name="Normal 2 58 13 3" xfId="13259" xr:uid="{00000000-0005-0000-0000-0000BA330000}"/>
    <cellStyle name="Normal 2 58 14" xfId="13260" xr:uid="{00000000-0005-0000-0000-0000BB330000}"/>
    <cellStyle name="Normal 2 58 14 2" xfId="13261" xr:uid="{00000000-0005-0000-0000-0000BC330000}"/>
    <cellStyle name="Normal 2 58 14 3" xfId="13262" xr:uid="{00000000-0005-0000-0000-0000BD330000}"/>
    <cellStyle name="Normal 2 58 15" xfId="13263" xr:uid="{00000000-0005-0000-0000-0000BE330000}"/>
    <cellStyle name="Normal 2 58 15 2" xfId="13264" xr:uid="{00000000-0005-0000-0000-0000BF330000}"/>
    <cellStyle name="Normal 2 58 15 3" xfId="13265" xr:uid="{00000000-0005-0000-0000-0000C0330000}"/>
    <cellStyle name="Normal 2 58 16" xfId="13266" xr:uid="{00000000-0005-0000-0000-0000C1330000}"/>
    <cellStyle name="Normal 2 58 16 2" xfId="13267" xr:uid="{00000000-0005-0000-0000-0000C2330000}"/>
    <cellStyle name="Normal 2 58 16 3" xfId="13268" xr:uid="{00000000-0005-0000-0000-0000C3330000}"/>
    <cellStyle name="Normal 2 58 17" xfId="13269" xr:uid="{00000000-0005-0000-0000-0000C4330000}"/>
    <cellStyle name="Normal 2 58 17 2" xfId="13270" xr:uid="{00000000-0005-0000-0000-0000C5330000}"/>
    <cellStyle name="Normal 2 58 17 3" xfId="13271" xr:uid="{00000000-0005-0000-0000-0000C6330000}"/>
    <cellStyle name="Normal 2 58 18" xfId="13272" xr:uid="{00000000-0005-0000-0000-0000C7330000}"/>
    <cellStyle name="Normal 2 58 18 2" xfId="13273" xr:uid="{00000000-0005-0000-0000-0000C8330000}"/>
    <cellStyle name="Normal 2 58 18 3" xfId="13274" xr:uid="{00000000-0005-0000-0000-0000C9330000}"/>
    <cellStyle name="Normal 2 58 19" xfId="13275" xr:uid="{00000000-0005-0000-0000-0000CA330000}"/>
    <cellStyle name="Normal 2 58 19 2" xfId="13276" xr:uid="{00000000-0005-0000-0000-0000CB330000}"/>
    <cellStyle name="Normal 2 58 19 3" xfId="13277" xr:uid="{00000000-0005-0000-0000-0000CC330000}"/>
    <cellStyle name="Normal 2 58 2" xfId="13278" xr:uid="{00000000-0005-0000-0000-0000CD330000}"/>
    <cellStyle name="Normal 2 58 2 10" xfId="13279" xr:uid="{00000000-0005-0000-0000-0000CE330000}"/>
    <cellStyle name="Normal 2 58 2 10 2" xfId="13280" xr:uid="{00000000-0005-0000-0000-0000CF330000}"/>
    <cellStyle name="Normal 2 58 2 10 3" xfId="13281" xr:uid="{00000000-0005-0000-0000-0000D0330000}"/>
    <cellStyle name="Normal 2 58 2 11" xfId="13282" xr:uid="{00000000-0005-0000-0000-0000D1330000}"/>
    <cellStyle name="Normal 2 58 2 11 2" xfId="13283" xr:uid="{00000000-0005-0000-0000-0000D2330000}"/>
    <cellStyle name="Normal 2 58 2 11 3" xfId="13284" xr:uid="{00000000-0005-0000-0000-0000D3330000}"/>
    <cellStyle name="Normal 2 58 2 12" xfId="13285" xr:uid="{00000000-0005-0000-0000-0000D4330000}"/>
    <cellStyle name="Normal 2 58 2 12 2" xfId="13286" xr:uid="{00000000-0005-0000-0000-0000D5330000}"/>
    <cellStyle name="Normal 2 58 2 12 3" xfId="13287" xr:uid="{00000000-0005-0000-0000-0000D6330000}"/>
    <cellStyle name="Normal 2 58 2 13" xfId="13288" xr:uid="{00000000-0005-0000-0000-0000D7330000}"/>
    <cellStyle name="Normal 2 58 2 13 2" xfId="13289" xr:uid="{00000000-0005-0000-0000-0000D8330000}"/>
    <cellStyle name="Normal 2 58 2 13 3" xfId="13290" xr:uid="{00000000-0005-0000-0000-0000D9330000}"/>
    <cellStyle name="Normal 2 58 2 14" xfId="13291" xr:uid="{00000000-0005-0000-0000-0000DA330000}"/>
    <cellStyle name="Normal 2 58 2 14 2" xfId="13292" xr:uid="{00000000-0005-0000-0000-0000DB330000}"/>
    <cellStyle name="Normal 2 58 2 14 3" xfId="13293" xr:uid="{00000000-0005-0000-0000-0000DC330000}"/>
    <cellStyle name="Normal 2 58 2 15" xfId="13294" xr:uid="{00000000-0005-0000-0000-0000DD330000}"/>
    <cellStyle name="Normal 2 58 2 15 2" xfId="13295" xr:uid="{00000000-0005-0000-0000-0000DE330000}"/>
    <cellStyle name="Normal 2 58 2 15 3" xfId="13296" xr:uid="{00000000-0005-0000-0000-0000DF330000}"/>
    <cellStyle name="Normal 2 58 2 16" xfId="13297" xr:uid="{00000000-0005-0000-0000-0000E0330000}"/>
    <cellStyle name="Normal 2 58 2 17" xfId="13298" xr:uid="{00000000-0005-0000-0000-0000E1330000}"/>
    <cellStyle name="Normal 2 58 2 2" xfId="13299" xr:uid="{00000000-0005-0000-0000-0000E2330000}"/>
    <cellStyle name="Normal 2 58 2 2 10" xfId="13300" xr:uid="{00000000-0005-0000-0000-0000E3330000}"/>
    <cellStyle name="Normal 2 58 2 2 10 2" xfId="13301" xr:uid="{00000000-0005-0000-0000-0000E4330000}"/>
    <cellStyle name="Normal 2 58 2 2 10 3" xfId="13302" xr:uid="{00000000-0005-0000-0000-0000E5330000}"/>
    <cellStyle name="Normal 2 58 2 2 11" xfId="13303" xr:uid="{00000000-0005-0000-0000-0000E6330000}"/>
    <cellStyle name="Normal 2 58 2 2 11 2" xfId="13304" xr:uid="{00000000-0005-0000-0000-0000E7330000}"/>
    <cellStyle name="Normal 2 58 2 2 11 3" xfId="13305" xr:uid="{00000000-0005-0000-0000-0000E8330000}"/>
    <cellStyle name="Normal 2 58 2 2 12" xfId="13306" xr:uid="{00000000-0005-0000-0000-0000E9330000}"/>
    <cellStyle name="Normal 2 58 2 2 12 2" xfId="13307" xr:uid="{00000000-0005-0000-0000-0000EA330000}"/>
    <cellStyle name="Normal 2 58 2 2 12 3" xfId="13308" xr:uid="{00000000-0005-0000-0000-0000EB330000}"/>
    <cellStyle name="Normal 2 58 2 2 13" xfId="13309" xr:uid="{00000000-0005-0000-0000-0000EC330000}"/>
    <cellStyle name="Normal 2 58 2 2 13 2" xfId="13310" xr:uid="{00000000-0005-0000-0000-0000ED330000}"/>
    <cellStyle name="Normal 2 58 2 2 13 3" xfId="13311" xr:uid="{00000000-0005-0000-0000-0000EE330000}"/>
    <cellStyle name="Normal 2 58 2 2 14" xfId="13312" xr:uid="{00000000-0005-0000-0000-0000EF330000}"/>
    <cellStyle name="Normal 2 58 2 2 14 2" xfId="13313" xr:uid="{00000000-0005-0000-0000-0000F0330000}"/>
    <cellStyle name="Normal 2 58 2 2 14 3" xfId="13314" xr:uid="{00000000-0005-0000-0000-0000F1330000}"/>
    <cellStyle name="Normal 2 58 2 2 15" xfId="13315" xr:uid="{00000000-0005-0000-0000-0000F2330000}"/>
    <cellStyle name="Normal 2 58 2 2 16" xfId="13316" xr:uid="{00000000-0005-0000-0000-0000F3330000}"/>
    <cellStyle name="Normal 2 58 2 2 2" xfId="13317" xr:uid="{00000000-0005-0000-0000-0000F4330000}"/>
    <cellStyle name="Normal 2 58 2 2 2 2" xfId="13318" xr:uid="{00000000-0005-0000-0000-0000F5330000}"/>
    <cellStyle name="Normal 2 58 2 2 2 3" xfId="13319" xr:uid="{00000000-0005-0000-0000-0000F6330000}"/>
    <cellStyle name="Normal 2 58 2 2 3" xfId="13320" xr:uid="{00000000-0005-0000-0000-0000F7330000}"/>
    <cellStyle name="Normal 2 58 2 2 3 2" xfId="13321" xr:uid="{00000000-0005-0000-0000-0000F8330000}"/>
    <cellStyle name="Normal 2 58 2 2 3 3" xfId="13322" xr:uid="{00000000-0005-0000-0000-0000F9330000}"/>
    <cellStyle name="Normal 2 58 2 2 4" xfId="13323" xr:uid="{00000000-0005-0000-0000-0000FA330000}"/>
    <cellStyle name="Normal 2 58 2 2 4 2" xfId="13324" xr:uid="{00000000-0005-0000-0000-0000FB330000}"/>
    <cellStyle name="Normal 2 58 2 2 4 3" xfId="13325" xr:uid="{00000000-0005-0000-0000-0000FC330000}"/>
    <cellStyle name="Normal 2 58 2 2 5" xfId="13326" xr:uid="{00000000-0005-0000-0000-0000FD330000}"/>
    <cellStyle name="Normal 2 58 2 2 5 2" xfId="13327" xr:uid="{00000000-0005-0000-0000-0000FE330000}"/>
    <cellStyle name="Normal 2 58 2 2 5 3" xfId="13328" xr:uid="{00000000-0005-0000-0000-0000FF330000}"/>
    <cellStyle name="Normal 2 58 2 2 6" xfId="13329" xr:uid="{00000000-0005-0000-0000-000000340000}"/>
    <cellStyle name="Normal 2 58 2 2 6 2" xfId="13330" xr:uid="{00000000-0005-0000-0000-000001340000}"/>
    <cellStyle name="Normal 2 58 2 2 6 3" xfId="13331" xr:uid="{00000000-0005-0000-0000-000002340000}"/>
    <cellStyle name="Normal 2 58 2 2 7" xfId="13332" xr:uid="{00000000-0005-0000-0000-000003340000}"/>
    <cellStyle name="Normal 2 58 2 2 7 2" xfId="13333" xr:uid="{00000000-0005-0000-0000-000004340000}"/>
    <cellStyle name="Normal 2 58 2 2 7 3" xfId="13334" xr:uid="{00000000-0005-0000-0000-000005340000}"/>
    <cellStyle name="Normal 2 58 2 2 8" xfId="13335" xr:uid="{00000000-0005-0000-0000-000006340000}"/>
    <cellStyle name="Normal 2 58 2 2 8 2" xfId="13336" xr:uid="{00000000-0005-0000-0000-000007340000}"/>
    <cellStyle name="Normal 2 58 2 2 8 3" xfId="13337" xr:uid="{00000000-0005-0000-0000-000008340000}"/>
    <cellStyle name="Normal 2 58 2 2 9" xfId="13338" xr:uid="{00000000-0005-0000-0000-000009340000}"/>
    <cellStyle name="Normal 2 58 2 2 9 2" xfId="13339" xr:uid="{00000000-0005-0000-0000-00000A340000}"/>
    <cellStyle name="Normal 2 58 2 2 9 3" xfId="13340" xr:uid="{00000000-0005-0000-0000-00000B340000}"/>
    <cellStyle name="Normal 2 58 2 3" xfId="13341" xr:uid="{00000000-0005-0000-0000-00000C340000}"/>
    <cellStyle name="Normal 2 58 2 3 2" xfId="13342" xr:uid="{00000000-0005-0000-0000-00000D340000}"/>
    <cellStyle name="Normal 2 58 2 3 3" xfId="13343" xr:uid="{00000000-0005-0000-0000-00000E340000}"/>
    <cellStyle name="Normal 2 58 2 4" xfId="13344" xr:uid="{00000000-0005-0000-0000-00000F340000}"/>
    <cellStyle name="Normal 2 58 2 4 2" xfId="13345" xr:uid="{00000000-0005-0000-0000-000010340000}"/>
    <cellStyle name="Normal 2 58 2 4 3" xfId="13346" xr:uid="{00000000-0005-0000-0000-000011340000}"/>
    <cellStyle name="Normal 2 58 2 5" xfId="13347" xr:uid="{00000000-0005-0000-0000-000012340000}"/>
    <cellStyle name="Normal 2 58 2 5 2" xfId="13348" xr:uid="{00000000-0005-0000-0000-000013340000}"/>
    <cellStyle name="Normal 2 58 2 5 3" xfId="13349" xr:uid="{00000000-0005-0000-0000-000014340000}"/>
    <cellStyle name="Normal 2 58 2 6" xfId="13350" xr:uid="{00000000-0005-0000-0000-000015340000}"/>
    <cellStyle name="Normal 2 58 2 6 2" xfId="13351" xr:uid="{00000000-0005-0000-0000-000016340000}"/>
    <cellStyle name="Normal 2 58 2 6 3" xfId="13352" xr:uid="{00000000-0005-0000-0000-000017340000}"/>
    <cellStyle name="Normal 2 58 2 7" xfId="13353" xr:uid="{00000000-0005-0000-0000-000018340000}"/>
    <cellStyle name="Normal 2 58 2 7 2" xfId="13354" xr:uid="{00000000-0005-0000-0000-000019340000}"/>
    <cellStyle name="Normal 2 58 2 7 3" xfId="13355" xr:uid="{00000000-0005-0000-0000-00001A340000}"/>
    <cellStyle name="Normal 2 58 2 8" xfId="13356" xr:uid="{00000000-0005-0000-0000-00001B340000}"/>
    <cellStyle name="Normal 2 58 2 8 2" xfId="13357" xr:uid="{00000000-0005-0000-0000-00001C340000}"/>
    <cellStyle name="Normal 2 58 2 8 3" xfId="13358" xr:uid="{00000000-0005-0000-0000-00001D340000}"/>
    <cellStyle name="Normal 2 58 2 9" xfId="13359" xr:uid="{00000000-0005-0000-0000-00001E340000}"/>
    <cellStyle name="Normal 2 58 2 9 2" xfId="13360" xr:uid="{00000000-0005-0000-0000-00001F340000}"/>
    <cellStyle name="Normal 2 58 2 9 3" xfId="13361" xr:uid="{00000000-0005-0000-0000-000020340000}"/>
    <cellStyle name="Normal 2 58 20" xfId="13362" xr:uid="{00000000-0005-0000-0000-000021340000}"/>
    <cellStyle name="Normal 2 58 20 2" xfId="13363" xr:uid="{00000000-0005-0000-0000-000022340000}"/>
    <cellStyle name="Normal 2 58 20 3" xfId="13364" xr:uid="{00000000-0005-0000-0000-000023340000}"/>
    <cellStyle name="Normal 2 58 21" xfId="13365" xr:uid="{00000000-0005-0000-0000-000024340000}"/>
    <cellStyle name="Normal 2 58 21 2" xfId="13366" xr:uid="{00000000-0005-0000-0000-000025340000}"/>
    <cellStyle name="Normal 2 58 21 3" xfId="13367" xr:uid="{00000000-0005-0000-0000-000026340000}"/>
    <cellStyle name="Normal 2 58 22" xfId="13368" xr:uid="{00000000-0005-0000-0000-000027340000}"/>
    <cellStyle name="Normal 2 58 22 2" xfId="13369" xr:uid="{00000000-0005-0000-0000-000028340000}"/>
    <cellStyle name="Normal 2 58 22 3" xfId="13370" xr:uid="{00000000-0005-0000-0000-000029340000}"/>
    <cellStyle name="Normal 2 58 23" xfId="13371" xr:uid="{00000000-0005-0000-0000-00002A340000}"/>
    <cellStyle name="Normal 2 58 23 2" xfId="13372" xr:uid="{00000000-0005-0000-0000-00002B340000}"/>
    <cellStyle name="Normal 2 58 23 3" xfId="13373" xr:uid="{00000000-0005-0000-0000-00002C340000}"/>
    <cellStyle name="Normal 2 58 24" xfId="13374" xr:uid="{00000000-0005-0000-0000-00002D340000}"/>
    <cellStyle name="Normal 2 58 25" xfId="13375" xr:uid="{00000000-0005-0000-0000-00002E340000}"/>
    <cellStyle name="Normal 2 58 3" xfId="13376" xr:uid="{00000000-0005-0000-0000-00002F340000}"/>
    <cellStyle name="Normal 2 58 3 10" xfId="13377" xr:uid="{00000000-0005-0000-0000-000030340000}"/>
    <cellStyle name="Normal 2 58 3 10 2" xfId="13378" xr:uid="{00000000-0005-0000-0000-000031340000}"/>
    <cellStyle name="Normal 2 58 3 10 3" xfId="13379" xr:uid="{00000000-0005-0000-0000-000032340000}"/>
    <cellStyle name="Normal 2 58 3 11" xfId="13380" xr:uid="{00000000-0005-0000-0000-000033340000}"/>
    <cellStyle name="Normal 2 58 3 11 2" xfId="13381" xr:uid="{00000000-0005-0000-0000-000034340000}"/>
    <cellStyle name="Normal 2 58 3 11 3" xfId="13382" xr:uid="{00000000-0005-0000-0000-000035340000}"/>
    <cellStyle name="Normal 2 58 3 12" xfId="13383" xr:uid="{00000000-0005-0000-0000-000036340000}"/>
    <cellStyle name="Normal 2 58 3 12 2" xfId="13384" xr:uid="{00000000-0005-0000-0000-000037340000}"/>
    <cellStyle name="Normal 2 58 3 12 3" xfId="13385" xr:uid="{00000000-0005-0000-0000-000038340000}"/>
    <cellStyle name="Normal 2 58 3 13" xfId="13386" xr:uid="{00000000-0005-0000-0000-000039340000}"/>
    <cellStyle name="Normal 2 58 3 13 2" xfId="13387" xr:uid="{00000000-0005-0000-0000-00003A340000}"/>
    <cellStyle name="Normal 2 58 3 13 3" xfId="13388" xr:uid="{00000000-0005-0000-0000-00003B340000}"/>
    <cellStyle name="Normal 2 58 3 14" xfId="13389" xr:uid="{00000000-0005-0000-0000-00003C340000}"/>
    <cellStyle name="Normal 2 58 3 14 2" xfId="13390" xr:uid="{00000000-0005-0000-0000-00003D340000}"/>
    <cellStyle name="Normal 2 58 3 14 3" xfId="13391" xr:uid="{00000000-0005-0000-0000-00003E340000}"/>
    <cellStyle name="Normal 2 58 3 15" xfId="13392" xr:uid="{00000000-0005-0000-0000-00003F340000}"/>
    <cellStyle name="Normal 2 58 3 15 2" xfId="13393" xr:uid="{00000000-0005-0000-0000-000040340000}"/>
    <cellStyle name="Normal 2 58 3 15 3" xfId="13394" xr:uid="{00000000-0005-0000-0000-000041340000}"/>
    <cellStyle name="Normal 2 58 3 16" xfId="13395" xr:uid="{00000000-0005-0000-0000-000042340000}"/>
    <cellStyle name="Normal 2 58 3 17" xfId="13396" xr:uid="{00000000-0005-0000-0000-000043340000}"/>
    <cellStyle name="Normal 2 58 3 2" xfId="13397" xr:uid="{00000000-0005-0000-0000-000044340000}"/>
    <cellStyle name="Normal 2 58 3 2 10" xfId="13398" xr:uid="{00000000-0005-0000-0000-000045340000}"/>
    <cellStyle name="Normal 2 58 3 2 10 2" xfId="13399" xr:uid="{00000000-0005-0000-0000-000046340000}"/>
    <cellStyle name="Normal 2 58 3 2 10 3" xfId="13400" xr:uid="{00000000-0005-0000-0000-000047340000}"/>
    <cellStyle name="Normal 2 58 3 2 11" xfId="13401" xr:uid="{00000000-0005-0000-0000-000048340000}"/>
    <cellStyle name="Normal 2 58 3 2 11 2" xfId="13402" xr:uid="{00000000-0005-0000-0000-000049340000}"/>
    <cellStyle name="Normal 2 58 3 2 11 3" xfId="13403" xr:uid="{00000000-0005-0000-0000-00004A340000}"/>
    <cellStyle name="Normal 2 58 3 2 12" xfId="13404" xr:uid="{00000000-0005-0000-0000-00004B340000}"/>
    <cellStyle name="Normal 2 58 3 2 12 2" xfId="13405" xr:uid="{00000000-0005-0000-0000-00004C340000}"/>
    <cellStyle name="Normal 2 58 3 2 12 3" xfId="13406" xr:uid="{00000000-0005-0000-0000-00004D340000}"/>
    <cellStyle name="Normal 2 58 3 2 13" xfId="13407" xr:uid="{00000000-0005-0000-0000-00004E340000}"/>
    <cellStyle name="Normal 2 58 3 2 13 2" xfId="13408" xr:uid="{00000000-0005-0000-0000-00004F340000}"/>
    <cellStyle name="Normal 2 58 3 2 13 3" xfId="13409" xr:uid="{00000000-0005-0000-0000-000050340000}"/>
    <cellStyle name="Normal 2 58 3 2 14" xfId="13410" xr:uid="{00000000-0005-0000-0000-000051340000}"/>
    <cellStyle name="Normal 2 58 3 2 14 2" xfId="13411" xr:uid="{00000000-0005-0000-0000-000052340000}"/>
    <cellStyle name="Normal 2 58 3 2 14 3" xfId="13412" xr:uid="{00000000-0005-0000-0000-000053340000}"/>
    <cellStyle name="Normal 2 58 3 2 15" xfId="13413" xr:uid="{00000000-0005-0000-0000-000054340000}"/>
    <cellStyle name="Normal 2 58 3 2 16" xfId="13414" xr:uid="{00000000-0005-0000-0000-000055340000}"/>
    <cellStyle name="Normal 2 58 3 2 2" xfId="13415" xr:uid="{00000000-0005-0000-0000-000056340000}"/>
    <cellStyle name="Normal 2 58 3 2 2 2" xfId="13416" xr:uid="{00000000-0005-0000-0000-000057340000}"/>
    <cellStyle name="Normal 2 58 3 2 2 3" xfId="13417" xr:uid="{00000000-0005-0000-0000-000058340000}"/>
    <cellStyle name="Normal 2 58 3 2 3" xfId="13418" xr:uid="{00000000-0005-0000-0000-000059340000}"/>
    <cellStyle name="Normal 2 58 3 2 3 2" xfId="13419" xr:uid="{00000000-0005-0000-0000-00005A340000}"/>
    <cellStyle name="Normal 2 58 3 2 3 3" xfId="13420" xr:uid="{00000000-0005-0000-0000-00005B340000}"/>
    <cellStyle name="Normal 2 58 3 2 4" xfId="13421" xr:uid="{00000000-0005-0000-0000-00005C340000}"/>
    <cellStyle name="Normal 2 58 3 2 4 2" xfId="13422" xr:uid="{00000000-0005-0000-0000-00005D340000}"/>
    <cellStyle name="Normal 2 58 3 2 4 3" xfId="13423" xr:uid="{00000000-0005-0000-0000-00005E340000}"/>
    <cellStyle name="Normal 2 58 3 2 5" xfId="13424" xr:uid="{00000000-0005-0000-0000-00005F340000}"/>
    <cellStyle name="Normal 2 58 3 2 5 2" xfId="13425" xr:uid="{00000000-0005-0000-0000-000060340000}"/>
    <cellStyle name="Normal 2 58 3 2 5 3" xfId="13426" xr:uid="{00000000-0005-0000-0000-000061340000}"/>
    <cellStyle name="Normal 2 58 3 2 6" xfId="13427" xr:uid="{00000000-0005-0000-0000-000062340000}"/>
    <cellStyle name="Normal 2 58 3 2 6 2" xfId="13428" xr:uid="{00000000-0005-0000-0000-000063340000}"/>
    <cellStyle name="Normal 2 58 3 2 6 3" xfId="13429" xr:uid="{00000000-0005-0000-0000-000064340000}"/>
    <cellStyle name="Normal 2 58 3 2 7" xfId="13430" xr:uid="{00000000-0005-0000-0000-000065340000}"/>
    <cellStyle name="Normal 2 58 3 2 7 2" xfId="13431" xr:uid="{00000000-0005-0000-0000-000066340000}"/>
    <cellStyle name="Normal 2 58 3 2 7 3" xfId="13432" xr:uid="{00000000-0005-0000-0000-000067340000}"/>
    <cellStyle name="Normal 2 58 3 2 8" xfId="13433" xr:uid="{00000000-0005-0000-0000-000068340000}"/>
    <cellStyle name="Normal 2 58 3 2 8 2" xfId="13434" xr:uid="{00000000-0005-0000-0000-000069340000}"/>
    <cellStyle name="Normal 2 58 3 2 8 3" xfId="13435" xr:uid="{00000000-0005-0000-0000-00006A340000}"/>
    <cellStyle name="Normal 2 58 3 2 9" xfId="13436" xr:uid="{00000000-0005-0000-0000-00006B340000}"/>
    <cellStyle name="Normal 2 58 3 2 9 2" xfId="13437" xr:uid="{00000000-0005-0000-0000-00006C340000}"/>
    <cellStyle name="Normal 2 58 3 2 9 3" xfId="13438" xr:uid="{00000000-0005-0000-0000-00006D340000}"/>
    <cellStyle name="Normal 2 58 3 3" xfId="13439" xr:uid="{00000000-0005-0000-0000-00006E340000}"/>
    <cellStyle name="Normal 2 58 3 3 2" xfId="13440" xr:uid="{00000000-0005-0000-0000-00006F340000}"/>
    <cellStyle name="Normal 2 58 3 3 3" xfId="13441" xr:uid="{00000000-0005-0000-0000-000070340000}"/>
    <cellStyle name="Normal 2 58 3 4" xfId="13442" xr:uid="{00000000-0005-0000-0000-000071340000}"/>
    <cellStyle name="Normal 2 58 3 4 2" xfId="13443" xr:uid="{00000000-0005-0000-0000-000072340000}"/>
    <cellStyle name="Normal 2 58 3 4 3" xfId="13444" xr:uid="{00000000-0005-0000-0000-000073340000}"/>
    <cellStyle name="Normal 2 58 3 5" xfId="13445" xr:uid="{00000000-0005-0000-0000-000074340000}"/>
    <cellStyle name="Normal 2 58 3 5 2" xfId="13446" xr:uid="{00000000-0005-0000-0000-000075340000}"/>
    <cellStyle name="Normal 2 58 3 5 3" xfId="13447" xr:uid="{00000000-0005-0000-0000-000076340000}"/>
    <cellStyle name="Normal 2 58 3 6" xfId="13448" xr:uid="{00000000-0005-0000-0000-000077340000}"/>
    <cellStyle name="Normal 2 58 3 6 2" xfId="13449" xr:uid="{00000000-0005-0000-0000-000078340000}"/>
    <cellStyle name="Normal 2 58 3 6 3" xfId="13450" xr:uid="{00000000-0005-0000-0000-000079340000}"/>
    <cellStyle name="Normal 2 58 3 7" xfId="13451" xr:uid="{00000000-0005-0000-0000-00007A340000}"/>
    <cellStyle name="Normal 2 58 3 7 2" xfId="13452" xr:uid="{00000000-0005-0000-0000-00007B340000}"/>
    <cellStyle name="Normal 2 58 3 7 3" xfId="13453" xr:uid="{00000000-0005-0000-0000-00007C340000}"/>
    <cellStyle name="Normal 2 58 3 8" xfId="13454" xr:uid="{00000000-0005-0000-0000-00007D340000}"/>
    <cellStyle name="Normal 2 58 3 8 2" xfId="13455" xr:uid="{00000000-0005-0000-0000-00007E340000}"/>
    <cellStyle name="Normal 2 58 3 8 3" xfId="13456" xr:uid="{00000000-0005-0000-0000-00007F340000}"/>
    <cellStyle name="Normal 2 58 3 9" xfId="13457" xr:uid="{00000000-0005-0000-0000-000080340000}"/>
    <cellStyle name="Normal 2 58 3 9 2" xfId="13458" xr:uid="{00000000-0005-0000-0000-000081340000}"/>
    <cellStyle name="Normal 2 58 3 9 3" xfId="13459" xr:uid="{00000000-0005-0000-0000-000082340000}"/>
    <cellStyle name="Normal 2 58 4" xfId="13460" xr:uid="{00000000-0005-0000-0000-000083340000}"/>
    <cellStyle name="Normal 2 58 4 10" xfId="13461" xr:uid="{00000000-0005-0000-0000-000084340000}"/>
    <cellStyle name="Normal 2 58 4 10 2" xfId="13462" xr:uid="{00000000-0005-0000-0000-000085340000}"/>
    <cellStyle name="Normal 2 58 4 10 3" xfId="13463" xr:uid="{00000000-0005-0000-0000-000086340000}"/>
    <cellStyle name="Normal 2 58 4 11" xfId="13464" xr:uid="{00000000-0005-0000-0000-000087340000}"/>
    <cellStyle name="Normal 2 58 4 11 2" xfId="13465" xr:uid="{00000000-0005-0000-0000-000088340000}"/>
    <cellStyle name="Normal 2 58 4 11 3" xfId="13466" xr:uid="{00000000-0005-0000-0000-000089340000}"/>
    <cellStyle name="Normal 2 58 4 12" xfId="13467" xr:uid="{00000000-0005-0000-0000-00008A340000}"/>
    <cellStyle name="Normal 2 58 4 12 2" xfId="13468" xr:uid="{00000000-0005-0000-0000-00008B340000}"/>
    <cellStyle name="Normal 2 58 4 12 3" xfId="13469" xr:uid="{00000000-0005-0000-0000-00008C340000}"/>
    <cellStyle name="Normal 2 58 4 13" xfId="13470" xr:uid="{00000000-0005-0000-0000-00008D340000}"/>
    <cellStyle name="Normal 2 58 4 13 2" xfId="13471" xr:uid="{00000000-0005-0000-0000-00008E340000}"/>
    <cellStyle name="Normal 2 58 4 13 3" xfId="13472" xr:uid="{00000000-0005-0000-0000-00008F340000}"/>
    <cellStyle name="Normal 2 58 4 14" xfId="13473" xr:uid="{00000000-0005-0000-0000-000090340000}"/>
    <cellStyle name="Normal 2 58 4 14 2" xfId="13474" xr:uid="{00000000-0005-0000-0000-000091340000}"/>
    <cellStyle name="Normal 2 58 4 14 3" xfId="13475" xr:uid="{00000000-0005-0000-0000-000092340000}"/>
    <cellStyle name="Normal 2 58 4 15" xfId="13476" xr:uid="{00000000-0005-0000-0000-000093340000}"/>
    <cellStyle name="Normal 2 58 4 15 2" xfId="13477" xr:uid="{00000000-0005-0000-0000-000094340000}"/>
    <cellStyle name="Normal 2 58 4 15 3" xfId="13478" xr:uid="{00000000-0005-0000-0000-000095340000}"/>
    <cellStyle name="Normal 2 58 4 16" xfId="13479" xr:uid="{00000000-0005-0000-0000-000096340000}"/>
    <cellStyle name="Normal 2 58 4 17" xfId="13480" xr:uid="{00000000-0005-0000-0000-000097340000}"/>
    <cellStyle name="Normal 2 58 4 2" xfId="13481" xr:uid="{00000000-0005-0000-0000-000098340000}"/>
    <cellStyle name="Normal 2 58 4 2 10" xfId="13482" xr:uid="{00000000-0005-0000-0000-000099340000}"/>
    <cellStyle name="Normal 2 58 4 2 10 2" xfId="13483" xr:uid="{00000000-0005-0000-0000-00009A340000}"/>
    <cellStyle name="Normal 2 58 4 2 10 3" xfId="13484" xr:uid="{00000000-0005-0000-0000-00009B340000}"/>
    <cellStyle name="Normal 2 58 4 2 11" xfId="13485" xr:uid="{00000000-0005-0000-0000-00009C340000}"/>
    <cellStyle name="Normal 2 58 4 2 11 2" xfId="13486" xr:uid="{00000000-0005-0000-0000-00009D340000}"/>
    <cellStyle name="Normal 2 58 4 2 11 3" xfId="13487" xr:uid="{00000000-0005-0000-0000-00009E340000}"/>
    <cellStyle name="Normal 2 58 4 2 12" xfId="13488" xr:uid="{00000000-0005-0000-0000-00009F340000}"/>
    <cellStyle name="Normal 2 58 4 2 12 2" xfId="13489" xr:uid="{00000000-0005-0000-0000-0000A0340000}"/>
    <cellStyle name="Normal 2 58 4 2 12 3" xfId="13490" xr:uid="{00000000-0005-0000-0000-0000A1340000}"/>
    <cellStyle name="Normal 2 58 4 2 13" xfId="13491" xr:uid="{00000000-0005-0000-0000-0000A2340000}"/>
    <cellStyle name="Normal 2 58 4 2 13 2" xfId="13492" xr:uid="{00000000-0005-0000-0000-0000A3340000}"/>
    <cellStyle name="Normal 2 58 4 2 13 3" xfId="13493" xr:uid="{00000000-0005-0000-0000-0000A4340000}"/>
    <cellStyle name="Normal 2 58 4 2 14" xfId="13494" xr:uid="{00000000-0005-0000-0000-0000A5340000}"/>
    <cellStyle name="Normal 2 58 4 2 14 2" xfId="13495" xr:uid="{00000000-0005-0000-0000-0000A6340000}"/>
    <cellStyle name="Normal 2 58 4 2 14 3" xfId="13496" xr:uid="{00000000-0005-0000-0000-0000A7340000}"/>
    <cellStyle name="Normal 2 58 4 2 15" xfId="13497" xr:uid="{00000000-0005-0000-0000-0000A8340000}"/>
    <cellStyle name="Normal 2 58 4 2 16" xfId="13498" xr:uid="{00000000-0005-0000-0000-0000A9340000}"/>
    <cellStyle name="Normal 2 58 4 2 2" xfId="13499" xr:uid="{00000000-0005-0000-0000-0000AA340000}"/>
    <cellStyle name="Normal 2 58 4 2 2 2" xfId="13500" xr:uid="{00000000-0005-0000-0000-0000AB340000}"/>
    <cellStyle name="Normal 2 58 4 2 2 3" xfId="13501" xr:uid="{00000000-0005-0000-0000-0000AC340000}"/>
    <cellStyle name="Normal 2 58 4 2 3" xfId="13502" xr:uid="{00000000-0005-0000-0000-0000AD340000}"/>
    <cellStyle name="Normal 2 58 4 2 3 2" xfId="13503" xr:uid="{00000000-0005-0000-0000-0000AE340000}"/>
    <cellStyle name="Normal 2 58 4 2 3 3" xfId="13504" xr:uid="{00000000-0005-0000-0000-0000AF340000}"/>
    <cellStyle name="Normal 2 58 4 2 4" xfId="13505" xr:uid="{00000000-0005-0000-0000-0000B0340000}"/>
    <cellStyle name="Normal 2 58 4 2 4 2" xfId="13506" xr:uid="{00000000-0005-0000-0000-0000B1340000}"/>
    <cellStyle name="Normal 2 58 4 2 4 3" xfId="13507" xr:uid="{00000000-0005-0000-0000-0000B2340000}"/>
    <cellStyle name="Normal 2 58 4 2 5" xfId="13508" xr:uid="{00000000-0005-0000-0000-0000B3340000}"/>
    <cellStyle name="Normal 2 58 4 2 5 2" xfId="13509" xr:uid="{00000000-0005-0000-0000-0000B4340000}"/>
    <cellStyle name="Normal 2 58 4 2 5 3" xfId="13510" xr:uid="{00000000-0005-0000-0000-0000B5340000}"/>
    <cellStyle name="Normal 2 58 4 2 6" xfId="13511" xr:uid="{00000000-0005-0000-0000-0000B6340000}"/>
    <cellStyle name="Normal 2 58 4 2 6 2" xfId="13512" xr:uid="{00000000-0005-0000-0000-0000B7340000}"/>
    <cellStyle name="Normal 2 58 4 2 6 3" xfId="13513" xr:uid="{00000000-0005-0000-0000-0000B8340000}"/>
    <cellStyle name="Normal 2 58 4 2 7" xfId="13514" xr:uid="{00000000-0005-0000-0000-0000B9340000}"/>
    <cellStyle name="Normal 2 58 4 2 7 2" xfId="13515" xr:uid="{00000000-0005-0000-0000-0000BA340000}"/>
    <cellStyle name="Normal 2 58 4 2 7 3" xfId="13516" xr:uid="{00000000-0005-0000-0000-0000BB340000}"/>
    <cellStyle name="Normal 2 58 4 2 8" xfId="13517" xr:uid="{00000000-0005-0000-0000-0000BC340000}"/>
    <cellStyle name="Normal 2 58 4 2 8 2" xfId="13518" xr:uid="{00000000-0005-0000-0000-0000BD340000}"/>
    <cellStyle name="Normal 2 58 4 2 8 3" xfId="13519" xr:uid="{00000000-0005-0000-0000-0000BE340000}"/>
    <cellStyle name="Normal 2 58 4 2 9" xfId="13520" xr:uid="{00000000-0005-0000-0000-0000BF340000}"/>
    <cellStyle name="Normal 2 58 4 2 9 2" xfId="13521" xr:uid="{00000000-0005-0000-0000-0000C0340000}"/>
    <cellStyle name="Normal 2 58 4 2 9 3" xfId="13522" xr:uid="{00000000-0005-0000-0000-0000C1340000}"/>
    <cellStyle name="Normal 2 58 4 3" xfId="13523" xr:uid="{00000000-0005-0000-0000-0000C2340000}"/>
    <cellStyle name="Normal 2 58 4 3 2" xfId="13524" xr:uid="{00000000-0005-0000-0000-0000C3340000}"/>
    <cellStyle name="Normal 2 58 4 3 3" xfId="13525" xr:uid="{00000000-0005-0000-0000-0000C4340000}"/>
    <cellStyle name="Normal 2 58 4 4" xfId="13526" xr:uid="{00000000-0005-0000-0000-0000C5340000}"/>
    <cellStyle name="Normal 2 58 4 4 2" xfId="13527" xr:uid="{00000000-0005-0000-0000-0000C6340000}"/>
    <cellStyle name="Normal 2 58 4 4 3" xfId="13528" xr:uid="{00000000-0005-0000-0000-0000C7340000}"/>
    <cellStyle name="Normal 2 58 4 5" xfId="13529" xr:uid="{00000000-0005-0000-0000-0000C8340000}"/>
    <cellStyle name="Normal 2 58 4 5 2" xfId="13530" xr:uid="{00000000-0005-0000-0000-0000C9340000}"/>
    <cellStyle name="Normal 2 58 4 5 3" xfId="13531" xr:uid="{00000000-0005-0000-0000-0000CA340000}"/>
    <cellStyle name="Normal 2 58 4 6" xfId="13532" xr:uid="{00000000-0005-0000-0000-0000CB340000}"/>
    <cellStyle name="Normal 2 58 4 6 2" xfId="13533" xr:uid="{00000000-0005-0000-0000-0000CC340000}"/>
    <cellStyle name="Normal 2 58 4 6 3" xfId="13534" xr:uid="{00000000-0005-0000-0000-0000CD340000}"/>
    <cellStyle name="Normal 2 58 4 7" xfId="13535" xr:uid="{00000000-0005-0000-0000-0000CE340000}"/>
    <cellStyle name="Normal 2 58 4 7 2" xfId="13536" xr:uid="{00000000-0005-0000-0000-0000CF340000}"/>
    <cellStyle name="Normal 2 58 4 7 3" xfId="13537" xr:uid="{00000000-0005-0000-0000-0000D0340000}"/>
    <cellStyle name="Normal 2 58 4 8" xfId="13538" xr:uid="{00000000-0005-0000-0000-0000D1340000}"/>
    <cellStyle name="Normal 2 58 4 8 2" xfId="13539" xr:uid="{00000000-0005-0000-0000-0000D2340000}"/>
    <cellStyle name="Normal 2 58 4 8 3" xfId="13540" xr:uid="{00000000-0005-0000-0000-0000D3340000}"/>
    <cellStyle name="Normal 2 58 4 9" xfId="13541" xr:uid="{00000000-0005-0000-0000-0000D4340000}"/>
    <cellStyle name="Normal 2 58 4 9 2" xfId="13542" xr:uid="{00000000-0005-0000-0000-0000D5340000}"/>
    <cellStyle name="Normal 2 58 4 9 3" xfId="13543" xr:uid="{00000000-0005-0000-0000-0000D6340000}"/>
    <cellStyle name="Normal 2 58 5" xfId="13544" xr:uid="{00000000-0005-0000-0000-0000D7340000}"/>
    <cellStyle name="Normal 2 58 5 10" xfId="13545" xr:uid="{00000000-0005-0000-0000-0000D8340000}"/>
    <cellStyle name="Normal 2 58 5 10 2" xfId="13546" xr:uid="{00000000-0005-0000-0000-0000D9340000}"/>
    <cellStyle name="Normal 2 58 5 10 3" xfId="13547" xr:uid="{00000000-0005-0000-0000-0000DA340000}"/>
    <cellStyle name="Normal 2 58 5 11" xfId="13548" xr:uid="{00000000-0005-0000-0000-0000DB340000}"/>
    <cellStyle name="Normal 2 58 5 11 2" xfId="13549" xr:uid="{00000000-0005-0000-0000-0000DC340000}"/>
    <cellStyle name="Normal 2 58 5 11 3" xfId="13550" xr:uid="{00000000-0005-0000-0000-0000DD340000}"/>
    <cellStyle name="Normal 2 58 5 12" xfId="13551" xr:uid="{00000000-0005-0000-0000-0000DE340000}"/>
    <cellStyle name="Normal 2 58 5 12 2" xfId="13552" xr:uid="{00000000-0005-0000-0000-0000DF340000}"/>
    <cellStyle name="Normal 2 58 5 12 3" xfId="13553" xr:uid="{00000000-0005-0000-0000-0000E0340000}"/>
    <cellStyle name="Normal 2 58 5 13" xfId="13554" xr:uid="{00000000-0005-0000-0000-0000E1340000}"/>
    <cellStyle name="Normal 2 58 5 13 2" xfId="13555" xr:uid="{00000000-0005-0000-0000-0000E2340000}"/>
    <cellStyle name="Normal 2 58 5 13 3" xfId="13556" xr:uid="{00000000-0005-0000-0000-0000E3340000}"/>
    <cellStyle name="Normal 2 58 5 14" xfId="13557" xr:uid="{00000000-0005-0000-0000-0000E4340000}"/>
    <cellStyle name="Normal 2 58 5 14 2" xfId="13558" xr:uid="{00000000-0005-0000-0000-0000E5340000}"/>
    <cellStyle name="Normal 2 58 5 14 3" xfId="13559" xr:uid="{00000000-0005-0000-0000-0000E6340000}"/>
    <cellStyle name="Normal 2 58 5 15" xfId="13560" xr:uid="{00000000-0005-0000-0000-0000E7340000}"/>
    <cellStyle name="Normal 2 58 5 16" xfId="13561" xr:uid="{00000000-0005-0000-0000-0000E8340000}"/>
    <cellStyle name="Normal 2 58 5 2" xfId="13562" xr:uid="{00000000-0005-0000-0000-0000E9340000}"/>
    <cellStyle name="Normal 2 58 5 2 2" xfId="13563" xr:uid="{00000000-0005-0000-0000-0000EA340000}"/>
    <cellStyle name="Normal 2 58 5 2 3" xfId="13564" xr:uid="{00000000-0005-0000-0000-0000EB340000}"/>
    <cellStyle name="Normal 2 58 5 3" xfId="13565" xr:uid="{00000000-0005-0000-0000-0000EC340000}"/>
    <cellStyle name="Normal 2 58 5 3 2" xfId="13566" xr:uid="{00000000-0005-0000-0000-0000ED340000}"/>
    <cellStyle name="Normal 2 58 5 3 3" xfId="13567" xr:uid="{00000000-0005-0000-0000-0000EE340000}"/>
    <cellStyle name="Normal 2 58 5 4" xfId="13568" xr:uid="{00000000-0005-0000-0000-0000EF340000}"/>
    <cellStyle name="Normal 2 58 5 4 2" xfId="13569" xr:uid="{00000000-0005-0000-0000-0000F0340000}"/>
    <cellStyle name="Normal 2 58 5 4 3" xfId="13570" xr:uid="{00000000-0005-0000-0000-0000F1340000}"/>
    <cellStyle name="Normal 2 58 5 5" xfId="13571" xr:uid="{00000000-0005-0000-0000-0000F2340000}"/>
    <cellStyle name="Normal 2 58 5 5 2" xfId="13572" xr:uid="{00000000-0005-0000-0000-0000F3340000}"/>
    <cellStyle name="Normal 2 58 5 5 3" xfId="13573" xr:uid="{00000000-0005-0000-0000-0000F4340000}"/>
    <cellStyle name="Normal 2 58 5 6" xfId="13574" xr:uid="{00000000-0005-0000-0000-0000F5340000}"/>
    <cellStyle name="Normal 2 58 5 6 2" xfId="13575" xr:uid="{00000000-0005-0000-0000-0000F6340000}"/>
    <cellStyle name="Normal 2 58 5 6 3" xfId="13576" xr:uid="{00000000-0005-0000-0000-0000F7340000}"/>
    <cellStyle name="Normal 2 58 5 7" xfId="13577" xr:uid="{00000000-0005-0000-0000-0000F8340000}"/>
    <cellStyle name="Normal 2 58 5 7 2" xfId="13578" xr:uid="{00000000-0005-0000-0000-0000F9340000}"/>
    <cellStyle name="Normal 2 58 5 7 3" xfId="13579" xr:uid="{00000000-0005-0000-0000-0000FA340000}"/>
    <cellStyle name="Normal 2 58 5 8" xfId="13580" xr:uid="{00000000-0005-0000-0000-0000FB340000}"/>
    <cellStyle name="Normal 2 58 5 8 2" xfId="13581" xr:uid="{00000000-0005-0000-0000-0000FC340000}"/>
    <cellStyle name="Normal 2 58 5 8 3" xfId="13582" xr:uid="{00000000-0005-0000-0000-0000FD340000}"/>
    <cellStyle name="Normal 2 58 5 9" xfId="13583" xr:uid="{00000000-0005-0000-0000-0000FE340000}"/>
    <cellStyle name="Normal 2 58 5 9 2" xfId="13584" xr:uid="{00000000-0005-0000-0000-0000FF340000}"/>
    <cellStyle name="Normal 2 58 5 9 3" xfId="13585" xr:uid="{00000000-0005-0000-0000-000000350000}"/>
    <cellStyle name="Normal 2 58 6" xfId="13586" xr:uid="{00000000-0005-0000-0000-000001350000}"/>
    <cellStyle name="Normal 2 58 6 10" xfId="13587" xr:uid="{00000000-0005-0000-0000-000002350000}"/>
    <cellStyle name="Normal 2 58 6 10 2" xfId="13588" xr:uid="{00000000-0005-0000-0000-000003350000}"/>
    <cellStyle name="Normal 2 58 6 10 3" xfId="13589" xr:uid="{00000000-0005-0000-0000-000004350000}"/>
    <cellStyle name="Normal 2 58 6 11" xfId="13590" xr:uid="{00000000-0005-0000-0000-000005350000}"/>
    <cellStyle name="Normal 2 58 6 11 2" xfId="13591" xr:uid="{00000000-0005-0000-0000-000006350000}"/>
    <cellStyle name="Normal 2 58 6 11 3" xfId="13592" xr:uid="{00000000-0005-0000-0000-000007350000}"/>
    <cellStyle name="Normal 2 58 6 12" xfId="13593" xr:uid="{00000000-0005-0000-0000-000008350000}"/>
    <cellStyle name="Normal 2 58 6 12 2" xfId="13594" xr:uid="{00000000-0005-0000-0000-000009350000}"/>
    <cellStyle name="Normal 2 58 6 12 3" xfId="13595" xr:uid="{00000000-0005-0000-0000-00000A350000}"/>
    <cellStyle name="Normal 2 58 6 13" xfId="13596" xr:uid="{00000000-0005-0000-0000-00000B350000}"/>
    <cellStyle name="Normal 2 58 6 13 2" xfId="13597" xr:uid="{00000000-0005-0000-0000-00000C350000}"/>
    <cellStyle name="Normal 2 58 6 13 3" xfId="13598" xr:uid="{00000000-0005-0000-0000-00000D350000}"/>
    <cellStyle name="Normal 2 58 6 14" xfId="13599" xr:uid="{00000000-0005-0000-0000-00000E350000}"/>
    <cellStyle name="Normal 2 58 6 14 2" xfId="13600" xr:uid="{00000000-0005-0000-0000-00000F350000}"/>
    <cellStyle name="Normal 2 58 6 14 3" xfId="13601" xr:uid="{00000000-0005-0000-0000-000010350000}"/>
    <cellStyle name="Normal 2 58 6 15" xfId="13602" xr:uid="{00000000-0005-0000-0000-000011350000}"/>
    <cellStyle name="Normal 2 58 6 16" xfId="13603" xr:uid="{00000000-0005-0000-0000-000012350000}"/>
    <cellStyle name="Normal 2 58 6 2" xfId="13604" xr:uid="{00000000-0005-0000-0000-000013350000}"/>
    <cellStyle name="Normal 2 58 6 2 2" xfId="13605" xr:uid="{00000000-0005-0000-0000-000014350000}"/>
    <cellStyle name="Normal 2 58 6 2 3" xfId="13606" xr:uid="{00000000-0005-0000-0000-000015350000}"/>
    <cellStyle name="Normal 2 58 6 3" xfId="13607" xr:uid="{00000000-0005-0000-0000-000016350000}"/>
    <cellStyle name="Normal 2 58 6 3 2" xfId="13608" xr:uid="{00000000-0005-0000-0000-000017350000}"/>
    <cellStyle name="Normal 2 58 6 3 3" xfId="13609" xr:uid="{00000000-0005-0000-0000-000018350000}"/>
    <cellStyle name="Normal 2 58 6 4" xfId="13610" xr:uid="{00000000-0005-0000-0000-000019350000}"/>
    <cellStyle name="Normal 2 58 6 4 2" xfId="13611" xr:uid="{00000000-0005-0000-0000-00001A350000}"/>
    <cellStyle name="Normal 2 58 6 4 3" xfId="13612" xr:uid="{00000000-0005-0000-0000-00001B350000}"/>
    <cellStyle name="Normal 2 58 6 5" xfId="13613" xr:uid="{00000000-0005-0000-0000-00001C350000}"/>
    <cellStyle name="Normal 2 58 6 5 2" xfId="13614" xr:uid="{00000000-0005-0000-0000-00001D350000}"/>
    <cellStyle name="Normal 2 58 6 5 3" xfId="13615" xr:uid="{00000000-0005-0000-0000-00001E350000}"/>
    <cellStyle name="Normal 2 58 6 6" xfId="13616" xr:uid="{00000000-0005-0000-0000-00001F350000}"/>
    <cellStyle name="Normal 2 58 6 6 2" xfId="13617" xr:uid="{00000000-0005-0000-0000-000020350000}"/>
    <cellStyle name="Normal 2 58 6 6 3" xfId="13618" xr:uid="{00000000-0005-0000-0000-000021350000}"/>
    <cellStyle name="Normal 2 58 6 7" xfId="13619" xr:uid="{00000000-0005-0000-0000-000022350000}"/>
    <cellStyle name="Normal 2 58 6 7 2" xfId="13620" xr:uid="{00000000-0005-0000-0000-000023350000}"/>
    <cellStyle name="Normal 2 58 6 7 3" xfId="13621" xr:uid="{00000000-0005-0000-0000-000024350000}"/>
    <cellStyle name="Normal 2 58 6 8" xfId="13622" xr:uid="{00000000-0005-0000-0000-000025350000}"/>
    <cellStyle name="Normal 2 58 6 8 2" xfId="13623" xr:uid="{00000000-0005-0000-0000-000026350000}"/>
    <cellStyle name="Normal 2 58 6 8 3" xfId="13624" xr:uid="{00000000-0005-0000-0000-000027350000}"/>
    <cellStyle name="Normal 2 58 6 9" xfId="13625" xr:uid="{00000000-0005-0000-0000-000028350000}"/>
    <cellStyle name="Normal 2 58 6 9 2" xfId="13626" xr:uid="{00000000-0005-0000-0000-000029350000}"/>
    <cellStyle name="Normal 2 58 6 9 3" xfId="13627" xr:uid="{00000000-0005-0000-0000-00002A350000}"/>
    <cellStyle name="Normal 2 58 7" xfId="13628" xr:uid="{00000000-0005-0000-0000-00002B350000}"/>
    <cellStyle name="Normal 2 58 7 10" xfId="13629" xr:uid="{00000000-0005-0000-0000-00002C350000}"/>
    <cellStyle name="Normal 2 58 7 10 2" xfId="13630" xr:uid="{00000000-0005-0000-0000-00002D350000}"/>
    <cellStyle name="Normal 2 58 7 10 3" xfId="13631" xr:uid="{00000000-0005-0000-0000-00002E350000}"/>
    <cellStyle name="Normal 2 58 7 11" xfId="13632" xr:uid="{00000000-0005-0000-0000-00002F350000}"/>
    <cellStyle name="Normal 2 58 7 11 2" xfId="13633" xr:uid="{00000000-0005-0000-0000-000030350000}"/>
    <cellStyle name="Normal 2 58 7 11 3" xfId="13634" xr:uid="{00000000-0005-0000-0000-000031350000}"/>
    <cellStyle name="Normal 2 58 7 12" xfId="13635" xr:uid="{00000000-0005-0000-0000-000032350000}"/>
    <cellStyle name="Normal 2 58 7 12 2" xfId="13636" xr:uid="{00000000-0005-0000-0000-000033350000}"/>
    <cellStyle name="Normal 2 58 7 12 3" xfId="13637" xr:uid="{00000000-0005-0000-0000-000034350000}"/>
    <cellStyle name="Normal 2 58 7 13" xfId="13638" xr:uid="{00000000-0005-0000-0000-000035350000}"/>
    <cellStyle name="Normal 2 58 7 13 2" xfId="13639" xr:uid="{00000000-0005-0000-0000-000036350000}"/>
    <cellStyle name="Normal 2 58 7 13 3" xfId="13640" xr:uid="{00000000-0005-0000-0000-000037350000}"/>
    <cellStyle name="Normal 2 58 7 14" xfId="13641" xr:uid="{00000000-0005-0000-0000-000038350000}"/>
    <cellStyle name="Normal 2 58 7 14 2" xfId="13642" xr:uid="{00000000-0005-0000-0000-000039350000}"/>
    <cellStyle name="Normal 2 58 7 14 3" xfId="13643" xr:uid="{00000000-0005-0000-0000-00003A350000}"/>
    <cellStyle name="Normal 2 58 7 15" xfId="13644" xr:uid="{00000000-0005-0000-0000-00003B350000}"/>
    <cellStyle name="Normal 2 58 7 16" xfId="13645" xr:uid="{00000000-0005-0000-0000-00003C350000}"/>
    <cellStyle name="Normal 2 58 7 2" xfId="13646" xr:uid="{00000000-0005-0000-0000-00003D350000}"/>
    <cellStyle name="Normal 2 58 7 2 2" xfId="13647" xr:uid="{00000000-0005-0000-0000-00003E350000}"/>
    <cellStyle name="Normal 2 58 7 2 3" xfId="13648" xr:uid="{00000000-0005-0000-0000-00003F350000}"/>
    <cellStyle name="Normal 2 58 7 3" xfId="13649" xr:uid="{00000000-0005-0000-0000-000040350000}"/>
    <cellStyle name="Normal 2 58 7 3 2" xfId="13650" xr:uid="{00000000-0005-0000-0000-000041350000}"/>
    <cellStyle name="Normal 2 58 7 3 3" xfId="13651" xr:uid="{00000000-0005-0000-0000-000042350000}"/>
    <cellStyle name="Normal 2 58 7 4" xfId="13652" xr:uid="{00000000-0005-0000-0000-000043350000}"/>
    <cellStyle name="Normal 2 58 7 4 2" xfId="13653" xr:uid="{00000000-0005-0000-0000-000044350000}"/>
    <cellStyle name="Normal 2 58 7 4 3" xfId="13654" xr:uid="{00000000-0005-0000-0000-000045350000}"/>
    <cellStyle name="Normal 2 58 7 5" xfId="13655" xr:uid="{00000000-0005-0000-0000-000046350000}"/>
    <cellStyle name="Normal 2 58 7 5 2" xfId="13656" xr:uid="{00000000-0005-0000-0000-000047350000}"/>
    <cellStyle name="Normal 2 58 7 5 3" xfId="13657" xr:uid="{00000000-0005-0000-0000-000048350000}"/>
    <cellStyle name="Normal 2 58 7 6" xfId="13658" xr:uid="{00000000-0005-0000-0000-000049350000}"/>
    <cellStyle name="Normal 2 58 7 6 2" xfId="13659" xr:uid="{00000000-0005-0000-0000-00004A350000}"/>
    <cellStyle name="Normal 2 58 7 6 3" xfId="13660" xr:uid="{00000000-0005-0000-0000-00004B350000}"/>
    <cellStyle name="Normal 2 58 7 7" xfId="13661" xr:uid="{00000000-0005-0000-0000-00004C350000}"/>
    <cellStyle name="Normal 2 58 7 7 2" xfId="13662" xr:uid="{00000000-0005-0000-0000-00004D350000}"/>
    <cellStyle name="Normal 2 58 7 7 3" xfId="13663" xr:uid="{00000000-0005-0000-0000-00004E350000}"/>
    <cellStyle name="Normal 2 58 7 8" xfId="13664" xr:uid="{00000000-0005-0000-0000-00004F350000}"/>
    <cellStyle name="Normal 2 58 7 8 2" xfId="13665" xr:uid="{00000000-0005-0000-0000-000050350000}"/>
    <cellStyle name="Normal 2 58 7 8 3" xfId="13666" xr:uid="{00000000-0005-0000-0000-000051350000}"/>
    <cellStyle name="Normal 2 58 7 9" xfId="13667" xr:uid="{00000000-0005-0000-0000-000052350000}"/>
    <cellStyle name="Normal 2 58 7 9 2" xfId="13668" xr:uid="{00000000-0005-0000-0000-000053350000}"/>
    <cellStyle name="Normal 2 58 7 9 3" xfId="13669" xr:uid="{00000000-0005-0000-0000-000054350000}"/>
    <cellStyle name="Normal 2 58 8" xfId="13670" xr:uid="{00000000-0005-0000-0000-000055350000}"/>
    <cellStyle name="Normal 2 58 8 10" xfId="13671" xr:uid="{00000000-0005-0000-0000-000056350000}"/>
    <cellStyle name="Normal 2 58 8 10 2" xfId="13672" xr:uid="{00000000-0005-0000-0000-000057350000}"/>
    <cellStyle name="Normal 2 58 8 10 3" xfId="13673" xr:uid="{00000000-0005-0000-0000-000058350000}"/>
    <cellStyle name="Normal 2 58 8 11" xfId="13674" xr:uid="{00000000-0005-0000-0000-000059350000}"/>
    <cellStyle name="Normal 2 58 8 11 2" xfId="13675" xr:uid="{00000000-0005-0000-0000-00005A350000}"/>
    <cellStyle name="Normal 2 58 8 11 3" xfId="13676" xr:uid="{00000000-0005-0000-0000-00005B350000}"/>
    <cellStyle name="Normal 2 58 8 12" xfId="13677" xr:uid="{00000000-0005-0000-0000-00005C350000}"/>
    <cellStyle name="Normal 2 58 8 12 2" xfId="13678" xr:uid="{00000000-0005-0000-0000-00005D350000}"/>
    <cellStyle name="Normal 2 58 8 12 3" xfId="13679" xr:uid="{00000000-0005-0000-0000-00005E350000}"/>
    <cellStyle name="Normal 2 58 8 13" xfId="13680" xr:uid="{00000000-0005-0000-0000-00005F350000}"/>
    <cellStyle name="Normal 2 58 8 13 2" xfId="13681" xr:uid="{00000000-0005-0000-0000-000060350000}"/>
    <cellStyle name="Normal 2 58 8 13 3" xfId="13682" xr:uid="{00000000-0005-0000-0000-000061350000}"/>
    <cellStyle name="Normal 2 58 8 14" xfId="13683" xr:uid="{00000000-0005-0000-0000-000062350000}"/>
    <cellStyle name="Normal 2 58 8 14 2" xfId="13684" xr:uid="{00000000-0005-0000-0000-000063350000}"/>
    <cellStyle name="Normal 2 58 8 14 3" xfId="13685" xr:uid="{00000000-0005-0000-0000-000064350000}"/>
    <cellStyle name="Normal 2 58 8 15" xfId="13686" xr:uid="{00000000-0005-0000-0000-000065350000}"/>
    <cellStyle name="Normal 2 58 8 16" xfId="13687" xr:uid="{00000000-0005-0000-0000-000066350000}"/>
    <cellStyle name="Normal 2 58 8 2" xfId="13688" xr:uid="{00000000-0005-0000-0000-000067350000}"/>
    <cellStyle name="Normal 2 58 8 2 2" xfId="13689" xr:uid="{00000000-0005-0000-0000-000068350000}"/>
    <cellStyle name="Normal 2 58 8 2 3" xfId="13690" xr:uid="{00000000-0005-0000-0000-000069350000}"/>
    <cellStyle name="Normal 2 58 8 3" xfId="13691" xr:uid="{00000000-0005-0000-0000-00006A350000}"/>
    <cellStyle name="Normal 2 58 8 3 2" xfId="13692" xr:uid="{00000000-0005-0000-0000-00006B350000}"/>
    <cellStyle name="Normal 2 58 8 3 3" xfId="13693" xr:uid="{00000000-0005-0000-0000-00006C350000}"/>
    <cellStyle name="Normal 2 58 8 4" xfId="13694" xr:uid="{00000000-0005-0000-0000-00006D350000}"/>
    <cellStyle name="Normal 2 58 8 4 2" xfId="13695" xr:uid="{00000000-0005-0000-0000-00006E350000}"/>
    <cellStyle name="Normal 2 58 8 4 3" xfId="13696" xr:uid="{00000000-0005-0000-0000-00006F350000}"/>
    <cellStyle name="Normal 2 58 8 5" xfId="13697" xr:uid="{00000000-0005-0000-0000-000070350000}"/>
    <cellStyle name="Normal 2 58 8 5 2" xfId="13698" xr:uid="{00000000-0005-0000-0000-000071350000}"/>
    <cellStyle name="Normal 2 58 8 5 3" xfId="13699" xr:uid="{00000000-0005-0000-0000-000072350000}"/>
    <cellStyle name="Normal 2 58 8 6" xfId="13700" xr:uid="{00000000-0005-0000-0000-000073350000}"/>
    <cellStyle name="Normal 2 58 8 6 2" xfId="13701" xr:uid="{00000000-0005-0000-0000-000074350000}"/>
    <cellStyle name="Normal 2 58 8 6 3" xfId="13702" xr:uid="{00000000-0005-0000-0000-000075350000}"/>
    <cellStyle name="Normal 2 58 8 7" xfId="13703" xr:uid="{00000000-0005-0000-0000-000076350000}"/>
    <cellStyle name="Normal 2 58 8 7 2" xfId="13704" xr:uid="{00000000-0005-0000-0000-000077350000}"/>
    <cellStyle name="Normal 2 58 8 7 3" xfId="13705" xr:uid="{00000000-0005-0000-0000-000078350000}"/>
    <cellStyle name="Normal 2 58 8 8" xfId="13706" xr:uid="{00000000-0005-0000-0000-000079350000}"/>
    <cellStyle name="Normal 2 58 8 8 2" xfId="13707" xr:uid="{00000000-0005-0000-0000-00007A350000}"/>
    <cellStyle name="Normal 2 58 8 8 3" xfId="13708" xr:uid="{00000000-0005-0000-0000-00007B350000}"/>
    <cellStyle name="Normal 2 58 8 9" xfId="13709" xr:uid="{00000000-0005-0000-0000-00007C350000}"/>
    <cellStyle name="Normal 2 58 8 9 2" xfId="13710" xr:uid="{00000000-0005-0000-0000-00007D350000}"/>
    <cellStyle name="Normal 2 58 8 9 3" xfId="13711" xr:uid="{00000000-0005-0000-0000-00007E350000}"/>
    <cellStyle name="Normal 2 58 9" xfId="13712" xr:uid="{00000000-0005-0000-0000-00007F350000}"/>
    <cellStyle name="Normal 2 58 9 10" xfId="13713" xr:uid="{00000000-0005-0000-0000-000080350000}"/>
    <cellStyle name="Normal 2 58 9 10 2" xfId="13714" xr:uid="{00000000-0005-0000-0000-000081350000}"/>
    <cellStyle name="Normal 2 58 9 10 3" xfId="13715" xr:uid="{00000000-0005-0000-0000-000082350000}"/>
    <cellStyle name="Normal 2 58 9 11" xfId="13716" xr:uid="{00000000-0005-0000-0000-000083350000}"/>
    <cellStyle name="Normal 2 58 9 11 2" xfId="13717" xr:uid="{00000000-0005-0000-0000-000084350000}"/>
    <cellStyle name="Normal 2 58 9 11 3" xfId="13718" xr:uid="{00000000-0005-0000-0000-000085350000}"/>
    <cellStyle name="Normal 2 58 9 12" xfId="13719" xr:uid="{00000000-0005-0000-0000-000086350000}"/>
    <cellStyle name="Normal 2 58 9 12 2" xfId="13720" xr:uid="{00000000-0005-0000-0000-000087350000}"/>
    <cellStyle name="Normal 2 58 9 12 3" xfId="13721" xr:uid="{00000000-0005-0000-0000-000088350000}"/>
    <cellStyle name="Normal 2 58 9 13" xfId="13722" xr:uid="{00000000-0005-0000-0000-000089350000}"/>
    <cellStyle name="Normal 2 58 9 13 2" xfId="13723" xr:uid="{00000000-0005-0000-0000-00008A350000}"/>
    <cellStyle name="Normal 2 58 9 13 3" xfId="13724" xr:uid="{00000000-0005-0000-0000-00008B350000}"/>
    <cellStyle name="Normal 2 58 9 14" xfId="13725" xr:uid="{00000000-0005-0000-0000-00008C350000}"/>
    <cellStyle name="Normal 2 58 9 14 2" xfId="13726" xr:uid="{00000000-0005-0000-0000-00008D350000}"/>
    <cellStyle name="Normal 2 58 9 14 3" xfId="13727" xr:uid="{00000000-0005-0000-0000-00008E350000}"/>
    <cellStyle name="Normal 2 58 9 15" xfId="13728" xr:uid="{00000000-0005-0000-0000-00008F350000}"/>
    <cellStyle name="Normal 2 58 9 16" xfId="13729" xr:uid="{00000000-0005-0000-0000-000090350000}"/>
    <cellStyle name="Normal 2 58 9 2" xfId="13730" xr:uid="{00000000-0005-0000-0000-000091350000}"/>
    <cellStyle name="Normal 2 58 9 2 2" xfId="13731" xr:uid="{00000000-0005-0000-0000-000092350000}"/>
    <cellStyle name="Normal 2 58 9 2 3" xfId="13732" xr:uid="{00000000-0005-0000-0000-000093350000}"/>
    <cellStyle name="Normal 2 58 9 3" xfId="13733" xr:uid="{00000000-0005-0000-0000-000094350000}"/>
    <cellStyle name="Normal 2 58 9 3 2" xfId="13734" xr:uid="{00000000-0005-0000-0000-000095350000}"/>
    <cellStyle name="Normal 2 58 9 3 3" xfId="13735" xr:uid="{00000000-0005-0000-0000-000096350000}"/>
    <cellStyle name="Normal 2 58 9 4" xfId="13736" xr:uid="{00000000-0005-0000-0000-000097350000}"/>
    <cellStyle name="Normal 2 58 9 4 2" xfId="13737" xr:uid="{00000000-0005-0000-0000-000098350000}"/>
    <cellStyle name="Normal 2 58 9 4 3" xfId="13738" xr:uid="{00000000-0005-0000-0000-000099350000}"/>
    <cellStyle name="Normal 2 58 9 5" xfId="13739" xr:uid="{00000000-0005-0000-0000-00009A350000}"/>
    <cellStyle name="Normal 2 58 9 5 2" xfId="13740" xr:uid="{00000000-0005-0000-0000-00009B350000}"/>
    <cellStyle name="Normal 2 58 9 5 3" xfId="13741" xr:uid="{00000000-0005-0000-0000-00009C350000}"/>
    <cellStyle name="Normal 2 58 9 6" xfId="13742" xr:uid="{00000000-0005-0000-0000-00009D350000}"/>
    <cellStyle name="Normal 2 58 9 6 2" xfId="13743" xr:uid="{00000000-0005-0000-0000-00009E350000}"/>
    <cellStyle name="Normal 2 58 9 6 3" xfId="13744" xr:uid="{00000000-0005-0000-0000-00009F350000}"/>
    <cellStyle name="Normal 2 58 9 7" xfId="13745" xr:uid="{00000000-0005-0000-0000-0000A0350000}"/>
    <cellStyle name="Normal 2 58 9 7 2" xfId="13746" xr:uid="{00000000-0005-0000-0000-0000A1350000}"/>
    <cellStyle name="Normal 2 58 9 7 3" xfId="13747" xr:uid="{00000000-0005-0000-0000-0000A2350000}"/>
    <cellStyle name="Normal 2 58 9 8" xfId="13748" xr:uid="{00000000-0005-0000-0000-0000A3350000}"/>
    <cellStyle name="Normal 2 58 9 8 2" xfId="13749" xr:uid="{00000000-0005-0000-0000-0000A4350000}"/>
    <cellStyle name="Normal 2 58 9 8 3" xfId="13750" xr:uid="{00000000-0005-0000-0000-0000A5350000}"/>
    <cellStyle name="Normal 2 58 9 9" xfId="13751" xr:uid="{00000000-0005-0000-0000-0000A6350000}"/>
    <cellStyle name="Normal 2 58 9 9 2" xfId="13752" xr:uid="{00000000-0005-0000-0000-0000A7350000}"/>
    <cellStyle name="Normal 2 58 9 9 3" xfId="13753" xr:uid="{00000000-0005-0000-0000-0000A8350000}"/>
    <cellStyle name="Normal 2 59" xfId="13754" xr:uid="{00000000-0005-0000-0000-0000A9350000}"/>
    <cellStyle name="Normal 2 59 10" xfId="13755" xr:uid="{00000000-0005-0000-0000-0000AA350000}"/>
    <cellStyle name="Normal 2 59 10 10" xfId="13756" xr:uid="{00000000-0005-0000-0000-0000AB350000}"/>
    <cellStyle name="Normal 2 59 10 10 2" xfId="13757" xr:uid="{00000000-0005-0000-0000-0000AC350000}"/>
    <cellStyle name="Normal 2 59 10 10 3" xfId="13758" xr:uid="{00000000-0005-0000-0000-0000AD350000}"/>
    <cellStyle name="Normal 2 59 10 11" xfId="13759" xr:uid="{00000000-0005-0000-0000-0000AE350000}"/>
    <cellStyle name="Normal 2 59 10 11 2" xfId="13760" xr:uid="{00000000-0005-0000-0000-0000AF350000}"/>
    <cellStyle name="Normal 2 59 10 11 3" xfId="13761" xr:uid="{00000000-0005-0000-0000-0000B0350000}"/>
    <cellStyle name="Normal 2 59 10 12" xfId="13762" xr:uid="{00000000-0005-0000-0000-0000B1350000}"/>
    <cellStyle name="Normal 2 59 10 12 2" xfId="13763" xr:uid="{00000000-0005-0000-0000-0000B2350000}"/>
    <cellStyle name="Normal 2 59 10 12 3" xfId="13764" xr:uid="{00000000-0005-0000-0000-0000B3350000}"/>
    <cellStyle name="Normal 2 59 10 13" xfId="13765" xr:uid="{00000000-0005-0000-0000-0000B4350000}"/>
    <cellStyle name="Normal 2 59 10 13 2" xfId="13766" xr:uid="{00000000-0005-0000-0000-0000B5350000}"/>
    <cellStyle name="Normal 2 59 10 13 3" xfId="13767" xr:uid="{00000000-0005-0000-0000-0000B6350000}"/>
    <cellStyle name="Normal 2 59 10 14" xfId="13768" xr:uid="{00000000-0005-0000-0000-0000B7350000}"/>
    <cellStyle name="Normal 2 59 10 14 2" xfId="13769" xr:uid="{00000000-0005-0000-0000-0000B8350000}"/>
    <cellStyle name="Normal 2 59 10 14 3" xfId="13770" xr:uid="{00000000-0005-0000-0000-0000B9350000}"/>
    <cellStyle name="Normal 2 59 10 15" xfId="13771" xr:uid="{00000000-0005-0000-0000-0000BA350000}"/>
    <cellStyle name="Normal 2 59 10 16" xfId="13772" xr:uid="{00000000-0005-0000-0000-0000BB350000}"/>
    <cellStyle name="Normal 2 59 10 2" xfId="13773" xr:uid="{00000000-0005-0000-0000-0000BC350000}"/>
    <cellStyle name="Normal 2 59 10 2 2" xfId="13774" xr:uid="{00000000-0005-0000-0000-0000BD350000}"/>
    <cellStyle name="Normal 2 59 10 2 3" xfId="13775" xr:uid="{00000000-0005-0000-0000-0000BE350000}"/>
    <cellStyle name="Normal 2 59 10 3" xfId="13776" xr:uid="{00000000-0005-0000-0000-0000BF350000}"/>
    <cellStyle name="Normal 2 59 10 3 2" xfId="13777" xr:uid="{00000000-0005-0000-0000-0000C0350000}"/>
    <cellStyle name="Normal 2 59 10 3 3" xfId="13778" xr:uid="{00000000-0005-0000-0000-0000C1350000}"/>
    <cellStyle name="Normal 2 59 10 4" xfId="13779" xr:uid="{00000000-0005-0000-0000-0000C2350000}"/>
    <cellStyle name="Normal 2 59 10 4 2" xfId="13780" xr:uid="{00000000-0005-0000-0000-0000C3350000}"/>
    <cellStyle name="Normal 2 59 10 4 3" xfId="13781" xr:uid="{00000000-0005-0000-0000-0000C4350000}"/>
    <cellStyle name="Normal 2 59 10 5" xfId="13782" xr:uid="{00000000-0005-0000-0000-0000C5350000}"/>
    <cellStyle name="Normal 2 59 10 5 2" xfId="13783" xr:uid="{00000000-0005-0000-0000-0000C6350000}"/>
    <cellStyle name="Normal 2 59 10 5 3" xfId="13784" xr:uid="{00000000-0005-0000-0000-0000C7350000}"/>
    <cellStyle name="Normal 2 59 10 6" xfId="13785" xr:uid="{00000000-0005-0000-0000-0000C8350000}"/>
    <cellStyle name="Normal 2 59 10 6 2" xfId="13786" xr:uid="{00000000-0005-0000-0000-0000C9350000}"/>
    <cellStyle name="Normal 2 59 10 6 3" xfId="13787" xr:uid="{00000000-0005-0000-0000-0000CA350000}"/>
    <cellStyle name="Normal 2 59 10 7" xfId="13788" xr:uid="{00000000-0005-0000-0000-0000CB350000}"/>
    <cellStyle name="Normal 2 59 10 7 2" xfId="13789" xr:uid="{00000000-0005-0000-0000-0000CC350000}"/>
    <cellStyle name="Normal 2 59 10 7 3" xfId="13790" xr:uid="{00000000-0005-0000-0000-0000CD350000}"/>
    <cellStyle name="Normal 2 59 10 8" xfId="13791" xr:uid="{00000000-0005-0000-0000-0000CE350000}"/>
    <cellStyle name="Normal 2 59 10 8 2" xfId="13792" xr:uid="{00000000-0005-0000-0000-0000CF350000}"/>
    <cellStyle name="Normal 2 59 10 8 3" xfId="13793" xr:uid="{00000000-0005-0000-0000-0000D0350000}"/>
    <cellStyle name="Normal 2 59 10 9" xfId="13794" xr:uid="{00000000-0005-0000-0000-0000D1350000}"/>
    <cellStyle name="Normal 2 59 10 9 2" xfId="13795" xr:uid="{00000000-0005-0000-0000-0000D2350000}"/>
    <cellStyle name="Normal 2 59 10 9 3" xfId="13796" xr:uid="{00000000-0005-0000-0000-0000D3350000}"/>
    <cellStyle name="Normal 2 59 11" xfId="13797" xr:uid="{00000000-0005-0000-0000-0000D4350000}"/>
    <cellStyle name="Normal 2 59 11 2" xfId="13798" xr:uid="{00000000-0005-0000-0000-0000D5350000}"/>
    <cellStyle name="Normal 2 59 11 3" xfId="13799" xr:uid="{00000000-0005-0000-0000-0000D6350000}"/>
    <cellStyle name="Normal 2 59 12" xfId="13800" xr:uid="{00000000-0005-0000-0000-0000D7350000}"/>
    <cellStyle name="Normal 2 59 12 2" xfId="13801" xr:uid="{00000000-0005-0000-0000-0000D8350000}"/>
    <cellStyle name="Normal 2 59 12 3" xfId="13802" xr:uid="{00000000-0005-0000-0000-0000D9350000}"/>
    <cellStyle name="Normal 2 59 13" xfId="13803" xr:uid="{00000000-0005-0000-0000-0000DA350000}"/>
    <cellStyle name="Normal 2 59 13 2" xfId="13804" xr:uid="{00000000-0005-0000-0000-0000DB350000}"/>
    <cellStyle name="Normal 2 59 13 3" xfId="13805" xr:uid="{00000000-0005-0000-0000-0000DC350000}"/>
    <cellStyle name="Normal 2 59 14" xfId="13806" xr:uid="{00000000-0005-0000-0000-0000DD350000}"/>
    <cellStyle name="Normal 2 59 14 2" xfId="13807" xr:uid="{00000000-0005-0000-0000-0000DE350000}"/>
    <cellStyle name="Normal 2 59 14 3" xfId="13808" xr:uid="{00000000-0005-0000-0000-0000DF350000}"/>
    <cellStyle name="Normal 2 59 15" xfId="13809" xr:uid="{00000000-0005-0000-0000-0000E0350000}"/>
    <cellStyle name="Normal 2 59 15 2" xfId="13810" xr:uid="{00000000-0005-0000-0000-0000E1350000}"/>
    <cellStyle name="Normal 2 59 15 3" xfId="13811" xr:uid="{00000000-0005-0000-0000-0000E2350000}"/>
    <cellStyle name="Normal 2 59 16" xfId="13812" xr:uid="{00000000-0005-0000-0000-0000E3350000}"/>
    <cellStyle name="Normal 2 59 16 2" xfId="13813" xr:uid="{00000000-0005-0000-0000-0000E4350000}"/>
    <cellStyle name="Normal 2 59 16 3" xfId="13814" xr:uid="{00000000-0005-0000-0000-0000E5350000}"/>
    <cellStyle name="Normal 2 59 17" xfId="13815" xr:uid="{00000000-0005-0000-0000-0000E6350000}"/>
    <cellStyle name="Normal 2 59 17 2" xfId="13816" xr:uid="{00000000-0005-0000-0000-0000E7350000}"/>
    <cellStyle name="Normal 2 59 17 3" xfId="13817" xr:uid="{00000000-0005-0000-0000-0000E8350000}"/>
    <cellStyle name="Normal 2 59 18" xfId="13818" xr:uid="{00000000-0005-0000-0000-0000E9350000}"/>
    <cellStyle name="Normal 2 59 18 2" xfId="13819" xr:uid="{00000000-0005-0000-0000-0000EA350000}"/>
    <cellStyle name="Normal 2 59 18 3" xfId="13820" xr:uid="{00000000-0005-0000-0000-0000EB350000}"/>
    <cellStyle name="Normal 2 59 19" xfId="13821" xr:uid="{00000000-0005-0000-0000-0000EC350000}"/>
    <cellStyle name="Normal 2 59 19 2" xfId="13822" xr:uid="{00000000-0005-0000-0000-0000ED350000}"/>
    <cellStyle name="Normal 2 59 19 3" xfId="13823" xr:uid="{00000000-0005-0000-0000-0000EE350000}"/>
    <cellStyle name="Normal 2 59 2" xfId="13824" xr:uid="{00000000-0005-0000-0000-0000EF350000}"/>
    <cellStyle name="Normal 2 59 2 10" xfId="13825" xr:uid="{00000000-0005-0000-0000-0000F0350000}"/>
    <cellStyle name="Normal 2 59 2 10 2" xfId="13826" xr:uid="{00000000-0005-0000-0000-0000F1350000}"/>
    <cellStyle name="Normal 2 59 2 10 3" xfId="13827" xr:uid="{00000000-0005-0000-0000-0000F2350000}"/>
    <cellStyle name="Normal 2 59 2 11" xfId="13828" xr:uid="{00000000-0005-0000-0000-0000F3350000}"/>
    <cellStyle name="Normal 2 59 2 11 2" xfId="13829" xr:uid="{00000000-0005-0000-0000-0000F4350000}"/>
    <cellStyle name="Normal 2 59 2 11 3" xfId="13830" xr:uid="{00000000-0005-0000-0000-0000F5350000}"/>
    <cellStyle name="Normal 2 59 2 12" xfId="13831" xr:uid="{00000000-0005-0000-0000-0000F6350000}"/>
    <cellStyle name="Normal 2 59 2 12 2" xfId="13832" xr:uid="{00000000-0005-0000-0000-0000F7350000}"/>
    <cellStyle name="Normal 2 59 2 12 3" xfId="13833" xr:uid="{00000000-0005-0000-0000-0000F8350000}"/>
    <cellStyle name="Normal 2 59 2 13" xfId="13834" xr:uid="{00000000-0005-0000-0000-0000F9350000}"/>
    <cellStyle name="Normal 2 59 2 13 2" xfId="13835" xr:uid="{00000000-0005-0000-0000-0000FA350000}"/>
    <cellStyle name="Normal 2 59 2 13 3" xfId="13836" xr:uid="{00000000-0005-0000-0000-0000FB350000}"/>
    <cellStyle name="Normal 2 59 2 14" xfId="13837" xr:uid="{00000000-0005-0000-0000-0000FC350000}"/>
    <cellStyle name="Normal 2 59 2 14 2" xfId="13838" xr:uid="{00000000-0005-0000-0000-0000FD350000}"/>
    <cellStyle name="Normal 2 59 2 14 3" xfId="13839" xr:uid="{00000000-0005-0000-0000-0000FE350000}"/>
    <cellStyle name="Normal 2 59 2 15" xfId="13840" xr:uid="{00000000-0005-0000-0000-0000FF350000}"/>
    <cellStyle name="Normal 2 59 2 15 2" xfId="13841" xr:uid="{00000000-0005-0000-0000-000000360000}"/>
    <cellStyle name="Normal 2 59 2 15 3" xfId="13842" xr:uid="{00000000-0005-0000-0000-000001360000}"/>
    <cellStyle name="Normal 2 59 2 16" xfId="13843" xr:uid="{00000000-0005-0000-0000-000002360000}"/>
    <cellStyle name="Normal 2 59 2 17" xfId="13844" xr:uid="{00000000-0005-0000-0000-000003360000}"/>
    <cellStyle name="Normal 2 59 2 2" xfId="13845" xr:uid="{00000000-0005-0000-0000-000004360000}"/>
    <cellStyle name="Normal 2 59 2 2 10" xfId="13846" xr:uid="{00000000-0005-0000-0000-000005360000}"/>
    <cellStyle name="Normal 2 59 2 2 10 2" xfId="13847" xr:uid="{00000000-0005-0000-0000-000006360000}"/>
    <cellStyle name="Normal 2 59 2 2 10 3" xfId="13848" xr:uid="{00000000-0005-0000-0000-000007360000}"/>
    <cellStyle name="Normal 2 59 2 2 11" xfId="13849" xr:uid="{00000000-0005-0000-0000-000008360000}"/>
    <cellStyle name="Normal 2 59 2 2 11 2" xfId="13850" xr:uid="{00000000-0005-0000-0000-000009360000}"/>
    <cellStyle name="Normal 2 59 2 2 11 3" xfId="13851" xr:uid="{00000000-0005-0000-0000-00000A360000}"/>
    <cellStyle name="Normal 2 59 2 2 12" xfId="13852" xr:uid="{00000000-0005-0000-0000-00000B360000}"/>
    <cellStyle name="Normal 2 59 2 2 12 2" xfId="13853" xr:uid="{00000000-0005-0000-0000-00000C360000}"/>
    <cellStyle name="Normal 2 59 2 2 12 3" xfId="13854" xr:uid="{00000000-0005-0000-0000-00000D360000}"/>
    <cellStyle name="Normal 2 59 2 2 13" xfId="13855" xr:uid="{00000000-0005-0000-0000-00000E360000}"/>
    <cellStyle name="Normal 2 59 2 2 13 2" xfId="13856" xr:uid="{00000000-0005-0000-0000-00000F360000}"/>
    <cellStyle name="Normal 2 59 2 2 13 3" xfId="13857" xr:uid="{00000000-0005-0000-0000-000010360000}"/>
    <cellStyle name="Normal 2 59 2 2 14" xfId="13858" xr:uid="{00000000-0005-0000-0000-000011360000}"/>
    <cellStyle name="Normal 2 59 2 2 14 2" xfId="13859" xr:uid="{00000000-0005-0000-0000-000012360000}"/>
    <cellStyle name="Normal 2 59 2 2 14 3" xfId="13860" xr:uid="{00000000-0005-0000-0000-000013360000}"/>
    <cellStyle name="Normal 2 59 2 2 15" xfId="13861" xr:uid="{00000000-0005-0000-0000-000014360000}"/>
    <cellStyle name="Normal 2 59 2 2 16" xfId="13862" xr:uid="{00000000-0005-0000-0000-000015360000}"/>
    <cellStyle name="Normal 2 59 2 2 2" xfId="13863" xr:uid="{00000000-0005-0000-0000-000016360000}"/>
    <cellStyle name="Normal 2 59 2 2 2 2" xfId="13864" xr:uid="{00000000-0005-0000-0000-000017360000}"/>
    <cellStyle name="Normal 2 59 2 2 2 3" xfId="13865" xr:uid="{00000000-0005-0000-0000-000018360000}"/>
    <cellStyle name="Normal 2 59 2 2 3" xfId="13866" xr:uid="{00000000-0005-0000-0000-000019360000}"/>
    <cellStyle name="Normal 2 59 2 2 3 2" xfId="13867" xr:uid="{00000000-0005-0000-0000-00001A360000}"/>
    <cellStyle name="Normal 2 59 2 2 3 3" xfId="13868" xr:uid="{00000000-0005-0000-0000-00001B360000}"/>
    <cellStyle name="Normal 2 59 2 2 4" xfId="13869" xr:uid="{00000000-0005-0000-0000-00001C360000}"/>
    <cellStyle name="Normal 2 59 2 2 4 2" xfId="13870" xr:uid="{00000000-0005-0000-0000-00001D360000}"/>
    <cellStyle name="Normal 2 59 2 2 4 3" xfId="13871" xr:uid="{00000000-0005-0000-0000-00001E360000}"/>
    <cellStyle name="Normal 2 59 2 2 5" xfId="13872" xr:uid="{00000000-0005-0000-0000-00001F360000}"/>
    <cellStyle name="Normal 2 59 2 2 5 2" xfId="13873" xr:uid="{00000000-0005-0000-0000-000020360000}"/>
    <cellStyle name="Normal 2 59 2 2 5 3" xfId="13874" xr:uid="{00000000-0005-0000-0000-000021360000}"/>
    <cellStyle name="Normal 2 59 2 2 6" xfId="13875" xr:uid="{00000000-0005-0000-0000-000022360000}"/>
    <cellStyle name="Normal 2 59 2 2 6 2" xfId="13876" xr:uid="{00000000-0005-0000-0000-000023360000}"/>
    <cellStyle name="Normal 2 59 2 2 6 3" xfId="13877" xr:uid="{00000000-0005-0000-0000-000024360000}"/>
    <cellStyle name="Normal 2 59 2 2 7" xfId="13878" xr:uid="{00000000-0005-0000-0000-000025360000}"/>
    <cellStyle name="Normal 2 59 2 2 7 2" xfId="13879" xr:uid="{00000000-0005-0000-0000-000026360000}"/>
    <cellStyle name="Normal 2 59 2 2 7 3" xfId="13880" xr:uid="{00000000-0005-0000-0000-000027360000}"/>
    <cellStyle name="Normal 2 59 2 2 8" xfId="13881" xr:uid="{00000000-0005-0000-0000-000028360000}"/>
    <cellStyle name="Normal 2 59 2 2 8 2" xfId="13882" xr:uid="{00000000-0005-0000-0000-000029360000}"/>
    <cellStyle name="Normal 2 59 2 2 8 3" xfId="13883" xr:uid="{00000000-0005-0000-0000-00002A360000}"/>
    <cellStyle name="Normal 2 59 2 2 9" xfId="13884" xr:uid="{00000000-0005-0000-0000-00002B360000}"/>
    <cellStyle name="Normal 2 59 2 2 9 2" xfId="13885" xr:uid="{00000000-0005-0000-0000-00002C360000}"/>
    <cellStyle name="Normal 2 59 2 2 9 3" xfId="13886" xr:uid="{00000000-0005-0000-0000-00002D360000}"/>
    <cellStyle name="Normal 2 59 2 3" xfId="13887" xr:uid="{00000000-0005-0000-0000-00002E360000}"/>
    <cellStyle name="Normal 2 59 2 3 2" xfId="13888" xr:uid="{00000000-0005-0000-0000-00002F360000}"/>
    <cellStyle name="Normal 2 59 2 3 3" xfId="13889" xr:uid="{00000000-0005-0000-0000-000030360000}"/>
    <cellStyle name="Normal 2 59 2 4" xfId="13890" xr:uid="{00000000-0005-0000-0000-000031360000}"/>
    <cellStyle name="Normal 2 59 2 4 2" xfId="13891" xr:uid="{00000000-0005-0000-0000-000032360000}"/>
    <cellStyle name="Normal 2 59 2 4 3" xfId="13892" xr:uid="{00000000-0005-0000-0000-000033360000}"/>
    <cellStyle name="Normal 2 59 2 5" xfId="13893" xr:uid="{00000000-0005-0000-0000-000034360000}"/>
    <cellStyle name="Normal 2 59 2 5 2" xfId="13894" xr:uid="{00000000-0005-0000-0000-000035360000}"/>
    <cellStyle name="Normal 2 59 2 5 3" xfId="13895" xr:uid="{00000000-0005-0000-0000-000036360000}"/>
    <cellStyle name="Normal 2 59 2 6" xfId="13896" xr:uid="{00000000-0005-0000-0000-000037360000}"/>
    <cellStyle name="Normal 2 59 2 6 2" xfId="13897" xr:uid="{00000000-0005-0000-0000-000038360000}"/>
    <cellStyle name="Normal 2 59 2 6 3" xfId="13898" xr:uid="{00000000-0005-0000-0000-000039360000}"/>
    <cellStyle name="Normal 2 59 2 7" xfId="13899" xr:uid="{00000000-0005-0000-0000-00003A360000}"/>
    <cellStyle name="Normal 2 59 2 7 2" xfId="13900" xr:uid="{00000000-0005-0000-0000-00003B360000}"/>
    <cellStyle name="Normal 2 59 2 7 3" xfId="13901" xr:uid="{00000000-0005-0000-0000-00003C360000}"/>
    <cellStyle name="Normal 2 59 2 8" xfId="13902" xr:uid="{00000000-0005-0000-0000-00003D360000}"/>
    <cellStyle name="Normal 2 59 2 8 2" xfId="13903" xr:uid="{00000000-0005-0000-0000-00003E360000}"/>
    <cellStyle name="Normal 2 59 2 8 3" xfId="13904" xr:uid="{00000000-0005-0000-0000-00003F360000}"/>
    <cellStyle name="Normal 2 59 2 9" xfId="13905" xr:uid="{00000000-0005-0000-0000-000040360000}"/>
    <cellStyle name="Normal 2 59 2 9 2" xfId="13906" xr:uid="{00000000-0005-0000-0000-000041360000}"/>
    <cellStyle name="Normal 2 59 2 9 3" xfId="13907" xr:uid="{00000000-0005-0000-0000-000042360000}"/>
    <cellStyle name="Normal 2 59 20" xfId="13908" xr:uid="{00000000-0005-0000-0000-000043360000}"/>
    <cellStyle name="Normal 2 59 20 2" xfId="13909" xr:uid="{00000000-0005-0000-0000-000044360000}"/>
    <cellStyle name="Normal 2 59 20 3" xfId="13910" xr:uid="{00000000-0005-0000-0000-000045360000}"/>
    <cellStyle name="Normal 2 59 21" xfId="13911" xr:uid="{00000000-0005-0000-0000-000046360000}"/>
    <cellStyle name="Normal 2 59 21 2" xfId="13912" xr:uid="{00000000-0005-0000-0000-000047360000}"/>
    <cellStyle name="Normal 2 59 21 3" xfId="13913" xr:uid="{00000000-0005-0000-0000-000048360000}"/>
    <cellStyle name="Normal 2 59 22" xfId="13914" xr:uid="{00000000-0005-0000-0000-000049360000}"/>
    <cellStyle name="Normal 2 59 22 2" xfId="13915" xr:uid="{00000000-0005-0000-0000-00004A360000}"/>
    <cellStyle name="Normal 2 59 22 3" xfId="13916" xr:uid="{00000000-0005-0000-0000-00004B360000}"/>
    <cellStyle name="Normal 2 59 23" xfId="13917" xr:uid="{00000000-0005-0000-0000-00004C360000}"/>
    <cellStyle name="Normal 2 59 23 2" xfId="13918" xr:uid="{00000000-0005-0000-0000-00004D360000}"/>
    <cellStyle name="Normal 2 59 23 3" xfId="13919" xr:uid="{00000000-0005-0000-0000-00004E360000}"/>
    <cellStyle name="Normal 2 59 24" xfId="13920" xr:uid="{00000000-0005-0000-0000-00004F360000}"/>
    <cellStyle name="Normal 2 59 25" xfId="13921" xr:uid="{00000000-0005-0000-0000-000050360000}"/>
    <cellStyle name="Normal 2 59 3" xfId="13922" xr:uid="{00000000-0005-0000-0000-000051360000}"/>
    <cellStyle name="Normal 2 59 3 10" xfId="13923" xr:uid="{00000000-0005-0000-0000-000052360000}"/>
    <cellStyle name="Normal 2 59 3 10 2" xfId="13924" xr:uid="{00000000-0005-0000-0000-000053360000}"/>
    <cellStyle name="Normal 2 59 3 10 3" xfId="13925" xr:uid="{00000000-0005-0000-0000-000054360000}"/>
    <cellStyle name="Normal 2 59 3 11" xfId="13926" xr:uid="{00000000-0005-0000-0000-000055360000}"/>
    <cellStyle name="Normal 2 59 3 11 2" xfId="13927" xr:uid="{00000000-0005-0000-0000-000056360000}"/>
    <cellStyle name="Normal 2 59 3 11 3" xfId="13928" xr:uid="{00000000-0005-0000-0000-000057360000}"/>
    <cellStyle name="Normal 2 59 3 12" xfId="13929" xr:uid="{00000000-0005-0000-0000-000058360000}"/>
    <cellStyle name="Normal 2 59 3 12 2" xfId="13930" xr:uid="{00000000-0005-0000-0000-000059360000}"/>
    <cellStyle name="Normal 2 59 3 12 3" xfId="13931" xr:uid="{00000000-0005-0000-0000-00005A360000}"/>
    <cellStyle name="Normal 2 59 3 13" xfId="13932" xr:uid="{00000000-0005-0000-0000-00005B360000}"/>
    <cellStyle name="Normal 2 59 3 13 2" xfId="13933" xr:uid="{00000000-0005-0000-0000-00005C360000}"/>
    <cellStyle name="Normal 2 59 3 13 3" xfId="13934" xr:uid="{00000000-0005-0000-0000-00005D360000}"/>
    <cellStyle name="Normal 2 59 3 14" xfId="13935" xr:uid="{00000000-0005-0000-0000-00005E360000}"/>
    <cellStyle name="Normal 2 59 3 14 2" xfId="13936" xr:uid="{00000000-0005-0000-0000-00005F360000}"/>
    <cellStyle name="Normal 2 59 3 14 3" xfId="13937" xr:uid="{00000000-0005-0000-0000-000060360000}"/>
    <cellStyle name="Normal 2 59 3 15" xfId="13938" xr:uid="{00000000-0005-0000-0000-000061360000}"/>
    <cellStyle name="Normal 2 59 3 15 2" xfId="13939" xr:uid="{00000000-0005-0000-0000-000062360000}"/>
    <cellStyle name="Normal 2 59 3 15 3" xfId="13940" xr:uid="{00000000-0005-0000-0000-000063360000}"/>
    <cellStyle name="Normal 2 59 3 16" xfId="13941" xr:uid="{00000000-0005-0000-0000-000064360000}"/>
    <cellStyle name="Normal 2 59 3 17" xfId="13942" xr:uid="{00000000-0005-0000-0000-000065360000}"/>
    <cellStyle name="Normal 2 59 3 2" xfId="13943" xr:uid="{00000000-0005-0000-0000-000066360000}"/>
    <cellStyle name="Normal 2 59 3 2 10" xfId="13944" xr:uid="{00000000-0005-0000-0000-000067360000}"/>
    <cellStyle name="Normal 2 59 3 2 10 2" xfId="13945" xr:uid="{00000000-0005-0000-0000-000068360000}"/>
    <cellStyle name="Normal 2 59 3 2 10 3" xfId="13946" xr:uid="{00000000-0005-0000-0000-000069360000}"/>
    <cellStyle name="Normal 2 59 3 2 11" xfId="13947" xr:uid="{00000000-0005-0000-0000-00006A360000}"/>
    <cellStyle name="Normal 2 59 3 2 11 2" xfId="13948" xr:uid="{00000000-0005-0000-0000-00006B360000}"/>
    <cellStyle name="Normal 2 59 3 2 11 3" xfId="13949" xr:uid="{00000000-0005-0000-0000-00006C360000}"/>
    <cellStyle name="Normal 2 59 3 2 12" xfId="13950" xr:uid="{00000000-0005-0000-0000-00006D360000}"/>
    <cellStyle name="Normal 2 59 3 2 12 2" xfId="13951" xr:uid="{00000000-0005-0000-0000-00006E360000}"/>
    <cellStyle name="Normal 2 59 3 2 12 3" xfId="13952" xr:uid="{00000000-0005-0000-0000-00006F360000}"/>
    <cellStyle name="Normal 2 59 3 2 13" xfId="13953" xr:uid="{00000000-0005-0000-0000-000070360000}"/>
    <cellStyle name="Normal 2 59 3 2 13 2" xfId="13954" xr:uid="{00000000-0005-0000-0000-000071360000}"/>
    <cellStyle name="Normal 2 59 3 2 13 3" xfId="13955" xr:uid="{00000000-0005-0000-0000-000072360000}"/>
    <cellStyle name="Normal 2 59 3 2 14" xfId="13956" xr:uid="{00000000-0005-0000-0000-000073360000}"/>
    <cellStyle name="Normal 2 59 3 2 14 2" xfId="13957" xr:uid="{00000000-0005-0000-0000-000074360000}"/>
    <cellStyle name="Normal 2 59 3 2 14 3" xfId="13958" xr:uid="{00000000-0005-0000-0000-000075360000}"/>
    <cellStyle name="Normal 2 59 3 2 15" xfId="13959" xr:uid="{00000000-0005-0000-0000-000076360000}"/>
    <cellStyle name="Normal 2 59 3 2 16" xfId="13960" xr:uid="{00000000-0005-0000-0000-000077360000}"/>
    <cellStyle name="Normal 2 59 3 2 2" xfId="13961" xr:uid="{00000000-0005-0000-0000-000078360000}"/>
    <cellStyle name="Normal 2 59 3 2 2 2" xfId="13962" xr:uid="{00000000-0005-0000-0000-000079360000}"/>
    <cellStyle name="Normal 2 59 3 2 2 3" xfId="13963" xr:uid="{00000000-0005-0000-0000-00007A360000}"/>
    <cellStyle name="Normal 2 59 3 2 3" xfId="13964" xr:uid="{00000000-0005-0000-0000-00007B360000}"/>
    <cellStyle name="Normal 2 59 3 2 3 2" xfId="13965" xr:uid="{00000000-0005-0000-0000-00007C360000}"/>
    <cellStyle name="Normal 2 59 3 2 3 3" xfId="13966" xr:uid="{00000000-0005-0000-0000-00007D360000}"/>
    <cellStyle name="Normal 2 59 3 2 4" xfId="13967" xr:uid="{00000000-0005-0000-0000-00007E360000}"/>
    <cellStyle name="Normal 2 59 3 2 4 2" xfId="13968" xr:uid="{00000000-0005-0000-0000-00007F360000}"/>
    <cellStyle name="Normal 2 59 3 2 4 3" xfId="13969" xr:uid="{00000000-0005-0000-0000-000080360000}"/>
    <cellStyle name="Normal 2 59 3 2 5" xfId="13970" xr:uid="{00000000-0005-0000-0000-000081360000}"/>
    <cellStyle name="Normal 2 59 3 2 5 2" xfId="13971" xr:uid="{00000000-0005-0000-0000-000082360000}"/>
    <cellStyle name="Normal 2 59 3 2 5 3" xfId="13972" xr:uid="{00000000-0005-0000-0000-000083360000}"/>
    <cellStyle name="Normal 2 59 3 2 6" xfId="13973" xr:uid="{00000000-0005-0000-0000-000084360000}"/>
    <cellStyle name="Normal 2 59 3 2 6 2" xfId="13974" xr:uid="{00000000-0005-0000-0000-000085360000}"/>
    <cellStyle name="Normal 2 59 3 2 6 3" xfId="13975" xr:uid="{00000000-0005-0000-0000-000086360000}"/>
    <cellStyle name="Normal 2 59 3 2 7" xfId="13976" xr:uid="{00000000-0005-0000-0000-000087360000}"/>
    <cellStyle name="Normal 2 59 3 2 7 2" xfId="13977" xr:uid="{00000000-0005-0000-0000-000088360000}"/>
    <cellStyle name="Normal 2 59 3 2 7 3" xfId="13978" xr:uid="{00000000-0005-0000-0000-000089360000}"/>
    <cellStyle name="Normal 2 59 3 2 8" xfId="13979" xr:uid="{00000000-0005-0000-0000-00008A360000}"/>
    <cellStyle name="Normal 2 59 3 2 8 2" xfId="13980" xr:uid="{00000000-0005-0000-0000-00008B360000}"/>
    <cellStyle name="Normal 2 59 3 2 8 3" xfId="13981" xr:uid="{00000000-0005-0000-0000-00008C360000}"/>
    <cellStyle name="Normal 2 59 3 2 9" xfId="13982" xr:uid="{00000000-0005-0000-0000-00008D360000}"/>
    <cellStyle name="Normal 2 59 3 2 9 2" xfId="13983" xr:uid="{00000000-0005-0000-0000-00008E360000}"/>
    <cellStyle name="Normal 2 59 3 2 9 3" xfId="13984" xr:uid="{00000000-0005-0000-0000-00008F360000}"/>
    <cellStyle name="Normal 2 59 3 3" xfId="13985" xr:uid="{00000000-0005-0000-0000-000090360000}"/>
    <cellStyle name="Normal 2 59 3 3 2" xfId="13986" xr:uid="{00000000-0005-0000-0000-000091360000}"/>
    <cellStyle name="Normal 2 59 3 3 3" xfId="13987" xr:uid="{00000000-0005-0000-0000-000092360000}"/>
    <cellStyle name="Normal 2 59 3 4" xfId="13988" xr:uid="{00000000-0005-0000-0000-000093360000}"/>
    <cellStyle name="Normal 2 59 3 4 2" xfId="13989" xr:uid="{00000000-0005-0000-0000-000094360000}"/>
    <cellStyle name="Normal 2 59 3 4 3" xfId="13990" xr:uid="{00000000-0005-0000-0000-000095360000}"/>
    <cellStyle name="Normal 2 59 3 5" xfId="13991" xr:uid="{00000000-0005-0000-0000-000096360000}"/>
    <cellStyle name="Normal 2 59 3 5 2" xfId="13992" xr:uid="{00000000-0005-0000-0000-000097360000}"/>
    <cellStyle name="Normal 2 59 3 5 3" xfId="13993" xr:uid="{00000000-0005-0000-0000-000098360000}"/>
    <cellStyle name="Normal 2 59 3 6" xfId="13994" xr:uid="{00000000-0005-0000-0000-000099360000}"/>
    <cellStyle name="Normal 2 59 3 6 2" xfId="13995" xr:uid="{00000000-0005-0000-0000-00009A360000}"/>
    <cellStyle name="Normal 2 59 3 6 3" xfId="13996" xr:uid="{00000000-0005-0000-0000-00009B360000}"/>
    <cellStyle name="Normal 2 59 3 7" xfId="13997" xr:uid="{00000000-0005-0000-0000-00009C360000}"/>
    <cellStyle name="Normal 2 59 3 7 2" xfId="13998" xr:uid="{00000000-0005-0000-0000-00009D360000}"/>
    <cellStyle name="Normal 2 59 3 7 3" xfId="13999" xr:uid="{00000000-0005-0000-0000-00009E360000}"/>
    <cellStyle name="Normal 2 59 3 8" xfId="14000" xr:uid="{00000000-0005-0000-0000-00009F360000}"/>
    <cellStyle name="Normal 2 59 3 8 2" xfId="14001" xr:uid="{00000000-0005-0000-0000-0000A0360000}"/>
    <cellStyle name="Normal 2 59 3 8 3" xfId="14002" xr:uid="{00000000-0005-0000-0000-0000A1360000}"/>
    <cellStyle name="Normal 2 59 3 9" xfId="14003" xr:uid="{00000000-0005-0000-0000-0000A2360000}"/>
    <cellStyle name="Normal 2 59 3 9 2" xfId="14004" xr:uid="{00000000-0005-0000-0000-0000A3360000}"/>
    <cellStyle name="Normal 2 59 3 9 3" xfId="14005" xr:uid="{00000000-0005-0000-0000-0000A4360000}"/>
    <cellStyle name="Normal 2 59 4" xfId="14006" xr:uid="{00000000-0005-0000-0000-0000A5360000}"/>
    <cellStyle name="Normal 2 59 4 10" xfId="14007" xr:uid="{00000000-0005-0000-0000-0000A6360000}"/>
    <cellStyle name="Normal 2 59 4 10 2" xfId="14008" xr:uid="{00000000-0005-0000-0000-0000A7360000}"/>
    <cellStyle name="Normal 2 59 4 10 3" xfId="14009" xr:uid="{00000000-0005-0000-0000-0000A8360000}"/>
    <cellStyle name="Normal 2 59 4 11" xfId="14010" xr:uid="{00000000-0005-0000-0000-0000A9360000}"/>
    <cellStyle name="Normal 2 59 4 11 2" xfId="14011" xr:uid="{00000000-0005-0000-0000-0000AA360000}"/>
    <cellStyle name="Normal 2 59 4 11 3" xfId="14012" xr:uid="{00000000-0005-0000-0000-0000AB360000}"/>
    <cellStyle name="Normal 2 59 4 12" xfId="14013" xr:uid="{00000000-0005-0000-0000-0000AC360000}"/>
    <cellStyle name="Normal 2 59 4 12 2" xfId="14014" xr:uid="{00000000-0005-0000-0000-0000AD360000}"/>
    <cellStyle name="Normal 2 59 4 12 3" xfId="14015" xr:uid="{00000000-0005-0000-0000-0000AE360000}"/>
    <cellStyle name="Normal 2 59 4 13" xfId="14016" xr:uid="{00000000-0005-0000-0000-0000AF360000}"/>
    <cellStyle name="Normal 2 59 4 13 2" xfId="14017" xr:uid="{00000000-0005-0000-0000-0000B0360000}"/>
    <cellStyle name="Normal 2 59 4 13 3" xfId="14018" xr:uid="{00000000-0005-0000-0000-0000B1360000}"/>
    <cellStyle name="Normal 2 59 4 14" xfId="14019" xr:uid="{00000000-0005-0000-0000-0000B2360000}"/>
    <cellStyle name="Normal 2 59 4 14 2" xfId="14020" xr:uid="{00000000-0005-0000-0000-0000B3360000}"/>
    <cellStyle name="Normal 2 59 4 14 3" xfId="14021" xr:uid="{00000000-0005-0000-0000-0000B4360000}"/>
    <cellStyle name="Normal 2 59 4 15" xfId="14022" xr:uid="{00000000-0005-0000-0000-0000B5360000}"/>
    <cellStyle name="Normal 2 59 4 15 2" xfId="14023" xr:uid="{00000000-0005-0000-0000-0000B6360000}"/>
    <cellStyle name="Normal 2 59 4 15 3" xfId="14024" xr:uid="{00000000-0005-0000-0000-0000B7360000}"/>
    <cellStyle name="Normal 2 59 4 16" xfId="14025" xr:uid="{00000000-0005-0000-0000-0000B8360000}"/>
    <cellStyle name="Normal 2 59 4 17" xfId="14026" xr:uid="{00000000-0005-0000-0000-0000B9360000}"/>
    <cellStyle name="Normal 2 59 4 2" xfId="14027" xr:uid="{00000000-0005-0000-0000-0000BA360000}"/>
    <cellStyle name="Normal 2 59 4 2 10" xfId="14028" xr:uid="{00000000-0005-0000-0000-0000BB360000}"/>
    <cellStyle name="Normal 2 59 4 2 10 2" xfId="14029" xr:uid="{00000000-0005-0000-0000-0000BC360000}"/>
    <cellStyle name="Normal 2 59 4 2 10 3" xfId="14030" xr:uid="{00000000-0005-0000-0000-0000BD360000}"/>
    <cellStyle name="Normal 2 59 4 2 11" xfId="14031" xr:uid="{00000000-0005-0000-0000-0000BE360000}"/>
    <cellStyle name="Normal 2 59 4 2 11 2" xfId="14032" xr:uid="{00000000-0005-0000-0000-0000BF360000}"/>
    <cellStyle name="Normal 2 59 4 2 11 3" xfId="14033" xr:uid="{00000000-0005-0000-0000-0000C0360000}"/>
    <cellStyle name="Normal 2 59 4 2 12" xfId="14034" xr:uid="{00000000-0005-0000-0000-0000C1360000}"/>
    <cellStyle name="Normal 2 59 4 2 12 2" xfId="14035" xr:uid="{00000000-0005-0000-0000-0000C2360000}"/>
    <cellStyle name="Normal 2 59 4 2 12 3" xfId="14036" xr:uid="{00000000-0005-0000-0000-0000C3360000}"/>
    <cellStyle name="Normal 2 59 4 2 13" xfId="14037" xr:uid="{00000000-0005-0000-0000-0000C4360000}"/>
    <cellStyle name="Normal 2 59 4 2 13 2" xfId="14038" xr:uid="{00000000-0005-0000-0000-0000C5360000}"/>
    <cellStyle name="Normal 2 59 4 2 13 3" xfId="14039" xr:uid="{00000000-0005-0000-0000-0000C6360000}"/>
    <cellStyle name="Normal 2 59 4 2 14" xfId="14040" xr:uid="{00000000-0005-0000-0000-0000C7360000}"/>
    <cellStyle name="Normal 2 59 4 2 14 2" xfId="14041" xr:uid="{00000000-0005-0000-0000-0000C8360000}"/>
    <cellStyle name="Normal 2 59 4 2 14 3" xfId="14042" xr:uid="{00000000-0005-0000-0000-0000C9360000}"/>
    <cellStyle name="Normal 2 59 4 2 15" xfId="14043" xr:uid="{00000000-0005-0000-0000-0000CA360000}"/>
    <cellStyle name="Normal 2 59 4 2 16" xfId="14044" xr:uid="{00000000-0005-0000-0000-0000CB360000}"/>
    <cellStyle name="Normal 2 59 4 2 2" xfId="14045" xr:uid="{00000000-0005-0000-0000-0000CC360000}"/>
    <cellStyle name="Normal 2 59 4 2 2 2" xfId="14046" xr:uid="{00000000-0005-0000-0000-0000CD360000}"/>
    <cellStyle name="Normal 2 59 4 2 2 3" xfId="14047" xr:uid="{00000000-0005-0000-0000-0000CE360000}"/>
    <cellStyle name="Normal 2 59 4 2 3" xfId="14048" xr:uid="{00000000-0005-0000-0000-0000CF360000}"/>
    <cellStyle name="Normal 2 59 4 2 3 2" xfId="14049" xr:uid="{00000000-0005-0000-0000-0000D0360000}"/>
    <cellStyle name="Normal 2 59 4 2 3 3" xfId="14050" xr:uid="{00000000-0005-0000-0000-0000D1360000}"/>
    <cellStyle name="Normal 2 59 4 2 4" xfId="14051" xr:uid="{00000000-0005-0000-0000-0000D2360000}"/>
    <cellStyle name="Normal 2 59 4 2 4 2" xfId="14052" xr:uid="{00000000-0005-0000-0000-0000D3360000}"/>
    <cellStyle name="Normal 2 59 4 2 4 3" xfId="14053" xr:uid="{00000000-0005-0000-0000-0000D4360000}"/>
    <cellStyle name="Normal 2 59 4 2 5" xfId="14054" xr:uid="{00000000-0005-0000-0000-0000D5360000}"/>
    <cellStyle name="Normal 2 59 4 2 5 2" xfId="14055" xr:uid="{00000000-0005-0000-0000-0000D6360000}"/>
    <cellStyle name="Normal 2 59 4 2 5 3" xfId="14056" xr:uid="{00000000-0005-0000-0000-0000D7360000}"/>
    <cellStyle name="Normal 2 59 4 2 6" xfId="14057" xr:uid="{00000000-0005-0000-0000-0000D8360000}"/>
    <cellStyle name="Normal 2 59 4 2 6 2" xfId="14058" xr:uid="{00000000-0005-0000-0000-0000D9360000}"/>
    <cellStyle name="Normal 2 59 4 2 6 3" xfId="14059" xr:uid="{00000000-0005-0000-0000-0000DA360000}"/>
    <cellStyle name="Normal 2 59 4 2 7" xfId="14060" xr:uid="{00000000-0005-0000-0000-0000DB360000}"/>
    <cellStyle name="Normal 2 59 4 2 7 2" xfId="14061" xr:uid="{00000000-0005-0000-0000-0000DC360000}"/>
    <cellStyle name="Normal 2 59 4 2 7 3" xfId="14062" xr:uid="{00000000-0005-0000-0000-0000DD360000}"/>
    <cellStyle name="Normal 2 59 4 2 8" xfId="14063" xr:uid="{00000000-0005-0000-0000-0000DE360000}"/>
    <cellStyle name="Normal 2 59 4 2 8 2" xfId="14064" xr:uid="{00000000-0005-0000-0000-0000DF360000}"/>
    <cellStyle name="Normal 2 59 4 2 8 3" xfId="14065" xr:uid="{00000000-0005-0000-0000-0000E0360000}"/>
    <cellStyle name="Normal 2 59 4 2 9" xfId="14066" xr:uid="{00000000-0005-0000-0000-0000E1360000}"/>
    <cellStyle name="Normal 2 59 4 2 9 2" xfId="14067" xr:uid="{00000000-0005-0000-0000-0000E2360000}"/>
    <cellStyle name="Normal 2 59 4 2 9 3" xfId="14068" xr:uid="{00000000-0005-0000-0000-0000E3360000}"/>
    <cellStyle name="Normal 2 59 4 3" xfId="14069" xr:uid="{00000000-0005-0000-0000-0000E4360000}"/>
    <cellStyle name="Normal 2 59 4 3 2" xfId="14070" xr:uid="{00000000-0005-0000-0000-0000E5360000}"/>
    <cellStyle name="Normal 2 59 4 3 3" xfId="14071" xr:uid="{00000000-0005-0000-0000-0000E6360000}"/>
    <cellStyle name="Normal 2 59 4 4" xfId="14072" xr:uid="{00000000-0005-0000-0000-0000E7360000}"/>
    <cellStyle name="Normal 2 59 4 4 2" xfId="14073" xr:uid="{00000000-0005-0000-0000-0000E8360000}"/>
    <cellStyle name="Normal 2 59 4 4 3" xfId="14074" xr:uid="{00000000-0005-0000-0000-0000E9360000}"/>
    <cellStyle name="Normal 2 59 4 5" xfId="14075" xr:uid="{00000000-0005-0000-0000-0000EA360000}"/>
    <cellStyle name="Normal 2 59 4 5 2" xfId="14076" xr:uid="{00000000-0005-0000-0000-0000EB360000}"/>
    <cellStyle name="Normal 2 59 4 5 3" xfId="14077" xr:uid="{00000000-0005-0000-0000-0000EC360000}"/>
    <cellStyle name="Normal 2 59 4 6" xfId="14078" xr:uid="{00000000-0005-0000-0000-0000ED360000}"/>
    <cellStyle name="Normal 2 59 4 6 2" xfId="14079" xr:uid="{00000000-0005-0000-0000-0000EE360000}"/>
    <cellStyle name="Normal 2 59 4 6 3" xfId="14080" xr:uid="{00000000-0005-0000-0000-0000EF360000}"/>
    <cellStyle name="Normal 2 59 4 7" xfId="14081" xr:uid="{00000000-0005-0000-0000-0000F0360000}"/>
    <cellStyle name="Normal 2 59 4 7 2" xfId="14082" xr:uid="{00000000-0005-0000-0000-0000F1360000}"/>
    <cellStyle name="Normal 2 59 4 7 3" xfId="14083" xr:uid="{00000000-0005-0000-0000-0000F2360000}"/>
    <cellStyle name="Normal 2 59 4 8" xfId="14084" xr:uid="{00000000-0005-0000-0000-0000F3360000}"/>
    <cellStyle name="Normal 2 59 4 8 2" xfId="14085" xr:uid="{00000000-0005-0000-0000-0000F4360000}"/>
    <cellStyle name="Normal 2 59 4 8 3" xfId="14086" xr:uid="{00000000-0005-0000-0000-0000F5360000}"/>
    <cellStyle name="Normal 2 59 4 9" xfId="14087" xr:uid="{00000000-0005-0000-0000-0000F6360000}"/>
    <cellStyle name="Normal 2 59 4 9 2" xfId="14088" xr:uid="{00000000-0005-0000-0000-0000F7360000}"/>
    <cellStyle name="Normal 2 59 4 9 3" xfId="14089" xr:uid="{00000000-0005-0000-0000-0000F8360000}"/>
    <cellStyle name="Normal 2 59 5" xfId="14090" xr:uid="{00000000-0005-0000-0000-0000F9360000}"/>
    <cellStyle name="Normal 2 59 5 10" xfId="14091" xr:uid="{00000000-0005-0000-0000-0000FA360000}"/>
    <cellStyle name="Normal 2 59 5 10 2" xfId="14092" xr:uid="{00000000-0005-0000-0000-0000FB360000}"/>
    <cellStyle name="Normal 2 59 5 10 3" xfId="14093" xr:uid="{00000000-0005-0000-0000-0000FC360000}"/>
    <cellStyle name="Normal 2 59 5 11" xfId="14094" xr:uid="{00000000-0005-0000-0000-0000FD360000}"/>
    <cellStyle name="Normal 2 59 5 11 2" xfId="14095" xr:uid="{00000000-0005-0000-0000-0000FE360000}"/>
    <cellStyle name="Normal 2 59 5 11 3" xfId="14096" xr:uid="{00000000-0005-0000-0000-0000FF360000}"/>
    <cellStyle name="Normal 2 59 5 12" xfId="14097" xr:uid="{00000000-0005-0000-0000-000000370000}"/>
    <cellStyle name="Normal 2 59 5 12 2" xfId="14098" xr:uid="{00000000-0005-0000-0000-000001370000}"/>
    <cellStyle name="Normal 2 59 5 12 3" xfId="14099" xr:uid="{00000000-0005-0000-0000-000002370000}"/>
    <cellStyle name="Normal 2 59 5 13" xfId="14100" xr:uid="{00000000-0005-0000-0000-000003370000}"/>
    <cellStyle name="Normal 2 59 5 13 2" xfId="14101" xr:uid="{00000000-0005-0000-0000-000004370000}"/>
    <cellStyle name="Normal 2 59 5 13 3" xfId="14102" xr:uid="{00000000-0005-0000-0000-000005370000}"/>
    <cellStyle name="Normal 2 59 5 14" xfId="14103" xr:uid="{00000000-0005-0000-0000-000006370000}"/>
    <cellStyle name="Normal 2 59 5 14 2" xfId="14104" xr:uid="{00000000-0005-0000-0000-000007370000}"/>
    <cellStyle name="Normal 2 59 5 14 3" xfId="14105" xr:uid="{00000000-0005-0000-0000-000008370000}"/>
    <cellStyle name="Normal 2 59 5 15" xfId="14106" xr:uid="{00000000-0005-0000-0000-000009370000}"/>
    <cellStyle name="Normal 2 59 5 16" xfId="14107" xr:uid="{00000000-0005-0000-0000-00000A370000}"/>
    <cellStyle name="Normal 2 59 5 2" xfId="14108" xr:uid="{00000000-0005-0000-0000-00000B370000}"/>
    <cellStyle name="Normal 2 59 5 2 2" xfId="14109" xr:uid="{00000000-0005-0000-0000-00000C370000}"/>
    <cellStyle name="Normal 2 59 5 2 3" xfId="14110" xr:uid="{00000000-0005-0000-0000-00000D370000}"/>
    <cellStyle name="Normal 2 59 5 3" xfId="14111" xr:uid="{00000000-0005-0000-0000-00000E370000}"/>
    <cellStyle name="Normal 2 59 5 3 2" xfId="14112" xr:uid="{00000000-0005-0000-0000-00000F370000}"/>
    <cellStyle name="Normal 2 59 5 3 3" xfId="14113" xr:uid="{00000000-0005-0000-0000-000010370000}"/>
    <cellStyle name="Normal 2 59 5 4" xfId="14114" xr:uid="{00000000-0005-0000-0000-000011370000}"/>
    <cellStyle name="Normal 2 59 5 4 2" xfId="14115" xr:uid="{00000000-0005-0000-0000-000012370000}"/>
    <cellStyle name="Normal 2 59 5 4 3" xfId="14116" xr:uid="{00000000-0005-0000-0000-000013370000}"/>
    <cellStyle name="Normal 2 59 5 5" xfId="14117" xr:uid="{00000000-0005-0000-0000-000014370000}"/>
    <cellStyle name="Normal 2 59 5 5 2" xfId="14118" xr:uid="{00000000-0005-0000-0000-000015370000}"/>
    <cellStyle name="Normal 2 59 5 5 3" xfId="14119" xr:uid="{00000000-0005-0000-0000-000016370000}"/>
    <cellStyle name="Normal 2 59 5 6" xfId="14120" xr:uid="{00000000-0005-0000-0000-000017370000}"/>
    <cellStyle name="Normal 2 59 5 6 2" xfId="14121" xr:uid="{00000000-0005-0000-0000-000018370000}"/>
    <cellStyle name="Normal 2 59 5 6 3" xfId="14122" xr:uid="{00000000-0005-0000-0000-000019370000}"/>
    <cellStyle name="Normal 2 59 5 7" xfId="14123" xr:uid="{00000000-0005-0000-0000-00001A370000}"/>
    <cellStyle name="Normal 2 59 5 7 2" xfId="14124" xr:uid="{00000000-0005-0000-0000-00001B370000}"/>
    <cellStyle name="Normal 2 59 5 7 3" xfId="14125" xr:uid="{00000000-0005-0000-0000-00001C370000}"/>
    <cellStyle name="Normal 2 59 5 8" xfId="14126" xr:uid="{00000000-0005-0000-0000-00001D370000}"/>
    <cellStyle name="Normal 2 59 5 8 2" xfId="14127" xr:uid="{00000000-0005-0000-0000-00001E370000}"/>
    <cellStyle name="Normal 2 59 5 8 3" xfId="14128" xr:uid="{00000000-0005-0000-0000-00001F370000}"/>
    <cellStyle name="Normal 2 59 5 9" xfId="14129" xr:uid="{00000000-0005-0000-0000-000020370000}"/>
    <cellStyle name="Normal 2 59 5 9 2" xfId="14130" xr:uid="{00000000-0005-0000-0000-000021370000}"/>
    <cellStyle name="Normal 2 59 5 9 3" xfId="14131" xr:uid="{00000000-0005-0000-0000-000022370000}"/>
    <cellStyle name="Normal 2 59 6" xfId="14132" xr:uid="{00000000-0005-0000-0000-000023370000}"/>
    <cellStyle name="Normal 2 59 6 10" xfId="14133" xr:uid="{00000000-0005-0000-0000-000024370000}"/>
    <cellStyle name="Normal 2 59 6 10 2" xfId="14134" xr:uid="{00000000-0005-0000-0000-000025370000}"/>
    <cellStyle name="Normal 2 59 6 10 3" xfId="14135" xr:uid="{00000000-0005-0000-0000-000026370000}"/>
    <cellStyle name="Normal 2 59 6 11" xfId="14136" xr:uid="{00000000-0005-0000-0000-000027370000}"/>
    <cellStyle name="Normal 2 59 6 11 2" xfId="14137" xr:uid="{00000000-0005-0000-0000-000028370000}"/>
    <cellStyle name="Normal 2 59 6 11 3" xfId="14138" xr:uid="{00000000-0005-0000-0000-000029370000}"/>
    <cellStyle name="Normal 2 59 6 12" xfId="14139" xr:uid="{00000000-0005-0000-0000-00002A370000}"/>
    <cellStyle name="Normal 2 59 6 12 2" xfId="14140" xr:uid="{00000000-0005-0000-0000-00002B370000}"/>
    <cellStyle name="Normal 2 59 6 12 3" xfId="14141" xr:uid="{00000000-0005-0000-0000-00002C370000}"/>
    <cellStyle name="Normal 2 59 6 13" xfId="14142" xr:uid="{00000000-0005-0000-0000-00002D370000}"/>
    <cellStyle name="Normal 2 59 6 13 2" xfId="14143" xr:uid="{00000000-0005-0000-0000-00002E370000}"/>
    <cellStyle name="Normal 2 59 6 13 3" xfId="14144" xr:uid="{00000000-0005-0000-0000-00002F370000}"/>
    <cellStyle name="Normal 2 59 6 14" xfId="14145" xr:uid="{00000000-0005-0000-0000-000030370000}"/>
    <cellStyle name="Normal 2 59 6 14 2" xfId="14146" xr:uid="{00000000-0005-0000-0000-000031370000}"/>
    <cellStyle name="Normal 2 59 6 14 3" xfId="14147" xr:uid="{00000000-0005-0000-0000-000032370000}"/>
    <cellStyle name="Normal 2 59 6 15" xfId="14148" xr:uid="{00000000-0005-0000-0000-000033370000}"/>
    <cellStyle name="Normal 2 59 6 16" xfId="14149" xr:uid="{00000000-0005-0000-0000-000034370000}"/>
    <cellStyle name="Normal 2 59 6 2" xfId="14150" xr:uid="{00000000-0005-0000-0000-000035370000}"/>
    <cellStyle name="Normal 2 59 6 2 2" xfId="14151" xr:uid="{00000000-0005-0000-0000-000036370000}"/>
    <cellStyle name="Normal 2 59 6 2 3" xfId="14152" xr:uid="{00000000-0005-0000-0000-000037370000}"/>
    <cellStyle name="Normal 2 59 6 3" xfId="14153" xr:uid="{00000000-0005-0000-0000-000038370000}"/>
    <cellStyle name="Normal 2 59 6 3 2" xfId="14154" xr:uid="{00000000-0005-0000-0000-000039370000}"/>
    <cellStyle name="Normal 2 59 6 3 3" xfId="14155" xr:uid="{00000000-0005-0000-0000-00003A370000}"/>
    <cellStyle name="Normal 2 59 6 4" xfId="14156" xr:uid="{00000000-0005-0000-0000-00003B370000}"/>
    <cellStyle name="Normal 2 59 6 4 2" xfId="14157" xr:uid="{00000000-0005-0000-0000-00003C370000}"/>
    <cellStyle name="Normal 2 59 6 4 3" xfId="14158" xr:uid="{00000000-0005-0000-0000-00003D370000}"/>
    <cellStyle name="Normal 2 59 6 5" xfId="14159" xr:uid="{00000000-0005-0000-0000-00003E370000}"/>
    <cellStyle name="Normal 2 59 6 5 2" xfId="14160" xr:uid="{00000000-0005-0000-0000-00003F370000}"/>
    <cellStyle name="Normal 2 59 6 5 3" xfId="14161" xr:uid="{00000000-0005-0000-0000-000040370000}"/>
    <cellStyle name="Normal 2 59 6 6" xfId="14162" xr:uid="{00000000-0005-0000-0000-000041370000}"/>
    <cellStyle name="Normal 2 59 6 6 2" xfId="14163" xr:uid="{00000000-0005-0000-0000-000042370000}"/>
    <cellStyle name="Normal 2 59 6 6 3" xfId="14164" xr:uid="{00000000-0005-0000-0000-000043370000}"/>
    <cellStyle name="Normal 2 59 6 7" xfId="14165" xr:uid="{00000000-0005-0000-0000-000044370000}"/>
    <cellStyle name="Normal 2 59 6 7 2" xfId="14166" xr:uid="{00000000-0005-0000-0000-000045370000}"/>
    <cellStyle name="Normal 2 59 6 7 3" xfId="14167" xr:uid="{00000000-0005-0000-0000-000046370000}"/>
    <cellStyle name="Normal 2 59 6 8" xfId="14168" xr:uid="{00000000-0005-0000-0000-000047370000}"/>
    <cellStyle name="Normal 2 59 6 8 2" xfId="14169" xr:uid="{00000000-0005-0000-0000-000048370000}"/>
    <cellStyle name="Normal 2 59 6 8 3" xfId="14170" xr:uid="{00000000-0005-0000-0000-000049370000}"/>
    <cellStyle name="Normal 2 59 6 9" xfId="14171" xr:uid="{00000000-0005-0000-0000-00004A370000}"/>
    <cellStyle name="Normal 2 59 6 9 2" xfId="14172" xr:uid="{00000000-0005-0000-0000-00004B370000}"/>
    <cellStyle name="Normal 2 59 6 9 3" xfId="14173" xr:uid="{00000000-0005-0000-0000-00004C370000}"/>
    <cellStyle name="Normal 2 59 7" xfId="14174" xr:uid="{00000000-0005-0000-0000-00004D370000}"/>
    <cellStyle name="Normal 2 59 7 10" xfId="14175" xr:uid="{00000000-0005-0000-0000-00004E370000}"/>
    <cellStyle name="Normal 2 59 7 10 2" xfId="14176" xr:uid="{00000000-0005-0000-0000-00004F370000}"/>
    <cellStyle name="Normal 2 59 7 10 3" xfId="14177" xr:uid="{00000000-0005-0000-0000-000050370000}"/>
    <cellStyle name="Normal 2 59 7 11" xfId="14178" xr:uid="{00000000-0005-0000-0000-000051370000}"/>
    <cellStyle name="Normal 2 59 7 11 2" xfId="14179" xr:uid="{00000000-0005-0000-0000-000052370000}"/>
    <cellStyle name="Normal 2 59 7 11 3" xfId="14180" xr:uid="{00000000-0005-0000-0000-000053370000}"/>
    <cellStyle name="Normal 2 59 7 12" xfId="14181" xr:uid="{00000000-0005-0000-0000-000054370000}"/>
    <cellStyle name="Normal 2 59 7 12 2" xfId="14182" xr:uid="{00000000-0005-0000-0000-000055370000}"/>
    <cellStyle name="Normal 2 59 7 12 3" xfId="14183" xr:uid="{00000000-0005-0000-0000-000056370000}"/>
    <cellStyle name="Normal 2 59 7 13" xfId="14184" xr:uid="{00000000-0005-0000-0000-000057370000}"/>
    <cellStyle name="Normal 2 59 7 13 2" xfId="14185" xr:uid="{00000000-0005-0000-0000-000058370000}"/>
    <cellStyle name="Normal 2 59 7 13 3" xfId="14186" xr:uid="{00000000-0005-0000-0000-000059370000}"/>
    <cellStyle name="Normal 2 59 7 14" xfId="14187" xr:uid="{00000000-0005-0000-0000-00005A370000}"/>
    <cellStyle name="Normal 2 59 7 14 2" xfId="14188" xr:uid="{00000000-0005-0000-0000-00005B370000}"/>
    <cellStyle name="Normal 2 59 7 14 3" xfId="14189" xr:uid="{00000000-0005-0000-0000-00005C370000}"/>
    <cellStyle name="Normal 2 59 7 15" xfId="14190" xr:uid="{00000000-0005-0000-0000-00005D370000}"/>
    <cellStyle name="Normal 2 59 7 16" xfId="14191" xr:uid="{00000000-0005-0000-0000-00005E370000}"/>
    <cellStyle name="Normal 2 59 7 2" xfId="14192" xr:uid="{00000000-0005-0000-0000-00005F370000}"/>
    <cellStyle name="Normal 2 59 7 2 2" xfId="14193" xr:uid="{00000000-0005-0000-0000-000060370000}"/>
    <cellStyle name="Normal 2 59 7 2 3" xfId="14194" xr:uid="{00000000-0005-0000-0000-000061370000}"/>
    <cellStyle name="Normal 2 59 7 3" xfId="14195" xr:uid="{00000000-0005-0000-0000-000062370000}"/>
    <cellStyle name="Normal 2 59 7 3 2" xfId="14196" xr:uid="{00000000-0005-0000-0000-000063370000}"/>
    <cellStyle name="Normal 2 59 7 3 3" xfId="14197" xr:uid="{00000000-0005-0000-0000-000064370000}"/>
    <cellStyle name="Normal 2 59 7 4" xfId="14198" xr:uid="{00000000-0005-0000-0000-000065370000}"/>
    <cellStyle name="Normal 2 59 7 4 2" xfId="14199" xr:uid="{00000000-0005-0000-0000-000066370000}"/>
    <cellStyle name="Normal 2 59 7 4 3" xfId="14200" xr:uid="{00000000-0005-0000-0000-000067370000}"/>
    <cellStyle name="Normal 2 59 7 5" xfId="14201" xr:uid="{00000000-0005-0000-0000-000068370000}"/>
    <cellStyle name="Normal 2 59 7 5 2" xfId="14202" xr:uid="{00000000-0005-0000-0000-000069370000}"/>
    <cellStyle name="Normal 2 59 7 5 3" xfId="14203" xr:uid="{00000000-0005-0000-0000-00006A370000}"/>
    <cellStyle name="Normal 2 59 7 6" xfId="14204" xr:uid="{00000000-0005-0000-0000-00006B370000}"/>
    <cellStyle name="Normal 2 59 7 6 2" xfId="14205" xr:uid="{00000000-0005-0000-0000-00006C370000}"/>
    <cellStyle name="Normal 2 59 7 6 3" xfId="14206" xr:uid="{00000000-0005-0000-0000-00006D370000}"/>
    <cellStyle name="Normal 2 59 7 7" xfId="14207" xr:uid="{00000000-0005-0000-0000-00006E370000}"/>
    <cellStyle name="Normal 2 59 7 7 2" xfId="14208" xr:uid="{00000000-0005-0000-0000-00006F370000}"/>
    <cellStyle name="Normal 2 59 7 7 3" xfId="14209" xr:uid="{00000000-0005-0000-0000-000070370000}"/>
    <cellStyle name="Normal 2 59 7 8" xfId="14210" xr:uid="{00000000-0005-0000-0000-000071370000}"/>
    <cellStyle name="Normal 2 59 7 8 2" xfId="14211" xr:uid="{00000000-0005-0000-0000-000072370000}"/>
    <cellStyle name="Normal 2 59 7 8 3" xfId="14212" xr:uid="{00000000-0005-0000-0000-000073370000}"/>
    <cellStyle name="Normal 2 59 7 9" xfId="14213" xr:uid="{00000000-0005-0000-0000-000074370000}"/>
    <cellStyle name="Normal 2 59 7 9 2" xfId="14214" xr:uid="{00000000-0005-0000-0000-000075370000}"/>
    <cellStyle name="Normal 2 59 7 9 3" xfId="14215" xr:uid="{00000000-0005-0000-0000-000076370000}"/>
    <cellStyle name="Normal 2 59 8" xfId="14216" xr:uid="{00000000-0005-0000-0000-000077370000}"/>
    <cellStyle name="Normal 2 59 8 10" xfId="14217" xr:uid="{00000000-0005-0000-0000-000078370000}"/>
    <cellStyle name="Normal 2 59 8 10 2" xfId="14218" xr:uid="{00000000-0005-0000-0000-000079370000}"/>
    <cellStyle name="Normal 2 59 8 10 3" xfId="14219" xr:uid="{00000000-0005-0000-0000-00007A370000}"/>
    <cellStyle name="Normal 2 59 8 11" xfId="14220" xr:uid="{00000000-0005-0000-0000-00007B370000}"/>
    <cellStyle name="Normal 2 59 8 11 2" xfId="14221" xr:uid="{00000000-0005-0000-0000-00007C370000}"/>
    <cellStyle name="Normal 2 59 8 11 3" xfId="14222" xr:uid="{00000000-0005-0000-0000-00007D370000}"/>
    <cellStyle name="Normal 2 59 8 12" xfId="14223" xr:uid="{00000000-0005-0000-0000-00007E370000}"/>
    <cellStyle name="Normal 2 59 8 12 2" xfId="14224" xr:uid="{00000000-0005-0000-0000-00007F370000}"/>
    <cellStyle name="Normal 2 59 8 12 3" xfId="14225" xr:uid="{00000000-0005-0000-0000-000080370000}"/>
    <cellStyle name="Normal 2 59 8 13" xfId="14226" xr:uid="{00000000-0005-0000-0000-000081370000}"/>
    <cellStyle name="Normal 2 59 8 13 2" xfId="14227" xr:uid="{00000000-0005-0000-0000-000082370000}"/>
    <cellStyle name="Normal 2 59 8 13 3" xfId="14228" xr:uid="{00000000-0005-0000-0000-000083370000}"/>
    <cellStyle name="Normal 2 59 8 14" xfId="14229" xr:uid="{00000000-0005-0000-0000-000084370000}"/>
    <cellStyle name="Normal 2 59 8 14 2" xfId="14230" xr:uid="{00000000-0005-0000-0000-000085370000}"/>
    <cellStyle name="Normal 2 59 8 14 3" xfId="14231" xr:uid="{00000000-0005-0000-0000-000086370000}"/>
    <cellStyle name="Normal 2 59 8 15" xfId="14232" xr:uid="{00000000-0005-0000-0000-000087370000}"/>
    <cellStyle name="Normal 2 59 8 16" xfId="14233" xr:uid="{00000000-0005-0000-0000-000088370000}"/>
    <cellStyle name="Normal 2 59 8 2" xfId="14234" xr:uid="{00000000-0005-0000-0000-000089370000}"/>
    <cellStyle name="Normal 2 59 8 2 2" xfId="14235" xr:uid="{00000000-0005-0000-0000-00008A370000}"/>
    <cellStyle name="Normal 2 59 8 2 3" xfId="14236" xr:uid="{00000000-0005-0000-0000-00008B370000}"/>
    <cellStyle name="Normal 2 59 8 3" xfId="14237" xr:uid="{00000000-0005-0000-0000-00008C370000}"/>
    <cellStyle name="Normal 2 59 8 3 2" xfId="14238" xr:uid="{00000000-0005-0000-0000-00008D370000}"/>
    <cellStyle name="Normal 2 59 8 3 3" xfId="14239" xr:uid="{00000000-0005-0000-0000-00008E370000}"/>
    <cellStyle name="Normal 2 59 8 4" xfId="14240" xr:uid="{00000000-0005-0000-0000-00008F370000}"/>
    <cellStyle name="Normal 2 59 8 4 2" xfId="14241" xr:uid="{00000000-0005-0000-0000-000090370000}"/>
    <cellStyle name="Normal 2 59 8 4 3" xfId="14242" xr:uid="{00000000-0005-0000-0000-000091370000}"/>
    <cellStyle name="Normal 2 59 8 5" xfId="14243" xr:uid="{00000000-0005-0000-0000-000092370000}"/>
    <cellStyle name="Normal 2 59 8 5 2" xfId="14244" xr:uid="{00000000-0005-0000-0000-000093370000}"/>
    <cellStyle name="Normal 2 59 8 5 3" xfId="14245" xr:uid="{00000000-0005-0000-0000-000094370000}"/>
    <cellStyle name="Normal 2 59 8 6" xfId="14246" xr:uid="{00000000-0005-0000-0000-000095370000}"/>
    <cellStyle name="Normal 2 59 8 6 2" xfId="14247" xr:uid="{00000000-0005-0000-0000-000096370000}"/>
    <cellStyle name="Normal 2 59 8 6 3" xfId="14248" xr:uid="{00000000-0005-0000-0000-000097370000}"/>
    <cellStyle name="Normal 2 59 8 7" xfId="14249" xr:uid="{00000000-0005-0000-0000-000098370000}"/>
    <cellStyle name="Normal 2 59 8 7 2" xfId="14250" xr:uid="{00000000-0005-0000-0000-000099370000}"/>
    <cellStyle name="Normal 2 59 8 7 3" xfId="14251" xr:uid="{00000000-0005-0000-0000-00009A370000}"/>
    <cellStyle name="Normal 2 59 8 8" xfId="14252" xr:uid="{00000000-0005-0000-0000-00009B370000}"/>
    <cellStyle name="Normal 2 59 8 8 2" xfId="14253" xr:uid="{00000000-0005-0000-0000-00009C370000}"/>
    <cellStyle name="Normal 2 59 8 8 3" xfId="14254" xr:uid="{00000000-0005-0000-0000-00009D370000}"/>
    <cellStyle name="Normal 2 59 8 9" xfId="14255" xr:uid="{00000000-0005-0000-0000-00009E370000}"/>
    <cellStyle name="Normal 2 59 8 9 2" xfId="14256" xr:uid="{00000000-0005-0000-0000-00009F370000}"/>
    <cellStyle name="Normal 2 59 8 9 3" xfId="14257" xr:uid="{00000000-0005-0000-0000-0000A0370000}"/>
    <cellStyle name="Normal 2 59 9" xfId="14258" xr:uid="{00000000-0005-0000-0000-0000A1370000}"/>
    <cellStyle name="Normal 2 59 9 10" xfId="14259" xr:uid="{00000000-0005-0000-0000-0000A2370000}"/>
    <cellStyle name="Normal 2 59 9 10 2" xfId="14260" xr:uid="{00000000-0005-0000-0000-0000A3370000}"/>
    <cellStyle name="Normal 2 59 9 10 3" xfId="14261" xr:uid="{00000000-0005-0000-0000-0000A4370000}"/>
    <cellStyle name="Normal 2 59 9 11" xfId="14262" xr:uid="{00000000-0005-0000-0000-0000A5370000}"/>
    <cellStyle name="Normal 2 59 9 11 2" xfId="14263" xr:uid="{00000000-0005-0000-0000-0000A6370000}"/>
    <cellStyle name="Normal 2 59 9 11 3" xfId="14264" xr:uid="{00000000-0005-0000-0000-0000A7370000}"/>
    <cellStyle name="Normal 2 59 9 12" xfId="14265" xr:uid="{00000000-0005-0000-0000-0000A8370000}"/>
    <cellStyle name="Normal 2 59 9 12 2" xfId="14266" xr:uid="{00000000-0005-0000-0000-0000A9370000}"/>
    <cellStyle name="Normal 2 59 9 12 3" xfId="14267" xr:uid="{00000000-0005-0000-0000-0000AA370000}"/>
    <cellStyle name="Normal 2 59 9 13" xfId="14268" xr:uid="{00000000-0005-0000-0000-0000AB370000}"/>
    <cellStyle name="Normal 2 59 9 13 2" xfId="14269" xr:uid="{00000000-0005-0000-0000-0000AC370000}"/>
    <cellStyle name="Normal 2 59 9 13 3" xfId="14270" xr:uid="{00000000-0005-0000-0000-0000AD370000}"/>
    <cellStyle name="Normal 2 59 9 14" xfId="14271" xr:uid="{00000000-0005-0000-0000-0000AE370000}"/>
    <cellStyle name="Normal 2 59 9 14 2" xfId="14272" xr:uid="{00000000-0005-0000-0000-0000AF370000}"/>
    <cellStyle name="Normal 2 59 9 14 3" xfId="14273" xr:uid="{00000000-0005-0000-0000-0000B0370000}"/>
    <cellStyle name="Normal 2 59 9 15" xfId="14274" xr:uid="{00000000-0005-0000-0000-0000B1370000}"/>
    <cellStyle name="Normal 2 59 9 16" xfId="14275" xr:uid="{00000000-0005-0000-0000-0000B2370000}"/>
    <cellStyle name="Normal 2 59 9 2" xfId="14276" xr:uid="{00000000-0005-0000-0000-0000B3370000}"/>
    <cellStyle name="Normal 2 59 9 2 2" xfId="14277" xr:uid="{00000000-0005-0000-0000-0000B4370000}"/>
    <cellStyle name="Normal 2 59 9 2 3" xfId="14278" xr:uid="{00000000-0005-0000-0000-0000B5370000}"/>
    <cellStyle name="Normal 2 59 9 3" xfId="14279" xr:uid="{00000000-0005-0000-0000-0000B6370000}"/>
    <cellStyle name="Normal 2 59 9 3 2" xfId="14280" xr:uid="{00000000-0005-0000-0000-0000B7370000}"/>
    <cellStyle name="Normal 2 59 9 3 3" xfId="14281" xr:uid="{00000000-0005-0000-0000-0000B8370000}"/>
    <cellStyle name="Normal 2 59 9 4" xfId="14282" xr:uid="{00000000-0005-0000-0000-0000B9370000}"/>
    <cellStyle name="Normal 2 59 9 4 2" xfId="14283" xr:uid="{00000000-0005-0000-0000-0000BA370000}"/>
    <cellStyle name="Normal 2 59 9 4 3" xfId="14284" xr:uid="{00000000-0005-0000-0000-0000BB370000}"/>
    <cellStyle name="Normal 2 59 9 5" xfId="14285" xr:uid="{00000000-0005-0000-0000-0000BC370000}"/>
    <cellStyle name="Normal 2 59 9 5 2" xfId="14286" xr:uid="{00000000-0005-0000-0000-0000BD370000}"/>
    <cellStyle name="Normal 2 59 9 5 3" xfId="14287" xr:uid="{00000000-0005-0000-0000-0000BE370000}"/>
    <cellStyle name="Normal 2 59 9 6" xfId="14288" xr:uid="{00000000-0005-0000-0000-0000BF370000}"/>
    <cellStyle name="Normal 2 59 9 6 2" xfId="14289" xr:uid="{00000000-0005-0000-0000-0000C0370000}"/>
    <cellStyle name="Normal 2 59 9 6 3" xfId="14290" xr:uid="{00000000-0005-0000-0000-0000C1370000}"/>
    <cellStyle name="Normal 2 59 9 7" xfId="14291" xr:uid="{00000000-0005-0000-0000-0000C2370000}"/>
    <cellStyle name="Normal 2 59 9 7 2" xfId="14292" xr:uid="{00000000-0005-0000-0000-0000C3370000}"/>
    <cellStyle name="Normal 2 59 9 7 3" xfId="14293" xr:uid="{00000000-0005-0000-0000-0000C4370000}"/>
    <cellStyle name="Normal 2 59 9 8" xfId="14294" xr:uid="{00000000-0005-0000-0000-0000C5370000}"/>
    <cellStyle name="Normal 2 59 9 8 2" xfId="14295" xr:uid="{00000000-0005-0000-0000-0000C6370000}"/>
    <cellStyle name="Normal 2 59 9 8 3" xfId="14296" xr:uid="{00000000-0005-0000-0000-0000C7370000}"/>
    <cellStyle name="Normal 2 59 9 9" xfId="14297" xr:uid="{00000000-0005-0000-0000-0000C8370000}"/>
    <cellStyle name="Normal 2 59 9 9 2" xfId="14298" xr:uid="{00000000-0005-0000-0000-0000C9370000}"/>
    <cellStyle name="Normal 2 59 9 9 3" xfId="14299" xr:uid="{00000000-0005-0000-0000-0000CA370000}"/>
    <cellStyle name="Normal 2 6" xfId="14300" xr:uid="{00000000-0005-0000-0000-0000CB370000}"/>
    <cellStyle name="Normal 2 6 2" xfId="14301" xr:uid="{00000000-0005-0000-0000-0000CC370000}"/>
    <cellStyle name="Normal 2 6 2 2" xfId="14302" xr:uid="{00000000-0005-0000-0000-0000CD370000}"/>
    <cellStyle name="Normal 2 6 2 2 2" xfId="14303" xr:uid="{00000000-0005-0000-0000-0000CE370000}"/>
    <cellStyle name="Normal 2 6 2 3" xfId="14304" xr:uid="{00000000-0005-0000-0000-0000CF370000}"/>
    <cellStyle name="Normal 2 6 2 3 2" xfId="14305" xr:uid="{00000000-0005-0000-0000-0000D0370000}"/>
    <cellStyle name="Normal 2 6 2 4" xfId="14306" xr:uid="{00000000-0005-0000-0000-0000D1370000}"/>
    <cellStyle name="Normal 2 6 2 4 2" xfId="14307" xr:uid="{00000000-0005-0000-0000-0000D2370000}"/>
    <cellStyle name="Normal 2 6 2 5" xfId="14308" xr:uid="{00000000-0005-0000-0000-0000D3370000}"/>
    <cellStyle name="Normal 2 6 2 5 2" xfId="14309" xr:uid="{00000000-0005-0000-0000-0000D4370000}"/>
    <cellStyle name="Normal 2 6 2 6" xfId="14310" xr:uid="{00000000-0005-0000-0000-0000D5370000}"/>
    <cellStyle name="Normal 2 6 2 6 2" xfId="14311" xr:uid="{00000000-0005-0000-0000-0000D6370000}"/>
    <cellStyle name="Normal 2 6 2 7" xfId="14312" xr:uid="{00000000-0005-0000-0000-0000D7370000}"/>
    <cellStyle name="Normal 2 6 2 7 2" xfId="14313" xr:uid="{00000000-0005-0000-0000-0000D8370000}"/>
    <cellStyle name="Normal 2 6 3" xfId="14314" xr:uid="{00000000-0005-0000-0000-0000D9370000}"/>
    <cellStyle name="Normal 2 6 4" xfId="14315" xr:uid="{00000000-0005-0000-0000-0000DA370000}"/>
    <cellStyle name="Normal 2 6 5" xfId="14316" xr:uid="{00000000-0005-0000-0000-0000DB370000}"/>
    <cellStyle name="Normal 2 6 6" xfId="14317" xr:uid="{00000000-0005-0000-0000-0000DC370000}"/>
    <cellStyle name="Normal 2 6 7" xfId="14318" xr:uid="{00000000-0005-0000-0000-0000DD370000}"/>
    <cellStyle name="Normal 2 6 8" xfId="14319" xr:uid="{00000000-0005-0000-0000-0000DE370000}"/>
    <cellStyle name="Normal 2 60" xfId="14320" xr:uid="{00000000-0005-0000-0000-0000DF370000}"/>
    <cellStyle name="Normal 2 60 10" xfId="14321" xr:uid="{00000000-0005-0000-0000-0000E0370000}"/>
    <cellStyle name="Normal 2 60 10 10" xfId="14322" xr:uid="{00000000-0005-0000-0000-0000E1370000}"/>
    <cellStyle name="Normal 2 60 10 10 2" xfId="14323" xr:uid="{00000000-0005-0000-0000-0000E2370000}"/>
    <cellStyle name="Normal 2 60 10 10 3" xfId="14324" xr:uid="{00000000-0005-0000-0000-0000E3370000}"/>
    <cellStyle name="Normal 2 60 10 11" xfId="14325" xr:uid="{00000000-0005-0000-0000-0000E4370000}"/>
    <cellStyle name="Normal 2 60 10 11 2" xfId="14326" xr:uid="{00000000-0005-0000-0000-0000E5370000}"/>
    <cellStyle name="Normal 2 60 10 11 3" xfId="14327" xr:uid="{00000000-0005-0000-0000-0000E6370000}"/>
    <cellStyle name="Normal 2 60 10 12" xfId="14328" xr:uid="{00000000-0005-0000-0000-0000E7370000}"/>
    <cellStyle name="Normal 2 60 10 12 2" xfId="14329" xr:uid="{00000000-0005-0000-0000-0000E8370000}"/>
    <cellStyle name="Normal 2 60 10 12 3" xfId="14330" xr:uid="{00000000-0005-0000-0000-0000E9370000}"/>
    <cellStyle name="Normal 2 60 10 13" xfId="14331" xr:uid="{00000000-0005-0000-0000-0000EA370000}"/>
    <cellStyle name="Normal 2 60 10 13 2" xfId="14332" xr:uid="{00000000-0005-0000-0000-0000EB370000}"/>
    <cellStyle name="Normal 2 60 10 13 3" xfId="14333" xr:uid="{00000000-0005-0000-0000-0000EC370000}"/>
    <cellStyle name="Normal 2 60 10 14" xfId="14334" xr:uid="{00000000-0005-0000-0000-0000ED370000}"/>
    <cellStyle name="Normal 2 60 10 14 2" xfId="14335" xr:uid="{00000000-0005-0000-0000-0000EE370000}"/>
    <cellStyle name="Normal 2 60 10 14 3" xfId="14336" xr:uid="{00000000-0005-0000-0000-0000EF370000}"/>
    <cellStyle name="Normal 2 60 10 15" xfId="14337" xr:uid="{00000000-0005-0000-0000-0000F0370000}"/>
    <cellStyle name="Normal 2 60 10 16" xfId="14338" xr:uid="{00000000-0005-0000-0000-0000F1370000}"/>
    <cellStyle name="Normal 2 60 10 2" xfId="14339" xr:uid="{00000000-0005-0000-0000-0000F2370000}"/>
    <cellStyle name="Normal 2 60 10 2 2" xfId="14340" xr:uid="{00000000-0005-0000-0000-0000F3370000}"/>
    <cellStyle name="Normal 2 60 10 2 3" xfId="14341" xr:uid="{00000000-0005-0000-0000-0000F4370000}"/>
    <cellStyle name="Normal 2 60 10 3" xfId="14342" xr:uid="{00000000-0005-0000-0000-0000F5370000}"/>
    <cellStyle name="Normal 2 60 10 3 2" xfId="14343" xr:uid="{00000000-0005-0000-0000-0000F6370000}"/>
    <cellStyle name="Normal 2 60 10 3 3" xfId="14344" xr:uid="{00000000-0005-0000-0000-0000F7370000}"/>
    <cellStyle name="Normal 2 60 10 4" xfId="14345" xr:uid="{00000000-0005-0000-0000-0000F8370000}"/>
    <cellStyle name="Normal 2 60 10 4 2" xfId="14346" xr:uid="{00000000-0005-0000-0000-0000F9370000}"/>
    <cellStyle name="Normal 2 60 10 4 3" xfId="14347" xr:uid="{00000000-0005-0000-0000-0000FA370000}"/>
    <cellStyle name="Normal 2 60 10 5" xfId="14348" xr:uid="{00000000-0005-0000-0000-0000FB370000}"/>
    <cellStyle name="Normal 2 60 10 5 2" xfId="14349" xr:uid="{00000000-0005-0000-0000-0000FC370000}"/>
    <cellStyle name="Normal 2 60 10 5 3" xfId="14350" xr:uid="{00000000-0005-0000-0000-0000FD370000}"/>
    <cellStyle name="Normal 2 60 10 6" xfId="14351" xr:uid="{00000000-0005-0000-0000-0000FE370000}"/>
    <cellStyle name="Normal 2 60 10 6 2" xfId="14352" xr:uid="{00000000-0005-0000-0000-0000FF370000}"/>
    <cellStyle name="Normal 2 60 10 6 3" xfId="14353" xr:uid="{00000000-0005-0000-0000-000000380000}"/>
    <cellStyle name="Normal 2 60 10 7" xfId="14354" xr:uid="{00000000-0005-0000-0000-000001380000}"/>
    <cellStyle name="Normal 2 60 10 7 2" xfId="14355" xr:uid="{00000000-0005-0000-0000-000002380000}"/>
    <cellStyle name="Normal 2 60 10 7 3" xfId="14356" xr:uid="{00000000-0005-0000-0000-000003380000}"/>
    <cellStyle name="Normal 2 60 10 8" xfId="14357" xr:uid="{00000000-0005-0000-0000-000004380000}"/>
    <cellStyle name="Normal 2 60 10 8 2" xfId="14358" xr:uid="{00000000-0005-0000-0000-000005380000}"/>
    <cellStyle name="Normal 2 60 10 8 3" xfId="14359" xr:uid="{00000000-0005-0000-0000-000006380000}"/>
    <cellStyle name="Normal 2 60 10 9" xfId="14360" xr:uid="{00000000-0005-0000-0000-000007380000}"/>
    <cellStyle name="Normal 2 60 10 9 2" xfId="14361" xr:uid="{00000000-0005-0000-0000-000008380000}"/>
    <cellStyle name="Normal 2 60 10 9 3" xfId="14362" xr:uid="{00000000-0005-0000-0000-000009380000}"/>
    <cellStyle name="Normal 2 60 11" xfId="14363" xr:uid="{00000000-0005-0000-0000-00000A380000}"/>
    <cellStyle name="Normal 2 60 11 2" xfId="14364" xr:uid="{00000000-0005-0000-0000-00000B380000}"/>
    <cellStyle name="Normal 2 60 11 3" xfId="14365" xr:uid="{00000000-0005-0000-0000-00000C380000}"/>
    <cellStyle name="Normal 2 60 12" xfId="14366" xr:uid="{00000000-0005-0000-0000-00000D380000}"/>
    <cellStyle name="Normal 2 60 12 2" xfId="14367" xr:uid="{00000000-0005-0000-0000-00000E380000}"/>
    <cellStyle name="Normal 2 60 12 3" xfId="14368" xr:uid="{00000000-0005-0000-0000-00000F380000}"/>
    <cellStyle name="Normal 2 60 13" xfId="14369" xr:uid="{00000000-0005-0000-0000-000010380000}"/>
    <cellStyle name="Normal 2 60 13 2" xfId="14370" xr:uid="{00000000-0005-0000-0000-000011380000}"/>
    <cellStyle name="Normal 2 60 13 3" xfId="14371" xr:uid="{00000000-0005-0000-0000-000012380000}"/>
    <cellStyle name="Normal 2 60 14" xfId="14372" xr:uid="{00000000-0005-0000-0000-000013380000}"/>
    <cellStyle name="Normal 2 60 14 2" xfId="14373" xr:uid="{00000000-0005-0000-0000-000014380000}"/>
    <cellStyle name="Normal 2 60 14 3" xfId="14374" xr:uid="{00000000-0005-0000-0000-000015380000}"/>
    <cellStyle name="Normal 2 60 15" xfId="14375" xr:uid="{00000000-0005-0000-0000-000016380000}"/>
    <cellStyle name="Normal 2 60 15 2" xfId="14376" xr:uid="{00000000-0005-0000-0000-000017380000}"/>
    <cellStyle name="Normal 2 60 15 3" xfId="14377" xr:uid="{00000000-0005-0000-0000-000018380000}"/>
    <cellStyle name="Normal 2 60 16" xfId="14378" xr:uid="{00000000-0005-0000-0000-000019380000}"/>
    <cellStyle name="Normal 2 60 16 2" xfId="14379" xr:uid="{00000000-0005-0000-0000-00001A380000}"/>
    <cellStyle name="Normal 2 60 16 3" xfId="14380" xr:uid="{00000000-0005-0000-0000-00001B380000}"/>
    <cellStyle name="Normal 2 60 17" xfId="14381" xr:uid="{00000000-0005-0000-0000-00001C380000}"/>
    <cellStyle name="Normal 2 60 17 2" xfId="14382" xr:uid="{00000000-0005-0000-0000-00001D380000}"/>
    <cellStyle name="Normal 2 60 17 3" xfId="14383" xr:uid="{00000000-0005-0000-0000-00001E380000}"/>
    <cellStyle name="Normal 2 60 18" xfId="14384" xr:uid="{00000000-0005-0000-0000-00001F380000}"/>
    <cellStyle name="Normal 2 60 18 2" xfId="14385" xr:uid="{00000000-0005-0000-0000-000020380000}"/>
    <cellStyle name="Normal 2 60 18 3" xfId="14386" xr:uid="{00000000-0005-0000-0000-000021380000}"/>
    <cellStyle name="Normal 2 60 19" xfId="14387" xr:uid="{00000000-0005-0000-0000-000022380000}"/>
    <cellStyle name="Normal 2 60 19 2" xfId="14388" xr:uid="{00000000-0005-0000-0000-000023380000}"/>
    <cellStyle name="Normal 2 60 19 3" xfId="14389" xr:uid="{00000000-0005-0000-0000-000024380000}"/>
    <cellStyle name="Normal 2 60 2" xfId="14390" xr:uid="{00000000-0005-0000-0000-000025380000}"/>
    <cellStyle name="Normal 2 60 2 10" xfId="14391" xr:uid="{00000000-0005-0000-0000-000026380000}"/>
    <cellStyle name="Normal 2 60 2 10 2" xfId="14392" xr:uid="{00000000-0005-0000-0000-000027380000}"/>
    <cellStyle name="Normal 2 60 2 10 3" xfId="14393" xr:uid="{00000000-0005-0000-0000-000028380000}"/>
    <cellStyle name="Normal 2 60 2 11" xfId="14394" xr:uid="{00000000-0005-0000-0000-000029380000}"/>
    <cellStyle name="Normal 2 60 2 11 2" xfId="14395" xr:uid="{00000000-0005-0000-0000-00002A380000}"/>
    <cellStyle name="Normal 2 60 2 11 3" xfId="14396" xr:uid="{00000000-0005-0000-0000-00002B380000}"/>
    <cellStyle name="Normal 2 60 2 12" xfId="14397" xr:uid="{00000000-0005-0000-0000-00002C380000}"/>
    <cellStyle name="Normal 2 60 2 12 2" xfId="14398" xr:uid="{00000000-0005-0000-0000-00002D380000}"/>
    <cellStyle name="Normal 2 60 2 12 3" xfId="14399" xr:uid="{00000000-0005-0000-0000-00002E380000}"/>
    <cellStyle name="Normal 2 60 2 13" xfId="14400" xr:uid="{00000000-0005-0000-0000-00002F380000}"/>
    <cellStyle name="Normal 2 60 2 13 2" xfId="14401" xr:uid="{00000000-0005-0000-0000-000030380000}"/>
    <cellStyle name="Normal 2 60 2 13 3" xfId="14402" xr:uid="{00000000-0005-0000-0000-000031380000}"/>
    <cellStyle name="Normal 2 60 2 14" xfId="14403" xr:uid="{00000000-0005-0000-0000-000032380000}"/>
    <cellStyle name="Normal 2 60 2 14 2" xfId="14404" xr:uid="{00000000-0005-0000-0000-000033380000}"/>
    <cellStyle name="Normal 2 60 2 14 3" xfId="14405" xr:uid="{00000000-0005-0000-0000-000034380000}"/>
    <cellStyle name="Normal 2 60 2 15" xfId="14406" xr:uid="{00000000-0005-0000-0000-000035380000}"/>
    <cellStyle name="Normal 2 60 2 15 2" xfId="14407" xr:uid="{00000000-0005-0000-0000-000036380000}"/>
    <cellStyle name="Normal 2 60 2 15 3" xfId="14408" xr:uid="{00000000-0005-0000-0000-000037380000}"/>
    <cellStyle name="Normal 2 60 2 16" xfId="14409" xr:uid="{00000000-0005-0000-0000-000038380000}"/>
    <cellStyle name="Normal 2 60 2 17" xfId="14410" xr:uid="{00000000-0005-0000-0000-000039380000}"/>
    <cellStyle name="Normal 2 60 2 2" xfId="14411" xr:uid="{00000000-0005-0000-0000-00003A380000}"/>
    <cellStyle name="Normal 2 60 2 2 10" xfId="14412" xr:uid="{00000000-0005-0000-0000-00003B380000}"/>
    <cellStyle name="Normal 2 60 2 2 10 2" xfId="14413" xr:uid="{00000000-0005-0000-0000-00003C380000}"/>
    <cellStyle name="Normal 2 60 2 2 10 3" xfId="14414" xr:uid="{00000000-0005-0000-0000-00003D380000}"/>
    <cellStyle name="Normal 2 60 2 2 11" xfId="14415" xr:uid="{00000000-0005-0000-0000-00003E380000}"/>
    <cellStyle name="Normal 2 60 2 2 11 2" xfId="14416" xr:uid="{00000000-0005-0000-0000-00003F380000}"/>
    <cellStyle name="Normal 2 60 2 2 11 3" xfId="14417" xr:uid="{00000000-0005-0000-0000-000040380000}"/>
    <cellStyle name="Normal 2 60 2 2 12" xfId="14418" xr:uid="{00000000-0005-0000-0000-000041380000}"/>
    <cellStyle name="Normal 2 60 2 2 12 2" xfId="14419" xr:uid="{00000000-0005-0000-0000-000042380000}"/>
    <cellStyle name="Normal 2 60 2 2 12 3" xfId="14420" xr:uid="{00000000-0005-0000-0000-000043380000}"/>
    <cellStyle name="Normal 2 60 2 2 13" xfId="14421" xr:uid="{00000000-0005-0000-0000-000044380000}"/>
    <cellStyle name="Normal 2 60 2 2 13 2" xfId="14422" xr:uid="{00000000-0005-0000-0000-000045380000}"/>
    <cellStyle name="Normal 2 60 2 2 13 3" xfId="14423" xr:uid="{00000000-0005-0000-0000-000046380000}"/>
    <cellStyle name="Normal 2 60 2 2 14" xfId="14424" xr:uid="{00000000-0005-0000-0000-000047380000}"/>
    <cellStyle name="Normal 2 60 2 2 14 2" xfId="14425" xr:uid="{00000000-0005-0000-0000-000048380000}"/>
    <cellStyle name="Normal 2 60 2 2 14 3" xfId="14426" xr:uid="{00000000-0005-0000-0000-000049380000}"/>
    <cellStyle name="Normal 2 60 2 2 15" xfId="14427" xr:uid="{00000000-0005-0000-0000-00004A380000}"/>
    <cellStyle name="Normal 2 60 2 2 16" xfId="14428" xr:uid="{00000000-0005-0000-0000-00004B380000}"/>
    <cellStyle name="Normal 2 60 2 2 2" xfId="14429" xr:uid="{00000000-0005-0000-0000-00004C380000}"/>
    <cellStyle name="Normal 2 60 2 2 2 2" xfId="14430" xr:uid="{00000000-0005-0000-0000-00004D380000}"/>
    <cellStyle name="Normal 2 60 2 2 2 3" xfId="14431" xr:uid="{00000000-0005-0000-0000-00004E380000}"/>
    <cellStyle name="Normal 2 60 2 2 3" xfId="14432" xr:uid="{00000000-0005-0000-0000-00004F380000}"/>
    <cellStyle name="Normal 2 60 2 2 3 2" xfId="14433" xr:uid="{00000000-0005-0000-0000-000050380000}"/>
    <cellStyle name="Normal 2 60 2 2 3 3" xfId="14434" xr:uid="{00000000-0005-0000-0000-000051380000}"/>
    <cellStyle name="Normal 2 60 2 2 4" xfId="14435" xr:uid="{00000000-0005-0000-0000-000052380000}"/>
    <cellStyle name="Normal 2 60 2 2 4 2" xfId="14436" xr:uid="{00000000-0005-0000-0000-000053380000}"/>
    <cellStyle name="Normal 2 60 2 2 4 3" xfId="14437" xr:uid="{00000000-0005-0000-0000-000054380000}"/>
    <cellStyle name="Normal 2 60 2 2 5" xfId="14438" xr:uid="{00000000-0005-0000-0000-000055380000}"/>
    <cellStyle name="Normal 2 60 2 2 5 2" xfId="14439" xr:uid="{00000000-0005-0000-0000-000056380000}"/>
    <cellStyle name="Normal 2 60 2 2 5 3" xfId="14440" xr:uid="{00000000-0005-0000-0000-000057380000}"/>
    <cellStyle name="Normal 2 60 2 2 6" xfId="14441" xr:uid="{00000000-0005-0000-0000-000058380000}"/>
    <cellStyle name="Normal 2 60 2 2 6 2" xfId="14442" xr:uid="{00000000-0005-0000-0000-000059380000}"/>
    <cellStyle name="Normal 2 60 2 2 6 3" xfId="14443" xr:uid="{00000000-0005-0000-0000-00005A380000}"/>
    <cellStyle name="Normal 2 60 2 2 7" xfId="14444" xr:uid="{00000000-0005-0000-0000-00005B380000}"/>
    <cellStyle name="Normal 2 60 2 2 7 2" xfId="14445" xr:uid="{00000000-0005-0000-0000-00005C380000}"/>
    <cellStyle name="Normal 2 60 2 2 7 3" xfId="14446" xr:uid="{00000000-0005-0000-0000-00005D380000}"/>
    <cellStyle name="Normal 2 60 2 2 8" xfId="14447" xr:uid="{00000000-0005-0000-0000-00005E380000}"/>
    <cellStyle name="Normal 2 60 2 2 8 2" xfId="14448" xr:uid="{00000000-0005-0000-0000-00005F380000}"/>
    <cellStyle name="Normal 2 60 2 2 8 3" xfId="14449" xr:uid="{00000000-0005-0000-0000-000060380000}"/>
    <cellStyle name="Normal 2 60 2 2 9" xfId="14450" xr:uid="{00000000-0005-0000-0000-000061380000}"/>
    <cellStyle name="Normal 2 60 2 2 9 2" xfId="14451" xr:uid="{00000000-0005-0000-0000-000062380000}"/>
    <cellStyle name="Normal 2 60 2 2 9 3" xfId="14452" xr:uid="{00000000-0005-0000-0000-000063380000}"/>
    <cellStyle name="Normal 2 60 2 3" xfId="14453" xr:uid="{00000000-0005-0000-0000-000064380000}"/>
    <cellStyle name="Normal 2 60 2 3 2" xfId="14454" xr:uid="{00000000-0005-0000-0000-000065380000}"/>
    <cellStyle name="Normal 2 60 2 3 3" xfId="14455" xr:uid="{00000000-0005-0000-0000-000066380000}"/>
    <cellStyle name="Normal 2 60 2 4" xfId="14456" xr:uid="{00000000-0005-0000-0000-000067380000}"/>
    <cellStyle name="Normal 2 60 2 4 2" xfId="14457" xr:uid="{00000000-0005-0000-0000-000068380000}"/>
    <cellStyle name="Normal 2 60 2 4 3" xfId="14458" xr:uid="{00000000-0005-0000-0000-000069380000}"/>
    <cellStyle name="Normal 2 60 2 5" xfId="14459" xr:uid="{00000000-0005-0000-0000-00006A380000}"/>
    <cellStyle name="Normal 2 60 2 5 2" xfId="14460" xr:uid="{00000000-0005-0000-0000-00006B380000}"/>
    <cellStyle name="Normal 2 60 2 5 3" xfId="14461" xr:uid="{00000000-0005-0000-0000-00006C380000}"/>
    <cellStyle name="Normal 2 60 2 6" xfId="14462" xr:uid="{00000000-0005-0000-0000-00006D380000}"/>
    <cellStyle name="Normal 2 60 2 6 2" xfId="14463" xr:uid="{00000000-0005-0000-0000-00006E380000}"/>
    <cellStyle name="Normal 2 60 2 6 3" xfId="14464" xr:uid="{00000000-0005-0000-0000-00006F380000}"/>
    <cellStyle name="Normal 2 60 2 7" xfId="14465" xr:uid="{00000000-0005-0000-0000-000070380000}"/>
    <cellStyle name="Normal 2 60 2 7 2" xfId="14466" xr:uid="{00000000-0005-0000-0000-000071380000}"/>
    <cellStyle name="Normal 2 60 2 7 3" xfId="14467" xr:uid="{00000000-0005-0000-0000-000072380000}"/>
    <cellStyle name="Normal 2 60 2 8" xfId="14468" xr:uid="{00000000-0005-0000-0000-000073380000}"/>
    <cellStyle name="Normal 2 60 2 8 2" xfId="14469" xr:uid="{00000000-0005-0000-0000-000074380000}"/>
    <cellStyle name="Normal 2 60 2 8 3" xfId="14470" xr:uid="{00000000-0005-0000-0000-000075380000}"/>
    <cellStyle name="Normal 2 60 2 9" xfId="14471" xr:uid="{00000000-0005-0000-0000-000076380000}"/>
    <cellStyle name="Normal 2 60 2 9 2" xfId="14472" xr:uid="{00000000-0005-0000-0000-000077380000}"/>
    <cellStyle name="Normal 2 60 2 9 3" xfId="14473" xr:uid="{00000000-0005-0000-0000-000078380000}"/>
    <cellStyle name="Normal 2 60 20" xfId="14474" xr:uid="{00000000-0005-0000-0000-000079380000}"/>
    <cellStyle name="Normal 2 60 20 2" xfId="14475" xr:uid="{00000000-0005-0000-0000-00007A380000}"/>
    <cellStyle name="Normal 2 60 20 3" xfId="14476" xr:uid="{00000000-0005-0000-0000-00007B380000}"/>
    <cellStyle name="Normal 2 60 21" xfId="14477" xr:uid="{00000000-0005-0000-0000-00007C380000}"/>
    <cellStyle name="Normal 2 60 21 2" xfId="14478" xr:uid="{00000000-0005-0000-0000-00007D380000}"/>
    <cellStyle name="Normal 2 60 21 3" xfId="14479" xr:uid="{00000000-0005-0000-0000-00007E380000}"/>
    <cellStyle name="Normal 2 60 22" xfId="14480" xr:uid="{00000000-0005-0000-0000-00007F380000}"/>
    <cellStyle name="Normal 2 60 22 2" xfId="14481" xr:uid="{00000000-0005-0000-0000-000080380000}"/>
    <cellStyle name="Normal 2 60 22 3" xfId="14482" xr:uid="{00000000-0005-0000-0000-000081380000}"/>
    <cellStyle name="Normal 2 60 23" xfId="14483" xr:uid="{00000000-0005-0000-0000-000082380000}"/>
    <cellStyle name="Normal 2 60 23 2" xfId="14484" xr:uid="{00000000-0005-0000-0000-000083380000}"/>
    <cellStyle name="Normal 2 60 23 3" xfId="14485" xr:uid="{00000000-0005-0000-0000-000084380000}"/>
    <cellStyle name="Normal 2 60 24" xfId="14486" xr:uid="{00000000-0005-0000-0000-000085380000}"/>
    <cellStyle name="Normal 2 60 25" xfId="14487" xr:uid="{00000000-0005-0000-0000-000086380000}"/>
    <cellStyle name="Normal 2 60 3" xfId="14488" xr:uid="{00000000-0005-0000-0000-000087380000}"/>
    <cellStyle name="Normal 2 60 3 10" xfId="14489" xr:uid="{00000000-0005-0000-0000-000088380000}"/>
    <cellStyle name="Normal 2 60 3 10 2" xfId="14490" xr:uid="{00000000-0005-0000-0000-000089380000}"/>
    <cellStyle name="Normal 2 60 3 10 3" xfId="14491" xr:uid="{00000000-0005-0000-0000-00008A380000}"/>
    <cellStyle name="Normal 2 60 3 11" xfId="14492" xr:uid="{00000000-0005-0000-0000-00008B380000}"/>
    <cellStyle name="Normal 2 60 3 11 2" xfId="14493" xr:uid="{00000000-0005-0000-0000-00008C380000}"/>
    <cellStyle name="Normal 2 60 3 11 3" xfId="14494" xr:uid="{00000000-0005-0000-0000-00008D380000}"/>
    <cellStyle name="Normal 2 60 3 12" xfId="14495" xr:uid="{00000000-0005-0000-0000-00008E380000}"/>
    <cellStyle name="Normal 2 60 3 12 2" xfId="14496" xr:uid="{00000000-0005-0000-0000-00008F380000}"/>
    <cellStyle name="Normal 2 60 3 12 3" xfId="14497" xr:uid="{00000000-0005-0000-0000-000090380000}"/>
    <cellStyle name="Normal 2 60 3 13" xfId="14498" xr:uid="{00000000-0005-0000-0000-000091380000}"/>
    <cellStyle name="Normal 2 60 3 13 2" xfId="14499" xr:uid="{00000000-0005-0000-0000-000092380000}"/>
    <cellStyle name="Normal 2 60 3 13 3" xfId="14500" xr:uid="{00000000-0005-0000-0000-000093380000}"/>
    <cellStyle name="Normal 2 60 3 14" xfId="14501" xr:uid="{00000000-0005-0000-0000-000094380000}"/>
    <cellStyle name="Normal 2 60 3 14 2" xfId="14502" xr:uid="{00000000-0005-0000-0000-000095380000}"/>
    <cellStyle name="Normal 2 60 3 14 3" xfId="14503" xr:uid="{00000000-0005-0000-0000-000096380000}"/>
    <cellStyle name="Normal 2 60 3 15" xfId="14504" xr:uid="{00000000-0005-0000-0000-000097380000}"/>
    <cellStyle name="Normal 2 60 3 15 2" xfId="14505" xr:uid="{00000000-0005-0000-0000-000098380000}"/>
    <cellStyle name="Normal 2 60 3 15 3" xfId="14506" xr:uid="{00000000-0005-0000-0000-000099380000}"/>
    <cellStyle name="Normal 2 60 3 16" xfId="14507" xr:uid="{00000000-0005-0000-0000-00009A380000}"/>
    <cellStyle name="Normal 2 60 3 17" xfId="14508" xr:uid="{00000000-0005-0000-0000-00009B380000}"/>
    <cellStyle name="Normal 2 60 3 2" xfId="14509" xr:uid="{00000000-0005-0000-0000-00009C380000}"/>
    <cellStyle name="Normal 2 60 3 2 10" xfId="14510" xr:uid="{00000000-0005-0000-0000-00009D380000}"/>
    <cellStyle name="Normal 2 60 3 2 10 2" xfId="14511" xr:uid="{00000000-0005-0000-0000-00009E380000}"/>
    <cellStyle name="Normal 2 60 3 2 10 3" xfId="14512" xr:uid="{00000000-0005-0000-0000-00009F380000}"/>
    <cellStyle name="Normal 2 60 3 2 11" xfId="14513" xr:uid="{00000000-0005-0000-0000-0000A0380000}"/>
    <cellStyle name="Normal 2 60 3 2 11 2" xfId="14514" xr:uid="{00000000-0005-0000-0000-0000A1380000}"/>
    <cellStyle name="Normal 2 60 3 2 11 3" xfId="14515" xr:uid="{00000000-0005-0000-0000-0000A2380000}"/>
    <cellStyle name="Normal 2 60 3 2 12" xfId="14516" xr:uid="{00000000-0005-0000-0000-0000A3380000}"/>
    <cellStyle name="Normal 2 60 3 2 12 2" xfId="14517" xr:uid="{00000000-0005-0000-0000-0000A4380000}"/>
    <cellStyle name="Normal 2 60 3 2 12 3" xfId="14518" xr:uid="{00000000-0005-0000-0000-0000A5380000}"/>
    <cellStyle name="Normal 2 60 3 2 13" xfId="14519" xr:uid="{00000000-0005-0000-0000-0000A6380000}"/>
    <cellStyle name="Normal 2 60 3 2 13 2" xfId="14520" xr:uid="{00000000-0005-0000-0000-0000A7380000}"/>
    <cellStyle name="Normal 2 60 3 2 13 3" xfId="14521" xr:uid="{00000000-0005-0000-0000-0000A8380000}"/>
    <cellStyle name="Normal 2 60 3 2 14" xfId="14522" xr:uid="{00000000-0005-0000-0000-0000A9380000}"/>
    <cellStyle name="Normal 2 60 3 2 14 2" xfId="14523" xr:uid="{00000000-0005-0000-0000-0000AA380000}"/>
    <cellStyle name="Normal 2 60 3 2 14 3" xfId="14524" xr:uid="{00000000-0005-0000-0000-0000AB380000}"/>
    <cellStyle name="Normal 2 60 3 2 15" xfId="14525" xr:uid="{00000000-0005-0000-0000-0000AC380000}"/>
    <cellStyle name="Normal 2 60 3 2 16" xfId="14526" xr:uid="{00000000-0005-0000-0000-0000AD380000}"/>
    <cellStyle name="Normal 2 60 3 2 2" xfId="14527" xr:uid="{00000000-0005-0000-0000-0000AE380000}"/>
    <cellStyle name="Normal 2 60 3 2 2 2" xfId="14528" xr:uid="{00000000-0005-0000-0000-0000AF380000}"/>
    <cellStyle name="Normal 2 60 3 2 2 3" xfId="14529" xr:uid="{00000000-0005-0000-0000-0000B0380000}"/>
    <cellStyle name="Normal 2 60 3 2 3" xfId="14530" xr:uid="{00000000-0005-0000-0000-0000B1380000}"/>
    <cellStyle name="Normal 2 60 3 2 3 2" xfId="14531" xr:uid="{00000000-0005-0000-0000-0000B2380000}"/>
    <cellStyle name="Normal 2 60 3 2 3 3" xfId="14532" xr:uid="{00000000-0005-0000-0000-0000B3380000}"/>
    <cellStyle name="Normal 2 60 3 2 4" xfId="14533" xr:uid="{00000000-0005-0000-0000-0000B4380000}"/>
    <cellStyle name="Normal 2 60 3 2 4 2" xfId="14534" xr:uid="{00000000-0005-0000-0000-0000B5380000}"/>
    <cellStyle name="Normal 2 60 3 2 4 3" xfId="14535" xr:uid="{00000000-0005-0000-0000-0000B6380000}"/>
    <cellStyle name="Normal 2 60 3 2 5" xfId="14536" xr:uid="{00000000-0005-0000-0000-0000B7380000}"/>
    <cellStyle name="Normal 2 60 3 2 5 2" xfId="14537" xr:uid="{00000000-0005-0000-0000-0000B8380000}"/>
    <cellStyle name="Normal 2 60 3 2 5 3" xfId="14538" xr:uid="{00000000-0005-0000-0000-0000B9380000}"/>
    <cellStyle name="Normal 2 60 3 2 6" xfId="14539" xr:uid="{00000000-0005-0000-0000-0000BA380000}"/>
    <cellStyle name="Normal 2 60 3 2 6 2" xfId="14540" xr:uid="{00000000-0005-0000-0000-0000BB380000}"/>
    <cellStyle name="Normal 2 60 3 2 6 3" xfId="14541" xr:uid="{00000000-0005-0000-0000-0000BC380000}"/>
    <cellStyle name="Normal 2 60 3 2 7" xfId="14542" xr:uid="{00000000-0005-0000-0000-0000BD380000}"/>
    <cellStyle name="Normal 2 60 3 2 7 2" xfId="14543" xr:uid="{00000000-0005-0000-0000-0000BE380000}"/>
    <cellStyle name="Normal 2 60 3 2 7 3" xfId="14544" xr:uid="{00000000-0005-0000-0000-0000BF380000}"/>
    <cellStyle name="Normal 2 60 3 2 8" xfId="14545" xr:uid="{00000000-0005-0000-0000-0000C0380000}"/>
    <cellStyle name="Normal 2 60 3 2 8 2" xfId="14546" xr:uid="{00000000-0005-0000-0000-0000C1380000}"/>
    <cellStyle name="Normal 2 60 3 2 8 3" xfId="14547" xr:uid="{00000000-0005-0000-0000-0000C2380000}"/>
    <cellStyle name="Normal 2 60 3 2 9" xfId="14548" xr:uid="{00000000-0005-0000-0000-0000C3380000}"/>
    <cellStyle name="Normal 2 60 3 2 9 2" xfId="14549" xr:uid="{00000000-0005-0000-0000-0000C4380000}"/>
    <cellStyle name="Normal 2 60 3 2 9 3" xfId="14550" xr:uid="{00000000-0005-0000-0000-0000C5380000}"/>
    <cellStyle name="Normal 2 60 3 3" xfId="14551" xr:uid="{00000000-0005-0000-0000-0000C6380000}"/>
    <cellStyle name="Normal 2 60 3 3 2" xfId="14552" xr:uid="{00000000-0005-0000-0000-0000C7380000}"/>
    <cellStyle name="Normal 2 60 3 3 3" xfId="14553" xr:uid="{00000000-0005-0000-0000-0000C8380000}"/>
    <cellStyle name="Normal 2 60 3 4" xfId="14554" xr:uid="{00000000-0005-0000-0000-0000C9380000}"/>
    <cellStyle name="Normal 2 60 3 4 2" xfId="14555" xr:uid="{00000000-0005-0000-0000-0000CA380000}"/>
    <cellStyle name="Normal 2 60 3 4 3" xfId="14556" xr:uid="{00000000-0005-0000-0000-0000CB380000}"/>
    <cellStyle name="Normal 2 60 3 5" xfId="14557" xr:uid="{00000000-0005-0000-0000-0000CC380000}"/>
    <cellStyle name="Normal 2 60 3 5 2" xfId="14558" xr:uid="{00000000-0005-0000-0000-0000CD380000}"/>
    <cellStyle name="Normal 2 60 3 5 3" xfId="14559" xr:uid="{00000000-0005-0000-0000-0000CE380000}"/>
    <cellStyle name="Normal 2 60 3 6" xfId="14560" xr:uid="{00000000-0005-0000-0000-0000CF380000}"/>
    <cellStyle name="Normal 2 60 3 6 2" xfId="14561" xr:uid="{00000000-0005-0000-0000-0000D0380000}"/>
    <cellStyle name="Normal 2 60 3 6 3" xfId="14562" xr:uid="{00000000-0005-0000-0000-0000D1380000}"/>
    <cellStyle name="Normal 2 60 3 7" xfId="14563" xr:uid="{00000000-0005-0000-0000-0000D2380000}"/>
    <cellStyle name="Normal 2 60 3 7 2" xfId="14564" xr:uid="{00000000-0005-0000-0000-0000D3380000}"/>
    <cellStyle name="Normal 2 60 3 7 3" xfId="14565" xr:uid="{00000000-0005-0000-0000-0000D4380000}"/>
    <cellStyle name="Normal 2 60 3 8" xfId="14566" xr:uid="{00000000-0005-0000-0000-0000D5380000}"/>
    <cellStyle name="Normal 2 60 3 8 2" xfId="14567" xr:uid="{00000000-0005-0000-0000-0000D6380000}"/>
    <cellStyle name="Normal 2 60 3 8 3" xfId="14568" xr:uid="{00000000-0005-0000-0000-0000D7380000}"/>
    <cellStyle name="Normal 2 60 3 9" xfId="14569" xr:uid="{00000000-0005-0000-0000-0000D8380000}"/>
    <cellStyle name="Normal 2 60 3 9 2" xfId="14570" xr:uid="{00000000-0005-0000-0000-0000D9380000}"/>
    <cellStyle name="Normal 2 60 3 9 3" xfId="14571" xr:uid="{00000000-0005-0000-0000-0000DA380000}"/>
    <cellStyle name="Normal 2 60 4" xfId="14572" xr:uid="{00000000-0005-0000-0000-0000DB380000}"/>
    <cellStyle name="Normal 2 60 4 10" xfId="14573" xr:uid="{00000000-0005-0000-0000-0000DC380000}"/>
    <cellStyle name="Normal 2 60 4 10 2" xfId="14574" xr:uid="{00000000-0005-0000-0000-0000DD380000}"/>
    <cellStyle name="Normal 2 60 4 10 3" xfId="14575" xr:uid="{00000000-0005-0000-0000-0000DE380000}"/>
    <cellStyle name="Normal 2 60 4 11" xfId="14576" xr:uid="{00000000-0005-0000-0000-0000DF380000}"/>
    <cellStyle name="Normal 2 60 4 11 2" xfId="14577" xr:uid="{00000000-0005-0000-0000-0000E0380000}"/>
    <cellStyle name="Normal 2 60 4 11 3" xfId="14578" xr:uid="{00000000-0005-0000-0000-0000E1380000}"/>
    <cellStyle name="Normal 2 60 4 12" xfId="14579" xr:uid="{00000000-0005-0000-0000-0000E2380000}"/>
    <cellStyle name="Normal 2 60 4 12 2" xfId="14580" xr:uid="{00000000-0005-0000-0000-0000E3380000}"/>
    <cellStyle name="Normal 2 60 4 12 3" xfId="14581" xr:uid="{00000000-0005-0000-0000-0000E4380000}"/>
    <cellStyle name="Normal 2 60 4 13" xfId="14582" xr:uid="{00000000-0005-0000-0000-0000E5380000}"/>
    <cellStyle name="Normal 2 60 4 13 2" xfId="14583" xr:uid="{00000000-0005-0000-0000-0000E6380000}"/>
    <cellStyle name="Normal 2 60 4 13 3" xfId="14584" xr:uid="{00000000-0005-0000-0000-0000E7380000}"/>
    <cellStyle name="Normal 2 60 4 14" xfId="14585" xr:uid="{00000000-0005-0000-0000-0000E8380000}"/>
    <cellStyle name="Normal 2 60 4 14 2" xfId="14586" xr:uid="{00000000-0005-0000-0000-0000E9380000}"/>
    <cellStyle name="Normal 2 60 4 14 3" xfId="14587" xr:uid="{00000000-0005-0000-0000-0000EA380000}"/>
    <cellStyle name="Normal 2 60 4 15" xfId="14588" xr:uid="{00000000-0005-0000-0000-0000EB380000}"/>
    <cellStyle name="Normal 2 60 4 15 2" xfId="14589" xr:uid="{00000000-0005-0000-0000-0000EC380000}"/>
    <cellStyle name="Normal 2 60 4 15 3" xfId="14590" xr:uid="{00000000-0005-0000-0000-0000ED380000}"/>
    <cellStyle name="Normal 2 60 4 16" xfId="14591" xr:uid="{00000000-0005-0000-0000-0000EE380000}"/>
    <cellStyle name="Normal 2 60 4 17" xfId="14592" xr:uid="{00000000-0005-0000-0000-0000EF380000}"/>
    <cellStyle name="Normal 2 60 4 2" xfId="14593" xr:uid="{00000000-0005-0000-0000-0000F0380000}"/>
    <cellStyle name="Normal 2 60 4 2 10" xfId="14594" xr:uid="{00000000-0005-0000-0000-0000F1380000}"/>
    <cellStyle name="Normal 2 60 4 2 10 2" xfId="14595" xr:uid="{00000000-0005-0000-0000-0000F2380000}"/>
    <cellStyle name="Normal 2 60 4 2 10 3" xfId="14596" xr:uid="{00000000-0005-0000-0000-0000F3380000}"/>
    <cellStyle name="Normal 2 60 4 2 11" xfId="14597" xr:uid="{00000000-0005-0000-0000-0000F4380000}"/>
    <cellStyle name="Normal 2 60 4 2 11 2" xfId="14598" xr:uid="{00000000-0005-0000-0000-0000F5380000}"/>
    <cellStyle name="Normal 2 60 4 2 11 3" xfId="14599" xr:uid="{00000000-0005-0000-0000-0000F6380000}"/>
    <cellStyle name="Normal 2 60 4 2 12" xfId="14600" xr:uid="{00000000-0005-0000-0000-0000F7380000}"/>
    <cellStyle name="Normal 2 60 4 2 12 2" xfId="14601" xr:uid="{00000000-0005-0000-0000-0000F8380000}"/>
    <cellStyle name="Normal 2 60 4 2 12 3" xfId="14602" xr:uid="{00000000-0005-0000-0000-0000F9380000}"/>
    <cellStyle name="Normal 2 60 4 2 13" xfId="14603" xr:uid="{00000000-0005-0000-0000-0000FA380000}"/>
    <cellStyle name="Normal 2 60 4 2 13 2" xfId="14604" xr:uid="{00000000-0005-0000-0000-0000FB380000}"/>
    <cellStyle name="Normal 2 60 4 2 13 3" xfId="14605" xr:uid="{00000000-0005-0000-0000-0000FC380000}"/>
    <cellStyle name="Normal 2 60 4 2 14" xfId="14606" xr:uid="{00000000-0005-0000-0000-0000FD380000}"/>
    <cellStyle name="Normal 2 60 4 2 14 2" xfId="14607" xr:uid="{00000000-0005-0000-0000-0000FE380000}"/>
    <cellStyle name="Normal 2 60 4 2 14 3" xfId="14608" xr:uid="{00000000-0005-0000-0000-0000FF380000}"/>
    <cellStyle name="Normal 2 60 4 2 15" xfId="14609" xr:uid="{00000000-0005-0000-0000-000000390000}"/>
    <cellStyle name="Normal 2 60 4 2 16" xfId="14610" xr:uid="{00000000-0005-0000-0000-000001390000}"/>
    <cellStyle name="Normal 2 60 4 2 2" xfId="14611" xr:uid="{00000000-0005-0000-0000-000002390000}"/>
    <cellStyle name="Normal 2 60 4 2 2 2" xfId="14612" xr:uid="{00000000-0005-0000-0000-000003390000}"/>
    <cellStyle name="Normal 2 60 4 2 2 3" xfId="14613" xr:uid="{00000000-0005-0000-0000-000004390000}"/>
    <cellStyle name="Normal 2 60 4 2 3" xfId="14614" xr:uid="{00000000-0005-0000-0000-000005390000}"/>
    <cellStyle name="Normal 2 60 4 2 3 2" xfId="14615" xr:uid="{00000000-0005-0000-0000-000006390000}"/>
    <cellStyle name="Normal 2 60 4 2 3 3" xfId="14616" xr:uid="{00000000-0005-0000-0000-000007390000}"/>
    <cellStyle name="Normal 2 60 4 2 4" xfId="14617" xr:uid="{00000000-0005-0000-0000-000008390000}"/>
    <cellStyle name="Normal 2 60 4 2 4 2" xfId="14618" xr:uid="{00000000-0005-0000-0000-000009390000}"/>
    <cellStyle name="Normal 2 60 4 2 4 3" xfId="14619" xr:uid="{00000000-0005-0000-0000-00000A390000}"/>
    <cellStyle name="Normal 2 60 4 2 5" xfId="14620" xr:uid="{00000000-0005-0000-0000-00000B390000}"/>
    <cellStyle name="Normal 2 60 4 2 5 2" xfId="14621" xr:uid="{00000000-0005-0000-0000-00000C390000}"/>
    <cellStyle name="Normal 2 60 4 2 5 3" xfId="14622" xr:uid="{00000000-0005-0000-0000-00000D390000}"/>
    <cellStyle name="Normal 2 60 4 2 6" xfId="14623" xr:uid="{00000000-0005-0000-0000-00000E390000}"/>
    <cellStyle name="Normal 2 60 4 2 6 2" xfId="14624" xr:uid="{00000000-0005-0000-0000-00000F390000}"/>
    <cellStyle name="Normal 2 60 4 2 6 3" xfId="14625" xr:uid="{00000000-0005-0000-0000-000010390000}"/>
    <cellStyle name="Normal 2 60 4 2 7" xfId="14626" xr:uid="{00000000-0005-0000-0000-000011390000}"/>
    <cellStyle name="Normal 2 60 4 2 7 2" xfId="14627" xr:uid="{00000000-0005-0000-0000-000012390000}"/>
    <cellStyle name="Normal 2 60 4 2 7 3" xfId="14628" xr:uid="{00000000-0005-0000-0000-000013390000}"/>
    <cellStyle name="Normal 2 60 4 2 8" xfId="14629" xr:uid="{00000000-0005-0000-0000-000014390000}"/>
    <cellStyle name="Normal 2 60 4 2 8 2" xfId="14630" xr:uid="{00000000-0005-0000-0000-000015390000}"/>
    <cellStyle name="Normal 2 60 4 2 8 3" xfId="14631" xr:uid="{00000000-0005-0000-0000-000016390000}"/>
    <cellStyle name="Normal 2 60 4 2 9" xfId="14632" xr:uid="{00000000-0005-0000-0000-000017390000}"/>
    <cellStyle name="Normal 2 60 4 2 9 2" xfId="14633" xr:uid="{00000000-0005-0000-0000-000018390000}"/>
    <cellStyle name="Normal 2 60 4 2 9 3" xfId="14634" xr:uid="{00000000-0005-0000-0000-000019390000}"/>
    <cellStyle name="Normal 2 60 4 3" xfId="14635" xr:uid="{00000000-0005-0000-0000-00001A390000}"/>
    <cellStyle name="Normal 2 60 4 3 2" xfId="14636" xr:uid="{00000000-0005-0000-0000-00001B390000}"/>
    <cellStyle name="Normal 2 60 4 3 3" xfId="14637" xr:uid="{00000000-0005-0000-0000-00001C390000}"/>
    <cellStyle name="Normal 2 60 4 4" xfId="14638" xr:uid="{00000000-0005-0000-0000-00001D390000}"/>
    <cellStyle name="Normal 2 60 4 4 2" xfId="14639" xr:uid="{00000000-0005-0000-0000-00001E390000}"/>
    <cellStyle name="Normal 2 60 4 4 3" xfId="14640" xr:uid="{00000000-0005-0000-0000-00001F390000}"/>
    <cellStyle name="Normal 2 60 4 5" xfId="14641" xr:uid="{00000000-0005-0000-0000-000020390000}"/>
    <cellStyle name="Normal 2 60 4 5 2" xfId="14642" xr:uid="{00000000-0005-0000-0000-000021390000}"/>
    <cellStyle name="Normal 2 60 4 5 3" xfId="14643" xr:uid="{00000000-0005-0000-0000-000022390000}"/>
    <cellStyle name="Normal 2 60 4 6" xfId="14644" xr:uid="{00000000-0005-0000-0000-000023390000}"/>
    <cellStyle name="Normal 2 60 4 6 2" xfId="14645" xr:uid="{00000000-0005-0000-0000-000024390000}"/>
    <cellStyle name="Normal 2 60 4 6 3" xfId="14646" xr:uid="{00000000-0005-0000-0000-000025390000}"/>
    <cellStyle name="Normal 2 60 4 7" xfId="14647" xr:uid="{00000000-0005-0000-0000-000026390000}"/>
    <cellStyle name="Normal 2 60 4 7 2" xfId="14648" xr:uid="{00000000-0005-0000-0000-000027390000}"/>
    <cellStyle name="Normal 2 60 4 7 3" xfId="14649" xr:uid="{00000000-0005-0000-0000-000028390000}"/>
    <cellStyle name="Normal 2 60 4 8" xfId="14650" xr:uid="{00000000-0005-0000-0000-000029390000}"/>
    <cellStyle name="Normal 2 60 4 8 2" xfId="14651" xr:uid="{00000000-0005-0000-0000-00002A390000}"/>
    <cellStyle name="Normal 2 60 4 8 3" xfId="14652" xr:uid="{00000000-0005-0000-0000-00002B390000}"/>
    <cellStyle name="Normal 2 60 4 9" xfId="14653" xr:uid="{00000000-0005-0000-0000-00002C390000}"/>
    <cellStyle name="Normal 2 60 4 9 2" xfId="14654" xr:uid="{00000000-0005-0000-0000-00002D390000}"/>
    <cellStyle name="Normal 2 60 4 9 3" xfId="14655" xr:uid="{00000000-0005-0000-0000-00002E390000}"/>
    <cellStyle name="Normal 2 60 5" xfId="14656" xr:uid="{00000000-0005-0000-0000-00002F390000}"/>
    <cellStyle name="Normal 2 60 5 10" xfId="14657" xr:uid="{00000000-0005-0000-0000-000030390000}"/>
    <cellStyle name="Normal 2 60 5 10 2" xfId="14658" xr:uid="{00000000-0005-0000-0000-000031390000}"/>
    <cellStyle name="Normal 2 60 5 10 3" xfId="14659" xr:uid="{00000000-0005-0000-0000-000032390000}"/>
    <cellStyle name="Normal 2 60 5 11" xfId="14660" xr:uid="{00000000-0005-0000-0000-000033390000}"/>
    <cellStyle name="Normal 2 60 5 11 2" xfId="14661" xr:uid="{00000000-0005-0000-0000-000034390000}"/>
    <cellStyle name="Normal 2 60 5 11 3" xfId="14662" xr:uid="{00000000-0005-0000-0000-000035390000}"/>
    <cellStyle name="Normal 2 60 5 12" xfId="14663" xr:uid="{00000000-0005-0000-0000-000036390000}"/>
    <cellStyle name="Normal 2 60 5 12 2" xfId="14664" xr:uid="{00000000-0005-0000-0000-000037390000}"/>
    <cellStyle name="Normal 2 60 5 12 3" xfId="14665" xr:uid="{00000000-0005-0000-0000-000038390000}"/>
    <cellStyle name="Normal 2 60 5 13" xfId="14666" xr:uid="{00000000-0005-0000-0000-000039390000}"/>
    <cellStyle name="Normal 2 60 5 13 2" xfId="14667" xr:uid="{00000000-0005-0000-0000-00003A390000}"/>
    <cellStyle name="Normal 2 60 5 13 3" xfId="14668" xr:uid="{00000000-0005-0000-0000-00003B390000}"/>
    <cellStyle name="Normal 2 60 5 14" xfId="14669" xr:uid="{00000000-0005-0000-0000-00003C390000}"/>
    <cellStyle name="Normal 2 60 5 14 2" xfId="14670" xr:uid="{00000000-0005-0000-0000-00003D390000}"/>
    <cellStyle name="Normal 2 60 5 14 3" xfId="14671" xr:uid="{00000000-0005-0000-0000-00003E390000}"/>
    <cellStyle name="Normal 2 60 5 15" xfId="14672" xr:uid="{00000000-0005-0000-0000-00003F390000}"/>
    <cellStyle name="Normal 2 60 5 16" xfId="14673" xr:uid="{00000000-0005-0000-0000-000040390000}"/>
    <cellStyle name="Normal 2 60 5 2" xfId="14674" xr:uid="{00000000-0005-0000-0000-000041390000}"/>
    <cellStyle name="Normal 2 60 5 2 2" xfId="14675" xr:uid="{00000000-0005-0000-0000-000042390000}"/>
    <cellStyle name="Normal 2 60 5 2 3" xfId="14676" xr:uid="{00000000-0005-0000-0000-000043390000}"/>
    <cellStyle name="Normal 2 60 5 3" xfId="14677" xr:uid="{00000000-0005-0000-0000-000044390000}"/>
    <cellStyle name="Normal 2 60 5 3 2" xfId="14678" xr:uid="{00000000-0005-0000-0000-000045390000}"/>
    <cellStyle name="Normal 2 60 5 3 3" xfId="14679" xr:uid="{00000000-0005-0000-0000-000046390000}"/>
    <cellStyle name="Normal 2 60 5 4" xfId="14680" xr:uid="{00000000-0005-0000-0000-000047390000}"/>
    <cellStyle name="Normal 2 60 5 4 2" xfId="14681" xr:uid="{00000000-0005-0000-0000-000048390000}"/>
    <cellStyle name="Normal 2 60 5 4 3" xfId="14682" xr:uid="{00000000-0005-0000-0000-000049390000}"/>
    <cellStyle name="Normal 2 60 5 5" xfId="14683" xr:uid="{00000000-0005-0000-0000-00004A390000}"/>
    <cellStyle name="Normal 2 60 5 5 2" xfId="14684" xr:uid="{00000000-0005-0000-0000-00004B390000}"/>
    <cellStyle name="Normal 2 60 5 5 3" xfId="14685" xr:uid="{00000000-0005-0000-0000-00004C390000}"/>
    <cellStyle name="Normal 2 60 5 6" xfId="14686" xr:uid="{00000000-0005-0000-0000-00004D390000}"/>
    <cellStyle name="Normal 2 60 5 6 2" xfId="14687" xr:uid="{00000000-0005-0000-0000-00004E390000}"/>
    <cellStyle name="Normal 2 60 5 6 3" xfId="14688" xr:uid="{00000000-0005-0000-0000-00004F390000}"/>
    <cellStyle name="Normal 2 60 5 7" xfId="14689" xr:uid="{00000000-0005-0000-0000-000050390000}"/>
    <cellStyle name="Normal 2 60 5 7 2" xfId="14690" xr:uid="{00000000-0005-0000-0000-000051390000}"/>
    <cellStyle name="Normal 2 60 5 7 3" xfId="14691" xr:uid="{00000000-0005-0000-0000-000052390000}"/>
    <cellStyle name="Normal 2 60 5 8" xfId="14692" xr:uid="{00000000-0005-0000-0000-000053390000}"/>
    <cellStyle name="Normal 2 60 5 8 2" xfId="14693" xr:uid="{00000000-0005-0000-0000-000054390000}"/>
    <cellStyle name="Normal 2 60 5 8 3" xfId="14694" xr:uid="{00000000-0005-0000-0000-000055390000}"/>
    <cellStyle name="Normal 2 60 5 9" xfId="14695" xr:uid="{00000000-0005-0000-0000-000056390000}"/>
    <cellStyle name="Normal 2 60 5 9 2" xfId="14696" xr:uid="{00000000-0005-0000-0000-000057390000}"/>
    <cellStyle name="Normal 2 60 5 9 3" xfId="14697" xr:uid="{00000000-0005-0000-0000-000058390000}"/>
    <cellStyle name="Normal 2 60 6" xfId="14698" xr:uid="{00000000-0005-0000-0000-000059390000}"/>
    <cellStyle name="Normal 2 60 6 10" xfId="14699" xr:uid="{00000000-0005-0000-0000-00005A390000}"/>
    <cellStyle name="Normal 2 60 6 10 2" xfId="14700" xr:uid="{00000000-0005-0000-0000-00005B390000}"/>
    <cellStyle name="Normal 2 60 6 10 3" xfId="14701" xr:uid="{00000000-0005-0000-0000-00005C390000}"/>
    <cellStyle name="Normal 2 60 6 11" xfId="14702" xr:uid="{00000000-0005-0000-0000-00005D390000}"/>
    <cellStyle name="Normal 2 60 6 11 2" xfId="14703" xr:uid="{00000000-0005-0000-0000-00005E390000}"/>
    <cellStyle name="Normal 2 60 6 11 3" xfId="14704" xr:uid="{00000000-0005-0000-0000-00005F390000}"/>
    <cellStyle name="Normal 2 60 6 12" xfId="14705" xr:uid="{00000000-0005-0000-0000-000060390000}"/>
    <cellStyle name="Normal 2 60 6 12 2" xfId="14706" xr:uid="{00000000-0005-0000-0000-000061390000}"/>
    <cellStyle name="Normal 2 60 6 12 3" xfId="14707" xr:uid="{00000000-0005-0000-0000-000062390000}"/>
    <cellStyle name="Normal 2 60 6 13" xfId="14708" xr:uid="{00000000-0005-0000-0000-000063390000}"/>
    <cellStyle name="Normal 2 60 6 13 2" xfId="14709" xr:uid="{00000000-0005-0000-0000-000064390000}"/>
    <cellStyle name="Normal 2 60 6 13 3" xfId="14710" xr:uid="{00000000-0005-0000-0000-000065390000}"/>
    <cellStyle name="Normal 2 60 6 14" xfId="14711" xr:uid="{00000000-0005-0000-0000-000066390000}"/>
    <cellStyle name="Normal 2 60 6 14 2" xfId="14712" xr:uid="{00000000-0005-0000-0000-000067390000}"/>
    <cellStyle name="Normal 2 60 6 14 3" xfId="14713" xr:uid="{00000000-0005-0000-0000-000068390000}"/>
    <cellStyle name="Normal 2 60 6 15" xfId="14714" xr:uid="{00000000-0005-0000-0000-000069390000}"/>
    <cellStyle name="Normal 2 60 6 16" xfId="14715" xr:uid="{00000000-0005-0000-0000-00006A390000}"/>
    <cellStyle name="Normal 2 60 6 2" xfId="14716" xr:uid="{00000000-0005-0000-0000-00006B390000}"/>
    <cellStyle name="Normal 2 60 6 2 2" xfId="14717" xr:uid="{00000000-0005-0000-0000-00006C390000}"/>
    <cellStyle name="Normal 2 60 6 2 3" xfId="14718" xr:uid="{00000000-0005-0000-0000-00006D390000}"/>
    <cellStyle name="Normal 2 60 6 3" xfId="14719" xr:uid="{00000000-0005-0000-0000-00006E390000}"/>
    <cellStyle name="Normal 2 60 6 3 2" xfId="14720" xr:uid="{00000000-0005-0000-0000-00006F390000}"/>
    <cellStyle name="Normal 2 60 6 3 3" xfId="14721" xr:uid="{00000000-0005-0000-0000-000070390000}"/>
    <cellStyle name="Normal 2 60 6 4" xfId="14722" xr:uid="{00000000-0005-0000-0000-000071390000}"/>
    <cellStyle name="Normal 2 60 6 4 2" xfId="14723" xr:uid="{00000000-0005-0000-0000-000072390000}"/>
    <cellStyle name="Normal 2 60 6 4 3" xfId="14724" xr:uid="{00000000-0005-0000-0000-000073390000}"/>
    <cellStyle name="Normal 2 60 6 5" xfId="14725" xr:uid="{00000000-0005-0000-0000-000074390000}"/>
    <cellStyle name="Normal 2 60 6 5 2" xfId="14726" xr:uid="{00000000-0005-0000-0000-000075390000}"/>
    <cellStyle name="Normal 2 60 6 5 3" xfId="14727" xr:uid="{00000000-0005-0000-0000-000076390000}"/>
    <cellStyle name="Normal 2 60 6 6" xfId="14728" xr:uid="{00000000-0005-0000-0000-000077390000}"/>
    <cellStyle name="Normal 2 60 6 6 2" xfId="14729" xr:uid="{00000000-0005-0000-0000-000078390000}"/>
    <cellStyle name="Normal 2 60 6 6 3" xfId="14730" xr:uid="{00000000-0005-0000-0000-000079390000}"/>
    <cellStyle name="Normal 2 60 6 7" xfId="14731" xr:uid="{00000000-0005-0000-0000-00007A390000}"/>
    <cellStyle name="Normal 2 60 6 7 2" xfId="14732" xr:uid="{00000000-0005-0000-0000-00007B390000}"/>
    <cellStyle name="Normal 2 60 6 7 3" xfId="14733" xr:uid="{00000000-0005-0000-0000-00007C390000}"/>
    <cellStyle name="Normal 2 60 6 8" xfId="14734" xr:uid="{00000000-0005-0000-0000-00007D390000}"/>
    <cellStyle name="Normal 2 60 6 8 2" xfId="14735" xr:uid="{00000000-0005-0000-0000-00007E390000}"/>
    <cellStyle name="Normal 2 60 6 8 3" xfId="14736" xr:uid="{00000000-0005-0000-0000-00007F390000}"/>
    <cellStyle name="Normal 2 60 6 9" xfId="14737" xr:uid="{00000000-0005-0000-0000-000080390000}"/>
    <cellStyle name="Normal 2 60 6 9 2" xfId="14738" xr:uid="{00000000-0005-0000-0000-000081390000}"/>
    <cellStyle name="Normal 2 60 6 9 3" xfId="14739" xr:uid="{00000000-0005-0000-0000-000082390000}"/>
    <cellStyle name="Normal 2 60 7" xfId="14740" xr:uid="{00000000-0005-0000-0000-000083390000}"/>
    <cellStyle name="Normal 2 60 7 10" xfId="14741" xr:uid="{00000000-0005-0000-0000-000084390000}"/>
    <cellStyle name="Normal 2 60 7 10 2" xfId="14742" xr:uid="{00000000-0005-0000-0000-000085390000}"/>
    <cellStyle name="Normal 2 60 7 10 3" xfId="14743" xr:uid="{00000000-0005-0000-0000-000086390000}"/>
    <cellStyle name="Normal 2 60 7 11" xfId="14744" xr:uid="{00000000-0005-0000-0000-000087390000}"/>
    <cellStyle name="Normal 2 60 7 11 2" xfId="14745" xr:uid="{00000000-0005-0000-0000-000088390000}"/>
    <cellStyle name="Normal 2 60 7 11 3" xfId="14746" xr:uid="{00000000-0005-0000-0000-000089390000}"/>
    <cellStyle name="Normal 2 60 7 12" xfId="14747" xr:uid="{00000000-0005-0000-0000-00008A390000}"/>
    <cellStyle name="Normal 2 60 7 12 2" xfId="14748" xr:uid="{00000000-0005-0000-0000-00008B390000}"/>
    <cellStyle name="Normal 2 60 7 12 3" xfId="14749" xr:uid="{00000000-0005-0000-0000-00008C390000}"/>
    <cellStyle name="Normal 2 60 7 13" xfId="14750" xr:uid="{00000000-0005-0000-0000-00008D390000}"/>
    <cellStyle name="Normal 2 60 7 13 2" xfId="14751" xr:uid="{00000000-0005-0000-0000-00008E390000}"/>
    <cellStyle name="Normal 2 60 7 13 3" xfId="14752" xr:uid="{00000000-0005-0000-0000-00008F390000}"/>
    <cellStyle name="Normal 2 60 7 14" xfId="14753" xr:uid="{00000000-0005-0000-0000-000090390000}"/>
    <cellStyle name="Normal 2 60 7 14 2" xfId="14754" xr:uid="{00000000-0005-0000-0000-000091390000}"/>
    <cellStyle name="Normal 2 60 7 14 3" xfId="14755" xr:uid="{00000000-0005-0000-0000-000092390000}"/>
    <cellStyle name="Normal 2 60 7 15" xfId="14756" xr:uid="{00000000-0005-0000-0000-000093390000}"/>
    <cellStyle name="Normal 2 60 7 16" xfId="14757" xr:uid="{00000000-0005-0000-0000-000094390000}"/>
    <cellStyle name="Normal 2 60 7 2" xfId="14758" xr:uid="{00000000-0005-0000-0000-000095390000}"/>
    <cellStyle name="Normal 2 60 7 2 2" xfId="14759" xr:uid="{00000000-0005-0000-0000-000096390000}"/>
    <cellStyle name="Normal 2 60 7 2 3" xfId="14760" xr:uid="{00000000-0005-0000-0000-000097390000}"/>
    <cellStyle name="Normal 2 60 7 3" xfId="14761" xr:uid="{00000000-0005-0000-0000-000098390000}"/>
    <cellStyle name="Normal 2 60 7 3 2" xfId="14762" xr:uid="{00000000-0005-0000-0000-000099390000}"/>
    <cellStyle name="Normal 2 60 7 3 3" xfId="14763" xr:uid="{00000000-0005-0000-0000-00009A390000}"/>
    <cellStyle name="Normal 2 60 7 4" xfId="14764" xr:uid="{00000000-0005-0000-0000-00009B390000}"/>
    <cellStyle name="Normal 2 60 7 4 2" xfId="14765" xr:uid="{00000000-0005-0000-0000-00009C390000}"/>
    <cellStyle name="Normal 2 60 7 4 3" xfId="14766" xr:uid="{00000000-0005-0000-0000-00009D390000}"/>
    <cellStyle name="Normal 2 60 7 5" xfId="14767" xr:uid="{00000000-0005-0000-0000-00009E390000}"/>
    <cellStyle name="Normal 2 60 7 5 2" xfId="14768" xr:uid="{00000000-0005-0000-0000-00009F390000}"/>
    <cellStyle name="Normal 2 60 7 5 3" xfId="14769" xr:uid="{00000000-0005-0000-0000-0000A0390000}"/>
    <cellStyle name="Normal 2 60 7 6" xfId="14770" xr:uid="{00000000-0005-0000-0000-0000A1390000}"/>
    <cellStyle name="Normal 2 60 7 6 2" xfId="14771" xr:uid="{00000000-0005-0000-0000-0000A2390000}"/>
    <cellStyle name="Normal 2 60 7 6 3" xfId="14772" xr:uid="{00000000-0005-0000-0000-0000A3390000}"/>
    <cellStyle name="Normal 2 60 7 7" xfId="14773" xr:uid="{00000000-0005-0000-0000-0000A4390000}"/>
    <cellStyle name="Normal 2 60 7 7 2" xfId="14774" xr:uid="{00000000-0005-0000-0000-0000A5390000}"/>
    <cellStyle name="Normal 2 60 7 7 3" xfId="14775" xr:uid="{00000000-0005-0000-0000-0000A6390000}"/>
    <cellStyle name="Normal 2 60 7 8" xfId="14776" xr:uid="{00000000-0005-0000-0000-0000A7390000}"/>
    <cellStyle name="Normal 2 60 7 8 2" xfId="14777" xr:uid="{00000000-0005-0000-0000-0000A8390000}"/>
    <cellStyle name="Normal 2 60 7 8 3" xfId="14778" xr:uid="{00000000-0005-0000-0000-0000A9390000}"/>
    <cellStyle name="Normal 2 60 7 9" xfId="14779" xr:uid="{00000000-0005-0000-0000-0000AA390000}"/>
    <cellStyle name="Normal 2 60 7 9 2" xfId="14780" xr:uid="{00000000-0005-0000-0000-0000AB390000}"/>
    <cellStyle name="Normal 2 60 7 9 3" xfId="14781" xr:uid="{00000000-0005-0000-0000-0000AC390000}"/>
    <cellStyle name="Normal 2 60 8" xfId="14782" xr:uid="{00000000-0005-0000-0000-0000AD390000}"/>
    <cellStyle name="Normal 2 60 8 10" xfId="14783" xr:uid="{00000000-0005-0000-0000-0000AE390000}"/>
    <cellStyle name="Normal 2 60 8 10 2" xfId="14784" xr:uid="{00000000-0005-0000-0000-0000AF390000}"/>
    <cellStyle name="Normal 2 60 8 10 3" xfId="14785" xr:uid="{00000000-0005-0000-0000-0000B0390000}"/>
    <cellStyle name="Normal 2 60 8 11" xfId="14786" xr:uid="{00000000-0005-0000-0000-0000B1390000}"/>
    <cellStyle name="Normal 2 60 8 11 2" xfId="14787" xr:uid="{00000000-0005-0000-0000-0000B2390000}"/>
    <cellStyle name="Normal 2 60 8 11 3" xfId="14788" xr:uid="{00000000-0005-0000-0000-0000B3390000}"/>
    <cellStyle name="Normal 2 60 8 12" xfId="14789" xr:uid="{00000000-0005-0000-0000-0000B4390000}"/>
    <cellStyle name="Normal 2 60 8 12 2" xfId="14790" xr:uid="{00000000-0005-0000-0000-0000B5390000}"/>
    <cellStyle name="Normal 2 60 8 12 3" xfId="14791" xr:uid="{00000000-0005-0000-0000-0000B6390000}"/>
    <cellStyle name="Normal 2 60 8 13" xfId="14792" xr:uid="{00000000-0005-0000-0000-0000B7390000}"/>
    <cellStyle name="Normal 2 60 8 13 2" xfId="14793" xr:uid="{00000000-0005-0000-0000-0000B8390000}"/>
    <cellStyle name="Normal 2 60 8 13 3" xfId="14794" xr:uid="{00000000-0005-0000-0000-0000B9390000}"/>
    <cellStyle name="Normal 2 60 8 14" xfId="14795" xr:uid="{00000000-0005-0000-0000-0000BA390000}"/>
    <cellStyle name="Normal 2 60 8 14 2" xfId="14796" xr:uid="{00000000-0005-0000-0000-0000BB390000}"/>
    <cellStyle name="Normal 2 60 8 14 3" xfId="14797" xr:uid="{00000000-0005-0000-0000-0000BC390000}"/>
    <cellStyle name="Normal 2 60 8 15" xfId="14798" xr:uid="{00000000-0005-0000-0000-0000BD390000}"/>
    <cellStyle name="Normal 2 60 8 16" xfId="14799" xr:uid="{00000000-0005-0000-0000-0000BE390000}"/>
    <cellStyle name="Normal 2 60 8 2" xfId="14800" xr:uid="{00000000-0005-0000-0000-0000BF390000}"/>
    <cellStyle name="Normal 2 60 8 2 2" xfId="14801" xr:uid="{00000000-0005-0000-0000-0000C0390000}"/>
    <cellStyle name="Normal 2 60 8 2 3" xfId="14802" xr:uid="{00000000-0005-0000-0000-0000C1390000}"/>
    <cellStyle name="Normal 2 60 8 3" xfId="14803" xr:uid="{00000000-0005-0000-0000-0000C2390000}"/>
    <cellStyle name="Normal 2 60 8 3 2" xfId="14804" xr:uid="{00000000-0005-0000-0000-0000C3390000}"/>
    <cellStyle name="Normal 2 60 8 3 3" xfId="14805" xr:uid="{00000000-0005-0000-0000-0000C4390000}"/>
    <cellStyle name="Normal 2 60 8 4" xfId="14806" xr:uid="{00000000-0005-0000-0000-0000C5390000}"/>
    <cellStyle name="Normal 2 60 8 4 2" xfId="14807" xr:uid="{00000000-0005-0000-0000-0000C6390000}"/>
    <cellStyle name="Normal 2 60 8 4 3" xfId="14808" xr:uid="{00000000-0005-0000-0000-0000C7390000}"/>
    <cellStyle name="Normal 2 60 8 5" xfId="14809" xr:uid="{00000000-0005-0000-0000-0000C8390000}"/>
    <cellStyle name="Normal 2 60 8 5 2" xfId="14810" xr:uid="{00000000-0005-0000-0000-0000C9390000}"/>
    <cellStyle name="Normal 2 60 8 5 3" xfId="14811" xr:uid="{00000000-0005-0000-0000-0000CA390000}"/>
    <cellStyle name="Normal 2 60 8 6" xfId="14812" xr:uid="{00000000-0005-0000-0000-0000CB390000}"/>
    <cellStyle name="Normal 2 60 8 6 2" xfId="14813" xr:uid="{00000000-0005-0000-0000-0000CC390000}"/>
    <cellStyle name="Normal 2 60 8 6 3" xfId="14814" xr:uid="{00000000-0005-0000-0000-0000CD390000}"/>
    <cellStyle name="Normal 2 60 8 7" xfId="14815" xr:uid="{00000000-0005-0000-0000-0000CE390000}"/>
    <cellStyle name="Normal 2 60 8 7 2" xfId="14816" xr:uid="{00000000-0005-0000-0000-0000CF390000}"/>
    <cellStyle name="Normal 2 60 8 7 3" xfId="14817" xr:uid="{00000000-0005-0000-0000-0000D0390000}"/>
    <cellStyle name="Normal 2 60 8 8" xfId="14818" xr:uid="{00000000-0005-0000-0000-0000D1390000}"/>
    <cellStyle name="Normal 2 60 8 8 2" xfId="14819" xr:uid="{00000000-0005-0000-0000-0000D2390000}"/>
    <cellStyle name="Normal 2 60 8 8 3" xfId="14820" xr:uid="{00000000-0005-0000-0000-0000D3390000}"/>
    <cellStyle name="Normal 2 60 8 9" xfId="14821" xr:uid="{00000000-0005-0000-0000-0000D4390000}"/>
    <cellStyle name="Normal 2 60 8 9 2" xfId="14822" xr:uid="{00000000-0005-0000-0000-0000D5390000}"/>
    <cellStyle name="Normal 2 60 8 9 3" xfId="14823" xr:uid="{00000000-0005-0000-0000-0000D6390000}"/>
    <cellStyle name="Normal 2 60 9" xfId="14824" xr:uid="{00000000-0005-0000-0000-0000D7390000}"/>
    <cellStyle name="Normal 2 60 9 10" xfId="14825" xr:uid="{00000000-0005-0000-0000-0000D8390000}"/>
    <cellStyle name="Normal 2 60 9 10 2" xfId="14826" xr:uid="{00000000-0005-0000-0000-0000D9390000}"/>
    <cellStyle name="Normal 2 60 9 10 3" xfId="14827" xr:uid="{00000000-0005-0000-0000-0000DA390000}"/>
    <cellStyle name="Normal 2 60 9 11" xfId="14828" xr:uid="{00000000-0005-0000-0000-0000DB390000}"/>
    <cellStyle name="Normal 2 60 9 11 2" xfId="14829" xr:uid="{00000000-0005-0000-0000-0000DC390000}"/>
    <cellStyle name="Normal 2 60 9 11 3" xfId="14830" xr:uid="{00000000-0005-0000-0000-0000DD390000}"/>
    <cellStyle name="Normal 2 60 9 12" xfId="14831" xr:uid="{00000000-0005-0000-0000-0000DE390000}"/>
    <cellStyle name="Normal 2 60 9 12 2" xfId="14832" xr:uid="{00000000-0005-0000-0000-0000DF390000}"/>
    <cellStyle name="Normal 2 60 9 12 3" xfId="14833" xr:uid="{00000000-0005-0000-0000-0000E0390000}"/>
    <cellStyle name="Normal 2 60 9 13" xfId="14834" xr:uid="{00000000-0005-0000-0000-0000E1390000}"/>
    <cellStyle name="Normal 2 60 9 13 2" xfId="14835" xr:uid="{00000000-0005-0000-0000-0000E2390000}"/>
    <cellStyle name="Normal 2 60 9 13 3" xfId="14836" xr:uid="{00000000-0005-0000-0000-0000E3390000}"/>
    <cellStyle name="Normal 2 60 9 14" xfId="14837" xr:uid="{00000000-0005-0000-0000-0000E4390000}"/>
    <cellStyle name="Normal 2 60 9 14 2" xfId="14838" xr:uid="{00000000-0005-0000-0000-0000E5390000}"/>
    <cellStyle name="Normal 2 60 9 14 3" xfId="14839" xr:uid="{00000000-0005-0000-0000-0000E6390000}"/>
    <cellStyle name="Normal 2 60 9 15" xfId="14840" xr:uid="{00000000-0005-0000-0000-0000E7390000}"/>
    <cellStyle name="Normal 2 60 9 16" xfId="14841" xr:uid="{00000000-0005-0000-0000-0000E8390000}"/>
    <cellStyle name="Normal 2 60 9 2" xfId="14842" xr:uid="{00000000-0005-0000-0000-0000E9390000}"/>
    <cellStyle name="Normal 2 60 9 2 2" xfId="14843" xr:uid="{00000000-0005-0000-0000-0000EA390000}"/>
    <cellStyle name="Normal 2 60 9 2 3" xfId="14844" xr:uid="{00000000-0005-0000-0000-0000EB390000}"/>
    <cellStyle name="Normal 2 60 9 3" xfId="14845" xr:uid="{00000000-0005-0000-0000-0000EC390000}"/>
    <cellStyle name="Normal 2 60 9 3 2" xfId="14846" xr:uid="{00000000-0005-0000-0000-0000ED390000}"/>
    <cellStyle name="Normal 2 60 9 3 3" xfId="14847" xr:uid="{00000000-0005-0000-0000-0000EE390000}"/>
    <cellStyle name="Normal 2 60 9 4" xfId="14848" xr:uid="{00000000-0005-0000-0000-0000EF390000}"/>
    <cellStyle name="Normal 2 60 9 4 2" xfId="14849" xr:uid="{00000000-0005-0000-0000-0000F0390000}"/>
    <cellStyle name="Normal 2 60 9 4 3" xfId="14850" xr:uid="{00000000-0005-0000-0000-0000F1390000}"/>
    <cellStyle name="Normal 2 60 9 5" xfId="14851" xr:uid="{00000000-0005-0000-0000-0000F2390000}"/>
    <cellStyle name="Normal 2 60 9 5 2" xfId="14852" xr:uid="{00000000-0005-0000-0000-0000F3390000}"/>
    <cellStyle name="Normal 2 60 9 5 3" xfId="14853" xr:uid="{00000000-0005-0000-0000-0000F4390000}"/>
    <cellStyle name="Normal 2 60 9 6" xfId="14854" xr:uid="{00000000-0005-0000-0000-0000F5390000}"/>
    <cellStyle name="Normal 2 60 9 6 2" xfId="14855" xr:uid="{00000000-0005-0000-0000-0000F6390000}"/>
    <cellStyle name="Normal 2 60 9 6 3" xfId="14856" xr:uid="{00000000-0005-0000-0000-0000F7390000}"/>
    <cellStyle name="Normal 2 60 9 7" xfId="14857" xr:uid="{00000000-0005-0000-0000-0000F8390000}"/>
    <cellStyle name="Normal 2 60 9 7 2" xfId="14858" xr:uid="{00000000-0005-0000-0000-0000F9390000}"/>
    <cellStyle name="Normal 2 60 9 7 3" xfId="14859" xr:uid="{00000000-0005-0000-0000-0000FA390000}"/>
    <cellStyle name="Normal 2 60 9 8" xfId="14860" xr:uid="{00000000-0005-0000-0000-0000FB390000}"/>
    <cellStyle name="Normal 2 60 9 8 2" xfId="14861" xr:uid="{00000000-0005-0000-0000-0000FC390000}"/>
    <cellStyle name="Normal 2 60 9 8 3" xfId="14862" xr:uid="{00000000-0005-0000-0000-0000FD390000}"/>
    <cellStyle name="Normal 2 60 9 9" xfId="14863" xr:uid="{00000000-0005-0000-0000-0000FE390000}"/>
    <cellStyle name="Normal 2 60 9 9 2" xfId="14864" xr:uid="{00000000-0005-0000-0000-0000FF390000}"/>
    <cellStyle name="Normal 2 60 9 9 3" xfId="14865" xr:uid="{00000000-0005-0000-0000-0000003A0000}"/>
    <cellStyle name="Normal 2 61" xfId="14866" xr:uid="{00000000-0005-0000-0000-0000013A0000}"/>
    <cellStyle name="Normal 2 61 10" xfId="14867" xr:uid="{00000000-0005-0000-0000-0000023A0000}"/>
    <cellStyle name="Normal 2 61 10 10" xfId="14868" xr:uid="{00000000-0005-0000-0000-0000033A0000}"/>
    <cellStyle name="Normal 2 61 10 10 2" xfId="14869" xr:uid="{00000000-0005-0000-0000-0000043A0000}"/>
    <cellStyle name="Normal 2 61 10 10 3" xfId="14870" xr:uid="{00000000-0005-0000-0000-0000053A0000}"/>
    <cellStyle name="Normal 2 61 10 11" xfId="14871" xr:uid="{00000000-0005-0000-0000-0000063A0000}"/>
    <cellStyle name="Normal 2 61 10 11 2" xfId="14872" xr:uid="{00000000-0005-0000-0000-0000073A0000}"/>
    <cellStyle name="Normal 2 61 10 11 3" xfId="14873" xr:uid="{00000000-0005-0000-0000-0000083A0000}"/>
    <cellStyle name="Normal 2 61 10 12" xfId="14874" xr:uid="{00000000-0005-0000-0000-0000093A0000}"/>
    <cellStyle name="Normal 2 61 10 12 2" xfId="14875" xr:uid="{00000000-0005-0000-0000-00000A3A0000}"/>
    <cellStyle name="Normal 2 61 10 12 3" xfId="14876" xr:uid="{00000000-0005-0000-0000-00000B3A0000}"/>
    <cellStyle name="Normal 2 61 10 13" xfId="14877" xr:uid="{00000000-0005-0000-0000-00000C3A0000}"/>
    <cellStyle name="Normal 2 61 10 13 2" xfId="14878" xr:uid="{00000000-0005-0000-0000-00000D3A0000}"/>
    <cellStyle name="Normal 2 61 10 13 3" xfId="14879" xr:uid="{00000000-0005-0000-0000-00000E3A0000}"/>
    <cellStyle name="Normal 2 61 10 14" xfId="14880" xr:uid="{00000000-0005-0000-0000-00000F3A0000}"/>
    <cellStyle name="Normal 2 61 10 14 2" xfId="14881" xr:uid="{00000000-0005-0000-0000-0000103A0000}"/>
    <cellStyle name="Normal 2 61 10 14 3" xfId="14882" xr:uid="{00000000-0005-0000-0000-0000113A0000}"/>
    <cellStyle name="Normal 2 61 10 15" xfId="14883" xr:uid="{00000000-0005-0000-0000-0000123A0000}"/>
    <cellStyle name="Normal 2 61 10 16" xfId="14884" xr:uid="{00000000-0005-0000-0000-0000133A0000}"/>
    <cellStyle name="Normal 2 61 10 2" xfId="14885" xr:uid="{00000000-0005-0000-0000-0000143A0000}"/>
    <cellStyle name="Normal 2 61 10 2 2" xfId="14886" xr:uid="{00000000-0005-0000-0000-0000153A0000}"/>
    <cellStyle name="Normal 2 61 10 2 3" xfId="14887" xr:uid="{00000000-0005-0000-0000-0000163A0000}"/>
    <cellStyle name="Normal 2 61 10 3" xfId="14888" xr:uid="{00000000-0005-0000-0000-0000173A0000}"/>
    <cellStyle name="Normal 2 61 10 3 2" xfId="14889" xr:uid="{00000000-0005-0000-0000-0000183A0000}"/>
    <cellStyle name="Normal 2 61 10 3 3" xfId="14890" xr:uid="{00000000-0005-0000-0000-0000193A0000}"/>
    <cellStyle name="Normal 2 61 10 4" xfId="14891" xr:uid="{00000000-0005-0000-0000-00001A3A0000}"/>
    <cellStyle name="Normal 2 61 10 4 2" xfId="14892" xr:uid="{00000000-0005-0000-0000-00001B3A0000}"/>
    <cellStyle name="Normal 2 61 10 4 3" xfId="14893" xr:uid="{00000000-0005-0000-0000-00001C3A0000}"/>
    <cellStyle name="Normal 2 61 10 5" xfId="14894" xr:uid="{00000000-0005-0000-0000-00001D3A0000}"/>
    <cellStyle name="Normal 2 61 10 5 2" xfId="14895" xr:uid="{00000000-0005-0000-0000-00001E3A0000}"/>
    <cellStyle name="Normal 2 61 10 5 3" xfId="14896" xr:uid="{00000000-0005-0000-0000-00001F3A0000}"/>
    <cellStyle name="Normal 2 61 10 6" xfId="14897" xr:uid="{00000000-0005-0000-0000-0000203A0000}"/>
    <cellStyle name="Normal 2 61 10 6 2" xfId="14898" xr:uid="{00000000-0005-0000-0000-0000213A0000}"/>
    <cellStyle name="Normal 2 61 10 6 3" xfId="14899" xr:uid="{00000000-0005-0000-0000-0000223A0000}"/>
    <cellStyle name="Normal 2 61 10 7" xfId="14900" xr:uid="{00000000-0005-0000-0000-0000233A0000}"/>
    <cellStyle name="Normal 2 61 10 7 2" xfId="14901" xr:uid="{00000000-0005-0000-0000-0000243A0000}"/>
    <cellStyle name="Normal 2 61 10 7 3" xfId="14902" xr:uid="{00000000-0005-0000-0000-0000253A0000}"/>
    <cellStyle name="Normal 2 61 10 8" xfId="14903" xr:uid="{00000000-0005-0000-0000-0000263A0000}"/>
    <cellStyle name="Normal 2 61 10 8 2" xfId="14904" xr:uid="{00000000-0005-0000-0000-0000273A0000}"/>
    <cellStyle name="Normal 2 61 10 8 3" xfId="14905" xr:uid="{00000000-0005-0000-0000-0000283A0000}"/>
    <cellStyle name="Normal 2 61 10 9" xfId="14906" xr:uid="{00000000-0005-0000-0000-0000293A0000}"/>
    <cellStyle name="Normal 2 61 10 9 2" xfId="14907" xr:uid="{00000000-0005-0000-0000-00002A3A0000}"/>
    <cellStyle name="Normal 2 61 10 9 3" xfId="14908" xr:uid="{00000000-0005-0000-0000-00002B3A0000}"/>
    <cellStyle name="Normal 2 61 11" xfId="14909" xr:uid="{00000000-0005-0000-0000-00002C3A0000}"/>
    <cellStyle name="Normal 2 61 11 2" xfId="14910" xr:uid="{00000000-0005-0000-0000-00002D3A0000}"/>
    <cellStyle name="Normal 2 61 11 3" xfId="14911" xr:uid="{00000000-0005-0000-0000-00002E3A0000}"/>
    <cellStyle name="Normal 2 61 12" xfId="14912" xr:uid="{00000000-0005-0000-0000-00002F3A0000}"/>
    <cellStyle name="Normal 2 61 12 2" xfId="14913" xr:uid="{00000000-0005-0000-0000-0000303A0000}"/>
    <cellStyle name="Normal 2 61 12 3" xfId="14914" xr:uid="{00000000-0005-0000-0000-0000313A0000}"/>
    <cellStyle name="Normal 2 61 13" xfId="14915" xr:uid="{00000000-0005-0000-0000-0000323A0000}"/>
    <cellStyle name="Normal 2 61 13 2" xfId="14916" xr:uid="{00000000-0005-0000-0000-0000333A0000}"/>
    <cellStyle name="Normal 2 61 13 3" xfId="14917" xr:uid="{00000000-0005-0000-0000-0000343A0000}"/>
    <cellStyle name="Normal 2 61 14" xfId="14918" xr:uid="{00000000-0005-0000-0000-0000353A0000}"/>
    <cellStyle name="Normal 2 61 14 2" xfId="14919" xr:uid="{00000000-0005-0000-0000-0000363A0000}"/>
    <cellStyle name="Normal 2 61 14 3" xfId="14920" xr:uid="{00000000-0005-0000-0000-0000373A0000}"/>
    <cellStyle name="Normal 2 61 15" xfId="14921" xr:uid="{00000000-0005-0000-0000-0000383A0000}"/>
    <cellStyle name="Normal 2 61 15 2" xfId="14922" xr:uid="{00000000-0005-0000-0000-0000393A0000}"/>
    <cellStyle name="Normal 2 61 15 3" xfId="14923" xr:uid="{00000000-0005-0000-0000-00003A3A0000}"/>
    <cellStyle name="Normal 2 61 16" xfId="14924" xr:uid="{00000000-0005-0000-0000-00003B3A0000}"/>
    <cellStyle name="Normal 2 61 16 2" xfId="14925" xr:uid="{00000000-0005-0000-0000-00003C3A0000}"/>
    <cellStyle name="Normal 2 61 16 3" xfId="14926" xr:uid="{00000000-0005-0000-0000-00003D3A0000}"/>
    <cellStyle name="Normal 2 61 17" xfId="14927" xr:uid="{00000000-0005-0000-0000-00003E3A0000}"/>
    <cellStyle name="Normal 2 61 17 2" xfId="14928" xr:uid="{00000000-0005-0000-0000-00003F3A0000}"/>
    <cellStyle name="Normal 2 61 17 3" xfId="14929" xr:uid="{00000000-0005-0000-0000-0000403A0000}"/>
    <cellStyle name="Normal 2 61 18" xfId="14930" xr:uid="{00000000-0005-0000-0000-0000413A0000}"/>
    <cellStyle name="Normal 2 61 18 2" xfId="14931" xr:uid="{00000000-0005-0000-0000-0000423A0000}"/>
    <cellStyle name="Normal 2 61 18 3" xfId="14932" xr:uid="{00000000-0005-0000-0000-0000433A0000}"/>
    <cellStyle name="Normal 2 61 19" xfId="14933" xr:uid="{00000000-0005-0000-0000-0000443A0000}"/>
    <cellStyle name="Normal 2 61 19 2" xfId="14934" xr:uid="{00000000-0005-0000-0000-0000453A0000}"/>
    <cellStyle name="Normal 2 61 19 3" xfId="14935" xr:uid="{00000000-0005-0000-0000-0000463A0000}"/>
    <cellStyle name="Normal 2 61 2" xfId="14936" xr:uid="{00000000-0005-0000-0000-0000473A0000}"/>
    <cellStyle name="Normal 2 61 2 10" xfId="14937" xr:uid="{00000000-0005-0000-0000-0000483A0000}"/>
    <cellStyle name="Normal 2 61 2 10 2" xfId="14938" xr:uid="{00000000-0005-0000-0000-0000493A0000}"/>
    <cellStyle name="Normal 2 61 2 10 3" xfId="14939" xr:uid="{00000000-0005-0000-0000-00004A3A0000}"/>
    <cellStyle name="Normal 2 61 2 11" xfId="14940" xr:uid="{00000000-0005-0000-0000-00004B3A0000}"/>
    <cellStyle name="Normal 2 61 2 11 2" xfId="14941" xr:uid="{00000000-0005-0000-0000-00004C3A0000}"/>
    <cellStyle name="Normal 2 61 2 11 3" xfId="14942" xr:uid="{00000000-0005-0000-0000-00004D3A0000}"/>
    <cellStyle name="Normal 2 61 2 12" xfId="14943" xr:uid="{00000000-0005-0000-0000-00004E3A0000}"/>
    <cellStyle name="Normal 2 61 2 12 2" xfId="14944" xr:uid="{00000000-0005-0000-0000-00004F3A0000}"/>
    <cellStyle name="Normal 2 61 2 12 3" xfId="14945" xr:uid="{00000000-0005-0000-0000-0000503A0000}"/>
    <cellStyle name="Normal 2 61 2 13" xfId="14946" xr:uid="{00000000-0005-0000-0000-0000513A0000}"/>
    <cellStyle name="Normal 2 61 2 13 2" xfId="14947" xr:uid="{00000000-0005-0000-0000-0000523A0000}"/>
    <cellStyle name="Normal 2 61 2 13 3" xfId="14948" xr:uid="{00000000-0005-0000-0000-0000533A0000}"/>
    <cellStyle name="Normal 2 61 2 14" xfId="14949" xr:uid="{00000000-0005-0000-0000-0000543A0000}"/>
    <cellStyle name="Normal 2 61 2 14 2" xfId="14950" xr:uid="{00000000-0005-0000-0000-0000553A0000}"/>
    <cellStyle name="Normal 2 61 2 14 3" xfId="14951" xr:uid="{00000000-0005-0000-0000-0000563A0000}"/>
    <cellStyle name="Normal 2 61 2 15" xfId="14952" xr:uid="{00000000-0005-0000-0000-0000573A0000}"/>
    <cellStyle name="Normal 2 61 2 15 2" xfId="14953" xr:uid="{00000000-0005-0000-0000-0000583A0000}"/>
    <cellStyle name="Normal 2 61 2 15 3" xfId="14954" xr:uid="{00000000-0005-0000-0000-0000593A0000}"/>
    <cellStyle name="Normal 2 61 2 16" xfId="14955" xr:uid="{00000000-0005-0000-0000-00005A3A0000}"/>
    <cellStyle name="Normal 2 61 2 17" xfId="14956" xr:uid="{00000000-0005-0000-0000-00005B3A0000}"/>
    <cellStyle name="Normal 2 61 2 2" xfId="14957" xr:uid="{00000000-0005-0000-0000-00005C3A0000}"/>
    <cellStyle name="Normal 2 61 2 2 10" xfId="14958" xr:uid="{00000000-0005-0000-0000-00005D3A0000}"/>
    <cellStyle name="Normal 2 61 2 2 10 2" xfId="14959" xr:uid="{00000000-0005-0000-0000-00005E3A0000}"/>
    <cellStyle name="Normal 2 61 2 2 10 3" xfId="14960" xr:uid="{00000000-0005-0000-0000-00005F3A0000}"/>
    <cellStyle name="Normal 2 61 2 2 11" xfId="14961" xr:uid="{00000000-0005-0000-0000-0000603A0000}"/>
    <cellStyle name="Normal 2 61 2 2 11 2" xfId="14962" xr:uid="{00000000-0005-0000-0000-0000613A0000}"/>
    <cellStyle name="Normal 2 61 2 2 11 3" xfId="14963" xr:uid="{00000000-0005-0000-0000-0000623A0000}"/>
    <cellStyle name="Normal 2 61 2 2 12" xfId="14964" xr:uid="{00000000-0005-0000-0000-0000633A0000}"/>
    <cellStyle name="Normal 2 61 2 2 12 2" xfId="14965" xr:uid="{00000000-0005-0000-0000-0000643A0000}"/>
    <cellStyle name="Normal 2 61 2 2 12 3" xfId="14966" xr:uid="{00000000-0005-0000-0000-0000653A0000}"/>
    <cellStyle name="Normal 2 61 2 2 13" xfId="14967" xr:uid="{00000000-0005-0000-0000-0000663A0000}"/>
    <cellStyle name="Normal 2 61 2 2 13 2" xfId="14968" xr:uid="{00000000-0005-0000-0000-0000673A0000}"/>
    <cellStyle name="Normal 2 61 2 2 13 3" xfId="14969" xr:uid="{00000000-0005-0000-0000-0000683A0000}"/>
    <cellStyle name="Normal 2 61 2 2 14" xfId="14970" xr:uid="{00000000-0005-0000-0000-0000693A0000}"/>
    <cellStyle name="Normal 2 61 2 2 14 2" xfId="14971" xr:uid="{00000000-0005-0000-0000-00006A3A0000}"/>
    <cellStyle name="Normal 2 61 2 2 14 3" xfId="14972" xr:uid="{00000000-0005-0000-0000-00006B3A0000}"/>
    <cellStyle name="Normal 2 61 2 2 15" xfId="14973" xr:uid="{00000000-0005-0000-0000-00006C3A0000}"/>
    <cellStyle name="Normal 2 61 2 2 16" xfId="14974" xr:uid="{00000000-0005-0000-0000-00006D3A0000}"/>
    <cellStyle name="Normal 2 61 2 2 2" xfId="14975" xr:uid="{00000000-0005-0000-0000-00006E3A0000}"/>
    <cellStyle name="Normal 2 61 2 2 2 2" xfId="14976" xr:uid="{00000000-0005-0000-0000-00006F3A0000}"/>
    <cellStyle name="Normal 2 61 2 2 2 3" xfId="14977" xr:uid="{00000000-0005-0000-0000-0000703A0000}"/>
    <cellStyle name="Normal 2 61 2 2 3" xfId="14978" xr:uid="{00000000-0005-0000-0000-0000713A0000}"/>
    <cellStyle name="Normal 2 61 2 2 3 2" xfId="14979" xr:uid="{00000000-0005-0000-0000-0000723A0000}"/>
    <cellStyle name="Normal 2 61 2 2 3 3" xfId="14980" xr:uid="{00000000-0005-0000-0000-0000733A0000}"/>
    <cellStyle name="Normal 2 61 2 2 4" xfId="14981" xr:uid="{00000000-0005-0000-0000-0000743A0000}"/>
    <cellStyle name="Normal 2 61 2 2 4 2" xfId="14982" xr:uid="{00000000-0005-0000-0000-0000753A0000}"/>
    <cellStyle name="Normal 2 61 2 2 4 3" xfId="14983" xr:uid="{00000000-0005-0000-0000-0000763A0000}"/>
    <cellStyle name="Normal 2 61 2 2 5" xfId="14984" xr:uid="{00000000-0005-0000-0000-0000773A0000}"/>
    <cellStyle name="Normal 2 61 2 2 5 2" xfId="14985" xr:uid="{00000000-0005-0000-0000-0000783A0000}"/>
    <cellStyle name="Normal 2 61 2 2 5 3" xfId="14986" xr:uid="{00000000-0005-0000-0000-0000793A0000}"/>
    <cellStyle name="Normal 2 61 2 2 6" xfId="14987" xr:uid="{00000000-0005-0000-0000-00007A3A0000}"/>
    <cellStyle name="Normal 2 61 2 2 6 2" xfId="14988" xr:uid="{00000000-0005-0000-0000-00007B3A0000}"/>
    <cellStyle name="Normal 2 61 2 2 6 3" xfId="14989" xr:uid="{00000000-0005-0000-0000-00007C3A0000}"/>
    <cellStyle name="Normal 2 61 2 2 7" xfId="14990" xr:uid="{00000000-0005-0000-0000-00007D3A0000}"/>
    <cellStyle name="Normal 2 61 2 2 7 2" xfId="14991" xr:uid="{00000000-0005-0000-0000-00007E3A0000}"/>
    <cellStyle name="Normal 2 61 2 2 7 3" xfId="14992" xr:uid="{00000000-0005-0000-0000-00007F3A0000}"/>
    <cellStyle name="Normal 2 61 2 2 8" xfId="14993" xr:uid="{00000000-0005-0000-0000-0000803A0000}"/>
    <cellStyle name="Normal 2 61 2 2 8 2" xfId="14994" xr:uid="{00000000-0005-0000-0000-0000813A0000}"/>
    <cellStyle name="Normal 2 61 2 2 8 3" xfId="14995" xr:uid="{00000000-0005-0000-0000-0000823A0000}"/>
    <cellStyle name="Normal 2 61 2 2 9" xfId="14996" xr:uid="{00000000-0005-0000-0000-0000833A0000}"/>
    <cellStyle name="Normal 2 61 2 2 9 2" xfId="14997" xr:uid="{00000000-0005-0000-0000-0000843A0000}"/>
    <cellStyle name="Normal 2 61 2 2 9 3" xfId="14998" xr:uid="{00000000-0005-0000-0000-0000853A0000}"/>
    <cellStyle name="Normal 2 61 2 3" xfId="14999" xr:uid="{00000000-0005-0000-0000-0000863A0000}"/>
    <cellStyle name="Normal 2 61 2 3 2" xfId="15000" xr:uid="{00000000-0005-0000-0000-0000873A0000}"/>
    <cellStyle name="Normal 2 61 2 3 3" xfId="15001" xr:uid="{00000000-0005-0000-0000-0000883A0000}"/>
    <cellStyle name="Normal 2 61 2 4" xfId="15002" xr:uid="{00000000-0005-0000-0000-0000893A0000}"/>
    <cellStyle name="Normal 2 61 2 4 2" xfId="15003" xr:uid="{00000000-0005-0000-0000-00008A3A0000}"/>
    <cellStyle name="Normal 2 61 2 4 3" xfId="15004" xr:uid="{00000000-0005-0000-0000-00008B3A0000}"/>
    <cellStyle name="Normal 2 61 2 5" xfId="15005" xr:uid="{00000000-0005-0000-0000-00008C3A0000}"/>
    <cellStyle name="Normal 2 61 2 5 2" xfId="15006" xr:uid="{00000000-0005-0000-0000-00008D3A0000}"/>
    <cellStyle name="Normal 2 61 2 5 3" xfId="15007" xr:uid="{00000000-0005-0000-0000-00008E3A0000}"/>
    <cellStyle name="Normal 2 61 2 6" xfId="15008" xr:uid="{00000000-0005-0000-0000-00008F3A0000}"/>
    <cellStyle name="Normal 2 61 2 6 2" xfId="15009" xr:uid="{00000000-0005-0000-0000-0000903A0000}"/>
    <cellStyle name="Normal 2 61 2 6 3" xfId="15010" xr:uid="{00000000-0005-0000-0000-0000913A0000}"/>
    <cellStyle name="Normal 2 61 2 7" xfId="15011" xr:uid="{00000000-0005-0000-0000-0000923A0000}"/>
    <cellStyle name="Normal 2 61 2 7 2" xfId="15012" xr:uid="{00000000-0005-0000-0000-0000933A0000}"/>
    <cellStyle name="Normal 2 61 2 7 3" xfId="15013" xr:uid="{00000000-0005-0000-0000-0000943A0000}"/>
    <cellStyle name="Normal 2 61 2 8" xfId="15014" xr:uid="{00000000-0005-0000-0000-0000953A0000}"/>
    <cellStyle name="Normal 2 61 2 8 2" xfId="15015" xr:uid="{00000000-0005-0000-0000-0000963A0000}"/>
    <cellStyle name="Normal 2 61 2 8 3" xfId="15016" xr:uid="{00000000-0005-0000-0000-0000973A0000}"/>
    <cellStyle name="Normal 2 61 2 9" xfId="15017" xr:uid="{00000000-0005-0000-0000-0000983A0000}"/>
    <cellStyle name="Normal 2 61 2 9 2" xfId="15018" xr:uid="{00000000-0005-0000-0000-0000993A0000}"/>
    <cellStyle name="Normal 2 61 2 9 3" xfId="15019" xr:uid="{00000000-0005-0000-0000-00009A3A0000}"/>
    <cellStyle name="Normal 2 61 20" xfId="15020" xr:uid="{00000000-0005-0000-0000-00009B3A0000}"/>
    <cellStyle name="Normal 2 61 20 2" xfId="15021" xr:uid="{00000000-0005-0000-0000-00009C3A0000}"/>
    <cellStyle name="Normal 2 61 20 3" xfId="15022" xr:uid="{00000000-0005-0000-0000-00009D3A0000}"/>
    <cellStyle name="Normal 2 61 21" xfId="15023" xr:uid="{00000000-0005-0000-0000-00009E3A0000}"/>
    <cellStyle name="Normal 2 61 21 2" xfId="15024" xr:uid="{00000000-0005-0000-0000-00009F3A0000}"/>
    <cellStyle name="Normal 2 61 21 3" xfId="15025" xr:uid="{00000000-0005-0000-0000-0000A03A0000}"/>
    <cellStyle name="Normal 2 61 22" xfId="15026" xr:uid="{00000000-0005-0000-0000-0000A13A0000}"/>
    <cellStyle name="Normal 2 61 22 2" xfId="15027" xr:uid="{00000000-0005-0000-0000-0000A23A0000}"/>
    <cellStyle name="Normal 2 61 22 3" xfId="15028" xr:uid="{00000000-0005-0000-0000-0000A33A0000}"/>
    <cellStyle name="Normal 2 61 23" xfId="15029" xr:uid="{00000000-0005-0000-0000-0000A43A0000}"/>
    <cellStyle name="Normal 2 61 23 2" xfId="15030" xr:uid="{00000000-0005-0000-0000-0000A53A0000}"/>
    <cellStyle name="Normal 2 61 23 3" xfId="15031" xr:uid="{00000000-0005-0000-0000-0000A63A0000}"/>
    <cellStyle name="Normal 2 61 24" xfId="15032" xr:uid="{00000000-0005-0000-0000-0000A73A0000}"/>
    <cellStyle name="Normal 2 61 25" xfId="15033" xr:uid="{00000000-0005-0000-0000-0000A83A0000}"/>
    <cellStyle name="Normal 2 61 3" xfId="15034" xr:uid="{00000000-0005-0000-0000-0000A93A0000}"/>
    <cellStyle name="Normal 2 61 3 10" xfId="15035" xr:uid="{00000000-0005-0000-0000-0000AA3A0000}"/>
    <cellStyle name="Normal 2 61 3 10 2" xfId="15036" xr:uid="{00000000-0005-0000-0000-0000AB3A0000}"/>
    <cellStyle name="Normal 2 61 3 10 3" xfId="15037" xr:uid="{00000000-0005-0000-0000-0000AC3A0000}"/>
    <cellStyle name="Normal 2 61 3 11" xfId="15038" xr:uid="{00000000-0005-0000-0000-0000AD3A0000}"/>
    <cellStyle name="Normal 2 61 3 11 2" xfId="15039" xr:uid="{00000000-0005-0000-0000-0000AE3A0000}"/>
    <cellStyle name="Normal 2 61 3 11 3" xfId="15040" xr:uid="{00000000-0005-0000-0000-0000AF3A0000}"/>
    <cellStyle name="Normal 2 61 3 12" xfId="15041" xr:uid="{00000000-0005-0000-0000-0000B03A0000}"/>
    <cellStyle name="Normal 2 61 3 12 2" xfId="15042" xr:uid="{00000000-0005-0000-0000-0000B13A0000}"/>
    <cellStyle name="Normal 2 61 3 12 3" xfId="15043" xr:uid="{00000000-0005-0000-0000-0000B23A0000}"/>
    <cellStyle name="Normal 2 61 3 13" xfId="15044" xr:uid="{00000000-0005-0000-0000-0000B33A0000}"/>
    <cellStyle name="Normal 2 61 3 13 2" xfId="15045" xr:uid="{00000000-0005-0000-0000-0000B43A0000}"/>
    <cellStyle name="Normal 2 61 3 13 3" xfId="15046" xr:uid="{00000000-0005-0000-0000-0000B53A0000}"/>
    <cellStyle name="Normal 2 61 3 14" xfId="15047" xr:uid="{00000000-0005-0000-0000-0000B63A0000}"/>
    <cellStyle name="Normal 2 61 3 14 2" xfId="15048" xr:uid="{00000000-0005-0000-0000-0000B73A0000}"/>
    <cellStyle name="Normal 2 61 3 14 3" xfId="15049" xr:uid="{00000000-0005-0000-0000-0000B83A0000}"/>
    <cellStyle name="Normal 2 61 3 15" xfId="15050" xr:uid="{00000000-0005-0000-0000-0000B93A0000}"/>
    <cellStyle name="Normal 2 61 3 15 2" xfId="15051" xr:uid="{00000000-0005-0000-0000-0000BA3A0000}"/>
    <cellStyle name="Normal 2 61 3 15 3" xfId="15052" xr:uid="{00000000-0005-0000-0000-0000BB3A0000}"/>
    <cellStyle name="Normal 2 61 3 16" xfId="15053" xr:uid="{00000000-0005-0000-0000-0000BC3A0000}"/>
    <cellStyle name="Normal 2 61 3 17" xfId="15054" xr:uid="{00000000-0005-0000-0000-0000BD3A0000}"/>
    <cellStyle name="Normal 2 61 3 2" xfId="15055" xr:uid="{00000000-0005-0000-0000-0000BE3A0000}"/>
    <cellStyle name="Normal 2 61 3 2 10" xfId="15056" xr:uid="{00000000-0005-0000-0000-0000BF3A0000}"/>
    <cellStyle name="Normal 2 61 3 2 10 2" xfId="15057" xr:uid="{00000000-0005-0000-0000-0000C03A0000}"/>
    <cellStyle name="Normal 2 61 3 2 10 3" xfId="15058" xr:uid="{00000000-0005-0000-0000-0000C13A0000}"/>
    <cellStyle name="Normal 2 61 3 2 11" xfId="15059" xr:uid="{00000000-0005-0000-0000-0000C23A0000}"/>
    <cellStyle name="Normal 2 61 3 2 11 2" xfId="15060" xr:uid="{00000000-0005-0000-0000-0000C33A0000}"/>
    <cellStyle name="Normal 2 61 3 2 11 3" xfId="15061" xr:uid="{00000000-0005-0000-0000-0000C43A0000}"/>
    <cellStyle name="Normal 2 61 3 2 12" xfId="15062" xr:uid="{00000000-0005-0000-0000-0000C53A0000}"/>
    <cellStyle name="Normal 2 61 3 2 12 2" xfId="15063" xr:uid="{00000000-0005-0000-0000-0000C63A0000}"/>
    <cellStyle name="Normal 2 61 3 2 12 3" xfId="15064" xr:uid="{00000000-0005-0000-0000-0000C73A0000}"/>
    <cellStyle name="Normal 2 61 3 2 13" xfId="15065" xr:uid="{00000000-0005-0000-0000-0000C83A0000}"/>
    <cellStyle name="Normal 2 61 3 2 13 2" xfId="15066" xr:uid="{00000000-0005-0000-0000-0000C93A0000}"/>
    <cellStyle name="Normal 2 61 3 2 13 3" xfId="15067" xr:uid="{00000000-0005-0000-0000-0000CA3A0000}"/>
    <cellStyle name="Normal 2 61 3 2 14" xfId="15068" xr:uid="{00000000-0005-0000-0000-0000CB3A0000}"/>
    <cellStyle name="Normal 2 61 3 2 14 2" xfId="15069" xr:uid="{00000000-0005-0000-0000-0000CC3A0000}"/>
    <cellStyle name="Normal 2 61 3 2 14 3" xfId="15070" xr:uid="{00000000-0005-0000-0000-0000CD3A0000}"/>
    <cellStyle name="Normal 2 61 3 2 15" xfId="15071" xr:uid="{00000000-0005-0000-0000-0000CE3A0000}"/>
    <cellStyle name="Normal 2 61 3 2 16" xfId="15072" xr:uid="{00000000-0005-0000-0000-0000CF3A0000}"/>
    <cellStyle name="Normal 2 61 3 2 2" xfId="15073" xr:uid="{00000000-0005-0000-0000-0000D03A0000}"/>
    <cellStyle name="Normal 2 61 3 2 2 2" xfId="15074" xr:uid="{00000000-0005-0000-0000-0000D13A0000}"/>
    <cellStyle name="Normal 2 61 3 2 2 3" xfId="15075" xr:uid="{00000000-0005-0000-0000-0000D23A0000}"/>
    <cellStyle name="Normal 2 61 3 2 3" xfId="15076" xr:uid="{00000000-0005-0000-0000-0000D33A0000}"/>
    <cellStyle name="Normal 2 61 3 2 3 2" xfId="15077" xr:uid="{00000000-0005-0000-0000-0000D43A0000}"/>
    <cellStyle name="Normal 2 61 3 2 3 3" xfId="15078" xr:uid="{00000000-0005-0000-0000-0000D53A0000}"/>
    <cellStyle name="Normal 2 61 3 2 4" xfId="15079" xr:uid="{00000000-0005-0000-0000-0000D63A0000}"/>
    <cellStyle name="Normal 2 61 3 2 4 2" xfId="15080" xr:uid="{00000000-0005-0000-0000-0000D73A0000}"/>
    <cellStyle name="Normal 2 61 3 2 4 3" xfId="15081" xr:uid="{00000000-0005-0000-0000-0000D83A0000}"/>
    <cellStyle name="Normal 2 61 3 2 5" xfId="15082" xr:uid="{00000000-0005-0000-0000-0000D93A0000}"/>
    <cellStyle name="Normal 2 61 3 2 5 2" xfId="15083" xr:uid="{00000000-0005-0000-0000-0000DA3A0000}"/>
    <cellStyle name="Normal 2 61 3 2 5 3" xfId="15084" xr:uid="{00000000-0005-0000-0000-0000DB3A0000}"/>
    <cellStyle name="Normal 2 61 3 2 6" xfId="15085" xr:uid="{00000000-0005-0000-0000-0000DC3A0000}"/>
    <cellStyle name="Normal 2 61 3 2 6 2" xfId="15086" xr:uid="{00000000-0005-0000-0000-0000DD3A0000}"/>
    <cellStyle name="Normal 2 61 3 2 6 3" xfId="15087" xr:uid="{00000000-0005-0000-0000-0000DE3A0000}"/>
    <cellStyle name="Normal 2 61 3 2 7" xfId="15088" xr:uid="{00000000-0005-0000-0000-0000DF3A0000}"/>
    <cellStyle name="Normal 2 61 3 2 7 2" xfId="15089" xr:uid="{00000000-0005-0000-0000-0000E03A0000}"/>
    <cellStyle name="Normal 2 61 3 2 7 3" xfId="15090" xr:uid="{00000000-0005-0000-0000-0000E13A0000}"/>
    <cellStyle name="Normal 2 61 3 2 8" xfId="15091" xr:uid="{00000000-0005-0000-0000-0000E23A0000}"/>
    <cellStyle name="Normal 2 61 3 2 8 2" xfId="15092" xr:uid="{00000000-0005-0000-0000-0000E33A0000}"/>
    <cellStyle name="Normal 2 61 3 2 8 3" xfId="15093" xr:uid="{00000000-0005-0000-0000-0000E43A0000}"/>
    <cellStyle name="Normal 2 61 3 2 9" xfId="15094" xr:uid="{00000000-0005-0000-0000-0000E53A0000}"/>
    <cellStyle name="Normal 2 61 3 2 9 2" xfId="15095" xr:uid="{00000000-0005-0000-0000-0000E63A0000}"/>
    <cellStyle name="Normal 2 61 3 2 9 3" xfId="15096" xr:uid="{00000000-0005-0000-0000-0000E73A0000}"/>
    <cellStyle name="Normal 2 61 3 3" xfId="15097" xr:uid="{00000000-0005-0000-0000-0000E83A0000}"/>
    <cellStyle name="Normal 2 61 3 3 2" xfId="15098" xr:uid="{00000000-0005-0000-0000-0000E93A0000}"/>
    <cellStyle name="Normal 2 61 3 3 3" xfId="15099" xr:uid="{00000000-0005-0000-0000-0000EA3A0000}"/>
    <cellStyle name="Normal 2 61 3 4" xfId="15100" xr:uid="{00000000-0005-0000-0000-0000EB3A0000}"/>
    <cellStyle name="Normal 2 61 3 4 2" xfId="15101" xr:uid="{00000000-0005-0000-0000-0000EC3A0000}"/>
    <cellStyle name="Normal 2 61 3 4 3" xfId="15102" xr:uid="{00000000-0005-0000-0000-0000ED3A0000}"/>
    <cellStyle name="Normal 2 61 3 5" xfId="15103" xr:uid="{00000000-0005-0000-0000-0000EE3A0000}"/>
    <cellStyle name="Normal 2 61 3 5 2" xfId="15104" xr:uid="{00000000-0005-0000-0000-0000EF3A0000}"/>
    <cellStyle name="Normal 2 61 3 5 3" xfId="15105" xr:uid="{00000000-0005-0000-0000-0000F03A0000}"/>
    <cellStyle name="Normal 2 61 3 6" xfId="15106" xr:uid="{00000000-0005-0000-0000-0000F13A0000}"/>
    <cellStyle name="Normal 2 61 3 6 2" xfId="15107" xr:uid="{00000000-0005-0000-0000-0000F23A0000}"/>
    <cellStyle name="Normal 2 61 3 6 3" xfId="15108" xr:uid="{00000000-0005-0000-0000-0000F33A0000}"/>
    <cellStyle name="Normal 2 61 3 7" xfId="15109" xr:uid="{00000000-0005-0000-0000-0000F43A0000}"/>
    <cellStyle name="Normal 2 61 3 7 2" xfId="15110" xr:uid="{00000000-0005-0000-0000-0000F53A0000}"/>
    <cellStyle name="Normal 2 61 3 7 3" xfId="15111" xr:uid="{00000000-0005-0000-0000-0000F63A0000}"/>
    <cellStyle name="Normal 2 61 3 8" xfId="15112" xr:uid="{00000000-0005-0000-0000-0000F73A0000}"/>
    <cellStyle name="Normal 2 61 3 8 2" xfId="15113" xr:uid="{00000000-0005-0000-0000-0000F83A0000}"/>
    <cellStyle name="Normal 2 61 3 8 3" xfId="15114" xr:uid="{00000000-0005-0000-0000-0000F93A0000}"/>
    <cellStyle name="Normal 2 61 3 9" xfId="15115" xr:uid="{00000000-0005-0000-0000-0000FA3A0000}"/>
    <cellStyle name="Normal 2 61 3 9 2" xfId="15116" xr:uid="{00000000-0005-0000-0000-0000FB3A0000}"/>
    <cellStyle name="Normal 2 61 3 9 3" xfId="15117" xr:uid="{00000000-0005-0000-0000-0000FC3A0000}"/>
    <cellStyle name="Normal 2 61 4" xfId="15118" xr:uid="{00000000-0005-0000-0000-0000FD3A0000}"/>
    <cellStyle name="Normal 2 61 4 10" xfId="15119" xr:uid="{00000000-0005-0000-0000-0000FE3A0000}"/>
    <cellStyle name="Normal 2 61 4 10 2" xfId="15120" xr:uid="{00000000-0005-0000-0000-0000FF3A0000}"/>
    <cellStyle name="Normal 2 61 4 10 3" xfId="15121" xr:uid="{00000000-0005-0000-0000-0000003B0000}"/>
    <cellStyle name="Normal 2 61 4 11" xfId="15122" xr:uid="{00000000-0005-0000-0000-0000013B0000}"/>
    <cellStyle name="Normal 2 61 4 11 2" xfId="15123" xr:uid="{00000000-0005-0000-0000-0000023B0000}"/>
    <cellStyle name="Normal 2 61 4 11 3" xfId="15124" xr:uid="{00000000-0005-0000-0000-0000033B0000}"/>
    <cellStyle name="Normal 2 61 4 12" xfId="15125" xr:uid="{00000000-0005-0000-0000-0000043B0000}"/>
    <cellStyle name="Normal 2 61 4 12 2" xfId="15126" xr:uid="{00000000-0005-0000-0000-0000053B0000}"/>
    <cellStyle name="Normal 2 61 4 12 3" xfId="15127" xr:uid="{00000000-0005-0000-0000-0000063B0000}"/>
    <cellStyle name="Normal 2 61 4 13" xfId="15128" xr:uid="{00000000-0005-0000-0000-0000073B0000}"/>
    <cellStyle name="Normal 2 61 4 13 2" xfId="15129" xr:uid="{00000000-0005-0000-0000-0000083B0000}"/>
    <cellStyle name="Normal 2 61 4 13 3" xfId="15130" xr:uid="{00000000-0005-0000-0000-0000093B0000}"/>
    <cellStyle name="Normal 2 61 4 14" xfId="15131" xr:uid="{00000000-0005-0000-0000-00000A3B0000}"/>
    <cellStyle name="Normal 2 61 4 14 2" xfId="15132" xr:uid="{00000000-0005-0000-0000-00000B3B0000}"/>
    <cellStyle name="Normal 2 61 4 14 3" xfId="15133" xr:uid="{00000000-0005-0000-0000-00000C3B0000}"/>
    <cellStyle name="Normal 2 61 4 15" xfId="15134" xr:uid="{00000000-0005-0000-0000-00000D3B0000}"/>
    <cellStyle name="Normal 2 61 4 15 2" xfId="15135" xr:uid="{00000000-0005-0000-0000-00000E3B0000}"/>
    <cellStyle name="Normal 2 61 4 15 3" xfId="15136" xr:uid="{00000000-0005-0000-0000-00000F3B0000}"/>
    <cellStyle name="Normal 2 61 4 16" xfId="15137" xr:uid="{00000000-0005-0000-0000-0000103B0000}"/>
    <cellStyle name="Normal 2 61 4 17" xfId="15138" xr:uid="{00000000-0005-0000-0000-0000113B0000}"/>
    <cellStyle name="Normal 2 61 4 2" xfId="15139" xr:uid="{00000000-0005-0000-0000-0000123B0000}"/>
    <cellStyle name="Normal 2 61 4 2 10" xfId="15140" xr:uid="{00000000-0005-0000-0000-0000133B0000}"/>
    <cellStyle name="Normal 2 61 4 2 10 2" xfId="15141" xr:uid="{00000000-0005-0000-0000-0000143B0000}"/>
    <cellStyle name="Normal 2 61 4 2 10 3" xfId="15142" xr:uid="{00000000-0005-0000-0000-0000153B0000}"/>
    <cellStyle name="Normal 2 61 4 2 11" xfId="15143" xr:uid="{00000000-0005-0000-0000-0000163B0000}"/>
    <cellStyle name="Normal 2 61 4 2 11 2" xfId="15144" xr:uid="{00000000-0005-0000-0000-0000173B0000}"/>
    <cellStyle name="Normal 2 61 4 2 11 3" xfId="15145" xr:uid="{00000000-0005-0000-0000-0000183B0000}"/>
    <cellStyle name="Normal 2 61 4 2 12" xfId="15146" xr:uid="{00000000-0005-0000-0000-0000193B0000}"/>
    <cellStyle name="Normal 2 61 4 2 12 2" xfId="15147" xr:uid="{00000000-0005-0000-0000-00001A3B0000}"/>
    <cellStyle name="Normal 2 61 4 2 12 3" xfId="15148" xr:uid="{00000000-0005-0000-0000-00001B3B0000}"/>
    <cellStyle name="Normal 2 61 4 2 13" xfId="15149" xr:uid="{00000000-0005-0000-0000-00001C3B0000}"/>
    <cellStyle name="Normal 2 61 4 2 13 2" xfId="15150" xr:uid="{00000000-0005-0000-0000-00001D3B0000}"/>
    <cellStyle name="Normal 2 61 4 2 13 3" xfId="15151" xr:uid="{00000000-0005-0000-0000-00001E3B0000}"/>
    <cellStyle name="Normal 2 61 4 2 14" xfId="15152" xr:uid="{00000000-0005-0000-0000-00001F3B0000}"/>
    <cellStyle name="Normal 2 61 4 2 14 2" xfId="15153" xr:uid="{00000000-0005-0000-0000-0000203B0000}"/>
    <cellStyle name="Normal 2 61 4 2 14 3" xfId="15154" xr:uid="{00000000-0005-0000-0000-0000213B0000}"/>
    <cellStyle name="Normal 2 61 4 2 15" xfId="15155" xr:uid="{00000000-0005-0000-0000-0000223B0000}"/>
    <cellStyle name="Normal 2 61 4 2 16" xfId="15156" xr:uid="{00000000-0005-0000-0000-0000233B0000}"/>
    <cellStyle name="Normal 2 61 4 2 2" xfId="15157" xr:uid="{00000000-0005-0000-0000-0000243B0000}"/>
    <cellStyle name="Normal 2 61 4 2 2 2" xfId="15158" xr:uid="{00000000-0005-0000-0000-0000253B0000}"/>
    <cellStyle name="Normal 2 61 4 2 2 3" xfId="15159" xr:uid="{00000000-0005-0000-0000-0000263B0000}"/>
    <cellStyle name="Normal 2 61 4 2 3" xfId="15160" xr:uid="{00000000-0005-0000-0000-0000273B0000}"/>
    <cellStyle name="Normal 2 61 4 2 3 2" xfId="15161" xr:uid="{00000000-0005-0000-0000-0000283B0000}"/>
    <cellStyle name="Normal 2 61 4 2 3 3" xfId="15162" xr:uid="{00000000-0005-0000-0000-0000293B0000}"/>
    <cellStyle name="Normal 2 61 4 2 4" xfId="15163" xr:uid="{00000000-0005-0000-0000-00002A3B0000}"/>
    <cellStyle name="Normal 2 61 4 2 4 2" xfId="15164" xr:uid="{00000000-0005-0000-0000-00002B3B0000}"/>
    <cellStyle name="Normal 2 61 4 2 4 3" xfId="15165" xr:uid="{00000000-0005-0000-0000-00002C3B0000}"/>
    <cellStyle name="Normal 2 61 4 2 5" xfId="15166" xr:uid="{00000000-0005-0000-0000-00002D3B0000}"/>
    <cellStyle name="Normal 2 61 4 2 5 2" xfId="15167" xr:uid="{00000000-0005-0000-0000-00002E3B0000}"/>
    <cellStyle name="Normal 2 61 4 2 5 3" xfId="15168" xr:uid="{00000000-0005-0000-0000-00002F3B0000}"/>
    <cellStyle name="Normal 2 61 4 2 6" xfId="15169" xr:uid="{00000000-0005-0000-0000-0000303B0000}"/>
    <cellStyle name="Normal 2 61 4 2 6 2" xfId="15170" xr:uid="{00000000-0005-0000-0000-0000313B0000}"/>
    <cellStyle name="Normal 2 61 4 2 6 3" xfId="15171" xr:uid="{00000000-0005-0000-0000-0000323B0000}"/>
    <cellStyle name="Normal 2 61 4 2 7" xfId="15172" xr:uid="{00000000-0005-0000-0000-0000333B0000}"/>
    <cellStyle name="Normal 2 61 4 2 7 2" xfId="15173" xr:uid="{00000000-0005-0000-0000-0000343B0000}"/>
    <cellStyle name="Normal 2 61 4 2 7 3" xfId="15174" xr:uid="{00000000-0005-0000-0000-0000353B0000}"/>
    <cellStyle name="Normal 2 61 4 2 8" xfId="15175" xr:uid="{00000000-0005-0000-0000-0000363B0000}"/>
    <cellStyle name="Normal 2 61 4 2 8 2" xfId="15176" xr:uid="{00000000-0005-0000-0000-0000373B0000}"/>
    <cellStyle name="Normal 2 61 4 2 8 3" xfId="15177" xr:uid="{00000000-0005-0000-0000-0000383B0000}"/>
    <cellStyle name="Normal 2 61 4 2 9" xfId="15178" xr:uid="{00000000-0005-0000-0000-0000393B0000}"/>
    <cellStyle name="Normal 2 61 4 2 9 2" xfId="15179" xr:uid="{00000000-0005-0000-0000-00003A3B0000}"/>
    <cellStyle name="Normal 2 61 4 2 9 3" xfId="15180" xr:uid="{00000000-0005-0000-0000-00003B3B0000}"/>
    <cellStyle name="Normal 2 61 4 3" xfId="15181" xr:uid="{00000000-0005-0000-0000-00003C3B0000}"/>
    <cellStyle name="Normal 2 61 4 3 2" xfId="15182" xr:uid="{00000000-0005-0000-0000-00003D3B0000}"/>
    <cellStyle name="Normal 2 61 4 3 3" xfId="15183" xr:uid="{00000000-0005-0000-0000-00003E3B0000}"/>
    <cellStyle name="Normal 2 61 4 4" xfId="15184" xr:uid="{00000000-0005-0000-0000-00003F3B0000}"/>
    <cellStyle name="Normal 2 61 4 4 2" xfId="15185" xr:uid="{00000000-0005-0000-0000-0000403B0000}"/>
    <cellStyle name="Normal 2 61 4 4 3" xfId="15186" xr:uid="{00000000-0005-0000-0000-0000413B0000}"/>
    <cellStyle name="Normal 2 61 4 5" xfId="15187" xr:uid="{00000000-0005-0000-0000-0000423B0000}"/>
    <cellStyle name="Normal 2 61 4 5 2" xfId="15188" xr:uid="{00000000-0005-0000-0000-0000433B0000}"/>
    <cellStyle name="Normal 2 61 4 5 3" xfId="15189" xr:uid="{00000000-0005-0000-0000-0000443B0000}"/>
    <cellStyle name="Normal 2 61 4 6" xfId="15190" xr:uid="{00000000-0005-0000-0000-0000453B0000}"/>
    <cellStyle name="Normal 2 61 4 6 2" xfId="15191" xr:uid="{00000000-0005-0000-0000-0000463B0000}"/>
    <cellStyle name="Normal 2 61 4 6 3" xfId="15192" xr:uid="{00000000-0005-0000-0000-0000473B0000}"/>
    <cellStyle name="Normal 2 61 4 7" xfId="15193" xr:uid="{00000000-0005-0000-0000-0000483B0000}"/>
    <cellStyle name="Normal 2 61 4 7 2" xfId="15194" xr:uid="{00000000-0005-0000-0000-0000493B0000}"/>
    <cellStyle name="Normal 2 61 4 7 3" xfId="15195" xr:uid="{00000000-0005-0000-0000-00004A3B0000}"/>
    <cellStyle name="Normal 2 61 4 8" xfId="15196" xr:uid="{00000000-0005-0000-0000-00004B3B0000}"/>
    <cellStyle name="Normal 2 61 4 8 2" xfId="15197" xr:uid="{00000000-0005-0000-0000-00004C3B0000}"/>
    <cellStyle name="Normal 2 61 4 8 3" xfId="15198" xr:uid="{00000000-0005-0000-0000-00004D3B0000}"/>
    <cellStyle name="Normal 2 61 4 9" xfId="15199" xr:uid="{00000000-0005-0000-0000-00004E3B0000}"/>
    <cellStyle name="Normal 2 61 4 9 2" xfId="15200" xr:uid="{00000000-0005-0000-0000-00004F3B0000}"/>
    <cellStyle name="Normal 2 61 4 9 3" xfId="15201" xr:uid="{00000000-0005-0000-0000-0000503B0000}"/>
    <cellStyle name="Normal 2 61 5" xfId="15202" xr:uid="{00000000-0005-0000-0000-0000513B0000}"/>
    <cellStyle name="Normal 2 61 5 10" xfId="15203" xr:uid="{00000000-0005-0000-0000-0000523B0000}"/>
    <cellStyle name="Normal 2 61 5 10 2" xfId="15204" xr:uid="{00000000-0005-0000-0000-0000533B0000}"/>
    <cellStyle name="Normal 2 61 5 10 3" xfId="15205" xr:uid="{00000000-0005-0000-0000-0000543B0000}"/>
    <cellStyle name="Normal 2 61 5 11" xfId="15206" xr:uid="{00000000-0005-0000-0000-0000553B0000}"/>
    <cellStyle name="Normal 2 61 5 11 2" xfId="15207" xr:uid="{00000000-0005-0000-0000-0000563B0000}"/>
    <cellStyle name="Normal 2 61 5 11 3" xfId="15208" xr:uid="{00000000-0005-0000-0000-0000573B0000}"/>
    <cellStyle name="Normal 2 61 5 12" xfId="15209" xr:uid="{00000000-0005-0000-0000-0000583B0000}"/>
    <cellStyle name="Normal 2 61 5 12 2" xfId="15210" xr:uid="{00000000-0005-0000-0000-0000593B0000}"/>
    <cellStyle name="Normal 2 61 5 12 3" xfId="15211" xr:uid="{00000000-0005-0000-0000-00005A3B0000}"/>
    <cellStyle name="Normal 2 61 5 13" xfId="15212" xr:uid="{00000000-0005-0000-0000-00005B3B0000}"/>
    <cellStyle name="Normal 2 61 5 13 2" xfId="15213" xr:uid="{00000000-0005-0000-0000-00005C3B0000}"/>
    <cellStyle name="Normal 2 61 5 13 3" xfId="15214" xr:uid="{00000000-0005-0000-0000-00005D3B0000}"/>
    <cellStyle name="Normal 2 61 5 14" xfId="15215" xr:uid="{00000000-0005-0000-0000-00005E3B0000}"/>
    <cellStyle name="Normal 2 61 5 14 2" xfId="15216" xr:uid="{00000000-0005-0000-0000-00005F3B0000}"/>
    <cellStyle name="Normal 2 61 5 14 3" xfId="15217" xr:uid="{00000000-0005-0000-0000-0000603B0000}"/>
    <cellStyle name="Normal 2 61 5 15" xfId="15218" xr:uid="{00000000-0005-0000-0000-0000613B0000}"/>
    <cellStyle name="Normal 2 61 5 16" xfId="15219" xr:uid="{00000000-0005-0000-0000-0000623B0000}"/>
    <cellStyle name="Normal 2 61 5 2" xfId="15220" xr:uid="{00000000-0005-0000-0000-0000633B0000}"/>
    <cellStyle name="Normal 2 61 5 2 2" xfId="15221" xr:uid="{00000000-0005-0000-0000-0000643B0000}"/>
    <cellStyle name="Normal 2 61 5 2 3" xfId="15222" xr:uid="{00000000-0005-0000-0000-0000653B0000}"/>
    <cellStyle name="Normal 2 61 5 3" xfId="15223" xr:uid="{00000000-0005-0000-0000-0000663B0000}"/>
    <cellStyle name="Normal 2 61 5 3 2" xfId="15224" xr:uid="{00000000-0005-0000-0000-0000673B0000}"/>
    <cellStyle name="Normal 2 61 5 3 3" xfId="15225" xr:uid="{00000000-0005-0000-0000-0000683B0000}"/>
    <cellStyle name="Normal 2 61 5 4" xfId="15226" xr:uid="{00000000-0005-0000-0000-0000693B0000}"/>
    <cellStyle name="Normal 2 61 5 4 2" xfId="15227" xr:uid="{00000000-0005-0000-0000-00006A3B0000}"/>
    <cellStyle name="Normal 2 61 5 4 3" xfId="15228" xr:uid="{00000000-0005-0000-0000-00006B3B0000}"/>
    <cellStyle name="Normal 2 61 5 5" xfId="15229" xr:uid="{00000000-0005-0000-0000-00006C3B0000}"/>
    <cellStyle name="Normal 2 61 5 5 2" xfId="15230" xr:uid="{00000000-0005-0000-0000-00006D3B0000}"/>
    <cellStyle name="Normal 2 61 5 5 3" xfId="15231" xr:uid="{00000000-0005-0000-0000-00006E3B0000}"/>
    <cellStyle name="Normal 2 61 5 6" xfId="15232" xr:uid="{00000000-0005-0000-0000-00006F3B0000}"/>
    <cellStyle name="Normal 2 61 5 6 2" xfId="15233" xr:uid="{00000000-0005-0000-0000-0000703B0000}"/>
    <cellStyle name="Normal 2 61 5 6 3" xfId="15234" xr:uid="{00000000-0005-0000-0000-0000713B0000}"/>
    <cellStyle name="Normal 2 61 5 7" xfId="15235" xr:uid="{00000000-0005-0000-0000-0000723B0000}"/>
    <cellStyle name="Normal 2 61 5 7 2" xfId="15236" xr:uid="{00000000-0005-0000-0000-0000733B0000}"/>
    <cellStyle name="Normal 2 61 5 7 3" xfId="15237" xr:uid="{00000000-0005-0000-0000-0000743B0000}"/>
    <cellStyle name="Normal 2 61 5 8" xfId="15238" xr:uid="{00000000-0005-0000-0000-0000753B0000}"/>
    <cellStyle name="Normal 2 61 5 8 2" xfId="15239" xr:uid="{00000000-0005-0000-0000-0000763B0000}"/>
    <cellStyle name="Normal 2 61 5 8 3" xfId="15240" xr:uid="{00000000-0005-0000-0000-0000773B0000}"/>
    <cellStyle name="Normal 2 61 5 9" xfId="15241" xr:uid="{00000000-0005-0000-0000-0000783B0000}"/>
    <cellStyle name="Normal 2 61 5 9 2" xfId="15242" xr:uid="{00000000-0005-0000-0000-0000793B0000}"/>
    <cellStyle name="Normal 2 61 5 9 3" xfId="15243" xr:uid="{00000000-0005-0000-0000-00007A3B0000}"/>
    <cellStyle name="Normal 2 61 6" xfId="15244" xr:uid="{00000000-0005-0000-0000-00007B3B0000}"/>
    <cellStyle name="Normal 2 61 6 10" xfId="15245" xr:uid="{00000000-0005-0000-0000-00007C3B0000}"/>
    <cellStyle name="Normal 2 61 6 10 2" xfId="15246" xr:uid="{00000000-0005-0000-0000-00007D3B0000}"/>
    <cellStyle name="Normal 2 61 6 10 3" xfId="15247" xr:uid="{00000000-0005-0000-0000-00007E3B0000}"/>
    <cellStyle name="Normal 2 61 6 11" xfId="15248" xr:uid="{00000000-0005-0000-0000-00007F3B0000}"/>
    <cellStyle name="Normal 2 61 6 11 2" xfId="15249" xr:uid="{00000000-0005-0000-0000-0000803B0000}"/>
    <cellStyle name="Normal 2 61 6 11 3" xfId="15250" xr:uid="{00000000-0005-0000-0000-0000813B0000}"/>
    <cellStyle name="Normal 2 61 6 12" xfId="15251" xr:uid="{00000000-0005-0000-0000-0000823B0000}"/>
    <cellStyle name="Normal 2 61 6 12 2" xfId="15252" xr:uid="{00000000-0005-0000-0000-0000833B0000}"/>
    <cellStyle name="Normal 2 61 6 12 3" xfId="15253" xr:uid="{00000000-0005-0000-0000-0000843B0000}"/>
    <cellStyle name="Normal 2 61 6 13" xfId="15254" xr:uid="{00000000-0005-0000-0000-0000853B0000}"/>
    <cellStyle name="Normal 2 61 6 13 2" xfId="15255" xr:uid="{00000000-0005-0000-0000-0000863B0000}"/>
    <cellStyle name="Normal 2 61 6 13 3" xfId="15256" xr:uid="{00000000-0005-0000-0000-0000873B0000}"/>
    <cellStyle name="Normal 2 61 6 14" xfId="15257" xr:uid="{00000000-0005-0000-0000-0000883B0000}"/>
    <cellStyle name="Normal 2 61 6 14 2" xfId="15258" xr:uid="{00000000-0005-0000-0000-0000893B0000}"/>
    <cellStyle name="Normal 2 61 6 14 3" xfId="15259" xr:uid="{00000000-0005-0000-0000-00008A3B0000}"/>
    <cellStyle name="Normal 2 61 6 15" xfId="15260" xr:uid="{00000000-0005-0000-0000-00008B3B0000}"/>
    <cellStyle name="Normal 2 61 6 16" xfId="15261" xr:uid="{00000000-0005-0000-0000-00008C3B0000}"/>
    <cellStyle name="Normal 2 61 6 2" xfId="15262" xr:uid="{00000000-0005-0000-0000-00008D3B0000}"/>
    <cellStyle name="Normal 2 61 6 2 2" xfId="15263" xr:uid="{00000000-0005-0000-0000-00008E3B0000}"/>
    <cellStyle name="Normal 2 61 6 2 3" xfId="15264" xr:uid="{00000000-0005-0000-0000-00008F3B0000}"/>
    <cellStyle name="Normal 2 61 6 3" xfId="15265" xr:uid="{00000000-0005-0000-0000-0000903B0000}"/>
    <cellStyle name="Normal 2 61 6 3 2" xfId="15266" xr:uid="{00000000-0005-0000-0000-0000913B0000}"/>
    <cellStyle name="Normal 2 61 6 3 3" xfId="15267" xr:uid="{00000000-0005-0000-0000-0000923B0000}"/>
    <cellStyle name="Normal 2 61 6 4" xfId="15268" xr:uid="{00000000-0005-0000-0000-0000933B0000}"/>
    <cellStyle name="Normal 2 61 6 4 2" xfId="15269" xr:uid="{00000000-0005-0000-0000-0000943B0000}"/>
    <cellStyle name="Normal 2 61 6 4 3" xfId="15270" xr:uid="{00000000-0005-0000-0000-0000953B0000}"/>
    <cellStyle name="Normal 2 61 6 5" xfId="15271" xr:uid="{00000000-0005-0000-0000-0000963B0000}"/>
    <cellStyle name="Normal 2 61 6 5 2" xfId="15272" xr:uid="{00000000-0005-0000-0000-0000973B0000}"/>
    <cellStyle name="Normal 2 61 6 5 3" xfId="15273" xr:uid="{00000000-0005-0000-0000-0000983B0000}"/>
    <cellStyle name="Normal 2 61 6 6" xfId="15274" xr:uid="{00000000-0005-0000-0000-0000993B0000}"/>
    <cellStyle name="Normal 2 61 6 6 2" xfId="15275" xr:uid="{00000000-0005-0000-0000-00009A3B0000}"/>
    <cellStyle name="Normal 2 61 6 6 3" xfId="15276" xr:uid="{00000000-0005-0000-0000-00009B3B0000}"/>
    <cellStyle name="Normal 2 61 6 7" xfId="15277" xr:uid="{00000000-0005-0000-0000-00009C3B0000}"/>
    <cellStyle name="Normal 2 61 6 7 2" xfId="15278" xr:uid="{00000000-0005-0000-0000-00009D3B0000}"/>
    <cellStyle name="Normal 2 61 6 7 3" xfId="15279" xr:uid="{00000000-0005-0000-0000-00009E3B0000}"/>
    <cellStyle name="Normal 2 61 6 8" xfId="15280" xr:uid="{00000000-0005-0000-0000-00009F3B0000}"/>
    <cellStyle name="Normal 2 61 6 8 2" xfId="15281" xr:uid="{00000000-0005-0000-0000-0000A03B0000}"/>
    <cellStyle name="Normal 2 61 6 8 3" xfId="15282" xr:uid="{00000000-0005-0000-0000-0000A13B0000}"/>
    <cellStyle name="Normal 2 61 6 9" xfId="15283" xr:uid="{00000000-0005-0000-0000-0000A23B0000}"/>
    <cellStyle name="Normal 2 61 6 9 2" xfId="15284" xr:uid="{00000000-0005-0000-0000-0000A33B0000}"/>
    <cellStyle name="Normal 2 61 6 9 3" xfId="15285" xr:uid="{00000000-0005-0000-0000-0000A43B0000}"/>
    <cellStyle name="Normal 2 61 7" xfId="15286" xr:uid="{00000000-0005-0000-0000-0000A53B0000}"/>
    <cellStyle name="Normal 2 61 7 10" xfId="15287" xr:uid="{00000000-0005-0000-0000-0000A63B0000}"/>
    <cellStyle name="Normal 2 61 7 10 2" xfId="15288" xr:uid="{00000000-0005-0000-0000-0000A73B0000}"/>
    <cellStyle name="Normal 2 61 7 10 3" xfId="15289" xr:uid="{00000000-0005-0000-0000-0000A83B0000}"/>
    <cellStyle name="Normal 2 61 7 11" xfId="15290" xr:uid="{00000000-0005-0000-0000-0000A93B0000}"/>
    <cellStyle name="Normal 2 61 7 11 2" xfId="15291" xr:uid="{00000000-0005-0000-0000-0000AA3B0000}"/>
    <cellStyle name="Normal 2 61 7 11 3" xfId="15292" xr:uid="{00000000-0005-0000-0000-0000AB3B0000}"/>
    <cellStyle name="Normal 2 61 7 12" xfId="15293" xr:uid="{00000000-0005-0000-0000-0000AC3B0000}"/>
    <cellStyle name="Normal 2 61 7 12 2" xfId="15294" xr:uid="{00000000-0005-0000-0000-0000AD3B0000}"/>
    <cellStyle name="Normal 2 61 7 12 3" xfId="15295" xr:uid="{00000000-0005-0000-0000-0000AE3B0000}"/>
    <cellStyle name="Normal 2 61 7 13" xfId="15296" xr:uid="{00000000-0005-0000-0000-0000AF3B0000}"/>
    <cellStyle name="Normal 2 61 7 13 2" xfId="15297" xr:uid="{00000000-0005-0000-0000-0000B03B0000}"/>
    <cellStyle name="Normal 2 61 7 13 3" xfId="15298" xr:uid="{00000000-0005-0000-0000-0000B13B0000}"/>
    <cellStyle name="Normal 2 61 7 14" xfId="15299" xr:uid="{00000000-0005-0000-0000-0000B23B0000}"/>
    <cellStyle name="Normal 2 61 7 14 2" xfId="15300" xr:uid="{00000000-0005-0000-0000-0000B33B0000}"/>
    <cellStyle name="Normal 2 61 7 14 3" xfId="15301" xr:uid="{00000000-0005-0000-0000-0000B43B0000}"/>
    <cellStyle name="Normal 2 61 7 15" xfId="15302" xr:uid="{00000000-0005-0000-0000-0000B53B0000}"/>
    <cellStyle name="Normal 2 61 7 16" xfId="15303" xr:uid="{00000000-0005-0000-0000-0000B63B0000}"/>
    <cellStyle name="Normal 2 61 7 2" xfId="15304" xr:uid="{00000000-0005-0000-0000-0000B73B0000}"/>
    <cellStyle name="Normal 2 61 7 2 2" xfId="15305" xr:uid="{00000000-0005-0000-0000-0000B83B0000}"/>
    <cellStyle name="Normal 2 61 7 2 3" xfId="15306" xr:uid="{00000000-0005-0000-0000-0000B93B0000}"/>
    <cellStyle name="Normal 2 61 7 3" xfId="15307" xr:uid="{00000000-0005-0000-0000-0000BA3B0000}"/>
    <cellStyle name="Normal 2 61 7 3 2" xfId="15308" xr:uid="{00000000-0005-0000-0000-0000BB3B0000}"/>
    <cellStyle name="Normal 2 61 7 3 3" xfId="15309" xr:uid="{00000000-0005-0000-0000-0000BC3B0000}"/>
    <cellStyle name="Normal 2 61 7 4" xfId="15310" xr:uid="{00000000-0005-0000-0000-0000BD3B0000}"/>
    <cellStyle name="Normal 2 61 7 4 2" xfId="15311" xr:uid="{00000000-0005-0000-0000-0000BE3B0000}"/>
    <cellStyle name="Normal 2 61 7 4 3" xfId="15312" xr:uid="{00000000-0005-0000-0000-0000BF3B0000}"/>
    <cellStyle name="Normal 2 61 7 5" xfId="15313" xr:uid="{00000000-0005-0000-0000-0000C03B0000}"/>
    <cellStyle name="Normal 2 61 7 5 2" xfId="15314" xr:uid="{00000000-0005-0000-0000-0000C13B0000}"/>
    <cellStyle name="Normal 2 61 7 5 3" xfId="15315" xr:uid="{00000000-0005-0000-0000-0000C23B0000}"/>
    <cellStyle name="Normal 2 61 7 6" xfId="15316" xr:uid="{00000000-0005-0000-0000-0000C33B0000}"/>
    <cellStyle name="Normal 2 61 7 6 2" xfId="15317" xr:uid="{00000000-0005-0000-0000-0000C43B0000}"/>
    <cellStyle name="Normal 2 61 7 6 3" xfId="15318" xr:uid="{00000000-0005-0000-0000-0000C53B0000}"/>
    <cellStyle name="Normal 2 61 7 7" xfId="15319" xr:uid="{00000000-0005-0000-0000-0000C63B0000}"/>
    <cellStyle name="Normal 2 61 7 7 2" xfId="15320" xr:uid="{00000000-0005-0000-0000-0000C73B0000}"/>
    <cellStyle name="Normal 2 61 7 7 3" xfId="15321" xr:uid="{00000000-0005-0000-0000-0000C83B0000}"/>
    <cellStyle name="Normal 2 61 7 8" xfId="15322" xr:uid="{00000000-0005-0000-0000-0000C93B0000}"/>
    <cellStyle name="Normal 2 61 7 8 2" xfId="15323" xr:uid="{00000000-0005-0000-0000-0000CA3B0000}"/>
    <cellStyle name="Normal 2 61 7 8 3" xfId="15324" xr:uid="{00000000-0005-0000-0000-0000CB3B0000}"/>
    <cellStyle name="Normal 2 61 7 9" xfId="15325" xr:uid="{00000000-0005-0000-0000-0000CC3B0000}"/>
    <cellStyle name="Normal 2 61 7 9 2" xfId="15326" xr:uid="{00000000-0005-0000-0000-0000CD3B0000}"/>
    <cellStyle name="Normal 2 61 7 9 3" xfId="15327" xr:uid="{00000000-0005-0000-0000-0000CE3B0000}"/>
    <cellStyle name="Normal 2 61 8" xfId="15328" xr:uid="{00000000-0005-0000-0000-0000CF3B0000}"/>
    <cellStyle name="Normal 2 61 8 10" xfId="15329" xr:uid="{00000000-0005-0000-0000-0000D03B0000}"/>
    <cellStyle name="Normal 2 61 8 10 2" xfId="15330" xr:uid="{00000000-0005-0000-0000-0000D13B0000}"/>
    <cellStyle name="Normal 2 61 8 10 3" xfId="15331" xr:uid="{00000000-0005-0000-0000-0000D23B0000}"/>
    <cellStyle name="Normal 2 61 8 11" xfId="15332" xr:uid="{00000000-0005-0000-0000-0000D33B0000}"/>
    <cellStyle name="Normal 2 61 8 11 2" xfId="15333" xr:uid="{00000000-0005-0000-0000-0000D43B0000}"/>
    <cellStyle name="Normal 2 61 8 11 3" xfId="15334" xr:uid="{00000000-0005-0000-0000-0000D53B0000}"/>
    <cellStyle name="Normal 2 61 8 12" xfId="15335" xr:uid="{00000000-0005-0000-0000-0000D63B0000}"/>
    <cellStyle name="Normal 2 61 8 12 2" xfId="15336" xr:uid="{00000000-0005-0000-0000-0000D73B0000}"/>
    <cellStyle name="Normal 2 61 8 12 3" xfId="15337" xr:uid="{00000000-0005-0000-0000-0000D83B0000}"/>
    <cellStyle name="Normal 2 61 8 13" xfId="15338" xr:uid="{00000000-0005-0000-0000-0000D93B0000}"/>
    <cellStyle name="Normal 2 61 8 13 2" xfId="15339" xr:uid="{00000000-0005-0000-0000-0000DA3B0000}"/>
    <cellStyle name="Normal 2 61 8 13 3" xfId="15340" xr:uid="{00000000-0005-0000-0000-0000DB3B0000}"/>
    <cellStyle name="Normal 2 61 8 14" xfId="15341" xr:uid="{00000000-0005-0000-0000-0000DC3B0000}"/>
    <cellStyle name="Normal 2 61 8 14 2" xfId="15342" xr:uid="{00000000-0005-0000-0000-0000DD3B0000}"/>
    <cellStyle name="Normal 2 61 8 14 3" xfId="15343" xr:uid="{00000000-0005-0000-0000-0000DE3B0000}"/>
    <cellStyle name="Normal 2 61 8 15" xfId="15344" xr:uid="{00000000-0005-0000-0000-0000DF3B0000}"/>
    <cellStyle name="Normal 2 61 8 16" xfId="15345" xr:uid="{00000000-0005-0000-0000-0000E03B0000}"/>
    <cellStyle name="Normal 2 61 8 2" xfId="15346" xr:uid="{00000000-0005-0000-0000-0000E13B0000}"/>
    <cellStyle name="Normal 2 61 8 2 2" xfId="15347" xr:uid="{00000000-0005-0000-0000-0000E23B0000}"/>
    <cellStyle name="Normal 2 61 8 2 3" xfId="15348" xr:uid="{00000000-0005-0000-0000-0000E33B0000}"/>
    <cellStyle name="Normal 2 61 8 3" xfId="15349" xr:uid="{00000000-0005-0000-0000-0000E43B0000}"/>
    <cellStyle name="Normal 2 61 8 3 2" xfId="15350" xr:uid="{00000000-0005-0000-0000-0000E53B0000}"/>
    <cellStyle name="Normal 2 61 8 3 3" xfId="15351" xr:uid="{00000000-0005-0000-0000-0000E63B0000}"/>
    <cellStyle name="Normal 2 61 8 4" xfId="15352" xr:uid="{00000000-0005-0000-0000-0000E73B0000}"/>
    <cellStyle name="Normal 2 61 8 4 2" xfId="15353" xr:uid="{00000000-0005-0000-0000-0000E83B0000}"/>
    <cellStyle name="Normal 2 61 8 4 3" xfId="15354" xr:uid="{00000000-0005-0000-0000-0000E93B0000}"/>
    <cellStyle name="Normal 2 61 8 5" xfId="15355" xr:uid="{00000000-0005-0000-0000-0000EA3B0000}"/>
    <cellStyle name="Normal 2 61 8 5 2" xfId="15356" xr:uid="{00000000-0005-0000-0000-0000EB3B0000}"/>
    <cellStyle name="Normal 2 61 8 5 3" xfId="15357" xr:uid="{00000000-0005-0000-0000-0000EC3B0000}"/>
    <cellStyle name="Normal 2 61 8 6" xfId="15358" xr:uid="{00000000-0005-0000-0000-0000ED3B0000}"/>
    <cellStyle name="Normal 2 61 8 6 2" xfId="15359" xr:uid="{00000000-0005-0000-0000-0000EE3B0000}"/>
    <cellStyle name="Normal 2 61 8 6 3" xfId="15360" xr:uid="{00000000-0005-0000-0000-0000EF3B0000}"/>
    <cellStyle name="Normal 2 61 8 7" xfId="15361" xr:uid="{00000000-0005-0000-0000-0000F03B0000}"/>
    <cellStyle name="Normal 2 61 8 7 2" xfId="15362" xr:uid="{00000000-0005-0000-0000-0000F13B0000}"/>
    <cellStyle name="Normal 2 61 8 7 3" xfId="15363" xr:uid="{00000000-0005-0000-0000-0000F23B0000}"/>
    <cellStyle name="Normal 2 61 8 8" xfId="15364" xr:uid="{00000000-0005-0000-0000-0000F33B0000}"/>
    <cellStyle name="Normal 2 61 8 8 2" xfId="15365" xr:uid="{00000000-0005-0000-0000-0000F43B0000}"/>
    <cellStyle name="Normal 2 61 8 8 3" xfId="15366" xr:uid="{00000000-0005-0000-0000-0000F53B0000}"/>
    <cellStyle name="Normal 2 61 8 9" xfId="15367" xr:uid="{00000000-0005-0000-0000-0000F63B0000}"/>
    <cellStyle name="Normal 2 61 8 9 2" xfId="15368" xr:uid="{00000000-0005-0000-0000-0000F73B0000}"/>
    <cellStyle name="Normal 2 61 8 9 3" xfId="15369" xr:uid="{00000000-0005-0000-0000-0000F83B0000}"/>
    <cellStyle name="Normal 2 61 9" xfId="15370" xr:uid="{00000000-0005-0000-0000-0000F93B0000}"/>
    <cellStyle name="Normal 2 61 9 10" xfId="15371" xr:uid="{00000000-0005-0000-0000-0000FA3B0000}"/>
    <cellStyle name="Normal 2 61 9 10 2" xfId="15372" xr:uid="{00000000-0005-0000-0000-0000FB3B0000}"/>
    <cellStyle name="Normal 2 61 9 10 3" xfId="15373" xr:uid="{00000000-0005-0000-0000-0000FC3B0000}"/>
    <cellStyle name="Normal 2 61 9 11" xfId="15374" xr:uid="{00000000-0005-0000-0000-0000FD3B0000}"/>
    <cellStyle name="Normal 2 61 9 11 2" xfId="15375" xr:uid="{00000000-0005-0000-0000-0000FE3B0000}"/>
    <cellStyle name="Normal 2 61 9 11 3" xfId="15376" xr:uid="{00000000-0005-0000-0000-0000FF3B0000}"/>
    <cellStyle name="Normal 2 61 9 12" xfId="15377" xr:uid="{00000000-0005-0000-0000-0000003C0000}"/>
    <cellStyle name="Normal 2 61 9 12 2" xfId="15378" xr:uid="{00000000-0005-0000-0000-0000013C0000}"/>
    <cellStyle name="Normal 2 61 9 12 3" xfId="15379" xr:uid="{00000000-0005-0000-0000-0000023C0000}"/>
    <cellStyle name="Normal 2 61 9 13" xfId="15380" xr:uid="{00000000-0005-0000-0000-0000033C0000}"/>
    <cellStyle name="Normal 2 61 9 13 2" xfId="15381" xr:uid="{00000000-0005-0000-0000-0000043C0000}"/>
    <cellStyle name="Normal 2 61 9 13 3" xfId="15382" xr:uid="{00000000-0005-0000-0000-0000053C0000}"/>
    <cellStyle name="Normal 2 61 9 14" xfId="15383" xr:uid="{00000000-0005-0000-0000-0000063C0000}"/>
    <cellStyle name="Normal 2 61 9 14 2" xfId="15384" xr:uid="{00000000-0005-0000-0000-0000073C0000}"/>
    <cellStyle name="Normal 2 61 9 14 3" xfId="15385" xr:uid="{00000000-0005-0000-0000-0000083C0000}"/>
    <cellStyle name="Normal 2 61 9 15" xfId="15386" xr:uid="{00000000-0005-0000-0000-0000093C0000}"/>
    <cellStyle name="Normal 2 61 9 16" xfId="15387" xr:uid="{00000000-0005-0000-0000-00000A3C0000}"/>
    <cellStyle name="Normal 2 61 9 2" xfId="15388" xr:uid="{00000000-0005-0000-0000-00000B3C0000}"/>
    <cellStyle name="Normal 2 61 9 2 2" xfId="15389" xr:uid="{00000000-0005-0000-0000-00000C3C0000}"/>
    <cellStyle name="Normal 2 61 9 2 3" xfId="15390" xr:uid="{00000000-0005-0000-0000-00000D3C0000}"/>
    <cellStyle name="Normal 2 61 9 3" xfId="15391" xr:uid="{00000000-0005-0000-0000-00000E3C0000}"/>
    <cellStyle name="Normal 2 61 9 3 2" xfId="15392" xr:uid="{00000000-0005-0000-0000-00000F3C0000}"/>
    <cellStyle name="Normal 2 61 9 3 3" xfId="15393" xr:uid="{00000000-0005-0000-0000-0000103C0000}"/>
    <cellStyle name="Normal 2 61 9 4" xfId="15394" xr:uid="{00000000-0005-0000-0000-0000113C0000}"/>
    <cellStyle name="Normal 2 61 9 4 2" xfId="15395" xr:uid="{00000000-0005-0000-0000-0000123C0000}"/>
    <cellStyle name="Normal 2 61 9 4 3" xfId="15396" xr:uid="{00000000-0005-0000-0000-0000133C0000}"/>
    <cellStyle name="Normal 2 61 9 5" xfId="15397" xr:uid="{00000000-0005-0000-0000-0000143C0000}"/>
    <cellStyle name="Normal 2 61 9 5 2" xfId="15398" xr:uid="{00000000-0005-0000-0000-0000153C0000}"/>
    <cellStyle name="Normal 2 61 9 5 3" xfId="15399" xr:uid="{00000000-0005-0000-0000-0000163C0000}"/>
    <cellStyle name="Normal 2 61 9 6" xfId="15400" xr:uid="{00000000-0005-0000-0000-0000173C0000}"/>
    <cellStyle name="Normal 2 61 9 6 2" xfId="15401" xr:uid="{00000000-0005-0000-0000-0000183C0000}"/>
    <cellStyle name="Normal 2 61 9 6 3" xfId="15402" xr:uid="{00000000-0005-0000-0000-0000193C0000}"/>
    <cellStyle name="Normal 2 61 9 7" xfId="15403" xr:uid="{00000000-0005-0000-0000-00001A3C0000}"/>
    <cellStyle name="Normal 2 61 9 7 2" xfId="15404" xr:uid="{00000000-0005-0000-0000-00001B3C0000}"/>
    <cellStyle name="Normal 2 61 9 7 3" xfId="15405" xr:uid="{00000000-0005-0000-0000-00001C3C0000}"/>
    <cellStyle name="Normal 2 61 9 8" xfId="15406" xr:uid="{00000000-0005-0000-0000-00001D3C0000}"/>
    <cellStyle name="Normal 2 61 9 8 2" xfId="15407" xr:uid="{00000000-0005-0000-0000-00001E3C0000}"/>
    <cellStyle name="Normal 2 61 9 8 3" xfId="15408" xr:uid="{00000000-0005-0000-0000-00001F3C0000}"/>
    <cellStyle name="Normal 2 61 9 9" xfId="15409" xr:uid="{00000000-0005-0000-0000-0000203C0000}"/>
    <cellStyle name="Normal 2 61 9 9 2" xfId="15410" xr:uid="{00000000-0005-0000-0000-0000213C0000}"/>
    <cellStyle name="Normal 2 61 9 9 3" xfId="15411" xr:uid="{00000000-0005-0000-0000-0000223C0000}"/>
    <cellStyle name="Normal 2 62" xfId="15412" xr:uid="{00000000-0005-0000-0000-0000233C0000}"/>
    <cellStyle name="Normal 2 62 10" xfId="15413" xr:uid="{00000000-0005-0000-0000-0000243C0000}"/>
    <cellStyle name="Normal 2 62 10 10" xfId="15414" xr:uid="{00000000-0005-0000-0000-0000253C0000}"/>
    <cellStyle name="Normal 2 62 10 10 2" xfId="15415" xr:uid="{00000000-0005-0000-0000-0000263C0000}"/>
    <cellStyle name="Normal 2 62 10 10 3" xfId="15416" xr:uid="{00000000-0005-0000-0000-0000273C0000}"/>
    <cellStyle name="Normal 2 62 10 11" xfId="15417" xr:uid="{00000000-0005-0000-0000-0000283C0000}"/>
    <cellStyle name="Normal 2 62 10 11 2" xfId="15418" xr:uid="{00000000-0005-0000-0000-0000293C0000}"/>
    <cellStyle name="Normal 2 62 10 11 3" xfId="15419" xr:uid="{00000000-0005-0000-0000-00002A3C0000}"/>
    <cellStyle name="Normal 2 62 10 12" xfId="15420" xr:uid="{00000000-0005-0000-0000-00002B3C0000}"/>
    <cellStyle name="Normal 2 62 10 12 2" xfId="15421" xr:uid="{00000000-0005-0000-0000-00002C3C0000}"/>
    <cellStyle name="Normal 2 62 10 12 3" xfId="15422" xr:uid="{00000000-0005-0000-0000-00002D3C0000}"/>
    <cellStyle name="Normal 2 62 10 13" xfId="15423" xr:uid="{00000000-0005-0000-0000-00002E3C0000}"/>
    <cellStyle name="Normal 2 62 10 13 2" xfId="15424" xr:uid="{00000000-0005-0000-0000-00002F3C0000}"/>
    <cellStyle name="Normal 2 62 10 13 3" xfId="15425" xr:uid="{00000000-0005-0000-0000-0000303C0000}"/>
    <cellStyle name="Normal 2 62 10 14" xfId="15426" xr:uid="{00000000-0005-0000-0000-0000313C0000}"/>
    <cellStyle name="Normal 2 62 10 14 2" xfId="15427" xr:uid="{00000000-0005-0000-0000-0000323C0000}"/>
    <cellStyle name="Normal 2 62 10 14 3" xfId="15428" xr:uid="{00000000-0005-0000-0000-0000333C0000}"/>
    <cellStyle name="Normal 2 62 10 15" xfId="15429" xr:uid="{00000000-0005-0000-0000-0000343C0000}"/>
    <cellStyle name="Normal 2 62 10 16" xfId="15430" xr:uid="{00000000-0005-0000-0000-0000353C0000}"/>
    <cellStyle name="Normal 2 62 10 2" xfId="15431" xr:uid="{00000000-0005-0000-0000-0000363C0000}"/>
    <cellStyle name="Normal 2 62 10 2 2" xfId="15432" xr:uid="{00000000-0005-0000-0000-0000373C0000}"/>
    <cellStyle name="Normal 2 62 10 2 3" xfId="15433" xr:uid="{00000000-0005-0000-0000-0000383C0000}"/>
    <cellStyle name="Normal 2 62 10 3" xfId="15434" xr:uid="{00000000-0005-0000-0000-0000393C0000}"/>
    <cellStyle name="Normal 2 62 10 3 2" xfId="15435" xr:uid="{00000000-0005-0000-0000-00003A3C0000}"/>
    <cellStyle name="Normal 2 62 10 3 3" xfId="15436" xr:uid="{00000000-0005-0000-0000-00003B3C0000}"/>
    <cellStyle name="Normal 2 62 10 4" xfId="15437" xr:uid="{00000000-0005-0000-0000-00003C3C0000}"/>
    <cellStyle name="Normal 2 62 10 4 2" xfId="15438" xr:uid="{00000000-0005-0000-0000-00003D3C0000}"/>
    <cellStyle name="Normal 2 62 10 4 3" xfId="15439" xr:uid="{00000000-0005-0000-0000-00003E3C0000}"/>
    <cellStyle name="Normal 2 62 10 5" xfId="15440" xr:uid="{00000000-0005-0000-0000-00003F3C0000}"/>
    <cellStyle name="Normal 2 62 10 5 2" xfId="15441" xr:uid="{00000000-0005-0000-0000-0000403C0000}"/>
    <cellStyle name="Normal 2 62 10 5 3" xfId="15442" xr:uid="{00000000-0005-0000-0000-0000413C0000}"/>
    <cellStyle name="Normal 2 62 10 6" xfId="15443" xr:uid="{00000000-0005-0000-0000-0000423C0000}"/>
    <cellStyle name="Normal 2 62 10 6 2" xfId="15444" xr:uid="{00000000-0005-0000-0000-0000433C0000}"/>
    <cellStyle name="Normal 2 62 10 6 3" xfId="15445" xr:uid="{00000000-0005-0000-0000-0000443C0000}"/>
    <cellStyle name="Normal 2 62 10 7" xfId="15446" xr:uid="{00000000-0005-0000-0000-0000453C0000}"/>
    <cellStyle name="Normal 2 62 10 7 2" xfId="15447" xr:uid="{00000000-0005-0000-0000-0000463C0000}"/>
    <cellStyle name="Normal 2 62 10 7 3" xfId="15448" xr:uid="{00000000-0005-0000-0000-0000473C0000}"/>
    <cellStyle name="Normal 2 62 10 8" xfId="15449" xr:uid="{00000000-0005-0000-0000-0000483C0000}"/>
    <cellStyle name="Normal 2 62 10 8 2" xfId="15450" xr:uid="{00000000-0005-0000-0000-0000493C0000}"/>
    <cellStyle name="Normal 2 62 10 8 3" xfId="15451" xr:uid="{00000000-0005-0000-0000-00004A3C0000}"/>
    <cellStyle name="Normal 2 62 10 9" xfId="15452" xr:uid="{00000000-0005-0000-0000-00004B3C0000}"/>
    <cellStyle name="Normal 2 62 10 9 2" xfId="15453" xr:uid="{00000000-0005-0000-0000-00004C3C0000}"/>
    <cellStyle name="Normal 2 62 10 9 3" xfId="15454" xr:uid="{00000000-0005-0000-0000-00004D3C0000}"/>
    <cellStyle name="Normal 2 62 11" xfId="15455" xr:uid="{00000000-0005-0000-0000-00004E3C0000}"/>
    <cellStyle name="Normal 2 62 11 2" xfId="15456" xr:uid="{00000000-0005-0000-0000-00004F3C0000}"/>
    <cellStyle name="Normal 2 62 11 3" xfId="15457" xr:uid="{00000000-0005-0000-0000-0000503C0000}"/>
    <cellStyle name="Normal 2 62 12" xfId="15458" xr:uid="{00000000-0005-0000-0000-0000513C0000}"/>
    <cellStyle name="Normal 2 62 12 2" xfId="15459" xr:uid="{00000000-0005-0000-0000-0000523C0000}"/>
    <cellStyle name="Normal 2 62 12 3" xfId="15460" xr:uid="{00000000-0005-0000-0000-0000533C0000}"/>
    <cellStyle name="Normal 2 62 13" xfId="15461" xr:uid="{00000000-0005-0000-0000-0000543C0000}"/>
    <cellStyle name="Normal 2 62 13 2" xfId="15462" xr:uid="{00000000-0005-0000-0000-0000553C0000}"/>
    <cellStyle name="Normal 2 62 13 3" xfId="15463" xr:uid="{00000000-0005-0000-0000-0000563C0000}"/>
    <cellStyle name="Normal 2 62 14" xfId="15464" xr:uid="{00000000-0005-0000-0000-0000573C0000}"/>
    <cellStyle name="Normal 2 62 14 2" xfId="15465" xr:uid="{00000000-0005-0000-0000-0000583C0000}"/>
    <cellStyle name="Normal 2 62 14 3" xfId="15466" xr:uid="{00000000-0005-0000-0000-0000593C0000}"/>
    <cellStyle name="Normal 2 62 15" xfId="15467" xr:uid="{00000000-0005-0000-0000-00005A3C0000}"/>
    <cellStyle name="Normal 2 62 15 2" xfId="15468" xr:uid="{00000000-0005-0000-0000-00005B3C0000}"/>
    <cellStyle name="Normal 2 62 15 3" xfId="15469" xr:uid="{00000000-0005-0000-0000-00005C3C0000}"/>
    <cellStyle name="Normal 2 62 16" xfId="15470" xr:uid="{00000000-0005-0000-0000-00005D3C0000}"/>
    <cellStyle name="Normal 2 62 16 2" xfId="15471" xr:uid="{00000000-0005-0000-0000-00005E3C0000}"/>
    <cellStyle name="Normal 2 62 16 3" xfId="15472" xr:uid="{00000000-0005-0000-0000-00005F3C0000}"/>
    <cellStyle name="Normal 2 62 17" xfId="15473" xr:uid="{00000000-0005-0000-0000-0000603C0000}"/>
    <cellStyle name="Normal 2 62 17 2" xfId="15474" xr:uid="{00000000-0005-0000-0000-0000613C0000}"/>
    <cellStyle name="Normal 2 62 17 3" xfId="15475" xr:uid="{00000000-0005-0000-0000-0000623C0000}"/>
    <cellStyle name="Normal 2 62 18" xfId="15476" xr:uid="{00000000-0005-0000-0000-0000633C0000}"/>
    <cellStyle name="Normal 2 62 18 2" xfId="15477" xr:uid="{00000000-0005-0000-0000-0000643C0000}"/>
    <cellStyle name="Normal 2 62 18 3" xfId="15478" xr:uid="{00000000-0005-0000-0000-0000653C0000}"/>
    <cellStyle name="Normal 2 62 19" xfId="15479" xr:uid="{00000000-0005-0000-0000-0000663C0000}"/>
    <cellStyle name="Normal 2 62 19 2" xfId="15480" xr:uid="{00000000-0005-0000-0000-0000673C0000}"/>
    <cellStyle name="Normal 2 62 19 3" xfId="15481" xr:uid="{00000000-0005-0000-0000-0000683C0000}"/>
    <cellStyle name="Normal 2 62 2" xfId="15482" xr:uid="{00000000-0005-0000-0000-0000693C0000}"/>
    <cellStyle name="Normal 2 62 2 10" xfId="15483" xr:uid="{00000000-0005-0000-0000-00006A3C0000}"/>
    <cellStyle name="Normal 2 62 2 10 2" xfId="15484" xr:uid="{00000000-0005-0000-0000-00006B3C0000}"/>
    <cellStyle name="Normal 2 62 2 10 3" xfId="15485" xr:uid="{00000000-0005-0000-0000-00006C3C0000}"/>
    <cellStyle name="Normal 2 62 2 11" xfId="15486" xr:uid="{00000000-0005-0000-0000-00006D3C0000}"/>
    <cellStyle name="Normal 2 62 2 11 2" xfId="15487" xr:uid="{00000000-0005-0000-0000-00006E3C0000}"/>
    <cellStyle name="Normal 2 62 2 11 3" xfId="15488" xr:uid="{00000000-0005-0000-0000-00006F3C0000}"/>
    <cellStyle name="Normal 2 62 2 12" xfId="15489" xr:uid="{00000000-0005-0000-0000-0000703C0000}"/>
    <cellStyle name="Normal 2 62 2 12 2" xfId="15490" xr:uid="{00000000-0005-0000-0000-0000713C0000}"/>
    <cellStyle name="Normal 2 62 2 12 3" xfId="15491" xr:uid="{00000000-0005-0000-0000-0000723C0000}"/>
    <cellStyle name="Normal 2 62 2 13" xfId="15492" xr:uid="{00000000-0005-0000-0000-0000733C0000}"/>
    <cellStyle name="Normal 2 62 2 13 2" xfId="15493" xr:uid="{00000000-0005-0000-0000-0000743C0000}"/>
    <cellStyle name="Normal 2 62 2 13 3" xfId="15494" xr:uid="{00000000-0005-0000-0000-0000753C0000}"/>
    <cellStyle name="Normal 2 62 2 14" xfId="15495" xr:uid="{00000000-0005-0000-0000-0000763C0000}"/>
    <cellStyle name="Normal 2 62 2 14 2" xfId="15496" xr:uid="{00000000-0005-0000-0000-0000773C0000}"/>
    <cellStyle name="Normal 2 62 2 14 3" xfId="15497" xr:uid="{00000000-0005-0000-0000-0000783C0000}"/>
    <cellStyle name="Normal 2 62 2 15" xfId="15498" xr:uid="{00000000-0005-0000-0000-0000793C0000}"/>
    <cellStyle name="Normal 2 62 2 15 2" xfId="15499" xr:uid="{00000000-0005-0000-0000-00007A3C0000}"/>
    <cellStyle name="Normal 2 62 2 15 3" xfId="15500" xr:uid="{00000000-0005-0000-0000-00007B3C0000}"/>
    <cellStyle name="Normal 2 62 2 16" xfId="15501" xr:uid="{00000000-0005-0000-0000-00007C3C0000}"/>
    <cellStyle name="Normal 2 62 2 17" xfId="15502" xr:uid="{00000000-0005-0000-0000-00007D3C0000}"/>
    <cellStyle name="Normal 2 62 2 2" xfId="15503" xr:uid="{00000000-0005-0000-0000-00007E3C0000}"/>
    <cellStyle name="Normal 2 62 2 2 10" xfId="15504" xr:uid="{00000000-0005-0000-0000-00007F3C0000}"/>
    <cellStyle name="Normal 2 62 2 2 10 2" xfId="15505" xr:uid="{00000000-0005-0000-0000-0000803C0000}"/>
    <cellStyle name="Normal 2 62 2 2 10 3" xfId="15506" xr:uid="{00000000-0005-0000-0000-0000813C0000}"/>
    <cellStyle name="Normal 2 62 2 2 11" xfId="15507" xr:uid="{00000000-0005-0000-0000-0000823C0000}"/>
    <cellStyle name="Normal 2 62 2 2 11 2" xfId="15508" xr:uid="{00000000-0005-0000-0000-0000833C0000}"/>
    <cellStyle name="Normal 2 62 2 2 11 3" xfId="15509" xr:uid="{00000000-0005-0000-0000-0000843C0000}"/>
    <cellStyle name="Normal 2 62 2 2 12" xfId="15510" xr:uid="{00000000-0005-0000-0000-0000853C0000}"/>
    <cellStyle name="Normal 2 62 2 2 12 2" xfId="15511" xr:uid="{00000000-0005-0000-0000-0000863C0000}"/>
    <cellStyle name="Normal 2 62 2 2 12 3" xfId="15512" xr:uid="{00000000-0005-0000-0000-0000873C0000}"/>
    <cellStyle name="Normal 2 62 2 2 13" xfId="15513" xr:uid="{00000000-0005-0000-0000-0000883C0000}"/>
    <cellStyle name="Normal 2 62 2 2 13 2" xfId="15514" xr:uid="{00000000-0005-0000-0000-0000893C0000}"/>
    <cellStyle name="Normal 2 62 2 2 13 3" xfId="15515" xr:uid="{00000000-0005-0000-0000-00008A3C0000}"/>
    <cellStyle name="Normal 2 62 2 2 14" xfId="15516" xr:uid="{00000000-0005-0000-0000-00008B3C0000}"/>
    <cellStyle name="Normal 2 62 2 2 14 2" xfId="15517" xr:uid="{00000000-0005-0000-0000-00008C3C0000}"/>
    <cellStyle name="Normal 2 62 2 2 14 3" xfId="15518" xr:uid="{00000000-0005-0000-0000-00008D3C0000}"/>
    <cellStyle name="Normal 2 62 2 2 15" xfId="15519" xr:uid="{00000000-0005-0000-0000-00008E3C0000}"/>
    <cellStyle name="Normal 2 62 2 2 16" xfId="15520" xr:uid="{00000000-0005-0000-0000-00008F3C0000}"/>
    <cellStyle name="Normal 2 62 2 2 2" xfId="15521" xr:uid="{00000000-0005-0000-0000-0000903C0000}"/>
    <cellStyle name="Normal 2 62 2 2 2 2" xfId="15522" xr:uid="{00000000-0005-0000-0000-0000913C0000}"/>
    <cellStyle name="Normal 2 62 2 2 2 3" xfId="15523" xr:uid="{00000000-0005-0000-0000-0000923C0000}"/>
    <cellStyle name="Normal 2 62 2 2 3" xfId="15524" xr:uid="{00000000-0005-0000-0000-0000933C0000}"/>
    <cellStyle name="Normal 2 62 2 2 3 2" xfId="15525" xr:uid="{00000000-0005-0000-0000-0000943C0000}"/>
    <cellStyle name="Normal 2 62 2 2 3 3" xfId="15526" xr:uid="{00000000-0005-0000-0000-0000953C0000}"/>
    <cellStyle name="Normal 2 62 2 2 4" xfId="15527" xr:uid="{00000000-0005-0000-0000-0000963C0000}"/>
    <cellStyle name="Normal 2 62 2 2 4 2" xfId="15528" xr:uid="{00000000-0005-0000-0000-0000973C0000}"/>
    <cellStyle name="Normal 2 62 2 2 4 3" xfId="15529" xr:uid="{00000000-0005-0000-0000-0000983C0000}"/>
    <cellStyle name="Normal 2 62 2 2 5" xfId="15530" xr:uid="{00000000-0005-0000-0000-0000993C0000}"/>
    <cellStyle name="Normal 2 62 2 2 5 2" xfId="15531" xr:uid="{00000000-0005-0000-0000-00009A3C0000}"/>
    <cellStyle name="Normal 2 62 2 2 5 3" xfId="15532" xr:uid="{00000000-0005-0000-0000-00009B3C0000}"/>
    <cellStyle name="Normal 2 62 2 2 6" xfId="15533" xr:uid="{00000000-0005-0000-0000-00009C3C0000}"/>
    <cellStyle name="Normal 2 62 2 2 6 2" xfId="15534" xr:uid="{00000000-0005-0000-0000-00009D3C0000}"/>
    <cellStyle name="Normal 2 62 2 2 6 3" xfId="15535" xr:uid="{00000000-0005-0000-0000-00009E3C0000}"/>
    <cellStyle name="Normal 2 62 2 2 7" xfId="15536" xr:uid="{00000000-0005-0000-0000-00009F3C0000}"/>
    <cellStyle name="Normal 2 62 2 2 7 2" xfId="15537" xr:uid="{00000000-0005-0000-0000-0000A03C0000}"/>
    <cellStyle name="Normal 2 62 2 2 7 3" xfId="15538" xr:uid="{00000000-0005-0000-0000-0000A13C0000}"/>
    <cellStyle name="Normal 2 62 2 2 8" xfId="15539" xr:uid="{00000000-0005-0000-0000-0000A23C0000}"/>
    <cellStyle name="Normal 2 62 2 2 8 2" xfId="15540" xr:uid="{00000000-0005-0000-0000-0000A33C0000}"/>
    <cellStyle name="Normal 2 62 2 2 8 3" xfId="15541" xr:uid="{00000000-0005-0000-0000-0000A43C0000}"/>
    <cellStyle name="Normal 2 62 2 2 9" xfId="15542" xr:uid="{00000000-0005-0000-0000-0000A53C0000}"/>
    <cellStyle name="Normal 2 62 2 2 9 2" xfId="15543" xr:uid="{00000000-0005-0000-0000-0000A63C0000}"/>
    <cellStyle name="Normal 2 62 2 2 9 3" xfId="15544" xr:uid="{00000000-0005-0000-0000-0000A73C0000}"/>
    <cellStyle name="Normal 2 62 2 3" xfId="15545" xr:uid="{00000000-0005-0000-0000-0000A83C0000}"/>
    <cellStyle name="Normal 2 62 2 3 2" xfId="15546" xr:uid="{00000000-0005-0000-0000-0000A93C0000}"/>
    <cellStyle name="Normal 2 62 2 3 3" xfId="15547" xr:uid="{00000000-0005-0000-0000-0000AA3C0000}"/>
    <cellStyle name="Normal 2 62 2 4" xfId="15548" xr:uid="{00000000-0005-0000-0000-0000AB3C0000}"/>
    <cellStyle name="Normal 2 62 2 4 2" xfId="15549" xr:uid="{00000000-0005-0000-0000-0000AC3C0000}"/>
    <cellStyle name="Normal 2 62 2 4 3" xfId="15550" xr:uid="{00000000-0005-0000-0000-0000AD3C0000}"/>
    <cellStyle name="Normal 2 62 2 5" xfId="15551" xr:uid="{00000000-0005-0000-0000-0000AE3C0000}"/>
    <cellStyle name="Normal 2 62 2 5 2" xfId="15552" xr:uid="{00000000-0005-0000-0000-0000AF3C0000}"/>
    <cellStyle name="Normal 2 62 2 5 3" xfId="15553" xr:uid="{00000000-0005-0000-0000-0000B03C0000}"/>
    <cellStyle name="Normal 2 62 2 6" xfId="15554" xr:uid="{00000000-0005-0000-0000-0000B13C0000}"/>
    <cellStyle name="Normal 2 62 2 6 2" xfId="15555" xr:uid="{00000000-0005-0000-0000-0000B23C0000}"/>
    <cellStyle name="Normal 2 62 2 6 3" xfId="15556" xr:uid="{00000000-0005-0000-0000-0000B33C0000}"/>
    <cellStyle name="Normal 2 62 2 7" xfId="15557" xr:uid="{00000000-0005-0000-0000-0000B43C0000}"/>
    <cellStyle name="Normal 2 62 2 7 2" xfId="15558" xr:uid="{00000000-0005-0000-0000-0000B53C0000}"/>
    <cellStyle name="Normal 2 62 2 7 3" xfId="15559" xr:uid="{00000000-0005-0000-0000-0000B63C0000}"/>
    <cellStyle name="Normal 2 62 2 8" xfId="15560" xr:uid="{00000000-0005-0000-0000-0000B73C0000}"/>
    <cellStyle name="Normal 2 62 2 8 2" xfId="15561" xr:uid="{00000000-0005-0000-0000-0000B83C0000}"/>
    <cellStyle name="Normal 2 62 2 8 3" xfId="15562" xr:uid="{00000000-0005-0000-0000-0000B93C0000}"/>
    <cellStyle name="Normal 2 62 2 9" xfId="15563" xr:uid="{00000000-0005-0000-0000-0000BA3C0000}"/>
    <cellStyle name="Normal 2 62 2 9 2" xfId="15564" xr:uid="{00000000-0005-0000-0000-0000BB3C0000}"/>
    <cellStyle name="Normal 2 62 2 9 3" xfId="15565" xr:uid="{00000000-0005-0000-0000-0000BC3C0000}"/>
    <cellStyle name="Normal 2 62 20" xfId="15566" xr:uid="{00000000-0005-0000-0000-0000BD3C0000}"/>
    <cellStyle name="Normal 2 62 20 2" xfId="15567" xr:uid="{00000000-0005-0000-0000-0000BE3C0000}"/>
    <cellStyle name="Normal 2 62 20 3" xfId="15568" xr:uid="{00000000-0005-0000-0000-0000BF3C0000}"/>
    <cellStyle name="Normal 2 62 21" xfId="15569" xr:uid="{00000000-0005-0000-0000-0000C03C0000}"/>
    <cellStyle name="Normal 2 62 21 2" xfId="15570" xr:uid="{00000000-0005-0000-0000-0000C13C0000}"/>
    <cellStyle name="Normal 2 62 21 3" xfId="15571" xr:uid="{00000000-0005-0000-0000-0000C23C0000}"/>
    <cellStyle name="Normal 2 62 22" xfId="15572" xr:uid="{00000000-0005-0000-0000-0000C33C0000}"/>
    <cellStyle name="Normal 2 62 22 2" xfId="15573" xr:uid="{00000000-0005-0000-0000-0000C43C0000}"/>
    <cellStyle name="Normal 2 62 22 3" xfId="15574" xr:uid="{00000000-0005-0000-0000-0000C53C0000}"/>
    <cellStyle name="Normal 2 62 23" xfId="15575" xr:uid="{00000000-0005-0000-0000-0000C63C0000}"/>
    <cellStyle name="Normal 2 62 23 2" xfId="15576" xr:uid="{00000000-0005-0000-0000-0000C73C0000}"/>
    <cellStyle name="Normal 2 62 23 3" xfId="15577" xr:uid="{00000000-0005-0000-0000-0000C83C0000}"/>
    <cellStyle name="Normal 2 62 24" xfId="15578" xr:uid="{00000000-0005-0000-0000-0000C93C0000}"/>
    <cellStyle name="Normal 2 62 25" xfId="15579" xr:uid="{00000000-0005-0000-0000-0000CA3C0000}"/>
    <cellStyle name="Normal 2 62 3" xfId="15580" xr:uid="{00000000-0005-0000-0000-0000CB3C0000}"/>
    <cellStyle name="Normal 2 62 3 10" xfId="15581" xr:uid="{00000000-0005-0000-0000-0000CC3C0000}"/>
    <cellStyle name="Normal 2 62 3 10 2" xfId="15582" xr:uid="{00000000-0005-0000-0000-0000CD3C0000}"/>
    <cellStyle name="Normal 2 62 3 10 3" xfId="15583" xr:uid="{00000000-0005-0000-0000-0000CE3C0000}"/>
    <cellStyle name="Normal 2 62 3 11" xfId="15584" xr:uid="{00000000-0005-0000-0000-0000CF3C0000}"/>
    <cellStyle name="Normal 2 62 3 11 2" xfId="15585" xr:uid="{00000000-0005-0000-0000-0000D03C0000}"/>
    <cellStyle name="Normal 2 62 3 11 3" xfId="15586" xr:uid="{00000000-0005-0000-0000-0000D13C0000}"/>
    <cellStyle name="Normal 2 62 3 12" xfId="15587" xr:uid="{00000000-0005-0000-0000-0000D23C0000}"/>
    <cellStyle name="Normal 2 62 3 12 2" xfId="15588" xr:uid="{00000000-0005-0000-0000-0000D33C0000}"/>
    <cellStyle name="Normal 2 62 3 12 3" xfId="15589" xr:uid="{00000000-0005-0000-0000-0000D43C0000}"/>
    <cellStyle name="Normal 2 62 3 13" xfId="15590" xr:uid="{00000000-0005-0000-0000-0000D53C0000}"/>
    <cellStyle name="Normal 2 62 3 13 2" xfId="15591" xr:uid="{00000000-0005-0000-0000-0000D63C0000}"/>
    <cellStyle name="Normal 2 62 3 13 3" xfId="15592" xr:uid="{00000000-0005-0000-0000-0000D73C0000}"/>
    <cellStyle name="Normal 2 62 3 14" xfId="15593" xr:uid="{00000000-0005-0000-0000-0000D83C0000}"/>
    <cellStyle name="Normal 2 62 3 14 2" xfId="15594" xr:uid="{00000000-0005-0000-0000-0000D93C0000}"/>
    <cellStyle name="Normal 2 62 3 14 3" xfId="15595" xr:uid="{00000000-0005-0000-0000-0000DA3C0000}"/>
    <cellStyle name="Normal 2 62 3 15" xfId="15596" xr:uid="{00000000-0005-0000-0000-0000DB3C0000}"/>
    <cellStyle name="Normal 2 62 3 15 2" xfId="15597" xr:uid="{00000000-0005-0000-0000-0000DC3C0000}"/>
    <cellStyle name="Normal 2 62 3 15 3" xfId="15598" xr:uid="{00000000-0005-0000-0000-0000DD3C0000}"/>
    <cellStyle name="Normal 2 62 3 16" xfId="15599" xr:uid="{00000000-0005-0000-0000-0000DE3C0000}"/>
    <cellStyle name="Normal 2 62 3 17" xfId="15600" xr:uid="{00000000-0005-0000-0000-0000DF3C0000}"/>
    <cellStyle name="Normal 2 62 3 2" xfId="15601" xr:uid="{00000000-0005-0000-0000-0000E03C0000}"/>
    <cellStyle name="Normal 2 62 3 2 10" xfId="15602" xr:uid="{00000000-0005-0000-0000-0000E13C0000}"/>
    <cellStyle name="Normal 2 62 3 2 10 2" xfId="15603" xr:uid="{00000000-0005-0000-0000-0000E23C0000}"/>
    <cellStyle name="Normal 2 62 3 2 10 3" xfId="15604" xr:uid="{00000000-0005-0000-0000-0000E33C0000}"/>
    <cellStyle name="Normal 2 62 3 2 11" xfId="15605" xr:uid="{00000000-0005-0000-0000-0000E43C0000}"/>
    <cellStyle name="Normal 2 62 3 2 11 2" xfId="15606" xr:uid="{00000000-0005-0000-0000-0000E53C0000}"/>
    <cellStyle name="Normal 2 62 3 2 11 3" xfId="15607" xr:uid="{00000000-0005-0000-0000-0000E63C0000}"/>
    <cellStyle name="Normal 2 62 3 2 12" xfId="15608" xr:uid="{00000000-0005-0000-0000-0000E73C0000}"/>
    <cellStyle name="Normal 2 62 3 2 12 2" xfId="15609" xr:uid="{00000000-0005-0000-0000-0000E83C0000}"/>
    <cellStyle name="Normal 2 62 3 2 12 3" xfId="15610" xr:uid="{00000000-0005-0000-0000-0000E93C0000}"/>
    <cellStyle name="Normal 2 62 3 2 13" xfId="15611" xr:uid="{00000000-0005-0000-0000-0000EA3C0000}"/>
    <cellStyle name="Normal 2 62 3 2 13 2" xfId="15612" xr:uid="{00000000-0005-0000-0000-0000EB3C0000}"/>
    <cellStyle name="Normal 2 62 3 2 13 3" xfId="15613" xr:uid="{00000000-0005-0000-0000-0000EC3C0000}"/>
    <cellStyle name="Normal 2 62 3 2 14" xfId="15614" xr:uid="{00000000-0005-0000-0000-0000ED3C0000}"/>
    <cellStyle name="Normal 2 62 3 2 14 2" xfId="15615" xr:uid="{00000000-0005-0000-0000-0000EE3C0000}"/>
    <cellStyle name="Normal 2 62 3 2 14 3" xfId="15616" xr:uid="{00000000-0005-0000-0000-0000EF3C0000}"/>
    <cellStyle name="Normal 2 62 3 2 15" xfId="15617" xr:uid="{00000000-0005-0000-0000-0000F03C0000}"/>
    <cellStyle name="Normal 2 62 3 2 16" xfId="15618" xr:uid="{00000000-0005-0000-0000-0000F13C0000}"/>
    <cellStyle name="Normal 2 62 3 2 2" xfId="15619" xr:uid="{00000000-0005-0000-0000-0000F23C0000}"/>
    <cellStyle name="Normal 2 62 3 2 2 2" xfId="15620" xr:uid="{00000000-0005-0000-0000-0000F33C0000}"/>
    <cellStyle name="Normal 2 62 3 2 2 3" xfId="15621" xr:uid="{00000000-0005-0000-0000-0000F43C0000}"/>
    <cellStyle name="Normal 2 62 3 2 3" xfId="15622" xr:uid="{00000000-0005-0000-0000-0000F53C0000}"/>
    <cellStyle name="Normal 2 62 3 2 3 2" xfId="15623" xr:uid="{00000000-0005-0000-0000-0000F63C0000}"/>
    <cellStyle name="Normal 2 62 3 2 3 3" xfId="15624" xr:uid="{00000000-0005-0000-0000-0000F73C0000}"/>
    <cellStyle name="Normal 2 62 3 2 4" xfId="15625" xr:uid="{00000000-0005-0000-0000-0000F83C0000}"/>
    <cellStyle name="Normal 2 62 3 2 4 2" xfId="15626" xr:uid="{00000000-0005-0000-0000-0000F93C0000}"/>
    <cellStyle name="Normal 2 62 3 2 4 3" xfId="15627" xr:uid="{00000000-0005-0000-0000-0000FA3C0000}"/>
    <cellStyle name="Normal 2 62 3 2 5" xfId="15628" xr:uid="{00000000-0005-0000-0000-0000FB3C0000}"/>
    <cellStyle name="Normal 2 62 3 2 5 2" xfId="15629" xr:uid="{00000000-0005-0000-0000-0000FC3C0000}"/>
    <cellStyle name="Normal 2 62 3 2 5 3" xfId="15630" xr:uid="{00000000-0005-0000-0000-0000FD3C0000}"/>
    <cellStyle name="Normal 2 62 3 2 6" xfId="15631" xr:uid="{00000000-0005-0000-0000-0000FE3C0000}"/>
    <cellStyle name="Normal 2 62 3 2 6 2" xfId="15632" xr:uid="{00000000-0005-0000-0000-0000FF3C0000}"/>
    <cellStyle name="Normal 2 62 3 2 6 3" xfId="15633" xr:uid="{00000000-0005-0000-0000-0000003D0000}"/>
    <cellStyle name="Normal 2 62 3 2 7" xfId="15634" xr:uid="{00000000-0005-0000-0000-0000013D0000}"/>
    <cellStyle name="Normal 2 62 3 2 7 2" xfId="15635" xr:uid="{00000000-0005-0000-0000-0000023D0000}"/>
    <cellStyle name="Normal 2 62 3 2 7 3" xfId="15636" xr:uid="{00000000-0005-0000-0000-0000033D0000}"/>
    <cellStyle name="Normal 2 62 3 2 8" xfId="15637" xr:uid="{00000000-0005-0000-0000-0000043D0000}"/>
    <cellStyle name="Normal 2 62 3 2 8 2" xfId="15638" xr:uid="{00000000-0005-0000-0000-0000053D0000}"/>
    <cellStyle name="Normal 2 62 3 2 8 3" xfId="15639" xr:uid="{00000000-0005-0000-0000-0000063D0000}"/>
    <cellStyle name="Normal 2 62 3 2 9" xfId="15640" xr:uid="{00000000-0005-0000-0000-0000073D0000}"/>
    <cellStyle name="Normal 2 62 3 2 9 2" xfId="15641" xr:uid="{00000000-0005-0000-0000-0000083D0000}"/>
    <cellStyle name="Normal 2 62 3 2 9 3" xfId="15642" xr:uid="{00000000-0005-0000-0000-0000093D0000}"/>
    <cellStyle name="Normal 2 62 3 3" xfId="15643" xr:uid="{00000000-0005-0000-0000-00000A3D0000}"/>
    <cellStyle name="Normal 2 62 3 3 2" xfId="15644" xr:uid="{00000000-0005-0000-0000-00000B3D0000}"/>
    <cellStyle name="Normal 2 62 3 3 3" xfId="15645" xr:uid="{00000000-0005-0000-0000-00000C3D0000}"/>
    <cellStyle name="Normal 2 62 3 4" xfId="15646" xr:uid="{00000000-0005-0000-0000-00000D3D0000}"/>
    <cellStyle name="Normal 2 62 3 4 2" xfId="15647" xr:uid="{00000000-0005-0000-0000-00000E3D0000}"/>
    <cellStyle name="Normal 2 62 3 4 3" xfId="15648" xr:uid="{00000000-0005-0000-0000-00000F3D0000}"/>
    <cellStyle name="Normal 2 62 3 5" xfId="15649" xr:uid="{00000000-0005-0000-0000-0000103D0000}"/>
    <cellStyle name="Normal 2 62 3 5 2" xfId="15650" xr:uid="{00000000-0005-0000-0000-0000113D0000}"/>
    <cellStyle name="Normal 2 62 3 5 3" xfId="15651" xr:uid="{00000000-0005-0000-0000-0000123D0000}"/>
    <cellStyle name="Normal 2 62 3 6" xfId="15652" xr:uid="{00000000-0005-0000-0000-0000133D0000}"/>
    <cellStyle name="Normal 2 62 3 6 2" xfId="15653" xr:uid="{00000000-0005-0000-0000-0000143D0000}"/>
    <cellStyle name="Normal 2 62 3 6 3" xfId="15654" xr:uid="{00000000-0005-0000-0000-0000153D0000}"/>
    <cellStyle name="Normal 2 62 3 7" xfId="15655" xr:uid="{00000000-0005-0000-0000-0000163D0000}"/>
    <cellStyle name="Normal 2 62 3 7 2" xfId="15656" xr:uid="{00000000-0005-0000-0000-0000173D0000}"/>
    <cellStyle name="Normal 2 62 3 7 3" xfId="15657" xr:uid="{00000000-0005-0000-0000-0000183D0000}"/>
    <cellStyle name="Normal 2 62 3 8" xfId="15658" xr:uid="{00000000-0005-0000-0000-0000193D0000}"/>
    <cellStyle name="Normal 2 62 3 8 2" xfId="15659" xr:uid="{00000000-0005-0000-0000-00001A3D0000}"/>
    <cellStyle name="Normal 2 62 3 8 3" xfId="15660" xr:uid="{00000000-0005-0000-0000-00001B3D0000}"/>
    <cellStyle name="Normal 2 62 3 9" xfId="15661" xr:uid="{00000000-0005-0000-0000-00001C3D0000}"/>
    <cellStyle name="Normal 2 62 3 9 2" xfId="15662" xr:uid="{00000000-0005-0000-0000-00001D3D0000}"/>
    <cellStyle name="Normal 2 62 3 9 3" xfId="15663" xr:uid="{00000000-0005-0000-0000-00001E3D0000}"/>
    <cellStyle name="Normal 2 62 4" xfId="15664" xr:uid="{00000000-0005-0000-0000-00001F3D0000}"/>
    <cellStyle name="Normal 2 62 4 10" xfId="15665" xr:uid="{00000000-0005-0000-0000-0000203D0000}"/>
    <cellStyle name="Normal 2 62 4 10 2" xfId="15666" xr:uid="{00000000-0005-0000-0000-0000213D0000}"/>
    <cellStyle name="Normal 2 62 4 10 3" xfId="15667" xr:uid="{00000000-0005-0000-0000-0000223D0000}"/>
    <cellStyle name="Normal 2 62 4 11" xfId="15668" xr:uid="{00000000-0005-0000-0000-0000233D0000}"/>
    <cellStyle name="Normal 2 62 4 11 2" xfId="15669" xr:uid="{00000000-0005-0000-0000-0000243D0000}"/>
    <cellStyle name="Normal 2 62 4 11 3" xfId="15670" xr:uid="{00000000-0005-0000-0000-0000253D0000}"/>
    <cellStyle name="Normal 2 62 4 12" xfId="15671" xr:uid="{00000000-0005-0000-0000-0000263D0000}"/>
    <cellStyle name="Normal 2 62 4 12 2" xfId="15672" xr:uid="{00000000-0005-0000-0000-0000273D0000}"/>
    <cellStyle name="Normal 2 62 4 12 3" xfId="15673" xr:uid="{00000000-0005-0000-0000-0000283D0000}"/>
    <cellStyle name="Normal 2 62 4 13" xfId="15674" xr:uid="{00000000-0005-0000-0000-0000293D0000}"/>
    <cellStyle name="Normal 2 62 4 13 2" xfId="15675" xr:uid="{00000000-0005-0000-0000-00002A3D0000}"/>
    <cellStyle name="Normal 2 62 4 13 3" xfId="15676" xr:uid="{00000000-0005-0000-0000-00002B3D0000}"/>
    <cellStyle name="Normal 2 62 4 14" xfId="15677" xr:uid="{00000000-0005-0000-0000-00002C3D0000}"/>
    <cellStyle name="Normal 2 62 4 14 2" xfId="15678" xr:uid="{00000000-0005-0000-0000-00002D3D0000}"/>
    <cellStyle name="Normal 2 62 4 14 3" xfId="15679" xr:uid="{00000000-0005-0000-0000-00002E3D0000}"/>
    <cellStyle name="Normal 2 62 4 15" xfId="15680" xr:uid="{00000000-0005-0000-0000-00002F3D0000}"/>
    <cellStyle name="Normal 2 62 4 15 2" xfId="15681" xr:uid="{00000000-0005-0000-0000-0000303D0000}"/>
    <cellStyle name="Normal 2 62 4 15 3" xfId="15682" xr:uid="{00000000-0005-0000-0000-0000313D0000}"/>
    <cellStyle name="Normal 2 62 4 16" xfId="15683" xr:uid="{00000000-0005-0000-0000-0000323D0000}"/>
    <cellStyle name="Normal 2 62 4 17" xfId="15684" xr:uid="{00000000-0005-0000-0000-0000333D0000}"/>
    <cellStyle name="Normal 2 62 4 2" xfId="15685" xr:uid="{00000000-0005-0000-0000-0000343D0000}"/>
    <cellStyle name="Normal 2 62 4 2 10" xfId="15686" xr:uid="{00000000-0005-0000-0000-0000353D0000}"/>
    <cellStyle name="Normal 2 62 4 2 10 2" xfId="15687" xr:uid="{00000000-0005-0000-0000-0000363D0000}"/>
    <cellStyle name="Normal 2 62 4 2 10 3" xfId="15688" xr:uid="{00000000-0005-0000-0000-0000373D0000}"/>
    <cellStyle name="Normal 2 62 4 2 11" xfId="15689" xr:uid="{00000000-0005-0000-0000-0000383D0000}"/>
    <cellStyle name="Normal 2 62 4 2 11 2" xfId="15690" xr:uid="{00000000-0005-0000-0000-0000393D0000}"/>
    <cellStyle name="Normal 2 62 4 2 11 3" xfId="15691" xr:uid="{00000000-0005-0000-0000-00003A3D0000}"/>
    <cellStyle name="Normal 2 62 4 2 12" xfId="15692" xr:uid="{00000000-0005-0000-0000-00003B3D0000}"/>
    <cellStyle name="Normal 2 62 4 2 12 2" xfId="15693" xr:uid="{00000000-0005-0000-0000-00003C3D0000}"/>
    <cellStyle name="Normal 2 62 4 2 12 3" xfId="15694" xr:uid="{00000000-0005-0000-0000-00003D3D0000}"/>
    <cellStyle name="Normal 2 62 4 2 13" xfId="15695" xr:uid="{00000000-0005-0000-0000-00003E3D0000}"/>
    <cellStyle name="Normal 2 62 4 2 13 2" xfId="15696" xr:uid="{00000000-0005-0000-0000-00003F3D0000}"/>
    <cellStyle name="Normal 2 62 4 2 13 3" xfId="15697" xr:uid="{00000000-0005-0000-0000-0000403D0000}"/>
    <cellStyle name="Normal 2 62 4 2 14" xfId="15698" xr:uid="{00000000-0005-0000-0000-0000413D0000}"/>
    <cellStyle name="Normal 2 62 4 2 14 2" xfId="15699" xr:uid="{00000000-0005-0000-0000-0000423D0000}"/>
    <cellStyle name="Normal 2 62 4 2 14 3" xfId="15700" xr:uid="{00000000-0005-0000-0000-0000433D0000}"/>
    <cellStyle name="Normal 2 62 4 2 15" xfId="15701" xr:uid="{00000000-0005-0000-0000-0000443D0000}"/>
    <cellStyle name="Normal 2 62 4 2 16" xfId="15702" xr:uid="{00000000-0005-0000-0000-0000453D0000}"/>
    <cellStyle name="Normal 2 62 4 2 2" xfId="15703" xr:uid="{00000000-0005-0000-0000-0000463D0000}"/>
    <cellStyle name="Normal 2 62 4 2 2 2" xfId="15704" xr:uid="{00000000-0005-0000-0000-0000473D0000}"/>
    <cellStyle name="Normal 2 62 4 2 2 3" xfId="15705" xr:uid="{00000000-0005-0000-0000-0000483D0000}"/>
    <cellStyle name="Normal 2 62 4 2 3" xfId="15706" xr:uid="{00000000-0005-0000-0000-0000493D0000}"/>
    <cellStyle name="Normal 2 62 4 2 3 2" xfId="15707" xr:uid="{00000000-0005-0000-0000-00004A3D0000}"/>
    <cellStyle name="Normal 2 62 4 2 3 3" xfId="15708" xr:uid="{00000000-0005-0000-0000-00004B3D0000}"/>
    <cellStyle name="Normal 2 62 4 2 4" xfId="15709" xr:uid="{00000000-0005-0000-0000-00004C3D0000}"/>
    <cellStyle name="Normal 2 62 4 2 4 2" xfId="15710" xr:uid="{00000000-0005-0000-0000-00004D3D0000}"/>
    <cellStyle name="Normal 2 62 4 2 4 3" xfId="15711" xr:uid="{00000000-0005-0000-0000-00004E3D0000}"/>
    <cellStyle name="Normal 2 62 4 2 5" xfId="15712" xr:uid="{00000000-0005-0000-0000-00004F3D0000}"/>
    <cellStyle name="Normal 2 62 4 2 5 2" xfId="15713" xr:uid="{00000000-0005-0000-0000-0000503D0000}"/>
    <cellStyle name="Normal 2 62 4 2 5 3" xfId="15714" xr:uid="{00000000-0005-0000-0000-0000513D0000}"/>
    <cellStyle name="Normal 2 62 4 2 6" xfId="15715" xr:uid="{00000000-0005-0000-0000-0000523D0000}"/>
    <cellStyle name="Normal 2 62 4 2 6 2" xfId="15716" xr:uid="{00000000-0005-0000-0000-0000533D0000}"/>
    <cellStyle name="Normal 2 62 4 2 6 3" xfId="15717" xr:uid="{00000000-0005-0000-0000-0000543D0000}"/>
    <cellStyle name="Normal 2 62 4 2 7" xfId="15718" xr:uid="{00000000-0005-0000-0000-0000553D0000}"/>
    <cellStyle name="Normal 2 62 4 2 7 2" xfId="15719" xr:uid="{00000000-0005-0000-0000-0000563D0000}"/>
    <cellStyle name="Normal 2 62 4 2 7 3" xfId="15720" xr:uid="{00000000-0005-0000-0000-0000573D0000}"/>
    <cellStyle name="Normal 2 62 4 2 8" xfId="15721" xr:uid="{00000000-0005-0000-0000-0000583D0000}"/>
    <cellStyle name="Normal 2 62 4 2 8 2" xfId="15722" xr:uid="{00000000-0005-0000-0000-0000593D0000}"/>
    <cellStyle name="Normal 2 62 4 2 8 3" xfId="15723" xr:uid="{00000000-0005-0000-0000-00005A3D0000}"/>
    <cellStyle name="Normal 2 62 4 2 9" xfId="15724" xr:uid="{00000000-0005-0000-0000-00005B3D0000}"/>
    <cellStyle name="Normal 2 62 4 2 9 2" xfId="15725" xr:uid="{00000000-0005-0000-0000-00005C3D0000}"/>
    <cellStyle name="Normal 2 62 4 2 9 3" xfId="15726" xr:uid="{00000000-0005-0000-0000-00005D3D0000}"/>
    <cellStyle name="Normal 2 62 4 3" xfId="15727" xr:uid="{00000000-0005-0000-0000-00005E3D0000}"/>
    <cellStyle name="Normal 2 62 4 3 2" xfId="15728" xr:uid="{00000000-0005-0000-0000-00005F3D0000}"/>
    <cellStyle name="Normal 2 62 4 3 3" xfId="15729" xr:uid="{00000000-0005-0000-0000-0000603D0000}"/>
    <cellStyle name="Normal 2 62 4 4" xfId="15730" xr:uid="{00000000-0005-0000-0000-0000613D0000}"/>
    <cellStyle name="Normal 2 62 4 4 2" xfId="15731" xr:uid="{00000000-0005-0000-0000-0000623D0000}"/>
    <cellStyle name="Normal 2 62 4 4 3" xfId="15732" xr:uid="{00000000-0005-0000-0000-0000633D0000}"/>
    <cellStyle name="Normal 2 62 4 5" xfId="15733" xr:uid="{00000000-0005-0000-0000-0000643D0000}"/>
    <cellStyle name="Normal 2 62 4 5 2" xfId="15734" xr:uid="{00000000-0005-0000-0000-0000653D0000}"/>
    <cellStyle name="Normal 2 62 4 5 3" xfId="15735" xr:uid="{00000000-0005-0000-0000-0000663D0000}"/>
    <cellStyle name="Normal 2 62 4 6" xfId="15736" xr:uid="{00000000-0005-0000-0000-0000673D0000}"/>
    <cellStyle name="Normal 2 62 4 6 2" xfId="15737" xr:uid="{00000000-0005-0000-0000-0000683D0000}"/>
    <cellStyle name="Normal 2 62 4 6 3" xfId="15738" xr:uid="{00000000-0005-0000-0000-0000693D0000}"/>
    <cellStyle name="Normal 2 62 4 7" xfId="15739" xr:uid="{00000000-0005-0000-0000-00006A3D0000}"/>
    <cellStyle name="Normal 2 62 4 7 2" xfId="15740" xr:uid="{00000000-0005-0000-0000-00006B3D0000}"/>
    <cellStyle name="Normal 2 62 4 7 3" xfId="15741" xr:uid="{00000000-0005-0000-0000-00006C3D0000}"/>
    <cellStyle name="Normal 2 62 4 8" xfId="15742" xr:uid="{00000000-0005-0000-0000-00006D3D0000}"/>
    <cellStyle name="Normal 2 62 4 8 2" xfId="15743" xr:uid="{00000000-0005-0000-0000-00006E3D0000}"/>
    <cellStyle name="Normal 2 62 4 8 3" xfId="15744" xr:uid="{00000000-0005-0000-0000-00006F3D0000}"/>
    <cellStyle name="Normal 2 62 4 9" xfId="15745" xr:uid="{00000000-0005-0000-0000-0000703D0000}"/>
    <cellStyle name="Normal 2 62 4 9 2" xfId="15746" xr:uid="{00000000-0005-0000-0000-0000713D0000}"/>
    <cellStyle name="Normal 2 62 4 9 3" xfId="15747" xr:uid="{00000000-0005-0000-0000-0000723D0000}"/>
    <cellStyle name="Normal 2 62 5" xfId="15748" xr:uid="{00000000-0005-0000-0000-0000733D0000}"/>
    <cellStyle name="Normal 2 62 5 10" xfId="15749" xr:uid="{00000000-0005-0000-0000-0000743D0000}"/>
    <cellStyle name="Normal 2 62 5 10 2" xfId="15750" xr:uid="{00000000-0005-0000-0000-0000753D0000}"/>
    <cellStyle name="Normal 2 62 5 10 3" xfId="15751" xr:uid="{00000000-0005-0000-0000-0000763D0000}"/>
    <cellStyle name="Normal 2 62 5 11" xfId="15752" xr:uid="{00000000-0005-0000-0000-0000773D0000}"/>
    <cellStyle name="Normal 2 62 5 11 2" xfId="15753" xr:uid="{00000000-0005-0000-0000-0000783D0000}"/>
    <cellStyle name="Normal 2 62 5 11 3" xfId="15754" xr:uid="{00000000-0005-0000-0000-0000793D0000}"/>
    <cellStyle name="Normal 2 62 5 12" xfId="15755" xr:uid="{00000000-0005-0000-0000-00007A3D0000}"/>
    <cellStyle name="Normal 2 62 5 12 2" xfId="15756" xr:uid="{00000000-0005-0000-0000-00007B3D0000}"/>
    <cellStyle name="Normal 2 62 5 12 3" xfId="15757" xr:uid="{00000000-0005-0000-0000-00007C3D0000}"/>
    <cellStyle name="Normal 2 62 5 13" xfId="15758" xr:uid="{00000000-0005-0000-0000-00007D3D0000}"/>
    <cellStyle name="Normal 2 62 5 13 2" xfId="15759" xr:uid="{00000000-0005-0000-0000-00007E3D0000}"/>
    <cellStyle name="Normal 2 62 5 13 3" xfId="15760" xr:uid="{00000000-0005-0000-0000-00007F3D0000}"/>
    <cellStyle name="Normal 2 62 5 14" xfId="15761" xr:uid="{00000000-0005-0000-0000-0000803D0000}"/>
    <cellStyle name="Normal 2 62 5 14 2" xfId="15762" xr:uid="{00000000-0005-0000-0000-0000813D0000}"/>
    <cellStyle name="Normal 2 62 5 14 3" xfId="15763" xr:uid="{00000000-0005-0000-0000-0000823D0000}"/>
    <cellStyle name="Normal 2 62 5 15" xfId="15764" xr:uid="{00000000-0005-0000-0000-0000833D0000}"/>
    <cellStyle name="Normal 2 62 5 16" xfId="15765" xr:uid="{00000000-0005-0000-0000-0000843D0000}"/>
    <cellStyle name="Normal 2 62 5 2" xfId="15766" xr:uid="{00000000-0005-0000-0000-0000853D0000}"/>
    <cellStyle name="Normal 2 62 5 2 2" xfId="15767" xr:uid="{00000000-0005-0000-0000-0000863D0000}"/>
    <cellStyle name="Normal 2 62 5 2 3" xfId="15768" xr:uid="{00000000-0005-0000-0000-0000873D0000}"/>
    <cellStyle name="Normal 2 62 5 3" xfId="15769" xr:uid="{00000000-0005-0000-0000-0000883D0000}"/>
    <cellStyle name="Normal 2 62 5 3 2" xfId="15770" xr:uid="{00000000-0005-0000-0000-0000893D0000}"/>
    <cellStyle name="Normal 2 62 5 3 3" xfId="15771" xr:uid="{00000000-0005-0000-0000-00008A3D0000}"/>
    <cellStyle name="Normal 2 62 5 4" xfId="15772" xr:uid="{00000000-0005-0000-0000-00008B3D0000}"/>
    <cellStyle name="Normal 2 62 5 4 2" xfId="15773" xr:uid="{00000000-0005-0000-0000-00008C3D0000}"/>
    <cellStyle name="Normal 2 62 5 4 3" xfId="15774" xr:uid="{00000000-0005-0000-0000-00008D3D0000}"/>
    <cellStyle name="Normal 2 62 5 5" xfId="15775" xr:uid="{00000000-0005-0000-0000-00008E3D0000}"/>
    <cellStyle name="Normal 2 62 5 5 2" xfId="15776" xr:uid="{00000000-0005-0000-0000-00008F3D0000}"/>
    <cellStyle name="Normal 2 62 5 5 3" xfId="15777" xr:uid="{00000000-0005-0000-0000-0000903D0000}"/>
    <cellStyle name="Normal 2 62 5 6" xfId="15778" xr:uid="{00000000-0005-0000-0000-0000913D0000}"/>
    <cellStyle name="Normal 2 62 5 6 2" xfId="15779" xr:uid="{00000000-0005-0000-0000-0000923D0000}"/>
    <cellStyle name="Normal 2 62 5 6 3" xfId="15780" xr:uid="{00000000-0005-0000-0000-0000933D0000}"/>
    <cellStyle name="Normal 2 62 5 7" xfId="15781" xr:uid="{00000000-0005-0000-0000-0000943D0000}"/>
    <cellStyle name="Normal 2 62 5 7 2" xfId="15782" xr:uid="{00000000-0005-0000-0000-0000953D0000}"/>
    <cellStyle name="Normal 2 62 5 7 3" xfId="15783" xr:uid="{00000000-0005-0000-0000-0000963D0000}"/>
    <cellStyle name="Normal 2 62 5 8" xfId="15784" xr:uid="{00000000-0005-0000-0000-0000973D0000}"/>
    <cellStyle name="Normal 2 62 5 8 2" xfId="15785" xr:uid="{00000000-0005-0000-0000-0000983D0000}"/>
    <cellStyle name="Normal 2 62 5 8 3" xfId="15786" xr:uid="{00000000-0005-0000-0000-0000993D0000}"/>
    <cellStyle name="Normal 2 62 5 9" xfId="15787" xr:uid="{00000000-0005-0000-0000-00009A3D0000}"/>
    <cellStyle name="Normal 2 62 5 9 2" xfId="15788" xr:uid="{00000000-0005-0000-0000-00009B3D0000}"/>
    <cellStyle name="Normal 2 62 5 9 3" xfId="15789" xr:uid="{00000000-0005-0000-0000-00009C3D0000}"/>
    <cellStyle name="Normal 2 62 6" xfId="15790" xr:uid="{00000000-0005-0000-0000-00009D3D0000}"/>
    <cellStyle name="Normal 2 62 6 10" xfId="15791" xr:uid="{00000000-0005-0000-0000-00009E3D0000}"/>
    <cellStyle name="Normal 2 62 6 10 2" xfId="15792" xr:uid="{00000000-0005-0000-0000-00009F3D0000}"/>
    <cellStyle name="Normal 2 62 6 10 3" xfId="15793" xr:uid="{00000000-0005-0000-0000-0000A03D0000}"/>
    <cellStyle name="Normal 2 62 6 11" xfId="15794" xr:uid="{00000000-0005-0000-0000-0000A13D0000}"/>
    <cellStyle name="Normal 2 62 6 11 2" xfId="15795" xr:uid="{00000000-0005-0000-0000-0000A23D0000}"/>
    <cellStyle name="Normal 2 62 6 11 3" xfId="15796" xr:uid="{00000000-0005-0000-0000-0000A33D0000}"/>
    <cellStyle name="Normal 2 62 6 12" xfId="15797" xr:uid="{00000000-0005-0000-0000-0000A43D0000}"/>
    <cellStyle name="Normal 2 62 6 12 2" xfId="15798" xr:uid="{00000000-0005-0000-0000-0000A53D0000}"/>
    <cellStyle name="Normal 2 62 6 12 3" xfId="15799" xr:uid="{00000000-0005-0000-0000-0000A63D0000}"/>
    <cellStyle name="Normal 2 62 6 13" xfId="15800" xr:uid="{00000000-0005-0000-0000-0000A73D0000}"/>
    <cellStyle name="Normal 2 62 6 13 2" xfId="15801" xr:uid="{00000000-0005-0000-0000-0000A83D0000}"/>
    <cellStyle name="Normal 2 62 6 13 3" xfId="15802" xr:uid="{00000000-0005-0000-0000-0000A93D0000}"/>
    <cellStyle name="Normal 2 62 6 14" xfId="15803" xr:uid="{00000000-0005-0000-0000-0000AA3D0000}"/>
    <cellStyle name="Normal 2 62 6 14 2" xfId="15804" xr:uid="{00000000-0005-0000-0000-0000AB3D0000}"/>
    <cellStyle name="Normal 2 62 6 14 3" xfId="15805" xr:uid="{00000000-0005-0000-0000-0000AC3D0000}"/>
    <cellStyle name="Normal 2 62 6 15" xfId="15806" xr:uid="{00000000-0005-0000-0000-0000AD3D0000}"/>
    <cellStyle name="Normal 2 62 6 16" xfId="15807" xr:uid="{00000000-0005-0000-0000-0000AE3D0000}"/>
    <cellStyle name="Normal 2 62 6 2" xfId="15808" xr:uid="{00000000-0005-0000-0000-0000AF3D0000}"/>
    <cellStyle name="Normal 2 62 6 2 2" xfId="15809" xr:uid="{00000000-0005-0000-0000-0000B03D0000}"/>
    <cellStyle name="Normal 2 62 6 2 3" xfId="15810" xr:uid="{00000000-0005-0000-0000-0000B13D0000}"/>
    <cellStyle name="Normal 2 62 6 3" xfId="15811" xr:uid="{00000000-0005-0000-0000-0000B23D0000}"/>
    <cellStyle name="Normal 2 62 6 3 2" xfId="15812" xr:uid="{00000000-0005-0000-0000-0000B33D0000}"/>
    <cellStyle name="Normal 2 62 6 3 3" xfId="15813" xr:uid="{00000000-0005-0000-0000-0000B43D0000}"/>
    <cellStyle name="Normal 2 62 6 4" xfId="15814" xr:uid="{00000000-0005-0000-0000-0000B53D0000}"/>
    <cellStyle name="Normal 2 62 6 4 2" xfId="15815" xr:uid="{00000000-0005-0000-0000-0000B63D0000}"/>
    <cellStyle name="Normal 2 62 6 4 3" xfId="15816" xr:uid="{00000000-0005-0000-0000-0000B73D0000}"/>
    <cellStyle name="Normal 2 62 6 5" xfId="15817" xr:uid="{00000000-0005-0000-0000-0000B83D0000}"/>
    <cellStyle name="Normal 2 62 6 5 2" xfId="15818" xr:uid="{00000000-0005-0000-0000-0000B93D0000}"/>
    <cellStyle name="Normal 2 62 6 5 3" xfId="15819" xr:uid="{00000000-0005-0000-0000-0000BA3D0000}"/>
    <cellStyle name="Normal 2 62 6 6" xfId="15820" xr:uid="{00000000-0005-0000-0000-0000BB3D0000}"/>
    <cellStyle name="Normal 2 62 6 6 2" xfId="15821" xr:uid="{00000000-0005-0000-0000-0000BC3D0000}"/>
    <cellStyle name="Normal 2 62 6 6 3" xfId="15822" xr:uid="{00000000-0005-0000-0000-0000BD3D0000}"/>
    <cellStyle name="Normal 2 62 6 7" xfId="15823" xr:uid="{00000000-0005-0000-0000-0000BE3D0000}"/>
    <cellStyle name="Normal 2 62 6 7 2" xfId="15824" xr:uid="{00000000-0005-0000-0000-0000BF3D0000}"/>
    <cellStyle name="Normal 2 62 6 7 3" xfId="15825" xr:uid="{00000000-0005-0000-0000-0000C03D0000}"/>
    <cellStyle name="Normal 2 62 6 8" xfId="15826" xr:uid="{00000000-0005-0000-0000-0000C13D0000}"/>
    <cellStyle name="Normal 2 62 6 8 2" xfId="15827" xr:uid="{00000000-0005-0000-0000-0000C23D0000}"/>
    <cellStyle name="Normal 2 62 6 8 3" xfId="15828" xr:uid="{00000000-0005-0000-0000-0000C33D0000}"/>
    <cellStyle name="Normal 2 62 6 9" xfId="15829" xr:uid="{00000000-0005-0000-0000-0000C43D0000}"/>
    <cellStyle name="Normal 2 62 6 9 2" xfId="15830" xr:uid="{00000000-0005-0000-0000-0000C53D0000}"/>
    <cellStyle name="Normal 2 62 6 9 3" xfId="15831" xr:uid="{00000000-0005-0000-0000-0000C63D0000}"/>
    <cellStyle name="Normal 2 62 7" xfId="15832" xr:uid="{00000000-0005-0000-0000-0000C73D0000}"/>
    <cellStyle name="Normal 2 62 7 10" xfId="15833" xr:uid="{00000000-0005-0000-0000-0000C83D0000}"/>
    <cellStyle name="Normal 2 62 7 10 2" xfId="15834" xr:uid="{00000000-0005-0000-0000-0000C93D0000}"/>
    <cellStyle name="Normal 2 62 7 10 3" xfId="15835" xr:uid="{00000000-0005-0000-0000-0000CA3D0000}"/>
    <cellStyle name="Normal 2 62 7 11" xfId="15836" xr:uid="{00000000-0005-0000-0000-0000CB3D0000}"/>
    <cellStyle name="Normal 2 62 7 11 2" xfId="15837" xr:uid="{00000000-0005-0000-0000-0000CC3D0000}"/>
    <cellStyle name="Normal 2 62 7 11 3" xfId="15838" xr:uid="{00000000-0005-0000-0000-0000CD3D0000}"/>
    <cellStyle name="Normal 2 62 7 12" xfId="15839" xr:uid="{00000000-0005-0000-0000-0000CE3D0000}"/>
    <cellStyle name="Normal 2 62 7 12 2" xfId="15840" xr:uid="{00000000-0005-0000-0000-0000CF3D0000}"/>
    <cellStyle name="Normal 2 62 7 12 3" xfId="15841" xr:uid="{00000000-0005-0000-0000-0000D03D0000}"/>
    <cellStyle name="Normal 2 62 7 13" xfId="15842" xr:uid="{00000000-0005-0000-0000-0000D13D0000}"/>
    <cellStyle name="Normal 2 62 7 13 2" xfId="15843" xr:uid="{00000000-0005-0000-0000-0000D23D0000}"/>
    <cellStyle name="Normal 2 62 7 13 3" xfId="15844" xr:uid="{00000000-0005-0000-0000-0000D33D0000}"/>
    <cellStyle name="Normal 2 62 7 14" xfId="15845" xr:uid="{00000000-0005-0000-0000-0000D43D0000}"/>
    <cellStyle name="Normal 2 62 7 14 2" xfId="15846" xr:uid="{00000000-0005-0000-0000-0000D53D0000}"/>
    <cellStyle name="Normal 2 62 7 14 3" xfId="15847" xr:uid="{00000000-0005-0000-0000-0000D63D0000}"/>
    <cellStyle name="Normal 2 62 7 15" xfId="15848" xr:uid="{00000000-0005-0000-0000-0000D73D0000}"/>
    <cellStyle name="Normal 2 62 7 16" xfId="15849" xr:uid="{00000000-0005-0000-0000-0000D83D0000}"/>
    <cellStyle name="Normal 2 62 7 2" xfId="15850" xr:uid="{00000000-0005-0000-0000-0000D93D0000}"/>
    <cellStyle name="Normal 2 62 7 2 2" xfId="15851" xr:uid="{00000000-0005-0000-0000-0000DA3D0000}"/>
    <cellStyle name="Normal 2 62 7 2 3" xfId="15852" xr:uid="{00000000-0005-0000-0000-0000DB3D0000}"/>
    <cellStyle name="Normal 2 62 7 3" xfId="15853" xr:uid="{00000000-0005-0000-0000-0000DC3D0000}"/>
    <cellStyle name="Normal 2 62 7 3 2" xfId="15854" xr:uid="{00000000-0005-0000-0000-0000DD3D0000}"/>
    <cellStyle name="Normal 2 62 7 3 3" xfId="15855" xr:uid="{00000000-0005-0000-0000-0000DE3D0000}"/>
    <cellStyle name="Normal 2 62 7 4" xfId="15856" xr:uid="{00000000-0005-0000-0000-0000DF3D0000}"/>
    <cellStyle name="Normal 2 62 7 4 2" xfId="15857" xr:uid="{00000000-0005-0000-0000-0000E03D0000}"/>
    <cellStyle name="Normal 2 62 7 4 3" xfId="15858" xr:uid="{00000000-0005-0000-0000-0000E13D0000}"/>
    <cellStyle name="Normal 2 62 7 5" xfId="15859" xr:uid="{00000000-0005-0000-0000-0000E23D0000}"/>
    <cellStyle name="Normal 2 62 7 5 2" xfId="15860" xr:uid="{00000000-0005-0000-0000-0000E33D0000}"/>
    <cellStyle name="Normal 2 62 7 5 3" xfId="15861" xr:uid="{00000000-0005-0000-0000-0000E43D0000}"/>
    <cellStyle name="Normal 2 62 7 6" xfId="15862" xr:uid="{00000000-0005-0000-0000-0000E53D0000}"/>
    <cellStyle name="Normal 2 62 7 6 2" xfId="15863" xr:uid="{00000000-0005-0000-0000-0000E63D0000}"/>
    <cellStyle name="Normal 2 62 7 6 3" xfId="15864" xr:uid="{00000000-0005-0000-0000-0000E73D0000}"/>
    <cellStyle name="Normal 2 62 7 7" xfId="15865" xr:uid="{00000000-0005-0000-0000-0000E83D0000}"/>
    <cellStyle name="Normal 2 62 7 7 2" xfId="15866" xr:uid="{00000000-0005-0000-0000-0000E93D0000}"/>
    <cellStyle name="Normal 2 62 7 7 3" xfId="15867" xr:uid="{00000000-0005-0000-0000-0000EA3D0000}"/>
    <cellStyle name="Normal 2 62 7 8" xfId="15868" xr:uid="{00000000-0005-0000-0000-0000EB3D0000}"/>
    <cellStyle name="Normal 2 62 7 8 2" xfId="15869" xr:uid="{00000000-0005-0000-0000-0000EC3D0000}"/>
    <cellStyle name="Normal 2 62 7 8 3" xfId="15870" xr:uid="{00000000-0005-0000-0000-0000ED3D0000}"/>
    <cellStyle name="Normal 2 62 7 9" xfId="15871" xr:uid="{00000000-0005-0000-0000-0000EE3D0000}"/>
    <cellStyle name="Normal 2 62 7 9 2" xfId="15872" xr:uid="{00000000-0005-0000-0000-0000EF3D0000}"/>
    <cellStyle name="Normal 2 62 7 9 3" xfId="15873" xr:uid="{00000000-0005-0000-0000-0000F03D0000}"/>
    <cellStyle name="Normal 2 62 8" xfId="15874" xr:uid="{00000000-0005-0000-0000-0000F13D0000}"/>
    <cellStyle name="Normal 2 62 8 10" xfId="15875" xr:uid="{00000000-0005-0000-0000-0000F23D0000}"/>
    <cellStyle name="Normal 2 62 8 10 2" xfId="15876" xr:uid="{00000000-0005-0000-0000-0000F33D0000}"/>
    <cellStyle name="Normal 2 62 8 10 3" xfId="15877" xr:uid="{00000000-0005-0000-0000-0000F43D0000}"/>
    <cellStyle name="Normal 2 62 8 11" xfId="15878" xr:uid="{00000000-0005-0000-0000-0000F53D0000}"/>
    <cellStyle name="Normal 2 62 8 11 2" xfId="15879" xr:uid="{00000000-0005-0000-0000-0000F63D0000}"/>
    <cellStyle name="Normal 2 62 8 11 3" xfId="15880" xr:uid="{00000000-0005-0000-0000-0000F73D0000}"/>
    <cellStyle name="Normal 2 62 8 12" xfId="15881" xr:uid="{00000000-0005-0000-0000-0000F83D0000}"/>
    <cellStyle name="Normal 2 62 8 12 2" xfId="15882" xr:uid="{00000000-0005-0000-0000-0000F93D0000}"/>
    <cellStyle name="Normal 2 62 8 12 3" xfId="15883" xr:uid="{00000000-0005-0000-0000-0000FA3D0000}"/>
    <cellStyle name="Normal 2 62 8 13" xfId="15884" xr:uid="{00000000-0005-0000-0000-0000FB3D0000}"/>
    <cellStyle name="Normal 2 62 8 13 2" xfId="15885" xr:uid="{00000000-0005-0000-0000-0000FC3D0000}"/>
    <cellStyle name="Normal 2 62 8 13 3" xfId="15886" xr:uid="{00000000-0005-0000-0000-0000FD3D0000}"/>
    <cellStyle name="Normal 2 62 8 14" xfId="15887" xr:uid="{00000000-0005-0000-0000-0000FE3D0000}"/>
    <cellStyle name="Normal 2 62 8 14 2" xfId="15888" xr:uid="{00000000-0005-0000-0000-0000FF3D0000}"/>
    <cellStyle name="Normal 2 62 8 14 3" xfId="15889" xr:uid="{00000000-0005-0000-0000-0000003E0000}"/>
    <cellStyle name="Normal 2 62 8 15" xfId="15890" xr:uid="{00000000-0005-0000-0000-0000013E0000}"/>
    <cellStyle name="Normal 2 62 8 16" xfId="15891" xr:uid="{00000000-0005-0000-0000-0000023E0000}"/>
    <cellStyle name="Normal 2 62 8 2" xfId="15892" xr:uid="{00000000-0005-0000-0000-0000033E0000}"/>
    <cellStyle name="Normal 2 62 8 2 2" xfId="15893" xr:uid="{00000000-0005-0000-0000-0000043E0000}"/>
    <cellStyle name="Normal 2 62 8 2 3" xfId="15894" xr:uid="{00000000-0005-0000-0000-0000053E0000}"/>
    <cellStyle name="Normal 2 62 8 3" xfId="15895" xr:uid="{00000000-0005-0000-0000-0000063E0000}"/>
    <cellStyle name="Normal 2 62 8 3 2" xfId="15896" xr:uid="{00000000-0005-0000-0000-0000073E0000}"/>
    <cellStyle name="Normal 2 62 8 3 3" xfId="15897" xr:uid="{00000000-0005-0000-0000-0000083E0000}"/>
    <cellStyle name="Normal 2 62 8 4" xfId="15898" xr:uid="{00000000-0005-0000-0000-0000093E0000}"/>
    <cellStyle name="Normal 2 62 8 4 2" xfId="15899" xr:uid="{00000000-0005-0000-0000-00000A3E0000}"/>
    <cellStyle name="Normal 2 62 8 4 3" xfId="15900" xr:uid="{00000000-0005-0000-0000-00000B3E0000}"/>
    <cellStyle name="Normal 2 62 8 5" xfId="15901" xr:uid="{00000000-0005-0000-0000-00000C3E0000}"/>
    <cellStyle name="Normal 2 62 8 5 2" xfId="15902" xr:uid="{00000000-0005-0000-0000-00000D3E0000}"/>
    <cellStyle name="Normal 2 62 8 5 3" xfId="15903" xr:uid="{00000000-0005-0000-0000-00000E3E0000}"/>
    <cellStyle name="Normal 2 62 8 6" xfId="15904" xr:uid="{00000000-0005-0000-0000-00000F3E0000}"/>
    <cellStyle name="Normal 2 62 8 6 2" xfId="15905" xr:uid="{00000000-0005-0000-0000-0000103E0000}"/>
    <cellStyle name="Normal 2 62 8 6 3" xfId="15906" xr:uid="{00000000-0005-0000-0000-0000113E0000}"/>
    <cellStyle name="Normal 2 62 8 7" xfId="15907" xr:uid="{00000000-0005-0000-0000-0000123E0000}"/>
    <cellStyle name="Normal 2 62 8 7 2" xfId="15908" xr:uid="{00000000-0005-0000-0000-0000133E0000}"/>
    <cellStyle name="Normal 2 62 8 7 3" xfId="15909" xr:uid="{00000000-0005-0000-0000-0000143E0000}"/>
    <cellStyle name="Normal 2 62 8 8" xfId="15910" xr:uid="{00000000-0005-0000-0000-0000153E0000}"/>
    <cellStyle name="Normal 2 62 8 8 2" xfId="15911" xr:uid="{00000000-0005-0000-0000-0000163E0000}"/>
    <cellStyle name="Normal 2 62 8 8 3" xfId="15912" xr:uid="{00000000-0005-0000-0000-0000173E0000}"/>
    <cellStyle name="Normal 2 62 8 9" xfId="15913" xr:uid="{00000000-0005-0000-0000-0000183E0000}"/>
    <cellStyle name="Normal 2 62 8 9 2" xfId="15914" xr:uid="{00000000-0005-0000-0000-0000193E0000}"/>
    <cellStyle name="Normal 2 62 8 9 3" xfId="15915" xr:uid="{00000000-0005-0000-0000-00001A3E0000}"/>
    <cellStyle name="Normal 2 62 9" xfId="15916" xr:uid="{00000000-0005-0000-0000-00001B3E0000}"/>
    <cellStyle name="Normal 2 62 9 10" xfId="15917" xr:uid="{00000000-0005-0000-0000-00001C3E0000}"/>
    <cellStyle name="Normal 2 62 9 10 2" xfId="15918" xr:uid="{00000000-0005-0000-0000-00001D3E0000}"/>
    <cellStyle name="Normal 2 62 9 10 3" xfId="15919" xr:uid="{00000000-0005-0000-0000-00001E3E0000}"/>
    <cellStyle name="Normal 2 62 9 11" xfId="15920" xr:uid="{00000000-0005-0000-0000-00001F3E0000}"/>
    <cellStyle name="Normal 2 62 9 11 2" xfId="15921" xr:uid="{00000000-0005-0000-0000-0000203E0000}"/>
    <cellStyle name="Normal 2 62 9 11 3" xfId="15922" xr:uid="{00000000-0005-0000-0000-0000213E0000}"/>
    <cellStyle name="Normal 2 62 9 12" xfId="15923" xr:uid="{00000000-0005-0000-0000-0000223E0000}"/>
    <cellStyle name="Normal 2 62 9 12 2" xfId="15924" xr:uid="{00000000-0005-0000-0000-0000233E0000}"/>
    <cellStyle name="Normal 2 62 9 12 3" xfId="15925" xr:uid="{00000000-0005-0000-0000-0000243E0000}"/>
    <cellStyle name="Normal 2 62 9 13" xfId="15926" xr:uid="{00000000-0005-0000-0000-0000253E0000}"/>
    <cellStyle name="Normal 2 62 9 13 2" xfId="15927" xr:uid="{00000000-0005-0000-0000-0000263E0000}"/>
    <cellStyle name="Normal 2 62 9 13 3" xfId="15928" xr:uid="{00000000-0005-0000-0000-0000273E0000}"/>
    <cellStyle name="Normal 2 62 9 14" xfId="15929" xr:uid="{00000000-0005-0000-0000-0000283E0000}"/>
    <cellStyle name="Normal 2 62 9 14 2" xfId="15930" xr:uid="{00000000-0005-0000-0000-0000293E0000}"/>
    <cellStyle name="Normal 2 62 9 14 3" xfId="15931" xr:uid="{00000000-0005-0000-0000-00002A3E0000}"/>
    <cellStyle name="Normal 2 62 9 15" xfId="15932" xr:uid="{00000000-0005-0000-0000-00002B3E0000}"/>
    <cellStyle name="Normal 2 62 9 16" xfId="15933" xr:uid="{00000000-0005-0000-0000-00002C3E0000}"/>
    <cellStyle name="Normal 2 62 9 2" xfId="15934" xr:uid="{00000000-0005-0000-0000-00002D3E0000}"/>
    <cellStyle name="Normal 2 62 9 2 2" xfId="15935" xr:uid="{00000000-0005-0000-0000-00002E3E0000}"/>
    <cellStyle name="Normal 2 62 9 2 3" xfId="15936" xr:uid="{00000000-0005-0000-0000-00002F3E0000}"/>
    <cellStyle name="Normal 2 62 9 3" xfId="15937" xr:uid="{00000000-0005-0000-0000-0000303E0000}"/>
    <cellStyle name="Normal 2 62 9 3 2" xfId="15938" xr:uid="{00000000-0005-0000-0000-0000313E0000}"/>
    <cellStyle name="Normal 2 62 9 3 3" xfId="15939" xr:uid="{00000000-0005-0000-0000-0000323E0000}"/>
    <cellStyle name="Normal 2 62 9 4" xfId="15940" xr:uid="{00000000-0005-0000-0000-0000333E0000}"/>
    <cellStyle name="Normal 2 62 9 4 2" xfId="15941" xr:uid="{00000000-0005-0000-0000-0000343E0000}"/>
    <cellStyle name="Normal 2 62 9 4 3" xfId="15942" xr:uid="{00000000-0005-0000-0000-0000353E0000}"/>
    <cellStyle name="Normal 2 62 9 5" xfId="15943" xr:uid="{00000000-0005-0000-0000-0000363E0000}"/>
    <cellStyle name="Normal 2 62 9 5 2" xfId="15944" xr:uid="{00000000-0005-0000-0000-0000373E0000}"/>
    <cellStyle name="Normal 2 62 9 5 3" xfId="15945" xr:uid="{00000000-0005-0000-0000-0000383E0000}"/>
    <cellStyle name="Normal 2 62 9 6" xfId="15946" xr:uid="{00000000-0005-0000-0000-0000393E0000}"/>
    <cellStyle name="Normal 2 62 9 6 2" xfId="15947" xr:uid="{00000000-0005-0000-0000-00003A3E0000}"/>
    <cellStyle name="Normal 2 62 9 6 3" xfId="15948" xr:uid="{00000000-0005-0000-0000-00003B3E0000}"/>
    <cellStyle name="Normal 2 62 9 7" xfId="15949" xr:uid="{00000000-0005-0000-0000-00003C3E0000}"/>
    <cellStyle name="Normal 2 62 9 7 2" xfId="15950" xr:uid="{00000000-0005-0000-0000-00003D3E0000}"/>
    <cellStyle name="Normal 2 62 9 7 3" xfId="15951" xr:uid="{00000000-0005-0000-0000-00003E3E0000}"/>
    <cellStyle name="Normal 2 62 9 8" xfId="15952" xr:uid="{00000000-0005-0000-0000-00003F3E0000}"/>
    <cellStyle name="Normal 2 62 9 8 2" xfId="15953" xr:uid="{00000000-0005-0000-0000-0000403E0000}"/>
    <cellStyle name="Normal 2 62 9 8 3" xfId="15954" xr:uid="{00000000-0005-0000-0000-0000413E0000}"/>
    <cellStyle name="Normal 2 62 9 9" xfId="15955" xr:uid="{00000000-0005-0000-0000-0000423E0000}"/>
    <cellStyle name="Normal 2 62 9 9 2" xfId="15956" xr:uid="{00000000-0005-0000-0000-0000433E0000}"/>
    <cellStyle name="Normal 2 62 9 9 3" xfId="15957" xr:uid="{00000000-0005-0000-0000-0000443E0000}"/>
    <cellStyle name="Normal 2 63" xfId="15958" xr:uid="{00000000-0005-0000-0000-0000453E0000}"/>
    <cellStyle name="Normal 2 64" xfId="15959" xr:uid="{00000000-0005-0000-0000-0000463E0000}"/>
    <cellStyle name="Normal 2 65" xfId="15960" xr:uid="{00000000-0005-0000-0000-0000473E0000}"/>
    <cellStyle name="Normal 2 66" xfId="15961" xr:uid="{00000000-0005-0000-0000-0000483E0000}"/>
    <cellStyle name="Normal 2 66 10" xfId="15962" xr:uid="{00000000-0005-0000-0000-0000493E0000}"/>
    <cellStyle name="Normal 2 66 10 2" xfId="15963" xr:uid="{00000000-0005-0000-0000-00004A3E0000}"/>
    <cellStyle name="Normal 2 66 10 3" xfId="15964" xr:uid="{00000000-0005-0000-0000-00004B3E0000}"/>
    <cellStyle name="Normal 2 66 11" xfId="15965" xr:uid="{00000000-0005-0000-0000-00004C3E0000}"/>
    <cellStyle name="Normal 2 66 11 2" xfId="15966" xr:uid="{00000000-0005-0000-0000-00004D3E0000}"/>
    <cellStyle name="Normal 2 66 11 3" xfId="15967" xr:uid="{00000000-0005-0000-0000-00004E3E0000}"/>
    <cellStyle name="Normal 2 66 12" xfId="15968" xr:uid="{00000000-0005-0000-0000-00004F3E0000}"/>
    <cellStyle name="Normal 2 66 12 2" xfId="15969" xr:uid="{00000000-0005-0000-0000-0000503E0000}"/>
    <cellStyle name="Normal 2 66 12 3" xfId="15970" xr:uid="{00000000-0005-0000-0000-0000513E0000}"/>
    <cellStyle name="Normal 2 66 13" xfId="15971" xr:uid="{00000000-0005-0000-0000-0000523E0000}"/>
    <cellStyle name="Normal 2 66 13 2" xfId="15972" xr:uid="{00000000-0005-0000-0000-0000533E0000}"/>
    <cellStyle name="Normal 2 66 13 3" xfId="15973" xr:uid="{00000000-0005-0000-0000-0000543E0000}"/>
    <cellStyle name="Normal 2 66 14" xfId="15974" xr:uid="{00000000-0005-0000-0000-0000553E0000}"/>
    <cellStyle name="Normal 2 66 14 2" xfId="15975" xr:uid="{00000000-0005-0000-0000-0000563E0000}"/>
    <cellStyle name="Normal 2 66 14 3" xfId="15976" xr:uid="{00000000-0005-0000-0000-0000573E0000}"/>
    <cellStyle name="Normal 2 66 15" xfId="15977" xr:uid="{00000000-0005-0000-0000-0000583E0000}"/>
    <cellStyle name="Normal 2 66 15 2" xfId="15978" xr:uid="{00000000-0005-0000-0000-0000593E0000}"/>
    <cellStyle name="Normal 2 66 15 3" xfId="15979" xr:uid="{00000000-0005-0000-0000-00005A3E0000}"/>
    <cellStyle name="Normal 2 66 16" xfId="15980" xr:uid="{00000000-0005-0000-0000-00005B3E0000}"/>
    <cellStyle name="Normal 2 66 17" xfId="15981" xr:uid="{00000000-0005-0000-0000-00005C3E0000}"/>
    <cellStyle name="Normal 2 66 2" xfId="15982" xr:uid="{00000000-0005-0000-0000-00005D3E0000}"/>
    <cellStyle name="Normal 2 66 2 10" xfId="15983" xr:uid="{00000000-0005-0000-0000-00005E3E0000}"/>
    <cellStyle name="Normal 2 66 2 10 2" xfId="15984" xr:uid="{00000000-0005-0000-0000-00005F3E0000}"/>
    <cellStyle name="Normal 2 66 2 10 3" xfId="15985" xr:uid="{00000000-0005-0000-0000-0000603E0000}"/>
    <cellStyle name="Normal 2 66 2 11" xfId="15986" xr:uid="{00000000-0005-0000-0000-0000613E0000}"/>
    <cellStyle name="Normal 2 66 2 11 2" xfId="15987" xr:uid="{00000000-0005-0000-0000-0000623E0000}"/>
    <cellStyle name="Normal 2 66 2 11 3" xfId="15988" xr:uid="{00000000-0005-0000-0000-0000633E0000}"/>
    <cellStyle name="Normal 2 66 2 12" xfId="15989" xr:uid="{00000000-0005-0000-0000-0000643E0000}"/>
    <cellStyle name="Normal 2 66 2 12 2" xfId="15990" xr:uid="{00000000-0005-0000-0000-0000653E0000}"/>
    <cellStyle name="Normal 2 66 2 12 3" xfId="15991" xr:uid="{00000000-0005-0000-0000-0000663E0000}"/>
    <cellStyle name="Normal 2 66 2 13" xfId="15992" xr:uid="{00000000-0005-0000-0000-0000673E0000}"/>
    <cellStyle name="Normal 2 66 2 13 2" xfId="15993" xr:uid="{00000000-0005-0000-0000-0000683E0000}"/>
    <cellStyle name="Normal 2 66 2 13 3" xfId="15994" xr:uid="{00000000-0005-0000-0000-0000693E0000}"/>
    <cellStyle name="Normal 2 66 2 14" xfId="15995" xr:uid="{00000000-0005-0000-0000-00006A3E0000}"/>
    <cellStyle name="Normal 2 66 2 14 2" xfId="15996" xr:uid="{00000000-0005-0000-0000-00006B3E0000}"/>
    <cellStyle name="Normal 2 66 2 14 3" xfId="15997" xr:uid="{00000000-0005-0000-0000-00006C3E0000}"/>
    <cellStyle name="Normal 2 66 2 15" xfId="15998" xr:uid="{00000000-0005-0000-0000-00006D3E0000}"/>
    <cellStyle name="Normal 2 66 2 16" xfId="15999" xr:uid="{00000000-0005-0000-0000-00006E3E0000}"/>
    <cellStyle name="Normal 2 66 2 2" xfId="16000" xr:uid="{00000000-0005-0000-0000-00006F3E0000}"/>
    <cellStyle name="Normal 2 66 2 2 2" xfId="16001" xr:uid="{00000000-0005-0000-0000-0000703E0000}"/>
    <cellStyle name="Normal 2 66 2 2 3" xfId="16002" xr:uid="{00000000-0005-0000-0000-0000713E0000}"/>
    <cellStyle name="Normal 2 66 2 3" xfId="16003" xr:uid="{00000000-0005-0000-0000-0000723E0000}"/>
    <cellStyle name="Normal 2 66 2 3 2" xfId="16004" xr:uid="{00000000-0005-0000-0000-0000733E0000}"/>
    <cellStyle name="Normal 2 66 2 3 3" xfId="16005" xr:uid="{00000000-0005-0000-0000-0000743E0000}"/>
    <cellStyle name="Normal 2 66 2 4" xfId="16006" xr:uid="{00000000-0005-0000-0000-0000753E0000}"/>
    <cellStyle name="Normal 2 66 2 4 2" xfId="16007" xr:uid="{00000000-0005-0000-0000-0000763E0000}"/>
    <cellStyle name="Normal 2 66 2 4 3" xfId="16008" xr:uid="{00000000-0005-0000-0000-0000773E0000}"/>
    <cellStyle name="Normal 2 66 2 5" xfId="16009" xr:uid="{00000000-0005-0000-0000-0000783E0000}"/>
    <cellStyle name="Normal 2 66 2 5 2" xfId="16010" xr:uid="{00000000-0005-0000-0000-0000793E0000}"/>
    <cellStyle name="Normal 2 66 2 5 3" xfId="16011" xr:uid="{00000000-0005-0000-0000-00007A3E0000}"/>
    <cellStyle name="Normal 2 66 2 6" xfId="16012" xr:uid="{00000000-0005-0000-0000-00007B3E0000}"/>
    <cellStyle name="Normal 2 66 2 6 2" xfId="16013" xr:uid="{00000000-0005-0000-0000-00007C3E0000}"/>
    <cellStyle name="Normal 2 66 2 6 3" xfId="16014" xr:uid="{00000000-0005-0000-0000-00007D3E0000}"/>
    <cellStyle name="Normal 2 66 2 7" xfId="16015" xr:uid="{00000000-0005-0000-0000-00007E3E0000}"/>
    <cellStyle name="Normal 2 66 2 7 2" xfId="16016" xr:uid="{00000000-0005-0000-0000-00007F3E0000}"/>
    <cellStyle name="Normal 2 66 2 7 3" xfId="16017" xr:uid="{00000000-0005-0000-0000-0000803E0000}"/>
    <cellStyle name="Normal 2 66 2 8" xfId="16018" xr:uid="{00000000-0005-0000-0000-0000813E0000}"/>
    <cellStyle name="Normal 2 66 2 8 2" xfId="16019" xr:uid="{00000000-0005-0000-0000-0000823E0000}"/>
    <cellStyle name="Normal 2 66 2 8 3" xfId="16020" xr:uid="{00000000-0005-0000-0000-0000833E0000}"/>
    <cellStyle name="Normal 2 66 2 9" xfId="16021" xr:uid="{00000000-0005-0000-0000-0000843E0000}"/>
    <cellStyle name="Normal 2 66 2 9 2" xfId="16022" xr:uid="{00000000-0005-0000-0000-0000853E0000}"/>
    <cellStyle name="Normal 2 66 2 9 3" xfId="16023" xr:uid="{00000000-0005-0000-0000-0000863E0000}"/>
    <cellStyle name="Normal 2 66 3" xfId="16024" xr:uid="{00000000-0005-0000-0000-0000873E0000}"/>
    <cellStyle name="Normal 2 66 3 2" xfId="16025" xr:uid="{00000000-0005-0000-0000-0000883E0000}"/>
    <cellStyle name="Normal 2 66 3 3" xfId="16026" xr:uid="{00000000-0005-0000-0000-0000893E0000}"/>
    <cellStyle name="Normal 2 66 4" xfId="16027" xr:uid="{00000000-0005-0000-0000-00008A3E0000}"/>
    <cellStyle name="Normal 2 66 4 2" xfId="16028" xr:uid="{00000000-0005-0000-0000-00008B3E0000}"/>
    <cellStyle name="Normal 2 66 4 3" xfId="16029" xr:uid="{00000000-0005-0000-0000-00008C3E0000}"/>
    <cellStyle name="Normal 2 66 5" xfId="16030" xr:uid="{00000000-0005-0000-0000-00008D3E0000}"/>
    <cellStyle name="Normal 2 66 5 2" xfId="16031" xr:uid="{00000000-0005-0000-0000-00008E3E0000}"/>
    <cellStyle name="Normal 2 66 5 3" xfId="16032" xr:uid="{00000000-0005-0000-0000-00008F3E0000}"/>
    <cellStyle name="Normal 2 66 6" xfId="16033" xr:uid="{00000000-0005-0000-0000-0000903E0000}"/>
    <cellStyle name="Normal 2 66 6 2" xfId="16034" xr:uid="{00000000-0005-0000-0000-0000913E0000}"/>
    <cellStyle name="Normal 2 66 6 3" xfId="16035" xr:uid="{00000000-0005-0000-0000-0000923E0000}"/>
    <cellStyle name="Normal 2 66 7" xfId="16036" xr:uid="{00000000-0005-0000-0000-0000933E0000}"/>
    <cellStyle name="Normal 2 66 7 2" xfId="16037" xr:uid="{00000000-0005-0000-0000-0000943E0000}"/>
    <cellStyle name="Normal 2 66 7 3" xfId="16038" xr:uid="{00000000-0005-0000-0000-0000953E0000}"/>
    <cellStyle name="Normal 2 66 8" xfId="16039" xr:uid="{00000000-0005-0000-0000-0000963E0000}"/>
    <cellStyle name="Normal 2 66 8 2" xfId="16040" xr:uid="{00000000-0005-0000-0000-0000973E0000}"/>
    <cellStyle name="Normal 2 66 8 3" xfId="16041" xr:uid="{00000000-0005-0000-0000-0000983E0000}"/>
    <cellStyle name="Normal 2 66 9" xfId="16042" xr:uid="{00000000-0005-0000-0000-0000993E0000}"/>
    <cellStyle name="Normal 2 66 9 2" xfId="16043" xr:uid="{00000000-0005-0000-0000-00009A3E0000}"/>
    <cellStyle name="Normal 2 66 9 3" xfId="16044" xr:uid="{00000000-0005-0000-0000-00009B3E0000}"/>
    <cellStyle name="Normal 2 67" xfId="16045" xr:uid="{00000000-0005-0000-0000-00009C3E0000}"/>
    <cellStyle name="Normal 2 67 10" xfId="16046" xr:uid="{00000000-0005-0000-0000-00009D3E0000}"/>
    <cellStyle name="Normal 2 67 10 2" xfId="16047" xr:uid="{00000000-0005-0000-0000-00009E3E0000}"/>
    <cellStyle name="Normal 2 67 10 3" xfId="16048" xr:uid="{00000000-0005-0000-0000-00009F3E0000}"/>
    <cellStyle name="Normal 2 67 11" xfId="16049" xr:uid="{00000000-0005-0000-0000-0000A03E0000}"/>
    <cellStyle name="Normal 2 67 11 2" xfId="16050" xr:uid="{00000000-0005-0000-0000-0000A13E0000}"/>
    <cellStyle name="Normal 2 67 11 3" xfId="16051" xr:uid="{00000000-0005-0000-0000-0000A23E0000}"/>
    <cellStyle name="Normal 2 67 12" xfId="16052" xr:uid="{00000000-0005-0000-0000-0000A33E0000}"/>
    <cellStyle name="Normal 2 67 12 2" xfId="16053" xr:uid="{00000000-0005-0000-0000-0000A43E0000}"/>
    <cellStyle name="Normal 2 67 12 3" xfId="16054" xr:uid="{00000000-0005-0000-0000-0000A53E0000}"/>
    <cellStyle name="Normal 2 67 13" xfId="16055" xr:uid="{00000000-0005-0000-0000-0000A63E0000}"/>
    <cellStyle name="Normal 2 67 13 2" xfId="16056" xr:uid="{00000000-0005-0000-0000-0000A73E0000}"/>
    <cellStyle name="Normal 2 67 13 3" xfId="16057" xr:uid="{00000000-0005-0000-0000-0000A83E0000}"/>
    <cellStyle name="Normal 2 67 14" xfId="16058" xr:uid="{00000000-0005-0000-0000-0000A93E0000}"/>
    <cellStyle name="Normal 2 67 14 2" xfId="16059" xr:uid="{00000000-0005-0000-0000-0000AA3E0000}"/>
    <cellStyle name="Normal 2 67 14 3" xfId="16060" xr:uid="{00000000-0005-0000-0000-0000AB3E0000}"/>
    <cellStyle name="Normal 2 67 15" xfId="16061" xr:uid="{00000000-0005-0000-0000-0000AC3E0000}"/>
    <cellStyle name="Normal 2 67 15 2" xfId="16062" xr:uid="{00000000-0005-0000-0000-0000AD3E0000}"/>
    <cellStyle name="Normal 2 67 15 3" xfId="16063" xr:uid="{00000000-0005-0000-0000-0000AE3E0000}"/>
    <cellStyle name="Normal 2 67 16" xfId="16064" xr:uid="{00000000-0005-0000-0000-0000AF3E0000}"/>
    <cellStyle name="Normal 2 67 17" xfId="16065" xr:uid="{00000000-0005-0000-0000-0000B03E0000}"/>
    <cellStyle name="Normal 2 67 2" xfId="16066" xr:uid="{00000000-0005-0000-0000-0000B13E0000}"/>
    <cellStyle name="Normal 2 67 2 10" xfId="16067" xr:uid="{00000000-0005-0000-0000-0000B23E0000}"/>
    <cellStyle name="Normal 2 67 2 10 2" xfId="16068" xr:uid="{00000000-0005-0000-0000-0000B33E0000}"/>
    <cellStyle name="Normal 2 67 2 10 3" xfId="16069" xr:uid="{00000000-0005-0000-0000-0000B43E0000}"/>
    <cellStyle name="Normal 2 67 2 11" xfId="16070" xr:uid="{00000000-0005-0000-0000-0000B53E0000}"/>
    <cellStyle name="Normal 2 67 2 11 2" xfId="16071" xr:uid="{00000000-0005-0000-0000-0000B63E0000}"/>
    <cellStyle name="Normal 2 67 2 11 3" xfId="16072" xr:uid="{00000000-0005-0000-0000-0000B73E0000}"/>
    <cellStyle name="Normal 2 67 2 12" xfId="16073" xr:uid="{00000000-0005-0000-0000-0000B83E0000}"/>
    <cellStyle name="Normal 2 67 2 12 2" xfId="16074" xr:uid="{00000000-0005-0000-0000-0000B93E0000}"/>
    <cellStyle name="Normal 2 67 2 12 3" xfId="16075" xr:uid="{00000000-0005-0000-0000-0000BA3E0000}"/>
    <cellStyle name="Normal 2 67 2 13" xfId="16076" xr:uid="{00000000-0005-0000-0000-0000BB3E0000}"/>
    <cellStyle name="Normal 2 67 2 13 2" xfId="16077" xr:uid="{00000000-0005-0000-0000-0000BC3E0000}"/>
    <cellStyle name="Normal 2 67 2 13 3" xfId="16078" xr:uid="{00000000-0005-0000-0000-0000BD3E0000}"/>
    <cellStyle name="Normal 2 67 2 14" xfId="16079" xr:uid="{00000000-0005-0000-0000-0000BE3E0000}"/>
    <cellStyle name="Normal 2 67 2 14 2" xfId="16080" xr:uid="{00000000-0005-0000-0000-0000BF3E0000}"/>
    <cellStyle name="Normal 2 67 2 14 3" xfId="16081" xr:uid="{00000000-0005-0000-0000-0000C03E0000}"/>
    <cellStyle name="Normal 2 67 2 15" xfId="16082" xr:uid="{00000000-0005-0000-0000-0000C13E0000}"/>
    <cellStyle name="Normal 2 67 2 16" xfId="16083" xr:uid="{00000000-0005-0000-0000-0000C23E0000}"/>
    <cellStyle name="Normal 2 67 2 2" xfId="16084" xr:uid="{00000000-0005-0000-0000-0000C33E0000}"/>
    <cellStyle name="Normal 2 67 2 2 2" xfId="16085" xr:uid="{00000000-0005-0000-0000-0000C43E0000}"/>
    <cellStyle name="Normal 2 67 2 2 3" xfId="16086" xr:uid="{00000000-0005-0000-0000-0000C53E0000}"/>
    <cellStyle name="Normal 2 67 2 3" xfId="16087" xr:uid="{00000000-0005-0000-0000-0000C63E0000}"/>
    <cellStyle name="Normal 2 67 2 3 2" xfId="16088" xr:uid="{00000000-0005-0000-0000-0000C73E0000}"/>
    <cellStyle name="Normal 2 67 2 3 3" xfId="16089" xr:uid="{00000000-0005-0000-0000-0000C83E0000}"/>
    <cellStyle name="Normal 2 67 2 4" xfId="16090" xr:uid="{00000000-0005-0000-0000-0000C93E0000}"/>
    <cellStyle name="Normal 2 67 2 4 2" xfId="16091" xr:uid="{00000000-0005-0000-0000-0000CA3E0000}"/>
    <cellStyle name="Normal 2 67 2 4 3" xfId="16092" xr:uid="{00000000-0005-0000-0000-0000CB3E0000}"/>
    <cellStyle name="Normal 2 67 2 5" xfId="16093" xr:uid="{00000000-0005-0000-0000-0000CC3E0000}"/>
    <cellStyle name="Normal 2 67 2 5 2" xfId="16094" xr:uid="{00000000-0005-0000-0000-0000CD3E0000}"/>
    <cellStyle name="Normal 2 67 2 5 3" xfId="16095" xr:uid="{00000000-0005-0000-0000-0000CE3E0000}"/>
    <cellStyle name="Normal 2 67 2 6" xfId="16096" xr:uid="{00000000-0005-0000-0000-0000CF3E0000}"/>
    <cellStyle name="Normal 2 67 2 6 2" xfId="16097" xr:uid="{00000000-0005-0000-0000-0000D03E0000}"/>
    <cellStyle name="Normal 2 67 2 6 3" xfId="16098" xr:uid="{00000000-0005-0000-0000-0000D13E0000}"/>
    <cellStyle name="Normal 2 67 2 7" xfId="16099" xr:uid="{00000000-0005-0000-0000-0000D23E0000}"/>
    <cellStyle name="Normal 2 67 2 7 2" xfId="16100" xr:uid="{00000000-0005-0000-0000-0000D33E0000}"/>
    <cellStyle name="Normal 2 67 2 7 3" xfId="16101" xr:uid="{00000000-0005-0000-0000-0000D43E0000}"/>
    <cellStyle name="Normal 2 67 2 8" xfId="16102" xr:uid="{00000000-0005-0000-0000-0000D53E0000}"/>
    <cellStyle name="Normal 2 67 2 8 2" xfId="16103" xr:uid="{00000000-0005-0000-0000-0000D63E0000}"/>
    <cellStyle name="Normal 2 67 2 8 3" xfId="16104" xr:uid="{00000000-0005-0000-0000-0000D73E0000}"/>
    <cellStyle name="Normal 2 67 2 9" xfId="16105" xr:uid="{00000000-0005-0000-0000-0000D83E0000}"/>
    <cellStyle name="Normal 2 67 2 9 2" xfId="16106" xr:uid="{00000000-0005-0000-0000-0000D93E0000}"/>
    <cellStyle name="Normal 2 67 2 9 3" xfId="16107" xr:uid="{00000000-0005-0000-0000-0000DA3E0000}"/>
    <cellStyle name="Normal 2 67 3" xfId="16108" xr:uid="{00000000-0005-0000-0000-0000DB3E0000}"/>
    <cellStyle name="Normal 2 67 3 2" xfId="16109" xr:uid="{00000000-0005-0000-0000-0000DC3E0000}"/>
    <cellStyle name="Normal 2 67 3 3" xfId="16110" xr:uid="{00000000-0005-0000-0000-0000DD3E0000}"/>
    <cellStyle name="Normal 2 67 4" xfId="16111" xr:uid="{00000000-0005-0000-0000-0000DE3E0000}"/>
    <cellStyle name="Normal 2 67 4 2" xfId="16112" xr:uid="{00000000-0005-0000-0000-0000DF3E0000}"/>
    <cellStyle name="Normal 2 67 4 3" xfId="16113" xr:uid="{00000000-0005-0000-0000-0000E03E0000}"/>
    <cellStyle name="Normal 2 67 5" xfId="16114" xr:uid="{00000000-0005-0000-0000-0000E13E0000}"/>
    <cellStyle name="Normal 2 67 5 2" xfId="16115" xr:uid="{00000000-0005-0000-0000-0000E23E0000}"/>
    <cellStyle name="Normal 2 67 5 3" xfId="16116" xr:uid="{00000000-0005-0000-0000-0000E33E0000}"/>
    <cellStyle name="Normal 2 67 6" xfId="16117" xr:uid="{00000000-0005-0000-0000-0000E43E0000}"/>
    <cellStyle name="Normal 2 67 6 2" xfId="16118" xr:uid="{00000000-0005-0000-0000-0000E53E0000}"/>
    <cellStyle name="Normal 2 67 6 3" xfId="16119" xr:uid="{00000000-0005-0000-0000-0000E63E0000}"/>
    <cellStyle name="Normal 2 67 7" xfId="16120" xr:uid="{00000000-0005-0000-0000-0000E73E0000}"/>
    <cellStyle name="Normal 2 67 7 2" xfId="16121" xr:uid="{00000000-0005-0000-0000-0000E83E0000}"/>
    <cellStyle name="Normal 2 67 7 3" xfId="16122" xr:uid="{00000000-0005-0000-0000-0000E93E0000}"/>
    <cellStyle name="Normal 2 67 8" xfId="16123" xr:uid="{00000000-0005-0000-0000-0000EA3E0000}"/>
    <cellStyle name="Normal 2 67 8 2" xfId="16124" xr:uid="{00000000-0005-0000-0000-0000EB3E0000}"/>
    <cellStyle name="Normal 2 67 8 3" xfId="16125" xr:uid="{00000000-0005-0000-0000-0000EC3E0000}"/>
    <cellStyle name="Normal 2 67 9" xfId="16126" xr:uid="{00000000-0005-0000-0000-0000ED3E0000}"/>
    <cellStyle name="Normal 2 67 9 2" xfId="16127" xr:uid="{00000000-0005-0000-0000-0000EE3E0000}"/>
    <cellStyle name="Normal 2 67 9 3" xfId="16128" xr:uid="{00000000-0005-0000-0000-0000EF3E0000}"/>
    <cellStyle name="Normal 2 68" xfId="16129" xr:uid="{00000000-0005-0000-0000-0000F03E0000}"/>
    <cellStyle name="Normal 2 68 10" xfId="16130" xr:uid="{00000000-0005-0000-0000-0000F13E0000}"/>
    <cellStyle name="Normal 2 68 10 2" xfId="16131" xr:uid="{00000000-0005-0000-0000-0000F23E0000}"/>
    <cellStyle name="Normal 2 68 10 3" xfId="16132" xr:uid="{00000000-0005-0000-0000-0000F33E0000}"/>
    <cellStyle name="Normal 2 68 11" xfId="16133" xr:uid="{00000000-0005-0000-0000-0000F43E0000}"/>
    <cellStyle name="Normal 2 68 11 2" xfId="16134" xr:uid="{00000000-0005-0000-0000-0000F53E0000}"/>
    <cellStyle name="Normal 2 68 11 3" xfId="16135" xr:uid="{00000000-0005-0000-0000-0000F63E0000}"/>
    <cellStyle name="Normal 2 68 12" xfId="16136" xr:uid="{00000000-0005-0000-0000-0000F73E0000}"/>
    <cellStyle name="Normal 2 68 12 2" xfId="16137" xr:uid="{00000000-0005-0000-0000-0000F83E0000}"/>
    <cellStyle name="Normal 2 68 12 3" xfId="16138" xr:uid="{00000000-0005-0000-0000-0000F93E0000}"/>
    <cellStyle name="Normal 2 68 13" xfId="16139" xr:uid="{00000000-0005-0000-0000-0000FA3E0000}"/>
    <cellStyle name="Normal 2 68 13 2" xfId="16140" xr:uid="{00000000-0005-0000-0000-0000FB3E0000}"/>
    <cellStyle name="Normal 2 68 13 3" xfId="16141" xr:uid="{00000000-0005-0000-0000-0000FC3E0000}"/>
    <cellStyle name="Normal 2 68 14" xfId="16142" xr:uid="{00000000-0005-0000-0000-0000FD3E0000}"/>
    <cellStyle name="Normal 2 68 14 2" xfId="16143" xr:uid="{00000000-0005-0000-0000-0000FE3E0000}"/>
    <cellStyle name="Normal 2 68 14 3" xfId="16144" xr:uid="{00000000-0005-0000-0000-0000FF3E0000}"/>
    <cellStyle name="Normal 2 68 15" xfId="16145" xr:uid="{00000000-0005-0000-0000-0000003F0000}"/>
    <cellStyle name="Normal 2 68 15 2" xfId="16146" xr:uid="{00000000-0005-0000-0000-0000013F0000}"/>
    <cellStyle name="Normal 2 68 15 3" xfId="16147" xr:uid="{00000000-0005-0000-0000-0000023F0000}"/>
    <cellStyle name="Normal 2 68 16" xfId="16148" xr:uid="{00000000-0005-0000-0000-0000033F0000}"/>
    <cellStyle name="Normal 2 68 17" xfId="16149" xr:uid="{00000000-0005-0000-0000-0000043F0000}"/>
    <cellStyle name="Normal 2 68 2" xfId="16150" xr:uid="{00000000-0005-0000-0000-0000053F0000}"/>
    <cellStyle name="Normal 2 68 2 10" xfId="16151" xr:uid="{00000000-0005-0000-0000-0000063F0000}"/>
    <cellStyle name="Normal 2 68 2 10 2" xfId="16152" xr:uid="{00000000-0005-0000-0000-0000073F0000}"/>
    <cellStyle name="Normal 2 68 2 10 3" xfId="16153" xr:uid="{00000000-0005-0000-0000-0000083F0000}"/>
    <cellStyle name="Normal 2 68 2 11" xfId="16154" xr:uid="{00000000-0005-0000-0000-0000093F0000}"/>
    <cellStyle name="Normal 2 68 2 11 2" xfId="16155" xr:uid="{00000000-0005-0000-0000-00000A3F0000}"/>
    <cellStyle name="Normal 2 68 2 11 3" xfId="16156" xr:uid="{00000000-0005-0000-0000-00000B3F0000}"/>
    <cellStyle name="Normal 2 68 2 12" xfId="16157" xr:uid="{00000000-0005-0000-0000-00000C3F0000}"/>
    <cellStyle name="Normal 2 68 2 12 2" xfId="16158" xr:uid="{00000000-0005-0000-0000-00000D3F0000}"/>
    <cellStyle name="Normal 2 68 2 12 3" xfId="16159" xr:uid="{00000000-0005-0000-0000-00000E3F0000}"/>
    <cellStyle name="Normal 2 68 2 13" xfId="16160" xr:uid="{00000000-0005-0000-0000-00000F3F0000}"/>
    <cellStyle name="Normal 2 68 2 13 2" xfId="16161" xr:uid="{00000000-0005-0000-0000-0000103F0000}"/>
    <cellStyle name="Normal 2 68 2 13 3" xfId="16162" xr:uid="{00000000-0005-0000-0000-0000113F0000}"/>
    <cellStyle name="Normal 2 68 2 14" xfId="16163" xr:uid="{00000000-0005-0000-0000-0000123F0000}"/>
    <cellStyle name="Normal 2 68 2 14 2" xfId="16164" xr:uid="{00000000-0005-0000-0000-0000133F0000}"/>
    <cellStyle name="Normal 2 68 2 14 3" xfId="16165" xr:uid="{00000000-0005-0000-0000-0000143F0000}"/>
    <cellStyle name="Normal 2 68 2 15" xfId="16166" xr:uid="{00000000-0005-0000-0000-0000153F0000}"/>
    <cellStyle name="Normal 2 68 2 16" xfId="16167" xr:uid="{00000000-0005-0000-0000-0000163F0000}"/>
    <cellStyle name="Normal 2 68 2 2" xfId="16168" xr:uid="{00000000-0005-0000-0000-0000173F0000}"/>
    <cellStyle name="Normal 2 68 2 2 2" xfId="16169" xr:uid="{00000000-0005-0000-0000-0000183F0000}"/>
    <cellStyle name="Normal 2 68 2 2 3" xfId="16170" xr:uid="{00000000-0005-0000-0000-0000193F0000}"/>
    <cellStyle name="Normal 2 68 2 3" xfId="16171" xr:uid="{00000000-0005-0000-0000-00001A3F0000}"/>
    <cellStyle name="Normal 2 68 2 3 2" xfId="16172" xr:uid="{00000000-0005-0000-0000-00001B3F0000}"/>
    <cellStyle name="Normal 2 68 2 3 3" xfId="16173" xr:uid="{00000000-0005-0000-0000-00001C3F0000}"/>
    <cellStyle name="Normal 2 68 2 4" xfId="16174" xr:uid="{00000000-0005-0000-0000-00001D3F0000}"/>
    <cellStyle name="Normal 2 68 2 4 2" xfId="16175" xr:uid="{00000000-0005-0000-0000-00001E3F0000}"/>
    <cellStyle name="Normal 2 68 2 4 3" xfId="16176" xr:uid="{00000000-0005-0000-0000-00001F3F0000}"/>
    <cellStyle name="Normal 2 68 2 5" xfId="16177" xr:uid="{00000000-0005-0000-0000-0000203F0000}"/>
    <cellStyle name="Normal 2 68 2 5 2" xfId="16178" xr:uid="{00000000-0005-0000-0000-0000213F0000}"/>
    <cellStyle name="Normal 2 68 2 5 3" xfId="16179" xr:uid="{00000000-0005-0000-0000-0000223F0000}"/>
    <cellStyle name="Normal 2 68 2 6" xfId="16180" xr:uid="{00000000-0005-0000-0000-0000233F0000}"/>
    <cellStyle name="Normal 2 68 2 6 2" xfId="16181" xr:uid="{00000000-0005-0000-0000-0000243F0000}"/>
    <cellStyle name="Normal 2 68 2 6 3" xfId="16182" xr:uid="{00000000-0005-0000-0000-0000253F0000}"/>
    <cellStyle name="Normal 2 68 2 7" xfId="16183" xr:uid="{00000000-0005-0000-0000-0000263F0000}"/>
    <cellStyle name="Normal 2 68 2 7 2" xfId="16184" xr:uid="{00000000-0005-0000-0000-0000273F0000}"/>
    <cellStyle name="Normal 2 68 2 7 3" xfId="16185" xr:uid="{00000000-0005-0000-0000-0000283F0000}"/>
    <cellStyle name="Normal 2 68 2 8" xfId="16186" xr:uid="{00000000-0005-0000-0000-0000293F0000}"/>
    <cellStyle name="Normal 2 68 2 8 2" xfId="16187" xr:uid="{00000000-0005-0000-0000-00002A3F0000}"/>
    <cellStyle name="Normal 2 68 2 8 3" xfId="16188" xr:uid="{00000000-0005-0000-0000-00002B3F0000}"/>
    <cellStyle name="Normal 2 68 2 9" xfId="16189" xr:uid="{00000000-0005-0000-0000-00002C3F0000}"/>
    <cellStyle name="Normal 2 68 2 9 2" xfId="16190" xr:uid="{00000000-0005-0000-0000-00002D3F0000}"/>
    <cellStyle name="Normal 2 68 2 9 3" xfId="16191" xr:uid="{00000000-0005-0000-0000-00002E3F0000}"/>
    <cellStyle name="Normal 2 68 3" xfId="16192" xr:uid="{00000000-0005-0000-0000-00002F3F0000}"/>
    <cellStyle name="Normal 2 68 3 2" xfId="16193" xr:uid="{00000000-0005-0000-0000-0000303F0000}"/>
    <cellStyle name="Normal 2 68 3 3" xfId="16194" xr:uid="{00000000-0005-0000-0000-0000313F0000}"/>
    <cellStyle name="Normal 2 68 4" xfId="16195" xr:uid="{00000000-0005-0000-0000-0000323F0000}"/>
    <cellStyle name="Normal 2 68 4 2" xfId="16196" xr:uid="{00000000-0005-0000-0000-0000333F0000}"/>
    <cellStyle name="Normal 2 68 4 3" xfId="16197" xr:uid="{00000000-0005-0000-0000-0000343F0000}"/>
    <cellStyle name="Normal 2 68 5" xfId="16198" xr:uid="{00000000-0005-0000-0000-0000353F0000}"/>
    <cellStyle name="Normal 2 68 5 2" xfId="16199" xr:uid="{00000000-0005-0000-0000-0000363F0000}"/>
    <cellStyle name="Normal 2 68 5 3" xfId="16200" xr:uid="{00000000-0005-0000-0000-0000373F0000}"/>
    <cellStyle name="Normal 2 68 6" xfId="16201" xr:uid="{00000000-0005-0000-0000-0000383F0000}"/>
    <cellStyle name="Normal 2 68 6 2" xfId="16202" xr:uid="{00000000-0005-0000-0000-0000393F0000}"/>
    <cellStyle name="Normal 2 68 6 3" xfId="16203" xr:uid="{00000000-0005-0000-0000-00003A3F0000}"/>
    <cellStyle name="Normal 2 68 7" xfId="16204" xr:uid="{00000000-0005-0000-0000-00003B3F0000}"/>
    <cellStyle name="Normal 2 68 7 2" xfId="16205" xr:uid="{00000000-0005-0000-0000-00003C3F0000}"/>
    <cellStyle name="Normal 2 68 7 3" xfId="16206" xr:uid="{00000000-0005-0000-0000-00003D3F0000}"/>
    <cellStyle name="Normal 2 68 8" xfId="16207" xr:uid="{00000000-0005-0000-0000-00003E3F0000}"/>
    <cellStyle name="Normal 2 68 8 2" xfId="16208" xr:uid="{00000000-0005-0000-0000-00003F3F0000}"/>
    <cellStyle name="Normal 2 68 8 3" xfId="16209" xr:uid="{00000000-0005-0000-0000-0000403F0000}"/>
    <cellStyle name="Normal 2 68 9" xfId="16210" xr:uid="{00000000-0005-0000-0000-0000413F0000}"/>
    <cellStyle name="Normal 2 68 9 2" xfId="16211" xr:uid="{00000000-0005-0000-0000-0000423F0000}"/>
    <cellStyle name="Normal 2 68 9 3" xfId="16212" xr:uid="{00000000-0005-0000-0000-0000433F0000}"/>
    <cellStyle name="Normal 2 69" xfId="16213" xr:uid="{00000000-0005-0000-0000-0000443F0000}"/>
    <cellStyle name="Normal 2 69 10" xfId="16214" xr:uid="{00000000-0005-0000-0000-0000453F0000}"/>
    <cellStyle name="Normal 2 69 10 2" xfId="16215" xr:uid="{00000000-0005-0000-0000-0000463F0000}"/>
    <cellStyle name="Normal 2 69 10 3" xfId="16216" xr:uid="{00000000-0005-0000-0000-0000473F0000}"/>
    <cellStyle name="Normal 2 69 11" xfId="16217" xr:uid="{00000000-0005-0000-0000-0000483F0000}"/>
    <cellStyle name="Normal 2 69 11 2" xfId="16218" xr:uid="{00000000-0005-0000-0000-0000493F0000}"/>
    <cellStyle name="Normal 2 69 11 3" xfId="16219" xr:uid="{00000000-0005-0000-0000-00004A3F0000}"/>
    <cellStyle name="Normal 2 69 12" xfId="16220" xr:uid="{00000000-0005-0000-0000-00004B3F0000}"/>
    <cellStyle name="Normal 2 69 12 2" xfId="16221" xr:uid="{00000000-0005-0000-0000-00004C3F0000}"/>
    <cellStyle name="Normal 2 69 12 3" xfId="16222" xr:uid="{00000000-0005-0000-0000-00004D3F0000}"/>
    <cellStyle name="Normal 2 69 13" xfId="16223" xr:uid="{00000000-0005-0000-0000-00004E3F0000}"/>
    <cellStyle name="Normal 2 69 13 2" xfId="16224" xr:uid="{00000000-0005-0000-0000-00004F3F0000}"/>
    <cellStyle name="Normal 2 69 13 3" xfId="16225" xr:uid="{00000000-0005-0000-0000-0000503F0000}"/>
    <cellStyle name="Normal 2 69 14" xfId="16226" xr:uid="{00000000-0005-0000-0000-0000513F0000}"/>
    <cellStyle name="Normal 2 69 14 2" xfId="16227" xr:uid="{00000000-0005-0000-0000-0000523F0000}"/>
    <cellStyle name="Normal 2 69 14 3" xfId="16228" xr:uid="{00000000-0005-0000-0000-0000533F0000}"/>
    <cellStyle name="Normal 2 69 15" xfId="16229" xr:uid="{00000000-0005-0000-0000-0000543F0000}"/>
    <cellStyle name="Normal 2 69 16" xfId="16230" xr:uid="{00000000-0005-0000-0000-0000553F0000}"/>
    <cellStyle name="Normal 2 69 2" xfId="16231" xr:uid="{00000000-0005-0000-0000-0000563F0000}"/>
    <cellStyle name="Normal 2 69 2 2" xfId="16232" xr:uid="{00000000-0005-0000-0000-0000573F0000}"/>
    <cellStyle name="Normal 2 69 2 3" xfId="16233" xr:uid="{00000000-0005-0000-0000-0000583F0000}"/>
    <cellStyle name="Normal 2 69 3" xfId="16234" xr:uid="{00000000-0005-0000-0000-0000593F0000}"/>
    <cellStyle name="Normal 2 69 3 2" xfId="16235" xr:uid="{00000000-0005-0000-0000-00005A3F0000}"/>
    <cellStyle name="Normal 2 69 3 3" xfId="16236" xr:uid="{00000000-0005-0000-0000-00005B3F0000}"/>
    <cellStyle name="Normal 2 69 4" xfId="16237" xr:uid="{00000000-0005-0000-0000-00005C3F0000}"/>
    <cellStyle name="Normal 2 69 4 2" xfId="16238" xr:uid="{00000000-0005-0000-0000-00005D3F0000}"/>
    <cellStyle name="Normal 2 69 4 3" xfId="16239" xr:uid="{00000000-0005-0000-0000-00005E3F0000}"/>
    <cellStyle name="Normal 2 69 5" xfId="16240" xr:uid="{00000000-0005-0000-0000-00005F3F0000}"/>
    <cellStyle name="Normal 2 69 5 2" xfId="16241" xr:uid="{00000000-0005-0000-0000-0000603F0000}"/>
    <cellStyle name="Normal 2 69 5 3" xfId="16242" xr:uid="{00000000-0005-0000-0000-0000613F0000}"/>
    <cellStyle name="Normal 2 69 6" xfId="16243" xr:uid="{00000000-0005-0000-0000-0000623F0000}"/>
    <cellStyle name="Normal 2 69 6 2" xfId="16244" xr:uid="{00000000-0005-0000-0000-0000633F0000}"/>
    <cellStyle name="Normal 2 69 6 3" xfId="16245" xr:uid="{00000000-0005-0000-0000-0000643F0000}"/>
    <cellStyle name="Normal 2 69 7" xfId="16246" xr:uid="{00000000-0005-0000-0000-0000653F0000}"/>
    <cellStyle name="Normal 2 69 7 2" xfId="16247" xr:uid="{00000000-0005-0000-0000-0000663F0000}"/>
    <cellStyle name="Normal 2 69 7 3" xfId="16248" xr:uid="{00000000-0005-0000-0000-0000673F0000}"/>
    <cellStyle name="Normal 2 69 8" xfId="16249" xr:uid="{00000000-0005-0000-0000-0000683F0000}"/>
    <cellStyle name="Normal 2 69 8 2" xfId="16250" xr:uid="{00000000-0005-0000-0000-0000693F0000}"/>
    <cellStyle name="Normal 2 69 8 3" xfId="16251" xr:uid="{00000000-0005-0000-0000-00006A3F0000}"/>
    <cellStyle name="Normal 2 69 9" xfId="16252" xr:uid="{00000000-0005-0000-0000-00006B3F0000}"/>
    <cellStyle name="Normal 2 69 9 2" xfId="16253" xr:uid="{00000000-0005-0000-0000-00006C3F0000}"/>
    <cellStyle name="Normal 2 69 9 3" xfId="16254" xr:uid="{00000000-0005-0000-0000-00006D3F0000}"/>
    <cellStyle name="Normal 2 7" xfId="16255" xr:uid="{00000000-0005-0000-0000-00006E3F0000}"/>
    <cellStyle name="Normal 2 7 2" xfId="16256" xr:uid="{00000000-0005-0000-0000-00006F3F0000}"/>
    <cellStyle name="Normal 2 7 2 2" xfId="16257" xr:uid="{00000000-0005-0000-0000-0000703F0000}"/>
    <cellStyle name="Normal 2 7 2 2 2" xfId="16258" xr:uid="{00000000-0005-0000-0000-0000713F0000}"/>
    <cellStyle name="Normal 2 7 2 3" xfId="16259" xr:uid="{00000000-0005-0000-0000-0000723F0000}"/>
    <cellStyle name="Normal 2 7 2 3 2" xfId="16260" xr:uid="{00000000-0005-0000-0000-0000733F0000}"/>
    <cellStyle name="Normal 2 7 2 4" xfId="16261" xr:uid="{00000000-0005-0000-0000-0000743F0000}"/>
    <cellStyle name="Normal 2 7 2 4 2" xfId="16262" xr:uid="{00000000-0005-0000-0000-0000753F0000}"/>
    <cellStyle name="Normal 2 7 2 5" xfId="16263" xr:uid="{00000000-0005-0000-0000-0000763F0000}"/>
    <cellStyle name="Normal 2 7 2 5 2" xfId="16264" xr:uid="{00000000-0005-0000-0000-0000773F0000}"/>
    <cellStyle name="Normal 2 7 2 6" xfId="16265" xr:uid="{00000000-0005-0000-0000-0000783F0000}"/>
    <cellStyle name="Normal 2 7 2 6 2" xfId="16266" xr:uid="{00000000-0005-0000-0000-0000793F0000}"/>
    <cellStyle name="Normal 2 7 2 7" xfId="16267" xr:uid="{00000000-0005-0000-0000-00007A3F0000}"/>
    <cellStyle name="Normal 2 7 2 7 2" xfId="16268" xr:uid="{00000000-0005-0000-0000-00007B3F0000}"/>
    <cellStyle name="Normal 2 7 3" xfId="16269" xr:uid="{00000000-0005-0000-0000-00007C3F0000}"/>
    <cellStyle name="Normal 2 7 4" xfId="16270" xr:uid="{00000000-0005-0000-0000-00007D3F0000}"/>
    <cellStyle name="Normal 2 7 5" xfId="16271" xr:uid="{00000000-0005-0000-0000-00007E3F0000}"/>
    <cellStyle name="Normal 2 7 6" xfId="16272" xr:uid="{00000000-0005-0000-0000-00007F3F0000}"/>
    <cellStyle name="Normal 2 7 7" xfId="16273" xr:uid="{00000000-0005-0000-0000-0000803F0000}"/>
    <cellStyle name="Normal 2 7 8" xfId="16274" xr:uid="{00000000-0005-0000-0000-0000813F0000}"/>
    <cellStyle name="Normal 2 70" xfId="16275" xr:uid="{00000000-0005-0000-0000-0000823F0000}"/>
    <cellStyle name="Normal 2 70 10" xfId="16276" xr:uid="{00000000-0005-0000-0000-0000833F0000}"/>
    <cellStyle name="Normal 2 70 10 2" xfId="16277" xr:uid="{00000000-0005-0000-0000-0000843F0000}"/>
    <cellStyle name="Normal 2 70 10 3" xfId="16278" xr:uid="{00000000-0005-0000-0000-0000853F0000}"/>
    <cellStyle name="Normal 2 70 11" xfId="16279" xr:uid="{00000000-0005-0000-0000-0000863F0000}"/>
    <cellStyle name="Normal 2 70 11 2" xfId="16280" xr:uid="{00000000-0005-0000-0000-0000873F0000}"/>
    <cellStyle name="Normal 2 70 11 3" xfId="16281" xr:uid="{00000000-0005-0000-0000-0000883F0000}"/>
    <cellStyle name="Normal 2 70 12" xfId="16282" xr:uid="{00000000-0005-0000-0000-0000893F0000}"/>
    <cellStyle name="Normal 2 70 12 2" xfId="16283" xr:uid="{00000000-0005-0000-0000-00008A3F0000}"/>
    <cellStyle name="Normal 2 70 12 3" xfId="16284" xr:uid="{00000000-0005-0000-0000-00008B3F0000}"/>
    <cellStyle name="Normal 2 70 13" xfId="16285" xr:uid="{00000000-0005-0000-0000-00008C3F0000}"/>
    <cellStyle name="Normal 2 70 13 2" xfId="16286" xr:uid="{00000000-0005-0000-0000-00008D3F0000}"/>
    <cellStyle name="Normal 2 70 13 3" xfId="16287" xr:uid="{00000000-0005-0000-0000-00008E3F0000}"/>
    <cellStyle name="Normal 2 70 14" xfId="16288" xr:uid="{00000000-0005-0000-0000-00008F3F0000}"/>
    <cellStyle name="Normal 2 70 14 2" xfId="16289" xr:uid="{00000000-0005-0000-0000-0000903F0000}"/>
    <cellStyle name="Normal 2 70 14 3" xfId="16290" xr:uid="{00000000-0005-0000-0000-0000913F0000}"/>
    <cellStyle name="Normal 2 70 15" xfId="16291" xr:uid="{00000000-0005-0000-0000-0000923F0000}"/>
    <cellStyle name="Normal 2 70 16" xfId="16292" xr:uid="{00000000-0005-0000-0000-0000933F0000}"/>
    <cellStyle name="Normal 2 70 2" xfId="16293" xr:uid="{00000000-0005-0000-0000-0000943F0000}"/>
    <cellStyle name="Normal 2 70 2 2" xfId="16294" xr:uid="{00000000-0005-0000-0000-0000953F0000}"/>
    <cellStyle name="Normal 2 70 2 3" xfId="16295" xr:uid="{00000000-0005-0000-0000-0000963F0000}"/>
    <cellStyle name="Normal 2 70 3" xfId="16296" xr:uid="{00000000-0005-0000-0000-0000973F0000}"/>
    <cellStyle name="Normal 2 70 3 2" xfId="16297" xr:uid="{00000000-0005-0000-0000-0000983F0000}"/>
    <cellStyle name="Normal 2 70 3 3" xfId="16298" xr:uid="{00000000-0005-0000-0000-0000993F0000}"/>
    <cellStyle name="Normal 2 70 4" xfId="16299" xr:uid="{00000000-0005-0000-0000-00009A3F0000}"/>
    <cellStyle name="Normal 2 70 4 2" xfId="16300" xr:uid="{00000000-0005-0000-0000-00009B3F0000}"/>
    <cellStyle name="Normal 2 70 4 3" xfId="16301" xr:uid="{00000000-0005-0000-0000-00009C3F0000}"/>
    <cellStyle name="Normal 2 70 5" xfId="16302" xr:uid="{00000000-0005-0000-0000-00009D3F0000}"/>
    <cellStyle name="Normal 2 70 5 2" xfId="16303" xr:uid="{00000000-0005-0000-0000-00009E3F0000}"/>
    <cellStyle name="Normal 2 70 5 3" xfId="16304" xr:uid="{00000000-0005-0000-0000-00009F3F0000}"/>
    <cellStyle name="Normal 2 70 6" xfId="16305" xr:uid="{00000000-0005-0000-0000-0000A03F0000}"/>
    <cellStyle name="Normal 2 70 6 2" xfId="16306" xr:uid="{00000000-0005-0000-0000-0000A13F0000}"/>
    <cellStyle name="Normal 2 70 6 3" xfId="16307" xr:uid="{00000000-0005-0000-0000-0000A23F0000}"/>
    <cellStyle name="Normal 2 70 7" xfId="16308" xr:uid="{00000000-0005-0000-0000-0000A33F0000}"/>
    <cellStyle name="Normal 2 70 7 2" xfId="16309" xr:uid="{00000000-0005-0000-0000-0000A43F0000}"/>
    <cellStyle name="Normal 2 70 7 3" xfId="16310" xr:uid="{00000000-0005-0000-0000-0000A53F0000}"/>
    <cellStyle name="Normal 2 70 8" xfId="16311" xr:uid="{00000000-0005-0000-0000-0000A63F0000}"/>
    <cellStyle name="Normal 2 70 8 2" xfId="16312" xr:uid="{00000000-0005-0000-0000-0000A73F0000}"/>
    <cellStyle name="Normal 2 70 8 3" xfId="16313" xr:uid="{00000000-0005-0000-0000-0000A83F0000}"/>
    <cellStyle name="Normal 2 70 9" xfId="16314" xr:uid="{00000000-0005-0000-0000-0000A93F0000}"/>
    <cellStyle name="Normal 2 70 9 2" xfId="16315" xr:uid="{00000000-0005-0000-0000-0000AA3F0000}"/>
    <cellStyle name="Normal 2 70 9 3" xfId="16316" xr:uid="{00000000-0005-0000-0000-0000AB3F0000}"/>
    <cellStyle name="Normal 2 71" xfId="16317" xr:uid="{00000000-0005-0000-0000-0000AC3F0000}"/>
    <cellStyle name="Normal 2 71 10" xfId="16318" xr:uid="{00000000-0005-0000-0000-0000AD3F0000}"/>
    <cellStyle name="Normal 2 71 10 2" xfId="16319" xr:uid="{00000000-0005-0000-0000-0000AE3F0000}"/>
    <cellStyle name="Normal 2 71 10 3" xfId="16320" xr:uid="{00000000-0005-0000-0000-0000AF3F0000}"/>
    <cellStyle name="Normal 2 71 11" xfId="16321" xr:uid="{00000000-0005-0000-0000-0000B03F0000}"/>
    <cellStyle name="Normal 2 71 11 2" xfId="16322" xr:uid="{00000000-0005-0000-0000-0000B13F0000}"/>
    <cellStyle name="Normal 2 71 11 3" xfId="16323" xr:uid="{00000000-0005-0000-0000-0000B23F0000}"/>
    <cellStyle name="Normal 2 71 12" xfId="16324" xr:uid="{00000000-0005-0000-0000-0000B33F0000}"/>
    <cellStyle name="Normal 2 71 12 2" xfId="16325" xr:uid="{00000000-0005-0000-0000-0000B43F0000}"/>
    <cellStyle name="Normal 2 71 12 3" xfId="16326" xr:uid="{00000000-0005-0000-0000-0000B53F0000}"/>
    <cellStyle name="Normal 2 71 13" xfId="16327" xr:uid="{00000000-0005-0000-0000-0000B63F0000}"/>
    <cellStyle name="Normal 2 71 13 2" xfId="16328" xr:uid="{00000000-0005-0000-0000-0000B73F0000}"/>
    <cellStyle name="Normal 2 71 13 3" xfId="16329" xr:uid="{00000000-0005-0000-0000-0000B83F0000}"/>
    <cellStyle name="Normal 2 71 14" xfId="16330" xr:uid="{00000000-0005-0000-0000-0000B93F0000}"/>
    <cellStyle name="Normal 2 71 14 2" xfId="16331" xr:uid="{00000000-0005-0000-0000-0000BA3F0000}"/>
    <cellStyle name="Normal 2 71 14 3" xfId="16332" xr:uid="{00000000-0005-0000-0000-0000BB3F0000}"/>
    <cellStyle name="Normal 2 71 15" xfId="16333" xr:uid="{00000000-0005-0000-0000-0000BC3F0000}"/>
    <cellStyle name="Normal 2 71 16" xfId="16334" xr:uid="{00000000-0005-0000-0000-0000BD3F0000}"/>
    <cellStyle name="Normal 2 71 2" xfId="16335" xr:uid="{00000000-0005-0000-0000-0000BE3F0000}"/>
    <cellStyle name="Normal 2 71 2 2" xfId="16336" xr:uid="{00000000-0005-0000-0000-0000BF3F0000}"/>
    <cellStyle name="Normal 2 71 2 3" xfId="16337" xr:uid="{00000000-0005-0000-0000-0000C03F0000}"/>
    <cellStyle name="Normal 2 71 3" xfId="16338" xr:uid="{00000000-0005-0000-0000-0000C13F0000}"/>
    <cellStyle name="Normal 2 71 3 2" xfId="16339" xr:uid="{00000000-0005-0000-0000-0000C23F0000}"/>
    <cellStyle name="Normal 2 71 3 3" xfId="16340" xr:uid="{00000000-0005-0000-0000-0000C33F0000}"/>
    <cellStyle name="Normal 2 71 4" xfId="16341" xr:uid="{00000000-0005-0000-0000-0000C43F0000}"/>
    <cellStyle name="Normal 2 71 4 2" xfId="16342" xr:uid="{00000000-0005-0000-0000-0000C53F0000}"/>
    <cellStyle name="Normal 2 71 4 3" xfId="16343" xr:uid="{00000000-0005-0000-0000-0000C63F0000}"/>
    <cellStyle name="Normal 2 71 5" xfId="16344" xr:uid="{00000000-0005-0000-0000-0000C73F0000}"/>
    <cellStyle name="Normal 2 71 5 2" xfId="16345" xr:uid="{00000000-0005-0000-0000-0000C83F0000}"/>
    <cellStyle name="Normal 2 71 5 3" xfId="16346" xr:uid="{00000000-0005-0000-0000-0000C93F0000}"/>
    <cellStyle name="Normal 2 71 6" xfId="16347" xr:uid="{00000000-0005-0000-0000-0000CA3F0000}"/>
    <cellStyle name="Normal 2 71 6 2" xfId="16348" xr:uid="{00000000-0005-0000-0000-0000CB3F0000}"/>
    <cellStyle name="Normal 2 71 6 3" xfId="16349" xr:uid="{00000000-0005-0000-0000-0000CC3F0000}"/>
    <cellStyle name="Normal 2 71 7" xfId="16350" xr:uid="{00000000-0005-0000-0000-0000CD3F0000}"/>
    <cellStyle name="Normal 2 71 7 2" xfId="16351" xr:uid="{00000000-0005-0000-0000-0000CE3F0000}"/>
    <cellStyle name="Normal 2 71 7 3" xfId="16352" xr:uid="{00000000-0005-0000-0000-0000CF3F0000}"/>
    <cellStyle name="Normal 2 71 8" xfId="16353" xr:uid="{00000000-0005-0000-0000-0000D03F0000}"/>
    <cellStyle name="Normal 2 71 8 2" xfId="16354" xr:uid="{00000000-0005-0000-0000-0000D13F0000}"/>
    <cellStyle name="Normal 2 71 8 3" xfId="16355" xr:uid="{00000000-0005-0000-0000-0000D23F0000}"/>
    <cellStyle name="Normal 2 71 9" xfId="16356" xr:uid="{00000000-0005-0000-0000-0000D33F0000}"/>
    <cellStyle name="Normal 2 71 9 2" xfId="16357" xr:uid="{00000000-0005-0000-0000-0000D43F0000}"/>
    <cellStyle name="Normal 2 71 9 3" xfId="16358" xr:uid="{00000000-0005-0000-0000-0000D53F0000}"/>
    <cellStyle name="Normal 2 72" xfId="16359" xr:uid="{00000000-0005-0000-0000-0000D63F0000}"/>
    <cellStyle name="Normal 2 72 10" xfId="16360" xr:uid="{00000000-0005-0000-0000-0000D73F0000}"/>
    <cellStyle name="Normal 2 72 10 2" xfId="16361" xr:uid="{00000000-0005-0000-0000-0000D83F0000}"/>
    <cellStyle name="Normal 2 72 10 3" xfId="16362" xr:uid="{00000000-0005-0000-0000-0000D93F0000}"/>
    <cellStyle name="Normal 2 72 11" xfId="16363" xr:uid="{00000000-0005-0000-0000-0000DA3F0000}"/>
    <cellStyle name="Normal 2 72 11 2" xfId="16364" xr:uid="{00000000-0005-0000-0000-0000DB3F0000}"/>
    <cellStyle name="Normal 2 72 11 3" xfId="16365" xr:uid="{00000000-0005-0000-0000-0000DC3F0000}"/>
    <cellStyle name="Normal 2 72 12" xfId="16366" xr:uid="{00000000-0005-0000-0000-0000DD3F0000}"/>
    <cellStyle name="Normal 2 72 12 2" xfId="16367" xr:uid="{00000000-0005-0000-0000-0000DE3F0000}"/>
    <cellStyle name="Normal 2 72 12 3" xfId="16368" xr:uid="{00000000-0005-0000-0000-0000DF3F0000}"/>
    <cellStyle name="Normal 2 72 13" xfId="16369" xr:uid="{00000000-0005-0000-0000-0000E03F0000}"/>
    <cellStyle name="Normal 2 72 13 2" xfId="16370" xr:uid="{00000000-0005-0000-0000-0000E13F0000}"/>
    <cellStyle name="Normal 2 72 13 3" xfId="16371" xr:uid="{00000000-0005-0000-0000-0000E23F0000}"/>
    <cellStyle name="Normal 2 72 14" xfId="16372" xr:uid="{00000000-0005-0000-0000-0000E33F0000}"/>
    <cellStyle name="Normal 2 72 14 2" xfId="16373" xr:uid="{00000000-0005-0000-0000-0000E43F0000}"/>
    <cellStyle name="Normal 2 72 14 3" xfId="16374" xr:uid="{00000000-0005-0000-0000-0000E53F0000}"/>
    <cellStyle name="Normal 2 72 15" xfId="16375" xr:uid="{00000000-0005-0000-0000-0000E63F0000}"/>
    <cellStyle name="Normal 2 72 16" xfId="16376" xr:uid="{00000000-0005-0000-0000-0000E73F0000}"/>
    <cellStyle name="Normal 2 72 2" xfId="16377" xr:uid="{00000000-0005-0000-0000-0000E83F0000}"/>
    <cellStyle name="Normal 2 72 2 2" xfId="16378" xr:uid="{00000000-0005-0000-0000-0000E93F0000}"/>
    <cellStyle name="Normal 2 72 2 3" xfId="16379" xr:uid="{00000000-0005-0000-0000-0000EA3F0000}"/>
    <cellStyle name="Normal 2 72 3" xfId="16380" xr:uid="{00000000-0005-0000-0000-0000EB3F0000}"/>
    <cellStyle name="Normal 2 72 3 2" xfId="16381" xr:uid="{00000000-0005-0000-0000-0000EC3F0000}"/>
    <cellStyle name="Normal 2 72 3 3" xfId="16382" xr:uid="{00000000-0005-0000-0000-0000ED3F0000}"/>
    <cellStyle name="Normal 2 72 4" xfId="16383" xr:uid="{00000000-0005-0000-0000-0000EE3F0000}"/>
    <cellStyle name="Normal 2 72 4 2" xfId="16384" xr:uid="{00000000-0005-0000-0000-0000EF3F0000}"/>
    <cellStyle name="Normal 2 72 4 3" xfId="16385" xr:uid="{00000000-0005-0000-0000-0000F03F0000}"/>
    <cellStyle name="Normal 2 72 5" xfId="16386" xr:uid="{00000000-0005-0000-0000-0000F13F0000}"/>
    <cellStyle name="Normal 2 72 5 2" xfId="16387" xr:uid="{00000000-0005-0000-0000-0000F23F0000}"/>
    <cellStyle name="Normal 2 72 5 3" xfId="16388" xr:uid="{00000000-0005-0000-0000-0000F33F0000}"/>
    <cellStyle name="Normal 2 72 6" xfId="16389" xr:uid="{00000000-0005-0000-0000-0000F43F0000}"/>
    <cellStyle name="Normal 2 72 6 2" xfId="16390" xr:uid="{00000000-0005-0000-0000-0000F53F0000}"/>
    <cellStyle name="Normal 2 72 6 3" xfId="16391" xr:uid="{00000000-0005-0000-0000-0000F63F0000}"/>
    <cellStyle name="Normal 2 72 7" xfId="16392" xr:uid="{00000000-0005-0000-0000-0000F73F0000}"/>
    <cellStyle name="Normal 2 72 7 2" xfId="16393" xr:uid="{00000000-0005-0000-0000-0000F83F0000}"/>
    <cellStyle name="Normal 2 72 7 3" xfId="16394" xr:uid="{00000000-0005-0000-0000-0000F93F0000}"/>
    <cellStyle name="Normal 2 72 8" xfId="16395" xr:uid="{00000000-0005-0000-0000-0000FA3F0000}"/>
    <cellStyle name="Normal 2 72 8 2" xfId="16396" xr:uid="{00000000-0005-0000-0000-0000FB3F0000}"/>
    <cellStyle name="Normal 2 72 8 3" xfId="16397" xr:uid="{00000000-0005-0000-0000-0000FC3F0000}"/>
    <cellStyle name="Normal 2 72 9" xfId="16398" xr:uid="{00000000-0005-0000-0000-0000FD3F0000}"/>
    <cellStyle name="Normal 2 72 9 2" xfId="16399" xr:uid="{00000000-0005-0000-0000-0000FE3F0000}"/>
    <cellStyle name="Normal 2 72 9 3" xfId="16400" xr:uid="{00000000-0005-0000-0000-0000FF3F0000}"/>
    <cellStyle name="Normal 2 73" xfId="16401" xr:uid="{00000000-0005-0000-0000-000000400000}"/>
    <cellStyle name="Normal 2 73 10" xfId="16402" xr:uid="{00000000-0005-0000-0000-000001400000}"/>
    <cellStyle name="Normal 2 73 10 2" xfId="16403" xr:uid="{00000000-0005-0000-0000-000002400000}"/>
    <cellStyle name="Normal 2 73 10 3" xfId="16404" xr:uid="{00000000-0005-0000-0000-000003400000}"/>
    <cellStyle name="Normal 2 73 11" xfId="16405" xr:uid="{00000000-0005-0000-0000-000004400000}"/>
    <cellStyle name="Normal 2 73 11 2" xfId="16406" xr:uid="{00000000-0005-0000-0000-000005400000}"/>
    <cellStyle name="Normal 2 73 11 3" xfId="16407" xr:uid="{00000000-0005-0000-0000-000006400000}"/>
    <cellStyle name="Normal 2 73 12" xfId="16408" xr:uid="{00000000-0005-0000-0000-000007400000}"/>
    <cellStyle name="Normal 2 73 12 2" xfId="16409" xr:uid="{00000000-0005-0000-0000-000008400000}"/>
    <cellStyle name="Normal 2 73 12 3" xfId="16410" xr:uid="{00000000-0005-0000-0000-000009400000}"/>
    <cellStyle name="Normal 2 73 13" xfId="16411" xr:uid="{00000000-0005-0000-0000-00000A400000}"/>
    <cellStyle name="Normal 2 73 13 2" xfId="16412" xr:uid="{00000000-0005-0000-0000-00000B400000}"/>
    <cellStyle name="Normal 2 73 13 3" xfId="16413" xr:uid="{00000000-0005-0000-0000-00000C400000}"/>
    <cellStyle name="Normal 2 73 14" xfId="16414" xr:uid="{00000000-0005-0000-0000-00000D400000}"/>
    <cellStyle name="Normal 2 73 14 2" xfId="16415" xr:uid="{00000000-0005-0000-0000-00000E400000}"/>
    <cellStyle name="Normal 2 73 14 3" xfId="16416" xr:uid="{00000000-0005-0000-0000-00000F400000}"/>
    <cellStyle name="Normal 2 73 15" xfId="16417" xr:uid="{00000000-0005-0000-0000-000010400000}"/>
    <cellStyle name="Normal 2 73 16" xfId="16418" xr:uid="{00000000-0005-0000-0000-000011400000}"/>
    <cellStyle name="Normal 2 73 2" xfId="16419" xr:uid="{00000000-0005-0000-0000-000012400000}"/>
    <cellStyle name="Normal 2 73 2 2" xfId="16420" xr:uid="{00000000-0005-0000-0000-000013400000}"/>
    <cellStyle name="Normal 2 73 2 3" xfId="16421" xr:uid="{00000000-0005-0000-0000-000014400000}"/>
    <cellStyle name="Normal 2 73 3" xfId="16422" xr:uid="{00000000-0005-0000-0000-000015400000}"/>
    <cellStyle name="Normal 2 73 3 2" xfId="16423" xr:uid="{00000000-0005-0000-0000-000016400000}"/>
    <cellStyle name="Normal 2 73 3 3" xfId="16424" xr:uid="{00000000-0005-0000-0000-000017400000}"/>
    <cellStyle name="Normal 2 73 4" xfId="16425" xr:uid="{00000000-0005-0000-0000-000018400000}"/>
    <cellStyle name="Normal 2 73 4 2" xfId="16426" xr:uid="{00000000-0005-0000-0000-000019400000}"/>
    <cellStyle name="Normal 2 73 4 3" xfId="16427" xr:uid="{00000000-0005-0000-0000-00001A400000}"/>
    <cellStyle name="Normal 2 73 5" xfId="16428" xr:uid="{00000000-0005-0000-0000-00001B400000}"/>
    <cellStyle name="Normal 2 73 5 2" xfId="16429" xr:uid="{00000000-0005-0000-0000-00001C400000}"/>
    <cellStyle name="Normal 2 73 5 3" xfId="16430" xr:uid="{00000000-0005-0000-0000-00001D400000}"/>
    <cellStyle name="Normal 2 73 6" xfId="16431" xr:uid="{00000000-0005-0000-0000-00001E400000}"/>
    <cellStyle name="Normal 2 73 6 2" xfId="16432" xr:uid="{00000000-0005-0000-0000-00001F400000}"/>
    <cellStyle name="Normal 2 73 6 3" xfId="16433" xr:uid="{00000000-0005-0000-0000-000020400000}"/>
    <cellStyle name="Normal 2 73 7" xfId="16434" xr:uid="{00000000-0005-0000-0000-000021400000}"/>
    <cellStyle name="Normal 2 73 7 2" xfId="16435" xr:uid="{00000000-0005-0000-0000-000022400000}"/>
    <cellStyle name="Normal 2 73 7 3" xfId="16436" xr:uid="{00000000-0005-0000-0000-000023400000}"/>
    <cellStyle name="Normal 2 73 8" xfId="16437" xr:uid="{00000000-0005-0000-0000-000024400000}"/>
    <cellStyle name="Normal 2 73 8 2" xfId="16438" xr:uid="{00000000-0005-0000-0000-000025400000}"/>
    <cellStyle name="Normal 2 73 8 3" xfId="16439" xr:uid="{00000000-0005-0000-0000-000026400000}"/>
    <cellStyle name="Normal 2 73 9" xfId="16440" xr:uid="{00000000-0005-0000-0000-000027400000}"/>
    <cellStyle name="Normal 2 73 9 2" xfId="16441" xr:uid="{00000000-0005-0000-0000-000028400000}"/>
    <cellStyle name="Normal 2 73 9 3" xfId="16442" xr:uid="{00000000-0005-0000-0000-000029400000}"/>
    <cellStyle name="Normal 2 74" xfId="16443" xr:uid="{00000000-0005-0000-0000-00002A400000}"/>
    <cellStyle name="Normal 2 74 10" xfId="16444" xr:uid="{00000000-0005-0000-0000-00002B400000}"/>
    <cellStyle name="Normal 2 74 10 2" xfId="16445" xr:uid="{00000000-0005-0000-0000-00002C400000}"/>
    <cellStyle name="Normal 2 74 10 3" xfId="16446" xr:uid="{00000000-0005-0000-0000-00002D400000}"/>
    <cellStyle name="Normal 2 74 11" xfId="16447" xr:uid="{00000000-0005-0000-0000-00002E400000}"/>
    <cellStyle name="Normal 2 74 11 2" xfId="16448" xr:uid="{00000000-0005-0000-0000-00002F400000}"/>
    <cellStyle name="Normal 2 74 11 3" xfId="16449" xr:uid="{00000000-0005-0000-0000-000030400000}"/>
    <cellStyle name="Normal 2 74 12" xfId="16450" xr:uid="{00000000-0005-0000-0000-000031400000}"/>
    <cellStyle name="Normal 2 74 12 2" xfId="16451" xr:uid="{00000000-0005-0000-0000-000032400000}"/>
    <cellStyle name="Normal 2 74 12 3" xfId="16452" xr:uid="{00000000-0005-0000-0000-000033400000}"/>
    <cellStyle name="Normal 2 74 13" xfId="16453" xr:uid="{00000000-0005-0000-0000-000034400000}"/>
    <cellStyle name="Normal 2 74 13 2" xfId="16454" xr:uid="{00000000-0005-0000-0000-000035400000}"/>
    <cellStyle name="Normal 2 74 13 3" xfId="16455" xr:uid="{00000000-0005-0000-0000-000036400000}"/>
    <cellStyle name="Normal 2 74 14" xfId="16456" xr:uid="{00000000-0005-0000-0000-000037400000}"/>
    <cellStyle name="Normal 2 74 14 2" xfId="16457" xr:uid="{00000000-0005-0000-0000-000038400000}"/>
    <cellStyle name="Normal 2 74 14 3" xfId="16458" xr:uid="{00000000-0005-0000-0000-000039400000}"/>
    <cellStyle name="Normal 2 74 15" xfId="16459" xr:uid="{00000000-0005-0000-0000-00003A400000}"/>
    <cellStyle name="Normal 2 74 16" xfId="16460" xr:uid="{00000000-0005-0000-0000-00003B400000}"/>
    <cellStyle name="Normal 2 74 2" xfId="16461" xr:uid="{00000000-0005-0000-0000-00003C400000}"/>
    <cellStyle name="Normal 2 74 2 2" xfId="16462" xr:uid="{00000000-0005-0000-0000-00003D400000}"/>
    <cellStyle name="Normal 2 74 2 3" xfId="16463" xr:uid="{00000000-0005-0000-0000-00003E400000}"/>
    <cellStyle name="Normal 2 74 3" xfId="16464" xr:uid="{00000000-0005-0000-0000-00003F400000}"/>
    <cellStyle name="Normal 2 74 3 2" xfId="16465" xr:uid="{00000000-0005-0000-0000-000040400000}"/>
    <cellStyle name="Normal 2 74 3 3" xfId="16466" xr:uid="{00000000-0005-0000-0000-000041400000}"/>
    <cellStyle name="Normal 2 74 4" xfId="16467" xr:uid="{00000000-0005-0000-0000-000042400000}"/>
    <cellStyle name="Normal 2 74 4 2" xfId="16468" xr:uid="{00000000-0005-0000-0000-000043400000}"/>
    <cellStyle name="Normal 2 74 4 3" xfId="16469" xr:uid="{00000000-0005-0000-0000-000044400000}"/>
    <cellStyle name="Normal 2 74 5" xfId="16470" xr:uid="{00000000-0005-0000-0000-000045400000}"/>
    <cellStyle name="Normal 2 74 5 2" xfId="16471" xr:uid="{00000000-0005-0000-0000-000046400000}"/>
    <cellStyle name="Normal 2 74 5 3" xfId="16472" xr:uid="{00000000-0005-0000-0000-000047400000}"/>
    <cellStyle name="Normal 2 74 6" xfId="16473" xr:uid="{00000000-0005-0000-0000-000048400000}"/>
    <cellStyle name="Normal 2 74 6 2" xfId="16474" xr:uid="{00000000-0005-0000-0000-000049400000}"/>
    <cellStyle name="Normal 2 74 6 3" xfId="16475" xr:uid="{00000000-0005-0000-0000-00004A400000}"/>
    <cellStyle name="Normal 2 74 7" xfId="16476" xr:uid="{00000000-0005-0000-0000-00004B400000}"/>
    <cellStyle name="Normal 2 74 7 2" xfId="16477" xr:uid="{00000000-0005-0000-0000-00004C400000}"/>
    <cellStyle name="Normal 2 74 7 3" xfId="16478" xr:uid="{00000000-0005-0000-0000-00004D400000}"/>
    <cellStyle name="Normal 2 74 8" xfId="16479" xr:uid="{00000000-0005-0000-0000-00004E400000}"/>
    <cellStyle name="Normal 2 74 8 2" xfId="16480" xr:uid="{00000000-0005-0000-0000-00004F400000}"/>
    <cellStyle name="Normal 2 74 8 3" xfId="16481" xr:uid="{00000000-0005-0000-0000-000050400000}"/>
    <cellStyle name="Normal 2 74 9" xfId="16482" xr:uid="{00000000-0005-0000-0000-000051400000}"/>
    <cellStyle name="Normal 2 74 9 2" xfId="16483" xr:uid="{00000000-0005-0000-0000-000052400000}"/>
    <cellStyle name="Normal 2 74 9 3" xfId="16484" xr:uid="{00000000-0005-0000-0000-000053400000}"/>
    <cellStyle name="Normal 2 75" xfId="16485" xr:uid="{00000000-0005-0000-0000-000054400000}"/>
    <cellStyle name="Normal 2 75 10" xfId="16486" xr:uid="{00000000-0005-0000-0000-000055400000}"/>
    <cellStyle name="Normal 2 75 10 2" xfId="16487" xr:uid="{00000000-0005-0000-0000-000056400000}"/>
    <cellStyle name="Normal 2 75 10 3" xfId="16488" xr:uid="{00000000-0005-0000-0000-000057400000}"/>
    <cellStyle name="Normal 2 75 11" xfId="16489" xr:uid="{00000000-0005-0000-0000-000058400000}"/>
    <cellStyle name="Normal 2 75 11 2" xfId="16490" xr:uid="{00000000-0005-0000-0000-000059400000}"/>
    <cellStyle name="Normal 2 75 11 3" xfId="16491" xr:uid="{00000000-0005-0000-0000-00005A400000}"/>
    <cellStyle name="Normal 2 75 12" xfId="16492" xr:uid="{00000000-0005-0000-0000-00005B400000}"/>
    <cellStyle name="Normal 2 75 12 2" xfId="16493" xr:uid="{00000000-0005-0000-0000-00005C400000}"/>
    <cellStyle name="Normal 2 75 12 3" xfId="16494" xr:uid="{00000000-0005-0000-0000-00005D400000}"/>
    <cellStyle name="Normal 2 75 13" xfId="16495" xr:uid="{00000000-0005-0000-0000-00005E400000}"/>
    <cellStyle name="Normal 2 75 13 2" xfId="16496" xr:uid="{00000000-0005-0000-0000-00005F400000}"/>
    <cellStyle name="Normal 2 75 13 3" xfId="16497" xr:uid="{00000000-0005-0000-0000-000060400000}"/>
    <cellStyle name="Normal 2 75 14" xfId="16498" xr:uid="{00000000-0005-0000-0000-000061400000}"/>
    <cellStyle name="Normal 2 75 14 2" xfId="16499" xr:uid="{00000000-0005-0000-0000-000062400000}"/>
    <cellStyle name="Normal 2 75 14 3" xfId="16500" xr:uid="{00000000-0005-0000-0000-000063400000}"/>
    <cellStyle name="Normal 2 75 15" xfId="16501" xr:uid="{00000000-0005-0000-0000-000064400000}"/>
    <cellStyle name="Normal 2 75 16" xfId="16502" xr:uid="{00000000-0005-0000-0000-000065400000}"/>
    <cellStyle name="Normal 2 75 2" xfId="16503" xr:uid="{00000000-0005-0000-0000-000066400000}"/>
    <cellStyle name="Normal 2 75 2 2" xfId="16504" xr:uid="{00000000-0005-0000-0000-000067400000}"/>
    <cellStyle name="Normal 2 75 2 3" xfId="16505" xr:uid="{00000000-0005-0000-0000-000068400000}"/>
    <cellStyle name="Normal 2 75 3" xfId="16506" xr:uid="{00000000-0005-0000-0000-000069400000}"/>
    <cellStyle name="Normal 2 75 3 2" xfId="16507" xr:uid="{00000000-0005-0000-0000-00006A400000}"/>
    <cellStyle name="Normal 2 75 3 3" xfId="16508" xr:uid="{00000000-0005-0000-0000-00006B400000}"/>
    <cellStyle name="Normal 2 75 4" xfId="16509" xr:uid="{00000000-0005-0000-0000-00006C400000}"/>
    <cellStyle name="Normal 2 75 4 2" xfId="16510" xr:uid="{00000000-0005-0000-0000-00006D400000}"/>
    <cellStyle name="Normal 2 75 4 3" xfId="16511" xr:uid="{00000000-0005-0000-0000-00006E400000}"/>
    <cellStyle name="Normal 2 75 5" xfId="16512" xr:uid="{00000000-0005-0000-0000-00006F400000}"/>
    <cellStyle name="Normal 2 75 5 2" xfId="16513" xr:uid="{00000000-0005-0000-0000-000070400000}"/>
    <cellStyle name="Normal 2 75 5 3" xfId="16514" xr:uid="{00000000-0005-0000-0000-000071400000}"/>
    <cellStyle name="Normal 2 75 6" xfId="16515" xr:uid="{00000000-0005-0000-0000-000072400000}"/>
    <cellStyle name="Normal 2 75 6 2" xfId="16516" xr:uid="{00000000-0005-0000-0000-000073400000}"/>
    <cellStyle name="Normal 2 75 6 3" xfId="16517" xr:uid="{00000000-0005-0000-0000-000074400000}"/>
    <cellStyle name="Normal 2 75 7" xfId="16518" xr:uid="{00000000-0005-0000-0000-000075400000}"/>
    <cellStyle name="Normal 2 75 7 2" xfId="16519" xr:uid="{00000000-0005-0000-0000-000076400000}"/>
    <cellStyle name="Normal 2 75 7 3" xfId="16520" xr:uid="{00000000-0005-0000-0000-000077400000}"/>
    <cellStyle name="Normal 2 75 8" xfId="16521" xr:uid="{00000000-0005-0000-0000-000078400000}"/>
    <cellStyle name="Normal 2 75 8 2" xfId="16522" xr:uid="{00000000-0005-0000-0000-000079400000}"/>
    <cellStyle name="Normal 2 75 8 3" xfId="16523" xr:uid="{00000000-0005-0000-0000-00007A400000}"/>
    <cellStyle name="Normal 2 75 9" xfId="16524" xr:uid="{00000000-0005-0000-0000-00007B400000}"/>
    <cellStyle name="Normal 2 75 9 2" xfId="16525" xr:uid="{00000000-0005-0000-0000-00007C400000}"/>
    <cellStyle name="Normal 2 75 9 3" xfId="16526" xr:uid="{00000000-0005-0000-0000-00007D400000}"/>
    <cellStyle name="Normal 2 76" xfId="16527" xr:uid="{00000000-0005-0000-0000-00007E400000}"/>
    <cellStyle name="Normal 2 76 10" xfId="16528" xr:uid="{00000000-0005-0000-0000-00007F400000}"/>
    <cellStyle name="Normal 2 76 10 2" xfId="16529" xr:uid="{00000000-0005-0000-0000-000080400000}"/>
    <cellStyle name="Normal 2 76 10 3" xfId="16530" xr:uid="{00000000-0005-0000-0000-000081400000}"/>
    <cellStyle name="Normal 2 76 11" xfId="16531" xr:uid="{00000000-0005-0000-0000-000082400000}"/>
    <cellStyle name="Normal 2 76 11 2" xfId="16532" xr:uid="{00000000-0005-0000-0000-000083400000}"/>
    <cellStyle name="Normal 2 76 11 3" xfId="16533" xr:uid="{00000000-0005-0000-0000-000084400000}"/>
    <cellStyle name="Normal 2 76 12" xfId="16534" xr:uid="{00000000-0005-0000-0000-000085400000}"/>
    <cellStyle name="Normal 2 76 12 2" xfId="16535" xr:uid="{00000000-0005-0000-0000-000086400000}"/>
    <cellStyle name="Normal 2 76 12 3" xfId="16536" xr:uid="{00000000-0005-0000-0000-000087400000}"/>
    <cellStyle name="Normal 2 76 13" xfId="16537" xr:uid="{00000000-0005-0000-0000-000088400000}"/>
    <cellStyle name="Normal 2 76 13 2" xfId="16538" xr:uid="{00000000-0005-0000-0000-000089400000}"/>
    <cellStyle name="Normal 2 76 13 3" xfId="16539" xr:uid="{00000000-0005-0000-0000-00008A400000}"/>
    <cellStyle name="Normal 2 76 14" xfId="16540" xr:uid="{00000000-0005-0000-0000-00008B400000}"/>
    <cellStyle name="Normal 2 76 14 2" xfId="16541" xr:uid="{00000000-0005-0000-0000-00008C400000}"/>
    <cellStyle name="Normal 2 76 14 3" xfId="16542" xr:uid="{00000000-0005-0000-0000-00008D400000}"/>
    <cellStyle name="Normal 2 76 15" xfId="16543" xr:uid="{00000000-0005-0000-0000-00008E400000}"/>
    <cellStyle name="Normal 2 76 16" xfId="16544" xr:uid="{00000000-0005-0000-0000-00008F400000}"/>
    <cellStyle name="Normal 2 76 2" xfId="16545" xr:uid="{00000000-0005-0000-0000-000090400000}"/>
    <cellStyle name="Normal 2 76 2 2" xfId="16546" xr:uid="{00000000-0005-0000-0000-000091400000}"/>
    <cellStyle name="Normal 2 76 2 3" xfId="16547" xr:uid="{00000000-0005-0000-0000-000092400000}"/>
    <cellStyle name="Normal 2 76 3" xfId="16548" xr:uid="{00000000-0005-0000-0000-000093400000}"/>
    <cellStyle name="Normal 2 76 3 2" xfId="16549" xr:uid="{00000000-0005-0000-0000-000094400000}"/>
    <cellStyle name="Normal 2 76 3 3" xfId="16550" xr:uid="{00000000-0005-0000-0000-000095400000}"/>
    <cellStyle name="Normal 2 76 4" xfId="16551" xr:uid="{00000000-0005-0000-0000-000096400000}"/>
    <cellStyle name="Normal 2 76 4 2" xfId="16552" xr:uid="{00000000-0005-0000-0000-000097400000}"/>
    <cellStyle name="Normal 2 76 4 3" xfId="16553" xr:uid="{00000000-0005-0000-0000-000098400000}"/>
    <cellStyle name="Normal 2 76 5" xfId="16554" xr:uid="{00000000-0005-0000-0000-000099400000}"/>
    <cellStyle name="Normal 2 76 5 2" xfId="16555" xr:uid="{00000000-0005-0000-0000-00009A400000}"/>
    <cellStyle name="Normal 2 76 5 3" xfId="16556" xr:uid="{00000000-0005-0000-0000-00009B400000}"/>
    <cellStyle name="Normal 2 76 6" xfId="16557" xr:uid="{00000000-0005-0000-0000-00009C400000}"/>
    <cellStyle name="Normal 2 76 6 2" xfId="16558" xr:uid="{00000000-0005-0000-0000-00009D400000}"/>
    <cellStyle name="Normal 2 76 6 3" xfId="16559" xr:uid="{00000000-0005-0000-0000-00009E400000}"/>
    <cellStyle name="Normal 2 76 7" xfId="16560" xr:uid="{00000000-0005-0000-0000-00009F400000}"/>
    <cellStyle name="Normal 2 76 7 2" xfId="16561" xr:uid="{00000000-0005-0000-0000-0000A0400000}"/>
    <cellStyle name="Normal 2 76 7 3" xfId="16562" xr:uid="{00000000-0005-0000-0000-0000A1400000}"/>
    <cellStyle name="Normal 2 76 8" xfId="16563" xr:uid="{00000000-0005-0000-0000-0000A2400000}"/>
    <cellStyle name="Normal 2 76 8 2" xfId="16564" xr:uid="{00000000-0005-0000-0000-0000A3400000}"/>
    <cellStyle name="Normal 2 76 8 3" xfId="16565" xr:uid="{00000000-0005-0000-0000-0000A4400000}"/>
    <cellStyle name="Normal 2 76 9" xfId="16566" xr:uid="{00000000-0005-0000-0000-0000A5400000}"/>
    <cellStyle name="Normal 2 76 9 2" xfId="16567" xr:uid="{00000000-0005-0000-0000-0000A6400000}"/>
    <cellStyle name="Normal 2 76 9 3" xfId="16568" xr:uid="{00000000-0005-0000-0000-0000A7400000}"/>
    <cellStyle name="Normal 2 77" xfId="16569" xr:uid="{00000000-0005-0000-0000-0000A8400000}"/>
    <cellStyle name="Normal 2 77 10" xfId="16570" xr:uid="{00000000-0005-0000-0000-0000A9400000}"/>
    <cellStyle name="Normal 2 77 10 2" xfId="16571" xr:uid="{00000000-0005-0000-0000-0000AA400000}"/>
    <cellStyle name="Normal 2 77 10 3" xfId="16572" xr:uid="{00000000-0005-0000-0000-0000AB400000}"/>
    <cellStyle name="Normal 2 77 11" xfId="16573" xr:uid="{00000000-0005-0000-0000-0000AC400000}"/>
    <cellStyle name="Normal 2 77 11 2" xfId="16574" xr:uid="{00000000-0005-0000-0000-0000AD400000}"/>
    <cellStyle name="Normal 2 77 11 3" xfId="16575" xr:uid="{00000000-0005-0000-0000-0000AE400000}"/>
    <cellStyle name="Normal 2 77 12" xfId="16576" xr:uid="{00000000-0005-0000-0000-0000AF400000}"/>
    <cellStyle name="Normal 2 77 12 2" xfId="16577" xr:uid="{00000000-0005-0000-0000-0000B0400000}"/>
    <cellStyle name="Normal 2 77 12 3" xfId="16578" xr:uid="{00000000-0005-0000-0000-0000B1400000}"/>
    <cellStyle name="Normal 2 77 13" xfId="16579" xr:uid="{00000000-0005-0000-0000-0000B2400000}"/>
    <cellStyle name="Normal 2 77 13 2" xfId="16580" xr:uid="{00000000-0005-0000-0000-0000B3400000}"/>
    <cellStyle name="Normal 2 77 13 3" xfId="16581" xr:uid="{00000000-0005-0000-0000-0000B4400000}"/>
    <cellStyle name="Normal 2 77 14" xfId="16582" xr:uid="{00000000-0005-0000-0000-0000B5400000}"/>
    <cellStyle name="Normal 2 77 14 2" xfId="16583" xr:uid="{00000000-0005-0000-0000-0000B6400000}"/>
    <cellStyle name="Normal 2 77 14 3" xfId="16584" xr:uid="{00000000-0005-0000-0000-0000B7400000}"/>
    <cellStyle name="Normal 2 77 15" xfId="16585" xr:uid="{00000000-0005-0000-0000-0000B8400000}"/>
    <cellStyle name="Normal 2 77 16" xfId="16586" xr:uid="{00000000-0005-0000-0000-0000B9400000}"/>
    <cellStyle name="Normal 2 77 2" xfId="16587" xr:uid="{00000000-0005-0000-0000-0000BA400000}"/>
    <cellStyle name="Normal 2 77 2 2" xfId="16588" xr:uid="{00000000-0005-0000-0000-0000BB400000}"/>
    <cellStyle name="Normal 2 77 2 3" xfId="16589" xr:uid="{00000000-0005-0000-0000-0000BC400000}"/>
    <cellStyle name="Normal 2 77 3" xfId="16590" xr:uid="{00000000-0005-0000-0000-0000BD400000}"/>
    <cellStyle name="Normal 2 77 3 2" xfId="16591" xr:uid="{00000000-0005-0000-0000-0000BE400000}"/>
    <cellStyle name="Normal 2 77 3 3" xfId="16592" xr:uid="{00000000-0005-0000-0000-0000BF400000}"/>
    <cellStyle name="Normal 2 77 4" xfId="16593" xr:uid="{00000000-0005-0000-0000-0000C0400000}"/>
    <cellStyle name="Normal 2 77 4 2" xfId="16594" xr:uid="{00000000-0005-0000-0000-0000C1400000}"/>
    <cellStyle name="Normal 2 77 4 3" xfId="16595" xr:uid="{00000000-0005-0000-0000-0000C2400000}"/>
    <cellStyle name="Normal 2 77 5" xfId="16596" xr:uid="{00000000-0005-0000-0000-0000C3400000}"/>
    <cellStyle name="Normal 2 77 5 2" xfId="16597" xr:uid="{00000000-0005-0000-0000-0000C4400000}"/>
    <cellStyle name="Normal 2 77 5 3" xfId="16598" xr:uid="{00000000-0005-0000-0000-0000C5400000}"/>
    <cellStyle name="Normal 2 77 6" xfId="16599" xr:uid="{00000000-0005-0000-0000-0000C6400000}"/>
    <cellStyle name="Normal 2 77 6 2" xfId="16600" xr:uid="{00000000-0005-0000-0000-0000C7400000}"/>
    <cellStyle name="Normal 2 77 6 3" xfId="16601" xr:uid="{00000000-0005-0000-0000-0000C8400000}"/>
    <cellStyle name="Normal 2 77 7" xfId="16602" xr:uid="{00000000-0005-0000-0000-0000C9400000}"/>
    <cellStyle name="Normal 2 77 7 2" xfId="16603" xr:uid="{00000000-0005-0000-0000-0000CA400000}"/>
    <cellStyle name="Normal 2 77 7 3" xfId="16604" xr:uid="{00000000-0005-0000-0000-0000CB400000}"/>
    <cellStyle name="Normal 2 77 8" xfId="16605" xr:uid="{00000000-0005-0000-0000-0000CC400000}"/>
    <cellStyle name="Normal 2 77 8 2" xfId="16606" xr:uid="{00000000-0005-0000-0000-0000CD400000}"/>
    <cellStyle name="Normal 2 77 8 3" xfId="16607" xr:uid="{00000000-0005-0000-0000-0000CE400000}"/>
    <cellStyle name="Normal 2 77 9" xfId="16608" xr:uid="{00000000-0005-0000-0000-0000CF400000}"/>
    <cellStyle name="Normal 2 77 9 2" xfId="16609" xr:uid="{00000000-0005-0000-0000-0000D0400000}"/>
    <cellStyle name="Normal 2 77 9 3" xfId="16610" xr:uid="{00000000-0005-0000-0000-0000D1400000}"/>
    <cellStyle name="Normal 2 78" xfId="16611" xr:uid="{00000000-0005-0000-0000-0000D2400000}"/>
    <cellStyle name="Normal 2 78 10" xfId="16612" xr:uid="{00000000-0005-0000-0000-0000D3400000}"/>
    <cellStyle name="Normal 2 78 10 2" xfId="16613" xr:uid="{00000000-0005-0000-0000-0000D4400000}"/>
    <cellStyle name="Normal 2 78 10 3" xfId="16614" xr:uid="{00000000-0005-0000-0000-0000D5400000}"/>
    <cellStyle name="Normal 2 78 11" xfId="16615" xr:uid="{00000000-0005-0000-0000-0000D6400000}"/>
    <cellStyle name="Normal 2 78 11 2" xfId="16616" xr:uid="{00000000-0005-0000-0000-0000D7400000}"/>
    <cellStyle name="Normal 2 78 11 3" xfId="16617" xr:uid="{00000000-0005-0000-0000-0000D8400000}"/>
    <cellStyle name="Normal 2 78 12" xfId="16618" xr:uid="{00000000-0005-0000-0000-0000D9400000}"/>
    <cellStyle name="Normal 2 78 12 2" xfId="16619" xr:uid="{00000000-0005-0000-0000-0000DA400000}"/>
    <cellStyle name="Normal 2 78 12 3" xfId="16620" xr:uid="{00000000-0005-0000-0000-0000DB400000}"/>
    <cellStyle name="Normal 2 78 13" xfId="16621" xr:uid="{00000000-0005-0000-0000-0000DC400000}"/>
    <cellStyle name="Normal 2 78 13 2" xfId="16622" xr:uid="{00000000-0005-0000-0000-0000DD400000}"/>
    <cellStyle name="Normal 2 78 13 3" xfId="16623" xr:uid="{00000000-0005-0000-0000-0000DE400000}"/>
    <cellStyle name="Normal 2 78 14" xfId="16624" xr:uid="{00000000-0005-0000-0000-0000DF400000}"/>
    <cellStyle name="Normal 2 78 14 2" xfId="16625" xr:uid="{00000000-0005-0000-0000-0000E0400000}"/>
    <cellStyle name="Normal 2 78 14 3" xfId="16626" xr:uid="{00000000-0005-0000-0000-0000E1400000}"/>
    <cellStyle name="Normal 2 78 15" xfId="16627" xr:uid="{00000000-0005-0000-0000-0000E2400000}"/>
    <cellStyle name="Normal 2 78 16" xfId="16628" xr:uid="{00000000-0005-0000-0000-0000E3400000}"/>
    <cellStyle name="Normal 2 78 2" xfId="16629" xr:uid="{00000000-0005-0000-0000-0000E4400000}"/>
    <cellStyle name="Normal 2 78 2 2" xfId="16630" xr:uid="{00000000-0005-0000-0000-0000E5400000}"/>
    <cellStyle name="Normal 2 78 2 3" xfId="16631" xr:uid="{00000000-0005-0000-0000-0000E6400000}"/>
    <cellStyle name="Normal 2 78 3" xfId="16632" xr:uid="{00000000-0005-0000-0000-0000E7400000}"/>
    <cellStyle name="Normal 2 78 3 2" xfId="16633" xr:uid="{00000000-0005-0000-0000-0000E8400000}"/>
    <cellStyle name="Normal 2 78 3 3" xfId="16634" xr:uid="{00000000-0005-0000-0000-0000E9400000}"/>
    <cellStyle name="Normal 2 78 4" xfId="16635" xr:uid="{00000000-0005-0000-0000-0000EA400000}"/>
    <cellStyle name="Normal 2 78 4 2" xfId="16636" xr:uid="{00000000-0005-0000-0000-0000EB400000}"/>
    <cellStyle name="Normal 2 78 4 3" xfId="16637" xr:uid="{00000000-0005-0000-0000-0000EC400000}"/>
    <cellStyle name="Normal 2 78 5" xfId="16638" xr:uid="{00000000-0005-0000-0000-0000ED400000}"/>
    <cellStyle name="Normal 2 78 5 2" xfId="16639" xr:uid="{00000000-0005-0000-0000-0000EE400000}"/>
    <cellStyle name="Normal 2 78 5 3" xfId="16640" xr:uid="{00000000-0005-0000-0000-0000EF400000}"/>
    <cellStyle name="Normal 2 78 6" xfId="16641" xr:uid="{00000000-0005-0000-0000-0000F0400000}"/>
    <cellStyle name="Normal 2 78 6 2" xfId="16642" xr:uid="{00000000-0005-0000-0000-0000F1400000}"/>
    <cellStyle name="Normal 2 78 6 3" xfId="16643" xr:uid="{00000000-0005-0000-0000-0000F2400000}"/>
    <cellStyle name="Normal 2 78 7" xfId="16644" xr:uid="{00000000-0005-0000-0000-0000F3400000}"/>
    <cellStyle name="Normal 2 78 7 2" xfId="16645" xr:uid="{00000000-0005-0000-0000-0000F4400000}"/>
    <cellStyle name="Normal 2 78 7 3" xfId="16646" xr:uid="{00000000-0005-0000-0000-0000F5400000}"/>
    <cellStyle name="Normal 2 78 8" xfId="16647" xr:uid="{00000000-0005-0000-0000-0000F6400000}"/>
    <cellStyle name="Normal 2 78 8 2" xfId="16648" xr:uid="{00000000-0005-0000-0000-0000F7400000}"/>
    <cellStyle name="Normal 2 78 8 3" xfId="16649" xr:uid="{00000000-0005-0000-0000-0000F8400000}"/>
    <cellStyle name="Normal 2 78 9" xfId="16650" xr:uid="{00000000-0005-0000-0000-0000F9400000}"/>
    <cellStyle name="Normal 2 78 9 2" xfId="16651" xr:uid="{00000000-0005-0000-0000-0000FA400000}"/>
    <cellStyle name="Normal 2 78 9 3" xfId="16652" xr:uid="{00000000-0005-0000-0000-0000FB400000}"/>
    <cellStyle name="Normal 2 79" xfId="16653" xr:uid="{00000000-0005-0000-0000-0000FC400000}"/>
    <cellStyle name="Normal 2 8" xfId="16654" xr:uid="{00000000-0005-0000-0000-0000FD400000}"/>
    <cellStyle name="Normal 2 8 2" xfId="16655" xr:uid="{00000000-0005-0000-0000-0000FE400000}"/>
    <cellStyle name="Normal 2 8 2 2" xfId="16656" xr:uid="{00000000-0005-0000-0000-0000FF400000}"/>
    <cellStyle name="Normal 2 8 3" xfId="16657" xr:uid="{00000000-0005-0000-0000-000000410000}"/>
    <cellStyle name="Normal 2 8 3 2" xfId="16658" xr:uid="{00000000-0005-0000-0000-000001410000}"/>
    <cellStyle name="Normal 2 8 4" xfId="16659" xr:uid="{00000000-0005-0000-0000-000002410000}"/>
    <cellStyle name="Normal 2 8 4 2" xfId="16660" xr:uid="{00000000-0005-0000-0000-000003410000}"/>
    <cellStyle name="Normal 2 8 5" xfId="16661" xr:uid="{00000000-0005-0000-0000-000004410000}"/>
    <cellStyle name="Normal 2 8 5 2" xfId="16662" xr:uid="{00000000-0005-0000-0000-000005410000}"/>
    <cellStyle name="Normal 2 8 6" xfId="16663" xr:uid="{00000000-0005-0000-0000-000006410000}"/>
    <cellStyle name="Normal 2 8 6 2" xfId="16664" xr:uid="{00000000-0005-0000-0000-000007410000}"/>
    <cellStyle name="Normal 2 8 7" xfId="16665" xr:uid="{00000000-0005-0000-0000-000008410000}"/>
    <cellStyle name="Normal 2 8 7 2" xfId="16666" xr:uid="{00000000-0005-0000-0000-000009410000}"/>
    <cellStyle name="Normal 2 8 8" xfId="16667" xr:uid="{00000000-0005-0000-0000-00000A410000}"/>
    <cellStyle name="Normal 2 80" xfId="16668" xr:uid="{00000000-0005-0000-0000-00000B410000}"/>
    <cellStyle name="Normal 2 80 10" xfId="16669" xr:uid="{00000000-0005-0000-0000-00000C410000}"/>
    <cellStyle name="Normal 2 80 10 2" xfId="16670" xr:uid="{00000000-0005-0000-0000-00000D410000}"/>
    <cellStyle name="Normal 2 80 10 3" xfId="16671" xr:uid="{00000000-0005-0000-0000-00000E410000}"/>
    <cellStyle name="Normal 2 80 11" xfId="16672" xr:uid="{00000000-0005-0000-0000-00000F410000}"/>
    <cellStyle name="Normal 2 80 11 2" xfId="16673" xr:uid="{00000000-0005-0000-0000-000010410000}"/>
    <cellStyle name="Normal 2 80 11 3" xfId="16674" xr:uid="{00000000-0005-0000-0000-000011410000}"/>
    <cellStyle name="Normal 2 80 12" xfId="16675" xr:uid="{00000000-0005-0000-0000-000012410000}"/>
    <cellStyle name="Normal 2 80 12 2" xfId="16676" xr:uid="{00000000-0005-0000-0000-000013410000}"/>
    <cellStyle name="Normal 2 80 12 3" xfId="16677" xr:uid="{00000000-0005-0000-0000-000014410000}"/>
    <cellStyle name="Normal 2 80 13" xfId="16678" xr:uid="{00000000-0005-0000-0000-000015410000}"/>
    <cellStyle name="Normal 2 80 13 2" xfId="16679" xr:uid="{00000000-0005-0000-0000-000016410000}"/>
    <cellStyle name="Normal 2 80 13 3" xfId="16680" xr:uid="{00000000-0005-0000-0000-000017410000}"/>
    <cellStyle name="Normal 2 80 14" xfId="16681" xr:uid="{00000000-0005-0000-0000-000018410000}"/>
    <cellStyle name="Normal 2 80 14 2" xfId="16682" xr:uid="{00000000-0005-0000-0000-000019410000}"/>
    <cellStyle name="Normal 2 80 14 3" xfId="16683" xr:uid="{00000000-0005-0000-0000-00001A410000}"/>
    <cellStyle name="Normal 2 80 15" xfId="16684" xr:uid="{00000000-0005-0000-0000-00001B410000}"/>
    <cellStyle name="Normal 2 80 16" xfId="16685" xr:uid="{00000000-0005-0000-0000-00001C410000}"/>
    <cellStyle name="Normal 2 80 2" xfId="16686" xr:uid="{00000000-0005-0000-0000-00001D410000}"/>
    <cellStyle name="Normal 2 80 2 2" xfId="16687" xr:uid="{00000000-0005-0000-0000-00001E410000}"/>
    <cellStyle name="Normal 2 80 2 3" xfId="16688" xr:uid="{00000000-0005-0000-0000-00001F410000}"/>
    <cellStyle name="Normal 2 80 3" xfId="16689" xr:uid="{00000000-0005-0000-0000-000020410000}"/>
    <cellStyle name="Normal 2 80 3 2" xfId="16690" xr:uid="{00000000-0005-0000-0000-000021410000}"/>
    <cellStyle name="Normal 2 80 3 3" xfId="16691" xr:uid="{00000000-0005-0000-0000-000022410000}"/>
    <cellStyle name="Normal 2 80 4" xfId="16692" xr:uid="{00000000-0005-0000-0000-000023410000}"/>
    <cellStyle name="Normal 2 80 4 2" xfId="16693" xr:uid="{00000000-0005-0000-0000-000024410000}"/>
    <cellStyle name="Normal 2 80 4 3" xfId="16694" xr:uid="{00000000-0005-0000-0000-000025410000}"/>
    <cellStyle name="Normal 2 80 5" xfId="16695" xr:uid="{00000000-0005-0000-0000-000026410000}"/>
    <cellStyle name="Normal 2 80 5 2" xfId="16696" xr:uid="{00000000-0005-0000-0000-000027410000}"/>
    <cellStyle name="Normal 2 80 5 3" xfId="16697" xr:uid="{00000000-0005-0000-0000-000028410000}"/>
    <cellStyle name="Normal 2 80 6" xfId="16698" xr:uid="{00000000-0005-0000-0000-000029410000}"/>
    <cellStyle name="Normal 2 80 6 2" xfId="16699" xr:uid="{00000000-0005-0000-0000-00002A410000}"/>
    <cellStyle name="Normal 2 80 6 3" xfId="16700" xr:uid="{00000000-0005-0000-0000-00002B410000}"/>
    <cellStyle name="Normal 2 80 7" xfId="16701" xr:uid="{00000000-0005-0000-0000-00002C410000}"/>
    <cellStyle name="Normal 2 80 7 2" xfId="16702" xr:uid="{00000000-0005-0000-0000-00002D410000}"/>
    <cellStyle name="Normal 2 80 7 3" xfId="16703" xr:uid="{00000000-0005-0000-0000-00002E410000}"/>
    <cellStyle name="Normal 2 80 8" xfId="16704" xr:uid="{00000000-0005-0000-0000-00002F410000}"/>
    <cellStyle name="Normal 2 80 8 2" xfId="16705" xr:uid="{00000000-0005-0000-0000-000030410000}"/>
    <cellStyle name="Normal 2 80 8 3" xfId="16706" xr:uid="{00000000-0005-0000-0000-000031410000}"/>
    <cellStyle name="Normal 2 80 9" xfId="16707" xr:uid="{00000000-0005-0000-0000-000032410000}"/>
    <cellStyle name="Normal 2 80 9 2" xfId="16708" xr:uid="{00000000-0005-0000-0000-000033410000}"/>
    <cellStyle name="Normal 2 80 9 3" xfId="16709" xr:uid="{00000000-0005-0000-0000-000034410000}"/>
    <cellStyle name="Normal 2 81" xfId="16710" xr:uid="{00000000-0005-0000-0000-000035410000}"/>
    <cellStyle name="Normal 2 81 10" xfId="16711" xr:uid="{00000000-0005-0000-0000-000036410000}"/>
    <cellStyle name="Normal 2 81 10 2" xfId="16712" xr:uid="{00000000-0005-0000-0000-000037410000}"/>
    <cellStyle name="Normal 2 81 10 3" xfId="16713" xr:uid="{00000000-0005-0000-0000-000038410000}"/>
    <cellStyle name="Normal 2 81 11" xfId="16714" xr:uid="{00000000-0005-0000-0000-000039410000}"/>
    <cellStyle name="Normal 2 81 11 2" xfId="16715" xr:uid="{00000000-0005-0000-0000-00003A410000}"/>
    <cellStyle name="Normal 2 81 11 3" xfId="16716" xr:uid="{00000000-0005-0000-0000-00003B410000}"/>
    <cellStyle name="Normal 2 81 12" xfId="16717" xr:uid="{00000000-0005-0000-0000-00003C410000}"/>
    <cellStyle name="Normal 2 81 12 2" xfId="16718" xr:uid="{00000000-0005-0000-0000-00003D410000}"/>
    <cellStyle name="Normal 2 81 12 3" xfId="16719" xr:uid="{00000000-0005-0000-0000-00003E410000}"/>
    <cellStyle name="Normal 2 81 13" xfId="16720" xr:uid="{00000000-0005-0000-0000-00003F410000}"/>
    <cellStyle name="Normal 2 81 13 2" xfId="16721" xr:uid="{00000000-0005-0000-0000-000040410000}"/>
    <cellStyle name="Normal 2 81 13 3" xfId="16722" xr:uid="{00000000-0005-0000-0000-000041410000}"/>
    <cellStyle name="Normal 2 81 14" xfId="16723" xr:uid="{00000000-0005-0000-0000-000042410000}"/>
    <cellStyle name="Normal 2 81 14 2" xfId="16724" xr:uid="{00000000-0005-0000-0000-000043410000}"/>
    <cellStyle name="Normal 2 81 14 3" xfId="16725" xr:uid="{00000000-0005-0000-0000-000044410000}"/>
    <cellStyle name="Normal 2 81 15" xfId="16726" xr:uid="{00000000-0005-0000-0000-000045410000}"/>
    <cellStyle name="Normal 2 81 16" xfId="16727" xr:uid="{00000000-0005-0000-0000-000046410000}"/>
    <cellStyle name="Normal 2 81 2" xfId="16728" xr:uid="{00000000-0005-0000-0000-000047410000}"/>
    <cellStyle name="Normal 2 81 2 2" xfId="16729" xr:uid="{00000000-0005-0000-0000-000048410000}"/>
    <cellStyle name="Normal 2 81 2 3" xfId="16730" xr:uid="{00000000-0005-0000-0000-000049410000}"/>
    <cellStyle name="Normal 2 81 3" xfId="16731" xr:uid="{00000000-0005-0000-0000-00004A410000}"/>
    <cellStyle name="Normal 2 81 3 2" xfId="16732" xr:uid="{00000000-0005-0000-0000-00004B410000}"/>
    <cellStyle name="Normal 2 81 3 3" xfId="16733" xr:uid="{00000000-0005-0000-0000-00004C410000}"/>
    <cellStyle name="Normal 2 81 4" xfId="16734" xr:uid="{00000000-0005-0000-0000-00004D410000}"/>
    <cellStyle name="Normal 2 81 4 2" xfId="16735" xr:uid="{00000000-0005-0000-0000-00004E410000}"/>
    <cellStyle name="Normal 2 81 4 3" xfId="16736" xr:uid="{00000000-0005-0000-0000-00004F410000}"/>
    <cellStyle name="Normal 2 81 5" xfId="16737" xr:uid="{00000000-0005-0000-0000-000050410000}"/>
    <cellStyle name="Normal 2 81 5 2" xfId="16738" xr:uid="{00000000-0005-0000-0000-000051410000}"/>
    <cellStyle name="Normal 2 81 5 3" xfId="16739" xr:uid="{00000000-0005-0000-0000-000052410000}"/>
    <cellStyle name="Normal 2 81 6" xfId="16740" xr:uid="{00000000-0005-0000-0000-000053410000}"/>
    <cellStyle name="Normal 2 81 6 2" xfId="16741" xr:uid="{00000000-0005-0000-0000-000054410000}"/>
    <cellStyle name="Normal 2 81 6 3" xfId="16742" xr:uid="{00000000-0005-0000-0000-000055410000}"/>
    <cellStyle name="Normal 2 81 7" xfId="16743" xr:uid="{00000000-0005-0000-0000-000056410000}"/>
    <cellStyle name="Normal 2 81 7 2" xfId="16744" xr:uid="{00000000-0005-0000-0000-000057410000}"/>
    <cellStyle name="Normal 2 81 7 3" xfId="16745" xr:uid="{00000000-0005-0000-0000-000058410000}"/>
    <cellStyle name="Normal 2 81 8" xfId="16746" xr:uid="{00000000-0005-0000-0000-000059410000}"/>
    <cellStyle name="Normal 2 81 8 2" xfId="16747" xr:uid="{00000000-0005-0000-0000-00005A410000}"/>
    <cellStyle name="Normal 2 81 8 3" xfId="16748" xr:uid="{00000000-0005-0000-0000-00005B410000}"/>
    <cellStyle name="Normal 2 81 9" xfId="16749" xr:uid="{00000000-0005-0000-0000-00005C410000}"/>
    <cellStyle name="Normal 2 81 9 2" xfId="16750" xr:uid="{00000000-0005-0000-0000-00005D410000}"/>
    <cellStyle name="Normal 2 81 9 3" xfId="16751" xr:uid="{00000000-0005-0000-0000-00005E410000}"/>
    <cellStyle name="Normal 2 82" xfId="16752" xr:uid="{00000000-0005-0000-0000-00005F410000}"/>
    <cellStyle name="Normal 2 82 2" xfId="16753" xr:uid="{00000000-0005-0000-0000-000060410000}"/>
    <cellStyle name="Normal 2 82 2 2" xfId="16754" xr:uid="{00000000-0005-0000-0000-000061410000}"/>
    <cellStyle name="Normal 2 82 2 3" xfId="16755" xr:uid="{00000000-0005-0000-0000-000062410000}"/>
    <cellStyle name="Normal 2 82 3" xfId="16756" xr:uid="{00000000-0005-0000-0000-000063410000}"/>
    <cellStyle name="Normal 2 83" xfId="16757" xr:uid="{00000000-0005-0000-0000-000064410000}"/>
    <cellStyle name="Normal 2 83 2" xfId="16758" xr:uid="{00000000-0005-0000-0000-000065410000}"/>
    <cellStyle name="Normal 2 83 3" xfId="16759" xr:uid="{00000000-0005-0000-0000-000066410000}"/>
    <cellStyle name="Normal 2 84" xfId="16760" xr:uid="{00000000-0005-0000-0000-000067410000}"/>
    <cellStyle name="Normal 2 84 2" xfId="16761" xr:uid="{00000000-0005-0000-0000-000068410000}"/>
    <cellStyle name="Normal 2 84 3" xfId="16762" xr:uid="{00000000-0005-0000-0000-000069410000}"/>
    <cellStyle name="Normal 2 85" xfId="16763" xr:uid="{00000000-0005-0000-0000-00006A410000}"/>
    <cellStyle name="Normal 2 85 2" xfId="16764" xr:uid="{00000000-0005-0000-0000-00006B410000}"/>
    <cellStyle name="Normal 2 85 3" xfId="16765" xr:uid="{00000000-0005-0000-0000-00006C410000}"/>
    <cellStyle name="Normal 2 86" xfId="16766" xr:uid="{00000000-0005-0000-0000-00006D410000}"/>
    <cellStyle name="Normal 2 86 2" xfId="16767" xr:uid="{00000000-0005-0000-0000-00006E410000}"/>
    <cellStyle name="Normal 2 86 3" xfId="16768" xr:uid="{00000000-0005-0000-0000-00006F410000}"/>
    <cellStyle name="Normal 2 87" xfId="16769" xr:uid="{00000000-0005-0000-0000-000070410000}"/>
    <cellStyle name="Normal 2 87 2" xfId="16770" xr:uid="{00000000-0005-0000-0000-000071410000}"/>
    <cellStyle name="Normal 2 87 3" xfId="16771" xr:uid="{00000000-0005-0000-0000-000072410000}"/>
    <cellStyle name="Normal 2 88" xfId="16772" xr:uid="{00000000-0005-0000-0000-000073410000}"/>
    <cellStyle name="Normal 2 88 2" xfId="16773" xr:uid="{00000000-0005-0000-0000-000074410000}"/>
    <cellStyle name="Normal 2 88 3" xfId="16774" xr:uid="{00000000-0005-0000-0000-000075410000}"/>
    <cellStyle name="Normal 2 89" xfId="16775" xr:uid="{00000000-0005-0000-0000-000076410000}"/>
    <cellStyle name="Normal 2 89 2" xfId="16776" xr:uid="{00000000-0005-0000-0000-000077410000}"/>
    <cellStyle name="Normal 2 89 3" xfId="16777" xr:uid="{00000000-0005-0000-0000-000078410000}"/>
    <cellStyle name="Normal 2 9" xfId="16778" xr:uid="{00000000-0005-0000-0000-000079410000}"/>
    <cellStyle name="Normal 2 9 2" xfId="16779" xr:uid="{00000000-0005-0000-0000-00007A410000}"/>
    <cellStyle name="Normal 2 9 2 2" xfId="16780" xr:uid="{00000000-0005-0000-0000-00007B410000}"/>
    <cellStyle name="Normal 2 9 3" xfId="16781" xr:uid="{00000000-0005-0000-0000-00007C410000}"/>
    <cellStyle name="Normal 2 9 3 2" xfId="16782" xr:uid="{00000000-0005-0000-0000-00007D410000}"/>
    <cellStyle name="Normal 2 9 4" xfId="16783" xr:uid="{00000000-0005-0000-0000-00007E410000}"/>
    <cellStyle name="Normal 2 9 4 2" xfId="16784" xr:uid="{00000000-0005-0000-0000-00007F410000}"/>
    <cellStyle name="Normal 2 9 5" xfId="16785" xr:uid="{00000000-0005-0000-0000-000080410000}"/>
    <cellStyle name="Normal 2 9 5 2" xfId="16786" xr:uid="{00000000-0005-0000-0000-000081410000}"/>
    <cellStyle name="Normal 2 9 6" xfId="16787" xr:uid="{00000000-0005-0000-0000-000082410000}"/>
    <cellStyle name="Normal 2 9 6 2" xfId="16788" xr:uid="{00000000-0005-0000-0000-000083410000}"/>
    <cellStyle name="Normal 2 9 7" xfId="16789" xr:uid="{00000000-0005-0000-0000-000084410000}"/>
    <cellStyle name="Normal 2 9 7 2" xfId="16790" xr:uid="{00000000-0005-0000-0000-000085410000}"/>
    <cellStyle name="Normal 2 9 8" xfId="16791" xr:uid="{00000000-0005-0000-0000-000086410000}"/>
    <cellStyle name="Normal 2 90" xfId="16792" xr:uid="{00000000-0005-0000-0000-000087410000}"/>
    <cellStyle name="Normal 2 90 2" xfId="16793" xr:uid="{00000000-0005-0000-0000-000088410000}"/>
    <cellStyle name="Normal 2 90 3" xfId="16794" xr:uid="{00000000-0005-0000-0000-000089410000}"/>
    <cellStyle name="Normal 2 91" xfId="16795" xr:uid="{00000000-0005-0000-0000-00008A410000}"/>
    <cellStyle name="Normal 2 91 2" xfId="16796" xr:uid="{00000000-0005-0000-0000-00008B410000}"/>
    <cellStyle name="Normal 2 91 3" xfId="16797" xr:uid="{00000000-0005-0000-0000-00008C410000}"/>
    <cellStyle name="Normal 2 92" xfId="16798" xr:uid="{00000000-0005-0000-0000-00008D410000}"/>
    <cellStyle name="Normal 2 92 2" xfId="16799" xr:uid="{00000000-0005-0000-0000-00008E410000}"/>
    <cellStyle name="Normal 2 92 3" xfId="16800" xr:uid="{00000000-0005-0000-0000-00008F410000}"/>
    <cellStyle name="Normal 2 93" xfId="16801" xr:uid="{00000000-0005-0000-0000-000090410000}"/>
    <cellStyle name="Normal 2 94" xfId="16802" xr:uid="{00000000-0005-0000-0000-000091410000}"/>
    <cellStyle name="Normal 2 95" xfId="4325" xr:uid="{00000000-0005-0000-0000-000092410000}"/>
    <cellStyle name="Normal 2 96" xfId="28" xr:uid="{00000000-0005-0000-0000-000093410000}"/>
    <cellStyle name="Normal 2_Sheet1" xfId="16803" xr:uid="{00000000-0005-0000-0000-000094410000}"/>
    <cellStyle name="Normal 20" xfId="50" xr:uid="{00000000-0005-0000-0000-000095410000}"/>
    <cellStyle name="Normal 20 10" xfId="16805" xr:uid="{00000000-0005-0000-0000-000096410000}"/>
    <cellStyle name="Normal 20 10 10" xfId="16806" xr:uid="{00000000-0005-0000-0000-000097410000}"/>
    <cellStyle name="Normal 20 10 11" xfId="16807" xr:uid="{00000000-0005-0000-0000-000098410000}"/>
    <cellStyle name="Normal 20 10 12" xfId="16808" xr:uid="{00000000-0005-0000-0000-000099410000}"/>
    <cellStyle name="Normal 20 10 13" xfId="16809" xr:uid="{00000000-0005-0000-0000-00009A410000}"/>
    <cellStyle name="Normal 20 10 14" xfId="16810" xr:uid="{00000000-0005-0000-0000-00009B410000}"/>
    <cellStyle name="Normal 20 10 2" xfId="16811" xr:uid="{00000000-0005-0000-0000-00009C410000}"/>
    <cellStyle name="Normal 20 10 2 2" xfId="16812" xr:uid="{00000000-0005-0000-0000-00009D410000}"/>
    <cellStyle name="Normal 20 10 2 2 2" xfId="16813" xr:uid="{00000000-0005-0000-0000-00009E410000}"/>
    <cellStyle name="Normal 20 10 2 2 3" xfId="16814" xr:uid="{00000000-0005-0000-0000-00009F410000}"/>
    <cellStyle name="Normal 20 10 2 3" xfId="16815" xr:uid="{00000000-0005-0000-0000-0000A0410000}"/>
    <cellStyle name="Normal 20 10 3" xfId="16816" xr:uid="{00000000-0005-0000-0000-0000A1410000}"/>
    <cellStyle name="Normal 20 10 4" xfId="16817" xr:uid="{00000000-0005-0000-0000-0000A2410000}"/>
    <cellStyle name="Normal 20 10 5" xfId="16818" xr:uid="{00000000-0005-0000-0000-0000A3410000}"/>
    <cellStyle name="Normal 20 10 6" xfId="16819" xr:uid="{00000000-0005-0000-0000-0000A4410000}"/>
    <cellStyle name="Normal 20 10 7" xfId="16820" xr:uid="{00000000-0005-0000-0000-0000A5410000}"/>
    <cellStyle name="Normal 20 10 8" xfId="16821" xr:uid="{00000000-0005-0000-0000-0000A6410000}"/>
    <cellStyle name="Normal 20 10 9" xfId="16822" xr:uid="{00000000-0005-0000-0000-0000A7410000}"/>
    <cellStyle name="Normal 20 11" xfId="16823" xr:uid="{00000000-0005-0000-0000-0000A8410000}"/>
    <cellStyle name="Normal 20 12" xfId="16824" xr:uid="{00000000-0005-0000-0000-0000A9410000}"/>
    <cellStyle name="Normal 20 13" xfId="16825" xr:uid="{00000000-0005-0000-0000-0000AA410000}"/>
    <cellStyle name="Normal 20 13 2" xfId="16826" xr:uid="{00000000-0005-0000-0000-0000AB410000}"/>
    <cellStyle name="Normal 20 13 2 2" xfId="16827" xr:uid="{00000000-0005-0000-0000-0000AC410000}"/>
    <cellStyle name="Normal 20 13 2 3" xfId="16828" xr:uid="{00000000-0005-0000-0000-0000AD410000}"/>
    <cellStyle name="Normal 20 13 3" xfId="16829" xr:uid="{00000000-0005-0000-0000-0000AE410000}"/>
    <cellStyle name="Normal 20 14" xfId="16830" xr:uid="{00000000-0005-0000-0000-0000AF410000}"/>
    <cellStyle name="Normal 20 14 2" xfId="16831" xr:uid="{00000000-0005-0000-0000-0000B0410000}"/>
    <cellStyle name="Normal 20 14 2 2" xfId="16832" xr:uid="{00000000-0005-0000-0000-0000B1410000}"/>
    <cellStyle name="Normal 20 14 2 3" xfId="16833" xr:uid="{00000000-0005-0000-0000-0000B2410000}"/>
    <cellStyle name="Normal 20 14 3" xfId="16834" xr:uid="{00000000-0005-0000-0000-0000B3410000}"/>
    <cellStyle name="Normal 20 15" xfId="16835" xr:uid="{00000000-0005-0000-0000-0000B4410000}"/>
    <cellStyle name="Normal 20 16" xfId="16836" xr:uid="{00000000-0005-0000-0000-0000B5410000}"/>
    <cellStyle name="Normal 20 17" xfId="16837" xr:uid="{00000000-0005-0000-0000-0000B6410000}"/>
    <cellStyle name="Normal 20 18" xfId="16838" xr:uid="{00000000-0005-0000-0000-0000B7410000}"/>
    <cellStyle name="Normal 20 19" xfId="16839" xr:uid="{00000000-0005-0000-0000-0000B8410000}"/>
    <cellStyle name="Normal 20 2" xfId="16840" xr:uid="{00000000-0005-0000-0000-0000B9410000}"/>
    <cellStyle name="Normal 20 20" xfId="16841" xr:uid="{00000000-0005-0000-0000-0000BA410000}"/>
    <cellStyle name="Normal 20 21" xfId="16842" xr:uid="{00000000-0005-0000-0000-0000BB410000}"/>
    <cellStyle name="Normal 20 22" xfId="16843" xr:uid="{00000000-0005-0000-0000-0000BC410000}"/>
    <cellStyle name="Normal 20 23" xfId="16844" xr:uid="{00000000-0005-0000-0000-0000BD410000}"/>
    <cellStyle name="Normal 20 24" xfId="16845" xr:uid="{00000000-0005-0000-0000-0000BE410000}"/>
    <cellStyle name="Normal 20 25" xfId="16804" xr:uid="{00000000-0005-0000-0000-0000BF410000}"/>
    <cellStyle name="Normal 20 3" xfId="16846" xr:uid="{00000000-0005-0000-0000-0000C0410000}"/>
    <cellStyle name="Normal 20 4" xfId="16847" xr:uid="{00000000-0005-0000-0000-0000C1410000}"/>
    <cellStyle name="Normal 20 5" xfId="16848" xr:uid="{00000000-0005-0000-0000-0000C2410000}"/>
    <cellStyle name="Normal 20 6" xfId="16849" xr:uid="{00000000-0005-0000-0000-0000C3410000}"/>
    <cellStyle name="Normal 20 7" xfId="16850" xr:uid="{00000000-0005-0000-0000-0000C4410000}"/>
    <cellStyle name="Normal 20 8" xfId="16851" xr:uid="{00000000-0005-0000-0000-0000C5410000}"/>
    <cellStyle name="Normal 20 9" xfId="16852" xr:uid="{00000000-0005-0000-0000-0000C6410000}"/>
    <cellStyle name="Normal 21" xfId="51" xr:uid="{00000000-0005-0000-0000-0000C7410000}"/>
    <cellStyle name="Normal 21 10" xfId="16854" xr:uid="{00000000-0005-0000-0000-0000C8410000}"/>
    <cellStyle name="Normal 21 10 10" xfId="16855" xr:uid="{00000000-0005-0000-0000-0000C9410000}"/>
    <cellStyle name="Normal 21 10 11" xfId="16856" xr:uid="{00000000-0005-0000-0000-0000CA410000}"/>
    <cellStyle name="Normal 21 10 12" xfId="16857" xr:uid="{00000000-0005-0000-0000-0000CB410000}"/>
    <cellStyle name="Normal 21 10 13" xfId="16858" xr:uid="{00000000-0005-0000-0000-0000CC410000}"/>
    <cellStyle name="Normal 21 10 14" xfId="16859" xr:uid="{00000000-0005-0000-0000-0000CD410000}"/>
    <cellStyle name="Normal 21 10 2" xfId="16860" xr:uid="{00000000-0005-0000-0000-0000CE410000}"/>
    <cellStyle name="Normal 21 10 2 2" xfId="16861" xr:uid="{00000000-0005-0000-0000-0000CF410000}"/>
    <cellStyle name="Normal 21 10 2 2 2" xfId="16862" xr:uid="{00000000-0005-0000-0000-0000D0410000}"/>
    <cellStyle name="Normal 21 10 2 2 3" xfId="16863" xr:uid="{00000000-0005-0000-0000-0000D1410000}"/>
    <cellStyle name="Normal 21 10 2 3" xfId="16864" xr:uid="{00000000-0005-0000-0000-0000D2410000}"/>
    <cellStyle name="Normal 21 10 3" xfId="16865" xr:uid="{00000000-0005-0000-0000-0000D3410000}"/>
    <cellStyle name="Normal 21 10 4" xfId="16866" xr:uid="{00000000-0005-0000-0000-0000D4410000}"/>
    <cellStyle name="Normal 21 10 5" xfId="16867" xr:uid="{00000000-0005-0000-0000-0000D5410000}"/>
    <cellStyle name="Normal 21 10 6" xfId="16868" xr:uid="{00000000-0005-0000-0000-0000D6410000}"/>
    <cellStyle name="Normal 21 10 7" xfId="16869" xr:uid="{00000000-0005-0000-0000-0000D7410000}"/>
    <cellStyle name="Normal 21 10 8" xfId="16870" xr:uid="{00000000-0005-0000-0000-0000D8410000}"/>
    <cellStyle name="Normal 21 10 9" xfId="16871" xr:uid="{00000000-0005-0000-0000-0000D9410000}"/>
    <cellStyle name="Normal 21 11" xfId="16872" xr:uid="{00000000-0005-0000-0000-0000DA410000}"/>
    <cellStyle name="Normal 21 12" xfId="16873" xr:uid="{00000000-0005-0000-0000-0000DB410000}"/>
    <cellStyle name="Normal 21 13" xfId="16874" xr:uid="{00000000-0005-0000-0000-0000DC410000}"/>
    <cellStyle name="Normal 21 13 2" xfId="16875" xr:uid="{00000000-0005-0000-0000-0000DD410000}"/>
    <cellStyle name="Normal 21 13 2 2" xfId="16876" xr:uid="{00000000-0005-0000-0000-0000DE410000}"/>
    <cellStyle name="Normal 21 13 2 3" xfId="16877" xr:uid="{00000000-0005-0000-0000-0000DF410000}"/>
    <cellStyle name="Normal 21 13 3" xfId="16878" xr:uid="{00000000-0005-0000-0000-0000E0410000}"/>
    <cellStyle name="Normal 21 14" xfId="16879" xr:uid="{00000000-0005-0000-0000-0000E1410000}"/>
    <cellStyle name="Normal 21 14 2" xfId="16880" xr:uid="{00000000-0005-0000-0000-0000E2410000}"/>
    <cellStyle name="Normal 21 14 2 2" xfId="16881" xr:uid="{00000000-0005-0000-0000-0000E3410000}"/>
    <cellStyle name="Normal 21 14 2 3" xfId="16882" xr:uid="{00000000-0005-0000-0000-0000E4410000}"/>
    <cellStyle name="Normal 21 14 3" xfId="16883" xr:uid="{00000000-0005-0000-0000-0000E5410000}"/>
    <cellStyle name="Normal 21 15" xfId="16884" xr:uid="{00000000-0005-0000-0000-0000E6410000}"/>
    <cellStyle name="Normal 21 16" xfId="16885" xr:uid="{00000000-0005-0000-0000-0000E7410000}"/>
    <cellStyle name="Normal 21 17" xfId="16886" xr:uid="{00000000-0005-0000-0000-0000E8410000}"/>
    <cellStyle name="Normal 21 18" xfId="16887" xr:uid="{00000000-0005-0000-0000-0000E9410000}"/>
    <cellStyle name="Normal 21 19" xfId="16888" xr:uid="{00000000-0005-0000-0000-0000EA410000}"/>
    <cellStyle name="Normal 21 2" xfId="16889" xr:uid="{00000000-0005-0000-0000-0000EB410000}"/>
    <cellStyle name="Normal 21 20" xfId="16890" xr:uid="{00000000-0005-0000-0000-0000EC410000}"/>
    <cellStyle name="Normal 21 21" xfId="16891" xr:uid="{00000000-0005-0000-0000-0000ED410000}"/>
    <cellStyle name="Normal 21 22" xfId="16892" xr:uid="{00000000-0005-0000-0000-0000EE410000}"/>
    <cellStyle name="Normal 21 23" xfId="16893" xr:uid="{00000000-0005-0000-0000-0000EF410000}"/>
    <cellStyle name="Normal 21 24" xfId="16894" xr:uid="{00000000-0005-0000-0000-0000F0410000}"/>
    <cellStyle name="Normal 21 25" xfId="16853" xr:uid="{00000000-0005-0000-0000-0000F1410000}"/>
    <cellStyle name="Normal 21 3" xfId="16895" xr:uid="{00000000-0005-0000-0000-0000F2410000}"/>
    <cellStyle name="Normal 21 4" xfId="16896" xr:uid="{00000000-0005-0000-0000-0000F3410000}"/>
    <cellStyle name="Normal 21 5" xfId="16897" xr:uid="{00000000-0005-0000-0000-0000F4410000}"/>
    <cellStyle name="Normal 21 6" xfId="16898" xr:uid="{00000000-0005-0000-0000-0000F5410000}"/>
    <cellStyle name="Normal 21 7" xfId="16899" xr:uid="{00000000-0005-0000-0000-0000F6410000}"/>
    <cellStyle name="Normal 21 8" xfId="16900" xr:uid="{00000000-0005-0000-0000-0000F7410000}"/>
    <cellStyle name="Normal 21 9" xfId="16901" xr:uid="{00000000-0005-0000-0000-0000F8410000}"/>
    <cellStyle name="Normal 22" xfId="53" xr:uid="{00000000-0005-0000-0000-0000F9410000}"/>
    <cellStyle name="Normal 22 2" xfId="16903" xr:uid="{00000000-0005-0000-0000-0000FA410000}"/>
    <cellStyle name="Normal 22 3" xfId="16902" xr:uid="{00000000-0005-0000-0000-0000FB410000}"/>
    <cellStyle name="Normal 23" xfId="52" xr:uid="{00000000-0005-0000-0000-0000FC410000}"/>
    <cellStyle name="Normal 23 2" xfId="16905" xr:uid="{00000000-0005-0000-0000-0000FD410000}"/>
    <cellStyle name="Normal 23 3" xfId="16904" xr:uid="{00000000-0005-0000-0000-0000FE410000}"/>
    <cellStyle name="Normal 24" xfId="54" xr:uid="{00000000-0005-0000-0000-0000FF410000}"/>
    <cellStyle name="Normal 24 2" xfId="16907" xr:uid="{00000000-0005-0000-0000-000000420000}"/>
    <cellStyle name="Normal 24 3" xfId="16906" xr:uid="{00000000-0005-0000-0000-000001420000}"/>
    <cellStyle name="Normal 25" xfId="2" xr:uid="{00000000-0005-0000-0000-000002420000}"/>
    <cellStyle name="Normal 25 2" xfId="16909" xr:uid="{00000000-0005-0000-0000-000003420000}"/>
    <cellStyle name="Normal 25 3" xfId="16908" xr:uid="{00000000-0005-0000-0000-000004420000}"/>
    <cellStyle name="Normal 26" xfId="16910" xr:uid="{00000000-0005-0000-0000-000005420000}"/>
    <cellStyle name="Normal 26 2" xfId="16911" xr:uid="{00000000-0005-0000-0000-000006420000}"/>
    <cellStyle name="Normal 26 3" xfId="16912" xr:uid="{00000000-0005-0000-0000-000007420000}"/>
    <cellStyle name="Normal 26 4" xfId="16913" xr:uid="{00000000-0005-0000-0000-000008420000}"/>
    <cellStyle name="Normal 26 5" xfId="16914" xr:uid="{00000000-0005-0000-0000-000009420000}"/>
    <cellStyle name="Normal 26 6" xfId="16915" xr:uid="{00000000-0005-0000-0000-00000A420000}"/>
    <cellStyle name="Normal 26 7" xfId="16916" xr:uid="{00000000-0005-0000-0000-00000B420000}"/>
    <cellStyle name="Normal 27" xfId="16917" xr:uid="{00000000-0005-0000-0000-00000C420000}"/>
    <cellStyle name="Normal 27 2" xfId="16918" xr:uid="{00000000-0005-0000-0000-00000D420000}"/>
    <cellStyle name="Normal 27 3" xfId="16919" xr:uid="{00000000-0005-0000-0000-00000E420000}"/>
    <cellStyle name="Normal 27 4" xfId="16920" xr:uid="{00000000-0005-0000-0000-00000F420000}"/>
    <cellStyle name="Normal 27 5" xfId="16921" xr:uid="{00000000-0005-0000-0000-000010420000}"/>
    <cellStyle name="Normal 27 6" xfId="16922" xr:uid="{00000000-0005-0000-0000-000011420000}"/>
    <cellStyle name="Normal 27 7" xfId="16923" xr:uid="{00000000-0005-0000-0000-000012420000}"/>
    <cellStyle name="Normal 27 8" xfId="16924" xr:uid="{00000000-0005-0000-0000-000013420000}"/>
    <cellStyle name="Normal 28" xfId="16925" xr:uid="{00000000-0005-0000-0000-000014420000}"/>
    <cellStyle name="Normal 28 2" xfId="16926" xr:uid="{00000000-0005-0000-0000-000015420000}"/>
    <cellStyle name="Normal 28 3" xfId="16927" xr:uid="{00000000-0005-0000-0000-000016420000}"/>
    <cellStyle name="Normal 28 3 10" xfId="16928" xr:uid="{00000000-0005-0000-0000-000017420000}"/>
    <cellStyle name="Normal 28 3 10 10" xfId="16929" xr:uid="{00000000-0005-0000-0000-000018420000}"/>
    <cellStyle name="Normal 28 3 10 10 2" xfId="16930" xr:uid="{00000000-0005-0000-0000-000019420000}"/>
    <cellStyle name="Normal 28 3 10 10 3" xfId="16931" xr:uid="{00000000-0005-0000-0000-00001A420000}"/>
    <cellStyle name="Normal 28 3 10 11" xfId="16932" xr:uid="{00000000-0005-0000-0000-00001B420000}"/>
    <cellStyle name="Normal 28 3 10 11 2" xfId="16933" xr:uid="{00000000-0005-0000-0000-00001C420000}"/>
    <cellStyle name="Normal 28 3 10 11 3" xfId="16934" xr:uid="{00000000-0005-0000-0000-00001D420000}"/>
    <cellStyle name="Normal 28 3 10 12" xfId="16935" xr:uid="{00000000-0005-0000-0000-00001E420000}"/>
    <cellStyle name="Normal 28 3 10 12 2" xfId="16936" xr:uid="{00000000-0005-0000-0000-00001F420000}"/>
    <cellStyle name="Normal 28 3 10 12 3" xfId="16937" xr:uid="{00000000-0005-0000-0000-000020420000}"/>
    <cellStyle name="Normal 28 3 10 13" xfId="16938" xr:uid="{00000000-0005-0000-0000-000021420000}"/>
    <cellStyle name="Normal 28 3 10 13 2" xfId="16939" xr:uid="{00000000-0005-0000-0000-000022420000}"/>
    <cellStyle name="Normal 28 3 10 13 3" xfId="16940" xr:uid="{00000000-0005-0000-0000-000023420000}"/>
    <cellStyle name="Normal 28 3 10 14" xfId="16941" xr:uid="{00000000-0005-0000-0000-000024420000}"/>
    <cellStyle name="Normal 28 3 10 14 2" xfId="16942" xr:uid="{00000000-0005-0000-0000-000025420000}"/>
    <cellStyle name="Normal 28 3 10 14 3" xfId="16943" xr:uid="{00000000-0005-0000-0000-000026420000}"/>
    <cellStyle name="Normal 28 3 10 15" xfId="16944" xr:uid="{00000000-0005-0000-0000-000027420000}"/>
    <cellStyle name="Normal 28 3 10 16" xfId="16945" xr:uid="{00000000-0005-0000-0000-000028420000}"/>
    <cellStyle name="Normal 28 3 10 2" xfId="16946" xr:uid="{00000000-0005-0000-0000-000029420000}"/>
    <cellStyle name="Normal 28 3 10 2 2" xfId="16947" xr:uid="{00000000-0005-0000-0000-00002A420000}"/>
    <cellStyle name="Normal 28 3 10 2 3" xfId="16948" xr:uid="{00000000-0005-0000-0000-00002B420000}"/>
    <cellStyle name="Normal 28 3 10 3" xfId="16949" xr:uid="{00000000-0005-0000-0000-00002C420000}"/>
    <cellStyle name="Normal 28 3 10 3 2" xfId="16950" xr:uid="{00000000-0005-0000-0000-00002D420000}"/>
    <cellStyle name="Normal 28 3 10 3 3" xfId="16951" xr:uid="{00000000-0005-0000-0000-00002E420000}"/>
    <cellStyle name="Normal 28 3 10 4" xfId="16952" xr:uid="{00000000-0005-0000-0000-00002F420000}"/>
    <cellStyle name="Normal 28 3 10 4 2" xfId="16953" xr:uid="{00000000-0005-0000-0000-000030420000}"/>
    <cellStyle name="Normal 28 3 10 4 3" xfId="16954" xr:uid="{00000000-0005-0000-0000-000031420000}"/>
    <cellStyle name="Normal 28 3 10 5" xfId="16955" xr:uid="{00000000-0005-0000-0000-000032420000}"/>
    <cellStyle name="Normal 28 3 10 5 2" xfId="16956" xr:uid="{00000000-0005-0000-0000-000033420000}"/>
    <cellStyle name="Normal 28 3 10 5 3" xfId="16957" xr:uid="{00000000-0005-0000-0000-000034420000}"/>
    <cellStyle name="Normal 28 3 10 6" xfId="16958" xr:uid="{00000000-0005-0000-0000-000035420000}"/>
    <cellStyle name="Normal 28 3 10 6 2" xfId="16959" xr:uid="{00000000-0005-0000-0000-000036420000}"/>
    <cellStyle name="Normal 28 3 10 6 3" xfId="16960" xr:uid="{00000000-0005-0000-0000-000037420000}"/>
    <cellStyle name="Normal 28 3 10 7" xfId="16961" xr:uid="{00000000-0005-0000-0000-000038420000}"/>
    <cellStyle name="Normal 28 3 10 7 2" xfId="16962" xr:uid="{00000000-0005-0000-0000-000039420000}"/>
    <cellStyle name="Normal 28 3 10 7 3" xfId="16963" xr:uid="{00000000-0005-0000-0000-00003A420000}"/>
    <cellStyle name="Normal 28 3 10 8" xfId="16964" xr:uid="{00000000-0005-0000-0000-00003B420000}"/>
    <cellStyle name="Normal 28 3 10 8 2" xfId="16965" xr:uid="{00000000-0005-0000-0000-00003C420000}"/>
    <cellStyle name="Normal 28 3 10 8 3" xfId="16966" xr:uid="{00000000-0005-0000-0000-00003D420000}"/>
    <cellStyle name="Normal 28 3 10 9" xfId="16967" xr:uid="{00000000-0005-0000-0000-00003E420000}"/>
    <cellStyle name="Normal 28 3 10 9 2" xfId="16968" xr:uid="{00000000-0005-0000-0000-00003F420000}"/>
    <cellStyle name="Normal 28 3 10 9 3" xfId="16969" xr:uid="{00000000-0005-0000-0000-000040420000}"/>
    <cellStyle name="Normal 28 3 11" xfId="16970" xr:uid="{00000000-0005-0000-0000-000041420000}"/>
    <cellStyle name="Normal 28 3 11 10" xfId="16971" xr:uid="{00000000-0005-0000-0000-000042420000}"/>
    <cellStyle name="Normal 28 3 11 10 2" xfId="16972" xr:uid="{00000000-0005-0000-0000-000043420000}"/>
    <cellStyle name="Normal 28 3 11 10 3" xfId="16973" xr:uid="{00000000-0005-0000-0000-000044420000}"/>
    <cellStyle name="Normal 28 3 11 11" xfId="16974" xr:uid="{00000000-0005-0000-0000-000045420000}"/>
    <cellStyle name="Normal 28 3 11 11 2" xfId="16975" xr:uid="{00000000-0005-0000-0000-000046420000}"/>
    <cellStyle name="Normal 28 3 11 11 3" xfId="16976" xr:uid="{00000000-0005-0000-0000-000047420000}"/>
    <cellStyle name="Normal 28 3 11 12" xfId="16977" xr:uid="{00000000-0005-0000-0000-000048420000}"/>
    <cellStyle name="Normal 28 3 11 12 2" xfId="16978" xr:uid="{00000000-0005-0000-0000-000049420000}"/>
    <cellStyle name="Normal 28 3 11 12 3" xfId="16979" xr:uid="{00000000-0005-0000-0000-00004A420000}"/>
    <cellStyle name="Normal 28 3 11 13" xfId="16980" xr:uid="{00000000-0005-0000-0000-00004B420000}"/>
    <cellStyle name="Normal 28 3 11 13 2" xfId="16981" xr:uid="{00000000-0005-0000-0000-00004C420000}"/>
    <cellStyle name="Normal 28 3 11 13 3" xfId="16982" xr:uid="{00000000-0005-0000-0000-00004D420000}"/>
    <cellStyle name="Normal 28 3 11 14" xfId="16983" xr:uid="{00000000-0005-0000-0000-00004E420000}"/>
    <cellStyle name="Normal 28 3 11 14 2" xfId="16984" xr:uid="{00000000-0005-0000-0000-00004F420000}"/>
    <cellStyle name="Normal 28 3 11 14 3" xfId="16985" xr:uid="{00000000-0005-0000-0000-000050420000}"/>
    <cellStyle name="Normal 28 3 11 15" xfId="16986" xr:uid="{00000000-0005-0000-0000-000051420000}"/>
    <cellStyle name="Normal 28 3 11 16" xfId="16987" xr:uid="{00000000-0005-0000-0000-000052420000}"/>
    <cellStyle name="Normal 28 3 11 2" xfId="16988" xr:uid="{00000000-0005-0000-0000-000053420000}"/>
    <cellStyle name="Normal 28 3 11 2 2" xfId="16989" xr:uid="{00000000-0005-0000-0000-000054420000}"/>
    <cellStyle name="Normal 28 3 11 2 3" xfId="16990" xr:uid="{00000000-0005-0000-0000-000055420000}"/>
    <cellStyle name="Normal 28 3 11 3" xfId="16991" xr:uid="{00000000-0005-0000-0000-000056420000}"/>
    <cellStyle name="Normal 28 3 11 3 2" xfId="16992" xr:uid="{00000000-0005-0000-0000-000057420000}"/>
    <cellStyle name="Normal 28 3 11 3 3" xfId="16993" xr:uid="{00000000-0005-0000-0000-000058420000}"/>
    <cellStyle name="Normal 28 3 11 4" xfId="16994" xr:uid="{00000000-0005-0000-0000-000059420000}"/>
    <cellStyle name="Normal 28 3 11 4 2" xfId="16995" xr:uid="{00000000-0005-0000-0000-00005A420000}"/>
    <cellStyle name="Normal 28 3 11 4 3" xfId="16996" xr:uid="{00000000-0005-0000-0000-00005B420000}"/>
    <cellStyle name="Normal 28 3 11 5" xfId="16997" xr:uid="{00000000-0005-0000-0000-00005C420000}"/>
    <cellStyle name="Normal 28 3 11 5 2" xfId="16998" xr:uid="{00000000-0005-0000-0000-00005D420000}"/>
    <cellStyle name="Normal 28 3 11 5 3" xfId="16999" xr:uid="{00000000-0005-0000-0000-00005E420000}"/>
    <cellStyle name="Normal 28 3 11 6" xfId="17000" xr:uid="{00000000-0005-0000-0000-00005F420000}"/>
    <cellStyle name="Normal 28 3 11 6 2" xfId="17001" xr:uid="{00000000-0005-0000-0000-000060420000}"/>
    <cellStyle name="Normal 28 3 11 6 3" xfId="17002" xr:uid="{00000000-0005-0000-0000-000061420000}"/>
    <cellStyle name="Normal 28 3 11 7" xfId="17003" xr:uid="{00000000-0005-0000-0000-000062420000}"/>
    <cellStyle name="Normal 28 3 11 7 2" xfId="17004" xr:uid="{00000000-0005-0000-0000-000063420000}"/>
    <cellStyle name="Normal 28 3 11 7 3" xfId="17005" xr:uid="{00000000-0005-0000-0000-000064420000}"/>
    <cellStyle name="Normal 28 3 11 8" xfId="17006" xr:uid="{00000000-0005-0000-0000-000065420000}"/>
    <cellStyle name="Normal 28 3 11 8 2" xfId="17007" xr:uid="{00000000-0005-0000-0000-000066420000}"/>
    <cellStyle name="Normal 28 3 11 8 3" xfId="17008" xr:uid="{00000000-0005-0000-0000-000067420000}"/>
    <cellStyle name="Normal 28 3 11 9" xfId="17009" xr:uid="{00000000-0005-0000-0000-000068420000}"/>
    <cellStyle name="Normal 28 3 11 9 2" xfId="17010" xr:uid="{00000000-0005-0000-0000-000069420000}"/>
    <cellStyle name="Normal 28 3 11 9 3" xfId="17011" xr:uid="{00000000-0005-0000-0000-00006A420000}"/>
    <cellStyle name="Normal 28 3 12" xfId="17012" xr:uid="{00000000-0005-0000-0000-00006B420000}"/>
    <cellStyle name="Normal 28 3 12 10" xfId="17013" xr:uid="{00000000-0005-0000-0000-00006C420000}"/>
    <cellStyle name="Normal 28 3 12 10 2" xfId="17014" xr:uid="{00000000-0005-0000-0000-00006D420000}"/>
    <cellStyle name="Normal 28 3 12 10 3" xfId="17015" xr:uid="{00000000-0005-0000-0000-00006E420000}"/>
    <cellStyle name="Normal 28 3 12 11" xfId="17016" xr:uid="{00000000-0005-0000-0000-00006F420000}"/>
    <cellStyle name="Normal 28 3 12 11 2" xfId="17017" xr:uid="{00000000-0005-0000-0000-000070420000}"/>
    <cellStyle name="Normal 28 3 12 11 3" xfId="17018" xr:uid="{00000000-0005-0000-0000-000071420000}"/>
    <cellStyle name="Normal 28 3 12 12" xfId="17019" xr:uid="{00000000-0005-0000-0000-000072420000}"/>
    <cellStyle name="Normal 28 3 12 12 2" xfId="17020" xr:uid="{00000000-0005-0000-0000-000073420000}"/>
    <cellStyle name="Normal 28 3 12 12 3" xfId="17021" xr:uid="{00000000-0005-0000-0000-000074420000}"/>
    <cellStyle name="Normal 28 3 12 13" xfId="17022" xr:uid="{00000000-0005-0000-0000-000075420000}"/>
    <cellStyle name="Normal 28 3 12 13 2" xfId="17023" xr:uid="{00000000-0005-0000-0000-000076420000}"/>
    <cellStyle name="Normal 28 3 12 13 3" xfId="17024" xr:uid="{00000000-0005-0000-0000-000077420000}"/>
    <cellStyle name="Normal 28 3 12 14" xfId="17025" xr:uid="{00000000-0005-0000-0000-000078420000}"/>
    <cellStyle name="Normal 28 3 12 14 2" xfId="17026" xr:uid="{00000000-0005-0000-0000-000079420000}"/>
    <cellStyle name="Normal 28 3 12 14 3" xfId="17027" xr:uid="{00000000-0005-0000-0000-00007A420000}"/>
    <cellStyle name="Normal 28 3 12 15" xfId="17028" xr:uid="{00000000-0005-0000-0000-00007B420000}"/>
    <cellStyle name="Normal 28 3 12 16" xfId="17029" xr:uid="{00000000-0005-0000-0000-00007C420000}"/>
    <cellStyle name="Normal 28 3 12 2" xfId="17030" xr:uid="{00000000-0005-0000-0000-00007D420000}"/>
    <cellStyle name="Normal 28 3 12 2 2" xfId="17031" xr:uid="{00000000-0005-0000-0000-00007E420000}"/>
    <cellStyle name="Normal 28 3 12 2 3" xfId="17032" xr:uid="{00000000-0005-0000-0000-00007F420000}"/>
    <cellStyle name="Normal 28 3 12 3" xfId="17033" xr:uid="{00000000-0005-0000-0000-000080420000}"/>
    <cellStyle name="Normal 28 3 12 3 2" xfId="17034" xr:uid="{00000000-0005-0000-0000-000081420000}"/>
    <cellStyle name="Normal 28 3 12 3 3" xfId="17035" xr:uid="{00000000-0005-0000-0000-000082420000}"/>
    <cellStyle name="Normal 28 3 12 4" xfId="17036" xr:uid="{00000000-0005-0000-0000-000083420000}"/>
    <cellStyle name="Normal 28 3 12 4 2" xfId="17037" xr:uid="{00000000-0005-0000-0000-000084420000}"/>
    <cellStyle name="Normal 28 3 12 4 3" xfId="17038" xr:uid="{00000000-0005-0000-0000-000085420000}"/>
    <cellStyle name="Normal 28 3 12 5" xfId="17039" xr:uid="{00000000-0005-0000-0000-000086420000}"/>
    <cellStyle name="Normal 28 3 12 5 2" xfId="17040" xr:uid="{00000000-0005-0000-0000-000087420000}"/>
    <cellStyle name="Normal 28 3 12 5 3" xfId="17041" xr:uid="{00000000-0005-0000-0000-000088420000}"/>
    <cellStyle name="Normal 28 3 12 6" xfId="17042" xr:uid="{00000000-0005-0000-0000-000089420000}"/>
    <cellStyle name="Normal 28 3 12 6 2" xfId="17043" xr:uid="{00000000-0005-0000-0000-00008A420000}"/>
    <cellStyle name="Normal 28 3 12 6 3" xfId="17044" xr:uid="{00000000-0005-0000-0000-00008B420000}"/>
    <cellStyle name="Normal 28 3 12 7" xfId="17045" xr:uid="{00000000-0005-0000-0000-00008C420000}"/>
    <cellStyle name="Normal 28 3 12 7 2" xfId="17046" xr:uid="{00000000-0005-0000-0000-00008D420000}"/>
    <cellStyle name="Normal 28 3 12 7 3" xfId="17047" xr:uid="{00000000-0005-0000-0000-00008E420000}"/>
    <cellStyle name="Normal 28 3 12 8" xfId="17048" xr:uid="{00000000-0005-0000-0000-00008F420000}"/>
    <cellStyle name="Normal 28 3 12 8 2" xfId="17049" xr:uid="{00000000-0005-0000-0000-000090420000}"/>
    <cellStyle name="Normal 28 3 12 8 3" xfId="17050" xr:uid="{00000000-0005-0000-0000-000091420000}"/>
    <cellStyle name="Normal 28 3 12 9" xfId="17051" xr:uid="{00000000-0005-0000-0000-000092420000}"/>
    <cellStyle name="Normal 28 3 12 9 2" xfId="17052" xr:uid="{00000000-0005-0000-0000-000093420000}"/>
    <cellStyle name="Normal 28 3 12 9 3" xfId="17053" xr:uid="{00000000-0005-0000-0000-000094420000}"/>
    <cellStyle name="Normal 28 3 13" xfId="17054" xr:uid="{00000000-0005-0000-0000-000095420000}"/>
    <cellStyle name="Normal 28 3 13 10" xfId="17055" xr:uid="{00000000-0005-0000-0000-000096420000}"/>
    <cellStyle name="Normal 28 3 13 10 2" xfId="17056" xr:uid="{00000000-0005-0000-0000-000097420000}"/>
    <cellStyle name="Normal 28 3 13 10 3" xfId="17057" xr:uid="{00000000-0005-0000-0000-000098420000}"/>
    <cellStyle name="Normal 28 3 13 11" xfId="17058" xr:uid="{00000000-0005-0000-0000-000099420000}"/>
    <cellStyle name="Normal 28 3 13 11 2" xfId="17059" xr:uid="{00000000-0005-0000-0000-00009A420000}"/>
    <cellStyle name="Normal 28 3 13 11 3" xfId="17060" xr:uid="{00000000-0005-0000-0000-00009B420000}"/>
    <cellStyle name="Normal 28 3 13 12" xfId="17061" xr:uid="{00000000-0005-0000-0000-00009C420000}"/>
    <cellStyle name="Normal 28 3 13 12 2" xfId="17062" xr:uid="{00000000-0005-0000-0000-00009D420000}"/>
    <cellStyle name="Normal 28 3 13 12 3" xfId="17063" xr:uid="{00000000-0005-0000-0000-00009E420000}"/>
    <cellStyle name="Normal 28 3 13 13" xfId="17064" xr:uid="{00000000-0005-0000-0000-00009F420000}"/>
    <cellStyle name="Normal 28 3 13 13 2" xfId="17065" xr:uid="{00000000-0005-0000-0000-0000A0420000}"/>
    <cellStyle name="Normal 28 3 13 13 3" xfId="17066" xr:uid="{00000000-0005-0000-0000-0000A1420000}"/>
    <cellStyle name="Normal 28 3 13 14" xfId="17067" xr:uid="{00000000-0005-0000-0000-0000A2420000}"/>
    <cellStyle name="Normal 28 3 13 14 2" xfId="17068" xr:uid="{00000000-0005-0000-0000-0000A3420000}"/>
    <cellStyle name="Normal 28 3 13 14 3" xfId="17069" xr:uid="{00000000-0005-0000-0000-0000A4420000}"/>
    <cellStyle name="Normal 28 3 13 15" xfId="17070" xr:uid="{00000000-0005-0000-0000-0000A5420000}"/>
    <cellStyle name="Normal 28 3 13 16" xfId="17071" xr:uid="{00000000-0005-0000-0000-0000A6420000}"/>
    <cellStyle name="Normal 28 3 13 2" xfId="17072" xr:uid="{00000000-0005-0000-0000-0000A7420000}"/>
    <cellStyle name="Normal 28 3 13 2 2" xfId="17073" xr:uid="{00000000-0005-0000-0000-0000A8420000}"/>
    <cellStyle name="Normal 28 3 13 2 3" xfId="17074" xr:uid="{00000000-0005-0000-0000-0000A9420000}"/>
    <cellStyle name="Normal 28 3 13 3" xfId="17075" xr:uid="{00000000-0005-0000-0000-0000AA420000}"/>
    <cellStyle name="Normal 28 3 13 3 2" xfId="17076" xr:uid="{00000000-0005-0000-0000-0000AB420000}"/>
    <cellStyle name="Normal 28 3 13 3 3" xfId="17077" xr:uid="{00000000-0005-0000-0000-0000AC420000}"/>
    <cellStyle name="Normal 28 3 13 4" xfId="17078" xr:uid="{00000000-0005-0000-0000-0000AD420000}"/>
    <cellStyle name="Normal 28 3 13 4 2" xfId="17079" xr:uid="{00000000-0005-0000-0000-0000AE420000}"/>
    <cellStyle name="Normal 28 3 13 4 3" xfId="17080" xr:uid="{00000000-0005-0000-0000-0000AF420000}"/>
    <cellStyle name="Normal 28 3 13 5" xfId="17081" xr:uid="{00000000-0005-0000-0000-0000B0420000}"/>
    <cellStyle name="Normal 28 3 13 5 2" xfId="17082" xr:uid="{00000000-0005-0000-0000-0000B1420000}"/>
    <cellStyle name="Normal 28 3 13 5 3" xfId="17083" xr:uid="{00000000-0005-0000-0000-0000B2420000}"/>
    <cellStyle name="Normal 28 3 13 6" xfId="17084" xr:uid="{00000000-0005-0000-0000-0000B3420000}"/>
    <cellStyle name="Normal 28 3 13 6 2" xfId="17085" xr:uid="{00000000-0005-0000-0000-0000B4420000}"/>
    <cellStyle name="Normal 28 3 13 6 3" xfId="17086" xr:uid="{00000000-0005-0000-0000-0000B5420000}"/>
    <cellStyle name="Normal 28 3 13 7" xfId="17087" xr:uid="{00000000-0005-0000-0000-0000B6420000}"/>
    <cellStyle name="Normal 28 3 13 7 2" xfId="17088" xr:uid="{00000000-0005-0000-0000-0000B7420000}"/>
    <cellStyle name="Normal 28 3 13 7 3" xfId="17089" xr:uid="{00000000-0005-0000-0000-0000B8420000}"/>
    <cellStyle name="Normal 28 3 13 8" xfId="17090" xr:uid="{00000000-0005-0000-0000-0000B9420000}"/>
    <cellStyle name="Normal 28 3 13 8 2" xfId="17091" xr:uid="{00000000-0005-0000-0000-0000BA420000}"/>
    <cellStyle name="Normal 28 3 13 8 3" xfId="17092" xr:uid="{00000000-0005-0000-0000-0000BB420000}"/>
    <cellStyle name="Normal 28 3 13 9" xfId="17093" xr:uid="{00000000-0005-0000-0000-0000BC420000}"/>
    <cellStyle name="Normal 28 3 13 9 2" xfId="17094" xr:uid="{00000000-0005-0000-0000-0000BD420000}"/>
    <cellStyle name="Normal 28 3 13 9 3" xfId="17095" xr:uid="{00000000-0005-0000-0000-0000BE420000}"/>
    <cellStyle name="Normal 28 3 14" xfId="17096" xr:uid="{00000000-0005-0000-0000-0000BF420000}"/>
    <cellStyle name="Normal 28 3 14 10" xfId="17097" xr:uid="{00000000-0005-0000-0000-0000C0420000}"/>
    <cellStyle name="Normal 28 3 14 10 2" xfId="17098" xr:uid="{00000000-0005-0000-0000-0000C1420000}"/>
    <cellStyle name="Normal 28 3 14 10 3" xfId="17099" xr:uid="{00000000-0005-0000-0000-0000C2420000}"/>
    <cellStyle name="Normal 28 3 14 11" xfId="17100" xr:uid="{00000000-0005-0000-0000-0000C3420000}"/>
    <cellStyle name="Normal 28 3 14 11 2" xfId="17101" xr:uid="{00000000-0005-0000-0000-0000C4420000}"/>
    <cellStyle name="Normal 28 3 14 11 3" xfId="17102" xr:uid="{00000000-0005-0000-0000-0000C5420000}"/>
    <cellStyle name="Normal 28 3 14 12" xfId="17103" xr:uid="{00000000-0005-0000-0000-0000C6420000}"/>
    <cellStyle name="Normal 28 3 14 12 2" xfId="17104" xr:uid="{00000000-0005-0000-0000-0000C7420000}"/>
    <cellStyle name="Normal 28 3 14 12 3" xfId="17105" xr:uid="{00000000-0005-0000-0000-0000C8420000}"/>
    <cellStyle name="Normal 28 3 14 13" xfId="17106" xr:uid="{00000000-0005-0000-0000-0000C9420000}"/>
    <cellStyle name="Normal 28 3 14 13 2" xfId="17107" xr:uid="{00000000-0005-0000-0000-0000CA420000}"/>
    <cellStyle name="Normal 28 3 14 13 3" xfId="17108" xr:uid="{00000000-0005-0000-0000-0000CB420000}"/>
    <cellStyle name="Normal 28 3 14 14" xfId="17109" xr:uid="{00000000-0005-0000-0000-0000CC420000}"/>
    <cellStyle name="Normal 28 3 14 14 2" xfId="17110" xr:uid="{00000000-0005-0000-0000-0000CD420000}"/>
    <cellStyle name="Normal 28 3 14 14 3" xfId="17111" xr:uid="{00000000-0005-0000-0000-0000CE420000}"/>
    <cellStyle name="Normal 28 3 14 15" xfId="17112" xr:uid="{00000000-0005-0000-0000-0000CF420000}"/>
    <cellStyle name="Normal 28 3 14 16" xfId="17113" xr:uid="{00000000-0005-0000-0000-0000D0420000}"/>
    <cellStyle name="Normal 28 3 14 2" xfId="17114" xr:uid="{00000000-0005-0000-0000-0000D1420000}"/>
    <cellStyle name="Normal 28 3 14 2 2" xfId="17115" xr:uid="{00000000-0005-0000-0000-0000D2420000}"/>
    <cellStyle name="Normal 28 3 14 2 3" xfId="17116" xr:uid="{00000000-0005-0000-0000-0000D3420000}"/>
    <cellStyle name="Normal 28 3 14 3" xfId="17117" xr:uid="{00000000-0005-0000-0000-0000D4420000}"/>
    <cellStyle name="Normal 28 3 14 3 2" xfId="17118" xr:uid="{00000000-0005-0000-0000-0000D5420000}"/>
    <cellStyle name="Normal 28 3 14 3 3" xfId="17119" xr:uid="{00000000-0005-0000-0000-0000D6420000}"/>
    <cellStyle name="Normal 28 3 14 4" xfId="17120" xr:uid="{00000000-0005-0000-0000-0000D7420000}"/>
    <cellStyle name="Normal 28 3 14 4 2" xfId="17121" xr:uid="{00000000-0005-0000-0000-0000D8420000}"/>
    <cellStyle name="Normal 28 3 14 4 3" xfId="17122" xr:uid="{00000000-0005-0000-0000-0000D9420000}"/>
    <cellStyle name="Normal 28 3 14 5" xfId="17123" xr:uid="{00000000-0005-0000-0000-0000DA420000}"/>
    <cellStyle name="Normal 28 3 14 5 2" xfId="17124" xr:uid="{00000000-0005-0000-0000-0000DB420000}"/>
    <cellStyle name="Normal 28 3 14 5 3" xfId="17125" xr:uid="{00000000-0005-0000-0000-0000DC420000}"/>
    <cellStyle name="Normal 28 3 14 6" xfId="17126" xr:uid="{00000000-0005-0000-0000-0000DD420000}"/>
    <cellStyle name="Normal 28 3 14 6 2" xfId="17127" xr:uid="{00000000-0005-0000-0000-0000DE420000}"/>
    <cellStyle name="Normal 28 3 14 6 3" xfId="17128" xr:uid="{00000000-0005-0000-0000-0000DF420000}"/>
    <cellStyle name="Normal 28 3 14 7" xfId="17129" xr:uid="{00000000-0005-0000-0000-0000E0420000}"/>
    <cellStyle name="Normal 28 3 14 7 2" xfId="17130" xr:uid="{00000000-0005-0000-0000-0000E1420000}"/>
    <cellStyle name="Normal 28 3 14 7 3" xfId="17131" xr:uid="{00000000-0005-0000-0000-0000E2420000}"/>
    <cellStyle name="Normal 28 3 14 8" xfId="17132" xr:uid="{00000000-0005-0000-0000-0000E3420000}"/>
    <cellStyle name="Normal 28 3 14 8 2" xfId="17133" xr:uid="{00000000-0005-0000-0000-0000E4420000}"/>
    <cellStyle name="Normal 28 3 14 8 3" xfId="17134" xr:uid="{00000000-0005-0000-0000-0000E5420000}"/>
    <cellStyle name="Normal 28 3 14 9" xfId="17135" xr:uid="{00000000-0005-0000-0000-0000E6420000}"/>
    <cellStyle name="Normal 28 3 14 9 2" xfId="17136" xr:uid="{00000000-0005-0000-0000-0000E7420000}"/>
    <cellStyle name="Normal 28 3 14 9 3" xfId="17137" xr:uid="{00000000-0005-0000-0000-0000E8420000}"/>
    <cellStyle name="Normal 28 3 15" xfId="17138" xr:uid="{00000000-0005-0000-0000-0000E9420000}"/>
    <cellStyle name="Normal 28 3 15 10" xfId="17139" xr:uid="{00000000-0005-0000-0000-0000EA420000}"/>
    <cellStyle name="Normal 28 3 15 10 2" xfId="17140" xr:uid="{00000000-0005-0000-0000-0000EB420000}"/>
    <cellStyle name="Normal 28 3 15 10 3" xfId="17141" xr:uid="{00000000-0005-0000-0000-0000EC420000}"/>
    <cellStyle name="Normal 28 3 15 11" xfId="17142" xr:uid="{00000000-0005-0000-0000-0000ED420000}"/>
    <cellStyle name="Normal 28 3 15 11 2" xfId="17143" xr:uid="{00000000-0005-0000-0000-0000EE420000}"/>
    <cellStyle name="Normal 28 3 15 11 3" xfId="17144" xr:uid="{00000000-0005-0000-0000-0000EF420000}"/>
    <cellStyle name="Normal 28 3 15 12" xfId="17145" xr:uid="{00000000-0005-0000-0000-0000F0420000}"/>
    <cellStyle name="Normal 28 3 15 12 2" xfId="17146" xr:uid="{00000000-0005-0000-0000-0000F1420000}"/>
    <cellStyle name="Normal 28 3 15 12 3" xfId="17147" xr:uid="{00000000-0005-0000-0000-0000F2420000}"/>
    <cellStyle name="Normal 28 3 15 13" xfId="17148" xr:uid="{00000000-0005-0000-0000-0000F3420000}"/>
    <cellStyle name="Normal 28 3 15 13 2" xfId="17149" xr:uid="{00000000-0005-0000-0000-0000F4420000}"/>
    <cellStyle name="Normal 28 3 15 13 3" xfId="17150" xr:uid="{00000000-0005-0000-0000-0000F5420000}"/>
    <cellStyle name="Normal 28 3 15 14" xfId="17151" xr:uid="{00000000-0005-0000-0000-0000F6420000}"/>
    <cellStyle name="Normal 28 3 15 14 2" xfId="17152" xr:uid="{00000000-0005-0000-0000-0000F7420000}"/>
    <cellStyle name="Normal 28 3 15 14 3" xfId="17153" xr:uid="{00000000-0005-0000-0000-0000F8420000}"/>
    <cellStyle name="Normal 28 3 15 15" xfId="17154" xr:uid="{00000000-0005-0000-0000-0000F9420000}"/>
    <cellStyle name="Normal 28 3 15 16" xfId="17155" xr:uid="{00000000-0005-0000-0000-0000FA420000}"/>
    <cellStyle name="Normal 28 3 15 2" xfId="17156" xr:uid="{00000000-0005-0000-0000-0000FB420000}"/>
    <cellStyle name="Normal 28 3 15 2 2" xfId="17157" xr:uid="{00000000-0005-0000-0000-0000FC420000}"/>
    <cellStyle name="Normal 28 3 15 2 3" xfId="17158" xr:uid="{00000000-0005-0000-0000-0000FD420000}"/>
    <cellStyle name="Normal 28 3 15 3" xfId="17159" xr:uid="{00000000-0005-0000-0000-0000FE420000}"/>
    <cellStyle name="Normal 28 3 15 3 2" xfId="17160" xr:uid="{00000000-0005-0000-0000-0000FF420000}"/>
    <cellStyle name="Normal 28 3 15 3 3" xfId="17161" xr:uid="{00000000-0005-0000-0000-000000430000}"/>
    <cellStyle name="Normal 28 3 15 4" xfId="17162" xr:uid="{00000000-0005-0000-0000-000001430000}"/>
    <cellStyle name="Normal 28 3 15 4 2" xfId="17163" xr:uid="{00000000-0005-0000-0000-000002430000}"/>
    <cellStyle name="Normal 28 3 15 4 3" xfId="17164" xr:uid="{00000000-0005-0000-0000-000003430000}"/>
    <cellStyle name="Normal 28 3 15 5" xfId="17165" xr:uid="{00000000-0005-0000-0000-000004430000}"/>
    <cellStyle name="Normal 28 3 15 5 2" xfId="17166" xr:uid="{00000000-0005-0000-0000-000005430000}"/>
    <cellStyle name="Normal 28 3 15 5 3" xfId="17167" xr:uid="{00000000-0005-0000-0000-000006430000}"/>
    <cellStyle name="Normal 28 3 15 6" xfId="17168" xr:uid="{00000000-0005-0000-0000-000007430000}"/>
    <cellStyle name="Normal 28 3 15 6 2" xfId="17169" xr:uid="{00000000-0005-0000-0000-000008430000}"/>
    <cellStyle name="Normal 28 3 15 6 3" xfId="17170" xr:uid="{00000000-0005-0000-0000-000009430000}"/>
    <cellStyle name="Normal 28 3 15 7" xfId="17171" xr:uid="{00000000-0005-0000-0000-00000A430000}"/>
    <cellStyle name="Normal 28 3 15 7 2" xfId="17172" xr:uid="{00000000-0005-0000-0000-00000B430000}"/>
    <cellStyle name="Normal 28 3 15 7 3" xfId="17173" xr:uid="{00000000-0005-0000-0000-00000C430000}"/>
    <cellStyle name="Normal 28 3 15 8" xfId="17174" xr:uid="{00000000-0005-0000-0000-00000D430000}"/>
    <cellStyle name="Normal 28 3 15 8 2" xfId="17175" xr:uid="{00000000-0005-0000-0000-00000E430000}"/>
    <cellStyle name="Normal 28 3 15 8 3" xfId="17176" xr:uid="{00000000-0005-0000-0000-00000F430000}"/>
    <cellStyle name="Normal 28 3 15 9" xfId="17177" xr:uid="{00000000-0005-0000-0000-000010430000}"/>
    <cellStyle name="Normal 28 3 15 9 2" xfId="17178" xr:uid="{00000000-0005-0000-0000-000011430000}"/>
    <cellStyle name="Normal 28 3 15 9 3" xfId="17179" xr:uid="{00000000-0005-0000-0000-000012430000}"/>
    <cellStyle name="Normal 28 3 16" xfId="17180" xr:uid="{00000000-0005-0000-0000-000013430000}"/>
    <cellStyle name="Normal 28 3 16 2" xfId="17181" xr:uid="{00000000-0005-0000-0000-000014430000}"/>
    <cellStyle name="Normal 28 3 16 3" xfId="17182" xr:uid="{00000000-0005-0000-0000-000015430000}"/>
    <cellStyle name="Normal 28 3 17" xfId="17183" xr:uid="{00000000-0005-0000-0000-000016430000}"/>
    <cellStyle name="Normal 28 3 17 2" xfId="17184" xr:uid="{00000000-0005-0000-0000-000017430000}"/>
    <cellStyle name="Normal 28 3 17 3" xfId="17185" xr:uid="{00000000-0005-0000-0000-000018430000}"/>
    <cellStyle name="Normal 28 3 18" xfId="17186" xr:uid="{00000000-0005-0000-0000-000019430000}"/>
    <cellStyle name="Normal 28 3 18 2" xfId="17187" xr:uid="{00000000-0005-0000-0000-00001A430000}"/>
    <cellStyle name="Normal 28 3 18 3" xfId="17188" xr:uid="{00000000-0005-0000-0000-00001B430000}"/>
    <cellStyle name="Normal 28 3 19" xfId="17189" xr:uid="{00000000-0005-0000-0000-00001C430000}"/>
    <cellStyle name="Normal 28 3 19 2" xfId="17190" xr:uid="{00000000-0005-0000-0000-00001D430000}"/>
    <cellStyle name="Normal 28 3 19 3" xfId="17191" xr:uid="{00000000-0005-0000-0000-00001E430000}"/>
    <cellStyle name="Normal 28 3 2" xfId="17192" xr:uid="{00000000-0005-0000-0000-00001F430000}"/>
    <cellStyle name="Normal 28 3 2 10" xfId="17193" xr:uid="{00000000-0005-0000-0000-000020430000}"/>
    <cellStyle name="Normal 28 3 2 10 2" xfId="17194" xr:uid="{00000000-0005-0000-0000-000021430000}"/>
    <cellStyle name="Normal 28 3 2 10 3" xfId="17195" xr:uid="{00000000-0005-0000-0000-000022430000}"/>
    <cellStyle name="Normal 28 3 2 11" xfId="17196" xr:uid="{00000000-0005-0000-0000-000023430000}"/>
    <cellStyle name="Normal 28 3 2 11 2" xfId="17197" xr:uid="{00000000-0005-0000-0000-000024430000}"/>
    <cellStyle name="Normal 28 3 2 11 3" xfId="17198" xr:uid="{00000000-0005-0000-0000-000025430000}"/>
    <cellStyle name="Normal 28 3 2 12" xfId="17199" xr:uid="{00000000-0005-0000-0000-000026430000}"/>
    <cellStyle name="Normal 28 3 2 12 2" xfId="17200" xr:uid="{00000000-0005-0000-0000-000027430000}"/>
    <cellStyle name="Normal 28 3 2 12 3" xfId="17201" xr:uid="{00000000-0005-0000-0000-000028430000}"/>
    <cellStyle name="Normal 28 3 2 13" xfId="17202" xr:uid="{00000000-0005-0000-0000-000029430000}"/>
    <cellStyle name="Normal 28 3 2 13 2" xfId="17203" xr:uid="{00000000-0005-0000-0000-00002A430000}"/>
    <cellStyle name="Normal 28 3 2 13 3" xfId="17204" xr:uid="{00000000-0005-0000-0000-00002B430000}"/>
    <cellStyle name="Normal 28 3 2 14" xfId="17205" xr:uid="{00000000-0005-0000-0000-00002C430000}"/>
    <cellStyle name="Normal 28 3 2 14 2" xfId="17206" xr:uid="{00000000-0005-0000-0000-00002D430000}"/>
    <cellStyle name="Normal 28 3 2 14 3" xfId="17207" xr:uid="{00000000-0005-0000-0000-00002E430000}"/>
    <cellStyle name="Normal 28 3 2 15" xfId="17208" xr:uid="{00000000-0005-0000-0000-00002F430000}"/>
    <cellStyle name="Normal 28 3 2 15 2" xfId="17209" xr:uid="{00000000-0005-0000-0000-000030430000}"/>
    <cellStyle name="Normal 28 3 2 15 3" xfId="17210" xr:uid="{00000000-0005-0000-0000-000031430000}"/>
    <cellStyle name="Normal 28 3 2 16" xfId="17211" xr:uid="{00000000-0005-0000-0000-000032430000}"/>
    <cellStyle name="Normal 28 3 2 17" xfId="17212" xr:uid="{00000000-0005-0000-0000-000033430000}"/>
    <cellStyle name="Normal 28 3 2 2" xfId="17213" xr:uid="{00000000-0005-0000-0000-000034430000}"/>
    <cellStyle name="Normal 28 3 2 2 10" xfId="17214" xr:uid="{00000000-0005-0000-0000-000035430000}"/>
    <cellStyle name="Normal 28 3 2 2 10 2" xfId="17215" xr:uid="{00000000-0005-0000-0000-000036430000}"/>
    <cellStyle name="Normal 28 3 2 2 10 3" xfId="17216" xr:uid="{00000000-0005-0000-0000-000037430000}"/>
    <cellStyle name="Normal 28 3 2 2 11" xfId="17217" xr:uid="{00000000-0005-0000-0000-000038430000}"/>
    <cellStyle name="Normal 28 3 2 2 11 2" xfId="17218" xr:uid="{00000000-0005-0000-0000-000039430000}"/>
    <cellStyle name="Normal 28 3 2 2 11 3" xfId="17219" xr:uid="{00000000-0005-0000-0000-00003A430000}"/>
    <cellStyle name="Normal 28 3 2 2 12" xfId="17220" xr:uid="{00000000-0005-0000-0000-00003B430000}"/>
    <cellStyle name="Normal 28 3 2 2 12 2" xfId="17221" xr:uid="{00000000-0005-0000-0000-00003C430000}"/>
    <cellStyle name="Normal 28 3 2 2 12 3" xfId="17222" xr:uid="{00000000-0005-0000-0000-00003D430000}"/>
    <cellStyle name="Normal 28 3 2 2 13" xfId="17223" xr:uid="{00000000-0005-0000-0000-00003E430000}"/>
    <cellStyle name="Normal 28 3 2 2 13 2" xfId="17224" xr:uid="{00000000-0005-0000-0000-00003F430000}"/>
    <cellStyle name="Normal 28 3 2 2 13 3" xfId="17225" xr:uid="{00000000-0005-0000-0000-000040430000}"/>
    <cellStyle name="Normal 28 3 2 2 14" xfId="17226" xr:uid="{00000000-0005-0000-0000-000041430000}"/>
    <cellStyle name="Normal 28 3 2 2 14 2" xfId="17227" xr:uid="{00000000-0005-0000-0000-000042430000}"/>
    <cellStyle name="Normal 28 3 2 2 14 3" xfId="17228" xr:uid="{00000000-0005-0000-0000-000043430000}"/>
    <cellStyle name="Normal 28 3 2 2 15" xfId="17229" xr:uid="{00000000-0005-0000-0000-000044430000}"/>
    <cellStyle name="Normal 28 3 2 2 16" xfId="17230" xr:uid="{00000000-0005-0000-0000-000045430000}"/>
    <cellStyle name="Normal 28 3 2 2 2" xfId="17231" xr:uid="{00000000-0005-0000-0000-000046430000}"/>
    <cellStyle name="Normal 28 3 2 2 2 2" xfId="17232" xr:uid="{00000000-0005-0000-0000-000047430000}"/>
    <cellStyle name="Normal 28 3 2 2 2 3" xfId="17233" xr:uid="{00000000-0005-0000-0000-000048430000}"/>
    <cellStyle name="Normal 28 3 2 2 3" xfId="17234" xr:uid="{00000000-0005-0000-0000-000049430000}"/>
    <cellStyle name="Normal 28 3 2 2 3 2" xfId="17235" xr:uid="{00000000-0005-0000-0000-00004A430000}"/>
    <cellStyle name="Normal 28 3 2 2 3 3" xfId="17236" xr:uid="{00000000-0005-0000-0000-00004B430000}"/>
    <cellStyle name="Normal 28 3 2 2 4" xfId="17237" xr:uid="{00000000-0005-0000-0000-00004C430000}"/>
    <cellStyle name="Normal 28 3 2 2 4 2" xfId="17238" xr:uid="{00000000-0005-0000-0000-00004D430000}"/>
    <cellStyle name="Normal 28 3 2 2 4 3" xfId="17239" xr:uid="{00000000-0005-0000-0000-00004E430000}"/>
    <cellStyle name="Normal 28 3 2 2 5" xfId="17240" xr:uid="{00000000-0005-0000-0000-00004F430000}"/>
    <cellStyle name="Normal 28 3 2 2 5 2" xfId="17241" xr:uid="{00000000-0005-0000-0000-000050430000}"/>
    <cellStyle name="Normal 28 3 2 2 5 3" xfId="17242" xr:uid="{00000000-0005-0000-0000-000051430000}"/>
    <cellStyle name="Normal 28 3 2 2 6" xfId="17243" xr:uid="{00000000-0005-0000-0000-000052430000}"/>
    <cellStyle name="Normal 28 3 2 2 6 2" xfId="17244" xr:uid="{00000000-0005-0000-0000-000053430000}"/>
    <cellStyle name="Normal 28 3 2 2 6 3" xfId="17245" xr:uid="{00000000-0005-0000-0000-000054430000}"/>
    <cellStyle name="Normal 28 3 2 2 7" xfId="17246" xr:uid="{00000000-0005-0000-0000-000055430000}"/>
    <cellStyle name="Normal 28 3 2 2 7 2" xfId="17247" xr:uid="{00000000-0005-0000-0000-000056430000}"/>
    <cellStyle name="Normal 28 3 2 2 7 3" xfId="17248" xr:uid="{00000000-0005-0000-0000-000057430000}"/>
    <cellStyle name="Normal 28 3 2 2 8" xfId="17249" xr:uid="{00000000-0005-0000-0000-000058430000}"/>
    <cellStyle name="Normal 28 3 2 2 8 2" xfId="17250" xr:uid="{00000000-0005-0000-0000-000059430000}"/>
    <cellStyle name="Normal 28 3 2 2 8 3" xfId="17251" xr:uid="{00000000-0005-0000-0000-00005A430000}"/>
    <cellStyle name="Normal 28 3 2 2 9" xfId="17252" xr:uid="{00000000-0005-0000-0000-00005B430000}"/>
    <cellStyle name="Normal 28 3 2 2 9 2" xfId="17253" xr:uid="{00000000-0005-0000-0000-00005C430000}"/>
    <cellStyle name="Normal 28 3 2 2 9 3" xfId="17254" xr:uid="{00000000-0005-0000-0000-00005D430000}"/>
    <cellStyle name="Normal 28 3 2 3" xfId="17255" xr:uid="{00000000-0005-0000-0000-00005E430000}"/>
    <cellStyle name="Normal 28 3 2 3 2" xfId="17256" xr:uid="{00000000-0005-0000-0000-00005F430000}"/>
    <cellStyle name="Normal 28 3 2 3 3" xfId="17257" xr:uid="{00000000-0005-0000-0000-000060430000}"/>
    <cellStyle name="Normal 28 3 2 4" xfId="17258" xr:uid="{00000000-0005-0000-0000-000061430000}"/>
    <cellStyle name="Normal 28 3 2 4 2" xfId="17259" xr:uid="{00000000-0005-0000-0000-000062430000}"/>
    <cellStyle name="Normal 28 3 2 4 3" xfId="17260" xr:uid="{00000000-0005-0000-0000-000063430000}"/>
    <cellStyle name="Normal 28 3 2 5" xfId="17261" xr:uid="{00000000-0005-0000-0000-000064430000}"/>
    <cellStyle name="Normal 28 3 2 5 2" xfId="17262" xr:uid="{00000000-0005-0000-0000-000065430000}"/>
    <cellStyle name="Normal 28 3 2 5 3" xfId="17263" xr:uid="{00000000-0005-0000-0000-000066430000}"/>
    <cellStyle name="Normal 28 3 2 6" xfId="17264" xr:uid="{00000000-0005-0000-0000-000067430000}"/>
    <cellStyle name="Normal 28 3 2 6 2" xfId="17265" xr:uid="{00000000-0005-0000-0000-000068430000}"/>
    <cellStyle name="Normal 28 3 2 6 3" xfId="17266" xr:uid="{00000000-0005-0000-0000-000069430000}"/>
    <cellStyle name="Normal 28 3 2 7" xfId="17267" xr:uid="{00000000-0005-0000-0000-00006A430000}"/>
    <cellStyle name="Normal 28 3 2 7 2" xfId="17268" xr:uid="{00000000-0005-0000-0000-00006B430000}"/>
    <cellStyle name="Normal 28 3 2 7 3" xfId="17269" xr:uid="{00000000-0005-0000-0000-00006C430000}"/>
    <cellStyle name="Normal 28 3 2 8" xfId="17270" xr:uid="{00000000-0005-0000-0000-00006D430000}"/>
    <cellStyle name="Normal 28 3 2 8 2" xfId="17271" xr:uid="{00000000-0005-0000-0000-00006E430000}"/>
    <cellStyle name="Normal 28 3 2 8 3" xfId="17272" xr:uid="{00000000-0005-0000-0000-00006F430000}"/>
    <cellStyle name="Normal 28 3 2 9" xfId="17273" xr:uid="{00000000-0005-0000-0000-000070430000}"/>
    <cellStyle name="Normal 28 3 2 9 2" xfId="17274" xr:uid="{00000000-0005-0000-0000-000071430000}"/>
    <cellStyle name="Normal 28 3 2 9 3" xfId="17275" xr:uid="{00000000-0005-0000-0000-000072430000}"/>
    <cellStyle name="Normal 28 3 20" xfId="17276" xr:uid="{00000000-0005-0000-0000-000073430000}"/>
    <cellStyle name="Normal 28 3 20 2" xfId="17277" xr:uid="{00000000-0005-0000-0000-000074430000}"/>
    <cellStyle name="Normal 28 3 20 3" xfId="17278" xr:uid="{00000000-0005-0000-0000-000075430000}"/>
    <cellStyle name="Normal 28 3 21" xfId="17279" xr:uid="{00000000-0005-0000-0000-000076430000}"/>
    <cellStyle name="Normal 28 3 21 2" xfId="17280" xr:uid="{00000000-0005-0000-0000-000077430000}"/>
    <cellStyle name="Normal 28 3 21 3" xfId="17281" xr:uid="{00000000-0005-0000-0000-000078430000}"/>
    <cellStyle name="Normal 28 3 22" xfId="17282" xr:uid="{00000000-0005-0000-0000-000079430000}"/>
    <cellStyle name="Normal 28 3 22 2" xfId="17283" xr:uid="{00000000-0005-0000-0000-00007A430000}"/>
    <cellStyle name="Normal 28 3 22 3" xfId="17284" xr:uid="{00000000-0005-0000-0000-00007B430000}"/>
    <cellStyle name="Normal 28 3 23" xfId="17285" xr:uid="{00000000-0005-0000-0000-00007C430000}"/>
    <cellStyle name="Normal 28 3 23 2" xfId="17286" xr:uid="{00000000-0005-0000-0000-00007D430000}"/>
    <cellStyle name="Normal 28 3 23 3" xfId="17287" xr:uid="{00000000-0005-0000-0000-00007E430000}"/>
    <cellStyle name="Normal 28 3 24" xfId="17288" xr:uid="{00000000-0005-0000-0000-00007F430000}"/>
    <cellStyle name="Normal 28 3 24 2" xfId="17289" xr:uid="{00000000-0005-0000-0000-000080430000}"/>
    <cellStyle name="Normal 28 3 24 3" xfId="17290" xr:uid="{00000000-0005-0000-0000-000081430000}"/>
    <cellStyle name="Normal 28 3 25" xfId="17291" xr:uid="{00000000-0005-0000-0000-000082430000}"/>
    <cellStyle name="Normal 28 3 25 2" xfId="17292" xr:uid="{00000000-0005-0000-0000-000083430000}"/>
    <cellStyle name="Normal 28 3 25 3" xfId="17293" xr:uid="{00000000-0005-0000-0000-000084430000}"/>
    <cellStyle name="Normal 28 3 26" xfId="17294" xr:uid="{00000000-0005-0000-0000-000085430000}"/>
    <cellStyle name="Normal 28 3 26 2" xfId="17295" xr:uid="{00000000-0005-0000-0000-000086430000}"/>
    <cellStyle name="Normal 28 3 26 3" xfId="17296" xr:uid="{00000000-0005-0000-0000-000087430000}"/>
    <cellStyle name="Normal 28 3 27" xfId="17297" xr:uid="{00000000-0005-0000-0000-000088430000}"/>
    <cellStyle name="Normal 28 3 27 2" xfId="17298" xr:uid="{00000000-0005-0000-0000-000089430000}"/>
    <cellStyle name="Normal 28 3 27 3" xfId="17299" xr:uid="{00000000-0005-0000-0000-00008A430000}"/>
    <cellStyle name="Normal 28 3 28" xfId="17300" xr:uid="{00000000-0005-0000-0000-00008B430000}"/>
    <cellStyle name="Normal 28 3 28 2" xfId="17301" xr:uid="{00000000-0005-0000-0000-00008C430000}"/>
    <cellStyle name="Normal 28 3 28 3" xfId="17302" xr:uid="{00000000-0005-0000-0000-00008D430000}"/>
    <cellStyle name="Normal 28 3 29" xfId="17303" xr:uid="{00000000-0005-0000-0000-00008E430000}"/>
    <cellStyle name="Normal 28 3 3" xfId="17304" xr:uid="{00000000-0005-0000-0000-00008F430000}"/>
    <cellStyle name="Normal 28 3 3 10" xfId="17305" xr:uid="{00000000-0005-0000-0000-000090430000}"/>
    <cellStyle name="Normal 28 3 3 10 2" xfId="17306" xr:uid="{00000000-0005-0000-0000-000091430000}"/>
    <cellStyle name="Normal 28 3 3 10 3" xfId="17307" xr:uid="{00000000-0005-0000-0000-000092430000}"/>
    <cellStyle name="Normal 28 3 3 11" xfId="17308" xr:uid="{00000000-0005-0000-0000-000093430000}"/>
    <cellStyle name="Normal 28 3 3 11 2" xfId="17309" xr:uid="{00000000-0005-0000-0000-000094430000}"/>
    <cellStyle name="Normal 28 3 3 11 3" xfId="17310" xr:uid="{00000000-0005-0000-0000-000095430000}"/>
    <cellStyle name="Normal 28 3 3 12" xfId="17311" xr:uid="{00000000-0005-0000-0000-000096430000}"/>
    <cellStyle name="Normal 28 3 3 12 2" xfId="17312" xr:uid="{00000000-0005-0000-0000-000097430000}"/>
    <cellStyle name="Normal 28 3 3 12 3" xfId="17313" xr:uid="{00000000-0005-0000-0000-000098430000}"/>
    <cellStyle name="Normal 28 3 3 13" xfId="17314" xr:uid="{00000000-0005-0000-0000-000099430000}"/>
    <cellStyle name="Normal 28 3 3 13 2" xfId="17315" xr:uid="{00000000-0005-0000-0000-00009A430000}"/>
    <cellStyle name="Normal 28 3 3 13 3" xfId="17316" xr:uid="{00000000-0005-0000-0000-00009B430000}"/>
    <cellStyle name="Normal 28 3 3 14" xfId="17317" xr:uid="{00000000-0005-0000-0000-00009C430000}"/>
    <cellStyle name="Normal 28 3 3 14 2" xfId="17318" xr:uid="{00000000-0005-0000-0000-00009D430000}"/>
    <cellStyle name="Normal 28 3 3 14 3" xfId="17319" xr:uid="{00000000-0005-0000-0000-00009E430000}"/>
    <cellStyle name="Normal 28 3 3 15" xfId="17320" xr:uid="{00000000-0005-0000-0000-00009F430000}"/>
    <cellStyle name="Normal 28 3 3 15 2" xfId="17321" xr:uid="{00000000-0005-0000-0000-0000A0430000}"/>
    <cellStyle name="Normal 28 3 3 15 3" xfId="17322" xr:uid="{00000000-0005-0000-0000-0000A1430000}"/>
    <cellStyle name="Normal 28 3 3 16" xfId="17323" xr:uid="{00000000-0005-0000-0000-0000A2430000}"/>
    <cellStyle name="Normal 28 3 3 17" xfId="17324" xr:uid="{00000000-0005-0000-0000-0000A3430000}"/>
    <cellStyle name="Normal 28 3 3 2" xfId="17325" xr:uid="{00000000-0005-0000-0000-0000A4430000}"/>
    <cellStyle name="Normal 28 3 3 2 10" xfId="17326" xr:uid="{00000000-0005-0000-0000-0000A5430000}"/>
    <cellStyle name="Normal 28 3 3 2 10 2" xfId="17327" xr:uid="{00000000-0005-0000-0000-0000A6430000}"/>
    <cellStyle name="Normal 28 3 3 2 10 3" xfId="17328" xr:uid="{00000000-0005-0000-0000-0000A7430000}"/>
    <cellStyle name="Normal 28 3 3 2 11" xfId="17329" xr:uid="{00000000-0005-0000-0000-0000A8430000}"/>
    <cellStyle name="Normal 28 3 3 2 11 2" xfId="17330" xr:uid="{00000000-0005-0000-0000-0000A9430000}"/>
    <cellStyle name="Normal 28 3 3 2 11 3" xfId="17331" xr:uid="{00000000-0005-0000-0000-0000AA430000}"/>
    <cellStyle name="Normal 28 3 3 2 12" xfId="17332" xr:uid="{00000000-0005-0000-0000-0000AB430000}"/>
    <cellStyle name="Normal 28 3 3 2 12 2" xfId="17333" xr:uid="{00000000-0005-0000-0000-0000AC430000}"/>
    <cellStyle name="Normal 28 3 3 2 12 3" xfId="17334" xr:uid="{00000000-0005-0000-0000-0000AD430000}"/>
    <cellStyle name="Normal 28 3 3 2 13" xfId="17335" xr:uid="{00000000-0005-0000-0000-0000AE430000}"/>
    <cellStyle name="Normal 28 3 3 2 13 2" xfId="17336" xr:uid="{00000000-0005-0000-0000-0000AF430000}"/>
    <cellStyle name="Normal 28 3 3 2 13 3" xfId="17337" xr:uid="{00000000-0005-0000-0000-0000B0430000}"/>
    <cellStyle name="Normal 28 3 3 2 14" xfId="17338" xr:uid="{00000000-0005-0000-0000-0000B1430000}"/>
    <cellStyle name="Normal 28 3 3 2 14 2" xfId="17339" xr:uid="{00000000-0005-0000-0000-0000B2430000}"/>
    <cellStyle name="Normal 28 3 3 2 14 3" xfId="17340" xr:uid="{00000000-0005-0000-0000-0000B3430000}"/>
    <cellStyle name="Normal 28 3 3 2 15" xfId="17341" xr:uid="{00000000-0005-0000-0000-0000B4430000}"/>
    <cellStyle name="Normal 28 3 3 2 16" xfId="17342" xr:uid="{00000000-0005-0000-0000-0000B5430000}"/>
    <cellStyle name="Normal 28 3 3 2 2" xfId="17343" xr:uid="{00000000-0005-0000-0000-0000B6430000}"/>
    <cellStyle name="Normal 28 3 3 2 2 2" xfId="17344" xr:uid="{00000000-0005-0000-0000-0000B7430000}"/>
    <cellStyle name="Normal 28 3 3 2 2 3" xfId="17345" xr:uid="{00000000-0005-0000-0000-0000B8430000}"/>
    <cellStyle name="Normal 28 3 3 2 3" xfId="17346" xr:uid="{00000000-0005-0000-0000-0000B9430000}"/>
    <cellStyle name="Normal 28 3 3 2 3 2" xfId="17347" xr:uid="{00000000-0005-0000-0000-0000BA430000}"/>
    <cellStyle name="Normal 28 3 3 2 3 3" xfId="17348" xr:uid="{00000000-0005-0000-0000-0000BB430000}"/>
    <cellStyle name="Normal 28 3 3 2 4" xfId="17349" xr:uid="{00000000-0005-0000-0000-0000BC430000}"/>
    <cellStyle name="Normal 28 3 3 2 4 2" xfId="17350" xr:uid="{00000000-0005-0000-0000-0000BD430000}"/>
    <cellStyle name="Normal 28 3 3 2 4 3" xfId="17351" xr:uid="{00000000-0005-0000-0000-0000BE430000}"/>
    <cellStyle name="Normal 28 3 3 2 5" xfId="17352" xr:uid="{00000000-0005-0000-0000-0000BF430000}"/>
    <cellStyle name="Normal 28 3 3 2 5 2" xfId="17353" xr:uid="{00000000-0005-0000-0000-0000C0430000}"/>
    <cellStyle name="Normal 28 3 3 2 5 3" xfId="17354" xr:uid="{00000000-0005-0000-0000-0000C1430000}"/>
    <cellStyle name="Normal 28 3 3 2 6" xfId="17355" xr:uid="{00000000-0005-0000-0000-0000C2430000}"/>
    <cellStyle name="Normal 28 3 3 2 6 2" xfId="17356" xr:uid="{00000000-0005-0000-0000-0000C3430000}"/>
    <cellStyle name="Normal 28 3 3 2 6 3" xfId="17357" xr:uid="{00000000-0005-0000-0000-0000C4430000}"/>
    <cellStyle name="Normal 28 3 3 2 7" xfId="17358" xr:uid="{00000000-0005-0000-0000-0000C5430000}"/>
    <cellStyle name="Normal 28 3 3 2 7 2" xfId="17359" xr:uid="{00000000-0005-0000-0000-0000C6430000}"/>
    <cellStyle name="Normal 28 3 3 2 7 3" xfId="17360" xr:uid="{00000000-0005-0000-0000-0000C7430000}"/>
    <cellStyle name="Normal 28 3 3 2 8" xfId="17361" xr:uid="{00000000-0005-0000-0000-0000C8430000}"/>
    <cellStyle name="Normal 28 3 3 2 8 2" xfId="17362" xr:uid="{00000000-0005-0000-0000-0000C9430000}"/>
    <cellStyle name="Normal 28 3 3 2 8 3" xfId="17363" xr:uid="{00000000-0005-0000-0000-0000CA430000}"/>
    <cellStyle name="Normal 28 3 3 2 9" xfId="17364" xr:uid="{00000000-0005-0000-0000-0000CB430000}"/>
    <cellStyle name="Normal 28 3 3 2 9 2" xfId="17365" xr:uid="{00000000-0005-0000-0000-0000CC430000}"/>
    <cellStyle name="Normal 28 3 3 2 9 3" xfId="17366" xr:uid="{00000000-0005-0000-0000-0000CD430000}"/>
    <cellStyle name="Normal 28 3 3 3" xfId="17367" xr:uid="{00000000-0005-0000-0000-0000CE430000}"/>
    <cellStyle name="Normal 28 3 3 3 2" xfId="17368" xr:uid="{00000000-0005-0000-0000-0000CF430000}"/>
    <cellStyle name="Normal 28 3 3 3 3" xfId="17369" xr:uid="{00000000-0005-0000-0000-0000D0430000}"/>
    <cellStyle name="Normal 28 3 3 4" xfId="17370" xr:uid="{00000000-0005-0000-0000-0000D1430000}"/>
    <cellStyle name="Normal 28 3 3 4 2" xfId="17371" xr:uid="{00000000-0005-0000-0000-0000D2430000}"/>
    <cellStyle name="Normal 28 3 3 4 3" xfId="17372" xr:uid="{00000000-0005-0000-0000-0000D3430000}"/>
    <cellStyle name="Normal 28 3 3 5" xfId="17373" xr:uid="{00000000-0005-0000-0000-0000D4430000}"/>
    <cellStyle name="Normal 28 3 3 5 2" xfId="17374" xr:uid="{00000000-0005-0000-0000-0000D5430000}"/>
    <cellStyle name="Normal 28 3 3 5 3" xfId="17375" xr:uid="{00000000-0005-0000-0000-0000D6430000}"/>
    <cellStyle name="Normal 28 3 3 6" xfId="17376" xr:uid="{00000000-0005-0000-0000-0000D7430000}"/>
    <cellStyle name="Normal 28 3 3 6 2" xfId="17377" xr:uid="{00000000-0005-0000-0000-0000D8430000}"/>
    <cellStyle name="Normal 28 3 3 6 3" xfId="17378" xr:uid="{00000000-0005-0000-0000-0000D9430000}"/>
    <cellStyle name="Normal 28 3 3 7" xfId="17379" xr:uid="{00000000-0005-0000-0000-0000DA430000}"/>
    <cellStyle name="Normal 28 3 3 7 2" xfId="17380" xr:uid="{00000000-0005-0000-0000-0000DB430000}"/>
    <cellStyle name="Normal 28 3 3 7 3" xfId="17381" xr:uid="{00000000-0005-0000-0000-0000DC430000}"/>
    <cellStyle name="Normal 28 3 3 8" xfId="17382" xr:uid="{00000000-0005-0000-0000-0000DD430000}"/>
    <cellStyle name="Normal 28 3 3 8 2" xfId="17383" xr:uid="{00000000-0005-0000-0000-0000DE430000}"/>
    <cellStyle name="Normal 28 3 3 8 3" xfId="17384" xr:uid="{00000000-0005-0000-0000-0000DF430000}"/>
    <cellStyle name="Normal 28 3 3 9" xfId="17385" xr:uid="{00000000-0005-0000-0000-0000E0430000}"/>
    <cellStyle name="Normal 28 3 3 9 2" xfId="17386" xr:uid="{00000000-0005-0000-0000-0000E1430000}"/>
    <cellStyle name="Normal 28 3 3 9 3" xfId="17387" xr:uid="{00000000-0005-0000-0000-0000E2430000}"/>
    <cellStyle name="Normal 28 3 30" xfId="17388" xr:uid="{00000000-0005-0000-0000-0000E3430000}"/>
    <cellStyle name="Normal 28 3 31" xfId="17389" xr:uid="{00000000-0005-0000-0000-0000E4430000}"/>
    <cellStyle name="Normal 28 3 32" xfId="17390" xr:uid="{00000000-0005-0000-0000-0000E5430000}"/>
    <cellStyle name="Normal 28 3 33" xfId="17391" xr:uid="{00000000-0005-0000-0000-0000E6430000}"/>
    <cellStyle name="Normal 28 3 34" xfId="17392" xr:uid="{00000000-0005-0000-0000-0000E7430000}"/>
    <cellStyle name="Normal 28 3 35" xfId="17393" xr:uid="{00000000-0005-0000-0000-0000E8430000}"/>
    <cellStyle name="Normal 28 3 36" xfId="17394" xr:uid="{00000000-0005-0000-0000-0000E9430000}"/>
    <cellStyle name="Normal 28 3 37" xfId="17395" xr:uid="{00000000-0005-0000-0000-0000EA430000}"/>
    <cellStyle name="Normal 28 3 38" xfId="17396" xr:uid="{00000000-0005-0000-0000-0000EB430000}"/>
    <cellStyle name="Normal 28 3 39" xfId="17397" xr:uid="{00000000-0005-0000-0000-0000EC430000}"/>
    <cellStyle name="Normal 28 3 4" xfId="17398" xr:uid="{00000000-0005-0000-0000-0000ED430000}"/>
    <cellStyle name="Normal 28 3 4 10" xfId="17399" xr:uid="{00000000-0005-0000-0000-0000EE430000}"/>
    <cellStyle name="Normal 28 3 4 10 2" xfId="17400" xr:uid="{00000000-0005-0000-0000-0000EF430000}"/>
    <cellStyle name="Normal 28 3 4 10 3" xfId="17401" xr:uid="{00000000-0005-0000-0000-0000F0430000}"/>
    <cellStyle name="Normal 28 3 4 11" xfId="17402" xr:uid="{00000000-0005-0000-0000-0000F1430000}"/>
    <cellStyle name="Normal 28 3 4 11 2" xfId="17403" xr:uid="{00000000-0005-0000-0000-0000F2430000}"/>
    <cellStyle name="Normal 28 3 4 11 3" xfId="17404" xr:uid="{00000000-0005-0000-0000-0000F3430000}"/>
    <cellStyle name="Normal 28 3 4 12" xfId="17405" xr:uid="{00000000-0005-0000-0000-0000F4430000}"/>
    <cellStyle name="Normal 28 3 4 12 2" xfId="17406" xr:uid="{00000000-0005-0000-0000-0000F5430000}"/>
    <cellStyle name="Normal 28 3 4 12 3" xfId="17407" xr:uid="{00000000-0005-0000-0000-0000F6430000}"/>
    <cellStyle name="Normal 28 3 4 13" xfId="17408" xr:uid="{00000000-0005-0000-0000-0000F7430000}"/>
    <cellStyle name="Normal 28 3 4 13 2" xfId="17409" xr:uid="{00000000-0005-0000-0000-0000F8430000}"/>
    <cellStyle name="Normal 28 3 4 13 3" xfId="17410" xr:uid="{00000000-0005-0000-0000-0000F9430000}"/>
    <cellStyle name="Normal 28 3 4 14" xfId="17411" xr:uid="{00000000-0005-0000-0000-0000FA430000}"/>
    <cellStyle name="Normal 28 3 4 14 2" xfId="17412" xr:uid="{00000000-0005-0000-0000-0000FB430000}"/>
    <cellStyle name="Normal 28 3 4 14 3" xfId="17413" xr:uid="{00000000-0005-0000-0000-0000FC430000}"/>
    <cellStyle name="Normal 28 3 4 15" xfId="17414" xr:uid="{00000000-0005-0000-0000-0000FD430000}"/>
    <cellStyle name="Normal 28 3 4 15 2" xfId="17415" xr:uid="{00000000-0005-0000-0000-0000FE430000}"/>
    <cellStyle name="Normal 28 3 4 15 3" xfId="17416" xr:uid="{00000000-0005-0000-0000-0000FF430000}"/>
    <cellStyle name="Normal 28 3 4 16" xfId="17417" xr:uid="{00000000-0005-0000-0000-000000440000}"/>
    <cellStyle name="Normal 28 3 4 17" xfId="17418" xr:uid="{00000000-0005-0000-0000-000001440000}"/>
    <cellStyle name="Normal 28 3 4 2" xfId="17419" xr:uid="{00000000-0005-0000-0000-000002440000}"/>
    <cellStyle name="Normal 28 3 4 2 10" xfId="17420" xr:uid="{00000000-0005-0000-0000-000003440000}"/>
    <cellStyle name="Normal 28 3 4 2 10 2" xfId="17421" xr:uid="{00000000-0005-0000-0000-000004440000}"/>
    <cellStyle name="Normal 28 3 4 2 10 3" xfId="17422" xr:uid="{00000000-0005-0000-0000-000005440000}"/>
    <cellStyle name="Normal 28 3 4 2 11" xfId="17423" xr:uid="{00000000-0005-0000-0000-000006440000}"/>
    <cellStyle name="Normal 28 3 4 2 11 2" xfId="17424" xr:uid="{00000000-0005-0000-0000-000007440000}"/>
    <cellStyle name="Normal 28 3 4 2 11 3" xfId="17425" xr:uid="{00000000-0005-0000-0000-000008440000}"/>
    <cellStyle name="Normal 28 3 4 2 12" xfId="17426" xr:uid="{00000000-0005-0000-0000-000009440000}"/>
    <cellStyle name="Normal 28 3 4 2 12 2" xfId="17427" xr:uid="{00000000-0005-0000-0000-00000A440000}"/>
    <cellStyle name="Normal 28 3 4 2 12 3" xfId="17428" xr:uid="{00000000-0005-0000-0000-00000B440000}"/>
    <cellStyle name="Normal 28 3 4 2 13" xfId="17429" xr:uid="{00000000-0005-0000-0000-00000C440000}"/>
    <cellStyle name="Normal 28 3 4 2 13 2" xfId="17430" xr:uid="{00000000-0005-0000-0000-00000D440000}"/>
    <cellStyle name="Normal 28 3 4 2 13 3" xfId="17431" xr:uid="{00000000-0005-0000-0000-00000E440000}"/>
    <cellStyle name="Normal 28 3 4 2 14" xfId="17432" xr:uid="{00000000-0005-0000-0000-00000F440000}"/>
    <cellStyle name="Normal 28 3 4 2 14 2" xfId="17433" xr:uid="{00000000-0005-0000-0000-000010440000}"/>
    <cellStyle name="Normal 28 3 4 2 14 3" xfId="17434" xr:uid="{00000000-0005-0000-0000-000011440000}"/>
    <cellStyle name="Normal 28 3 4 2 15" xfId="17435" xr:uid="{00000000-0005-0000-0000-000012440000}"/>
    <cellStyle name="Normal 28 3 4 2 16" xfId="17436" xr:uid="{00000000-0005-0000-0000-000013440000}"/>
    <cellStyle name="Normal 28 3 4 2 2" xfId="17437" xr:uid="{00000000-0005-0000-0000-000014440000}"/>
    <cellStyle name="Normal 28 3 4 2 2 2" xfId="17438" xr:uid="{00000000-0005-0000-0000-000015440000}"/>
    <cellStyle name="Normal 28 3 4 2 2 3" xfId="17439" xr:uid="{00000000-0005-0000-0000-000016440000}"/>
    <cellStyle name="Normal 28 3 4 2 3" xfId="17440" xr:uid="{00000000-0005-0000-0000-000017440000}"/>
    <cellStyle name="Normal 28 3 4 2 3 2" xfId="17441" xr:uid="{00000000-0005-0000-0000-000018440000}"/>
    <cellStyle name="Normal 28 3 4 2 3 3" xfId="17442" xr:uid="{00000000-0005-0000-0000-000019440000}"/>
    <cellStyle name="Normal 28 3 4 2 4" xfId="17443" xr:uid="{00000000-0005-0000-0000-00001A440000}"/>
    <cellStyle name="Normal 28 3 4 2 4 2" xfId="17444" xr:uid="{00000000-0005-0000-0000-00001B440000}"/>
    <cellStyle name="Normal 28 3 4 2 4 3" xfId="17445" xr:uid="{00000000-0005-0000-0000-00001C440000}"/>
    <cellStyle name="Normal 28 3 4 2 5" xfId="17446" xr:uid="{00000000-0005-0000-0000-00001D440000}"/>
    <cellStyle name="Normal 28 3 4 2 5 2" xfId="17447" xr:uid="{00000000-0005-0000-0000-00001E440000}"/>
    <cellStyle name="Normal 28 3 4 2 5 3" xfId="17448" xr:uid="{00000000-0005-0000-0000-00001F440000}"/>
    <cellStyle name="Normal 28 3 4 2 6" xfId="17449" xr:uid="{00000000-0005-0000-0000-000020440000}"/>
    <cellStyle name="Normal 28 3 4 2 6 2" xfId="17450" xr:uid="{00000000-0005-0000-0000-000021440000}"/>
    <cellStyle name="Normal 28 3 4 2 6 3" xfId="17451" xr:uid="{00000000-0005-0000-0000-000022440000}"/>
    <cellStyle name="Normal 28 3 4 2 7" xfId="17452" xr:uid="{00000000-0005-0000-0000-000023440000}"/>
    <cellStyle name="Normal 28 3 4 2 7 2" xfId="17453" xr:uid="{00000000-0005-0000-0000-000024440000}"/>
    <cellStyle name="Normal 28 3 4 2 7 3" xfId="17454" xr:uid="{00000000-0005-0000-0000-000025440000}"/>
    <cellStyle name="Normal 28 3 4 2 8" xfId="17455" xr:uid="{00000000-0005-0000-0000-000026440000}"/>
    <cellStyle name="Normal 28 3 4 2 8 2" xfId="17456" xr:uid="{00000000-0005-0000-0000-000027440000}"/>
    <cellStyle name="Normal 28 3 4 2 8 3" xfId="17457" xr:uid="{00000000-0005-0000-0000-000028440000}"/>
    <cellStyle name="Normal 28 3 4 2 9" xfId="17458" xr:uid="{00000000-0005-0000-0000-000029440000}"/>
    <cellStyle name="Normal 28 3 4 2 9 2" xfId="17459" xr:uid="{00000000-0005-0000-0000-00002A440000}"/>
    <cellStyle name="Normal 28 3 4 2 9 3" xfId="17460" xr:uid="{00000000-0005-0000-0000-00002B440000}"/>
    <cellStyle name="Normal 28 3 4 3" xfId="17461" xr:uid="{00000000-0005-0000-0000-00002C440000}"/>
    <cellStyle name="Normal 28 3 4 3 2" xfId="17462" xr:uid="{00000000-0005-0000-0000-00002D440000}"/>
    <cellStyle name="Normal 28 3 4 3 3" xfId="17463" xr:uid="{00000000-0005-0000-0000-00002E440000}"/>
    <cellStyle name="Normal 28 3 4 4" xfId="17464" xr:uid="{00000000-0005-0000-0000-00002F440000}"/>
    <cellStyle name="Normal 28 3 4 4 2" xfId="17465" xr:uid="{00000000-0005-0000-0000-000030440000}"/>
    <cellStyle name="Normal 28 3 4 4 3" xfId="17466" xr:uid="{00000000-0005-0000-0000-000031440000}"/>
    <cellStyle name="Normal 28 3 4 5" xfId="17467" xr:uid="{00000000-0005-0000-0000-000032440000}"/>
    <cellStyle name="Normal 28 3 4 5 2" xfId="17468" xr:uid="{00000000-0005-0000-0000-000033440000}"/>
    <cellStyle name="Normal 28 3 4 5 3" xfId="17469" xr:uid="{00000000-0005-0000-0000-000034440000}"/>
    <cellStyle name="Normal 28 3 4 6" xfId="17470" xr:uid="{00000000-0005-0000-0000-000035440000}"/>
    <cellStyle name="Normal 28 3 4 6 2" xfId="17471" xr:uid="{00000000-0005-0000-0000-000036440000}"/>
    <cellStyle name="Normal 28 3 4 6 3" xfId="17472" xr:uid="{00000000-0005-0000-0000-000037440000}"/>
    <cellStyle name="Normal 28 3 4 7" xfId="17473" xr:uid="{00000000-0005-0000-0000-000038440000}"/>
    <cellStyle name="Normal 28 3 4 7 2" xfId="17474" xr:uid="{00000000-0005-0000-0000-000039440000}"/>
    <cellStyle name="Normal 28 3 4 7 3" xfId="17475" xr:uid="{00000000-0005-0000-0000-00003A440000}"/>
    <cellStyle name="Normal 28 3 4 8" xfId="17476" xr:uid="{00000000-0005-0000-0000-00003B440000}"/>
    <cellStyle name="Normal 28 3 4 8 2" xfId="17477" xr:uid="{00000000-0005-0000-0000-00003C440000}"/>
    <cellStyle name="Normal 28 3 4 8 3" xfId="17478" xr:uid="{00000000-0005-0000-0000-00003D440000}"/>
    <cellStyle name="Normal 28 3 4 9" xfId="17479" xr:uid="{00000000-0005-0000-0000-00003E440000}"/>
    <cellStyle name="Normal 28 3 4 9 2" xfId="17480" xr:uid="{00000000-0005-0000-0000-00003F440000}"/>
    <cellStyle name="Normal 28 3 4 9 3" xfId="17481" xr:uid="{00000000-0005-0000-0000-000040440000}"/>
    <cellStyle name="Normal 28 3 40" xfId="17482" xr:uid="{00000000-0005-0000-0000-000041440000}"/>
    <cellStyle name="Normal 28 3 41" xfId="17483" xr:uid="{00000000-0005-0000-0000-000042440000}"/>
    <cellStyle name="Normal 28 3 5" xfId="17484" xr:uid="{00000000-0005-0000-0000-000043440000}"/>
    <cellStyle name="Normal 28 3 5 10" xfId="17485" xr:uid="{00000000-0005-0000-0000-000044440000}"/>
    <cellStyle name="Normal 28 3 5 10 2" xfId="17486" xr:uid="{00000000-0005-0000-0000-000045440000}"/>
    <cellStyle name="Normal 28 3 5 10 3" xfId="17487" xr:uid="{00000000-0005-0000-0000-000046440000}"/>
    <cellStyle name="Normal 28 3 5 11" xfId="17488" xr:uid="{00000000-0005-0000-0000-000047440000}"/>
    <cellStyle name="Normal 28 3 5 11 2" xfId="17489" xr:uid="{00000000-0005-0000-0000-000048440000}"/>
    <cellStyle name="Normal 28 3 5 11 3" xfId="17490" xr:uid="{00000000-0005-0000-0000-000049440000}"/>
    <cellStyle name="Normal 28 3 5 12" xfId="17491" xr:uid="{00000000-0005-0000-0000-00004A440000}"/>
    <cellStyle name="Normal 28 3 5 12 2" xfId="17492" xr:uid="{00000000-0005-0000-0000-00004B440000}"/>
    <cellStyle name="Normal 28 3 5 12 3" xfId="17493" xr:uid="{00000000-0005-0000-0000-00004C440000}"/>
    <cellStyle name="Normal 28 3 5 13" xfId="17494" xr:uid="{00000000-0005-0000-0000-00004D440000}"/>
    <cellStyle name="Normal 28 3 5 13 2" xfId="17495" xr:uid="{00000000-0005-0000-0000-00004E440000}"/>
    <cellStyle name="Normal 28 3 5 13 3" xfId="17496" xr:uid="{00000000-0005-0000-0000-00004F440000}"/>
    <cellStyle name="Normal 28 3 5 14" xfId="17497" xr:uid="{00000000-0005-0000-0000-000050440000}"/>
    <cellStyle name="Normal 28 3 5 14 2" xfId="17498" xr:uid="{00000000-0005-0000-0000-000051440000}"/>
    <cellStyle name="Normal 28 3 5 14 3" xfId="17499" xr:uid="{00000000-0005-0000-0000-000052440000}"/>
    <cellStyle name="Normal 28 3 5 15" xfId="17500" xr:uid="{00000000-0005-0000-0000-000053440000}"/>
    <cellStyle name="Normal 28 3 5 16" xfId="17501" xr:uid="{00000000-0005-0000-0000-000054440000}"/>
    <cellStyle name="Normal 28 3 5 2" xfId="17502" xr:uid="{00000000-0005-0000-0000-000055440000}"/>
    <cellStyle name="Normal 28 3 5 2 2" xfId="17503" xr:uid="{00000000-0005-0000-0000-000056440000}"/>
    <cellStyle name="Normal 28 3 5 2 3" xfId="17504" xr:uid="{00000000-0005-0000-0000-000057440000}"/>
    <cellStyle name="Normal 28 3 5 3" xfId="17505" xr:uid="{00000000-0005-0000-0000-000058440000}"/>
    <cellStyle name="Normal 28 3 5 3 2" xfId="17506" xr:uid="{00000000-0005-0000-0000-000059440000}"/>
    <cellStyle name="Normal 28 3 5 3 3" xfId="17507" xr:uid="{00000000-0005-0000-0000-00005A440000}"/>
    <cellStyle name="Normal 28 3 5 4" xfId="17508" xr:uid="{00000000-0005-0000-0000-00005B440000}"/>
    <cellStyle name="Normal 28 3 5 4 2" xfId="17509" xr:uid="{00000000-0005-0000-0000-00005C440000}"/>
    <cellStyle name="Normal 28 3 5 4 3" xfId="17510" xr:uid="{00000000-0005-0000-0000-00005D440000}"/>
    <cellStyle name="Normal 28 3 5 5" xfId="17511" xr:uid="{00000000-0005-0000-0000-00005E440000}"/>
    <cellStyle name="Normal 28 3 5 5 2" xfId="17512" xr:uid="{00000000-0005-0000-0000-00005F440000}"/>
    <cellStyle name="Normal 28 3 5 5 3" xfId="17513" xr:uid="{00000000-0005-0000-0000-000060440000}"/>
    <cellStyle name="Normal 28 3 5 6" xfId="17514" xr:uid="{00000000-0005-0000-0000-000061440000}"/>
    <cellStyle name="Normal 28 3 5 6 2" xfId="17515" xr:uid="{00000000-0005-0000-0000-000062440000}"/>
    <cellStyle name="Normal 28 3 5 6 3" xfId="17516" xr:uid="{00000000-0005-0000-0000-000063440000}"/>
    <cellStyle name="Normal 28 3 5 7" xfId="17517" xr:uid="{00000000-0005-0000-0000-000064440000}"/>
    <cellStyle name="Normal 28 3 5 7 2" xfId="17518" xr:uid="{00000000-0005-0000-0000-000065440000}"/>
    <cellStyle name="Normal 28 3 5 7 3" xfId="17519" xr:uid="{00000000-0005-0000-0000-000066440000}"/>
    <cellStyle name="Normal 28 3 5 8" xfId="17520" xr:uid="{00000000-0005-0000-0000-000067440000}"/>
    <cellStyle name="Normal 28 3 5 8 2" xfId="17521" xr:uid="{00000000-0005-0000-0000-000068440000}"/>
    <cellStyle name="Normal 28 3 5 8 3" xfId="17522" xr:uid="{00000000-0005-0000-0000-000069440000}"/>
    <cellStyle name="Normal 28 3 5 9" xfId="17523" xr:uid="{00000000-0005-0000-0000-00006A440000}"/>
    <cellStyle name="Normal 28 3 5 9 2" xfId="17524" xr:uid="{00000000-0005-0000-0000-00006B440000}"/>
    <cellStyle name="Normal 28 3 5 9 3" xfId="17525" xr:uid="{00000000-0005-0000-0000-00006C440000}"/>
    <cellStyle name="Normal 28 3 6" xfId="17526" xr:uid="{00000000-0005-0000-0000-00006D440000}"/>
    <cellStyle name="Normal 28 3 6 10" xfId="17527" xr:uid="{00000000-0005-0000-0000-00006E440000}"/>
    <cellStyle name="Normal 28 3 6 10 2" xfId="17528" xr:uid="{00000000-0005-0000-0000-00006F440000}"/>
    <cellStyle name="Normal 28 3 6 10 3" xfId="17529" xr:uid="{00000000-0005-0000-0000-000070440000}"/>
    <cellStyle name="Normal 28 3 6 11" xfId="17530" xr:uid="{00000000-0005-0000-0000-000071440000}"/>
    <cellStyle name="Normal 28 3 6 11 2" xfId="17531" xr:uid="{00000000-0005-0000-0000-000072440000}"/>
    <cellStyle name="Normal 28 3 6 11 3" xfId="17532" xr:uid="{00000000-0005-0000-0000-000073440000}"/>
    <cellStyle name="Normal 28 3 6 12" xfId="17533" xr:uid="{00000000-0005-0000-0000-000074440000}"/>
    <cellStyle name="Normal 28 3 6 12 2" xfId="17534" xr:uid="{00000000-0005-0000-0000-000075440000}"/>
    <cellStyle name="Normal 28 3 6 12 3" xfId="17535" xr:uid="{00000000-0005-0000-0000-000076440000}"/>
    <cellStyle name="Normal 28 3 6 13" xfId="17536" xr:uid="{00000000-0005-0000-0000-000077440000}"/>
    <cellStyle name="Normal 28 3 6 13 2" xfId="17537" xr:uid="{00000000-0005-0000-0000-000078440000}"/>
    <cellStyle name="Normal 28 3 6 13 3" xfId="17538" xr:uid="{00000000-0005-0000-0000-000079440000}"/>
    <cellStyle name="Normal 28 3 6 14" xfId="17539" xr:uid="{00000000-0005-0000-0000-00007A440000}"/>
    <cellStyle name="Normal 28 3 6 14 2" xfId="17540" xr:uid="{00000000-0005-0000-0000-00007B440000}"/>
    <cellStyle name="Normal 28 3 6 14 3" xfId="17541" xr:uid="{00000000-0005-0000-0000-00007C440000}"/>
    <cellStyle name="Normal 28 3 6 15" xfId="17542" xr:uid="{00000000-0005-0000-0000-00007D440000}"/>
    <cellStyle name="Normal 28 3 6 16" xfId="17543" xr:uid="{00000000-0005-0000-0000-00007E440000}"/>
    <cellStyle name="Normal 28 3 6 2" xfId="17544" xr:uid="{00000000-0005-0000-0000-00007F440000}"/>
    <cellStyle name="Normal 28 3 6 2 2" xfId="17545" xr:uid="{00000000-0005-0000-0000-000080440000}"/>
    <cellStyle name="Normal 28 3 6 2 3" xfId="17546" xr:uid="{00000000-0005-0000-0000-000081440000}"/>
    <cellStyle name="Normal 28 3 6 3" xfId="17547" xr:uid="{00000000-0005-0000-0000-000082440000}"/>
    <cellStyle name="Normal 28 3 6 3 2" xfId="17548" xr:uid="{00000000-0005-0000-0000-000083440000}"/>
    <cellStyle name="Normal 28 3 6 3 3" xfId="17549" xr:uid="{00000000-0005-0000-0000-000084440000}"/>
    <cellStyle name="Normal 28 3 6 4" xfId="17550" xr:uid="{00000000-0005-0000-0000-000085440000}"/>
    <cellStyle name="Normal 28 3 6 4 2" xfId="17551" xr:uid="{00000000-0005-0000-0000-000086440000}"/>
    <cellStyle name="Normal 28 3 6 4 3" xfId="17552" xr:uid="{00000000-0005-0000-0000-000087440000}"/>
    <cellStyle name="Normal 28 3 6 5" xfId="17553" xr:uid="{00000000-0005-0000-0000-000088440000}"/>
    <cellStyle name="Normal 28 3 6 5 2" xfId="17554" xr:uid="{00000000-0005-0000-0000-000089440000}"/>
    <cellStyle name="Normal 28 3 6 5 3" xfId="17555" xr:uid="{00000000-0005-0000-0000-00008A440000}"/>
    <cellStyle name="Normal 28 3 6 6" xfId="17556" xr:uid="{00000000-0005-0000-0000-00008B440000}"/>
    <cellStyle name="Normal 28 3 6 6 2" xfId="17557" xr:uid="{00000000-0005-0000-0000-00008C440000}"/>
    <cellStyle name="Normal 28 3 6 6 3" xfId="17558" xr:uid="{00000000-0005-0000-0000-00008D440000}"/>
    <cellStyle name="Normal 28 3 6 7" xfId="17559" xr:uid="{00000000-0005-0000-0000-00008E440000}"/>
    <cellStyle name="Normal 28 3 6 7 2" xfId="17560" xr:uid="{00000000-0005-0000-0000-00008F440000}"/>
    <cellStyle name="Normal 28 3 6 7 3" xfId="17561" xr:uid="{00000000-0005-0000-0000-000090440000}"/>
    <cellStyle name="Normal 28 3 6 8" xfId="17562" xr:uid="{00000000-0005-0000-0000-000091440000}"/>
    <cellStyle name="Normal 28 3 6 8 2" xfId="17563" xr:uid="{00000000-0005-0000-0000-000092440000}"/>
    <cellStyle name="Normal 28 3 6 8 3" xfId="17564" xr:uid="{00000000-0005-0000-0000-000093440000}"/>
    <cellStyle name="Normal 28 3 6 9" xfId="17565" xr:uid="{00000000-0005-0000-0000-000094440000}"/>
    <cellStyle name="Normal 28 3 6 9 2" xfId="17566" xr:uid="{00000000-0005-0000-0000-000095440000}"/>
    <cellStyle name="Normal 28 3 6 9 3" xfId="17567" xr:uid="{00000000-0005-0000-0000-000096440000}"/>
    <cellStyle name="Normal 28 3 7" xfId="17568" xr:uid="{00000000-0005-0000-0000-000097440000}"/>
    <cellStyle name="Normal 28 3 7 10" xfId="17569" xr:uid="{00000000-0005-0000-0000-000098440000}"/>
    <cellStyle name="Normal 28 3 7 10 2" xfId="17570" xr:uid="{00000000-0005-0000-0000-000099440000}"/>
    <cellStyle name="Normal 28 3 7 10 3" xfId="17571" xr:uid="{00000000-0005-0000-0000-00009A440000}"/>
    <cellStyle name="Normal 28 3 7 11" xfId="17572" xr:uid="{00000000-0005-0000-0000-00009B440000}"/>
    <cellStyle name="Normal 28 3 7 11 2" xfId="17573" xr:uid="{00000000-0005-0000-0000-00009C440000}"/>
    <cellStyle name="Normal 28 3 7 11 3" xfId="17574" xr:uid="{00000000-0005-0000-0000-00009D440000}"/>
    <cellStyle name="Normal 28 3 7 12" xfId="17575" xr:uid="{00000000-0005-0000-0000-00009E440000}"/>
    <cellStyle name="Normal 28 3 7 12 2" xfId="17576" xr:uid="{00000000-0005-0000-0000-00009F440000}"/>
    <cellStyle name="Normal 28 3 7 12 3" xfId="17577" xr:uid="{00000000-0005-0000-0000-0000A0440000}"/>
    <cellStyle name="Normal 28 3 7 13" xfId="17578" xr:uid="{00000000-0005-0000-0000-0000A1440000}"/>
    <cellStyle name="Normal 28 3 7 13 2" xfId="17579" xr:uid="{00000000-0005-0000-0000-0000A2440000}"/>
    <cellStyle name="Normal 28 3 7 13 3" xfId="17580" xr:uid="{00000000-0005-0000-0000-0000A3440000}"/>
    <cellStyle name="Normal 28 3 7 14" xfId="17581" xr:uid="{00000000-0005-0000-0000-0000A4440000}"/>
    <cellStyle name="Normal 28 3 7 14 2" xfId="17582" xr:uid="{00000000-0005-0000-0000-0000A5440000}"/>
    <cellStyle name="Normal 28 3 7 14 3" xfId="17583" xr:uid="{00000000-0005-0000-0000-0000A6440000}"/>
    <cellStyle name="Normal 28 3 7 15" xfId="17584" xr:uid="{00000000-0005-0000-0000-0000A7440000}"/>
    <cellStyle name="Normal 28 3 7 16" xfId="17585" xr:uid="{00000000-0005-0000-0000-0000A8440000}"/>
    <cellStyle name="Normal 28 3 7 2" xfId="17586" xr:uid="{00000000-0005-0000-0000-0000A9440000}"/>
    <cellStyle name="Normal 28 3 7 2 2" xfId="17587" xr:uid="{00000000-0005-0000-0000-0000AA440000}"/>
    <cellStyle name="Normal 28 3 7 2 3" xfId="17588" xr:uid="{00000000-0005-0000-0000-0000AB440000}"/>
    <cellStyle name="Normal 28 3 7 3" xfId="17589" xr:uid="{00000000-0005-0000-0000-0000AC440000}"/>
    <cellStyle name="Normal 28 3 7 3 2" xfId="17590" xr:uid="{00000000-0005-0000-0000-0000AD440000}"/>
    <cellStyle name="Normal 28 3 7 3 3" xfId="17591" xr:uid="{00000000-0005-0000-0000-0000AE440000}"/>
    <cellStyle name="Normal 28 3 7 4" xfId="17592" xr:uid="{00000000-0005-0000-0000-0000AF440000}"/>
    <cellStyle name="Normal 28 3 7 4 2" xfId="17593" xr:uid="{00000000-0005-0000-0000-0000B0440000}"/>
    <cellStyle name="Normal 28 3 7 4 3" xfId="17594" xr:uid="{00000000-0005-0000-0000-0000B1440000}"/>
    <cellStyle name="Normal 28 3 7 5" xfId="17595" xr:uid="{00000000-0005-0000-0000-0000B2440000}"/>
    <cellStyle name="Normal 28 3 7 5 2" xfId="17596" xr:uid="{00000000-0005-0000-0000-0000B3440000}"/>
    <cellStyle name="Normal 28 3 7 5 3" xfId="17597" xr:uid="{00000000-0005-0000-0000-0000B4440000}"/>
    <cellStyle name="Normal 28 3 7 6" xfId="17598" xr:uid="{00000000-0005-0000-0000-0000B5440000}"/>
    <cellStyle name="Normal 28 3 7 6 2" xfId="17599" xr:uid="{00000000-0005-0000-0000-0000B6440000}"/>
    <cellStyle name="Normal 28 3 7 6 3" xfId="17600" xr:uid="{00000000-0005-0000-0000-0000B7440000}"/>
    <cellStyle name="Normal 28 3 7 7" xfId="17601" xr:uid="{00000000-0005-0000-0000-0000B8440000}"/>
    <cellStyle name="Normal 28 3 7 7 2" xfId="17602" xr:uid="{00000000-0005-0000-0000-0000B9440000}"/>
    <cellStyle name="Normal 28 3 7 7 3" xfId="17603" xr:uid="{00000000-0005-0000-0000-0000BA440000}"/>
    <cellStyle name="Normal 28 3 7 8" xfId="17604" xr:uid="{00000000-0005-0000-0000-0000BB440000}"/>
    <cellStyle name="Normal 28 3 7 8 2" xfId="17605" xr:uid="{00000000-0005-0000-0000-0000BC440000}"/>
    <cellStyle name="Normal 28 3 7 8 3" xfId="17606" xr:uid="{00000000-0005-0000-0000-0000BD440000}"/>
    <cellStyle name="Normal 28 3 7 9" xfId="17607" xr:uid="{00000000-0005-0000-0000-0000BE440000}"/>
    <cellStyle name="Normal 28 3 7 9 2" xfId="17608" xr:uid="{00000000-0005-0000-0000-0000BF440000}"/>
    <cellStyle name="Normal 28 3 7 9 3" xfId="17609" xr:uid="{00000000-0005-0000-0000-0000C0440000}"/>
    <cellStyle name="Normal 28 3 8" xfId="17610" xr:uid="{00000000-0005-0000-0000-0000C1440000}"/>
    <cellStyle name="Normal 28 3 8 10" xfId="17611" xr:uid="{00000000-0005-0000-0000-0000C2440000}"/>
    <cellStyle name="Normal 28 3 8 10 2" xfId="17612" xr:uid="{00000000-0005-0000-0000-0000C3440000}"/>
    <cellStyle name="Normal 28 3 8 10 3" xfId="17613" xr:uid="{00000000-0005-0000-0000-0000C4440000}"/>
    <cellStyle name="Normal 28 3 8 11" xfId="17614" xr:uid="{00000000-0005-0000-0000-0000C5440000}"/>
    <cellStyle name="Normal 28 3 8 11 2" xfId="17615" xr:uid="{00000000-0005-0000-0000-0000C6440000}"/>
    <cellStyle name="Normal 28 3 8 11 3" xfId="17616" xr:uid="{00000000-0005-0000-0000-0000C7440000}"/>
    <cellStyle name="Normal 28 3 8 12" xfId="17617" xr:uid="{00000000-0005-0000-0000-0000C8440000}"/>
    <cellStyle name="Normal 28 3 8 12 2" xfId="17618" xr:uid="{00000000-0005-0000-0000-0000C9440000}"/>
    <cellStyle name="Normal 28 3 8 12 3" xfId="17619" xr:uid="{00000000-0005-0000-0000-0000CA440000}"/>
    <cellStyle name="Normal 28 3 8 13" xfId="17620" xr:uid="{00000000-0005-0000-0000-0000CB440000}"/>
    <cellStyle name="Normal 28 3 8 13 2" xfId="17621" xr:uid="{00000000-0005-0000-0000-0000CC440000}"/>
    <cellStyle name="Normal 28 3 8 13 3" xfId="17622" xr:uid="{00000000-0005-0000-0000-0000CD440000}"/>
    <cellStyle name="Normal 28 3 8 14" xfId="17623" xr:uid="{00000000-0005-0000-0000-0000CE440000}"/>
    <cellStyle name="Normal 28 3 8 14 2" xfId="17624" xr:uid="{00000000-0005-0000-0000-0000CF440000}"/>
    <cellStyle name="Normal 28 3 8 14 3" xfId="17625" xr:uid="{00000000-0005-0000-0000-0000D0440000}"/>
    <cellStyle name="Normal 28 3 8 15" xfId="17626" xr:uid="{00000000-0005-0000-0000-0000D1440000}"/>
    <cellStyle name="Normal 28 3 8 16" xfId="17627" xr:uid="{00000000-0005-0000-0000-0000D2440000}"/>
    <cellStyle name="Normal 28 3 8 2" xfId="17628" xr:uid="{00000000-0005-0000-0000-0000D3440000}"/>
    <cellStyle name="Normal 28 3 8 2 2" xfId="17629" xr:uid="{00000000-0005-0000-0000-0000D4440000}"/>
    <cellStyle name="Normal 28 3 8 2 3" xfId="17630" xr:uid="{00000000-0005-0000-0000-0000D5440000}"/>
    <cellStyle name="Normal 28 3 8 3" xfId="17631" xr:uid="{00000000-0005-0000-0000-0000D6440000}"/>
    <cellStyle name="Normal 28 3 8 3 2" xfId="17632" xr:uid="{00000000-0005-0000-0000-0000D7440000}"/>
    <cellStyle name="Normal 28 3 8 3 3" xfId="17633" xr:uid="{00000000-0005-0000-0000-0000D8440000}"/>
    <cellStyle name="Normal 28 3 8 4" xfId="17634" xr:uid="{00000000-0005-0000-0000-0000D9440000}"/>
    <cellStyle name="Normal 28 3 8 4 2" xfId="17635" xr:uid="{00000000-0005-0000-0000-0000DA440000}"/>
    <cellStyle name="Normal 28 3 8 4 3" xfId="17636" xr:uid="{00000000-0005-0000-0000-0000DB440000}"/>
    <cellStyle name="Normal 28 3 8 5" xfId="17637" xr:uid="{00000000-0005-0000-0000-0000DC440000}"/>
    <cellStyle name="Normal 28 3 8 5 2" xfId="17638" xr:uid="{00000000-0005-0000-0000-0000DD440000}"/>
    <cellStyle name="Normal 28 3 8 5 3" xfId="17639" xr:uid="{00000000-0005-0000-0000-0000DE440000}"/>
    <cellStyle name="Normal 28 3 8 6" xfId="17640" xr:uid="{00000000-0005-0000-0000-0000DF440000}"/>
    <cellStyle name="Normal 28 3 8 6 2" xfId="17641" xr:uid="{00000000-0005-0000-0000-0000E0440000}"/>
    <cellStyle name="Normal 28 3 8 6 3" xfId="17642" xr:uid="{00000000-0005-0000-0000-0000E1440000}"/>
    <cellStyle name="Normal 28 3 8 7" xfId="17643" xr:uid="{00000000-0005-0000-0000-0000E2440000}"/>
    <cellStyle name="Normal 28 3 8 7 2" xfId="17644" xr:uid="{00000000-0005-0000-0000-0000E3440000}"/>
    <cellStyle name="Normal 28 3 8 7 3" xfId="17645" xr:uid="{00000000-0005-0000-0000-0000E4440000}"/>
    <cellStyle name="Normal 28 3 8 8" xfId="17646" xr:uid="{00000000-0005-0000-0000-0000E5440000}"/>
    <cellStyle name="Normal 28 3 8 8 2" xfId="17647" xr:uid="{00000000-0005-0000-0000-0000E6440000}"/>
    <cellStyle name="Normal 28 3 8 8 3" xfId="17648" xr:uid="{00000000-0005-0000-0000-0000E7440000}"/>
    <cellStyle name="Normal 28 3 8 9" xfId="17649" xr:uid="{00000000-0005-0000-0000-0000E8440000}"/>
    <cellStyle name="Normal 28 3 8 9 2" xfId="17650" xr:uid="{00000000-0005-0000-0000-0000E9440000}"/>
    <cellStyle name="Normal 28 3 8 9 3" xfId="17651" xr:uid="{00000000-0005-0000-0000-0000EA440000}"/>
    <cellStyle name="Normal 28 3 9" xfId="17652" xr:uid="{00000000-0005-0000-0000-0000EB440000}"/>
    <cellStyle name="Normal 28 3 9 10" xfId="17653" xr:uid="{00000000-0005-0000-0000-0000EC440000}"/>
    <cellStyle name="Normal 28 3 9 10 2" xfId="17654" xr:uid="{00000000-0005-0000-0000-0000ED440000}"/>
    <cellStyle name="Normal 28 3 9 10 3" xfId="17655" xr:uid="{00000000-0005-0000-0000-0000EE440000}"/>
    <cellStyle name="Normal 28 3 9 11" xfId="17656" xr:uid="{00000000-0005-0000-0000-0000EF440000}"/>
    <cellStyle name="Normal 28 3 9 11 2" xfId="17657" xr:uid="{00000000-0005-0000-0000-0000F0440000}"/>
    <cellStyle name="Normal 28 3 9 11 3" xfId="17658" xr:uid="{00000000-0005-0000-0000-0000F1440000}"/>
    <cellStyle name="Normal 28 3 9 12" xfId="17659" xr:uid="{00000000-0005-0000-0000-0000F2440000}"/>
    <cellStyle name="Normal 28 3 9 12 2" xfId="17660" xr:uid="{00000000-0005-0000-0000-0000F3440000}"/>
    <cellStyle name="Normal 28 3 9 12 3" xfId="17661" xr:uid="{00000000-0005-0000-0000-0000F4440000}"/>
    <cellStyle name="Normal 28 3 9 13" xfId="17662" xr:uid="{00000000-0005-0000-0000-0000F5440000}"/>
    <cellStyle name="Normal 28 3 9 13 2" xfId="17663" xr:uid="{00000000-0005-0000-0000-0000F6440000}"/>
    <cellStyle name="Normal 28 3 9 13 3" xfId="17664" xr:uid="{00000000-0005-0000-0000-0000F7440000}"/>
    <cellStyle name="Normal 28 3 9 14" xfId="17665" xr:uid="{00000000-0005-0000-0000-0000F8440000}"/>
    <cellStyle name="Normal 28 3 9 14 2" xfId="17666" xr:uid="{00000000-0005-0000-0000-0000F9440000}"/>
    <cellStyle name="Normal 28 3 9 14 3" xfId="17667" xr:uid="{00000000-0005-0000-0000-0000FA440000}"/>
    <cellStyle name="Normal 28 3 9 15" xfId="17668" xr:uid="{00000000-0005-0000-0000-0000FB440000}"/>
    <cellStyle name="Normal 28 3 9 16" xfId="17669" xr:uid="{00000000-0005-0000-0000-0000FC440000}"/>
    <cellStyle name="Normal 28 3 9 2" xfId="17670" xr:uid="{00000000-0005-0000-0000-0000FD440000}"/>
    <cellStyle name="Normal 28 3 9 2 2" xfId="17671" xr:uid="{00000000-0005-0000-0000-0000FE440000}"/>
    <cellStyle name="Normal 28 3 9 2 3" xfId="17672" xr:uid="{00000000-0005-0000-0000-0000FF440000}"/>
    <cellStyle name="Normal 28 3 9 3" xfId="17673" xr:uid="{00000000-0005-0000-0000-000000450000}"/>
    <cellStyle name="Normal 28 3 9 3 2" xfId="17674" xr:uid="{00000000-0005-0000-0000-000001450000}"/>
    <cellStyle name="Normal 28 3 9 3 3" xfId="17675" xr:uid="{00000000-0005-0000-0000-000002450000}"/>
    <cellStyle name="Normal 28 3 9 4" xfId="17676" xr:uid="{00000000-0005-0000-0000-000003450000}"/>
    <cellStyle name="Normal 28 3 9 4 2" xfId="17677" xr:uid="{00000000-0005-0000-0000-000004450000}"/>
    <cellStyle name="Normal 28 3 9 4 3" xfId="17678" xr:uid="{00000000-0005-0000-0000-000005450000}"/>
    <cellStyle name="Normal 28 3 9 5" xfId="17679" xr:uid="{00000000-0005-0000-0000-000006450000}"/>
    <cellStyle name="Normal 28 3 9 5 2" xfId="17680" xr:uid="{00000000-0005-0000-0000-000007450000}"/>
    <cellStyle name="Normal 28 3 9 5 3" xfId="17681" xr:uid="{00000000-0005-0000-0000-000008450000}"/>
    <cellStyle name="Normal 28 3 9 6" xfId="17682" xr:uid="{00000000-0005-0000-0000-000009450000}"/>
    <cellStyle name="Normal 28 3 9 6 2" xfId="17683" xr:uid="{00000000-0005-0000-0000-00000A450000}"/>
    <cellStyle name="Normal 28 3 9 6 3" xfId="17684" xr:uid="{00000000-0005-0000-0000-00000B450000}"/>
    <cellStyle name="Normal 28 3 9 7" xfId="17685" xr:uid="{00000000-0005-0000-0000-00000C450000}"/>
    <cellStyle name="Normal 28 3 9 7 2" xfId="17686" xr:uid="{00000000-0005-0000-0000-00000D450000}"/>
    <cellStyle name="Normal 28 3 9 7 3" xfId="17687" xr:uid="{00000000-0005-0000-0000-00000E450000}"/>
    <cellStyle name="Normal 28 3 9 8" xfId="17688" xr:uid="{00000000-0005-0000-0000-00000F450000}"/>
    <cellStyle name="Normal 28 3 9 8 2" xfId="17689" xr:uid="{00000000-0005-0000-0000-000010450000}"/>
    <cellStyle name="Normal 28 3 9 8 3" xfId="17690" xr:uid="{00000000-0005-0000-0000-000011450000}"/>
    <cellStyle name="Normal 28 3 9 9" xfId="17691" xr:uid="{00000000-0005-0000-0000-000012450000}"/>
    <cellStyle name="Normal 28 3 9 9 2" xfId="17692" xr:uid="{00000000-0005-0000-0000-000013450000}"/>
    <cellStyle name="Normal 28 3 9 9 3" xfId="17693" xr:uid="{00000000-0005-0000-0000-000014450000}"/>
    <cellStyle name="Normal 28 4" xfId="17694" xr:uid="{00000000-0005-0000-0000-000015450000}"/>
    <cellStyle name="Normal 28 4 10" xfId="17695" xr:uid="{00000000-0005-0000-0000-000016450000}"/>
    <cellStyle name="Normal 28 4 10 10" xfId="17696" xr:uid="{00000000-0005-0000-0000-000017450000}"/>
    <cellStyle name="Normal 28 4 10 10 2" xfId="17697" xr:uid="{00000000-0005-0000-0000-000018450000}"/>
    <cellStyle name="Normal 28 4 10 10 3" xfId="17698" xr:uid="{00000000-0005-0000-0000-000019450000}"/>
    <cellStyle name="Normal 28 4 10 11" xfId="17699" xr:uid="{00000000-0005-0000-0000-00001A450000}"/>
    <cellStyle name="Normal 28 4 10 11 2" xfId="17700" xr:uid="{00000000-0005-0000-0000-00001B450000}"/>
    <cellStyle name="Normal 28 4 10 11 3" xfId="17701" xr:uid="{00000000-0005-0000-0000-00001C450000}"/>
    <cellStyle name="Normal 28 4 10 12" xfId="17702" xr:uid="{00000000-0005-0000-0000-00001D450000}"/>
    <cellStyle name="Normal 28 4 10 12 2" xfId="17703" xr:uid="{00000000-0005-0000-0000-00001E450000}"/>
    <cellStyle name="Normal 28 4 10 12 3" xfId="17704" xr:uid="{00000000-0005-0000-0000-00001F450000}"/>
    <cellStyle name="Normal 28 4 10 13" xfId="17705" xr:uid="{00000000-0005-0000-0000-000020450000}"/>
    <cellStyle name="Normal 28 4 10 13 2" xfId="17706" xr:uid="{00000000-0005-0000-0000-000021450000}"/>
    <cellStyle name="Normal 28 4 10 13 3" xfId="17707" xr:uid="{00000000-0005-0000-0000-000022450000}"/>
    <cellStyle name="Normal 28 4 10 14" xfId="17708" xr:uid="{00000000-0005-0000-0000-000023450000}"/>
    <cellStyle name="Normal 28 4 10 14 2" xfId="17709" xr:uid="{00000000-0005-0000-0000-000024450000}"/>
    <cellStyle name="Normal 28 4 10 14 3" xfId="17710" xr:uid="{00000000-0005-0000-0000-000025450000}"/>
    <cellStyle name="Normal 28 4 10 15" xfId="17711" xr:uid="{00000000-0005-0000-0000-000026450000}"/>
    <cellStyle name="Normal 28 4 10 16" xfId="17712" xr:uid="{00000000-0005-0000-0000-000027450000}"/>
    <cellStyle name="Normal 28 4 10 2" xfId="17713" xr:uid="{00000000-0005-0000-0000-000028450000}"/>
    <cellStyle name="Normal 28 4 10 2 2" xfId="17714" xr:uid="{00000000-0005-0000-0000-000029450000}"/>
    <cellStyle name="Normal 28 4 10 2 3" xfId="17715" xr:uid="{00000000-0005-0000-0000-00002A450000}"/>
    <cellStyle name="Normal 28 4 10 3" xfId="17716" xr:uid="{00000000-0005-0000-0000-00002B450000}"/>
    <cellStyle name="Normal 28 4 10 3 2" xfId="17717" xr:uid="{00000000-0005-0000-0000-00002C450000}"/>
    <cellStyle name="Normal 28 4 10 3 3" xfId="17718" xr:uid="{00000000-0005-0000-0000-00002D450000}"/>
    <cellStyle name="Normal 28 4 10 4" xfId="17719" xr:uid="{00000000-0005-0000-0000-00002E450000}"/>
    <cellStyle name="Normal 28 4 10 4 2" xfId="17720" xr:uid="{00000000-0005-0000-0000-00002F450000}"/>
    <cellStyle name="Normal 28 4 10 4 3" xfId="17721" xr:uid="{00000000-0005-0000-0000-000030450000}"/>
    <cellStyle name="Normal 28 4 10 5" xfId="17722" xr:uid="{00000000-0005-0000-0000-000031450000}"/>
    <cellStyle name="Normal 28 4 10 5 2" xfId="17723" xr:uid="{00000000-0005-0000-0000-000032450000}"/>
    <cellStyle name="Normal 28 4 10 5 3" xfId="17724" xr:uid="{00000000-0005-0000-0000-000033450000}"/>
    <cellStyle name="Normal 28 4 10 6" xfId="17725" xr:uid="{00000000-0005-0000-0000-000034450000}"/>
    <cellStyle name="Normal 28 4 10 6 2" xfId="17726" xr:uid="{00000000-0005-0000-0000-000035450000}"/>
    <cellStyle name="Normal 28 4 10 6 3" xfId="17727" xr:uid="{00000000-0005-0000-0000-000036450000}"/>
    <cellStyle name="Normal 28 4 10 7" xfId="17728" xr:uid="{00000000-0005-0000-0000-000037450000}"/>
    <cellStyle name="Normal 28 4 10 7 2" xfId="17729" xr:uid="{00000000-0005-0000-0000-000038450000}"/>
    <cellStyle name="Normal 28 4 10 7 3" xfId="17730" xr:uid="{00000000-0005-0000-0000-000039450000}"/>
    <cellStyle name="Normal 28 4 10 8" xfId="17731" xr:uid="{00000000-0005-0000-0000-00003A450000}"/>
    <cellStyle name="Normal 28 4 10 8 2" xfId="17732" xr:uid="{00000000-0005-0000-0000-00003B450000}"/>
    <cellStyle name="Normal 28 4 10 8 3" xfId="17733" xr:uid="{00000000-0005-0000-0000-00003C450000}"/>
    <cellStyle name="Normal 28 4 10 9" xfId="17734" xr:uid="{00000000-0005-0000-0000-00003D450000}"/>
    <cellStyle name="Normal 28 4 10 9 2" xfId="17735" xr:uid="{00000000-0005-0000-0000-00003E450000}"/>
    <cellStyle name="Normal 28 4 10 9 3" xfId="17736" xr:uid="{00000000-0005-0000-0000-00003F450000}"/>
    <cellStyle name="Normal 28 4 11" xfId="17737" xr:uid="{00000000-0005-0000-0000-000040450000}"/>
    <cellStyle name="Normal 28 4 11 10" xfId="17738" xr:uid="{00000000-0005-0000-0000-000041450000}"/>
    <cellStyle name="Normal 28 4 11 10 2" xfId="17739" xr:uid="{00000000-0005-0000-0000-000042450000}"/>
    <cellStyle name="Normal 28 4 11 10 3" xfId="17740" xr:uid="{00000000-0005-0000-0000-000043450000}"/>
    <cellStyle name="Normal 28 4 11 11" xfId="17741" xr:uid="{00000000-0005-0000-0000-000044450000}"/>
    <cellStyle name="Normal 28 4 11 11 2" xfId="17742" xr:uid="{00000000-0005-0000-0000-000045450000}"/>
    <cellStyle name="Normal 28 4 11 11 3" xfId="17743" xr:uid="{00000000-0005-0000-0000-000046450000}"/>
    <cellStyle name="Normal 28 4 11 12" xfId="17744" xr:uid="{00000000-0005-0000-0000-000047450000}"/>
    <cellStyle name="Normal 28 4 11 12 2" xfId="17745" xr:uid="{00000000-0005-0000-0000-000048450000}"/>
    <cellStyle name="Normal 28 4 11 12 3" xfId="17746" xr:uid="{00000000-0005-0000-0000-000049450000}"/>
    <cellStyle name="Normal 28 4 11 13" xfId="17747" xr:uid="{00000000-0005-0000-0000-00004A450000}"/>
    <cellStyle name="Normal 28 4 11 13 2" xfId="17748" xr:uid="{00000000-0005-0000-0000-00004B450000}"/>
    <cellStyle name="Normal 28 4 11 13 3" xfId="17749" xr:uid="{00000000-0005-0000-0000-00004C450000}"/>
    <cellStyle name="Normal 28 4 11 14" xfId="17750" xr:uid="{00000000-0005-0000-0000-00004D450000}"/>
    <cellStyle name="Normal 28 4 11 14 2" xfId="17751" xr:uid="{00000000-0005-0000-0000-00004E450000}"/>
    <cellStyle name="Normal 28 4 11 14 3" xfId="17752" xr:uid="{00000000-0005-0000-0000-00004F450000}"/>
    <cellStyle name="Normal 28 4 11 15" xfId="17753" xr:uid="{00000000-0005-0000-0000-000050450000}"/>
    <cellStyle name="Normal 28 4 11 16" xfId="17754" xr:uid="{00000000-0005-0000-0000-000051450000}"/>
    <cellStyle name="Normal 28 4 11 2" xfId="17755" xr:uid="{00000000-0005-0000-0000-000052450000}"/>
    <cellStyle name="Normal 28 4 11 2 2" xfId="17756" xr:uid="{00000000-0005-0000-0000-000053450000}"/>
    <cellStyle name="Normal 28 4 11 2 3" xfId="17757" xr:uid="{00000000-0005-0000-0000-000054450000}"/>
    <cellStyle name="Normal 28 4 11 3" xfId="17758" xr:uid="{00000000-0005-0000-0000-000055450000}"/>
    <cellStyle name="Normal 28 4 11 3 2" xfId="17759" xr:uid="{00000000-0005-0000-0000-000056450000}"/>
    <cellStyle name="Normal 28 4 11 3 3" xfId="17760" xr:uid="{00000000-0005-0000-0000-000057450000}"/>
    <cellStyle name="Normal 28 4 11 4" xfId="17761" xr:uid="{00000000-0005-0000-0000-000058450000}"/>
    <cellStyle name="Normal 28 4 11 4 2" xfId="17762" xr:uid="{00000000-0005-0000-0000-000059450000}"/>
    <cellStyle name="Normal 28 4 11 4 3" xfId="17763" xr:uid="{00000000-0005-0000-0000-00005A450000}"/>
    <cellStyle name="Normal 28 4 11 5" xfId="17764" xr:uid="{00000000-0005-0000-0000-00005B450000}"/>
    <cellStyle name="Normal 28 4 11 5 2" xfId="17765" xr:uid="{00000000-0005-0000-0000-00005C450000}"/>
    <cellStyle name="Normal 28 4 11 5 3" xfId="17766" xr:uid="{00000000-0005-0000-0000-00005D450000}"/>
    <cellStyle name="Normal 28 4 11 6" xfId="17767" xr:uid="{00000000-0005-0000-0000-00005E450000}"/>
    <cellStyle name="Normal 28 4 11 6 2" xfId="17768" xr:uid="{00000000-0005-0000-0000-00005F450000}"/>
    <cellStyle name="Normal 28 4 11 6 3" xfId="17769" xr:uid="{00000000-0005-0000-0000-000060450000}"/>
    <cellStyle name="Normal 28 4 11 7" xfId="17770" xr:uid="{00000000-0005-0000-0000-000061450000}"/>
    <cellStyle name="Normal 28 4 11 7 2" xfId="17771" xr:uid="{00000000-0005-0000-0000-000062450000}"/>
    <cellStyle name="Normal 28 4 11 7 3" xfId="17772" xr:uid="{00000000-0005-0000-0000-000063450000}"/>
    <cellStyle name="Normal 28 4 11 8" xfId="17773" xr:uid="{00000000-0005-0000-0000-000064450000}"/>
    <cellStyle name="Normal 28 4 11 8 2" xfId="17774" xr:uid="{00000000-0005-0000-0000-000065450000}"/>
    <cellStyle name="Normal 28 4 11 8 3" xfId="17775" xr:uid="{00000000-0005-0000-0000-000066450000}"/>
    <cellStyle name="Normal 28 4 11 9" xfId="17776" xr:uid="{00000000-0005-0000-0000-000067450000}"/>
    <cellStyle name="Normal 28 4 11 9 2" xfId="17777" xr:uid="{00000000-0005-0000-0000-000068450000}"/>
    <cellStyle name="Normal 28 4 11 9 3" xfId="17778" xr:uid="{00000000-0005-0000-0000-000069450000}"/>
    <cellStyle name="Normal 28 4 12" xfId="17779" xr:uid="{00000000-0005-0000-0000-00006A450000}"/>
    <cellStyle name="Normal 28 4 12 10" xfId="17780" xr:uid="{00000000-0005-0000-0000-00006B450000}"/>
    <cellStyle name="Normal 28 4 12 10 2" xfId="17781" xr:uid="{00000000-0005-0000-0000-00006C450000}"/>
    <cellStyle name="Normal 28 4 12 10 3" xfId="17782" xr:uid="{00000000-0005-0000-0000-00006D450000}"/>
    <cellStyle name="Normal 28 4 12 11" xfId="17783" xr:uid="{00000000-0005-0000-0000-00006E450000}"/>
    <cellStyle name="Normal 28 4 12 11 2" xfId="17784" xr:uid="{00000000-0005-0000-0000-00006F450000}"/>
    <cellStyle name="Normal 28 4 12 11 3" xfId="17785" xr:uid="{00000000-0005-0000-0000-000070450000}"/>
    <cellStyle name="Normal 28 4 12 12" xfId="17786" xr:uid="{00000000-0005-0000-0000-000071450000}"/>
    <cellStyle name="Normal 28 4 12 12 2" xfId="17787" xr:uid="{00000000-0005-0000-0000-000072450000}"/>
    <cellStyle name="Normal 28 4 12 12 3" xfId="17788" xr:uid="{00000000-0005-0000-0000-000073450000}"/>
    <cellStyle name="Normal 28 4 12 13" xfId="17789" xr:uid="{00000000-0005-0000-0000-000074450000}"/>
    <cellStyle name="Normal 28 4 12 13 2" xfId="17790" xr:uid="{00000000-0005-0000-0000-000075450000}"/>
    <cellStyle name="Normal 28 4 12 13 3" xfId="17791" xr:uid="{00000000-0005-0000-0000-000076450000}"/>
    <cellStyle name="Normal 28 4 12 14" xfId="17792" xr:uid="{00000000-0005-0000-0000-000077450000}"/>
    <cellStyle name="Normal 28 4 12 14 2" xfId="17793" xr:uid="{00000000-0005-0000-0000-000078450000}"/>
    <cellStyle name="Normal 28 4 12 14 3" xfId="17794" xr:uid="{00000000-0005-0000-0000-000079450000}"/>
    <cellStyle name="Normal 28 4 12 15" xfId="17795" xr:uid="{00000000-0005-0000-0000-00007A450000}"/>
    <cellStyle name="Normal 28 4 12 16" xfId="17796" xr:uid="{00000000-0005-0000-0000-00007B450000}"/>
    <cellStyle name="Normal 28 4 12 2" xfId="17797" xr:uid="{00000000-0005-0000-0000-00007C450000}"/>
    <cellStyle name="Normal 28 4 12 2 2" xfId="17798" xr:uid="{00000000-0005-0000-0000-00007D450000}"/>
    <cellStyle name="Normal 28 4 12 2 3" xfId="17799" xr:uid="{00000000-0005-0000-0000-00007E450000}"/>
    <cellStyle name="Normal 28 4 12 3" xfId="17800" xr:uid="{00000000-0005-0000-0000-00007F450000}"/>
    <cellStyle name="Normal 28 4 12 3 2" xfId="17801" xr:uid="{00000000-0005-0000-0000-000080450000}"/>
    <cellStyle name="Normal 28 4 12 3 3" xfId="17802" xr:uid="{00000000-0005-0000-0000-000081450000}"/>
    <cellStyle name="Normal 28 4 12 4" xfId="17803" xr:uid="{00000000-0005-0000-0000-000082450000}"/>
    <cellStyle name="Normal 28 4 12 4 2" xfId="17804" xr:uid="{00000000-0005-0000-0000-000083450000}"/>
    <cellStyle name="Normal 28 4 12 4 3" xfId="17805" xr:uid="{00000000-0005-0000-0000-000084450000}"/>
    <cellStyle name="Normal 28 4 12 5" xfId="17806" xr:uid="{00000000-0005-0000-0000-000085450000}"/>
    <cellStyle name="Normal 28 4 12 5 2" xfId="17807" xr:uid="{00000000-0005-0000-0000-000086450000}"/>
    <cellStyle name="Normal 28 4 12 5 3" xfId="17808" xr:uid="{00000000-0005-0000-0000-000087450000}"/>
    <cellStyle name="Normal 28 4 12 6" xfId="17809" xr:uid="{00000000-0005-0000-0000-000088450000}"/>
    <cellStyle name="Normal 28 4 12 6 2" xfId="17810" xr:uid="{00000000-0005-0000-0000-000089450000}"/>
    <cellStyle name="Normal 28 4 12 6 3" xfId="17811" xr:uid="{00000000-0005-0000-0000-00008A450000}"/>
    <cellStyle name="Normal 28 4 12 7" xfId="17812" xr:uid="{00000000-0005-0000-0000-00008B450000}"/>
    <cellStyle name="Normal 28 4 12 7 2" xfId="17813" xr:uid="{00000000-0005-0000-0000-00008C450000}"/>
    <cellStyle name="Normal 28 4 12 7 3" xfId="17814" xr:uid="{00000000-0005-0000-0000-00008D450000}"/>
    <cellStyle name="Normal 28 4 12 8" xfId="17815" xr:uid="{00000000-0005-0000-0000-00008E450000}"/>
    <cellStyle name="Normal 28 4 12 8 2" xfId="17816" xr:uid="{00000000-0005-0000-0000-00008F450000}"/>
    <cellStyle name="Normal 28 4 12 8 3" xfId="17817" xr:uid="{00000000-0005-0000-0000-000090450000}"/>
    <cellStyle name="Normal 28 4 12 9" xfId="17818" xr:uid="{00000000-0005-0000-0000-000091450000}"/>
    <cellStyle name="Normal 28 4 12 9 2" xfId="17819" xr:uid="{00000000-0005-0000-0000-000092450000}"/>
    <cellStyle name="Normal 28 4 12 9 3" xfId="17820" xr:uid="{00000000-0005-0000-0000-000093450000}"/>
    <cellStyle name="Normal 28 4 13" xfId="17821" xr:uid="{00000000-0005-0000-0000-000094450000}"/>
    <cellStyle name="Normal 28 4 13 10" xfId="17822" xr:uid="{00000000-0005-0000-0000-000095450000}"/>
    <cellStyle name="Normal 28 4 13 10 2" xfId="17823" xr:uid="{00000000-0005-0000-0000-000096450000}"/>
    <cellStyle name="Normal 28 4 13 10 3" xfId="17824" xr:uid="{00000000-0005-0000-0000-000097450000}"/>
    <cellStyle name="Normal 28 4 13 11" xfId="17825" xr:uid="{00000000-0005-0000-0000-000098450000}"/>
    <cellStyle name="Normal 28 4 13 11 2" xfId="17826" xr:uid="{00000000-0005-0000-0000-000099450000}"/>
    <cellStyle name="Normal 28 4 13 11 3" xfId="17827" xr:uid="{00000000-0005-0000-0000-00009A450000}"/>
    <cellStyle name="Normal 28 4 13 12" xfId="17828" xr:uid="{00000000-0005-0000-0000-00009B450000}"/>
    <cellStyle name="Normal 28 4 13 12 2" xfId="17829" xr:uid="{00000000-0005-0000-0000-00009C450000}"/>
    <cellStyle name="Normal 28 4 13 12 3" xfId="17830" xr:uid="{00000000-0005-0000-0000-00009D450000}"/>
    <cellStyle name="Normal 28 4 13 13" xfId="17831" xr:uid="{00000000-0005-0000-0000-00009E450000}"/>
    <cellStyle name="Normal 28 4 13 13 2" xfId="17832" xr:uid="{00000000-0005-0000-0000-00009F450000}"/>
    <cellStyle name="Normal 28 4 13 13 3" xfId="17833" xr:uid="{00000000-0005-0000-0000-0000A0450000}"/>
    <cellStyle name="Normal 28 4 13 14" xfId="17834" xr:uid="{00000000-0005-0000-0000-0000A1450000}"/>
    <cellStyle name="Normal 28 4 13 14 2" xfId="17835" xr:uid="{00000000-0005-0000-0000-0000A2450000}"/>
    <cellStyle name="Normal 28 4 13 14 3" xfId="17836" xr:uid="{00000000-0005-0000-0000-0000A3450000}"/>
    <cellStyle name="Normal 28 4 13 15" xfId="17837" xr:uid="{00000000-0005-0000-0000-0000A4450000}"/>
    <cellStyle name="Normal 28 4 13 16" xfId="17838" xr:uid="{00000000-0005-0000-0000-0000A5450000}"/>
    <cellStyle name="Normal 28 4 13 2" xfId="17839" xr:uid="{00000000-0005-0000-0000-0000A6450000}"/>
    <cellStyle name="Normal 28 4 13 2 2" xfId="17840" xr:uid="{00000000-0005-0000-0000-0000A7450000}"/>
    <cellStyle name="Normal 28 4 13 2 3" xfId="17841" xr:uid="{00000000-0005-0000-0000-0000A8450000}"/>
    <cellStyle name="Normal 28 4 13 3" xfId="17842" xr:uid="{00000000-0005-0000-0000-0000A9450000}"/>
    <cellStyle name="Normal 28 4 13 3 2" xfId="17843" xr:uid="{00000000-0005-0000-0000-0000AA450000}"/>
    <cellStyle name="Normal 28 4 13 3 3" xfId="17844" xr:uid="{00000000-0005-0000-0000-0000AB450000}"/>
    <cellStyle name="Normal 28 4 13 4" xfId="17845" xr:uid="{00000000-0005-0000-0000-0000AC450000}"/>
    <cellStyle name="Normal 28 4 13 4 2" xfId="17846" xr:uid="{00000000-0005-0000-0000-0000AD450000}"/>
    <cellStyle name="Normal 28 4 13 4 3" xfId="17847" xr:uid="{00000000-0005-0000-0000-0000AE450000}"/>
    <cellStyle name="Normal 28 4 13 5" xfId="17848" xr:uid="{00000000-0005-0000-0000-0000AF450000}"/>
    <cellStyle name="Normal 28 4 13 5 2" xfId="17849" xr:uid="{00000000-0005-0000-0000-0000B0450000}"/>
    <cellStyle name="Normal 28 4 13 5 3" xfId="17850" xr:uid="{00000000-0005-0000-0000-0000B1450000}"/>
    <cellStyle name="Normal 28 4 13 6" xfId="17851" xr:uid="{00000000-0005-0000-0000-0000B2450000}"/>
    <cellStyle name="Normal 28 4 13 6 2" xfId="17852" xr:uid="{00000000-0005-0000-0000-0000B3450000}"/>
    <cellStyle name="Normal 28 4 13 6 3" xfId="17853" xr:uid="{00000000-0005-0000-0000-0000B4450000}"/>
    <cellStyle name="Normal 28 4 13 7" xfId="17854" xr:uid="{00000000-0005-0000-0000-0000B5450000}"/>
    <cellStyle name="Normal 28 4 13 7 2" xfId="17855" xr:uid="{00000000-0005-0000-0000-0000B6450000}"/>
    <cellStyle name="Normal 28 4 13 7 3" xfId="17856" xr:uid="{00000000-0005-0000-0000-0000B7450000}"/>
    <cellStyle name="Normal 28 4 13 8" xfId="17857" xr:uid="{00000000-0005-0000-0000-0000B8450000}"/>
    <cellStyle name="Normal 28 4 13 8 2" xfId="17858" xr:uid="{00000000-0005-0000-0000-0000B9450000}"/>
    <cellStyle name="Normal 28 4 13 8 3" xfId="17859" xr:uid="{00000000-0005-0000-0000-0000BA450000}"/>
    <cellStyle name="Normal 28 4 13 9" xfId="17860" xr:uid="{00000000-0005-0000-0000-0000BB450000}"/>
    <cellStyle name="Normal 28 4 13 9 2" xfId="17861" xr:uid="{00000000-0005-0000-0000-0000BC450000}"/>
    <cellStyle name="Normal 28 4 13 9 3" xfId="17862" xr:uid="{00000000-0005-0000-0000-0000BD450000}"/>
    <cellStyle name="Normal 28 4 14" xfId="17863" xr:uid="{00000000-0005-0000-0000-0000BE450000}"/>
    <cellStyle name="Normal 28 4 14 10" xfId="17864" xr:uid="{00000000-0005-0000-0000-0000BF450000}"/>
    <cellStyle name="Normal 28 4 14 10 2" xfId="17865" xr:uid="{00000000-0005-0000-0000-0000C0450000}"/>
    <cellStyle name="Normal 28 4 14 10 3" xfId="17866" xr:uid="{00000000-0005-0000-0000-0000C1450000}"/>
    <cellStyle name="Normal 28 4 14 11" xfId="17867" xr:uid="{00000000-0005-0000-0000-0000C2450000}"/>
    <cellStyle name="Normal 28 4 14 11 2" xfId="17868" xr:uid="{00000000-0005-0000-0000-0000C3450000}"/>
    <cellStyle name="Normal 28 4 14 11 3" xfId="17869" xr:uid="{00000000-0005-0000-0000-0000C4450000}"/>
    <cellStyle name="Normal 28 4 14 12" xfId="17870" xr:uid="{00000000-0005-0000-0000-0000C5450000}"/>
    <cellStyle name="Normal 28 4 14 12 2" xfId="17871" xr:uid="{00000000-0005-0000-0000-0000C6450000}"/>
    <cellStyle name="Normal 28 4 14 12 3" xfId="17872" xr:uid="{00000000-0005-0000-0000-0000C7450000}"/>
    <cellStyle name="Normal 28 4 14 13" xfId="17873" xr:uid="{00000000-0005-0000-0000-0000C8450000}"/>
    <cellStyle name="Normal 28 4 14 13 2" xfId="17874" xr:uid="{00000000-0005-0000-0000-0000C9450000}"/>
    <cellStyle name="Normal 28 4 14 13 3" xfId="17875" xr:uid="{00000000-0005-0000-0000-0000CA450000}"/>
    <cellStyle name="Normal 28 4 14 14" xfId="17876" xr:uid="{00000000-0005-0000-0000-0000CB450000}"/>
    <cellStyle name="Normal 28 4 14 14 2" xfId="17877" xr:uid="{00000000-0005-0000-0000-0000CC450000}"/>
    <cellStyle name="Normal 28 4 14 14 3" xfId="17878" xr:uid="{00000000-0005-0000-0000-0000CD450000}"/>
    <cellStyle name="Normal 28 4 14 15" xfId="17879" xr:uid="{00000000-0005-0000-0000-0000CE450000}"/>
    <cellStyle name="Normal 28 4 14 16" xfId="17880" xr:uid="{00000000-0005-0000-0000-0000CF450000}"/>
    <cellStyle name="Normal 28 4 14 2" xfId="17881" xr:uid="{00000000-0005-0000-0000-0000D0450000}"/>
    <cellStyle name="Normal 28 4 14 2 2" xfId="17882" xr:uid="{00000000-0005-0000-0000-0000D1450000}"/>
    <cellStyle name="Normal 28 4 14 2 3" xfId="17883" xr:uid="{00000000-0005-0000-0000-0000D2450000}"/>
    <cellStyle name="Normal 28 4 14 3" xfId="17884" xr:uid="{00000000-0005-0000-0000-0000D3450000}"/>
    <cellStyle name="Normal 28 4 14 3 2" xfId="17885" xr:uid="{00000000-0005-0000-0000-0000D4450000}"/>
    <cellStyle name="Normal 28 4 14 3 3" xfId="17886" xr:uid="{00000000-0005-0000-0000-0000D5450000}"/>
    <cellStyle name="Normal 28 4 14 4" xfId="17887" xr:uid="{00000000-0005-0000-0000-0000D6450000}"/>
    <cellStyle name="Normal 28 4 14 4 2" xfId="17888" xr:uid="{00000000-0005-0000-0000-0000D7450000}"/>
    <cellStyle name="Normal 28 4 14 4 3" xfId="17889" xr:uid="{00000000-0005-0000-0000-0000D8450000}"/>
    <cellStyle name="Normal 28 4 14 5" xfId="17890" xr:uid="{00000000-0005-0000-0000-0000D9450000}"/>
    <cellStyle name="Normal 28 4 14 5 2" xfId="17891" xr:uid="{00000000-0005-0000-0000-0000DA450000}"/>
    <cellStyle name="Normal 28 4 14 5 3" xfId="17892" xr:uid="{00000000-0005-0000-0000-0000DB450000}"/>
    <cellStyle name="Normal 28 4 14 6" xfId="17893" xr:uid="{00000000-0005-0000-0000-0000DC450000}"/>
    <cellStyle name="Normal 28 4 14 6 2" xfId="17894" xr:uid="{00000000-0005-0000-0000-0000DD450000}"/>
    <cellStyle name="Normal 28 4 14 6 3" xfId="17895" xr:uid="{00000000-0005-0000-0000-0000DE450000}"/>
    <cellStyle name="Normal 28 4 14 7" xfId="17896" xr:uid="{00000000-0005-0000-0000-0000DF450000}"/>
    <cellStyle name="Normal 28 4 14 7 2" xfId="17897" xr:uid="{00000000-0005-0000-0000-0000E0450000}"/>
    <cellStyle name="Normal 28 4 14 7 3" xfId="17898" xr:uid="{00000000-0005-0000-0000-0000E1450000}"/>
    <cellStyle name="Normal 28 4 14 8" xfId="17899" xr:uid="{00000000-0005-0000-0000-0000E2450000}"/>
    <cellStyle name="Normal 28 4 14 8 2" xfId="17900" xr:uid="{00000000-0005-0000-0000-0000E3450000}"/>
    <cellStyle name="Normal 28 4 14 8 3" xfId="17901" xr:uid="{00000000-0005-0000-0000-0000E4450000}"/>
    <cellStyle name="Normal 28 4 14 9" xfId="17902" xr:uid="{00000000-0005-0000-0000-0000E5450000}"/>
    <cellStyle name="Normal 28 4 14 9 2" xfId="17903" xr:uid="{00000000-0005-0000-0000-0000E6450000}"/>
    <cellStyle name="Normal 28 4 14 9 3" xfId="17904" xr:uid="{00000000-0005-0000-0000-0000E7450000}"/>
    <cellStyle name="Normal 28 4 15" xfId="17905" xr:uid="{00000000-0005-0000-0000-0000E8450000}"/>
    <cellStyle name="Normal 28 4 15 10" xfId="17906" xr:uid="{00000000-0005-0000-0000-0000E9450000}"/>
    <cellStyle name="Normal 28 4 15 10 2" xfId="17907" xr:uid="{00000000-0005-0000-0000-0000EA450000}"/>
    <cellStyle name="Normal 28 4 15 10 3" xfId="17908" xr:uid="{00000000-0005-0000-0000-0000EB450000}"/>
    <cellStyle name="Normal 28 4 15 11" xfId="17909" xr:uid="{00000000-0005-0000-0000-0000EC450000}"/>
    <cellStyle name="Normal 28 4 15 11 2" xfId="17910" xr:uid="{00000000-0005-0000-0000-0000ED450000}"/>
    <cellStyle name="Normal 28 4 15 11 3" xfId="17911" xr:uid="{00000000-0005-0000-0000-0000EE450000}"/>
    <cellStyle name="Normal 28 4 15 12" xfId="17912" xr:uid="{00000000-0005-0000-0000-0000EF450000}"/>
    <cellStyle name="Normal 28 4 15 12 2" xfId="17913" xr:uid="{00000000-0005-0000-0000-0000F0450000}"/>
    <cellStyle name="Normal 28 4 15 12 3" xfId="17914" xr:uid="{00000000-0005-0000-0000-0000F1450000}"/>
    <cellStyle name="Normal 28 4 15 13" xfId="17915" xr:uid="{00000000-0005-0000-0000-0000F2450000}"/>
    <cellStyle name="Normal 28 4 15 13 2" xfId="17916" xr:uid="{00000000-0005-0000-0000-0000F3450000}"/>
    <cellStyle name="Normal 28 4 15 13 3" xfId="17917" xr:uid="{00000000-0005-0000-0000-0000F4450000}"/>
    <cellStyle name="Normal 28 4 15 14" xfId="17918" xr:uid="{00000000-0005-0000-0000-0000F5450000}"/>
    <cellStyle name="Normal 28 4 15 14 2" xfId="17919" xr:uid="{00000000-0005-0000-0000-0000F6450000}"/>
    <cellStyle name="Normal 28 4 15 14 3" xfId="17920" xr:uid="{00000000-0005-0000-0000-0000F7450000}"/>
    <cellStyle name="Normal 28 4 15 15" xfId="17921" xr:uid="{00000000-0005-0000-0000-0000F8450000}"/>
    <cellStyle name="Normal 28 4 15 16" xfId="17922" xr:uid="{00000000-0005-0000-0000-0000F9450000}"/>
    <cellStyle name="Normal 28 4 15 2" xfId="17923" xr:uid="{00000000-0005-0000-0000-0000FA450000}"/>
    <cellStyle name="Normal 28 4 15 2 2" xfId="17924" xr:uid="{00000000-0005-0000-0000-0000FB450000}"/>
    <cellStyle name="Normal 28 4 15 2 3" xfId="17925" xr:uid="{00000000-0005-0000-0000-0000FC450000}"/>
    <cellStyle name="Normal 28 4 15 3" xfId="17926" xr:uid="{00000000-0005-0000-0000-0000FD450000}"/>
    <cellStyle name="Normal 28 4 15 3 2" xfId="17927" xr:uid="{00000000-0005-0000-0000-0000FE450000}"/>
    <cellStyle name="Normal 28 4 15 3 3" xfId="17928" xr:uid="{00000000-0005-0000-0000-0000FF450000}"/>
    <cellStyle name="Normal 28 4 15 4" xfId="17929" xr:uid="{00000000-0005-0000-0000-000000460000}"/>
    <cellStyle name="Normal 28 4 15 4 2" xfId="17930" xr:uid="{00000000-0005-0000-0000-000001460000}"/>
    <cellStyle name="Normal 28 4 15 4 3" xfId="17931" xr:uid="{00000000-0005-0000-0000-000002460000}"/>
    <cellStyle name="Normal 28 4 15 5" xfId="17932" xr:uid="{00000000-0005-0000-0000-000003460000}"/>
    <cellStyle name="Normal 28 4 15 5 2" xfId="17933" xr:uid="{00000000-0005-0000-0000-000004460000}"/>
    <cellStyle name="Normal 28 4 15 5 3" xfId="17934" xr:uid="{00000000-0005-0000-0000-000005460000}"/>
    <cellStyle name="Normal 28 4 15 6" xfId="17935" xr:uid="{00000000-0005-0000-0000-000006460000}"/>
    <cellStyle name="Normal 28 4 15 6 2" xfId="17936" xr:uid="{00000000-0005-0000-0000-000007460000}"/>
    <cellStyle name="Normal 28 4 15 6 3" xfId="17937" xr:uid="{00000000-0005-0000-0000-000008460000}"/>
    <cellStyle name="Normal 28 4 15 7" xfId="17938" xr:uid="{00000000-0005-0000-0000-000009460000}"/>
    <cellStyle name="Normal 28 4 15 7 2" xfId="17939" xr:uid="{00000000-0005-0000-0000-00000A460000}"/>
    <cellStyle name="Normal 28 4 15 7 3" xfId="17940" xr:uid="{00000000-0005-0000-0000-00000B460000}"/>
    <cellStyle name="Normal 28 4 15 8" xfId="17941" xr:uid="{00000000-0005-0000-0000-00000C460000}"/>
    <cellStyle name="Normal 28 4 15 8 2" xfId="17942" xr:uid="{00000000-0005-0000-0000-00000D460000}"/>
    <cellStyle name="Normal 28 4 15 8 3" xfId="17943" xr:uid="{00000000-0005-0000-0000-00000E460000}"/>
    <cellStyle name="Normal 28 4 15 9" xfId="17944" xr:uid="{00000000-0005-0000-0000-00000F460000}"/>
    <cellStyle name="Normal 28 4 15 9 2" xfId="17945" xr:uid="{00000000-0005-0000-0000-000010460000}"/>
    <cellStyle name="Normal 28 4 15 9 3" xfId="17946" xr:uid="{00000000-0005-0000-0000-000011460000}"/>
    <cellStyle name="Normal 28 4 16" xfId="17947" xr:uid="{00000000-0005-0000-0000-000012460000}"/>
    <cellStyle name="Normal 28 4 16 2" xfId="17948" xr:uid="{00000000-0005-0000-0000-000013460000}"/>
    <cellStyle name="Normal 28 4 16 3" xfId="17949" xr:uid="{00000000-0005-0000-0000-000014460000}"/>
    <cellStyle name="Normal 28 4 17" xfId="17950" xr:uid="{00000000-0005-0000-0000-000015460000}"/>
    <cellStyle name="Normal 28 4 17 2" xfId="17951" xr:uid="{00000000-0005-0000-0000-000016460000}"/>
    <cellStyle name="Normal 28 4 17 3" xfId="17952" xr:uid="{00000000-0005-0000-0000-000017460000}"/>
    <cellStyle name="Normal 28 4 18" xfId="17953" xr:uid="{00000000-0005-0000-0000-000018460000}"/>
    <cellStyle name="Normal 28 4 18 2" xfId="17954" xr:uid="{00000000-0005-0000-0000-000019460000}"/>
    <cellStyle name="Normal 28 4 18 3" xfId="17955" xr:uid="{00000000-0005-0000-0000-00001A460000}"/>
    <cellStyle name="Normal 28 4 19" xfId="17956" xr:uid="{00000000-0005-0000-0000-00001B460000}"/>
    <cellStyle name="Normal 28 4 19 2" xfId="17957" xr:uid="{00000000-0005-0000-0000-00001C460000}"/>
    <cellStyle name="Normal 28 4 19 3" xfId="17958" xr:uid="{00000000-0005-0000-0000-00001D460000}"/>
    <cellStyle name="Normal 28 4 2" xfId="17959" xr:uid="{00000000-0005-0000-0000-00001E460000}"/>
    <cellStyle name="Normal 28 4 2 10" xfId="17960" xr:uid="{00000000-0005-0000-0000-00001F460000}"/>
    <cellStyle name="Normal 28 4 2 10 2" xfId="17961" xr:uid="{00000000-0005-0000-0000-000020460000}"/>
    <cellStyle name="Normal 28 4 2 10 3" xfId="17962" xr:uid="{00000000-0005-0000-0000-000021460000}"/>
    <cellStyle name="Normal 28 4 2 11" xfId="17963" xr:uid="{00000000-0005-0000-0000-000022460000}"/>
    <cellStyle name="Normal 28 4 2 11 2" xfId="17964" xr:uid="{00000000-0005-0000-0000-000023460000}"/>
    <cellStyle name="Normal 28 4 2 11 3" xfId="17965" xr:uid="{00000000-0005-0000-0000-000024460000}"/>
    <cellStyle name="Normal 28 4 2 12" xfId="17966" xr:uid="{00000000-0005-0000-0000-000025460000}"/>
    <cellStyle name="Normal 28 4 2 12 2" xfId="17967" xr:uid="{00000000-0005-0000-0000-000026460000}"/>
    <cellStyle name="Normal 28 4 2 12 3" xfId="17968" xr:uid="{00000000-0005-0000-0000-000027460000}"/>
    <cellStyle name="Normal 28 4 2 13" xfId="17969" xr:uid="{00000000-0005-0000-0000-000028460000}"/>
    <cellStyle name="Normal 28 4 2 13 2" xfId="17970" xr:uid="{00000000-0005-0000-0000-000029460000}"/>
    <cellStyle name="Normal 28 4 2 13 3" xfId="17971" xr:uid="{00000000-0005-0000-0000-00002A460000}"/>
    <cellStyle name="Normal 28 4 2 14" xfId="17972" xr:uid="{00000000-0005-0000-0000-00002B460000}"/>
    <cellStyle name="Normal 28 4 2 14 2" xfId="17973" xr:uid="{00000000-0005-0000-0000-00002C460000}"/>
    <cellStyle name="Normal 28 4 2 14 3" xfId="17974" xr:uid="{00000000-0005-0000-0000-00002D460000}"/>
    <cellStyle name="Normal 28 4 2 15" xfId="17975" xr:uid="{00000000-0005-0000-0000-00002E460000}"/>
    <cellStyle name="Normal 28 4 2 15 2" xfId="17976" xr:uid="{00000000-0005-0000-0000-00002F460000}"/>
    <cellStyle name="Normal 28 4 2 15 3" xfId="17977" xr:uid="{00000000-0005-0000-0000-000030460000}"/>
    <cellStyle name="Normal 28 4 2 16" xfId="17978" xr:uid="{00000000-0005-0000-0000-000031460000}"/>
    <cellStyle name="Normal 28 4 2 17" xfId="17979" xr:uid="{00000000-0005-0000-0000-000032460000}"/>
    <cellStyle name="Normal 28 4 2 2" xfId="17980" xr:uid="{00000000-0005-0000-0000-000033460000}"/>
    <cellStyle name="Normal 28 4 2 2 10" xfId="17981" xr:uid="{00000000-0005-0000-0000-000034460000}"/>
    <cellStyle name="Normal 28 4 2 2 10 2" xfId="17982" xr:uid="{00000000-0005-0000-0000-000035460000}"/>
    <cellStyle name="Normal 28 4 2 2 10 3" xfId="17983" xr:uid="{00000000-0005-0000-0000-000036460000}"/>
    <cellStyle name="Normal 28 4 2 2 11" xfId="17984" xr:uid="{00000000-0005-0000-0000-000037460000}"/>
    <cellStyle name="Normal 28 4 2 2 11 2" xfId="17985" xr:uid="{00000000-0005-0000-0000-000038460000}"/>
    <cellStyle name="Normal 28 4 2 2 11 3" xfId="17986" xr:uid="{00000000-0005-0000-0000-000039460000}"/>
    <cellStyle name="Normal 28 4 2 2 12" xfId="17987" xr:uid="{00000000-0005-0000-0000-00003A460000}"/>
    <cellStyle name="Normal 28 4 2 2 12 2" xfId="17988" xr:uid="{00000000-0005-0000-0000-00003B460000}"/>
    <cellStyle name="Normal 28 4 2 2 12 3" xfId="17989" xr:uid="{00000000-0005-0000-0000-00003C460000}"/>
    <cellStyle name="Normal 28 4 2 2 13" xfId="17990" xr:uid="{00000000-0005-0000-0000-00003D460000}"/>
    <cellStyle name="Normal 28 4 2 2 13 2" xfId="17991" xr:uid="{00000000-0005-0000-0000-00003E460000}"/>
    <cellStyle name="Normal 28 4 2 2 13 3" xfId="17992" xr:uid="{00000000-0005-0000-0000-00003F460000}"/>
    <cellStyle name="Normal 28 4 2 2 14" xfId="17993" xr:uid="{00000000-0005-0000-0000-000040460000}"/>
    <cellStyle name="Normal 28 4 2 2 14 2" xfId="17994" xr:uid="{00000000-0005-0000-0000-000041460000}"/>
    <cellStyle name="Normal 28 4 2 2 14 3" xfId="17995" xr:uid="{00000000-0005-0000-0000-000042460000}"/>
    <cellStyle name="Normal 28 4 2 2 15" xfId="17996" xr:uid="{00000000-0005-0000-0000-000043460000}"/>
    <cellStyle name="Normal 28 4 2 2 16" xfId="17997" xr:uid="{00000000-0005-0000-0000-000044460000}"/>
    <cellStyle name="Normal 28 4 2 2 2" xfId="17998" xr:uid="{00000000-0005-0000-0000-000045460000}"/>
    <cellStyle name="Normal 28 4 2 2 2 2" xfId="17999" xr:uid="{00000000-0005-0000-0000-000046460000}"/>
    <cellStyle name="Normal 28 4 2 2 2 3" xfId="18000" xr:uid="{00000000-0005-0000-0000-000047460000}"/>
    <cellStyle name="Normal 28 4 2 2 3" xfId="18001" xr:uid="{00000000-0005-0000-0000-000048460000}"/>
    <cellStyle name="Normal 28 4 2 2 3 2" xfId="18002" xr:uid="{00000000-0005-0000-0000-000049460000}"/>
    <cellStyle name="Normal 28 4 2 2 3 3" xfId="18003" xr:uid="{00000000-0005-0000-0000-00004A460000}"/>
    <cellStyle name="Normal 28 4 2 2 4" xfId="18004" xr:uid="{00000000-0005-0000-0000-00004B460000}"/>
    <cellStyle name="Normal 28 4 2 2 4 2" xfId="18005" xr:uid="{00000000-0005-0000-0000-00004C460000}"/>
    <cellStyle name="Normal 28 4 2 2 4 3" xfId="18006" xr:uid="{00000000-0005-0000-0000-00004D460000}"/>
    <cellStyle name="Normal 28 4 2 2 5" xfId="18007" xr:uid="{00000000-0005-0000-0000-00004E460000}"/>
    <cellStyle name="Normal 28 4 2 2 5 2" xfId="18008" xr:uid="{00000000-0005-0000-0000-00004F460000}"/>
    <cellStyle name="Normal 28 4 2 2 5 3" xfId="18009" xr:uid="{00000000-0005-0000-0000-000050460000}"/>
    <cellStyle name="Normal 28 4 2 2 6" xfId="18010" xr:uid="{00000000-0005-0000-0000-000051460000}"/>
    <cellStyle name="Normal 28 4 2 2 6 2" xfId="18011" xr:uid="{00000000-0005-0000-0000-000052460000}"/>
    <cellStyle name="Normal 28 4 2 2 6 3" xfId="18012" xr:uid="{00000000-0005-0000-0000-000053460000}"/>
    <cellStyle name="Normal 28 4 2 2 7" xfId="18013" xr:uid="{00000000-0005-0000-0000-000054460000}"/>
    <cellStyle name="Normal 28 4 2 2 7 2" xfId="18014" xr:uid="{00000000-0005-0000-0000-000055460000}"/>
    <cellStyle name="Normal 28 4 2 2 7 3" xfId="18015" xr:uid="{00000000-0005-0000-0000-000056460000}"/>
    <cellStyle name="Normal 28 4 2 2 8" xfId="18016" xr:uid="{00000000-0005-0000-0000-000057460000}"/>
    <cellStyle name="Normal 28 4 2 2 8 2" xfId="18017" xr:uid="{00000000-0005-0000-0000-000058460000}"/>
    <cellStyle name="Normal 28 4 2 2 8 3" xfId="18018" xr:uid="{00000000-0005-0000-0000-000059460000}"/>
    <cellStyle name="Normal 28 4 2 2 9" xfId="18019" xr:uid="{00000000-0005-0000-0000-00005A460000}"/>
    <cellStyle name="Normal 28 4 2 2 9 2" xfId="18020" xr:uid="{00000000-0005-0000-0000-00005B460000}"/>
    <cellStyle name="Normal 28 4 2 2 9 3" xfId="18021" xr:uid="{00000000-0005-0000-0000-00005C460000}"/>
    <cellStyle name="Normal 28 4 2 3" xfId="18022" xr:uid="{00000000-0005-0000-0000-00005D460000}"/>
    <cellStyle name="Normal 28 4 2 3 2" xfId="18023" xr:uid="{00000000-0005-0000-0000-00005E460000}"/>
    <cellStyle name="Normal 28 4 2 3 3" xfId="18024" xr:uid="{00000000-0005-0000-0000-00005F460000}"/>
    <cellStyle name="Normal 28 4 2 4" xfId="18025" xr:uid="{00000000-0005-0000-0000-000060460000}"/>
    <cellStyle name="Normal 28 4 2 4 2" xfId="18026" xr:uid="{00000000-0005-0000-0000-000061460000}"/>
    <cellStyle name="Normal 28 4 2 4 3" xfId="18027" xr:uid="{00000000-0005-0000-0000-000062460000}"/>
    <cellStyle name="Normal 28 4 2 5" xfId="18028" xr:uid="{00000000-0005-0000-0000-000063460000}"/>
    <cellStyle name="Normal 28 4 2 5 2" xfId="18029" xr:uid="{00000000-0005-0000-0000-000064460000}"/>
    <cellStyle name="Normal 28 4 2 5 3" xfId="18030" xr:uid="{00000000-0005-0000-0000-000065460000}"/>
    <cellStyle name="Normal 28 4 2 6" xfId="18031" xr:uid="{00000000-0005-0000-0000-000066460000}"/>
    <cellStyle name="Normal 28 4 2 6 2" xfId="18032" xr:uid="{00000000-0005-0000-0000-000067460000}"/>
    <cellStyle name="Normal 28 4 2 6 3" xfId="18033" xr:uid="{00000000-0005-0000-0000-000068460000}"/>
    <cellStyle name="Normal 28 4 2 7" xfId="18034" xr:uid="{00000000-0005-0000-0000-000069460000}"/>
    <cellStyle name="Normal 28 4 2 7 2" xfId="18035" xr:uid="{00000000-0005-0000-0000-00006A460000}"/>
    <cellStyle name="Normal 28 4 2 7 3" xfId="18036" xr:uid="{00000000-0005-0000-0000-00006B460000}"/>
    <cellStyle name="Normal 28 4 2 8" xfId="18037" xr:uid="{00000000-0005-0000-0000-00006C460000}"/>
    <cellStyle name="Normal 28 4 2 8 2" xfId="18038" xr:uid="{00000000-0005-0000-0000-00006D460000}"/>
    <cellStyle name="Normal 28 4 2 8 3" xfId="18039" xr:uid="{00000000-0005-0000-0000-00006E460000}"/>
    <cellStyle name="Normal 28 4 2 9" xfId="18040" xr:uid="{00000000-0005-0000-0000-00006F460000}"/>
    <cellStyle name="Normal 28 4 2 9 2" xfId="18041" xr:uid="{00000000-0005-0000-0000-000070460000}"/>
    <cellStyle name="Normal 28 4 2 9 3" xfId="18042" xr:uid="{00000000-0005-0000-0000-000071460000}"/>
    <cellStyle name="Normal 28 4 20" xfId="18043" xr:uid="{00000000-0005-0000-0000-000072460000}"/>
    <cellStyle name="Normal 28 4 20 2" xfId="18044" xr:uid="{00000000-0005-0000-0000-000073460000}"/>
    <cellStyle name="Normal 28 4 20 3" xfId="18045" xr:uid="{00000000-0005-0000-0000-000074460000}"/>
    <cellStyle name="Normal 28 4 21" xfId="18046" xr:uid="{00000000-0005-0000-0000-000075460000}"/>
    <cellStyle name="Normal 28 4 21 2" xfId="18047" xr:uid="{00000000-0005-0000-0000-000076460000}"/>
    <cellStyle name="Normal 28 4 21 3" xfId="18048" xr:uid="{00000000-0005-0000-0000-000077460000}"/>
    <cellStyle name="Normal 28 4 22" xfId="18049" xr:uid="{00000000-0005-0000-0000-000078460000}"/>
    <cellStyle name="Normal 28 4 22 2" xfId="18050" xr:uid="{00000000-0005-0000-0000-000079460000}"/>
    <cellStyle name="Normal 28 4 22 3" xfId="18051" xr:uid="{00000000-0005-0000-0000-00007A460000}"/>
    <cellStyle name="Normal 28 4 23" xfId="18052" xr:uid="{00000000-0005-0000-0000-00007B460000}"/>
    <cellStyle name="Normal 28 4 23 2" xfId="18053" xr:uid="{00000000-0005-0000-0000-00007C460000}"/>
    <cellStyle name="Normal 28 4 23 3" xfId="18054" xr:uid="{00000000-0005-0000-0000-00007D460000}"/>
    <cellStyle name="Normal 28 4 24" xfId="18055" xr:uid="{00000000-0005-0000-0000-00007E460000}"/>
    <cellStyle name="Normal 28 4 24 2" xfId="18056" xr:uid="{00000000-0005-0000-0000-00007F460000}"/>
    <cellStyle name="Normal 28 4 24 3" xfId="18057" xr:uid="{00000000-0005-0000-0000-000080460000}"/>
    <cellStyle name="Normal 28 4 25" xfId="18058" xr:uid="{00000000-0005-0000-0000-000081460000}"/>
    <cellStyle name="Normal 28 4 25 2" xfId="18059" xr:uid="{00000000-0005-0000-0000-000082460000}"/>
    <cellStyle name="Normal 28 4 25 3" xfId="18060" xr:uid="{00000000-0005-0000-0000-000083460000}"/>
    <cellStyle name="Normal 28 4 26" xfId="18061" xr:uid="{00000000-0005-0000-0000-000084460000}"/>
    <cellStyle name="Normal 28 4 26 2" xfId="18062" xr:uid="{00000000-0005-0000-0000-000085460000}"/>
    <cellStyle name="Normal 28 4 26 3" xfId="18063" xr:uid="{00000000-0005-0000-0000-000086460000}"/>
    <cellStyle name="Normal 28 4 27" xfId="18064" xr:uid="{00000000-0005-0000-0000-000087460000}"/>
    <cellStyle name="Normal 28 4 27 2" xfId="18065" xr:uid="{00000000-0005-0000-0000-000088460000}"/>
    <cellStyle name="Normal 28 4 27 3" xfId="18066" xr:uid="{00000000-0005-0000-0000-000089460000}"/>
    <cellStyle name="Normal 28 4 28" xfId="18067" xr:uid="{00000000-0005-0000-0000-00008A460000}"/>
    <cellStyle name="Normal 28 4 28 2" xfId="18068" xr:uid="{00000000-0005-0000-0000-00008B460000}"/>
    <cellStyle name="Normal 28 4 28 3" xfId="18069" xr:uid="{00000000-0005-0000-0000-00008C460000}"/>
    <cellStyle name="Normal 28 4 29" xfId="18070" xr:uid="{00000000-0005-0000-0000-00008D460000}"/>
    <cellStyle name="Normal 28 4 3" xfId="18071" xr:uid="{00000000-0005-0000-0000-00008E460000}"/>
    <cellStyle name="Normal 28 4 3 10" xfId="18072" xr:uid="{00000000-0005-0000-0000-00008F460000}"/>
    <cellStyle name="Normal 28 4 3 10 2" xfId="18073" xr:uid="{00000000-0005-0000-0000-000090460000}"/>
    <cellStyle name="Normal 28 4 3 10 3" xfId="18074" xr:uid="{00000000-0005-0000-0000-000091460000}"/>
    <cellStyle name="Normal 28 4 3 11" xfId="18075" xr:uid="{00000000-0005-0000-0000-000092460000}"/>
    <cellStyle name="Normal 28 4 3 11 2" xfId="18076" xr:uid="{00000000-0005-0000-0000-000093460000}"/>
    <cellStyle name="Normal 28 4 3 11 3" xfId="18077" xr:uid="{00000000-0005-0000-0000-000094460000}"/>
    <cellStyle name="Normal 28 4 3 12" xfId="18078" xr:uid="{00000000-0005-0000-0000-000095460000}"/>
    <cellStyle name="Normal 28 4 3 12 2" xfId="18079" xr:uid="{00000000-0005-0000-0000-000096460000}"/>
    <cellStyle name="Normal 28 4 3 12 3" xfId="18080" xr:uid="{00000000-0005-0000-0000-000097460000}"/>
    <cellStyle name="Normal 28 4 3 13" xfId="18081" xr:uid="{00000000-0005-0000-0000-000098460000}"/>
    <cellStyle name="Normal 28 4 3 13 2" xfId="18082" xr:uid="{00000000-0005-0000-0000-000099460000}"/>
    <cellStyle name="Normal 28 4 3 13 3" xfId="18083" xr:uid="{00000000-0005-0000-0000-00009A460000}"/>
    <cellStyle name="Normal 28 4 3 14" xfId="18084" xr:uid="{00000000-0005-0000-0000-00009B460000}"/>
    <cellStyle name="Normal 28 4 3 14 2" xfId="18085" xr:uid="{00000000-0005-0000-0000-00009C460000}"/>
    <cellStyle name="Normal 28 4 3 14 3" xfId="18086" xr:uid="{00000000-0005-0000-0000-00009D460000}"/>
    <cellStyle name="Normal 28 4 3 15" xfId="18087" xr:uid="{00000000-0005-0000-0000-00009E460000}"/>
    <cellStyle name="Normal 28 4 3 15 2" xfId="18088" xr:uid="{00000000-0005-0000-0000-00009F460000}"/>
    <cellStyle name="Normal 28 4 3 15 3" xfId="18089" xr:uid="{00000000-0005-0000-0000-0000A0460000}"/>
    <cellStyle name="Normal 28 4 3 16" xfId="18090" xr:uid="{00000000-0005-0000-0000-0000A1460000}"/>
    <cellStyle name="Normal 28 4 3 17" xfId="18091" xr:uid="{00000000-0005-0000-0000-0000A2460000}"/>
    <cellStyle name="Normal 28 4 3 2" xfId="18092" xr:uid="{00000000-0005-0000-0000-0000A3460000}"/>
    <cellStyle name="Normal 28 4 3 2 10" xfId="18093" xr:uid="{00000000-0005-0000-0000-0000A4460000}"/>
    <cellStyle name="Normal 28 4 3 2 10 2" xfId="18094" xr:uid="{00000000-0005-0000-0000-0000A5460000}"/>
    <cellStyle name="Normal 28 4 3 2 10 3" xfId="18095" xr:uid="{00000000-0005-0000-0000-0000A6460000}"/>
    <cellStyle name="Normal 28 4 3 2 11" xfId="18096" xr:uid="{00000000-0005-0000-0000-0000A7460000}"/>
    <cellStyle name="Normal 28 4 3 2 11 2" xfId="18097" xr:uid="{00000000-0005-0000-0000-0000A8460000}"/>
    <cellStyle name="Normal 28 4 3 2 11 3" xfId="18098" xr:uid="{00000000-0005-0000-0000-0000A9460000}"/>
    <cellStyle name="Normal 28 4 3 2 12" xfId="18099" xr:uid="{00000000-0005-0000-0000-0000AA460000}"/>
    <cellStyle name="Normal 28 4 3 2 12 2" xfId="18100" xr:uid="{00000000-0005-0000-0000-0000AB460000}"/>
    <cellStyle name="Normal 28 4 3 2 12 3" xfId="18101" xr:uid="{00000000-0005-0000-0000-0000AC460000}"/>
    <cellStyle name="Normal 28 4 3 2 13" xfId="18102" xr:uid="{00000000-0005-0000-0000-0000AD460000}"/>
    <cellStyle name="Normal 28 4 3 2 13 2" xfId="18103" xr:uid="{00000000-0005-0000-0000-0000AE460000}"/>
    <cellStyle name="Normal 28 4 3 2 13 3" xfId="18104" xr:uid="{00000000-0005-0000-0000-0000AF460000}"/>
    <cellStyle name="Normal 28 4 3 2 14" xfId="18105" xr:uid="{00000000-0005-0000-0000-0000B0460000}"/>
    <cellStyle name="Normal 28 4 3 2 14 2" xfId="18106" xr:uid="{00000000-0005-0000-0000-0000B1460000}"/>
    <cellStyle name="Normal 28 4 3 2 14 3" xfId="18107" xr:uid="{00000000-0005-0000-0000-0000B2460000}"/>
    <cellStyle name="Normal 28 4 3 2 15" xfId="18108" xr:uid="{00000000-0005-0000-0000-0000B3460000}"/>
    <cellStyle name="Normal 28 4 3 2 16" xfId="18109" xr:uid="{00000000-0005-0000-0000-0000B4460000}"/>
    <cellStyle name="Normal 28 4 3 2 2" xfId="18110" xr:uid="{00000000-0005-0000-0000-0000B5460000}"/>
    <cellStyle name="Normal 28 4 3 2 2 2" xfId="18111" xr:uid="{00000000-0005-0000-0000-0000B6460000}"/>
    <cellStyle name="Normal 28 4 3 2 2 3" xfId="18112" xr:uid="{00000000-0005-0000-0000-0000B7460000}"/>
    <cellStyle name="Normal 28 4 3 2 3" xfId="18113" xr:uid="{00000000-0005-0000-0000-0000B8460000}"/>
    <cellStyle name="Normal 28 4 3 2 3 2" xfId="18114" xr:uid="{00000000-0005-0000-0000-0000B9460000}"/>
    <cellStyle name="Normal 28 4 3 2 3 3" xfId="18115" xr:uid="{00000000-0005-0000-0000-0000BA460000}"/>
    <cellStyle name="Normal 28 4 3 2 4" xfId="18116" xr:uid="{00000000-0005-0000-0000-0000BB460000}"/>
    <cellStyle name="Normal 28 4 3 2 4 2" xfId="18117" xr:uid="{00000000-0005-0000-0000-0000BC460000}"/>
    <cellStyle name="Normal 28 4 3 2 4 3" xfId="18118" xr:uid="{00000000-0005-0000-0000-0000BD460000}"/>
    <cellStyle name="Normal 28 4 3 2 5" xfId="18119" xr:uid="{00000000-0005-0000-0000-0000BE460000}"/>
    <cellStyle name="Normal 28 4 3 2 5 2" xfId="18120" xr:uid="{00000000-0005-0000-0000-0000BF460000}"/>
    <cellStyle name="Normal 28 4 3 2 5 3" xfId="18121" xr:uid="{00000000-0005-0000-0000-0000C0460000}"/>
    <cellStyle name="Normal 28 4 3 2 6" xfId="18122" xr:uid="{00000000-0005-0000-0000-0000C1460000}"/>
    <cellStyle name="Normal 28 4 3 2 6 2" xfId="18123" xr:uid="{00000000-0005-0000-0000-0000C2460000}"/>
    <cellStyle name="Normal 28 4 3 2 6 3" xfId="18124" xr:uid="{00000000-0005-0000-0000-0000C3460000}"/>
    <cellStyle name="Normal 28 4 3 2 7" xfId="18125" xr:uid="{00000000-0005-0000-0000-0000C4460000}"/>
    <cellStyle name="Normal 28 4 3 2 7 2" xfId="18126" xr:uid="{00000000-0005-0000-0000-0000C5460000}"/>
    <cellStyle name="Normal 28 4 3 2 7 3" xfId="18127" xr:uid="{00000000-0005-0000-0000-0000C6460000}"/>
    <cellStyle name="Normal 28 4 3 2 8" xfId="18128" xr:uid="{00000000-0005-0000-0000-0000C7460000}"/>
    <cellStyle name="Normal 28 4 3 2 8 2" xfId="18129" xr:uid="{00000000-0005-0000-0000-0000C8460000}"/>
    <cellStyle name="Normal 28 4 3 2 8 3" xfId="18130" xr:uid="{00000000-0005-0000-0000-0000C9460000}"/>
    <cellStyle name="Normal 28 4 3 2 9" xfId="18131" xr:uid="{00000000-0005-0000-0000-0000CA460000}"/>
    <cellStyle name="Normal 28 4 3 2 9 2" xfId="18132" xr:uid="{00000000-0005-0000-0000-0000CB460000}"/>
    <cellStyle name="Normal 28 4 3 2 9 3" xfId="18133" xr:uid="{00000000-0005-0000-0000-0000CC460000}"/>
    <cellStyle name="Normal 28 4 3 3" xfId="18134" xr:uid="{00000000-0005-0000-0000-0000CD460000}"/>
    <cellStyle name="Normal 28 4 3 3 2" xfId="18135" xr:uid="{00000000-0005-0000-0000-0000CE460000}"/>
    <cellStyle name="Normal 28 4 3 3 3" xfId="18136" xr:uid="{00000000-0005-0000-0000-0000CF460000}"/>
    <cellStyle name="Normal 28 4 3 4" xfId="18137" xr:uid="{00000000-0005-0000-0000-0000D0460000}"/>
    <cellStyle name="Normal 28 4 3 4 2" xfId="18138" xr:uid="{00000000-0005-0000-0000-0000D1460000}"/>
    <cellStyle name="Normal 28 4 3 4 3" xfId="18139" xr:uid="{00000000-0005-0000-0000-0000D2460000}"/>
    <cellStyle name="Normal 28 4 3 5" xfId="18140" xr:uid="{00000000-0005-0000-0000-0000D3460000}"/>
    <cellStyle name="Normal 28 4 3 5 2" xfId="18141" xr:uid="{00000000-0005-0000-0000-0000D4460000}"/>
    <cellStyle name="Normal 28 4 3 5 3" xfId="18142" xr:uid="{00000000-0005-0000-0000-0000D5460000}"/>
    <cellStyle name="Normal 28 4 3 6" xfId="18143" xr:uid="{00000000-0005-0000-0000-0000D6460000}"/>
    <cellStyle name="Normal 28 4 3 6 2" xfId="18144" xr:uid="{00000000-0005-0000-0000-0000D7460000}"/>
    <cellStyle name="Normal 28 4 3 6 3" xfId="18145" xr:uid="{00000000-0005-0000-0000-0000D8460000}"/>
    <cellStyle name="Normal 28 4 3 7" xfId="18146" xr:uid="{00000000-0005-0000-0000-0000D9460000}"/>
    <cellStyle name="Normal 28 4 3 7 2" xfId="18147" xr:uid="{00000000-0005-0000-0000-0000DA460000}"/>
    <cellStyle name="Normal 28 4 3 7 3" xfId="18148" xr:uid="{00000000-0005-0000-0000-0000DB460000}"/>
    <cellStyle name="Normal 28 4 3 8" xfId="18149" xr:uid="{00000000-0005-0000-0000-0000DC460000}"/>
    <cellStyle name="Normal 28 4 3 8 2" xfId="18150" xr:uid="{00000000-0005-0000-0000-0000DD460000}"/>
    <cellStyle name="Normal 28 4 3 8 3" xfId="18151" xr:uid="{00000000-0005-0000-0000-0000DE460000}"/>
    <cellStyle name="Normal 28 4 3 9" xfId="18152" xr:uid="{00000000-0005-0000-0000-0000DF460000}"/>
    <cellStyle name="Normal 28 4 3 9 2" xfId="18153" xr:uid="{00000000-0005-0000-0000-0000E0460000}"/>
    <cellStyle name="Normal 28 4 3 9 3" xfId="18154" xr:uid="{00000000-0005-0000-0000-0000E1460000}"/>
    <cellStyle name="Normal 28 4 30" xfId="18155" xr:uid="{00000000-0005-0000-0000-0000E2460000}"/>
    <cellStyle name="Normal 28 4 31" xfId="18156" xr:uid="{00000000-0005-0000-0000-0000E3460000}"/>
    <cellStyle name="Normal 28 4 32" xfId="18157" xr:uid="{00000000-0005-0000-0000-0000E4460000}"/>
    <cellStyle name="Normal 28 4 33" xfId="18158" xr:uid="{00000000-0005-0000-0000-0000E5460000}"/>
    <cellStyle name="Normal 28 4 34" xfId="18159" xr:uid="{00000000-0005-0000-0000-0000E6460000}"/>
    <cellStyle name="Normal 28 4 35" xfId="18160" xr:uid="{00000000-0005-0000-0000-0000E7460000}"/>
    <cellStyle name="Normal 28 4 36" xfId="18161" xr:uid="{00000000-0005-0000-0000-0000E8460000}"/>
    <cellStyle name="Normal 28 4 37" xfId="18162" xr:uid="{00000000-0005-0000-0000-0000E9460000}"/>
    <cellStyle name="Normal 28 4 38" xfId="18163" xr:uid="{00000000-0005-0000-0000-0000EA460000}"/>
    <cellStyle name="Normal 28 4 39" xfId="18164" xr:uid="{00000000-0005-0000-0000-0000EB460000}"/>
    <cellStyle name="Normal 28 4 4" xfId="18165" xr:uid="{00000000-0005-0000-0000-0000EC460000}"/>
    <cellStyle name="Normal 28 4 4 10" xfId="18166" xr:uid="{00000000-0005-0000-0000-0000ED460000}"/>
    <cellStyle name="Normal 28 4 4 10 2" xfId="18167" xr:uid="{00000000-0005-0000-0000-0000EE460000}"/>
    <cellStyle name="Normal 28 4 4 10 3" xfId="18168" xr:uid="{00000000-0005-0000-0000-0000EF460000}"/>
    <cellStyle name="Normal 28 4 4 11" xfId="18169" xr:uid="{00000000-0005-0000-0000-0000F0460000}"/>
    <cellStyle name="Normal 28 4 4 11 2" xfId="18170" xr:uid="{00000000-0005-0000-0000-0000F1460000}"/>
    <cellStyle name="Normal 28 4 4 11 3" xfId="18171" xr:uid="{00000000-0005-0000-0000-0000F2460000}"/>
    <cellStyle name="Normal 28 4 4 12" xfId="18172" xr:uid="{00000000-0005-0000-0000-0000F3460000}"/>
    <cellStyle name="Normal 28 4 4 12 2" xfId="18173" xr:uid="{00000000-0005-0000-0000-0000F4460000}"/>
    <cellStyle name="Normal 28 4 4 12 3" xfId="18174" xr:uid="{00000000-0005-0000-0000-0000F5460000}"/>
    <cellStyle name="Normal 28 4 4 13" xfId="18175" xr:uid="{00000000-0005-0000-0000-0000F6460000}"/>
    <cellStyle name="Normal 28 4 4 13 2" xfId="18176" xr:uid="{00000000-0005-0000-0000-0000F7460000}"/>
    <cellStyle name="Normal 28 4 4 13 3" xfId="18177" xr:uid="{00000000-0005-0000-0000-0000F8460000}"/>
    <cellStyle name="Normal 28 4 4 14" xfId="18178" xr:uid="{00000000-0005-0000-0000-0000F9460000}"/>
    <cellStyle name="Normal 28 4 4 14 2" xfId="18179" xr:uid="{00000000-0005-0000-0000-0000FA460000}"/>
    <cellStyle name="Normal 28 4 4 14 3" xfId="18180" xr:uid="{00000000-0005-0000-0000-0000FB460000}"/>
    <cellStyle name="Normal 28 4 4 15" xfId="18181" xr:uid="{00000000-0005-0000-0000-0000FC460000}"/>
    <cellStyle name="Normal 28 4 4 15 2" xfId="18182" xr:uid="{00000000-0005-0000-0000-0000FD460000}"/>
    <cellStyle name="Normal 28 4 4 15 3" xfId="18183" xr:uid="{00000000-0005-0000-0000-0000FE460000}"/>
    <cellStyle name="Normal 28 4 4 16" xfId="18184" xr:uid="{00000000-0005-0000-0000-0000FF460000}"/>
    <cellStyle name="Normal 28 4 4 17" xfId="18185" xr:uid="{00000000-0005-0000-0000-000000470000}"/>
    <cellStyle name="Normal 28 4 4 2" xfId="18186" xr:uid="{00000000-0005-0000-0000-000001470000}"/>
    <cellStyle name="Normal 28 4 4 2 10" xfId="18187" xr:uid="{00000000-0005-0000-0000-000002470000}"/>
    <cellStyle name="Normal 28 4 4 2 10 2" xfId="18188" xr:uid="{00000000-0005-0000-0000-000003470000}"/>
    <cellStyle name="Normal 28 4 4 2 10 3" xfId="18189" xr:uid="{00000000-0005-0000-0000-000004470000}"/>
    <cellStyle name="Normal 28 4 4 2 11" xfId="18190" xr:uid="{00000000-0005-0000-0000-000005470000}"/>
    <cellStyle name="Normal 28 4 4 2 11 2" xfId="18191" xr:uid="{00000000-0005-0000-0000-000006470000}"/>
    <cellStyle name="Normal 28 4 4 2 11 3" xfId="18192" xr:uid="{00000000-0005-0000-0000-000007470000}"/>
    <cellStyle name="Normal 28 4 4 2 12" xfId="18193" xr:uid="{00000000-0005-0000-0000-000008470000}"/>
    <cellStyle name="Normal 28 4 4 2 12 2" xfId="18194" xr:uid="{00000000-0005-0000-0000-000009470000}"/>
    <cellStyle name="Normal 28 4 4 2 12 3" xfId="18195" xr:uid="{00000000-0005-0000-0000-00000A470000}"/>
    <cellStyle name="Normal 28 4 4 2 13" xfId="18196" xr:uid="{00000000-0005-0000-0000-00000B470000}"/>
    <cellStyle name="Normal 28 4 4 2 13 2" xfId="18197" xr:uid="{00000000-0005-0000-0000-00000C470000}"/>
    <cellStyle name="Normal 28 4 4 2 13 3" xfId="18198" xr:uid="{00000000-0005-0000-0000-00000D470000}"/>
    <cellStyle name="Normal 28 4 4 2 14" xfId="18199" xr:uid="{00000000-0005-0000-0000-00000E470000}"/>
    <cellStyle name="Normal 28 4 4 2 14 2" xfId="18200" xr:uid="{00000000-0005-0000-0000-00000F470000}"/>
    <cellStyle name="Normal 28 4 4 2 14 3" xfId="18201" xr:uid="{00000000-0005-0000-0000-000010470000}"/>
    <cellStyle name="Normal 28 4 4 2 15" xfId="18202" xr:uid="{00000000-0005-0000-0000-000011470000}"/>
    <cellStyle name="Normal 28 4 4 2 16" xfId="18203" xr:uid="{00000000-0005-0000-0000-000012470000}"/>
    <cellStyle name="Normal 28 4 4 2 2" xfId="18204" xr:uid="{00000000-0005-0000-0000-000013470000}"/>
    <cellStyle name="Normal 28 4 4 2 2 2" xfId="18205" xr:uid="{00000000-0005-0000-0000-000014470000}"/>
    <cellStyle name="Normal 28 4 4 2 2 3" xfId="18206" xr:uid="{00000000-0005-0000-0000-000015470000}"/>
    <cellStyle name="Normal 28 4 4 2 3" xfId="18207" xr:uid="{00000000-0005-0000-0000-000016470000}"/>
    <cellStyle name="Normal 28 4 4 2 3 2" xfId="18208" xr:uid="{00000000-0005-0000-0000-000017470000}"/>
    <cellStyle name="Normal 28 4 4 2 3 3" xfId="18209" xr:uid="{00000000-0005-0000-0000-000018470000}"/>
    <cellStyle name="Normal 28 4 4 2 4" xfId="18210" xr:uid="{00000000-0005-0000-0000-000019470000}"/>
    <cellStyle name="Normal 28 4 4 2 4 2" xfId="18211" xr:uid="{00000000-0005-0000-0000-00001A470000}"/>
    <cellStyle name="Normal 28 4 4 2 4 3" xfId="18212" xr:uid="{00000000-0005-0000-0000-00001B470000}"/>
    <cellStyle name="Normal 28 4 4 2 5" xfId="18213" xr:uid="{00000000-0005-0000-0000-00001C470000}"/>
    <cellStyle name="Normal 28 4 4 2 5 2" xfId="18214" xr:uid="{00000000-0005-0000-0000-00001D470000}"/>
    <cellStyle name="Normal 28 4 4 2 5 3" xfId="18215" xr:uid="{00000000-0005-0000-0000-00001E470000}"/>
    <cellStyle name="Normal 28 4 4 2 6" xfId="18216" xr:uid="{00000000-0005-0000-0000-00001F470000}"/>
    <cellStyle name="Normal 28 4 4 2 6 2" xfId="18217" xr:uid="{00000000-0005-0000-0000-000020470000}"/>
    <cellStyle name="Normal 28 4 4 2 6 3" xfId="18218" xr:uid="{00000000-0005-0000-0000-000021470000}"/>
    <cellStyle name="Normal 28 4 4 2 7" xfId="18219" xr:uid="{00000000-0005-0000-0000-000022470000}"/>
    <cellStyle name="Normal 28 4 4 2 7 2" xfId="18220" xr:uid="{00000000-0005-0000-0000-000023470000}"/>
    <cellStyle name="Normal 28 4 4 2 7 3" xfId="18221" xr:uid="{00000000-0005-0000-0000-000024470000}"/>
    <cellStyle name="Normal 28 4 4 2 8" xfId="18222" xr:uid="{00000000-0005-0000-0000-000025470000}"/>
    <cellStyle name="Normal 28 4 4 2 8 2" xfId="18223" xr:uid="{00000000-0005-0000-0000-000026470000}"/>
    <cellStyle name="Normal 28 4 4 2 8 3" xfId="18224" xr:uid="{00000000-0005-0000-0000-000027470000}"/>
    <cellStyle name="Normal 28 4 4 2 9" xfId="18225" xr:uid="{00000000-0005-0000-0000-000028470000}"/>
    <cellStyle name="Normal 28 4 4 2 9 2" xfId="18226" xr:uid="{00000000-0005-0000-0000-000029470000}"/>
    <cellStyle name="Normal 28 4 4 2 9 3" xfId="18227" xr:uid="{00000000-0005-0000-0000-00002A470000}"/>
    <cellStyle name="Normal 28 4 4 3" xfId="18228" xr:uid="{00000000-0005-0000-0000-00002B470000}"/>
    <cellStyle name="Normal 28 4 4 3 2" xfId="18229" xr:uid="{00000000-0005-0000-0000-00002C470000}"/>
    <cellStyle name="Normal 28 4 4 3 3" xfId="18230" xr:uid="{00000000-0005-0000-0000-00002D470000}"/>
    <cellStyle name="Normal 28 4 4 4" xfId="18231" xr:uid="{00000000-0005-0000-0000-00002E470000}"/>
    <cellStyle name="Normal 28 4 4 4 2" xfId="18232" xr:uid="{00000000-0005-0000-0000-00002F470000}"/>
    <cellStyle name="Normal 28 4 4 4 3" xfId="18233" xr:uid="{00000000-0005-0000-0000-000030470000}"/>
    <cellStyle name="Normal 28 4 4 5" xfId="18234" xr:uid="{00000000-0005-0000-0000-000031470000}"/>
    <cellStyle name="Normal 28 4 4 5 2" xfId="18235" xr:uid="{00000000-0005-0000-0000-000032470000}"/>
    <cellStyle name="Normal 28 4 4 5 3" xfId="18236" xr:uid="{00000000-0005-0000-0000-000033470000}"/>
    <cellStyle name="Normal 28 4 4 6" xfId="18237" xr:uid="{00000000-0005-0000-0000-000034470000}"/>
    <cellStyle name="Normal 28 4 4 6 2" xfId="18238" xr:uid="{00000000-0005-0000-0000-000035470000}"/>
    <cellStyle name="Normal 28 4 4 6 3" xfId="18239" xr:uid="{00000000-0005-0000-0000-000036470000}"/>
    <cellStyle name="Normal 28 4 4 7" xfId="18240" xr:uid="{00000000-0005-0000-0000-000037470000}"/>
    <cellStyle name="Normal 28 4 4 7 2" xfId="18241" xr:uid="{00000000-0005-0000-0000-000038470000}"/>
    <cellStyle name="Normal 28 4 4 7 3" xfId="18242" xr:uid="{00000000-0005-0000-0000-000039470000}"/>
    <cellStyle name="Normal 28 4 4 8" xfId="18243" xr:uid="{00000000-0005-0000-0000-00003A470000}"/>
    <cellStyle name="Normal 28 4 4 8 2" xfId="18244" xr:uid="{00000000-0005-0000-0000-00003B470000}"/>
    <cellStyle name="Normal 28 4 4 8 3" xfId="18245" xr:uid="{00000000-0005-0000-0000-00003C470000}"/>
    <cellStyle name="Normal 28 4 4 9" xfId="18246" xr:uid="{00000000-0005-0000-0000-00003D470000}"/>
    <cellStyle name="Normal 28 4 4 9 2" xfId="18247" xr:uid="{00000000-0005-0000-0000-00003E470000}"/>
    <cellStyle name="Normal 28 4 4 9 3" xfId="18248" xr:uid="{00000000-0005-0000-0000-00003F470000}"/>
    <cellStyle name="Normal 28 4 40" xfId="18249" xr:uid="{00000000-0005-0000-0000-000040470000}"/>
    <cellStyle name="Normal 28 4 41" xfId="18250" xr:uid="{00000000-0005-0000-0000-000041470000}"/>
    <cellStyle name="Normal 28 4 5" xfId="18251" xr:uid="{00000000-0005-0000-0000-000042470000}"/>
    <cellStyle name="Normal 28 4 5 10" xfId="18252" xr:uid="{00000000-0005-0000-0000-000043470000}"/>
    <cellStyle name="Normal 28 4 5 10 2" xfId="18253" xr:uid="{00000000-0005-0000-0000-000044470000}"/>
    <cellStyle name="Normal 28 4 5 10 3" xfId="18254" xr:uid="{00000000-0005-0000-0000-000045470000}"/>
    <cellStyle name="Normal 28 4 5 11" xfId="18255" xr:uid="{00000000-0005-0000-0000-000046470000}"/>
    <cellStyle name="Normal 28 4 5 11 2" xfId="18256" xr:uid="{00000000-0005-0000-0000-000047470000}"/>
    <cellStyle name="Normal 28 4 5 11 3" xfId="18257" xr:uid="{00000000-0005-0000-0000-000048470000}"/>
    <cellStyle name="Normal 28 4 5 12" xfId="18258" xr:uid="{00000000-0005-0000-0000-000049470000}"/>
    <cellStyle name="Normal 28 4 5 12 2" xfId="18259" xr:uid="{00000000-0005-0000-0000-00004A470000}"/>
    <cellStyle name="Normal 28 4 5 12 3" xfId="18260" xr:uid="{00000000-0005-0000-0000-00004B470000}"/>
    <cellStyle name="Normal 28 4 5 13" xfId="18261" xr:uid="{00000000-0005-0000-0000-00004C470000}"/>
    <cellStyle name="Normal 28 4 5 13 2" xfId="18262" xr:uid="{00000000-0005-0000-0000-00004D470000}"/>
    <cellStyle name="Normal 28 4 5 13 3" xfId="18263" xr:uid="{00000000-0005-0000-0000-00004E470000}"/>
    <cellStyle name="Normal 28 4 5 14" xfId="18264" xr:uid="{00000000-0005-0000-0000-00004F470000}"/>
    <cellStyle name="Normal 28 4 5 14 2" xfId="18265" xr:uid="{00000000-0005-0000-0000-000050470000}"/>
    <cellStyle name="Normal 28 4 5 14 3" xfId="18266" xr:uid="{00000000-0005-0000-0000-000051470000}"/>
    <cellStyle name="Normal 28 4 5 15" xfId="18267" xr:uid="{00000000-0005-0000-0000-000052470000}"/>
    <cellStyle name="Normal 28 4 5 16" xfId="18268" xr:uid="{00000000-0005-0000-0000-000053470000}"/>
    <cellStyle name="Normal 28 4 5 2" xfId="18269" xr:uid="{00000000-0005-0000-0000-000054470000}"/>
    <cellStyle name="Normal 28 4 5 2 2" xfId="18270" xr:uid="{00000000-0005-0000-0000-000055470000}"/>
    <cellStyle name="Normal 28 4 5 2 3" xfId="18271" xr:uid="{00000000-0005-0000-0000-000056470000}"/>
    <cellStyle name="Normal 28 4 5 3" xfId="18272" xr:uid="{00000000-0005-0000-0000-000057470000}"/>
    <cellStyle name="Normal 28 4 5 3 2" xfId="18273" xr:uid="{00000000-0005-0000-0000-000058470000}"/>
    <cellStyle name="Normal 28 4 5 3 3" xfId="18274" xr:uid="{00000000-0005-0000-0000-000059470000}"/>
    <cellStyle name="Normal 28 4 5 4" xfId="18275" xr:uid="{00000000-0005-0000-0000-00005A470000}"/>
    <cellStyle name="Normal 28 4 5 4 2" xfId="18276" xr:uid="{00000000-0005-0000-0000-00005B470000}"/>
    <cellStyle name="Normal 28 4 5 4 3" xfId="18277" xr:uid="{00000000-0005-0000-0000-00005C470000}"/>
    <cellStyle name="Normal 28 4 5 5" xfId="18278" xr:uid="{00000000-0005-0000-0000-00005D470000}"/>
    <cellStyle name="Normal 28 4 5 5 2" xfId="18279" xr:uid="{00000000-0005-0000-0000-00005E470000}"/>
    <cellStyle name="Normal 28 4 5 5 3" xfId="18280" xr:uid="{00000000-0005-0000-0000-00005F470000}"/>
    <cellStyle name="Normal 28 4 5 6" xfId="18281" xr:uid="{00000000-0005-0000-0000-000060470000}"/>
    <cellStyle name="Normal 28 4 5 6 2" xfId="18282" xr:uid="{00000000-0005-0000-0000-000061470000}"/>
    <cellStyle name="Normal 28 4 5 6 3" xfId="18283" xr:uid="{00000000-0005-0000-0000-000062470000}"/>
    <cellStyle name="Normal 28 4 5 7" xfId="18284" xr:uid="{00000000-0005-0000-0000-000063470000}"/>
    <cellStyle name="Normal 28 4 5 7 2" xfId="18285" xr:uid="{00000000-0005-0000-0000-000064470000}"/>
    <cellStyle name="Normal 28 4 5 7 3" xfId="18286" xr:uid="{00000000-0005-0000-0000-000065470000}"/>
    <cellStyle name="Normal 28 4 5 8" xfId="18287" xr:uid="{00000000-0005-0000-0000-000066470000}"/>
    <cellStyle name="Normal 28 4 5 8 2" xfId="18288" xr:uid="{00000000-0005-0000-0000-000067470000}"/>
    <cellStyle name="Normal 28 4 5 8 3" xfId="18289" xr:uid="{00000000-0005-0000-0000-000068470000}"/>
    <cellStyle name="Normal 28 4 5 9" xfId="18290" xr:uid="{00000000-0005-0000-0000-000069470000}"/>
    <cellStyle name="Normal 28 4 5 9 2" xfId="18291" xr:uid="{00000000-0005-0000-0000-00006A470000}"/>
    <cellStyle name="Normal 28 4 5 9 3" xfId="18292" xr:uid="{00000000-0005-0000-0000-00006B470000}"/>
    <cellStyle name="Normal 28 4 6" xfId="18293" xr:uid="{00000000-0005-0000-0000-00006C470000}"/>
    <cellStyle name="Normal 28 4 6 10" xfId="18294" xr:uid="{00000000-0005-0000-0000-00006D470000}"/>
    <cellStyle name="Normal 28 4 6 10 2" xfId="18295" xr:uid="{00000000-0005-0000-0000-00006E470000}"/>
    <cellStyle name="Normal 28 4 6 10 3" xfId="18296" xr:uid="{00000000-0005-0000-0000-00006F470000}"/>
    <cellStyle name="Normal 28 4 6 11" xfId="18297" xr:uid="{00000000-0005-0000-0000-000070470000}"/>
    <cellStyle name="Normal 28 4 6 11 2" xfId="18298" xr:uid="{00000000-0005-0000-0000-000071470000}"/>
    <cellStyle name="Normal 28 4 6 11 3" xfId="18299" xr:uid="{00000000-0005-0000-0000-000072470000}"/>
    <cellStyle name="Normal 28 4 6 12" xfId="18300" xr:uid="{00000000-0005-0000-0000-000073470000}"/>
    <cellStyle name="Normal 28 4 6 12 2" xfId="18301" xr:uid="{00000000-0005-0000-0000-000074470000}"/>
    <cellStyle name="Normal 28 4 6 12 3" xfId="18302" xr:uid="{00000000-0005-0000-0000-000075470000}"/>
    <cellStyle name="Normal 28 4 6 13" xfId="18303" xr:uid="{00000000-0005-0000-0000-000076470000}"/>
    <cellStyle name="Normal 28 4 6 13 2" xfId="18304" xr:uid="{00000000-0005-0000-0000-000077470000}"/>
    <cellStyle name="Normal 28 4 6 13 3" xfId="18305" xr:uid="{00000000-0005-0000-0000-000078470000}"/>
    <cellStyle name="Normal 28 4 6 14" xfId="18306" xr:uid="{00000000-0005-0000-0000-000079470000}"/>
    <cellStyle name="Normal 28 4 6 14 2" xfId="18307" xr:uid="{00000000-0005-0000-0000-00007A470000}"/>
    <cellStyle name="Normal 28 4 6 14 3" xfId="18308" xr:uid="{00000000-0005-0000-0000-00007B470000}"/>
    <cellStyle name="Normal 28 4 6 15" xfId="18309" xr:uid="{00000000-0005-0000-0000-00007C470000}"/>
    <cellStyle name="Normal 28 4 6 16" xfId="18310" xr:uid="{00000000-0005-0000-0000-00007D470000}"/>
    <cellStyle name="Normal 28 4 6 2" xfId="18311" xr:uid="{00000000-0005-0000-0000-00007E470000}"/>
    <cellStyle name="Normal 28 4 6 2 2" xfId="18312" xr:uid="{00000000-0005-0000-0000-00007F470000}"/>
    <cellStyle name="Normal 28 4 6 2 3" xfId="18313" xr:uid="{00000000-0005-0000-0000-000080470000}"/>
    <cellStyle name="Normal 28 4 6 3" xfId="18314" xr:uid="{00000000-0005-0000-0000-000081470000}"/>
    <cellStyle name="Normal 28 4 6 3 2" xfId="18315" xr:uid="{00000000-0005-0000-0000-000082470000}"/>
    <cellStyle name="Normal 28 4 6 3 3" xfId="18316" xr:uid="{00000000-0005-0000-0000-000083470000}"/>
    <cellStyle name="Normal 28 4 6 4" xfId="18317" xr:uid="{00000000-0005-0000-0000-000084470000}"/>
    <cellStyle name="Normal 28 4 6 4 2" xfId="18318" xr:uid="{00000000-0005-0000-0000-000085470000}"/>
    <cellStyle name="Normal 28 4 6 4 3" xfId="18319" xr:uid="{00000000-0005-0000-0000-000086470000}"/>
    <cellStyle name="Normal 28 4 6 5" xfId="18320" xr:uid="{00000000-0005-0000-0000-000087470000}"/>
    <cellStyle name="Normal 28 4 6 5 2" xfId="18321" xr:uid="{00000000-0005-0000-0000-000088470000}"/>
    <cellStyle name="Normal 28 4 6 5 3" xfId="18322" xr:uid="{00000000-0005-0000-0000-000089470000}"/>
    <cellStyle name="Normal 28 4 6 6" xfId="18323" xr:uid="{00000000-0005-0000-0000-00008A470000}"/>
    <cellStyle name="Normal 28 4 6 6 2" xfId="18324" xr:uid="{00000000-0005-0000-0000-00008B470000}"/>
    <cellStyle name="Normal 28 4 6 6 3" xfId="18325" xr:uid="{00000000-0005-0000-0000-00008C470000}"/>
    <cellStyle name="Normal 28 4 6 7" xfId="18326" xr:uid="{00000000-0005-0000-0000-00008D470000}"/>
    <cellStyle name="Normal 28 4 6 7 2" xfId="18327" xr:uid="{00000000-0005-0000-0000-00008E470000}"/>
    <cellStyle name="Normal 28 4 6 7 3" xfId="18328" xr:uid="{00000000-0005-0000-0000-00008F470000}"/>
    <cellStyle name="Normal 28 4 6 8" xfId="18329" xr:uid="{00000000-0005-0000-0000-000090470000}"/>
    <cellStyle name="Normal 28 4 6 8 2" xfId="18330" xr:uid="{00000000-0005-0000-0000-000091470000}"/>
    <cellStyle name="Normal 28 4 6 8 3" xfId="18331" xr:uid="{00000000-0005-0000-0000-000092470000}"/>
    <cellStyle name="Normal 28 4 6 9" xfId="18332" xr:uid="{00000000-0005-0000-0000-000093470000}"/>
    <cellStyle name="Normal 28 4 6 9 2" xfId="18333" xr:uid="{00000000-0005-0000-0000-000094470000}"/>
    <cellStyle name="Normal 28 4 6 9 3" xfId="18334" xr:uid="{00000000-0005-0000-0000-000095470000}"/>
    <cellStyle name="Normal 28 4 7" xfId="18335" xr:uid="{00000000-0005-0000-0000-000096470000}"/>
    <cellStyle name="Normal 28 4 7 10" xfId="18336" xr:uid="{00000000-0005-0000-0000-000097470000}"/>
    <cellStyle name="Normal 28 4 7 10 2" xfId="18337" xr:uid="{00000000-0005-0000-0000-000098470000}"/>
    <cellStyle name="Normal 28 4 7 10 3" xfId="18338" xr:uid="{00000000-0005-0000-0000-000099470000}"/>
    <cellStyle name="Normal 28 4 7 11" xfId="18339" xr:uid="{00000000-0005-0000-0000-00009A470000}"/>
    <cellStyle name="Normal 28 4 7 11 2" xfId="18340" xr:uid="{00000000-0005-0000-0000-00009B470000}"/>
    <cellStyle name="Normal 28 4 7 11 3" xfId="18341" xr:uid="{00000000-0005-0000-0000-00009C470000}"/>
    <cellStyle name="Normal 28 4 7 12" xfId="18342" xr:uid="{00000000-0005-0000-0000-00009D470000}"/>
    <cellStyle name="Normal 28 4 7 12 2" xfId="18343" xr:uid="{00000000-0005-0000-0000-00009E470000}"/>
    <cellStyle name="Normal 28 4 7 12 3" xfId="18344" xr:uid="{00000000-0005-0000-0000-00009F470000}"/>
    <cellStyle name="Normal 28 4 7 13" xfId="18345" xr:uid="{00000000-0005-0000-0000-0000A0470000}"/>
    <cellStyle name="Normal 28 4 7 13 2" xfId="18346" xr:uid="{00000000-0005-0000-0000-0000A1470000}"/>
    <cellStyle name="Normal 28 4 7 13 3" xfId="18347" xr:uid="{00000000-0005-0000-0000-0000A2470000}"/>
    <cellStyle name="Normal 28 4 7 14" xfId="18348" xr:uid="{00000000-0005-0000-0000-0000A3470000}"/>
    <cellStyle name="Normal 28 4 7 14 2" xfId="18349" xr:uid="{00000000-0005-0000-0000-0000A4470000}"/>
    <cellStyle name="Normal 28 4 7 14 3" xfId="18350" xr:uid="{00000000-0005-0000-0000-0000A5470000}"/>
    <cellStyle name="Normal 28 4 7 15" xfId="18351" xr:uid="{00000000-0005-0000-0000-0000A6470000}"/>
    <cellStyle name="Normal 28 4 7 16" xfId="18352" xr:uid="{00000000-0005-0000-0000-0000A7470000}"/>
    <cellStyle name="Normal 28 4 7 2" xfId="18353" xr:uid="{00000000-0005-0000-0000-0000A8470000}"/>
    <cellStyle name="Normal 28 4 7 2 2" xfId="18354" xr:uid="{00000000-0005-0000-0000-0000A9470000}"/>
    <cellStyle name="Normal 28 4 7 2 3" xfId="18355" xr:uid="{00000000-0005-0000-0000-0000AA470000}"/>
    <cellStyle name="Normal 28 4 7 3" xfId="18356" xr:uid="{00000000-0005-0000-0000-0000AB470000}"/>
    <cellStyle name="Normal 28 4 7 3 2" xfId="18357" xr:uid="{00000000-0005-0000-0000-0000AC470000}"/>
    <cellStyle name="Normal 28 4 7 3 3" xfId="18358" xr:uid="{00000000-0005-0000-0000-0000AD470000}"/>
    <cellStyle name="Normal 28 4 7 4" xfId="18359" xr:uid="{00000000-0005-0000-0000-0000AE470000}"/>
    <cellStyle name="Normal 28 4 7 4 2" xfId="18360" xr:uid="{00000000-0005-0000-0000-0000AF470000}"/>
    <cellStyle name="Normal 28 4 7 4 3" xfId="18361" xr:uid="{00000000-0005-0000-0000-0000B0470000}"/>
    <cellStyle name="Normal 28 4 7 5" xfId="18362" xr:uid="{00000000-0005-0000-0000-0000B1470000}"/>
    <cellStyle name="Normal 28 4 7 5 2" xfId="18363" xr:uid="{00000000-0005-0000-0000-0000B2470000}"/>
    <cellStyle name="Normal 28 4 7 5 3" xfId="18364" xr:uid="{00000000-0005-0000-0000-0000B3470000}"/>
    <cellStyle name="Normal 28 4 7 6" xfId="18365" xr:uid="{00000000-0005-0000-0000-0000B4470000}"/>
    <cellStyle name="Normal 28 4 7 6 2" xfId="18366" xr:uid="{00000000-0005-0000-0000-0000B5470000}"/>
    <cellStyle name="Normal 28 4 7 6 3" xfId="18367" xr:uid="{00000000-0005-0000-0000-0000B6470000}"/>
    <cellStyle name="Normal 28 4 7 7" xfId="18368" xr:uid="{00000000-0005-0000-0000-0000B7470000}"/>
    <cellStyle name="Normal 28 4 7 7 2" xfId="18369" xr:uid="{00000000-0005-0000-0000-0000B8470000}"/>
    <cellStyle name="Normal 28 4 7 7 3" xfId="18370" xr:uid="{00000000-0005-0000-0000-0000B9470000}"/>
    <cellStyle name="Normal 28 4 7 8" xfId="18371" xr:uid="{00000000-0005-0000-0000-0000BA470000}"/>
    <cellStyle name="Normal 28 4 7 8 2" xfId="18372" xr:uid="{00000000-0005-0000-0000-0000BB470000}"/>
    <cellStyle name="Normal 28 4 7 8 3" xfId="18373" xr:uid="{00000000-0005-0000-0000-0000BC470000}"/>
    <cellStyle name="Normal 28 4 7 9" xfId="18374" xr:uid="{00000000-0005-0000-0000-0000BD470000}"/>
    <cellStyle name="Normal 28 4 7 9 2" xfId="18375" xr:uid="{00000000-0005-0000-0000-0000BE470000}"/>
    <cellStyle name="Normal 28 4 7 9 3" xfId="18376" xr:uid="{00000000-0005-0000-0000-0000BF470000}"/>
    <cellStyle name="Normal 28 4 8" xfId="18377" xr:uid="{00000000-0005-0000-0000-0000C0470000}"/>
    <cellStyle name="Normal 28 4 8 10" xfId="18378" xr:uid="{00000000-0005-0000-0000-0000C1470000}"/>
    <cellStyle name="Normal 28 4 8 10 2" xfId="18379" xr:uid="{00000000-0005-0000-0000-0000C2470000}"/>
    <cellStyle name="Normal 28 4 8 10 3" xfId="18380" xr:uid="{00000000-0005-0000-0000-0000C3470000}"/>
    <cellStyle name="Normal 28 4 8 11" xfId="18381" xr:uid="{00000000-0005-0000-0000-0000C4470000}"/>
    <cellStyle name="Normal 28 4 8 11 2" xfId="18382" xr:uid="{00000000-0005-0000-0000-0000C5470000}"/>
    <cellStyle name="Normal 28 4 8 11 3" xfId="18383" xr:uid="{00000000-0005-0000-0000-0000C6470000}"/>
    <cellStyle name="Normal 28 4 8 12" xfId="18384" xr:uid="{00000000-0005-0000-0000-0000C7470000}"/>
    <cellStyle name="Normal 28 4 8 12 2" xfId="18385" xr:uid="{00000000-0005-0000-0000-0000C8470000}"/>
    <cellStyle name="Normal 28 4 8 12 3" xfId="18386" xr:uid="{00000000-0005-0000-0000-0000C9470000}"/>
    <cellStyle name="Normal 28 4 8 13" xfId="18387" xr:uid="{00000000-0005-0000-0000-0000CA470000}"/>
    <cellStyle name="Normal 28 4 8 13 2" xfId="18388" xr:uid="{00000000-0005-0000-0000-0000CB470000}"/>
    <cellStyle name="Normal 28 4 8 13 3" xfId="18389" xr:uid="{00000000-0005-0000-0000-0000CC470000}"/>
    <cellStyle name="Normal 28 4 8 14" xfId="18390" xr:uid="{00000000-0005-0000-0000-0000CD470000}"/>
    <cellStyle name="Normal 28 4 8 14 2" xfId="18391" xr:uid="{00000000-0005-0000-0000-0000CE470000}"/>
    <cellStyle name="Normal 28 4 8 14 3" xfId="18392" xr:uid="{00000000-0005-0000-0000-0000CF470000}"/>
    <cellStyle name="Normal 28 4 8 15" xfId="18393" xr:uid="{00000000-0005-0000-0000-0000D0470000}"/>
    <cellStyle name="Normal 28 4 8 16" xfId="18394" xr:uid="{00000000-0005-0000-0000-0000D1470000}"/>
    <cellStyle name="Normal 28 4 8 2" xfId="18395" xr:uid="{00000000-0005-0000-0000-0000D2470000}"/>
    <cellStyle name="Normal 28 4 8 2 2" xfId="18396" xr:uid="{00000000-0005-0000-0000-0000D3470000}"/>
    <cellStyle name="Normal 28 4 8 2 3" xfId="18397" xr:uid="{00000000-0005-0000-0000-0000D4470000}"/>
    <cellStyle name="Normal 28 4 8 3" xfId="18398" xr:uid="{00000000-0005-0000-0000-0000D5470000}"/>
    <cellStyle name="Normal 28 4 8 3 2" xfId="18399" xr:uid="{00000000-0005-0000-0000-0000D6470000}"/>
    <cellStyle name="Normal 28 4 8 3 3" xfId="18400" xr:uid="{00000000-0005-0000-0000-0000D7470000}"/>
    <cellStyle name="Normal 28 4 8 4" xfId="18401" xr:uid="{00000000-0005-0000-0000-0000D8470000}"/>
    <cellStyle name="Normal 28 4 8 4 2" xfId="18402" xr:uid="{00000000-0005-0000-0000-0000D9470000}"/>
    <cellStyle name="Normal 28 4 8 4 3" xfId="18403" xr:uid="{00000000-0005-0000-0000-0000DA470000}"/>
    <cellStyle name="Normal 28 4 8 5" xfId="18404" xr:uid="{00000000-0005-0000-0000-0000DB470000}"/>
    <cellStyle name="Normal 28 4 8 5 2" xfId="18405" xr:uid="{00000000-0005-0000-0000-0000DC470000}"/>
    <cellStyle name="Normal 28 4 8 5 3" xfId="18406" xr:uid="{00000000-0005-0000-0000-0000DD470000}"/>
    <cellStyle name="Normal 28 4 8 6" xfId="18407" xr:uid="{00000000-0005-0000-0000-0000DE470000}"/>
    <cellStyle name="Normal 28 4 8 6 2" xfId="18408" xr:uid="{00000000-0005-0000-0000-0000DF470000}"/>
    <cellStyle name="Normal 28 4 8 6 3" xfId="18409" xr:uid="{00000000-0005-0000-0000-0000E0470000}"/>
    <cellStyle name="Normal 28 4 8 7" xfId="18410" xr:uid="{00000000-0005-0000-0000-0000E1470000}"/>
    <cellStyle name="Normal 28 4 8 7 2" xfId="18411" xr:uid="{00000000-0005-0000-0000-0000E2470000}"/>
    <cellStyle name="Normal 28 4 8 7 3" xfId="18412" xr:uid="{00000000-0005-0000-0000-0000E3470000}"/>
    <cellStyle name="Normal 28 4 8 8" xfId="18413" xr:uid="{00000000-0005-0000-0000-0000E4470000}"/>
    <cellStyle name="Normal 28 4 8 8 2" xfId="18414" xr:uid="{00000000-0005-0000-0000-0000E5470000}"/>
    <cellStyle name="Normal 28 4 8 8 3" xfId="18415" xr:uid="{00000000-0005-0000-0000-0000E6470000}"/>
    <cellStyle name="Normal 28 4 8 9" xfId="18416" xr:uid="{00000000-0005-0000-0000-0000E7470000}"/>
    <cellStyle name="Normal 28 4 8 9 2" xfId="18417" xr:uid="{00000000-0005-0000-0000-0000E8470000}"/>
    <cellStyle name="Normal 28 4 8 9 3" xfId="18418" xr:uid="{00000000-0005-0000-0000-0000E9470000}"/>
    <cellStyle name="Normal 28 4 9" xfId="18419" xr:uid="{00000000-0005-0000-0000-0000EA470000}"/>
    <cellStyle name="Normal 28 4 9 10" xfId="18420" xr:uid="{00000000-0005-0000-0000-0000EB470000}"/>
    <cellStyle name="Normal 28 4 9 10 2" xfId="18421" xr:uid="{00000000-0005-0000-0000-0000EC470000}"/>
    <cellStyle name="Normal 28 4 9 10 3" xfId="18422" xr:uid="{00000000-0005-0000-0000-0000ED470000}"/>
    <cellStyle name="Normal 28 4 9 11" xfId="18423" xr:uid="{00000000-0005-0000-0000-0000EE470000}"/>
    <cellStyle name="Normal 28 4 9 11 2" xfId="18424" xr:uid="{00000000-0005-0000-0000-0000EF470000}"/>
    <cellStyle name="Normal 28 4 9 11 3" xfId="18425" xr:uid="{00000000-0005-0000-0000-0000F0470000}"/>
    <cellStyle name="Normal 28 4 9 12" xfId="18426" xr:uid="{00000000-0005-0000-0000-0000F1470000}"/>
    <cellStyle name="Normal 28 4 9 12 2" xfId="18427" xr:uid="{00000000-0005-0000-0000-0000F2470000}"/>
    <cellStyle name="Normal 28 4 9 12 3" xfId="18428" xr:uid="{00000000-0005-0000-0000-0000F3470000}"/>
    <cellStyle name="Normal 28 4 9 13" xfId="18429" xr:uid="{00000000-0005-0000-0000-0000F4470000}"/>
    <cellStyle name="Normal 28 4 9 13 2" xfId="18430" xr:uid="{00000000-0005-0000-0000-0000F5470000}"/>
    <cellStyle name="Normal 28 4 9 13 3" xfId="18431" xr:uid="{00000000-0005-0000-0000-0000F6470000}"/>
    <cellStyle name="Normal 28 4 9 14" xfId="18432" xr:uid="{00000000-0005-0000-0000-0000F7470000}"/>
    <cellStyle name="Normal 28 4 9 14 2" xfId="18433" xr:uid="{00000000-0005-0000-0000-0000F8470000}"/>
    <cellStyle name="Normal 28 4 9 14 3" xfId="18434" xr:uid="{00000000-0005-0000-0000-0000F9470000}"/>
    <cellStyle name="Normal 28 4 9 15" xfId="18435" xr:uid="{00000000-0005-0000-0000-0000FA470000}"/>
    <cellStyle name="Normal 28 4 9 16" xfId="18436" xr:uid="{00000000-0005-0000-0000-0000FB470000}"/>
    <cellStyle name="Normal 28 4 9 2" xfId="18437" xr:uid="{00000000-0005-0000-0000-0000FC470000}"/>
    <cellStyle name="Normal 28 4 9 2 2" xfId="18438" xr:uid="{00000000-0005-0000-0000-0000FD470000}"/>
    <cellStyle name="Normal 28 4 9 2 3" xfId="18439" xr:uid="{00000000-0005-0000-0000-0000FE470000}"/>
    <cellStyle name="Normal 28 4 9 3" xfId="18440" xr:uid="{00000000-0005-0000-0000-0000FF470000}"/>
    <cellStyle name="Normal 28 4 9 3 2" xfId="18441" xr:uid="{00000000-0005-0000-0000-000000480000}"/>
    <cellStyle name="Normal 28 4 9 3 3" xfId="18442" xr:uid="{00000000-0005-0000-0000-000001480000}"/>
    <cellStyle name="Normal 28 4 9 4" xfId="18443" xr:uid="{00000000-0005-0000-0000-000002480000}"/>
    <cellStyle name="Normal 28 4 9 4 2" xfId="18444" xr:uid="{00000000-0005-0000-0000-000003480000}"/>
    <cellStyle name="Normal 28 4 9 4 3" xfId="18445" xr:uid="{00000000-0005-0000-0000-000004480000}"/>
    <cellStyle name="Normal 28 4 9 5" xfId="18446" xr:uid="{00000000-0005-0000-0000-000005480000}"/>
    <cellStyle name="Normal 28 4 9 5 2" xfId="18447" xr:uid="{00000000-0005-0000-0000-000006480000}"/>
    <cellStyle name="Normal 28 4 9 5 3" xfId="18448" xr:uid="{00000000-0005-0000-0000-000007480000}"/>
    <cellStyle name="Normal 28 4 9 6" xfId="18449" xr:uid="{00000000-0005-0000-0000-000008480000}"/>
    <cellStyle name="Normal 28 4 9 6 2" xfId="18450" xr:uid="{00000000-0005-0000-0000-000009480000}"/>
    <cellStyle name="Normal 28 4 9 6 3" xfId="18451" xr:uid="{00000000-0005-0000-0000-00000A480000}"/>
    <cellStyle name="Normal 28 4 9 7" xfId="18452" xr:uid="{00000000-0005-0000-0000-00000B480000}"/>
    <cellStyle name="Normal 28 4 9 7 2" xfId="18453" xr:uid="{00000000-0005-0000-0000-00000C480000}"/>
    <cellStyle name="Normal 28 4 9 7 3" xfId="18454" xr:uid="{00000000-0005-0000-0000-00000D480000}"/>
    <cellStyle name="Normal 28 4 9 8" xfId="18455" xr:uid="{00000000-0005-0000-0000-00000E480000}"/>
    <cellStyle name="Normal 28 4 9 8 2" xfId="18456" xr:uid="{00000000-0005-0000-0000-00000F480000}"/>
    <cellStyle name="Normal 28 4 9 8 3" xfId="18457" xr:uid="{00000000-0005-0000-0000-000010480000}"/>
    <cellStyle name="Normal 28 4 9 9" xfId="18458" xr:uid="{00000000-0005-0000-0000-000011480000}"/>
    <cellStyle name="Normal 28 4 9 9 2" xfId="18459" xr:uid="{00000000-0005-0000-0000-000012480000}"/>
    <cellStyle name="Normal 28 4 9 9 3" xfId="18460" xr:uid="{00000000-0005-0000-0000-000013480000}"/>
    <cellStyle name="Normal 28 5" xfId="18461" xr:uid="{00000000-0005-0000-0000-000014480000}"/>
    <cellStyle name="Normal 28 6" xfId="18462" xr:uid="{00000000-0005-0000-0000-000015480000}"/>
    <cellStyle name="Normal 28 7" xfId="18463" xr:uid="{00000000-0005-0000-0000-000016480000}"/>
    <cellStyle name="Normal 29" xfId="18464" xr:uid="{00000000-0005-0000-0000-000017480000}"/>
    <cellStyle name="Normal 29 2" xfId="18465" xr:uid="{00000000-0005-0000-0000-000018480000}"/>
    <cellStyle name="Normal 29 3" xfId="18466" xr:uid="{00000000-0005-0000-0000-000019480000}"/>
    <cellStyle name="Normal 3" xfId="9" xr:uid="{00000000-0005-0000-0000-00001A480000}"/>
    <cellStyle name="Normal 3 10" xfId="18468" xr:uid="{00000000-0005-0000-0000-00001B480000}"/>
    <cellStyle name="Normal 3 10 10" xfId="18469" xr:uid="{00000000-0005-0000-0000-00001C480000}"/>
    <cellStyle name="Normal 3 10 11" xfId="18470" xr:uid="{00000000-0005-0000-0000-00001D480000}"/>
    <cellStyle name="Normal 3 10 11 10" xfId="18471" xr:uid="{00000000-0005-0000-0000-00001E480000}"/>
    <cellStyle name="Normal 3 10 11 10 2" xfId="18472" xr:uid="{00000000-0005-0000-0000-00001F480000}"/>
    <cellStyle name="Normal 3 10 11 10 3" xfId="18473" xr:uid="{00000000-0005-0000-0000-000020480000}"/>
    <cellStyle name="Normal 3 10 11 11" xfId="18474" xr:uid="{00000000-0005-0000-0000-000021480000}"/>
    <cellStyle name="Normal 3 10 11 11 2" xfId="18475" xr:uid="{00000000-0005-0000-0000-000022480000}"/>
    <cellStyle name="Normal 3 10 11 11 3" xfId="18476" xr:uid="{00000000-0005-0000-0000-000023480000}"/>
    <cellStyle name="Normal 3 10 11 12" xfId="18477" xr:uid="{00000000-0005-0000-0000-000024480000}"/>
    <cellStyle name="Normal 3 10 11 12 2" xfId="18478" xr:uid="{00000000-0005-0000-0000-000025480000}"/>
    <cellStyle name="Normal 3 10 11 12 3" xfId="18479" xr:uid="{00000000-0005-0000-0000-000026480000}"/>
    <cellStyle name="Normal 3 10 11 13" xfId="18480" xr:uid="{00000000-0005-0000-0000-000027480000}"/>
    <cellStyle name="Normal 3 10 11 13 2" xfId="18481" xr:uid="{00000000-0005-0000-0000-000028480000}"/>
    <cellStyle name="Normal 3 10 11 13 3" xfId="18482" xr:uid="{00000000-0005-0000-0000-000029480000}"/>
    <cellStyle name="Normal 3 10 11 14" xfId="18483" xr:uid="{00000000-0005-0000-0000-00002A480000}"/>
    <cellStyle name="Normal 3 10 11 14 2" xfId="18484" xr:uid="{00000000-0005-0000-0000-00002B480000}"/>
    <cellStyle name="Normal 3 10 11 14 3" xfId="18485" xr:uid="{00000000-0005-0000-0000-00002C480000}"/>
    <cellStyle name="Normal 3 10 11 15" xfId="18486" xr:uid="{00000000-0005-0000-0000-00002D480000}"/>
    <cellStyle name="Normal 3 10 11 15 2" xfId="18487" xr:uid="{00000000-0005-0000-0000-00002E480000}"/>
    <cellStyle name="Normal 3 10 11 15 3" xfId="18488" xr:uid="{00000000-0005-0000-0000-00002F480000}"/>
    <cellStyle name="Normal 3 10 11 16" xfId="18489" xr:uid="{00000000-0005-0000-0000-000030480000}"/>
    <cellStyle name="Normal 3 10 11 16 2" xfId="18490" xr:uid="{00000000-0005-0000-0000-000031480000}"/>
    <cellStyle name="Normal 3 10 11 16 3" xfId="18491" xr:uid="{00000000-0005-0000-0000-000032480000}"/>
    <cellStyle name="Normal 3 10 11 17" xfId="18492" xr:uid="{00000000-0005-0000-0000-000033480000}"/>
    <cellStyle name="Normal 3 10 11 17 2" xfId="18493" xr:uid="{00000000-0005-0000-0000-000034480000}"/>
    <cellStyle name="Normal 3 10 11 17 3" xfId="18494" xr:uid="{00000000-0005-0000-0000-000035480000}"/>
    <cellStyle name="Normal 3 10 11 18" xfId="18495" xr:uid="{00000000-0005-0000-0000-000036480000}"/>
    <cellStyle name="Normal 3 10 11 19" xfId="18496" xr:uid="{00000000-0005-0000-0000-000037480000}"/>
    <cellStyle name="Normal 3 10 11 2" xfId="18497" xr:uid="{00000000-0005-0000-0000-000038480000}"/>
    <cellStyle name="Normal 3 10 11 3" xfId="18498" xr:uid="{00000000-0005-0000-0000-000039480000}"/>
    <cellStyle name="Normal 3 10 11 4" xfId="18499" xr:uid="{00000000-0005-0000-0000-00003A480000}"/>
    <cellStyle name="Normal 3 10 11 5" xfId="18500" xr:uid="{00000000-0005-0000-0000-00003B480000}"/>
    <cellStyle name="Normal 3 10 11 5 2" xfId="18501" xr:uid="{00000000-0005-0000-0000-00003C480000}"/>
    <cellStyle name="Normal 3 10 11 5 3" xfId="18502" xr:uid="{00000000-0005-0000-0000-00003D480000}"/>
    <cellStyle name="Normal 3 10 11 6" xfId="18503" xr:uid="{00000000-0005-0000-0000-00003E480000}"/>
    <cellStyle name="Normal 3 10 11 6 2" xfId="18504" xr:uid="{00000000-0005-0000-0000-00003F480000}"/>
    <cellStyle name="Normal 3 10 11 6 3" xfId="18505" xr:uid="{00000000-0005-0000-0000-000040480000}"/>
    <cellStyle name="Normal 3 10 11 7" xfId="18506" xr:uid="{00000000-0005-0000-0000-000041480000}"/>
    <cellStyle name="Normal 3 10 11 7 2" xfId="18507" xr:uid="{00000000-0005-0000-0000-000042480000}"/>
    <cellStyle name="Normal 3 10 11 7 3" xfId="18508" xr:uid="{00000000-0005-0000-0000-000043480000}"/>
    <cellStyle name="Normal 3 10 11 8" xfId="18509" xr:uid="{00000000-0005-0000-0000-000044480000}"/>
    <cellStyle name="Normal 3 10 11 8 2" xfId="18510" xr:uid="{00000000-0005-0000-0000-000045480000}"/>
    <cellStyle name="Normal 3 10 11 8 3" xfId="18511" xr:uid="{00000000-0005-0000-0000-000046480000}"/>
    <cellStyle name="Normal 3 10 11 9" xfId="18512" xr:uid="{00000000-0005-0000-0000-000047480000}"/>
    <cellStyle name="Normal 3 10 11 9 2" xfId="18513" xr:uid="{00000000-0005-0000-0000-000048480000}"/>
    <cellStyle name="Normal 3 10 11 9 3" xfId="18514" xr:uid="{00000000-0005-0000-0000-000049480000}"/>
    <cellStyle name="Normal 3 10 12" xfId="18515" xr:uid="{00000000-0005-0000-0000-00004A480000}"/>
    <cellStyle name="Normal 3 10 13" xfId="18516" xr:uid="{00000000-0005-0000-0000-00004B480000}"/>
    <cellStyle name="Normal 3 10 14" xfId="18517" xr:uid="{00000000-0005-0000-0000-00004C480000}"/>
    <cellStyle name="Normal 3 10 14 10" xfId="18518" xr:uid="{00000000-0005-0000-0000-00004D480000}"/>
    <cellStyle name="Normal 3 10 14 10 2" xfId="18519" xr:uid="{00000000-0005-0000-0000-00004E480000}"/>
    <cellStyle name="Normal 3 10 14 10 3" xfId="18520" xr:uid="{00000000-0005-0000-0000-00004F480000}"/>
    <cellStyle name="Normal 3 10 14 11" xfId="18521" xr:uid="{00000000-0005-0000-0000-000050480000}"/>
    <cellStyle name="Normal 3 10 14 11 2" xfId="18522" xr:uid="{00000000-0005-0000-0000-000051480000}"/>
    <cellStyle name="Normal 3 10 14 11 3" xfId="18523" xr:uid="{00000000-0005-0000-0000-000052480000}"/>
    <cellStyle name="Normal 3 10 14 12" xfId="18524" xr:uid="{00000000-0005-0000-0000-000053480000}"/>
    <cellStyle name="Normal 3 10 14 12 2" xfId="18525" xr:uid="{00000000-0005-0000-0000-000054480000}"/>
    <cellStyle name="Normal 3 10 14 12 3" xfId="18526" xr:uid="{00000000-0005-0000-0000-000055480000}"/>
    <cellStyle name="Normal 3 10 14 13" xfId="18527" xr:uid="{00000000-0005-0000-0000-000056480000}"/>
    <cellStyle name="Normal 3 10 14 13 2" xfId="18528" xr:uid="{00000000-0005-0000-0000-000057480000}"/>
    <cellStyle name="Normal 3 10 14 13 3" xfId="18529" xr:uid="{00000000-0005-0000-0000-000058480000}"/>
    <cellStyle name="Normal 3 10 14 14" xfId="18530" xr:uid="{00000000-0005-0000-0000-000059480000}"/>
    <cellStyle name="Normal 3 10 14 14 2" xfId="18531" xr:uid="{00000000-0005-0000-0000-00005A480000}"/>
    <cellStyle name="Normal 3 10 14 14 3" xfId="18532" xr:uid="{00000000-0005-0000-0000-00005B480000}"/>
    <cellStyle name="Normal 3 10 14 15" xfId="18533" xr:uid="{00000000-0005-0000-0000-00005C480000}"/>
    <cellStyle name="Normal 3 10 14 15 2" xfId="18534" xr:uid="{00000000-0005-0000-0000-00005D480000}"/>
    <cellStyle name="Normal 3 10 14 15 3" xfId="18535" xr:uid="{00000000-0005-0000-0000-00005E480000}"/>
    <cellStyle name="Normal 3 10 14 16" xfId="18536" xr:uid="{00000000-0005-0000-0000-00005F480000}"/>
    <cellStyle name="Normal 3 10 14 17" xfId="18537" xr:uid="{00000000-0005-0000-0000-000060480000}"/>
    <cellStyle name="Normal 3 10 14 2" xfId="18538" xr:uid="{00000000-0005-0000-0000-000061480000}"/>
    <cellStyle name="Normal 3 10 14 2 10" xfId="18539" xr:uid="{00000000-0005-0000-0000-000062480000}"/>
    <cellStyle name="Normal 3 10 14 2 10 2" xfId="18540" xr:uid="{00000000-0005-0000-0000-000063480000}"/>
    <cellStyle name="Normal 3 10 14 2 10 3" xfId="18541" xr:uid="{00000000-0005-0000-0000-000064480000}"/>
    <cellStyle name="Normal 3 10 14 2 11" xfId="18542" xr:uid="{00000000-0005-0000-0000-000065480000}"/>
    <cellStyle name="Normal 3 10 14 2 11 2" xfId="18543" xr:uid="{00000000-0005-0000-0000-000066480000}"/>
    <cellStyle name="Normal 3 10 14 2 11 3" xfId="18544" xr:uid="{00000000-0005-0000-0000-000067480000}"/>
    <cellStyle name="Normal 3 10 14 2 12" xfId="18545" xr:uid="{00000000-0005-0000-0000-000068480000}"/>
    <cellStyle name="Normal 3 10 14 2 12 2" xfId="18546" xr:uid="{00000000-0005-0000-0000-000069480000}"/>
    <cellStyle name="Normal 3 10 14 2 12 3" xfId="18547" xr:uid="{00000000-0005-0000-0000-00006A480000}"/>
    <cellStyle name="Normal 3 10 14 2 13" xfId="18548" xr:uid="{00000000-0005-0000-0000-00006B480000}"/>
    <cellStyle name="Normal 3 10 14 2 13 2" xfId="18549" xr:uid="{00000000-0005-0000-0000-00006C480000}"/>
    <cellStyle name="Normal 3 10 14 2 13 3" xfId="18550" xr:uid="{00000000-0005-0000-0000-00006D480000}"/>
    <cellStyle name="Normal 3 10 14 2 14" xfId="18551" xr:uid="{00000000-0005-0000-0000-00006E480000}"/>
    <cellStyle name="Normal 3 10 14 2 14 2" xfId="18552" xr:uid="{00000000-0005-0000-0000-00006F480000}"/>
    <cellStyle name="Normal 3 10 14 2 14 3" xfId="18553" xr:uid="{00000000-0005-0000-0000-000070480000}"/>
    <cellStyle name="Normal 3 10 14 2 15" xfId="18554" xr:uid="{00000000-0005-0000-0000-000071480000}"/>
    <cellStyle name="Normal 3 10 14 2 16" xfId="18555" xr:uid="{00000000-0005-0000-0000-000072480000}"/>
    <cellStyle name="Normal 3 10 14 2 2" xfId="18556" xr:uid="{00000000-0005-0000-0000-000073480000}"/>
    <cellStyle name="Normal 3 10 14 2 2 2" xfId="18557" xr:uid="{00000000-0005-0000-0000-000074480000}"/>
    <cellStyle name="Normal 3 10 14 2 2 3" xfId="18558" xr:uid="{00000000-0005-0000-0000-000075480000}"/>
    <cellStyle name="Normal 3 10 14 2 3" xfId="18559" xr:uid="{00000000-0005-0000-0000-000076480000}"/>
    <cellStyle name="Normal 3 10 14 2 3 2" xfId="18560" xr:uid="{00000000-0005-0000-0000-000077480000}"/>
    <cellStyle name="Normal 3 10 14 2 3 3" xfId="18561" xr:uid="{00000000-0005-0000-0000-000078480000}"/>
    <cellStyle name="Normal 3 10 14 2 4" xfId="18562" xr:uid="{00000000-0005-0000-0000-000079480000}"/>
    <cellStyle name="Normal 3 10 14 2 4 2" xfId="18563" xr:uid="{00000000-0005-0000-0000-00007A480000}"/>
    <cellStyle name="Normal 3 10 14 2 4 3" xfId="18564" xr:uid="{00000000-0005-0000-0000-00007B480000}"/>
    <cellStyle name="Normal 3 10 14 2 5" xfId="18565" xr:uid="{00000000-0005-0000-0000-00007C480000}"/>
    <cellStyle name="Normal 3 10 14 2 5 2" xfId="18566" xr:uid="{00000000-0005-0000-0000-00007D480000}"/>
    <cellStyle name="Normal 3 10 14 2 5 3" xfId="18567" xr:uid="{00000000-0005-0000-0000-00007E480000}"/>
    <cellStyle name="Normal 3 10 14 2 6" xfId="18568" xr:uid="{00000000-0005-0000-0000-00007F480000}"/>
    <cellStyle name="Normal 3 10 14 2 6 2" xfId="18569" xr:uid="{00000000-0005-0000-0000-000080480000}"/>
    <cellStyle name="Normal 3 10 14 2 6 3" xfId="18570" xr:uid="{00000000-0005-0000-0000-000081480000}"/>
    <cellStyle name="Normal 3 10 14 2 7" xfId="18571" xr:uid="{00000000-0005-0000-0000-000082480000}"/>
    <cellStyle name="Normal 3 10 14 2 7 2" xfId="18572" xr:uid="{00000000-0005-0000-0000-000083480000}"/>
    <cellStyle name="Normal 3 10 14 2 7 3" xfId="18573" xr:uid="{00000000-0005-0000-0000-000084480000}"/>
    <cellStyle name="Normal 3 10 14 2 8" xfId="18574" xr:uid="{00000000-0005-0000-0000-000085480000}"/>
    <cellStyle name="Normal 3 10 14 2 8 2" xfId="18575" xr:uid="{00000000-0005-0000-0000-000086480000}"/>
    <cellStyle name="Normal 3 10 14 2 8 3" xfId="18576" xr:uid="{00000000-0005-0000-0000-000087480000}"/>
    <cellStyle name="Normal 3 10 14 2 9" xfId="18577" xr:uid="{00000000-0005-0000-0000-000088480000}"/>
    <cellStyle name="Normal 3 10 14 2 9 2" xfId="18578" xr:uid="{00000000-0005-0000-0000-000089480000}"/>
    <cellStyle name="Normal 3 10 14 2 9 3" xfId="18579" xr:uid="{00000000-0005-0000-0000-00008A480000}"/>
    <cellStyle name="Normal 3 10 14 3" xfId="18580" xr:uid="{00000000-0005-0000-0000-00008B480000}"/>
    <cellStyle name="Normal 3 10 14 3 2" xfId="18581" xr:uid="{00000000-0005-0000-0000-00008C480000}"/>
    <cellStyle name="Normal 3 10 14 3 3" xfId="18582" xr:uid="{00000000-0005-0000-0000-00008D480000}"/>
    <cellStyle name="Normal 3 10 14 4" xfId="18583" xr:uid="{00000000-0005-0000-0000-00008E480000}"/>
    <cellStyle name="Normal 3 10 14 4 2" xfId="18584" xr:uid="{00000000-0005-0000-0000-00008F480000}"/>
    <cellStyle name="Normal 3 10 14 4 3" xfId="18585" xr:uid="{00000000-0005-0000-0000-000090480000}"/>
    <cellStyle name="Normal 3 10 14 5" xfId="18586" xr:uid="{00000000-0005-0000-0000-000091480000}"/>
    <cellStyle name="Normal 3 10 14 5 2" xfId="18587" xr:uid="{00000000-0005-0000-0000-000092480000}"/>
    <cellStyle name="Normal 3 10 14 5 3" xfId="18588" xr:uid="{00000000-0005-0000-0000-000093480000}"/>
    <cellStyle name="Normal 3 10 14 6" xfId="18589" xr:uid="{00000000-0005-0000-0000-000094480000}"/>
    <cellStyle name="Normal 3 10 14 6 2" xfId="18590" xr:uid="{00000000-0005-0000-0000-000095480000}"/>
    <cellStyle name="Normal 3 10 14 6 3" xfId="18591" xr:uid="{00000000-0005-0000-0000-000096480000}"/>
    <cellStyle name="Normal 3 10 14 7" xfId="18592" xr:uid="{00000000-0005-0000-0000-000097480000}"/>
    <cellStyle name="Normal 3 10 14 7 2" xfId="18593" xr:uid="{00000000-0005-0000-0000-000098480000}"/>
    <cellStyle name="Normal 3 10 14 7 3" xfId="18594" xr:uid="{00000000-0005-0000-0000-000099480000}"/>
    <cellStyle name="Normal 3 10 14 8" xfId="18595" xr:uid="{00000000-0005-0000-0000-00009A480000}"/>
    <cellStyle name="Normal 3 10 14 8 2" xfId="18596" xr:uid="{00000000-0005-0000-0000-00009B480000}"/>
    <cellStyle name="Normal 3 10 14 8 3" xfId="18597" xr:uid="{00000000-0005-0000-0000-00009C480000}"/>
    <cellStyle name="Normal 3 10 14 9" xfId="18598" xr:uid="{00000000-0005-0000-0000-00009D480000}"/>
    <cellStyle name="Normal 3 10 14 9 2" xfId="18599" xr:uid="{00000000-0005-0000-0000-00009E480000}"/>
    <cellStyle name="Normal 3 10 14 9 3" xfId="18600" xr:uid="{00000000-0005-0000-0000-00009F480000}"/>
    <cellStyle name="Normal 3 10 15" xfId="18601" xr:uid="{00000000-0005-0000-0000-0000A0480000}"/>
    <cellStyle name="Normal 3 10 15 10" xfId="18602" xr:uid="{00000000-0005-0000-0000-0000A1480000}"/>
    <cellStyle name="Normal 3 10 15 10 2" xfId="18603" xr:uid="{00000000-0005-0000-0000-0000A2480000}"/>
    <cellStyle name="Normal 3 10 15 10 3" xfId="18604" xr:uid="{00000000-0005-0000-0000-0000A3480000}"/>
    <cellStyle name="Normal 3 10 15 11" xfId="18605" xr:uid="{00000000-0005-0000-0000-0000A4480000}"/>
    <cellStyle name="Normal 3 10 15 11 2" xfId="18606" xr:uid="{00000000-0005-0000-0000-0000A5480000}"/>
    <cellStyle name="Normal 3 10 15 11 3" xfId="18607" xr:uid="{00000000-0005-0000-0000-0000A6480000}"/>
    <cellStyle name="Normal 3 10 15 12" xfId="18608" xr:uid="{00000000-0005-0000-0000-0000A7480000}"/>
    <cellStyle name="Normal 3 10 15 12 2" xfId="18609" xr:uid="{00000000-0005-0000-0000-0000A8480000}"/>
    <cellStyle name="Normal 3 10 15 12 3" xfId="18610" xr:uid="{00000000-0005-0000-0000-0000A9480000}"/>
    <cellStyle name="Normal 3 10 15 13" xfId="18611" xr:uid="{00000000-0005-0000-0000-0000AA480000}"/>
    <cellStyle name="Normal 3 10 15 13 2" xfId="18612" xr:uid="{00000000-0005-0000-0000-0000AB480000}"/>
    <cellStyle name="Normal 3 10 15 13 3" xfId="18613" xr:uid="{00000000-0005-0000-0000-0000AC480000}"/>
    <cellStyle name="Normal 3 10 15 14" xfId="18614" xr:uid="{00000000-0005-0000-0000-0000AD480000}"/>
    <cellStyle name="Normal 3 10 15 14 2" xfId="18615" xr:uid="{00000000-0005-0000-0000-0000AE480000}"/>
    <cellStyle name="Normal 3 10 15 14 3" xfId="18616" xr:uid="{00000000-0005-0000-0000-0000AF480000}"/>
    <cellStyle name="Normal 3 10 15 15" xfId="18617" xr:uid="{00000000-0005-0000-0000-0000B0480000}"/>
    <cellStyle name="Normal 3 10 15 15 2" xfId="18618" xr:uid="{00000000-0005-0000-0000-0000B1480000}"/>
    <cellStyle name="Normal 3 10 15 15 3" xfId="18619" xr:uid="{00000000-0005-0000-0000-0000B2480000}"/>
    <cellStyle name="Normal 3 10 15 16" xfId="18620" xr:uid="{00000000-0005-0000-0000-0000B3480000}"/>
    <cellStyle name="Normal 3 10 15 17" xfId="18621" xr:uid="{00000000-0005-0000-0000-0000B4480000}"/>
    <cellStyle name="Normal 3 10 15 2" xfId="18622" xr:uid="{00000000-0005-0000-0000-0000B5480000}"/>
    <cellStyle name="Normal 3 10 15 2 10" xfId="18623" xr:uid="{00000000-0005-0000-0000-0000B6480000}"/>
    <cellStyle name="Normal 3 10 15 2 10 2" xfId="18624" xr:uid="{00000000-0005-0000-0000-0000B7480000}"/>
    <cellStyle name="Normal 3 10 15 2 10 3" xfId="18625" xr:uid="{00000000-0005-0000-0000-0000B8480000}"/>
    <cellStyle name="Normal 3 10 15 2 11" xfId="18626" xr:uid="{00000000-0005-0000-0000-0000B9480000}"/>
    <cellStyle name="Normal 3 10 15 2 11 2" xfId="18627" xr:uid="{00000000-0005-0000-0000-0000BA480000}"/>
    <cellStyle name="Normal 3 10 15 2 11 3" xfId="18628" xr:uid="{00000000-0005-0000-0000-0000BB480000}"/>
    <cellStyle name="Normal 3 10 15 2 12" xfId="18629" xr:uid="{00000000-0005-0000-0000-0000BC480000}"/>
    <cellStyle name="Normal 3 10 15 2 12 2" xfId="18630" xr:uid="{00000000-0005-0000-0000-0000BD480000}"/>
    <cellStyle name="Normal 3 10 15 2 12 3" xfId="18631" xr:uid="{00000000-0005-0000-0000-0000BE480000}"/>
    <cellStyle name="Normal 3 10 15 2 13" xfId="18632" xr:uid="{00000000-0005-0000-0000-0000BF480000}"/>
    <cellStyle name="Normal 3 10 15 2 13 2" xfId="18633" xr:uid="{00000000-0005-0000-0000-0000C0480000}"/>
    <cellStyle name="Normal 3 10 15 2 13 3" xfId="18634" xr:uid="{00000000-0005-0000-0000-0000C1480000}"/>
    <cellStyle name="Normal 3 10 15 2 14" xfId="18635" xr:uid="{00000000-0005-0000-0000-0000C2480000}"/>
    <cellStyle name="Normal 3 10 15 2 14 2" xfId="18636" xr:uid="{00000000-0005-0000-0000-0000C3480000}"/>
    <cellStyle name="Normal 3 10 15 2 14 3" xfId="18637" xr:uid="{00000000-0005-0000-0000-0000C4480000}"/>
    <cellStyle name="Normal 3 10 15 2 15" xfId="18638" xr:uid="{00000000-0005-0000-0000-0000C5480000}"/>
    <cellStyle name="Normal 3 10 15 2 16" xfId="18639" xr:uid="{00000000-0005-0000-0000-0000C6480000}"/>
    <cellStyle name="Normal 3 10 15 2 2" xfId="18640" xr:uid="{00000000-0005-0000-0000-0000C7480000}"/>
    <cellStyle name="Normal 3 10 15 2 2 2" xfId="18641" xr:uid="{00000000-0005-0000-0000-0000C8480000}"/>
    <cellStyle name="Normal 3 10 15 2 2 3" xfId="18642" xr:uid="{00000000-0005-0000-0000-0000C9480000}"/>
    <cellStyle name="Normal 3 10 15 2 3" xfId="18643" xr:uid="{00000000-0005-0000-0000-0000CA480000}"/>
    <cellStyle name="Normal 3 10 15 2 3 2" xfId="18644" xr:uid="{00000000-0005-0000-0000-0000CB480000}"/>
    <cellStyle name="Normal 3 10 15 2 3 3" xfId="18645" xr:uid="{00000000-0005-0000-0000-0000CC480000}"/>
    <cellStyle name="Normal 3 10 15 2 4" xfId="18646" xr:uid="{00000000-0005-0000-0000-0000CD480000}"/>
    <cellStyle name="Normal 3 10 15 2 4 2" xfId="18647" xr:uid="{00000000-0005-0000-0000-0000CE480000}"/>
    <cellStyle name="Normal 3 10 15 2 4 3" xfId="18648" xr:uid="{00000000-0005-0000-0000-0000CF480000}"/>
    <cellStyle name="Normal 3 10 15 2 5" xfId="18649" xr:uid="{00000000-0005-0000-0000-0000D0480000}"/>
    <cellStyle name="Normal 3 10 15 2 5 2" xfId="18650" xr:uid="{00000000-0005-0000-0000-0000D1480000}"/>
    <cellStyle name="Normal 3 10 15 2 5 3" xfId="18651" xr:uid="{00000000-0005-0000-0000-0000D2480000}"/>
    <cellStyle name="Normal 3 10 15 2 6" xfId="18652" xr:uid="{00000000-0005-0000-0000-0000D3480000}"/>
    <cellStyle name="Normal 3 10 15 2 6 2" xfId="18653" xr:uid="{00000000-0005-0000-0000-0000D4480000}"/>
    <cellStyle name="Normal 3 10 15 2 6 3" xfId="18654" xr:uid="{00000000-0005-0000-0000-0000D5480000}"/>
    <cellStyle name="Normal 3 10 15 2 7" xfId="18655" xr:uid="{00000000-0005-0000-0000-0000D6480000}"/>
    <cellStyle name="Normal 3 10 15 2 7 2" xfId="18656" xr:uid="{00000000-0005-0000-0000-0000D7480000}"/>
    <cellStyle name="Normal 3 10 15 2 7 3" xfId="18657" xr:uid="{00000000-0005-0000-0000-0000D8480000}"/>
    <cellStyle name="Normal 3 10 15 2 8" xfId="18658" xr:uid="{00000000-0005-0000-0000-0000D9480000}"/>
    <cellStyle name="Normal 3 10 15 2 8 2" xfId="18659" xr:uid="{00000000-0005-0000-0000-0000DA480000}"/>
    <cellStyle name="Normal 3 10 15 2 8 3" xfId="18660" xr:uid="{00000000-0005-0000-0000-0000DB480000}"/>
    <cellStyle name="Normal 3 10 15 2 9" xfId="18661" xr:uid="{00000000-0005-0000-0000-0000DC480000}"/>
    <cellStyle name="Normal 3 10 15 2 9 2" xfId="18662" xr:uid="{00000000-0005-0000-0000-0000DD480000}"/>
    <cellStyle name="Normal 3 10 15 2 9 3" xfId="18663" xr:uid="{00000000-0005-0000-0000-0000DE480000}"/>
    <cellStyle name="Normal 3 10 15 3" xfId="18664" xr:uid="{00000000-0005-0000-0000-0000DF480000}"/>
    <cellStyle name="Normal 3 10 15 3 2" xfId="18665" xr:uid="{00000000-0005-0000-0000-0000E0480000}"/>
    <cellStyle name="Normal 3 10 15 3 3" xfId="18666" xr:uid="{00000000-0005-0000-0000-0000E1480000}"/>
    <cellStyle name="Normal 3 10 15 4" xfId="18667" xr:uid="{00000000-0005-0000-0000-0000E2480000}"/>
    <cellStyle name="Normal 3 10 15 4 2" xfId="18668" xr:uid="{00000000-0005-0000-0000-0000E3480000}"/>
    <cellStyle name="Normal 3 10 15 4 3" xfId="18669" xr:uid="{00000000-0005-0000-0000-0000E4480000}"/>
    <cellStyle name="Normal 3 10 15 5" xfId="18670" xr:uid="{00000000-0005-0000-0000-0000E5480000}"/>
    <cellStyle name="Normal 3 10 15 5 2" xfId="18671" xr:uid="{00000000-0005-0000-0000-0000E6480000}"/>
    <cellStyle name="Normal 3 10 15 5 3" xfId="18672" xr:uid="{00000000-0005-0000-0000-0000E7480000}"/>
    <cellStyle name="Normal 3 10 15 6" xfId="18673" xr:uid="{00000000-0005-0000-0000-0000E8480000}"/>
    <cellStyle name="Normal 3 10 15 6 2" xfId="18674" xr:uid="{00000000-0005-0000-0000-0000E9480000}"/>
    <cellStyle name="Normal 3 10 15 6 3" xfId="18675" xr:uid="{00000000-0005-0000-0000-0000EA480000}"/>
    <cellStyle name="Normal 3 10 15 7" xfId="18676" xr:uid="{00000000-0005-0000-0000-0000EB480000}"/>
    <cellStyle name="Normal 3 10 15 7 2" xfId="18677" xr:uid="{00000000-0005-0000-0000-0000EC480000}"/>
    <cellStyle name="Normal 3 10 15 7 3" xfId="18678" xr:uid="{00000000-0005-0000-0000-0000ED480000}"/>
    <cellStyle name="Normal 3 10 15 8" xfId="18679" xr:uid="{00000000-0005-0000-0000-0000EE480000}"/>
    <cellStyle name="Normal 3 10 15 8 2" xfId="18680" xr:uid="{00000000-0005-0000-0000-0000EF480000}"/>
    <cellStyle name="Normal 3 10 15 8 3" xfId="18681" xr:uid="{00000000-0005-0000-0000-0000F0480000}"/>
    <cellStyle name="Normal 3 10 15 9" xfId="18682" xr:uid="{00000000-0005-0000-0000-0000F1480000}"/>
    <cellStyle name="Normal 3 10 15 9 2" xfId="18683" xr:uid="{00000000-0005-0000-0000-0000F2480000}"/>
    <cellStyle name="Normal 3 10 15 9 3" xfId="18684" xr:uid="{00000000-0005-0000-0000-0000F3480000}"/>
    <cellStyle name="Normal 3 10 16" xfId="18685" xr:uid="{00000000-0005-0000-0000-0000F4480000}"/>
    <cellStyle name="Normal 3 10 16 10" xfId="18686" xr:uid="{00000000-0005-0000-0000-0000F5480000}"/>
    <cellStyle name="Normal 3 10 16 10 2" xfId="18687" xr:uid="{00000000-0005-0000-0000-0000F6480000}"/>
    <cellStyle name="Normal 3 10 16 10 3" xfId="18688" xr:uid="{00000000-0005-0000-0000-0000F7480000}"/>
    <cellStyle name="Normal 3 10 16 11" xfId="18689" xr:uid="{00000000-0005-0000-0000-0000F8480000}"/>
    <cellStyle name="Normal 3 10 16 11 2" xfId="18690" xr:uid="{00000000-0005-0000-0000-0000F9480000}"/>
    <cellStyle name="Normal 3 10 16 11 3" xfId="18691" xr:uid="{00000000-0005-0000-0000-0000FA480000}"/>
    <cellStyle name="Normal 3 10 16 12" xfId="18692" xr:uid="{00000000-0005-0000-0000-0000FB480000}"/>
    <cellStyle name="Normal 3 10 16 12 2" xfId="18693" xr:uid="{00000000-0005-0000-0000-0000FC480000}"/>
    <cellStyle name="Normal 3 10 16 12 3" xfId="18694" xr:uid="{00000000-0005-0000-0000-0000FD480000}"/>
    <cellStyle name="Normal 3 10 16 13" xfId="18695" xr:uid="{00000000-0005-0000-0000-0000FE480000}"/>
    <cellStyle name="Normal 3 10 16 13 2" xfId="18696" xr:uid="{00000000-0005-0000-0000-0000FF480000}"/>
    <cellStyle name="Normal 3 10 16 13 3" xfId="18697" xr:uid="{00000000-0005-0000-0000-000000490000}"/>
    <cellStyle name="Normal 3 10 16 14" xfId="18698" xr:uid="{00000000-0005-0000-0000-000001490000}"/>
    <cellStyle name="Normal 3 10 16 14 2" xfId="18699" xr:uid="{00000000-0005-0000-0000-000002490000}"/>
    <cellStyle name="Normal 3 10 16 14 3" xfId="18700" xr:uid="{00000000-0005-0000-0000-000003490000}"/>
    <cellStyle name="Normal 3 10 16 15" xfId="18701" xr:uid="{00000000-0005-0000-0000-000004490000}"/>
    <cellStyle name="Normal 3 10 16 15 2" xfId="18702" xr:uid="{00000000-0005-0000-0000-000005490000}"/>
    <cellStyle name="Normal 3 10 16 15 3" xfId="18703" xr:uid="{00000000-0005-0000-0000-000006490000}"/>
    <cellStyle name="Normal 3 10 16 16" xfId="18704" xr:uid="{00000000-0005-0000-0000-000007490000}"/>
    <cellStyle name="Normal 3 10 16 17" xfId="18705" xr:uid="{00000000-0005-0000-0000-000008490000}"/>
    <cellStyle name="Normal 3 10 16 2" xfId="18706" xr:uid="{00000000-0005-0000-0000-000009490000}"/>
    <cellStyle name="Normal 3 10 16 2 10" xfId="18707" xr:uid="{00000000-0005-0000-0000-00000A490000}"/>
    <cellStyle name="Normal 3 10 16 2 10 2" xfId="18708" xr:uid="{00000000-0005-0000-0000-00000B490000}"/>
    <cellStyle name="Normal 3 10 16 2 10 3" xfId="18709" xr:uid="{00000000-0005-0000-0000-00000C490000}"/>
    <cellStyle name="Normal 3 10 16 2 11" xfId="18710" xr:uid="{00000000-0005-0000-0000-00000D490000}"/>
    <cellStyle name="Normal 3 10 16 2 11 2" xfId="18711" xr:uid="{00000000-0005-0000-0000-00000E490000}"/>
    <cellStyle name="Normal 3 10 16 2 11 3" xfId="18712" xr:uid="{00000000-0005-0000-0000-00000F490000}"/>
    <cellStyle name="Normal 3 10 16 2 12" xfId="18713" xr:uid="{00000000-0005-0000-0000-000010490000}"/>
    <cellStyle name="Normal 3 10 16 2 12 2" xfId="18714" xr:uid="{00000000-0005-0000-0000-000011490000}"/>
    <cellStyle name="Normal 3 10 16 2 12 3" xfId="18715" xr:uid="{00000000-0005-0000-0000-000012490000}"/>
    <cellStyle name="Normal 3 10 16 2 13" xfId="18716" xr:uid="{00000000-0005-0000-0000-000013490000}"/>
    <cellStyle name="Normal 3 10 16 2 13 2" xfId="18717" xr:uid="{00000000-0005-0000-0000-000014490000}"/>
    <cellStyle name="Normal 3 10 16 2 13 3" xfId="18718" xr:uid="{00000000-0005-0000-0000-000015490000}"/>
    <cellStyle name="Normal 3 10 16 2 14" xfId="18719" xr:uid="{00000000-0005-0000-0000-000016490000}"/>
    <cellStyle name="Normal 3 10 16 2 14 2" xfId="18720" xr:uid="{00000000-0005-0000-0000-000017490000}"/>
    <cellStyle name="Normal 3 10 16 2 14 3" xfId="18721" xr:uid="{00000000-0005-0000-0000-000018490000}"/>
    <cellStyle name="Normal 3 10 16 2 15" xfId="18722" xr:uid="{00000000-0005-0000-0000-000019490000}"/>
    <cellStyle name="Normal 3 10 16 2 16" xfId="18723" xr:uid="{00000000-0005-0000-0000-00001A490000}"/>
    <cellStyle name="Normal 3 10 16 2 2" xfId="18724" xr:uid="{00000000-0005-0000-0000-00001B490000}"/>
    <cellStyle name="Normal 3 10 16 2 2 2" xfId="18725" xr:uid="{00000000-0005-0000-0000-00001C490000}"/>
    <cellStyle name="Normal 3 10 16 2 2 3" xfId="18726" xr:uid="{00000000-0005-0000-0000-00001D490000}"/>
    <cellStyle name="Normal 3 10 16 2 3" xfId="18727" xr:uid="{00000000-0005-0000-0000-00001E490000}"/>
    <cellStyle name="Normal 3 10 16 2 3 2" xfId="18728" xr:uid="{00000000-0005-0000-0000-00001F490000}"/>
    <cellStyle name="Normal 3 10 16 2 3 3" xfId="18729" xr:uid="{00000000-0005-0000-0000-000020490000}"/>
    <cellStyle name="Normal 3 10 16 2 4" xfId="18730" xr:uid="{00000000-0005-0000-0000-000021490000}"/>
    <cellStyle name="Normal 3 10 16 2 4 2" xfId="18731" xr:uid="{00000000-0005-0000-0000-000022490000}"/>
    <cellStyle name="Normal 3 10 16 2 4 3" xfId="18732" xr:uid="{00000000-0005-0000-0000-000023490000}"/>
    <cellStyle name="Normal 3 10 16 2 5" xfId="18733" xr:uid="{00000000-0005-0000-0000-000024490000}"/>
    <cellStyle name="Normal 3 10 16 2 5 2" xfId="18734" xr:uid="{00000000-0005-0000-0000-000025490000}"/>
    <cellStyle name="Normal 3 10 16 2 5 3" xfId="18735" xr:uid="{00000000-0005-0000-0000-000026490000}"/>
    <cellStyle name="Normal 3 10 16 2 6" xfId="18736" xr:uid="{00000000-0005-0000-0000-000027490000}"/>
    <cellStyle name="Normal 3 10 16 2 6 2" xfId="18737" xr:uid="{00000000-0005-0000-0000-000028490000}"/>
    <cellStyle name="Normal 3 10 16 2 6 3" xfId="18738" xr:uid="{00000000-0005-0000-0000-000029490000}"/>
    <cellStyle name="Normal 3 10 16 2 7" xfId="18739" xr:uid="{00000000-0005-0000-0000-00002A490000}"/>
    <cellStyle name="Normal 3 10 16 2 7 2" xfId="18740" xr:uid="{00000000-0005-0000-0000-00002B490000}"/>
    <cellStyle name="Normal 3 10 16 2 7 3" xfId="18741" xr:uid="{00000000-0005-0000-0000-00002C490000}"/>
    <cellStyle name="Normal 3 10 16 2 8" xfId="18742" xr:uid="{00000000-0005-0000-0000-00002D490000}"/>
    <cellStyle name="Normal 3 10 16 2 8 2" xfId="18743" xr:uid="{00000000-0005-0000-0000-00002E490000}"/>
    <cellStyle name="Normal 3 10 16 2 8 3" xfId="18744" xr:uid="{00000000-0005-0000-0000-00002F490000}"/>
    <cellStyle name="Normal 3 10 16 2 9" xfId="18745" xr:uid="{00000000-0005-0000-0000-000030490000}"/>
    <cellStyle name="Normal 3 10 16 2 9 2" xfId="18746" xr:uid="{00000000-0005-0000-0000-000031490000}"/>
    <cellStyle name="Normal 3 10 16 2 9 3" xfId="18747" xr:uid="{00000000-0005-0000-0000-000032490000}"/>
    <cellStyle name="Normal 3 10 16 3" xfId="18748" xr:uid="{00000000-0005-0000-0000-000033490000}"/>
    <cellStyle name="Normal 3 10 16 3 2" xfId="18749" xr:uid="{00000000-0005-0000-0000-000034490000}"/>
    <cellStyle name="Normal 3 10 16 3 3" xfId="18750" xr:uid="{00000000-0005-0000-0000-000035490000}"/>
    <cellStyle name="Normal 3 10 16 4" xfId="18751" xr:uid="{00000000-0005-0000-0000-000036490000}"/>
    <cellStyle name="Normal 3 10 16 4 2" xfId="18752" xr:uid="{00000000-0005-0000-0000-000037490000}"/>
    <cellStyle name="Normal 3 10 16 4 3" xfId="18753" xr:uid="{00000000-0005-0000-0000-000038490000}"/>
    <cellStyle name="Normal 3 10 16 5" xfId="18754" xr:uid="{00000000-0005-0000-0000-000039490000}"/>
    <cellStyle name="Normal 3 10 16 5 2" xfId="18755" xr:uid="{00000000-0005-0000-0000-00003A490000}"/>
    <cellStyle name="Normal 3 10 16 5 3" xfId="18756" xr:uid="{00000000-0005-0000-0000-00003B490000}"/>
    <cellStyle name="Normal 3 10 16 6" xfId="18757" xr:uid="{00000000-0005-0000-0000-00003C490000}"/>
    <cellStyle name="Normal 3 10 16 6 2" xfId="18758" xr:uid="{00000000-0005-0000-0000-00003D490000}"/>
    <cellStyle name="Normal 3 10 16 6 3" xfId="18759" xr:uid="{00000000-0005-0000-0000-00003E490000}"/>
    <cellStyle name="Normal 3 10 16 7" xfId="18760" xr:uid="{00000000-0005-0000-0000-00003F490000}"/>
    <cellStyle name="Normal 3 10 16 7 2" xfId="18761" xr:uid="{00000000-0005-0000-0000-000040490000}"/>
    <cellStyle name="Normal 3 10 16 7 3" xfId="18762" xr:uid="{00000000-0005-0000-0000-000041490000}"/>
    <cellStyle name="Normal 3 10 16 8" xfId="18763" xr:uid="{00000000-0005-0000-0000-000042490000}"/>
    <cellStyle name="Normal 3 10 16 8 2" xfId="18764" xr:uid="{00000000-0005-0000-0000-000043490000}"/>
    <cellStyle name="Normal 3 10 16 8 3" xfId="18765" xr:uid="{00000000-0005-0000-0000-000044490000}"/>
    <cellStyle name="Normal 3 10 16 9" xfId="18766" xr:uid="{00000000-0005-0000-0000-000045490000}"/>
    <cellStyle name="Normal 3 10 16 9 2" xfId="18767" xr:uid="{00000000-0005-0000-0000-000046490000}"/>
    <cellStyle name="Normal 3 10 16 9 3" xfId="18768" xr:uid="{00000000-0005-0000-0000-000047490000}"/>
    <cellStyle name="Normal 3 10 17" xfId="18769" xr:uid="{00000000-0005-0000-0000-000048490000}"/>
    <cellStyle name="Normal 3 10 17 10" xfId="18770" xr:uid="{00000000-0005-0000-0000-000049490000}"/>
    <cellStyle name="Normal 3 10 17 10 2" xfId="18771" xr:uid="{00000000-0005-0000-0000-00004A490000}"/>
    <cellStyle name="Normal 3 10 17 10 3" xfId="18772" xr:uid="{00000000-0005-0000-0000-00004B490000}"/>
    <cellStyle name="Normal 3 10 17 11" xfId="18773" xr:uid="{00000000-0005-0000-0000-00004C490000}"/>
    <cellStyle name="Normal 3 10 17 11 2" xfId="18774" xr:uid="{00000000-0005-0000-0000-00004D490000}"/>
    <cellStyle name="Normal 3 10 17 11 3" xfId="18775" xr:uid="{00000000-0005-0000-0000-00004E490000}"/>
    <cellStyle name="Normal 3 10 17 12" xfId="18776" xr:uid="{00000000-0005-0000-0000-00004F490000}"/>
    <cellStyle name="Normal 3 10 17 12 2" xfId="18777" xr:uid="{00000000-0005-0000-0000-000050490000}"/>
    <cellStyle name="Normal 3 10 17 12 3" xfId="18778" xr:uid="{00000000-0005-0000-0000-000051490000}"/>
    <cellStyle name="Normal 3 10 17 13" xfId="18779" xr:uid="{00000000-0005-0000-0000-000052490000}"/>
    <cellStyle name="Normal 3 10 17 13 2" xfId="18780" xr:uid="{00000000-0005-0000-0000-000053490000}"/>
    <cellStyle name="Normal 3 10 17 13 3" xfId="18781" xr:uid="{00000000-0005-0000-0000-000054490000}"/>
    <cellStyle name="Normal 3 10 17 14" xfId="18782" xr:uid="{00000000-0005-0000-0000-000055490000}"/>
    <cellStyle name="Normal 3 10 17 14 2" xfId="18783" xr:uid="{00000000-0005-0000-0000-000056490000}"/>
    <cellStyle name="Normal 3 10 17 14 3" xfId="18784" xr:uid="{00000000-0005-0000-0000-000057490000}"/>
    <cellStyle name="Normal 3 10 17 15" xfId="18785" xr:uid="{00000000-0005-0000-0000-000058490000}"/>
    <cellStyle name="Normal 3 10 17 16" xfId="18786" xr:uid="{00000000-0005-0000-0000-000059490000}"/>
    <cellStyle name="Normal 3 10 17 2" xfId="18787" xr:uid="{00000000-0005-0000-0000-00005A490000}"/>
    <cellStyle name="Normal 3 10 17 2 2" xfId="18788" xr:uid="{00000000-0005-0000-0000-00005B490000}"/>
    <cellStyle name="Normal 3 10 17 2 3" xfId="18789" xr:uid="{00000000-0005-0000-0000-00005C490000}"/>
    <cellStyle name="Normal 3 10 17 3" xfId="18790" xr:uid="{00000000-0005-0000-0000-00005D490000}"/>
    <cellStyle name="Normal 3 10 17 3 2" xfId="18791" xr:uid="{00000000-0005-0000-0000-00005E490000}"/>
    <cellStyle name="Normal 3 10 17 3 3" xfId="18792" xr:uid="{00000000-0005-0000-0000-00005F490000}"/>
    <cellStyle name="Normal 3 10 17 4" xfId="18793" xr:uid="{00000000-0005-0000-0000-000060490000}"/>
    <cellStyle name="Normal 3 10 17 4 2" xfId="18794" xr:uid="{00000000-0005-0000-0000-000061490000}"/>
    <cellStyle name="Normal 3 10 17 4 3" xfId="18795" xr:uid="{00000000-0005-0000-0000-000062490000}"/>
    <cellStyle name="Normal 3 10 17 5" xfId="18796" xr:uid="{00000000-0005-0000-0000-000063490000}"/>
    <cellStyle name="Normal 3 10 17 5 2" xfId="18797" xr:uid="{00000000-0005-0000-0000-000064490000}"/>
    <cellStyle name="Normal 3 10 17 5 3" xfId="18798" xr:uid="{00000000-0005-0000-0000-000065490000}"/>
    <cellStyle name="Normal 3 10 17 6" xfId="18799" xr:uid="{00000000-0005-0000-0000-000066490000}"/>
    <cellStyle name="Normal 3 10 17 6 2" xfId="18800" xr:uid="{00000000-0005-0000-0000-000067490000}"/>
    <cellStyle name="Normal 3 10 17 6 3" xfId="18801" xr:uid="{00000000-0005-0000-0000-000068490000}"/>
    <cellStyle name="Normal 3 10 17 7" xfId="18802" xr:uid="{00000000-0005-0000-0000-000069490000}"/>
    <cellStyle name="Normal 3 10 17 7 2" xfId="18803" xr:uid="{00000000-0005-0000-0000-00006A490000}"/>
    <cellStyle name="Normal 3 10 17 7 3" xfId="18804" xr:uid="{00000000-0005-0000-0000-00006B490000}"/>
    <cellStyle name="Normal 3 10 17 8" xfId="18805" xr:uid="{00000000-0005-0000-0000-00006C490000}"/>
    <cellStyle name="Normal 3 10 17 8 2" xfId="18806" xr:uid="{00000000-0005-0000-0000-00006D490000}"/>
    <cellStyle name="Normal 3 10 17 8 3" xfId="18807" xr:uid="{00000000-0005-0000-0000-00006E490000}"/>
    <cellStyle name="Normal 3 10 17 9" xfId="18808" xr:uid="{00000000-0005-0000-0000-00006F490000}"/>
    <cellStyle name="Normal 3 10 17 9 2" xfId="18809" xr:uid="{00000000-0005-0000-0000-000070490000}"/>
    <cellStyle name="Normal 3 10 17 9 3" xfId="18810" xr:uid="{00000000-0005-0000-0000-000071490000}"/>
    <cellStyle name="Normal 3 10 18" xfId="18811" xr:uid="{00000000-0005-0000-0000-000072490000}"/>
    <cellStyle name="Normal 3 10 18 10" xfId="18812" xr:uid="{00000000-0005-0000-0000-000073490000}"/>
    <cellStyle name="Normal 3 10 18 10 2" xfId="18813" xr:uid="{00000000-0005-0000-0000-000074490000}"/>
    <cellStyle name="Normal 3 10 18 10 3" xfId="18814" xr:uid="{00000000-0005-0000-0000-000075490000}"/>
    <cellStyle name="Normal 3 10 18 11" xfId="18815" xr:uid="{00000000-0005-0000-0000-000076490000}"/>
    <cellStyle name="Normal 3 10 18 11 2" xfId="18816" xr:uid="{00000000-0005-0000-0000-000077490000}"/>
    <cellStyle name="Normal 3 10 18 11 3" xfId="18817" xr:uid="{00000000-0005-0000-0000-000078490000}"/>
    <cellStyle name="Normal 3 10 18 12" xfId="18818" xr:uid="{00000000-0005-0000-0000-000079490000}"/>
    <cellStyle name="Normal 3 10 18 12 2" xfId="18819" xr:uid="{00000000-0005-0000-0000-00007A490000}"/>
    <cellStyle name="Normal 3 10 18 12 3" xfId="18820" xr:uid="{00000000-0005-0000-0000-00007B490000}"/>
    <cellStyle name="Normal 3 10 18 13" xfId="18821" xr:uid="{00000000-0005-0000-0000-00007C490000}"/>
    <cellStyle name="Normal 3 10 18 13 2" xfId="18822" xr:uid="{00000000-0005-0000-0000-00007D490000}"/>
    <cellStyle name="Normal 3 10 18 13 3" xfId="18823" xr:uid="{00000000-0005-0000-0000-00007E490000}"/>
    <cellStyle name="Normal 3 10 18 14" xfId="18824" xr:uid="{00000000-0005-0000-0000-00007F490000}"/>
    <cellStyle name="Normal 3 10 18 14 2" xfId="18825" xr:uid="{00000000-0005-0000-0000-000080490000}"/>
    <cellStyle name="Normal 3 10 18 14 3" xfId="18826" xr:uid="{00000000-0005-0000-0000-000081490000}"/>
    <cellStyle name="Normal 3 10 18 15" xfId="18827" xr:uid="{00000000-0005-0000-0000-000082490000}"/>
    <cellStyle name="Normal 3 10 18 16" xfId="18828" xr:uid="{00000000-0005-0000-0000-000083490000}"/>
    <cellStyle name="Normal 3 10 18 2" xfId="18829" xr:uid="{00000000-0005-0000-0000-000084490000}"/>
    <cellStyle name="Normal 3 10 18 2 2" xfId="18830" xr:uid="{00000000-0005-0000-0000-000085490000}"/>
    <cellStyle name="Normal 3 10 18 2 3" xfId="18831" xr:uid="{00000000-0005-0000-0000-000086490000}"/>
    <cellStyle name="Normal 3 10 18 3" xfId="18832" xr:uid="{00000000-0005-0000-0000-000087490000}"/>
    <cellStyle name="Normal 3 10 18 3 2" xfId="18833" xr:uid="{00000000-0005-0000-0000-000088490000}"/>
    <cellStyle name="Normal 3 10 18 3 3" xfId="18834" xr:uid="{00000000-0005-0000-0000-000089490000}"/>
    <cellStyle name="Normal 3 10 18 4" xfId="18835" xr:uid="{00000000-0005-0000-0000-00008A490000}"/>
    <cellStyle name="Normal 3 10 18 4 2" xfId="18836" xr:uid="{00000000-0005-0000-0000-00008B490000}"/>
    <cellStyle name="Normal 3 10 18 4 3" xfId="18837" xr:uid="{00000000-0005-0000-0000-00008C490000}"/>
    <cellStyle name="Normal 3 10 18 5" xfId="18838" xr:uid="{00000000-0005-0000-0000-00008D490000}"/>
    <cellStyle name="Normal 3 10 18 5 2" xfId="18839" xr:uid="{00000000-0005-0000-0000-00008E490000}"/>
    <cellStyle name="Normal 3 10 18 5 3" xfId="18840" xr:uid="{00000000-0005-0000-0000-00008F490000}"/>
    <cellStyle name="Normal 3 10 18 6" xfId="18841" xr:uid="{00000000-0005-0000-0000-000090490000}"/>
    <cellStyle name="Normal 3 10 18 6 2" xfId="18842" xr:uid="{00000000-0005-0000-0000-000091490000}"/>
    <cellStyle name="Normal 3 10 18 6 3" xfId="18843" xr:uid="{00000000-0005-0000-0000-000092490000}"/>
    <cellStyle name="Normal 3 10 18 7" xfId="18844" xr:uid="{00000000-0005-0000-0000-000093490000}"/>
    <cellStyle name="Normal 3 10 18 7 2" xfId="18845" xr:uid="{00000000-0005-0000-0000-000094490000}"/>
    <cellStyle name="Normal 3 10 18 7 3" xfId="18846" xr:uid="{00000000-0005-0000-0000-000095490000}"/>
    <cellStyle name="Normal 3 10 18 8" xfId="18847" xr:uid="{00000000-0005-0000-0000-000096490000}"/>
    <cellStyle name="Normal 3 10 18 8 2" xfId="18848" xr:uid="{00000000-0005-0000-0000-000097490000}"/>
    <cellStyle name="Normal 3 10 18 8 3" xfId="18849" xr:uid="{00000000-0005-0000-0000-000098490000}"/>
    <cellStyle name="Normal 3 10 18 9" xfId="18850" xr:uid="{00000000-0005-0000-0000-000099490000}"/>
    <cellStyle name="Normal 3 10 18 9 2" xfId="18851" xr:uid="{00000000-0005-0000-0000-00009A490000}"/>
    <cellStyle name="Normal 3 10 18 9 3" xfId="18852" xr:uid="{00000000-0005-0000-0000-00009B490000}"/>
    <cellStyle name="Normal 3 10 19" xfId="18853" xr:uid="{00000000-0005-0000-0000-00009C490000}"/>
    <cellStyle name="Normal 3 10 19 10" xfId="18854" xr:uid="{00000000-0005-0000-0000-00009D490000}"/>
    <cellStyle name="Normal 3 10 19 10 2" xfId="18855" xr:uid="{00000000-0005-0000-0000-00009E490000}"/>
    <cellStyle name="Normal 3 10 19 10 3" xfId="18856" xr:uid="{00000000-0005-0000-0000-00009F490000}"/>
    <cellStyle name="Normal 3 10 19 11" xfId="18857" xr:uid="{00000000-0005-0000-0000-0000A0490000}"/>
    <cellStyle name="Normal 3 10 19 11 2" xfId="18858" xr:uid="{00000000-0005-0000-0000-0000A1490000}"/>
    <cellStyle name="Normal 3 10 19 11 3" xfId="18859" xr:uid="{00000000-0005-0000-0000-0000A2490000}"/>
    <cellStyle name="Normal 3 10 19 12" xfId="18860" xr:uid="{00000000-0005-0000-0000-0000A3490000}"/>
    <cellStyle name="Normal 3 10 19 12 2" xfId="18861" xr:uid="{00000000-0005-0000-0000-0000A4490000}"/>
    <cellStyle name="Normal 3 10 19 12 3" xfId="18862" xr:uid="{00000000-0005-0000-0000-0000A5490000}"/>
    <cellStyle name="Normal 3 10 19 13" xfId="18863" xr:uid="{00000000-0005-0000-0000-0000A6490000}"/>
    <cellStyle name="Normal 3 10 19 13 2" xfId="18864" xr:uid="{00000000-0005-0000-0000-0000A7490000}"/>
    <cellStyle name="Normal 3 10 19 13 3" xfId="18865" xr:uid="{00000000-0005-0000-0000-0000A8490000}"/>
    <cellStyle name="Normal 3 10 19 14" xfId="18866" xr:uid="{00000000-0005-0000-0000-0000A9490000}"/>
    <cellStyle name="Normal 3 10 19 14 2" xfId="18867" xr:uid="{00000000-0005-0000-0000-0000AA490000}"/>
    <cellStyle name="Normal 3 10 19 14 3" xfId="18868" xr:uid="{00000000-0005-0000-0000-0000AB490000}"/>
    <cellStyle name="Normal 3 10 19 15" xfId="18869" xr:uid="{00000000-0005-0000-0000-0000AC490000}"/>
    <cellStyle name="Normal 3 10 19 16" xfId="18870" xr:uid="{00000000-0005-0000-0000-0000AD490000}"/>
    <cellStyle name="Normal 3 10 19 2" xfId="18871" xr:uid="{00000000-0005-0000-0000-0000AE490000}"/>
    <cellStyle name="Normal 3 10 19 2 2" xfId="18872" xr:uid="{00000000-0005-0000-0000-0000AF490000}"/>
    <cellStyle name="Normal 3 10 19 2 3" xfId="18873" xr:uid="{00000000-0005-0000-0000-0000B0490000}"/>
    <cellStyle name="Normal 3 10 19 3" xfId="18874" xr:uid="{00000000-0005-0000-0000-0000B1490000}"/>
    <cellStyle name="Normal 3 10 19 3 2" xfId="18875" xr:uid="{00000000-0005-0000-0000-0000B2490000}"/>
    <cellStyle name="Normal 3 10 19 3 3" xfId="18876" xr:uid="{00000000-0005-0000-0000-0000B3490000}"/>
    <cellStyle name="Normal 3 10 19 4" xfId="18877" xr:uid="{00000000-0005-0000-0000-0000B4490000}"/>
    <cellStyle name="Normal 3 10 19 4 2" xfId="18878" xr:uid="{00000000-0005-0000-0000-0000B5490000}"/>
    <cellStyle name="Normal 3 10 19 4 3" xfId="18879" xr:uid="{00000000-0005-0000-0000-0000B6490000}"/>
    <cellStyle name="Normal 3 10 19 5" xfId="18880" xr:uid="{00000000-0005-0000-0000-0000B7490000}"/>
    <cellStyle name="Normal 3 10 19 5 2" xfId="18881" xr:uid="{00000000-0005-0000-0000-0000B8490000}"/>
    <cellStyle name="Normal 3 10 19 5 3" xfId="18882" xr:uid="{00000000-0005-0000-0000-0000B9490000}"/>
    <cellStyle name="Normal 3 10 19 6" xfId="18883" xr:uid="{00000000-0005-0000-0000-0000BA490000}"/>
    <cellStyle name="Normal 3 10 19 6 2" xfId="18884" xr:uid="{00000000-0005-0000-0000-0000BB490000}"/>
    <cellStyle name="Normal 3 10 19 6 3" xfId="18885" xr:uid="{00000000-0005-0000-0000-0000BC490000}"/>
    <cellStyle name="Normal 3 10 19 7" xfId="18886" xr:uid="{00000000-0005-0000-0000-0000BD490000}"/>
    <cellStyle name="Normal 3 10 19 7 2" xfId="18887" xr:uid="{00000000-0005-0000-0000-0000BE490000}"/>
    <cellStyle name="Normal 3 10 19 7 3" xfId="18888" xr:uid="{00000000-0005-0000-0000-0000BF490000}"/>
    <cellStyle name="Normal 3 10 19 8" xfId="18889" xr:uid="{00000000-0005-0000-0000-0000C0490000}"/>
    <cellStyle name="Normal 3 10 19 8 2" xfId="18890" xr:uid="{00000000-0005-0000-0000-0000C1490000}"/>
    <cellStyle name="Normal 3 10 19 8 3" xfId="18891" xr:uid="{00000000-0005-0000-0000-0000C2490000}"/>
    <cellStyle name="Normal 3 10 19 9" xfId="18892" xr:uid="{00000000-0005-0000-0000-0000C3490000}"/>
    <cellStyle name="Normal 3 10 19 9 2" xfId="18893" xr:uid="{00000000-0005-0000-0000-0000C4490000}"/>
    <cellStyle name="Normal 3 10 19 9 3" xfId="18894" xr:uid="{00000000-0005-0000-0000-0000C5490000}"/>
    <cellStyle name="Normal 3 10 2" xfId="18895" xr:uid="{00000000-0005-0000-0000-0000C6490000}"/>
    <cellStyle name="Normal 3 10 20" xfId="18896" xr:uid="{00000000-0005-0000-0000-0000C7490000}"/>
    <cellStyle name="Normal 3 10 20 10" xfId="18897" xr:uid="{00000000-0005-0000-0000-0000C8490000}"/>
    <cellStyle name="Normal 3 10 20 10 2" xfId="18898" xr:uid="{00000000-0005-0000-0000-0000C9490000}"/>
    <cellStyle name="Normal 3 10 20 10 3" xfId="18899" xr:uid="{00000000-0005-0000-0000-0000CA490000}"/>
    <cellStyle name="Normal 3 10 20 11" xfId="18900" xr:uid="{00000000-0005-0000-0000-0000CB490000}"/>
    <cellStyle name="Normal 3 10 20 11 2" xfId="18901" xr:uid="{00000000-0005-0000-0000-0000CC490000}"/>
    <cellStyle name="Normal 3 10 20 11 3" xfId="18902" xr:uid="{00000000-0005-0000-0000-0000CD490000}"/>
    <cellStyle name="Normal 3 10 20 12" xfId="18903" xr:uid="{00000000-0005-0000-0000-0000CE490000}"/>
    <cellStyle name="Normal 3 10 20 12 2" xfId="18904" xr:uid="{00000000-0005-0000-0000-0000CF490000}"/>
    <cellStyle name="Normal 3 10 20 12 3" xfId="18905" xr:uid="{00000000-0005-0000-0000-0000D0490000}"/>
    <cellStyle name="Normal 3 10 20 13" xfId="18906" xr:uid="{00000000-0005-0000-0000-0000D1490000}"/>
    <cellStyle name="Normal 3 10 20 13 2" xfId="18907" xr:uid="{00000000-0005-0000-0000-0000D2490000}"/>
    <cellStyle name="Normal 3 10 20 13 3" xfId="18908" xr:uid="{00000000-0005-0000-0000-0000D3490000}"/>
    <cellStyle name="Normal 3 10 20 14" xfId="18909" xr:uid="{00000000-0005-0000-0000-0000D4490000}"/>
    <cellStyle name="Normal 3 10 20 14 2" xfId="18910" xr:uid="{00000000-0005-0000-0000-0000D5490000}"/>
    <cellStyle name="Normal 3 10 20 14 3" xfId="18911" xr:uid="{00000000-0005-0000-0000-0000D6490000}"/>
    <cellStyle name="Normal 3 10 20 15" xfId="18912" xr:uid="{00000000-0005-0000-0000-0000D7490000}"/>
    <cellStyle name="Normal 3 10 20 16" xfId="18913" xr:uid="{00000000-0005-0000-0000-0000D8490000}"/>
    <cellStyle name="Normal 3 10 20 2" xfId="18914" xr:uid="{00000000-0005-0000-0000-0000D9490000}"/>
    <cellStyle name="Normal 3 10 20 2 2" xfId="18915" xr:uid="{00000000-0005-0000-0000-0000DA490000}"/>
    <cellStyle name="Normal 3 10 20 2 3" xfId="18916" xr:uid="{00000000-0005-0000-0000-0000DB490000}"/>
    <cellStyle name="Normal 3 10 20 3" xfId="18917" xr:uid="{00000000-0005-0000-0000-0000DC490000}"/>
    <cellStyle name="Normal 3 10 20 3 2" xfId="18918" xr:uid="{00000000-0005-0000-0000-0000DD490000}"/>
    <cellStyle name="Normal 3 10 20 3 3" xfId="18919" xr:uid="{00000000-0005-0000-0000-0000DE490000}"/>
    <cellStyle name="Normal 3 10 20 4" xfId="18920" xr:uid="{00000000-0005-0000-0000-0000DF490000}"/>
    <cellStyle name="Normal 3 10 20 4 2" xfId="18921" xr:uid="{00000000-0005-0000-0000-0000E0490000}"/>
    <cellStyle name="Normal 3 10 20 4 3" xfId="18922" xr:uid="{00000000-0005-0000-0000-0000E1490000}"/>
    <cellStyle name="Normal 3 10 20 5" xfId="18923" xr:uid="{00000000-0005-0000-0000-0000E2490000}"/>
    <cellStyle name="Normal 3 10 20 5 2" xfId="18924" xr:uid="{00000000-0005-0000-0000-0000E3490000}"/>
    <cellStyle name="Normal 3 10 20 5 3" xfId="18925" xr:uid="{00000000-0005-0000-0000-0000E4490000}"/>
    <cellStyle name="Normal 3 10 20 6" xfId="18926" xr:uid="{00000000-0005-0000-0000-0000E5490000}"/>
    <cellStyle name="Normal 3 10 20 6 2" xfId="18927" xr:uid="{00000000-0005-0000-0000-0000E6490000}"/>
    <cellStyle name="Normal 3 10 20 6 3" xfId="18928" xr:uid="{00000000-0005-0000-0000-0000E7490000}"/>
    <cellStyle name="Normal 3 10 20 7" xfId="18929" xr:uid="{00000000-0005-0000-0000-0000E8490000}"/>
    <cellStyle name="Normal 3 10 20 7 2" xfId="18930" xr:uid="{00000000-0005-0000-0000-0000E9490000}"/>
    <cellStyle name="Normal 3 10 20 7 3" xfId="18931" xr:uid="{00000000-0005-0000-0000-0000EA490000}"/>
    <cellStyle name="Normal 3 10 20 8" xfId="18932" xr:uid="{00000000-0005-0000-0000-0000EB490000}"/>
    <cellStyle name="Normal 3 10 20 8 2" xfId="18933" xr:uid="{00000000-0005-0000-0000-0000EC490000}"/>
    <cellStyle name="Normal 3 10 20 8 3" xfId="18934" xr:uid="{00000000-0005-0000-0000-0000ED490000}"/>
    <cellStyle name="Normal 3 10 20 9" xfId="18935" xr:uid="{00000000-0005-0000-0000-0000EE490000}"/>
    <cellStyle name="Normal 3 10 20 9 2" xfId="18936" xr:uid="{00000000-0005-0000-0000-0000EF490000}"/>
    <cellStyle name="Normal 3 10 20 9 3" xfId="18937" xr:uid="{00000000-0005-0000-0000-0000F0490000}"/>
    <cellStyle name="Normal 3 10 21" xfId="18938" xr:uid="{00000000-0005-0000-0000-0000F1490000}"/>
    <cellStyle name="Normal 3 10 21 10" xfId="18939" xr:uid="{00000000-0005-0000-0000-0000F2490000}"/>
    <cellStyle name="Normal 3 10 21 10 2" xfId="18940" xr:uid="{00000000-0005-0000-0000-0000F3490000}"/>
    <cellStyle name="Normal 3 10 21 10 3" xfId="18941" xr:uid="{00000000-0005-0000-0000-0000F4490000}"/>
    <cellStyle name="Normal 3 10 21 11" xfId="18942" xr:uid="{00000000-0005-0000-0000-0000F5490000}"/>
    <cellStyle name="Normal 3 10 21 11 2" xfId="18943" xr:uid="{00000000-0005-0000-0000-0000F6490000}"/>
    <cellStyle name="Normal 3 10 21 11 3" xfId="18944" xr:uid="{00000000-0005-0000-0000-0000F7490000}"/>
    <cellStyle name="Normal 3 10 21 12" xfId="18945" xr:uid="{00000000-0005-0000-0000-0000F8490000}"/>
    <cellStyle name="Normal 3 10 21 12 2" xfId="18946" xr:uid="{00000000-0005-0000-0000-0000F9490000}"/>
    <cellStyle name="Normal 3 10 21 12 3" xfId="18947" xr:uid="{00000000-0005-0000-0000-0000FA490000}"/>
    <cellStyle name="Normal 3 10 21 13" xfId="18948" xr:uid="{00000000-0005-0000-0000-0000FB490000}"/>
    <cellStyle name="Normal 3 10 21 13 2" xfId="18949" xr:uid="{00000000-0005-0000-0000-0000FC490000}"/>
    <cellStyle name="Normal 3 10 21 13 3" xfId="18950" xr:uid="{00000000-0005-0000-0000-0000FD490000}"/>
    <cellStyle name="Normal 3 10 21 14" xfId="18951" xr:uid="{00000000-0005-0000-0000-0000FE490000}"/>
    <cellStyle name="Normal 3 10 21 14 2" xfId="18952" xr:uid="{00000000-0005-0000-0000-0000FF490000}"/>
    <cellStyle name="Normal 3 10 21 14 3" xfId="18953" xr:uid="{00000000-0005-0000-0000-0000004A0000}"/>
    <cellStyle name="Normal 3 10 21 15" xfId="18954" xr:uid="{00000000-0005-0000-0000-0000014A0000}"/>
    <cellStyle name="Normal 3 10 21 16" xfId="18955" xr:uid="{00000000-0005-0000-0000-0000024A0000}"/>
    <cellStyle name="Normal 3 10 21 2" xfId="18956" xr:uid="{00000000-0005-0000-0000-0000034A0000}"/>
    <cellStyle name="Normal 3 10 21 2 2" xfId="18957" xr:uid="{00000000-0005-0000-0000-0000044A0000}"/>
    <cellStyle name="Normal 3 10 21 2 3" xfId="18958" xr:uid="{00000000-0005-0000-0000-0000054A0000}"/>
    <cellStyle name="Normal 3 10 21 3" xfId="18959" xr:uid="{00000000-0005-0000-0000-0000064A0000}"/>
    <cellStyle name="Normal 3 10 21 3 2" xfId="18960" xr:uid="{00000000-0005-0000-0000-0000074A0000}"/>
    <cellStyle name="Normal 3 10 21 3 3" xfId="18961" xr:uid="{00000000-0005-0000-0000-0000084A0000}"/>
    <cellStyle name="Normal 3 10 21 4" xfId="18962" xr:uid="{00000000-0005-0000-0000-0000094A0000}"/>
    <cellStyle name="Normal 3 10 21 4 2" xfId="18963" xr:uid="{00000000-0005-0000-0000-00000A4A0000}"/>
    <cellStyle name="Normal 3 10 21 4 3" xfId="18964" xr:uid="{00000000-0005-0000-0000-00000B4A0000}"/>
    <cellStyle name="Normal 3 10 21 5" xfId="18965" xr:uid="{00000000-0005-0000-0000-00000C4A0000}"/>
    <cellStyle name="Normal 3 10 21 5 2" xfId="18966" xr:uid="{00000000-0005-0000-0000-00000D4A0000}"/>
    <cellStyle name="Normal 3 10 21 5 3" xfId="18967" xr:uid="{00000000-0005-0000-0000-00000E4A0000}"/>
    <cellStyle name="Normal 3 10 21 6" xfId="18968" xr:uid="{00000000-0005-0000-0000-00000F4A0000}"/>
    <cellStyle name="Normal 3 10 21 6 2" xfId="18969" xr:uid="{00000000-0005-0000-0000-0000104A0000}"/>
    <cellStyle name="Normal 3 10 21 6 3" xfId="18970" xr:uid="{00000000-0005-0000-0000-0000114A0000}"/>
    <cellStyle name="Normal 3 10 21 7" xfId="18971" xr:uid="{00000000-0005-0000-0000-0000124A0000}"/>
    <cellStyle name="Normal 3 10 21 7 2" xfId="18972" xr:uid="{00000000-0005-0000-0000-0000134A0000}"/>
    <cellStyle name="Normal 3 10 21 7 3" xfId="18973" xr:uid="{00000000-0005-0000-0000-0000144A0000}"/>
    <cellStyle name="Normal 3 10 21 8" xfId="18974" xr:uid="{00000000-0005-0000-0000-0000154A0000}"/>
    <cellStyle name="Normal 3 10 21 8 2" xfId="18975" xr:uid="{00000000-0005-0000-0000-0000164A0000}"/>
    <cellStyle name="Normal 3 10 21 8 3" xfId="18976" xr:uid="{00000000-0005-0000-0000-0000174A0000}"/>
    <cellStyle name="Normal 3 10 21 9" xfId="18977" xr:uid="{00000000-0005-0000-0000-0000184A0000}"/>
    <cellStyle name="Normal 3 10 21 9 2" xfId="18978" xr:uid="{00000000-0005-0000-0000-0000194A0000}"/>
    <cellStyle name="Normal 3 10 21 9 3" xfId="18979" xr:uid="{00000000-0005-0000-0000-00001A4A0000}"/>
    <cellStyle name="Normal 3 10 22" xfId="18980" xr:uid="{00000000-0005-0000-0000-00001B4A0000}"/>
    <cellStyle name="Normal 3 10 22 10" xfId="18981" xr:uid="{00000000-0005-0000-0000-00001C4A0000}"/>
    <cellStyle name="Normal 3 10 22 10 2" xfId="18982" xr:uid="{00000000-0005-0000-0000-00001D4A0000}"/>
    <cellStyle name="Normal 3 10 22 10 3" xfId="18983" xr:uid="{00000000-0005-0000-0000-00001E4A0000}"/>
    <cellStyle name="Normal 3 10 22 11" xfId="18984" xr:uid="{00000000-0005-0000-0000-00001F4A0000}"/>
    <cellStyle name="Normal 3 10 22 11 2" xfId="18985" xr:uid="{00000000-0005-0000-0000-0000204A0000}"/>
    <cellStyle name="Normal 3 10 22 11 3" xfId="18986" xr:uid="{00000000-0005-0000-0000-0000214A0000}"/>
    <cellStyle name="Normal 3 10 22 12" xfId="18987" xr:uid="{00000000-0005-0000-0000-0000224A0000}"/>
    <cellStyle name="Normal 3 10 22 12 2" xfId="18988" xr:uid="{00000000-0005-0000-0000-0000234A0000}"/>
    <cellStyle name="Normal 3 10 22 12 3" xfId="18989" xr:uid="{00000000-0005-0000-0000-0000244A0000}"/>
    <cellStyle name="Normal 3 10 22 13" xfId="18990" xr:uid="{00000000-0005-0000-0000-0000254A0000}"/>
    <cellStyle name="Normal 3 10 22 13 2" xfId="18991" xr:uid="{00000000-0005-0000-0000-0000264A0000}"/>
    <cellStyle name="Normal 3 10 22 13 3" xfId="18992" xr:uid="{00000000-0005-0000-0000-0000274A0000}"/>
    <cellStyle name="Normal 3 10 22 14" xfId="18993" xr:uid="{00000000-0005-0000-0000-0000284A0000}"/>
    <cellStyle name="Normal 3 10 22 14 2" xfId="18994" xr:uid="{00000000-0005-0000-0000-0000294A0000}"/>
    <cellStyle name="Normal 3 10 22 14 3" xfId="18995" xr:uid="{00000000-0005-0000-0000-00002A4A0000}"/>
    <cellStyle name="Normal 3 10 22 15" xfId="18996" xr:uid="{00000000-0005-0000-0000-00002B4A0000}"/>
    <cellStyle name="Normal 3 10 22 16" xfId="18997" xr:uid="{00000000-0005-0000-0000-00002C4A0000}"/>
    <cellStyle name="Normal 3 10 22 2" xfId="18998" xr:uid="{00000000-0005-0000-0000-00002D4A0000}"/>
    <cellStyle name="Normal 3 10 22 2 2" xfId="18999" xr:uid="{00000000-0005-0000-0000-00002E4A0000}"/>
    <cellStyle name="Normal 3 10 22 2 3" xfId="19000" xr:uid="{00000000-0005-0000-0000-00002F4A0000}"/>
    <cellStyle name="Normal 3 10 22 3" xfId="19001" xr:uid="{00000000-0005-0000-0000-0000304A0000}"/>
    <cellStyle name="Normal 3 10 22 3 2" xfId="19002" xr:uid="{00000000-0005-0000-0000-0000314A0000}"/>
    <cellStyle name="Normal 3 10 22 3 3" xfId="19003" xr:uid="{00000000-0005-0000-0000-0000324A0000}"/>
    <cellStyle name="Normal 3 10 22 4" xfId="19004" xr:uid="{00000000-0005-0000-0000-0000334A0000}"/>
    <cellStyle name="Normal 3 10 22 4 2" xfId="19005" xr:uid="{00000000-0005-0000-0000-0000344A0000}"/>
    <cellStyle name="Normal 3 10 22 4 3" xfId="19006" xr:uid="{00000000-0005-0000-0000-0000354A0000}"/>
    <cellStyle name="Normal 3 10 22 5" xfId="19007" xr:uid="{00000000-0005-0000-0000-0000364A0000}"/>
    <cellStyle name="Normal 3 10 22 5 2" xfId="19008" xr:uid="{00000000-0005-0000-0000-0000374A0000}"/>
    <cellStyle name="Normal 3 10 22 5 3" xfId="19009" xr:uid="{00000000-0005-0000-0000-0000384A0000}"/>
    <cellStyle name="Normal 3 10 22 6" xfId="19010" xr:uid="{00000000-0005-0000-0000-0000394A0000}"/>
    <cellStyle name="Normal 3 10 22 6 2" xfId="19011" xr:uid="{00000000-0005-0000-0000-00003A4A0000}"/>
    <cellStyle name="Normal 3 10 22 6 3" xfId="19012" xr:uid="{00000000-0005-0000-0000-00003B4A0000}"/>
    <cellStyle name="Normal 3 10 22 7" xfId="19013" xr:uid="{00000000-0005-0000-0000-00003C4A0000}"/>
    <cellStyle name="Normal 3 10 22 7 2" xfId="19014" xr:uid="{00000000-0005-0000-0000-00003D4A0000}"/>
    <cellStyle name="Normal 3 10 22 7 3" xfId="19015" xr:uid="{00000000-0005-0000-0000-00003E4A0000}"/>
    <cellStyle name="Normal 3 10 22 8" xfId="19016" xr:uid="{00000000-0005-0000-0000-00003F4A0000}"/>
    <cellStyle name="Normal 3 10 22 8 2" xfId="19017" xr:uid="{00000000-0005-0000-0000-0000404A0000}"/>
    <cellStyle name="Normal 3 10 22 8 3" xfId="19018" xr:uid="{00000000-0005-0000-0000-0000414A0000}"/>
    <cellStyle name="Normal 3 10 22 9" xfId="19019" xr:uid="{00000000-0005-0000-0000-0000424A0000}"/>
    <cellStyle name="Normal 3 10 22 9 2" xfId="19020" xr:uid="{00000000-0005-0000-0000-0000434A0000}"/>
    <cellStyle name="Normal 3 10 22 9 3" xfId="19021" xr:uid="{00000000-0005-0000-0000-0000444A0000}"/>
    <cellStyle name="Normal 3 10 23" xfId="19022" xr:uid="{00000000-0005-0000-0000-0000454A0000}"/>
    <cellStyle name="Normal 3 10 24" xfId="19023" xr:uid="{00000000-0005-0000-0000-0000464A0000}"/>
    <cellStyle name="Normal 3 10 25" xfId="19024" xr:uid="{00000000-0005-0000-0000-0000474A0000}"/>
    <cellStyle name="Normal 3 10 25 10" xfId="19025" xr:uid="{00000000-0005-0000-0000-0000484A0000}"/>
    <cellStyle name="Normal 3 10 25 10 2" xfId="19026" xr:uid="{00000000-0005-0000-0000-0000494A0000}"/>
    <cellStyle name="Normal 3 10 25 10 3" xfId="19027" xr:uid="{00000000-0005-0000-0000-00004A4A0000}"/>
    <cellStyle name="Normal 3 10 25 11" xfId="19028" xr:uid="{00000000-0005-0000-0000-00004B4A0000}"/>
    <cellStyle name="Normal 3 10 25 11 2" xfId="19029" xr:uid="{00000000-0005-0000-0000-00004C4A0000}"/>
    <cellStyle name="Normal 3 10 25 11 3" xfId="19030" xr:uid="{00000000-0005-0000-0000-00004D4A0000}"/>
    <cellStyle name="Normal 3 10 25 12" xfId="19031" xr:uid="{00000000-0005-0000-0000-00004E4A0000}"/>
    <cellStyle name="Normal 3 10 25 12 2" xfId="19032" xr:uid="{00000000-0005-0000-0000-00004F4A0000}"/>
    <cellStyle name="Normal 3 10 25 12 3" xfId="19033" xr:uid="{00000000-0005-0000-0000-0000504A0000}"/>
    <cellStyle name="Normal 3 10 25 13" xfId="19034" xr:uid="{00000000-0005-0000-0000-0000514A0000}"/>
    <cellStyle name="Normal 3 10 25 13 2" xfId="19035" xr:uid="{00000000-0005-0000-0000-0000524A0000}"/>
    <cellStyle name="Normal 3 10 25 13 3" xfId="19036" xr:uid="{00000000-0005-0000-0000-0000534A0000}"/>
    <cellStyle name="Normal 3 10 25 14" xfId="19037" xr:uid="{00000000-0005-0000-0000-0000544A0000}"/>
    <cellStyle name="Normal 3 10 25 14 2" xfId="19038" xr:uid="{00000000-0005-0000-0000-0000554A0000}"/>
    <cellStyle name="Normal 3 10 25 14 3" xfId="19039" xr:uid="{00000000-0005-0000-0000-0000564A0000}"/>
    <cellStyle name="Normal 3 10 25 15" xfId="19040" xr:uid="{00000000-0005-0000-0000-0000574A0000}"/>
    <cellStyle name="Normal 3 10 25 16" xfId="19041" xr:uid="{00000000-0005-0000-0000-0000584A0000}"/>
    <cellStyle name="Normal 3 10 25 2" xfId="19042" xr:uid="{00000000-0005-0000-0000-0000594A0000}"/>
    <cellStyle name="Normal 3 10 25 2 2" xfId="19043" xr:uid="{00000000-0005-0000-0000-00005A4A0000}"/>
    <cellStyle name="Normal 3 10 25 2 3" xfId="19044" xr:uid="{00000000-0005-0000-0000-00005B4A0000}"/>
    <cellStyle name="Normal 3 10 25 3" xfId="19045" xr:uid="{00000000-0005-0000-0000-00005C4A0000}"/>
    <cellStyle name="Normal 3 10 25 3 2" xfId="19046" xr:uid="{00000000-0005-0000-0000-00005D4A0000}"/>
    <cellStyle name="Normal 3 10 25 3 3" xfId="19047" xr:uid="{00000000-0005-0000-0000-00005E4A0000}"/>
    <cellStyle name="Normal 3 10 25 4" xfId="19048" xr:uid="{00000000-0005-0000-0000-00005F4A0000}"/>
    <cellStyle name="Normal 3 10 25 4 2" xfId="19049" xr:uid="{00000000-0005-0000-0000-0000604A0000}"/>
    <cellStyle name="Normal 3 10 25 4 3" xfId="19050" xr:uid="{00000000-0005-0000-0000-0000614A0000}"/>
    <cellStyle name="Normal 3 10 25 5" xfId="19051" xr:uid="{00000000-0005-0000-0000-0000624A0000}"/>
    <cellStyle name="Normal 3 10 25 5 2" xfId="19052" xr:uid="{00000000-0005-0000-0000-0000634A0000}"/>
    <cellStyle name="Normal 3 10 25 5 3" xfId="19053" xr:uid="{00000000-0005-0000-0000-0000644A0000}"/>
    <cellStyle name="Normal 3 10 25 6" xfId="19054" xr:uid="{00000000-0005-0000-0000-0000654A0000}"/>
    <cellStyle name="Normal 3 10 25 6 2" xfId="19055" xr:uid="{00000000-0005-0000-0000-0000664A0000}"/>
    <cellStyle name="Normal 3 10 25 6 3" xfId="19056" xr:uid="{00000000-0005-0000-0000-0000674A0000}"/>
    <cellStyle name="Normal 3 10 25 7" xfId="19057" xr:uid="{00000000-0005-0000-0000-0000684A0000}"/>
    <cellStyle name="Normal 3 10 25 7 2" xfId="19058" xr:uid="{00000000-0005-0000-0000-0000694A0000}"/>
    <cellStyle name="Normal 3 10 25 7 3" xfId="19059" xr:uid="{00000000-0005-0000-0000-00006A4A0000}"/>
    <cellStyle name="Normal 3 10 25 8" xfId="19060" xr:uid="{00000000-0005-0000-0000-00006B4A0000}"/>
    <cellStyle name="Normal 3 10 25 8 2" xfId="19061" xr:uid="{00000000-0005-0000-0000-00006C4A0000}"/>
    <cellStyle name="Normal 3 10 25 8 3" xfId="19062" xr:uid="{00000000-0005-0000-0000-00006D4A0000}"/>
    <cellStyle name="Normal 3 10 25 9" xfId="19063" xr:uid="{00000000-0005-0000-0000-00006E4A0000}"/>
    <cellStyle name="Normal 3 10 25 9 2" xfId="19064" xr:uid="{00000000-0005-0000-0000-00006F4A0000}"/>
    <cellStyle name="Normal 3 10 25 9 3" xfId="19065" xr:uid="{00000000-0005-0000-0000-0000704A0000}"/>
    <cellStyle name="Normal 3 10 26" xfId="19066" xr:uid="{00000000-0005-0000-0000-0000714A0000}"/>
    <cellStyle name="Normal 3 10 26 10" xfId="19067" xr:uid="{00000000-0005-0000-0000-0000724A0000}"/>
    <cellStyle name="Normal 3 10 26 10 2" xfId="19068" xr:uid="{00000000-0005-0000-0000-0000734A0000}"/>
    <cellStyle name="Normal 3 10 26 10 3" xfId="19069" xr:uid="{00000000-0005-0000-0000-0000744A0000}"/>
    <cellStyle name="Normal 3 10 26 11" xfId="19070" xr:uid="{00000000-0005-0000-0000-0000754A0000}"/>
    <cellStyle name="Normal 3 10 26 11 2" xfId="19071" xr:uid="{00000000-0005-0000-0000-0000764A0000}"/>
    <cellStyle name="Normal 3 10 26 11 3" xfId="19072" xr:uid="{00000000-0005-0000-0000-0000774A0000}"/>
    <cellStyle name="Normal 3 10 26 12" xfId="19073" xr:uid="{00000000-0005-0000-0000-0000784A0000}"/>
    <cellStyle name="Normal 3 10 26 12 2" xfId="19074" xr:uid="{00000000-0005-0000-0000-0000794A0000}"/>
    <cellStyle name="Normal 3 10 26 12 3" xfId="19075" xr:uid="{00000000-0005-0000-0000-00007A4A0000}"/>
    <cellStyle name="Normal 3 10 26 13" xfId="19076" xr:uid="{00000000-0005-0000-0000-00007B4A0000}"/>
    <cellStyle name="Normal 3 10 26 13 2" xfId="19077" xr:uid="{00000000-0005-0000-0000-00007C4A0000}"/>
    <cellStyle name="Normal 3 10 26 13 3" xfId="19078" xr:uid="{00000000-0005-0000-0000-00007D4A0000}"/>
    <cellStyle name="Normal 3 10 26 14" xfId="19079" xr:uid="{00000000-0005-0000-0000-00007E4A0000}"/>
    <cellStyle name="Normal 3 10 26 14 2" xfId="19080" xr:uid="{00000000-0005-0000-0000-00007F4A0000}"/>
    <cellStyle name="Normal 3 10 26 14 3" xfId="19081" xr:uid="{00000000-0005-0000-0000-0000804A0000}"/>
    <cellStyle name="Normal 3 10 26 15" xfId="19082" xr:uid="{00000000-0005-0000-0000-0000814A0000}"/>
    <cellStyle name="Normal 3 10 26 16" xfId="19083" xr:uid="{00000000-0005-0000-0000-0000824A0000}"/>
    <cellStyle name="Normal 3 10 26 2" xfId="19084" xr:uid="{00000000-0005-0000-0000-0000834A0000}"/>
    <cellStyle name="Normal 3 10 26 2 2" xfId="19085" xr:uid="{00000000-0005-0000-0000-0000844A0000}"/>
    <cellStyle name="Normal 3 10 26 2 3" xfId="19086" xr:uid="{00000000-0005-0000-0000-0000854A0000}"/>
    <cellStyle name="Normal 3 10 26 3" xfId="19087" xr:uid="{00000000-0005-0000-0000-0000864A0000}"/>
    <cellStyle name="Normal 3 10 26 3 2" xfId="19088" xr:uid="{00000000-0005-0000-0000-0000874A0000}"/>
    <cellStyle name="Normal 3 10 26 3 3" xfId="19089" xr:uid="{00000000-0005-0000-0000-0000884A0000}"/>
    <cellStyle name="Normal 3 10 26 4" xfId="19090" xr:uid="{00000000-0005-0000-0000-0000894A0000}"/>
    <cellStyle name="Normal 3 10 26 4 2" xfId="19091" xr:uid="{00000000-0005-0000-0000-00008A4A0000}"/>
    <cellStyle name="Normal 3 10 26 4 3" xfId="19092" xr:uid="{00000000-0005-0000-0000-00008B4A0000}"/>
    <cellStyle name="Normal 3 10 26 5" xfId="19093" xr:uid="{00000000-0005-0000-0000-00008C4A0000}"/>
    <cellStyle name="Normal 3 10 26 5 2" xfId="19094" xr:uid="{00000000-0005-0000-0000-00008D4A0000}"/>
    <cellStyle name="Normal 3 10 26 5 3" xfId="19095" xr:uid="{00000000-0005-0000-0000-00008E4A0000}"/>
    <cellStyle name="Normal 3 10 26 6" xfId="19096" xr:uid="{00000000-0005-0000-0000-00008F4A0000}"/>
    <cellStyle name="Normal 3 10 26 6 2" xfId="19097" xr:uid="{00000000-0005-0000-0000-0000904A0000}"/>
    <cellStyle name="Normal 3 10 26 6 3" xfId="19098" xr:uid="{00000000-0005-0000-0000-0000914A0000}"/>
    <cellStyle name="Normal 3 10 26 7" xfId="19099" xr:uid="{00000000-0005-0000-0000-0000924A0000}"/>
    <cellStyle name="Normal 3 10 26 7 2" xfId="19100" xr:uid="{00000000-0005-0000-0000-0000934A0000}"/>
    <cellStyle name="Normal 3 10 26 7 3" xfId="19101" xr:uid="{00000000-0005-0000-0000-0000944A0000}"/>
    <cellStyle name="Normal 3 10 26 8" xfId="19102" xr:uid="{00000000-0005-0000-0000-0000954A0000}"/>
    <cellStyle name="Normal 3 10 26 8 2" xfId="19103" xr:uid="{00000000-0005-0000-0000-0000964A0000}"/>
    <cellStyle name="Normal 3 10 26 8 3" xfId="19104" xr:uid="{00000000-0005-0000-0000-0000974A0000}"/>
    <cellStyle name="Normal 3 10 26 9" xfId="19105" xr:uid="{00000000-0005-0000-0000-0000984A0000}"/>
    <cellStyle name="Normal 3 10 26 9 2" xfId="19106" xr:uid="{00000000-0005-0000-0000-0000994A0000}"/>
    <cellStyle name="Normal 3 10 26 9 3" xfId="19107" xr:uid="{00000000-0005-0000-0000-00009A4A0000}"/>
    <cellStyle name="Normal 3 10 3" xfId="19108" xr:uid="{00000000-0005-0000-0000-00009B4A0000}"/>
    <cellStyle name="Normal 3 10 4" xfId="19109" xr:uid="{00000000-0005-0000-0000-00009C4A0000}"/>
    <cellStyle name="Normal 3 10 5" xfId="19110" xr:uid="{00000000-0005-0000-0000-00009D4A0000}"/>
    <cellStyle name="Normal 3 10 6" xfId="19111" xr:uid="{00000000-0005-0000-0000-00009E4A0000}"/>
    <cellStyle name="Normal 3 10 7" xfId="19112" xr:uid="{00000000-0005-0000-0000-00009F4A0000}"/>
    <cellStyle name="Normal 3 10 8" xfId="19113" xr:uid="{00000000-0005-0000-0000-0000A04A0000}"/>
    <cellStyle name="Normal 3 10 9" xfId="19114" xr:uid="{00000000-0005-0000-0000-0000A14A0000}"/>
    <cellStyle name="Normal 3 10_End-use Summary" xfId="19115" xr:uid="{00000000-0005-0000-0000-0000A24A0000}"/>
    <cellStyle name="Normal 3 11" xfId="19116" xr:uid="{00000000-0005-0000-0000-0000A34A0000}"/>
    <cellStyle name="Normal 3 11 10" xfId="19117" xr:uid="{00000000-0005-0000-0000-0000A44A0000}"/>
    <cellStyle name="Normal 3 11 11" xfId="19118" xr:uid="{00000000-0005-0000-0000-0000A54A0000}"/>
    <cellStyle name="Normal 3 11 11 10" xfId="19119" xr:uid="{00000000-0005-0000-0000-0000A64A0000}"/>
    <cellStyle name="Normal 3 11 11 10 2" xfId="19120" xr:uid="{00000000-0005-0000-0000-0000A74A0000}"/>
    <cellStyle name="Normal 3 11 11 10 3" xfId="19121" xr:uid="{00000000-0005-0000-0000-0000A84A0000}"/>
    <cellStyle name="Normal 3 11 11 11" xfId="19122" xr:uid="{00000000-0005-0000-0000-0000A94A0000}"/>
    <cellStyle name="Normal 3 11 11 11 2" xfId="19123" xr:uid="{00000000-0005-0000-0000-0000AA4A0000}"/>
    <cellStyle name="Normal 3 11 11 11 3" xfId="19124" xr:uid="{00000000-0005-0000-0000-0000AB4A0000}"/>
    <cellStyle name="Normal 3 11 11 12" xfId="19125" xr:uid="{00000000-0005-0000-0000-0000AC4A0000}"/>
    <cellStyle name="Normal 3 11 11 12 2" xfId="19126" xr:uid="{00000000-0005-0000-0000-0000AD4A0000}"/>
    <cellStyle name="Normal 3 11 11 12 3" xfId="19127" xr:uid="{00000000-0005-0000-0000-0000AE4A0000}"/>
    <cellStyle name="Normal 3 11 11 13" xfId="19128" xr:uid="{00000000-0005-0000-0000-0000AF4A0000}"/>
    <cellStyle name="Normal 3 11 11 13 2" xfId="19129" xr:uid="{00000000-0005-0000-0000-0000B04A0000}"/>
    <cellStyle name="Normal 3 11 11 13 3" xfId="19130" xr:uid="{00000000-0005-0000-0000-0000B14A0000}"/>
    <cellStyle name="Normal 3 11 11 14" xfId="19131" xr:uid="{00000000-0005-0000-0000-0000B24A0000}"/>
    <cellStyle name="Normal 3 11 11 14 2" xfId="19132" xr:uid="{00000000-0005-0000-0000-0000B34A0000}"/>
    <cellStyle name="Normal 3 11 11 14 3" xfId="19133" xr:uid="{00000000-0005-0000-0000-0000B44A0000}"/>
    <cellStyle name="Normal 3 11 11 15" xfId="19134" xr:uid="{00000000-0005-0000-0000-0000B54A0000}"/>
    <cellStyle name="Normal 3 11 11 15 2" xfId="19135" xr:uid="{00000000-0005-0000-0000-0000B64A0000}"/>
    <cellStyle name="Normal 3 11 11 15 3" xfId="19136" xr:uid="{00000000-0005-0000-0000-0000B74A0000}"/>
    <cellStyle name="Normal 3 11 11 16" xfId="19137" xr:uid="{00000000-0005-0000-0000-0000B84A0000}"/>
    <cellStyle name="Normal 3 11 11 16 2" xfId="19138" xr:uid="{00000000-0005-0000-0000-0000B94A0000}"/>
    <cellStyle name="Normal 3 11 11 16 3" xfId="19139" xr:uid="{00000000-0005-0000-0000-0000BA4A0000}"/>
    <cellStyle name="Normal 3 11 11 17" xfId="19140" xr:uid="{00000000-0005-0000-0000-0000BB4A0000}"/>
    <cellStyle name="Normal 3 11 11 17 2" xfId="19141" xr:uid="{00000000-0005-0000-0000-0000BC4A0000}"/>
    <cellStyle name="Normal 3 11 11 17 3" xfId="19142" xr:uid="{00000000-0005-0000-0000-0000BD4A0000}"/>
    <cellStyle name="Normal 3 11 11 18" xfId="19143" xr:uid="{00000000-0005-0000-0000-0000BE4A0000}"/>
    <cellStyle name="Normal 3 11 11 19" xfId="19144" xr:uid="{00000000-0005-0000-0000-0000BF4A0000}"/>
    <cellStyle name="Normal 3 11 11 2" xfId="19145" xr:uid="{00000000-0005-0000-0000-0000C04A0000}"/>
    <cellStyle name="Normal 3 11 11 3" xfId="19146" xr:uid="{00000000-0005-0000-0000-0000C14A0000}"/>
    <cellStyle name="Normal 3 11 11 4" xfId="19147" xr:uid="{00000000-0005-0000-0000-0000C24A0000}"/>
    <cellStyle name="Normal 3 11 11 5" xfId="19148" xr:uid="{00000000-0005-0000-0000-0000C34A0000}"/>
    <cellStyle name="Normal 3 11 11 5 2" xfId="19149" xr:uid="{00000000-0005-0000-0000-0000C44A0000}"/>
    <cellStyle name="Normal 3 11 11 5 3" xfId="19150" xr:uid="{00000000-0005-0000-0000-0000C54A0000}"/>
    <cellStyle name="Normal 3 11 11 6" xfId="19151" xr:uid="{00000000-0005-0000-0000-0000C64A0000}"/>
    <cellStyle name="Normal 3 11 11 6 2" xfId="19152" xr:uid="{00000000-0005-0000-0000-0000C74A0000}"/>
    <cellStyle name="Normal 3 11 11 6 3" xfId="19153" xr:uid="{00000000-0005-0000-0000-0000C84A0000}"/>
    <cellStyle name="Normal 3 11 11 7" xfId="19154" xr:uid="{00000000-0005-0000-0000-0000C94A0000}"/>
    <cellStyle name="Normal 3 11 11 7 2" xfId="19155" xr:uid="{00000000-0005-0000-0000-0000CA4A0000}"/>
    <cellStyle name="Normal 3 11 11 7 3" xfId="19156" xr:uid="{00000000-0005-0000-0000-0000CB4A0000}"/>
    <cellStyle name="Normal 3 11 11 8" xfId="19157" xr:uid="{00000000-0005-0000-0000-0000CC4A0000}"/>
    <cellStyle name="Normal 3 11 11 8 2" xfId="19158" xr:uid="{00000000-0005-0000-0000-0000CD4A0000}"/>
    <cellStyle name="Normal 3 11 11 8 3" xfId="19159" xr:uid="{00000000-0005-0000-0000-0000CE4A0000}"/>
    <cellStyle name="Normal 3 11 11 9" xfId="19160" xr:uid="{00000000-0005-0000-0000-0000CF4A0000}"/>
    <cellStyle name="Normal 3 11 11 9 2" xfId="19161" xr:uid="{00000000-0005-0000-0000-0000D04A0000}"/>
    <cellStyle name="Normal 3 11 11 9 3" xfId="19162" xr:uid="{00000000-0005-0000-0000-0000D14A0000}"/>
    <cellStyle name="Normal 3 11 12" xfId="19163" xr:uid="{00000000-0005-0000-0000-0000D24A0000}"/>
    <cellStyle name="Normal 3 11 13" xfId="19164" xr:uid="{00000000-0005-0000-0000-0000D34A0000}"/>
    <cellStyle name="Normal 3 11 14" xfId="19165" xr:uid="{00000000-0005-0000-0000-0000D44A0000}"/>
    <cellStyle name="Normal 3 11 14 10" xfId="19166" xr:uid="{00000000-0005-0000-0000-0000D54A0000}"/>
    <cellStyle name="Normal 3 11 14 10 2" xfId="19167" xr:uid="{00000000-0005-0000-0000-0000D64A0000}"/>
    <cellStyle name="Normal 3 11 14 10 3" xfId="19168" xr:uid="{00000000-0005-0000-0000-0000D74A0000}"/>
    <cellStyle name="Normal 3 11 14 11" xfId="19169" xr:uid="{00000000-0005-0000-0000-0000D84A0000}"/>
    <cellStyle name="Normal 3 11 14 11 2" xfId="19170" xr:uid="{00000000-0005-0000-0000-0000D94A0000}"/>
    <cellStyle name="Normal 3 11 14 11 3" xfId="19171" xr:uid="{00000000-0005-0000-0000-0000DA4A0000}"/>
    <cellStyle name="Normal 3 11 14 12" xfId="19172" xr:uid="{00000000-0005-0000-0000-0000DB4A0000}"/>
    <cellStyle name="Normal 3 11 14 12 2" xfId="19173" xr:uid="{00000000-0005-0000-0000-0000DC4A0000}"/>
    <cellStyle name="Normal 3 11 14 12 3" xfId="19174" xr:uid="{00000000-0005-0000-0000-0000DD4A0000}"/>
    <cellStyle name="Normal 3 11 14 13" xfId="19175" xr:uid="{00000000-0005-0000-0000-0000DE4A0000}"/>
    <cellStyle name="Normal 3 11 14 13 2" xfId="19176" xr:uid="{00000000-0005-0000-0000-0000DF4A0000}"/>
    <cellStyle name="Normal 3 11 14 13 3" xfId="19177" xr:uid="{00000000-0005-0000-0000-0000E04A0000}"/>
    <cellStyle name="Normal 3 11 14 14" xfId="19178" xr:uid="{00000000-0005-0000-0000-0000E14A0000}"/>
    <cellStyle name="Normal 3 11 14 14 2" xfId="19179" xr:uid="{00000000-0005-0000-0000-0000E24A0000}"/>
    <cellStyle name="Normal 3 11 14 14 3" xfId="19180" xr:uid="{00000000-0005-0000-0000-0000E34A0000}"/>
    <cellStyle name="Normal 3 11 14 15" xfId="19181" xr:uid="{00000000-0005-0000-0000-0000E44A0000}"/>
    <cellStyle name="Normal 3 11 14 15 2" xfId="19182" xr:uid="{00000000-0005-0000-0000-0000E54A0000}"/>
    <cellStyle name="Normal 3 11 14 15 3" xfId="19183" xr:uid="{00000000-0005-0000-0000-0000E64A0000}"/>
    <cellStyle name="Normal 3 11 14 16" xfId="19184" xr:uid="{00000000-0005-0000-0000-0000E74A0000}"/>
    <cellStyle name="Normal 3 11 14 17" xfId="19185" xr:uid="{00000000-0005-0000-0000-0000E84A0000}"/>
    <cellStyle name="Normal 3 11 14 2" xfId="19186" xr:uid="{00000000-0005-0000-0000-0000E94A0000}"/>
    <cellStyle name="Normal 3 11 14 2 10" xfId="19187" xr:uid="{00000000-0005-0000-0000-0000EA4A0000}"/>
    <cellStyle name="Normal 3 11 14 2 10 2" xfId="19188" xr:uid="{00000000-0005-0000-0000-0000EB4A0000}"/>
    <cellStyle name="Normal 3 11 14 2 10 3" xfId="19189" xr:uid="{00000000-0005-0000-0000-0000EC4A0000}"/>
    <cellStyle name="Normal 3 11 14 2 11" xfId="19190" xr:uid="{00000000-0005-0000-0000-0000ED4A0000}"/>
    <cellStyle name="Normal 3 11 14 2 11 2" xfId="19191" xr:uid="{00000000-0005-0000-0000-0000EE4A0000}"/>
    <cellStyle name="Normal 3 11 14 2 11 3" xfId="19192" xr:uid="{00000000-0005-0000-0000-0000EF4A0000}"/>
    <cellStyle name="Normal 3 11 14 2 12" xfId="19193" xr:uid="{00000000-0005-0000-0000-0000F04A0000}"/>
    <cellStyle name="Normal 3 11 14 2 12 2" xfId="19194" xr:uid="{00000000-0005-0000-0000-0000F14A0000}"/>
    <cellStyle name="Normal 3 11 14 2 12 3" xfId="19195" xr:uid="{00000000-0005-0000-0000-0000F24A0000}"/>
    <cellStyle name="Normal 3 11 14 2 13" xfId="19196" xr:uid="{00000000-0005-0000-0000-0000F34A0000}"/>
    <cellStyle name="Normal 3 11 14 2 13 2" xfId="19197" xr:uid="{00000000-0005-0000-0000-0000F44A0000}"/>
    <cellStyle name="Normal 3 11 14 2 13 3" xfId="19198" xr:uid="{00000000-0005-0000-0000-0000F54A0000}"/>
    <cellStyle name="Normal 3 11 14 2 14" xfId="19199" xr:uid="{00000000-0005-0000-0000-0000F64A0000}"/>
    <cellStyle name="Normal 3 11 14 2 14 2" xfId="19200" xr:uid="{00000000-0005-0000-0000-0000F74A0000}"/>
    <cellStyle name="Normal 3 11 14 2 14 3" xfId="19201" xr:uid="{00000000-0005-0000-0000-0000F84A0000}"/>
    <cellStyle name="Normal 3 11 14 2 15" xfId="19202" xr:uid="{00000000-0005-0000-0000-0000F94A0000}"/>
    <cellStyle name="Normal 3 11 14 2 16" xfId="19203" xr:uid="{00000000-0005-0000-0000-0000FA4A0000}"/>
    <cellStyle name="Normal 3 11 14 2 2" xfId="19204" xr:uid="{00000000-0005-0000-0000-0000FB4A0000}"/>
    <cellStyle name="Normal 3 11 14 2 2 2" xfId="19205" xr:uid="{00000000-0005-0000-0000-0000FC4A0000}"/>
    <cellStyle name="Normal 3 11 14 2 2 3" xfId="19206" xr:uid="{00000000-0005-0000-0000-0000FD4A0000}"/>
    <cellStyle name="Normal 3 11 14 2 3" xfId="19207" xr:uid="{00000000-0005-0000-0000-0000FE4A0000}"/>
    <cellStyle name="Normal 3 11 14 2 3 2" xfId="19208" xr:uid="{00000000-0005-0000-0000-0000FF4A0000}"/>
    <cellStyle name="Normal 3 11 14 2 3 3" xfId="19209" xr:uid="{00000000-0005-0000-0000-0000004B0000}"/>
    <cellStyle name="Normal 3 11 14 2 4" xfId="19210" xr:uid="{00000000-0005-0000-0000-0000014B0000}"/>
    <cellStyle name="Normal 3 11 14 2 4 2" xfId="19211" xr:uid="{00000000-0005-0000-0000-0000024B0000}"/>
    <cellStyle name="Normal 3 11 14 2 4 3" xfId="19212" xr:uid="{00000000-0005-0000-0000-0000034B0000}"/>
    <cellStyle name="Normal 3 11 14 2 5" xfId="19213" xr:uid="{00000000-0005-0000-0000-0000044B0000}"/>
    <cellStyle name="Normal 3 11 14 2 5 2" xfId="19214" xr:uid="{00000000-0005-0000-0000-0000054B0000}"/>
    <cellStyle name="Normal 3 11 14 2 5 3" xfId="19215" xr:uid="{00000000-0005-0000-0000-0000064B0000}"/>
    <cellStyle name="Normal 3 11 14 2 6" xfId="19216" xr:uid="{00000000-0005-0000-0000-0000074B0000}"/>
    <cellStyle name="Normal 3 11 14 2 6 2" xfId="19217" xr:uid="{00000000-0005-0000-0000-0000084B0000}"/>
    <cellStyle name="Normal 3 11 14 2 6 3" xfId="19218" xr:uid="{00000000-0005-0000-0000-0000094B0000}"/>
    <cellStyle name="Normal 3 11 14 2 7" xfId="19219" xr:uid="{00000000-0005-0000-0000-00000A4B0000}"/>
    <cellStyle name="Normal 3 11 14 2 7 2" xfId="19220" xr:uid="{00000000-0005-0000-0000-00000B4B0000}"/>
    <cellStyle name="Normal 3 11 14 2 7 3" xfId="19221" xr:uid="{00000000-0005-0000-0000-00000C4B0000}"/>
    <cellStyle name="Normal 3 11 14 2 8" xfId="19222" xr:uid="{00000000-0005-0000-0000-00000D4B0000}"/>
    <cellStyle name="Normal 3 11 14 2 8 2" xfId="19223" xr:uid="{00000000-0005-0000-0000-00000E4B0000}"/>
    <cellStyle name="Normal 3 11 14 2 8 3" xfId="19224" xr:uid="{00000000-0005-0000-0000-00000F4B0000}"/>
    <cellStyle name="Normal 3 11 14 2 9" xfId="19225" xr:uid="{00000000-0005-0000-0000-0000104B0000}"/>
    <cellStyle name="Normal 3 11 14 2 9 2" xfId="19226" xr:uid="{00000000-0005-0000-0000-0000114B0000}"/>
    <cellStyle name="Normal 3 11 14 2 9 3" xfId="19227" xr:uid="{00000000-0005-0000-0000-0000124B0000}"/>
    <cellStyle name="Normal 3 11 14 3" xfId="19228" xr:uid="{00000000-0005-0000-0000-0000134B0000}"/>
    <cellStyle name="Normal 3 11 14 3 2" xfId="19229" xr:uid="{00000000-0005-0000-0000-0000144B0000}"/>
    <cellStyle name="Normal 3 11 14 3 3" xfId="19230" xr:uid="{00000000-0005-0000-0000-0000154B0000}"/>
    <cellStyle name="Normal 3 11 14 4" xfId="19231" xr:uid="{00000000-0005-0000-0000-0000164B0000}"/>
    <cellStyle name="Normal 3 11 14 4 2" xfId="19232" xr:uid="{00000000-0005-0000-0000-0000174B0000}"/>
    <cellStyle name="Normal 3 11 14 4 3" xfId="19233" xr:uid="{00000000-0005-0000-0000-0000184B0000}"/>
    <cellStyle name="Normal 3 11 14 5" xfId="19234" xr:uid="{00000000-0005-0000-0000-0000194B0000}"/>
    <cellStyle name="Normal 3 11 14 5 2" xfId="19235" xr:uid="{00000000-0005-0000-0000-00001A4B0000}"/>
    <cellStyle name="Normal 3 11 14 5 3" xfId="19236" xr:uid="{00000000-0005-0000-0000-00001B4B0000}"/>
    <cellStyle name="Normal 3 11 14 6" xfId="19237" xr:uid="{00000000-0005-0000-0000-00001C4B0000}"/>
    <cellStyle name="Normal 3 11 14 6 2" xfId="19238" xr:uid="{00000000-0005-0000-0000-00001D4B0000}"/>
    <cellStyle name="Normal 3 11 14 6 3" xfId="19239" xr:uid="{00000000-0005-0000-0000-00001E4B0000}"/>
    <cellStyle name="Normal 3 11 14 7" xfId="19240" xr:uid="{00000000-0005-0000-0000-00001F4B0000}"/>
    <cellStyle name="Normal 3 11 14 7 2" xfId="19241" xr:uid="{00000000-0005-0000-0000-0000204B0000}"/>
    <cellStyle name="Normal 3 11 14 7 3" xfId="19242" xr:uid="{00000000-0005-0000-0000-0000214B0000}"/>
    <cellStyle name="Normal 3 11 14 8" xfId="19243" xr:uid="{00000000-0005-0000-0000-0000224B0000}"/>
    <cellStyle name="Normal 3 11 14 8 2" xfId="19244" xr:uid="{00000000-0005-0000-0000-0000234B0000}"/>
    <cellStyle name="Normal 3 11 14 8 3" xfId="19245" xr:uid="{00000000-0005-0000-0000-0000244B0000}"/>
    <cellStyle name="Normal 3 11 14 9" xfId="19246" xr:uid="{00000000-0005-0000-0000-0000254B0000}"/>
    <cellStyle name="Normal 3 11 14 9 2" xfId="19247" xr:uid="{00000000-0005-0000-0000-0000264B0000}"/>
    <cellStyle name="Normal 3 11 14 9 3" xfId="19248" xr:uid="{00000000-0005-0000-0000-0000274B0000}"/>
    <cellStyle name="Normal 3 11 15" xfId="19249" xr:uid="{00000000-0005-0000-0000-0000284B0000}"/>
    <cellStyle name="Normal 3 11 15 10" xfId="19250" xr:uid="{00000000-0005-0000-0000-0000294B0000}"/>
    <cellStyle name="Normal 3 11 15 10 2" xfId="19251" xr:uid="{00000000-0005-0000-0000-00002A4B0000}"/>
    <cellStyle name="Normal 3 11 15 10 3" xfId="19252" xr:uid="{00000000-0005-0000-0000-00002B4B0000}"/>
    <cellStyle name="Normal 3 11 15 11" xfId="19253" xr:uid="{00000000-0005-0000-0000-00002C4B0000}"/>
    <cellStyle name="Normal 3 11 15 11 2" xfId="19254" xr:uid="{00000000-0005-0000-0000-00002D4B0000}"/>
    <cellStyle name="Normal 3 11 15 11 3" xfId="19255" xr:uid="{00000000-0005-0000-0000-00002E4B0000}"/>
    <cellStyle name="Normal 3 11 15 12" xfId="19256" xr:uid="{00000000-0005-0000-0000-00002F4B0000}"/>
    <cellStyle name="Normal 3 11 15 12 2" xfId="19257" xr:uid="{00000000-0005-0000-0000-0000304B0000}"/>
    <cellStyle name="Normal 3 11 15 12 3" xfId="19258" xr:uid="{00000000-0005-0000-0000-0000314B0000}"/>
    <cellStyle name="Normal 3 11 15 13" xfId="19259" xr:uid="{00000000-0005-0000-0000-0000324B0000}"/>
    <cellStyle name="Normal 3 11 15 13 2" xfId="19260" xr:uid="{00000000-0005-0000-0000-0000334B0000}"/>
    <cellStyle name="Normal 3 11 15 13 3" xfId="19261" xr:uid="{00000000-0005-0000-0000-0000344B0000}"/>
    <cellStyle name="Normal 3 11 15 14" xfId="19262" xr:uid="{00000000-0005-0000-0000-0000354B0000}"/>
    <cellStyle name="Normal 3 11 15 14 2" xfId="19263" xr:uid="{00000000-0005-0000-0000-0000364B0000}"/>
    <cellStyle name="Normal 3 11 15 14 3" xfId="19264" xr:uid="{00000000-0005-0000-0000-0000374B0000}"/>
    <cellStyle name="Normal 3 11 15 15" xfId="19265" xr:uid="{00000000-0005-0000-0000-0000384B0000}"/>
    <cellStyle name="Normal 3 11 15 15 2" xfId="19266" xr:uid="{00000000-0005-0000-0000-0000394B0000}"/>
    <cellStyle name="Normal 3 11 15 15 3" xfId="19267" xr:uid="{00000000-0005-0000-0000-00003A4B0000}"/>
    <cellStyle name="Normal 3 11 15 16" xfId="19268" xr:uid="{00000000-0005-0000-0000-00003B4B0000}"/>
    <cellStyle name="Normal 3 11 15 17" xfId="19269" xr:uid="{00000000-0005-0000-0000-00003C4B0000}"/>
    <cellStyle name="Normal 3 11 15 2" xfId="19270" xr:uid="{00000000-0005-0000-0000-00003D4B0000}"/>
    <cellStyle name="Normal 3 11 15 2 10" xfId="19271" xr:uid="{00000000-0005-0000-0000-00003E4B0000}"/>
    <cellStyle name="Normal 3 11 15 2 10 2" xfId="19272" xr:uid="{00000000-0005-0000-0000-00003F4B0000}"/>
    <cellStyle name="Normal 3 11 15 2 10 3" xfId="19273" xr:uid="{00000000-0005-0000-0000-0000404B0000}"/>
    <cellStyle name="Normal 3 11 15 2 11" xfId="19274" xr:uid="{00000000-0005-0000-0000-0000414B0000}"/>
    <cellStyle name="Normal 3 11 15 2 11 2" xfId="19275" xr:uid="{00000000-0005-0000-0000-0000424B0000}"/>
    <cellStyle name="Normal 3 11 15 2 11 3" xfId="19276" xr:uid="{00000000-0005-0000-0000-0000434B0000}"/>
    <cellStyle name="Normal 3 11 15 2 12" xfId="19277" xr:uid="{00000000-0005-0000-0000-0000444B0000}"/>
    <cellStyle name="Normal 3 11 15 2 12 2" xfId="19278" xr:uid="{00000000-0005-0000-0000-0000454B0000}"/>
    <cellStyle name="Normal 3 11 15 2 12 3" xfId="19279" xr:uid="{00000000-0005-0000-0000-0000464B0000}"/>
    <cellStyle name="Normal 3 11 15 2 13" xfId="19280" xr:uid="{00000000-0005-0000-0000-0000474B0000}"/>
    <cellStyle name="Normal 3 11 15 2 13 2" xfId="19281" xr:uid="{00000000-0005-0000-0000-0000484B0000}"/>
    <cellStyle name="Normal 3 11 15 2 13 3" xfId="19282" xr:uid="{00000000-0005-0000-0000-0000494B0000}"/>
    <cellStyle name="Normal 3 11 15 2 14" xfId="19283" xr:uid="{00000000-0005-0000-0000-00004A4B0000}"/>
    <cellStyle name="Normal 3 11 15 2 14 2" xfId="19284" xr:uid="{00000000-0005-0000-0000-00004B4B0000}"/>
    <cellStyle name="Normal 3 11 15 2 14 3" xfId="19285" xr:uid="{00000000-0005-0000-0000-00004C4B0000}"/>
    <cellStyle name="Normal 3 11 15 2 15" xfId="19286" xr:uid="{00000000-0005-0000-0000-00004D4B0000}"/>
    <cellStyle name="Normal 3 11 15 2 16" xfId="19287" xr:uid="{00000000-0005-0000-0000-00004E4B0000}"/>
    <cellStyle name="Normal 3 11 15 2 2" xfId="19288" xr:uid="{00000000-0005-0000-0000-00004F4B0000}"/>
    <cellStyle name="Normal 3 11 15 2 2 2" xfId="19289" xr:uid="{00000000-0005-0000-0000-0000504B0000}"/>
    <cellStyle name="Normal 3 11 15 2 2 3" xfId="19290" xr:uid="{00000000-0005-0000-0000-0000514B0000}"/>
    <cellStyle name="Normal 3 11 15 2 3" xfId="19291" xr:uid="{00000000-0005-0000-0000-0000524B0000}"/>
    <cellStyle name="Normal 3 11 15 2 3 2" xfId="19292" xr:uid="{00000000-0005-0000-0000-0000534B0000}"/>
    <cellStyle name="Normal 3 11 15 2 3 3" xfId="19293" xr:uid="{00000000-0005-0000-0000-0000544B0000}"/>
    <cellStyle name="Normal 3 11 15 2 4" xfId="19294" xr:uid="{00000000-0005-0000-0000-0000554B0000}"/>
    <cellStyle name="Normal 3 11 15 2 4 2" xfId="19295" xr:uid="{00000000-0005-0000-0000-0000564B0000}"/>
    <cellStyle name="Normal 3 11 15 2 4 3" xfId="19296" xr:uid="{00000000-0005-0000-0000-0000574B0000}"/>
    <cellStyle name="Normal 3 11 15 2 5" xfId="19297" xr:uid="{00000000-0005-0000-0000-0000584B0000}"/>
    <cellStyle name="Normal 3 11 15 2 5 2" xfId="19298" xr:uid="{00000000-0005-0000-0000-0000594B0000}"/>
    <cellStyle name="Normal 3 11 15 2 5 3" xfId="19299" xr:uid="{00000000-0005-0000-0000-00005A4B0000}"/>
    <cellStyle name="Normal 3 11 15 2 6" xfId="19300" xr:uid="{00000000-0005-0000-0000-00005B4B0000}"/>
    <cellStyle name="Normal 3 11 15 2 6 2" xfId="19301" xr:uid="{00000000-0005-0000-0000-00005C4B0000}"/>
    <cellStyle name="Normal 3 11 15 2 6 3" xfId="19302" xr:uid="{00000000-0005-0000-0000-00005D4B0000}"/>
    <cellStyle name="Normal 3 11 15 2 7" xfId="19303" xr:uid="{00000000-0005-0000-0000-00005E4B0000}"/>
    <cellStyle name="Normal 3 11 15 2 7 2" xfId="19304" xr:uid="{00000000-0005-0000-0000-00005F4B0000}"/>
    <cellStyle name="Normal 3 11 15 2 7 3" xfId="19305" xr:uid="{00000000-0005-0000-0000-0000604B0000}"/>
    <cellStyle name="Normal 3 11 15 2 8" xfId="19306" xr:uid="{00000000-0005-0000-0000-0000614B0000}"/>
    <cellStyle name="Normal 3 11 15 2 8 2" xfId="19307" xr:uid="{00000000-0005-0000-0000-0000624B0000}"/>
    <cellStyle name="Normal 3 11 15 2 8 3" xfId="19308" xr:uid="{00000000-0005-0000-0000-0000634B0000}"/>
    <cellStyle name="Normal 3 11 15 2 9" xfId="19309" xr:uid="{00000000-0005-0000-0000-0000644B0000}"/>
    <cellStyle name="Normal 3 11 15 2 9 2" xfId="19310" xr:uid="{00000000-0005-0000-0000-0000654B0000}"/>
    <cellStyle name="Normal 3 11 15 2 9 3" xfId="19311" xr:uid="{00000000-0005-0000-0000-0000664B0000}"/>
    <cellStyle name="Normal 3 11 15 3" xfId="19312" xr:uid="{00000000-0005-0000-0000-0000674B0000}"/>
    <cellStyle name="Normal 3 11 15 3 2" xfId="19313" xr:uid="{00000000-0005-0000-0000-0000684B0000}"/>
    <cellStyle name="Normal 3 11 15 3 3" xfId="19314" xr:uid="{00000000-0005-0000-0000-0000694B0000}"/>
    <cellStyle name="Normal 3 11 15 4" xfId="19315" xr:uid="{00000000-0005-0000-0000-00006A4B0000}"/>
    <cellStyle name="Normal 3 11 15 4 2" xfId="19316" xr:uid="{00000000-0005-0000-0000-00006B4B0000}"/>
    <cellStyle name="Normal 3 11 15 4 3" xfId="19317" xr:uid="{00000000-0005-0000-0000-00006C4B0000}"/>
    <cellStyle name="Normal 3 11 15 5" xfId="19318" xr:uid="{00000000-0005-0000-0000-00006D4B0000}"/>
    <cellStyle name="Normal 3 11 15 5 2" xfId="19319" xr:uid="{00000000-0005-0000-0000-00006E4B0000}"/>
    <cellStyle name="Normal 3 11 15 5 3" xfId="19320" xr:uid="{00000000-0005-0000-0000-00006F4B0000}"/>
    <cellStyle name="Normal 3 11 15 6" xfId="19321" xr:uid="{00000000-0005-0000-0000-0000704B0000}"/>
    <cellStyle name="Normal 3 11 15 6 2" xfId="19322" xr:uid="{00000000-0005-0000-0000-0000714B0000}"/>
    <cellStyle name="Normal 3 11 15 6 3" xfId="19323" xr:uid="{00000000-0005-0000-0000-0000724B0000}"/>
    <cellStyle name="Normal 3 11 15 7" xfId="19324" xr:uid="{00000000-0005-0000-0000-0000734B0000}"/>
    <cellStyle name="Normal 3 11 15 7 2" xfId="19325" xr:uid="{00000000-0005-0000-0000-0000744B0000}"/>
    <cellStyle name="Normal 3 11 15 7 3" xfId="19326" xr:uid="{00000000-0005-0000-0000-0000754B0000}"/>
    <cellStyle name="Normal 3 11 15 8" xfId="19327" xr:uid="{00000000-0005-0000-0000-0000764B0000}"/>
    <cellStyle name="Normal 3 11 15 8 2" xfId="19328" xr:uid="{00000000-0005-0000-0000-0000774B0000}"/>
    <cellStyle name="Normal 3 11 15 8 3" xfId="19329" xr:uid="{00000000-0005-0000-0000-0000784B0000}"/>
    <cellStyle name="Normal 3 11 15 9" xfId="19330" xr:uid="{00000000-0005-0000-0000-0000794B0000}"/>
    <cellStyle name="Normal 3 11 15 9 2" xfId="19331" xr:uid="{00000000-0005-0000-0000-00007A4B0000}"/>
    <cellStyle name="Normal 3 11 15 9 3" xfId="19332" xr:uid="{00000000-0005-0000-0000-00007B4B0000}"/>
    <cellStyle name="Normal 3 11 16" xfId="19333" xr:uid="{00000000-0005-0000-0000-00007C4B0000}"/>
    <cellStyle name="Normal 3 11 16 10" xfId="19334" xr:uid="{00000000-0005-0000-0000-00007D4B0000}"/>
    <cellStyle name="Normal 3 11 16 10 2" xfId="19335" xr:uid="{00000000-0005-0000-0000-00007E4B0000}"/>
    <cellStyle name="Normal 3 11 16 10 3" xfId="19336" xr:uid="{00000000-0005-0000-0000-00007F4B0000}"/>
    <cellStyle name="Normal 3 11 16 11" xfId="19337" xr:uid="{00000000-0005-0000-0000-0000804B0000}"/>
    <cellStyle name="Normal 3 11 16 11 2" xfId="19338" xr:uid="{00000000-0005-0000-0000-0000814B0000}"/>
    <cellStyle name="Normal 3 11 16 11 3" xfId="19339" xr:uid="{00000000-0005-0000-0000-0000824B0000}"/>
    <cellStyle name="Normal 3 11 16 12" xfId="19340" xr:uid="{00000000-0005-0000-0000-0000834B0000}"/>
    <cellStyle name="Normal 3 11 16 12 2" xfId="19341" xr:uid="{00000000-0005-0000-0000-0000844B0000}"/>
    <cellStyle name="Normal 3 11 16 12 3" xfId="19342" xr:uid="{00000000-0005-0000-0000-0000854B0000}"/>
    <cellStyle name="Normal 3 11 16 13" xfId="19343" xr:uid="{00000000-0005-0000-0000-0000864B0000}"/>
    <cellStyle name="Normal 3 11 16 13 2" xfId="19344" xr:uid="{00000000-0005-0000-0000-0000874B0000}"/>
    <cellStyle name="Normal 3 11 16 13 3" xfId="19345" xr:uid="{00000000-0005-0000-0000-0000884B0000}"/>
    <cellStyle name="Normal 3 11 16 14" xfId="19346" xr:uid="{00000000-0005-0000-0000-0000894B0000}"/>
    <cellStyle name="Normal 3 11 16 14 2" xfId="19347" xr:uid="{00000000-0005-0000-0000-00008A4B0000}"/>
    <cellStyle name="Normal 3 11 16 14 3" xfId="19348" xr:uid="{00000000-0005-0000-0000-00008B4B0000}"/>
    <cellStyle name="Normal 3 11 16 15" xfId="19349" xr:uid="{00000000-0005-0000-0000-00008C4B0000}"/>
    <cellStyle name="Normal 3 11 16 15 2" xfId="19350" xr:uid="{00000000-0005-0000-0000-00008D4B0000}"/>
    <cellStyle name="Normal 3 11 16 15 3" xfId="19351" xr:uid="{00000000-0005-0000-0000-00008E4B0000}"/>
    <cellStyle name="Normal 3 11 16 16" xfId="19352" xr:uid="{00000000-0005-0000-0000-00008F4B0000}"/>
    <cellStyle name="Normal 3 11 16 17" xfId="19353" xr:uid="{00000000-0005-0000-0000-0000904B0000}"/>
    <cellStyle name="Normal 3 11 16 2" xfId="19354" xr:uid="{00000000-0005-0000-0000-0000914B0000}"/>
    <cellStyle name="Normal 3 11 16 2 10" xfId="19355" xr:uid="{00000000-0005-0000-0000-0000924B0000}"/>
    <cellStyle name="Normal 3 11 16 2 10 2" xfId="19356" xr:uid="{00000000-0005-0000-0000-0000934B0000}"/>
    <cellStyle name="Normal 3 11 16 2 10 3" xfId="19357" xr:uid="{00000000-0005-0000-0000-0000944B0000}"/>
    <cellStyle name="Normal 3 11 16 2 11" xfId="19358" xr:uid="{00000000-0005-0000-0000-0000954B0000}"/>
    <cellStyle name="Normal 3 11 16 2 11 2" xfId="19359" xr:uid="{00000000-0005-0000-0000-0000964B0000}"/>
    <cellStyle name="Normal 3 11 16 2 11 3" xfId="19360" xr:uid="{00000000-0005-0000-0000-0000974B0000}"/>
    <cellStyle name="Normal 3 11 16 2 12" xfId="19361" xr:uid="{00000000-0005-0000-0000-0000984B0000}"/>
    <cellStyle name="Normal 3 11 16 2 12 2" xfId="19362" xr:uid="{00000000-0005-0000-0000-0000994B0000}"/>
    <cellStyle name="Normal 3 11 16 2 12 3" xfId="19363" xr:uid="{00000000-0005-0000-0000-00009A4B0000}"/>
    <cellStyle name="Normal 3 11 16 2 13" xfId="19364" xr:uid="{00000000-0005-0000-0000-00009B4B0000}"/>
    <cellStyle name="Normal 3 11 16 2 13 2" xfId="19365" xr:uid="{00000000-0005-0000-0000-00009C4B0000}"/>
    <cellStyle name="Normal 3 11 16 2 13 3" xfId="19366" xr:uid="{00000000-0005-0000-0000-00009D4B0000}"/>
    <cellStyle name="Normal 3 11 16 2 14" xfId="19367" xr:uid="{00000000-0005-0000-0000-00009E4B0000}"/>
    <cellStyle name="Normal 3 11 16 2 14 2" xfId="19368" xr:uid="{00000000-0005-0000-0000-00009F4B0000}"/>
    <cellStyle name="Normal 3 11 16 2 14 3" xfId="19369" xr:uid="{00000000-0005-0000-0000-0000A04B0000}"/>
    <cellStyle name="Normal 3 11 16 2 15" xfId="19370" xr:uid="{00000000-0005-0000-0000-0000A14B0000}"/>
    <cellStyle name="Normal 3 11 16 2 16" xfId="19371" xr:uid="{00000000-0005-0000-0000-0000A24B0000}"/>
    <cellStyle name="Normal 3 11 16 2 2" xfId="19372" xr:uid="{00000000-0005-0000-0000-0000A34B0000}"/>
    <cellStyle name="Normal 3 11 16 2 2 2" xfId="19373" xr:uid="{00000000-0005-0000-0000-0000A44B0000}"/>
    <cellStyle name="Normal 3 11 16 2 2 3" xfId="19374" xr:uid="{00000000-0005-0000-0000-0000A54B0000}"/>
    <cellStyle name="Normal 3 11 16 2 3" xfId="19375" xr:uid="{00000000-0005-0000-0000-0000A64B0000}"/>
    <cellStyle name="Normal 3 11 16 2 3 2" xfId="19376" xr:uid="{00000000-0005-0000-0000-0000A74B0000}"/>
    <cellStyle name="Normal 3 11 16 2 3 3" xfId="19377" xr:uid="{00000000-0005-0000-0000-0000A84B0000}"/>
    <cellStyle name="Normal 3 11 16 2 4" xfId="19378" xr:uid="{00000000-0005-0000-0000-0000A94B0000}"/>
    <cellStyle name="Normal 3 11 16 2 4 2" xfId="19379" xr:uid="{00000000-0005-0000-0000-0000AA4B0000}"/>
    <cellStyle name="Normal 3 11 16 2 4 3" xfId="19380" xr:uid="{00000000-0005-0000-0000-0000AB4B0000}"/>
    <cellStyle name="Normal 3 11 16 2 5" xfId="19381" xr:uid="{00000000-0005-0000-0000-0000AC4B0000}"/>
    <cellStyle name="Normal 3 11 16 2 5 2" xfId="19382" xr:uid="{00000000-0005-0000-0000-0000AD4B0000}"/>
    <cellStyle name="Normal 3 11 16 2 5 3" xfId="19383" xr:uid="{00000000-0005-0000-0000-0000AE4B0000}"/>
    <cellStyle name="Normal 3 11 16 2 6" xfId="19384" xr:uid="{00000000-0005-0000-0000-0000AF4B0000}"/>
    <cellStyle name="Normal 3 11 16 2 6 2" xfId="19385" xr:uid="{00000000-0005-0000-0000-0000B04B0000}"/>
    <cellStyle name="Normal 3 11 16 2 6 3" xfId="19386" xr:uid="{00000000-0005-0000-0000-0000B14B0000}"/>
    <cellStyle name="Normal 3 11 16 2 7" xfId="19387" xr:uid="{00000000-0005-0000-0000-0000B24B0000}"/>
    <cellStyle name="Normal 3 11 16 2 7 2" xfId="19388" xr:uid="{00000000-0005-0000-0000-0000B34B0000}"/>
    <cellStyle name="Normal 3 11 16 2 7 3" xfId="19389" xr:uid="{00000000-0005-0000-0000-0000B44B0000}"/>
    <cellStyle name="Normal 3 11 16 2 8" xfId="19390" xr:uid="{00000000-0005-0000-0000-0000B54B0000}"/>
    <cellStyle name="Normal 3 11 16 2 8 2" xfId="19391" xr:uid="{00000000-0005-0000-0000-0000B64B0000}"/>
    <cellStyle name="Normal 3 11 16 2 8 3" xfId="19392" xr:uid="{00000000-0005-0000-0000-0000B74B0000}"/>
    <cellStyle name="Normal 3 11 16 2 9" xfId="19393" xr:uid="{00000000-0005-0000-0000-0000B84B0000}"/>
    <cellStyle name="Normal 3 11 16 2 9 2" xfId="19394" xr:uid="{00000000-0005-0000-0000-0000B94B0000}"/>
    <cellStyle name="Normal 3 11 16 2 9 3" xfId="19395" xr:uid="{00000000-0005-0000-0000-0000BA4B0000}"/>
    <cellStyle name="Normal 3 11 16 3" xfId="19396" xr:uid="{00000000-0005-0000-0000-0000BB4B0000}"/>
    <cellStyle name="Normal 3 11 16 3 2" xfId="19397" xr:uid="{00000000-0005-0000-0000-0000BC4B0000}"/>
    <cellStyle name="Normal 3 11 16 3 3" xfId="19398" xr:uid="{00000000-0005-0000-0000-0000BD4B0000}"/>
    <cellStyle name="Normal 3 11 16 4" xfId="19399" xr:uid="{00000000-0005-0000-0000-0000BE4B0000}"/>
    <cellStyle name="Normal 3 11 16 4 2" xfId="19400" xr:uid="{00000000-0005-0000-0000-0000BF4B0000}"/>
    <cellStyle name="Normal 3 11 16 4 3" xfId="19401" xr:uid="{00000000-0005-0000-0000-0000C04B0000}"/>
    <cellStyle name="Normal 3 11 16 5" xfId="19402" xr:uid="{00000000-0005-0000-0000-0000C14B0000}"/>
    <cellStyle name="Normal 3 11 16 5 2" xfId="19403" xr:uid="{00000000-0005-0000-0000-0000C24B0000}"/>
    <cellStyle name="Normal 3 11 16 5 3" xfId="19404" xr:uid="{00000000-0005-0000-0000-0000C34B0000}"/>
    <cellStyle name="Normal 3 11 16 6" xfId="19405" xr:uid="{00000000-0005-0000-0000-0000C44B0000}"/>
    <cellStyle name="Normal 3 11 16 6 2" xfId="19406" xr:uid="{00000000-0005-0000-0000-0000C54B0000}"/>
    <cellStyle name="Normal 3 11 16 6 3" xfId="19407" xr:uid="{00000000-0005-0000-0000-0000C64B0000}"/>
    <cellStyle name="Normal 3 11 16 7" xfId="19408" xr:uid="{00000000-0005-0000-0000-0000C74B0000}"/>
    <cellStyle name="Normal 3 11 16 7 2" xfId="19409" xr:uid="{00000000-0005-0000-0000-0000C84B0000}"/>
    <cellStyle name="Normal 3 11 16 7 3" xfId="19410" xr:uid="{00000000-0005-0000-0000-0000C94B0000}"/>
    <cellStyle name="Normal 3 11 16 8" xfId="19411" xr:uid="{00000000-0005-0000-0000-0000CA4B0000}"/>
    <cellStyle name="Normal 3 11 16 8 2" xfId="19412" xr:uid="{00000000-0005-0000-0000-0000CB4B0000}"/>
    <cellStyle name="Normal 3 11 16 8 3" xfId="19413" xr:uid="{00000000-0005-0000-0000-0000CC4B0000}"/>
    <cellStyle name="Normal 3 11 16 9" xfId="19414" xr:uid="{00000000-0005-0000-0000-0000CD4B0000}"/>
    <cellStyle name="Normal 3 11 16 9 2" xfId="19415" xr:uid="{00000000-0005-0000-0000-0000CE4B0000}"/>
    <cellStyle name="Normal 3 11 16 9 3" xfId="19416" xr:uid="{00000000-0005-0000-0000-0000CF4B0000}"/>
    <cellStyle name="Normal 3 11 17" xfId="19417" xr:uid="{00000000-0005-0000-0000-0000D04B0000}"/>
    <cellStyle name="Normal 3 11 17 10" xfId="19418" xr:uid="{00000000-0005-0000-0000-0000D14B0000}"/>
    <cellStyle name="Normal 3 11 17 10 2" xfId="19419" xr:uid="{00000000-0005-0000-0000-0000D24B0000}"/>
    <cellStyle name="Normal 3 11 17 10 3" xfId="19420" xr:uid="{00000000-0005-0000-0000-0000D34B0000}"/>
    <cellStyle name="Normal 3 11 17 11" xfId="19421" xr:uid="{00000000-0005-0000-0000-0000D44B0000}"/>
    <cellStyle name="Normal 3 11 17 11 2" xfId="19422" xr:uid="{00000000-0005-0000-0000-0000D54B0000}"/>
    <cellStyle name="Normal 3 11 17 11 3" xfId="19423" xr:uid="{00000000-0005-0000-0000-0000D64B0000}"/>
    <cellStyle name="Normal 3 11 17 12" xfId="19424" xr:uid="{00000000-0005-0000-0000-0000D74B0000}"/>
    <cellStyle name="Normal 3 11 17 12 2" xfId="19425" xr:uid="{00000000-0005-0000-0000-0000D84B0000}"/>
    <cellStyle name="Normal 3 11 17 12 3" xfId="19426" xr:uid="{00000000-0005-0000-0000-0000D94B0000}"/>
    <cellStyle name="Normal 3 11 17 13" xfId="19427" xr:uid="{00000000-0005-0000-0000-0000DA4B0000}"/>
    <cellStyle name="Normal 3 11 17 13 2" xfId="19428" xr:uid="{00000000-0005-0000-0000-0000DB4B0000}"/>
    <cellStyle name="Normal 3 11 17 13 3" xfId="19429" xr:uid="{00000000-0005-0000-0000-0000DC4B0000}"/>
    <cellStyle name="Normal 3 11 17 14" xfId="19430" xr:uid="{00000000-0005-0000-0000-0000DD4B0000}"/>
    <cellStyle name="Normal 3 11 17 14 2" xfId="19431" xr:uid="{00000000-0005-0000-0000-0000DE4B0000}"/>
    <cellStyle name="Normal 3 11 17 14 3" xfId="19432" xr:uid="{00000000-0005-0000-0000-0000DF4B0000}"/>
    <cellStyle name="Normal 3 11 17 15" xfId="19433" xr:uid="{00000000-0005-0000-0000-0000E04B0000}"/>
    <cellStyle name="Normal 3 11 17 16" xfId="19434" xr:uid="{00000000-0005-0000-0000-0000E14B0000}"/>
    <cellStyle name="Normal 3 11 17 2" xfId="19435" xr:uid="{00000000-0005-0000-0000-0000E24B0000}"/>
    <cellStyle name="Normal 3 11 17 2 2" xfId="19436" xr:uid="{00000000-0005-0000-0000-0000E34B0000}"/>
    <cellStyle name="Normal 3 11 17 2 3" xfId="19437" xr:uid="{00000000-0005-0000-0000-0000E44B0000}"/>
    <cellStyle name="Normal 3 11 17 3" xfId="19438" xr:uid="{00000000-0005-0000-0000-0000E54B0000}"/>
    <cellStyle name="Normal 3 11 17 3 2" xfId="19439" xr:uid="{00000000-0005-0000-0000-0000E64B0000}"/>
    <cellStyle name="Normal 3 11 17 3 3" xfId="19440" xr:uid="{00000000-0005-0000-0000-0000E74B0000}"/>
    <cellStyle name="Normal 3 11 17 4" xfId="19441" xr:uid="{00000000-0005-0000-0000-0000E84B0000}"/>
    <cellStyle name="Normal 3 11 17 4 2" xfId="19442" xr:uid="{00000000-0005-0000-0000-0000E94B0000}"/>
    <cellStyle name="Normal 3 11 17 4 3" xfId="19443" xr:uid="{00000000-0005-0000-0000-0000EA4B0000}"/>
    <cellStyle name="Normal 3 11 17 5" xfId="19444" xr:uid="{00000000-0005-0000-0000-0000EB4B0000}"/>
    <cellStyle name="Normal 3 11 17 5 2" xfId="19445" xr:uid="{00000000-0005-0000-0000-0000EC4B0000}"/>
    <cellStyle name="Normal 3 11 17 5 3" xfId="19446" xr:uid="{00000000-0005-0000-0000-0000ED4B0000}"/>
    <cellStyle name="Normal 3 11 17 6" xfId="19447" xr:uid="{00000000-0005-0000-0000-0000EE4B0000}"/>
    <cellStyle name="Normal 3 11 17 6 2" xfId="19448" xr:uid="{00000000-0005-0000-0000-0000EF4B0000}"/>
    <cellStyle name="Normal 3 11 17 6 3" xfId="19449" xr:uid="{00000000-0005-0000-0000-0000F04B0000}"/>
    <cellStyle name="Normal 3 11 17 7" xfId="19450" xr:uid="{00000000-0005-0000-0000-0000F14B0000}"/>
    <cellStyle name="Normal 3 11 17 7 2" xfId="19451" xr:uid="{00000000-0005-0000-0000-0000F24B0000}"/>
    <cellStyle name="Normal 3 11 17 7 3" xfId="19452" xr:uid="{00000000-0005-0000-0000-0000F34B0000}"/>
    <cellStyle name="Normal 3 11 17 8" xfId="19453" xr:uid="{00000000-0005-0000-0000-0000F44B0000}"/>
    <cellStyle name="Normal 3 11 17 8 2" xfId="19454" xr:uid="{00000000-0005-0000-0000-0000F54B0000}"/>
    <cellStyle name="Normal 3 11 17 8 3" xfId="19455" xr:uid="{00000000-0005-0000-0000-0000F64B0000}"/>
    <cellStyle name="Normal 3 11 17 9" xfId="19456" xr:uid="{00000000-0005-0000-0000-0000F74B0000}"/>
    <cellStyle name="Normal 3 11 17 9 2" xfId="19457" xr:uid="{00000000-0005-0000-0000-0000F84B0000}"/>
    <cellStyle name="Normal 3 11 17 9 3" xfId="19458" xr:uid="{00000000-0005-0000-0000-0000F94B0000}"/>
    <cellStyle name="Normal 3 11 18" xfId="19459" xr:uid="{00000000-0005-0000-0000-0000FA4B0000}"/>
    <cellStyle name="Normal 3 11 18 10" xfId="19460" xr:uid="{00000000-0005-0000-0000-0000FB4B0000}"/>
    <cellStyle name="Normal 3 11 18 10 2" xfId="19461" xr:uid="{00000000-0005-0000-0000-0000FC4B0000}"/>
    <cellStyle name="Normal 3 11 18 10 3" xfId="19462" xr:uid="{00000000-0005-0000-0000-0000FD4B0000}"/>
    <cellStyle name="Normal 3 11 18 11" xfId="19463" xr:uid="{00000000-0005-0000-0000-0000FE4B0000}"/>
    <cellStyle name="Normal 3 11 18 11 2" xfId="19464" xr:uid="{00000000-0005-0000-0000-0000FF4B0000}"/>
    <cellStyle name="Normal 3 11 18 11 3" xfId="19465" xr:uid="{00000000-0005-0000-0000-0000004C0000}"/>
    <cellStyle name="Normal 3 11 18 12" xfId="19466" xr:uid="{00000000-0005-0000-0000-0000014C0000}"/>
    <cellStyle name="Normal 3 11 18 12 2" xfId="19467" xr:uid="{00000000-0005-0000-0000-0000024C0000}"/>
    <cellStyle name="Normal 3 11 18 12 3" xfId="19468" xr:uid="{00000000-0005-0000-0000-0000034C0000}"/>
    <cellStyle name="Normal 3 11 18 13" xfId="19469" xr:uid="{00000000-0005-0000-0000-0000044C0000}"/>
    <cellStyle name="Normal 3 11 18 13 2" xfId="19470" xr:uid="{00000000-0005-0000-0000-0000054C0000}"/>
    <cellStyle name="Normal 3 11 18 13 3" xfId="19471" xr:uid="{00000000-0005-0000-0000-0000064C0000}"/>
    <cellStyle name="Normal 3 11 18 14" xfId="19472" xr:uid="{00000000-0005-0000-0000-0000074C0000}"/>
    <cellStyle name="Normal 3 11 18 14 2" xfId="19473" xr:uid="{00000000-0005-0000-0000-0000084C0000}"/>
    <cellStyle name="Normal 3 11 18 14 3" xfId="19474" xr:uid="{00000000-0005-0000-0000-0000094C0000}"/>
    <cellStyle name="Normal 3 11 18 15" xfId="19475" xr:uid="{00000000-0005-0000-0000-00000A4C0000}"/>
    <cellStyle name="Normal 3 11 18 16" xfId="19476" xr:uid="{00000000-0005-0000-0000-00000B4C0000}"/>
    <cellStyle name="Normal 3 11 18 2" xfId="19477" xr:uid="{00000000-0005-0000-0000-00000C4C0000}"/>
    <cellStyle name="Normal 3 11 18 2 2" xfId="19478" xr:uid="{00000000-0005-0000-0000-00000D4C0000}"/>
    <cellStyle name="Normal 3 11 18 2 3" xfId="19479" xr:uid="{00000000-0005-0000-0000-00000E4C0000}"/>
    <cellStyle name="Normal 3 11 18 3" xfId="19480" xr:uid="{00000000-0005-0000-0000-00000F4C0000}"/>
    <cellStyle name="Normal 3 11 18 3 2" xfId="19481" xr:uid="{00000000-0005-0000-0000-0000104C0000}"/>
    <cellStyle name="Normal 3 11 18 3 3" xfId="19482" xr:uid="{00000000-0005-0000-0000-0000114C0000}"/>
    <cellStyle name="Normal 3 11 18 4" xfId="19483" xr:uid="{00000000-0005-0000-0000-0000124C0000}"/>
    <cellStyle name="Normal 3 11 18 4 2" xfId="19484" xr:uid="{00000000-0005-0000-0000-0000134C0000}"/>
    <cellStyle name="Normal 3 11 18 4 3" xfId="19485" xr:uid="{00000000-0005-0000-0000-0000144C0000}"/>
    <cellStyle name="Normal 3 11 18 5" xfId="19486" xr:uid="{00000000-0005-0000-0000-0000154C0000}"/>
    <cellStyle name="Normal 3 11 18 5 2" xfId="19487" xr:uid="{00000000-0005-0000-0000-0000164C0000}"/>
    <cellStyle name="Normal 3 11 18 5 3" xfId="19488" xr:uid="{00000000-0005-0000-0000-0000174C0000}"/>
    <cellStyle name="Normal 3 11 18 6" xfId="19489" xr:uid="{00000000-0005-0000-0000-0000184C0000}"/>
    <cellStyle name="Normal 3 11 18 6 2" xfId="19490" xr:uid="{00000000-0005-0000-0000-0000194C0000}"/>
    <cellStyle name="Normal 3 11 18 6 3" xfId="19491" xr:uid="{00000000-0005-0000-0000-00001A4C0000}"/>
    <cellStyle name="Normal 3 11 18 7" xfId="19492" xr:uid="{00000000-0005-0000-0000-00001B4C0000}"/>
    <cellStyle name="Normal 3 11 18 7 2" xfId="19493" xr:uid="{00000000-0005-0000-0000-00001C4C0000}"/>
    <cellStyle name="Normal 3 11 18 7 3" xfId="19494" xr:uid="{00000000-0005-0000-0000-00001D4C0000}"/>
    <cellStyle name="Normal 3 11 18 8" xfId="19495" xr:uid="{00000000-0005-0000-0000-00001E4C0000}"/>
    <cellStyle name="Normal 3 11 18 8 2" xfId="19496" xr:uid="{00000000-0005-0000-0000-00001F4C0000}"/>
    <cellStyle name="Normal 3 11 18 8 3" xfId="19497" xr:uid="{00000000-0005-0000-0000-0000204C0000}"/>
    <cellStyle name="Normal 3 11 18 9" xfId="19498" xr:uid="{00000000-0005-0000-0000-0000214C0000}"/>
    <cellStyle name="Normal 3 11 18 9 2" xfId="19499" xr:uid="{00000000-0005-0000-0000-0000224C0000}"/>
    <cellStyle name="Normal 3 11 18 9 3" xfId="19500" xr:uid="{00000000-0005-0000-0000-0000234C0000}"/>
    <cellStyle name="Normal 3 11 19" xfId="19501" xr:uid="{00000000-0005-0000-0000-0000244C0000}"/>
    <cellStyle name="Normal 3 11 19 10" xfId="19502" xr:uid="{00000000-0005-0000-0000-0000254C0000}"/>
    <cellStyle name="Normal 3 11 19 10 2" xfId="19503" xr:uid="{00000000-0005-0000-0000-0000264C0000}"/>
    <cellStyle name="Normal 3 11 19 10 3" xfId="19504" xr:uid="{00000000-0005-0000-0000-0000274C0000}"/>
    <cellStyle name="Normal 3 11 19 11" xfId="19505" xr:uid="{00000000-0005-0000-0000-0000284C0000}"/>
    <cellStyle name="Normal 3 11 19 11 2" xfId="19506" xr:uid="{00000000-0005-0000-0000-0000294C0000}"/>
    <cellStyle name="Normal 3 11 19 11 3" xfId="19507" xr:uid="{00000000-0005-0000-0000-00002A4C0000}"/>
    <cellStyle name="Normal 3 11 19 12" xfId="19508" xr:uid="{00000000-0005-0000-0000-00002B4C0000}"/>
    <cellStyle name="Normal 3 11 19 12 2" xfId="19509" xr:uid="{00000000-0005-0000-0000-00002C4C0000}"/>
    <cellStyle name="Normal 3 11 19 12 3" xfId="19510" xr:uid="{00000000-0005-0000-0000-00002D4C0000}"/>
    <cellStyle name="Normal 3 11 19 13" xfId="19511" xr:uid="{00000000-0005-0000-0000-00002E4C0000}"/>
    <cellStyle name="Normal 3 11 19 13 2" xfId="19512" xr:uid="{00000000-0005-0000-0000-00002F4C0000}"/>
    <cellStyle name="Normal 3 11 19 13 3" xfId="19513" xr:uid="{00000000-0005-0000-0000-0000304C0000}"/>
    <cellStyle name="Normal 3 11 19 14" xfId="19514" xr:uid="{00000000-0005-0000-0000-0000314C0000}"/>
    <cellStyle name="Normal 3 11 19 14 2" xfId="19515" xr:uid="{00000000-0005-0000-0000-0000324C0000}"/>
    <cellStyle name="Normal 3 11 19 14 3" xfId="19516" xr:uid="{00000000-0005-0000-0000-0000334C0000}"/>
    <cellStyle name="Normal 3 11 19 15" xfId="19517" xr:uid="{00000000-0005-0000-0000-0000344C0000}"/>
    <cellStyle name="Normal 3 11 19 16" xfId="19518" xr:uid="{00000000-0005-0000-0000-0000354C0000}"/>
    <cellStyle name="Normal 3 11 19 2" xfId="19519" xr:uid="{00000000-0005-0000-0000-0000364C0000}"/>
    <cellStyle name="Normal 3 11 19 2 2" xfId="19520" xr:uid="{00000000-0005-0000-0000-0000374C0000}"/>
    <cellStyle name="Normal 3 11 19 2 3" xfId="19521" xr:uid="{00000000-0005-0000-0000-0000384C0000}"/>
    <cellStyle name="Normal 3 11 19 3" xfId="19522" xr:uid="{00000000-0005-0000-0000-0000394C0000}"/>
    <cellStyle name="Normal 3 11 19 3 2" xfId="19523" xr:uid="{00000000-0005-0000-0000-00003A4C0000}"/>
    <cellStyle name="Normal 3 11 19 3 3" xfId="19524" xr:uid="{00000000-0005-0000-0000-00003B4C0000}"/>
    <cellStyle name="Normal 3 11 19 4" xfId="19525" xr:uid="{00000000-0005-0000-0000-00003C4C0000}"/>
    <cellStyle name="Normal 3 11 19 4 2" xfId="19526" xr:uid="{00000000-0005-0000-0000-00003D4C0000}"/>
    <cellStyle name="Normal 3 11 19 4 3" xfId="19527" xr:uid="{00000000-0005-0000-0000-00003E4C0000}"/>
    <cellStyle name="Normal 3 11 19 5" xfId="19528" xr:uid="{00000000-0005-0000-0000-00003F4C0000}"/>
    <cellStyle name="Normal 3 11 19 5 2" xfId="19529" xr:uid="{00000000-0005-0000-0000-0000404C0000}"/>
    <cellStyle name="Normal 3 11 19 5 3" xfId="19530" xr:uid="{00000000-0005-0000-0000-0000414C0000}"/>
    <cellStyle name="Normal 3 11 19 6" xfId="19531" xr:uid="{00000000-0005-0000-0000-0000424C0000}"/>
    <cellStyle name="Normal 3 11 19 6 2" xfId="19532" xr:uid="{00000000-0005-0000-0000-0000434C0000}"/>
    <cellStyle name="Normal 3 11 19 6 3" xfId="19533" xr:uid="{00000000-0005-0000-0000-0000444C0000}"/>
    <cellStyle name="Normal 3 11 19 7" xfId="19534" xr:uid="{00000000-0005-0000-0000-0000454C0000}"/>
    <cellStyle name="Normal 3 11 19 7 2" xfId="19535" xr:uid="{00000000-0005-0000-0000-0000464C0000}"/>
    <cellStyle name="Normal 3 11 19 7 3" xfId="19536" xr:uid="{00000000-0005-0000-0000-0000474C0000}"/>
    <cellStyle name="Normal 3 11 19 8" xfId="19537" xr:uid="{00000000-0005-0000-0000-0000484C0000}"/>
    <cellStyle name="Normal 3 11 19 8 2" xfId="19538" xr:uid="{00000000-0005-0000-0000-0000494C0000}"/>
    <cellStyle name="Normal 3 11 19 8 3" xfId="19539" xr:uid="{00000000-0005-0000-0000-00004A4C0000}"/>
    <cellStyle name="Normal 3 11 19 9" xfId="19540" xr:uid="{00000000-0005-0000-0000-00004B4C0000}"/>
    <cellStyle name="Normal 3 11 19 9 2" xfId="19541" xr:uid="{00000000-0005-0000-0000-00004C4C0000}"/>
    <cellStyle name="Normal 3 11 19 9 3" xfId="19542" xr:uid="{00000000-0005-0000-0000-00004D4C0000}"/>
    <cellStyle name="Normal 3 11 2" xfId="19543" xr:uid="{00000000-0005-0000-0000-00004E4C0000}"/>
    <cellStyle name="Normal 3 11 20" xfId="19544" xr:uid="{00000000-0005-0000-0000-00004F4C0000}"/>
    <cellStyle name="Normal 3 11 20 10" xfId="19545" xr:uid="{00000000-0005-0000-0000-0000504C0000}"/>
    <cellStyle name="Normal 3 11 20 10 2" xfId="19546" xr:uid="{00000000-0005-0000-0000-0000514C0000}"/>
    <cellStyle name="Normal 3 11 20 10 3" xfId="19547" xr:uid="{00000000-0005-0000-0000-0000524C0000}"/>
    <cellStyle name="Normal 3 11 20 11" xfId="19548" xr:uid="{00000000-0005-0000-0000-0000534C0000}"/>
    <cellStyle name="Normal 3 11 20 11 2" xfId="19549" xr:uid="{00000000-0005-0000-0000-0000544C0000}"/>
    <cellStyle name="Normal 3 11 20 11 3" xfId="19550" xr:uid="{00000000-0005-0000-0000-0000554C0000}"/>
    <cellStyle name="Normal 3 11 20 12" xfId="19551" xr:uid="{00000000-0005-0000-0000-0000564C0000}"/>
    <cellStyle name="Normal 3 11 20 12 2" xfId="19552" xr:uid="{00000000-0005-0000-0000-0000574C0000}"/>
    <cellStyle name="Normal 3 11 20 12 3" xfId="19553" xr:uid="{00000000-0005-0000-0000-0000584C0000}"/>
    <cellStyle name="Normal 3 11 20 13" xfId="19554" xr:uid="{00000000-0005-0000-0000-0000594C0000}"/>
    <cellStyle name="Normal 3 11 20 13 2" xfId="19555" xr:uid="{00000000-0005-0000-0000-00005A4C0000}"/>
    <cellStyle name="Normal 3 11 20 13 3" xfId="19556" xr:uid="{00000000-0005-0000-0000-00005B4C0000}"/>
    <cellStyle name="Normal 3 11 20 14" xfId="19557" xr:uid="{00000000-0005-0000-0000-00005C4C0000}"/>
    <cellStyle name="Normal 3 11 20 14 2" xfId="19558" xr:uid="{00000000-0005-0000-0000-00005D4C0000}"/>
    <cellStyle name="Normal 3 11 20 14 3" xfId="19559" xr:uid="{00000000-0005-0000-0000-00005E4C0000}"/>
    <cellStyle name="Normal 3 11 20 15" xfId="19560" xr:uid="{00000000-0005-0000-0000-00005F4C0000}"/>
    <cellStyle name="Normal 3 11 20 16" xfId="19561" xr:uid="{00000000-0005-0000-0000-0000604C0000}"/>
    <cellStyle name="Normal 3 11 20 2" xfId="19562" xr:uid="{00000000-0005-0000-0000-0000614C0000}"/>
    <cellStyle name="Normal 3 11 20 2 2" xfId="19563" xr:uid="{00000000-0005-0000-0000-0000624C0000}"/>
    <cellStyle name="Normal 3 11 20 2 3" xfId="19564" xr:uid="{00000000-0005-0000-0000-0000634C0000}"/>
    <cellStyle name="Normal 3 11 20 3" xfId="19565" xr:uid="{00000000-0005-0000-0000-0000644C0000}"/>
    <cellStyle name="Normal 3 11 20 3 2" xfId="19566" xr:uid="{00000000-0005-0000-0000-0000654C0000}"/>
    <cellStyle name="Normal 3 11 20 3 3" xfId="19567" xr:uid="{00000000-0005-0000-0000-0000664C0000}"/>
    <cellStyle name="Normal 3 11 20 4" xfId="19568" xr:uid="{00000000-0005-0000-0000-0000674C0000}"/>
    <cellStyle name="Normal 3 11 20 4 2" xfId="19569" xr:uid="{00000000-0005-0000-0000-0000684C0000}"/>
    <cellStyle name="Normal 3 11 20 4 3" xfId="19570" xr:uid="{00000000-0005-0000-0000-0000694C0000}"/>
    <cellStyle name="Normal 3 11 20 5" xfId="19571" xr:uid="{00000000-0005-0000-0000-00006A4C0000}"/>
    <cellStyle name="Normal 3 11 20 5 2" xfId="19572" xr:uid="{00000000-0005-0000-0000-00006B4C0000}"/>
    <cellStyle name="Normal 3 11 20 5 3" xfId="19573" xr:uid="{00000000-0005-0000-0000-00006C4C0000}"/>
    <cellStyle name="Normal 3 11 20 6" xfId="19574" xr:uid="{00000000-0005-0000-0000-00006D4C0000}"/>
    <cellStyle name="Normal 3 11 20 6 2" xfId="19575" xr:uid="{00000000-0005-0000-0000-00006E4C0000}"/>
    <cellStyle name="Normal 3 11 20 6 3" xfId="19576" xr:uid="{00000000-0005-0000-0000-00006F4C0000}"/>
    <cellStyle name="Normal 3 11 20 7" xfId="19577" xr:uid="{00000000-0005-0000-0000-0000704C0000}"/>
    <cellStyle name="Normal 3 11 20 7 2" xfId="19578" xr:uid="{00000000-0005-0000-0000-0000714C0000}"/>
    <cellStyle name="Normal 3 11 20 7 3" xfId="19579" xr:uid="{00000000-0005-0000-0000-0000724C0000}"/>
    <cellStyle name="Normal 3 11 20 8" xfId="19580" xr:uid="{00000000-0005-0000-0000-0000734C0000}"/>
    <cellStyle name="Normal 3 11 20 8 2" xfId="19581" xr:uid="{00000000-0005-0000-0000-0000744C0000}"/>
    <cellStyle name="Normal 3 11 20 8 3" xfId="19582" xr:uid="{00000000-0005-0000-0000-0000754C0000}"/>
    <cellStyle name="Normal 3 11 20 9" xfId="19583" xr:uid="{00000000-0005-0000-0000-0000764C0000}"/>
    <cellStyle name="Normal 3 11 20 9 2" xfId="19584" xr:uid="{00000000-0005-0000-0000-0000774C0000}"/>
    <cellStyle name="Normal 3 11 20 9 3" xfId="19585" xr:uid="{00000000-0005-0000-0000-0000784C0000}"/>
    <cellStyle name="Normal 3 11 21" xfId="19586" xr:uid="{00000000-0005-0000-0000-0000794C0000}"/>
    <cellStyle name="Normal 3 11 21 10" xfId="19587" xr:uid="{00000000-0005-0000-0000-00007A4C0000}"/>
    <cellStyle name="Normal 3 11 21 10 2" xfId="19588" xr:uid="{00000000-0005-0000-0000-00007B4C0000}"/>
    <cellStyle name="Normal 3 11 21 10 3" xfId="19589" xr:uid="{00000000-0005-0000-0000-00007C4C0000}"/>
    <cellStyle name="Normal 3 11 21 11" xfId="19590" xr:uid="{00000000-0005-0000-0000-00007D4C0000}"/>
    <cellStyle name="Normal 3 11 21 11 2" xfId="19591" xr:uid="{00000000-0005-0000-0000-00007E4C0000}"/>
    <cellStyle name="Normal 3 11 21 11 3" xfId="19592" xr:uid="{00000000-0005-0000-0000-00007F4C0000}"/>
    <cellStyle name="Normal 3 11 21 12" xfId="19593" xr:uid="{00000000-0005-0000-0000-0000804C0000}"/>
    <cellStyle name="Normal 3 11 21 12 2" xfId="19594" xr:uid="{00000000-0005-0000-0000-0000814C0000}"/>
    <cellStyle name="Normal 3 11 21 12 3" xfId="19595" xr:uid="{00000000-0005-0000-0000-0000824C0000}"/>
    <cellStyle name="Normal 3 11 21 13" xfId="19596" xr:uid="{00000000-0005-0000-0000-0000834C0000}"/>
    <cellStyle name="Normal 3 11 21 13 2" xfId="19597" xr:uid="{00000000-0005-0000-0000-0000844C0000}"/>
    <cellStyle name="Normal 3 11 21 13 3" xfId="19598" xr:uid="{00000000-0005-0000-0000-0000854C0000}"/>
    <cellStyle name="Normal 3 11 21 14" xfId="19599" xr:uid="{00000000-0005-0000-0000-0000864C0000}"/>
    <cellStyle name="Normal 3 11 21 14 2" xfId="19600" xr:uid="{00000000-0005-0000-0000-0000874C0000}"/>
    <cellStyle name="Normal 3 11 21 14 3" xfId="19601" xr:uid="{00000000-0005-0000-0000-0000884C0000}"/>
    <cellStyle name="Normal 3 11 21 15" xfId="19602" xr:uid="{00000000-0005-0000-0000-0000894C0000}"/>
    <cellStyle name="Normal 3 11 21 16" xfId="19603" xr:uid="{00000000-0005-0000-0000-00008A4C0000}"/>
    <cellStyle name="Normal 3 11 21 2" xfId="19604" xr:uid="{00000000-0005-0000-0000-00008B4C0000}"/>
    <cellStyle name="Normal 3 11 21 2 2" xfId="19605" xr:uid="{00000000-0005-0000-0000-00008C4C0000}"/>
    <cellStyle name="Normal 3 11 21 2 3" xfId="19606" xr:uid="{00000000-0005-0000-0000-00008D4C0000}"/>
    <cellStyle name="Normal 3 11 21 3" xfId="19607" xr:uid="{00000000-0005-0000-0000-00008E4C0000}"/>
    <cellStyle name="Normal 3 11 21 3 2" xfId="19608" xr:uid="{00000000-0005-0000-0000-00008F4C0000}"/>
    <cellStyle name="Normal 3 11 21 3 3" xfId="19609" xr:uid="{00000000-0005-0000-0000-0000904C0000}"/>
    <cellStyle name="Normal 3 11 21 4" xfId="19610" xr:uid="{00000000-0005-0000-0000-0000914C0000}"/>
    <cellStyle name="Normal 3 11 21 4 2" xfId="19611" xr:uid="{00000000-0005-0000-0000-0000924C0000}"/>
    <cellStyle name="Normal 3 11 21 4 3" xfId="19612" xr:uid="{00000000-0005-0000-0000-0000934C0000}"/>
    <cellStyle name="Normal 3 11 21 5" xfId="19613" xr:uid="{00000000-0005-0000-0000-0000944C0000}"/>
    <cellStyle name="Normal 3 11 21 5 2" xfId="19614" xr:uid="{00000000-0005-0000-0000-0000954C0000}"/>
    <cellStyle name="Normal 3 11 21 5 3" xfId="19615" xr:uid="{00000000-0005-0000-0000-0000964C0000}"/>
    <cellStyle name="Normal 3 11 21 6" xfId="19616" xr:uid="{00000000-0005-0000-0000-0000974C0000}"/>
    <cellStyle name="Normal 3 11 21 6 2" xfId="19617" xr:uid="{00000000-0005-0000-0000-0000984C0000}"/>
    <cellStyle name="Normal 3 11 21 6 3" xfId="19618" xr:uid="{00000000-0005-0000-0000-0000994C0000}"/>
    <cellStyle name="Normal 3 11 21 7" xfId="19619" xr:uid="{00000000-0005-0000-0000-00009A4C0000}"/>
    <cellStyle name="Normal 3 11 21 7 2" xfId="19620" xr:uid="{00000000-0005-0000-0000-00009B4C0000}"/>
    <cellStyle name="Normal 3 11 21 7 3" xfId="19621" xr:uid="{00000000-0005-0000-0000-00009C4C0000}"/>
    <cellStyle name="Normal 3 11 21 8" xfId="19622" xr:uid="{00000000-0005-0000-0000-00009D4C0000}"/>
    <cellStyle name="Normal 3 11 21 8 2" xfId="19623" xr:uid="{00000000-0005-0000-0000-00009E4C0000}"/>
    <cellStyle name="Normal 3 11 21 8 3" xfId="19624" xr:uid="{00000000-0005-0000-0000-00009F4C0000}"/>
    <cellStyle name="Normal 3 11 21 9" xfId="19625" xr:uid="{00000000-0005-0000-0000-0000A04C0000}"/>
    <cellStyle name="Normal 3 11 21 9 2" xfId="19626" xr:uid="{00000000-0005-0000-0000-0000A14C0000}"/>
    <cellStyle name="Normal 3 11 21 9 3" xfId="19627" xr:uid="{00000000-0005-0000-0000-0000A24C0000}"/>
    <cellStyle name="Normal 3 11 22" xfId="19628" xr:uid="{00000000-0005-0000-0000-0000A34C0000}"/>
    <cellStyle name="Normal 3 11 22 10" xfId="19629" xr:uid="{00000000-0005-0000-0000-0000A44C0000}"/>
    <cellStyle name="Normal 3 11 22 10 2" xfId="19630" xr:uid="{00000000-0005-0000-0000-0000A54C0000}"/>
    <cellStyle name="Normal 3 11 22 10 3" xfId="19631" xr:uid="{00000000-0005-0000-0000-0000A64C0000}"/>
    <cellStyle name="Normal 3 11 22 11" xfId="19632" xr:uid="{00000000-0005-0000-0000-0000A74C0000}"/>
    <cellStyle name="Normal 3 11 22 11 2" xfId="19633" xr:uid="{00000000-0005-0000-0000-0000A84C0000}"/>
    <cellStyle name="Normal 3 11 22 11 3" xfId="19634" xr:uid="{00000000-0005-0000-0000-0000A94C0000}"/>
    <cellStyle name="Normal 3 11 22 12" xfId="19635" xr:uid="{00000000-0005-0000-0000-0000AA4C0000}"/>
    <cellStyle name="Normal 3 11 22 12 2" xfId="19636" xr:uid="{00000000-0005-0000-0000-0000AB4C0000}"/>
    <cellStyle name="Normal 3 11 22 12 3" xfId="19637" xr:uid="{00000000-0005-0000-0000-0000AC4C0000}"/>
    <cellStyle name="Normal 3 11 22 13" xfId="19638" xr:uid="{00000000-0005-0000-0000-0000AD4C0000}"/>
    <cellStyle name="Normal 3 11 22 13 2" xfId="19639" xr:uid="{00000000-0005-0000-0000-0000AE4C0000}"/>
    <cellStyle name="Normal 3 11 22 13 3" xfId="19640" xr:uid="{00000000-0005-0000-0000-0000AF4C0000}"/>
    <cellStyle name="Normal 3 11 22 14" xfId="19641" xr:uid="{00000000-0005-0000-0000-0000B04C0000}"/>
    <cellStyle name="Normal 3 11 22 14 2" xfId="19642" xr:uid="{00000000-0005-0000-0000-0000B14C0000}"/>
    <cellStyle name="Normal 3 11 22 14 3" xfId="19643" xr:uid="{00000000-0005-0000-0000-0000B24C0000}"/>
    <cellStyle name="Normal 3 11 22 15" xfId="19644" xr:uid="{00000000-0005-0000-0000-0000B34C0000}"/>
    <cellStyle name="Normal 3 11 22 16" xfId="19645" xr:uid="{00000000-0005-0000-0000-0000B44C0000}"/>
    <cellStyle name="Normal 3 11 22 2" xfId="19646" xr:uid="{00000000-0005-0000-0000-0000B54C0000}"/>
    <cellStyle name="Normal 3 11 22 2 2" xfId="19647" xr:uid="{00000000-0005-0000-0000-0000B64C0000}"/>
    <cellStyle name="Normal 3 11 22 2 3" xfId="19648" xr:uid="{00000000-0005-0000-0000-0000B74C0000}"/>
    <cellStyle name="Normal 3 11 22 3" xfId="19649" xr:uid="{00000000-0005-0000-0000-0000B84C0000}"/>
    <cellStyle name="Normal 3 11 22 3 2" xfId="19650" xr:uid="{00000000-0005-0000-0000-0000B94C0000}"/>
    <cellStyle name="Normal 3 11 22 3 3" xfId="19651" xr:uid="{00000000-0005-0000-0000-0000BA4C0000}"/>
    <cellStyle name="Normal 3 11 22 4" xfId="19652" xr:uid="{00000000-0005-0000-0000-0000BB4C0000}"/>
    <cellStyle name="Normal 3 11 22 4 2" xfId="19653" xr:uid="{00000000-0005-0000-0000-0000BC4C0000}"/>
    <cellStyle name="Normal 3 11 22 4 3" xfId="19654" xr:uid="{00000000-0005-0000-0000-0000BD4C0000}"/>
    <cellStyle name="Normal 3 11 22 5" xfId="19655" xr:uid="{00000000-0005-0000-0000-0000BE4C0000}"/>
    <cellStyle name="Normal 3 11 22 5 2" xfId="19656" xr:uid="{00000000-0005-0000-0000-0000BF4C0000}"/>
    <cellStyle name="Normal 3 11 22 5 3" xfId="19657" xr:uid="{00000000-0005-0000-0000-0000C04C0000}"/>
    <cellStyle name="Normal 3 11 22 6" xfId="19658" xr:uid="{00000000-0005-0000-0000-0000C14C0000}"/>
    <cellStyle name="Normal 3 11 22 6 2" xfId="19659" xr:uid="{00000000-0005-0000-0000-0000C24C0000}"/>
    <cellStyle name="Normal 3 11 22 6 3" xfId="19660" xr:uid="{00000000-0005-0000-0000-0000C34C0000}"/>
    <cellStyle name="Normal 3 11 22 7" xfId="19661" xr:uid="{00000000-0005-0000-0000-0000C44C0000}"/>
    <cellStyle name="Normal 3 11 22 7 2" xfId="19662" xr:uid="{00000000-0005-0000-0000-0000C54C0000}"/>
    <cellStyle name="Normal 3 11 22 7 3" xfId="19663" xr:uid="{00000000-0005-0000-0000-0000C64C0000}"/>
    <cellStyle name="Normal 3 11 22 8" xfId="19664" xr:uid="{00000000-0005-0000-0000-0000C74C0000}"/>
    <cellStyle name="Normal 3 11 22 8 2" xfId="19665" xr:uid="{00000000-0005-0000-0000-0000C84C0000}"/>
    <cellStyle name="Normal 3 11 22 8 3" xfId="19666" xr:uid="{00000000-0005-0000-0000-0000C94C0000}"/>
    <cellStyle name="Normal 3 11 22 9" xfId="19667" xr:uid="{00000000-0005-0000-0000-0000CA4C0000}"/>
    <cellStyle name="Normal 3 11 22 9 2" xfId="19668" xr:uid="{00000000-0005-0000-0000-0000CB4C0000}"/>
    <cellStyle name="Normal 3 11 22 9 3" xfId="19669" xr:uid="{00000000-0005-0000-0000-0000CC4C0000}"/>
    <cellStyle name="Normal 3 11 23" xfId="19670" xr:uid="{00000000-0005-0000-0000-0000CD4C0000}"/>
    <cellStyle name="Normal 3 11 24" xfId="19671" xr:uid="{00000000-0005-0000-0000-0000CE4C0000}"/>
    <cellStyle name="Normal 3 11 25" xfId="19672" xr:uid="{00000000-0005-0000-0000-0000CF4C0000}"/>
    <cellStyle name="Normal 3 11 25 10" xfId="19673" xr:uid="{00000000-0005-0000-0000-0000D04C0000}"/>
    <cellStyle name="Normal 3 11 25 10 2" xfId="19674" xr:uid="{00000000-0005-0000-0000-0000D14C0000}"/>
    <cellStyle name="Normal 3 11 25 10 3" xfId="19675" xr:uid="{00000000-0005-0000-0000-0000D24C0000}"/>
    <cellStyle name="Normal 3 11 25 11" xfId="19676" xr:uid="{00000000-0005-0000-0000-0000D34C0000}"/>
    <cellStyle name="Normal 3 11 25 11 2" xfId="19677" xr:uid="{00000000-0005-0000-0000-0000D44C0000}"/>
    <cellStyle name="Normal 3 11 25 11 3" xfId="19678" xr:uid="{00000000-0005-0000-0000-0000D54C0000}"/>
    <cellStyle name="Normal 3 11 25 12" xfId="19679" xr:uid="{00000000-0005-0000-0000-0000D64C0000}"/>
    <cellStyle name="Normal 3 11 25 12 2" xfId="19680" xr:uid="{00000000-0005-0000-0000-0000D74C0000}"/>
    <cellStyle name="Normal 3 11 25 12 3" xfId="19681" xr:uid="{00000000-0005-0000-0000-0000D84C0000}"/>
    <cellStyle name="Normal 3 11 25 13" xfId="19682" xr:uid="{00000000-0005-0000-0000-0000D94C0000}"/>
    <cellStyle name="Normal 3 11 25 13 2" xfId="19683" xr:uid="{00000000-0005-0000-0000-0000DA4C0000}"/>
    <cellStyle name="Normal 3 11 25 13 3" xfId="19684" xr:uid="{00000000-0005-0000-0000-0000DB4C0000}"/>
    <cellStyle name="Normal 3 11 25 14" xfId="19685" xr:uid="{00000000-0005-0000-0000-0000DC4C0000}"/>
    <cellStyle name="Normal 3 11 25 14 2" xfId="19686" xr:uid="{00000000-0005-0000-0000-0000DD4C0000}"/>
    <cellStyle name="Normal 3 11 25 14 3" xfId="19687" xr:uid="{00000000-0005-0000-0000-0000DE4C0000}"/>
    <cellStyle name="Normal 3 11 25 15" xfId="19688" xr:uid="{00000000-0005-0000-0000-0000DF4C0000}"/>
    <cellStyle name="Normal 3 11 25 16" xfId="19689" xr:uid="{00000000-0005-0000-0000-0000E04C0000}"/>
    <cellStyle name="Normal 3 11 25 2" xfId="19690" xr:uid="{00000000-0005-0000-0000-0000E14C0000}"/>
    <cellStyle name="Normal 3 11 25 2 2" xfId="19691" xr:uid="{00000000-0005-0000-0000-0000E24C0000}"/>
    <cellStyle name="Normal 3 11 25 2 3" xfId="19692" xr:uid="{00000000-0005-0000-0000-0000E34C0000}"/>
    <cellStyle name="Normal 3 11 25 3" xfId="19693" xr:uid="{00000000-0005-0000-0000-0000E44C0000}"/>
    <cellStyle name="Normal 3 11 25 3 2" xfId="19694" xr:uid="{00000000-0005-0000-0000-0000E54C0000}"/>
    <cellStyle name="Normal 3 11 25 3 3" xfId="19695" xr:uid="{00000000-0005-0000-0000-0000E64C0000}"/>
    <cellStyle name="Normal 3 11 25 4" xfId="19696" xr:uid="{00000000-0005-0000-0000-0000E74C0000}"/>
    <cellStyle name="Normal 3 11 25 4 2" xfId="19697" xr:uid="{00000000-0005-0000-0000-0000E84C0000}"/>
    <cellStyle name="Normal 3 11 25 4 3" xfId="19698" xr:uid="{00000000-0005-0000-0000-0000E94C0000}"/>
    <cellStyle name="Normal 3 11 25 5" xfId="19699" xr:uid="{00000000-0005-0000-0000-0000EA4C0000}"/>
    <cellStyle name="Normal 3 11 25 5 2" xfId="19700" xr:uid="{00000000-0005-0000-0000-0000EB4C0000}"/>
    <cellStyle name="Normal 3 11 25 5 3" xfId="19701" xr:uid="{00000000-0005-0000-0000-0000EC4C0000}"/>
    <cellStyle name="Normal 3 11 25 6" xfId="19702" xr:uid="{00000000-0005-0000-0000-0000ED4C0000}"/>
    <cellStyle name="Normal 3 11 25 6 2" xfId="19703" xr:uid="{00000000-0005-0000-0000-0000EE4C0000}"/>
    <cellStyle name="Normal 3 11 25 6 3" xfId="19704" xr:uid="{00000000-0005-0000-0000-0000EF4C0000}"/>
    <cellStyle name="Normal 3 11 25 7" xfId="19705" xr:uid="{00000000-0005-0000-0000-0000F04C0000}"/>
    <cellStyle name="Normal 3 11 25 7 2" xfId="19706" xr:uid="{00000000-0005-0000-0000-0000F14C0000}"/>
    <cellStyle name="Normal 3 11 25 7 3" xfId="19707" xr:uid="{00000000-0005-0000-0000-0000F24C0000}"/>
    <cellStyle name="Normal 3 11 25 8" xfId="19708" xr:uid="{00000000-0005-0000-0000-0000F34C0000}"/>
    <cellStyle name="Normal 3 11 25 8 2" xfId="19709" xr:uid="{00000000-0005-0000-0000-0000F44C0000}"/>
    <cellStyle name="Normal 3 11 25 8 3" xfId="19710" xr:uid="{00000000-0005-0000-0000-0000F54C0000}"/>
    <cellStyle name="Normal 3 11 25 9" xfId="19711" xr:uid="{00000000-0005-0000-0000-0000F64C0000}"/>
    <cellStyle name="Normal 3 11 25 9 2" xfId="19712" xr:uid="{00000000-0005-0000-0000-0000F74C0000}"/>
    <cellStyle name="Normal 3 11 25 9 3" xfId="19713" xr:uid="{00000000-0005-0000-0000-0000F84C0000}"/>
    <cellStyle name="Normal 3 11 26" xfId="19714" xr:uid="{00000000-0005-0000-0000-0000F94C0000}"/>
    <cellStyle name="Normal 3 11 26 10" xfId="19715" xr:uid="{00000000-0005-0000-0000-0000FA4C0000}"/>
    <cellStyle name="Normal 3 11 26 10 2" xfId="19716" xr:uid="{00000000-0005-0000-0000-0000FB4C0000}"/>
    <cellStyle name="Normal 3 11 26 10 3" xfId="19717" xr:uid="{00000000-0005-0000-0000-0000FC4C0000}"/>
    <cellStyle name="Normal 3 11 26 11" xfId="19718" xr:uid="{00000000-0005-0000-0000-0000FD4C0000}"/>
    <cellStyle name="Normal 3 11 26 11 2" xfId="19719" xr:uid="{00000000-0005-0000-0000-0000FE4C0000}"/>
    <cellStyle name="Normal 3 11 26 11 3" xfId="19720" xr:uid="{00000000-0005-0000-0000-0000FF4C0000}"/>
    <cellStyle name="Normal 3 11 26 12" xfId="19721" xr:uid="{00000000-0005-0000-0000-0000004D0000}"/>
    <cellStyle name="Normal 3 11 26 12 2" xfId="19722" xr:uid="{00000000-0005-0000-0000-0000014D0000}"/>
    <cellStyle name="Normal 3 11 26 12 3" xfId="19723" xr:uid="{00000000-0005-0000-0000-0000024D0000}"/>
    <cellStyle name="Normal 3 11 26 13" xfId="19724" xr:uid="{00000000-0005-0000-0000-0000034D0000}"/>
    <cellStyle name="Normal 3 11 26 13 2" xfId="19725" xr:uid="{00000000-0005-0000-0000-0000044D0000}"/>
    <cellStyle name="Normal 3 11 26 13 3" xfId="19726" xr:uid="{00000000-0005-0000-0000-0000054D0000}"/>
    <cellStyle name="Normal 3 11 26 14" xfId="19727" xr:uid="{00000000-0005-0000-0000-0000064D0000}"/>
    <cellStyle name="Normal 3 11 26 14 2" xfId="19728" xr:uid="{00000000-0005-0000-0000-0000074D0000}"/>
    <cellStyle name="Normal 3 11 26 14 3" xfId="19729" xr:uid="{00000000-0005-0000-0000-0000084D0000}"/>
    <cellStyle name="Normal 3 11 26 15" xfId="19730" xr:uid="{00000000-0005-0000-0000-0000094D0000}"/>
    <cellStyle name="Normal 3 11 26 16" xfId="19731" xr:uid="{00000000-0005-0000-0000-00000A4D0000}"/>
    <cellStyle name="Normal 3 11 26 2" xfId="19732" xr:uid="{00000000-0005-0000-0000-00000B4D0000}"/>
    <cellStyle name="Normal 3 11 26 2 2" xfId="19733" xr:uid="{00000000-0005-0000-0000-00000C4D0000}"/>
    <cellStyle name="Normal 3 11 26 2 3" xfId="19734" xr:uid="{00000000-0005-0000-0000-00000D4D0000}"/>
    <cellStyle name="Normal 3 11 26 3" xfId="19735" xr:uid="{00000000-0005-0000-0000-00000E4D0000}"/>
    <cellStyle name="Normal 3 11 26 3 2" xfId="19736" xr:uid="{00000000-0005-0000-0000-00000F4D0000}"/>
    <cellStyle name="Normal 3 11 26 3 3" xfId="19737" xr:uid="{00000000-0005-0000-0000-0000104D0000}"/>
    <cellStyle name="Normal 3 11 26 4" xfId="19738" xr:uid="{00000000-0005-0000-0000-0000114D0000}"/>
    <cellStyle name="Normal 3 11 26 4 2" xfId="19739" xr:uid="{00000000-0005-0000-0000-0000124D0000}"/>
    <cellStyle name="Normal 3 11 26 4 3" xfId="19740" xr:uid="{00000000-0005-0000-0000-0000134D0000}"/>
    <cellStyle name="Normal 3 11 26 5" xfId="19741" xr:uid="{00000000-0005-0000-0000-0000144D0000}"/>
    <cellStyle name="Normal 3 11 26 5 2" xfId="19742" xr:uid="{00000000-0005-0000-0000-0000154D0000}"/>
    <cellStyle name="Normal 3 11 26 5 3" xfId="19743" xr:uid="{00000000-0005-0000-0000-0000164D0000}"/>
    <cellStyle name="Normal 3 11 26 6" xfId="19744" xr:uid="{00000000-0005-0000-0000-0000174D0000}"/>
    <cellStyle name="Normal 3 11 26 6 2" xfId="19745" xr:uid="{00000000-0005-0000-0000-0000184D0000}"/>
    <cellStyle name="Normal 3 11 26 6 3" xfId="19746" xr:uid="{00000000-0005-0000-0000-0000194D0000}"/>
    <cellStyle name="Normal 3 11 26 7" xfId="19747" xr:uid="{00000000-0005-0000-0000-00001A4D0000}"/>
    <cellStyle name="Normal 3 11 26 7 2" xfId="19748" xr:uid="{00000000-0005-0000-0000-00001B4D0000}"/>
    <cellStyle name="Normal 3 11 26 7 3" xfId="19749" xr:uid="{00000000-0005-0000-0000-00001C4D0000}"/>
    <cellStyle name="Normal 3 11 26 8" xfId="19750" xr:uid="{00000000-0005-0000-0000-00001D4D0000}"/>
    <cellStyle name="Normal 3 11 26 8 2" xfId="19751" xr:uid="{00000000-0005-0000-0000-00001E4D0000}"/>
    <cellStyle name="Normal 3 11 26 8 3" xfId="19752" xr:uid="{00000000-0005-0000-0000-00001F4D0000}"/>
    <cellStyle name="Normal 3 11 26 9" xfId="19753" xr:uid="{00000000-0005-0000-0000-0000204D0000}"/>
    <cellStyle name="Normal 3 11 26 9 2" xfId="19754" xr:uid="{00000000-0005-0000-0000-0000214D0000}"/>
    <cellStyle name="Normal 3 11 26 9 3" xfId="19755" xr:uid="{00000000-0005-0000-0000-0000224D0000}"/>
    <cellStyle name="Normal 3 11 3" xfId="19756" xr:uid="{00000000-0005-0000-0000-0000234D0000}"/>
    <cellStyle name="Normal 3 11 4" xfId="19757" xr:uid="{00000000-0005-0000-0000-0000244D0000}"/>
    <cellStyle name="Normal 3 11 5" xfId="19758" xr:uid="{00000000-0005-0000-0000-0000254D0000}"/>
    <cellStyle name="Normal 3 11 6" xfId="19759" xr:uid="{00000000-0005-0000-0000-0000264D0000}"/>
    <cellStyle name="Normal 3 11 7" xfId="19760" xr:uid="{00000000-0005-0000-0000-0000274D0000}"/>
    <cellStyle name="Normal 3 11 8" xfId="19761" xr:uid="{00000000-0005-0000-0000-0000284D0000}"/>
    <cellStyle name="Normal 3 11 9" xfId="19762" xr:uid="{00000000-0005-0000-0000-0000294D0000}"/>
    <cellStyle name="Normal 3 11_End-use Summary" xfId="19763" xr:uid="{00000000-0005-0000-0000-00002A4D0000}"/>
    <cellStyle name="Normal 3 12" xfId="19764" xr:uid="{00000000-0005-0000-0000-00002B4D0000}"/>
    <cellStyle name="Normal 3 12 10" xfId="19765" xr:uid="{00000000-0005-0000-0000-00002C4D0000}"/>
    <cellStyle name="Normal 3 12 10 10" xfId="19766" xr:uid="{00000000-0005-0000-0000-00002D4D0000}"/>
    <cellStyle name="Normal 3 12 10 10 2" xfId="19767" xr:uid="{00000000-0005-0000-0000-00002E4D0000}"/>
    <cellStyle name="Normal 3 12 10 10 3" xfId="19768" xr:uid="{00000000-0005-0000-0000-00002F4D0000}"/>
    <cellStyle name="Normal 3 12 10 11" xfId="19769" xr:uid="{00000000-0005-0000-0000-0000304D0000}"/>
    <cellStyle name="Normal 3 12 10 11 2" xfId="19770" xr:uid="{00000000-0005-0000-0000-0000314D0000}"/>
    <cellStyle name="Normal 3 12 10 11 3" xfId="19771" xr:uid="{00000000-0005-0000-0000-0000324D0000}"/>
    <cellStyle name="Normal 3 12 10 12" xfId="19772" xr:uid="{00000000-0005-0000-0000-0000334D0000}"/>
    <cellStyle name="Normal 3 12 10 12 2" xfId="19773" xr:uid="{00000000-0005-0000-0000-0000344D0000}"/>
    <cellStyle name="Normal 3 12 10 12 3" xfId="19774" xr:uid="{00000000-0005-0000-0000-0000354D0000}"/>
    <cellStyle name="Normal 3 12 10 13" xfId="19775" xr:uid="{00000000-0005-0000-0000-0000364D0000}"/>
    <cellStyle name="Normal 3 12 10 13 2" xfId="19776" xr:uid="{00000000-0005-0000-0000-0000374D0000}"/>
    <cellStyle name="Normal 3 12 10 13 3" xfId="19777" xr:uid="{00000000-0005-0000-0000-0000384D0000}"/>
    <cellStyle name="Normal 3 12 10 14" xfId="19778" xr:uid="{00000000-0005-0000-0000-0000394D0000}"/>
    <cellStyle name="Normal 3 12 10 14 2" xfId="19779" xr:uid="{00000000-0005-0000-0000-00003A4D0000}"/>
    <cellStyle name="Normal 3 12 10 14 3" xfId="19780" xr:uid="{00000000-0005-0000-0000-00003B4D0000}"/>
    <cellStyle name="Normal 3 12 10 15" xfId="19781" xr:uid="{00000000-0005-0000-0000-00003C4D0000}"/>
    <cellStyle name="Normal 3 12 10 16" xfId="19782" xr:uid="{00000000-0005-0000-0000-00003D4D0000}"/>
    <cellStyle name="Normal 3 12 10 2" xfId="19783" xr:uid="{00000000-0005-0000-0000-00003E4D0000}"/>
    <cellStyle name="Normal 3 12 10 2 2" xfId="19784" xr:uid="{00000000-0005-0000-0000-00003F4D0000}"/>
    <cellStyle name="Normal 3 12 10 2 3" xfId="19785" xr:uid="{00000000-0005-0000-0000-0000404D0000}"/>
    <cellStyle name="Normal 3 12 10 3" xfId="19786" xr:uid="{00000000-0005-0000-0000-0000414D0000}"/>
    <cellStyle name="Normal 3 12 10 3 2" xfId="19787" xr:uid="{00000000-0005-0000-0000-0000424D0000}"/>
    <cellStyle name="Normal 3 12 10 3 3" xfId="19788" xr:uid="{00000000-0005-0000-0000-0000434D0000}"/>
    <cellStyle name="Normal 3 12 10 4" xfId="19789" xr:uid="{00000000-0005-0000-0000-0000444D0000}"/>
    <cellStyle name="Normal 3 12 10 4 2" xfId="19790" xr:uid="{00000000-0005-0000-0000-0000454D0000}"/>
    <cellStyle name="Normal 3 12 10 4 3" xfId="19791" xr:uid="{00000000-0005-0000-0000-0000464D0000}"/>
    <cellStyle name="Normal 3 12 10 5" xfId="19792" xr:uid="{00000000-0005-0000-0000-0000474D0000}"/>
    <cellStyle name="Normal 3 12 10 5 2" xfId="19793" xr:uid="{00000000-0005-0000-0000-0000484D0000}"/>
    <cellStyle name="Normal 3 12 10 5 3" xfId="19794" xr:uid="{00000000-0005-0000-0000-0000494D0000}"/>
    <cellStyle name="Normal 3 12 10 6" xfId="19795" xr:uid="{00000000-0005-0000-0000-00004A4D0000}"/>
    <cellStyle name="Normal 3 12 10 6 2" xfId="19796" xr:uid="{00000000-0005-0000-0000-00004B4D0000}"/>
    <cellStyle name="Normal 3 12 10 6 3" xfId="19797" xr:uid="{00000000-0005-0000-0000-00004C4D0000}"/>
    <cellStyle name="Normal 3 12 10 7" xfId="19798" xr:uid="{00000000-0005-0000-0000-00004D4D0000}"/>
    <cellStyle name="Normal 3 12 10 7 2" xfId="19799" xr:uid="{00000000-0005-0000-0000-00004E4D0000}"/>
    <cellStyle name="Normal 3 12 10 7 3" xfId="19800" xr:uid="{00000000-0005-0000-0000-00004F4D0000}"/>
    <cellStyle name="Normal 3 12 10 8" xfId="19801" xr:uid="{00000000-0005-0000-0000-0000504D0000}"/>
    <cellStyle name="Normal 3 12 10 8 2" xfId="19802" xr:uid="{00000000-0005-0000-0000-0000514D0000}"/>
    <cellStyle name="Normal 3 12 10 8 3" xfId="19803" xr:uid="{00000000-0005-0000-0000-0000524D0000}"/>
    <cellStyle name="Normal 3 12 10 9" xfId="19804" xr:uid="{00000000-0005-0000-0000-0000534D0000}"/>
    <cellStyle name="Normal 3 12 10 9 2" xfId="19805" xr:uid="{00000000-0005-0000-0000-0000544D0000}"/>
    <cellStyle name="Normal 3 12 10 9 3" xfId="19806" xr:uid="{00000000-0005-0000-0000-0000554D0000}"/>
    <cellStyle name="Normal 3 12 11" xfId="19807" xr:uid="{00000000-0005-0000-0000-0000564D0000}"/>
    <cellStyle name="Normal 3 12 11 10" xfId="19808" xr:uid="{00000000-0005-0000-0000-0000574D0000}"/>
    <cellStyle name="Normal 3 12 11 10 2" xfId="19809" xr:uid="{00000000-0005-0000-0000-0000584D0000}"/>
    <cellStyle name="Normal 3 12 11 10 3" xfId="19810" xr:uid="{00000000-0005-0000-0000-0000594D0000}"/>
    <cellStyle name="Normal 3 12 11 11" xfId="19811" xr:uid="{00000000-0005-0000-0000-00005A4D0000}"/>
    <cellStyle name="Normal 3 12 11 11 2" xfId="19812" xr:uid="{00000000-0005-0000-0000-00005B4D0000}"/>
    <cellStyle name="Normal 3 12 11 11 3" xfId="19813" xr:uid="{00000000-0005-0000-0000-00005C4D0000}"/>
    <cellStyle name="Normal 3 12 11 12" xfId="19814" xr:uid="{00000000-0005-0000-0000-00005D4D0000}"/>
    <cellStyle name="Normal 3 12 11 12 2" xfId="19815" xr:uid="{00000000-0005-0000-0000-00005E4D0000}"/>
    <cellStyle name="Normal 3 12 11 12 3" xfId="19816" xr:uid="{00000000-0005-0000-0000-00005F4D0000}"/>
    <cellStyle name="Normal 3 12 11 13" xfId="19817" xr:uid="{00000000-0005-0000-0000-0000604D0000}"/>
    <cellStyle name="Normal 3 12 11 13 2" xfId="19818" xr:uid="{00000000-0005-0000-0000-0000614D0000}"/>
    <cellStyle name="Normal 3 12 11 13 3" xfId="19819" xr:uid="{00000000-0005-0000-0000-0000624D0000}"/>
    <cellStyle name="Normal 3 12 11 14" xfId="19820" xr:uid="{00000000-0005-0000-0000-0000634D0000}"/>
    <cellStyle name="Normal 3 12 11 14 2" xfId="19821" xr:uid="{00000000-0005-0000-0000-0000644D0000}"/>
    <cellStyle name="Normal 3 12 11 14 3" xfId="19822" xr:uid="{00000000-0005-0000-0000-0000654D0000}"/>
    <cellStyle name="Normal 3 12 11 15" xfId="19823" xr:uid="{00000000-0005-0000-0000-0000664D0000}"/>
    <cellStyle name="Normal 3 12 11 16" xfId="19824" xr:uid="{00000000-0005-0000-0000-0000674D0000}"/>
    <cellStyle name="Normal 3 12 11 2" xfId="19825" xr:uid="{00000000-0005-0000-0000-0000684D0000}"/>
    <cellStyle name="Normal 3 12 11 2 2" xfId="19826" xr:uid="{00000000-0005-0000-0000-0000694D0000}"/>
    <cellStyle name="Normal 3 12 11 2 3" xfId="19827" xr:uid="{00000000-0005-0000-0000-00006A4D0000}"/>
    <cellStyle name="Normal 3 12 11 3" xfId="19828" xr:uid="{00000000-0005-0000-0000-00006B4D0000}"/>
    <cellStyle name="Normal 3 12 11 3 2" xfId="19829" xr:uid="{00000000-0005-0000-0000-00006C4D0000}"/>
    <cellStyle name="Normal 3 12 11 3 3" xfId="19830" xr:uid="{00000000-0005-0000-0000-00006D4D0000}"/>
    <cellStyle name="Normal 3 12 11 4" xfId="19831" xr:uid="{00000000-0005-0000-0000-00006E4D0000}"/>
    <cellStyle name="Normal 3 12 11 4 2" xfId="19832" xr:uid="{00000000-0005-0000-0000-00006F4D0000}"/>
    <cellStyle name="Normal 3 12 11 4 3" xfId="19833" xr:uid="{00000000-0005-0000-0000-0000704D0000}"/>
    <cellStyle name="Normal 3 12 11 5" xfId="19834" xr:uid="{00000000-0005-0000-0000-0000714D0000}"/>
    <cellStyle name="Normal 3 12 11 5 2" xfId="19835" xr:uid="{00000000-0005-0000-0000-0000724D0000}"/>
    <cellStyle name="Normal 3 12 11 5 3" xfId="19836" xr:uid="{00000000-0005-0000-0000-0000734D0000}"/>
    <cellStyle name="Normal 3 12 11 6" xfId="19837" xr:uid="{00000000-0005-0000-0000-0000744D0000}"/>
    <cellStyle name="Normal 3 12 11 6 2" xfId="19838" xr:uid="{00000000-0005-0000-0000-0000754D0000}"/>
    <cellStyle name="Normal 3 12 11 6 3" xfId="19839" xr:uid="{00000000-0005-0000-0000-0000764D0000}"/>
    <cellStyle name="Normal 3 12 11 7" xfId="19840" xr:uid="{00000000-0005-0000-0000-0000774D0000}"/>
    <cellStyle name="Normal 3 12 11 7 2" xfId="19841" xr:uid="{00000000-0005-0000-0000-0000784D0000}"/>
    <cellStyle name="Normal 3 12 11 7 3" xfId="19842" xr:uid="{00000000-0005-0000-0000-0000794D0000}"/>
    <cellStyle name="Normal 3 12 11 8" xfId="19843" xr:uid="{00000000-0005-0000-0000-00007A4D0000}"/>
    <cellStyle name="Normal 3 12 11 8 2" xfId="19844" xr:uid="{00000000-0005-0000-0000-00007B4D0000}"/>
    <cellStyle name="Normal 3 12 11 8 3" xfId="19845" xr:uid="{00000000-0005-0000-0000-00007C4D0000}"/>
    <cellStyle name="Normal 3 12 11 9" xfId="19846" xr:uid="{00000000-0005-0000-0000-00007D4D0000}"/>
    <cellStyle name="Normal 3 12 11 9 2" xfId="19847" xr:uid="{00000000-0005-0000-0000-00007E4D0000}"/>
    <cellStyle name="Normal 3 12 11 9 3" xfId="19848" xr:uid="{00000000-0005-0000-0000-00007F4D0000}"/>
    <cellStyle name="Normal 3 12 12" xfId="19849" xr:uid="{00000000-0005-0000-0000-0000804D0000}"/>
    <cellStyle name="Normal 3 12 12 10" xfId="19850" xr:uid="{00000000-0005-0000-0000-0000814D0000}"/>
    <cellStyle name="Normal 3 12 12 10 2" xfId="19851" xr:uid="{00000000-0005-0000-0000-0000824D0000}"/>
    <cellStyle name="Normal 3 12 12 10 3" xfId="19852" xr:uid="{00000000-0005-0000-0000-0000834D0000}"/>
    <cellStyle name="Normal 3 12 12 11" xfId="19853" xr:uid="{00000000-0005-0000-0000-0000844D0000}"/>
    <cellStyle name="Normal 3 12 12 11 2" xfId="19854" xr:uid="{00000000-0005-0000-0000-0000854D0000}"/>
    <cellStyle name="Normal 3 12 12 11 3" xfId="19855" xr:uid="{00000000-0005-0000-0000-0000864D0000}"/>
    <cellStyle name="Normal 3 12 12 12" xfId="19856" xr:uid="{00000000-0005-0000-0000-0000874D0000}"/>
    <cellStyle name="Normal 3 12 12 12 2" xfId="19857" xr:uid="{00000000-0005-0000-0000-0000884D0000}"/>
    <cellStyle name="Normal 3 12 12 12 3" xfId="19858" xr:uid="{00000000-0005-0000-0000-0000894D0000}"/>
    <cellStyle name="Normal 3 12 12 13" xfId="19859" xr:uid="{00000000-0005-0000-0000-00008A4D0000}"/>
    <cellStyle name="Normal 3 12 12 13 2" xfId="19860" xr:uid="{00000000-0005-0000-0000-00008B4D0000}"/>
    <cellStyle name="Normal 3 12 12 13 3" xfId="19861" xr:uid="{00000000-0005-0000-0000-00008C4D0000}"/>
    <cellStyle name="Normal 3 12 12 14" xfId="19862" xr:uid="{00000000-0005-0000-0000-00008D4D0000}"/>
    <cellStyle name="Normal 3 12 12 14 2" xfId="19863" xr:uid="{00000000-0005-0000-0000-00008E4D0000}"/>
    <cellStyle name="Normal 3 12 12 14 3" xfId="19864" xr:uid="{00000000-0005-0000-0000-00008F4D0000}"/>
    <cellStyle name="Normal 3 12 12 15" xfId="19865" xr:uid="{00000000-0005-0000-0000-0000904D0000}"/>
    <cellStyle name="Normal 3 12 12 16" xfId="19866" xr:uid="{00000000-0005-0000-0000-0000914D0000}"/>
    <cellStyle name="Normal 3 12 12 2" xfId="19867" xr:uid="{00000000-0005-0000-0000-0000924D0000}"/>
    <cellStyle name="Normal 3 12 12 2 2" xfId="19868" xr:uid="{00000000-0005-0000-0000-0000934D0000}"/>
    <cellStyle name="Normal 3 12 12 2 3" xfId="19869" xr:uid="{00000000-0005-0000-0000-0000944D0000}"/>
    <cellStyle name="Normal 3 12 12 3" xfId="19870" xr:uid="{00000000-0005-0000-0000-0000954D0000}"/>
    <cellStyle name="Normal 3 12 12 3 2" xfId="19871" xr:uid="{00000000-0005-0000-0000-0000964D0000}"/>
    <cellStyle name="Normal 3 12 12 3 3" xfId="19872" xr:uid="{00000000-0005-0000-0000-0000974D0000}"/>
    <cellStyle name="Normal 3 12 12 4" xfId="19873" xr:uid="{00000000-0005-0000-0000-0000984D0000}"/>
    <cellStyle name="Normal 3 12 12 4 2" xfId="19874" xr:uid="{00000000-0005-0000-0000-0000994D0000}"/>
    <cellStyle name="Normal 3 12 12 4 3" xfId="19875" xr:uid="{00000000-0005-0000-0000-00009A4D0000}"/>
    <cellStyle name="Normal 3 12 12 5" xfId="19876" xr:uid="{00000000-0005-0000-0000-00009B4D0000}"/>
    <cellStyle name="Normal 3 12 12 5 2" xfId="19877" xr:uid="{00000000-0005-0000-0000-00009C4D0000}"/>
    <cellStyle name="Normal 3 12 12 5 3" xfId="19878" xr:uid="{00000000-0005-0000-0000-00009D4D0000}"/>
    <cellStyle name="Normal 3 12 12 6" xfId="19879" xr:uid="{00000000-0005-0000-0000-00009E4D0000}"/>
    <cellStyle name="Normal 3 12 12 6 2" xfId="19880" xr:uid="{00000000-0005-0000-0000-00009F4D0000}"/>
    <cellStyle name="Normal 3 12 12 6 3" xfId="19881" xr:uid="{00000000-0005-0000-0000-0000A04D0000}"/>
    <cellStyle name="Normal 3 12 12 7" xfId="19882" xr:uid="{00000000-0005-0000-0000-0000A14D0000}"/>
    <cellStyle name="Normal 3 12 12 7 2" xfId="19883" xr:uid="{00000000-0005-0000-0000-0000A24D0000}"/>
    <cellStyle name="Normal 3 12 12 7 3" xfId="19884" xr:uid="{00000000-0005-0000-0000-0000A34D0000}"/>
    <cellStyle name="Normal 3 12 12 8" xfId="19885" xr:uid="{00000000-0005-0000-0000-0000A44D0000}"/>
    <cellStyle name="Normal 3 12 12 8 2" xfId="19886" xr:uid="{00000000-0005-0000-0000-0000A54D0000}"/>
    <cellStyle name="Normal 3 12 12 8 3" xfId="19887" xr:uid="{00000000-0005-0000-0000-0000A64D0000}"/>
    <cellStyle name="Normal 3 12 12 9" xfId="19888" xr:uid="{00000000-0005-0000-0000-0000A74D0000}"/>
    <cellStyle name="Normal 3 12 12 9 2" xfId="19889" xr:uid="{00000000-0005-0000-0000-0000A84D0000}"/>
    <cellStyle name="Normal 3 12 12 9 3" xfId="19890" xr:uid="{00000000-0005-0000-0000-0000A94D0000}"/>
    <cellStyle name="Normal 3 12 13" xfId="19891" xr:uid="{00000000-0005-0000-0000-0000AA4D0000}"/>
    <cellStyle name="Normal 3 12 13 10" xfId="19892" xr:uid="{00000000-0005-0000-0000-0000AB4D0000}"/>
    <cellStyle name="Normal 3 12 13 10 2" xfId="19893" xr:uid="{00000000-0005-0000-0000-0000AC4D0000}"/>
    <cellStyle name="Normal 3 12 13 10 3" xfId="19894" xr:uid="{00000000-0005-0000-0000-0000AD4D0000}"/>
    <cellStyle name="Normal 3 12 13 11" xfId="19895" xr:uid="{00000000-0005-0000-0000-0000AE4D0000}"/>
    <cellStyle name="Normal 3 12 13 11 2" xfId="19896" xr:uid="{00000000-0005-0000-0000-0000AF4D0000}"/>
    <cellStyle name="Normal 3 12 13 11 3" xfId="19897" xr:uid="{00000000-0005-0000-0000-0000B04D0000}"/>
    <cellStyle name="Normal 3 12 13 12" xfId="19898" xr:uid="{00000000-0005-0000-0000-0000B14D0000}"/>
    <cellStyle name="Normal 3 12 13 12 2" xfId="19899" xr:uid="{00000000-0005-0000-0000-0000B24D0000}"/>
    <cellStyle name="Normal 3 12 13 12 3" xfId="19900" xr:uid="{00000000-0005-0000-0000-0000B34D0000}"/>
    <cellStyle name="Normal 3 12 13 13" xfId="19901" xr:uid="{00000000-0005-0000-0000-0000B44D0000}"/>
    <cellStyle name="Normal 3 12 13 13 2" xfId="19902" xr:uid="{00000000-0005-0000-0000-0000B54D0000}"/>
    <cellStyle name="Normal 3 12 13 13 3" xfId="19903" xr:uid="{00000000-0005-0000-0000-0000B64D0000}"/>
    <cellStyle name="Normal 3 12 13 14" xfId="19904" xr:uid="{00000000-0005-0000-0000-0000B74D0000}"/>
    <cellStyle name="Normal 3 12 13 14 2" xfId="19905" xr:uid="{00000000-0005-0000-0000-0000B84D0000}"/>
    <cellStyle name="Normal 3 12 13 14 3" xfId="19906" xr:uid="{00000000-0005-0000-0000-0000B94D0000}"/>
    <cellStyle name="Normal 3 12 13 15" xfId="19907" xr:uid="{00000000-0005-0000-0000-0000BA4D0000}"/>
    <cellStyle name="Normal 3 12 13 16" xfId="19908" xr:uid="{00000000-0005-0000-0000-0000BB4D0000}"/>
    <cellStyle name="Normal 3 12 13 2" xfId="19909" xr:uid="{00000000-0005-0000-0000-0000BC4D0000}"/>
    <cellStyle name="Normal 3 12 13 2 2" xfId="19910" xr:uid="{00000000-0005-0000-0000-0000BD4D0000}"/>
    <cellStyle name="Normal 3 12 13 2 3" xfId="19911" xr:uid="{00000000-0005-0000-0000-0000BE4D0000}"/>
    <cellStyle name="Normal 3 12 13 3" xfId="19912" xr:uid="{00000000-0005-0000-0000-0000BF4D0000}"/>
    <cellStyle name="Normal 3 12 13 3 2" xfId="19913" xr:uid="{00000000-0005-0000-0000-0000C04D0000}"/>
    <cellStyle name="Normal 3 12 13 3 3" xfId="19914" xr:uid="{00000000-0005-0000-0000-0000C14D0000}"/>
    <cellStyle name="Normal 3 12 13 4" xfId="19915" xr:uid="{00000000-0005-0000-0000-0000C24D0000}"/>
    <cellStyle name="Normal 3 12 13 4 2" xfId="19916" xr:uid="{00000000-0005-0000-0000-0000C34D0000}"/>
    <cellStyle name="Normal 3 12 13 4 3" xfId="19917" xr:uid="{00000000-0005-0000-0000-0000C44D0000}"/>
    <cellStyle name="Normal 3 12 13 5" xfId="19918" xr:uid="{00000000-0005-0000-0000-0000C54D0000}"/>
    <cellStyle name="Normal 3 12 13 5 2" xfId="19919" xr:uid="{00000000-0005-0000-0000-0000C64D0000}"/>
    <cellStyle name="Normal 3 12 13 5 3" xfId="19920" xr:uid="{00000000-0005-0000-0000-0000C74D0000}"/>
    <cellStyle name="Normal 3 12 13 6" xfId="19921" xr:uid="{00000000-0005-0000-0000-0000C84D0000}"/>
    <cellStyle name="Normal 3 12 13 6 2" xfId="19922" xr:uid="{00000000-0005-0000-0000-0000C94D0000}"/>
    <cellStyle name="Normal 3 12 13 6 3" xfId="19923" xr:uid="{00000000-0005-0000-0000-0000CA4D0000}"/>
    <cellStyle name="Normal 3 12 13 7" xfId="19924" xr:uid="{00000000-0005-0000-0000-0000CB4D0000}"/>
    <cellStyle name="Normal 3 12 13 7 2" xfId="19925" xr:uid="{00000000-0005-0000-0000-0000CC4D0000}"/>
    <cellStyle name="Normal 3 12 13 7 3" xfId="19926" xr:uid="{00000000-0005-0000-0000-0000CD4D0000}"/>
    <cellStyle name="Normal 3 12 13 8" xfId="19927" xr:uid="{00000000-0005-0000-0000-0000CE4D0000}"/>
    <cellStyle name="Normal 3 12 13 8 2" xfId="19928" xr:uid="{00000000-0005-0000-0000-0000CF4D0000}"/>
    <cellStyle name="Normal 3 12 13 8 3" xfId="19929" xr:uid="{00000000-0005-0000-0000-0000D04D0000}"/>
    <cellStyle name="Normal 3 12 13 9" xfId="19930" xr:uid="{00000000-0005-0000-0000-0000D14D0000}"/>
    <cellStyle name="Normal 3 12 13 9 2" xfId="19931" xr:uid="{00000000-0005-0000-0000-0000D24D0000}"/>
    <cellStyle name="Normal 3 12 13 9 3" xfId="19932" xr:uid="{00000000-0005-0000-0000-0000D34D0000}"/>
    <cellStyle name="Normal 3 12 14" xfId="19933" xr:uid="{00000000-0005-0000-0000-0000D44D0000}"/>
    <cellStyle name="Normal 3 12 14 10" xfId="19934" xr:uid="{00000000-0005-0000-0000-0000D54D0000}"/>
    <cellStyle name="Normal 3 12 14 10 2" xfId="19935" xr:uid="{00000000-0005-0000-0000-0000D64D0000}"/>
    <cellStyle name="Normal 3 12 14 10 3" xfId="19936" xr:uid="{00000000-0005-0000-0000-0000D74D0000}"/>
    <cellStyle name="Normal 3 12 14 11" xfId="19937" xr:uid="{00000000-0005-0000-0000-0000D84D0000}"/>
    <cellStyle name="Normal 3 12 14 11 2" xfId="19938" xr:uid="{00000000-0005-0000-0000-0000D94D0000}"/>
    <cellStyle name="Normal 3 12 14 11 3" xfId="19939" xr:uid="{00000000-0005-0000-0000-0000DA4D0000}"/>
    <cellStyle name="Normal 3 12 14 12" xfId="19940" xr:uid="{00000000-0005-0000-0000-0000DB4D0000}"/>
    <cellStyle name="Normal 3 12 14 12 2" xfId="19941" xr:uid="{00000000-0005-0000-0000-0000DC4D0000}"/>
    <cellStyle name="Normal 3 12 14 12 3" xfId="19942" xr:uid="{00000000-0005-0000-0000-0000DD4D0000}"/>
    <cellStyle name="Normal 3 12 14 13" xfId="19943" xr:uid="{00000000-0005-0000-0000-0000DE4D0000}"/>
    <cellStyle name="Normal 3 12 14 13 2" xfId="19944" xr:uid="{00000000-0005-0000-0000-0000DF4D0000}"/>
    <cellStyle name="Normal 3 12 14 13 3" xfId="19945" xr:uid="{00000000-0005-0000-0000-0000E04D0000}"/>
    <cellStyle name="Normal 3 12 14 14" xfId="19946" xr:uid="{00000000-0005-0000-0000-0000E14D0000}"/>
    <cellStyle name="Normal 3 12 14 14 2" xfId="19947" xr:uid="{00000000-0005-0000-0000-0000E24D0000}"/>
    <cellStyle name="Normal 3 12 14 14 3" xfId="19948" xr:uid="{00000000-0005-0000-0000-0000E34D0000}"/>
    <cellStyle name="Normal 3 12 14 15" xfId="19949" xr:uid="{00000000-0005-0000-0000-0000E44D0000}"/>
    <cellStyle name="Normal 3 12 14 16" xfId="19950" xr:uid="{00000000-0005-0000-0000-0000E54D0000}"/>
    <cellStyle name="Normal 3 12 14 2" xfId="19951" xr:uid="{00000000-0005-0000-0000-0000E64D0000}"/>
    <cellStyle name="Normal 3 12 14 2 2" xfId="19952" xr:uid="{00000000-0005-0000-0000-0000E74D0000}"/>
    <cellStyle name="Normal 3 12 14 2 3" xfId="19953" xr:uid="{00000000-0005-0000-0000-0000E84D0000}"/>
    <cellStyle name="Normal 3 12 14 3" xfId="19954" xr:uid="{00000000-0005-0000-0000-0000E94D0000}"/>
    <cellStyle name="Normal 3 12 14 3 2" xfId="19955" xr:uid="{00000000-0005-0000-0000-0000EA4D0000}"/>
    <cellStyle name="Normal 3 12 14 3 3" xfId="19956" xr:uid="{00000000-0005-0000-0000-0000EB4D0000}"/>
    <cellStyle name="Normal 3 12 14 4" xfId="19957" xr:uid="{00000000-0005-0000-0000-0000EC4D0000}"/>
    <cellStyle name="Normal 3 12 14 4 2" xfId="19958" xr:uid="{00000000-0005-0000-0000-0000ED4D0000}"/>
    <cellStyle name="Normal 3 12 14 4 3" xfId="19959" xr:uid="{00000000-0005-0000-0000-0000EE4D0000}"/>
    <cellStyle name="Normal 3 12 14 5" xfId="19960" xr:uid="{00000000-0005-0000-0000-0000EF4D0000}"/>
    <cellStyle name="Normal 3 12 14 5 2" xfId="19961" xr:uid="{00000000-0005-0000-0000-0000F04D0000}"/>
    <cellStyle name="Normal 3 12 14 5 3" xfId="19962" xr:uid="{00000000-0005-0000-0000-0000F14D0000}"/>
    <cellStyle name="Normal 3 12 14 6" xfId="19963" xr:uid="{00000000-0005-0000-0000-0000F24D0000}"/>
    <cellStyle name="Normal 3 12 14 6 2" xfId="19964" xr:uid="{00000000-0005-0000-0000-0000F34D0000}"/>
    <cellStyle name="Normal 3 12 14 6 3" xfId="19965" xr:uid="{00000000-0005-0000-0000-0000F44D0000}"/>
    <cellStyle name="Normal 3 12 14 7" xfId="19966" xr:uid="{00000000-0005-0000-0000-0000F54D0000}"/>
    <cellStyle name="Normal 3 12 14 7 2" xfId="19967" xr:uid="{00000000-0005-0000-0000-0000F64D0000}"/>
    <cellStyle name="Normal 3 12 14 7 3" xfId="19968" xr:uid="{00000000-0005-0000-0000-0000F74D0000}"/>
    <cellStyle name="Normal 3 12 14 8" xfId="19969" xr:uid="{00000000-0005-0000-0000-0000F84D0000}"/>
    <cellStyle name="Normal 3 12 14 8 2" xfId="19970" xr:uid="{00000000-0005-0000-0000-0000F94D0000}"/>
    <cellStyle name="Normal 3 12 14 8 3" xfId="19971" xr:uid="{00000000-0005-0000-0000-0000FA4D0000}"/>
    <cellStyle name="Normal 3 12 14 9" xfId="19972" xr:uid="{00000000-0005-0000-0000-0000FB4D0000}"/>
    <cellStyle name="Normal 3 12 14 9 2" xfId="19973" xr:uid="{00000000-0005-0000-0000-0000FC4D0000}"/>
    <cellStyle name="Normal 3 12 14 9 3" xfId="19974" xr:uid="{00000000-0005-0000-0000-0000FD4D0000}"/>
    <cellStyle name="Normal 3 12 15" xfId="19975" xr:uid="{00000000-0005-0000-0000-0000FE4D0000}"/>
    <cellStyle name="Normal 3 12 16" xfId="19976" xr:uid="{00000000-0005-0000-0000-0000FF4D0000}"/>
    <cellStyle name="Normal 3 12 17" xfId="19977" xr:uid="{00000000-0005-0000-0000-0000004E0000}"/>
    <cellStyle name="Normal 3 12 17 10" xfId="19978" xr:uid="{00000000-0005-0000-0000-0000014E0000}"/>
    <cellStyle name="Normal 3 12 17 10 2" xfId="19979" xr:uid="{00000000-0005-0000-0000-0000024E0000}"/>
    <cellStyle name="Normal 3 12 17 10 3" xfId="19980" xr:uid="{00000000-0005-0000-0000-0000034E0000}"/>
    <cellStyle name="Normal 3 12 17 11" xfId="19981" xr:uid="{00000000-0005-0000-0000-0000044E0000}"/>
    <cellStyle name="Normal 3 12 17 11 2" xfId="19982" xr:uid="{00000000-0005-0000-0000-0000054E0000}"/>
    <cellStyle name="Normal 3 12 17 11 3" xfId="19983" xr:uid="{00000000-0005-0000-0000-0000064E0000}"/>
    <cellStyle name="Normal 3 12 17 12" xfId="19984" xr:uid="{00000000-0005-0000-0000-0000074E0000}"/>
    <cellStyle name="Normal 3 12 17 12 2" xfId="19985" xr:uid="{00000000-0005-0000-0000-0000084E0000}"/>
    <cellStyle name="Normal 3 12 17 12 3" xfId="19986" xr:uid="{00000000-0005-0000-0000-0000094E0000}"/>
    <cellStyle name="Normal 3 12 17 13" xfId="19987" xr:uid="{00000000-0005-0000-0000-00000A4E0000}"/>
    <cellStyle name="Normal 3 12 17 13 2" xfId="19988" xr:uid="{00000000-0005-0000-0000-00000B4E0000}"/>
    <cellStyle name="Normal 3 12 17 13 3" xfId="19989" xr:uid="{00000000-0005-0000-0000-00000C4E0000}"/>
    <cellStyle name="Normal 3 12 17 14" xfId="19990" xr:uid="{00000000-0005-0000-0000-00000D4E0000}"/>
    <cellStyle name="Normal 3 12 17 14 2" xfId="19991" xr:uid="{00000000-0005-0000-0000-00000E4E0000}"/>
    <cellStyle name="Normal 3 12 17 14 3" xfId="19992" xr:uid="{00000000-0005-0000-0000-00000F4E0000}"/>
    <cellStyle name="Normal 3 12 17 15" xfId="19993" xr:uid="{00000000-0005-0000-0000-0000104E0000}"/>
    <cellStyle name="Normal 3 12 17 16" xfId="19994" xr:uid="{00000000-0005-0000-0000-0000114E0000}"/>
    <cellStyle name="Normal 3 12 17 2" xfId="19995" xr:uid="{00000000-0005-0000-0000-0000124E0000}"/>
    <cellStyle name="Normal 3 12 17 2 2" xfId="19996" xr:uid="{00000000-0005-0000-0000-0000134E0000}"/>
    <cellStyle name="Normal 3 12 17 2 3" xfId="19997" xr:uid="{00000000-0005-0000-0000-0000144E0000}"/>
    <cellStyle name="Normal 3 12 17 3" xfId="19998" xr:uid="{00000000-0005-0000-0000-0000154E0000}"/>
    <cellStyle name="Normal 3 12 17 3 2" xfId="19999" xr:uid="{00000000-0005-0000-0000-0000164E0000}"/>
    <cellStyle name="Normal 3 12 17 3 3" xfId="20000" xr:uid="{00000000-0005-0000-0000-0000174E0000}"/>
    <cellStyle name="Normal 3 12 17 4" xfId="20001" xr:uid="{00000000-0005-0000-0000-0000184E0000}"/>
    <cellStyle name="Normal 3 12 17 4 2" xfId="20002" xr:uid="{00000000-0005-0000-0000-0000194E0000}"/>
    <cellStyle name="Normal 3 12 17 4 3" xfId="20003" xr:uid="{00000000-0005-0000-0000-00001A4E0000}"/>
    <cellStyle name="Normal 3 12 17 5" xfId="20004" xr:uid="{00000000-0005-0000-0000-00001B4E0000}"/>
    <cellStyle name="Normal 3 12 17 5 2" xfId="20005" xr:uid="{00000000-0005-0000-0000-00001C4E0000}"/>
    <cellStyle name="Normal 3 12 17 5 3" xfId="20006" xr:uid="{00000000-0005-0000-0000-00001D4E0000}"/>
    <cellStyle name="Normal 3 12 17 6" xfId="20007" xr:uid="{00000000-0005-0000-0000-00001E4E0000}"/>
    <cellStyle name="Normal 3 12 17 6 2" xfId="20008" xr:uid="{00000000-0005-0000-0000-00001F4E0000}"/>
    <cellStyle name="Normal 3 12 17 6 3" xfId="20009" xr:uid="{00000000-0005-0000-0000-0000204E0000}"/>
    <cellStyle name="Normal 3 12 17 7" xfId="20010" xr:uid="{00000000-0005-0000-0000-0000214E0000}"/>
    <cellStyle name="Normal 3 12 17 7 2" xfId="20011" xr:uid="{00000000-0005-0000-0000-0000224E0000}"/>
    <cellStyle name="Normal 3 12 17 7 3" xfId="20012" xr:uid="{00000000-0005-0000-0000-0000234E0000}"/>
    <cellStyle name="Normal 3 12 17 8" xfId="20013" xr:uid="{00000000-0005-0000-0000-0000244E0000}"/>
    <cellStyle name="Normal 3 12 17 8 2" xfId="20014" xr:uid="{00000000-0005-0000-0000-0000254E0000}"/>
    <cellStyle name="Normal 3 12 17 8 3" xfId="20015" xr:uid="{00000000-0005-0000-0000-0000264E0000}"/>
    <cellStyle name="Normal 3 12 17 9" xfId="20016" xr:uid="{00000000-0005-0000-0000-0000274E0000}"/>
    <cellStyle name="Normal 3 12 17 9 2" xfId="20017" xr:uid="{00000000-0005-0000-0000-0000284E0000}"/>
    <cellStyle name="Normal 3 12 17 9 3" xfId="20018" xr:uid="{00000000-0005-0000-0000-0000294E0000}"/>
    <cellStyle name="Normal 3 12 18" xfId="20019" xr:uid="{00000000-0005-0000-0000-00002A4E0000}"/>
    <cellStyle name="Normal 3 12 18 10" xfId="20020" xr:uid="{00000000-0005-0000-0000-00002B4E0000}"/>
    <cellStyle name="Normal 3 12 18 10 2" xfId="20021" xr:uid="{00000000-0005-0000-0000-00002C4E0000}"/>
    <cellStyle name="Normal 3 12 18 10 3" xfId="20022" xr:uid="{00000000-0005-0000-0000-00002D4E0000}"/>
    <cellStyle name="Normal 3 12 18 11" xfId="20023" xr:uid="{00000000-0005-0000-0000-00002E4E0000}"/>
    <cellStyle name="Normal 3 12 18 11 2" xfId="20024" xr:uid="{00000000-0005-0000-0000-00002F4E0000}"/>
    <cellStyle name="Normal 3 12 18 11 3" xfId="20025" xr:uid="{00000000-0005-0000-0000-0000304E0000}"/>
    <cellStyle name="Normal 3 12 18 12" xfId="20026" xr:uid="{00000000-0005-0000-0000-0000314E0000}"/>
    <cellStyle name="Normal 3 12 18 12 2" xfId="20027" xr:uid="{00000000-0005-0000-0000-0000324E0000}"/>
    <cellStyle name="Normal 3 12 18 12 3" xfId="20028" xr:uid="{00000000-0005-0000-0000-0000334E0000}"/>
    <cellStyle name="Normal 3 12 18 13" xfId="20029" xr:uid="{00000000-0005-0000-0000-0000344E0000}"/>
    <cellStyle name="Normal 3 12 18 13 2" xfId="20030" xr:uid="{00000000-0005-0000-0000-0000354E0000}"/>
    <cellStyle name="Normal 3 12 18 13 3" xfId="20031" xr:uid="{00000000-0005-0000-0000-0000364E0000}"/>
    <cellStyle name="Normal 3 12 18 14" xfId="20032" xr:uid="{00000000-0005-0000-0000-0000374E0000}"/>
    <cellStyle name="Normal 3 12 18 14 2" xfId="20033" xr:uid="{00000000-0005-0000-0000-0000384E0000}"/>
    <cellStyle name="Normal 3 12 18 14 3" xfId="20034" xr:uid="{00000000-0005-0000-0000-0000394E0000}"/>
    <cellStyle name="Normal 3 12 18 15" xfId="20035" xr:uid="{00000000-0005-0000-0000-00003A4E0000}"/>
    <cellStyle name="Normal 3 12 18 16" xfId="20036" xr:uid="{00000000-0005-0000-0000-00003B4E0000}"/>
    <cellStyle name="Normal 3 12 18 2" xfId="20037" xr:uid="{00000000-0005-0000-0000-00003C4E0000}"/>
    <cellStyle name="Normal 3 12 18 2 2" xfId="20038" xr:uid="{00000000-0005-0000-0000-00003D4E0000}"/>
    <cellStyle name="Normal 3 12 18 2 3" xfId="20039" xr:uid="{00000000-0005-0000-0000-00003E4E0000}"/>
    <cellStyle name="Normal 3 12 18 3" xfId="20040" xr:uid="{00000000-0005-0000-0000-00003F4E0000}"/>
    <cellStyle name="Normal 3 12 18 3 2" xfId="20041" xr:uid="{00000000-0005-0000-0000-0000404E0000}"/>
    <cellStyle name="Normal 3 12 18 3 3" xfId="20042" xr:uid="{00000000-0005-0000-0000-0000414E0000}"/>
    <cellStyle name="Normal 3 12 18 4" xfId="20043" xr:uid="{00000000-0005-0000-0000-0000424E0000}"/>
    <cellStyle name="Normal 3 12 18 4 2" xfId="20044" xr:uid="{00000000-0005-0000-0000-0000434E0000}"/>
    <cellStyle name="Normal 3 12 18 4 3" xfId="20045" xr:uid="{00000000-0005-0000-0000-0000444E0000}"/>
    <cellStyle name="Normal 3 12 18 5" xfId="20046" xr:uid="{00000000-0005-0000-0000-0000454E0000}"/>
    <cellStyle name="Normal 3 12 18 5 2" xfId="20047" xr:uid="{00000000-0005-0000-0000-0000464E0000}"/>
    <cellStyle name="Normal 3 12 18 5 3" xfId="20048" xr:uid="{00000000-0005-0000-0000-0000474E0000}"/>
    <cellStyle name="Normal 3 12 18 6" xfId="20049" xr:uid="{00000000-0005-0000-0000-0000484E0000}"/>
    <cellStyle name="Normal 3 12 18 6 2" xfId="20050" xr:uid="{00000000-0005-0000-0000-0000494E0000}"/>
    <cellStyle name="Normal 3 12 18 6 3" xfId="20051" xr:uid="{00000000-0005-0000-0000-00004A4E0000}"/>
    <cellStyle name="Normal 3 12 18 7" xfId="20052" xr:uid="{00000000-0005-0000-0000-00004B4E0000}"/>
    <cellStyle name="Normal 3 12 18 7 2" xfId="20053" xr:uid="{00000000-0005-0000-0000-00004C4E0000}"/>
    <cellStyle name="Normal 3 12 18 7 3" xfId="20054" xr:uid="{00000000-0005-0000-0000-00004D4E0000}"/>
    <cellStyle name="Normal 3 12 18 8" xfId="20055" xr:uid="{00000000-0005-0000-0000-00004E4E0000}"/>
    <cellStyle name="Normal 3 12 18 8 2" xfId="20056" xr:uid="{00000000-0005-0000-0000-00004F4E0000}"/>
    <cellStyle name="Normal 3 12 18 8 3" xfId="20057" xr:uid="{00000000-0005-0000-0000-0000504E0000}"/>
    <cellStyle name="Normal 3 12 18 9" xfId="20058" xr:uid="{00000000-0005-0000-0000-0000514E0000}"/>
    <cellStyle name="Normal 3 12 18 9 2" xfId="20059" xr:uid="{00000000-0005-0000-0000-0000524E0000}"/>
    <cellStyle name="Normal 3 12 18 9 3" xfId="20060" xr:uid="{00000000-0005-0000-0000-0000534E0000}"/>
    <cellStyle name="Normal 3 12 2" xfId="20061" xr:uid="{00000000-0005-0000-0000-0000544E0000}"/>
    <cellStyle name="Normal 3 12 2 10" xfId="20062" xr:uid="{00000000-0005-0000-0000-0000554E0000}"/>
    <cellStyle name="Normal 3 12 2 10 2" xfId="20063" xr:uid="{00000000-0005-0000-0000-0000564E0000}"/>
    <cellStyle name="Normal 3 12 2 10 3" xfId="20064" xr:uid="{00000000-0005-0000-0000-0000574E0000}"/>
    <cellStyle name="Normal 3 12 2 11" xfId="20065" xr:uid="{00000000-0005-0000-0000-0000584E0000}"/>
    <cellStyle name="Normal 3 12 2 11 2" xfId="20066" xr:uid="{00000000-0005-0000-0000-0000594E0000}"/>
    <cellStyle name="Normal 3 12 2 11 3" xfId="20067" xr:uid="{00000000-0005-0000-0000-00005A4E0000}"/>
    <cellStyle name="Normal 3 12 2 12" xfId="20068" xr:uid="{00000000-0005-0000-0000-00005B4E0000}"/>
    <cellStyle name="Normal 3 12 2 12 2" xfId="20069" xr:uid="{00000000-0005-0000-0000-00005C4E0000}"/>
    <cellStyle name="Normal 3 12 2 12 3" xfId="20070" xr:uid="{00000000-0005-0000-0000-00005D4E0000}"/>
    <cellStyle name="Normal 3 12 2 13" xfId="20071" xr:uid="{00000000-0005-0000-0000-00005E4E0000}"/>
    <cellStyle name="Normal 3 12 2 13 2" xfId="20072" xr:uid="{00000000-0005-0000-0000-00005F4E0000}"/>
    <cellStyle name="Normal 3 12 2 13 3" xfId="20073" xr:uid="{00000000-0005-0000-0000-0000604E0000}"/>
    <cellStyle name="Normal 3 12 2 14" xfId="20074" xr:uid="{00000000-0005-0000-0000-0000614E0000}"/>
    <cellStyle name="Normal 3 12 2 14 2" xfId="20075" xr:uid="{00000000-0005-0000-0000-0000624E0000}"/>
    <cellStyle name="Normal 3 12 2 14 3" xfId="20076" xr:uid="{00000000-0005-0000-0000-0000634E0000}"/>
    <cellStyle name="Normal 3 12 2 15" xfId="20077" xr:uid="{00000000-0005-0000-0000-0000644E0000}"/>
    <cellStyle name="Normal 3 12 2 15 2" xfId="20078" xr:uid="{00000000-0005-0000-0000-0000654E0000}"/>
    <cellStyle name="Normal 3 12 2 15 3" xfId="20079" xr:uid="{00000000-0005-0000-0000-0000664E0000}"/>
    <cellStyle name="Normal 3 12 2 16" xfId="20080" xr:uid="{00000000-0005-0000-0000-0000674E0000}"/>
    <cellStyle name="Normal 3 12 2 16 2" xfId="20081" xr:uid="{00000000-0005-0000-0000-0000684E0000}"/>
    <cellStyle name="Normal 3 12 2 16 3" xfId="20082" xr:uid="{00000000-0005-0000-0000-0000694E0000}"/>
    <cellStyle name="Normal 3 12 2 17" xfId="20083" xr:uid="{00000000-0005-0000-0000-00006A4E0000}"/>
    <cellStyle name="Normal 3 12 2 17 2" xfId="20084" xr:uid="{00000000-0005-0000-0000-00006B4E0000}"/>
    <cellStyle name="Normal 3 12 2 17 3" xfId="20085" xr:uid="{00000000-0005-0000-0000-00006C4E0000}"/>
    <cellStyle name="Normal 3 12 2 18" xfId="20086" xr:uid="{00000000-0005-0000-0000-00006D4E0000}"/>
    <cellStyle name="Normal 3 12 2 19" xfId="20087" xr:uid="{00000000-0005-0000-0000-00006E4E0000}"/>
    <cellStyle name="Normal 3 12 2 2" xfId="20088" xr:uid="{00000000-0005-0000-0000-00006F4E0000}"/>
    <cellStyle name="Normal 3 12 2 3" xfId="20089" xr:uid="{00000000-0005-0000-0000-0000704E0000}"/>
    <cellStyle name="Normal 3 12 2 4" xfId="20090" xr:uid="{00000000-0005-0000-0000-0000714E0000}"/>
    <cellStyle name="Normal 3 12 2 5" xfId="20091" xr:uid="{00000000-0005-0000-0000-0000724E0000}"/>
    <cellStyle name="Normal 3 12 2 5 2" xfId="20092" xr:uid="{00000000-0005-0000-0000-0000734E0000}"/>
    <cellStyle name="Normal 3 12 2 5 3" xfId="20093" xr:uid="{00000000-0005-0000-0000-0000744E0000}"/>
    <cellStyle name="Normal 3 12 2 6" xfId="20094" xr:uid="{00000000-0005-0000-0000-0000754E0000}"/>
    <cellStyle name="Normal 3 12 2 6 2" xfId="20095" xr:uid="{00000000-0005-0000-0000-0000764E0000}"/>
    <cellStyle name="Normal 3 12 2 6 3" xfId="20096" xr:uid="{00000000-0005-0000-0000-0000774E0000}"/>
    <cellStyle name="Normal 3 12 2 7" xfId="20097" xr:uid="{00000000-0005-0000-0000-0000784E0000}"/>
    <cellStyle name="Normal 3 12 2 7 2" xfId="20098" xr:uid="{00000000-0005-0000-0000-0000794E0000}"/>
    <cellStyle name="Normal 3 12 2 7 3" xfId="20099" xr:uid="{00000000-0005-0000-0000-00007A4E0000}"/>
    <cellStyle name="Normal 3 12 2 8" xfId="20100" xr:uid="{00000000-0005-0000-0000-00007B4E0000}"/>
    <cellStyle name="Normal 3 12 2 8 2" xfId="20101" xr:uid="{00000000-0005-0000-0000-00007C4E0000}"/>
    <cellStyle name="Normal 3 12 2 8 3" xfId="20102" xr:uid="{00000000-0005-0000-0000-00007D4E0000}"/>
    <cellStyle name="Normal 3 12 2 9" xfId="20103" xr:uid="{00000000-0005-0000-0000-00007E4E0000}"/>
    <cellStyle name="Normal 3 12 2 9 2" xfId="20104" xr:uid="{00000000-0005-0000-0000-00007F4E0000}"/>
    <cellStyle name="Normal 3 12 2 9 3" xfId="20105" xr:uid="{00000000-0005-0000-0000-0000804E0000}"/>
    <cellStyle name="Normal 3 12 3" xfId="20106" xr:uid="{00000000-0005-0000-0000-0000814E0000}"/>
    <cellStyle name="Normal 3 12 4" xfId="20107" xr:uid="{00000000-0005-0000-0000-0000824E0000}"/>
    <cellStyle name="Normal 3 12 5" xfId="20108" xr:uid="{00000000-0005-0000-0000-0000834E0000}"/>
    <cellStyle name="Normal 3 12 6" xfId="20109" xr:uid="{00000000-0005-0000-0000-0000844E0000}"/>
    <cellStyle name="Normal 3 12 6 10" xfId="20110" xr:uid="{00000000-0005-0000-0000-0000854E0000}"/>
    <cellStyle name="Normal 3 12 6 10 2" xfId="20111" xr:uid="{00000000-0005-0000-0000-0000864E0000}"/>
    <cellStyle name="Normal 3 12 6 10 3" xfId="20112" xr:uid="{00000000-0005-0000-0000-0000874E0000}"/>
    <cellStyle name="Normal 3 12 6 11" xfId="20113" xr:uid="{00000000-0005-0000-0000-0000884E0000}"/>
    <cellStyle name="Normal 3 12 6 11 2" xfId="20114" xr:uid="{00000000-0005-0000-0000-0000894E0000}"/>
    <cellStyle name="Normal 3 12 6 11 3" xfId="20115" xr:uid="{00000000-0005-0000-0000-00008A4E0000}"/>
    <cellStyle name="Normal 3 12 6 12" xfId="20116" xr:uid="{00000000-0005-0000-0000-00008B4E0000}"/>
    <cellStyle name="Normal 3 12 6 12 2" xfId="20117" xr:uid="{00000000-0005-0000-0000-00008C4E0000}"/>
    <cellStyle name="Normal 3 12 6 12 3" xfId="20118" xr:uid="{00000000-0005-0000-0000-00008D4E0000}"/>
    <cellStyle name="Normal 3 12 6 13" xfId="20119" xr:uid="{00000000-0005-0000-0000-00008E4E0000}"/>
    <cellStyle name="Normal 3 12 6 13 2" xfId="20120" xr:uid="{00000000-0005-0000-0000-00008F4E0000}"/>
    <cellStyle name="Normal 3 12 6 13 3" xfId="20121" xr:uid="{00000000-0005-0000-0000-0000904E0000}"/>
    <cellStyle name="Normal 3 12 6 14" xfId="20122" xr:uid="{00000000-0005-0000-0000-0000914E0000}"/>
    <cellStyle name="Normal 3 12 6 14 2" xfId="20123" xr:uid="{00000000-0005-0000-0000-0000924E0000}"/>
    <cellStyle name="Normal 3 12 6 14 3" xfId="20124" xr:uid="{00000000-0005-0000-0000-0000934E0000}"/>
    <cellStyle name="Normal 3 12 6 15" xfId="20125" xr:uid="{00000000-0005-0000-0000-0000944E0000}"/>
    <cellStyle name="Normal 3 12 6 15 2" xfId="20126" xr:uid="{00000000-0005-0000-0000-0000954E0000}"/>
    <cellStyle name="Normal 3 12 6 15 3" xfId="20127" xr:uid="{00000000-0005-0000-0000-0000964E0000}"/>
    <cellStyle name="Normal 3 12 6 16" xfId="20128" xr:uid="{00000000-0005-0000-0000-0000974E0000}"/>
    <cellStyle name="Normal 3 12 6 17" xfId="20129" xr:uid="{00000000-0005-0000-0000-0000984E0000}"/>
    <cellStyle name="Normal 3 12 6 2" xfId="20130" xr:uid="{00000000-0005-0000-0000-0000994E0000}"/>
    <cellStyle name="Normal 3 12 6 2 10" xfId="20131" xr:uid="{00000000-0005-0000-0000-00009A4E0000}"/>
    <cellStyle name="Normal 3 12 6 2 10 2" xfId="20132" xr:uid="{00000000-0005-0000-0000-00009B4E0000}"/>
    <cellStyle name="Normal 3 12 6 2 10 3" xfId="20133" xr:uid="{00000000-0005-0000-0000-00009C4E0000}"/>
    <cellStyle name="Normal 3 12 6 2 11" xfId="20134" xr:uid="{00000000-0005-0000-0000-00009D4E0000}"/>
    <cellStyle name="Normal 3 12 6 2 11 2" xfId="20135" xr:uid="{00000000-0005-0000-0000-00009E4E0000}"/>
    <cellStyle name="Normal 3 12 6 2 11 3" xfId="20136" xr:uid="{00000000-0005-0000-0000-00009F4E0000}"/>
    <cellStyle name="Normal 3 12 6 2 12" xfId="20137" xr:uid="{00000000-0005-0000-0000-0000A04E0000}"/>
    <cellStyle name="Normal 3 12 6 2 12 2" xfId="20138" xr:uid="{00000000-0005-0000-0000-0000A14E0000}"/>
    <cellStyle name="Normal 3 12 6 2 12 3" xfId="20139" xr:uid="{00000000-0005-0000-0000-0000A24E0000}"/>
    <cellStyle name="Normal 3 12 6 2 13" xfId="20140" xr:uid="{00000000-0005-0000-0000-0000A34E0000}"/>
    <cellStyle name="Normal 3 12 6 2 13 2" xfId="20141" xr:uid="{00000000-0005-0000-0000-0000A44E0000}"/>
    <cellStyle name="Normal 3 12 6 2 13 3" xfId="20142" xr:uid="{00000000-0005-0000-0000-0000A54E0000}"/>
    <cellStyle name="Normal 3 12 6 2 14" xfId="20143" xr:uid="{00000000-0005-0000-0000-0000A64E0000}"/>
    <cellStyle name="Normal 3 12 6 2 14 2" xfId="20144" xr:uid="{00000000-0005-0000-0000-0000A74E0000}"/>
    <cellStyle name="Normal 3 12 6 2 14 3" xfId="20145" xr:uid="{00000000-0005-0000-0000-0000A84E0000}"/>
    <cellStyle name="Normal 3 12 6 2 15" xfId="20146" xr:uid="{00000000-0005-0000-0000-0000A94E0000}"/>
    <cellStyle name="Normal 3 12 6 2 16" xfId="20147" xr:uid="{00000000-0005-0000-0000-0000AA4E0000}"/>
    <cellStyle name="Normal 3 12 6 2 2" xfId="20148" xr:uid="{00000000-0005-0000-0000-0000AB4E0000}"/>
    <cellStyle name="Normal 3 12 6 2 2 2" xfId="20149" xr:uid="{00000000-0005-0000-0000-0000AC4E0000}"/>
    <cellStyle name="Normal 3 12 6 2 2 3" xfId="20150" xr:uid="{00000000-0005-0000-0000-0000AD4E0000}"/>
    <cellStyle name="Normal 3 12 6 2 3" xfId="20151" xr:uid="{00000000-0005-0000-0000-0000AE4E0000}"/>
    <cellStyle name="Normal 3 12 6 2 3 2" xfId="20152" xr:uid="{00000000-0005-0000-0000-0000AF4E0000}"/>
    <cellStyle name="Normal 3 12 6 2 3 3" xfId="20153" xr:uid="{00000000-0005-0000-0000-0000B04E0000}"/>
    <cellStyle name="Normal 3 12 6 2 4" xfId="20154" xr:uid="{00000000-0005-0000-0000-0000B14E0000}"/>
    <cellStyle name="Normal 3 12 6 2 4 2" xfId="20155" xr:uid="{00000000-0005-0000-0000-0000B24E0000}"/>
    <cellStyle name="Normal 3 12 6 2 4 3" xfId="20156" xr:uid="{00000000-0005-0000-0000-0000B34E0000}"/>
    <cellStyle name="Normal 3 12 6 2 5" xfId="20157" xr:uid="{00000000-0005-0000-0000-0000B44E0000}"/>
    <cellStyle name="Normal 3 12 6 2 5 2" xfId="20158" xr:uid="{00000000-0005-0000-0000-0000B54E0000}"/>
    <cellStyle name="Normal 3 12 6 2 5 3" xfId="20159" xr:uid="{00000000-0005-0000-0000-0000B64E0000}"/>
    <cellStyle name="Normal 3 12 6 2 6" xfId="20160" xr:uid="{00000000-0005-0000-0000-0000B74E0000}"/>
    <cellStyle name="Normal 3 12 6 2 6 2" xfId="20161" xr:uid="{00000000-0005-0000-0000-0000B84E0000}"/>
    <cellStyle name="Normal 3 12 6 2 6 3" xfId="20162" xr:uid="{00000000-0005-0000-0000-0000B94E0000}"/>
    <cellStyle name="Normal 3 12 6 2 7" xfId="20163" xr:uid="{00000000-0005-0000-0000-0000BA4E0000}"/>
    <cellStyle name="Normal 3 12 6 2 7 2" xfId="20164" xr:uid="{00000000-0005-0000-0000-0000BB4E0000}"/>
    <cellStyle name="Normal 3 12 6 2 7 3" xfId="20165" xr:uid="{00000000-0005-0000-0000-0000BC4E0000}"/>
    <cellStyle name="Normal 3 12 6 2 8" xfId="20166" xr:uid="{00000000-0005-0000-0000-0000BD4E0000}"/>
    <cellStyle name="Normal 3 12 6 2 8 2" xfId="20167" xr:uid="{00000000-0005-0000-0000-0000BE4E0000}"/>
    <cellStyle name="Normal 3 12 6 2 8 3" xfId="20168" xr:uid="{00000000-0005-0000-0000-0000BF4E0000}"/>
    <cellStyle name="Normal 3 12 6 2 9" xfId="20169" xr:uid="{00000000-0005-0000-0000-0000C04E0000}"/>
    <cellStyle name="Normal 3 12 6 2 9 2" xfId="20170" xr:uid="{00000000-0005-0000-0000-0000C14E0000}"/>
    <cellStyle name="Normal 3 12 6 2 9 3" xfId="20171" xr:uid="{00000000-0005-0000-0000-0000C24E0000}"/>
    <cellStyle name="Normal 3 12 6 3" xfId="20172" xr:uid="{00000000-0005-0000-0000-0000C34E0000}"/>
    <cellStyle name="Normal 3 12 6 3 2" xfId="20173" xr:uid="{00000000-0005-0000-0000-0000C44E0000}"/>
    <cellStyle name="Normal 3 12 6 3 3" xfId="20174" xr:uid="{00000000-0005-0000-0000-0000C54E0000}"/>
    <cellStyle name="Normal 3 12 6 4" xfId="20175" xr:uid="{00000000-0005-0000-0000-0000C64E0000}"/>
    <cellStyle name="Normal 3 12 6 4 2" xfId="20176" xr:uid="{00000000-0005-0000-0000-0000C74E0000}"/>
    <cellStyle name="Normal 3 12 6 4 3" xfId="20177" xr:uid="{00000000-0005-0000-0000-0000C84E0000}"/>
    <cellStyle name="Normal 3 12 6 5" xfId="20178" xr:uid="{00000000-0005-0000-0000-0000C94E0000}"/>
    <cellStyle name="Normal 3 12 6 5 2" xfId="20179" xr:uid="{00000000-0005-0000-0000-0000CA4E0000}"/>
    <cellStyle name="Normal 3 12 6 5 3" xfId="20180" xr:uid="{00000000-0005-0000-0000-0000CB4E0000}"/>
    <cellStyle name="Normal 3 12 6 6" xfId="20181" xr:uid="{00000000-0005-0000-0000-0000CC4E0000}"/>
    <cellStyle name="Normal 3 12 6 6 2" xfId="20182" xr:uid="{00000000-0005-0000-0000-0000CD4E0000}"/>
    <cellStyle name="Normal 3 12 6 6 3" xfId="20183" xr:uid="{00000000-0005-0000-0000-0000CE4E0000}"/>
    <cellStyle name="Normal 3 12 6 7" xfId="20184" xr:uid="{00000000-0005-0000-0000-0000CF4E0000}"/>
    <cellStyle name="Normal 3 12 6 7 2" xfId="20185" xr:uid="{00000000-0005-0000-0000-0000D04E0000}"/>
    <cellStyle name="Normal 3 12 6 7 3" xfId="20186" xr:uid="{00000000-0005-0000-0000-0000D14E0000}"/>
    <cellStyle name="Normal 3 12 6 8" xfId="20187" xr:uid="{00000000-0005-0000-0000-0000D24E0000}"/>
    <cellStyle name="Normal 3 12 6 8 2" xfId="20188" xr:uid="{00000000-0005-0000-0000-0000D34E0000}"/>
    <cellStyle name="Normal 3 12 6 8 3" xfId="20189" xr:uid="{00000000-0005-0000-0000-0000D44E0000}"/>
    <cellStyle name="Normal 3 12 6 9" xfId="20190" xr:uid="{00000000-0005-0000-0000-0000D54E0000}"/>
    <cellStyle name="Normal 3 12 6 9 2" xfId="20191" xr:uid="{00000000-0005-0000-0000-0000D64E0000}"/>
    <cellStyle name="Normal 3 12 6 9 3" xfId="20192" xr:uid="{00000000-0005-0000-0000-0000D74E0000}"/>
    <cellStyle name="Normal 3 12 7" xfId="20193" xr:uid="{00000000-0005-0000-0000-0000D84E0000}"/>
    <cellStyle name="Normal 3 12 7 10" xfId="20194" xr:uid="{00000000-0005-0000-0000-0000D94E0000}"/>
    <cellStyle name="Normal 3 12 7 10 2" xfId="20195" xr:uid="{00000000-0005-0000-0000-0000DA4E0000}"/>
    <cellStyle name="Normal 3 12 7 10 3" xfId="20196" xr:uid="{00000000-0005-0000-0000-0000DB4E0000}"/>
    <cellStyle name="Normal 3 12 7 11" xfId="20197" xr:uid="{00000000-0005-0000-0000-0000DC4E0000}"/>
    <cellStyle name="Normal 3 12 7 11 2" xfId="20198" xr:uid="{00000000-0005-0000-0000-0000DD4E0000}"/>
    <cellStyle name="Normal 3 12 7 11 3" xfId="20199" xr:uid="{00000000-0005-0000-0000-0000DE4E0000}"/>
    <cellStyle name="Normal 3 12 7 12" xfId="20200" xr:uid="{00000000-0005-0000-0000-0000DF4E0000}"/>
    <cellStyle name="Normal 3 12 7 12 2" xfId="20201" xr:uid="{00000000-0005-0000-0000-0000E04E0000}"/>
    <cellStyle name="Normal 3 12 7 12 3" xfId="20202" xr:uid="{00000000-0005-0000-0000-0000E14E0000}"/>
    <cellStyle name="Normal 3 12 7 13" xfId="20203" xr:uid="{00000000-0005-0000-0000-0000E24E0000}"/>
    <cellStyle name="Normal 3 12 7 13 2" xfId="20204" xr:uid="{00000000-0005-0000-0000-0000E34E0000}"/>
    <cellStyle name="Normal 3 12 7 13 3" xfId="20205" xr:uid="{00000000-0005-0000-0000-0000E44E0000}"/>
    <cellStyle name="Normal 3 12 7 14" xfId="20206" xr:uid="{00000000-0005-0000-0000-0000E54E0000}"/>
    <cellStyle name="Normal 3 12 7 14 2" xfId="20207" xr:uid="{00000000-0005-0000-0000-0000E64E0000}"/>
    <cellStyle name="Normal 3 12 7 14 3" xfId="20208" xr:uid="{00000000-0005-0000-0000-0000E74E0000}"/>
    <cellStyle name="Normal 3 12 7 15" xfId="20209" xr:uid="{00000000-0005-0000-0000-0000E84E0000}"/>
    <cellStyle name="Normal 3 12 7 15 2" xfId="20210" xr:uid="{00000000-0005-0000-0000-0000E94E0000}"/>
    <cellStyle name="Normal 3 12 7 15 3" xfId="20211" xr:uid="{00000000-0005-0000-0000-0000EA4E0000}"/>
    <cellStyle name="Normal 3 12 7 16" xfId="20212" xr:uid="{00000000-0005-0000-0000-0000EB4E0000}"/>
    <cellStyle name="Normal 3 12 7 17" xfId="20213" xr:uid="{00000000-0005-0000-0000-0000EC4E0000}"/>
    <cellStyle name="Normal 3 12 7 2" xfId="20214" xr:uid="{00000000-0005-0000-0000-0000ED4E0000}"/>
    <cellStyle name="Normal 3 12 7 2 10" xfId="20215" xr:uid="{00000000-0005-0000-0000-0000EE4E0000}"/>
    <cellStyle name="Normal 3 12 7 2 10 2" xfId="20216" xr:uid="{00000000-0005-0000-0000-0000EF4E0000}"/>
    <cellStyle name="Normal 3 12 7 2 10 3" xfId="20217" xr:uid="{00000000-0005-0000-0000-0000F04E0000}"/>
    <cellStyle name="Normal 3 12 7 2 11" xfId="20218" xr:uid="{00000000-0005-0000-0000-0000F14E0000}"/>
    <cellStyle name="Normal 3 12 7 2 11 2" xfId="20219" xr:uid="{00000000-0005-0000-0000-0000F24E0000}"/>
    <cellStyle name="Normal 3 12 7 2 11 3" xfId="20220" xr:uid="{00000000-0005-0000-0000-0000F34E0000}"/>
    <cellStyle name="Normal 3 12 7 2 12" xfId="20221" xr:uid="{00000000-0005-0000-0000-0000F44E0000}"/>
    <cellStyle name="Normal 3 12 7 2 12 2" xfId="20222" xr:uid="{00000000-0005-0000-0000-0000F54E0000}"/>
    <cellStyle name="Normal 3 12 7 2 12 3" xfId="20223" xr:uid="{00000000-0005-0000-0000-0000F64E0000}"/>
    <cellStyle name="Normal 3 12 7 2 13" xfId="20224" xr:uid="{00000000-0005-0000-0000-0000F74E0000}"/>
    <cellStyle name="Normal 3 12 7 2 13 2" xfId="20225" xr:uid="{00000000-0005-0000-0000-0000F84E0000}"/>
    <cellStyle name="Normal 3 12 7 2 13 3" xfId="20226" xr:uid="{00000000-0005-0000-0000-0000F94E0000}"/>
    <cellStyle name="Normal 3 12 7 2 14" xfId="20227" xr:uid="{00000000-0005-0000-0000-0000FA4E0000}"/>
    <cellStyle name="Normal 3 12 7 2 14 2" xfId="20228" xr:uid="{00000000-0005-0000-0000-0000FB4E0000}"/>
    <cellStyle name="Normal 3 12 7 2 14 3" xfId="20229" xr:uid="{00000000-0005-0000-0000-0000FC4E0000}"/>
    <cellStyle name="Normal 3 12 7 2 15" xfId="20230" xr:uid="{00000000-0005-0000-0000-0000FD4E0000}"/>
    <cellStyle name="Normal 3 12 7 2 16" xfId="20231" xr:uid="{00000000-0005-0000-0000-0000FE4E0000}"/>
    <cellStyle name="Normal 3 12 7 2 2" xfId="20232" xr:uid="{00000000-0005-0000-0000-0000FF4E0000}"/>
    <cellStyle name="Normal 3 12 7 2 2 2" xfId="20233" xr:uid="{00000000-0005-0000-0000-0000004F0000}"/>
    <cellStyle name="Normal 3 12 7 2 2 3" xfId="20234" xr:uid="{00000000-0005-0000-0000-0000014F0000}"/>
    <cellStyle name="Normal 3 12 7 2 3" xfId="20235" xr:uid="{00000000-0005-0000-0000-0000024F0000}"/>
    <cellStyle name="Normal 3 12 7 2 3 2" xfId="20236" xr:uid="{00000000-0005-0000-0000-0000034F0000}"/>
    <cellStyle name="Normal 3 12 7 2 3 3" xfId="20237" xr:uid="{00000000-0005-0000-0000-0000044F0000}"/>
    <cellStyle name="Normal 3 12 7 2 4" xfId="20238" xr:uid="{00000000-0005-0000-0000-0000054F0000}"/>
    <cellStyle name="Normal 3 12 7 2 4 2" xfId="20239" xr:uid="{00000000-0005-0000-0000-0000064F0000}"/>
    <cellStyle name="Normal 3 12 7 2 4 3" xfId="20240" xr:uid="{00000000-0005-0000-0000-0000074F0000}"/>
    <cellStyle name="Normal 3 12 7 2 5" xfId="20241" xr:uid="{00000000-0005-0000-0000-0000084F0000}"/>
    <cellStyle name="Normal 3 12 7 2 5 2" xfId="20242" xr:uid="{00000000-0005-0000-0000-0000094F0000}"/>
    <cellStyle name="Normal 3 12 7 2 5 3" xfId="20243" xr:uid="{00000000-0005-0000-0000-00000A4F0000}"/>
    <cellStyle name="Normal 3 12 7 2 6" xfId="20244" xr:uid="{00000000-0005-0000-0000-00000B4F0000}"/>
    <cellStyle name="Normal 3 12 7 2 6 2" xfId="20245" xr:uid="{00000000-0005-0000-0000-00000C4F0000}"/>
    <cellStyle name="Normal 3 12 7 2 6 3" xfId="20246" xr:uid="{00000000-0005-0000-0000-00000D4F0000}"/>
    <cellStyle name="Normal 3 12 7 2 7" xfId="20247" xr:uid="{00000000-0005-0000-0000-00000E4F0000}"/>
    <cellStyle name="Normal 3 12 7 2 7 2" xfId="20248" xr:uid="{00000000-0005-0000-0000-00000F4F0000}"/>
    <cellStyle name="Normal 3 12 7 2 7 3" xfId="20249" xr:uid="{00000000-0005-0000-0000-0000104F0000}"/>
    <cellStyle name="Normal 3 12 7 2 8" xfId="20250" xr:uid="{00000000-0005-0000-0000-0000114F0000}"/>
    <cellStyle name="Normal 3 12 7 2 8 2" xfId="20251" xr:uid="{00000000-0005-0000-0000-0000124F0000}"/>
    <cellStyle name="Normal 3 12 7 2 8 3" xfId="20252" xr:uid="{00000000-0005-0000-0000-0000134F0000}"/>
    <cellStyle name="Normal 3 12 7 2 9" xfId="20253" xr:uid="{00000000-0005-0000-0000-0000144F0000}"/>
    <cellStyle name="Normal 3 12 7 2 9 2" xfId="20254" xr:uid="{00000000-0005-0000-0000-0000154F0000}"/>
    <cellStyle name="Normal 3 12 7 2 9 3" xfId="20255" xr:uid="{00000000-0005-0000-0000-0000164F0000}"/>
    <cellStyle name="Normal 3 12 7 3" xfId="20256" xr:uid="{00000000-0005-0000-0000-0000174F0000}"/>
    <cellStyle name="Normal 3 12 7 3 2" xfId="20257" xr:uid="{00000000-0005-0000-0000-0000184F0000}"/>
    <cellStyle name="Normal 3 12 7 3 3" xfId="20258" xr:uid="{00000000-0005-0000-0000-0000194F0000}"/>
    <cellStyle name="Normal 3 12 7 4" xfId="20259" xr:uid="{00000000-0005-0000-0000-00001A4F0000}"/>
    <cellStyle name="Normal 3 12 7 4 2" xfId="20260" xr:uid="{00000000-0005-0000-0000-00001B4F0000}"/>
    <cellStyle name="Normal 3 12 7 4 3" xfId="20261" xr:uid="{00000000-0005-0000-0000-00001C4F0000}"/>
    <cellStyle name="Normal 3 12 7 5" xfId="20262" xr:uid="{00000000-0005-0000-0000-00001D4F0000}"/>
    <cellStyle name="Normal 3 12 7 5 2" xfId="20263" xr:uid="{00000000-0005-0000-0000-00001E4F0000}"/>
    <cellStyle name="Normal 3 12 7 5 3" xfId="20264" xr:uid="{00000000-0005-0000-0000-00001F4F0000}"/>
    <cellStyle name="Normal 3 12 7 6" xfId="20265" xr:uid="{00000000-0005-0000-0000-0000204F0000}"/>
    <cellStyle name="Normal 3 12 7 6 2" xfId="20266" xr:uid="{00000000-0005-0000-0000-0000214F0000}"/>
    <cellStyle name="Normal 3 12 7 6 3" xfId="20267" xr:uid="{00000000-0005-0000-0000-0000224F0000}"/>
    <cellStyle name="Normal 3 12 7 7" xfId="20268" xr:uid="{00000000-0005-0000-0000-0000234F0000}"/>
    <cellStyle name="Normal 3 12 7 7 2" xfId="20269" xr:uid="{00000000-0005-0000-0000-0000244F0000}"/>
    <cellStyle name="Normal 3 12 7 7 3" xfId="20270" xr:uid="{00000000-0005-0000-0000-0000254F0000}"/>
    <cellStyle name="Normal 3 12 7 8" xfId="20271" xr:uid="{00000000-0005-0000-0000-0000264F0000}"/>
    <cellStyle name="Normal 3 12 7 8 2" xfId="20272" xr:uid="{00000000-0005-0000-0000-0000274F0000}"/>
    <cellStyle name="Normal 3 12 7 8 3" xfId="20273" xr:uid="{00000000-0005-0000-0000-0000284F0000}"/>
    <cellStyle name="Normal 3 12 7 9" xfId="20274" xr:uid="{00000000-0005-0000-0000-0000294F0000}"/>
    <cellStyle name="Normal 3 12 7 9 2" xfId="20275" xr:uid="{00000000-0005-0000-0000-00002A4F0000}"/>
    <cellStyle name="Normal 3 12 7 9 3" xfId="20276" xr:uid="{00000000-0005-0000-0000-00002B4F0000}"/>
    <cellStyle name="Normal 3 12 8" xfId="20277" xr:uid="{00000000-0005-0000-0000-00002C4F0000}"/>
    <cellStyle name="Normal 3 12 8 10" xfId="20278" xr:uid="{00000000-0005-0000-0000-00002D4F0000}"/>
    <cellStyle name="Normal 3 12 8 10 2" xfId="20279" xr:uid="{00000000-0005-0000-0000-00002E4F0000}"/>
    <cellStyle name="Normal 3 12 8 10 3" xfId="20280" xr:uid="{00000000-0005-0000-0000-00002F4F0000}"/>
    <cellStyle name="Normal 3 12 8 11" xfId="20281" xr:uid="{00000000-0005-0000-0000-0000304F0000}"/>
    <cellStyle name="Normal 3 12 8 11 2" xfId="20282" xr:uid="{00000000-0005-0000-0000-0000314F0000}"/>
    <cellStyle name="Normal 3 12 8 11 3" xfId="20283" xr:uid="{00000000-0005-0000-0000-0000324F0000}"/>
    <cellStyle name="Normal 3 12 8 12" xfId="20284" xr:uid="{00000000-0005-0000-0000-0000334F0000}"/>
    <cellStyle name="Normal 3 12 8 12 2" xfId="20285" xr:uid="{00000000-0005-0000-0000-0000344F0000}"/>
    <cellStyle name="Normal 3 12 8 12 3" xfId="20286" xr:uid="{00000000-0005-0000-0000-0000354F0000}"/>
    <cellStyle name="Normal 3 12 8 13" xfId="20287" xr:uid="{00000000-0005-0000-0000-0000364F0000}"/>
    <cellStyle name="Normal 3 12 8 13 2" xfId="20288" xr:uid="{00000000-0005-0000-0000-0000374F0000}"/>
    <cellStyle name="Normal 3 12 8 13 3" xfId="20289" xr:uid="{00000000-0005-0000-0000-0000384F0000}"/>
    <cellStyle name="Normal 3 12 8 14" xfId="20290" xr:uid="{00000000-0005-0000-0000-0000394F0000}"/>
    <cellStyle name="Normal 3 12 8 14 2" xfId="20291" xr:uid="{00000000-0005-0000-0000-00003A4F0000}"/>
    <cellStyle name="Normal 3 12 8 14 3" xfId="20292" xr:uid="{00000000-0005-0000-0000-00003B4F0000}"/>
    <cellStyle name="Normal 3 12 8 15" xfId="20293" xr:uid="{00000000-0005-0000-0000-00003C4F0000}"/>
    <cellStyle name="Normal 3 12 8 15 2" xfId="20294" xr:uid="{00000000-0005-0000-0000-00003D4F0000}"/>
    <cellStyle name="Normal 3 12 8 15 3" xfId="20295" xr:uid="{00000000-0005-0000-0000-00003E4F0000}"/>
    <cellStyle name="Normal 3 12 8 16" xfId="20296" xr:uid="{00000000-0005-0000-0000-00003F4F0000}"/>
    <cellStyle name="Normal 3 12 8 17" xfId="20297" xr:uid="{00000000-0005-0000-0000-0000404F0000}"/>
    <cellStyle name="Normal 3 12 8 2" xfId="20298" xr:uid="{00000000-0005-0000-0000-0000414F0000}"/>
    <cellStyle name="Normal 3 12 8 2 10" xfId="20299" xr:uid="{00000000-0005-0000-0000-0000424F0000}"/>
    <cellStyle name="Normal 3 12 8 2 10 2" xfId="20300" xr:uid="{00000000-0005-0000-0000-0000434F0000}"/>
    <cellStyle name="Normal 3 12 8 2 10 3" xfId="20301" xr:uid="{00000000-0005-0000-0000-0000444F0000}"/>
    <cellStyle name="Normal 3 12 8 2 11" xfId="20302" xr:uid="{00000000-0005-0000-0000-0000454F0000}"/>
    <cellStyle name="Normal 3 12 8 2 11 2" xfId="20303" xr:uid="{00000000-0005-0000-0000-0000464F0000}"/>
    <cellStyle name="Normal 3 12 8 2 11 3" xfId="20304" xr:uid="{00000000-0005-0000-0000-0000474F0000}"/>
    <cellStyle name="Normal 3 12 8 2 12" xfId="20305" xr:uid="{00000000-0005-0000-0000-0000484F0000}"/>
    <cellStyle name="Normal 3 12 8 2 12 2" xfId="20306" xr:uid="{00000000-0005-0000-0000-0000494F0000}"/>
    <cellStyle name="Normal 3 12 8 2 12 3" xfId="20307" xr:uid="{00000000-0005-0000-0000-00004A4F0000}"/>
    <cellStyle name="Normal 3 12 8 2 13" xfId="20308" xr:uid="{00000000-0005-0000-0000-00004B4F0000}"/>
    <cellStyle name="Normal 3 12 8 2 13 2" xfId="20309" xr:uid="{00000000-0005-0000-0000-00004C4F0000}"/>
    <cellStyle name="Normal 3 12 8 2 13 3" xfId="20310" xr:uid="{00000000-0005-0000-0000-00004D4F0000}"/>
    <cellStyle name="Normal 3 12 8 2 14" xfId="20311" xr:uid="{00000000-0005-0000-0000-00004E4F0000}"/>
    <cellStyle name="Normal 3 12 8 2 14 2" xfId="20312" xr:uid="{00000000-0005-0000-0000-00004F4F0000}"/>
    <cellStyle name="Normal 3 12 8 2 14 3" xfId="20313" xr:uid="{00000000-0005-0000-0000-0000504F0000}"/>
    <cellStyle name="Normal 3 12 8 2 15" xfId="20314" xr:uid="{00000000-0005-0000-0000-0000514F0000}"/>
    <cellStyle name="Normal 3 12 8 2 16" xfId="20315" xr:uid="{00000000-0005-0000-0000-0000524F0000}"/>
    <cellStyle name="Normal 3 12 8 2 2" xfId="20316" xr:uid="{00000000-0005-0000-0000-0000534F0000}"/>
    <cellStyle name="Normal 3 12 8 2 2 2" xfId="20317" xr:uid="{00000000-0005-0000-0000-0000544F0000}"/>
    <cellStyle name="Normal 3 12 8 2 2 3" xfId="20318" xr:uid="{00000000-0005-0000-0000-0000554F0000}"/>
    <cellStyle name="Normal 3 12 8 2 3" xfId="20319" xr:uid="{00000000-0005-0000-0000-0000564F0000}"/>
    <cellStyle name="Normal 3 12 8 2 3 2" xfId="20320" xr:uid="{00000000-0005-0000-0000-0000574F0000}"/>
    <cellStyle name="Normal 3 12 8 2 3 3" xfId="20321" xr:uid="{00000000-0005-0000-0000-0000584F0000}"/>
    <cellStyle name="Normal 3 12 8 2 4" xfId="20322" xr:uid="{00000000-0005-0000-0000-0000594F0000}"/>
    <cellStyle name="Normal 3 12 8 2 4 2" xfId="20323" xr:uid="{00000000-0005-0000-0000-00005A4F0000}"/>
    <cellStyle name="Normal 3 12 8 2 4 3" xfId="20324" xr:uid="{00000000-0005-0000-0000-00005B4F0000}"/>
    <cellStyle name="Normal 3 12 8 2 5" xfId="20325" xr:uid="{00000000-0005-0000-0000-00005C4F0000}"/>
    <cellStyle name="Normal 3 12 8 2 5 2" xfId="20326" xr:uid="{00000000-0005-0000-0000-00005D4F0000}"/>
    <cellStyle name="Normal 3 12 8 2 5 3" xfId="20327" xr:uid="{00000000-0005-0000-0000-00005E4F0000}"/>
    <cellStyle name="Normal 3 12 8 2 6" xfId="20328" xr:uid="{00000000-0005-0000-0000-00005F4F0000}"/>
    <cellStyle name="Normal 3 12 8 2 6 2" xfId="20329" xr:uid="{00000000-0005-0000-0000-0000604F0000}"/>
    <cellStyle name="Normal 3 12 8 2 6 3" xfId="20330" xr:uid="{00000000-0005-0000-0000-0000614F0000}"/>
    <cellStyle name="Normal 3 12 8 2 7" xfId="20331" xr:uid="{00000000-0005-0000-0000-0000624F0000}"/>
    <cellStyle name="Normal 3 12 8 2 7 2" xfId="20332" xr:uid="{00000000-0005-0000-0000-0000634F0000}"/>
    <cellStyle name="Normal 3 12 8 2 7 3" xfId="20333" xr:uid="{00000000-0005-0000-0000-0000644F0000}"/>
    <cellStyle name="Normal 3 12 8 2 8" xfId="20334" xr:uid="{00000000-0005-0000-0000-0000654F0000}"/>
    <cellStyle name="Normal 3 12 8 2 8 2" xfId="20335" xr:uid="{00000000-0005-0000-0000-0000664F0000}"/>
    <cellStyle name="Normal 3 12 8 2 8 3" xfId="20336" xr:uid="{00000000-0005-0000-0000-0000674F0000}"/>
    <cellStyle name="Normal 3 12 8 2 9" xfId="20337" xr:uid="{00000000-0005-0000-0000-0000684F0000}"/>
    <cellStyle name="Normal 3 12 8 2 9 2" xfId="20338" xr:uid="{00000000-0005-0000-0000-0000694F0000}"/>
    <cellStyle name="Normal 3 12 8 2 9 3" xfId="20339" xr:uid="{00000000-0005-0000-0000-00006A4F0000}"/>
    <cellStyle name="Normal 3 12 8 3" xfId="20340" xr:uid="{00000000-0005-0000-0000-00006B4F0000}"/>
    <cellStyle name="Normal 3 12 8 3 2" xfId="20341" xr:uid="{00000000-0005-0000-0000-00006C4F0000}"/>
    <cellStyle name="Normal 3 12 8 3 3" xfId="20342" xr:uid="{00000000-0005-0000-0000-00006D4F0000}"/>
    <cellStyle name="Normal 3 12 8 4" xfId="20343" xr:uid="{00000000-0005-0000-0000-00006E4F0000}"/>
    <cellStyle name="Normal 3 12 8 4 2" xfId="20344" xr:uid="{00000000-0005-0000-0000-00006F4F0000}"/>
    <cellStyle name="Normal 3 12 8 4 3" xfId="20345" xr:uid="{00000000-0005-0000-0000-0000704F0000}"/>
    <cellStyle name="Normal 3 12 8 5" xfId="20346" xr:uid="{00000000-0005-0000-0000-0000714F0000}"/>
    <cellStyle name="Normal 3 12 8 5 2" xfId="20347" xr:uid="{00000000-0005-0000-0000-0000724F0000}"/>
    <cellStyle name="Normal 3 12 8 5 3" xfId="20348" xr:uid="{00000000-0005-0000-0000-0000734F0000}"/>
    <cellStyle name="Normal 3 12 8 6" xfId="20349" xr:uid="{00000000-0005-0000-0000-0000744F0000}"/>
    <cellStyle name="Normal 3 12 8 6 2" xfId="20350" xr:uid="{00000000-0005-0000-0000-0000754F0000}"/>
    <cellStyle name="Normal 3 12 8 6 3" xfId="20351" xr:uid="{00000000-0005-0000-0000-0000764F0000}"/>
    <cellStyle name="Normal 3 12 8 7" xfId="20352" xr:uid="{00000000-0005-0000-0000-0000774F0000}"/>
    <cellStyle name="Normal 3 12 8 7 2" xfId="20353" xr:uid="{00000000-0005-0000-0000-0000784F0000}"/>
    <cellStyle name="Normal 3 12 8 7 3" xfId="20354" xr:uid="{00000000-0005-0000-0000-0000794F0000}"/>
    <cellStyle name="Normal 3 12 8 8" xfId="20355" xr:uid="{00000000-0005-0000-0000-00007A4F0000}"/>
    <cellStyle name="Normal 3 12 8 8 2" xfId="20356" xr:uid="{00000000-0005-0000-0000-00007B4F0000}"/>
    <cellStyle name="Normal 3 12 8 8 3" xfId="20357" xr:uid="{00000000-0005-0000-0000-00007C4F0000}"/>
    <cellStyle name="Normal 3 12 8 9" xfId="20358" xr:uid="{00000000-0005-0000-0000-00007D4F0000}"/>
    <cellStyle name="Normal 3 12 8 9 2" xfId="20359" xr:uid="{00000000-0005-0000-0000-00007E4F0000}"/>
    <cellStyle name="Normal 3 12 8 9 3" xfId="20360" xr:uid="{00000000-0005-0000-0000-00007F4F0000}"/>
    <cellStyle name="Normal 3 12 9" xfId="20361" xr:uid="{00000000-0005-0000-0000-0000804F0000}"/>
    <cellStyle name="Normal 3 12 9 10" xfId="20362" xr:uid="{00000000-0005-0000-0000-0000814F0000}"/>
    <cellStyle name="Normal 3 12 9 10 2" xfId="20363" xr:uid="{00000000-0005-0000-0000-0000824F0000}"/>
    <cellStyle name="Normal 3 12 9 10 3" xfId="20364" xr:uid="{00000000-0005-0000-0000-0000834F0000}"/>
    <cellStyle name="Normal 3 12 9 11" xfId="20365" xr:uid="{00000000-0005-0000-0000-0000844F0000}"/>
    <cellStyle name="Normal 3 12 9 11 2" xfId="20366" xr:uid="{00000000-0005-0000-0000-0000854F0000}"/>
    <cellStyle name="Normal 3 12 9 11 3" xfId="20367" xr:uid="{00000000-0005-0000-0000-0000864F0000}"/>
    <cellStyle name="Normal 3 12 9 12" xfId="20368" xr:uid="{00000000-0005-0000-0000-0000874F0000}"/>
    <cellStyle name="Normal 3 12 9 12 2" xfId="20369" xr:uid="{00000000-0005-0000-0000-0000884F0000}"/>
    <cellStyle name="Normal 3 12 9 12 3" xfId="20370" xr:uid="{00000000-0005-0000-0000-0000894F0000}"/>
    <cellStyle name="Normal 3 12 9 13" xfId="20371" xr:uid="{00000000-0005-0000-0000-00008A4F0000}"/>
    <cellStyle name="Normal 3 12 9 13 2" xfId="20372" xr:uid="{00000000-0005-0000-0000-00008B4F0000}"/>
    <cellStyle name="Normal 3 12 9 13 3" xfId="20373" xr:uid="{00000000-0005-0000-0000-00008C4F0000}"/>
    <cellStyle name="Normal 3 12 9 14" xfId="20374" xr:uid="{00000000-0005-0000-0000-00008D4F0000}"/>
    <cellStyle name="Normal 3 12 9 14 2" xfId="20375" xr:uid="{00000000-0005-0000-0000-00008E4F0000}"/>
    <cellStyle name="Normal 3 12 9 14 3" xfId="20376" xr:uid="{00000000-0005-0000-0000-00008F4F0000}"/>
    <cellStyle name="Normal 3 12 9 15" xfId="20377" xr:uid="{00000000-0005-0000-0000-0000904F0000}"/>
    <cellStyle name="Normal 3 12 9 16" xfId="20378" xr:uid="{00000000-0005-0000-0000-0000914F0000}"/>
    <cellStyle name="Normal 3 12 9 2" xfId="20379" xr:uid="{00000000-0005-0000-0000-0000924F0000}"/>
    <cellStyle name="Normal 3 12 9 2 2" xfId="20380" xr:uid="{00000000-0005-0000-0000-0000934F0000}"/>
    <cellStyle name="Normal 3 12 9 2 3" xfId="20381" xr:uid="{00000000-0005-0000-0000-0000944F0000}"/>
    <cellStyle name="Normal 3 12 9 3" xfId="20382" xr:uid="{00000000-0005-0000-0000-0000954F0000}"/>
    <cellStyle name="Normal 3 12 9 3 2" xfId="20383" xr:uid="{00000000-0005-0000-0000-0000964F0000}"/>
    <cellStyle name="Normal 3 12 9 3 3" xfId="20384" xr:uid="{00000000-0005-0000-0000-0000974F0000}"/>
    <cellStyle name="Normal 3 12 9 4" xfId="20385" xr:uid="{00000000-0005-0000-0000-0000984F0000}"/>
    <cellStyle name="Normal 3 12 9 4 2" xfId="20386" xr:uid="{00000000-0005-0000-0000-0000994F0000}"/>
    <cellStyle name="Normal 3 12 9 4 3" xfId="20387" xr:uid="{00000000-0005-0000-0000-00009A4F0000}"/>
    <cellStyle name="Normal 3 12 9 5" xfId="20388" xr:uid="{00000000-0005-0000-0000-00009B4F0000}"/>
    <cellStyle name="Normal 3 12 9 5 2" xfId="20389" xr:uid="{00000000-0005-0000-0000-00009C4F0000}"/>
    <cellStyle name="Normal 3 12 9 5 3" xfId="20390" xr:uid="{00000000-0005-0000-0000-00009D4F0000}"/>
    <cellStyle name="Normal 3 12 9 6" xfId="20391" xr:uid="{00000000-0005-0000-0000-00009E4F0000}"/>
    <cellStyle name="Normal 3 12 9 6 2" xfId="20392" xr:uid="{00000000-0005-0000-0000-00009F4F0000}"/>
    <cellStyle name="Normal 3 12 9 6 3" xfId="20393" xr:uid="{00000000-0005-0000-0000-0000A04F0000}"/>
    <cellStyle name="Normal 3 12 9 7" xfId="20394" xr:uid="{00000000-0005-0000-0000-0000A14F0000}"/>
    <cellStyle name="Normal 3 12 9 7 2" xfId="20395" xr:uid="{00000000-0005-0000-0000-0000A24F0000}"/>
    <cellStyle name="Normal 3 12 9 7 3" xfId="20396" xr:uid="{00000000-0005-0000-0000-0000A34F0000}"/>
    <cellStyle name="Normal 3 12 9 8" xfId="20397" xr:uid="{00000000-0005-0000-0000-0000A44F0000}"/>
    <cellStyle name="Normal 3 12 9 8 2" xfId="20398" xr:uid="{00000000-0005-0000-0000-0000A54F0000}"/>
    <cellStyle name="Normal 3 12 9 8 3" xfId="20399" xr:uid="{00000000-0005-0000-0000-0000A64F0000}"/>
    <cellStyle name="Normal 3 12 9 9" xfId="20400" xr:uid="{00000000-0005-0000-0000-0000A74F0000}"/>
    <cellStyle name="Normal 3 12 9 9 2" xfId="20401" xr:uid="{00000000-0005-0000-0000-0000A84F0000}"/>
    <cellStyle name="Normal 3 12 9 9 3" xfId="20402" xr:uid="{00000000-0005-0000-0000-0000A94F0000}"/>
    <cellStyle name="Normal 3 13" xfId="20403" xr:uid="{00000000-0005-0000-0000-0000AA4F0000}"/>
    <cellStyle name="Normal 3 13 10" xfId="20404" xr:uid="{00000000-0005-0000-0000-0000AB4F0000}"/>
    <cellStyle name="Normal 3 13 10 10" xfId="20405" xr:uid="{00000000-0005-0000-0000-0000AC4F0000}"/>
    <cellStyle name="Normal 3 13 10 10 2" xfId="20406" xr:uid="{00000000-0005-0000-0000-0000AD4F0000}"/>
    <cellStyle name="Normal 3 13 10 10 3" xfId="20407" xr:uid="{00000000-0005-0000-0000-0000AE4F0000}"/>
    <cellStyle name="Normal 3 13 10 11" xfId="20408" xr:uid="{00000000-0005-0000-0000-0000AF4F0000}"/>
    <cellStyle name="Normal 3 13 10 11 2" xfId="20409" xr:uid="{00000000-0005-0000-0000-0000B04F0000}"/>
    <cellStyle name="Normal 3 13 10 11 3" xfId="20410" xr:uid="{00000000-0005-0000-0000-0000B14F0000}"/>
    <cellStyle name="Normal 3 13 10 12" xfId="20411" xr:uid="{00000000-0005-0000-0000-0000B24F0000}"/>
    <cellStyle name="Normal 3 13 10 12 2" xfId="20412" xr:uid="{00000000-0005-0000-0000-0000B34F0000}"/>
    <cellStyle name="Normal 3 13 10 12 3" xfId="20413" xr:uid="{00000000-0005-0000-0000-0000B44F0000}"/>
    <cellStyle name="Normal 3 13 10 13" xfId="20414" xr:uid="{00000000-0005-0000-0000-0000B54F0000}"/>
    <cellStyle name="Normal 3 13 10 13 2" xfId="20415" xr:uid="{00000000-0005-0000-0000-0000B64F0000}"/>
    <cellStyle name="Normal 3 13 10 13 3" xfId="20416" xr:uid="{00000000-0005-0000-0000-0000B74F0000}"/>
    <cellStyle name="Normal 3 13 10 14" xfId="20417" xr:uid="{00000000-0005-0000-0000-0000B84F0000}"/>
    <cellStyle name="Normal 3 13 10 14 2" xfId="20418" xr:uid="{00000000-0005-0000-0000-0000B94F0000}"/>
    <cellStyle name="Normal 3 13 10 14 3" xfId="20419" xr:uid="{00000000-0005-0000-0000-0000BA4F0000}"/>
    <cellStyle name="Normal 3 13 10 15" xfId="20420" xr:uid="{00000000-0005-0000-0000-0000BB4F0000}"/>
    <cellStyle name="Normal 3 13 10 16" xfId="20421" xr:uid="{00000000-0005-0000-0000-0000BC4F0000}"/>
    <cellStyle name="Normal 3 13 10 2" xfId="20422" xr:uid="{00000000-0005-0000-0000-0000BD4F0000}"/>
    <cellStyle name="Normal 3 13 10 2 2" xfId="20423" xr:uid="{00000000-0005-0000-0000-0000BE4F0000}"/>
    <cellStyle name="Normal 3 13 10 2 3" xfId="20424" xr:uid="{00000000-0005-0000-0000-0000BF4F0000}"/>
    <cellStyle name="Normal 3 13 10 3" xfId="20425" xr:uid="{00000000-0005-0000-0000-0000C04F0000}"/>
    <cellStyle name="Normal 3 13 10 3 2" xfId="20426" xr:uid="{00000000-0005-0000-0000-0000C14F0000}"/>
    <cellStyle name="Normal 3 13 10 3 3" xfId="20427" xr:uid="{00000000-0005-0000-0000-0000C24F0000}"/>
    <cellStyle name="Normal 3 13 10 4" xfId="20428" xr:uid="{00000000-0005-0000-0000-0000C34F0000}"/>
    <cellStyle name="Normal 3 13 10 4 2" xfId="20429" xr:uid="{00000000-0005-0000-0000-0000C44F0000}"/>
    <cellStyle name="Normal 3 13 10 4 3" xfId="20430" xr:uid="{00000000-0005-0000-0000-0000C54F0000}"/>
    <cellStyle name="Normal 3 13 10 5" xfId="20431" xr:uid="{00000000-0005-0000-0000-0000C64F0000}"/>
    <cellStyle name="Normal 3 13 10 5 2" xfId="20432" xr:uid="{00000000-0005-0000-0000-0000C74F0000}"/>
    <cellStyle name="Normal 3 13 10 5 3" xfId="20433" xr:uid="{00000000-0005-0000-0000-0000C84F0000}"/>
    <cellStyle name="Normal 3 13 10 6" xfId="20434" xr:uid="{00000000-0005-0000-0000-0000C94F0000}"/>
    <cellStyle name="Normal 3 13 10 6 2" xfId="20435" xr:uid="{00000000-0005-0000-0000-0000CA4F0000}"/>
    <cellStyle name="Normal 3 13 10 6 3" xfId="20436" xr:uid="{00000000-0005-0000-0000-0000CB4F0000}"/>
    <cellStyle name="Normal 3 13 10 7" xfId="20437" xr:uid="{00000000-0005-0000-0000-0000CC4F0000}"/>
    <cellStyle name="Normal 3 13 10 7 2" xfId="20438" xr:uid="{00000000-0005-0000-0000-0000CD4F0000}"/>
    <cellStyle name="Normal 3 13 10 7 3" xfId="20439" xr:uid="{00000000-0005-0000-0000-0000CE4F0000}"/>
    <cellStyle name="Normal 3 13 10 8" xfId="20440" xr:uid="{00000000-0005-0000-0000-0000CF4F0000}"/>
    <cellStyle name="Normal 3 13 10 8 2" xfId="20441" xr:uid="{00000000-0005-0000-0000-0000D04F0000}"/>
    <cellStyle name="Normal 3 13 10 8 3" xfId="20442" xr:uid="{00000000-0005-0000-0000-0000D14F0000}"/>
    <cellStyle name="Normal 3 13 10 9" xfId="20443" xr:uid="{00000000-0005-0000-0000-0000D24F0000}"/>
    <cellStyle name="Normal 3 13 10 9 2" xfId="20444" xr:uid="{00000000-0005-0000-0000-0000D34F0000}"/>
    <cellStyle name="Normal 3 13 10 9 3" xfId="20445" xr:uid="{00000000-0005-0000-0000-0000D44F0000}"/>
    <cellStyle name="Normal 3 13 11" xfId="20446" xr:uid="{00000000-0005-0000-0000-0000D54F0000}"/>
    <cellStyle name="Normal 3 13 11 10" xfId="20447" xr:uid="{00000000-0005-0000-0000-0000D64F0000}"/>
    <cellStyle name="Normal 3 13 11 10 2" xfId="20448" xr:uid="{00000000-0005-0000-0000-0000D74F0000}"/>
    <cellStyle name="Normal 3 13 11 10 3" xfId="20449" xr:uid="{00000000-0005-0000-0000-0000D84F0000}"/>
    <cellStyle name="Normal 3 13 11 11" xfId="20450" xr:uid="{00000000-0005-0000-0000-0000D94F0000}"/>
    <cellStyle name="Normal 3 13 11 11 2" xfId="20451" xr:uid="{00000000-0005-0000-0000-0000DA4F0000}"/>
    <cellStyle name="Normal 3 13 11 11 3" xfId="20452" xr:uid="{00000000-0005-0000-0000-0000DB4F0000}"/>
    <cellStyle name="Normal 3 13 11 12" xfId="20453" xr:uid="{00000000-0005-0000-0000-0000DC4F0000}"/>
    <cellStyle name="Normal 3 13 11 12 2" xfId="20454" xr:uid="{00000000-0005-0000-0000-0000DD4F0000}"/>
    <cellStyle name="Normal 3 13 11 12 3" xfId="20455" xr:uid="{00000000-0005-0000-0000-0000DE4F0000}"/>
    <cellStyle name="Normal 3 13 11 13" xfId="20456" xr:uid="{00000000-0005-0000-0000-0000DF4F0000}"/>
    <cellStyle name="Normal 3 13 11 13 2" xfId="20457" xr:uid="{00000000-0005-0000-0000-0000E04F0000}"/>
    <cellStyle name="Normal 3 13 11 13 3" xfId="20458" xr:uid="{00000000-0005-0000-0000-0000E14F0000}"/>
    <cellStyle name="Normal 3 13 11 14" xfId="20459" xr:uid="{00000000-0005-0000-0000-0000E24F0000}"/>
    <cellStyle name="Normal 3 13 11 14 2" xfId="20460" xr:uid="{00000000-0005-0000-0000-0000E34F0000}"/>
    <cellStyle name="Normal 3 13 11 14 3" xfId="20461" xr:uid="{00000000-0005-0000-0000-0000E44F0000}"/>
    <cellStyle name="Normal 3 13 11 15" xfId="20462" xr:uid="{00000000-0005-0000-0000-0000E54F0000}"/>
    <cellStyle name="Normal 3 13 11 16" xfId="20463" xr:uid="{00000000-0005-0000-0000-0000E64F0000}"/>
    <cellStyle name="Normal 3 13 11 2" xfId="20464" xr:uid="{00000000-0005-0000-0000-0000E74F0000}"/>
    <cellStyle name="Normal 3 13 11 2 2" xfId="20465" xr:uid="{00000000-0005-0000-0000-0000E84F0000}"/>
    <cellStyle name="Normal 3 13 11 2 3" xfId="20466" xr:uid="{00000000-0005-0000-0000-0000E94F0000}"/>
    <cellStyle name="Normal 3 13 11 3" xfId="20467" xr:uid="{00000000-0005-0000-0000-0000EA4F0000}"/>
    <cellStyle name="Normal 3 13 11 3 2" xfId="20468" xr:uid="{00000000-0005-0000-0000-0000EB4F0000}"/>
    <cellStyle name="Normal 3 13 11 3 3" xfId="20469" xr:uid="{00000000-0005-0000-0000-0000EC4F0000}"/>
    <cellStyle name="Normal 3 13 11 4" xfId="20470" xr:uid="{00000000-0005-0000-0000-0000ED4F0000}"/>
    <cellStyle name="Normal 3 13 11 4 2" xfId="20471" xr:uid="{00000000-0005-0000-0000-0000EE4F0000}"/>
    <cellStyle name="Normal 3 13 11 4 3" xfId="20472" xr:uid="{00000000-0005-0000-0000-0000EF4F0000}"/>
    <cellStyle name="Normal 3 13 11 5" xfId="20473" xr:uid="{00000000-0005-0000-0000-0000F04F0000}"/>
    <cellStyle name="Normal 3 13 11 5 2" xfId="20474" xr:uid="{00000000-0005-0000-0000-0000F14F0000}"/>
    <cellStyle name="Normal 3 13 11 5 3" xfId="20475" xr:uid="{00000000-0005-0000-0000-0000F24F0000}"/>
    <cellStyle name="Normal 3 13 11 6" xfId="20476" xr:uid="{00000000-0005-0000-0000-0000F34F0000}"/>
    <cellStyle name="Normal 3 13 11 6 2" xfId="20477" xr:uid="{00000000-0005-0000-0000-0000F44F0000}"/>
    <cellStyle name="Normal 3 13 11 6 3" xfId="20478" xr:uid="{00000000-0005-0000-0000-0000F54F0000}"/>
    <cellStyle name="Normal 3 13 11 7" xfId="20479" xr:uid="{00000000-0005-0000-0000-0000F64F0000}"/>
    <cellStyle name="Normal 3 13 11 7 2" xfId="20480" xr:uid="{00000000-0005-0000-0000-0000F74F0000}"/>
    <cellStyle name="Normal 3 13 11 7 3" xfId="20481" xr:uid="{00000000-0005-0000-0000-0000F84F0000}"/>
    <cellStyle name="Normal 3 13 11 8" xfId="20482" xr:uid="{00000000-0005-0000-0000-0000F94F0000}"/>
    <cellStyle name="Normal 3 13 11 8 2" xfId="20483" xr:uid="{00000000-0005-0000-0000-0000FA4F0000}"/>
    <cellStyle name="Normal 3 13 11 8 3" xfId="20484" xr:uid="{00000000-0005-0000-0000-0000FB4F0000}"/>
    <cellStyle name="Normal 3 13 11 9" xfId="20485" xr:uid="{00000000-0005-0000-0000-0000FC4F0000}"/>
    <cellStyle name="Normal 3 13 11 9 2" xfId="20486" xr:uid="{00000000-0005-0000-0000-0000FD4F0000}"/>
    <cellStyle name="Normal 3 13 11 9 3" xfId="20487" xr:uid="{00000000-0005-0000-0000-0000FE4F0000}"/>
    <cellStyle name="Normal 3 13 12" xfId="20488" xr:uid="{00000000-0005-0000-0000-0000FF4F0000}"/>
    <cellStyle name="Normal 3 13 12 10" xfId="20489" xr:uid="{00000000-0005-0000-0000-000000500000}"/>
    <cellStyle name="Normal 3 13 12 10 2" xfId="20490" xr:uid="{00000000-0005-0000-0000-000001500000}"/>
    <cellStyle name="Normal 3 13 12 10 3" xfId="20491" xr:uid="{00000000-0005-0000-0000-000002500000}"/>
    <cellStyle name="Normal 3 13 12 11" xfId="20492" xr:uid="{00000000-0005-0000-0000-000003500000}"/>
    <cellStyle name="Normal 3 13 12 11 2" xfId="20493" xr:uid="{00000000-0005-0000-0000-000004500000}"/>
    <cellStyle name="Normal 3 13 12 11 3" xfId="20494" xr:uid="{00000000-0005-0000-0000-000005500000}"/>
    <cellStyle name="Normal 3 13 12 12" xfId="20495" xr:uid="{00000000-0005-0000-0000-000006500000}"/>
    <cellStyle name="Normal 3 13 12 12 2" xfId="20496" xr:uid="{00000000-0005-0000-0000-000007500000}"/>
    <cellStyle name="Normal 3 13 12 12 3" xfId="20497" xr:uid="{00000000-0005-0000-0000-000008500000}"/>
    <cellStyle name="Normal 3 13 12 13" xfId="20498" xr:uid="{00000000-0005-0000-0000-000009500000}"/>
    <cellStyle name="Normal 3 13 12 13 2" xfId="20499" xr:uid="{00000000-0005-0000-0000-00000A500000}"/>
    <cellStyle name="Normal 3 13 12 13 3" xfId="20500" xr:uid="{00000000-0005-0000-0000-00000B500000}"/>
    <cellStyle name="Normal 3 13 12 14" xfId="20501" xr:uid="{00000000-0005-0000-0000-00000C500000}"/>
    <cellStyle name="Normal 3 13 12 14 2" xfId="20502" xr:uid="{00000000-0005-0000-0000-00000D500000}"/>
    <cellStyle name="Normal 3 13 12 14 3" xfId="20503" xr:uid="{00000000-0005-0000-0000-00000E500000}"/>
    <cellStyle name="Normal 3 13 12 15" xfId="20504" xr:uid="{00000000-0005-0000-0000-00000F500000}"/>
    <cellStyle name="Normal 3 13 12 16" xfId="20505" xr:uid="{00000000-0005-0000-0000-000010500000}"/>
    <cellStyle name="Normal 3 13 12 2" xfId="20506" xr:uid="{00000000-0005-0000-0000-000011500000}"/>
    <cellStyle name="Normal 3 13 12 2 2" xfId="20507" xr:uid="{00000000-0005-0000-0000-000012500000}"/>
    <cellStyle name="Normal 3 13 12 2 3" xfId="20508" xr:uid="{00000000-0005-0000-0000-000013500000}"/>
    <cellStyle name="Normal 3 13 12 3" xfId="20509" xr:uid="{00000000-0005-0000-0000-000014500000}"/>
    <cellStyle name="Normal 3 13 12 3 2" xfId="20510" xr:uid="{00000000-0005-0000-0000-000015500000}"/>
    <cellStyle name="Normal 3 13 12 3 3" xfId="20511" xr:uid="{00000000-0005-0000-0000-000016500000}"/>
    <cellStyle name="Normal 3 13 12 4" xfId="20512" xr:uid="{00000000-0005-0000-0000-000017500000}"/>
    <cellStyle name="Normal 3 13 12 4 2" xfId="20513" xr:uid="{00000000-0005-0000-0000-000018500000}"/>
    <cellStyle name="Normal 3 13 12 4 3" xfId="20514" xr:uid="{00000000-0005-0000-0000-000019500000}"/>
    <cellStyle name="Normal 3 13 12 5" xfId="20515" xr:uid="{00000000-0005-0000-0000-00001A500000}"/>
    <cellStyle name="Normal 3 13 12 5 2" xfId="20516" xr:uid="{00000000-0005-0000-0000-00001B500000}"/>
    <cellStyle name="Normal 3 13 12 5 3" xfId="20517" xr:uid="{00000000-0005-0000-0000-00001C500000}"/>
    <cellStyle name="Normal 3 13 12 6" xfId="20518" xr:uid="{00000000-0005-0000-0000-00001D500000}"/>
    <cellStyle name="Normal 3 13 12 6 2" xfId="20519" xr:uid="{00000000-0005-0000-0000-00001E500000}"/>
    <cellStyle name="Normal 3 13 12 6 3" xfId="20520" xr:uid="{00000000-0005-0000-0000-00001F500000}"/>
    <cellStyle name="Normal 3 13 12 7" xfId="20521" xr:uid="{00000000-0005-0000-0000-000020500000}"/>
    <cellStyle name="Normal 3 13 12 7 2" xfId="20522" xr:uid="{00000000-0005-0000-0000-000021500000}"/>
    <cellStyle name="Normal 3 13 12 7 3" xfId="20523" xr:uid="{00000000-0005-0000-0000-000022500000}"/>
    <cellStyle name="Normal 3 13 12 8" xfId="20524" xr:uid="{00000000-0005-0000-0000-000023500000}"/>
    <cellStyle name="Normal 3 13 12 8 2" xfId="20525" xr:uid="{00000000-0005-0000-0000-000024500000}"/>
    <cellStyle name="Normal 3 13 12 8 3" xfId="20526" xr:uid="{00000000-0005-0000-0000-000025500000}"/>
    <cellStyle name="Normal 3 13 12 9" xfId="20527" xr:uid="{00000000-0005-0000-0000-000026500000}"/>
    <cellStyle name="Normal 3 13 12 9 2" xfId="20528" xr:uid="{00000000-0005-0000-0000-000027500000}"/>
    <cellStyle name="Normal 3 13 12 9 3" xfId="20529" xr:uid="{00000000-0005-0000-0000-000028500000}"/>
    <cellStyle name="Normal 3 13 13" xfId="20530" xr:uid="{00000000-0005-0000-0000-000029500000}"/>
    <cellStyle name="Normal 3 13 13 10" xfId="20531" xr:uid="{00000000-0005-0000-0000-00002A500000}"/>
    <cellStyle name="Normal 3 13 13 10 2" xfId="20532" xr:uid="{00000000-0005-0000-0000-00002B500000}"/>
    <cellStyle name="Normal 3 13 13 10 3" xfId="20533" xr:uid="{00000000-0005-0000-0000-00002C500000}"/>
    <cellStyle name="Normal 3 13 13 11" xfId="20534" xr:uid="{00000000-0005-0000-0000-00002D500000}"/>
    <cellStyle name="Normal 3 13 13 11 2" xfId="20535" xr:uid="{00000000-0005-0000-0000-00002E500000}"/>
    <cellStyle name="Normal 3 13 13 11 3" xfId="20536" xr:uid="{00000000-0005-0000-0000-00002F500000}"/>
    <cellStyle name="Normal 3 13 13 12" xfId="20537" xr:uid="{00000000-0005-0000-0000-000030500000}"/>
    <cellStyle name="Normal 3 13 13 12 2" xfId="20538" xr:uid="{00000000-0005-0000-0000-000031500000}"/>
    <cellStyle name="Normal 3 13 13 12 3" xfId="20539" xr:uid="{00000000-0005-0000-0000-000032500000}"/>
    <cellStyle name="Normal 3 13 13 13" xfId="20540" xr:uid="{00000000-0005-0000-0000-000033500000}"/>
    <cellStyle name="Normal 3 13 13 13 2" xfId="20541" xr:uid="{00000000-0005-0000-0000-000034500000}"/>
    <cellStyle name="Normal 3 13 13 13 3" xfId="20542" xr:uid="{00000000-0005-0000-0000-000035500000}"/>
    <cellStyle name="Normal 3 13 13 14" xfId="20543" xr:uid="{00000000-0005-0000-0000-000036500000}"/>
    <cellStyle name="Normal 3 13 13 14 2" xfId="20544" xr:uid="{00000000-0005-0000-0000-000037500000}"/>
    <cellStyle name="Normal 3 13 13 14 3" xfId="20545" xr:uid="{00000000-0005-0000-0000-000038500000}"/>
    <cellStyle name="Normal 3 13 13 15" xfId="20546" xr:uid="{00000000-0005-0000-0000-000039500000}"/>
    <cellStyle name="Normal 3 13 13 16" xfId="20547" xr:uid="{00000000-0005-0000-0000-00003A500000}"/>
    <cellStyle name="Normal 3 13 13 2" xfId="20548" xr:uid="{00000000-0005-0000-0000-00003B500000}"/>
    <cellStyle name="Normal 3 13 13 2 2" xfId="20549" xr:uid="{00000000-0005-0000-0000-00003C500000}"/>
    <cellStyle name="Normal 3 13 13 2 3" xfId="20550" xr:uid="{00000000-0005-0000-0000-00003D500000}"/>
    <cellStyle name="Normal 3 13 13 3" xfId="20551" xr:uid="{00000000-0005-0000-0000-00003E500000}"/>
    <cellStyle name="Normal 3 13 13 3 2" xfId="20552" xr:uid="{00000000-0005-0000-0000-00003F500000}"/>
    <cellStyle name="Normal 3 13 13 3 3" xfId="20553" xr:uid="{00000000-0005-0000-0000-000040500000}"/>
    <cellStyle name="Normal 3 13 13 4" xfId="20554" xr:uid="{00000000-0005-0000-0000-000041500000}"/>
    <cellStyle name="Normal 3 13 13 4 2" xfId="20555" xr:uid="{00000000-0005-0000-0000-000042500000}"/>
    <cellStyle name="Normal 3 13 13 4 3" xfId="20556" xr:uid="{00000000-0005-0000-0000-000043500000}"/>
    <cellStyle name="Normal 3 13 13 5" xfId="20557" xr:uid="{00000000-0005-0000-0000-000044500000}"/>
    <cellStyle name="Normal 3 13 13 5 2" xfId="20558" xr:uid="{00000000-0005-0000-0000-000045500000}"/>
    <cellStyle name="Normal 3 13 13 5 3" xfId="20559" xr:uid="{00000000-0005-0000-0000-000046500000}"/>
    <cellStyle name="Normal 3 13 13 6" xfId="20560" xr:uid="{00000000-0005-0000-0000-000047500000}"/>
    <cellStyle name="Normal 3 13 13 6 2" xfId="20561" xr:uid="{00000000-0005-0000-0000-000048500000}"/>
    <cellStyle name="Normal 3 13 13 6 3" xfId="20562" xr:uid="{00000000-0005-0000-0000-000049500000}"/>
    <cellStyle name="Normal 3 13 13 7" xfId="20563" xr:uid="{00000000-0005-0000-0000-00004A500000}"/>
    <cellStyle name="Normal 3 13 13 7 2" xfId="20564" xr:uid="{00000000-0005-0000-0000-00004B500000}"/>
    <cellStyle name="Normal 3 13 13 7 3" xfId="20565" xr:uid="{00000000-0005-0000-0000-00004C500000}"/>
    <cellStyle name="Normal 3 13 13 8" xfId="20566" xr:uid="{00000000-0005-0000-0000-00004D500000}"/>
    <cellStyle name="Normal 3 13 13 8 2" xfId="20567" xr:uid="{00000000-0005-0000-0000-00004E500000}"/>
    <cellStyle name="Normal 3 13 13 8 3" xfId="20568" xr:uid="{00000000-0005-0000-0000-00004F500000}"/>
    <cellStyle name="Normal 3 13 13 9" xfId="20569" xr:uid="{00000000-0005-0000-0000-000050500000}"/>
    <cellStyle name="Normal 3 13 13 9 2" xfId="20570" xr:uid="{00000000-0005-0000-0000-000051500000}"/>
    <cellStyle name="Normal 3 13 13 9 3" xfId="20571" xr:uid="{00000000-0005-0000-0000-000052500000}"/>
    <cellStyle name="Normal 3 13 14" xfId="20572" xr:uid="{00000000-0005-0000-0000-000053500000}"/>
    <cellStyle name="Normal 3 13 14 10" xfId="20573" xr:uid="{00000000-0005-0000-0000-000054500000}"/>
    <cellStyle name="Normal 3 13 14 10 2" xfId="20574" xr:uid="{00000000-0005-0000-0000-000055500000}"/>
    <cellStyle name="Normal 3 13 14 10 3" xfId="20575" xr:uid="{00000000-0005-0000-0000-000056500000}"/>
    <cellStyle name="Normal 3 13 14 11" xfId="20576" xr:uid="{00000000-0005-0000-0000-000057500000}"/>
    <cellStyle name="Normal 3 13 14 11 2" xfId="20577" xr:uid="{00000000-0005-0000-0000-000058500000}"/>
    <cellStyle name="Normal 3 13 14 11 3" xfId="20578" xr:uid="{00000000-0005-0000-0000-000059500000}"/>
    <cellStyle name="Normal 3 13 14 12" xfId="20579" xr:uid="{00000000-0005-0000-0000-00005A500000}"/>
    <cellStyle name="Normal 3 13 14 12 2" xfId="20580" xr:uid="{00000000-0005-0000-0000-00005B500000}"/>
    <cellStyle name="Normal 3 13 14 12 3" xfId="20581" xr:uid="{00000000-0005-0000-0000-00005C500000}"/>
    <cellStyle name="Normal 3 13 14 13" xfId="20582" xr:uid="{00000000-0005-0000-0000-00005D500000}"/>
    <cellStyle name="Normal 3 13 14 13 2" xfId="20583" xr:uid="{00000000-0005-0000-0000-00005E500000}"/>
    <cellStyle name="Normal 3 13 14 13 3" xfId="20584" xr:uid="{00000000-0005-0000-0000-00005F500000}"/>
    <cellStyle name="Normal 3 13 14 14" xfId="20585" xr:uid="{00000000-0005-0000-0000-000060500000}"/>
    <cellStyle name="Normal 3 13 14 14 2" xfId="20586" xr:uid="{00000000-0005-0000-0000-000061500000}"/>
    <cellStyle name="Normal 3 13 14 14 3" xfId="20587" xr:uid="{00000000-0005-0000-0000-000062500000}"/>
    <cellStyle name="Normal 3 13 14 15" xfId="20588" xr:uid="{00000000-0005-0000-0000-000063500000}"/>
    <cellStyle name="Normal 3 13 14 16" xfId="20589" xr:uid="{00000000-0005-0000-0000-000064500000}"/>
    <cellStyle name="Normal 3 13 14 2" xfId="20590" xr:uid="{00000000-0005-0000-0000-000065500000}"/>
    <cellStyle name="Normal 3 13 14 2 2" xfId="20591" xr:uid="{00000000-0005-0000-0000-000066500000}"/>
    <cellStyle name="Normal 3 13 14 2 3" xfId="20592" xr:uid="{00000000-0005-0000-0000-000067500000}"/>
    <cellStyle name="Normal 3 13 14 3" xfId="20593" xr:uid="{00000000-0005-0000-0000-000068500000}"/>
    <cellStyle name="Normal 3 13 14 3 2" xfId="20594" xr:uid="{00000000-0005-0000-0000-000069500000}"/>
    <cellStyle name="Normal 3 13 14 3 3" xfId="20595" xr:uid="{00000000-0005-0000-0000-00006A500000}"/>
    <cellStyle name="Normal 3 13 14 4" xfId="20596" xr:uid="{00000000-0005-0000-0000-00006B500000}"/>
    <cellStyle name="Normal 3 13 14 4 2" xfId="20597" xr:uid="{00000000-0005-0000-0000-00006C500000}"/>
    <cellStyle name="Normal 3 13 14 4 3" xfId="20598" xr:uid="{00000000-0005-0000-0000-00006D500000}"/>
    <cellStyle name="Normal 3 13 14 5" xfId="20599" xr:uid="{00000000-0005-0000-0000-00006E500000}"/>
    <cellStyle name="Normal 3 13 14 5 2" xfId="20600" xr:uid="{00000000-0005-0000-0000-00006F500000}"/>
    <cellStyle name="Normal 3 13 14 5 3" xfId="20601" xr:uid="{00000000-0005-0000-0000-000070500000}"/>
    <cellStyle name="Normal 3 13 14 6" xfId="20602" xr:uid="{00000000-0005-0000-0000-000071500000}"/>
    <cellStyle name="Normal 3 13 14 6 2" xfId="20603" xr:uid="{00000000-0005-0000-0000-000072500000}"/>
    <cellStyle name="Normal 3 13 14 6 3" xfId="20604" xr:uid="{00000000-0005-0000-0000-000073500000}"/>
    <cellStyle name="Normal 3 13 14 7" xfId="20605" xr:uid="{00000000-0005-0000-0000-000074500000}"/>
    <cellStyle name="Normal 3 13 14 7 2" xfId="20606" xr:uid="{00000000-0005-0000-0000-000075500000}"/>
    <cellStyle name="Normal 3 13 14 7 3" xfId="20607" xr:uid="{00000000-0005-0000-0000-000076500000}"/>
    <cellStyle name="Normal 3 13 14 8" xfId="20608" xr:uid="{00000000-0005-0000-0000-000077500000}"/>
    <cellStyle name="Normal 3 13 14 8 2" xfId="20609" xr:uid="{00000000-0005-0000-0000-000078500000}"/>
    <cellStyle name="Normal 3 13 14 8 3" xfId="20610" xr:uid="{00000000-0005-0000-0000-000079500000}"/>
    <cellStyle name="Normal 3 13 14 9" xfId="20611" xr:uid="{00000000-0005-0000-0000-00007A500000}"/>
    <cellStyle name="Normal 3 13 14 9 2" xfId="20612" xr:uid="{00000000-0005-0000-0000-00007B500000}"/>
    <cellStyle name="Normal 3 13 14 9 3" xfId="20613" xr:uid="{00000000-0005-0000-0000-00007C500000}"/>
    <cellStyle name="Normal 3 13 15" xfId="20614" xr:uid="{00000000-0005-0000-0000-00007D500000}"/>
    <cellStyle name="Normal 3 13 16" xfId="20615" xr:uid="{00000000-0005-0000-0000-00007E500000}"/>
    <cellStyle name="Normal 3 13 17" xfId="20616" xr:uid="{00000000-0005-0000-0000-00007F500000}"/>
    <cellStyle name="Normal 3 13 17 10" xfId="20617" xr:uid="{00000000-0005-0000-0000-000080500000}"/>
    <cellStyle name="Normal 3 13 17 10 2" xfId="20618" xr:uid="{00000000-0005-0000-0000-000081500000}"/>
    <cellStyle name="Normal 3 13 17 10 3" xfId="20619" xr:uid="{00000000-0005-0000-0000-000082500000}"/>
    <cellStyle name="Normal 3 13 17 11" xfId="20620" xr:uid="{00000000-0005-0000-0000-000083500000}"/>
    <cellStyle name="Normal 3 13 17 11 2" xfId="20621" xr:uid="{00000000-0005-0000-0000-000084500000}"/>
    <cellStyle name="Normal 3 13 17 11 3" xfId="20622" xr:uid="{00000000-0005-0000-0000-000085500000}"/>
    <cellStyle name="Normal 3 13 17 12" xfId="20623" xr:uid="{00000000-0005-0000-0000-000086500000}"/>
    <cellStyle name="Normal 3 13 17 12 2" xfId="20624" xr:uid="{00000000-0005-0000-0000-000087500000}"/>
    <cellStyle name="Normal 3 13 17 12 3" xfId="20625" xr:uid="{00000000-0005-0000-0000-000088500000}"/>
    <cellStyle name="Normal 3 13 17 13" xfId="20626" xr:uid="{00000000-0005-0000-0000-000089500000}"/>
    <cellStyle name="Normal 3 13 17 13 2" xfId="20627" xr:uid="{00000000-0005-0000-0000-00008A500000}"/>
    <cellStyle name="Normal 3 13 17 13 3" xfId="20628" xr:uid="{00000000-0005-0000-0000-00008B500000}"/>
    <cellStyle name="Normal 3 13 17 14" xfId="20629" xr:uid="{00000000-0005-0000-0000-00008C500000}"/>
    <cellStyle name="Normal 3 13 17 14 2" xfId="20630" xr:uid="{00000000-0005-0000-0000-00008D500000}"/>
    <cellStyle name="Normal 3 13 17 14 3" xfId="20631" xr:uid="{00000000-0005-0000-0000-00008E500000}"/>
    <cellStyle name="Normal 3 13 17 15" xfId="20632" xr:uid="{00000000-0005-0000-0000-00008F500000}"/>
    <cellStyle name="Normal 3 13 17 16" xfId="20633" xr:uid="{00000000-0005-0000-0000-000090500000}"/>
    <cellStyle name="Normal 3 13 17 2" xfId="20634" xr:uid="{00000000-0005-0000-0000-000091500000}"/>
    <cellStyle name="Normal 3 13 17 2 2" xfId="20635" xr:uid="{00000000-0005-0000-0000-000092500000}"/>
    <cellStyle name="Normal 3 13 17 2 3" xfId="20636" xr:uid="{00000000-0005-0000-0000-000093500000}"/>
    <cellStyle name="Normal 3 13 17 3" xfId="20637" xr:uid="{00000000-0005-0000-0000-000094500000}"/>
    <cellStyle name="Normal 3 13 17 3 2" xfId="20638" xr:uid="{00000000-0005-0000-0000-000095500000}"/>
    <cellStyle name="Normal 3 13 17 3 3" xfId="20639" xr:uid="{00000000-0005-0000-0000-000096500000}"/>
    <cellStyle name="Normal 3 13 17 4" xfId="20640" xr:uid="{00000000-0005-0000-0000-000097500000}"/>
    <cellStyle name="Normal 3 13 17 4 2" xfId="20641" xr:uid="{00000000-0005-0000-0000-000098500000}"/>
    <cellStyle name="Normal 3 13 17 4 3" xfId="20642" xr:uid="{00000000-0005-0000-0000-000099500000}"/>
    <cellStyle name="Normal 3 13 17 5" xfId="20643" xr:uid="{00000000-0005-0000-0000-00009A500000}"/>
    <cellStyle name="Normal 3 13 17 5 2" xfId="20644" xr:uid="{00000000-0005-0000-0000-00009B500000}"/>
    <cellStyle name="Normal 3 13 17 5 3" xfId="20645" xr:uid="{00000000-0005-0000-0000-00009C500000}"/>
    <cellStyle name="Normal 3 13 17 6" xfId="20646" xr:uid="{00000000-0005-0000-0000-00009D500000}"/>
    <cellStyle name="Normal 3 13 17 6 2" xfId="20647" xr:uid="{00000000-0005-0000-0000-00009E500000}"/>
    <cellStyle name="Normal 3 13 17 6 3" xfId="20648" xr:uid="{00000000-0005-0000-0000-00009F500000}"/>
    <cellStyle name="Normal 3 13 17 7" xfId="20649" xr:uid="{00000000-0005-0000-0000-0000A0500000}"/>
    <cellStyle name="Normal 3 13 17 7 2" xfId="20650" xr:uid="{00000000-0005-0000-0000-0000A1500000}"/>
    <cellStyle name="Normal 3 13 17 7 3" xfId="20651" xr:uid="{00000000-0005-0000-0000-0000A2500000}"/>
    <cellStyle name="Normal 3 13 17 8" xfId="20652" xr:uid="{00000000-0005-0000-0000-0000A3500000}"/>
    <cellStyle name="Normal 3 13 17 8 2" xfId="20653" xr:uid="{00000000-0005-0000-0000-0000A4500000}"/>
    <cellStyle name="Normal 3 13 17 8 3" xfId="20654" xr:uid="{00000000-0005-0000-0000-0000A5500000}"/>
    <cellStyle name="Normal 3 13 17 9" xfId="20655" xr:uid="{00000000-0005-0000-0000-0000A6500000}"/>
    <cellStyle name="Normal 3 13 17 9 2" xfId="20656" xr:uid="{00000000-0005-0000-0000-0000A7500000}"/>
    <cellStyle name="Normal 3 13 17 9 3" xfId="20657" xr:uid="{00000000-0005-0000-0000-0000A8500000}"/>
    <cellStyle name="Normal 3 13 18" xfId="20658" xr:uid="{00000000-0005-0000-0000-0000A9500000}"/>
    <cellStyle name="Normal 3 13 18 10" xfId="20659" xr:uid="{00000000-0005-0000-0000-0000AA500000}"/>
    <cellStyle name="Normal 3 13 18 10 2" xfId="20660" xr:uid="{00000000-0005-0000-0000-0000AB500000}"/>
    <cellStyle name="Normal 3 13 18 10 3" xfId="20661" xr:uid="{00000000-0005-0000-0000-0000AC500000}"/>
    <cellStyle name="Normal 3 13 18 11" xfId="20662" xr:uid="{00000000-0005-0000-0000-0000AD500000}"/>
    <cellStyle name="Normal 3 13 18 11 2" xfId="20663" xr:uid="{00000000-0005-0000-0000-0000AE500000}"/>
    <cellStyle name="Normal 3 13 18 11 3" xfId="20664" xr:uid="{00000000-0005-0000-0000-0000AF500000}"/>
    <cellStyle name="Normal 3 13 18 12" xfId="20665" xr:uid="{00000000-0005-0000-0000-0000B0500000}"/>
    <cellStyle name="Normal 3 13 18 12 2" xfId="20666" xr:uid="{00000000-0005-0000-0000-0000B1500000}"/>
    <cellStyle name="Normal 3 13 18 12 3" xfId="20667" xr:uid="{00000000-0005-0000-0000-0000B2500000}"/>
    <cellStyle name="Normal 3 13 18 13" xfId="20668" xr:uid="{00000000-0005-0000-0000-0000B3500000}"/>
    <cellStyle name="Normal 3 13 18 13 2" xfId="20669" xr:uid="{00000000-0005-0000-0000-0000B4500000}"/>
    <cellStyle name="Normal 3 13 18 13 3" xfId="20670" xr:uid="{00000000-0005-0000-0000-0000B5500000}"/>
    <cellStyle name="Normal 3 13 18 14" xfId="20671" xr:uid="{00000000-0005-0000-0000-0000B6500000}"/>
    <cellStyle name="Normal 3 13 18 14 2" xfId="20672" xr:uid="{00000000-0005-0000-0000-0000B7500000}"/>
    <cellStyle name="Normal 3 13 18 14 3" xfId="20673" xr:uid="{00000000-0005-0000-0000-0000B8500000}"/>
    <cellStyle name="Normal 3 13 18 15" xfId="20674" xr:uid="{00000000-0005-0000-0000-0000B9500000}"/>
    <cellStyle name="Normal 3 13 18 16" xfId="20675" xr:uid="{00000000-0005-0000-0000-0000BA500000}"/>
    <cellStyle name="Normal 3 13 18 2" xfId="20676" xr:uid="{00000000-0005-0000-0000-0000BB500000}"/>
    <cellStyle name="Normal 3 13 18 2 2" xfId="20677" xr:uid="{00000000-0005-0000-0000-0000BC500000}"/>
    <cellStyle name="Normal 3 13 18 2 3" xfId="20678" xr:uid="{00000000-0005-0000-0000-0000BD500000}"/>
    <cellStyle name="Normal 3 13 18 3" xfId="20679" xr:uid="{00000000-0005-0000-0000-0000BE500000}"/>
    <cellStyle name="Normal 3 13 18 3 2" xfId="20680" xr:uid="{00000000-0005-0000-0000-0000BF500000}"/>
    <cellStyle name="Normal 3 13 18 3 3" xfId="20681" xr:uid="{00000000-0005-0000-0000-0000C0500000}"/>
    <cellStyle name="Normal 3 13 18 4" xfId="20682" xr:uid="{00000000-0005-0000-0000-0000C1500000}"/>
    <cellStyle name="Normal 3 13 18 4 2" xfId="20683" xr:uid="{00000000-0005-0000-0000-0000C2500000}"/>
    <cellStyle name="Normal 3 13 18 4 3" xfId="20684" xr:uid="{00000000-0005-0000-0000-0000C3500000}"/>
    <cellStyle name="Normal 3 13 18 5" xfId="20685" xr:uid="{00000000-0005-0000-0000-0000C4500000}"/>
    <cellStyle name="Normal 3 13 18 5 2" xfId="20686" xr:uid="{00000000-0005-0000-0000-0000C5500000}"/>
    <cellStyle name="Normal 3 13 18 5 3" xfId="20687" xr:uid="{00000000-0005-0000-0000-0000C6500000}"/>
    <cellStyle name="Normal 3 13 18 6" xfId="20688" xr:uid="{00000000-0005-0000-0000-0000C7500000}"/>
    <cellStyle name="Normal 3 13 18 6 2" xfId="20689" xr:uid="{00000000-0005-0000-0000-0000C8500000}"/>
    <cellStyle name="Normal 3 13 18 6 3" xfId="20690" xr:uid="{00000000-0005-0000-0000-0000C9500000}"/>
    <cellStyle name="Normal 3 13 18 7" xfId="20691" xr:uid="{00000000-0005-0000-0000-0000CA500000}"/>
    <cellStyle name="Normal 3 13 18 7 2" xfId="20692" xr:uid="{00000000-0005-0000-0000-0000CB500000}"/>
    <cellStyle name="Normal 3 13 18 7 3" xfId="20693" xr:uid="{00000000-0005-0000-0000-0000CC500000}"/>
    <cellStyle name="Normal 3 13 18 8" xfId="20694" xr:uid="{00000000-0005-0000-0000-0000CD500000}"/>
    <cellStyle name="Normal 3 13 18 8 2" xfId="20695" xr:uid="{00000000-0005-0000-0000-0000CE500000}"/>
    <cellStyle name="Normal 3 13 18 8 3" xfId="20696" xr:uid="{00000000-0005-0000-0000-0000CF500000}"/>
    <cellStyle name="Normal 3 13 18 9" xfId="20697" xr:uid="{00000000-0005-0000-0000-0000D0500000}"/>
    <cellStyle name="Normal 3 13 18 9 2" xfId="20698" xr:uid="{00000000-0005-0000-0000-0000D1500000}"/>
    <cellStyle name="Normal 3 13 18 9 3" xfId="20699" xr:uid="{00000000-0005-0000-0000-0000D2500000}"/>
    <cellStyle name="Normal 3 13 2" xfId="20700" xr:uid="{00000000-0005-0000-0000-0000D3500000}"/>
    <cellStyle name="Normal 3 13 2 10" xfId="20701" xr:uid="{00000000-0005-0000-0000-0000D4500000}"/>
    <cellStyle name="Normal 3 13 2 10 2" xfId="20702" xr:uid="{00000000-0005-0000-0000-0000D5500000}"/>
    <cellStyle name="Normal 3 13 2 10 3" xfId="20703" xr:uid="{00000000-0005-0000-0000-0000D6500000}"/>
    <cellStyle name="Normal 3 13 2 11" xfId="20704" xr:uid="{00000000-0005-0000-0000-0000D7500000}"/>
    <cellStyle name="Normal 3 13 2 11 2" xfId="20705" xr:uid="{00000000-0005-0000-0000-0000D8500000}"/>
    <cellStyle name="Normal 3 13 2 11 3" xfId="20706" xr:uid="{00000000-0005-0000-0000-0000D9500000}"/>
    <cellStyle name="Normal 3 13 2 12" xfId="20707" xr:uid="{00000000-0005-0000-0000-0000DA500000}"/>
    <cellStyle name="Normal 3 13 2 12 2" xfId="20708" xr:uid="{00000000-0005-0000-0000-0000DB500000}"/>
    <cellStyle name="Normal 3 13 2 12 3" xfId="20709" xr:uid="{00000000-0005-0000-0000-0000DC500000}"/>
    <cellStyle name="Normal 3 13 2 13" xfId="20710" xr:uid="{00000000-0005-0000-0000-0000DD500000}"/>
    <cellStyle name="Normal 3 13 2 13 2" xfId="20711" xr:uid="{00000000-0005-0000-0000-0000DE500000}"/>
    <cellStyle name="Normal 3 13 2 13 3" xfId="20712" xr:uid="{00000000-0005-0000-0000-0000DF500000}"/>
    <cellStyle name="Normal 3 13 2 14" xfId="20713" xr:uid="{00000000-0005-0000-0000-0000E0500000}"/>
    <cellStyle name="Normal 3 13 2 14 2" xfId="20714" xr:uid="{00000000-0005-0000-0000-0000E1500000}"/>
    <cellStyle name="Normal 3 13 2 14 3" xfId="20715" xr:uid="{00000000-0005-0000-0000-0000E2500000}"/>
    <cellStyle name="Normal 3 13 2 15" xfId="20716" xr:uid="{00000000-0005-0000-0000-0000E3500000}"/>
    <cellStyle name="Normal 3 13 2 15 2" xfId="20717" xr:uid="{00000000-0005-0000-0000-0000E4500000}"/>
    <cellStyle name="Normal 3 13 2 15 3" xfId="20718" xr:uid="{00000000-0005-0000-0000-0000E5500000}"/>
    <cellStyle name="Normal 3 13 2 16" xfId="20719" xr:uid="{00000000-0005-0000-0000-0000E6500000}"/>
    <cellStyle name="Normal 3 13 2 16 2" xfId="20720" xr:uid="{00000000-0005-0000-0000-0000E7500000}"/>
    <cellStyle name="Normal 3 13 2 16 3" xfId="20721" xr:uid="{00000000-0005-0000-0000-0000E8500000}"/>
    <cellStyle name="Normal 3 13 2 17" xfId="20722" xr:uid="{00000000-0005-0000-0000-0000E9500000}"/>
    <cellStyle name="Normal 3 13 2 17 2" xfId="20723" xr:uid="{00000000-0005-0000-0000-0000EA500000}"/>
    <cellStyle name="Normal 3 13 2 17 3" xfId="20724" xr:uid="{00000000-0005-0000-0000-0000EB500000}"/>
    <cellStyle name="Normal 3 13 2 18" xfId="20725" xr:uid="{00000000-0005-0000-0000-0000EC500000}"/>
    <cellStyle name="Normal 3 13 2 19" xfId="20726" xr:uid="{00000000-0005-0000-0000-0000ED500000}"/>
    <cellStyle name="Normal 3 13 2 2" xfId="20727" xr:uid="{00000000-0005-0000-0000-0000EE500000}"/>
    <cellStyle name="Normal 3 13 2 3" xfId="20728" xr:uid="{00000000-0005-0000-0000-0000EF500000}"/>
    <cellStyle name="Normal 3 13 2 4" xfId="20729" xr:uid="{00000000-0005-0000-0000-0000F0500000}"/>
    <cellStyle name="Normal 3 13 2 5" xfId="20730" xr:uid="{00000000-0005-0000-0000-0000F1500000}"/>
    <cellStyle name="Normal 3 13 2 5 2" xfId="20731" xr:uid="{00000000-0005-0000-0000-0000F2500000}"/>
    <cellStyle name="Normal 3 13 2 5 3" xfId="20732" xr:uid="{00000000-0005-0000-0000-0000F3500000}"/>
    <cellStyle name="Normal 3 13 2 6" xfId="20733" xr:uid="{00000000-0005-0000-0000-0000F4500000}"/>
    <cellStyle name="Normal 3 13 2 6 2" xfId="20734" xr:uid="{00000000-0005-0000-0000-0000F5500000}"/>
    <cellStyle name="Normal 3 13 2 6 3" xfId="20735" xr:uid="{00000000-0005-0000-0000-0000F6500000}"/>
    <cellStyle name="Normal 3 13 2 7" xfId="20736" xr:uid="{00000000-0005-0000-0000-0000F7500000}"/>
    <cellStyle name="Normal 3 13 2 7 2" xfId="20737" xr:uid="{00000000-0005-0000-0000-0000F8500000}"/>
    <cellStyle name="Normal 3 13 2 7 3" xfId="20738" xr:uid="{00000000-0005-0000-0000-0000F9500000}"/>
    <cellStyle name="Normal 3 13 2 8" xfId="20739" xr:uid="{00000000-0005-0000-0000-0000FA500000}"/>
    <cellStyle name="Normal 3 13 2 8 2" xfId="20740" xr:uid="{00000000-0005-0000-0000-0000FB500000}"/>
    <cellStyle name="Normal 3 13 2 8 3" xfId="20741" xr:uid="{00000000-0005-0000-0000-0000FC500000}"/>
    <cellStyle name="Normal 3 13 2 9" xfId="20742" xr:uid="{00000000-0005-0000-0000-0000FD500000}"/>
    <cellStyle name="Normal 3 13 2 9 2" xfId="20743" xr:uid="{00000000-0005-0000-0000-0000FE500000}"/>
    <cellStyle name="Normal 3 13 2 9 3" xfId="20744" xr:uid="{00000000-0005-0000-0000-0000FF500000}"/>
    <cellStyle name="Normal 3 13 3" xfId="20745" xr:uid="{00000000-0005-0000-0000-000000510000}"/>
    <cellStyle name="Normal 3 13 4" xfId="20746" xr:uid="{00000000-0005-0000-0000-000001510000}"/>
    <cellStyle name="Normal 3 13 5" xfId="20747" xr:uid="{00000000-0005-0000-0000-000002510000}"/>
    <cellStyle name="Normal 3 13 6" xfId="20748" xr:uid="{00000000-0005-0000-0000-000003510000}"/>
    <cellStyle name="Normal 3 13 6 10" xfId="20749" xr:uid="{00000000-0005-0000-0000-000004510000}"/>
    <cellStyle name="Normal 3 13 6 10 2" xfId="20750" xr:uid="{00000000-0005-0000-0000-000005510000}"/>
    <cellStyle name="Normal 3 13 6 10 3" xfId="20751" xr:uid="{00000000-0005-0000-0000-000006510000}"/>
    <cellStyle name="Normal 3 13 6 11" xfId="20752" xr:uid="{00000000-0005-0000-0000-000007510000}"/>
    <cellStyle name="Normal 3 13 6 11 2" xfId="20753" xr:uid="{00000000-0005-0000-0000-000008510000}"/>
    <cellStyle name="Normal 3 13 6 11 3" xfId="20754" xr:uid="{00000000-0005-0000-0000-000009510000}"/>
    <cellStyle name="Normal 3 13 6 12" xfId="20755" xr:uid="{00000000-0005-0000-0000-00000A510000}"/>
    <cellStyle name="Normal 3 13 6 12 2" xfId="20756" xr:uid="{00000000-0005-0000-0000-00000B510000}"/>
    <cellStyle name="Normal 3 13 6 12 3" xfId="20757" xr:uid="{00000000-0005-0000-0000-00000C510000}"/>
    <cellStyle name="Normal 3 13 6 13" xfId="20758" xr:uid="{00000000-0005-0000-0000-00000D510000}"/>
    <cellStyle name="Normal 3 13 6 13 2" xfId="20759" xr:uid="{00000000-0005-0000-0000-00000E510000}"/>
    <cellStyle name="Normal 3 13 6 13 3" xfId="20760" xr:uid="{00000000-0005-0000-0000-00000F510000}"/>
    <cellStyle name="Normal 3 13 6 14" xfId="20761" xr:uid="{00000000-0005-0000-0000-000010510000}"/>
    <cellStyle name="Normal 3 13 6 14 2" xfId="20762" xr:uid="{00000000-0005-0000-0000-000011510000}"/>
    <cellStyle name="Normal 3 13 6 14 3" xfId="20763" xr:uid="{00000000-0005-0000-0000-000012510000}"/>
    <cellStyle name="Normal 3 13 6 15" xfId="20764" xr:uid="{00000000-0005-0000-0000-000013510000}"/>
    <cellStyle name="Normal 3 13 6 15 2" xfId="20765" xr:uid="{00000000-0005-0000-0000-000014510000}"/>
    <cellStyle name="Normal 3 13 6 15 3" xfId="20766" xr:uid="{00000000-0005-0000-0000-000015510000}"/>
    <cellStyle name="Normal 3 13 6 16" xfId="20767" xr:uid="{00000000-0005-0000-0000-000016510000}"/>
    <cellStyle name="Normal 3 13 6 17" xfId="20768" xr:uid="{00000000-0005-0000-0000-000017510000}"/>
    <cellStyle name="Normal 3 13 6 2" xfId="20769" xr:uid="{00000000-0005-0000-0000-000018510000}"/>
    <cellStyle name="Normal 3 13 6 2 10" xfId="20770" xr:uid="{00000000-0005-0000-0000-000019510000}"/>
    <cellStyle name="Normal 3 13 6 2 10 2" xfId="20771" xr:uid="{00000000-0005-0000-0000-00001A510000}"/>
    <cellStyle name="Normal 3 13 6 2 10 3" xfId="20772" xr:uid="{00000000-0005-0000-0000-00001B510000}"/>
    <cellStyle name="Normal 3 13 6 2 11" xfId="20773" xr:uid="{00000000-0005-0000-0000-00001C510000}"/>
    <cellStyle name="Normal 3 13 6 2 11 2" xfId="20774" xr:uid="{00000000-0005-0000-0000-00001D510000}"/>
    <cellStyle name="Normal 3 13 6 2 11 3" xfId="20775" xr:uid="{00000000-0005-0000-0000-00001E510000}"/>
    <cellStyle name="Normal 3 13 6 2 12" xfId="20776" xr:uid="{00000000-0005-0000-0000-00001F510000}"/>
    <cellStyle name="Normal 3 13 6 2 12 2" xfId="20777" xr:uid="{00000000-0005-0000-0000-000020510000}"/>
    <cellStyle name="Normal 3 13 6 2 12 3" xfId="20778" xr:uid="{00000000-0005-0000-0000-000021510000}"/>
    <cellStyle name="Normal 3 13 6 2 13" xfId="20779" xr:uid="{00000000-0005-0000-0000-000022510000}"/>
    <cellStyle name="Normal 3 13 6 2 13 2" xfId="20780" xr:uid="{00000000-0005-0000-0000-000023510000}"/>
    <cellStyle name="Normal 3 13 6 2 13 3" xfId="20781" xr:uid="{00000000-0005-0000-0000-000024510000}"/>
    <cellStyle name="Normal 3 13 6 2 14" xfId="20782" xr:uid="{00000000-0005-0000-0000-000025510000}"/>
    <cellStyle name="Normal 3 13 6 2 14 2" xfId="20783" xr:uid="{00000000-0005-0000-0000-000026510000}"/>
    <cellStyle name="Normal 3 13 6 2 14 3" xfId="20784" xr:uid="{00000000-0005-0000-0000-000027510000}"/>
    <cellStyle name="Normal 3 13 6 2 15" xfId="20785" xr:uid="{00000000-0005-0000-0000-000028510000}"/>
    <cellStyle name="Normal 3 13 6 2 16" xfId="20786" xr:uid="{00000000-0005-0000-0000-000029510000}"/>
    <cellStyle name="Normal 3 13 6 2 2" xfId="20787" xr:uid="{00000000-0005-0000-0000-00002A510000}"/>
    <cellStyle name="Normal 3 13 6 2 2 2" xfId="20788" xr:uid="{00000000-0005-0000-0000-00002B510000}"/>
    <cellStyle name="Normal 3 13 6 2 2 3" xfId="20789" xr:uid="{00000000-0005-0000-0000-00002C510000}"/>
    <cellStyle name="Normal 3 13 6 2 3" xfId="20790" xr:uid="{00000000-0005-0000-0000-00002D510000}"/>
    <cellStyle name="Normal 3 13 6 2 3 2" xfId="20791" xr:uid="{00000000-0005-0000-0000-00002E510000}"/>
    <cellStyle name="Normal 3 13 6 2 3 3" xfId="20792" xr:uid="{00000000-0005-0000-0000-00002F510000}"/>
    <cellStyle name="Normal 3 13 6 2 4" xfId="20793" xr:uid="{00000000-0005-0000-0000-000030510000}"/>
    <cellStyle name="Normal 3 13 6 2 4 2" xfId="20794" xr:uid="{00000000-0005-0000-0000-000031510000}"/>
    <cellStyle name="Normal 3 13 6 2 4 3" xfId="20795" xr:uid="{00000000-0005-0000-0000-000032510000}"/>
    <cellStyle name="Normal 3 13 6 2 5" xfId="20796" xr:uid="{00000000-0005-0000-0000-000033510000}"/>
    <cellStyle name="Normal 3 13 6 2 5 2" xfId="20797" xr:uid="{00000000-0005-0000-0000-000034510000}"/>
    <cellStyle name="Normal 3 13 6 2 5 3" xfId="20798" xr:uid="{00000000-0005-0000-0000-000035510000}"/>
    <cellStyle name="Normal 3 13 6 2 6" xfId="20799" xr:uid="{00000000-0005-0000-0000-000036510000}"/>
    <cellStyle name="Normal 3 13 6 2 6 2" xfId="20800" xr:uid="{00000000-0005-0000-0000-000037510000}"/>
    <cellStyle name="Normal 3 13 6 2 6 3" xfId="20801" xr:uid="{00000000-0005-0000-0000-000038510000}"/>
    <cellStyle name="Normal 3 13 6 2 7" xfId="20802" xr:uid="{00000000-0005-0000-0000-000039510000}"/>
    <cellStyle name="Normal 3 13 6 2 7 2" xfId="20803" xr:uid="{00000000-0005-0000-0000-00003A510000}"/>
    <cellStyle name="Normal 3 13 6 2 7 3" xfId="20804" xr:uid="{00000000-0005-0000-0000-00003B510000}"/>
    <cellStyle name="Normal 3 13 6 2 8" xfId="20805" xr:uid="{00000000-0005-0000-0000-00003C510000}"/>
    <cellStyle name="Normal 3 13 6 2 8 2" xfId="20806" xr:uid="{00000000-0005-0000-0000-00003D510000}"/>
    <cellStyle name="Normal 3 13 6 2 8 3" xfId="20807" xr:uid="{00000000-0005-0000-0000-00003E510000}"/>
    <cellStyle name="Normal 3 13 6 2 9" xfId="20808" xr:uid="{00000000-0005-0000-0000-00003F510000}"/>
    <cellStyle name="Normal 3 13 6 2 9 2" xfId="20809" xr:uid="{00000000-0005-0000-0000-000040510000}"/>
    <cellStyle name="Normal 3 13 6 2 9 3" xfId="20810" xr:uid="{00000000-0005-0000-0000-000041510000}"/>
    <cellStyle name="Normal 3 13 6 3" xfId="20811" xr:uid="{00000000-0005-0000-0000-000042510000}"/>
    <cellStyle name="Normal 3 13 6 3 2" xfId="20812" xr:uid="{00000000-0005-0000-0000-000043510000}"/>
    <cellStyle name="Normal 3 13 6 3 3" xfId="20813" xr:uid="{00000000-0005-0000-0000-000044510000}"/>
    <cellStyle name="Normal 3 13 6 4" xfId="20814" xr:uid="{00000000-0005-0000-0000-000045510000}"/>
    <cellStyle name="Normal 3 13 6 4 2" xfId="20815" xr:uid="{00000000-0005-0000-0000-000046510000}"/>
    <cellStyle name="Normal 3 13 6 4 3" xfId="20816" xr:uid="{00000000-0005-0000-0000-000047510000}"/>
    <cellStyle name="Normal 3 13 6 5" xfId="20817" xr:uid="{00000000-0005-0000-0000-000048510000}"/>
    <cellStyle name="Normal 3 13 6 5 2" xfId="20818" xr:uid="{00000000-0005-0000-0000-000049510000}"/>
    <cellStyle name="Normal 3 13 6 5 3" xfId="20819" xr:uid="{00000000-0005-0000-0000-00004A510000}"/>
    <cellStyle name="Normal 3 13 6 6" xfId="20820" xr:uid="{00000000-0005-0000-0000-00004B510000}"/>
    <cellStyle name="Normal 3 13 6 6 2" xfId="20821" xr:uid="{00000000-0005-0000-0000-00004C510000}"/>
    <cellStyle name="Normal 3 13 6 6 3" xfId="20822" xr:uid="{00000000-0005-0000-0000-00004D510000}"/>
    <cellStyle name="Normal 3 13 6 7" xfId="20823" xr:uid="{00000000-0005-0000-0000-00004E510000}"/>
    <cellStyle name="Normal 3 13 6 7 2" xfId="20824" xr:uid="{00000000-0005-0000-0000-00004F510000}"/>
    <cellStyle name="Normal 3 13 6 7 3" xfId="20825" xr:uid="{00000000-0005-0000-0000-000050510000}"/>
    <cellStyle name="Normal 3 13 6 8" xfId="20826" xr:uid="{00000000-0005-0000-0000-000051510000}"/>
    <cellStyle name="Normal 3 13 6 8 2" xfId="20827" xr:uid="{00000000-0005-0000-0000-000052510000}"/>
    <cellStyle name="Normal 3 13 6 8 3" xfId="20828" xr:uid="{00000000-0005-0000-0000-000053510000}"/>
    <cellStyle name="Normal 3 13 6 9" xfId="20829" xr:uid="{00000000-0005-0000-0000-000054510000}"/>
    <cellStyle name="Normal 3 13 6 9 2" xfId="20830" xr:uid="{00000000-0005-0000-0000-000055510000}"/>
    <cellStyle name="Normal 3 13 6 9 3" xfId="20831" xr:uid="{00000000-0005-0000-0000-000056510000}"/>
    <cellStyle name="Normal 3 13 7" xfId="20832" xr:uid="{00000000-0005-0000-0000-000057510000}"/>
    <cellStyle name="Normal 3 13 7 10" xfId="20833" xr:uid="{00000000-0005-0000-0000-000058510000}"/>
    <cellStyle name="Normal 3 13 7 10 2" xfId="20834" xr:uid="{00000000-0005-0000-0000-000059510000}"/>
    <cellStyle name="Normal 3 13 7 10 3" xfId="20835" xr:uid="{00000000-0005-0000-0000-00005A510000}"/>
    <cellStyle name="Normal 3 13 7 11" xfId="20836" xr:uid="{00000000-0005-0000-0000-00005B510000}"/>
    <cellStyle name="Normal 3 13 7 11 2" xfId="20837" xr:uid="{00000000-0005-0000-0000-00005C510000}"/>
    <cellStyle name="Normal 3 13 7 11 3" xfId="20838" xr:uid="{00000000-0005-0000-0000-00005D510000}"/>
    <cellStyle name="Normal 3 13 7 12" xfId="20839" xr:uid="{00000000-0005-0000-0000-00005E510000}"/>
    <cellStyle name="Normal 3 13 7 12 2" xfId="20840" xr:uid="{00000000-0005-0000-0000-00005F510000}"/>
    <cellStyle name="Normal 3 13 7 12 3" xfId="20841" xr:uid="{00000000-0005-0000-0000-000060510000}"/>
    <cellStyle name="Normal 3 13 7 13" xfId="20842" xr:uid="{00000000-0005-0000-0000-000061510000}"/>
    <cellStyle name="Normal 3 13 7 13 2" xfId="20843" xr:uid="{00000000-0005-0000-0000-000062510000}"/>
    <cellStyle name="Normal 3 13 7 13 3" xfId="20844" xr:uid="{00000000-0005-0000-0000-000063510000}"/>
    <cellStyle name="Normal 3 13 7 14" xfId="20845" xr:uid="{00000000-0005-0000-0000-000064510000}"/>
    <cellStyle name="Normal 3 13 7 14 2" xfId="20846" xr:uid="{00000000-0005-0000-0000-000065510000}"/>
    <cellStyle name="Normal 3 13 7 14 3" xfId="20847" xr:uid="{00000000-0005-0000-0000-000066510000}"/>
    <cellStyle name="Normal 3 13 7 15" xfId="20848" xr:uid="{00000000-0005-0000-0000-000067510000}"/>
    <cellStyle name="Normal 3 13 7 15 2" xfId="20849" xr:uid="{00000000-0005-0000-0000-000068510000}"/>
    <cellStyle name="Normal 3 13 7 15 3" xfId="20850" xr:uid="{00000000-0005-0000-0000-000069510000}"/>
    <cellStyle name="Normal 3 13 7 16" xfId="20851" xr:uid="{00000000-0005-0000-0000-00006A510000}"/>
    <cellStyle name="Normal 3 13 7 17" xfId="20852" xr:uid="{00000000-0005-0000-0000-00006B510000}"/>
    <cellStyle name="Normal 3 13 7 2" xfId="20853" xr:uid="{00000000-0005-0000-0000-00006C510000}"/>
    <cellStyle name="Normal 3 13 7 2 10" xfId="20854" xr:uid="{00000000-0005-0000-0000-00006D510000}"/>
    <cellStyle name="Normal 3 13 7 2 10 2" xfId="20855" xr:uid="{00000000-0005-0000-0000-00006E510000}"/>
    <cellStyle name="Normal 3 13 7 2 10 3" xfId="20856" xr:uid="{00000000-0005-0000-0000-00006F510000}"/>
    <cellStyle name="Normal 3 13 7 2 11" xfId="20857" xr:uid="{00000000-0005-0000-0000-000070510000}"/>
    <cellStyle name="Normal 3 13 7 2 11 2" xfId="20858" xr:uid="{00000000-0005-0000-0000-000071510000}"/>
    <cellStyle name="Normal 3 13 7 2 11 3" xfId="20859" xr:uid="{00000000-0005-0000-0000-000072510000}"/>
    <cellStyle name="Normal 3 13 7 2 12" xfId="20860" xr:uid="{00000000-0005-0000-0000-000073510000}"/>
    <cellStyle name="Normal 3 13 7 2 12 2" xfId="20861" xr:uid="{00000000-0005-0000-0000-000074510000}"/>
    <cellStyle name="Normal 3 13 7 2 12 3" xfId="20862" xr:uid="{00000000-0005-0000-0000-000075510000}"/>
    <cellStyle name="Normal 3 13 7 2 13" xfId="20863" xr:uid="{00000000-0005-0000-0000-000076510000}"/>
    <cellStyle name="Normal 3 13 7 2 13 2" xfId="20864" xr:uid="{00000000-0005-0000-0000-000077510000}"/>
    <cellStyle name="Normal 3 13 7 2 13 3" xfId="20865" xr:uid="{00000000-0005-0000-0000-000078510000}"/>
    <cellStyle name="Normal 3 13 7 2 14" xfId="20866" xr:uid="{00000000-0005-0000-0000-000079510000}"/>
    <cellStyle name="Normal 3 13 7 2 14 2" xfId="20867" xr:uid="{00000000-0005-0000-0000-00007A510000}"/>
    <cellStyle name="Normal 3 13 7 2 14 3" xfId="20868" xr:uid="{00000000-0005-0000-0000-00007B510000}"/>
    <cellStyle name="Normal 3 13 7 2 15" xfId="20869" xr:uid="{00000000-0005-0000-0000-00007C510000}"/>
    <cellStyle name="Normal 3 13 7 2 16" xfId="20870" xr:uid="{00000000-0005-0000-0000-00007D510000}"/>
    <cellStyle name="Normal 3 13 7 2 2" xfId="20871" xr:uid="{00000000-0005-0000-0000-00007E510000}"/>
    <cellStyle name="Normal 3 13 7 2 2 2" xfId="20872" xr:uid="{00000000-0005-0000-0000-00007F510000}"/>
    <cellStyle name="Normal 3 13 7 2 2 3" xfId="20873" xr:uid="{00000000-0005-0000-0000-000080510000}"/>
    <cellStyle name="Normal 3 13 7 2 3" xfId="20874" xr:uid="{00000000-0005-0000-0000-000081510000}"/>
    <cellStyle name="Normal 3 13 7 2 3 2" xfId="20875" xr:uid="{00000000-0005-0000-0000-000082510000}"/>
    <cellStyle name="Normal 3 13 7 2 3 3" xfId="20876" xr:uid="{00000000-0005-0000-0000-000083510000}"/>
    <cellStyle name="Normal 3 13 7 2 4" xfId="20877" xr:uid="{00000000-0005-0000-0000-000084510000}"/>
    <cellStyle name="Normal 3 13 7 2 4 2" xfId="20878" xr:uid="{00000000-0005-0000-0000-000085510000}"/>
    <cellStyle name="Normal 3 13 7 2 4 3" xfId="20879" xr:uid="{00000000-0005-0000-0000-000086510000}"/>
    <cellStyle name="Normal 3 13 7 2 5" xfId="20880" xr:uid="{00000000-0005-0000-0000-000087510000}"/>
    <cellStyle name="Normal 3 13 7 2 5 2" xfId="20881" xr:uid="{00000000-0005-0000-0000-000088510000}"/>
    <cellStyle name="Normal 3 13 7 2 5 3" xfId="20882" xr:uid="{00000000-0005-0000-0000-000089510000}"/>
    <cellStyle name="Normal 3 13 7 2 6" xfId="20883" xr:uid="{00000000-0005-0000-0000-00008A510000}"/>
    <cellStyle name="Normal 3 13 7 2 6 2" xfId="20884" xr:uid="{00000000-0005-0000-0000-00008B510000}"/>
    <cellStyle name="Normal 3 13 7 2 6 3" xfId="20885" xr:uid="{00000000-0005-0000-0000-00008C510000}"/>
    <cellStyle name="Normal 3 13 7 2 7" xfId="20886" xr:uid="{00000000-0005-0000-0000-00008D510000}"/>
    <cellStyle name="Normal 3 13 7 2 7 2" xfId="20887" xr:uid="{00000000-0005-0000-0000-00008E510000}"/>
    <cellStyle name="Normal 3 13 7 2 7 3" xfId="20888" xr:uid="{00000000-0005-0000-0000-00008F510000}"/>
    <cellStyle name="Normal 3 13 7 2 8" xfId="20889" xr:uid="{00000000-0005-0000-0000-000090510000}"/>
    <cellStyle name="Normal 3 13 7 2 8 2" xfId="20890" xr:uid="{00000000-0005-0000-0000-000091510000}"/>
    <cellStyle name="Normal 3 13 7 2 8 3" xfId="20891" xr:uid="{00000000-0005-0000-0000-000092510000}"/>
    <cellStyle name="Normal 3 13 7 2 9" xfId="20892" xr:uid="{00000000-0005-0000-0000-000093510000}"/>
    <cellStyle name="Normal 3 13 7 2 9 2" xfId="20893" xr:uid="{00000000-0005-0000-0000-000094510000}"/>
    <cellStyle name="Normal 3 13 7 2 9 3" xfId="20894" xr:uid="{00000000-0005-0000-0000-000095510000}"/>
    <cellStyle name="Normal 3 13 7 3" xfId="20895" xr:uid="{00000000-0005-0000-0000-000096510000}"/>
    <cellStyle name="Normal 3 13 7 3 2" xfId="20896" xr:uid="{00000000-0005-0000-0000-000097510000}"/>
    <cellStyle name="Normal 3 13 7 3 3" xfId="20897" xr:uid="{00000000-0005-0000-0000-000098510000}"/>
    <cellStyle name="Normal 3 13 7 4" xfId="20898" xr:uid="{00000000-0005-0000-0000-000099510000}"/>
    <cellStyle name="Normal 3 13 7 4 2" xfId="20899" xr:uid="{00000000-0005-0000-0000-00009A510000}"/>
    <cellStyle name="Normal 3 13 7 4 3" xfId="20900" xr:uid="{00000000-0005-0000-0000-00009B510000}"/>
    <cellStyle name="Normal 3 13 7 5" xfId="20901" xr:uid="{00000000-0005-0000-0000-00009C510000}"/>
    <cellStyle name="Normal 3 13 7 5 2" xfId="20902" xr:uid="{00000000-0005-0000-0000-00009D510000}"/>
    <cellStyle name="Normal 3 13 7 5 3" xfId="20903" xr:uid="{00000000-0005-0000-0000-00009E510000}"/>
    <cellStyle name="Normal 3 13 7 6" xfId="20904" xr:uid="{00000000-0005-0000-0000-00009F510000}"/>
    <cellStyle name="Normal 3 13 7 6 2" xfId="20905" xr:uid="{00000000-0005-0000-0000-0000A0510000}"/>
    <cellStyle name="Normal 3 13 7 6 3" xfId="20906" xr:uid="{00000000-0005-0000-0000-0000A1510000}"/>
    <cellStyle name="Normal 3 13 7 7" xfId="20907" xr:uid="{00000000-0005-0000-0000-0000A2510000}"/>
    <cellStyle name="Normal 3 13 7 7 2" xfId="20908" xr:uid="{00000000-0005-0000-0000-0000A3510000}"/>
    <cellStyle name="Normal 3 13 7 7 3" xfId="20909" xr:uid="{00000000-0005-0000-0000-0000A4510000}"/>
    <cellStyle name="Normal 3 13 7 8" xfId="20910" xr:uid="{00000000-0005-0000-0000-0000A5510000}"/>
    <cellStyle name="Normal 3 13 7 8 2" xfId="20911" xr:uid="{00000000-0005-0000-0000-0000A6510000}"/>
    <cellStyle name="Normal 3 13 7 8 3" xfId="20912" xr:uid="{00000000-0005-0000-0000-0000A7510000}"/>
    <cellStyle name="Normal 3 13 7 9" xfId="20913" xr:uid="{00000000-0005-0000-0000-0000A8510000}"/>
    <cellStyle name="Normal 3 13 7 9 2" xfId="20914" xr:uid="{00000000-0005-0000-0000-0000A9510000}"/>
    <cellStyle name="Normal 3 13 7 9 3" xfId="20915" xr:uid="{00000000-0005-0000-0000-0000AA510000}"/>
    <cellStyle name="Normal 3 13 8" xfId="20916" xr:uid="{00000000-0005-0000-0000-0000AB510000}"/>
    <cellStyle name="Normal 3 13 8 10" xfId="20917" xr:uid="{00000000-0005-0000-0000-0000AC510000}"/>
    <cellStyle name="Normal 3 13 8 10 2" xfId="20918" xr:uid="{00000000-0005-0000-0000-0000AD510000}"/>
    <cellStyle name="Normal 3 13 8 10 3" xfId="20919" xr:uid="{00000000-0005-0000-0000-0000AE510000}"/>
    <cellStyle name="Normal 3 13 8 11" xfId="20920" xr:uid="{00000000-0005-0000-0000-0000AF510000}"/>
    <cellStyle name="Normal 3 13 8 11 2" xfId="20921" xr:uid="{00000000-0005-0000-0000-0000B0510000}"/>
    <cellStyle name="Normal 3 13 8 11 3" xfId="20922" xr:uid="{00000000-0005-0000-0000-0000B1510000}"/>
    <cellStyle name="Normal 3 13 8 12" xfId="20923" xr:uid="{00000000-0005-0000-0000-0000B2510000}"/>
    <cellStyle name="Normal 3 13 8 12 2" xfId="20924" xr:uid="{00000000-0005-0000-0000-0000B3510000}"/>
    <cellStyle name="Normal 3 13 8 12 3" xfId="20925" xr:uid="{00000000-0005-0000-0000-0000B4510000}"/>
    <cellStyle name="Normal 3 13 8 13" xfId="20926" xr:uid="{00000000-0005-0000-0000-0000B5510000}"/>
    <cellStyle name="Normal 3 13 8 13 2" xfId="20927" xr:uid="{00000000-0005-0000-0000-0000B6510000}"/>
    <cellStyle name="Normal 3 13 8 13 3" xfId="20928" xr:uid="{00000000-0005-0000-0000-0000B7510000}"/>
    <cellStyle name="Normal 3 13 8 14" xfId="20929" xr:uid="{00000000-0005-0000-0000-0000B8510000}"/>
    <cellStyle name="Normal 3 13 8 14 2" xfId="20930" xr:uid="{00000000-0005-0000-0000-0000B9510000}"/>
    <cellStyle name="Normal 3 13 8 14 3" xfId="20931" xr:uid="{00000000-0005-0000-0000-0000BA510000}"/>
    <cellStyle name="Normal 3 13 8 15" xfId="20932" xr:uid="{00000000-0005-0000-0000-0000BB510000}"/>
    <cellStyle name="Normal 3 13 8 15 2" xfId="20933" xr:uid="{00000000-0005-0000-0000-0000BC510000}"/>
    <cellStyle name="Normal 3 13 8 15 3" xfId="20934" xr:uid="{00000000-0005-0000-0000-0000BD510000}"/>
    <cellStyle name="Normal 3 13 8 16" xfId="20935" xr:uid="{00000000-0005-0000-0000-0000BE510000}"/>
    <cellStyle name="Normal 3 13 8 17" xfId="20936" xr:uid="{00000000-0005-0000-0000-0000BF510000}"/>
    <cellStyle name="Normal 3 13 8 2" xfId="20937" xr:uid="{00000000-0005-0000-0000-0000C0510000}"/>
    <cellStyle name="Normal 3 13 8 2 10" xfId="20938" xr:uid="{00000000-0005-0000-0000-0000C1510000}"/>
    <cellStyle name="Normal 3 13 8 2 10 2" xfId="20939" xr:uid="{00000000-0005-0000-0000-0000C2510000}"/>
    <cellStyle name="Normal 3 13 8 2 10 3" xfId="20940" xr:uid="{00000000-0005-0000-0000-0000C3510000}"/>
    <cellStyle name="Normal 3 13 8 2 11" xfId="20941" xr:uid="{00000000-0005-0000-0000-0000C4510000}"/>
    <cellStyle name="Normal 3 13 8 2 11 2" xfId="20942" xr:uid="{00000000-0005-0000-0000-0000C5510000}"/>
    <cellStyle name="Normal 3 13 8 2 11 3" xfId="20943" xr:uid="{00000000-0005-0000-0000-0000C6510000}"/>
    <cellStyle name="Normal 3 13 8 2 12" xfId="20944" xr:uid="{00000000-0005-0000-0000-0000C7510000}"/>
    <cellStyle name="Normal 3 13 8 2 12 2" xfId="20945" xr:uid="{00000000-0005-0000-0000-0000C8510000}"/>
    <cellStyle name="Normal 3 13 8 2 12 3" xfId="20946" xr:uid="{00000000-0005-0000-0000-0000C9510000}"/>
    <cellStyle name="Normal 3 13 8 2 13" xfId="20947" xr:uid="{00000000-0005-0000-0000-0000CA510000}"/>
    <cellStyle name="Normal 3 13 8 2 13 2" xfId="20948" xr:uid="{00000000-0005-0000-0000-0000CB510000}"/>
    <cellStyle name="Normal 3 13 8 2 13 3" xfId="20949" xr:uid="{00000000-0005-0000-0000-0000CC510000}"/>
    <cellStyle name="Normal 3 13 8 2 14" xfId="20950" xr:uid="{00000000-0005-0000-0000-0000CD510000}"/>
    <cellStyle name="Normal 3 13 8 2 14 2" xfId="20951" xr:uid="{00000000-0005-0000-0000-0000CE510000}"/>
    <cellStyle name="Normal 3 13 8 2 14 3" xfId="20952" xr:uid="{00000000-0005-0000-0000-0000CF510000}"/>
    <cellStyle name="Normal 3 13 8 2 15" xfId="20953" xr:uid="{00000000-0005-0000-0000-0000D0510000}"/>
    <cellStyle name="Normal 3 13 8 2 16" xfId="20954" xr:uid="{00000000-0005-0000-0000-0000D1510000}"/>
    <cellStyle name="Normal 3 13 8 2 2" xfId="20955" xr:uid="{00000000-0005-0000-0000-0000D2510000}"/>
    <cellStyle name="Normal 3 13 8 2 2 2" xfId="20956" xr:uid="{00000000-0005-0000-0000-0000D3510000}"/>
    <cellStyle name="Normal 3 13 8 2 2 3" xfId="20957" xr:uid="{00000000-0005-0000-0000-0000D4510000}"/>
    <cellStyle name="Normal 3 13 8 2 3" xfId="20958" xr:uid="{00000000-0005-0000-0000-0000D5510000}"/>
    <cellStyle name="Normal 3 13 8 2 3 2" xfId="20959" xr:uid="{00000000-0005-0000-0000-0000D6510000}"/>
    <cellStyle name="Normal 3 13 8 2 3 3" xfId="20960" xr:uid="{00000000-0005-0000-0000-0000D7510000}"/>
    <cellStyle name="Normal 3 13 8 2 4" xfId="20961" xr:uid="{00000000-0005-0000-0000-0000D8510000}"/>
    <cellStyle name="Normal 3 13 8 2 4 2" xfId="20962" xr:uid="{00000000-0005-0000-0000-0000D9510000}"/>
    <cellStyle name="Normal 3 13 8 2 4 3" xfId="20963" xr:uid="{00000000-0005-0000-0000-0000DA510000}"/>
    <cellStyle name="Normal 3 13 8 2 5" xfId="20964" xr:uid="{00000000-0005-0000-0000-0000DB510000}"/>
    <cellStyle name="Normal 3 13 8 2 5 2" xfId="20965" xr:uid="{00000000-0005-0000-0000-0000DC510000}"/>
    <cellStyle name="Normal 3 13 8 2 5 3" xfId="20966" xr:uid="{00000000-0005-0000-0000-0000DD510000}"/>
    <cellStyle name="Normal 3 13 8 2 6" xfId="20967" xr:uid="{00000000-0005-0000-0000-0000DE510000}"/>
    <cellStyle name="Normal 3 13 8 2 6 2" xfId="20968" xr:uid="{00000000-0005-0000-0000-0000DF510000}"/>
    <cellStyle name="Normal 3 13 8 2 6 3" xfId="20969" xr:uid="{00000000-0005-0000-0000-0000E0510000}"/>
    <cellStyle name="Normal 3 13 8 2 7" xfId="20970" xr:uid="{00000000-0005-0000-0000-0000E1510000}"/>
    <cellStyle name="Normal 3 13 8 2 7 2" xfId="20971" xr:uid="{00000000-0005-0000-0000-0000E2510000}"/>
    <cellStyle name="Normal 3 13 8 2 7 3" xfId="20972" xr:uid="{00000000-0005-0000-0000-0000E3510000}"/>
    <cellStyle name="Normal 3 13 8 2 8" xfId="20973" xr:uid="{00000000-0005-0000-0000-0000E4510000}"/>
    <cellStyle name="Normal 3 13 8 2 8 2" xfId="20974" xr:uid="{00000000-0005-0000-0000-0000E5510000}"/>
    <cellStyle name="Normal 3 13 8 2 8 3" xfId="20975" xr:uid="{00000000-0005-0000-0000-0000E6510000}"/>
    <cellStyle name="Normal 3 13 8 2 9" xfId="20976" xr:uid="{00000000-0005-0000-0000-0000E7510000}"/>
    <cellStyle name="Normal 3 13 8 2 9 2" xfId="20977" xr:uid="{00000000-0005-0000-0000-0000E8510000}"/>
    <cellStyle name="Normal 3 13 8 2 9 3" xfId="20978" xr:uid="{00000000-0005-0000-0000-0000E9510000}"/>
    <cellStyle name="Normal 3 13 8 3" xfId="20979" xr:uid="{00000000-0005-0000-0000-0000EA510000}"/>
    <cellStyle name="Normal 3 13 8 3 2" xfId="20980" xr:uid="{00000000-0005-0000-0000-0000EB510000}"/>
    <cellStyle name="Normal 3 13 8 3 3" xfId="20981" xr:uid="{00000000-0005-0000-0000-0000EC510000}"/>
    <cellStyle name="Normal 3 13 8 4" xfId="20982" xr:uid="{00000000-0005-0000-0000-0000ED510000}"/>
    <cellStyle name="Normal 3 13 8 4 2" xfId="20983" xr:uid="{00000000-0005-0000-0000-0000EE510000}"/>
    <cellStyle name="Normal 3 13 8 4 3" xfId="20984" xr:uid="{00000000-0005-0000-0000-0000EF510000}"/>
    <cellStyle name="Normal 3 13 8 5" xfId="20985" xr:uid="{00000000-0005-0000-0000-0000F0510000}"/>
    <cellStyle name="Normal 3 13 8 5 2" xfId="20986" xr:uid="{00000000-0005-0000-0000-0000F1510000}"/>
    <cellStyle name="Normal 3 13 8 5 3" xfId="20987" xr:uid="{00000000-0005-0000-0000-0000F2510000}"/>
    <cellStyle name="Normal 3 13 8 6" xfId="20988" xr:uid="{00000000-0005-0000-0000-0000F3510000}"/>
    <cellStyle name="Normal 3 13 8 6 2" xfId="20989" xr:uid="{00000000-0005-0000-0000-0000F4510000}"/>
    <cellStyle name="Normal 3 13 8 6 3" xfId="20990" xr:uid="{00000000-0005-0000-0000-0000F5510000}"/>
    <cellStyle name="Normal 3 13 8 7" xfId="20991" xr:uid="{00000000-0005-0000-0000-0000F6510000}"/>
    <cellStyle name="Normal 3 13 8 7 2" xfId="20992" xr:uid="{00000000-0005-0000-0000-0000F7510000}"/>
    <cellStyle name="Normal 3 13 8 7 3" xfId="20993" xr:uid="{00000000-0005-0000-0000-0000F8510000}"/>
    <cellStyle name="Normal 3 13 8 8" xfId="20994" xr:uid="{00000000-0005-0000-0000-0000F9510000}"/>
    <cellStyle name="Normal 3 13 8 8 2" xfId="20995" xr:uid="{00000000-0005-0000-0000-0000FA510000}"/>
    <cellStyle name="Normal 3 13 8 8 3" xfId="20996" xr:uid="{00000000-0005-0000-0000-0000FB510000}"/>
    <cellStyle name="Normal 3 13 8 9" xfId="20997" xr:uid="{00000000-0005-0000-0000-0000FC510000}"/>
    <cellStyle name="Normal 3 13 8 9 2" xfId="20998" xr:uid="{00000000-0005-0000-0000-0000FD510000}"/>
    <cellStyle name="Normal 3 13 8 9 3" xfId="20999" xr:uid="{00000000-0005-0000-0000-0000FE510000}"/>
    <cellStyle name="Normal 3 13 9" xfId="21000" xr:uid="{00000000-0005-0000-0000-0000FF510000}"/>
    <cellStyle name="Normal 3 13 9 10" xfId="21001" xr:uid="{00000000-0005-0000-0000-000000520000}"/>
    <cellStyle name="Normal 3 13 9 10 2" xfId="21002" xr:uid="{00000000-0005-0000-0000-000001520000}"/>
    <cellStyle name="Normal 3 13 9 10 3" xfId="21003" xr:uid="{00000000-0005-0000-0000-000002520000}"/>
    <cellStyle name="Normal 3 13 9 11" xfId="21004" xr:uid="{00000000-0005-0000-0000-000003520000}"/>
    <cellStyle name="Normal 3 13 9 11 2" xfId="21005" xr:uid="{00000000-0005-0000-0000-000004520000}"/>
    <cellStyle name="Normal 3 13 9 11 3" xfId="21006" xr:uid="{00000000-0005-0000-0000-000005520000}"/>
    <cellStyle name="Normal 3 13 9 12" xfId="21007" xr:uid="{00000000-0005-0000-0000-000006520000}"/>
    <cellStyle name="Normal 3 13 9 12 2" xfId="21008" xr:uid="{00000000-0005-0000-0000-000007520000}"/>
    <cellStyle name="Normal 3 13 9 12 3" xfId="21009" xr:uid="{00000000-0005-0000-0000-000008520000}"/>
    <cellStyle name="Normal 3 13 9 13" xfId="21010" xr:uid="{00000000-0005-0000-0000-000009520000}"/>
    <cellStyle name="Normal 3 13 9 13 2" xfId="21011" xr:uid="{00000000-0005-0000-0000-00000A520000}"/>
    <cellStyle name="Normal 3 13 9 13 3" xfId="21012" xr:uid="{00000000-0005-0000-0000-00000B520000}"/>
    <cellStyle name="Normal 3 13 9 14" xfId="21013" xr:uid="{00000000-0005-0000-0000-00000C520000}"/>
    <cellStyle name="Normal 3 13 9 14 2" xfId="21014" xr:uid="{00000000-0005-0000-0000-00000D520000}"/>
    <cellStyle name="Normal 3 13 9 14 3" xfId="21015" xr:uid="{00000000-0005-0000-0000-00000E520000}"/>
    <cellStyle name="Normal 3 13 9 15" xfId="21016" xr:uid="{00000000-0005-0000-0000-00000F520000}"/>
    <cellStyle name="Normal 3 13 9 16" xfId="21017" xr:uid="{00000000-0005-0000-0000-000010520000}"/>
    <cellStyle name="Normal 3 13 9 2" xfId="21018" xr:uid="{00000000-0005-0000-0000-000011520000}"/>
    <cellStyle name="Normal 3 13 9 2 2" xfId="21019" xr:uid="{00000000-0005-0000-0000-000012520000}"/>
    <cellStyle name="Normal 3 13 9 2 3" xfId="21020" xr:uid="{00000000-0005-0000-0000-000013520000}"/>
    <cellStyle name="Normal 3 13 9 3" xfId="21021" xr:uid="{00000000-0005-0000-0000-000014520000}"/>
    <cellStyle name="Normal 3 13 9 3 2" xfId="21022" xr:uid="{00000000-0005-0000-0000-000015520000}"/>
    <cellStyle name="Normal 3 13 9 3 3" xfId="21023" xr:uid="{00000000-0005-0000-0000-000016520000}"/>
    <cellStyle name="Normal 3 13 9 4" xfId="21024" xr:uid="{00000000-0005-0000-0000-000017520000}"/>
    <cellStyle name="Normal 3 13 9 4 2" xfId="21025" xr:uid="{00000000-0005-0000-0000-000018520000}"/>
    <cellStyle name="Normal 3 13 9 4 3" xfId="21026" xr:uid="{00000000-0005-0000-0000-000019520000}"/>
    <cellStyle name="Normal 3 13 9 5" xfId="21027" xr:uid="{00000000-0005-0000-0000-00001A520000}"/>
    <cellStyle name="Normal 3 13 9 5 2" xfId="21028" xr:uid="{00000000-0005-0000-0000-00001B520000}"/>
    <cellStyle name="Normal 3 13 9 5 3" xfId="21029" xr:uid="{00000000-0005-0000-0000-00001C520000}"/>
    <cellStyle name="Normal 3 13 9 6" xfId="21030" xr:uid="{00000000-0005-0000-0000-00001D520000}"/>
    <cellStyle name="Normal 3 13 9 6 2" xfId="21031" xr:uid="{00000000-0005-0000-0000-00001E520000}"/>
    <cellStyle name="Normal 3 13 9 6 3" xfId="21032" xr:uid="{00000000-0005-0000-0000-00001F520000}"/>
    <cellStyle name="Normal 3 13 9 7" xfId="21033" xr:uid="{00000000-0005-0000-0000-000020520000}"/>
    <cellStyle name="Normal 3 13 9 7 2" xfId="21034" xr:uid="{00000000-0005-0000-0000-000021520000}"/>
    <cellStyle name="Normal 3 13 9 7 3" xfId="21035" xr:uid="{00000000-0005-0000-0000-000022520000}"/>
    <cellStyle name="Normal 3 13 9 8" xfId="21036" xr:uid="{00000000-0005-0000-0000-000023520000}"/>
    <cellStyle name="Normal 3 13 9 8 2" xfId="21037" xr:uid="{00000000-0005-0000-0000-000024520000}"/>
    <cellStyle name="Normal 3 13 9 8 3" xfId="21038" xr:uid="{00000000-0005-0000-0000-000025520000}"/>
    <cellStyle name="Normal 3 13 9 9" xfId="21039" xr:uid="{00000000-0005-0000-0000-000026520000}"/>
    <cellStyle name="Normal 3 13 9 9 2" xfId="21040" xr:uid="{00000000-0005-0000-0000-000027520000}"/>
    <cellStyle name="Normal 3 13 9 9 3" xfId="21041" xr:uid="{00000000-0005-0000-0000-000028520000}"/>
    <cellStyle name="Normal 3 14" xfId="21042" xr:uid="{00000000-0005-0000-0000-000029520000}"/>
    <cellStyle name="Normal 3 14 10" xfId="21043" xr:uid="{00000000-0005-0000-0000-00002A520000}"/>
    <cellStyle name="Normal 3 14 10 10" xfId="21044" xr:uid="{00000000-0005-0000-0000-00002B520000}"/>
    <cellStyle name="Normal 3 14 10 10 2" xfId="21045" xr:uid="{00000000-0005-0000-0000-00002C520000}"/>
    <cellStyle name="Normal 3 14 10 10 3" xfId="21046" xr:uid="{00000000-0005-0000-0000-00002D520000}"/>
    <cellStyle name="Normal 3 14 10 11" xfId="21047" xr:uid="{00000000-0005-0000-0000-00002E520000}"/>
    <cellStyle name="Normal 3 14 10 11 2" xfId="21048" xr:uid="{00000000-0005-0000-0000-00002F520000}"/>
    <cellStyle name="Normal 3 14 10 11 3" xfId="21049" xr:uid="{00000000-0005-0000-0000-000030520000}"/>
    <cellStyle name="Normal 3 14 10 12" xfId="21050" xr:uid="{00000000-0005-0000-0000-000031520000}"/>
    <cellStyle name="Normal 3 14 10 12 2" xfId="21051" xr:uid="{00000000-0005-0000-0000-000032520000}"/>
    <cellStyle name="Normal 3 14 10 12 3" xfId="21052" xr:uid="{00000000-0005-0000-0000-000033520000}"/>
    <cellStyle name="Normal 3 14 10 13" xfId="21053" xr:uid="{00000000-0005-0000-0000-000034520000}"/>
    <cellStyle name="Normal 3 14 10 13 2" xfId="21054" xr:uid="{00000000-0005-0000-0000-000035520000}"/>
    <cellStyle name="Normal 3 14 10 13 3" xfId="21055" xr:uid="{00000000-0005-0000-0000-000036520000}"/>
    <cellStyle name="Normal 3 14 10 14" xfId="21056" xr:uid="{00000000-0005-0000-0000-000037520000}"/>
    <cellStyle name="Normal 3 14 10 14 2" xfId="21057" xr:uid="{00000000-0005-0000-0000-000038520000}"/>
    <cellStyle name="Normal 3 14 10 14 3" xfId="21058" xr:uid="{00000000-0005-0000-0000-000039520000}"/>
    <cellStyle name="Normal 3 14 10 15" xfId="21059" xr:uid="{00000000-0005-0000-0000-00003A520000}"/>
    <cellStyle name="Normal 3 14 10 16" xfId="21060" xr:uid="{00000000-0005-0000-0000-00003B520000}"/>
    <cellStyle name="Normal 3 14 10 2" xfId="21061" xr:uid="{00000000-0005-0000-0000-00003C520000}"/>
    <cellStyle name="Normal 3 14 10 2 2" xfId="21062" xr:uid="{00000000-0005-0000-0000-00003D520000}"/>
    <cellStyle name="Normal 3 14 10 2 3" xfId="21063" xr:uid="{00000000-0005-0000-0000-00003E520000}"/>
    <cellStyle name="Normal 3 14 10 3" xfId="21064" xr:uid="{00000000-0005-0000-0000-00003F520000}"/>
    <cellStyle name="Normal 3 14 10 3 2" xfId="21065" xr:uid="{00000000-0005-0000-0000-000040520000}"/>
    <cellStyle name="Normal 3 14 10 3 3" xfId="21066" xr:uid="{00000000-0005-0000-0000-000041520000}"/>
    <cellStyle name="Normal 3 14 10 4" xfId="21067" xr:uid="{00000000-0005-0000-0000-000042520000}"/>
    <cellStyle name="Normal 3 14 10 4 2" xfId="21068" xr:uid="{00000000-0005-0000-0000-000043520000}"/>
    <cellStyle name="Normal 3 14 10 4 3" xfId="21069" xr:uid="{00000000-0005-0000-0000-000044520000}"/>
    <cellStyle name="Normal 3 14 10 5" xfId="21070" xr:uid="{00000000-0005-0000-0000-000045520000}"/>
    <cellStyle name="Normal 3 14 10 5 2" xfId="21071" xr:uid="{00000000-0005-0000-0000-000046520000}"/>
    <cellStyle name="Normal 3 14 10 5 3" xfId="21072" xr:uid="{00000000-0005-0000-0000-000047520000}"/>
    <cellStyle name="Normal 3 14 10 6" xfId="21073" xr:uid="{00000000-0005-0000-0000-000048520000}"/>
    <cellStyle name="Normal 3 14 10 6 2" xfId="21074" xr:uid="{00000000-0005-0000-0000-000049520000}"/>
    <cellStyle name="Normal 3 14 10 6 3" xfId="21075" xr:uid="{00000000-0005-0000-0000-00004A520000}"/>
    <cellStyle name="Normal 3 14 10 7" xfId="21076" xr:uid="{00000000-0005-0000-0000-00004B520000}"/>
    <cellStyle name="Normal 3 14 10 7 2" xfId="21077" xr:uid="{00000000-0005-0000-0000-00004C520000}"/>
    <cellStyle name="Normal 3 14 10 7 3" xfId="21078" xr:uid="{00000000-0005-0000-0000-00004D520000}"/>
    <cellStyle name="Normal 3 14 10 8" xfId="21079" xr:uid="{00000000-0005-0000-0000-00004E520000}"/>
    <cellStyle name="Normal 3 14 10 8 2" xfId="21080" xr:uid="{00000000-0005-0000-0000-00004F520000}"/>
    <cellStyle name="Normal 3 14 10 8 3" xfId="21081" xr:uid="{00000000-0005-0000-0000-000050520000}"/>
    <cellStyle name="Normal 3 14 10 9" xfId="21082" xr:uid="{00000000-0005-0000-0000-000051520000}"/>
    <cellStyle name="Normal 3 14 10 9 2" xfId="21083" xr:uid="{00000000-0005-0000-0000-000052520000}"/>
    <cellStyle name="Normal 3 14 10 9 3" xfId="21084" xr:uid="{00000000-0005-0000-0000-000053520000}"/>
    <cellStyle name="Normal 3 14 11" xfId="21085" xr:uid="{00000000-0005-0000-0000-000054520000}"/>
    <cellStyle name="Normal 3 14 11 10" xfId="21086" xr:uid="{00000000-0005-0000-0000-000055520000}"/>
    <cellStyle name="Normal 3 14 11 10 2" xfId="21087" xr:uid="{00000000-0005-0000-0000-000056520000}"/>
    <cellStyle name="Normal 3 14 11 10 3" xfId="21088" xr:uid="{00000000-0005-0000-0000-000057520000}"/>
    <cellStyle name="Normal 3 14 11 11" xfId="21089" xr:uid="{00000000-0005-0000-0000-000058520000}"/>
    <cellStyle name="Normal 3 14 11 11 2" xfId="21090" xr:uid="{00000000-0005-0000-0000-000059520000}"/>
    <cellStyle name="Normal 3 14 11 11 3" xfId="21091" xr:uid="{00000000-0005-0000-0000-00005A520000}"/>
    <cellStyle name="Normal 3 14 11 12" xfId="21092" xr:uid="{00000000-0005-0000-0000-00005B520000}"/>
    <cellStyle name="Normal 3 14 11 12 2" xfId="21093" xr:uid="{00000000-0005-0000-0000-00005C520000}"/>
    <cellStyle name="Normal 3 14 11 12 3" xfId="21094" xr:uid="{00000000-0005-0000-0000-00005D520000}"/>
    <cellStyle name="Normal 3 14 11 13" xfId="21095" xr:uid="{00000000-0005-0000-0000-00005E520000}"/>
    <cellStyle name="Normal 3 14 11 13 2" xfId="21096" xr:uid="{00000000-0005-0000-0000-00005F520000}"/>
    <cellStyle name="Normal 3 14 11 13 3" xfId="21097" xr:uid="{00000000-0005-0000-0000-000060520000}"/>
    <cellStyle name="Normal 3 14 11 14" xfId="21098" xr:uid="{00000000-0005-0000-0000-000061520000}"/>
    <cellStyle name="Normal 3 14 11 14 2" xfId="21099" xr:uid="{00000000-0005-0000-0000-000062520000}"/>
    <cellStyle name="Normal 3 14 11 14 3" xfId="21100" xr:uid="{00000000-0005-0000-0000-000063520000}"/>
    <cellStyle name="Normal 3 14 11 15" xfId="21101" xr:uid="{00000000-0005-0000-0000-000064520000}"/>
    <cellStyle name="Normal 3 14 11 16" xfId="21102" xr:uid="{00000000-0005-0000-0000-000065520000}"/>
    <cellStyle name="Normal 3 14 11 2" xfId="21103" xr:uid="{00000000-0005-0000-0000-000066520000}"/>
    <cellStyle name="Normal 3 14 11 2 2" xfId="21104" xr:uid="{00000000-0005-0000-0000-000067520000}"/>
    <cellStyle name="Normal 3 14 11 2 3" xfId="21105" xr:uid="{00000000-0005-0000-0000-000068520000}"/>
    <cellStyle name="Normal 3 14 11 3" xfId="21106" xr:uid="{00000000-0005-0000-0000-000069520000}"/>
    <cellStyle name="Normal 3 14 11 3 2" xfId="21107" xr:uid="{00000000-0005-0000-0000-00006A520000}"/>
    <cellStyle name="Normal 3 14 11 3 3" xfId="21108" xr:uid="{00000000-0005-0000-0000-00006B520000}"/>
    <cellStyle name="Normal 3 14 11 4" xfId="21109" xr:uid="{00000000-0005-0000-0000-00006C520000}"/>
    <cellStyle name="Normal 3 14 11 4 2" xfId="21110" xr:uid="{00000000-0005-0000-0000-00006D520000}"/>
    <cellStyle name="Normal 3 14 11 4 3" xfId="21111" xr:uid="{00000000-0005-0000-0000-00006E520000}"/>
    <cellStyle name="Normal 3 14 11 5" xfId="21112" xr:uid="{00000000-0005-0000-0000-00006F520000}"/>
    <cellStyle name="Normal 3 14 11 5 2" xfId="21113" xr:uid="{00000000-0005-0000-0000-000070520000}"/>
    <cellStyle name="Normal 3 14 11 5 3" xfId="21114" xr:uid="{00000000-0005-0000-0000-000071520000}"/>
    <cellStyle name="Normal 3 14 11 6" xfId="21115" xr:uid="{00000000-0005-0000-0000-000072520000}"/>
    <cellStyle name="Normal 3 14 11 6 2" xfId="21116" xr:uid="{00000000-0005-0000-0000-000073520000}"/>
    <cellStyle name="Normal 3 14 11 6 3" xfId="21117" xr:uid="{00000000-0005-0000-0000-000074520000}"/>
    <cellStyle name="Normal 3 14 11 7" xfId="21118" xr:uid="{00000000-0005-0000-0000-000075520000}"/>
    <cellStyle name="Normal 3 14 11 7 2" xfId="21119" xr:uid="{00000000-0005-0000-0000-000076520000}"/>
    <cellStyle name="Normal 3 14 11 7 3" xfId="21120" xr:uid="{00000000-0005-0000-0000-000077520000}"/>
    <cellStyle name="Normal 3 14 11 8" xfId="21121" xr:uid="{00000000-0005-0000-0000-000078520000}"/>
    <cellStyle name="Normal 3 14 11 8 2" xfId="21122" xr:uid="{00000000-0005-0000-0000-000079520000}"/>
    <cellStyle name="Normal 3 14 11 8 3" xfId="21123" xr:uid="{00000000-0005-0000-0000-00007A520000}"/>
    <cellStyle name="Normal 3 14 11 9" xfId="21124" xr:uid="{00000000-0005-0000-0000-00007B520000}"/>
    <cellStyle name="Normal 3 14 11 9 2" xfId="21125" xr:uid="{00000000-0005-0000-0000-00007C520000}"/>
    <cellStyle name="Normal 3 14 11 9 3" xfId="21126" xr:uid="{00000000-0005-0000-0000-00007D520000}"/>
    <cellStyle name="Normal 3 14 12" xfId="21127" xr:uid="{00000000-0005-0000-0000-00007E520000}"/>
    <cellStyle name="Normal 3 14 12 10" xfId="21128" xr:uid="{00000000-0005-0000-0000-00007F520000}"/>
    <cellStyle name="Normal 3 14 12 10 2" xfId="21129" xr:uid="{00000000-0005-0000-0000-000080520000}"/>
    <cellStyle name="Normal 3 14 12 10 3" xfId="21130" xr:uid="{00000000-0005-0000-0000-000081520000}"/>
    <cellStyle name="Normal 3 14 12 11" xfId="21131" xr:uid="{00000000-0005-0000-0000-000082520000}"/>
    <cellStyle name="Normal 3 14 12 11 2" xfId="21132" xr:uid="{00000000-0005-0000-0000-000083520000}"/>
    <cellStyle name="Normal 3 14 12 11 3" xfId="21133" xr:uid="{00000000-0005-0000-0000-000084520000}"/>
    <cellStyle name="Normal 3 14 12 12" xfId="21134" xr:uid="{00000000-0005-0000-0000-000085520000}"/>
    <cellStyle name="Normal 3 14 12 12 2" xfId="21135" xr:uid="{00000000-0005-0000-0000-000086520000}"/>
    <cellStyle name="Normal 3 14 12 12 3" xfId="21136" xr:uid="{00000000-0005-0000-0000-000087520000}"/>
    <cellStyle name="Normal 3 14 12 13" xfId="21137" xr:uid="{00000000-0005-0000-0000-000088520000}"/>
    <cellStyle name="Normal 3 14 12 13 2" xfId="21138" xr:uid="{00000000-0005-0000-0000-000089520000}"/>
    <cellStyle name="Normal 3 14 12 13 3" xfId="21139" xr:uid="{00000000-0005-0000-0000-00008A520000}"/>
    <cellStyle name="Normal 3 14 12 14" xfId="21140" xr:uid="{00000000-0005-0000-0000-00008B520000}"/>
    <cellStyle name="Normal 3 14 12 14 2" xfId="21141" xr:uid="{00000000-0005-0000-0000-00008C520000}"/>
    <cellStyle name="Normal 3 14 12 14 3" xfId="21142" xr:uid="{00000000-0005-0000-0000-00008D520000}"/>
    <cellStyle name="Normal 3 14 12 15" xfId="21143" xr:uid="{00000000-0005-0000-0000-00008E520000}"/>
    <cellStyle name="Normal 3 14 12 16" xfId="21144" xr:uid="{00000000-0005-0000-0000-00008F520000}"/>
    <cellStyle name="Normal 3 14 12 2" xfId="21145" xr:uid="{00000000-0005-0000-0000-000090520000}"/>
    <cellStyle name="Normal 3 14 12 2 2" xfId="21146" xr:uid="{00000000-0005-0000-0000-000091520000}"/>
    <cellStyle name="Normal 3 14 12 2 3" xfId="21147" xr:uid="{00000000-0005-0000-0000-000092520000}"/>
    <cellStyle name="Normal 3 14 12 3" xfId="21148" xr:uid="{00000000-0005-0000-0000-000093520000}"/>
    <cellStyle name="Normal 3 14 12 3 2" xfId="21149" xr:uid="{00000000-0005-0000-0000-000094520000}"/>
    <cellStyle name="Normal 3 14 12 3 3" xfId="21150" xr:uid="{00000000-0005-0000-0000-000095520000}"/>
    <cellStyle name="Normal 3 14 12 4" xfId="21151" xr:uid="{00000000-0005-0000-0000-000096520000}"/>
    <cellStyle name="Normal 3 14 12 4 2" xfId="21152" xr:uid="{00000000-0005-0000-0000-000097520000}"/>
    <cellStyle name="Normal 3 14 12 4 3" xfId="21153" xr:uid="{00000000-0005-0000-0000-000098520000}"/>
    <cellStyle name="Normal 3 14 12 5" xfId="21154" xr:uid="{00000000-0005-0000-0000-000099520000}"/>
    <cellStyle name="Normal 3 14 12 5 2" xfId="21155" xr:uid="{00000000-0005-0000-0000-00009A520000}"/>
    <cellStyle name="Normal 3 14 12 5 3" xfId="21156" xr:uid="{00000000-0005-0000-0000-00009B520000}"/>
    <cellStyle name="Normal 3 14 12 6" xfId="21157" xr:uid="{00000000-0005-0000-0000-00009C520000}"/>
    <cellStyle name="Normal 3 14 12 6 2" xfId="21158" xr:uid="{00000000-0005-0000-0000-00009D520000}"/>
    <cellStyle name="Normal 3 14 12 6 3" xfId="21159" xr:uid="{00000000-0005-0000-0000-00009E520000}"/>
    <cellStyle name="Normal 3 14 12 7" xfId="21160" xr:uid="{00000000-0005-0000-0000-00009F520000}"/>
    <cellStyle name="Normal 3 14 12 7 2" xfId="21161" xr:uid="{00000000-0005-0000-0000-0000A0520000}"/>
    <cellStyle name="Normal 3 14 12 7 3" xfId="21162" xr:uid="{00000000-0005-0000-0000-0000A1520000}"/>
    <cellStyle name="Normal 3 14 12 8" xfId="21163" xr:uid="{00000000-0005-0000-0000-0000A2520000}"/>
    <cellStyle name="Normal 3 14 12 8 2" xfId="21164" xr:uid="{00000000-0005-0000-0000-0000A3520000}"/>
    <cellStyle name="Normal 3 14 12 8 3" xfId="21165" xr:uid="{00000000-0005-0000-0000-0000A4520000}"/>
    <cellStyle name="Normal 3 14 12 9" xfId="21166" xr:uid="{00000000-0005-0000-0000-0000A5520000}"/>
    <cellStyle name="Normal 3 14 12 9 2" xfId="21167" xr:uid="{00000000-0005-0000-0000-0000A6520000}"/>
    <cellStyle name="Normal 3 14 12 9 3" xfId="21168" xr:uid="{00000000-0005-0000-0000-0000A7520000}"/>
    <cellStyle name="Normal 3 14 13" xfId="21169" xr:uid="{00000000-0005-0000-0000-0000A8520000}"/>
    <cellStyle name="Normal 3 14 13 10" xfId="21170" xr:uid="{00000000-0005-0000-0000-0000A9520000}"/>
    <cellStyle name="Normal 3 14 13 10 2" xfId="21171" xr:uid="{00000000-0005-0000-0000-0000AA520000}"/>
    <cellStyle name="Normal 3 14 13 10 3" xfId="21172" xr:uid="{00000000-0005-0000-0000-0000AB520000}"/>
    <cellStyle name="Normal 3 14 13 11" xfId="21173" xr:uid="{00000000-0005-0000-0000-0000AC520000}"/>
    <cellStyle name="Normal 3 14 13 11 2" xfId="21174" xr:uid="{00000000-0005-0000-0000-0000AD520000}"/>
    <cellStyle name="Normal 3 14 13 11 3" xfId="21175" xr:uid="{00000000-0005-0000-0000-0000AE520000}"/>
    <cellStyle name="Normal 3 14 13 12" xfId="21176" xr:uid="{00000000-0005-0000-0000-0000AF520000}"/>
    <cellStyle name="Normal 3 14 13 12 2" xfId="21177" xr:uid="{00000000-0005-0000-0000-0000B0520000}"/>
    <cellStyle name="Normal 3 14 13 12 3" xfId="21178" xr:uid="{00000000-0005-0000-0000-0000B1520000}"/>
    <cellStyle name="Normal 3 14 13 13" xfId="21179" xr:uid="{00000000-0005-0000-0000-0000B2520000}"/>
    <cellStyle name="Normal 3 14 13 13 2" xfId="21180" xr:uid="{00000000-0005-0000-0000-0000B3520000}"/>
    <cellStyle name="Normal 3 14 13 13 3" xfId="21181" xr:uid="{00000000-0005-0000-0000-0000B4520000}"/>
    <cellStyle name="Normal 3 14 13 14" xfId="21182" xr:uid="{00000000-0005-0000-0000-0000B5520000}"/>
    <cellStyle name="Normal 3 14 13 14 2" xfId="21183" xr:uid="{00000000-0005-0000-0000-0000B6520000}"/>
    <cellStyle name="Normal 3 14 13 14 3" xfId="21184" xr:uid="{00000000-0005-0000-0000-0000B7520000}"/>
    <cellStyle name="Normal 3 14 13 15" xfId="21185" xr:uid="{00000000-0005-0000-0000-0000B8520000}"/>
    <cellStyle name="Normal 3 14 13 16" xfId="21186" xr:uid="{00000000-0005-0000-0000-0000B9520000}"/>
    <cellStyle name="Normal 3 14 13 2" xfId="21187" xr:uid="{00000000-0005-0000-0000-0000BA520000}"/>
    <cellStyle name="Normal 3 14 13 2 2" xfId="21188" xr:uid="{00000000-0005-0000-0000-0000BB520000}"/>
    <cellStyle name="Normal 3 14 13 2 3" xfId="21189" xr:uid="{00000000-0005-0000-0000-0000BC520000}"/>
    <cellStyle name="Normal 3 14 13 3" xfId="21190" xr:uid="{00000000-0005-0000-0000-0000BD520000}"/>
    <cellStyle name="Normal 3 14 13 3 2" xfId="21191" xr:uid="{00000000-0005-0000-0000-0000BE520000}"/>
    <cellStyle name="Normal 3 14 13 3 3" xfId="21192" xr:uid="{00000000-0005-0000-0000-0000BF520000}"/>
    <cellStyle name="Normal 3 14 13 4" xfId="21193" xr:uid="{00000000-0005-0000-0000-0000C0520000}"/>
    <cellStyle name="Normal 3 14 13 4 2" xfId="21194" xr:uid="{00000000-0005-0000-0000-0000C1520000}"/>
    <cellStyle name="Normal 3 14 13 4 3" xfId="21195" xr:uid="{00000000-0005-0000-0000-0000C2520000}"/>
    <cellStyle name="Normal 3 14 13 5" xfId="21196" xr:uid="{00000000-0005-0000-0000-0000C3520000}"/>
    <cellStyle name="Normal 3 14 13 5 2" xfId="21197" xr:uid="{00000000-0005-0000-0000-0000C4520000}"/>
    <cellStyle name="Normal 3 14 13 5 3" xfId="21198" xr:uid="{00000000-0005-0000-0000-0000C5520000}"/>
    <cellStyle name="Normal 3 14 13 6" xfId="21199" xr:uid="{00000000-0005-0000-0000-0000C6520000}"/>
    <cellStyle name="Normal 3 14 13 6 2" xfId="21200" xr:uid="{00000000-0005-0000-0000-0000C7520000}"/>
    <cellStyle name="Normal 3 14 13 6 3" xfId="21201" xr:uid="{00000000-0005-0000-0000-0000C8520000}"/>
    <cellStyle name="Normal 3 14 13 7" xfId="21202" xr:uid="{00000000-0005-0000-0000-0000C9520000}"/>
    <cellStyle name="Normal 3 14 13 7 2" xfId="21203" xr:uid="{00000000-0005-0000-0000-0000CA520000}"/>
    <cellStyle name="Normal 3 14 13 7 3" xfId="21204" xr:uid="{00000000-0005-0000-0000-0000CB520000}"/>
    <cellStyle name="Normal 3 14 13 8" xfId="21205" xr:uid="{00000000-0005-0000-0000-0000CC520000}"/>
    <cellStyle name="Normal 3 14 13 8 2" xfId="21206" xr:uid="{00000000-0005-0000-0000-0000CD520000}"/>
    <cellStyle name="Normal 3 14 13 8 3" xfId="21207" xr:uid="{00000000-0005-0000-0000-0000CE520000}"/>
    <cellStyle name="Normal 3 14 13 9" xfId="21208" xr:uid="{00000000-0005-0000-0000-0000CF520000}"/>
    <cellStyle name="Normal 3 14 13 9 2" xfId="21209" xr:uid="{00000000-0005-0000-0000-0000D0520000}"/>
    <cellStyle name="Normal 3 14 13 9 3" xfId="21210" xr:uid="{00000000-0005-0000-0000-0000D1520000}"/>
    <cellStyle name="Normal 3 14 14" xfId="21211" xr:uid="{00000000-0005-0000-0000-0000D2520000}"/>
    <cellStyle name="Normal 3 14 14 10" xfId="21212" xr:uid="{00000000-0005-0000-0000-0000D3520000}"/>
    <cellStyle name="Normal 3 14 14 10 2" xfId="21213" xr:uid="{00000000-0005-0000-0000-0000D4520000}"/>
    <cellStyle name="Normal 3 14 14 10 3" xfId="21214" xr:uid="{00000000-0005-0000-0000-0000D5520000}"/>
    <cellStyle name="Normal 3 14 14 11" xfId="21215" xr:uid="{00000000-0005-0000-0000-0000D6520000}"/>
    <cellStyle name="Normal 3 14 14 11 2" xfId="21216" xr:uid="{00000000-0005-0000-0000-0000D7520000}"/>
    <cellStyle name="Normal 3 14 14 11 3" xfId="21217" xr:uid="{00000000-0005-0000-0000-0000D8520000}"/>
    <cellStyle name="Normal 3 14 14 12" xfId="21218" xr:uid="{00000000-0005-0000-0000-0000D9520000}"/>
    <cellStyle name="Normal 3 14 14 12 2" xfId="21219" xr:uid="{00000000-0005-0000-0000-0000DA520000}"/>
    <cellStyle name="Normal 3 14 14 12 3" xfId="21220" xr:uid="{00000000-0005-0000-0000-0000DB520000}"/>
    <cellStyle name="Normal 3 14 14 13" xfId="21221" xr:uid="{00000000-0005-0000-0000-0000DC520000}"/>
    <cellStyle name="Normal 3 14 14 13 2" xfId="21222" xr:uid="{00000000-0005-0000-0000-0000DD520000}"/>
    <cellStyle name="Normal 3 14 14 13 3" xfId="21223" xr:uid="{00000000-0005-0000-0000-0000DE520000}"/>
    <cellStyle name="Normal 3 14 14 14" xfId="21224" xr:uid="{00000000-0005-0000-0000-0000DF520000}"/>
    <cellStyle name="Normal 3 14 14 14 2" xfId="21225" xr:uid="{00000000-0005-0000-0000-0000E0520000}"/>
    <cellStyle name="Normal 3 14 14 14 3" xfId="21226" xr:uid="{00000000-0005-0000-0000-0000E1520000}"/>
    <cellStyle name="Normal 3 14 14 15" xfId="21227" xr:uid="{00000000-0005-0000-0000-0000E2520000}"/>
    <cellStyle name="Normal 3 14 14 16" xfId="21228" xr:uid="{00000000-0005-0000-0000-0000E3520000}"/>
    <cellStyle name="Normal 3 14 14 2" xfId="21229" xr:uid="{00000000-0005-0000-0000-0000E4520000}"/>
    <cellStyle name="Normal 3 14 14 2 2" xfId="21230" xr:uid="{00000000-0005-0000-0000-0000E5520000}"/>
    <cellStyle name="Normal 3 14 14 2 3" xfId="21231" xr:uid="{00000000-0005-0000-0000-0000E6520000}"/>
    <cellStyle name="Normal 3 14 14 3" xfId="21232" xr:uid="{00000000-0005-0000-0000-0000E7520000}"/>
    <cellStyle name="Normal 3 14 14 3 2" xfId="21233" xr:uid="{00000000-0005-0000-0000-0000E8520000}"/>
    <cellStyle name="Normal 3 14 14 3 3" xfId="21234" xr:uid="{00000000-0005-0000-0000-0000E9520000}"/>
    <cellStyle name="Normal 3 14 14 4" xfId="21235" xr:uid="{00000000-0005-0000-0000-0000EA520000}"/>
    <cellStyle name="Normal 3 14 14 4 2" xfId="21236" xr:uid="{00000000-0005-0000-0000-0000EB520000}"/>
    <cellStyle name="Normal 3 14 14 4 3" xfId="21237" xr:uid="{00000000-0005-0000-0000-0000EC520000}"/>
    <cellStyle name="Normal 3 14 14 5" xfId="21238" xr:uid="{00000000-0005-0000-0000-0000ED520000}"/>
    <cellStyle name="Normal 3 14 14 5 2" xfId="21239" xr:uid="{00000000-0005-0000-0000-0000EE520000}"/>
    <cellStyle name="Normal 3 14 14 5 3" xfId="21240" xr:uid="{00000000-0005-0000-0000-0000EF520000}"/>
    <cellStyle name="Normal 3 14 14 6" xfId="21241" xr:uid="{00000000-0005-0000-0000-0000F0520000}"/>
    <cellStyle name="Normal 3 14 14 6 2" xfId="21242" xr:uid="{00000000-0005-0000-0000-0000F1520000}"/>
    <cellStyle name="Normal 3 14 14 6 3" xfId="21243" xr:uid="{00000000-0005-0000-0000-0000F2520000}"/>
    <cellStyle name="Normal 3 14 14 7" xfId="21244" xr:uid="{00000000-0005-0000-0000-0000F3520000}"/>
    <cellStyle name="Normal 3 14 14 7 2" xfId="21245" xr:uid="{00000000-0005-0000-0000-0000F4520000}"/>
    <cellStyle name="Normal 3 14 14 7 3" xfId="21246" xr:uid="{00000000-0005-0000-0000-0000F5520000}"/>
    <cellStyle name="Normal 3 14 14 8" xfId="21247" xr:uid="{00000000-0005-0000-0000-0000F6520000}"/>
    <cellStyle name="Normal 3 14 14 8 2" xfId="21248" xr:uid="{00000000-0005-0000-0000-0000F7520000}"/>
    <cellStyle name="Normal 3 14 14 8 3" xfId="21249" xr:uid="{00000000-0005-0000-0000-0000F8520000}"/>
    <cellStyle name="Normal 3 14 14 9" xfId="21250" xr:uid="{00000000-0005-0000-0000-0000F9520000}"/>
    <cellStyle name="Normal 3 14 14 9 2" xfId="21251" xr:uid="{00000000-0005-0000-0000-0000FA520000}"/>
    <cellStyle name="Normal 3 14 14 9 3" xfId="21252" xr:uid="{00000000-0005-0000-0000-0000FB520000}"/>
    <cellStyle name="Normal 3 14 15" xfId="21253" xr:uid="{00000000-0005-0000-0000-0000FC520000}"/>
    <cellStyle name="Normal 3 14 16" xfId="21254" xr:uid="{00000000-0005-0000-0000-0000FD520000}"/>
    <cellStyle name="Normal 3 14 17" xfId="21255" xr:uid="{00000000-0005-0000-0000-0000FE520000}"/>
    <cellStyle name="Normal 3 14 17 10" xfId="21256" xr:uid="{00000000-0005-0000-0000-0000FF520000}"/>
    <cellStyle name="Normal 3 14 17 10 2" xfId="21257" xr:uid="{00000000-0005-0000-0000-000000530000}"/>
    <cellStyle name="Normal 3 14 17 10 3" xfId="21258" xr:uid="{00000000-0005-0000-0000-000001530000}"/>
    <cellStyle name="Normal 3 14 17 11" xfId="21259" xr:uid="{00000000-0005-0000-0000-000002530000}"/>
    <cellStyle name="Normal 3 14 17 11 2" xfId="21260" xr:uid="{00000000-0005-0000-0000-000003530000}"/>
    <cellStyle name="Normal 3 14 17 11 3" xfId="21261" xr:uid="{00000000-0005-0000-0000-000004530000}"/>
    <cellStyle name="Normal 3 14 17 12" xfId="21262" xr:uid="{00000000-0005-0000-0000-000005530000}"/>
    <cellStyle name="Normal 3 14 17 12 2" xfId="21263" xr:uid="{00000000-0005-0000-0000-000006530000}"/>
    <cellStyle name="Normal 3 14 17 12 3" xfId="21264" xr:uid="{00000000-0005-0000-0000-000007530000}"/>
    <cellStyle name="Normal 3 14 17 13" xfId="21265" xr:uid="{00000000-0005-0000-0000-000008530000}"/>
    <cellStyle name="Normal 3 14 17 13 2" xfId="21266" xr:uid="{00000000-0005-0000-0000-000009530000}"/>
    <cellStyle name="Normal 3 14 17 13 3" xfId="21267" xr:uid="{00000000-0005-0000-0000-00000A530000}"/>
    <cellStyle name="Normal 3 14 17 14" xfId="21268" xr:uid="{00000000-0005-0000-0000-00000B530000}"/>
    <cellStyle name="Normal 3 14 17 14 2" xfId="21269" xr:uid="{00000000-0005-0000-0000-00000C530000}"/>
    <cellStyle name="Normal 3 14 17 14 3" xfId="21270" xr:uid="{00000000-0005-0000-0000-00000D530000}"/>
    <cellStyle name="Normal 3 14 17 15" xfId="21271" xr:uid="{00000000-0005-0000-0000-00000E530000}"/>
    <cellStyle name="Normal 3 14 17 16" xfId="21272" xr:uid="{00000000-0005-0000-0000-00000F530000}"/>
    <cellStyle name="Normal 3 14 17 2" xfId="21273" xr:uid="{00000000-0005-0000-0000-000010530000}"/>
    <cellStyle name="Normal 3 14 17 2 2" xfId="21274" xr:uid="{00000000-0005-0000-0000-000011530000}"/>
    <cellStyle name="Normal 3 14 17 2 3" xfId="21275" xr:uid="{00000000-0005-0000-0000-000012530000}"/>
    <cellStyle name="Normal 3 14 17 3" xfId="21276" xr:uid="{00000000-0005-0000-0000-000013530000}"/>
    <cellStyle name="Normal 3 14 17 3 2" xfId="21277" xr:uid="{00000000-0005-0000-0000-000014530000}"/>
    <cellStyle name="Normal 3 14 17 3 3" xfId="21278" xr:uid="{00000000-0005-0000-0000-000015530000}"/>
    <cellStyle name="Normal 3 14 17 4" xfId="21279" xr:uid="{00000000-0005-0000-0000-000016530000}"/>
    <cellStyle name="Normal 3 14 17 4 2" xfId="21280" xr:uid="{00000000-0005-0000-0000-000017530000}"/>
    <cellStyle name="Normal 3 14 17 4 3" xfId="21281" xr:uid="{00000000-0005-0000-0000-000018530000}"/>
    <cellStyle name="Normal 3 14 17 5" xfId="21282" xr:uid="{00000000-0005-0000-0000-000019530000}"/>
    <cellStyle name="Normal 3 14 17 5 2" xfId="21283" xr:uid="{00000000-0005-0000-0000-00001A530000}"/>
    <cellStyle name="Normal 3 14 17 5 3" xfId="21284" xr:uid="{00000000-0005-0000-0000-00001B530000}"/>
    <cellStyle name="Normal 3 14 17 6" xfId="21285" xr:uid="{00000000-0005-0000-0000-00001C530000}"/>
    <cellStyle name="Normal 3 14 17 6 2" xfId="21286" xr:uid="{00000000-0005-0000-0000-00001D530000}"/>
    <cellStyle name="Normal 3 14 17 6 3" xfId="21287" xr:uid="{00000000-0005-0000-0000-00001E530000}"/>
    <cellStyle name="Normal 3 14 17 7" xfId="21288" xr:uid="{00000000-0005-0000-0000-00001F530000}"/>
    <cellStyle name="Normal 3 14 17 7 2" xfId="21289" xr:uid="{00000000-0005-0000-0000-000020530000}"/>
    <cellStyle name="Normal 3 14 17 7 3" xfId="21290" xr:uid="{00000000-0005-0000-0000-000021530000}"/>
    <cellStyle name="Normal 3 14 17 8" xfId="21291" xr:uid="{00000000-0005-0000-0000-000022530000}"/>
    <cellStyle name="Normal 3 14 17 8 2" xfId="21292" xr:uid="{00000000-0005-0000-0000-000023530000}"/>
    <cellStyle name="Normal 3 14 17 8 3" xfId="21293" xr:uid="{00000000-0005-0000-0000-000024530000}"/>
    <cellStyle name="Normal 3 14 17 9" xfId="21294" xr:uid="{00000000-0005-0000-0000-000025530000}"/>
    <cellStyle name="Normal 3 14 17 9 2" xfId="21295" xr:uid="{00000000-0005-0000-0000-000026530000}"/>
    <cellStyle name="Normal 3 14 17 9 3" xfId="21296" xr:uid="{00000000-0005-0000-0000-000027530000}"/>
    <cellStyle name="Normal 3 14 18" xfId="21297" xr:uid="{00000000-0005-0000-0000-000028530000}"/>
    <cellStyle name="Normal 3 14 18 10" xfId="21298" xr:uid="{00000000-0005-0000-0000-000029530000}"/>
    <cellStyle name="Normal 3 14 18 10 2" xfId="21299" xr:uid="{00000000-0005-0000-0000-00002A530000}"/>
    <cellStyle name="Normal 3 14 18 10 3" xfId="21300" xr:uid="{00000000-0005-0000-0000-00002B530000}"/>
    <cellStyle name="Normal 3 14 18 11" xfId="21301" xr:uid="{00000000-0005-0000-0000-00002C530000}"/>
    <cellStyle name="Normal 3 14 18 11 2" xfId="21302" xr:uid="{00000000-0005-0000-0000-00002D530000}"/>
    <cellStyle name="Normal 3 14 18 11 3" xfId="21303" xr:uid="{00000000-0005-0000-0000-00002E530000}"/>
    <cellStyle name="Normal 3 14 18 12" xfId="21304" xr:uid="{00000000-0005-0000-0000-00002F530000}"/>
    <cellStyle name="Normal 3 14 18 12 2" xfId="21305" xr:uid="{00000000-0005-0000-0000-000030530000}"/>
    <cellStyle name="Normal 3 14 18 12 3" xfId="21306" xr:uid="{00000000-0005-0000-0000-000031530000}"/>
    <cellStyle name="Normal 3 14 18 13" xfId="21307" xr:uid="{00000000-0005-0000-0000-000032530000}"/>
    <cellStyle name="Normal 3 14 18 13 2" xfId="21308" xr:uid="{00000000-0005-0000-0000-000033530000}"/>
    <cellStyle name="Normal 3 14 18 13 3" xfId="21309" xr:uid="{00000000-0005-0000-0000-000034530000}"/>
    <cellStyle name="Normal 3 14 18 14" xfId="21310" xr:uid="{00000000-0005-0000-0000-000035530000}"/>
    <cellStyle name="Normal 3 14 18 14 2" xfId="21311" xr:uid="{00000000-0005-0000-0000-000036530000}"/>
    <cellStyle name="Normal 3 14 18 14 3" xfId="21312" xr:uid="{00000000-0005-0000-0000-000037530000}"/>
    <cellStyle name="Normal 3 14 18 15" xfId="21313" xr:uid="{00000000-0005-0000-0000-000038530000}"/>
    <cellStyle name="Normal 3 14 18 16" xfId="21314" xr:uid="{00000000-0005-0000-0000-000039530000}"/>
    <cellStyle name="Normal 3 14 18 2" xfId="21315" xr:uid="{00000000-0005-0000-0000-00003A530000}"/>
    <cellStyle name="Normal 3 14 18 2 2" xfId="21316" xr:uid="{00000000-0005-0000-0000-00003B530000}"/>
    <cellStyle name="Normal 3 14 18 2 3" xfId="21317" xr:uid="{00000000-0005-0000-0000-00003C530000}"/>
    <cellStyle name="Normal 3 14 18 3" xfId="21318" xr:uid="{00000000-0005-0000-0000-00003D530000}"/>
    <cellStyle name="Normal 3 14 18 3 2" xfId="21319" xr:uid="{00000000-0005-0000-0000-00003E530000}"/>
    <cellStyle name="Normal 3 14 18 3 3" xfId="21320" xr:uid="{00000000-0005-0000-0000-00003F530000}"/>
    <cellStyle name="Normal 3 14 18 4" xfId="21321" xr:uid="{00000000-0005-0000-0000-000040530000}"/>
    <cellStyle name="Normal 3 14 18 4 2" xfId="21322" xr:uid="{00000000-0005-0000-0000-000041530000}"/>
    <cellStyle name="Normal 3 14 18 4 3" xfId="21323" xr:uid="{00000000-0005-0000-0000-000042530000}"/>
    <cellStyle name="Normal 3 14 18 5" xfId="21324" xr:uid="{00000000-0005-0000-0000-000043530000}"/>
    <cellStyle name="Normal 3 14 18 5 2" xfId="21325" xr:uid="{00000000-0005-0000-0000-000044530000}"/>
    <cellStyle name="Normal 3 14 18 5 3" xfId="21326" xr:uid="{00000000-0005-0000-0000-000045530000}"/>
    <cellStyle name="Normal 3 14 18 6" xfId="21327" xr:uid="{00000000-0005-0000-0000-000046530000}"/>
    <cellStyle name="Normal 3 14 18 6 2" xfId="21328" xr:uid="{00000000-0005-0000-0000-000047530000}"/>
    <cellStyle name="Normal 3 14 18 6 3" xfId="21329" xr:uid="{00000000-0005-0000-0000-000048530000}"/>
    <cellStyle name="Normal 3 14 18 7" xfId="21330" xr:uid="{00000000-0005-0000-0000-000049530000}"/>
    <cellStyle name="Normal 3 14 18 7 2" xfId="21331" xr:uid="{00000000-0005-0000-0000-00004A530000}"/>
    <cellStyle name="Normal 3 14 18 7 3" xfId="21332" xr:uid="{00000000-0005-0000-0000-00004B530000}"/>
    <cellStyle name="Normal 3 14 18 8" xfId="21333" xr:uid="{00000000-0005-0000-0000-00004C530000}"/>
    <cellStyle name="Normal 3 14 18 8 2" xfId="21334" xr:uid="{00000000-0005-0000-0000-00004D530000}"/>
    <cellStyle name="Normal 3 14 18 8 3" xfId="21335" xr:uid="{00000000-0005-0000-0000-00004E530000}"/>
    <cellStyle name="Normal 3 14 18 9" xfId="21336" xr:uid="{00000000-0005-0000-0000-00004F530000}"/>
    <cellStyle name="Normal 3 14 18 9 2" xfId="21337" xr:uid="{00000000-0005-0000-0000-000050530000}"/>
    <cellStyle name="Normal 3 14 18 9 3" xfId="21338" xr:uid="{00000000-0005-0000-0000-000051530000}"/>
    <cellStyle name="Normal 3 14 2" xfId="21339" xr:uid="{00000000-0005-0000-0000-000052530000}"/>
    <cellStyle name="Normal 3 14 2 10" xfId="21340" xr:uid="{00000000-0005-0000-0000-000053530000}"/>
    <cellStyle name="Normal 3 14 2 10 2" xfId="21341" xr:uid="{00000000-0005-0000-0000-000054530000}"/>
    <cellStyle name="Normal 3 14 2 10 3" xfId="21342" xr:uid="{00000000-0005-0000-0000-000055530000}"/>
    <cellStyle name="Normal 3 14 2 11" xfId="21343" xr:uid="{00000000-0005-0000-0000-000056530000}"/>
    <cellStyle name="Normal 3 14 2 11 2" xfId="21344" xr:uid="{00000000-0005-0000-0000-000057530000}"/>
    <cellStyle name="Normal 3 14 2 11 3" xfId="21345" xr:uid="{00000000-0005-0000-0000-000058530000}"/>
    <cellStyle name="Normal 3 14 2 12" xfId="21346" xr:uid="{00000000-0005-0000-0000-000059530000}"/>
    <cellStyle name="Normal 3 14 2 12 2" xfId="21347" xr:uid="{00000000-0005-0000-0000-00005A530000}"/>
    <cellStyle name="Normal 3 14 2 12 3" xfId="21348" xr:uid="{00000000-0005-0000-0000-00005B530000}"/>
    <cellStyle name="Normal 3 14 2 13" xfId="21349" xr:uid="{00000000-0005-0000-0000-00005C530000}"/>
    <cellStyle name="Normal 3 14 2 13 2" xfId="21350" xr:uid="{00000000-0005-0000-0000-00005D530000}"/>
    <cellStyle name="Normal 3 14 2 13 3" xfId="21351" xr:uid="{00000000-0005-0000-0000-00005E530000}"/>
    <cellStyle name="Normal 3 14 2 14" xfId="21352" xr:uid="{00000000-0005-0000-0000-00005F530000}"/>
    <cellStyle name="Normal 3 14 2 14 2" xfId="21353" xr:uid="{00000000-0005-0000-0000-000060530000}"/>
    <cellStyle name="Normal 3 14 2 14 3" xfId="21354" xr:uid="{00000000-0005-0000-0000-000061530000}"/>
    <cellStyle name="Normal 3 14 2 15" xfId="21355" xr:uid="{00000000-0005-0000-0000-000062530000}"/>
    <cellStyle name="Normal 3 14 2 15 2" xfId="21356" xr:uid="{00000000-0005-0000-0000-000063530000}"/>
    <cellStyle name="Normal 3 14 2 15 3" xfId="21357" xr:uid="{00000000-0005-0000-0000-000064530000}"/>
    <cellStyle name="Normal 3 14 2 16" xfId="21358" xr:uid="{00000000-0005-0000-0000-000065530000}"/>
    <cellStyle name="Normal 3 14 2 16 2" xfId="21359" xr:uid="{00000000-0005-0000-0000-000066530000}"/>
    <cellStyle name="Normal 3 14 2 16 3" xfId="21360" xr:uid="{00000000-0005-0000-0000-000067530000}"/>
    <cellStyle name="Normal 3 14 2 17" xfId="21361" xr:uid="{00000000-0005-0000-0000-000068530000}"/>
    <cellStyle name="Normal 3 14 2 17 2" xfId="21362" xr:uid="{00000000-0005-0000-0000-000069530000}"/>
    <cellStyle name="Normal 3 14 2 17 3" xfId="21363" xr:uid="{00000000-0005-0000-0000-00006A530000}"/>
    <cellStyle name="Normal 3 14 2 18" xfId="21364" xr:uid="{00000000-0005-0000-0000-00006B530000}"/>
    <cellStyle name="Normal 3 14 2 19" xfId="21365" xr:uid="{00000000-0005-0000-0000-00006C530000}"/>
    <cellStyle name="Normal 3 14 2 2" xfId="21366" xr:uid="{00000000-0005-0000-0000-00006D530000}"/>
    <cellStyle name="Normal 3 14 2 3" xfId="21367" xr:uid="{00000000-0005-0000-0000-00006E530000}"/>
    <cellStyle name="Normal 3 14 2 4" xfId="21368" xr:uid="{00000000-0005-0000-0000-00006F530000}"/>
    <cellStyle name="Normal 3 14 2 5" xfId="21369" xr:uid="{00000000-0005-0000-0000-000070530000}"/>
    <cellStyle name="Normal 3 14 2 5 2" xfId="21370" xr:uid="{00000000-0005-0000-0000-000071530000}"/>
    <cellStyle name="Normal 3 14 2 5 3" xfId="21371" xr:uid="{00000000-0005-0000-0000-000072530000}"/>
    <cellStyle name="Normal 3 14 2 6" xfId="21372" xr:uid="{00000000-0005-0000-0000-000073530000}"/>
    <cellStyle name="Normal 3 14 2 6 2" xfId="21373" xr:uid="{00000000-0005-0000-0000-000074530000}"/>
    <cellStyle name="Normal 3 14 2 6 3" xfId="21374" xr:uid="{00000000-0005-0000-0000-000075530000}"/>
    <cellStyle name="Normal 3 14 2 7" xfId="21375" xr:uid="{00000000-0005-0000-0000-000076530000}"/>
    <cellStyle name="Normal 3 14 2 7 2" xfId="21376" xr:uid="{00000000-0005-0000-0000-000077530000}"/>
    <cellStyle name="Normal 3 14 2 7 3" xfId="21377" xr:uid="{00000000-0005-0000-0000-000078530000}"/>
    <cellStyle name="Normal 3 14 2 8" xfId="21378" xr:uid="{00000000-0005-0000-0000-000079530000}"/>
    <cellStyle name="Normal 3 14 2 8 2" xfId="21379" xr:uid="{00000000-0005-0000-0000-00007A530000}"/>
    <cellStyle name="Normal 3 14 2 8 3" xfId="21380" xr:uid="{00000000-0005-0000-0000-00007B530000}"/>
    <cellStyle name="Normal 3 14 2 9" xfId="21381" xr:uid="{00000000-0005-0000-0000-00007C530000}"/>
    <cellStyle name="Normal 3 14 2 9 2" xfId="21382" xr:uid="{00000000-0005-0000-0000-00007D530000}"/>
    <cellStyle name="Normal 3 14 2 9 3" xfId="21383" xr:uid="{00000000-0005-0000-0000-00007E530000}"/>
    <cellStyle name="Normal 3 14 3" xfId="21384" xr:uid="{00000000-0005-0000-0000-00007F530000}"/>
    <cellStyle name="Normal 3 14 4" xfId="21385" xr:uid="{00000000-0005-0000-0000-000080530000}"/>
    <cellStyle name="Normal 3 14 5" xfId="21386" xr:uid="{00000000-0005-0000-0000-000081530000}"/>
    <cellStyle name="Normal 3 14 6" xfId="21387" xr:uid="{00000000-0005-0000-0000-000082530000}"/>
    <cellStyle name="Normal 3 14 6 10" xfId="21388" xr:uid="{00000000-0005-0000-0000-000083530000}"/>
    <cellStyle name="Normal 3 14 6 10 2" xfId="21389" xr:uid="{00000000-0005-0000-0000-000084530000}"/>
    <cellStyle name="Normal 3 14 6 10 3" xfId="21390" xr:uid="{00000000-0005-0000-0000-000085530000}"/>
    <cellStyle name="Normal 3 14 6 11" xfId="21391" xr:uid="{00000000-0005-0000-0000-000086530000}"/>
    <cellStyle name="Normal 3 14 6 11 2" xfId="21392" xr:uid="{00000000-0005-0000-0000-000087530000}"/>
    <cellStyle name="Normal 3 14 6 11 3" xfId="21393" xr:uid="{00000000-0005-0000-0000-000088530000}"/>
    <cellStyle name="Normal 3 14 6 12" xfId="21394" xr:uid="{00000000-0005-0000-0000-000089530000}"/>
    <cellStyle name="Normal 3 14 6 12 2" xfId="21395" xr:uid="{00000000-0005-0000-0000-00008A530000}"/>
    <cellStyle name="Normal 3 14 6 12 3" xfId="21396" xr:uid="{00000000-0005-0000-0000-00008B530000}"/>
    <cellStyle name="Normal 3 14 6 13" xfId="21397" xr:uid="{00000000-0005-0000-0000-00008C530000}"/>
    <cellStyle name="Normal 3 14 6 13 2" xfId="21398" xr:uid="{00000000-0005-0000-0000-00008D530000}"/>
    <cellStyle name="Normal 3 14 6 13 3" xfId="21399" xr:uid="{00000000-0005-0000-0000-00008E530000}"/>
    <cellStyle name="Normal 3 14 6 14" xfId="21400" xr:uid="{00000000-0005-0000-0000-00008F530000}"/>
    <cellStyle name="Normal 3 14 6 14 2" xfId="21401" xr:uid="{00000000-0005-0000-0000-000090530000}"/>
    <cellStyle name="Normal 3 14 6 14 3" xfId="21402" xr:uid="{00000000-0005-0000-0000-000091530000}"/>
    <cellStyle name="Normal 3 14 6 15" xfId="21403" xr:uid="{00000000-0005-0000-0000-000092530000}"/>
    <cellStyle name="Normal 3 14 6 15 2" xfId="21404" xr:uid="{00000000-0005-0000-0000-000093530000}"/>
    <cellStyle name="Normal 3 14 6 15 3" xfId="21405" xr:uid="{00000000-0005-0000-0000-000094530000}"/>
    <cellStyle name="Normal 3 14 6 16" xfId="21406" xr:uid="{00000000-0005-0000-0000-000095530000}"/>
    <cellStyle name="Normal 3 14 6 17" xfId="21407" xr:uid="{00000000-0005-0000-0000-000096530000}"/>
    <cellStyle name="Normal 3 14 6 2" xfId="21408" xr:uid="{00000000-0005-0000-0000-000097530000}"/>
    <cellStyle name="Normal 3 14 6 2 10" xfId="21409" xr:uid="{00000000-0005-0000-0000-000098530000}"/>
    <cellStyle name="Normal 3 14 6 2 10 2" xfId="21410" xr:uid="{00000000-0005-0000-0000-000099530000}"/>
    <cellStyle name="Normal 3 14 6 2 10 3" xfId="21411" xr:uid="{00000000-0005-0000-0000-00009A530000}"/>
    <cellStyle name="Normal 3 14 6 2 11" xfId="21412" xr:uid="{00000000-0005-0000-0000-00009B530000}"/>
    <cellStyle name="Normal 3 14 6 2 11 2" xfId="21413" xr:uid="{00000000-0005-0000-0000-00009C530000}"/>
    <cellStyle name="Normal 3 14 6 2 11 3" xfId="21414" xr:uid="{00000000-0005-0000-0000-00009D530000}"/>
    <cellStyle name="Normal 3 14 6 2 12" xfId="21415" xr:uid="{00000000-0005-0000-0000-00009E530000}"/>
    <cellStyle name="Normal 3 14 6 2 12 2" xfId="21416" xr:uid="{00000000-0005-0000-0000-00009F530000}"/>
    <cellStyle name="Normal 3 14 6 2 12 3" xfId="21417" xr:uid="{00000000-0005-0000-0000-0000A0530000}"/>
    <cellStyle name="Normal 3 14 6 2 13" xfId="21418" xr:uid="{00000000-0005-0000-0000-0000A1530000}"/>
    <cellStyle name="Normal 3 14 6 2 13 2" xfId="21419" xr:uid="{00000000-0005-0000-0000-0000A2530000}"/>
    <cellStyle name="Normal 3 14 6 2 13 3" xfId="21420" xr:uid="{00000000-0005-0000-0000-0000A3530000}"/>
    <cellStyle name="Normal 3 14 6 2 14" xfId="21421" xr:uid="{00000000-0005-0000-0000-0000A4530000}"/>
    <cellStyle name="Normal 3 14 6 2 14 2" xfId="21422" xr:uid="{00000000-0005-0000-0000-0000A5530000}"/>
    <cellStyle name="Normal 3 14 6 2 14 3" xfId="21423" xr:uid="{00000000-0005-0000-0000-0000A6530000}"/>
    <cellStyle name="Normal 3 14 6 2 15" xfId="21424" xr:uid="{00000000-0005-0000-0000-0000A7530000}"/>
    <cellStyle name="Normal 3 14 6 2 16" xfId="21425" xr:uid="{00000000-0005-0000-0000-0000A8530000}"/>
    <cellStyle name="Normal 3 14 6 2 2" xfId="21426" xr:uid="{00000000-0005-0000-0000-0000A9530000}"/>
    <cellStyle name="Normal 3 14 6 2 2 2" xfId="21427" xr:uid="{00000000-0005-0000-0000-0000AA530000}"/>
    <cellStyle name="Normal 3 14 6 2 2 3" xfId="21428" xr:uid="{00000000-0005-0000-0000-0000AB530000}"/>
    <cellStyle name="Normal 3 14 6 2 3" xfId="21429" xr:uid="{00000000-0005-0000-0000-0000AC530000}"/>
    <cellStyle name="Normal 3 14 6 2 3 2" xfId="21430" xr:uid="{00000000-0005-0000-0000-0000AD530000}"/>
    <cellStyle name="Normal 3 14 6 2 3 3" xfId="21431" xr:uid="{00000000-0005-0000-0000-0000AE530000}"/>
    <cellStyle name="Normal 3 14 6 2 4" xfId="21432" xr:uid="{00000000-0005-0000-0000-0000AF530000}"/>
    <cellStyle name="Normal 3 14 6 2 4 2" xfId="21433" xr:uid="{00000000-0005-0000-0000-0000B0530000}"/>
    <cellStyle name="Normal 3 14 6 2 4 3" xfId="21434" xr:uid="{00000000-0005-0000-0000-0000B1530000}"/>
    <cellStyle name="Normal 3 14 6 2 5" xfId="21435" xr:uid="{00000000-0005-0000-0000-0000B2530000}"/>
    <cellStyle name="Normal 3 14 6 2 5 2" xfId="21436" xr:uid="{00000000-0005-0000-0000-0000B3530000}"/>
    <cellStyle name="Normal 3 14 6 2 5 3" xfId="21437" xr:uid="{00000000-0005-0000-0000-0000B4530000}"/>
    <cellStyle name="Normal 3 14 6 2 6" xfId="21438" xr:uid="{00000000-0005-0000-0000-0000B5530000}"/>
    <cellStyle name="Normal 3 14 6 2 6 2" xfId="21439" xr:uid="{00000000-0005-0000-0000-0000B6530000}"/>
    <cellStyle name="Normal 3 14 6 2 6 3" xfId="21440" xr:uid="{00000000-0005-0000-0000-0000B7530000}"/>
    <cellStyle name="Normal 3 14 6 2 7" xfId="21441" xr:uid="{00000000-0005-0000-0000-0000B8530000}"/>
    <cellStyle name="Normal 3 14 6 2 7 2" xfId="21442" xr:uid="{00000000-0005-0000-0000-0000B9530000}"/>
    <cellStyle name="Normal 3 14 6 2 7 3" xfId="21443" xr:uid="{00000000-0005-0000-0000-0000BA530000}"/>
    <cellStyle name="Normal 3 14 6 2 8" xfId="21444" xr:uid="{00000000-0005-0000-0000-0000BB530000}"/>
    <cellStyle name="Normal 3 14 6 2 8 2" xfId="21445" xr:uid="{00000000-0005-0000-0000-0000BC530000}"/>
    <cellStyle name="Normal 3 14 6 2 8 3" xfId="21446" xr:uid="{00000000-0005-0000-0000-0000BD530000}"/>
    <cellStyle name="Normal 3 14 6 2 9" xfId="21447" xr:uid="{00000000-0005-0000-0000-0000BE530000}"/>
    <cellStyle name="Normal 3 14 6 2 9 2" xfId="21448" xr:uid="{00000000-0005-0000-0000-0000BF530000}"/>
    <cellStyle name="Normal 3 14 6 2 9 3" xfId="21449" xr:uid="{00000000-0005-0000-0000-0000C0530000}"/>
    <cellStyle name="Normal 3 14 6 3" xfId="21450" xr:uid="{00000000-0005-0000-0000-0000C1530000}"/>
    <cellStyle name="Normal 3 14 6 3 2" xfId="21451" xr:uid="{00000000-0005-0000-0000-0000C2530000}"/>
    <cellStyle name="Normal 3 14 6 3 3" xfId="21452" xr:uid="{00000000-0005-0000-0000-0000C3530000}"/>
    <cellStyle name="Normal 3 14 6 4" xfId="21453" xr:uid="{00000000-0005-0000-0000-0000C4530000}"/>
    <cellStyle name="Normal 3 14 6 4 2" xfId="21454" xr:uid="{00000000-0005-0000-0000-0000C5530000}"/>
    <cellStyle name="Normal 3 14 6 4 3" xfId="21455" xr:uid="{00000000-0005-0000-0000-0000C6530000}"/>
    <cellStyle name="Normal 3 14 6 5" xfId="21456" xr:uid="{00000000-0005-0000-0000-0000C7530000}"/>
    <cellStyle name="Normal 3 14 6 5 2" xfId="21457" xr:uid="{00000000-0005-0000-0000-0000C8530000}"/>
    <cellStyle name="Normal 3 14 6 5 3" xfId="21458" xr:uid="{00000000-0005-0000-0000-0000C9530000}"/>
    <cellStyle name="Normal 3 14 6 6" xfId="21459" xr:uid="{00000000-0005-0000-0000-0000CA530000}"/>
    <cellStyle name="Normal 3 14 6 6 2" xfId="21460" xr:uid="{00000000-0005-0000-0000-0000CB530000}"/>
    <cellStyle name="Normal 3 14 6 6 3" xfId="21461" xr:uid="{00000000-0005-0000-0000-0000CC530000}"/>
    <cellStyle name="Normal 3 14 6 7" xfId="21462" xr:uid="{00000000-0005-0000-0000-0000CD530000}"/>
    <cellStyle name="Normal 3 14 6 7 2" xfId="21463" xr:uid="{00000000-0005-0000-0000-0000CE530000}"/>
    <cellStyle name="Normal 3 14 6 7 3" xfId="21464" xr:uid="{00000000-0005-0000-0000-0000CF530000}"/>
    <cellStyle name="Normal 3 14 6 8" xfId="21465" xr:uid="{00000000-0005-0000-0000-0000D0530000}"/>
    <cellStyle name="Normal 3 14 6 8 2" xfId="21466" xr:uid="{00000000-0005-0000-0000-0000D1530000}"/>
    <cellStyle name="Normal 3 14 6 8 3" xfId="21467" xr:uid="{00000000-0005-0000-0000-0000D2530000}"/>
    <cellStyle name="Normal 3 14 6 9" xfId="21468" xr:uid="{00000000-0005-0000-0000-0000D3530000}"/>
    <cellStyle name="Normal 3 14 6 9 2" xfId="21469" xr:uid="{00000000-0005-0000-0000-0000D4530000}"/>
    <cellStyle name="Normal 3 14 6 9 3" xfId="21470" xr:uid="{00000000-0005-0000-0000-0000D5530000}"/>
    <cellStyle name="Normal 3 14 7" xfId="21471" xr:uid="{00000000-0005-0000-0000-0000D6530000}"/>
    <cellStyle name="Normal 3 14 7 10" xfId="21472" xr:uid="{00000000-0005-0000-0000-0000D7530000}"/>
    <cellStyle name="Normal 3 14 7 10 2" xfId="21473" xr:uid="{00000000-0005-0000-0000-0000D8530000}"/>
    <cellStyle name="Normal 3 14 7 10 3" xfId="21474" xr:uid="{00000000-0005-0000-0000-0000D9530000}"/>
    <cellStyle name="Normal 3 14 7 11" xfId="21475" xr:uid="{00000000-0005-0000-0000-0000DA530000}"/>
    <cellStyle name="Normal 3 14 7 11 2" xfId="21476" xr:uid="{00000000-0005-0000-0000-0000DB530000}"/>
    <cellStyle name="Normal 3 14 7 11 3" xfId="21477" xr:uid="{00000000-0005-0000-0000-0000DC530000}"/>
    <cellStyle name="Normal 3 14 7 12" xfId="21478" xr:uid="{00000000-0005-0000-0000-0000DD530000}"/>
    <cellStyle name="Normal 3 14 7 12 2" xfId="21479" xr:uid="{00000000-0005-0000-0000-0000DE530000}"/>
    <cellStyle name="Normal 3 14 7 12 3" xfId="21480" xr:uid="{00000000-0005-0000-0000-0000DF530000}"/>
    <cellStyle name="Normal 3 14 7 13" xfId="21481" xr:uid="{00000000-0005-0000-0000-0000E0530000}"/>
    <cellStyle name="Normal 3 14 7 13 2" xfId="21482" xr:uid="{00000000-0005-0000-0000-0000E1530000}"/>
    <cellStyle name="Normal 3 14 7 13 3" xfId="21483" xr:uid="{00000000-0005-0000-0000-0000E2530000}"/>
    <cellStyle name="Normal 3 14 7 14" xfId="21484" xr:uid="{00000000-0005-0000-0000-0000E3530000}"/>
    <cellStyle name="Normal 3 14 7 14 2" xfId="21485" xr:uid="{00000000-0005-0000-0000-0000E4530000}"/>
    <cellStyle name="Normal 3 14 7 14 3" xfId="21486" xr:uid="{00000000-0005-0000-0000-0000E5530000}"/>
    <cellStyle name="Normal 3 14 7 15" xfId="21487" xr:uid="{00000000-0005-0000-0000-0000E6530000}"/>
    <cellStyle name="Normal 3 14 7 15 2" xfId="21488" xr:uid="{00000000-0005-0000-0000-0000E7530000}"/>
    <cellStyle name="Normal 3 14 7 15 3" xfId="21489" xr:uid="{00000000-0005-0000-0000-0000E8530000}"/>
    <cellStyle name="Normal 3 14 7 16" xfId="21490" xr:uid="{00000000-0005-0000-0000-0000E9530000}"/>
    <cellStyle name="Normal 3 14 7 17" xfId="21491" xr:uid="{00000000-0005-0000-0000-0000EA530000}"/>
    <cellStyle name="Normal 3 14 7 2" xfId="21492" xr:uid="{00000000-0005-0000-0000-0000EB530000}"/>
    <cellStyle name="Normal 3 14 7 2 10" xfId="21493" xr:uid="{00000000-0005-0000-0000-0000EC530000}"/>
    <cellStyle name="Normal 3 14 7 2 10 2" xfId="21494" xr:uid="{00000000-0005-0000-0000-0000ED530000}"/>
    <cellStyle name="Normal 3 14 7 2 10 3" xfId="21495" xr:uid="{00000000-0005-0000-0000-0000EE530000}"/>
    <cellStyle name="Normal 3 14 7 2 11" xfId="21496" xr:uid="{00000000-0005-0000-0000-0000EF530000}"/>
    <cellStyle name="Normal 3 14 7 2 11 2" xfId="21497" xr:uid="{00000000-0005-0000-0000-0000F0530000}"/>
    <cellStyle name="Normal 3 14 7 2 11 3" xfId="21498" xr:uid="{00000000-0005-0000-0000-0000F1530000}"/>
    <cellStyle name="Normal 3 14 7 2 12" xfId="21499" xr:uid="{00000000-0005-0000-0000-0000F2530000}"/>
    <cellStyle name="Normal 3 14 7 2 12 2" xfId="21500" xr:uid="{00000000-0005-0000-0000-0000F3530000}"/>
    <cellStyle name="Normal 3 14 7 2 12 3" xfId="21501" xr:uid="{00000000-0005-0000-0000-0000F4530000}"/>
    <cellStyle name="Normal 3 14 7 2 13" xfId="21502" xr:uid="{00000000-0005-0000-0000-0000F5530000}"/>
    <cellStyle name="Normal 3 14 7 2 13 2" xfId="21503" xr:uid="{00000000-0005-0000-0000-0000F6530000}"/>
    <cellStyle name="Normal 3 14 7 2 13 3" xfId="21504" xr:uid="{00000000-0005-0000-0000-0000F7530000}"/>
    <cellStyle name="Normal 3 14 7 2 14" xfId="21505" xr:uid="{00000000-0005-0000-0000-0000F8530000}"/>
    <cellStyle name="Normal 3 14 7 2 14 2" xfId="21506" xr:uid="{00000000-0005-0000-0000-0000F9530000}"/>
    <cellStyle name="Normal 3 14 7 2 14 3" xfId="21507" xr:uid="{00000000-0005-0000-0000-0000FA530000}"/>
    <cellStyle name="Normal 3 14 7 2 15" xfId="21508" xr:uid="{00000000-0005-0000-0000-0000FB530000}"/>
    <cellStyle name="Normal 3 14 7 2 16" xfId="21509" xr:uid="{00000000-0005-0000-0000-0000FC530000}"/>
    <cellStyle name="Normal 3 14 7 2 2" xfId="21510" xr:uid="{00000000-0005-0000-0000-0000FD530000}"/>
    <cellStyle name="Normal 3 14 7 2 2 2" xfId="21511" xr:uid="{00000000-0005-0000-0000-0000FE530000}"/>
    <cellStyle name="Normal 3 14 7 2 2 3" xfId="21512" xr:uid="{00000000-0005-0000-0000-0000FF530000}"/>
    <cellStyle name="Normal 3 14 7 2 3" xfId="21513" xr:uid="{00000000-0005-0000-0000-000000540000}"/>
    <cellStyle name="Normal 3 14 7 2 3 2" xfId="21514" xr:uid="{00000000-0005-0000-0000-000001540000}"/>
    <cellStyle name="Normal 3 14 7 2 3 3" xfId="21515" xr:uid="{00000000-0005-0000-0000-000002540000}"/>
    <cellStyle name="Normal 3 14 7 2 4" xfId="21516" xr:uid="{00000000-0005-0000-0000-000003540000}"/>
    <cellStyle name="Normal 3 14 7 2 4 2" xfId="21517" xr:uid="{00000000-0005-0000-0000-000004540000}"/>
    <cellStyle name="Normal 3 14 7 2 4 3" xfId="21518" xr:uid="{00000000-0005-0000-0000-000005540000}"/>
    <cellStyle name="Normal 3 14 7 2 5" xfId="21519" xr:uid="{00000000-0005-0000-0000-000006540000}"/>
    <cellStyle name="Normal 3 14 7 2 5 2" xfId="21520" xr:uid="{00000000-0005-0000-0000-000007540000}"/>
    <cellStyle name="Normal 3 14 7 2 5 3" xfId="21521" xr:uid="{00000000-0005-0000-0000-000008540000}"/>
    <cellStyle name="Normal 3 14 7 2 6" xfId="21522" xr:uid="{00000000-0005-0000-0000-000009540000}"/>
    <cellStyle name="Normal 3 14 7 2 6 2" xfId="21523" xr:uid="{00000000-0005-0000-0000-00000A540000}"/>
    <cellStyle name="Normal 3 14 7 2 6 3" xfId="21524" xr:uid="{00000000-0005-0000-0000-00000B540000}"/>
    <cellStyle name="Normal 3 14 7 2 7" xfId="21525" xr:uid="{00000000-0005-0000-0000-00000C540000}"/>
    <cellStyle name="Normal 3 14 7 2 7 2" xfId="21526" xr:uid="{00000000-0005-0000-0000-00000D540000}"/>
    <cellStyle name="Normal 3 14 7 2 7 3" xfId="21527" xr:uid="{00000000-0005-0000-0000-00000E540000}"/>
    <cellStyle name="Normal 3 14 7 2 8" xfId="21528" xr:uid="{00000000-0005-0000-0000-00000F540000}"/>
    <cellStyle name="Normal 3 14 7 2 8 2" xfId="21529" xr:uid="{00000000-0005-0000-0000-000010540000}"/>
    <cellStyle name="Normal 3 14 7 2 8 3" xfId="21530" xr:uid="{00000000-0005-0000-0000-000011540000}"/>
    <cellStyle name="Normal 3 14 7 2 9" xfId="21531" xr:uid="{00000000-0005-0000-0000-000012540000}"/>
    <cellStyle name="Normal 3 14 7 2 9 2" xfId="21532" xr:uid="{00000000-0005-0000-0000-000013540000}"/>
    <cellStyle name="Normal 3 14 7 2 9 3" xfId="21533" xr:uid="{00000000-0005-0000-0000-000014540000}"/>
    <cellStyle name="Normal 3 14 7 3" xfId="21534" xr:uid="{00000000-0005-0000-0000-000015540000}"/>
    <cellStyle name="Normal 3 14 7 3 2" xfId="21535" xr:uid="{00000000-0005-0000-0000-000016540000}"/>
    <cellStyle name="Normal 3 14 7 3 3" xfId="21536" xr:uid="{00000000-0005-0000-0000-000017540000}"/>
    <cellStyle name="Normal 3 14 7 4" xfId="21537" xr:uid="{00000000-0005-0000-0000-000018540000}"/>
    <cellStyle name="Normal 3 14 7 4 2" xfId="21538" xr:uid="{00000000-0005-0000-0000-000019540000}"/>
    <cellStyle name="Normal 3 14 7 4 3" xfId="21539" xr:uid="{00000000-0005-0000-0000-00001A540000}"/>
    <cellStyle name="Normal 3 14 7 5" xfId="21540" xr:uid="{00000000-0005-0000-0000-00001B540000}"/>
    <cellStyle name="Normal 3 14 7 5 2" xfId="21541" xr:uid="{00000000-0005-0000-0000-00001C540000}"/>
    <cellStyle name="Normal 3 14 7 5 3" xfId="21542" xr:uid="{00000000-0005-0000-0000-00001D540000}"/>
    <cellStyle name="Normal 3 14 7 6" xfId="21543" xr:uid="{00000000-0005-0000-0000-00001E540000}"/>
    <cellStyle name="Normal 3 14 7 6 2" xfId="21544" xr:uid="{00000000-0005-0000-0000-00001F540000}"/>
    <cellStyle name="Normal 3 14 7 6 3" xfId="21545" xr:uid="{00000000-0005-0000-0000-000020540000}"/>
    <cellStyle name="Normal 3 14 7 7" xfId="21546" xr:uid="{00000000-0005-0000-0000-000021540000}"/>
    <cellStyle name="Normal 3 14 7 7 2" xfId="21547" xr:uid="{00000000-0005-0000-0000-000022540000}"/>
    <cellStyle name="Normal 3 14 7 7 3" xfId="21548" xr:uid="{00000000-0005-0000-0000-000023540000}"/>
    <cellStyle name="Normal 3 14 7 8" xfId="21549" xr:uid="{00000000-0005-0000-0000-000024540000}"/>
    <cellStyle name="Normal 3 14 7 8 2" xfId="21550" xr:uid="{00000000-0005-0000-0000-000025540000}"/>
    <cellStyle name="Normal 3 14 7 8 3" xfId="21551" xr:uid="{00000000-0005-0000-0000-000026540000}"/>
    <cellStyle name="Normal 3 14 7 9" xfId="21552" xr:uid="{00000000-0005-0000-0000-000027540000}"/>
    <cellStyle name="Normal 3 14 7 9 2" xfId="21553" xr:uid="{00000000-0005-0000-0000-000028540000}"/>
    <cellStyle name="Normal 3 14 7 9 3" xfId="21554" xr:uid="{00000000-0005-0000-0000-000029540000}"/>
    <cellStyle name="Normal 3 14 8" xfId="21555" xr:uid="{00000000-0005-0000-0000-00002A540000}"/>
    <cellStyle name="Normal 3 14 8 10" xfId="21556" xr:uid="{00000000-0005-0000-0000-00002B540000}"/>
    <cellStyle name="Normal 3 14 8 10 2" xfId="21557" xr:uid="{00000000-0005-0000-0000-00002C540000}"/>
    <cellStyle name="Normal 3 14 8 10 3" xfId="21558" xr:uid="{00000000-0005-0000-0000-00002D540000}"/>
    <cellStyle name="Normal 3 14 8 11" xfId="21559" xr:uid="{00000000-0005-0000-0000-00002E540000}"/>
    <cellStyle name="Normal 3 14 8 11 2" xfId="21560" xr:uid="{00000000-0005-0000-0000-00002F540000}"/>
    <cellStyle name="Normal 3 14 8 11 3" xfId="21561" xr:uid="{00000000-0005-0000-0000-000030540000}"/>
    <cellStyle name="Normal 3 14 8 12" xfId="21562" xr:uid="{00000000-0005-0000-0000-000031540000}"/>
    <cellStyle name="Normal 3 14 8 12 2" xfId="21563" xr:uid="{00000000-0005-0000-0000-000032540000}"/>
    <cellStyle name="Normal 3 14 8 12 3" xfId="21564" xr:uid="{00000000-0005-0000-0000-000033540000}"/>
    <cellStyle name="Normal 3 14 8 13" xfId="21565" xr:uid="{00000000-0005-0000-0000-000034540000}"/>
    <cellStyle name="Normal 3 14 8 13 2" xfId="21566" xr:uid="{00000000-0005-0000-0000-000035540000}"/>
    <cellStyle name="Normal 3 14 8 13 3" xfId="21567" xr:uid="{00000000-0005-0000-0000-000036540000}"/>
    <cellStyle name="Normal 3 14 8 14" xfId="21568" xr:uid="{00000000-0005-0000-0000-000037540000}"/>
    <cellStyle name="Normal 3 14 8 14 2" xfId="21569" xr:uid="{00000000-0005-0000-0000-000038540000}"/>
    <cellStyle name="Normal 3 14 8 14 3" xfId="21570" xr:uid="{00000000-0005-0000-0000-000039540000}"/>
    <cellStyle name="Normal 3 14 8 15" xfId="21571" xr:uid="{00000000-0005-0000-0000-00003A540000}"/>
    <cellStyle name="Normal 3 14 8 15 2" xfId="21572" xr:uid="{00000000-0005-0000-0000-00003B540000}"/>
    <cellStyle name="Normal 3 14 8 15 3" xfId="21573" xr:uid="{00000000-0005-0000-0000-00003C540000}"/>
    <cellStyle name="Normal 3 14 8 16" xfId="21574" xr:uid="{00000000-0005-0000-0000-00003D540000}"/>
    <cellStyle name="Normal 3 14 8 17" xfId="21575" xr:uid="{00000000-0005-0000-0000-00003E540000}"/>
    <cellStyle name="Normal 3 14 8 2" xfId="21576" xr:uid="{00000000-0005-0000-0000-00003F540000}"/>
    <cellStyle name="Normal 3 14 8 2 10" xfId="21577" xr:uid="{00000000-0005-0000-0000-000040540000}"/>
    <cellStyle name="Normal 3 14 8 2 10 2" xfId="21578" xr:uid="{00000000-0005-0000-0000-000041540000}"/>
    <cellStyle name="Normal 3 14 8 2 10 3" xfId="21579" xr:uid="{00000000-0005-0000-0000-000042540000}"/>
    <cellStyle name="Normal 3 14 8 2 11" xfId="21580" xr:uid="{00000000-0005-0000-0000-000043540000}"/>
    <cellStyle name="Normal 3 14 8 2 11 2" xfId="21581" xr:uid="{00000000-0005-0000-0000-000044540000}"/>
    <cellStyle name="Normal 3 14 8 2 11 3" xfId="21582" xr:uid="{00000000-0005-0000-0000-000045540000}"/>
    <cellStyle name="Normal 3 14 8 2 12" xfId="21583" xr:uid="{00000000-0005-0000-0000-000046540000}"/>
    <cellStyle name="Normal 3 14 8 2 12 2" xfId="21584" xr:uid="{00000000-0005-0000-0000-000047540000}"/>
    <cellStyle name="Normal 3 14 8 2 12 3" xfId="21585" xr:uid="{00000000-0005-0000-0000-000048540000}"/>
    <cellStyle name="Normal 3 14 8 2 13" xfId="21586" xr:uid="{00000000-0005-0000-0000-000049540000}"/>
    <cellStyle name="Normal 3 14 8 2 13 2" xfId="21587" xr:uid="{00000000-0005-0000-0000-00004A540000}"/>
    <cellStyle name="Normal 3 14 8 2 13 3" xfId="21588" xr:uid="{00000000-0005-0000-0000-00004B540000}"/>
    <cellStyle name="Normal 3 14 8 2 14" xfId="21589" xr:uid="{00000000-0005-0000-0000-00004C540000}"/>
    <cellStyle name="Normal 3 14 8 2 14 2" xfId="21590" xr:uid="{00000000-0005-0000-0000-00004D540000}"/>
    <cellStyle name="Normal 3 14 8 2 14 3" xfId="21591" xr:uid="{00000000-0005-0000-0000-00004E540000}"/>
    <cellStyle name="Normal 3 14 8 2 15" xfId="21592" xr:uid="{00000000-0005-0000-0000-00004F540000}"/>
    <cellStyle name="Normal 3 14 8 2 16" xfId="21593" xr:uid="{00000000-0005-0000-0000-000050540000}"/>
    <cellStyle name="Normal 3 14 8 2 2" xfId="21594" xr:uid="{00000000-0005-0000-0000-000051540000}"/>
    <cellStyle name="Normal 3 14 8 2 2 2" xfId="21595" xr:uid="{00000000-0005-0000-0000-000052540000}"/>
    <cellStyle name="Normal 3 14 8 2 2 3" xfId="21596" xr:uid="{00000000-0005-0000-0000-000053540000}"/>
    <cellStyle name="Normal 3 14 8 2 3" xfId="21597" xr:uid="{00000000-0005-0000-0000-000054540000}"/>
    <cellStyle name="Normal 3 14 8 2 3 2" xfId="21598" xr:uid="{00000000-0005-0000-0000-000055540000}"/>
    <cellStyle name="Normal 3 14 8 2 3 3" xfId="21599" xr:uid="{00000000-0005-0000-0000-000056540000}"/>
    <cellStyle name="Normal 3 14 8 2 4" xfId="21600" xr:uid="{00000000-0005-0000-0000-000057540000}"/>
    <cellStyle name="Normal 3 14 8 2 4 2" xfId="21601" xr:uid="{00000000-0005-0000-0000-000058540000}"/>
    <cellStyle name="Normal 3 14 8 2 4 3" xfId="21602" xr:uid="{00000000-0005-0000-0000-000059540000}"/>
    <cellStyle name="Normal 3 14 8 2 5" xfId="21603" xr:uid="{00000000-0005-0000-0000-00005A540000}"/>
    <cellStyle name="Normal 3 14 8 2 5 2" xfId="21604" xr:uid="{00000000-0005-0000-0000-00005B540000}"/>
    <cellStyle name="Normal 3 14 8 2 5 3" xfId="21605" xr:uid="{00000000-0005-0000-0000-00005C540000}"/>
    <cellStyle name="Normal 3 14 8 2 6" xfId="21606" xr:uid="{00000000-0005-0000-0000-00005D540000}"/>
    <cellStyle name="Normal 3 14 8 2 6 2" xfId="21607" xr:uid="{00000000-0005-0000-0000-00005E540000}"/>
    <cellStyle name="Normal 3 14 8 2 6 3" xfId="21608" xr:uid="{00000000-0005-0000-0000-00005F540000}"/>
    <cellStyle name="Normal 3 14 8 2 7" xfId="21609" xr:uid="{00000000-0005-0000-0000-000060540000}"/>
    <cellStyle name="Normal 3 14 8 2 7 2" xfId="21610" xr:uid="{00000000-0005-0000-0000-000061540000}"/>
    <cellStyle name="Normal 3 14 8 2 7 3" xfId="21611" xr:uid="{00000000-0005-0000-0000-000062540000}"/>
    <cellStyle name="Normal 3 14 8 2 8" xfId="21612" xr:uid="{00000000-0005-0000-0000-000063540000}"/>
    <cellStyle name="Normal 3 14 8 2 8 2" xfId="21613" xr:uid="{00000000-0005-0000-0000-000064540000}"/>
    <cellStyle name="Normal 3 14 8 2 8 3" xfId="21614" xr:uid="{00000000-0005-0000-0000-000065540000}"/>
    <cellStyle name="Normal 3 14 8 2 9" xfId="21615" xr:uid="{00000000-0005-0000-0000-000066540000}"/>
    <cellStyle name="Normal 3 14 8 2 9 2" xfId="21616" xr:uid="{00000000-0005-0000-0000-000067540000}"/>
    <cellStyle name="Normal 3 14 8 2 9 3" xfId="21617" xr:uid="{00000000-0005-0000-0000-000068540000}"/>
    <cellStyle name="Normal 3 14 8 3" xfId="21618" xr:uid="{00000000-0005-0000-0000-000069540000}"/>
    <cellStyle name="Normal 3 14 8 3 2" xfId="21619" xr:uid="{00000000-0005-0000-0000-00006A540000}"/>
    <cellStyle name="Normal 3 14 8 3 3" xfId="21620" xr:uid="{00000000-0005-0000-0000-00006B540000}"/>
    <cellStyle name="Normal 3 14 8 4" xfId="21621" xr:uid="{00000000-0005-0000-0000-00006C540000}"/>
    <cellStyle name="Normal 3 14 8 4 2" xfId="21622" xr:uid="{00000000-0005-0000-0000-00006D540000}"/>
    <cellStyle name="Normal 3 14 8 4 3" xfId="21623" xr:uid="{00000000-0005-0000-0000-00006E540000}"/>
    <cellStyle name="Normal 3 14 8 5" xfId="21624" xr:uid="{00000000-0005-0000-0000-00006F540000}"/>
    <cellStyle name="Normal 3 14 8 5 2" xfId="21625" xr:uid="{00000000-0005-0000-0000-000070540000}"/>
    <cellStyle name="Normal 3 14 8 5 3" xfId="21626" xr:uid="{00000000-0005-0000-0000-000071540000}"/>
    <cellStyle name="Normal 3 14 8 6" xfId="21627" xr:uid="{00000000-0005-0000-0000-000072540000}"/>
    <cellStyle name="Normal 3 14 8 6 2" xfId="21628" xr:uid="{00000000-0005-0000-0000-000073540000}"/>
    <cellStyle name="Normal 3 14 8 6 3" xfId="21629" xr:uid="{00000000-0005-0000-0000-000074540000}"/>
    <cellStyle name="Normal 3 14 8 7" xfId="21630" xr:uid="{00000000-0005-0000-0000-000075540000}"/>
    <cellStyle name="Normal 3 14 8 7 2" xfId="21631" xr:uid="{00000000-0005-0000-0000-000076540000}"/>
    <cellStyle name="Normal 3 14 8 7 3" xfId="21632" xr:uid="{00000000-0005-0000-0000-000077540000}"/>
    <cellStyle name="Normal 3 14 8 8" xfId="21633" xr:uid="{00000000-0005-0000-0000-000078540000}"/>
    <cellStyle name="Normal 3 14 8 8 2" xfId="21634" xr:uid="{00000000-0005-0000-0000-000079540000}"/>
    <cellStyle name="Normal 3 14 8 8 3" xfId="21635" xr:uid="{00000000-0005-0000-0000-00007A540000}"/>
    <cellStyle name="Normal 3 14 8 9" xfId="21636" xr:uid="{00000000-0005-0000-0000-00007B540000}"/>
    <cellStyle name="Normal 3 14 8 9 2" xfId="21637" xr:uid="{00000000-0005-0000-0000-00007C540000}"/>
    <cellStyle name="Normal 3 14 8 9 3" xfId="21638" xr:uid="{00000000-0005-0000-0000-00007D540000}"/>
    <cellStyle name="Normal 3 14 9" xfId="21639" xr:uid="{00000000-0005-0000-0000-00007E540000}"/>
    <cellStyle name="Normal 3 14 9 10" xfId="21640" xr:uid="{00000000-0005-0000-0000-00007F540000}"/>
    <cellStyle name="Normal 3 14 9 10 2" xfId="21641" xr:uid="{00000000-0005-0000-0000-000080540000}"/>
    <cellStyle name="Normal 3 14 9 10 3" xfId="21642" xr:uid="{00000000-0005-0000-0000-000081540000}"/>
    <cellStyle name="Normal 3 14 9 11" xfId="21643" xr:uid="{00000000-0005-0000-0000-000082540000}"/>
    <cellStyle name="Normal 3 14 9 11 2" xfId="21644" xr:uid="{00000000-0005-0000-0000-000083540000}"/>
    <cellStyle name="Normal 3 14 9 11 3" xfId="21645" xr:uid="{00000000-0005-0000-0000-000084540000}"/>
    <cellStyle name="Normal 3 14 9 12" xfId="21646" xr:uid="{00000000-0005-0000-0000-000085540000}"/>
    <cellStyle name="Normal 3 14 9 12 2" xfId="21647" xr:uid="{00000000-0005-0000-0000-000086540000}"/>
    <cellStyle name="Normal 3 14 9 12 3" xfId="21648" xr:uid="{00000000-0005-0000-0000-000087540000}"/>
    <cellStyle name="Normal 3 14 9 13" xfId="21649" xr:uid="{00000000-0005-0000-0000-000088540000}"/>
    <cellStyle name="Normal 3 14 9 13 2" xfId="21650" xr:uid="{00000000-0005-0000-0000-000089540000}"/>
    <cellStyle name="Normal 3 14 9 13 3" xfId="21651" xr:uid="{00000000-0005-0000-0000-00008A540000}"/>
    <cellStyle name="Normal 3 14 9 14" xfId="21652" xr:uid="{00000000-0005-0000-0000-00008B540000}"/>
    <cellStyle name="Normal 3 14 9 14 2" xfId="21653" xr:uid="{00000000-0005-0000-0000-00008C540000}"/>
    <cellStyle name="Normal 3 14 9 14 3" xfId="21654" xr:uid="{00000000-0005-0000-0000-00008D540000}"/>
    <cellStyle name="Normal 3 14 9 15" xfId="21655" xr:uid="{00000000-0005-0000-0000-00008E540000}"/>
    <cellStyle name="Normal 3 14 9 16" xfId="21656" xr:uid="{00000000-0005-0000-0000-00008F540000}"/>
    <cellStyle name="Normal 3 14 9 2" xfId="21657" xr:uid="{00000000-0005-0000-0000-000090540000}"/>
    <cellStyle name="Normal 3 14 9 2 2" xfId="21658" xr:uid="{00000000-0005-0000-0000-000091540000}"/>
    <cellStyle name="Normal 3 14 9 2 3" xfId="21659" xr:uid="{00000000-0005-0000-0000-000092540000}"/>
    <cellStyle name="Normal 3 14 9 3" xfId="21660" xr:uid="{00000000-0005-0000-0000-000093540000}"/>
    <cellStyle name="Normal 3 14 9 3 2" xfId="21661" xr:uid="{00000000-0005-0000-0000-000094540000}"/>
    <cellStyle name="Normal 3 14 9 3 3" xfId="21662" xr:uid="{00000000-0005-0000-0000-000095540000}"/>
    <cellStyle name="Normal 3 14 9 4" xfId="21663" xr:uid="{00000000-0005-0000-0000-000096540000}"/>
    <cellStyle name="Normal 3 14 9 4 2" xfId="21664" xr:uid="{00000000-0005-0000-0000-000097540000}"/>
    <cellStyle name="Normal 3 14 9 4 3" xfId="21665" xr:uid="{00000000-0005-0000-0000-000098540000}"/>
    <cellStyle name="Normal 3 14 9 5" xfId="21666" xr:uid="{00000000-0005-0000-0000-000099540000}"/>
    <cellStyle name="Normal 3 14 9 5 2" xfId="21667" xr:uid="{00000000-0005-0000-0000-00009A540000}"/>
    <cellStyle name="Normal 3 14 9 5 3" xfId="21668" xr:uid="{00000000-0005-0000-0000-00009B540000}"/>
    <cellStyle name="Normal 3 14 9 6" xfId="21669" xr:uid="{00000000-0005-0000-0000-00009C540000}"/>
    <cellStyle name="Normal 3 14 9 6 2" xfId="21670" xr:uid="{00000000-0005-0000-0000-00009D540000}"/>
    <cellStyle name="Normal 3 14 9 6 3" xfId="21671" xr:uid="{00000000-0005-0000-0000-00009E540000}"/>
    <cellStyle name="Normal 3 14 9 7" xfId="21672" xr:uid="{00000000-0005-0000-0000-00009F540000}"/>
    <cellStyle name="Normal 3 14 9 7 2" xfId="21673" xr:uid="{00000000-0005-0000-0000-0000A0540000}"/>
    <cellStyle name="Normal 3 14 9 7 3" xfId="21674" xr:uid="{00000000-0005-0000-0000-0000A1540000}"/>
    <cellStyle name="Normal 3 14 9 8" xfId="21675" xr:uid="{00000000-0005-0000-0000-0000A2540000}"/>
    <cellStyle name="Normal 3 14 9 8 2" xfId="21676" xr:uid="{00000000-0005-0000-0000-0000A3540000}"/>
    <cellStyle name="Normal 3 14 9 8 3" xfId="21677" xr:uid="{00000000-0005-0000-0000-0000A4540000}"/>
    <cellStyle name="Normal 3 14 9 9" xfId="21678" xr:uid="{00000000-0005-0000-0000-0000A5540000}"/>
    <cellStyle name="Normal 3 14 9 9 2" xfId="21679" xr:uid="{00000000-0005-0000-0000-0000A6540000}"/>
    <cellStyle name="Normal 3 14 9 9 3" xfId="21680" xr:uid="{00000000-0005-0000-0000-0000A7540000}"/>
    <cellStyle name="Normal 3 15" xfId="21681" xr:uid="{00000000-0005-0000-0000-0000A8540000}"/>
    <cellStyle name="Normal 3 15 10" xfId="21682" xr:uid="{00000000-0005-0000-0000-0000A9540000}"/>
    <cellStyle name="Normal 3 15 10 10" xfId="21683" xr:uid="{00000000-0005-0000-0000-0000AA540000}"/>
    <cellStyle name="Normal 3 15 10 10 2" xfId="21684" xr:uid="{00000000-0005-0000-0000-0000AB540000}"/>
    <cellStyle name="Normal 3 15 10 10 3" xfId="21685" xr:uid="{00000000-0005-0000-0000-0000AC540000}"/>
    <cellStyle name="Normal 3 15 10 11" xfId="21686" xr:uid="{00000000-0005-0000-0000-0000AD540000}"/>
    <cellStyle name="Normal 3 15 10 11 2" xfId="21687" xr:uid="{00000000-0005-0000-0000-0000AE540000}"/>
    <cellStyle name="Normal 3 15 10 11 3" xfId="21688" xr:uid="{00000000-0005-0000-0000-0000AF540000}"/>
    <cellStyle name="Normal 3 15 10 12" xfId="21689" xr:uid="{00000000-0005-0000-0000-0000B0540000}"/>
    <cellStyle name="Normal 3 15 10 12 2" xfId="21690" xr:uid="{00000000-0005-0000-0000-0000B1540000}"/>
    <cellStyle name="Normal 3 15 10 12 3" xfId="21691" xr:uid="{00000000-0005-0000-0000-0000B2540000}"/>
    <cellStyle name="Normal 3 15 10 13" xfId="21692" xr:uid="{00000000-0005-0000-0000-0000B3540000}"/>
    <cellStyle name="Normal 3 15 10 13 2" xfId="21693" xr:uid="{00000000-0005-0000-0000-0000B4540000}"/>
    <cellStyle name="Normal 3 15 10 13 3" xfId="21694" xr:uid="{00000000-0005-0000-0000-0000B5540000}"/>
    <cellStyle name="Normal 3 15 10 14" xfId="21695" xr:uid="{00000000-0005-0000-0000-0000B6540000}"/>
    <cellStyle name="Normal 3 15 10 14 2" xfId="21696" xr:uid="{00000000-0005-0000-0000-0000B7540000}"/>
    <cellStyle name="Normal 3 15 10 14 3" xfId="21697" xr:uid="{00000000-0005-0000-0000-0000B8540000}"/>
    <cellStyle name="Normal 3 15 10 15" xfId="21698" xr:uid="{00000000-0005-0000-0000-0000B9540000}"/>
    <cellStyle name="Normal 3 15 10 16" xfId="21699" xr:uid="{00000000-0005-0000-0000-0000BA540000}"/>
    <cellStyle name="Normal 3 15 10 2" xfId="21700" xr:uid="{00000000-0005-0000-0000-0000BB540000}"/>
    <cellStyle name="Normal 3 15 10 2 2" xfId="21701" xr:uid="{00000000-0005-0000-0000-0000BC540000}"/>
    <cellStyle name="Normal 3 15 10 2 3" xfId="21702" xr:uid="{00000000-0005-0000-0000-0000BD540000}"/>
    <cellStyle name="Normal 3 15 10 3" xfId="21703" xr:uid="{00000000-0005-0000-0000-0000BE540000}"/>
    <cellStyle name="Normal 3 15 10 3 2" xfId="21704" xr:uid="{00000000-0005-0000-0000-0000BF540000}"/>
    <cellStyle name="Normal 3 15 10 3 3" xfId="21705" xr:uid="{00000000-0005-0000-0000-0000C0540000}"/>
    <cellStyle name="Normal 3 15 10 4" xfId="21706" xr:uid="{00000000-0005-0000-0000-0000C1540000}"/>
    <cellStyle name="Normal 3 15 10 4 2" xfId="21707" xr:uid="{00000000-0005-0000-0000-0000C2540000}"/>
    <cellStyle name="Normal 3 15 10 4 3" xfId="21708" xr:uid="{00000000-0005-0000-0000-0000C3540000}"/>
    <cellStyle name="Normal 3 15 10 5" xfId="21709" xr:uid="{00000000-0005-0000-0000-0000C4540000}"/>
    <cellStyle name="Normal 3 15 10 5 2" xfId="21710" xr:uid="{00000000-0005-0000-0000-0000C5540000}"/>
    <cellStyle name="Normal 3 15 10 5 3" xfId="21711" xr:uid="{00000000-0005-0000-0000-0000C6540000}"/>
    <cellStyle name="Normal 3 15 10 6" xfId="21712" xr:uid="{00000000-0005-0000-0000-0000C7540000}"/>
    <cellStyle name="Normal 3 15 10 6 2" xfId="21713" xr:uid="{00000000-0005-0000-0000-0000C8540000}"/>
    <cellStyle name="Normal 3 15 10 6 3" xfId="21714" xr:uid="{00000000-0005-0000-0000-0000C9540000}"/>
    <cellStyle name="Normal 3 15 10 7" xfId="21715" xr:uid="{00000000-0005-0000-0000-0000CA540000}"/>
    <cellStyle name="Normal 3 15 10 7 2" xfId="21716" xr:uid="{00000000-0005-0000-0000-0000CB540000}"/>
    <cellStyle name="Normal 3 15 10 7 3" xfId="21717" xr:uid="{00000000-0005-0000-0000-0000CC540000}"/>
    <cellStyle name="Normal 3 15 10 8" xfId="21718" xr:uid="{00000000-0005-0000-0000-0000CD540000}"/>
    <cellStyle name="Normal 3 15 10 8 2" xfId="21719" xr:uid="{00000000-0005-0000-0000-0000CE540000}"/>
    <cellStyle name="Normal 3 15 10 8 3" xfId="21720" xr:uid="{00000000-0005-0000-0000-0000CF540000}"/>
    <cellStyle name="Normal 3 15 10 9" xfId="21721" xr:uid="{00000000-0005-0000-0000-0000D0540000}"/>
    <cellStyle name="Normal 3 15 10 9 2" xfId="21722" xr:uid="{00000000-0005-0000-0000-0000D1540000}"/>
    <cellStyle name="Normal 3 15 10 9 3" xfId="21723" xr:uid="{00000000-0005-0000-0000-0000D2540000}"/>
    <cellStyle name="Normal 3 15 11" xfId="21724" xr:uid="{00000000-0005-0000-0000-0000D3540000}"/>
    <cellStyle name="Normal 3 15 11 10" xfId="21725" xr:uid="{00000000-0005-0000-0000-0000D4540000}"/>
    <cellStyle name="Normal 3 15 11 10 2" xfId="21726" xr:uid="{00000000-0005-0000-0000-0000D5540000}"/>
    <cellStyle name="Normal 3 15 11 10 3" xfId="21727" xr:uid="{00000000-0005-0000-0000-0000D6540000}"/>
    <cellStyle name="Normal 3 15 11 11" xfId="21728" xr:uid="{00000000-0005-0000-0000-0000D7540000}"/>
    <cellStyle name="Normal 3 15 11 11 2" xfId="21729" xr:uid="{00000000-0005-0000-0000-0000D8540000}"/>
    <cellStyle name="Normal 3 15 11 11 3" xfId="21730" xr:uid="{00000000-0005-0000-0000-0000D9540000}"/>
    <cellStyle name="Normal 3 15 11 12" xfId="21731" xr:uid="{00000000-0005-0000-0000-0000DA540000}"/>
    <cellStyle name="Normal 3 15 11 12 2" xfId="21732" xr:uid="{00000000-0005-0000-0000-0000DB540000}"/>
    <cellStyle name="Normal 3 15 11 12 3" xfId="21733" xr:uid="{00000000-0005-0000-0000-0000DC540000}"/>
    <cellStyle name="Normal 3 15 11 13" xfId="21734" xr:uid="{00000000-0005-0000-0000-0000DD540000}"/>
    <cellStyle name="Normal 3 15 11 13 2" xfId="21735" xr:uid="{00000000-0005-0000-0000-0000DE540000}"/>
    <cellStyle name="Normal 3 15 11 13 3" xfId="21736" xr:uid="{00000000-0005-0000-0000-0000DF540000}"/>
    <cellStyle name="Normal 3 15 11 14" xfId="21737" xr:uid="{00000000-0005-0000-0000-0000E0540000}"/>
    <cellStyle name="Normal 3 15 11 14 2" xfId="21738" xr:uid="{00000000-0005-0000-0000-0000E1540000}"/>
    <cellStyle name="Normal 3 15 11 14 3" xfId="21739" xr:uid="{00000000-0005-0000-0000-0000E2540000}"/>
    <cellStyle name="Normal 3 15 11 15" xfId="21740" xr:uid="{00000000-0005-0000-0000-0000E3540000}"/>
    <cellStyle name="Normal 3 15 11 16" xfId="21741" xr:uid="{00000000-0005-0000-0000-0000E4540000}"/>
    <cellStyle name="Normal 3 15 11 2" xfId="21742" xr:uid="{00000000-0005-0000-0000-0000E5540000}"/>
    <cellStyle name="Normal 3 15 11 2 2" xfId="21743" xr:uid="{00000000-0005-0000-0000-0000E6540000}"/>
    <cellStyle name="Normal 3 15 11 2 3" xfId="21744" xr:uid="{00000000-0005-0000-0000-0000E7540000}"/>
    <cellStyle name="Normal 3 15 11 3" xfId="21745" xr:uid="{00000000-0005-0000-0000-0000E8540000}"/>
    <cellStyle name="Normal 3 15 11 3 2" xfId="21746" xr:uid="{00000000-0005-0000-0000-0000E9540000}"/>
    <cellStyle name="Normal 3 15 11 3 3" xfId="21747" xr:uid="{00000000-0005-0000-0000-0000EA540000}"/>
    <cellStyle name="Normal 3 15 11 4" xfId="21748" xr:uid="{00000000-0005-0000-0000-0000EB540000}"/>
    <cellStyle name="Normal 3 15 11 4 2" xfId="21749" xr:uid="{00000000-0005-0000-0000-0000EC540000}"/>
    <cellStyle name="Normal 3 15 11 4 3" xfId="21750" xr:uid="{00000000-0005-0000-0000-0000ED540000}"/>
    <cellStyle name="Normal 3 15 11 5" xfId="21751" xr:uid="{00000000-0005-0000-0000-0000EE540000}"/>
    <cellStyle name="Normal 3 15 11 5 2" xfId="21752" xr:uid="{00000000-0005-0000-0000-0000EF540000}"/>
    <cellStyle name="Normal 3 15 11 5 3" xfId="21753" xr:uid="{00000000-0005-0000-0000-0000F0540000}"/>
    <cellStyle name="Normal 3 15 11 6" xfId="21754" xr:uid="{00000000-0005-0000-0000-0000F1540000}"/>
    <cellStyle name="Normal 3 15 11 6 2" xfId="21755" xr:uid="{00000000-0005-0000-0000-0000F2540000}"/>
    <cellStyle name="Normal 3 15 11 6 3" xfId="21756" xr:uid="{00000000-0005-0000-0000-0000F3540000}"/>
    <cellStyle name="Normal 3 15 11 7" xfId="21757" xr:uid="{00000000-0005-0000-0000-0000F4540000}"/>
    <cellStyle name="Normal 3 15 11 7 2" xfId="21758" xr:uid="{00000000-0005-0000-0000-0000F5540000}"/>
    <cellStyle name="Normal 3 15 11 7 3" xfId="21759" xr:uid="{00000000-0005-0000-0000-0000F6540000}"/>
    <cellStyle name="Normal 3 15 11 8" xfId="21760" xr:uid="{00000000-0005-0000-0000-0000F7540000}"/>
    <cellStyle name="Normal 3 15 11 8 2" xfId="21761" xr:uid="{00000000-0005-0000-0000-0000F8540000}"/>
    <cellStyle name="Normal 3 15 11 8 3" xfId="21762" xr:uid="{00000000-0005-0000-0000-0000F9540000}"/>
    <cellStyle name="Normal 3 15 11 9" xfId="21763" xr:uid="{00000000-0005-0000-0000-0000FA540000}"/>
    <cellStyle name="Normal 3 15 11 9 2" xfId="21764" xr:uid="{00000000-0005-0000-0000-0000FB540000}"/>
    <cellStyle name="Normal 3 15 11 9 3" xfId="21765" xr:uid="{00000000-0005-0000-0000-0000FC540000}"/>
    <cellStyle name="Normal 3 15 12" xfId="21766" xr:uid="{00000000-0005-0000-0000-0000FD540000}"/>
    <cellStyle name="Normal 3 15 12 10" xfId="21767" xr:uid="{00000000-0005-0000-0000-0000FE540000}"/>
    <cellStyle name="Normal 3 15 12 10 2" xfId="21768" xr:uid="{00000000-0005-0000-0000-0000FF540000}"/>
    <cellStyle name="Normal 3 15 12 10 3" xfId="21769" xr:uid="{00000000-0005-0000-0000-000000550000}"/>
    <cellStyle name="Normal 3 15 12 11" xfId="21770" xr:uid="{00000000-0005-0000-0000-000001550000}"/>
    <cellStyle name="Normal 3 15 12 11 2" xfId="21771" xr:uid="{00000000-0005-0000-0000-000002550000}"/>
    <cellStyle name="Normal 3 15 12 11 3" xfId="21772" xr:uid="{00000000-0005-0000-0000-000003550000}"/>
    <cellStyle name="Normal 3 15 12 12" xfId="21773" xr:uid="{00000000-0005-0000-0000-000004550000}"/>
    <cellStyle name="Normal 3 15 12 12 2" xfId="21774" xr:uid="{00000000-0005-0000-0000-000005550000}"/>
    <cellStyle name="Normal 3 15 12 12 3" xfId="21775" xr:uid="{00000000-0005-0000-0000-000006550000}"/>
    <cellStyle name="Normal 3 15 12 13" xfId="21776" xr:uid="{00000000-0005-0000-0000-000007550000}"/>
    <cellStyle name="Normal 3 15 12 13 2" xfId="21777" xr:uid="{00000000-0005-0000-0000-000008550000}"/>
    <cellStyle name="Normal 3 15 12 13 3" xfId="21778" xr:uid="{00000000-0005-0000-0000-000009550000}"/>
    <cellStyle name="Normal 3 15 12 14" xfId="21779" xr:uid="{00000000-0005-0000-0000-00000A550000}"/>
    <cellStyle name="Normal 3 15 12 14 2" xfId="21780" xr:uid="{00000000-0005-0000-0000-00000B550000}"/>
    <cellStyle name="Normal 3 15 12 14 3" xfId="21781" xr:uid="{00000000-0005-0000-0000-00000C550000}"/>
    <cellStyle name="Normal 3 15 12 15" xfId="21782" xr:uid="{00000000-0005-0000-0000-00000D550000}"/>
    <cellStyle name="Normal 3 15 12 16" xfId="21783" xr:uid="{00000000-0005-0000-0000-00000E550000}"/>
    <cellStyle name="Normal 3 15 12 2" xfId="21784" xr:uid="{00000000-0005-0000-0000-00000F550000}"/>
    <cellStyle name="Normal 3 15 12 2 2" xfId="21785" xr:uid="{00000000-0005-0000-0000-000010550000}"/>
    <cellStyle name="Normal 3 15 12 2 3" xfId="21786" xr:uid="{00000000-0005-0000-0000-000011550000}"/>
    <cellStyle name="Normal 3 15 12 3" xfId="21787" xr:uid="{00000000-0005-0000-0000-000012550000}"/>
    <cellStyle name="Normal 3 15 12 3 2" xfId="21788" xr:uid="{00000000-0005-0000-0000-000013550000}"/>
    <cellStyle name="Normal 3 15 12 3 3" xfId="21789" xr:uid="{00000000-0005-0000-0000-000014550000}"/>
    <cellStyle name="Normal 3 15 12 4" xfId="21790" xr:uid="{00000000-0005-0000-0000-000015550000}"/>
    <cellStyle name="Normal 3 15 12 4 2" xfId="21791" xr:uid="{00000000-0005-0000-0000-000016550000}"/>
    <cellStyle name="Normal 3 15 12 4 3" xfId="21792" xr:uid="{00000000-0005-0000-0000-000017550000}"/>
    <cellStyle name="Normal 3 15 12 5" xfId="21793" xr:uid="{00000000-0005-0000-0000-000018550000}"/>
    <cellStyle name="Normal 3 15 12 5 2" xfId="21794" xr:uid="{00000000-0005-0000-0000-000019550000}"/>
    <cellStyle name="Normal 3 15 12 5 3" xfId="21795" xr:uid="{00000000-0005-0000-0000-00001A550000}"/>
    <cellStyle name="Normal 3 15 12 6" xfId="21796" xr:uid="{00000000-0005-0000-0000-00001B550000}"/>
    <cellStyle name="Normal 3 15 12 6 2" xfId="21797" xr:uid="{00000000-0005-0000-0000-00001C550000}"/>
    <cellStyle name="Normal 3 15 12 6 3" xfId="21798" xr:uid="{00000000-0005-0000-0000-00001D550000}"/>
    <cellStyle name="Normal 3 15 12 7" xfId="21799" xr:uid="{00000000-0005-0000-0000-00001E550000}"/>
    <cellStyle name="Normal 3 15 12 7 2" xfId="21800" xr:uid="{00000000-0005-0000-0000-00001F550000}"/>
    <cellStyle name="Normal 3 15 12 7 3" xfId="21801" xr:uid="{00000000-0005-0000-0000-000020550000}"/>
    <cellStyle name="Normal 3 15 12 8" xfId="21802" xr:uid="{00000000-0005-0000-0000-000021550000}"/>
    <cellStyle name="Normal 3 15 12 8 2" xfId="21803" xr:uid="{00000000-0005-0000-0000-000022550000}"/>
    <cellStyle name="Normal 3 15 12 8 3" xfId="21804" xr:uid="{00000000-0005-0000-0000-000023550000}"/>
    <cellStyle name="Normal 3 15 12 9" xfId="21805" xr:uid="{00000000-0005-0000-0000-000024550000}"/>
    <cellStyle name="Normal 3 15 12 9 2" xfId="21806" xr:uid="{00000000-0005-0000-0000-000025550000}"/>
    <cellStyle name="Normal 3 15 12 9 3" xfId="21807" xr:uid="{00000000-0005-0000-0000-000026550000}"/>
    <cellStyle name="Normal 3 15 13" xfId="21808" xr:uid="{00000000-0005-0000-0000-000027550000}"/>
    <cellStyle name="Normal 3 15 13 10" xfId="21809" xr:uid="{00000000-0005-0000-0000-000028550000}"/>
    <cellStyle name="Normal 3 15 13 10 2" xfId="21810" xr:uid="{00000000-0005-0000-0000-000029550000}"/>
    <cellStyle name="Normal 3 15 13 10 3" xfId="21811" xr:uid="{00000000-0005-0000-0000-00002A550000}"/>
    <cellStyle name="Normal 3 15 13 11" xfId="21812" xr:uid="{00000000-0005-0000-0000-00002B550000}"/>
    <cellStyle name="Normal 3 15 13 11 2" xfId="21813" xr:uid="{00000000-0005-0000-0000-00002C550000}"/>
    <cellStyle name="Normal 3 15 13 11 3" xfId="21814" xr:uid="{00000000-0005-0000-0000-00002D550000}"/>
    <cellStyle name="Normal 3 15 13 12" xfId="21815" xr:uid="{00000000-0005-0000-0000-00002E550000}"/>
    <cellStyle name="Normal 3 15 13 12 2" xfId="21816" xr:uid="{00000000-0005-0000-0000-00002F550000}"/>
    <cellStyle name="Normal 3 15 13 12 3" xfId="21817" xr:uid="{00000000-0005-0000-0000-000030550000}"/>
    <cellStyle name="Normal 3 15 13 13" xfId="21818" xr:uid="{00000000-0005-0000-0000-000031550000}"/>
    <cellStyle name="Normal 3 15 13 13 2" xfId="21819" xr:uid="{00000000-0005-0000-0000-000032550000}"/>
    <cellStyle name="Normal 3 15 13 13 3" xfId="21820" xr:uid="{00000000-0005-0000-0000-000033550000}"/>
    <cellStyle name="Normal 3 15 13 14" xfId="21821" xr:uid="{00000000-0005-0000-0000-000034550000}"/>
    <cellStyle name="Normal 3 15 13 14 2" xfId="21822" xr:uid="{00000000-0005-0000-0000-000035550000}"/>
    <cellStyle name="Normal 3 15 13 14 3" xfId="21823" xr:uid="{00000000-0005-0000-0000-000036550000}"/>
    <cellStyle name="Normal 3 15 13 15" xfId="21824" xr:uid="{00000000-0005-0000-0000-000037550000}"/>
    <cellStyle name="Normal 3 15 13 16" xfId="21825" xr:uid="{00000000-0005-0000-0000-000038550000}"/>
    <cellStyle name="Normal 3 15 13 2" xfId="21826" xr:uid="{00000000-0005-0000-0000-000039550000}"/>
    <cellStyle name="Normal 3 15 13 2 2" xfId="21827" xr:uid="{00000000-0005-0000-0000-00003A550000}"/>
    <cellStyle name="Normal 3 15 13 2 3" xfId="21828" xr:uid="{00000000-0005-0000-0000-00003B550000}"/>
    <cellStyle name="Normal 3 15 13 3" xfId="21829" xr:uid="{00000000-0005-0000-0000-00003C550000}"/>
    <cellStyle name="Normal 3 15 13 3 2" xfId="21830" xr:uid="{00000000-0005-0000-0000-00003D550000}"/>
    <cellStyle name="Normal 3 15 13 3 3" xfId="21831" xr:uid="{00000000-0005-0000-0000-00003E550000}"/>
    <cellStyle name="Normal 3 15 13 4" xfId="21832" xr:uid="{00000000-0005-0000-0000-00003F550000}"/>
    <cellStyle name="Normal 3 15 13 4 2" xfId="21833" xr:uid="{00000000-0005-0000-0000-000040550000}"/>
    <cellStyle name="Normal 3 15 13 4 3" xfId="21834" xr:uid="{00000000-0005-0000-0000-000041550000}"/>
    <cellStyle name="Normal 3 15 13 5" xfId="21835" xr:uid="{00000000-0005-0000-0000-000042550000}"/>
    <cellStyle name="Normal 3 15 13 5 2" xfId="21836" xr:uid="{00000000-0005-0000-0000-000043550000}"/>
    <cellStyle name="Normal 3 15 13 5 3" xfId="21837" xr:uid="{00000000-0005-0000-0000-000044550000}"/>
    <cellStyle name="Normal 3 15 13 6" xfId="21838" xr:uid="{00000000-0005-0000-0000-000045550000}"/>
    <cellStyle name="Normal 3 15 13 6 2" xfId="21839" xr:uid="{00000000-0005-0000-0000-000046550000}"/>
    <cellStyle name="Normal 3 15 13 6 3" xfId="21840" xr:uid="{00000000-0005-0000-0000-000047550000}"/>
    <cellStyle name="Normal 3 15 13 7" xfId="21841" xr:uid="{00000000-0005-0000-0000-000048550000}"/>
    <cellStyle name="Normal 3 15 13 7 2" xfId="21842" xr:uid="{00000000-0005-0000-0000-000049550000}"/>
    <cellStyle name="Normal 3 15 13 7 3" xfId="21843" xr:uid="{00000000-0005-0000-0000-00004A550000}"/>
    <cellStyle name="Normal 3 15 13 8" xfId="21844" xr:uid="{00000000-0005-0000-0000-00004B550000}"/>
    <cellStyle name="Normal 3 15 13 8 2" xfId="21845" xr:uid="{00000000-0005-0000-0000-00004C550000}"/>
    <cellStyle name="Normal 3 15 13 8 3" xfId="21846" xr:uid="{00000000-0005-0000-0000-00004D550000}"/>
    <cellStyle name="Normal 3 15 13 9" xfId="21847" xr:uid="{00000000-0005-0000-0000-00004E550000}"/>
    <cellStyle name="Normal 3 15 13 9 2" xfId="21848" xr:uid="{00000000-0005-0000-0000-00004F550000}"/>
    <cellStyle name="Normal 3 15 13 9 3" xfId="21849" xr:uid="{00000000-0005-0000-0000-000050550000}"/>
    <cellStyle name="Normal 3 15 14" xfId="21850" xr:uid="{00000000-0005-0000-0000-000051550000}"/>
    <cellStyle name="Normal 3 15 14 10" xfId="21851" xr:uid="{00000000-0005-0000-0000-000052550000}"/>
    <cellStyle name="Normal 3 15 14 10 2" xfId="21852" xr:uid="{00000000-0005-0000-0000-000053550000}"/>
    <cellStyle name="Normal 3 15 14 10 3" xfId="21853" xr:uid="{00000000-0005-0000-0000-000054550000}"/>
    <cellStyle name="Normal 3 15 14 11" xfId="21854" xr:uid="{00000000-0005-0000-0000-000055550000}"/>
    <cellStyle name="Normal 3 15 14 11 2" xfId="21855" xr:uid="{00000000-0005-0000-0000-000056550000}"/>
    <cellStyle name="Normal 3 15 14 11 3" xfId="21856" xr:uid="{00000000-0005-0000-0000-000057550000}"/>
    <cellStyle name="Normal 3 15 14 12" xfId="21857" xr:uid="{00000000-0005-0000-0000-000058550000}"/>
    <cellStyle name="Normal 3 15 14 12 2" xfId="21858" xr:uid="{00000000-0005-0000-0000-000059550000}"/>
    <cellStyle name="Normal 3 15 14 12 3" xfId="21859" xr:uid="{00000000-0005-0000-0000-00005A550000}"/>
    <cellStyle name="Normal 3 15 14 13" xfId="21860" xr:uid="{00000000-0005-0000-0000-00005B550000}"/>
    <cellStyle name="Normal 3 15 14 13 2" xfId="21861" xr:uid="{00000000-0005-0000-0000-00005C550000}"/>
    <cellStyle name="Normal 3 15 14 13 3" xfId="21862" xr:uid="{00000000-0005-0000-0000-00005D550000}"/>
    <cellStyle name="Normal 3 15 14 14" xfId="21863" xr:uid="{00000000-0005-0000-0000-00005E550000}"/>
    <cellStyle name="Normal 3 15 14 14 2" xfId="21864" xr:uid="{00000000-0005-0000-0000-00005F550000}"/>
    <cellStyle name="Normal 3 15 14 14 3" xfId="21865" xr:uid="{00000000-0005-0000-0000-000060550000}"/>
    <cellStyle name="Normal 3 15 14 15" xfId="21866" xr:uid="{00000000-0005-0000-0000-000061550000}"/>
    <cellStyle name="Normal 3 15 14 16" xfId="21867" xr:uid="{00000000-0005-0000-0000-000062550000}"/>
    <cellStyle name="Normal 3 15 14 2" xfId="21868" xr:uid="{00000000-0005-0000-0000-000063550000}"/>
    <cellStyle name="Normal 3 15 14 2 2" xfId="21869" xr:uid="{00000000-0005-0000-0000-000064550000}"/>
    <cellStyle name="Normal 3 15 14 2 3" xfId="21870" xr:uid="{00000000-0005-0000-0000-000065550000}"/>
    <cellStyle name="Normal 3 15 14 3" xfId="21871" xr:uid="{00000000-0005-0000-0000-000066550000}"/>
    <cellStyle name="Normal 3 15 14 3 2" xfId="21872" xr:uid="{00000000-0005-0000-0000-000067550000}"/>
    <cellStyle name="Normal 3 15 14 3 3" xfId="21873" xr:uid="{00000000-0005-0000-0000-000068550000}"/>
    <cellStyle name="Normal 3 15 14 4" xfId="21874" xr:uid="{00000000-0005-0000-0000-000069550000}"/>
    <cellStyle name="Normal 3 15 14 4 2" xfId="21875" xr:uid="{00000000-0005-0000-0000-00006A550000}"/>
    <cellStyle name="Normal 3 15 14 4 3" xfId="21876" xr:uid="{00000000-0005-0000-0000-00006B550000}"/>
    <cellStyle name="Normal 3 15 14 5" xfId="21877" xr:uid="{00000000-0005-0000-0000-00006C550000}"/>
    <cellStyle name="Normal 3 15 14 5 2" xfId="21878" xr:uid="{00000000-0005-0000-0000-00006D550000}"/>
    <cellStyle name="Normal 3 15 14 5 3" xfId="21879" xr:uid="{00000000-0005-0000-0000-00006E550000}"/>
    <cellStyle name="Normal 3 15 14 6" xfId="21880" xr:uid="{00000000-0005-0000-0000-00006F550000}"/>
    <cellStyle name="Normal 3 15 14 6 2" xfId="21881" xr:uid="{00000000-0005-0000-0000-000070550000}"/>
    <cellStyle name="Normal 3 15 14 6 3" xfId="21882" xr:uid="{00000000-0005-0000-0000-000071550000}"/>
    <cellStyle name="Normal 3 15 14 7" xfId="21883" xr:uid="{00000000-0005-0000-0000-000072550000}"/>
    <cellStyle name="Normal 3 15 14 7 2" xfId="21884" xr:uid="{00000000-0005-0000-0000-000073550000}"/>
    <cellStyle name="Normal 3 15 14 7 3" xfId="21885" xr:uid="{00000000-0005-0000-0000-000074550000}"/>
    <cellStyle name="Normal 3 15 14 8" xfId="21886" xr:uid="{00000000-0005-0000-0000-000075550000}"/>
    <cellStyle name="Normal 3 15 14 8 2" xfId="21887" xr:uid="{00000000-0005-0000-0000-000076550000}"/>
    <cellStyle name="Normal 3 15 14 8 3" xfId="21888" xr:uid="{00000000-0005-0000-0000-000077550000}"/>
    <cellStyle name="Normal 3 15 14 9" xfId="21889" xr:uid="{00000000-0005-0000-0000-000078550000}"/>
    <cellStyle name="Normal 3 15 14 9 2" xfId="21890" xr:uid="{00000000-0005-0000-0000-000079550000}"/>
    <cellStyle name="Normal 3 15 14 9 3" xfId="21891" xr:uid="{00000000-0005-0000-0000-00007A550000}"/>
    <cellStyle name="Normal 3 15 15" xfId="21892" xr:uid="{00000000-0005-0000-0000-00007B550000}"/>
    <cellStyle name="Normal 3 15 16" xfId="21893" xr:uid="{00000000-0005-0000-0000-00007C550000}"/>
    <cellStyle name="Normal 3 15 17" xfId="21894" xr:uid="{00000000-0005-0000-0000-00007D550000}"/>
    <cellStyle name="Normal 3 15 17 10" xfId="21895" xr:uid="{00000000-0005-0000-0000-00007E550000}"/>
    <cellStyle name="Normal 3 15 17 10 2" xfId="21896" xr:uid="{00000000-0005-0000-0000-00007F550000}"/>
    <cellStyle name="Normal 3 15 17 10 3" xfId="21897" xr:uid="{00000000-0005-0000-0000-000080550000}"/>
    <cellStyle name="Normal 3 15 17 11" xfId="21898" xr:uid="{00000000-0005-0000-0000-000081550000}"/>
    <cellStyle name="Normal 3 15 17 11 2" xfId="21899" xr:uid="{00000000-0005-0000-0000-000082550000}"/>
    <cellStyle name="Normal 3 15 17 11 3" xfId="21900" xr:uid="{00000000-0005-0000-0000-000083550000}"/>
    <cellStyle name="Normal 3 15 17 12" xfId="21901" xr:uid="{00000000-0005-0000-0000-000084550000}"/>
    <cellStyle name="Normal 3 15 17 12 2" xfId="21902" xr:uid="{00000000-0005-0000-0000-000085550000}"/>
    <cellStyle name="Normal 3 15 17 12 3" xfId="21903" xr:uid="{00000000-0005-0000-0000-000086550000}"/>
    <cellStyle name="Normal 3 15 17 13" xfId="21904" xr:uid="{00000000-0005-0000-0000-000087550000}"/>
    <cellStyle name="Normal 3 15 17 13 2" xfId="21905" xr:uid="{00000000-0005-0000-0000-000088550000}"/>
    <cellStyle name="Normal 3 15 17 13 3" xfId="21906" xr:uid="{00000000-0005-0000-0000-000089550000}"/>
    <cellStyle name="Normal 3 15 17 14" xfId="21907" xr:uid="{00000000-0005-0000-0000-00008A550000}"/>
    <cellStyle name="Normal 3 15 17 14 2" xfId="21908" xr:uid="{00000000-0005-0000-0000-00008B550000}"/>
    <cellStyle name="Normal 3 15 17 14 3" xfId="21909" xr:uid="{00000000-0005-0000-0000-00008C550000}"/>
    <cellStyle name="Normal 3 15 17 15" xfId="21910" xr:uid="{00000000-0005-0000-0000-00008D550000}"/>
    <cellStyle name="Normal 3 15 17 16" xfId="21911" xr:uid="{00000000-0005-0000-0000-00008E550000}"/>
    <cellStyle name="Normal 3 15 17 2" xfId="21912" xr:uid="{00000000-0005-0000-0000-00008F550000}"/>
    <cellStyle name="Normal 3 15 17 2 2" xfId="21913" xr:uid="{00000000-0005-0000-0000-000090550000}"/>
    <cellStyle name="Normal 3 15 17 2 3" xfId="21914" xr:uid="{00000000-0005-0000-0000-000091550000}"/>
    <cellStyle name="Normal 3 15 17 3" xfId="21915" xr:uid="{00000000-0005-0000-0000-000092550000}"/>
    <cellStyle name="Normal 3 15 17 3 2" xfId="21916" xr:uid="{00000000-0005-0000-0000-000093550000}"/>
    <cellStyle name="Normal 3 15 17 3 3" xfId="21917" xr:uid="{00000000-0005-0000-0000-000094550000}"/>
    <cellStyle name="Normal 3 15 17 4" xfId="21918" xr:uid="{00000000-0005-0000-0000-000095550000}"/>
    <cellStyle name="Normal 3 15 17 4 2" xfId="21919" xr:uid="{00000000-0005-0000-0000-000096550000}"/>
    <cellStyle name="Normal 3 15 17 4 3" xfId="21920" xr:uid="{00000000-0005-0000-0000-000097550000}"/>
    <cellStyle name="Normal 3 15 17 5" xfId="21921" xr:uid="{00000000-0005-0000-0000-000098550000}"/>
    <cellStyle name="Normal 3 15 17 5 2" xfId="21922" xr:uid="{00000000-0005-0000-0000-000099550000}"/>
    <cellStyle name="Normal 3 15 17 5 3" xfId="21923" xr:uid="{00000000-0005-0000-0000-00009A550000}"/>
    <cellStyle name="Normal 3 15 17 6" xfId="21924" xr:uid="{00000000-0005-0000-0000-00009B550000}"/>
    <cellStyle name="Normal 3 15 17 6 2" xfId="21925" xr:uid="{00000000-0005-0000-0000-00009C550000}"/>
    <cellStyle name="Normal 3 15 17 6 3" xfId="21926" xr:uid="{00000000-0005-0000-0000-00009D550000}"/>
    <cellStyle name="Normal 3 15 17 7" xfId="21927" xr:uid="{00000000-0005-0000-0000-00009E550000}"/>
    <cellStyle name="Normal 3 15 17 7 2" xfId="21928" xr:uid="{00000000-0005-0000-0000-00009F550000}"/>
    <cellStyle name="Normal 3 15 17 7 3" xfId="21929" xr:uid="{00000000-0005-0000-0000-0000A0550000}"/>
    <cellStyle name="Normal 3 15 17 8" xfId="21930" xr:uid="{00000000-0005-0000-0000-0000A1550000}"/>
    <cellStyle name="Normal 3 15 17 8 2" xfId="21931" xr:uid="{00000000-0005-0000-0000-0000A2550000}"/>
    <cellStyle name="Normal 3 15 17 8 3" xfId="21932" xr:uid="{00000000-0005-0000-0000-0000A3550000}"/>
    <cellStyle name="Normal 3 15 17 9" xfId="21933" xr:uid="{00000000-0005-0000-0000-0000A4550000}"/>
    <cellStyle name="Normal 3 15 17 9 2" xfId="21934" xr:uid="{00000000-0005-0000-0000-0000A5550000}"/>
    <cellStyle name="Normal 3 15 17 9 3" xfId="21935" xr:uid="{00000000-0005-0000-0000-0000A6550000}"/>
    <cellStyle name="Normal 3 15 18" xfId="21936" xr:uid="{00000000-0005-0000-0000-0000A7550000}"/>
    <cellStyle name="Normal 3 15 18 10" xfId="21937" xr:uid="{00000000-0005-0000-0000-0000A8550000}"/>
    <cellStyle name="Normal 3 15 18 10 2" xfId="21938" xr:uid="{00000000-0005-0000-0000-0000A9550000}"/>
    <cellStyle name="Normal 3 15 18 10 3" xfId="21939" xr:uid="{00000000-0005-0000-0000-0000AA550000}"/>
    <cellStyle name="Normal 3 15 18 11" xfId="21940" xr:uid="{00000000-0005-0000-0000-0000AB550000}"/>
    <cellStyle name="Normal 3 15 18 11 2" xfId="21941" xr:uid="{00000000-0005-0000-0000-0000AC550000}"/>
    <cellStyle name="Normal 3 15 18 11 3" xfId="21942" xr:uid="{00000000-0005-0000-0000-0000AD550000}"/>
    <cellStyle name="Normal 3 15 18 12" xfId="21943" xr:uid="{00000000-0005-0000-0000-0000AE550000}"/>
    <cellStyle name="Normal 3 15 18 12 2" xfId="21944" xr:uid="{00000000-0005-0000-0000-0000AF550000}"/>
    <cellStyle name="Normal 3 15 18 12 3" xfId="21945" xr:uid="{00000000-0005-0000-0000-0000B0550000}"/>
    <cellStyle name="Normal 3 15 18 13" xfId="21946" xr:uid="{00000000-0005-0000-0000-0000B1550000}"/>
    <cellStyle name="Normal 3 15 18 13 2" xfId="21947" xr:uid="{00000000-0005-0000-0000-0000B2550000}"/>
    <cellStyle name="Normal 3 15 18 13 3" xfId="21948" xr:uid="{00000000-0005-0000-0000-0000B3550000}"/>
    <cellStyle name="Normal 3 15 18 14" xfId="21949" xr:uid="{00000000-0005-0000-0000-0000B4550000}"/>
    <cellStyle name="Normal 3 15 18 14 2" xfId="21950" xr:uid="{00000000-0005-0000-0000-0000B5550000}"/>
    <cellStyle name="Normal 3 15 18 14 3" xfId="21951" xr:uid="{00000000-0005-0000-0000-0000B6550000}"/>
    <cellStyle name="Normal 3 15 18 15" xfId="21952" xr:uid="{00000000-0005-0000-0000-0000B7550000}"/>
    <cellStyle name="Normal 3 15 18 16" xfId="21953" xr:uid="{00000000-0005-0000-0000-0000B8550000}"/>
    <cellStyle name="Normal 3 15 18 2" xfId="21954" xr:uid="{00000000-0005-0000-0000-0000B9550000}"/>
    <cellStyle name="Normal 3 15 18 2 2" xfId="21955" xr:uid="{00000000-0005-0000-0000-0000BA550000}"/>
    <cellStyle name="Normal 3 15 18 2 3" xfId="21956" xr:uid="{00000000-0005-0000-0000-0000BB550000}"/>
    <cellStyle name="Normal 3 15 18 3" xfId="21957" xr:uid="{00000000-0005-0000-0000-0000BC550000}"/>
    <cellStyle name="Normal 3 15 18 3 2" xfId="21958" xr:uid="{00000000-0005-0000-0000-0000BD550000}"/>
    <cellStyle name="Normal 3 15 18 3 3" xfId="21959" xr:uid="{00000000-0005-0000-0000-0000BE550000}"/>
    <cellStyle name="Normal 3 15 18 4" xfId="21960" xr:uid="{00000000-0005-0000-0000-0000BF550000}"/>
    <cellStyle name="Normal 3 15 18 4 2" xfId="21961" xr:uid="{00000000-0005-0000-0000-0000C0550000}"/>
    <cellStyle name="Normal 3 15 18 4 3" xfId="21962" xr:uid="{00000000-0005-0000-0000-0000C1550000}"/>
    <cellStyle name="Normal 3 15 18 5" xfId="21963" xr:uid="{00000000-0005-0000-0000-0000C2550000}"/>
    <cellStyle name="Normal 3 15 18 5 2" xfId="21964" xr:uid="{00000000-0005-0000-0000-0000C3550000}"/>
    <cellStyle name="Normal 3 15 18 5 3" xfId="21965" xr:uid="{00000000-0005-0000-0000-0000C4550000}"/>
    <cellStyle name="Normal 3 15 18 6" xfId="21966" xr:uid="{00000000-0005-0000-0000-0000C5550000}"/>
    <cellStyle name="Normal 3 15 18 6 2" xfId="21967" xr:uid="{00000000-0005-0000-0000-0000C6550000}"/>
    <cellStyle name="Normal 3 15 18 6 3" xfId="21968" xr:uid="{00000000-0005-0000-0000-0000C7550000}"/>
    <cellStyle name="Normal 3 15 18 7" xfId="21969" xr:uid="{00000000-0005-0000-0000-0000C8550000}"/>
    <cellStyle name="Normal 3 15 18 7 2" xfId="21970" xr:uid="{00000000-0005-0000-0000-0000C9550000}"/>
    <cellStyle name="Normal 3 15 18 7 3" xfId="21971" xr:uid="{00000000-0005-0000-0000-0000CA550000}"/>
    <cellStyle name="Normal 3 15 18 8" xfId="21972" xr:uid="{00000000-0005-0000-0000-0000CB550000}"/>
    <cellStyle name="Normal 3 15 18 8 2" xfId="21973" xr:uid="{00000000-0005-0000-0000-0000CC550000}"/>
    <cellStyle name="Normal 3 15 18 8 3" xfId="21974" xr:uid="{00000000-0005-0000-0000-0000CD550000}"/>
    <cellStyle name="Normal 3 15 18 9" xfId="21975" xr:uid="{00000000-0005-0000-0000-0000CE550000}"/>
    <cellStyle name="Normal 3 15 18 9 2" xfId="21976" xr:uid="{00000000-0005-0000-0000-0000CF550000}"/>
    <cellStyle name="Normal 3 15 18 9 3" xfId="21977" xr:uid="{00000000-0005-0000-0000-0000D0550000}"/>
    <cellStyle name="Normal 3 15 2" xfId="21978" xr:uid="{00000000-0005-0000-0000-0000D1550000}"/>
    <cellStyle name="Normal 3 15 2 10" xfId="21979" xr:uid="{00000000-0005-0000-0000-0000D2550000}"/>
    <cellStyle name="Normal 3 15 2 10 2" xfId="21980" xr:uid="{00000000-0005-0000-0000-0000D3550000}"/>
    <cellStyle name="Normal 3 15 2 10 3" xfId="21981" xr:uid="{00000000-0005-0000-0000-0000D4550000}"/>
    <cellStyle name="Normal 3 15 2 11" xfId="21982" xr:uid="{00000000-0005-0000-0000-0000D5550000}"/>
    <cellStyle name="Normal 3 15 2 11 2" xfId="21983" xr:uid="{00000000-0005-0000-0000-0000D6550000}"/>
    <cellStyle name="Normal 3 15 2 11 3" xfId="21984" xr:uid="{00000000-0005-0000-0000-0000D7550000}"/>
    <cellStyle name="Normal 3 15 2 12" xfId="21985" xr:uid="{00000000-0005-0000-0000-0000D8550000}"/>
    <cellStyle name="Normal 3 15 2 12 2" xfId="21986" xr:uid="{00000000-0005-0000-0000-0000D9550000}"/>
    <cellStyle name="Normal 3 15 2 12 3" xfId="21987" xr:uid="{00000000-0005-0000-0000-0000DA550000}"/>
    <cellStyle name="Normal 3 15 2 13" xfId="21988" xr:uid="{00000000-0005-0000-0000-0000DB550000}"/>
    <cellStyle name="Normal 3 15 2 13 2" xfId="21989" xr:uid="{00000000-0005-0000-0000-0000DC550000}"/>
    <cellStyle name="Normal 3 15 2 13 3" xfId="21990" xr:uid="{00000000-0005-0000-0000-0000DD550000}"/>
    <cellStyle name="Normal 3 15 2 14" xfId="21991" xr:uid="{00000000-0005-0000-0000-0000DE550000}"/>
    <cellStyle name="Normal 3 15 2 14 2" xfId="21992" xr:uid="{00000000-0005-0000-0000-0000DF550000}"/>
    <cellStyle name="Normal 3 15 2 14 3" xfId="21993" xr:uid="{00000000-0005-0000-0000-0000E0550000}"/>
    <cellStyle name="Normal 3 15 2 15" xfId="21994" xr:uid="{00000000-0005-0000-0000-0000E1550000}"/>
    <cellStyle name="Normal 3 15 2 15 2" xfId="21995" xr:uid="{00000000-0005-0000-0000-0000E2550000}"/>
    <cellStyle name="Normal 3 15 2 15 3" xfId="21996" xr:uid="{00000000-0005-0000-0000-0000E3550000}"/>
    <cellStyle name="Normal 3 15 2 16" xfId="21997" xr:uid="{00000000-0005-0000-0000-0000E4550000}"/>
    <cellStyle name="Normal 3 15 2 16 2" xfId="21998" xr:uid="{00000000-0005-0000-0000-0000E5550000}"/>
    <cellStyle name="Normal 3 15 2 16 3" xfId="21999" xr:uid="{00000000-0005-0000-0000-0000E6550000}"/>
    <cellStyle name="Normal 3 15 2 17" xfId="22000" xr:uid="{00000000-0005-0000-0000-0000E7550000}"/>
    <cellStyle name="Normal 3 15 2 17 2" xfId="22001" xr:uid="{00000000-0005-0000-0000-0000E8550000}"/>
    <cellStyle name="Normal 3 15 2 17 3" xfId="22002" xr:uid="{00000000-0005-0000-0000-0000E9550000}"/>
    <cellStyle name="Normal 3 15 2 18" xfId="22003" xr:uid="{00000000-0005-0000-0000-0000EA550000}"/>
    <cellStyle name="Normal 3 15 2 19" xfId="22004" xr:uid="{00000000-0005-0000-0000-0000EB550000}"/>
    <cellStyle name="Normal 3 15 2 2" xfId="22005" xr:uid="{00000000-0005-0000-0000-0000EC550000}"/>
    <cellStyle name="Normal 3 15 2 3" xfId="22006" xr:uid="{00000000-0005-0000-0000-0000ED550000}"/>
    <cellStyle name="Normal 3 15 2 4" xfId="22007" xr:uid="{00000000-0005-0000-0000-0000EE550000}"/>
    <cellStyle name="Normal 3 15 2 5" xfId="22008" xr:uid="{00000000-0005-0000-0000-0000EF550000}"/>
    <cellStyle name="Normal 3 15 2 5 2" xfId="22009" xr:uid="{00000000-0005-0000-0000-0000F0550000}"/>
    <cellStyle name="Normal 3 15 2 5 3" xfId="22010" xr:uid="{00000000-0005-0000-0000-0000F1550000}"/>
    <cellStyle name="Normal 3 15 2 6" xfId="22011" xr:uid="{00000000-0005-0000-0000-0000F2550000}"/>
    <cellStyle name="Normal 3 15 2 6 2" xfId="22012" xr:uid="{00000000-0005-0000-0000-0000F3550000}"/>
    <cellStyle name="Normal 3 15 2 6 3" xfId="22013" xr:uid="{00000000-0005-0000-0000-0000F4550000}"/>
    <cellStyle name="Normal 3 15 2 7" xfId="22014" xr:uid="{00000000-0005-0000-0000-0000F5550000}"/>
    <cellStyle name="Normal 3 15 2 7 2" xfId="22015" xr:uid="{00000000-0005-0000-0000-0000F6550000}"/>
    <cellStyle name="Normal 3 15 2 7 3" xfId="22016" xr:uid="{00000000-0005-0000-0000-0000F7550000}"/>
    <cellStyle name="Normal 3 15 2 8" xfId="22017" xr:uid="{00000000-0005-0000-0000-0000F8550000}"/>
    <cellStyle name="Normal 3 15 2 8 2" xfId="22018" xr:uid="{00000000-0005-0000-0000-0000F9550000}"/>
    <cellStyle name="Normal 3 15 2 8 3" xfId="22019" xr:uid="{00000000-0005-0000-0000-0000FA550000}"/>
    <cellStyle name="Normal 3 15 2 9" xfId="22020" xr:uid="{00000000-0005-0000-0000-0000FB550000}"/>
    <cellStyle name="Normal 3 15 2 9 2" xfId="22021" xr:uid="{00000000-0005-0000-0000-0000FC550000}"/>
    <cellStyle name="Normal 3 15 2 9 3" xfId="22022" xr:uid="{00000000-0005-0000-0000-0000FD550000}"/>
    <cellStyle name="Normal 3 15 3" xfId="22023" xr:uid="{00000000-0005-0000-0000-0000FE550000}"/>
    <cellStyle name="Normal 3 15 4" xfId="22024" xr:uid="{00000000-0005-0000-0000-0000FF550000}"/>
    <cellStyle name="Normal 3 15 5" xfId="22025" xr:uid="{00000000-0005-0000-0000-000000560000}"/>
    <cellStyle name="Normal 3 15 6" xfId="22026" xr:uid="{00000000-0005-0000-0000-000001560000}"/>
    <cellStyle name="Normal 3 15 6 10" xfId="22027" xr:uid="{00000000-0005-0000-0000-000002560000}"/>
    <cellStyle name="Normal 3 15 6 10 2" xfId="22028" xr:uid="{00000000-0005-0000-0000-000003560000}"/>
    <cellStyle name="Normal 3 15 6 10 3" xfId="22029" xr:uid="{00000000-0005-0000-0000-000004560000}"/>
    <cellStyle name="Normal 3 15 6 11" xfId="22030" xr:uid="{00000000-0005-0000-0000-000005560000}"/>
    <cellStyle name="Normal 3 15 6 11 2" xfId="22031" xr:uid="{00000000-0005-0000-0000-000006560000}"/>
    <cellStyle name="Normal 3 15 6 11 3" xfId="22032" xr:uid="{00000000-0005-0000-0000-000007560000}"/>
    <cellStyle name="Normal 3 15 6 12" xfId="22033" xr:uid="{00000000-0005-0000-0000-000008560000}"/>
    <cellStyle name="Normal 3 15 6 12 2" xfId="22034" xr:uid="{00000000-0005-0000-0000-000009560000}"/>
    <cellStyle name="Normal 3 15 6 12 3" xfId="22035" xr:uid="{00000000-0005-0000-0000-00000A560000}"/>
    <cellStyle name="Normal 3 15 6 13" xfId="22036" xr:uid="{00000000-0005-0000-0000-00000B560000}"/>
    <cellStyle name="Normal 3 15 6 13 2" xfId="22037" xr:uid="{00000000-0005-0000-0000-00000C560000}"/>
    <cellStyle name="Normal 3 15 6 13 3" xfId="22038" xr:uid="{00000000-0005-0000-0000-00000D560000}"/>
    <cellStyle name="Normal 3 15 6 14" xfId="22039" xr:uid="{00000000-0005-0000-0000-00000E560000}"/>
    <cellStyle name="Normal 3 15 6 14 2" xfId="22040" xr:uid="{00000000-0005-0000-0000-00000F560000}"/>
    <cellStyle name="Normal 3 15 6 14 3" xfId="22041" xr:uid="{00000000-0005-0000-0000-000010560000}"/>
    <cellStyle name="Normal 3 15 6 15" xfId="22042" xr:uid="{00000000-0005-0000-0000-000011560000}"/>
    <cellStyle name="Normal 3 15 6 15 2" xfId="22043" xr:uid="{00000000-0005-0000-0000-000012560000}"/>
    <cellStyle name="Normal 3 15 6 15 3" xfId="22044" xr:uid="{00000000-0005-0000-0000-000013560000}"/>
    <cellStyle name="Normal 3 15 6 16" xfId="22045" xr:uid="{00000000-0005-0000-0000-000014560000}"/>
    <cellStyle name="Normal 3 15 6 17" xfId="22046" xr:uid="{00000000-0005-0000-0000-000015560000}"/>
    <cellStyle name="Normal 3 15 6 2" xfId="22047" xr:uid="{00000000-0005-0000-0000-000016560000}"/>
    <cellStyle name="Normal 3 15 6 2 10" xfId="22048" xr:uid="{00000000-0005-0000-0000-000017560000}"/>
    <cellStyle name="Normal 3 15 6 2 10 2" xfId="22049" xr:uid="{00000000-0005-0000-0000-000018560000}"/>
    <cellStyle name="Normal 3 15 6 2 10 3" xfId="22050" xr:uid="{00000000-0005-0000-0000-000019560000}"/>
    <cellStyle name="Normal 3 15 6 2 11" xfId="22051" xr:uid="{00000000-0005-0000-0000-00001A560000}"/>
    <cellStyle name="Normal 3 15 6 2 11 2" xfId="22052" xr:uid="{00000000-0005-0000-0000-00001B560000}"/>
    <cellStyle name="Normal 3 15 6 2 11 3" xfId="22053" xr:uid="{00000000-0005-0000-0000-00001C560000}"/>
    <cellStyle name="Normal 3 15 6 2 12" xfId="22054" xr:uid="{00000000-0005-0000-0000-00001D560000}"/>
    <cellStyle name="Normal 3 15 6 2 12 2" xfId="22055" xr:uid="{00000000-0005-0000-0000-00001E560000}"/>
    <cellStyle name="Normal 3 15 6 2 12 3" xfId="22056" xr:uid="{00000000-0005-0000-0000-00001F560000}"/>
    <cellStyle name="Normal 3 15 6 2 13" xfId="22057" xr:uid="{00000000-0005-0000-0000-000020560000}"/>
    <cellStyle name="Normal 3 15 6 2 13 2" xfId="22058" xr:uid="{00000000-0005-0000-0000-000021560000}"/>
    <cellStyle name="Normal 3 15 6 2 13 3" xfId="22059" xr:uid="{00000000-0005-0000-0000-000022560000}"/>
    <cellStyle name="Normal 3 15 6 2 14" xfId="22060" xr:uid="{00000000-0005-0000-0000-000023560000}"/>
    <cellStyle name="Normal 3 15 6 2 14 2" xfId="22061" xr:uid="{00000000-0005-0000-0000-000024560000}"/>
    <cellStyle name="Normal 3 15 6 2 14 3" xfId="22062" xr:uid="{00000000-0005-0000-0000-000025560000}"/>
    <cellStyle name="Normal 3 15 6 2 15" xfId="22063" xr:uid="{00000000-0005-0000-0000-000026560000}"/>
    <cellStyle name="Normal 3 15 6 2 16" xfId="22064" xr:uid="{00000000-0005-0000-0000-000027560000}"/>
    <cellStyle name="Normal 3 15 6 2 2" xfId="22065" xr:uid="{00000000-0005-0000-0000-000028560000}"/>
    <cellStyle name="Normal 3 15 6 2 2 2" xfId="22066" xr:uid="{00000000-0005-0000-0000-000029560000}"/>
    <cellStyle name="Normal 3 15 6 2 2 3" xfId="22067" xr:uid="{00000000-0005-0000-0000-00002A560000}"/>
    <cellStyle name="Normal 3 15 6 2 3" xfId="22068" xr:uid="{00000000-0005-0000-0000-00002B560000}"/>
    <cellStyle name="Normal 3 15 6 2 3 2" xfId="22069" xr:uid="{00000000-0005-0000-0000-00002C560000}"/>
    <cellStyle name="Normal 3 15 6 2 3 3" xfId="22070" xr:uid="{00000000-0005-0000-0000-00002D560000}"/>
    <cellStyle name="Normal 3 15 6 2 4" xfId="22071" xr:uid="{00000000-0005-0000-0000-00002E560000}"/>
    <cellStyle name="Normal 3 15 6 2 4 2" xfId="22072" xr:uid="{00000000-0005-0000-0000-00002F560000}"/>
    <cellStyle name="Normal 3 15 6 2 4 3" xfId="22073" xr:uid="{00000000-0005-0000-0000-000030560000}"/>
    <cellStyle name="Normal 3 15 6 2 5" xfId="22074" xr:uid="{00000000-0005-0000-0000-000031560000}"/>
    <cellStyle name="Normal 3 15 6 2 5 2" xfId="22075" xr:uid="{00000000-0005-0000-0000-000032560000}"/>
    <cellStyle name="Normal 3 15 6 2 5 3" xfId="22076" xr:uid="{00000000-0005-0000-0000-000033560000}"/>
    <cellStyle name="Normal 3 15 6 2 6" xfId="22077" xr:uid="{00000000-0005-0000-0000-000034560000}"/>
    <cellStyle name="Normal 3 15 6 2 6 2" xfId="22078" xr:uid="{00000000-0005-0000-0000-000035560000}"/>
    <cellStyle name="Normal 3 15 6 2 6 3" xfId="22079" xr:uid="{00000000-0005-0000-0000-000036560000}"/>
    <cellStyle name="Normal 3 15 6 2 7" xfId="22080" xr:uid="{00000000-0005-0000-0000-000037560000}"/>
    <cellStyle name="Normal 3 15 6 2 7 2" xfId="22081" xr:uid="{00000000-0005-0000-0000-000038560000}"/>
    <cellStyle name="Normal 3 15 6 2 7 3" xfId="22082" xr:uid="{00000000-0005-0000-0000-000039560000}"/>
    <cellStyle name="Normal 3 15 6 2 8" xfId="22083" xr:uid="{00000000-0005-0000-0000-00003A560000}"/>
    <cellStyle name="Normal 3 15 6 2 8 2" xfId="22084" xr:uid="{00000000-0005-0000-0000-00003B560000}"/>
    <cellStyle name="Normal 3 15 6 2 8 3" xfId="22085" xr:uid="{00000000-0005-0000-0000-00003C560000}"/>
    <cellStyle name="Normal 3 15 6 2 9" xfId="22086" xr:uid="{00000000-0005-0000-0000-00003D560000}"/>
    <cellStyle name="Normal 3 15 6 2 9 2" xfId="22087" xr:uid="{00000000-0005-0000-0000-00003E560000}"/>
    <cellStyle name="Normal 3 15 6 2 9 3" xfId="22088" xr:uid="{00000000-0005-0000-0000-00003F560000}"/>
    <cellStyle name="Normal 3 15 6 3" xfId="22089" xr:uid="{00000000-0005-0000-0000-000040560000}"/>
    <cellStyle name="Normal 3 15 6 3 2" xfId="22090" xr:uid="{00000000-0005-0000-0000-000041560000}"/>
    <cellStyle name="Normal 3 15 6 3 3" xfId="22091" xr:uid="{00000000-0005-0000-0000-000042560000}"/>
    <cellStyle name="Normal 3 15 6 4" xfId="22092" xr:uid="{00000000-0005-0000-0000-000043560000}"/>
    <cellStyle name="Normal 3 15 6 4 2" xfId="22093" xr:uid="{00000000-0005-0000-0000-000044560000}"/>
    <cellStyle name="Normal 3 15 6 4 3" xfId="22094" xr:uid="{00000000-0005-0000-0000-000045560000}"/>
    <cellStyle name="Normal 3 15 6 5" xfId="22095" xr:uid="{00000000-0005-0000-0000-000046560000}"/>
    <cellStyle name="Normal 3 15 6 5 2" xfId="22096" xr:uid="{00000000-0005-0000-0000-000047560000}"/>
    <cellStyle name="Normal 3 15 6 5 3" xfId="22097" xr:uid="{00000000-0005-0000-0000-000048560000}"/>
    <cellStyle name="Normal 3 15 6 6" xfId="22098" xr:uid="{00000000-0005-0000-0000-000049560000}"/>
    <cellStyle name="Normal 3 15 6 6 2" xfId="22099" xr:uid="{00000000-0005-0000-0000-00004A560000}"/>
    <cellStyle name="Normal 3 15 6 6 3" xfId="22100" xr:uid="{00000000-0005-0000-0000-00004B560000}"/>
    <cellStyle name="Normal 3 15 6 7" xfId="22101" xr:uid="{00000000-0005-0000-0000-00004C560000}"/>
    <cellStyle name="Normal 3 15 6 7 2" xfId="22102" xr:uid="{00000000-0005-0000-0000-00004D560000}"/>
    <cellStyle name="Normal 3 15 6 7 3" xfId="22103" xr:uid="{00000000-0005-0000-0000-00004E560000}"/>
    <cellStyle name="Normal 3 15 6 8" xfId="22104" xr:uid="{00000000-0005-0000-0000-00004F560000}"/>
    <cellStyle name="Normal 3 15 6 8 2" xfId="22105" xr:uid="{00000000-0005-0000-0000-000050560000}"/>
    <cellStyle name="Normal 3 15 6 8 3" xfId="22106" xr:uid="{00000000-0005-0000-0000-000051560000}"/>
    <cellStyle name="Normal 3 15 6 9" xfId="22107" xr:uid="{00000000-0005-0000-0000-000052560000}"/>
    <cellStyle name="Normal 3 15 6 9 2" xfId="22108" xr:uid="{00000000-0005-0000-0000-000053560000}"/>
    <cellStyle name="Normal 3 15 6 9 3" xfId="22109" xr:uid="{00000000-0005-0000-0000-000054560000}"/>
    <cellStyle name="Normal 3 15 7" xfId="22110" xr:uid="{00000000-0005-0000-0000-000055560000}"/>
    <cellStyle name="Normal 3 15 7 10" xfId="22111" xr:uid="{00000000-0005-0000-0000-000056560000}"/>
    <cellStyle name="Normal 3 15 7 10 2" xfId="22112" xr:uid="{00000000-0005-0000-0000-000057560000}"/>
    <cellStyle name="Normal 3 15 7 10 3" xfId="22113" xr:uid="{00000000-0005-0000-0000-000058560000}"/>
    <cellStyle name="Normal 3 15 7 11" xfId="22114" xr:uid="{00000000-0005-0000-0000-000059560000}"/>
    <cellStyle name="Normal 3 15 7 11 2" xfId="22115" xr:uid="{00000000-0005-0000-0000-00005A560000}"/>
    <cellStyle name="Normal 3 15 7 11 3" xfId="22116" xr:uid="{00000000-0005-0000-0000-00005B560000}"/>
    <cellStyle name="Normal 3 15 7 12" xfId="22117" xr:uid="{00000000-0005-0000-0000-00005C560000}"/>
    <cellStyle name="Normal 3 15 7 12 2" xfId="22118" xr:uid="{00000000-0005-0000-0000-00005D560000}"/>
    <cellStyle name="Normal 3 15 7 12 3" xfId="22119" xr:uid="{00000000-0005-0000-0000-00005E560000}"/>
    <cellStyle name="Normal 3 15 7 13" xfId="22120" xr:uid="{00000000-0005-0000-0000-00005F560000}"/>
    <cellStyle name="Normal 3 15 7 13 2" xfId="22121" xr:uid="{00000000-0005-0000-0000-000060560000}"/>
    <cellStyle name="Normal 3 15 7 13 3" xfId="22122" xr:uid="{00000000-0005-0000-0000-000061560000}"/>
    <cellStyle name="Normal 3 15 7 14" xfId="22123" xr:uid="{00000000-0005-0000-0000-000062560000}"/>
    <cellStyle name="Normal 3 15 7 14 2" xfId="22124" xr:uid="{00000000-0005-0000-0000-000063560000}"/>
    <cellStyle name="Normal 3 15 7 14 3" xfId="22125" xr:uid="{00000000-0005-0000-0000-000064560000}"/>
    <cellStyle name="Normal 3 15 7 15" xfId="22126" xr:uid="{00000000-0005-0000-0000-000065560000}"/>
    <cellStyle name="Normal 3 15 7 15 2" xfId="22127" xr:uid="{00000000-0005-0000-0000-000066560000}"/>
    <cellStyle name="Normal 3 15 7 15 3" xfId="22128" xr:uid="{00000000-0005-0000-0000-000067560000}"/>
    <cellStyle name="Normal 3 15 7 16" xfId="22129" xr:uid="{00000000-0005-0000-0000-000068560000}"/>
    <cellStyle name="Normal 3 15 7 17" xfId="22130" xr:uid="{00000000-0005-0000-0000-000069560000}"/>
    <cellStyle name="Normal 3 15 7 2" xfId="22131" xr:uid="{00000000-0005-0000-0000-00006A560000}"/>
    <cellStyle name="Normal 3 15 7 2 10" xfId="22132" xr:uid="{00000000-0005-0000-0000-00006B560000}"/>
    <cellStyle name="Normal 3 15 7 2 10 2" xfId="22133" xr:uid="{00000000-0005-0000-0000-00006C560000}"/>
    <cellStyle name="Normal 3 15 7 2 10 3" xfId="22134" xr:uid="{00000000-0005-0000-0000-00006D560000}"/>
    <cellStyle name="Normal 3 15 7 2 11" xfId="22135" xr:uid="{00000000-0005-0000-0000-00006E560000}"/>
    <cellStyle name="Normal 3 15 7 2 11 2" xfId="22136" xr:uid="{00000000-0005-0000-0000-00006F560000}"/>
    <cellStyle name="Normal 3 15 7 2 11 3" xfId="22137" xr:uid="{00000000-0005-0000-0000-000070560000}"/>
    <cellStyle name="Normal 3 15 7 2 12" xfId="22138" xr:uid="{00000000-0005-0000-0000-000071560000}"/>
    <cellStyle name="Normal 3 15 7 2 12 2" xfId="22139" xr:uid="{00000000-0005-0000-0000-000072560000}"/>
    <cellStyle name="Normal 3 15 7 2 12 3" xfId="22140" xr:uid="{00000000-0005-0000-0000-000073560000}"/>
    <cellStyle name="Normal 3 15 7 2 13" xfId="22141" xr:uid="{00000000-0005-0000-0000-000074560000}"/>
    <cellStyle name="Normal 3 15 7 2 13 2" xfId="22142" xr:uid="{00000000-0005-0000-0000-000075560000}"/>
    <cellStyle name="Normal 3 15 7 2 13 3" xfId="22143" xr:uid="{00000000-0005-0000-0000-000076560000}"/>
    <cellStyle name="Normal 3 15 7 2 14" xfId="22144" xr:uid="{00000000-0005-0000-0000-000077560000}"/>
    <cellStyle name="Normal 3 15 7 2 14 2" xfId="22145" xr:uid="{00000000-0005-0000-0000-000078560000}"/>
    <cellStyle name="Normal 3 15 7 2 14 3" xfId="22146" xr:uid="{00000000-0005-0000-0000-000079560000}"/>
    <cellStyle name="Normal 3 15 7 2 15" xfId="22147" xr:uid="{00000000-0005-0000-0000-00007A560000}"/>
    <cellStyle name="Normal 3 15 7 2 16" xfId="22148" xr:uid="{00000000-0005-0000-0000-00007B560000}"/>
    <cellStyle name="Normal 3 15 7 2 2" xfId="22149" xr:uid="{00000000-0005-0000-0000-00007C560000}"/>
    <cellStyle name="Normal 3 15 7 2 2 2" xfId="22150" xr:uid="{00000000-0005-0000-0000-00007D560000}"/>
    <cellStyle name="Normal 3 15 7 2 2 3" xfId="22151" xr:uid="{00000000-0005-0000-0000-00007E560000}"/>
    <cellStyle name="Normal 3 15 7 2 3" xfId="22152" xr:uid="{00000000-0005-0000-0000-00007F560000}"/>
    <cellStyle name="Normal 3 15 7 2 3 2" xfId="22153" xr:uid="{00000000-0005-0000-0000-000080560000}"/>
    <cellStyle name="Normal 3 15 7 2 3 3" xfId="22154" xr:uid="{00000000-0005-0000-0000-000081560000}"/>
    <cellStyle name="Normal 3 15 7 2 4" xfId="22155" xr:uid="{00000000-0005-0000-0000-000082560000}"/>
    <cellStyle name="Normal 3 15 7 2 4 2" xfId="22156" xr:uid="{00000000-0005-0000-0000-000083560000}"/>
    <cellStyle name="Normal 3 15 7 2 4 3" xfId="22157" xr:uid="{00000000-0005-0000-0000-000084560000}"/>
    <cellStyle name="Normal 3 15 7 2 5" xfId="22158" xr:uid="{00000000-0005-0000-0000-000085560000}"/>
    <cellStyle name="Normal 3 15 7 2 5 2" xfId="22159" xr:uid="{00000000-0005-0000-0000-000086560000}"/>
    <cellStyle name="Normal 3 15 7 2 5 3" xfId="22160" xr:uid="{00000000-0005-0000-0000-000087560000}"/>
    <cellStyle name="Normal 3 15 7 2 6" xfId="22161" xr:uid="{00000000-0005-0000-0000-000088560000}"/>
    <cellStyle name="Normal 3 15 7 2 6 2" xfId="22162" xr:uid="{00000000-0005-0000-0000-000089560000}"/>
    <cellStyle name="Normal 3 15 7 2 6 3" xfId="22163" xr:uid="{00000000-0005-0000-0000-00008A560000}"/>
    <cellStyle name="Normal 3 15 7 2 7" xfId="22164" xr:uid="{00000000-0005-0000-0000-00008B560000}"/>
    <cellStyle name="Normal 3 15 7 2 7 2" xfId="22165" xr:uid="{00000000-0005-0000-0000-00008C560000}"/>
    <cellStyle name="Normal 3 15 7 2 7 3" xfId="22166" xr:uid="{00000000-0005-0000-0000-00008D560000}"/>
    <cellStyle name="Normal 3 15 7 2 8" xfId="22167" xr:uid="{00000000-0005-0000-0000-00008E560000}"/>
    <cellStyle name="Normal 3 15 7 2 8 2" xfId="22168" xr:uid="{00000000-0005-0000-0000-00008F560000}"/>
    <cellStyle name="Normal 3 15 7 2 8 3" xfId="22169" xr:uid="{00000000-0005-0000-0000-000090560000}"/>
    <cellStyle name="Normal 3 15 7 2 9" xfId="22170" xr:uid="{00000000-0005-0000-0000-000091560000}"/>
    <cellStyle name="Normal 3 15 7 2 9 2" xfId="22171" xr:uid="{00000000-0005-0000-0000-000092560000}"/>
    <cellStyle name="Normal 3 15 7 2 9 3" xfId="22172" xr:uid="{00000000-0005-0000-0000-000093560000}"/>
    <cellStyle name="Normal 3 15 7 3" xfId="22173" xr:uid="{00000000-0005-0000-0000-000094560000}"/>
    <cellStyle name="Normal 3 15 7 3 2" xfId="22174" xr:uid="{00000000-0005-0000-0000-000095560000}"/>
    <cellStyle name="Normal 3 15 7 3 3" xfId="22175" xr:uid="{00000000-0005-0000-0000-000096560000}"/>
    <cellStyle name="Normal 3 15 7 4" xfId="22176" xr:uid="{00000000-0005-0000-0000-000097560000}"/>
    <cellStyle name="Normal 3 15 7 4 2" xfId="22177" xr:uid="{00000000-0005-0000-0000-000098560000}"/>
    <cellStyle name="Normal 3 15 7 4 3" xfId="22178" xr:uid="{00000000-0005-0000-0000-000099560000}"/>
    <cellStyle name="Normal 3 15 7 5" xfId="22179" xr:uid="{00000000-0005-0000-0000-00009A560000}"/>
    <cellStyle name="Normal 3 15 7 5 2" xfId="22180" xr:uid="{00000000-0005-0000-0000-00009B560000}"/>
    <cellStyle name="Normal 3 15 7 5 3" xfId="22181" xr:uid="{00000000-0005-0000-0000-00009C560000}"/>
    <cellStyle name="Normal 3 15 7 6" xfId="22182" xr:uid="{00000000-0005-0000-0000-00009D560000}"/>
    <cellStyle name="Normal 3 15 7 6 2" xfId="22183" xr:uid="{00000000-0005-0000-0000-00009E560000}"/>
    <cellStyle name="Normal 3 15 7 6 3" xfId="22184" xr:uid="{00000000-0005-0000-0000-00009F560000}"/>
    <cellStyle name="Normal 3 15 7 7" xfId="22185" xr:uid="{00000000-0005-0000-0000-0000A0560000}"/>
    <cellStyle name="Normal 3 15 7 7 2" xfId="22186" xr:uid="{00000000-0005-0000-0000-0000A1560000}"/>
    <cellStyle name="Normal 3 15 7 7 3" xfId="22187" xr:uid="{00000000-0005-0000-0000-0000A2560000}"/>
    <cellStyle name="Normal 3 15 7 8" xfId="22188" xr:uid="{00000000-0005-0000-0000-0000A3560000}"/>
    <cellStyle name="Normal 3 15 7 8 2" xfId="22189" xr:uid="{00000000-0005-0000-0000-0000A4560000}"/>
    <cellStyle name="Normal 3 15 7 8 3" xfId="22190" xr:uid="{00000000-0005-0000-0000-0000A5560000}"/>
    <cellStyle name="Normal 3 15 7 9" xfId="22191" xr:uid="{00000000-0005-0000-0000-0000A6560000}"/>
    <cellStyle name="Normal 3 15 7 9 2" xfId="22192" xr:uid="{00000000-0005-0000-0000-0000A7560000}"/>
    <cellStyle name="Normal 3 15 7 9 3" xfId="22193" xr:uid="{00000000-0005-0000-0000-0000A8560000}"/>
    <cellStyle name="Normal 3 15 8" xfId="22194" xr:uid="{00000000-0005-0000-0000-0000A9560000}"/>
    <cellStyle name="Normal 3 15 8 10" xfId="22195" xr:uid="{00000000-0005-0000-0000-0000AA560000}"/>
    <cellStyle name="Normal 3 15 8 10 2" xfId="22196" xr:uid="{00000000-0005-0000-0000-0000AB560000}"/>
    <cellStyle name="Normal 3 15 8 10 3" xfId="22197" xr:uid="{00000000-0005-0000-0000-0000AC560000}"/>
    <cellStyle name="Normal 3 15 8 11" xfId="22198" xr:uid="{00000000-0005-0000-0000-0000AD560000}"/>
    <cellStyle name="Normal 3 15 8 11 2" xfId="22199" xr:uid="{00000000-0005-0000-0000-0000AE560000}"/>
    <cellStyle name="Normal 3 15 8 11 3" xfId="22200" xr:uid="{00000000-0005-0000-0000-0000AF560000}"/>
    <cellStyle name="Normal 3 15 8 12" xfId="22201" xr:uid="{00000000-0005-0000-0000-0000B0560000}"/>
    <cellStyle name="Normal 3 15 8 12 2" xfId="22202" xr:uid="{00000000-0005-0000-0000-0000B1560000}"/>
    <cellStyle name="Normal 3 15 8 12 3" xfId="22203" xr:uid="{00000000-0005-0000-0000-0000B2560000}"/>
    <cellStyle name="Normal 3 15 8 13" xfId="22204" xr:uid="{00000000-0005-0000-0000-0000B3560000}"/>
    <cellStyle name="Normal 3 15 8 13 2" xfId="22205" xr:uid="{00000000-0005-0000-0000-0000B4560000}"/>
    <cellStyle name="Normal 3 15 8 13 3" xfId="22206" xr:uid="{00000000-0005-0000-0000-0000B5560000}"/>
    <cellStyle name="Normal 3 15 8 14" xfId="22207" xr:uid="{00000000-0005-0000-0000-0000B6560000}"/>
    <cellStyle name="Normal 3 15 8 14 2" xfId="22208" xr:uid="{00000000-0005-0000-0000-0000B7560000}"/>
    <cellStyle name="Normal 3 15 8 14 3" xfId="22209" xr:uid="{00000000-0005-0000-0000-0000B8560000}"/>
    <cellStyle name="Normal 3 15 8 15" xfId="22210" xr:uid="{00000000-0005-0000-0000-0000B9560000}"/>
    <cellStyle name="Normal 3 15 8 15 2" xfId="22211" xr:uid="{00000000-0005-0000-0000-0000BA560000}"/>
    <cellStyle name="Normal 3 15 8 15 3" xfId="22212" xr:uid="{00000000-0005-0000-0000-0000BB560000}"/>
    <cellStyle name="Normal 3 15 8 16" xfId="22213" xr:uid="{00000000-0005-0000-0000-0000BC560000}"/>
    <cellStyle name="Normal 3 15 8 17" xfId="22214" xr:uid="{00000000-0005-0000-0000-0000BD560000}"/>
    <cellStyle name="Normal 3 15 8 2" xfId="22215" xr:uid="{00000000-0005-0000-0000-0000BE560000}"/>
    <cellStyle name="Normal 3 15 8 2 10" xfId="22216" xr:uid="{00000000-0005-0000-0000-0000BF560000}"/>
    <cellStyle name="Normal 3 15 8 2 10 2" xfId="22217" xr:uid="{00000000-0005-0000-0000-0000C0560000}"/>
    <cellStyle name="Normal 3 15 8 2 10 3" xfId="22218" xr:uid="{00000000-0005-0000-0000-0000C1560000}"/>
    <cellStyle name="Normal 3 15 8 2 11" xfId="22219" xr:uid="{00000000-0005-0000-0000-0000C2560000}"/>
    <cellStyle name="Normal 3 15 8 2 11 2" xfId="22220" xr:uid="{00000000-0005-0000-0000-0000C3560000}"/>
    <cellStyle name="Normal 3 15 8 2 11 3" xfId="22221" xr:uid="{00000000-0005-0000-0000-0000C4560000}"/>
    <cellStyle name="Normal 3 15 8 2 12" xfId="22222" xr:uid="{00000000-0005-0000-0000-0000C5560000}"/>
    <cellStyle name="Normal 3 15 8 2 12 2" xfId="22223" xr:uid="{00000000-0005-0000-0000-0000C6560000}"/>
    <cellStyle name="Normal 3 15 8 2 12 3" xfId="22224" xr:uid="{00000000-0005-0000-0000-0000C7560000}"/>
    <cellStyle name="Normal 3 15 8 2 13" xfId="22225" xr:uid="{00000000-0005-0000-0000-0000C8560000}"/>
    <cellStyle name="Normal 3 15 8 2 13 2" xfId="22226" xr:uid="{00000000-0005-0000-0000-0000C9560000}"/>
    <cellStyle name="Normal 3 15 8 2 13 3" xfId="22227" xr:uid="{00000000-0005-0000-0000-0000CA560000}"/>
    <cellStyle name="Normal 3 15 8 2 14" xfId="22228" xr:uid="{00000000-0005-0000-0000-0000CB560000}"/>
    <cellStyle name="Normal 3 15 8 2 14 2" xfId="22229" xr:uid="{00000000-0005-0000-0000-0000CC560000}"/>
    <cellStyle name="Normal 3 15 8 2 14 3" xfId="22230" xr:uid="{00000000-0005-0000-0000-0000CD560000}"/>
    <cellStyle name="Normal 3 15 8 2 15" xfId="22231" xr:uid="{00000000-0005-0000-0000-0000CE560000}"/>
    <cellStyle name="Normal 3 15 8 2 16" xfId="22232" xr:uid="{00000000-0005-0000-0000-0000CF560000}"/>
    <cellStyle name="Normal 3 15 8 2 2" xfId="22233" xr:uid="{00000000-0005-0000-0000-0000D0560000}"/>
    <cellStyle name="Normal 3 15 8 2 2 2" xfId="22234" xr:uid="{00000000-0005-0000-0000-0000D1560000}"/>
    <cellStyle name="Normal 3 15 8 2 2 3" xfId="22235" xr:uid="{00000000-0005-0000-0000-0000D2560000}"/>
    <cellStyle name="Normal 3 15 8 2 3" xfId="22236" xr:uid="{00000000-0005-0000-0000-0000D3560000}"/>
    <cellStyle name="Normal 3 15 8 2 3 2" xfId="22237" xr:uid="{00000000-0005-0000-0000-0000D4560000}"/>
    <cellStyle name="Normal 3 15 8 2 3 3" xfId="22238" xr:uid="{00000000-0005-0000-0000-0000D5560000}"/>
    <cellStyle name="Normal 3 15 8 2 4" xfId="22239" xr:uid="{00000000-0005-0000-0000-0000D6560000}"/>
    <cellStyle name="Normal 3 15 8 2 4 2" xfId="22240" xr:uid="{00000000-0005-0000-0000-0000D7560000}"/>
    <cellStyle name="Normal 3 15 8 2 4 3" xfId="22241" xr:uid="{00000000-0005-0000-0000-0000D8560000}"/>
    <cellStyle name="Normal 3 15 8 2 5" xfId="22242" xr:uid="{00000000-0005-0000-0000-0000D9560000}"/>
    <cellStyle name="Normal 3 15 8 2 5 2" xfId="22243" xr:uid="{00000000-0005-0000-0000-0000DA560000}"/>
    <cellStyle name="Normal 3 15 8 2 5 3" xfId="22244" xr:uid="{00000000-0005-0000-0000-0000DB560000}"/>
    <cellStyle name="Normal 3 15 8 2 6" xfId="22245" xr:uid="{00000000-0005-0000-0000-0000DC560000}"/>
    <cellStyle name="Normal 3 15 8 2 6 2" xfId="22246" xr:uid="{00000000-0005-0000-0000-0000DD560000}"/>
    <cellStyle name="Normal 3 15 8 2 6 3" xfId="22247" xr:uid="{00000000-0005-0000-0000-0000DE560000}"/>
    <cellStyle name="Normal 3 15 8 2 7" xfId="22248" xr:uid="{00000000-0005-0000-0000-0000DF560000}"/>
    <cellStyle name="Normal 3 15 8 2 7 2" xfId="22249" xr:uid="{00000000-0005-0000-0000-0000E0560000}"/>
    <cellStyle name="Normal 3 15 8 2 7 3" xfId="22250" xr:uid="{00000000-0005-0000-0000-0000E1560000}"/>
    <cellStyle name="Normal 3 15 8 2 8" xfId="22251" xr:uid="{00000000-0005-0000-0000-0000E2560000}"/>
    <cellStyle name="Normal 3 15 8 2 8 2" xfId="22252" xr:uid="{00000000-0005-0000-0000-0000E3560000}"/>
    <cellStyle name="Normal 3 15 8 2 8 3" xfId="22253" xr:uid="{00000000-0005-0000-0000-0000E4560000}"/>
    <cellStyle name="Normal 3 15 8 2 9" xfId="22254" xr:uid="{00000000-0005-0000-0000-0000E5560000}"/>
    <cellStyle name="Normal 3 15 8 2 9 2" xfId="22255" xr:uid="{00000000-0005-0000-0000-0000E6560000}"/>
    <cellStyle name="Normal 3 15 8 2 9 3" xfId="22256" xr:uid="{00000000-0005-0000-0000-0000E7560000}"/>
    <cellStyle name="Normal 3 15 8 3" xfId="22257" xr:uid="{00000000-0005-0000-0000-0000E8560000}"/>
    <cellStyle name="Normal 3 15 8 3 2" xfId="22258" xr:uid="{00000000-0005-0000-0000-0000E9560000}"/>
    <cellStyle name="Normal 3 15 8 3 3" xfId="22259" xr:uid="{00000000-0005-0000-0000-0000EA560000}"/>
    <cellStyle name="Normal 3 15 8 4" xfId="22260" xr:uid="{00000000-0005-0000-0000-0000EB560000}"/>
    <cellStyle name="Normal 3 15 8 4 2" xfId="22261" xr:uid="{00000000-0005-0000-0000-0000EC560000}"/>
    <cellStyle name="Normal 3 15 8 4 3" xfId="22262" xr:uid="{00000000-0005-0000-0000-0000ED560000}"/>
    <cellStyle name="Normal 3 15 8 5" xfId="22263" xr:uid="{00000000-0005-0000-0000-0000EE560000}"/>
    <cellStyle name="Normal 3 15 8 5 2" xfId="22264" xr:uid="{00000000-0005-0000-0000-0000EF560000}"/>
    <cellStyle name="Normal 3 15 8 5 3" xfId="22265" xr:uid="{00000000-0005-0000-0000-0000F0560000}"/>
    <cellStyle name="Normal 3 15 8 6" xfId="22266" xr:uid="{00000000-0005-0000-0000-0000F1560000}"/>
    <cellStyle name="Normal 3 15 8 6 2" xfId="22267" xr:uid="{00000000-0005-0000-0000-0000F2560000}"/>
    <cellStyle name="Normal 3 15 8 6 3" xfId="22268" xr:uid="{00000000-0005-0000-0000-0000F3560000}"/>
    <cellStyle name="Normal 3 15 8 7" xfId="22269" xr:uid="{00000000-0005-0000-0000-0000F4560000}"/>
    <cellStyle name="Normal 3 15 8 7 2" xfId="22270" xr:uid="{00000000-0005-0000-0000-0000F5560000}"/>
    <cellStyle name="Normal 3 15 8 7 3" xfId="22271" xr:uid="{00000000-0005-0000-0000-0000F6560000}"/>
    <cellStyle name="Normal 3 15 8 8" xfId="22272" xr:uid="{00000000-0005-0000-0000-0000F7560000}"/>
    <cellStyle name="Normal 3 15 8 8 2" xfId="22273" xr:uid="{00000000-0005-0000-0000-0000F8560000}"/>
    <cellStyle name="Normal 3 15 8 8 3" xfId="22274" xr:uid="{00000000-0005-0000-0000-0000F9560000}"/>
    <cellStyle name="Normal 3 15 8 9" xfId="22275" xr:uid="{00000000-0005-0000-0000-0000FA560000}"/>
    <cellStyle name="Normal 3 15 8 9 2" xfId="22276" xr:uid="{00000000-0005-0000-0000-0000FB560000}"/>
    <cellStyle name="Normal 3 15 8 9 3" xfId="22277" xr:uid="{00000000-0005-0000-0000-0000FC560000}"/>
    <cellStyle name="Normal 3 15 9" xfId="22278" xr:uid="{00000000-0005-0000-0000-0000FD560000}"/>
    <cellStyle name="Normal 3 15 9 10" xfId="22279" xr:uid="{00000000-0005-0000-0000-0000FE560000}"/>
    <cellStyle name="Normal 3 15 9 10 2" xfId="22280" xr:uid="{00000000-0005-0000-0000-0000FF560000}"/>
    <cellStyle name="Normal 3 15 9 10 3" xfId="22281" xr:uid="{00000000-0005-0000-0000-000000570000}"/>
    <cellStyle name="Normal 3 15 9 11" xfId="22282" xr:uid="{00000000-0005-0000-0000-000001570000}"/>
    <cellStyle name="Normal 3 15 9 11 2" xfId="22283" xr:uid="{00000000-0005-0000-0000-000002570000}"/>
    <cellStyle name="Normal 3 15 9 11 3" xfId="22284" xr:uid="{00000000-0005-0000-0000-000003570000}"/>
    <cellStyle name="Normal 3 15 9 12" xfId="22285" xr:uid="{00000000-0005-0000-0000-000004570000}"/>
    <cellStyle name="Normal 3 15 9 12 2" xfId="22286" xr:uid="{00000000-0005-0000-0000-000005570000}"/>
    <cellStyle name="Normal 3 15 9 12 3" xfId="22287" xr:uid="{00000000-0005-0000-0000-000006570000}"/>
    <cellStyle name="Normal 3 15 9 13" xfId="22288" xr:uid="{00000000-0005-0000-0000-000007570000}"/>
    <cellStyle name="Normal 3 15 9 13 2" xfId="22289" xr:uid="{00000000-0005-0000-0000-000008570000}"/>
    <cellStyle name="Normal 3 15 9 13 3" xfId="22290" xr:uid="{00000000-0005-0000-0000-000009570000}"/>
    <cellStyle name="Normal 3 15 9 14" xfId="22291" xr:uid="{00000000-0005-0000-0000-00000A570000}"/>
    <cellStyle name="Normal 3 15 9 14 2" xfId="22292" xr:uid="{00000000-0005-0000-0000-00000B570000}"/>
    <cellStyle name="Normal 3 15 9 14 3" xfId="22293" xr:uid="{00000000-0005-0000-0000-00000C570000}"/>
    <cellStyle name="Normal 3 15 9 15" xfId="22294" xr:uid="{00000000-0005-0000-0000-00000D570000}"/>
    <cellStyle name="Normal 3 15 9 16" xfId="22295" xr:uid="{00000000-0005-0000-0000-00000E570000}"/>
    <cellStyle name="Normal 3 15 9 2" xfId="22296" xr:uid="{00000000-0005-0000-0000-00000F570000}"/>
    <cellStyle name="Normal 3 15 9 2 2" xfId="22297" xr:uid="{00000000-0005-0000-0000-000010570000}"/>
    <cellStyle name="Normal 3 15 9 2 3" xfId="22298" xr:uid="{00000000-0005-0000-0000-000011570000}"/>
    <cellStyle name="Normal 3 15 9 3" xfId="22299" xr:uid="{00000000-0005-0000-0000-000012570000}"/>
    <cellStyle name="Normal 3 15 9 3 2" xfId="22300" xr:uid="{00000000-0005-0000-0000-000013570000}"/>
    <cellStyle name="Normal 3 15 9 3 3" xfId="22301" xr:uid="{00000000-0005-0000-0000-000014570000}"/>
    <cellStyle name="Normal 3 15 9 4" xfId="22302" xr:uid="{00000000-0005-0000-0000-000015570000}"/>
    <cellStyle name="Normal 3 15 9 4 2" xfId="22303" xr:uid="{00000000-0005-0000-0000-000016570000}"/>
    <cellStyle name="Normal 3 15 9 4 3" xfId="22304" xr:uid="{00000000-0005-0000-0000-000017570000}"/>
    <cellStyle name="Normal 3 15 9 5" xfId="22305" xr:uid="{00000000-0005-0000-0000-000018570000}"/>
    <cellStyle name="Normal 3 15 9 5 2" xfId="22306" xr:uid="{00000000-0005-0000-0000-000019570000}"/>
    <cellStyle name="Normal 3 15 9 5 3" xfId="22307" xr:uid="{00000000-0005-0000-0000-00001A570000}"/>
    <cellStyle name="Normal 3 15 9 6" xfId="22308" xr:uid="{00000000-0005-0000-0000-00001B570000}"/>
    <cellStyle name="Normal 3 15 9 6 2" xfId="22309" xr:uid="{00000000-0005-0000-0000-00001C570000}"/>
    <cellStyle name="Normal 3 15 9 6 3" xfId="22310" xr:uid="{00000000-0005-0000-0000-00001D570000}"/>
    <cellStyle name="Normal 3 15 9 7" xfId="22311" xr:uid="{00000000-0005-0000-0000-00001E570000}"/>
    <cellStyle name="Normal 3 15 9 7 2" xfId="22312" xr:uid="{00000000-0005-0000-0000-00001F570000}"/>
    <cellStyle name="Normal 3 15 9 7 3" xfId="22313" xr:uid="{00000000-0005-0000-0000-000020570000}"/>
    <cellStyle name="Normal 3 15 9 8" xfId="22314" xr:uid="{00000000-0005-0000-0000-000021570000}"/>
    <cellStyle name="Normal 3 15 9 8 2" xfId="22315" xr:uid="{00000000-0005-0000-0000-000022570000}"/>
    <cellStyle name="Normal 3 15 9 8 3" xfId="22316" xr:uid="{00000000-0005-0000-0000-000023570000}"/>
    <cellStyle name="Normal 3 15 9 9" xfId="22317" xr:uid="{00000000-0005-0000-0000-000024570000}"/>
    <cellStyle name="Normal 3 15 9 9 2" xfId="22318" xr:uid="{00000000-0005-0000-0000-000025570000}"/>
    <cellStyle name="Normal 3 15 9 9 3" xfId="22319" xr:uid="{00000000-0005-0000-0000-000026570000}"/>
    <cellStyle name="Normal 3 16" xfId="22320" xr:uid="{00000000-0005-0000-0000-000027570000}"/>
    <cellStyle name="Normal 3 16 10" xfId="22321" xr:uid="{00000000-0005-0000-0000-000028570000}"/>
    <cellStyle name="Normal 3 16 10 10" xfId="22322" xr:uid="{00000000-0005-0000-0000-000029570000}"/>
    <cellStyle name="Normal 3 16 10 10 2" xfId="22323" xr:uid="{00000000-0005-0000-0000-00002A570000}"/>
    <cellStyle name="Normal 3 16 10 10 3" xfId="22324" xr:uid="{00000000-0005-0000-0000-00002B570000}"/>
    <cellStyle name="Normal 3 16 10 11" xfId="22325" xr:uid="{00000000-0005-0000-0000-00002C570000}"/>
    <cellStyle name="Normal 3 16 10 11 2" xfId="22326" xr:uid="{00000000-0005-0000-0000-00002D570000}"/>
    <cellStyle name="Normal 3 16 10 11 3" xfId="22327" xr:uid="{00000000-0005-0000-0000-00002E570000}"/>
    <cellStyle name="Normal 3 16 10 12" xfId="22328" xr:uid="{00000000-0005-0000-0000-00002F570000}"/>
    <cellStyle name="Normal 3 16 10 12 2" xfId="22329" xr:uid="{00000000-0005-0000-0000-000030570000}"/>
    <cellStyle name="Normal 3 16 10 12 3" xfId="22330" xr:uid="{00000000-0005-0000-0000-000031570000}"/>
    <cellStyle name="Normal 3 16 10 13" xfId="22331" xr:uid="{00000000-0005-0000-0000-000032570000}"/>
    <cellStyle name="Normal 3 16 10 13 2" xfId="22332" xr:uid="{00000000-0005-0000-0000-000033570000}"/>
    <cellStyle name="Normal 3 16 10 13 3" xfId="22333" xr:uid="{00000000-0005-0000-0000-000034570000}"/>
    <cellStyle name="Normal 3 16 10 14" xfId="22334" xr:uid="{00000000-0005-0000-0000-000035570000}"/>
    <cellStyle name="Normal 3 16 10 14 2" xfId="22335" xr:uid="{00000000-0005-0000-0000-000036570000}"/>
    <cellStyle name="Normal 3 16 10 14 3" xfId="22336" xr:uid="{00000000-0005-0000-0000-000037570000}"/>
    <cellStyle name="Normal 3 16 10 15" xfId="22337" xr:uid="{00000000-0005-0000-0000-000038570000}"/>
    <cellStyle name="Normal 3 16 10 16" xfId="22338" xr:uid="{00000000-0005-0000-0000-000039570000}"/>
    <cellStyle name="Normal 3 16 10 2" xfId="22339" xr:uid="{00000000-0005-0000-0000-00003A570000}"/>
    <cellStyle name="Normal 3 16 10 2 2" xfId="22340" xr:uid="{00000000-0005-0000-0000-00003B570000}"/>
    <cellStyle name="Normal 3 16 10 2 3" xfId="22341" xr:uid="{00000000-0005-0000-0000-00003C570000}"/>
    <cellStyle name="Normal 3 16 10 3" xfId="22342" xr:uid="{00000000-0005-0000-0000-00003D570000}"/>
    <cellStyle name="Normal 3 16 10 3 2" xfId="22343" xr:uid="{00000000-0005-0000-0000-00003E570000}"/>
    <cellStyle name="Normal 3 16 10 3 3" xfId="22344" xr:uid="{00000000-0005-0000-0000-00003F570000}"/>
    <cellStyle name="Normal 3 16 10 4" xfId="22345" xr:uid="{00000000-0005-0000-0000-000040570000}"/>
    <cellStyle name="Normal 3 16 10 4 2" xfId="22346" xr:uid="{00000000-0005-0000-0000-000041570000}"/>
    <cellStyle name="Normal 3 16 10 4 3" xfId="22347" xr:uid="{00000000-0005-0000-0000-000042570000}"/>
    <cellStyle name="Normal 3 16 10 5" xfId="22348" xr:uid="{00000000-0005-0000-0000-000043570000}"/>
    <cellStyle name="Normal 3 16 10 5 2" xfId="22349" xr:uid="{00000000-0005-0000-0000-000044570000}"/>
    <cellStyle name="Normal 3 16 10 5 3" xfId="22350" xr:uid="{00000000-0005-0000-0000-000045570000}"/>
    <cellStyle name="Normal 3 16 10 6" xfId="22351" xr:uid="{00000000-0005-0000-0000-000046570000}"/>
    <cellStyle name="Normal 3 16 10 6 2" xfId="22352" xr:uid="{00000000-0005-0000-0000-000047570000}"/>
    <cellStyle name="Normal 3 16 10 6 3" xfId="22353" xr:uid="{00000000-0005-0000-0000-000048570000}"/>
    <cellStyle name="Normal 3 16 10 7" xfId="22354" xr:uid="{00000000-0005-0000-0000-000049570000}"/>
    <cellStyle name="Normal 3 16 10 7 2" xfId="22355" xr:uid="{00000000-0005-0000-0000-00004A570000}"/>
    <cellStyle name="Normal 3 16 10 7 3" xfId="22356" xr:uid="{00000000-0005-0000-0000-00004B570000}"/>
    <cellStyle name="Normal 3 16 10 8" xfId="22357" xr:uid="{00000000-0005-0000-0000-00004C570000}"/>
    <cellStyle name="Normal 3 16 10 8 2" xfId="22358" xr:uid="{00000000-0005-0000-0000-00004D570000}"/>
    <cellStyle name="Normal 3 16 10 8 3" xfId="22359" xr:uid="{00000000-0005-0000-0000-00004E570000}"/>
    <cellStyle name="Normal 3 16 10 9" xfId="22360" xr:uid="{00000000-0005-0000-0000-00004F570000}"/>
    <cellStyle name="Normal 3 16 10 9 2" xfId="22361" xr:uid="{00000000-0005-0000-0000-000050570000}"/>
    <cellStyle name="Normal 3 16 10 9 3" xfId="22362" xr:uid="{00000000-0005-0000-0000-000051570000}"/>
    <cellStyle name="Normal 3 16 11" xfId="22363" xr:uid="{00000000-0005-0000-0000-000052570000}"/>
    <cellStyle name="Normal 3 16 11 10" xfId="22364" xr:uid="{00000000-0005-0000-0000-000053570000}"/>
    <cellStyle name="Normal 3 16 11 10 2" xfId="22365" xr:uid="{00000000-0005-0000-0000-000054570000}"/>
    <cellStyle name="Normal 3 16 11 10 3" xfId="22366" xr:uid="{00000000-0005-0000-0000-000055570000}"/>
    <cellStyle name="Normal 3 16 11 11" xfId="22367" xr:uid="{00000000-0005-0000-0000-000056570000}"/>
    <cellStyle name="Normal 3 16 11 11 2" xfId="22368" xr:uid="{00000000-0005-0000-0000-000057570000}"/>
    <cellStyle name="Normal 3 16 11 11 3" xfId="22369" xr:uid="{00000000-0005-0000-0000-000058570000}"/>
    <cellStyle name="Normal 3 16 11 12" xfId="22370" xr:uid="{00000000-0005-0000-0000-000059570000}"/>
    <cellStyle name="Normal 3 16 11 12 2" xfId="22371" xr:uid="{00000000-0005-0000-0000-00005A570000}"/>
    <cellStyle name="Normal 3 16 11 12 3" xfId="22372" xr:uid="{00000000-0005-0000-0000-00005B570000}"/>
    <cellStyle name="Normal 3 16 11 13" xfId="22373" xr:uid="{00000000-0005-0000-0000-00005C570000}"/>
    <cellStyle name="Normal 3 16 11 13 2" xfId="22374" xr:uid="{00000000-0005-0000-0000-00005D570000}"/>
    <cellStyle name="Normal 3 16 11 13 3" xfId="22375" xr:uid="{00000000-0005-0000-0000-00005E570000}"/>
    <cellStyle name="Normal 3 16 11 14" xfId="22376" xr:uid="{00000000-0005-0000-0000-00005F570000}"/>
    <cellStyle name="Normal 3 16 11 14 2" xfId="22377" xr:uid="{00000000-0005-0000-0000-000060570000}"/>
    <cellStyle name="Normal 3 16 11 14 3" xfId="22378" xr:uid="{00000000-0005-0000-0000-000061570000}"/>
    <cellStyle name="Normal 3 16 11 15" xfId="22379" xr:uid="{00000000-0005-0000-0000-000062570000}"/>
    <cellStyle name="Normal 3 16 11 16" xfId="22380" xr:uid="{00000000-0005-0000-0000-000063570000}"/>
    <cellStyle name="Normal 3 16 11 2" xfId="22381" xr:uid="{00000000-0005-0000-0000-000064570000}"/>
    <cellStyle name="Normal 3 16 11 2 2" xfId="22382" xr:uid="{00000000-0005-0000-0000-000065570000}"/>
    <cellStyle name="Normal 3 16 11 2 3" xfId="22383" xr:uid="{00000000-0005-0000-0000-000066570000}"/>
    <cellStyle name="Normal 3 16 11 3" xfId="22384" xr:uid="{00000000-0005-0000-0000-000067570000}"/>
    <cellStyle name="Normal 3 16 11 3 2" xfId="22385" xr:uid="{00000000-0005-0000-0000-000068570000}"/>
    <cellStyle name="Normal 3 16 11 3 3" xfId="22386" xr:uid="{00000000-0005-0000-0000-000069570000}"/>
    <cellStyle name="Normal 3 16 11 4" xfId="22387" xr:uid="{00000000-0005-0000-0000-00006A570000}"/>
    <cellStyle name="Normal 3 16 11 4 2" xfId="22388" xr:uid="{00000000-0005-0000-0000-00006B570000}"/>
    <cellStyle name="Normal 3 16 11 4 3" xfId="22389" xr:uid="{00000000-0005-0000-0000-00006C570000}"/>
    <cellStyle name="Normal 3 16 11 5" xfId="22390" xr:uid="{00000000-0005-0000-0000-00006D570000}"/>
    <cellStyle name="Normal 3 16 11 5 2" xfId="22391" xr:uid="{00000000-0005-0000-0000-00006E570000}"/>
    <cellStyle name="Normal 3 16 11 5 3" xfId="22392" xr:uid="{00000000-0005-0000-0000-00006F570000}"/>
    <cellStyle name="Normal 3 16 11 6" xfId="22393" xr:uid="{00000000-0005-0000-0000-000070570000}"/>
    <cellStyle name="Normal 3 16 11 6 2" xfId="22394" xr:uid="{00000000-0005-0000-0000-000071570000}"/>
    <cellStyle name="Normal 3 16 11 6 3" xfId="22395" xr:uid="{00000000-0005-0000-0000-000072570000}"/>
    <cellStyle name="Normal 3 16 11 7" xfId="22396" xr:uid="{00000000-0005-0000-0000-000073570000}"/>
    <cellStyle name="Normal 3 16 11 7 2" xfId="22397" xr:uid="{00000000-0005-0000-0000-000074570000}"/>
    <cellStyle name="Normal 3 16 11 7 3" xfId="22398" xr:uid="{00000000-0005-0000-0000-000075570000}"/>
    <cellStyle name="Normal 3 16 11 8" xfId="22399" xr:uid="{00000000-0005-0000-0000-000076570000}"/>
    <cellStyle name="Normal 3 16 11 8 2" xfId="22400" xr:uid="{00000000-0005-0000-0000-000077570000}"/>
    <cellStyle name="Normal 3 16 11 8 3" xfId="22401" xr:uid="{00000000-0005-0000-0000-000078570000}"/>
    <cellStyle name="Normal 3 16 11 9" xfId="22402" xr:uid="{00000000-0005-0000-0000-000079570000}"/>
    <cellStyle name="Normal 3 16 11 9 2" xfId="22403" xr:uid="{00000000-0005-0000-0000-00007A570000}"/>
    <cellStyle name="Normal 3 16 11 9 3" xfId="22404" xr:uid="{00000000-0005-0000-0000-00007B570000}"/>
    <cellStyle name="Normal 3 16 12" xfId="22405" xr:uid="{00000000-0005-0000-0000-00007C570000}"/>
    <cellStyle name="Normal 3 16 12 10" xfId="22406" xr:uid="{00000000-0005-0000-0000-00007D570000}"/>
    <cellStyle name="Normal 3 16 12 10 2" xfId="22407" xr:uid="{00000000-0005-0000-0000-00007E570000}"/>
    <cellStyle name="Normal 3 16 12 10 3" xfId="22408" xr:uid="{00000000-0005-0000-0000-00007F570000}"/>
    <cellStyle name="Normal 3 16 12 11" xfId="22409" xr:uid="{00000000-0005-0000-0000-000080570000}"/>
    <cellStyle name="Normal 3 16 12 11 2" xfId="22410" xr:uid="{00000000-0005-0000-0000-000081570000}"/>
    <cellStyle name="Normal 3 16 12 11 3" xfId="22411" xr:uid="{00000000-0005-0000-0000-000082570000}"/>
    <cellStyle name="Normal 3 16 12 12" xfId="22412" xr:uid="{00000000-0005-0000-0000-000083570000}"/>
    <cellStyle name="Normal 3 16 12 12 2" xfId="22413" xr:uid="{00000000-0005-0000-0000-000084570000}"/>
    <cellStyle name="Normal 3 16 12 12 3" xfId="22414" xr:uid="{00000000-0005-0000-0000-000085570000}"/>
    <cellStyle name="Normal 3 16 12 13" xfId="22415" xr:uid="{00000000-0005-0000-0000-000086570000}"/>
    <cellStyle name="Normal 3 16 12 13 2" xfId="22416" xr:uid="{00000000-0005-0000-0000-000087570000}"/>
    <cellStyle name="Normal 3 16 12 13 3" xfId="22417" xr:uid="{00000000-0005-0000-0000-000088570000}"/>
    <cellStyle name="Normal 3 16 12 14" xfId="22418" xr:uid="{00000000-0005-0000-0000-000089570000}"/>
    <cellStyle name="Normal 3 16 12 14 2" xfId="22419" xr:uid="{00000000-0005-0000-0000-00008A570000}"/>
    <cellStyle name="Normal 3 16 12 14 3" xfId="22420" xr:uid="{00000000-0005-0000-0000-00008B570000}"/>
    <cellStyle name="Normal 3 16 12 15" xfId="22421" xr:uid="{00000000-0005-0000-0000-00008C570000}"/>
    <cellStyle name="Normal 3 16 12 16" xfId="22422" xr:uid="{00000000-0005-0000-0000-00008D570000}"/>
    <cellStyle name="Normal 3 16 12 2" xfId="22423" xr:uid="{00000000-0005-0000-0000-00008E570000}"/>
    <cellStyle name="Normal 3 16 12 2 2" xfId="22424" xr:uid="{00000000-0005-0000-0000-00008F570000}"/>
    <cellStyle name="Normal 3 16 12 2 3" xfId="22425" xr:uid="{00000000-0005-0000-0000-000090570000}"/>
    <cellStyle name="Normal 3 16 12 3" xfId="22426" xr:uid="{00000000-0005-0000-0000-000091570000}"/>
    <cellStyle name="Normal 3 16 12 3 2" xfId="22427" xr:uid="{00000000-0005-0000-0000-000092570000}"/>
    <cellStyle name="Normal 3 16 12 3 3" xfId="22428" xr:uid="{00000000-0005-0000-0000-000093570000}"/>
    <cellStyle name="Normal 3 16 12 4" xfId="22429" xr:uid="{00000000-0005-0000-0000-000094570000}"/>
    <cellStyle name="Normal 3 16 12 4 2" xfId="22430" xr:uid="{00000000-0005-0000-0000-000095570000}"/>
    <cellStyle name="Normal 3 16 12 4 3" xfId="22431" xr:uid="{00000000-0005-0000-0000-000096570000}"/>
    <cellStyle name="Normal 3 16 12 5" xfId="22432" xr:uid="{00000000-0005-0000-0000-000097570000}"/>
    <cellStyle name="Normal 3 16 12 5 2" xfId="22433" xr:uid="{00000000-0005-0000-0000-000098570000}"/>
    <cellStyle name="Normal 3 16 12 5 3" xfId="22434" xr:uid="{00000000-0005-0000-0000-000099570000}"/>
    <cellStyle name="Normal 3 16 12 6" xfId="22435" xr:uid="{00000000-0005-0000-0000-00009A570000}"/>
    <cellStyle name="Normal 3 16 12 6 2" xfId="22436" xr:uid="{00000000-0005-0000-0000-00009B570000}"/>
    <cellStyle name="Normal 3 16 12 6 3" xfId="22437" xr:uid="{00000000-0005-0000-0000-00009C570000}"/>
    <cellStyle name="Normal 3 16 12 7" xfId="22438" xr:uid="{00000000-0005-0000-0000-00009D570000}"/>
    <cellStyle name="Normal 3 16 12 7 2" xfId="22439" xr:uid="{00000000-0005-0000-0000-00009E570000}"/>
    <cellStyle name="Normal 3 16 12 7 3" xfId="22440" xr:uid="{00000000-0005-0000-0000-00009F570000}"/>
    <cellStyle name="Normal 3 16 12 8" xfId="22441" xr:uid="{00000000-0005-0000-0000-0000A0570000}"/>
    <cellStyle name="Normal 3 16 12 8 2" xfId="22442" xr:uid="{00000000-0005-0000-0000-0000A1570000}"/>
    <cellStyle name="Normal 3 16 12 8 3" xfId="22443" xr:uid="{00000000-0005-0000-0000-0000A2570000}"/>
    <cellStyle name="Normal 3 16 12 9" xfId="22444" xr:uid="{00000000-0005-0000-0000-0000A3570000}"/>
    <cellStyle name="Normal 3 16 12 9 2" xfId="22445" xr:uid="{00000000-0005-0000-0000-0000A4570000}"/>
    <cellStyle name="Normal 3 16 12 9 3" xfId="22446" xr:uid="{00000000-0005-0000-0000-0000A5570000}"/>
    <cellStyle name="Normal 3 16 13" xfId="22447" xr:uid="{00000000-0005-0000-0000-0000A6570000}"/>
    <cellStyle name="Normal 3 16 13 10" xfId="22448" xr:uid="{00000000-0005-0000-0000-0000A7570000}"/>
    <cellStyle name="Normal 3 16 13 10 2" xfId="22449" xr:uid="{00000000-0005-0000-0000-0000A8570000}"/>
    <cellStyle name="Normal 3 16 13 10 3" xfId="22450" xr:uid="{00000000-0005-0000-0000-0000A9570000}"/>
    <cellStyle name="Normal 3 16 13 11" xfId="22451" xr:uid="{00000000-0005-0000-0000-0000AA570000}"/>
    <cellStyle name="Normal 3 16 13 11 2" xfId="22452" xr:uid="{00000000-0005-0000-0000-0000AB570000}"/>
    <cellStyle name="Normal 3 16 13 11 3" xfId="22453" xr:uid="{00000000-0005-0000-0000-0000AC570000}"/>
    <cellStyle name="Normal 3 16 13 12" xfId="22454" xr:uid="{00000000-0005-0000-0000-0000AD570000}"/>
    <cellStyle name="Normal 3 16 13 12 2" xfId="22455" xr:uid="{00000000-0005-0000-0000-0000AE570000}"/>
    <cellStyle name="Normal 3 16 13 12 3" xfId="22456" xr:uid="{00000000-0005-0000-0000-0000AF570000}"/>
    <cellStyle name="Normal 3 16 13 13" xfId="22457" xr:uid="{00000000-0005-0000-0000-0000B0570000}"/>
    <cellStyle name="Normal 3 16 13 13 2" xfId="22458" xr:uid="{00000000-0005-0000-0000-0000B1570000}"/>
    <cellStyle name="Normal 3 16 13 13 3" xfId="22459" xr:uid="{00000000-0005-0000-0000-0000B2570000}"/>
    <cellStyle name="Normal 3 16 13 14" xfId="22460" xr:uid="{00000000-0005-0000-0000-0000B3570000}"/>
    <cellStyle name="Normal 3 16 13 14 2" xfId="22461" xr:uid="{00000000-0005-0000-0000-0000B4570000}"/>
    <cellStyle name="Normal 3 16 13 14 3" xfId="22462" xr:uid="{00000000-0005-0000-0000-0000B5570000}"/>
    <cellStyle name="Normal 3 16 13 15" xfId="22463" xr:uid="{00000000-0005-0000-0000-0000B6570000}"/>
    <cellStyle name="Normal 3 16 13 16" xfId="22464" xr:uid="{00000000-0005-0000-0000-0000B7570000}"/>
    <cellStyle name="Normal 3 16 13 2" xfId="22465" xr:uid="{00000000-0005-0000-0000-0000B8570000}"/>
    <cellStyle name="Normal 3 16 13 2 2" xfId="22466" xr:uid="{00000000-0005-0000-0000-0000B9570000}"/>
    <cellStyle name="Normal 3 16 13 2 3" xfId="22467" xr:uid="{00000000-0005-0000-0000-0000BA570000}"/>
    <cellStyle name="Normal 3 16 13 3" xfId="22468" xr:uid="{00000000-0005-0000-0000-0000BB570000}"/>
    <cellStyle name="Normal 3 16 13 3 2" xfId="22469" xr:uid="{00000000-0005-0000-0000-0000BC570000}"/>
    <cellStyle name="Normal 3 16 13 3 3" xfId="22470" xr:uid="{00000000-0005-0000-0000-0000BD570000}"/>
    <cellStyle name="Normal 3 16 13 4" xfId="22471" xr:uid="{00000000-0005-0000-0000-0000BE570000}"/>
    <cellStyle name="Normal 3 16 13 4 2" xfId="22472" xr:uid="{00000000-0005-0000-0000-0000BF570000}"/>
    <cellStyle name="Normal 3 16 13 4 3" xfId="22473" xr:uid="{00000000-0005-0000-0000-0000C0570000}"/>
    <cellStyle name="Normal 3 16 13 5" xfId="22474" xr:uid="{00000000-0005-0000-0000-0000C1570000}"/>
    <cellStyle name="Normal 3 16 13 5 2" xfId="22475" xr:uid="{00000000-0005-0000-0000-0000C2570000}"/>
    <cellStyle name="Normal 3 16 13 5 3" xfId="22476" xr:uid="{00000000-0005-0000-0000-0000C3570000}"/>
    <cellStyle name="Normal 3 16 13 6" xfId="22477" xr:uid="{00000000-0005-0000-0000-0000C4570000}"/>
    <cellStyle name="Normal 3 16 13 6 2" xfId="22478" xr:uid="{00000000-0005-0000-0000-0000C5570000}"/>
    <cellStyle name="Normal 3 16 13 6 3" xfId="22479" xr:uid="{00000000-0005-0000-0000-0000C6570000}"/>
    <cellStyle name="Normal 3 16 13 7" xfId="22480" xr:uid="{00000000-0005-0000-0000-0000C7570000}"/>
    <cellStyle name="Normal 3 16 13 7 2" xfId="22481" xr:uid="{00000000-0005-0000-0000-0000C8570000}"/>
    <cellStyle name="Normal 3 16 13 7 3" xfId="22482" xr:uid="{00000000-0005-0000-0000-0000C9570000}"/>
    <cellStyle name="Normal 3 16 13 8" xfId="22483" xr:uid="{00000000-0005-0000-0000-0000CA570000}"/>
    <cellStyle name="Normal 3 16 13 8 2" xfId="22484" xr:uid="{00000000-0005-0000-0000-0000CB570000}"/>
    <cellStyle name="Normal 3 16 13 8 3" xfId="22485" xr:uid="{00000000-0005-0000-0000-0000CC570000}"/>
    <cellStyle name="Normal 3 16 13 9" xfId="22486" xr:uid="{00000000-0005-0000-0000-0000CD570000}"/>
    <cellStyle name="Normal 3 16 13 9 2" xfId="22487" xr:uid="{00000000-0005-0000-0000-0000CE570000}"/>
    <cellStyle name="Normal 3 16 13 9 3" xfId="22488" xr:uid="{00000000-0005-0000-0000-0000CF570000}"/>
    <cellStyle name="Normal 3 16 14" xfId="22489" xr:uid="{00000000-0005-0000-0000-0000D0570000}"/>
    <cellStyle name="Normal 3 16 14 10" xfId="22490" xr:uid="{00000000-0005-0000-0000-0000D1570000}"/>
    <cellStyle name="Normal 3 16 14 10 2" xfId="22491" xr:uid="{00000000-0005-0000-0000-0000D2570000}"/>
    <cellStyle name="Normal 3 16 14 10 3" xfId="22492" xr:uid="{00000000-0005-0000-0000-0000D3570000}"/>
    <cellStyle name="Normal 3 16 14 11" xfId="22493" xr:uid="{00000000-0005-0000-0000-0000D4570000}"/>
    <cellStyle name="Normal 3 16 14 11 2" xfId="22494" xr:uid="{00000000-0005-0000-0000-0000D5570000}"/>
    <cellStyle name="Normal 3 16 14 11 3" xfId="22495" xr:uid="{00000000-0005-0000-0000-0000D6570000}"/>
    <cellStyle name="Normal 3 16 14 12" xfId="22496" xr:uid="{00000000-0005-0000-0000-0000D7570000}"/>
    <cellStyle name="Normal 3 16 14 12 2" xfId="22497" xr:uid="{00000000-0005-0000-0000-0000D8570000}"/>
    <cellStyle name="Normal 3 16 14 12 3" xfId="22498" xr:uid="{00000000-0005-0000-0000-0000D9570000}"/>
    <cellStyle name="Normal 3 16 14 13" xfId="22499" xr:uid="{00000000-0005-0000-0000-0000DA570000}"/>
    <cellStyle name="Normal 3 16 14 13 2" xfId="22500" xr:uid="{00000000-0005-0000-0000-0000DB570000}"/>
    <cellStyle name="Normal 3 16 14 13 3" xfId="22501" xr:uid="{00000000-0005-0000-0000-0000DC570000}"/>
    <cellStyle name="Normal 3 16 14 14" xfId="22502" xr:uid="{00000000-0005-0000-0000-0000DD570000}"/>
    <cellStyle name="Normal 3 16 14 14 2" xfId="22503" xr:uid="{00000000-0005-0000-0000-0000DE570000}"/>
    <cellStyle name="Normal 3 16 14 14 3" xfId="22504" xr:uid="{00000000-0005-0000-0000-0000DF570000}"/>
    <cellStyle name="Normal 3 16 14 15" xfId="22505" xr:uid="{00000000-0005-0000-0000-0000E0570000}"/>
    <cellStyle name="Normal 3 16 14 16" xfId="22506" xr:uid="{00000000-0005-0000-0000-0000E1570000}"/>
    <cellStyle name="Normal 3 16 14 2" xfId="22507" xr:uid="{00000000-0005-0000-0000-0000E2570000}"/>
    <cellStyle name="Normal 3 16 14 2 2" xfId="22508" xr:uid="{00000000-0005-0000-0000-0000E3570000}"/>
    <cellStyle name="Normal 3 16 14 2 3" xfId="22509" xr:uid="{00000000-0005-0000-0000-0000E4570000}"/>
    <cellStyle name="Normal 3 16 14 3" xfId="22510" xr:uid="{00000000-0005-0000-0000-0000E5570000}"/>
    <cellStyle name="Normal 3 16 14 3 2" xfId="22511" xr:uid="{00000000-0005-0000-0000-0000E6570000}"/>
    <cellStyle name="Normal 3 16 14 3 3" xfId="22512" xr:uid="{00000000-0005-0000-0000-0000E7570000}"/>
    <cellStyle name="Normal 3 16 14 4" xfId="22513" xr:uid="{00000000-0005-0000-0000-0000E8570000}"/>
    <cellStyle name="Normal 3 16 14 4 2" xfId="22514" xr:uid="{00000000-0005-0000-0000-0000E9570000}"/>
    <cellStyle name="Normal 3 16 14 4 3" xfId="22515" xr:uid="{00000000-0005-0000-0000-0000EA570000}"/>
    <cellStyle name="Normal 3 16 14 5" xfId="22516" xr:uid="{00000000-0005-0000-0000-0000EB570000}"/>
    <cellStyle name="Normal 3 16 14 5 2" xfId="22517" xr:uid="{00000000-0005-0000-0000-0000EC570000}"/>
    <cellStyle name="Normal 3 16 14 5 3" xfId="22518" xr:uid="{00000000-0005-0000-0000-0000ED570000}"/>
    <cellStyle name="Normal 3 16 14 6" xfId="22519" xr:uid="{00000000-0005-0000-0000-0000EE570000}"/>
    <cellStyle name="Normal 3 16 14 6 2" xfId="22520" xr:uid="{00000000-0005-0000-0000-0000EF570000}"/>
    <cellStyle name="Normal 3 16 14 6 3" xfId="22521" xr:uid="{00000000-0005-0000-0000-0000F0570000}"/>
    <cellStyle name="Normal 3 16 14 7" xfId="22522" xr:uid="{00000000-0005-0000-0000-0000F1570000}"/>
    <cellStyle name="Normal 3 16 14 7 2" xfId="22523" xr:uid="{00000000-0005-0000-0000-0000F2570000}"/>
    <cellStyle name="Normal 3 16 14 7 3" xfId="22524" xr:uid="{00000000-0005-0000-0000-0000F3570000}"/>
    <cellStyle name="Normal 3 16 14 8" xfId="22525" xr:uid="{00000000-0005-0000-0000-0000F4570000}"/>
    <cellStyle name="Normal 3 16 14 8 2" xfId="22526" xr:uid="{00000000-0005-0000-0000-0000F5570000}"/>
    <cellStyle name="Normal 3 16 14 8 3" xfId="22527" xr:uid="{00000000-0005-0000-0000-0000F6570000}"/>
    <cellStyle name="Normal 3 16 14 9" xfId="22528" xr:uid="{00000000-0005-0000-0000-0000F7570000}"/>
    <cellStyle name="Normal 3 16 14 9 2" xfId="22529" xr:uid="{00000000-0005-0000-0000-0000F8570000}"/>
    <cellStyle name="Normal 3 16 14 9 3" xfId="22530" xr:uid="{00000000-0005-0000-0000-0000F9570000}"/>
    <cellStyle name="Normal 3 16 15" xfId="22531" xr:uid="{00000000-0005-0000-0000-0000FA570000}"/>
    <cellStyle name="Normal 3 16 16" xfId="22532" xr:uid="{00000000-0005-0000-0000-0000FB570000}"/>
    <cellStyle name="Normal 3 16 17" xfId="22533" xr:uid="{00000000-0005-0000-0000-0000FC570000}"/>
    <cellStyle name="Normal 3 16 17 10" xfId="22534" xr:uid="{00000000-0005-0000-0000-0000FD570000}"/>
    <cellStyle name="Normal 3 16 17 10 2" xfId="22535" xr:uid="{00000000-0005-0000-0000-0000FE570000}"/>
    <cellStyle name="Normal 3 16 17 10 3" xfId="22536" xr:uid="{00000000-0005-0000-0000-0000FF570000}"/>
    <cellStyle name="Normal 3 16 17 11" xfId="22537" xr:uid="{00000000-0005-0000-0000-000000580000}"/>
    <cellStyle name="Normal 3 16 17 11 2" xfId="22538" xr:uid="{00000000-0005-0000-0000-000001580000}"/>
    <cellStyle name="Normal 3 16 17 11 3" xfId="22539" xr:uid="{00000000-0005-0000-0000-000002580000}"/>
    <cellStyle name="Normal 3 16 17 12" xfId="22540" xr:uid="{00000000-0005-0000-0000-000003580000}"/>
    <cellStyle name="Normal 3 16 17 12 2" xfId="22541" xr:uid="{00000000-0005-0000-0000-000004580000}"/>
    <cellStyle name="Normal 3 16 17 12 3" xfId="22542" xr:uid="{00000000-0005-0000-0000-000005580000}"/>
    <cellStyle name="Normal 3 16 17 13" xfId="22543" xr:uid="{00000000-0005-0000-0000-000006580000}"/>
    <cellStyle name="Normal 3 16 17 13 2" xfId="22544" xr:uid="{00000000-0005-0000-0000-000007580000}"/>
    <cellStyle name="Normal 3 16 17 13 3" xfId="22545" xr:uid="{00000000-0005-0000-0000-000008580000}"/>
    <cellStyle name="Normal 3 16 17 14" xfId="22546" xr:uid="{00000000-0005-0000-0000-000009580000}"/>
    <cellStyle name="Normal 3 16 17 14 2" xfId="22547" xr:uid="{00000000-0005-0000-0000-00000A580000}"/>
    <cellStyle name="Normal 3 16 17 14 3" xfId="22548" xr:uid="{00000000-0005-0000-0000-00000B580000}"/>
    <cellStyle name="Normal 3 16 17 15" xfId="22549" xr:uid="{00000000-0005-0000-0000-00000C580000}"/>
    <cellStyle name="Normal 3 16 17 16" xfId="22550" xr:uid="{00000000-0005-0000-0000-00000D580000}"/>
    <cellStyle name="Normal 3 16 17 2" xfId="22551" xr:uid="{00000000-0005-0000-0000-00000E580000}"/>
    <cellStyle name="Normal 3 16 17 2 2" xfId="22552" xr:uid="{00000000-0005-0000-0000-00000F580000}"/>
    <cellStyle name="Normal 3 16 17 2 3" xfId="22553" xr:uid="{00000000-0005-0000-0000-000010580000}"/>
    <cellStyle name="Normal 3 16 17 3" xfId="22554" xr:uid="{00000000-0005-0000-0000-000011580000}"/>
    <cellStyle name="Normal 3 16 17 3 2" xfId="22555" xr:uid="{00000000-0005-0000-0000-000012580000}"/>
    <cellStyle name="Normal 3 16 17 3 3" xfId="22556" xr:uid="{00000000-0005-0000-0000-000013580000}"/>
    <cellStyle name="Normal 3 16 17 4" xfId="22557" xr:uid="{00000000-0005-0000-0000-000014580000}"/>
    <cellStyle name="Normal 3 16 17 4 2" xfId="22558" xr:uid="{00000000-0005-0000-0000-000015580000}"/>
    <cellStyle name="Normal 3 16 17 4 3" xfId="22559" xr:uid="{00000000-0005-0000-0000-000016580000}"/>
    <cellStyle name="Normal 3 16 17 5" xfId="22560" xr:uid="{00000000-0005-0000-0000-000017580000}"/>
    <cellStyle name="Normal 3 16 17 5 2" xfId="22561" xr:uid="{00000000-0005-0000-0000-000018580000}"/>
    <cellStyle name="Normal 3 16 17 5 3" xfId="22562" xr:uid="{00000000-0005-0000-0000-000019580000}"/>
    <cellStyle name="Normal 3 16 17 6" xfId="22563" xr:uid="{00000000-0005-0000-0000-00001A580000}"/>
    <cellStyle name="Normal 3 16 17 6 2" xfId="22564" xr:uid="{00000000-0005-0000-0000-00001B580000}"/>
    <cellStyle name="Normal 3 16 17 6 3" xfId="22565" xr:uid="{00000000-0005-0000-0000-00001C580000}"/>
    <cellStyle name="Normal 3 16 17 7" xfId="22566" xr:uid="{00000000-0005-0000-0000-00001D580000}"/>
    <cellStyle name="Normal 3 16 17 7 2" xfId="22567" xr:uid="{00000000-0005-0000-0000-00001E580000}"/>
    <cellStyle name="Normal 3 16 17 7 3" xfId="22568" xr:uid="{00000000-0005-0000-0000-00001F580000}"/>
    <cellStyle name="Normal 3 16 17 8" xfId="22569" xr:uid="{00000000-0005-0000-0000-000020580000}"/>
    <cellStyle name="Normal 3 16 17 8 2" xfId="22570" xr:uid="{00000000-0005-0000-0000-000021580000}"/>
    <cellStyle name="Normal 3 16 17 8 3" xfId="22571" xr:uid="{00000000-0005-0000-0000-000022580000}"/>
    <cellStyle name="Normal 3 16 17 9" xfId="22572" xr:uid="{00000000-0005-0000-0000-000023580000}"/>
    <cellStyle name="Normal 3 16 17 9 2" xfId="22573" xr:uid="{00000000-0005-0000-0000-000024580000}"/>
    <cellStyle name="Normal 3 16 17 9 3" xfId="22574" xr:uid="{00000000-0005-0000-0000-000025580000}"/>
    <cellStyle name="Normal 3 16 18" xfId="22575" xr:uid="{00000000-0005-0000-0000-000026580000}"/>
    <cellStyle name="Normal 3 16 18 10" xfId="22576" xr:uid="{00000000-0005-0000-0000-000027580000}"/>
    <cellStyle name="Normal 3 16 18 10 2" xfId="22577" xr:uid="{00000000-0005-0000-0000-000028580000}"/>
    <cellStyle name="Normal 3 16 18 10 3" xfId="22578" xr:uid="{00000000-0005-0000-0000-000029580000}"/>
    <cellStyle name="Normal 3 16 18 11" xfId="22579" xr:uid="{00000000-0005-0000-0000-00002A580000}"/>
    <cellStyle name="Normal 3 16 18 11 2" xfId="22580" xr:uid="{00000000-0005-0000-0000-00002B580000}"/>
    <cellStyle name="Normal 3 16 18 11 3" xfId="22581" xr:uid="{00000000-0005-0000-0000-00002C580000}"/>
    <cellStyle name="Normal 3 16 18 12" xfId="22582" xr:uid="{00000000-0005-0000-0000-00002D580000}"/>
    <cellStyle name="Normal 3 16 18 12 2" xfId="22583" xr:uid="{00000000-0005-0000-0000-00002E580000}"/>
    <cellStyle name="Normal 3 16 18 12 3" xfId="22584" xr:uid="{00000000-0005-0000-0000-00002F580000}"/>
    <cellStyle name="Normal 3 16 18 13" xfId="22585" xr:uid="{00000000-0005-0000-0000-000030580000}"/>
    <cellStyle name="Normal 3 16 18 13 2" xfId="22586" xr:uid="{00000000-0005-0000-0000-000031580000}"/>
    <cellStyle name="Normal 3 16 18 13 3" xfId="22587" xr:uid="{00000000-0005-0000-0000-000032580000}"/>
    <cellStyle name="Normal 3 16 18 14" xfId="22588" xr:uid="{00000000-0005-0000-0000-000033580000}"/>
    <cellStyle name="Normal 3 16 18 14 2" xfId="22589" xr:uid="{00000000-0005-0000-0000-000034580000}"/>
    <cellStyle name="Normal 3 16 18 14 3" xfId="22590" xr:uid="{00000000-0005-0000-0000-000035580000}"/>
    <cellStyle name="Normal 3 16 18 15" xfId="22591" xr:uid="{00000000-0005-0000-0000-000036580000}"/>
    <cellStyle name="Normal 3 16 18 16" xfId="22592" xr:uid="{00000000-0005-0000-0000-000037580000}"/>
    <cellStyle name="Normal 3 16 18 2" xfId="22593" xr:uid="{00000000-0005-0000-0000-000038580000}"/>
    <cellStyle name="Normal 3 16 18 2 2" xfId="22594" xr:uid="{00000000-0005-0000-0000-000039580000}"/>
    <cellStyle name="Normal 3 16 18 2 3" xfId="22595" xr:uid="{00000000-0005-0000-0000-00003A580000}"/>
    <cellStyle name="Normal 3 16 18 3" xfId="22596" xr:uid="{00000000-0005-0000-0000-00003B580000}"/>
    <cellStyle name="Normal 3 16 18 3 2" xfId="22597" xr:uid="{00000000-0005-0000-0000-00003C580000}"/>
    <cellStyle name="Normal 3 16 18 3 3" xfId="22598" xr:uid="{00000000-0005-0000-0000-00003D580000}"/>
    <cellStyle name="Normal 3 16 18 4" xfId="22599" xr:uid="{00000000-0005-0000-0000-00003E580000}"/>
    <cellStyle name="Normal 3 16 18 4 2" xfId="22600" xr:uid="{00000000-0005-0000-0000-00003F580000}"/>
    <cellStyle name="Normal 3 16 18 4 3" xfId="22601" xr:uid="{00000000-0005-0000-0000-000040580000}"/>
    <cellStyle name="Normal 3 16 18 5" xfId="22602" xr:uid="{00000000-0005-0000-0000-000041580000}"/>
    <cellStyle name="Normal 3 16 18 5 2" xfId="22603" xr:uid="{00000000-0005-0000-0000-000042580000}"/>
    <cellStyle name="Normal 3 16 18 5 3" xfId="22604" xr:uid="{00000000-0005-0000-0000-000043580000}"/>
    <cellStyle name="Normal 3 16 18 6" xfId="22605" xr:uid="{00000000-0005-0000-0000-000044580000}"/>
    <cellStyle name="Normal 3 16 18 6 2" xfId="22606" xr:uid="{00000000-0005-0000-0000-000045580000}"/>
    <cellStyle name="Normal 3 16 18 6 3" xfId="22607" xr:uid="{00000000-0005-0000-0000-000046580000}"/>
    <cellStyle name="Normal 3 16 18 7" xfId="22608" xr:uid="{00000000-0005-0000-0000-000047580000}"/>
    <cellStyle name="Normal 3 16 18 7 2" xfId="22609" xr:uid="{00000000-0005-0000-0000-000048580000}"/>
    <cellStyle name="Normal 3 16 18 7 3" xfId="22610" xr:uid="{00000000-0005-0000-0000-000049580000}"/>
    <cellStyle name="Normal 3 16 18 8" xfId="22611" xr:uid="{00000000-0005-0000-0000-00004A580000}"/>
    <cellStyle name="Normal 3 16 18 8 2" xfId="22612" xr:uid="{00000000-0005-0000-0000-00004B580000}"/>
    <cellStyle name="Normal 3 16 18 8 3" xfId="22613" xr:uid="{00000000-0005-0000-0000-00004C580000}"/>
    <cellStyle name="Normal 3 16 18 9" xfId="22614" xr:uid="{00000000-0005-0000-0000-00004D580000}"/>
    <cellStyle name="Normal 3 16 18 9 2" xfId="22615" xr:uid="{00000000-0005-0000-0000-00004E580000}"/>
    <cellStyle name="Normal 3 16 18 9 3" xfId="22616" xr:uid="{00000000-0005-0000-0000-00004F580000}"/>
    <cellStyle name="Normal 3 16 19" xfId="22617" xr:uid="{00000000-0005-0000-0000-000050580000}"/>
    <cellStyle name="Normal 3 16 19 2" xfId="22618" xr:uid="{00000000-0005-0000-0000-000051580000}"/>
    <cellStyle name="Normal 3 16 19 2 2" xfId="22619" xr:uid="{00000000-0005-0000-0000-000052580000}"/>
    <cellStyle name="Normal 3 16 19 2 3" xfId="22620" xr:uid="{00000000-0005-0000-0000-000053580000}"/>
    <cellStyle name="Normal 3 16 19 3" xfId="22621" xr:uid="{00000000-0005-0000-0000-000054580000}"/>
    <cellStyle name="Normal 3 16 2" xfId="22622" xr:uid="{00000000-0005-0000-0000-000055580000}"/>
    <cellStyle name="Normal 3 16 2 10" xfId="22623" xr:uid="{00000000-0005-0000-0000-000056580000}"/>
    <cellStyle name="Normal 3 16 2 10 2" xfId="22624" xr:uid="{00000000-0005-0000-0000-000057580000}"/>
    <cellStyle name="Normal 3 16 2 10 3" xfId="22625" xr:uid="{00000000-0005-0000-0000-000058580000}"/>
    <cellStyle name="Normal 3 16 2 11" xfId="22626" xr:uid="{00000000-0005-0000-0000-000059580000}"/>
    <cellStyle name="Normal 3 16 2 11 2" xfId="22627" xr:uid="{00000000-0005-0000-0000-00005A580000}"/>
    <cellStyle name="Normal 3 16 2 11 3" xfId="22628" xr:uid="{00000000-0005-0000-0000-00005B580000}"/>
    <cellStyle name="Normal 3 16 2 12" xfId="22629" xr:uid="{00000000-0005-0000-0000-00005C580000}"/>
    <cellStyle name="Normal 3 16 2 12 2" xfId="22630" xr:uid="{00000000-0005-0000-0000-00005D580000}"/>
    <cellStyle name="Normal 3 16 2 12 3" xfId="22631" xr:uid="{00000000-0005-0000-0000-00005E580000}"/>
    <cellStyle name="Normal 3 16 2 13" xfId="22632" xr:uid="{00000000-0005-0000-0000-00005F580000}"/>
    <cellStyle name="Normal 3 16 2 13 2" xfId="22633" xr:uid="{00000000-0005-0000-0000-000060580000}"/>
    <cellStyle name="Normal 3 16 2 13 3" xfId="22634" xr:uid="{00000000-0005-0000-0000-000061580000}"/>
    <cellStyle name="Normal 3 16 2 14" xfId="22635" xr:uid="{00000000-0005-0000-0000-000062580000}"/>
    <cellStyle name="Normal 3 16 2 14 2" xfId="22636" xr:uid="{00000000-0005-0000-0000-000063580000}"/>
    <cellStyle name="Normal 3 16 2 14 3" xfId="22637" xr:uid="{00000000-0005-0000-0000-000064580000}"/>
    <cellStyle name="Normal 3 16 2 15" xfId="22638" xr:uid="{00000000-0005-0000-0000-000065580000}"/>
    <cellStyle name="Normal 3 16 2 15 2" xfId="22639" xr:uid="{00000000-0005-0000-0000-000066580000}"/>
    <cellStyle name="Normal 3 16 2 15 3" xfId="22640" xr:uid="{00000000-0005-0000-0000-000067580000}"/>
    <cellStyle name="Normal 3 16 2 16" xfId="22641" xr:uid="{00000000-0005-0000-0000-000068580000}"/>
    <cellStyle name="Normal 3 16 2 16 2" xfId="22642" xr:uid="{00000000-0005-0000-0000-000069580000}"/>
    <cellStyle name="Normal 3 16 2 16 3" xfId="22643" xr:uid="{00000000-0005-0000-0000-00006A580000}"/>
    <cellStyle name="Normal 3 16 2 17" xfId="22644" xr:uid="{00000000-0005-0000-0000-00006B580000}"/>
    <cellStyle name="Normal 3 16 2 17 2" xfId="22645" xr:uid="{00000000-0005-0000-0000-00006C580000}"/>
    <cellStyle name="Normal 3 16 2 17 3" xfId="22646" xr:uid="{00000000-0005-0000-0000-00006D580000}"/>
    <cellStyle name="Normal 3 16 2 18" xfId="22647" xr:uid="{00000000-0005-0000-0000-00006E580000}"/>
    <cellStyle name="Normal 3 16 2 19" xfId="22648" xr:uid="{00000000-0005-0000-0000-00006F580000}"/>
    <cellStyle name="Normal 3 16 2 2" xfId="22649" xr:uid="{00000000-0005-0000-0000-000070580000}"/>
    <cellStyle name="Normal 3 16 2 2 2" xfId="22650" xr:uid="{00000000-0005-0000-0000-000071580000}"/>
    <cellStyle name="Normal 3 16 2 2 2 2" xfId="22651" xr:uid="{00000000-0005-0000-0000-000072580000}"/>
    <cellStyle name="Normal 3 16 2 2 2 3" xfId="22652" xr:uid="{00000000-0005-0000-0000-000073580000}"/>
    <cellStyle name="Normal 3 16 2 2 3" xfId="22653" xr:uid="{00000000-0005-0000-0000-000074580000}"/>
    <cellStyle name="Normal 3 16 2 2 4" xfId="22654" xr:uid="{00000000-0005-0000-0000-000075580000}"/>
    <cellStyle name="Normal 3 16 2 3" xfId="22655" xr:uid="{00000000-0005-0000-0000-000076580000}"/>
    <cellStyle name="Normal 3 16 2 4" xfId="22656" xr:uid="{00000000-0005-0000-0000-000077580000}"/>
    <cellStyle name="Normal 3 16 2 5" xfId="22657" xr:uid="{00000000-0005-0000-0000-000078580000}"/>
    <cellStyle name="Normal 3 16 2 5 2" xfId="22658" xr:uid="{00000000-0005-0000-0000-000079580000}"/>
    <cellStyle name="Normal 3 16 2 5 3" xfId="22659" xr:uid="{00000000-0005-0000-0000-00007A580000}"/>
    <cellStyle name="Normal 3 16 2 6" xfId="22660" xr:uid="{00000000-0005-0000-0000-00007B580000}"/>
    <cellStyle name="Normal 3 16 2 6 2" xfId="22661" xr:uid="{00000000-0005-0000-0000-00007C580000}"/>
    <cellStyle name="Normal 3 16 2 6 3" xfId="22662" xr:uid="{00000000-0005-0000-0000-00007D580000}"/>
    <cellStyle name="Normal 3 16 2 7" xfId="22663" xr:uid="{00000000-0005-0000-0000-00007E580000}"/>
    <cellStyle name="Normal 3 16 2 7 2" xfId="22664" xr:uid="{00000000-0005-0000-0000-00007F580000}"/>
    <cellStyle name="Normal 3 16 2 7 3" xfId="22665" xr:uid="{00000000-0005-0000-0000-000080580000}"/>
    <cellStyle name="Normal 3 16 2 8" xfId="22666" xr:uid="{00000000-0005-0000-0000-000081580000}"/>
    <cellStyle name="Normal 3 16 2 8 2" xfId="22667" xr:uid="{00000000-0005-0000-0000-000082580000}"/>
    <cellStyle name="Normal 3 16 2 8 3" xfId="22668" xr:uid="{00000000-0005-0000-0000-000083580000}"/>
    <cellStyle name="Normal 3 16 2 9" xfId="22669" xr:uid="{00000000-0005-0000-0000-000084580000}"/>
    <cellStyle name="Normal 3 16 2 9 2" xfId="22670" xr:uid="{00000000-0005-0000-0000-000085580000}"/>
    <cellStyle name="Normal 3 16 2 9 3" xfId="22671" xr:uid="{00000000-0005-0000-0000-000086580000}"/>
    <cellStyle name="Normal 3 16 20" xfId="22672" xr:uid="{00000000-0005-0000-0000-000087580000}"/>
    <cellStyle name="Normal 3 16 20 2" xfId="22673" xr:uid="{00000000-0005-0000-0000-000088580000}"/>
    <cellStyle name="Normal 3 16 20 3" xfId="22674" xr:uid="{00000000-0005-0000-0000-000089580000}"/>
    <cellStyle name="Normal 3 16 21" xfId="22675" xr:uid="{00000000-0005-0000-0000-00008A580000}"/>
    <cellStyle name="Normal 3 16 21 2" xfId="22676" xr:uid="{00000000-0005-0000-0000-00008B580000}"/>
    <cellStyle name="Normal 3 16 21 3" xfId="22677" xr:uid="{00000000-0005-0000-0000-00008C580000}"/>
    <cellStyle name="Normal 3 16 22" xfId="22678" xr:uid="{00000000-0005-0000-0000-00008D580000}"/>
    <cellStyle name="Normal 3 16 22 2" xfId="22679" xr:uid="{00000000-0005-0000-0000-00008E580000}"/>
    <cellStyle name="Normal 3 16 22 3" xfId="22680" xr:uid="{00000000-0005-0000-0000-00008F580000}"/>
    <cellStyle name="Normal 3 16 23" xfId="22681" xr:uid="{00000000-0005-0000-0000-000090580000}"/>
    <cellStyle name="Normal 3 16 23 2" xfId="22682" xr:uid="{00000000-0005-0000-0000-000091580000}"/>
    <cellStyle name="Normal 3 16 23 3" xfId="22683" xr:uid="{00000000-0005-0000-0000-000092580000}"/>
    <cellStyle name="Normal 3 16 24" xfId="22684" xr:uid="{00000000-0005-0000-0000-000093580000}"/>
    <cellStyle name="Normal 3 16 24 2" xfId="22685" xr:uid="{00000000-0005-0000-0000-000094580000}"/>
    <cellStyle name="Normal 3 16 24 3" xfId="22686" xr:uid="{00000000-0005-0000-0000-000095580000}"/>
    <cellStyle name="Normal 3 16 25" xfId="22687" xr:uid="{00000000-0005-0000-0000-000096580000}"/>
    <cellStyle name="Normal 3 16 25 2" xfId="22688" xr:uid="{00000000-0005-0000-0000-000097580000}"/>
    <cellStyle name="Normal 3 16 25 3" xfId="22689" xr:uid="{00000000-0005-0000-0000-000098580000}"/>
    <cellStyle name="Normal 3 16 26" xfId="22690" xr:uid="{00000000-0005-0000-0000-000099580000}"/>
    <cellStyle name="Normal 3 16 26 2" xfId="22691" xr:uid="{00000000-0005-0000-0000-00009A580000}"/>
    <cellStyle name="Normal 3 16 26 3" xfId="22692" xr:uid="{00000000-0005-0000-0000-00009B580000}"/>
    <cellStyle name="Normal 3 16 27" xfId="22693" xr:uid="{00000000-0005-0000-0000-00009C580000}"/>
    <cellStyle name="Normal 3 16 27 2" xfId="22694" xr:uid="{00000000-0005-0000-0000-00009D580000}"/>
    <cellStyle name="Normal 3 16 27 3" xfId="22695" xr:uid="{00000000-0005-0000-0000-00009E580000}"/>
    <cellStyle name="Normal 3 16 28" xfId="22696" xr:uid="{00000000-0005-0000-0000-00009F580000}"/>
    <cellStyle name="Normal 3 16 28 2" xfId="22697" xr:uid="{00000000-0005-0000-0000-0000A0580000}"/>
    <cellStyle name="Normal 3 16 28 3" xfId="22698" xr:uid="{00000000-0005-0000-0000-0000A1580000}"/>
    <cellStyle name="Normal 3 16 29" xfId="22699" xr:uid="{00000000-0005-0000-0000-0000A2580000}"/>
    <cellStyle name="Normal 3 16 29 2" xfId="22700" xr:uid="{00000000-0005-0000-0000-0000A3580000}"/>
    <cellStyle name="Normal 3 16 29 3" xfId="22701" xr:uid="{00000000-0005-0000-0000-0000A4580000}"/>
    <cellStyle name="Normal 3 16 3" xfId="22702" xr:uid="{00000000-0005-0000-0000-0000A5580000}"/>
    <cellStyle name="Normal 3 16 30" xfId="22703" xr:uid="{00000000-0005-0000-0000-0000A6580000}"/>
    <cellStyle name="Normal 3 16 31" xfId="22704" xr:uid="{00000000-0005-0000-0000-0000A7580000}"/>
    <cellStyle name="Normal 3 16 4" xfId="22705" xr:uid="{00000000-0005-0000-0000-0000A8580000}"/>
    <cellStyle name="Normal 3 16 5" xfId="22706" xr:uid="{00000000-0005-0000-0000-0000A9580000}"/>
    <cellStyle name="Normal 3 16 6" xfId="22707" xr:uid="{00000000-0005-0000-0000-0000AA580000}"/>
    <cellStyle name="Normal 3 16 6 10" xfId="22708" xr:uid="{00000000-0005-0000-0000-0000AB580000}"/>
    <cellStyle name="Normal 3 16 6 10 2" xfId="22709" xr:uid="{00000000-0005-0000-0000-0000AC580000}"/>
    <cellStyle name="Normal 3 16 6 10 3" xfId="22710" xr:uid="{00000000-0005-0000-0000-0000AD580000}"/>
    <cellStyle name="Normal 3 16 6 11" xfId="22711" xr:uid="{00000000-0005-0000-0000-0000AE580000}"/>
    <cellStyle name="Normal 3 16 6 11 2" xfId="22712" xr:uid="{00000000-0005-0000-0000-0000AF580000}"/>
    <cellStyle name="Normal 3 16 6 11 3" xfId="22713" xr:uid="{00000000-0005-0000-0000-0000B0580000}"/>
    <cellStyle name="Normal 3 16 6 12" xfId="22714" xr:uid="{00000000-0005-0000-0000-0000B1580000}"/>
    <cellStyle name="Normal 3 16 6 12 2" xfId="22715" xr:uid="{00000000-0005-0000-0000-0000B2580000}"/>
    <cellStyle name="Normal 3 16 6 12 3" xfId="22716" xr:uid="{00000000-0005-0000-0000-0000B3580000}"/>
    <cellStyle name="Normal 3 16 6 13" xfId="22717" xr:uid="{00000000-0005-0000-0000-0000B4580000}"/>
    <cellStyle name="Normal 3 16 6 13 2" xfId="22718" xr:uid="{00000000-0005-0000-0000-0000B5580000}"/>
    <cellStyle name="Normal 3 16 6 13 3" xfId="22719" xr:uid="{00000000-0005-0000-0000-0000B6580000}"/>
    <cellStyle name="Normal 3 16 6 14" xfId="22720" xr:uid="{00000000-0005-0000-0000-0000B7580000}"/>
    <cellStyle name="Normal 3 16 6 14 2" xfId="22721" xr:uid="{00000000-0005-0000-0000-0000B8580000}"/>
    <cellStyle name="Normal 3 16 6 14 3" xfId="22722" xr:uid="{00000000-0005-0000-0000-0000B9580000}"/>
    <cellStyle name="Normal 3 16 6 15" xfId="22723" xr:uid="{00000000-0005-0000-0000-0000BA580000}"/>
    <cellStyle name="Normal 3 16 6 15 2" xfId="22724" xr:uid="{00000000-0005-0000-0000-0000BB580000}"/>
    <cellStyle name="Normal 3 16 6 15 3" xfId="22725" xr:uid="{00000000-0005-0000-0000-0000BC580000}"/>
    <cellStyle name="Normal 3 16 6 16" xfId="22726" xr:uid="{00000000-0005-0000-0000-0000BD580000}"/>
    <cellStyle name="Normal 3 16 6 17" xfId="22727" xr:uid="{00000000-0005-0000-0000-0000BE580000}"/>
    <cellStyle name="Normal 3 16 6 2" xfId="22728" xr:uid="{00000000-0005-0000-0000-0000BF580000}"/>
    <cellStyle name="Normal 3 16 6 2 10" xfId="22729" xr:uid="{00000000-0005-0000-0000-0000C0580000}"/>
    <cellStyle name="Normal 3 16 6 2 10 2" xfId="22730" xr:uid="{00000000-0005-0000-0000-0000C1580000}"/>
    <cellStyle name="Normal 3 16 6 2 10 3" xfId="22731" xr:uid="{00000000-0005-0000-0000-0000C2580000}"/>
    <cellStyle name="Normal 3 16 6 2 11" xfId="22732" xr:uid="{00000000-0005-0000-0000-0000C3580000}"/>
    <cellStyle name="Normal 3 16 6 2 11 2" xfId="22733" xr:uid="{00000000-0005-0000-0000-0000C4580000}"/>
    <cellStyle name="Normal 3 16 6 2 11 3" xfId="22734" xr:uid="{00000000-0005-0000-0000-0000C5580000}"/>
    <cellStyle name="Normal 3 16 6 2 12" xfId="22735" xr:uid="{00000000-0005-0000-0000-0000C6580000}"/>
    <cellStyle name="Normal 3 16 6 2 12 2" xfId="22736" xr:uid="{00000000-0005-0000-0000-0000C7580000}"/>
    <cellStyle name="Normal 3 16 6 2 12 3" xfId="22737" xr:uid="{00000000-0005-0000-0000-0000C8580000}"/>
    <cellStyle name="Normal 3 16 6 2 13" xfId="22738" xr:uid="{00000000-0005-0000-0000-0000C9580000}"/>
    <cellStyle name="Normal 3 16 6 2 13 2" xfId="22739" xr:uid="{00000000-0005-0000-0000-0000CA580000}"/>
    <cellStyle name="Normal 3 16 6 2 13 3" xfId="22740" xr:uid="{00000000-0005-0000-0000-0000CB580000}"/>
    <cellStyle name="Normal 3 16 6 2 14" xfId="22741" xr:uid="{00000000-0005-0000-0000-0000CC580000}"/>
    <cellStyle name="Normal 3 16 6 2 14 2" xfId="22742" xr:uid="{00000000-0005-0000-0000-0000CD580000}"/>
    <cellStyle name="Normal 3 16 6 2 14 3" xfId="22743" xr:uid="{00000000-0005-0000-0000-0000CE580000}"/>
    <cellStyle name="Normal 3 16 6 2 15" xfId="22744" xr:uid="{00000000-0005-0000-0000-0000CF580000}"/>
    <cellStyle name="Normal 3 16 6 2 16" xfId="22745" xr:uid="{00000000-0005-0000-0000-0000D0580000}"/>
    <cellStyle name="Normal 3 16 6 2 2" xfId="22746" xr:uid="{00000000-0005-0000-0000-0000D1580000}"/>
    <cellStyle name="Normal 3 16 6 2 2 2" xfId="22747" xr:uid="{00000000-0005-0000-0000-0000D2580000}"/>
    <cellStyle name="Normal 3 16 6 2 2 3" xfId="22748" xr:uid="{00000000-0005-0000-0000-0000D3580000}"/>
    <cellStyle name="Normal 3 16 6 2 3" xfId="22749" xr:uid="{00000000-0005-0000-0000-0000D4580000}"/>
    <cellStyle name="Normal 3 16 6 2 3 2" xfId="22750" xr:uid="{00000000-0005-0000-0000-0000D5580000}"/>
    <cellStyle name="Normal 3 16 6 2 3 3" xfId="22751" xr:uid="{00000000-0005-0000-0000-0000D6580000}"/>
    <cellStyle name="Normal 3 16 6 2 4" xfId="22752" xr:uid="{00000000-0005-0000-0000-0000D7580000}"/>
    <cellStyle name="Normal 3 16 6 2 4 2" xfId="22753" xr:uid="{00000000-0005-0000-0000-0000D8580000}"/>
    <cellStyle name="Normal 3 16 6 2 4 3" xfId="22754" xr:uid="{00000000-0005-0000-0000-0000D9580000}"/>
    <cellStyle name="Normal 3 16 6 2 5" xfId="22755" xr:uid="{00000000-0005-0000-0000-0000DA580000}"/>
    <cellStyle name="Normal 3 16 6 2 5 2" xfId="22756" xr:uid="{00000000-0005-0000-0000-0000DB580000}"/>
    <cellStyle name="Normal 3 16 6 2 5 3" xfId="22757" xr:uid="{00000000-0005-0000-0000-0000DC580000}"/>
    <cellStyle name="Normal 3 16 6 2 6" xfId="22758" xr:uid="{00000000-0005-0000-0000-0000DD580000}"/>
    <cellStyle name="Normal 3 16 6 2 6 2" xfId="22759" xr:uid="{00000000-0005-0000-0000-0000DE580000}"/>
    <cellStyle name="Normal 3 16 6 2 6 3" xfId="22760" xr:uid="{00000000-0005-0000-0000-0000DF580000}"/>
    <cellStyle name="Normal 3 16 6 2 7" xfId="22761" xr:uid="{00000000-0005-0000-0000-0000E0580000}"/>
    <cellStyle name="Normal 3 16 6 2 7 2" xfId="22762" xr:uid="{00000000-0005-0000-0000-0000E1580000}"/>
    <cellStyle name="Normal 3 16 6 2 7 3" xfId="22763" xr:uid="{00000000-0005-0000-0000-0000E2580000}"/>
    <cellStyle name="Normal 3 16 6 2 8" xfId="22764" xr:uid="{00000000-0005-0000-0000-0000E3580000}"/>
    <cellStyle name="Normal 3 16 6 2 8 2" xfId="22765" xr:uid="{00000000-0005-0000-0000-0000E4580000}"/>
    <cellStyle name="Normal 3 16 6 2 8 3" xfId="22766" xr:uid="{00000000-0005-0000-0000-0000E5580000}"/>
    <cellStyle name="Normal 3 16 6 2 9" xfId="22767" xr:uid="{00000000-0005-0000-0000-0000E6580000}"/>
    <cellStyle name="Normal 3 16 6 2 9 2" xfId="22768" xr:uid="{00000000-0005-0000-0000-0000E7580000}"/>
    <cellStyle name="Normal 3 16 6 2 9 3" xfId="22769" xr:uid="{00000000-0005-0000-0000-0000E8580000}"/>
    <cellStyle name="Normal 3 16 6 3" xfId="22770" xr:uid="{00000000-0005-0000-0000-0000E9580000}"/>
    <cellStyle name="Normal 3 16 6 3 2" xfId="22771" xr:uid="{00000000-0005-0000-0000-0000EA580000}"/>
    <cellStyle name="Normal 3 16 6 3 3" xfId="22772" xr:uid="{00000000-0005-0000-0000-0000EB580000}"/>
    <cellStyle name="Normal 3 16 6 4" xfId="22773" xr:uid="{00000000-0005-0000-0000-0000EC580000}"/>
    <cellStyle name="Normal 3 16 6 4 2" xfId="22774" xr:uid="{00000000-0005-0000-0000-0000ED580000}"/>
    <cellStyle name="Normal 3 16 6 4 3" xfId="22775" xr:uid="{00000000-0005-0000-0000-0000EE580000}"/>
    <cellStyle name="Normal 3 16 6 5" xfId="22776" xr:uid="{00000000-0005-0000-0000-0000EF580000}"/>
    <cellStyle name="Normal 3 16 6 5 2" xfId="22777" xr:uid="{00000000-0005-0000-0000-0000F0580000}"/>
    <cellStyle name="Normal 3 16 6 5 3" xfId="22778" xr:uid="{00000000-0005-0000-0000-0000F1580000}"/>
    <cellStyle name="Normal 3 16 6 6" xfId="22779" xr:uid="{00000000-0005-0000-0000-0000F2580000}"/>
    <cellStyle name="Normal 3 16 6 6 2" xfId="22780" xr:uid="{00000000-0005-0000-0000-0000F3580000}"/>
    <cellStyle name="Normal 3 16 6 6 3" xfId="22781" xr:uid="{00000000-0005-0000-0000-0000F4580000}"/>
    <cellStyle name="Normal 3 16 6 7" xfId="22782" xr:uid="{00000000-0005-0000-0000-0000F5580000}"/>
    <cellStyle name="Normal 3 16 6 7 2" xfId="22783" xr:uid="{00000000-0005-0000-0000-0000F6580000}"/>
    <cellStyle name="Normal 3 16 6 7 3" xfId="22784" xr:uid="{00000000-0005-0000-0000-0000F7580000}"/>
    <cellStyle name="Normal 3 16 6 8" xfId="22785" xr:uid="{00000000-0005-0000-0000-0000F8580000}"/>
    <cellStyle name="Normal 3 16 6 8 2" xfId="22786" xr:uid="{00000000-0005-0000-0000-0000F9580000}"/>
    <cellStyle name="Normal 3 16 6 8 3" xfId="22787" xr:uid="{00000000-0005-0000-0000-0000FA580000}"/>
    <cellStyle name="Normal 3 16 6 9" xfId="22788" xr:uid="{00000000-0005-0000-0000-0000FB580000}"/>
    <cellStyle name="Normal 3 16 6 9 2" xfId="22789" xr:uid="{00000000-0005-0000-0000-0000FC580000}"/>
    <cellStyle name="Normal 3 16 6 9 3" xfId="22790" xr:uid="{00000000-0005-0000-0000-0000FD580000}"/>
    <cellStyle name="Normal 3 16 7" xfId="22791" xr:uid="{00000000-0005-0000-0000-0000FE580000}"/>
    <cellStyle name="Normal 3 16 7 10" xfId="22792" xr:uid="{00000000-0005-0000-0000-0000FF580000}"/>
    <cellStyle name="Normal 3 16 7 10 2" xfId="22793" xr:uid="{00000000-0005-0000-0000-000000590000}"/>
    <cellStyle name="Normal 3 16 7 10 3" xfId="22794" xr:uid="{00000000-0005-0000-0000-000001590000}"/>
    <cellStyle name="Normal 3 16 7 11" xfId="22795" xr:uid="{00000000-0005-0000-0000-000002590000}"/>
    <cellStyle name="Normal 3 16 7 11 2" xfId="22796" xr:uid="{00000000-0005-0000-0000-000003590000}"/>
    <cellStyle name="Normal 3 16 7 11 3" xfId="22797" xr:uid="{00000000-0005-0000-0000-000004590000}"/>
    <cellStyle name="Normal 3 16 7 12" xfId="22798" xr:uid="{00000000-0005-0000-0000-000005590000}"/>
    <cellStyle name="Normal 3 16 7 12 2" xfId="22799" xr:uid="{00000000-0005-0000-0000-000006590000}"/>
    <cellStyle name="Normal 3 16 7 12 3" xfId="22800" xr:uid="{00000000-0005-0000-0000-000007590000}"/>
    <cellStyle name="Normal 3 16 7 13" xfId="22801" xr:uid="{00000000-0005-0000-0000-000008590000}"/>
    <cellStyle name="Normal 3 16 7 13 2" xfId="22802" xr:uid="{00000000-0005-0000-0000-000009590000}"/>
    <cellStyle name="Normal 3 16 7 13 3" xfId="22803" xr:uid="{00000000-0005-0000-0000-00000A590000}"/>
    <cellStyle name="Normal 3 16 7 14" xfId="22804" xr:uid="{00000000-0005-0000-0000-00000B590000}"/>
    <cellStyle name="Normal 3 16 7 14 2" xfId="22805" xr:uid="{00000000-0005-0000-0000-00000C590000}"/>
    <cellStyle name="Normal 3 16 7 14 3" xfId="22806" xr:uid="{00000000-0005-0000-0000-00000D590000}"/>
    <cellStyle name="Normal 3 16 7 15" xfId="22807" xr:uid="{00000000-0005-0000-0000-00000E590000}"/>
    <cellStyle name="Normal 3 16 7 15 2" xfId="22808" xr:uid="{00000000-0005-0000-0000-00000F590000}"/>
    <cellStyle name="Normal 3 16 7 15 3" xfId="22809" xr:uid="{00000000-0005-0000-0000-000010590000}"/>
    <cellStyle name="Normal 3 16 7 16" xfId="22810" xr:uid="{00000000-0005-0000-0000-000011590000}"/>
    <cellStyle name="Normal 3 16 7 17" xfId="22811" xr:uid="{00000000-0005-0000-0000-000012590000}"/>
    <cellStyle name="Normal 3 16 7 2" xfId="22812" xr:uid="{00000000-0005-0000-0000-000013590000}"/>
    <cellStyle name="Normal 3 16 7 2 10" xfId="22813" xr:uid="{00000000-0005-0000-0000-000014590000}"/>
    <cellStyle name="Normal 3 16 7 2 10 2" xfId="22814" xr:uid="{00000000-0005-0000-0000-000015590000}"/>
    <cellStyle name="Normal 3 16 7 2 10 3" xfId="22815" xr:uid="{00000000-0005-0000-0000-000016590000}"/>
    <cellStyle name="Normal 3 16 7 2 11" xfId="22816" xr:uid="{00000000-0005-0000-0000-000017590000}"/>
    <cellStyle name="Normal 3 16 7 2 11 2" xfId="22817" xr:uid="{00000000-0005-0000-0000-000018590000}"/>
    <cellStyle name="Normal 3 16 7 2 11 3" xfId="22818" xr:uid="{00000000-0005-0000-0000-000019590000}"/>
    <cellStyle name="Normal 3 16 7 2 12" xfId="22819" xr:uid="{00000000-0005-0000-0000-00001A590000}"/>
    <cellStyle name="Normal 3 16 7 2 12 2" xfId="22820" xr:uid="{00000000-0005-0000-0000-00001B590000}"/>
    <cellStyle name="Normal 3 16 7 2 12 3" xfId="22821" xr:uid="{00000000-0005-0000-0000-00001C590000}"/>
    <cellStyle name="Normal 3 16 7 2 13" xfId="22822" xr:uid="{00000000-0005-0000-0000-00001D590000}"/>
    <cellStyle name="Normal 3 16 7 2 13 2" xfId="22823" xr:uid="{00000000-0005-0000-0000-00001E590000}"/>
    <cellStyle name="Normal 3 16 7 2 13 3" xfId="22824" xr:uid="{00000000-0005-0000-0000-00001F590000}"/>
    <cellStyle name="Normal 3 16 7 2 14" xfId="22825" xr:uid="{00000000-0005-0000-0000-000020590000}"/>
    <cellStyle name="Normal 3 16 7 2 14 2" xfId="22826" xr:uid="{00000000-0005-0000-0000-000021590000}"/>
    <cellStyle name="Normal 3 16 7 2 14 3" xfId="22827" xr:uid="{00000000-0005-0000-0000-000022590000}"/>
    <cellStyle name="Normal 3 16 7 2 15" xfId="22828" xr:uid="{00000000-0005-0000-0000-000023590000}"/>
    <cellStyle name="Normal 3 16 7 2 16" xfId="22829" xr:uid="{00000000-0005-0000-0000-000024590000}"/>
    <cellStyle name="Normal 3 16 7 2 2" xfId="22830" xr:uid="{00000000-0005-0000-0000-000025590000}"/>
    <cellStyle name="Normal 3 16 7 2 2 2" xfId="22831" xr:uid="{00000000-0005-0000-0000-000026590000}"/>
    <cellStyle name="Normal 3 16 7 2 2 3" xfId="22832" xr:uid="{00000000-0005-0000-0000-000027590000}"/>
    <cellStyle name="Normal 3 16 7 2 3" xfId="22833" xr:uid="{00000000-0005-0000-0000-000028590000}"/>
    <cellStyle name="Normal 3 16 7 2 3 2" xfId="22834" xr:uid="{00000000-0005-0000-0000-000029590000}"/>
    <cellStyle name="Normal 3 16 7 2 3 3" xfId="22835" xr:uid="{00000000-0005-0000-0000-00002A590000}"/>
    <cellStyle name="Normal 3 16 7 2 4" xfId="22836" xr:uid="{00000000-0005-0000-0000-00002B590000}"/>
    <cellStyle name="Normal 3 16 7 2 4 2" xfId="22837" xr:uid="{00000000-0005-0000-0000-00002C590000}"/>
    <cellStyle name="Normal 3 16 7 2 4 3" xfId="22838" xr:uid="{00000000-0005-0000-0000-00002D590000}"/>
    <cellStyle name="Normal 3 16 7 2 5" xfId="22839" xr:uid="{00000000-0005-0000-0000-00002E590000}"/>
    <cellStyle name="Normal 3 16 7 2 5 2" xfId="22840" xr:uid="{00000000-0005-0000-0000-00002F590000}"/>
    <cellStyle name="Normal 3 16 7 2 5 3" xfId="22841" xr:uid="{00000000-0005-0000-0000-000030590000}"/>
    <cellStyle name="Normal 3 16 7 2 6" xfId="22842" xr:uid="{00000000-0005-0000-0000-000031590000}"/>
    <cellStyle name="Normal 3 16 7 2 6 2" xfId="22843" xr:uid="{00000000-0005-0000-0000-000032590000}"/>
    <cellStyle name="Normal 3 16 7 2 6 3" xfId="22844" xr:uid="{00000000-0005-0000-0000-000033590000}"/>
    <cellStyle name="Normal 3 16 7 2 7" xfId="22845" xr:uid="{00000000-0005-0000-0000-000034590000}"/>
    <cellStyle name="Normal 3 16 7 2 7 2" xfId="22846" xr:uid="{00000000-0005-0000-0000-000035590000}"/>
    <cellStyle name="Normal 3 16 7 2 7 3" xfId="22847" xr:uid="{00000000-0005-0000-0000-000036590000}"/>
    <cellStyle name="Normal 3 16 7 2 8" xfId="22848" xr:uid="{00000000-0005-0000-0000-000037590000}"/>
    <cellStyle name="Normal 3 16 7 2 8 2" xfId="22849" xr:uid="{00000000-0005-0000-0000-000038590000}"/>
    <cellStyle name="Normal 3 16 7 2 8 3" xfId="22850" xr:uid="{00000000-0005-0000-0000-000039590000}"/>
    <cellStyle name="Normal 3 16 7 2 9" xfId="22851" xr:uid="{00000000-0005-0000-0000-00003A590000}"/>
    <cellStyle name="Normal 3 16 7 2 9 2" xfId="22852" xr:uid="{00000000-0005-0000-0000-00003B590000}"/>
    <cellStyle name="Normal 3 16 7 2 9 3" xfId="22853" xr:uid="{00000000-0005-0000-0000-00003C590000}"/>
    <cellStyle name="Normal 3 16 7 3" xfId="22854" xr:uid="{00000000-0005-0000-0000-00003D590000}"/>
    <cellStyle name="Normal 3 16 7 3 2" xfId="22855" xr:uid="{00000000-0005-0000-0000-00003E590000}"/>
    <cellStyle name="Normal 3 16 7 3 3" xfId="22856" xr:uid="{00000000-0005-0000-0000-00003F590000}"/>
    <cellStyle name="Normal 3 16 7 4" xfId="22857" xr:uid="{00000000-0005-0000-0000-000040590000}"/>
    <cellStyle name="Normal 3 16 7 4 2" xfId="22858" xr:uid="{00000000-0005-0000-0000-000041590000}"/>
    <cellStyle name="Normal 3 16 7 4 3" xfId="22859" xr:uid="{00000000-0005-0000-0000-000042590000}"/>
    <cellStyle name="Normal 3 16 7 5" xfId="22860" xr:uid="{00000000-0005-0000-0000-000043590000}"/>
    <cellStyle name="Normal 3 16 7 5 2" xfId="22861" xr:uid="{00000000-0005-0000-0000-000044590000}"/>
    <cellStyle name="Normal 3 16 7 5 3" xfId="22862" xr:uid="{00000000-0005-0000-0000-000045590000}"/>
    <cellStyle name="Normal 3 16 7 6" xfId="22863" xr:uid="{00000000-0005-0000-0000-000046590000}"/>
    <cellStyle name="Normal 3 16 7 6 2" xfId="22864" xr:uid="{00000000-0005-0000-0000-000047590000}"/>
    <cellStyle name="Normal 3 16 7 6 3" xfId="22865" xr:uid="{00000000-0005-0000-0000-000048590000}"/>
    <cellStyle name="Normal 3 16 7 7" xfId="22866" xr:uid="{00000000-0005-0000-0000-000049590000}"/>
    <cellStyle name="Normal 3 16 7 7 2" xfId="22867" xr:uid="{00000000-0005-0000-0000-00004A590000}"/>
    <cellStyle name="Normal 3 16 7 7 3" xfId="22868" xr:uid="{00000000-0005-0000-0000-00004B590000}"/>
    <cellStyle name="Normal 3 16 7 8" xfId="22869" xr:uid="{00000000-0005-0000-0000-00004C590000}"/>
    <cellStyle name="Normal 3 16 7 8 2" xfId="22870" xr:uid="{00000000-0005-0000-0000-00004D590000}"/>
    <cellStyle name="Normal 3 16 7 8 3" xfId="22871" xr:uid="{00000000-0005-0000-0000-00004E590000}"/>
    <cellStyle name="Normal 3 16 7 9" xfId="22872" xr:uid="{00000000-0005-0000-0000-00004F590000}"/>
    <cellStyle name="Normal 3 16 7 9 2" xfId="22873" xr:uid="{00000000-0005-0000-0000-000050590000}"/>
    <cellStyle name="Normal 3 16 7 9 3" xfId="22874" xr:uid="{00000000-0005-0000-0000-000051590000}"/>
    <cellStyle name="Normal 3 16 8" xfId="22875" xr:uid="{00000000-0005-0000-0000-000052590000}"/>
    <cellStyle name="Normal 3 16 8 10" xfId="22876" xr:uid="{00000000-0005-0000-0000-000053590000}"/>
    <cellStyle name="Normal 3 16 8 10 2" xfId="22877" xr:uid="{00000000-0005-0000-0000-000054590000}"/>
    <cellStyle name="Normal 3 16 8 10 3" xfId="22878" xr:uid="{00000000-0005-0000-0000-000055590000}"/>
    <cellStyle name="Normal 3 16 8 11" xfId="22879" xr:uid="{00000000-0005-0000-0000-000056590000}"/>
    <cellStyle name="Normal 3 16 8 11 2" xfId="22880" xr:uid="{00000000-0005-0000-0000-000057590000}"/>
    <cellStyle name="Normal 3 16 8 11 3" xfId="22881" xr:uid="{00000000-0005-0000-0000-000058590000}"/>
    <cellStyle name="Normal 3 16 8 12" xfId="22882" xr:uid="{00000000-0005-0000-0000-000059590000}"/>
    <cellStyle name="Normal 3 16 8 12 2" xfId="22883" xr:uid="{00000000-0005-0000-0000-00005A590000}"/>
    <cellStyle name="Normal 3 16 8 12 3" xfId="22884" xr:uid="{00000000-0005-0000-0000-00005B590000}"/>
    <cellStyle name="Normal 3 16 8 13" xfId="22885" xr:uid="{00000000-0005-0000-0000-00005C590000}"/>
    <cellStyle name="Normal 3 16 8 13 2" xfId="22886" xr:uid="{00000000-0005-0000-0000-00005D590000}"/>
    <cellStyle name="Normal 3 16 8 13 3" xfId="22887" xr:uid="{00000000-0005-0000-0000-00005E590000}"/>
    <cellStyle name="Normal 3 16 8 14" xfId="22888" xr:uid="{00000000-0005-0000-0000-00005F590000}"/>
    <cellStyle name="Normal 3 16 8 14 2" xfId="22889" xr:uid="{00000000-0005-0000-0000-000060590000}"/>
    <cellStyle name="Normal 3 16 8 14 3" xfId="22890" xr:uid="{00000000-0005-0000-0000-000061590000}"/>
    <cellStyle name="Normal 3 16 8 15" xfId="22891" xr:uid="{00000000-0005-0000-0000-000062590000}"/>
    <cellStyle name="Normal 3 16 8 15 2" xfId="22892" xr:uid="{00000000-0005-0000-0000-000063590000}"/>
    <cellStyle name="Normal 3 16 8 15 3" xfId="22893" xr:uid="{00000000-0005-0000-0000-000064590000}"/>
    <cellStyle name="Normal 3 16 8 16" xfId="22894" xr:uid="{00000000-0005-0000-0000-000065590000}"/>
    <cellStyle name="Normal 3 16 8 17" xfId="22895" xr:uid="{00000000-0005-0000-0000-000066590000}"/>
    <cellStyle name="Normal 3 16 8 2" xfId="22896" xr:uid="{00000000-0005-0000-0000-000067590000}"/>
    <cellStyle name="Normal 3 16 8 2 10" xfId="22897" xr:uid="{00000000-0005-0000-0000-000068590000}"/>
    <cellStyle name="Normal 3 16 8 2 10 2" xfId="22898" xr:uid="{00000000-0005-0000-0000-000069590000}"/>
    <cellStyle name="Normal 3 16 8 2 10 3" xfId="22899" xr:uid="{00000000-0005-0000-0000-00006A590000}"/>
    <cellStyle name="Normal 3 16 8 2 11" xfId="22900" xr:uid="{00000000-0005-0000-0000-00006B590000}"/>
    <cellStyle name="Normal 3 16 8 2 11 2" xfId="22901" xr:uid="{00000000-0005-0000-0000-00006C590000}"/>
    <cellStyle name="Normal 3 16 8 2 11 3" xfId="22902" xr:uid="{00000000-0005-0000-0000-00006D590000}"/>
    <cellStyle name="Normal 3 16 8 2 12" xfId="22903" xr:uid="{00000000-0005-0000-0000-00006E590000}"/>
    <cellStyle name="Normal 3 16 8 2 12 2" xfId="22904" xr:uid="{00000000-0005-0000-0000-00006F590000}"/>
    <cellStyle name="Normal 3 16 8 2 12 3" xfId="22905" xr:uid="{00000000-0005-0000-0000-000070590000}"/>
    <cellStyle name="Normal 3 16 8 2 13" xfId="22906" xr:uid="{00000000-0005-0000-0000-000071590000}"/>
    <cellStyle name="Normal 3 16 8 2 13 2" xfId="22907" xr:uid="{00000000-0005-0000-0000-000072590000}"/>
    <cellStyle name="Normal 3 16 8 2 13 3" xfId="22908" xr:uid="{00000000-0005-0000-0000-000073590000}"/>
    <cellStyle name="Normal 3 16 8 2 14" xfId="22909" xr:uid="{00000000-0005-0000-0000-000074590000}"/>
    <cellStyle name="Normal 3 16 8 2 14 2" xfId="22910" xr:uid="{00000000-0005-0000-0000-000075590000}"/>
    <cellStyle name="Normal 3 16 8 2 14 3" xfId="22911" xr:uid="{00000000-0005-0000-0000-000076590000}"/>
    <cellStyle name="Normal 3 16 8 2 15" xfId="22912" xr:uid="{00000000-0005-0000-0000-000077590000}"/>
    <cellStyle name="Normal 3 16 8 2 16" xfId="22913" xr:uid="{00000000-0005-0000-0000-000078590000}"/>
    <cellStyle name="Normal 3 16 8 2 2" xfId="22914" xr:uid="{00000000-0005-0000-0000-000079590000}"/>
    <cellStyle name="Normal 3 16 8 2 2 2" xfId="22915" xr:uid="{00000000-0005-0000-0000-00007A590000}"/>
    <cellStyle name="Normal 3 16 8 2 2 3" xfId="22916" xr:uid="{00000000-0005-0000-0000-00007B590000}"/>
    <cellStyle name="Normal 3 16 8 2 3" xfId="22917" xr:uid="{00000000-0005-0000-0000-00007C590000}"/>
    <cellStyle name="Normal 3 16 8 2 3 2" xfId="22918" xr:uid="{00000000-0005-0000-0000-00007D590000}"/>
    <cellStyle name="Normal 3 16 8 2 3 3" xfId="22919" xr:uid="{00000000-0005-0000-0000-00007E590000}"/>
    <cellStyle name="Normal 3 16 8 2 4" xfId="22920" xr:uid="{00000000-0005-0000-0000-00007F590000}"/>
    <cellStyle name="Normal 3 16 8 2 4 2" xfId="22921" xr:uid="{00000000-0005-0000-0000-000080590000}"/>
    <cellStyle name="Normal 3 16 8 2 4 3" xfId="22922" xr:uid="{00000000-0005-0000-0000-000081590000}"/>
    <cellStyle name="Normal 3 16 8 2 5" xfId="22923" xr:uid="{00000000-0005-0000-0000-000082590000}"/>
    <cellStyle name="Normal 3 16 8 2 5 2" xfId="22924" xr:uid="{00000000-0005-0000-0000-000083590000}"/>
    <cellStyle name="Normal 3 16 8 2 5 3" xfId="22925" xr:uid="{00000000-0005-0000-0000-000084590000}"/>
    <cellStyle name="Normal 3 16 8 2 6" xfId="22926" xr:uid="{00000000-0005-0000-0000-000085590000}"/>
    <cellStyle name="Normal 3 16 8 2 6 2" xfId="22927" xr:uid="{00000000-0005-0000-0000-000086590000}"/>
    <cellStyle name="Normal 3 16 8 2 6 3" xfId="22928" xr:uid="{00000000-0005-0000-0000-000087590000}"/>
    <cellStyle name="Normal 3 16 8 2 7" xfId="22929" xr:uid="{00000000-0005-0000-0000-000088590000}"/>
    <cellStyle name="Normal 3 16 8 2 7 2" xfId="22930" xr:uid="{00000000-0005-0000-0000-000089590000}"/>
    <cellStyle name="Normal 3 16 8 2 7 3" xfId="22931" xr:uid="{00000000-0005-0000-0000-00008A590000}"/>
    <cellStyle name="Normal 3 16 8 2 8" xfId="22932" xr:uid="{00000000-0005-0000-0000-00008B590000}"/>
    <cellStyle name="Normal 3 16 8 2 8 2" xfId="22933" xr:uid="{00000000-0005-0000-0000-00008C590000}"/>
    <cellStyle name="Normal 3 16 8 2 8 3" xfId="22934" xr:uid="{00000000-0005-0000-0000-00008D590000}"/>
    <cellStyle name="Normal 3 16 8 2 9" xfId="22935" xr:uid="{00000000-0005-0000-0000-00008E590000}"/>
    <cellStyle name="Normal 3 16 8 2 9 2" xfId="22936" xr:uid="{00000000-0005-0000-0000-00008F590000}"/>
    <cellStyle name="Normal 3 16 8 2 9 3" xfId="22937" xr:uid="{00000000-0005-0000-0000-000090590000}"/>
    <cellStyle name="Normal 3 16 8 3" xfId="22938" xr:uid="{00000000-0005-0000-0000-000091590000}"/>
    <cellStyle name="Normal 3 16 8 3 2" xfId="22939" xr:uid="{00000000-0005-0000-0000-000092590000}"/>
    <cellStyle name="Normal 3 16 8 3 3" xfId="22940" xr:uid="{00000000-0005-0000-0000-000093590000}"/>
    <cellStyle name="Normal 3 16 8 4" xfId="22941" xr:uid="{00000000-0005-0000-0000-000094590000}"/>
    <cellStyle name="Normal 3 16 8 4 2" xfId="22942" xr:uid="{00000000-0005-0000-0000-000095590000}"/>
    <cellStyle name="Normal 3 16 8 4 3" xfId="22943" xr:uid="{00000000-0005-0000-0000-000096590000}"/>
    <cellStyle name="Normal 3 16 8 5" xfId="22944" xr:uid="{00000000-0005-0000-0000-000097590000}"/>
    <cellStyle name="Normal 3 16 8 5 2" xfId="22945" xr:uid="{00000000-0005-0000-0000-000098590000}"/>
    <cellStyle name="Normal 3 16 8 5 3" xfId="22946" xr:uid="{00000000-0005-0000-0000-000099590000}"/>
    <cellStyle name="Normal 3 16 8 6" xfId="22947" xr:uid="{00000000-0005-0000-0000-00009A590000}"/>
    <cellStyle name="Normal 3 16 8 6 2" xfId="22948" xr:uid="{00000000-0005-0000-0000-00009B590000}"/>
    <cellStyle name="Normal 3 16 8 6 3" xfId="22949" xr:uid="{00000000-0005-0000-0000-00009C590000}"/>
    <cellStyle name="Normal 3 16 8 7" xfId="22950" xr:uid="{00000000-0005-0000-0000-00009D590000}"/>
    <cellStyle name="Normal 3 16 8 7 2" xfId="22951" xr:uid="{00000000-0005-0000-0000-00009E590000}"/>
    <cellStyle name="Normal 3 16 8 7 3" xfId="22952" xr:uid="{00000000-0005-0000-0000-00009F590000}"/>
    <cellStyle name="Normal 3 16 8 8" xfId="22953" xr:uid="{00000000-0005-0000-0000-0000A0590000}"/>
    <cellStyle name="Normal 3 16 8 8 2" xfId="22954" xr:uid="{00000000-0005-0000-0000-0000A1590000}"/>
    <cellStyle name="Normal 3 16 8 8 3" xfId="22955" xr:uid="{00000000-0005-0000-0000-0000A2590000}"/>
    <cellStyle name="Normal 3 16 8 9" xfId="22956" xr:uid="{00000000-0005-0000-0000-0000A3590000}"/>
    <cellStyle name="Normal 3 16 8 9 2" xfId="22957" xr:uid="{00000000-0005-0000-0000-0000A4590000}"/>
    <cellStyle name="Normal 3 16 8 9 3" xfId="22958" xr:uid="{00000000-0005-0000-0000-0000A5590000}"/>
    <cellStyle name="Normal 3 16 9" xfId="22959" xr:uid="{00000000-0005-0000-0000-0000A6590000}"/>
    <cellStyle name="Normal 3 16 9 10" xfId="22960" xr:uid="{00000000-0005-0000-0000-0000A7590000}"/>
    <cellStyle name="Normal 3 16 9 10 2" xfId="22961" xr:uid="{00000000-0005-0000-0000-0000A8590000}"/>
    <cellStyle name="Normal 3 16 9 10 3" xfId="22962" xr:uid="{00000000-0005-0000-0000-0000A9590000}"/>
    <cellStyle name="Normal 3 16 9 11" xfId="22963" xr:uid="{00000000-0005-0000-0000-0000AA590000}"/>
    <cellStyle name="Normal 3 16 9 11 2" xfId="22964" xr:uid="{00000000-0005-0000-0000-0000AB590000}"/>
    <cellStyle name="Normal 3 16 9 11 3" xfId="22965" xr:uid="{00000000-0005-0000-0000-0000AC590000}"/>
    <cellStyle name="Normal 3 16 9 12" xfId="22966" xr:uid="{00000000-0005-0000-0000-0000AD590000}"/>
    <cellStyle name="Normal 3 16 9 12 2" xfId="22967" xr:uid="{00000000-0005-0000-0000-0000AE590000}"/>
    <cellStyle name="Normal 3 16 9 12 3" xfId="22968" xr:uid="{00000000-0005-0000-0000-0000AF590000}"/>
    <cellStyle name="Normal 3 16 9 13" xfId="22969" xr:uid="{00000000-0005-0000-0000-0000B0590000}"/>
    <cellStyle name="Normal 3 16 9 13 2" xfId="22970" xr:uid="{00000000-0005-0000-0000-0000B1590000}"/>
    <cellStyle name="Normal 3 16 9 13 3" xfId="22971" xr:uid="{00000000-0005-0000-0000-0000B2590000}"/>
    <cellStyle name="Normal 3 16 9 14" xfId="22972" xr:uid="{00000000-0005-0000-0000-0000B3590000}"/>
    <cellStyle name="Normal 3 16 9 14 2" xfId="22973" xr:uid="{00000000-0005-0000-0000-0000B4590000}"/>
    <cellStyle name="Normal 3 16 9 14 3" xfId="22974" xr:uid="{00000000-0005-0000-0000-0000B5590000}"/>
    <cellStyle name="Normal 3 16 9 15" xfId="22975" xr:uid="{00000000-0005-0000-0000-0000B6590000}"/>
    <cellStyle name="Normal 3 16 9 16" xfId="22976" xr:uid="{00000000-0005-0000-0000-0000B7590000}"/>
    <cellStyle name="Normal 3 16 9 2" xfId="22977" xr:uid="{00000000-0005-0000-0000-0000B8590000}"/>
    <cellStyle name="Normal 3 16 9 2 2" xfId="22978" xr:uid="{00000000-0005-0000-0000-0000B9590000}"/>
    <cellStyle name="Normal 3 16 9 2 3" xfId="22979" xr:uid="{00000000-0005-0000-0000-0000BA590000}"/>
    <cellStyle name="Normal 3 16 9 3" xfId="22980" xr:uid="{00000000-0005-0000-0000-0000BB590000}"/>
    <cellStyle name="Normal 3 16 9 3 2" xfId="22981" xr:uid="{00000000-0005-0000-0000-0000BC590000}"/>
    <cellStyle name="Normal 3 16 9 3 3" xfId="22982" xr:uid="{00000000-0005-0000-0000-0000BD590000}"/>
    <cellStyle name="Normal 3 16 9 4" xfId="22983" xr:uid="{00000000-0005-0000-0000-0000BE590000}"/>
    <cellStyle name="Normal 3 16 9 4 2" xfId="22984" xr:uid="{00000000-0005-0000-0000-0000BF590000}"/>
    <cellStyle name="Normal 3 16 9 4 3" xfId="22985" xr:uid="{00000000-0005-0000-0000-0000C0590000}"/>
    <cellStyle name="Normal 3 16 9 5" xfId="22986" xr:uid="{00000000-0005-0000-0000-0000C1590000}"/>
    <cellStyle name="Normal 3 16 9 5 2" xfId="22987" xr:uid="{00000000-0005-0000-0000-0000C2590000}"/>
    <cellStyle name="Normal 3 16 9 5 3" xfId="22988" xr:uid="{00000000-0005-0000-0000-0000C3590000}"/>
    <cellStyle name="Normal 3 16 9 6" xfId="22989" xr:uid="{00000000-0005-0000-0000-0000C4590000}"/>
    <cellStyle name="Normal 3 16 9 6 2" xfId="22990" xr:uid="{00000000-0005-0000-0000-0000C5590000}"/>
    <cellStyle name="Normal 3 16 9 6 3" xfId="22991" xr:uid="{00000000-0005-0000-0000-0000C6590000}"/>
    <cellStyle name="Normal 3 16 9 7" xfId="22992" xr:uid="{00000000-0005-0000-0000-0000C7590000}"/>
    <cellStyle name="Normal 3 16 9 7 2" xfId="22993" xr:uid="{00000000-0005-0000-0000-0000C8590000}"/>
    <cellStyle name="Normal 3 16 9 7 3" xfId="22994" xr:uid="{00000000-0005-0000-0000-0000C9590000}"/>
    <cellStyle name="Normal 3 16 9 8" xfId="22995" xr:uid="{00000000-0005-0000-0000-0000CA590000}"/>
    <cellStyle name="Normal 3 16 9 8 2" xfId="22996" xr:uid="{00000000-0005-0000-0000-0000CB590000}"/>
    <cellStyle name="Normal 3 16 9 8 3" xfId="22997" xr:uid="{00000000-0005-0000-0000-0000CC590000}"/>
    <cellStyle name="Normal 3 16 9 9" xfId="22998" xr:uid="{00000000-0005-0000-0000-0000CD590000}"/>
    <cellStyle name="Normal 3 16 9 9 2" xfId="22999" xr:uid="{00000000-0005-0000-0000-0000CE590000}"/>
    <cellStyle name="Normal 3 16 9 9 3" xfId="23000" xr:uid="{00000000-0005-0000-0000-0000CF590000}"/>
    <cellStyle name="Normal 3 17" xfId="23001" xr:uid="{00000000-0005-0000-0000-0000D0590000}"/>
    <cellStyle name="Normal 3 17 10" xfId="23002" xr:uid="{00000000-0005-0000-0000-0000D1590000}"/>
    <cellStyle name="Normal 3 17 10 10" xfId="23003" xr:uid="{00000000-0005-0000-0000-0000D2590000}"/>
    <cellStyle name="Normal 3 17 10 10 2" xfId="23004" xr:uid="{00000000-0005-0000-0000-0000D3590000}"/>
    <cellStyle name="Normal 3 17 10 10 3" xfId="23005" xr:uid="{00000000-0005-0000-0000-0000D4590000}"/>
    <cellStyle name="Normal 3 17 10 11" xfId="23006" xr:uid="{00000000-0005-0000-0000-0000D5590000}"/>
    <cellStyle name="Normal 3 17 10 11 2" xfId="23007" xr:uid="{00000000-0005-0000-0000-0000D6590000}"/>
    <cellStyle name="Normal 3 17 10 11 3" xfId="23008" xr:uid="{00000000-0005-0000-0000-0000D7590000}"/>
    <cellStyle name="Normal 3 17 10 12" xfId="23009" xr:uid="{00000000-0005-0000-0000-0000D8590000}"/>
    <cellStyle name="Normal 3 17 10 12 2" xfId="23010" xr:uid="{00000000-0005-0000-0000-0000D9590000}"/>
    <cellStyle name="Normal 3 17 10 12 3" xfId="23011" xr:uid="{00000000-0005-0000-0000-0000DA590000}"/>
    <cellStyle name="Normal 3 17 10 13" xfId="23012" xr:uid="{00000000-0005-0000-0000-0000DB590000}"/>
    <cellStyle name="Normal 3 17 10 13 2" xfId="23013" xr:uid="{00000000-0005-0000-0000-0000DC590000}"/>
    <cellStyle name="Normal 3 17 10 13 3" xfId="23014" xr:uid="{00000000-0005-0000-0000-0000DD590000}"/>
    <cellStyle name="Normal 3 17 10 14" xfId="23015" xr:uid="{00000000-0005-0000-0000-0000DE590000}"/>
    <cellStyle name="Normal 3 17 10 14 2" xfId="23016" xr:uid="{00000000-0005-0000-0000-0000DF590000}"/>
    <cellStyle name="Normal 3 17 10 14 3" xfId="23017" xr:uid="{00000000-0005-0000-0000-0000E0590000}"/>
    <cellStyle name="Normal 3 17 10 15" xfId="23018" xr:uid="{00000000-0005-0000-0000-0000E1590000}"/>
    <cellStyle name="Normal 3 17 10 16" xfId="23019" xr:uid="{00000000-0005-0000-0000-0000E2590000}"/>
    <cellStyle name="Normal 3 17 10 2" xfId="23020" xr:uid="{00000000-0005-0000-0000-0000E3590000}"/>
    <cellStyle name="Normal 3 17 10 2 2" xfId="23021" xr:uid="{00000000-0005-0000-0000-0000E4590000}"/>
    <cellStyle name="Normal 3 17 10 2 3" xfId="23022" xr:uid="{00000000-0005-0000-0000-0000E5590000}"/>
    <cellStyle name="Normal 3 17 10 3" xfId="23023" xr:uid="{00000000-0005-0000-0000-0000E6590000}"/>
    <cellStyle name="Normal 3 17 10 3 2" xfId="23024" xr:uid="{00000000-0005-0000-0000-0000E7590000}"/>
    <cellStyle name="Normal 3 17 10 3 3" xfId="23025" xr:uid="{00000000-0005-0000-0000-0000E8590000}"/>
    <cellStyle name="Normal 3 17 10 4" xfId="23026" xr:uid="{00000000-0005-0000-0000-0000E9590000}"/>
    <cellStyle name="Normal 3 17 10 4 2" xfId="23027" xr:uid="{00000000-0005-0000-0000-0000EA590000}"/>
    <cellStyle name="Normal 3 17 10 4 3" xfId="23028" xr:uid="{00000000-0005-0000-0000-0000EB590000}"/>
    <cellStyle name="Normal 3 17 10 5" xfId="23029" xr:uid="{00000000-0005-0000-0000-0000EC590000}"/>
    <cellStyle name="Normal 3 17 10 5 2" xfId="23030" xr:uid="{00000000-0005-0000-0000-0000ED590000}"/>
    <cellStyle name="Normal 3 17 10 5 3" xfId="23031" xr:uid="{00000000-0005-0000-0000-0000EE590000}"/>
    <cellStyle name="Normal 3 17 10 6" xfId="23032" xr:uid="{00000000-0005-0000-0000-0000EF590000}"/>
    <cellStyle name="Normal 3 17 10 6 2" xfId="23033" xr:uid="{00000000-0005-0000-0000-0000F0590000}"/>
    <cellStyle name="Normal 3 17 10 6 3" xfId="23034" xr:uid="{00000000-0005-0000-0000-0000F1590000}"/>
    <cellStyle name="Normal 3 17 10 7" xfId="23035" xr:uid="{00000000-0005-0000-0000-0000F2590000}"/>
    <cellStyle name="Normal 3 17 10 7 2" xfId="23036" xr:uid="{00000000-0005-0000-0000-0000F3590000}"/>
    <cellStyle name="Normal 3 17 10 7 3" xfId="23037" xr:uid="{00000000-0005-0000-0000-0000F4590000}"/>
    <cellStyle name="Normal 3 17 10 8" xfId="23038" xr:uid="{00000000-0005-0000-0000-0000F5590000}"/>
    <cellStyle name="Normal 3 17 10 8 2" xfId="23039" xr:uid="{00000000-0005-0000-0000-0000F6590000}"/>
    <cellStyle name="Normal 3 17 10 8 3" xfId="23040" xr:uid="{00000000-0005-0000-0000-0000F7590000}"/>
    <cellStyle name="Normal 3 17 10 9" xfId="23041" xr:uid="{00000000-0005-0000-0000-0000F8590000}"/>
    <cellStyle name="Normal 3 17 10 9 2" xfId="23042" xr:uid="{00000000-0005-0000-0000-0000F9590000}"/>
    <cellStyle name="Normal 3 17 10 9 3" xfId="23043" xr:uid="{00000000-0005-0000-0000-0000FA590000}"/>
    <cellStyle name="Normal 3 17 11" xfId="23044" xr:uid="{00000000-0005-0000-0000-0000FB590000}"/>
    <cellStyle name="Normal 3 17 11 10" xfId="23045" xr:uid="{00000000-0005-0000-0000-0000FC590000}"/>
    <cellStyle name="Normal 3 17 11 10 2" xfId="23046" xr:uid="{00000000-0005-0000-0000-0000FD590000}"/>
    <cellStyle name="Normal 3 17 11 10 3" xfId="23047" xr:uid="{00000000-0005-0000-0000-0000FE590000}"/>
    <cellStyle name="Normal 3 17 11 11" xfId="23048" xr:uid="{00000000-0005-0000-0000-0000FF590000}"/>
    <cellStyle name="Normal 3 17 11 11 2" xfId="23049" xr:uid="{00000000-0005-0000-0000-0000005A0000}"/>
    <cellStyle name="Normal 3 17 11 11 3" xfId="23050" xr:uid="{00000000-0005-0000-0000-0000015A0000}"/>
    <cellStyle name="Normal 3 17 11 12" xfId="23051" xr:uid="{00000000-0005-0000-0000-0000025A0000}"/>
    <cellStyle name="Normal 3 17 11 12 2" xfId="23052" xr:uid="{00000000-0005-0000-0000-0000035A0000}"/>
    <cellStyle name="Normal 3 17 11 12 3" xfId="23053" xr:uid="{00000000-0005-0000-0000-0000045A0000}"/>
    <cellStyle name="Normal 3 17 11 13" xfId="23054" xr:uid="{00000000-0005-0000-0000-0000055A0000}"/>
    <cellStyle name="Normal 3 17 11 13 2" xfId="23055" xr:uid="{00000000-0005-0000-0000-0000065A0000}"/>
    <cellStyle name="Normal 3 17 11 13 3" xfId="23056" xr:uid="{00000000-0005-0000-0000-0000075A0000}"/>
    <cellStyle name="Normal 3 17 11 14" xfId="23057" xr:uid="{00000000-0005-0000-0000-0000085A0000}"/>
    <cellStyle name="Normal 3 17 11 14 2" xfId="23058" xr:uid="{00000000-0005-0000-0000-0000095A0000}"/>
    <cellStyle name="Normal 3 17 11 14 3" xfId="23059" xr:uid="{00000000-0005-0000-0000-00000A5A0000}"/>
    <cellStyle name="Normal 3 17 11 15" xfId="23060" xr:uid="{00000000-0005-0000-0000-00000B5A0000}"/>
    <cellStyle name="Normal 3 17 11 16" xfId="23061" xr:uid="{00000000-0005-0000-0000-00000C5A0000}"/>
    <cellStyle name="Normal 3 17 11 2" xfId="23062" xr:uid="{00000000-0005-0000-0000-00000D5A0000}"/>
    <cellStyle name="Normal 3 17 11 2 2" xfId="23063" xr:uid="{00000000-0005-0000-0000-00000E5A0000}"/>
    <cellStyle name="Normal 3 17 11 2 3" xfId="23064" xr:uid="{00000000-0005-0000-0000-00000F5A0000}"/>
    <cellStyle name="Normal 3 17 11 3" xfId="23065" xr:uid="{00000000-0005-0000-0000-0000105A0000}"/>
    <cellStyle name="Normal 3 17 11 3 2" xfId="23066" xr:uid="{00000000-0005-0000-0000-0000115A0000}"/>
    <cellStyle name="Normal 3 17 11 3 3" xfId="23067" xr:uid="{00000000-0005-0000-0000-0000125A0000}"/>
    <cellStyle name="Normal 3 17 11 4" xfId="23068" xr:uid="{00000000-0005-0000-0000-0000135A0000}"/>
    <cellStyle name="Normal 3 17 11 4 2" xfId="23069" xr:uid="{00000000-0005-0000-0000-0000145A0000}"/>
    <cellStyle name="Normal 3 17 11 4 3" xfId="23070" xr:uid="{00000000-0005-0000-0000-0000155A0000}"/>
    <cellStyle name="Normal 3 17 11 5" xfId="23071" xr:uid="{00000000-0005-0000-0000-0000165A0000}"/>
    <cellStyle name="Normal 3 17 11 5 2" xfId="23072" xr:uid="{00000000-0005-0000-0000-0000175A0000}"/>
    <cellStyle name="Normal 3 17 11 5 3" xfId="23073" xr:uid="{00000000-0005-0000-0000-0000185A0000}"/>
    <cellStyle name="Normal 3 17 11 6" xfId="23074" xr:uid="{00000000-0005-0000-0000-0000195A0000}"/>
    <cellStyle name="Normal 3 17 11 6 2" xfId="23075" xr:uid="{00000000-0005-0000-0000-00001A5A0000}"/>
    <cellStyle name="Normal 3 17 11 6 3" xfId="23076" xr:uid="{00000000-0005-0000-0000-00001B5A0000}"/>
    <cellStyle name="Normal 3 17 11 7" xfId="23077" xr:uid="{00000000-0005-0000-0000-00001C5A0000}"/>
    <cellStyle name="Normal 3 17 11 7 2" xfId="23078" xr:uid="{00000000-0005-0000-0000-00001D5A0000}"/>
    <cellStyle name="Normal 3 17 11 7 3" xfId="23079" xr:uid="{00000000-0005-0000-0000-00001E5A0000}"/>
    <cellStyle name="Normal 3 17 11 8" xfId="23080" xr:uid="{00000000-0005-0000-0000-00001F5A0000}"/>
    <cellStyle name="Normal 3 17 11 8 2" xfId="23081" xr:uid="{00000000-0005-0000-0000-0000205A0000}"/>
    <cellStyle name="Normal 3 17 11 8 3" xfId="23082" xr:uid="{00000000-0005-0000-0000-0000215A0000}"/>
    <cellStyle name="Normal 3 17 11 9" xfId="23083" xr:uid="{00000000-0005-0000-0000-0000225A0000}"/>
    <cellStyle name="Normal 3 17 11 9 2" xfId="23084" xr:uid="{00000000-0005-0000-0000-0000235A0000}"/>
    <cellStyle name="Normal 3 17 11 9 3" xfId="23085" xr:uid="{00000000-0005-0000-0000-0000245A0000}"/>
    <cellStyle name="Normal 3 17 12" xfId="23086" xr:uid="{00000000-0005-0000-0000-0000255A0000}"/>
    <cellStyle name="Normal 3 17 12 10" xfId="23087" xr:uid="{00000000-0005-0000-0000-0000265A0000}"/>
    <cellStyle name="Normal 3 17 12 10 2" xfId="23088" xr:uid="{00000000-0005-0000-0000-0000275A0000}"/>
    <cellStyle name="Normal 3 17 12 10 3" xfId="23089" xr:uid="{00000000-0005-0000-0000-0000285A0000}"/>
    <cellStyle name="Normal 3 17 12 11" xfId="23090" xr:uid="{00000000-0005-0000-0000-0000295A0000}"/>
    <cellStyle name="Normal 3 17 12 11 2" xfId="23091" xr:uid="{00000000-0005-0000-0000-00002A5A0000}"/>
    <cellStyle name="Normal 3 17 12 11 3" xfId="23092" xr:uid="{00000000-0005-0000-0000-00002B5A0000}"/>
    <cellStyle name="Normal 3 17 12 12" xfId="23093" xr:uid="{00000000-0005-0000-0000-00002C5A0000}"/>
    <cellStyle name="Normal 3 17 12 12 2" xfId="23094" xr:uid="{00000000-0005-0000-0000-00002D5A0000}"/>
    <cellStyle name="Normal 3 17 12 12 3" xfId="23095" xr:uid="{00000000-0005-0000-0000-00002E5A0000}"/>
    <cellStyle name="Normal 3 17 12 13" xfId="23096" xr:uid="{00000000-0005-0000-0000-00002F5A0000}"/>
    <cellStyle name="Normal 3 17 12 13 2" xfId="23097" xr:uid="{00000000-0005-0000-0000-0000305A0000}"/>
    <cellStyle name="Normal 3 17 12 13 3" xfId="23098" xr:uid="{00000000-0005-0000-0000-0000315A0000}"/>
    <cellStyle name="Normal 3 17 12 14" xfId="23099" xr:uid="{00000000-0005-0000-0000-0000325A0000}"/>
    <cellStyle name="Normal 3 17 12 14 2" xfId="23100" xr:uid="{00000000-0005-0000-0000-0000335A0000}"/>
    <cellStyle name="Normal 3 17 12 14 3" xfId="23101" xr:uid="{00000000-0005-0000-0000-0000345A0000}"/>
    <cellStyle name="Normal 3 17 12 15" xfId="23102" xr:uid="{00000000-0005-0000-0000-0000355A0000}"/>
    <cellStyle name="Normal 3 17 12 16" xfId="23103" xr:uid="{00000000-0005-0000-0000-0000365A0000}"/>
    <cellStyle name="Normal 3 17 12 2" xfId="23104" xr:uid="{00000000-0005-0000-0000-0000375A0000}"/>
    <cellStyle name="Normal 3 17 12 2 2" xfId="23105" xr:uid="{00000000-0005-0000-0000-0000385A0000}"/>
    <cellStyle name="Normal 3 17 12 2 3" xfId="23106" xr:uid="{00000000-0005-0000-0000-0000395A0000}"/>
    <cellStyle name="Normal 3 17 12 3" xfId="23107" xr:uid="{00000000-0005-0000-0000-00003A5A0000}"/>
    <cellStyle name="Normal 3 17 12 3 2" xfId="23108" xr:uid="{00000000-0005-0000-0000-00003B5A0000}"/>
    <cellStyle name="Normal 3 17 12 3 3" xfId="23109" xr:uid="{00000000-0005-0000-0000-00003C5A0000}"/>
    <cellStyle name="Normal 3 17 12 4" xfId="23110" xr:uid="{00000000-0005-0000-0000-00003D5A0000}"/>
    <cellStyle name="Normal 3 17 12 4 2" xfId="23111" xr:uid="{00000000-0005-0000-0000-00003E5A0000}"/>
    <cellStyle name="Normal 3 17 12 4 3" xfId="23112" xr:uid="{00000000-0005-0000-0000-00003F5A0000}"/>
    <cellStyle name="Normal 3 17 12 5" xfId="23113" xr:uid="{00000000-0005-0000-0000-0000405A0000}"/>
    <cellStyle name="Normal 3 17 12 5 2" xfId="23114" xr:uid="{00000000-0005-0000-0000-0000415A0000}"/>
    <cellStyle name="Normal 3 17 12 5 3" xfId="23115" xr:uid="{00000000-0005-0000-0000-0000425A0000}"/>
    <cellStyle name="Normal 3 17 12 6" xfId="23116" xr:uid="{00000000-0005-0000-0000-0000435A0000}"/>
    <cellStyle name="Normal 3 17 12 6 2" xfId="23117" xr:uid="{00000000-0005-0000-0000-0000445A0000}"/>
    <cellStyle name="Normal 3 17 12 6 3" xfId="23118" xr:uid="{00000000-0005-0000-0000-0000455A0000}"/>
    <cellStyle name="Normal 3 17 12 7" xfId="23119" xr:uid="{00000000-0005-0000-0000-0000465A0000}"/>
    <cellStyle name="Normal 3 17 12 7 2" xfId="23120" xr:uid="{00000000-0005-0000-0000-0000475A0000}"/>
    <cellStyle name="Normal 3 17 12 7 3" xfId="23121" xr:uid="{00000000-0005-0000-0000-0000485A0000}"/>
    <cellStyle name="Normal 3 17 12 8" xfId="23122" xr:uid="{00000000-0005-0000-0000-0000495A0000}"/>
    <cellStyle name="Normal 3 17 12 8 2" xfId="23123" xr:uid="{00000000-0005-0000-0000-00004A5A0000}"/>
    <cellStyle name="Normal 3 17 12 8 3" xfId="23124" xr:uid="{00000000-0005-0000-0000-00004B5A0000}"/>
    <cellStyle name="Normal 3 17 12 9" xfId="23125" xr:uid="{00000000-0005-0000-0000-00004C5A0000}"/>
    <cellStyle name="Normal 3 17 12 9 2" xfId="23126" xr:uid="{00000000-0005-0000-0000-00004D5A0000}"/>
    <cellStyle name="Normal 3 17 12 9 3" xfId="23127" xr:uid="{00000000-0005-0000-0000-00004E5A0000}"/>
    <cellStyle name="Normal 3 17 13" xfId="23128" xr:uid="{00000000-0005-0000-0000-00004F5A0000}"/>
    <cellStyle name="Normal 3 17 13 10" xfId="23129" xr:uid="{00000000-0005-0000-0000-0000505A0000}"/>
    <cellStyle name="Normal 3 17 13 10 2" xfId="23130" xr:uid="{00000000-0005-0000-0000-0000515A0000}"/>
    <cellStyle name="Normal 3 17 13 10 3" xfId="23131" xr:uid="{00000000-0005-0000-0000-0000525A0000}"/>
    <cellStyle name="Normal 3 17 13 11" xfId="23132" xr:uid="{00000000-0005-0000-0000-0000535A0000}"/>
    <cellStyle name="Normal 3 17 13 11 2" xfId="23133" xr:uid="{00000000-0005-0000-0000-0000545A0000}"/>
    <cellStyle name="Normal 3 17 13 11 3" xfId="23134" xr:uid="{00000000-0005-0000-0000-0000555A0000}"/>
    <cellStyle name="Normal 3 17 13 12" xfId="23135" xr:uid="{00000000-0005-0000-0000-0000565A0000}"/>
    <cellStyle name="Normal 3 17 13 12 2" xfId="23136" xr:uid="{00000000-0005-0000-0000-0000575A0000}"/>
    <cellStyle name="Normal 3 17 13 12 3" xfId="23137" xr:uid="{00000000-0005-0000-0000-0000585A0000}"/>
    <cellStyle name="Normal 3 17 13 13" xfId="23138" xr:uid="{00000000-0005-0000-0000-0000595A0000}"/>
    <cellStyle name="Normal 3 17 13 13 2" xfId="23139" xr:uid="{00000000-0005-0000-0000-00005A5A0000}"/>
    <cellStyle name="Normal 3 17 13 13 3" xfId="23140" xr:uid="{00000000-0005-0000-0000-00005B5A0000}"/>
    <cellStyle name="Normal 3 17 13 14" xfId="23141" xr:uid="{00000000-0005-0000-0000-00005C5A0000}"/>
    <cellStyle name="Normal 3 17 13 14 2" xfId="23142" xr:uid="{00000000-0005-0000-0000-00005D5A0000}"/>
    <cellStyle name="Normal 3 17 13 14 3" xfId="23143" xr:uid="{00000000-0005-0000-0000-00005E5A0000}"/>
    <cellStyle name="Normal 3 17 13 15" xfId="23144" xr:uid="{00000000-0005-0000-0000-00005F5A0000}"/>
    <cellStyle name="Normal 3 17 13 16" xfId="23145" xr:uid="{00000000-0005-0000-0000-0000605A0000}"/>
    <cellStyle name="Normal 3 17 13 2" xfId="23146" xr:uid="{00000000-0005-0000-0000-0000615A0000}"/>
    <cellStyle name="Normal 3 17 13 2 2" xfId="23147" xr:uid="{00000000-0005-0000-0000-0000625A0000}"/>
    <cellStyle name="Normal 3 17 13 2 3" xfId="23148" xr:uid="{00000000-0005-0000-0000-0000635A0000}"/>
    <cellStyle name="Normal 3 17 13 3" xfId="23149" xr:uid="{00000000-0005-0000-0000-0000645A0000}"/>
    <cellStyle name="Normal 3 17 13 3 2" xfId="23150" xr:uid="{00000000-0005-0000-0000-0000655A0000}"/>
    <cellStyle name="Normal 3 17 13 3 3" xfId="23151" xr:uid="{00000000-0005-0000-0000-0000665A0000}"/>
    <cellStyle name="Normal 3 17 13 4" xfId="23152" xr:uid="{00000000-0005-0000-0000-0000675A0000}"/>
    <cellStyle name="Normal 3 17 13 4 2" xfId="23153" xr:uid="{00000000-0005-0000-0000-0000685A0000}"/>
    <cellStyle name="Normal 3 17 13 4 3" xfId="23154" xr:uid="{00000000-0005-0000-0000-0000695A0000}"/>
    <cellStyle name="Normal 3 17 13 5" xfId="23155" xr:uid="{00000000-0005-0000-0000-00006A5A0000}"/>
    <cellStyle name="Normal 3 17 13 5 2" xfId="23156" xr:uid="{00000000-0005-0000-0000-00006B5A0000}"/>
    <cellStyle name="Normal 3 17 13 5 3" xfId="23157" xr:uid="{00000000-0005-0000-0000-00006C5A0000}"/>
    <cellStyle name="Normal 3 17 13 6" xfId="23158" xr:uid="{00000000-0005-0000-0000-00006D5A0000}"/>
    <cellStyle name="Normal 3 17 13 6 2" xfId="23159" xr:uid="{00000000-0005-0000-0000-00006E5A0000}"/>
    <cellStyle name="Normal 3 17 13 6 3" xfId="23160" xr:uid="{00000000-0005-0000-0000-00006F5A0000}"/>
    <cellStyle name="Normal 3 17 13 7" xfId="23161" xr:uid="{00000000-0005-0000-0000-0000705A0000}"/>
    <cellStyle name="Normal 3 17 13 7 2" xfId="23162" xr:uid="{00000000-0005-0000-0000-0000715A0000}"/>
    <cellStyle name="Normal 3 17 13 7 3" xfId="23163" xr:uid="{00000000-0005-0000-0000-0000725A0000}"/>
    <cellStyle name="Normal 3 17 13 8" xfId="23164" xr:uid="{00000000-0005-0000-0000-0000735A0000}"/>
    <cellStyle name="Normal 3 17 13 8 2" xfId="23165" xr:uid="{00000000-0005-0000-0000-0000745A0000}"/>
    <cellStyle name="Normal 3 17 13 8 3" xfId="23166" xr:uid="{00000000-0005-0000-0000-0000755A0000}"/>
    <cellStyle name="Normal 3 17 13 9" xfId="23167" xr:uid="{00000000-0005-0000-0000-0000765A0000}"/>
    <cellStyle name="Normal 3 17 13 9 2" xfId="23168" xr:uid="{00000000-0005-0000-0000-0000775A0000}"/>
    <cellStyle name="Normal 3 17 13 9 3" xfId="23169" xr:uid="{00000000-0005-0000-0000-0000785A0000}"/>
    <cellStyle name="Normal 3 17 14" xfId="23170" xr:uid="{00000000-0005-0000-0000-0000795A0000}"/>
    <cellStyle name="Normal 3 17 14 10" xfId="23171" xr:uid="{00000000-0005-0000-0000-00007A5A0000}"/>
    <cellStyle name="Normal 3 17 14 10 2" xfId="23172" xr:uid="{00000000-0005-0000-0000-00007B5A0000}"/>
    <cellStyle name="Normal 3 17 14 10 3" xfId="23173" xr:uid="{00000000-0005-0000-0000-00007C5A0000}"/>
    <cellStyle name="Normal 3 17 14 11" xfId="23174" xr:uid="{00000000-0005-0000-0000-00007D5A0000}"/>
    <cellStyle name="Normal 3 17 14 11 2" xfId="23175" xr:uid="{00000000-0005-0000-0000-00007E5A0000}"/>
    <cellStyle name="Normal 3 17 14 11 3" xfId="23176" xr:uid="{00000000-0005-0000-0000-00007F5A0000}"/>
    <cellStyle name="Normal 3 17 14 12" xfId="23177" xr:uid="{00000000-0005-0000-0000-0000805A0000}"/>
    <cellStyle name="Normal 3 17 14 12 2" xfId="23178" xr:uid="{00000000-0005-0000-0000-0000815A0000}"/>
    <cellStyle name="Normal 3 17 14 12 3" xfId="23179" xr:uid="{00000000-0005-0000-0000-0000825A0000}"/>
    <cellStyle name="Normal 3 17 14 13" xfId="23180" xr:uid="{00000000-0005-0000-0000-0000835A0000}"/>
    <cellStyle name="Normal 3 17 14 13 2" xfId="23181" xr:uid="{00000000-0005-0000-0000-0000845A0000}"/>
    <cellStyle name="Normal 3 17 14 13 3" xfId="23182" xr:uid="{00000000-0005-0000-0000-0000855A0000}"/>
    <cellStyle name="Normal 3 17 14 14" xfId="23183" xr:uid="{00000000-0005-0000-0000-0000865A0000}"/>
    <cellStyle name="Normal 3 17 14 14 2" xfId="23184" xr:uid="{00000000-0005-0000-0000-0000875A0000}"/>
    <cellStyle name="Normal 3 17 14 14 3" xfId="23185" xr:uid="{00000000-0005-0000-0000-0000885A0000}"/>
    <cellStyle name="Normal 3 17 14 15" xfId="23186" xr:uid="{00000000-0005-0000-0000-0000895A0000}"/>
    <cellStyle name="Normal 3 17 14 16" xfId="23187" xr:uid="{00000000-0005-0000-0000-00008A5A0000}"/>
    <cellStyle name="Normal 3 17 14 2" xfId="23188" xr:uid="{00000000-0005-0000-0000-00008B5A0000}"/>
    <cellStyle name="Normal 3 17 14 2 2" xfId="23189" xr:uid="{00000000-0005-0000-0000-00008C5A0000}"/>
    <cellStyle name="Normal 3 17 14 2 3" xfId="23190" xr:uid="{00000000-0005-0000-0000-00008D5A0000}"/>
    <cellStyle name="Normal 3 17 14 3" xfId="23191" xr:uid="{00000000-0005-0000-0000-00008E5A0000}"/>
    <cellStyle name="Normal 3 17 14 3 2" xfId="23192" xr:uid="{00000000-0005-0000-0000-00008F5A0000}"/>
    <cellStyle name="Normal 3 17 14 3 3" xfId="23193" xr:uid="{00000000-0005-0000-0000-0000905A0000}"/>
    <cellStyle name="Normal 3 17 14 4" xfId="23194" xr:uid="{00000000-0005-0000-0000-0000915A0000}"/>
    <cellStyle name="Normal 3 17 14 4 2" xfId="23195" xr:uid="{00000000-0005-0000-0000-0000925A0000}"/>
    <cellStyle name="Normal 3 17 14 4 3" xfId="23196" xr:uid="{00000000-0005-0000-0000-0000935A0000}"/>
    <cellStyle name="Normal 3 17 14 5" xfId="23197" xr:uid="{00000000-0005-0000-0000-0000945A0000}"/>
    <cellStyle name="Normal 3 17 14 5 2" xfId="23198" xr:uid="{00000000-0005-0000-0000-0000955A0000}"/>
    <cellStyle name="Normal 3 17 14 5 3" xfId="23199" xr:uid="{00000000-0005-0000-0000-0000965A0000}"/>
    <cellStyle name="Normal 3 17 14 6" xfId="23200" xr:uid="{00000000-0005-0000-0000-0000975A0000}"/>
    <cellStyle name="Normal 3 17 14 6 2" xfId="23201" xr:uid="{00000000-0005-0000-0000-0000985A0000}"/>
    <cellStyle name="Normal 3 17 14 6 3" xfId="23202" xr:uid="{00000000-0005-0000-0000-0000995A0000}"/>
    <cellStyle name="Normal 3 17 14 7" xfId="23203" xr:uid="{00000000-0005-0000-0000-00009A5A0000}"/>
    <cellStyle name="Normal 3 17 14 7 2" xfId="23204" xr:uid="{00000000-0005-0000-0000-00009B5A0000}"/>
    <cellStyle name="Normal 3 17 14 7 3" xfId="23205" xr:uid="{00000000-0005-0000-0000-00009C5A0000}"/>
    <cellStyle name="Normal 3 17 14 8" xfId="23206" xr:uid="{00000000-0005-0000-0000-00009D5A0000}"/>
    <cellStyle name="Normal 3 17 14 8 2" xfId="23207" xr:uid="{00000000-0005-0000-0000-00009E5A0000}"/>
    <cellStyle name="Normal 3 17 14 8 3" xfId="23208" xr:uid="{00000000-0005-0000-0000-00009F5A0000}"/>
    <cellStyle name="Normal 3 17 14 9" xfId="23209" xr:uid="{00000000-0005-0000-0000-0000A05A0000}"/>
    <cellStyle name="Normal 3 17 14 9 2" xfId="23210" xr:uid="{00000000-0005-0000-0000-0000A15A0000}"/>
    <cellStyle name="Normal 3 17 14 9 3" xfId="23211" xr:uid="{00000000-0005-0000-0000-0000A25A0000}"/>
    <cellStyle name="Normal 3 17 15" xfId="23212" xr:uid="{00000000-0005-0000-0000-0000A35A0000}"/>
    <cellStyle name="Normal 3 17 16" xfId="23213" xr:uid="{00000000-0005-0000-0000-0000A45A0000}"/>
    <cellStyle name="Normal 3 17 17" xfId="23214" xr:uid="{00000000-0005-0000-0000-0000A55A0000}"/>
    <cellStyle name="Normal 3 17 17 10" xfId="23215" xr:uid="{00000000-0005-0000-0000-0000A65A0000}"/>
    <cellStyle name="Normal 3 17 17 10 2" xfId="23216" xr:uid="{00000000-0005-0000-0000-0000A75A0000}"/>
    <cellStyle name="Normal 3 17 17 10 3" xfId="23217" xr:uid="{00000000-0005-0000-0000-0000A85A0000}"/>
    <cellStyle name="Normal 3 17 17 11" xfId="23218" xr:uid="{00000000-0005-0000-0000-0000A95A0000}"/>
    <cellStyle name="Normal 3 17 17 11 2" xfId="23219" xr:uid="{00000000-0005-0000-0000-0000AA5A0000}"/>
    <cellStyle name="Normal 3 17 17 11 3" xfId="23220" xr:uid="{00000000-0005-0000-0000-0000AB5A0000}"/>
    <cellStyle name="Normal 3 17 17 12" xfId="23221" xr:uid="{00000000-0005-0000-0000-0000AC5A0000}"/>
    <cellStyle name="Normal 3 17 17 12 2" xfId="23222" xr:uid="{00000000-0005-0000-0000-0000AD5A0000}"/>
    <cellStyle name="Normal 3 17 17 12 3" xfId="23223" xr:uid="{00000000-0005-0000-0000-0000AE5A0000}"/>
    <cellStyle name="Normal 3 17 17 13" xfId="23224" xr:uid="{00000000-0005-0000-0000-0000AF5A0000}"/>
    <cellStyle name="Normal 3 17 17 13 2" xfId="23225" xr:uid="{00000000-0005-0000-0000-0000B05A0000}"/>
    <cellStyle name="Normal 3 17 17 13 3" xfId="23226" xr:uid="{00000000-0005-0000-0000-0000B15A0000}"/>
    <cellStyle name="Normal 3 17 17 14" xfId="23227" xr:uid="{00000000-0005-0000-0000-0000B25A0000}"/>
    <cellStyle name="Normal 3 17 17 14 2" xfId="23228" xr:uid="{00000000-0005-0000-0000-0000B35A0000}"/>
    <cellStyle name="Normal 3 17 17 14 3" xfId="23229" xr:uid="{00000000-0005-0000-0000-0000B45A0000}"/>
    <cellStyle name="Normal 3 17 17 15" xfId="23230" xr:uid="{00000000-0005-0000-0000-0000B55A0000}"/>
    <cellStyle name="Normal 3 17 17 16" xfId="23231" xr:uid="{00000000-0005-0000-0000-0000B65A0000}"/>
    <cellStyle name="Normal 3 17 17 2" xfId="23232" xr:uid="{00000000-0005-0000-0000-0000B75A0000}"/>
    <cellStyle name="Normal 3 17 17 2 2" xfId="23233" xr:uid="{00000000-0005-0000-0000-0000B85A0000}"/>
    <cellStyle name="Normal 3 17 17 2 3" xfId="23234" xr:uid="{00000000-0005-0000-0000-0000B95A0000}"/>
    <cellStyle name="Normal 3 17 17 3" xfId="23235" xr:uid="{00000000-0005-0000-0000-0000BA5A0000}"/>
    <cellStyle name="Normal 3 17 17 3 2" xfId="23236" xr:uid="{00000000-0005-0000-0000-0000BB5A0000}"/>
    <cellStyle name="Normal 3 17 17 3 3" xfId="23237" xr:uid="{00000000-0005-0000-0000-0000BC5A0000}"/>
    <cellStyle name="Normal 3 17 17 4" xfId="23238" xr:uid="{00000000-0005-0000-0000-0000BD5A0000}"/>
    <cellStyle name="Normal 3 17 17 4 2" xfId="23239" xr:uid="{00000000-0005-0000-0000-0000BE5A0000}"/>
    <cellStyle name="Normal 3 17 17 4 3" xfId="23240" xr:uid="{00000000-0005-0000-0000-0000BF5A0000}"/>
    <cellStyle name="Normal 3 17 17 5" xfId="23241" xr:uid="{00000000-0005-0000-0000-0000C05A0000}"/>
    <cellStyle name="Normal 3 17 17 5 2" xfId="23242" xr:uid="{00000000-0005-0000-0000-0000C15A0000}"/>
    <cellStyle name="Normal 3 17 17 5 3" xfId="23243" xr:uid="{00000000-0005-0000-0000-0000C25A0000}"/>
    <cellStyle name="Normal 3 17 17 6" xfId="23244" xr:uid="{00000000-0005-0000-0000-0000C35A0000}"/>
    <cellStyle name="Normal 3 17 17 6 2" xfId="23245" xr:uid="{00000000-0005-0000-0000-0000C45A0000}"/>
    <cellStyle name="Normal 3 17 17 6 3" xfId="23246" xr:uid="{00000000-0005-0000-0000-0000C55A0000}"/>
    <cellStyle name="Normal 3 17 17 7" xfId="23247" xr:uid="{00000000-0005-0000-0000-0000C65A0000}"/>
    <cellStyle name="Normal 3 17 17 7 2" xfId="23248" xr:uid="{00000000-0005-0000-0000-0000C75A0000}"/>
    <cellStyle name="Normal 3 17 17 7 3" xfId="23249" xr:uid="{00000000-0005-0000-0000-0000C85A0000}"/>
    <cellStyle name="Normal 3 17 17 8" xfId="23250" xr:uid="{00000000-0005-0000-0000-0000C95A0000}"/>
    <cellStyle name="Normal 3 17 17 8 2" xfId="23251" xr:uid="{00000000-0005-0000-0000-0000CA5A0000}"/>
    <cellStyle name="Normal 3 17 17 8 3" xfId="23252" xr:uid="{00000000-0005-0000-0000-0000CB5A0000}"/>
    <cellStyle name="Normal 3 17 17 9" xfId="23253" xr:uid="{00000000-0005-0000-0000-0000CC5A0000}"/>
    <cellStyle name="Normal 3 17 17 9 2" xfId="23254" xr:uid="{00000000-0005-0000-0000-0000CD5A0000}"/>
    <cellStyle name="Normal 3 17 17 9 3" xfId="23255" xr:uid="{00000000-0005-0000-0000-0000CE5A0000}"/>
    <cellStyle name="Normal 3 17 18" xfId="23256" xr:uid="{00000000-0005-0000-0000-0000CF5A0000}"/>
    <cellStyle name="Normal 3 17 18 10" xfId="23257" xr:uid="{00000000-0005-0000-0000-0000D05A0000}"/>
    <cellStyle name="Normal 3 17 18 10 2" xfId="23258" xr:uid="{00000000-0005-0000-0000-0000D15A0000}"/>
    <cellStyle name="Normal 3 17 18 10 3" xfId="23259" xr:uid="{00000000-0005-0000-0000-0000D25A0000}"/>
    <cellStyle name="Normal 3 17 18 11" xfId="23260" xr:uid="{00000000-0005-0000-0000-0000D35A0000}"/>
    <cellStyle name="Normal 3 17 18 11 2" xfId="23261" xr:uid="{00000000-0005-0000-0000-0000D45A0000}"/>
    <cellStyle name="Normal 3 17 18 11 3" xfId="23262" xr:uid="{00000000-0005-0000-0000-0000D55A0000}"/>
    <cellStyle name="Normal 3 17 18 12" xfId="23263" xr:uid="{00000000-0005-0000-0000-0000D65A0000}"/>
    <cellStyle name="Normal 3 17 18 12 2" xfId="23264" xr:uid="{00000000-0005-0000-0000-0000D75A0000}"/>
    <cellStyle name="Normal 3 17 18 12 3" xfId="23265" xr:uid="{00000000-0005-0000-0000-0000D85A0000}"/>
    <cellStyle name="Normal 3 17 18 13" xfId="23266" xr:uid="{00000000-0005-0000-0000-0000D95A0000}"/>
    <cellStyle name="Normal 3 17 18 13 2" xfId="23267" xr:uid="{00000000-0005-0000-0000-0000DA5A0000}"/>
    <cellStyle name="Normal 3 17 18 13 3" xfId="23268" xr:uid="{00000000-0005-0000-0000-0000DB5A0000}"/>
    <cellStyle name="Normal 3 17 18 14" xfId="23269" xr:uid="{00000000-0005-0000-0000-0000DC5A0000}"/>
    <cellStyle name="Normal 3 17 18 14 2" xfId="23270" xr:uid="{00000000-0005-0000-0000-0000DD5A0000}"/>
    <cellStyle name="Normal 3 17 18 14 3" xfId="23271" xr:uid="{00000000-0005-0000-0000-0000DE5A0000}"/>
    <cellStyle name="Normal 3 17 18 15" xfId="23272" xr:uid="{00000000-0005-0000-0000-0000DF5A0000}"/>
    <cellStyle name="Normal 3 17 18 16" xfId="23273" xr:uid="{00000000-0005-0000-0000-0000E05A0000}"/>
    <cellStyle name="Normal 3 17 18 2" xfId="23274" xr:uid="{00000000-0005-0000-0000-0000E15A0000}"/>
    <cellStyle name="Normal 3 17 18 2 2" xfId="23275" xr:uid="{00000000-0005-0000-0000-0000E25A0000}"/>
    <cellStyle name="Normal 3 17 18 2 3" xfId="23276" xr:uid="{00000000-0005-0000-0000-0000E35A0000}"/>
    <cellStyle name="Normal 3 17 18 3" xfId="23277" xr:uid="{00000000-0005-0000-0000-0000E45A0000}"/>
    <cellStyle name="Normal 3 17 18 3 2" xfId="23278" xr:uid="{00000000-0005-0000-0000-0000E55A0000}"/>
    <cellStyle name="Normal 3 17 18 3 3" xfId="23279" xr:uid="{00000000-0005-0000-0000-0000E65A0000}"/>
    <cellStyle name="Normal 3 17 18 4" xfId="23280" xr:uid="{00000000-0005-0000-0000-0000E75A0000}"/>
    <cellStyle name="Normal 3 17 18 4 2" xfId="23281" xr:uid="{00000000-0005-0000-0000-0000E85A0000}"/>
    <cellStyle name="Normal 3 17 18 4 3" xfId="23282" xr:uid="{00000000-0005-0000-0000-0000E95A0000}"/>
    <cellStyle name="Normal 3 17 18 5" xfId="23283" xr:uid="{00000000-0005-0000-0000-0000EA5A0000}"/>
    <cellStyle name="Normal 3 17 18 5 2" xfId="23284" xr:uid="{00000000-0005-0000-0000-0000EB5A0000}"/>
    <cellStyle name="Normal 3 17 18 5 3" xfId="23285" xr:uid="{00000000-0005-0000-0000-0000EC5A0000}"/>
    <cellStyle name="Normal 3 17 18 6" xfId="23286" xr:uid="{00000000-0005-0000-0000-0000ED5A0000}"/>
    <cellStyle name="Normal 3 17 18 6 2" xfId="23287" xr:uid="{00000000-0005-0000-0000-0000EE5A0000}"/>
    <cellStyle name="Normal 3 17 18 6 3" xfId="23288" xr:uid="{00000000-0005-0000-0000-0000EF5A0000}"/>
    <cellStyle name="Normal 3 17 18 7" xfId="23289" xr:uid="{00000000-0005-0000-0000-0000F05A0000}"/>
    <cellStyle name="Normal 3 17 18 7 2" xfId="23290" xr:uid="{00000000-0005-0000-0000-0000F15A0000}"/>
    <cellStyle name="Normal 3 17 18 7 3" xfId="23291" xr:uid="{00000000-0005-0000-0000-0000F25A0000}"/>
    <cellStyle name="Normal 3 17 18 8" xfId="23292" xr:uid="{00000000-0005-0000-0000-0000F35A0000}"/>
    <cellStyle name="Normal 3 17 18 8 2" xfId="23293" xr:uid="{00000000-0005-0000-0000-0000F45A0000}"/>
    <cellStyle name="Normal 3 17 18 8 3" xfId="23294" xr:uid="{00000000-0005-0000-0000-0000F55A0000}"/>
    <cellStyle name="Normal 3 17 18 9" xfId="23295" xr:uid="{00000000-0005-0000-0000-0000F65A0000}"/>
    <cellStyle name="Normal 3 17 18 9 2" xfId="23296" xr:uid="{00000000-0005-0000-0000-0000F75A0000}"/>
    <cellStyle name="Normal 3 17 18 9 3" xfId="23297" xr:uid="{00000000-0005-0000-0000-0000F85A0000}"/>
    <cellStyle name="Normal 3 17 19" xfId="23298" xr:uid="{00000000-0005-0000-0000-0000F95A0000}"/>
    <cellStyle name="Normal 3 17 19 2" xfId="23299" xr:uid="{00000000-0005-0000-0000-0000FA5A0000}"/>
    <cellStyle name="Normal 3 17 19 3" xfId="23300" xr:uid="{00000000-0005-0000-0000-0000FB5A0000}"/>
    <cellStyle name="Normal 3 17 2" xfId="23301" xr:uid="{00000000-0005-0000-0000-0000FC5A0000}"/>
    <cellStyle name="Normal 3 17 2 10" xfId="23302" xr:uid="{00000000-0005-0000-0000-0000FD5A0000}"/>
    <cellStyle name="Normal 3 17 2 10 2" xfId="23303" xr:uid="{00000000-0005-0000-0000-0000FE5A0000}"/>
    <cellStyle name="Normal 3 17 2 10 3" xfId="23304" xr:uid="{00000000-0005-0000-0000-0000FF5A0000}"/>
    <cellStyle name="Normal 3 17 2 11" xfId="23305" xr:uid="{00000000-0005-0000-0000-0000005B0000}"/>
    <cellStyle name="Normal 3 17 2 11 2" xfId="23306" xr:uid="{00000000-0005-0000-0000-0000015B0000}"/>
    <cellStyle name="Normal 3 17 2 11 3" xfId="23307" xr:uid="{00000000-0005-0000-0000-0000025B0000}"/>
    <cellStyle name="Normal 3 17 2 12" xfId="23308" xr:uid="{00000000-0005-0000-0000-0000035B0000}"/>
    <cellStyle name="Normal 3 17 2 12 2" xfId="23309" xr:uid="{00000000-0005-0000-0000-0000045B0000}"/>
    <cellStyle name="Normal 3 17 2 12 3" xfId="23310" xr:uid="{00000000-0005-0000-0000-0000055B0000}"/>
    <cellStyle name="Normal 3 17 2 13" xfId="23311" xr:uid="{00000000-0005-0000-0000-0000065B0000}"/>
    <cellStyle name="Normal 3 17 2 13 2" xfId="23312" xr:uid="{00000000-0005-0000-0000-0000075B0000}"/>
    <cellStyle name="Normal 3 17 2 13 3" xfId="23313" xr:uid="{00000000-0005-0000-0000-0000085B0000}"/>
    <cellStyle name="Normal 3 17 2 14" xfId="23314" xr:uid="{00000000-0005-0000-0000-0000095B0000}"/>
    <cellStyle name="Normal 3 17 2 14 2" xfId="23315" xr:uid="{00000000-0005-0000-0000-00000A5B0000}"/>
    <cellStyle name="Normal 3 17 2 14 3" xfId="23316" xr:uid="{00000000-0005-0000-0000-00000B5B0000}"/>
    <cellStyle name="Normal 3 17 2 15" xfId="23317" xr:uid="{00000000-0005-0000-0000-00000C5B0000}"/>
    <cellStyle name="Normal 3 17 2 15 2" xfId="23318" xr:uid="{00000000-0005-0000-0000-00000D5B0000}"/>
    <cellStyle name="Normal 3 17 2 15 3" xfId="23319" xr:uid="{00000000-0005-0000-0000-00000E5B0000}"/>
    <cellStyle name="Normal 3 17 2 16" xfId="23320" xr:uid="{00000000-0005-0000-0000-00000F5B0000}"/>
    <cellStyle name="Normal 3 17 2 16 2" xfId="23321" xr:uid="{00000000-0005-0000-0000-0000105B0000}"/>
    <cellStyle name="Normal 3 17 2 16 3" xfId="23322" xr:uid="{00000000-0005-0000-0000-0000115B0000}"/>
    <cellStyle name="Normal 3 17 2 17" xfId="23323" xr:uid="{00000000-0005-0000-0000-0000125B0000}"/>
    <cellStyle name="Normal 3 17 2 17 2" xfId="23324" xr:uid="{00000000-0005-0000-0000-0000135B0000}"/>
    <cellStyle name="Normal 3 17 2 17 3" xfId="23325" xr:uid="{00000000-0005-0000-0000-0000145B0000}"/>
    <cellStyle name="Normal 3 17 2 18" xfId="23326" xr:uid="{00000000-0005-0000-0000-0000155B0000}"/>
    <cellStyle name="Normal 3 17 2 19" xfId="23327" xr:uid="{00000000-0005-0000-0000-0000165B0000}"/>
    <cellStyle name="Normal 3 17 2 2" xfId="23328" xr:uid="{00000000-0005-0000-0000-0000175B0000}"/>
    <cellStyle name="Normal 3 17 2 2 2" xfId="23329" xr:uid="{00000000-0005-0000-0000-0000185B0000}"/>
    <cellStyle name="Normal 3 17 2 2 2 2" xfId="23330" xr:uid="{00000000-0005-0000-0000-0000195B0000}"/>
    <cellStyle name="Normal 3 17 2 2 2 3" xfId="23331" xr:uid="{00000000-0005-0000-0000-00001A5B0000}"/>
    <cellStyle name="Normal 3 17 2 2 3" xfId="23332" xr:uid="{00000000-0005-0000-0000-00001B5B0000}"/>
    <cellStyle name="Normal 3 17 2 2 4" xfId="23333" xr:uid="{00000000-0005-0000-0000-00001C5B0000}"/>
    <cellStyle name="Normal 3 17 2 3" xfId="23334" xr:uid="{00000000-0005-0000-0000-00001D5B0000}"/>
    <cellStyle name="Normal 3 17 2 4" xfId="23335" xr:uid="{00000000-0005-0000-0000-00001E5B0000}"/>
    <cellStyle name="Normal 3 17 2 5" xfId="23336" xr:uid="{00000000-0005-0000-0000-00001F5B0000}"/>
    <cellStyle name="Normal 3 17 2 5 2" xfId="23337" xr:uid="{00000000-0005-0000-0000-0000205B0000}"/>
    <cellStyle name="Normal 3 17 2 5 3" xfId="23338" xr:uid="{00000000-0005-0000-0000-0000215B0000}"/>
    <cellStyle name="Normal 3 17 2 6" xfId="23339" xr:uid="{00000000-0005-0000-0000-0000225B0000}"/>
    <cellStyle name="Normal 3 17 2 6 2" xfId="23340" xr:uid="{00000000-0005-0000-0000-0000235B0000}"/>
    <cellStyle name="Normal 3 17 2 6 3" xfId="23341" xr:uid="{00000000-0005-0000-0000-0000245B0000}"/>
    <cellStyle name="Normal 3 17 2 7" xfId="23342" xr:uid="{00000000-0005-0000-0000-0000255B0000}"/>
    <cellStyle name="Normal 3 17 2 7 2" xfId="23343" xr:uid="{00000000-0005-0000-0000-0000265B0000}"/>
    <cellStyle name="Normal 3 17 2 7 3" xfId="23344" xr:uid="{00000000-0005-0000-0000-0000275B0000}"/>
    <cellStyle name="Normal 3 17 2 8" xfId="23345" xr:uid="{00000000-0005-0000-0000-0000285B0000}"/>
    <cellStyle name="Normal 3 17 2 8 2" xfId="23346" xr:uid="{00000000-0005-0000-0000-0000295B0000}"/>
    <cellStyle name="Normal 3 17 2 8 3" xfId="23347" xr:uid="{00000000-0005-0000-0000-00002A5B0000}"/>
    <cellStyle name="Normal 3 17 2 9" xfId="23348" xr:uid="{00000000-0005-0000-0000-00002B5B0000}"/>
    <cellStyle name="Normal 3 17 2 9 2" xfId="23349" xr:uid="{00000000-0005-0000-0000-00002C5B0000}"/>
    <cellStyle name="Normal 3 17 2 9 3" xfId="23350" xr:uid="{00000000-0005-0000-0000-00002D5B0000}"/>
    <cellStyle name="Normal 3 17 20" xfId="23351" xr:uid="{00000000-0005-0000-0000-00002E5B0000}"/>
    <cellStyle name="Normal 3 17 3" xfId="23352" xr:uid="{00000000-0005-0000-0000-00002F5B0000}"/>
    <cellStyle name="Normal 3 17 4" xfId="23353" xr:uid="{00000000-0005-0000-0000-0000305B0000}"/>
    <cellStyle name="Normal 3 17 5" xfId="23354" xr:uid="{00000000-0005-0000-0000-0000315B0000}"/>
    <cellStyle name="Normal 3 17 6" xfId="23355" xr:uid="{00000000-0005-0000-0000-0000325B0000}"/>
    <cellStyle name="Normal 3 17 6 10" xfId="23356" xr:uid="{00000000-0005-0000-0000-0000335B0000}"/>
    <cellStyle name="Normal 3 17 6 10 2" xfId="23357" xr:uid="{00000000-0005-0000-0000-0000345B0000}"/>
    <cellStyle name="Normal 3 17 6 10 3" xfId="23358" xr:uid="{00000000-0005-0000-0000-0000355B0000}"/>
    <cellStyle name="Normal 3 17 6 11" xfId="23359" xr:uid="{00000000-0005-0000-0000-0000365B0000}"/>
    <cellStyle name="Normal 3 17 6 11 2" xfId="23360" xr:uid="{00000000-0005-0000-0000-0000375B0000}"/>
    <cellStyle name="Normal 3 17 6 11 3" xfId="23361" xr:uid="{00000000-0005-0000-0000-0000385B0000}"/>
    <cellStyle name="Normal 3 17 6 12" xfId="23362" xr:uid="{00000000-0005-0000-0000-0000395B0000}"/>
    <cellStyle name="Normal 3 17 6 12 2" xfId="23363" xr:uid="{00000000-0005-0000-0000-00003A5B0000}"/>
    <cellStyle name="Normal 3 17 6 12 3" xfId="23364" xr:uid="{00000000-0005-0000-0000-00003B5B0000}"/>
    <cellStyle name="Normal 3 17 6 13" xfId="23365" xr:uid="{00000000-0005-0000-0000-00003C5B0000}"/>
    <cellStyle name="Normal 3 17 6 13 2" xfId="23366" xr:uid="{00000000-0005-0000-0000-00003D5B0000}"/>
    <cellStyle name="Normal 3 17 6 13 3" xfId="23367" xr:uid="{00000000-0005-0000-0000-00003E5B0000}"/>
    <cellStyle name="Normal 3 17 6 14" xfId="23368" xr:uid="{00000000-0005-0000-0000-00003F5B0000}"/>
    <cellStyle name="Normal 3 17 6 14 2" xfId="23369" xr:uid="{00000000-0005-0000-0000-0000405B0000}"/>
    <cellStyle name="Normal 3 17 6 14 3" xfId="23370" xr:uid="{00000000-0005-0000-0000-0000415B0000}"/>
    <cellStyle name="Normal 3 17 6 15" xfId="23371" xr:uid="{00000000-0005-0000-0000-0000425B0000}"/>
    <cellStyle name="Normal 3 17 6 15 2" xfId="23372" xr:uid="{00000000-0005-0000-0000-0000435B0000}"/>
    <cellStyle name="Normal 3 17 6 15 3" xfId="23373" xr:uid="{00000000-0005-0000-0000-0000445B0000}"/>
    <cellStyle name="Normal 3 17 6 16" xfId="23374" xr:uid="{00000000-0005-0000-0000-0000455B0000}"/>
    <cellStyle name="Normal 3 17 6 17" xfId="23375" xr:uid="{00000000-0005-0000-0000-0000465B0000}"/>
    <cellStyle name="Normal 3 17 6 2" xfId="23376" xr:uid="{00000000-0005-0000-0000-0000475B0000}"/>
    <cellStyle name="Normal 3 17 6 2 10" xfId="23377" xr:uid="{00000000-0005-0000-0000-0000485B0000}"/>
    <cellStyle name="Normal 3 17 6 2 10 2" xfId="23378" xr:uid="{00000000-0005-0000-0000-0000495B0000}"/>
    <cellStyle name="Normal 3 17 6 2 10 3" xfId="23379" xr:uid="{00000000-0005-0000-0000-00004A5B0000}"/>
    <cellStyle name="Normal 3 17 6 2 11" xfId="23380" xr:uid="{00000000-0005-0000-0000-00004B5B0000}"/>
    <cellStyle name="Normal 3 17 6 2 11 2" xfId="23381" xr:uid="{00000000-0005-0000-0000-00004C5B0000}"/>
    <cellStyle name="Normal 3 17 6 2 11 3" xfId="23382" xr:uid="{00000000-0005-0000-0000-00004D5B0000}"/>
    <cellStyle name="Normal 3 17 6 2 12" xfId="23383" xr:uid="{00000000-0005-0000-0000-00004E5B0000}"/>
    <cellStyle name="Normal 3 17 6 2 12 2" xfId="23384" xr:uid="{00000000-0005-0000-0000-00004F5B0000}"/>
    <cellStyle name="Normal 3 17 6 2 12 3" xfId="23385" xr:uid="{00000000-0005-0000-0000-0000505B0000}"/>
    <cellStyle name="Normal 3 17 6 2 13" xfId="23386" xr:uid="{00000000-0005-0000-0000-0000515B0000}"/>
    <cellStyle name="Normal 3 17 6 2 13 2" xfId="23387" xr:uid="{00000000-0005-0000-0000-0000525B0000}"/>
    <cellStyle name="Normal 3 17 6 2 13 3" xfId="23388" xr:uid="{00000000-0005-0000-0000-0000535B0000}"/>
    <cellStyle name="Normal 3 17 6 2 14" xfId="23389" xr:uid="{00000000-0005-0000-0000-0000545B0000}"/>
    <cellStyle name="Normal 3 17 6 2 14 2" xfId="23390" xr:uid="{00000000-0005-0000-0000-0000555B0000}"/>
    <cellStyle name="Normal 3 17 6 2 14 3" xfId="23391" xr:uid="{00000000-0005-0000-0000-0000565B0000}"/>
    <cellStyle name="Normal 3 17 6 2 15" xfId="23392" xr:uid="{00000000-0005-0000-0000-0000575B0000}"/>
    <cellStyle name="Normal 3 17 6 2 16" xfId="23393" xr:uid="{00000000-0005-0000-0000-0000585B0000}"/>
    <cellStyle name="Normal 3 17 6 2 2" xfId="23394" xr:uid="{00000000-0005-0000-0000-0000595B0000}"/>
    <cellStyle name="Normal 3 17 6 2 2 2" xfId="23395" xr:uid="{00000000-0005-0000-0000-00005A5B0000}"/>
    <cellStyle name="Normal 3 17 6 2 2 3" xfId="23396" xr:uid="{00000000-0005-0000-0000-00005B5B0000}"/>
    <cellStyle name="Normal 3 17 6 2 3" xfId="23397" xr:uid="{00000000-0005-0000-0000-00005C5B0000}"/>
    <cellStyle name="Normal 3 17 6 2 3 2" xfId="23398" xr:uid="{00000000-0005-0000-0000-00005D5B0000}"/>
    <cellStyle name="Normal 3 17 6 2 3 3" xfId="23399" xr:uid="{00000000-0005-0000-0000-00005E5B0000}"/>
    <cellStyle name="Normal 3 17 6 2 4" xfId="23400" xr:uid="{00000000-0005-0000-0000-00005F5B0000}"/>
    <cellStyle name="Normal 3 17 6 2 4 2" xfId="23401" xr:uid="{00000000-0005-0000-0000-0000605B0000}"/>
    <cellStyle name="Normal 3 17 6 2 4 3" xfId="23402" xr:uid="{00000000-0005-0000-0000-0000615B0000}"/>
    <cellStyle name="Normal 3 17 6 2 5" xfId="23403" xr:uid="{00000000-0005-0000-0000-0000625B0000}"/>
    <cellStyle name="Normal 3 17 6 2 5 2" xfId="23404" xr:uid="{00000000-0005-0000-0000-0000635B0000}"/>
    <cellStyle name="Normal 3 17 6 2 5 3" xfId="23405" xr:uid="{00000000-0005-0000-0000-0000645B0000}"/>
    <cellStyle name="Normal 3 17 6 2 6" xfId="23406" xr:uid="{00000000-0005-0000-0000-0000655B0000}"/>
    <cellStyle name="Normal 3 17 6 2 6 2" xfId="23407" xr:uid="{00000000-0005-0000-0000-0000665B0000}"/>
    <cellStyle name="Normal 3 17 6 2 6 3" xfId="23408" xr:uid="{00000000-0005-0000-0000-0000675B0000}"/>
    <cellStyle name="Normal 3 17 6 2 7" xfId="23409" xr:uid="{00000000-0005-0000-0000-0000685B0000}"/>
    <cellStyle name="Normal 3 17 6 2 7 2" xfId="23410" xr:uid="{00000000-0005-0000-0000-0000695B0000}"/>
    <cellStyle name="Normal 3 17 6 2 7 3" xfId="23411" xr:uid="{00000000-0005-0000-0000-00006A5B0000}"/>
    <cellStyle name="Normal 3 17 6 2 8" xfId="23412" xr:uid="{00000000-0005-0000-0000-00006B5B0000}"/>
    <cellStyle name="Normal 3 17 6 2 8 2" xfId="23413" xr:uid="{00000000-0005-0000-0000-00006C5B0000}"/>
    <cellStyle name="Normal 3 17 6 2 8 3" xfId="23414" xr:uid="{00000000-0005-0000-0000-00006D5B0000}"/>
    <cellStyle name="Normal 3 17 6 2 9" xfId="23415" xr:uid="{00000000-0005-0000-0000-00006E5B0000}"/>
    <cellStyle name="Normal 3 17 6 2 9 2" xfId="23416" xr:uid="{00000000-0005-0000-0000-00006F5B0000}"/>
    <cellStyle name="Normal 3 17 6 2 9 3" xfId="23417" xr:uid="{00000000-0005-0000-0000-0000705B0000}"/>
    <cellStyle name="Normal 3 17 6 3" xfId="23418" xr:uid="{00000000-0005-0000-0000-0000715B0000}"/>
    <cellStyle name="Normal 3 17 6 3 2" xfId="23419" xr:uid="{00000000-0005-0000-0000-0000725B0000}"/>
    <cellStyle name="Normal 3 17 6 3 3" xfId="23420" xr:uid="{00000000-0005-0000-0000-0000735B0000}"/>
    <cellStyle name="Normal 3 17 6 4" xfId="23421" xr:uid="{00000000-0005-0000-0000-0000745B0000}"/>
    <cellStyle name="Normal 3 17 6 4 2" xfId="23422" xr:uid="{00000000-0005-0000-0000-0000755B0000}"/>
    <cellStyle name="Normal 3 17 6 4 3" xfId="23423" xr:uid="{00000000-0005-0000-0000-0000765B0000}"/>
    <cellStyle name="Normal 3 17 6 5" xfId="23424" xr:uid="{00000000-0005-0000-0000-0000775B0000}"/>
    <cellStyle name="Normal 3 17 6 5 2" xfId="23425" xr:uid="{00000000-0005-0000-0000-0000785B0000}"/>
    <cellStyle name="Normal 3 17 6 5 3" xfId="23426" xr:uid="{00000000-0005-0000-0000-0000795B0000}"/>
    <cellStyle name="Normal 3 17 6 6" xfId="23427" xr:uid="{00000000-0005-0000-0000-00007A5B0000}"/>
    <cellStyle name="Normal 3 17 6 6 2" xfId="23428" xr:uid="{00000000-0005-0000-0000-00007B5B0000}"/>
    <cellStyle name="Normal 3 17 6 6 3" xfId="23429" xr:uid="{00000000-0005-0000-0000-00007C5B0000}"/>
    <cellStyle name="Normal 3 17 6 7" xfId="23430" xr:uid="{00000000-0005-0000-0000-00007D5B0000}"/>
    <cellStyle name="Normal 3 17 6 7 2" xfId="23431" xr:uid="{00000000-0005-0000-0000-00007E5B0000}"/>
    <cellStyle name="Normal 3 17 6 7 3" xfId="23432" xr:uid="{00000000-0005-0000-0000-00007F5B0000}"/>
    <cellStyle name="Normal 3 17 6 8" xfId="23433" xr:uid="{00000000-0005-0000-0000-0000805B0000}"/>
    <cellStyle name="Normal 3 17 6 8 2" xfId="23434" xr:uid="{00000000-0005-0000-0000-0000815B0000}"/>
    <cellStyle name="Normal 3 17 6 8 3" xfId="23435" xr:uid="{00000000-0005-0000-0000-0000825B0000}"/>
    <cellStyle name="Normal 3 17 6 9" xfId="23436" xr:uid="{00000000-0005-0000-0000-0000835B0000}"/>
    <cellStyle name="Normal 3 17 6 9 2" xfId="23437" xr:uid="{00000000-0005-0000-0000-0000845B0000}"/>
    <cellStyle name="Normal 3 17 6 9 3" xfId="23438" xr:uid="{00000000-0005-0000-0000-0000855B0000}"/>
    <cellStyle name="Normal 3 17 7" xfId="23439" xr:uid="{00000000-0005-0000-0000-0000865B0000}"/>
    <cellStyle name="Normal 3 17 7 10" xfId="23440" xr:uid="{00000000-0005-0000-0000-0000875B0000}"/>
    <cellStyle name="Normal 3 17 7 10 2" xfId="23441" xr:uid="{00000000-0005-0000-0000-0000885B0000}"/>
    <cellStyle name="Normal 3 17 7 10 3" xfId="23442" xr:uid="{00000000-0005-0000-0000-0000895B0000}"/>
    <cellStyle name="Normal 3 17 7 11" xfId="23443" xr:uid="{00000000-0005-0000-0000-00008A5B0000}"/>
    <cellStyle name="Normal 3 17 7 11 2" xfId="23444" xr:uid="{00000000-0005-0000-0000-00008B5B0000}"/>
    <cellStyle name="Normal 3 17 7 11 3" xfId="23445" xr:uid="{00000000-0005-0000-0000-00008C5B0000}"/>
    <cellStyle name="Normal 3 17 7 12" xfId="23446" xr:uid="{00000000-0005-0000-0000-00008D5B0000}"/>
    <cellStyle name="Normal 3 17 7 12 2" xfId="23447" xr:uid="{00000000-0005-0000-0000-00008E5B0000}"/>
    <cellStyle name="Normal 3 17 7 12 3" xfId="23448" xr:uid="{00000000-0005-0000-0000-00008F5B0000}"/>
    <cellStyle name="Normal 3 17 7 13" xfId="23449" xr:uid="{00000000-0005-0000-0000-0000905B0000}"/>
    <cellStyle name="Normal 3 17 7 13 2" xfId="23450" xr:uid="{00000000-0005-0000-0000-0000915B0000}"/>
    <cellStyle name="Normal 3 17 7 13 3" xfId="23451" xr:uid="{00000000-0005-0000-0000-0000925B0000}"/>
    <cellStyle name="Normal 3 17 7 14" xfId="23452" xr:uid="{00000000-0005-0000-0000-0000935B0000}"/>
    <cellStyle name="Normal 3 17 7 14 2" xfId="23453" xr:uid="{00000000-0005-0000-0000-0000945B0000}"/>
    <cellStyle name="Normal 3 17 7 14 3" xfId="23454" xr:uid="{00000000-0005-0000-0000-0000955B0000}"/>
    <cellStyle name="Normal 3 17 7 15" xfId="23455" xr:uid="{00000000-0005-0000-0000-0000965B0000}"/>
    <cellStyle name="Normal 3 17 7 15 2" xfId="23456" xr:uid="{00000000-0005-0000-0000-0000975B0000}"/>
    <cellStyle name="Normal 3 17 7 15 3" xfId="23457" xr:uid="{00000000-0005-0000-0000-0000985B0000}"/>
    <cellStyle name="Normal 3 17 7 16" xfId="23458" xr:uid="{00000000-0005-0000-0000-0000995B0000}"/>
    <cellStyle name="Normal 3 17 7 17" xfId="23459" xr:uid="{00000000-0005-0000-0000-00009A5B0000}"/>
    <cellStyle name="Normal 3 17 7 2" xfId="23460" xr:uid="{00000000-0005-0000-0000-00009B5B0000}"/>
    <cellStyle name="Normal 3 17 7 2 10" xfId="23461" xr:uid="{00000000-0005-0000-0000-00009C5B0000}"/>
    <cellStyle name="Normal 3 17 7 2 10 2" xfId="23462" xr:uid="{00000000-0005-0000-0000-00009D5B0000}"/>
    <cellStyle name="Normal 3 17 7 2 10 3" xfId="23463" xr:uid="{00000000-0005-0000-0000-00009E5B0000}"/>
    <cellStyle name="Normal 3 17 7 2 11" xfId="23464" xr:uid="{00000000-0005-0000-0000-00009F5B0000}"/>
    <cellStyle name="Normal 3 17 7 2 11 2" xfId="23465" xr:uid="{00000000-0005-0000-0000-0000A05B0000}"/>
    <cellStyle name="Normal 3 17 7 2 11 3" xfId="23466" xr:uid="{00000000-0005-0000-0000-0000A15B0000}"/>
    <cellStyle name="Normal 3 17 7 2 12" xfId="23467" xr:uid="{00000000-0005-0000-0000-0000A25B0000}"/>
    <cellStyle name="Normal 3 17 7 2 12 2" xfId="23468" xr:uid="{00000000-0005-0000-0000-0000A35B0000}"/>
    <cellStyle name="Normal 3 17 7 2 12 3" xfId="23469" xr:uid="{00000000-0005-0000-0000-0000A45B0000}"/>
    <cellStyle name="Normal 3 17 7 2 13" xfId="23470" xr:uid="{00000000-0005-0000-0000-0000A55B0000}"/>
    <cellStyle name="Normal 3 17 7 2 13 2" xfId="23471" xr:uid="{00000000-0005-0000-0000-0000A65B0000}"/>
    <cellStyle name="Normal 3 17 7 2 13 3" xfId="23472" xr:uid="{00000000-0005-0000-0000-0000A75B0000}"/>
    <cellStyle name="Normal 3 17 7 2 14" xfId="23473" xr:uid="{00000000-0005-0000-0000-0000A85B0000}"/>
    <cellStyle name="Normal 3 17 7 2 14 2" xfId="23474" xr:uid="{00000000-0005-0000-0000-0000A95B0000}"/>
    <cellStyle name="Normal 3 17 7 2 14 3" xfId="23475" xr:uid="{00000000-0005-0000-0000-0000AA5B0000}"/>
    <cellStyle name="Normal 3 17 7 2 15" xfId="23476" xr:uid="{00000000-0005-0000-0000-0000AB5B0000}"/>
    <cellStyle name="Normal 3 17 7 2 16" xfId="23477" xr:uid="{00000000-0005-0000-0000-0000AC5B0000}"/>
    <cellStyle name="Normal 3 17 7 2 2" xfId="23478" xr:uid="{00000000-0005-0000-0000-0000AD5B0000}"/>
    <cellStyle name="Normal 3 17 7 2 2 2" xfId="23479" xr:uid="{00000000-0005-0000-0000-0000AE5B0000}"/>
    <cellStyle name="Normal 3 17 7 2 2 3" xfId="23480" xr:uid="{00000000-0005-0000-0000-0000AF5B0000}"/>
    <cellStyle name="Normal 3 17 7 2 3" xfId="23481" xr:uid="{00000000-0005-0000-0000-0000B05B0000}"/>
    <cellStyle name="Normal 3 17 7 2 3 2" xfId="23482" xr:uid="{00000000-0005-0000-0000-0000B15B0000}"/>
    <cellStyle name="Normal 3 17 7 2 3 3" xfId="23483" xr:uid="{00000000-0005-0000-0000-0000B25B0000}"/>
    <cellStyle name="Normal 3 17 7 2 4" xfId="23484" xr:uid="{00000000-0005-0000-0000-0000B35B0000}"/>
    <cellStyle name="Normal 3 17 7 2 4 2" xfId="23485" xr:uid="{00000000-0005-0000-0000-0000B45B0000}"/>
    <cellStyle name="Normal 3 17 7 2 4 3" xfId="23486" xr:uid="{00000000-0005-0000-0000-0000B55B0000}"/>
    <cellStyle name="Normal 3 17 7 2 5" xfId="23487" xr:uid="{00000000-0005-0000-0000-0000B65B0000}"/>
    <cellStyle name="Normal 3 17 7 2 5 2" xfId="23488" xr:uid="{00000000-0005-0000-0000-0000B75B0000}"/>
    <cellStyle name="Normal 3 17 7 2 5 3" xfId="23489" xr:uid="{00000000-0005-0000-0000-0000B85B0000}"/>
    <cellStyle name="Normal 3 17 7 2 6" xfId="23490" xr:uid="{00000000-0005-0000-0000-0000B95B0000}"/>
    <cellStyle name="Normal 3 17 7 2 6 2" xfId="23491" xr:uid="{00000000-0005-0000-0000-0000BA5B0000}"/>
    <cellStyle name="Normal 3 17 7 2 6 3" xfId="23492" xr:uid="{00000000-0005-0000-0000-0000BB5B0000}"/>
    <cellStyle name="Normal 3 17 7 2 7" xfId="23493" xr:uid="{00000000-0005-0000-0000-0000BC5B0000}"/>
    <cellStyle name="Normal 3 17 7 2 7 2" xfId="23494" xr:uid="{00000000-0005-0000-0000-0000BD5B0000}"/>
    <cellStyle name="Normal 3 17 7 2 7 3" xfId="23495" xr:uid="{00000000-0005-0000-0000-0000BE5B0000}"/>
    <cellStyle name="Normal 3 17 7 2 8" xfId="23496" xr:uid="{00000000-0005-0000-0000-0000BF5B0000}"/>
    <cellStyle name="Normal 3 17 7 2 8 2" xfId="23497" xr:uid="{00000000-0005-0000-0000-0000C05B0000}"/>
    <cellStyle name="Normal 3 17 7 2 8 3" xfId="23498" xr:uid="{00000000-0005-0000-0000-0000C15B0000}"/>
    <cellStyle name="Normal 3 17 7 2 9" xfId="23499" xr:uid="{00000000-0005-0000-0000-0000C25B0000}"/>
    <cellStyle name="Normal 3 17 7 2 9 2" xfId="23500" xr:uid="{00000000-0005-0000-0000-0000C35B0000}"/>
    <cellStyle name="Normal 3 17 7 2 9 3" xfId="23501" xr:uid="{00000000-0005-0000-0000-0000C45B0000}"/>
    <cellStyle name="Normal 3 17 7 3" xfId="23502" xr:uid="{00000000-0005-0000-0000-0000C55B0000}"/>
    <cellStyle name="Normal 3 17 7 3 2" xfId="23503" xr:uid="{00000000-0005-0000-0000-0000C65B0000}"/>
    <cellStyle name="Normal 3 17 7 3 3" xfId="23504" xr:uid="{00000000-0005-0000-0000-0000C75B0000}"/>
    <cellStyle name="Normal 3 17 7 4" xfId="23505" xr:uid="{00000000-0005-0000-0000-0000C85B0000}"/>
    <cellStyle name="Normal 3 17 7 4 2" xfId="23506" xr:uid="{00000000-0005-0000-0000-0000C95B0000}"/>
    <cellStyle name="Normal 3 17 7 4 3" xfId="23507" xr:uid="{00000000-0005-0000-0000-0000CA5B0000}"/>
    <cellStyle name="Normal 3 17 7 5" xfId="23508" xr:uid="{00000000-0005-0000-0000-0000CB5B0000}"/>
    <cellStyle name="Normal 3 17 7 5 2" xfId="23509" xr:uid="{00000000-0005-0000-0000-0000CC5B0000}"/>
    <cellStyle name="Normal 3 17 7 5 3" xfId="23510" xr:uid="{00000000-0005-0000-0000-0000CD5B0000}"/>
    <cellStyle name="Normal 3 17 7 6" xfId="23511" xr:uid="{00000000-0005-0000-0000-0000CE5B0000}"/>
    <cellStyle name="Normal 3 17 7 6 2" xfId="23512" xr:uid="{00000000-0005-0000-0000-0000CF5B0000}"/>
    <cellStyle name="Normal 3 17 7 6 3" xfId="23513" xr:uid="{00000000-0005-0000-0000-0000D05B0000}"/>
    <cellStyle name="Normal 3 17 7 7" xfId="23514" xr:uid="{00000000-0005-0000-0000-0000D15B0000}"/>
    <cellStyle name="Normal 3 17 7 7 2" xfId="23515" xr:uid="{00000000-0005-0000-0000-0000D25B0000}"/>
    <cellStyle name="Normal 3 17 7 7 3" xfId="23516" xr:uid="{00000000-0005-0000-0000-0000D35B0000}"/>
    <cellStyle name="Normal 3 17 7 8" xfId="23517" xr:uid="{00000000-0005-0000-0000-0000D45B0000}"/>
    <cellStyle name="Normal 3 17 7 8 2" xfId="23518" xr:uid="{00000000-0005-0000-0000-0000D55B0000}"/>
    <cellStyle name="Normal 3 17 7 8 3" xfId="23519" xr:uid="{00000000-0005-0000-0000-0000D65B0000}"/>
    <cellStyle name="Normal 3 17 7 9" xfId="23520" xr:uid="{00000000-0005-0000-0000-0000D75B0000}"/>
    <cellStyle name="Normal 3 17 7 9 2" xfId="23521" xr:uid="{00000000-0005-0000-0000-0000D85B0000}"/>
    <cellStyle name="Normal 3 17 7 9 3" xfId="23522" xr:uid="{00000000-0005-0000-0000-0000D95B0000}"/>
    <cellStyle name="Normal 3 17 8" xfId="23523" xr:uid="{00000000-0005-0000-0000-0000DA5B0000}"/>
    <cellStyle name="Normal 3 17 8 10" xfId="23524" xr:uid="{00000000-0005-0000-0000-0000DB5B0000}"/>
    <cellStyle name="Normal 3 17 8 10 2" xfId="23525" xr:uid="{00000000-0005-0000-0000-0000DC5B0000}"/>
    <cellStyle name="Normal 3 17 8 10 3" xfId="23526" xr:uid="{00000000-0005-0000-0000-0000DD5B0000}"/>
    <cellStyle name="Normal 3 17 8 11" xfId="23527" xr:uid="{00000000-0005-0000-0000-0000DE5B0000}"/>
    <cellStyle name="Normal 3 17 8 11 2" xfId="23528" xr:uid="{00000000-0005-0000-0000-0000DF5B0000}"/>
    <cellStyle name="Normal 3 17 8 11 3" xfId="23529" xr:uid="{00000000-0005-0000-0000-0000E05B0000}"/>
    <cellStyle name="Normal 3 17 8 12" xfId="23530" xr:uid="{00000000-0005-0000-0000-0000E15B0000}"/>
    <cellStyle name="Normal 3 17 8 12 2" xfId="23531" xr:uid="{00000000-0005-0000-0000-0000E25B0000}"/>
    <cellStyle name="Normal 3 17 8 12 3" xfId="23532" xr:uid="{00000000-0005-0000-0000-0000E35B0000}"/>
    <cellStyle name="Normal 3 17 8 13" xfId="23533" xr:uid="{00000000-0005-0000-0000-0000E45B0000}"/>
    <cellStyle name="Normal 3 17 8 13 2" xfId="23534" xr:uid="{00000000-0005-0000-0000-0000E55B0000}"/>
    <cellStyle name="Normal 3 17 8 13 3" xfId="23535" xr:uid="{00000000-0005-0000-0000-0000E65B0000}"/>
    <cellStyle name="Normal 3 17 8 14" xfId="23536" xr:uid="{00000000-0005-0000-0000-0000E75B0000}"/>
    <cellStyle name="Normal 3 17 8 14 2" xfId="23537" xr:uid="{00000000-0005-0000-0000-0000E85B0000}"/>
    <cellStyle name="Normal 3 17 8 14 3" xfId="23538" xr:uid="{00000000-0005-0000-0000-0000E95B0000}"/>
    <cellStyle name="Normal 3 17 8 15" xfId="23539" xr:uid="{00000000-0005-0000-0000-0000EA5B0000}"/>
    <cellStyle name="Normal 3 17 8 15 2" xfId="23540" xr:uid="{00000000-0005-0000-0000-0000EB5B0000}"/>
    <cellStyle name="Normal 3 17 8 15 3" xfId="23541" xr:uid="{00000000-0005-0000-0000-0000EC5B0000}"/>
    <cellStyle name="Normal 3 17 8 16" xfId="23542" xr:uid="{00000000-0005-0000-0000-0000ED5B0000}"/>
    <cellStyle name="Normal 3 17 8 17" xfId="23543" xr:uid="{00000000-0005-0000-0000-0000EE5B0000}"/>
    <cellStyle name="Normal 3 17 8 2" xfId="23544" xr:uid="{00000000-0005-0000-0000-0000EF5B0000}"/>
    <cellStyle name="Normal 3 17 8 2 10" xfId="23545" xr:uid="{00000000-0005-0000-0000-0000F05B0000}"/>
    <cellStyle name="Normal 3 17 8 2 10 2" xfId="23546" xr:uid="{00000000-0005-0000-0000-0000F15B0000}"/>
    <cellStyle name="Normal 3 17 8 2 10 3" xfId="23547" xr:uid="{00000000-0005-0000-0000-0000F25B0000}"/>
    <cellStyle name="Normal 3 17 8 2 11" xfId="23548" xr:uid="{00000000-0005-0000-0000-0000F35B0000}"/>
    <cellStyle name="Normal 3 17 8 2 11 2" xfId="23549" xr:uid="{00000000-0005-0000-0000-0000F45B0000}"/>
    <cellStyle name="Normal 3 17 8 2 11 3" xfId="23550" xr:uid="{00000000-0005-0000-0000-0000F55B0000}"/>
    <cellStyle name="Normal 3 17 8 2 12" xfId="23551" xr:uid="{00000000-0005-0000-0000-0000F65B0000}"/>
    <cellStyle name="Normal 3 17 8 2 12 2" xfId="23552" xr:uid="{00000000-0005-0000-0000-0000F75B0000}"/>
    <cellStyle name="Normal 3 17 8 2 12 3" xfId="23553" xr:uid="{00000000-0005-0000-0000-0000F85B0000}"/>
    <cellStyle name="Normal 3 17 8 2 13" xfId="23554" xr:uid="{00000000-0005-0000-0000-0000F95B0000}"/>
    <cellStyle name="Normal 3 17 8 2 13 2" xfId="23555" xr:uid="{00000000-0005-0000-0000-0000FA5B0000}"/>
    <cellStyle name="Normal 3 17 8 2 13 3" xfId="23556" xr:uid="{00000000-0005-0000-0000-0000FB5B0000}"/>
    <cellStyle name="Normal 3 17 8 2 14" xfId="23557" xr:uid="{00000000-0005-0000-0000-0000FC5B0000}"/>
    <cellStyle name="Normal 3 17 8 2 14 2" xfId="23558" xr:uid="{00000000-0005-0000-0000-0000FD5B0000}"/>
    <cellStyle name="Normal 3 17 8 2 14 3" xfId="23559" xr:uid="{00000000-0005-0000-0000-0000FE5B0000}"/>
    <cellStyle name="Normal 3 17 8 2 15" xfId="23560" xr:uid="{00000000-0005-0000-0000-0000FF5B0000}"/>
    <cellStyle name="Normal 3 17 8 2 16" xfId="23561" xr:uid="{00000000-0005-0000-0000-0000005C0000}"/>
    <cellStyle name="Normal 3 17 8 2 2" xfId="23562" xr:uid="{00000000-0005-0000-0000-0000015C0000}"/>
    <cellStyle name="Normal 3 17 8 2 2 2" xfId="23563" xr:uid="{00000000-0005-0000-0000-0000025C0000}"/>
    <cellStyle name="Normal 3 17 8 2 2 3" xfId="23564" xr:uid="{00000000-0005-0000-0000-0000035C0000}"/>
    <cellStyle name="Normal 3 17 8 2 3" xfId="23565" xr:uid="{00000000-0005-0000-0000-0000045C0000}"/>
    <cellStyle name="Normal 3 17 8 2 3 2" xfId="23566" xr:uid="{00000000-0005-0000-0000-0000055C0000}"/>
    <cellStyle name="Normal 3 17 8 2 3 3" xfId="23567" xr:uid="{00000000-0005-0000-0000-0000065C0000}"/>
    <cellStyle name="Normal 3 17 8 2 4" xfId="23568" xr:uid="{00000000-0005-0000-0000-0000075C0000}"/>
    <cellStyle name="Normal 3 17 8 2 4 2" xfId="23569" xr:uid="{00000000-0005-0000-0000-0000085C0000}"/>
    <cellStyle name="Normal 3 17 8 2 4 3" xfId="23570" xr:uid="{00000000-0005-0000-0000-0000095C0000}"/>
    <cellStyle name="Normal 3 17 8 2 5" xfId="23571" xr:uid="{00000000-0005-0000-0000-00000A5C0000}"/>
    <cellStyle name="Normal 3 17 8 2 5 2" xfId="23572" xr:uid="{00000000-0005-0000-0000-00000B5C0000}"/>
    <cellStyle name="Normal 3 17 8 2 5 3" xfId="23573" xr:uid="{00000000-0005-0000-0000-00000C5C0000}"/>
    <cellStyle name="Normal 3 17 8 2 6" xfId="23574" xr:uid="{00000000-0005-0000-0000-00000D5C0000}"/>
    <cellStyle name="Normal 3 17 8 2 6 2" xfId="23575" xr:uid="{00000000-0005-0000-0000-00000E5C0000}"/>
    <cellStyle name="Normal 3 17 8 2 6 3" xfId="23576" xr:uid="{00000000-0005-0000-0000-00000F5C0000}"/>
    <cellStyle name="Normal 3 17 8 2 7" xfId="23577" xr:uid="{00000000-0005-0000-0000-0000105C0000}"/>
    <cellStyle name="Normal 3 17 8 2 7 2" xfId="23578" xr:uid="{00000000-0005-0000-0000-0000115C0000}"/>
    <cellStyle name="Normal 3 17 8 2 7 3" xfId="23579" xr:uid="{00000000-0005-0000-0000-0000125C0000}"/>
    <cellStyle name="Normal 3 17 8 2 8" xfId="23580" xr:uid="{00000000-0005-0000-0000-0000135C0000}"/>
    <cellStyle name="Normal 3 17 8 2 8 2" xfId="23581" xr:uid="{00000000-0005-0000-0000-0000145C0000}"/>
    <cellStyle name="Normal 3 17 8 2 8 3" xfId="23582" xr:uid="{00000000-0005-0000-0000-0000155C0000}"/>
    <cellStyle name="Normal 3 17 8 2 9" xfId="23583" xr:uid="{00000000-0005-0000-0000-0000165C0000}"/>
    <cellStyle name="Normal 3 17 8 2 9 2" xfId="23584" xr:uid="{00000000-0005-0000-0000-0000175C0000}"/>
    <cellStyle name="Normal 3 17 8 2 9 3" xfId="23585" xr:uid="{00000000-0005-0000-0000-0000185C0000}"/>
    <cellStyle name="Normal 3 17 8 3" xfId="23586" xr:uid="{00000000-0005-0000-0000-0000195C0000}"/>
    <cellStyle name="Normal 3 17 8 3 2" xfId="23587" xr:uid="{00000000-0005-0000-0000-00001A5C0000}"/>
    <cellStyle name="Normal 3 17 8 3 3" xfId="23588" xr:uid="{00000000-0005-0000-0000-00001B5C0000}"/>
    <cellStyle name="Normal 3 17 8 4" xfId="23589" xr:uid="{00000000-0005-0000-0000-00001C5C0000}"/>
    <cellStyle name="Normal 3 17 8 4 2" xfId="23590" xr:uid="{00000000-0005-0000-0000-00001D5C0000}"/>
    <cellStyle name="Normal 3 17 8 4 3" xfId="23591" xr:uid="{00000000-0005-0000-0000-00001E5C0000}"/>
    <cellStyle name="Normal 3 17 8 5" xfId="23592" xr:uid="{00000000-0005-0000-0000-00001F5C0000}"/>
    <cellStyle name="Normal 3 17 8 5 2" xfId="23593" xr:uid="{00000000-0005-0000-0000-0000205C0000}"/>
    <cellStyle name="Normal 3 17 8 5 3" xfId="23594" xr:uid="{00000000-0005-0000-0000-0000215C0000}"/>
    <cellStyle name="Normal 3 17 8 6" xfId="23595" xr:uid="{00000000-0005-0000-0000-0000225C0000}"/>
    <cellStyle name="Normal 3 17 8 6 2" xfId="23596" xr:uid="{00000000-0005-0000-0000-0000235C0000}"/>
    <cellStyle name="Normal 3 17 8 6 3" xfId="23597" xr:uid="{00000000-0005-0000-0000-0000245C0000}"/>
    <cellStyle name="Normal 3 17 8 7" xfId="23598" xr:uid="{00000000-0005-0000-0000-0000255C0000}"/>
    <cellStyle name="Normal 3 17 8 7 2" xfId="23599" xr:uid="{00000000-0005-0000-0000-0000265C0000}"/>
    <cellStyle name="Normal 3 17 8 7 3" xfId="23600" xr:uid="{00000000-0005-0000-0000-0000275C0000}"/>
    <cellStyle name="Normal 3 17 8 8" xfId="23601" xr:uid="{00000000-0005-0000-0000-0000285C0000}"/>
    <cellStyle name="Normal 3 17 8 8 2" xfId="23602" xr:uid="{00000000-0005-0000-0000-0000295C0000}"/>
    <cellStyle name="Normal 3 17 8 8 3" xfId="23603" xr:uid="{00000000-0005-0000-0000-00002A5C0000}"/>
    <cellStyle name="Normal 3 17 8 9" xfId="23604" xr:uid="{00000000-0005-0000-0000-00002B5C0000}"/>
    <cellStyle name="Normal 3 17 8 9 2" xfId="23605" xr:uid="{00000000-0005-0000-0000-00002C5C0000}"/>
    <cellStyle name="Normal 3 17 8 9 3" xfId="23606" xr:uid="{00000000-0005-0000-0000-00002D5C0000}"/>
    <cellStyle name="Normal 3 17 9" xfId="23607" xr:uid="{00000000-0005-0000-0000-00002E5C0000}"/>
    <cellStyle name="Normal 3 17 9 10" xfId="23608" xr:uid="{00000000-0005-0000-0000-00002F5C0000}"/>
    <cellStyle name="Normal 3 17 9 10 2" xfId="23609" xr:uid="{00000000-0005-0000-0000-0000305C0000}"/>
    <cellStyle name="Normal 3 17 9 10 3" xfId="23610" xr:uid="{00000000-0005-0000-0000-0000315C0000}"/>
    <cellStyle name="Normal 3 17 9 11" xfId="23611" xr:uid="{00000000-0005-0000-0000-0000325C0000}"/>
    <cellStyle name="Normal 3 17 9 11 2" xfId="23612" xr:uid="{00000000-0005-0000-0000-0000335C0000}"/>
    <cellStyle name="Normal 3 17 9 11 3" xfId="23613" xr:uid="{00000000-0005-0000-0000-0000345C0000}"/>
    <cellStyle name="Normal 3 17 9 12" xfId="23614" xr:uid="{00000000-0005-0000-0000-0000355C0000}"/>
    <cellStyle name="Normal 3 17 9 12 2" xfId="23615" xr:uid="{00000000-0005-0000-0000-0000365C0000}"/>
    <cellStyle name="Normal 3 17 9 12 3" xfId="23616" xr:uid="{00000000-0005-0000-0000-0000375C0000}"/>
    <cellStyle name="Normal 3 17 9 13" xfId="23617" xr:uid="{00000000-0005-0000-0000-0000385C0000}"/>
    <cellStyle name="Normal 3 17 9 13 2" xfId="23618" xr:uid="{00000000-0005-0000-0000-0000395C0000}"/>
    <cellStyle name="Normal 3 17 9 13 3" xfId="23619" xr:uid="{00000000-0005-0000-0000-00003A5C0000}"/>
    <cellStyle name="Normal 3 17 9 14" xfId="23620" xr:uid="{00000000-0005-0000-0000-00003B5C0000}"/>
    <cellStyle name="Normal 3 17 9 14 2" xfId="23621" xr:uid="{00000000-0005-0000-0000-00003C5C0000}"/>
    <cellStyle name="Normal 3 17 9 14 3" xfId="23622" xr:uid="{00000000-0005-0000-0000-00003D5C0000}"/>
    <cellStyle name="Normal 3 17 9 15" xfId="23623" xr:uid="{00000000-0005-0000-0000-00003E5C0000}"/>
    <cellStyle name="Normal 3 17 9 16" xfId="23624" xr:uid="{00000000-0005-0000-0000-00003F5C0000}"/>
    <cellStyle name="Normal 3 17 9 2" xfId="23625" xr:uid="{00000000-0005-0000-0000-0000405C0000}"/>
    <cellStyle name="Normal 3 17 9 2 2" xfId="23626" xr:uid="{00000000-0005-0000-0000-0000415C0000}"/>
    <cellStyle name="Normal 3 17 9 2 3" xfId="23627" xr:uid="{00000000-0005-0000-0000-0000425C0000}"/>
    <cellStyle name="Normal 3 17 9 3" xfId="23628" xr:uid="{00000000-0005-0000-0000-0000435C0000}"/>
    <cellStyle name="Normal 3 17 9 3 2" xfId="23629" xr:uid="{00000000-0005-0000-0000-0000445C0000}"/>
    <cellStyle name="Normal 3 17 9 3 3" xfId="23630" xr:uid="{00000000-0005-0000-0000-0000455C0000}"/>
    <cellStyle name="Normal 3 17 9 4" xfId="23631" xr:uid="{00000000-0005-0000-0000-0000465C0000}"/>
    <cellStyle name="Normal 3 17 9 4 2" xfId="23632" xr:uid="{00000000-0005-0000-0000-0000475C0000}"/>
    <cellStyle name="Normal 3 17 9 4 3" xfId="23633" xr:uid="{00000000-0005-0000-0000-0000485C0000}"/>
    <cellStyle name="Normal 3 17 9 5" xfId="23634" xr:uid="{00000000-0005-0000-0000-0000495C0000}"/>
    <cellStyle name="Normal 3 17 9 5 2" xfId="23635" xr:uid="{00000000-0005-0000-0000-00004A5C0000}"/>
    <cellStyle name="Normal 3 17 9 5 3" xfId="23636" xr:uid="{00000000-0005-0000-0000-00004B5C0000}"/>
    <cellStyle name="Normal 3 17 9 6" xfId="23637" xr:uid="{00000000-0005-0000-0000-00004C5C0000}"/>
    <cellStyle name="Normal 3 17 9 6 2" xfId="23638" xr:uid="{00000000-0005-0000-0000-00004D5C0000}"/>
    <cellStyle name="Normal 3 17 9 6 3" xfId="23639" xr:uid="{00000000-0005-0000-0000-00004E5C0000}"/>
    <cellStyle name="Normal 3 17 9 7" xfId="23640" xr:uid="{00000000-0005-0000-0000-00004F5C0000}"/>
    <cellStyle name="Normal 3 17 9 7 2" xfId="23641" xr:uid="{00000000-0005-0000-0000-0000505C0000}"/>
    <cellStyle name="Normal 3 17 9 7 3" xfId="23642" xr:uid="{00000000-0005-0000-0000-0000515C0000}"/>
    <cellStyle name="Normal 3 17 9 8" xfId="23643" xr:uid="{00000000-0005-0000-0000-0000525C0000}"/>
    <cellStyle name="Normal 3 17 9 8 2" xfId="23644" xr:uid="{00000000-0005-0000-0000-0000535C0000}"/>
    <cellStyle name="Normal 3 17 9 8 3" xfId="23645" xr:uid="{00000000-0005-0000-0000-0000545C0000}"/>
    <cellStyle name="Normal 3 17 9 9" xfId="23646" xr:uid="{00000000-0005-0000-0000-0000555C0000}"/>
    <cellStyle name="Normal 3 17 9 9 2" xfId="23647" xr:uid="{00000000-0005-0000-0000-0000565C0000}"/>
    <cellStyle name="Normal 3 17 9 9 3" xfId="23648" xr:uid="{00000000-0005-0000-0000-0000575C0000}"/>
    <cellStyle name="Normal 3 18" xfId="23649" xr:uid="{00000000-0005-0000-0000-0000585C0000}"/>
    <cellStyle name="Normal 3 18 10" xfId="23650" xr:uid="{00000000-0005-0000-0000-0000595C0000}"/>
    <cellStyle name="Normal 3 18 10 10" xfId="23651" xr:uid="{00000000-0005-0000-0000-00005A5C0000}"/>
    <cellStyle name="Normal 3 18 10 10 2" xfId="23652" xr:uid="{00000000-0005-0000-0000-00005B5C0000}"/>
    <cellStyle name="Normal 3 18 10 10 3" xfId="23653" xr:uid="{00000000-0005-0000-0000-00005C5C0000}"/>
    <cellStyle name="Normal 3 18 10 11" xfId="23654" xr:uid="{00000000-0005-0000-0000-00005D5C0000}"/>
    <cellStyle name="Normal 3 18 10 11 2" xfId="23655" xr:uid="{00000000-0005-0000-0000-00005E5C0000}"/>
    <cellStyle name="Normal 3 18 10 11 3" xfId="23656" xr:uid="{00000000-0005-0000-0000-00005F5C0000}"/>
    <cellStyle name="Normal 3 18 10 12" xfId="23657" xr:uid="{00000000-0005-0000-0000-0000605C0000}"/>
    <cellStyle name="Normal 3 18 10 12 2" xfId="23658" xr:uid="{00000000-0005-0000-0000-0000615C0000}"/>
    <cellStyle name="Normal 3 18 10 12 3" xfId="23659" xr:uid="{00000000-0005-0000-0000-0000625C0000}"/>
    <cellStyle name="Normal 3 18 10 13" xfId="23660" xr:uid="{00000000-0005-0000-0000-0000635C0000}"/>
    <cellStyle name="Normal 3 18 10 13 2" xfId="23661" xr:uid="{00000000-0005-0000-0000-0000645C0000}"/>
    <cellStyle name="Normal 3 18 10 13 3" xfId="23662" xr:uid="{00000000-0005-0000-0000-0000655C0000}"/>
    <cellStyle name="Normal 3 18 10 14" xfId="23663" xr:uid="{00000000-0005-0000-0000-0000665C0000}"/>
    <cellStyle name="Normal 3 18 10 14 2" xfId="23664" xr:uid="{00000000-0005-0000-0000-0000675C0000}"/>
    <cellStyle name="Normal 3 18 10 14 3" xfId="23665" xr:uid="{00000000-0005-0000-0000-0000685C0000}"/>
    <cellStyle name="Normal 3 18 10 15" xfId="23666" xr:uid="{00000000-0005-0000-0000-0000695C0000}"/>
    <cellStyle name="Normal 3 18 10 16" xfId="23667" xr:uid="{00000000-0005-0000-0000-00006A5C0000}"/>
    <cellStyle name="Normal 3 18 10 2" xfId="23668" xr:uid="{00000000-0005-0000-0000-00006B5C0000}"/>
    <cellStyle name="Normal 3 18 10 2 2" xfId="23669" xr:uid="{00000000-0005-0000-0000-00006C5C0000}"/>
    <cellStyle name="Normal 3 18 10 2 3" xfId="23670" xr:uid="{00000000-0005-0000-0000-00006D5C0000}"/>
    <cellStyle name="Normal 3 18 10 3" xfId="23671" xr:uid="{00000000-0005-0000-0000-00006E5C0000}"/>
    <cellStyle name="Normal 3 18 10 3 2" xfId="23672" xr:uid="{00000000-0005-0000-0000-00006F5C0000}"/>
    <cellStyle name="Normal 3 18 10 3 3" xfId="23673" xr:uid="{00000000-0005-0000-0000-0000705C0000}"/>
    <cellStyle name="Normal 3 18 10 4" xfId="23674" xr:uid="{00000000-0005-0000-0000-0000715C0000}"/>
    <cellStyle name="Normal 3 18 10 4 2" xfId="23675" xr:uid="{00000000-0005-0000-0000-0000725C0000}"/>
    <cellStyle name="Normal 3 18 10 4 3" xfId="23676" xr:uid="{00000000-0005-0000-0000-0000735C0000}"/>
    <cellStyle name="Normal 3 18 10 5" xfId="23677" xr:uid="{00000000-0005-0000-0000-0000745C0000}"/>
    <cellStyle name="Normal 3 18 10 5 2" xfId="23678" xr:uid="{00000000-0005-0000-0000-0000755C0000}"/>
    <cellStyle name="Normal 3 18 10 5 3" xfId="23679" xr:uid="{00000000-0005-0000-0000-0000765C0000}"/>
    <cellStyle name="Normal 3 18 10 6" xfId="23680" xr:uid="{00000000-0005-0000-0000-0000775C0000}"/>
    <cellStyle name="Normal 3 18 10 6 2" xfId="23681" xr:uid="{00000000-0005-0000-0000-0000785C0000}"/>
    <cellStyle name="Normal 3 18 10 6 3" xfId="23682" xr:uid="{00000000-0005-0000-0000-0000795C0000}"/>
    <cellStyle name="Normal 3 18 10 7" xfId="23683" xr:uid="{00000000-0005-0000-0000-00007A5C0000}"/>
    <cellStyle name="Normal 3 18 10 7 2" xfId="23684" xr:uid="{00000000-0005-0000-0000-00007B5C0000}"/>
    <cellStyle name="Normal 3 18 10 7 3" xfId="23685" xr:uid="{00000000-0005-0000-0000-00007C5C0000}"/>
    <cellStyle name="Normal 3 18 10 8" xfId="23686" xr:uid="{00000000-0005-0000-0000-00007D5C0000}"/>
    <cellStyle name="Normal 3 18 10 8 2" xfId="23687" xr:uid="{00000000-0005-0000-0000-00007E5C0000}"/>
    <cellStyle name="Normal 3 18 10 8 3" xfId="23688" xr:uid="{00000000-0005-0000-0000-00007F5C0000}"/>
    <cellStyle name="Normal 3 18 10 9" xfId="23689" xr:uid="{00000000-0005-0000-0000-0000805C0000}"/>
    <cellStyle name="Normal 3 18 10 9 2" xfId="23690" xr:uid="{00000000-0005-0000-0000-0000815C0000}"/>
    <cellStyle name="Normal 3 18 10 9 3" xfId="23691" xr:uid="{00000000-0005-0000-0000-0000825C0000}"/>
    <cellStyle name="Normal 3 18 11" xfId="23692" xr:uid="{00000000-0005-0000-0000-0000835C0000}"/>
    <cellStyle name="Normal 3 18 11 10" xfId="23693" xr:uid="{00000000-0005-0000-0000-0000845C0000}"/>
    <cellStyle name="Normal 3 18 11 10 2" xfId="23694" xr:uid="{00000000-0005-0000-0000-0000855C0000}"/>
    <cellStyle name="Normal 3 18 11 10 3" xfId="23695" xr:uid="{00000000-0005-0000-0000-0000865C0000}"/>
    <cellStyle name="Normal 3 18 11 11" xfId="23696" xr:uid="{00000000-0005-0000-0000-0000875C0000}"/>
    <cellStyle name="Normal 3 18 11 11 2" xfId="23697" xr:uid="{00000000-0005-0000-0000-0000885C0000}"/>
    <cellStyle name="Normal 3 18 11 11 3" xfId="23698" xr:uid="{00000000-0005-0000-0000-0000895C0000}"/>
    <cellStyle name="Normal 3 18 11 12" xfId="23699" xr:uid="{00000000-0005-0000-0000-00008A5C0000}"/>
    <cellStyle name="Normal 3 18 11 12 2" xfId="23700" xr:uid="{00000000-0005-0000-0000-00008B5C0000}"/>
    <cellStyle name="Normal 3 18 11 12 3" xfId="23701" xr:uid="{00000000-0005-0000-0000-00008C5C0000}"/>
    <cellStyle name="Normal 3 18 11 13" xfId="23702" xr:uid="{00000000-0005-0000-0000-00008D5C0000}"/>
    <cellStyle name="Normal 3 18 11 13 2" xfId="23703" xr:uid="{00000000-0005-0000-0000-00008E5C0000}"/>
    <cellStyle name="Normal 3 18 11 13 3" xfId="23704" xr:uid="{00000000-0005-0000-0000-00008F5C0000}"/>
    <cellStyle name="Normal 3 18 11 14" xfId="23705" xr:uid="{00000000-0005-0000-0000-0000905C0000}"/>
    <cellStyle name="Normal 3 18 11 14 2" xfId="23706" xr:uid="{00000000-0005-0000-0000-0000915C0000}"/>
    <cellStyle name="Normal 3 18 11 14 3" xfId="23707" xr:uid="{00000000-0005-0000-0000-0000925C0000}"/>
    <cellStyle name="Normal 3 18 11 15" xfId="23708" xr:uid="{00000000-0005-0000-0000-0000935C0000}"/>
    <cellStyle name="Normal 3 18 11 16" xfId="23709" xr:uid="{00000000-0005-0000-0000-0000945C0000}"/>
    <cellStyle name="Normal 3 18 11 2" xfId="23710" xr:uid="{00000000-0005-0000-0000-0000955C0000}"/>
    <cellStyle name="Normal 3 18 11 2 2" xfId="23711" xr:uid="{00000000-0005-0000-0000-0000965C0000}"/>
    <cellStyle name="Normal 3 18 11 2 3" xfId="23712" xr:uid="{00000000-0005-0000-0000-0000975C0000}"/>
    <cellStyle name="Normal 3 18 11 3" xfId="23713" xr:uid="{00000000-0005-0000-0000-0000985C0000}"/>
    <cellStyle name="Normal 3 18 11 3 2" xfId="23714" xr:uid="{00000000-0005-0000-0000-0000995C0000}"/>
    <cellStyle name="Normal 3 18 11 3 3" xfId="23715" xr:uid="{00000000-0005-0000-0000-00009A5C0000}"/>
    <cellStyle name="Normal 3 18 11 4" xfId="23716" xr:uid="{00000000-0005-0000-0000-00009B5C0000}"/>
    <cellStyle name="Normal 3 18 11 4 2" xfId="23717" xr:uid="{00000000-0005-0000-0000-00009C5C0000}"/>
    <cellStyle name="Normal 3 18 11 4 3" xfId="23718" xr:uid="{00000000-0005-0000-0000-00009D5C0000}"/>
    <cellStyle name="Normal 3 18 11 5" xfId="23719" xr:uid="{00000000-0005-0000-0000-00009E5C0000}"/>
    <cellStyle name="Normal 3 18 11 5 2" xfId="23720" xr:uid="{00000000-0005-0000-0000-00009F5C0000}"/>
    <cellStyle name="Normal 3 18 11 5 3" xfId="23721" xr:uid="{00000000-0005-0000-0000-0000A05C0000}"/>
    <cellStyle name="Normal 3 18 11 6" xfId="23722" xr:uid="{00000000-0005-0000-0000-0000A15C0000}"/>
    <cellStyle name="Normal 3 18 11 6 2" xfId="23723" xr:uid="{00000000-0005-0000-0000-0000A25C0000}"/>
    <cellStyle name="Normal 3 18 11 6 3" xfId="23724" xr:uid="{00000000-0005-0000-0000-0000A35C0000}"/>
    <cellStyle name="Normal 3 18 11 7" xfId="23725" xr:uid="{00000000-0005-0000-0000-0000A45C0000}"/>
    <cellStyle name="Normal 3 18 11 7 2" xfId="23726" xr:uid="{00000000-0005-0000-0000-0000A55C0000}"/>
    <cellStyle name="Normal 3 18 11 7 3" xfId="23727" xr:uid="{00000000-0005-0000-0000-0000A65C0000}"/>
    <cellStyle name="Normal 3 18 11 8" xfId="23728" xr:uid="{00000000-0005-0000-0000-0000A75C0000}"/>
    <cellStyle name="Normal 3 18 11 8 2" xfId="23729" xr:uid="{00000000-0005-0000-0000-0000A85C0000}"/>
    <cellStyle name="Normal 3 18 11 8 3" xfId="23730" xr:uid="{00000000-0005-0000-0000-0000A95C0000}"/>
    <cellStyle name="Normal 3 18 11 9" xfId="23731" xr:uid="{00000000-0005-0000-0000-0000AA5C0000}"/>
    <cellStyle name="Normal 3 18 11 9 2" xfId="23732" xr:uid="{00000000-0005-0000-0000-0000AB5C0000}"/>
    <cellStyle name="Normal 3 18 11 9 3" xfId="23733" xr:uid="{00000000-0005-0000-0000-0000AC5C0000}"/>
    <cellStyle name="Normal 3 18 12" xfId="23734" xr:uid="{00000000-0005-0000-0000-0000AD5C0000}"/>
    <cellStyle name="Normal 3 18 12 10" xfId="23735" xr:uid="{00000000-0005-0000-0000-0000AE5C0000}"/>
    <cellStyle name="Normal 3 18 12 10 2" xfId="23736" xr:uid="{00000000-0005-0000-0000-0000AF5C0000}"/>
    <cellStyle name="Normal 3 18 12 10 3" xfId="23737" xr:uid="{00000000-0005-0000-0000-0000B05C0000}"/>
    <cellStyle name="Normal 3 18 12 11" xfId="23738" xr:uid="{00000000-0005-0000-0000-0000B15C0000}"/>
    <cellStyle name="Normal 3 18 12 11 2" xfId="23739" xr:uid="{00000000-0005-0000-0000-0000B25C0000}"/>
    <cellStyle name="Normal 3 18 12 11 3" xfId="23740" xr:uid="{00000000-0005-0000-0000-0000B35C0000}"/>
    <cellStyle name="Normal 3 18 12 12" xfId="23741" xr:uid="{00000000-0005-0000-0000-0000B45C0000}"/>
    <cellStyle name="Normal 3 18 12 12 2" xfId="23742" xr:uid="{00000000-0005-0000-0000-0000B55C0000}"/>
    <cellStyle name="Normal 3 18 12 12 3" xfId="23743" xr:uid="{00000000-0005-0000-0000-0000B65C0000}"/>
    <cellStyle name="Normal 3 18 12 13" xfId="23744" xr:uid="{00000000-0005-0000-0000-0000B75C0000}"/>
    <cellStyle name="Normal 3 18 12 13 2" xfId="23745" xr:uid="{00000000-0005-0000-0000-0000B85C0000}"/>
    <cellStyle name="Normal 3 18 12 13 3" xfId="23746" xr:uid="{00000000-0005-0000-0000-0000B95C0000}"/>
    <cellStyle name="Normal 3 18 12 14" xfId="23747" xr:uid="{00000000-0005-0000-0000-0000BA5C0000}"/>
    <cellStyle name="Normal 3 18 12 14 2" xfId="23748" xr:uid="{00000000-0005-0000-0000-0000BB5C0000}"/>
    <cellStyle name="Normal 3 18 12 14 3" xfId="23749" xr:uid="{00000000-0005-0000-0000-0000BC5C0000}"/>
    <cellStyle name="Normal 3 18 12 15" xfId="23750" xr:uid="{00000000-0005-0000-0000-0000BD5C0000}"/>
    <cellStyle name="Normal 3 18 12 16" xfId="23751" xr:uid="{00000000-0005-0000-0000-0000BE5C0000}"/>
    <cellStyle name="Normal 3 18 12 2" xfId="23752" xr:uid="{00000000-0005-0000-0000-0000BF5C0000}"/>
    <cellStyle name="Normal 3 18 12 2 2" xfId="23753" xr:uid="{00000000-0005-0000-0000-0000C05C0000}"/>
    <cellStyle name="Normal 3 18 12 2 3" xfId="23754" xr:uid="{00000000-0005-0000-0000-0000C15C0000}"/>
    <cellStyle name="Normal 3 18 12 3" xfId="23755" xr:uid="{00000000-0005-0000-0000-0000C25C0000}"/>
    <cellStyle name="Normal 3 18 12 3 2" xfId="23756" xr:uid="{00000000-0005-0000-0000-0000C35C0000}"/>
    <cellStyle name="Normal 3 18 12 3 3" xfId="23757" xr:uid="{00000000-0005-0000-0000-0000C45C0000}"/>
    <cellStyle name="Normal 3 18 12 4" xfId="23758" xr:uid="{00000000-0005-0000-0000-0000C55C0000}"/>
    <cellStyle name="Normal 3 18 12 4 2" xfId="23759" xr:uid="{00000000-0005-0000-0000-0000C65C0000}"/>
    <cellStyle name="Normal 3 18 12 4 3" xfId="23760" xr:uid="{00000000-0005-0000-0000-0000C75C0000}"/>
    <cellStyle name="Normal 3 18 12 5" xfId="23761" xr:uid="{00000000-0005-0000-0000-0000C85C0000}"/>
    <cellStyle name="Normal 3 18 12 5 2" xfId="23762" xr:uid="{00000000-0005-0000-0000-0000C95C0000}"/>
    <cellStyle name="Normal 3 18 12 5 3" xfId="23763" xr:uid="{00000000-0005-0000-0000-0000CA5C0000}"/>
    <cellStyle name="Normal 3 18 12 6" xfId="23764" xr:uid="{00000000-0005-0000-0000-0000CB5C0000}"/>
    <cellStyle name="Normal 3 18 12 6 2" xfId="23765" xr:uid="{00000000-0005-0000-0000-0000CC5C0000}"/>
    <cellStyle name="Normal 3 18 12 6 3" xfId="23766" xr:uid="{00000000-0005-0000-0000-0000CD5C0000}"/>
    <cellStyle name="Normal 3 18 12 7" xfId="23767" xr:uid="{00000000-0005-0000-0000-0000CE5C0000}"/>
    <cellStyle name="Normal 3 18 12 7 2" xfId="23768" xr:uid="{00000000-0005-0000-0000-0000CF5C0000}"/>
    <cellStyle name="Normal 3 18 12 7 3" xfId="23769" xr:uid="{00000000-0005-0000-0000-0000D05C0000}"/>
    <cellStyle name="Normal 3 18 12 8" xfId="23770" xr:uid="{00000000-0005-0000-0000-0000D15C0000}"/>
    <cellStyle name="Normal 3 18 12 8 2" xfId="23771" xr:uid="{00000000-0005-0000-0000-0000D25C0000}"/>
    <cellStyle name="Normal 3 18 12 8 3" xfId="23772" xr:uid="{00000000-0005-0000-0000-0000D35C0000}"/>
    <cellStyle name="Normal 3 18 12 9" xfId="23773" xr:uid="{00000000-0005-0000-0000-0000D45C0000}"/>
    <cellStyle name="Normal 3 18 12 9 2" xfId="23774" xr:uid="{00000000-0005-0000-0000-0000D55C0000}"/>
    <cellStyle name="Normal 3 18 12 9 3" xfId="23775" xr:uid="{00000000-0005-0000-0000-0000D65C0000}"/>
    <cellStyle name="Normal 3 18 13" xfId="23776" xr:uid="{00000000-0005-0000-0000-0000D75C0000}"/>
    <cellStyle name="Normal 3 18 13 10" xfId="23777" xr:uid="{00000000-0005-0000-0000-0000D85C0000}"/>
    <cellStyle name="Normal 3 18 13 10 2" xfId="23778" xr:uid="{00000000-0005-0000-0000-0000D95C0000}"/>
    <cellStyle name="Normal 3 18 13 10 3" xfId="23779" xr:uid="{00000000-0005-0000-0000-0000DA5C0000}"/>
    <cellStyle name="Normal 3 18 13 11" xfId="23780" xr:uid="{00000000-0005-0000-0000-0000DB5C0000}"/>
    <cellStyle name="Normal 3 18 13 11 2" xfId="23781" xr:uid="{00000000-0005-0000-0000-0000DC5C0000}"/>
    <cellStyle name="Normal 3 18 13 11 3" xfId="23782" xr:uid="{00000000-0005-0000-0000-0000DD5C0000}"/>
    <cellStyle name="Normal 3 18 13 12" xfId="23783" xr:uid="{00000000-0005-0000-0000-0000DE5C0000}"/>
    <cellStyle name="Normal 3 18 13 12 2" xfId="23784" xr:uid="{00000000-0005-0000-0000-0000DF5C0000}"/>
    <cellStyle name="Normal 3 18 13 12 3" xfId="23785" xr:uid="{00000000-0005-0000-0000-0000E05C0000}"/>
    <cellStyle name="Normal 3 18 13 13" xfId="23786" xr:uid="{00000000-0005-0000-0000-0000E15C0000}"/>
    <cellStyle name="Normal 3 18 13 13 2" xfId="23787" xr:uid="{00000000-0005-0000-0000-0000E25C0000}"/>
    <cellStyle name="Normal 3 18 13 13 3" xfId="23788" xr:uid="{00000000-0005-0000-0000-0000E35C0000}"/>
    <cellStyle name="Normal 3 18 13 14" xfId="23789" xr:uid="{00000000-0005-0000-0000-0000E45C0000}"/>
    <cellStyle name="Normal 3 18 13 14 2" xfId="23790" xr:uid="{00000000-0005-0000-0000-0000E55C0000}"/>
    <cellStyle name="Normal 3 18 13 14 3" xfId="23791" xr:uid="{00000000-0005-0000-0000-0000E65C0000}"/>
    <cellStyle name="Normal 3 18 13 15" xfId="23792" xr:uid="{00000000-0005-0000-0000-0000E75C0000}"/>
    <cellStyle name="Normal 3 18 13 16" xfId="23793" xr:uid="{00000000-0005-0000-0000-0000E85C0000}"/>
    <cellStyle name="Normal 3 18 13 2" xfId="23794" xr:uid="{00000000-0005-0000-0000-0000E95C0000}"/>
    <cellStyle name="Normal 3 18 13 2 2" xfId="23795" xr:uid="{00000000-0005-0000-0000-0000EA5C0000}"/>
    <cellStyle name="Normal 3 18 13 2 3" xfId="23796" xr:uid="{00000000-0005-0000-0000-0000EB5C0000}"/>
    <cellStyle name="Normal 3 18 13 3" xfId="23797" xr:uid="{00000000-0005-0000-0000-0000EC5C0000}"/>
    <cellStyle name="Normal 3 18 13 3 2" xfId="23798" xr:uid="{00000000-0005-0000-0000-0000ED5C0000}"/>
    <cellStyle name="Normal 3 18 13 3 3" xfId="23799" xr:uid="{00000000-0005-0000-0000-0000EE5C0000}"/>
    <cellStyle name="Normal 3 18 13 4" xfId="23800" xr:uid="{00000000-0005-0000-0000-0000EF5C0000}"/>
    <cellStyle name="Normal 3 18 13 4 2" xfId="23801" xr:uid="{00000000-0005-0000-0000-0000F05C0000}"/>
    <cellStyle name="Normal 3 18 13 4 3" xfId="23802" xr:uid="{00000000-0005-0000-0000-0000F15C0000}"/>
    <cellStyle name="Normal 3 18 13 5" xfId="23803" xr:uid="{00000000-0005-0000-0000-0000F25C0000}"/>
    <cellStyle name="Normal 3 18 13 5 2" xfId="23804" xr:uid="{00000000-0005-0000-0000-0000F35C0000}"/>
    <cellStyle name="Normal 3 18 13 5 3" xfId="23805" xr:uid="{00000000-0005-0000-0000-0000F45C0000}"/>
    <cellStyle name="Normal 3 18 13 6" xfId="23806" xr:uid="{00000000-0005-0000-0000-0000F55C0000}"/>
    <cellStyle name="Normal 3 18 13 6 2" xfId="23807" xr:uid="{00000000-0005-0000-0000-0000F65C0000}"/>
    <cellStyle name="Normal 3 18 13 6 3" xfId="23808" xr:uid="{00000000-0005-0000-0000-0000F75C0000}"/>
    <cellStyle name="Normal 3 18 13 7" xfId="23809" xr:uid="{00000000-0005-0000-0000-0000F85C0000}"/>
    <cellStyle name="Normal 3 18 13 7 2" xfId="23810" xr:uid="{00000000-0005-0000-0000-0000F95C0000}"/>
    <cellStyle name="Normal 3 18 13 7 3" xfId="23811" xr:uid="{00000000-0005-0000-0000-0000FA5C0000}"/>
    <cellStyle name="Normal 3 18 13 8" xfId="23812" xr:uid="{00000000-0005-0000-0000-0000FB5C0000}"/>
    <cellStyle name="Normal 3 18 13 8 2" xfId="23813" xr:uid="{00000000-0005-0000-0000-0000FC5C0000}"/>
    <cellStyle name="Normal 3 18 13 8 3" xfId="23814" xr:uid="{00000000-0005-0000-0000-0000FD5C0000}"/>
    <cellStyle name="Normal 3 18 13 9" xfId="23815" xr:uid="{00000000-0005-0000-0000-0000FE5C0000}"/>
    <cellStyle name="Normal 3 18 13 9 2" xfId="23816" xr:uid="{00000000-0005-0000-0000-0000FF5C0000}"/>
    <cellStyle name="Normal 3 18 13 9 3" xfId="23817" xr:uid="{00000000-0005-0000-0000-0000005D0000}"/>
    <cellStyle name="Normal 3 18 14" xfId="23818" xr:uid="{00000000-0005-0000-0000-0000015D0000}"/>
    <cellStyle name="Normal 3 18 14 10" xfId="23819" xr:uid="{00000000-0005-0000-0000-0000025D0000}"/>
    <cellStyle name="Normal 3 18 14 10 2" xfId="23820" xr:uid="{00000000-0005-0000-0000-0000035D0000}"/>
    <cellStyle name="Normal 3 18 14 10 3" xfId="23821" xr:uid="{00000000-0005-0000-0000-0000045D0000}"/>
    <cellStyle name="Normal 3 18 14 11" xfId="23822" xr:uid="{00000000-0005-0000-0000-0000055D0000}"/>
    <cellStyle name="Normal 3 18 14 11 2" xfId="23823" xr:uid="{00000000-0005-0000-0000-0000065D0000}"/>
    <cellStyle name="Normal 3 18 14 11 3" xfId="23824" xr:uid="{00000000-0005-0000-0000-0000075D0000}"/>
    <cellStyle name="Normal 3 18 14 12" xfId="23825" xr:uid="{00000000-0005-0000-0000-0000085D0000}"/>
    <cellStyle name="Normal 3 18 14 12 2" xfId="23826" xr:uid="{00000000-0005-0000-0000-0000095D0000}"/>
    <cellStyle name="Normal 3 18 14 12 3" xfId="23827" xr:uid="{00000000-0005-0000-0000-00000A5D0000}"/>
    <cellStyle name="Normal 3 18 14 13" xfId="23828" xr:uid="{00000000-0005-0000-0000-00000B5D0000}"/>
    <cellStyle name="Normal 3 18 14 13 2" xfId="23829" xr:uid="{00000000-0005-0000-0000-00000C5D0000}"/>
    <cellStyle name="Normal 3 18 14 13 3" xfId="23830" xr:uid="{00000000-0005-0000-0000-00000D5D0000}"/>
    <cellStyle name="Normal 3 18 14 14" xfId="23831" xr:uid="{00000000-0005-0000-0000-00000E5D0000}"/>
    <cellStyle name="Normal 3 18 14 14 2" xfId="23832" xr:uid="{00000000-0005-0000-0000-00000F5D0000}"/>
    <cellStyle name="Normal 3 18 14 14 3" xfId="23833" xr:uid="{00000000-0005-0000-0000-0000105D0000}"/>
    <cellStyle name="Normal 3 18 14 15" xfId="23834" xr:uid="{00000000-0005-0000-0000-0000115D0000}"/>
    <cellStyle name="Normal 3 18 14 16" xfId="23835" xr:uid="{00000000-0005-0000-0000-0000125D0000}"/>
    <cellStyle name="Normal 3 18 14 2" xfId="23836" xr:uid="{00000000-0005-0000-0000-0000135D0000}"/>
    <cellStyle name="Normal 3 18 14 2 2" xfId="23837" xr:uid="{00000000-0005-0000-0000-0000145D0000}"/>
    <cellStyle name="Normal 3 18 14 2 3" xfId="23838" xr:uid="{00000000-0005-0000-0000-0000155D0000}"/>
    <cellStyle name="Normal 3 18 14 3" xfId="23839" xr:uid="{00000000-0005-0000-0000-0000165D0000}"/>
    <cellStyle name="Normal 3 18 14 3 2" xfId="23840" xr:uid="{00000000-0005-0000-0000-0000175D0000}"/>
    <cellStyle name="Normal 3 18 14 3 3" xfId="23841" xr:uid="{00000000-0005-0000-0000-0000185D0000}"/>
    <cellStyle name="Normal 3 18 14 4" xfId="23842" xr:uid="{00000000-0005-0000-0000-0000195D0000}"/>
    <cellStyle name="Normal 3 18 14 4 2" xfId="23843" xr:uid="{00000000-0005-0000-0000-00001A5D0000}"/>
    <cellStyle name="Normal 3 18 14 4 3" xfId="23844" xr:uid="{00000000-0005-0000-0000-00001B5D0000}"/>
    <cellStyle name="Normal 3 18 14 5" xfId="23845" xr:uid="{00000000-0005-0000-0000-00001C5D0000}"/>
    <cellStyle name="Normal 3 18 14 5 2" xfId="23846" xr:uid="{00000000-0005-0000-0000-00001D5D0000}"/>
    <cellStyle name="Normal 3 18 14 5 3" xfId="23847" xr:uid="{00000000-0005-0000-0000-00001E5D0000}"/>
    <cellStyle name="Normal 3 18 14 6" xfId="23848" xr:uid="{00000000-0005-0000-0000-00001F5D0000}"/>
    <cellStyle name="Normal 3 18 14 6 2" xfId="23849" xr:uid="{00000000-0005-0000-0000-0000205D0000}"/>
    <cellStyle name="Normal 3 18 14 6 3" xfId="23850" xr:uid="{00000000-0005-0000-0000-0000215D0000}"/>
    <cellStyle name="Normal 3 18 14 7" xfId="23851" xr:uid="{00000000-0005-0000-0000-0000225D0000}"/>
    <cellStyle name="Normal 3 18 14 7 2" xfId="23852" xr:uid="{00000000-0005-0000-0000-0000235D0000}"/>
    <cellStyle name="Normal 3 18 14 7 3" xfId="23853" xr:uid="{00000000-0005-0000-0000-0000245D0000}"/>
    <cellStyle name="Normal 3 18 14 8" xfId="23854" xr:uid="{00000000-0005-0000-0000-0000255D0000}"/>
    <cellStyle name="Normal 3 18 14 8 2" xfId="23855" xr:uid="{00000000-0005-0000-0000-0000265D0000}"/>
    <cellStyle name="Normal 3 18 14 8 3" xfId="23856" xr:uid="{00000000-0005-0000-0000-0000275D0000}"/>
    <cellStyle name="Normal 3 18 14 9" xfId="23857" xr:uid="{00000000-0005-0000-0000-0000285D0000}"/>
    <cellStyle name="Normal 3 18 14 9 2" xfId="23858" xr:uid="{00000000-0005-0000-0000-0000295D0000}"/>
    <cellStyle name="Normal 3 18 14 9 3" xfId="23859" xr:uid="{00000000-0005-0000-0000-00002A5D0000}"/>
    <cellStyle name="Normal 3 18 15" xfId="23860" xr:uid="{00000000-0005-0000-0000-00002B5D0000}"/>
    <cellStyle name="Normal 3 18 15 2" xfId="23861" xr:uid="{00000000-0005-0000-0000-00002C5D0000}"/>
    <cellStyle name="Normal 3 18 15 3" xfId="23862" xr:uid="{00000000-0005-0000-0000-00002D5D0000}"/>
    <cellStyle name="Normal 3 18 16" xfId="23863" xr:uid="{00000000-0005-0000-0000-00002E5D0000}"/>
    <cellStyle name="Normal 3 18 16 2" xfId="23864" xr:uid="{00000000-0005-0000-0000-00002F5D0000}"/>
    <cellStyle name="Normal 3 18 16 3" xfId="23865" xr:uid="{00000000-0005-0000-0000-0000305D0000}"/>
    <cellStyle name="Normal 3 18 17" xfId="23866" xr:uid="{00000000-0005-0000-0000-0000315D0000}"/>
    <cellStyle name="Normal 3 18 17 2" xfId="23867" xr:uid="{00000000-0005-0000-0000-0000325D0000}"/>
    <cellStyle name="Normal 3 18 17 3" xfId="23868" xr:uid="{00000000-0005-0000-0000-0000335D0000}"/>
    <cellStyle name="Normal 3 18 18" xfId="23869" xr:uid="{00000000-0005-0000-0000-0000345D0000}"/>
    <cellStyle name="Normal 3 18 18 2" xfId="23870" xr:uid="{00000000-0005-0000-0000-0000355D0000}"/>
    <cellStyle name="Normal 3 18 18 3" xfId="23871" xr:uid="{00000000-0005-0000-0000-0000365D0000}"/>
    <cellStyle name="Normal 3 18 19" xfId="23872" xr:uid="{00000000-0005-0000-0000-0000375D0000}"/>
    <cellStyle name="Normal 3 18 19 2" xfId="23873" xr:uid="{00000000-0005-0000-0000-0000385D0000}"/>
    <cellStyle name="Normal 3 18 19 3" xfId="23874" xr:uid="{00000000-0005-0000-0000-0000395D0000}"/>
    <cellStyle name="Normal 3 18 2" xfId="23875" xr:uid="{00000000-0005-0000-0000-00003A5D0000}"/>
    <cellStyle name="Normal 3 18 20" xfId="23876" xr:uid="{00000000-0005-0000-0000-00003B5D0000}"/>
    <cellStyle name="Normal 3 18 20 2" xfId="23877" xr:uid="{00000000-0005-0000-0000-00003C5D0000}"/>
    <cellStyle name="Normal 3 18 20 3" xfId="23878" xr:uid="{00000000-0005-0000-0000-00003D5D0000}"/>
    <cellStyle name="Normal 3 18 21" xfId="23879" xr:uid="{00000000-0005-0000-0000-00003E5D0000}"/>
    <cellStyle name="Normal 3 18 21 2" xfId="23880" xr:uid="{00000000-0005-0000-0000-00003F5D0000}"/>
    <cellStyle name="Normal 3 18 21 3" xfId="23881" xr:uid="{00000000-0005-0000-0000-0000405D0000}"/>
    <cellStyle name="Normal 3 18 22" xfId="23882" xr:uid="{00000000-0005-0000-0000-0000415D0000}"/>
    <cellStyle name="Normal 3 18 22 2" xfId="23883" xr:uid="{00000000-0005-0000-0000-0000425D0000}"/>
    <cellStyle name="Normal 3 18 22 3" xfId="23884" xr:uid="{00000000-0005-0000-0000-0000435D0000}"/>
    <cellStyle name="Normal 3 18 23" xfId="23885" xr:uid="{00000000-0005-0000-0000-0000445D0000}"/>
    <cellStyle name="Normal 3 18 23 2" xfId="23886" xr:uid="{00000000-0005-0000-0000-0000455D0000}"/>
    <cellStyle name="Normal 3 18 23 3" xfId="23887" xr:uid="{00000000-0005-0000-0000-0000465D0000}"/>
    <cellStyle name="Normal 3 18 24" xfId="23888" xr:uid="{00000000-0005-0000-0000-0000475D0000}"/>
    <cellStyle name="Normal 3 18 24 2" xfId="23889" xr:uid="{00000000-0005-0000-0000-0000485D0000}"/>
    <cellStyle name="Normal 3 18 24 3" xfId="23890" xr:uid="{00000000-0005-0000-0000-0000495D0000}"/>
    <cellStyle name="Normal 3 18 25" xfId="23891" xr:uid="{00000000-0005-0000-0000-00004A5D0000}"/>
    <cellStyle name="Normal 3 18 25 2" xfId="23892" xr:uid="{00000000-0005-0000-0000-00004B5D0000}"/>
    <cellStyle name="Normal 3 18 25 3" xfId="23893" xr:uid="{00000000-0005-0000-0000-00004C5D0000}"/>
    <cellStyle name="Normal 3 18 26" xfId="23894" xr:uid="{00000000-0005-0000-0000-00004D5D0000}"/>
    <cellStyle name="Normal 3 18 26 2" xfId="23895" xr:uid="{00000000-0005-0000-0000-00004E5D0000}"/>
    <cellStyle name="Normal 3 18 26 3" xfId="23896" xr:uid="{00000000-0005-0000-0000-00004F5D0000}"/>
    <cellStyle name="Normal 3 18 27" xfId="23897" xr:uid="{00000000-0005-0000-0000-0000505D0000}"/>
    <cellStyle name="Normal 3 18 27 2" xfId="23898" xr:uid="{00000000-0005-0000-0000-0000515D0000}"/>
    <cellStyle name="Normal 3 18 27 3" xfId="23899" xr:uid="{00000000-0005-0000-0000-0000525D0000}"/>
    <cellStyle name="Normal 3 18 28" xfId="23900" xr:uid="{00000000-0005-0000-0000-0000535D0000}"/>
    <cellStyle name="Normal 3 18 29" xfId="23901" xr:uid="{00000000-0005-0000-0000-0000545D0000}"/>
    <cellStyle name="Normal 3 18 3" xfId="23902" xr:uid="{00000000-0005-0000-0000-0000555D0000}"/>
    <cellStyle name="Normal 3 18 4" xfId="23903" xr:uid="{00000000-0005-0000-0000-0000565D0000}"/>
    <cellStyle name="Normal 3 18 5" xfId="23904" xr:uid="{00000000-0005-0000-0000-0000575D0000}"/>
    <cellStyle name="Normal 3 18 6" xfId="23905" xr:uid="{00000000-0005-0000-0000-0000585D0000}"/>
    <cellStyle name="Normal 3 18 6 10" xfId="23906" xr:uid="{00000000-0005-0000-0000-0000595D0000}"/>
    <cellStyle name="Normal 3 18 6 10 2" xfId="23907" xr:uid="{00000000-0005-0000-0000-00005A5D0000}"/>
    <cellStyle name="Normal 3 18 6 10 3" xfId="23908" xr:uid="{00000000-0005-0000-0000-00005B5D0000}"/>
    <cellStyle name="Normal 3 18 6 11" xfId="23909" xr:uid="{00000000-0005-0000-0000-00005C5D0000}"/>
    <cellStyle name="Normal 3 18 6 11 2" xfId="23910" xr:uid="{00000000-0005-0000-0000-00005D5D0000}"/>
    <cellStyle name="Normal 3 18 6 11 3" xfId="23911" xr:uid="{00000000-0005-0000-0000-00005E5D0000}"/>
    <cellStyle name="Normal 3 18 6 12" xfId="23912" xr:uid="{00000000-0005-0000-0000-00005F5D0000}"/>
    <cellStyle name="Normal 3 18 6 12 2" xfId="23913" xr:uid="{00000000-0005-0000-0000-0000605D0000}"/>
    <cellStyle name="Normal 3 18 6 12 3" xfId="23914" xr:uid="{00000000-0005-0000-0000-0000615D0000}"/>
    <cellStyle name="Normal 3 18 6 13" xfId="23915" xr:uid="{00000000-0005-0000-0000-0000625D0000}"/>
    <cellStyle name="Normal 3 18 6 13 2" xfId="23916" xr:uid="{00000000-0005-0000-0000-0000635D0000}"/>
    <cellStyle name="Normal 3 18 6 13 3" xfId="23917" xr:uid="{00000000-0005-0000-0000-0000645D0000}"/>
    <cellStyle name="Normal 3 18 6 14" xfId="23918" xr:uid="{00000000-0005-0000-0000-0000655D0000}"/>
    <cellStyle name="Normal 3 18 6 14 2" xfId="23919" xr:uid="{00000000-0005-0000-0000-0000665D0000}"/>
    <cellStyle name="Normal 3 18 6 14 3" xfId="23920" xr:uid="{00000000-0005-0000-0000-0000675D0000}"/>
    <cellStyle name="Normal 3 18 6 15" xfId="23921" xr:uid="{00000000-0005-0000-0000-0000685D0000}"/>
    <cellStyle name="Normal 3 18 6 15 2" xfId="23922" xr:uid="{00000000-0005-0000-0000-0000695D0000}"/>
    <cellStyle name="Normal 3 18 6 15 3" xfId="23923" xr:uid="{00000000-0005-0000-0000-00006A5D0000}"/>
    <cellStyle name="Normal 3 18 6 16" xfId="23924" xr:uid="{00000000-0005-0000-0000-00006B5D0000}"/>
    <cellStyle name="Normal 3 18 6 17" xfId="23925" xr:uid="{00000000-0005-0000-0000-00006C5D0000}"/>
    <cellStyle name="Normal 3 18 6 2" xfId="23926" xr:uid="{00000000-0005-0000-0000-00006D5D0000}"/>
    <cellStyle name="Normal 3 18 6 2 10" xfId="23927" xr:uid="{00000000-0005-0000-0000-00006E5D0000}"/>
    <cellStyle name="Normal 3 18 6 2 10 2" xfId="23928" xr:uid="{00000000-0005-0000-0000-00006F5D0000}"/>
    <cellStyle name="Normal 3 18 6 2 10 3" xfId="23929" xr:uid="{00000000-0005-0000-0000-0000705D0000}"/>
    <cellStyle name="Normal 3 18 6 2 11" xfId="23930" xr:uid="{00000000-0005-0000-0000-0000715D0000}"/>
    <cellStyle name="Normal 3 18 6 2 11 2" xfId="23931" xr:uid="{00000000-0005-0000-0000-0000725D0000}"/>
    <cellStyle name="Normal 3 18 6 2 11 3" xfId="23932" xr:uid="{00000000-0005-0000-0000-0000735D0000}"/>
    <cellStyle name="Normal 3 18 6 2 12" xfId="23933" xr:uid="{00000000-0005-0000-0000-0000745D0000}"/>
    <cellStyle name="Normal 3 18 6 2 12 2" xfId="23934" xr:uid="{00000000-0005-0000-0000-0000755D0000}"/>
    <cellStyle name="Normal 3 18 6 2 12 3" xfId="23935" xr:uid="{00000000-0005-0000-0000-0000765D0000}"/>
    <cellStyle name="Normal 3 18 6 2 13" xfId="23936" xr:uid="{00000000-0005-0000-0000-0000775D0000}"/>
    <cellStyle name="Normal 3 18 6 2 13 2" xfId="23937" xr:uid="{00000000-0005-0000-0000-0000785D0000}"/>
    <cellStyle name="Normal 3 18 6 2 13 3" xfId="23938" xr:uid="{00000000-0005-0000-0000-0000795D0000}"/>
    <cellStyle name="Normal 3 18 6 2 14" xfId="23939" xr:uid="{00000000-0005-0000-0000-00007A5D0000}"/>
    <cellStyle name="Normal 3 18 6 2 14 2" xfId="23940" xr:uid="{00000000-0005-0000-0000-00007B5D0000}"/>
    <cellStyle name="Normal 3 18 6 2 14 3" xfId="23941" xr:uid="{00000000-0005-0000-0000-00007C5D0000}"/>
    <cellStyle name="Normal 3 18 6 2 15" xfId="23942" xr:uid="{00000000-0005-0000-0000-00007D5D0000}"/>
    <cellStyle name="Normal 3 18 6 2 16" xfId="23943" xr:uid="{00000000-0005-0000-0000-00007E5D0000}"/>
    <cellStyle name="Normal 3 18 6 2 2" xfId="23944" xr:uid="{00000000-0005-0000-0000-00007F5D0000}"/>
    <cellStyle name="Normal 3 18 6 2 2 2" xfId="23945" xr:uid="{00000000-0005-0000-0000-0000805D0000}"/>
    <cellStyle name="Normal 3 18 6 2 2 3" xfId="23946" xr:uid="{00000000-0005-0000-0000-0000815D0000}"/>
    <cellStyle name="Normal 3 18 6 2 3" xfId="23947" xr:uid="{00000000-0005-0000-0000-0000825D0000}"/>
    <cellStyle name="Normal 3 18 6 2 3 2" xfId="23948" xr:uid="{00000000-0005-0000-0000-0000835D0000}"/>
    <cellStyle name="Normal 3 18 6 2 3 3" xfId="23949" xr:uid="{00000000-0005-0000-0000-0000845D0000}"/>
    <cellStyle name="Normal 3 18 6 2 4" xfId="23950" xr:uid="{00000000-0005-0000-0000-0000855D0000}"/>
    <cellStyle name="Normal 3 18 6 2 4 2" xfId="23951" xr:uid="{00000000-0005-0000-0000-0000865D0000}"/>
    <cellStyle name="Normal 3 18 6 2 4 3" xfId="23952" xr:uid="{00000000-0005-0000-0000-0000875D0000}"/>
    <cellStyle name="Normal 3 18 6 2 5" xfId="23953" xr:uid="{00000000-0005-0000-0000-0000885D0000}"/>
    <cellStyle name="Normal 3 18 6 2 5 2" xfId="23954" xr:uid="{00000000-0005-0000-0000-0000895D0000}"/>
    <cellStyle name="Normal 3 18 6 2 5 3" xfId="23955" xr:uid="{00000000-0005-0000-0000-00008A5D0000}"/>
    <cellStyle name="Normal 3 18 6 2 6" xfId="23956" xr:uid="{00000000-0005-0000-0000-00008B5D0000}"/>
    <cellStyle name="Normal 3 18 6 2 6 2" xfId="23957" xr:uid="{00000000-0005-0000-0000-00008C5D0000}"/>
    <cellStyle name="Normal 3 18 6 2 6 3" xfId="23958" xr:uid="{00000000-0005-0000-0000-00008D5D0000}"/>
    <cellStyle name="Normal 3 18 6 2 7" xfId="23959" xr:uid="{00000000-0005-0000-0000-00008E5D0000}"/>
    <cellStyle name="Normal 3 18 6 2 7 2" xfId="23960" xr:uid="{00000000-0005-0000-0000-00008F5D0000}"/>
    <cellStyle name="Normal 3 18 6 2 7 3" xfId="23961" xr:uid="{00000000-0005-0000-0000-0000905D0000}"/>
    <cellStyle name="Normal 3 18 6 2 8" xfId="23962" xr:uid="{00000000-0005-0000-0000-0000915D0000}"/>
    <cellStyle name="Normal 3 18 6 2 8 2" xfId="23963" xr:uid="{00000000-0005-0000-0000-0000925D0000}"/>
    <cellStyle name="Normal 3 18 6 2 8 3" xfId="23964" xr:uid="{00000000-0005-0000-0000-0000935D0000}"/>
    <cellStyle name="Normal 3 18 6 2 9" xfId="23965" xr:uid="{00000000-0005-0000-0000-0000945D0000}"/>
    <cellStyle name="Normal 3 18 6 2 9 2" xfId="23966" xr:uid="{00000000-0005-0000-0000-0000955D0000}"/>
    <cellStyle name="Normal 3 18 6 2 9 3" xfId="23967" xr:uid="{00000000-0005-0000-0000-0000965D0000}"/>
    <cellStyle name="Normal 3 18 6 3" xfId="23968" xr:uid="{00000000-0005-0000-0000-0000975D0000}"/>
    <cellStyle name="Normal 3 18 6 3 2" xfId="23969" xr:uid="{00000000-0005-0000-0000-0000985D0000}"/>
    <cellStyle name="Normal 3 18 6 3 3" xfId="23970" xr:uid="{00000000-0005-0000-0000-0000995D0000}"/>
    <cellStyle name="Normal 3 18 6 4" xfId="23971" xr:uid="{00000000-0005-0000-0000-00009A5D0000}"/>
    <cellStyle name="Normal 3 18 6 4 2" xfId="23972" xr:uid="{00000000-0005-0000-0000-00009B5D0000}"/>
    <cellStyle name="Normal 3 18 6 4 3" xfId="23973" xr:uid="{00000000-0005-0000-0000-00009C5D0000}"/>
    <cellStyle name="Normal 3 18 6 5" xfId="23974" xr:uid="{00000000-0005-0000-0000-00009D5D0000}"/>
    <cellStyle name="Normal 3 18 6 5 2" xfId="23975" xr:uid="{00000000-0005-0000-0000-00009E5D0000}"/>
    <cellStyle name="Normal 3 18 6 5 3" xfId="23976" xr:uid="{00000000-0005-0000-0000-00009F5D0000}"/>
    <cellStyle name="Normal 3 18 6 6" xfId="23977" xr:uid="{00000000-0005-0000-0000-0000A05D0000}"/>
    <cellStyle name="Normal 3 18 6 6 2" xfId="23978" xr:uid="{00000000-0005-0000-0000-0000A15D0000}"/>
    <cellStyle name="Normal 3 18 6 6 3" xfId="23979" xr:uid="{00000000-0005-0000-0000-0000A25D0000}"/>
    <cellStyle name="Normal 3 18 6 7" xfId="23980" xr:uid="{00000000-0005-0000-0000-0000A35D0000}"/>
    <cellStyle name="Normal 3 18 6 7 2" xfId="23981" xr:uid="{00000000-0005-0000-0000-0000A45D0000}"/>
    <cellStyle name="Normal 3 18 6 7 3" xfId="23982" xr:uid="{00000000-0005-0000-0000-0000A55D0000}"/>
    <cellStyle name="Normal 3 18 6 8" xfId="23983" xr:uid="{00000000-0005-0000-0000-0000A65D0000}"/>
    <cellStyle name="Normal 3 18 6 8 2" xfId="23984" xr:uid="{00000000-0005-0000-0000-0000A75D0000}"/>
    <cellStyle name="Normal 3 18 6 8 3" xfId="23985" xr:uid="{00000000-0005-0000-0000-0000A85D0000}"/>
    <cellStyle name="Normal 3 18 6 9" xfId="23986" xr:uid="{00000000-0005-0000-0000-0000A95D0000}"/>
    <cellStyle name="Normal 3 18 6 9 2" xfId="23987" xr:uid="{00000000-0005-0000-0000-0000AA5D0000}"/>
    <cellStyle name="Normal 3 18 6 9 3" xfId="23988" xr:uid="{00000000-0005-0000-0000-0000AB5D0000}"/>
    <cellStyle name="Normal 3 18 7" xfId="23989" xr:uid="{00000000-0005-0000-0000-0000AC5D0000}"/>
    <cellStyle name="Normal 3 18 7 10" xfId="23990" xr:uid="{00000000-0005-0000-0000-0000AD5D0000}"/>
    <cellStyle name="Normal 3 18 7 10 2" xfId="23991" xr:uid="{00000000-0005-0000-0000-0000AE5D0000}"/>
    <cellStyle name="Normal 3 18 7 10 3" xfId="23992" xr:uid="{00000000-0005-0000-0000-0000AF5D0000}"/>
    <cellStyle name="Normal 3 18 7 11" xfId="23993" xr:uid="{00000000-0005-0000-0000-0000B05D0000}"/>
    <cellStyle name="Normal 3 18 7 11 2" xfId="23994" xr:uid="{00000000-0005-0000-0000-0000B15D0000}"/>
    <cellStyle name="Normal 3 18 7 11 3" xfId="23995" xr:uid="{00000000-0005-0000-0000-0000B25D0000}"/>
    <cellStyle name="Normal 3 18 7 12" xfId="23996" xr:uid="{00000000-0005-0000-0000-0000B35D0000}"/>
    <cellStyle name="Normal 3 18 7 12 2" xfId="23997" xr:uid="{00000000-0005-0000-0000-0000B45D0000}"/>
    <cellStyle name="Normal 3 18 7 12 3" xfId="23998" xr:uid="{00000000-0005-0000-0000-0000B55D0000}"/>
    <cellStyle name="Normal 3 18 7 13" xfId="23999" xr:uid="{00000000-0005-0000-0000-0000B65D0000}"/>
    <cellStyle name="Normal 3 18 7 13 2" xfId="24000" xr:uid="{00000000-0005-0000-0000-0000B75D0000}"/>
    <cellStyle name="Normal 3 18 7 13 3" xfId="24001" xr:uid="{00000000-0005-0000-0000-0000B85D0000}"/>
    <cellStyle name="Normal 3 18 7 14" xfId="24002" xr:uid="{00000000-0005-0000-0000-0000B95D0000}"/>
    <cellStyle name="Normal 3 18 7 14 2" xfId="24003" xr:uid="{00000000-0005-0000-0000-0000BA5D0000}"/>
    <cellStyle name="Normal 3 18 7 14 3" xfId="24004" xr:uid="{00000000-0005-0000-0000-0000BB5D0000}"/>
    <cellStyle name="Normal 3 18 7 15" xfId="24005" xr:uid="{00000000-0005-0000-0000-0000BC5D0000}"/>
    <cellStyle name="Normal 3 18 7 15 2" xfId="24006" xr:uid="{00000000-0005-0000-0000-0000BD5D0000}"/>
    <cellStyle name="Normal 3 18 7 15 3" xfId="24007" xr:uid="{00000000-0005-0000-0000-0000BE5D0000}"/>
    <cellStyle name="Normal 3 18 7 16" xfId="24008" xr:uid="{00000000-0005-0000-0000-0000BF5D0000}"/>
    <cellStyle name="Normal 3 18 7 17" xfId="24009" xr:uid="{00000000-0005-0000-0000-0000C05D0000}"/>
    <cellStyle name="Normal 3 18 7 2" xfId="24010" xr:uid="{00000000-0005-0000-0000-0000C15D0000}"/>
    <cellStyle name="Normal 3 18 7 2 10" xfId="24011" xr:uid="{00000000-0005-0000-0000-0000C25D0000}"/>
    <cellStyle name="Normal 3 18 7 2 10 2" xfId="24012" xr:uid="{00000000-0005-0000-0000-0000C35D0000}"/>
    <cellStyle name="Normal 3 18 7 2 10 3" xfId="24013" xr:uid="{00000000-0005-0000-0000-0000C45D0000}"/>
    <cellStyle name="Normal 3 18 7 2 11" xfId="24014" xr:uid="{00000000-0005-0000-0000-0000C55D0000}"/>
    <cellStyle name="Normal 3 18 7 2 11 2" xfId="24015" xr:uid="{00000000-0005-0000-0000-0000C65D0000}"/>
    <cellStyle name="Normal 3 18 7 2 11 3" xfId="24016" xr:uid="{00000000-0005-0000-0000-0000C75D0000}"/>
    <cellStyle name="Normal 3 18 7 2 12" xfId="24017" xr:uid="{00000000-0005-0000-0000-0000C85D0000}"/>
    <cellStyle name="Normal 3 18 7 2 12 2" xfId="24018" xr:uid="{00000000-0005-0000-0000-0000C95D0000}"/>
    <cellStyle name="Normal 3 18 7 2 12 3" xfId="24019" xr:uid="{00000000-0005-0000-0000-0000CA5D0000}"/>
    <cellStyle name="Normal 3 18 7 2 13" xfId="24020" xr:uid="{00000000-0005-0000-0000-0000CB5D0000}"/>
    <cellStyle name="Normal 3 18 7 2 13 2" xfId="24021" xr:uid="{00000000-0005-0000-0000-0000CC5D0000}"/>
    <cellStyle name="Normal 3 18 7 2 13 3" xfId="24022" xr:uid="{00000000-0005-0000-0000-0000CD5D0000}"/>
    <cellStyle name="Normal 3 18 7 2 14" xfId="24023" xr:uid="{00000000-0005-0000-0000-0000CE5D0000}"/>
    <cellStyle name="Normal 3 18 7 2 14 2" xfId="24024" xr:uid="{00000000-0005-0000-0000-0000CF5D0000}"/>
    <cellStyle name="Normal 3 18 7 2 14 3" xfId="24025" xr:uid="{00000000-0005-0000-0000-0000D05D0000}"/>
    <cellStyle name="Normal 3 18 7 2 15" xfId="24026" xr:uid="{00000000-0005-0000-0000-0000D15D0000}"/>
    <cellStyle name="Normal 3 18 7 2 16" xfId="24027" xr:uid="{00000000-0005-0000-0000-0000D25D0000}"/>
    <cellStyle name="Normal 3 18 7 2 2" xfId="24028" xr:uid="{00000000-0005-0000-0000-0000D35D0000}"/>
    <cellStyle name="Normal 3 18 7 2 2 2" xfId="24029" xr:uid="{00000000-0005-0000-0000-0000D45D0000}"/>
    <cellStyle name="Normal 3 18 7 2 2 3" xfId="24030" xr:uid="{00000000-0005-0000-0000-0000D55D0000}"/>
    <cellStyle name="Normal 3 18 7 2 3" xfId="24031" xr:uid="{00000000-0005-0000-0000-0000D65D0000}"/>
    <cellStyle name="Normal 3 18 7 2 3 2" xfId="24032" xr:uid="{00000000-0005-0000-0000-0000D75D0000}"/>
    <cellStyle name="Normal 3 18 7 2 3 3" xfId="24033" xr:uid="{00000000-0005-0000-0000-0000D85D0000}"/>
    <cellStyle name="Normal 3 18 7 2 4" xfId="24034" xr:uid="{00000000-0005-0000-0000-0000D95D0000}"/>
    <cellStyle name="Normal 3 18 7 2 4 2" xfId="24035" xr:uid="{00000000-0005-0000-0000-0000DA5D0000}"/>
    <cellStyle name="Normal 3 18 7 2 4 3" xfId="24036" xr:uid="{00000000-0005-0000-0000-0000DB5D0000}"/>
    <cellStyle name="Normal 3 18 7 2 5" xfId="24037" xr:uid="{00000000-0005-0000-0000-0000DC5D0000}"/>
    <cellStyle name="Normal 3 18 7 2 5 2" xfId="24038" xr:uid="{00000000-0005-0000-0000-0000DD5D0000}"/>
    <cellStyle name="Normal 3 18 7 2 5 3" xfId="24039" xr:uid="{00000000-0005-0000-0000-0000DE5D0000}"/>
    <cellStyle name="Normal 3 18 7 2 6" xfId="24040" xr:uid="{00000000-0005-0000-0000-0000DF5D0000}"/>
    <cellStyle name="Normal 3 18 7 2 6 2" xfId="24041" xr:uid="{00000000-0005-0000-0000-0000E05D0000}"/>
    <cellStyle name="Normal 3 18 7 2 6 3" xfId="24042" xr:uid="{00000000-0005-0000-0000-0000E15D0000}"/>
    <cellStyle name="Normal 3 18 7 2 7" xfId="24043" xr:uid="{00000000-0005-0000-0000-0000E25D0000}"/>
    <cellStyle name="Normal 3 18 7 2 7 2" xfId="24044" xr:uid="{00000000-0005-0000-0000-0000E35D0000}"/>
    <cellStyle name="Normal 3 18 7 2 7 3" xfId="24045" xr:uid="{00000000-0005-0000-0000-0000E45D0000}"/>
    <cellStyle name="Normal 3 18 7 2 8" xfId="24046" xr:uid="{00000000-0005-0000-0000-0000E55D0000}"/>
    <cellStyle name="Normal 3 18 7 2 8 2" xfId="24047" xr:uid="{00000000-0005-0000-0000-0000E65D0000}"/>
    <cellStyle name="Normal 3 18 7 2 8 3" xfId="24048" xr:uid="{00000000-0005-0000-0000-0000E75D0000}"/>
    <cellStyle name="Normal 3 18 7 2 9" xfId="24049" xr:uid="{00000000-0005-0000-0000-0000E85D0000}"/>
    <cellStyle name="Normal 3 18 7 2 9 2" xfId="24050" xr:uid="{00000000-0005-0000-0000-0000E95D0000}"/>
    <cellStyle name="Normal 3 18 7 2 9 3" xfId="24051" xr:uid="{00000000-0005-0000-0000-0000EA5D0000}"/>
    <cellStyle name="Normal 3 18 7 3" xfId="24052" xr:uid="{00000000-0005-0000-0000-0000EB5D0000}"/>
    <cellStyle name="Normal 3 18 7 3 2" xfId="24053" xr:uid="{00000000-0005-0000-0000-0000EC5D0000}"/>
    <cellStyle name="Normal 3 18 7 3 3" xfId="24054" xr:uid="{00000000-0005-0000-0000-0000ED5D0000}"/>
    <cellStyle name="Normal 3 18 7 4" xfId="24055" xr:uid="{00000000-0005-0000-0000-0000EE5D0000}"/>
    <cellStyle name="Normal 3 18 7 4 2" xfId="24056" xr:uid="{00000000-0005-0000-0000-0000EF5D0000}"/>
    <cellStyle name="Normal 3 18 7 4 3" xfId="24057" xr:uid="{00000000-0005-0000-0000-0000F05D0000}"/>
    <cellStyle name="Normal 3 18 7 5" xfId="24058" xr:uid="{00000000-0005-0000-0000-0000F15D0000}"/>
    <cellStyle name="Normal 3 18 7 5 2" xfId="24059" xr:uid="{00000000-0005-0000-0000-0000F25D0000}"/>
    <cellStyle name="Normal 3 18 7 5 3" xfId="24060" xr:uid="{00000000-0005-0000-0000-0000F35D0000}"/>
    <cellStyle name="Normal 3 18 7 6" xfId="24061" xr:uid="{00000000-0005-0000-0000-0000F45D0000}"/>
    <cellStyle name="Normal 3 18 7 6 2" xfId="24062" xr:uid="{00000000-0005-0000-0000-0000F55D0000}"/>
    <cellStyle name="Normal 3 18 7 6 3" xfId="24063" xr:uid="{00000000-0005-0000-0000-0000F65D0000}"/>
    <cellStyle name="Normal 3 18 7 7" xfId="24064" xr:uid="{00000000-0005-0000-0000-0000F75D0000}"/>
    <cellStyle name="Normal 3 18 7 7 2" xfId="24065" xr:uid="{00000000-0005-0000-0000-0000F85D0000}"/>
    <cellStyle name="Normal 3 18 7 7 3" xfId="24066" xr:uid="{00000000-0005-0000-0000-0000F95D0000}"/>
    <cellStyle name="Normal 3 18 7 8" xfId="24067" xr:uid="{00000000-0005-0000-0000-0000FA5D0000}"/>
    <cellStyle name="Normal 3 18 7 8 2" xfId="24068" xr:uid="{00000000-0005-0000-0000-0000FB5D0000}"/>
    <cellStyle name="Normal 3 18 7 8 3" xfId="24069" xr:uid="{00000000-0005-0000-0000-0000FC5D0000}"/>
    <cellStyle name="Normal 3 18 7 9" xfId="24070" xr:uid="{00000000-0005-0000-0000-0000FD5D0000}"/>
    <cellStyle name="Normal 3 18 7 9 2" xfId="24071" xr:uid="{00000000-0005-0000-0000-0000FE5D0000}"/>
    <cellStyle name="Normal 3 18 7 9 3" xfId="24072" xr:uid="{00000000-0005-0000-0000-0000FF5D0000}"/>
    <cellStyle name="Normal 3 18 8" xfId="24073" xr:uid="{00000000-0005-0000-0000-0000005E0000}"/>
    <cellStyle name="Normal 3 18 8 10" xfId="24074" xr:uid="{00000000-0005-0000-0000-0000015E0000}"/>
    <cellStyle name="Normal 3 18 8 10 2" xfId="24075" xr:uid="{00000000-0005-0000-0000-0000025E0000}"/>
    <cellStyle name="Normal 3 18 8 10 3" xfId="24076" xr:uid="{00000000-0005-0000-0000-0000035E0000}"/>
    <cellStyle name="Normal 3 18 8 11" xfId="24077" xr:uid="{00000000-0005-0000-0000-0000045E0000}"/>
    <cellStyle name="Normal 3 18 8 11 2" xfId="24078" xr:uid="{00000000-0005-0000-0000-0000055E0000}"/>
    <cellStyle name="Normal 3 18 8 11 3" xfId="24079" xr:uid="{00000000-0005-0000-0000-0000065E0000}"/>
    <cellStyle name="Normal 3 18 8 12" xfId="24080" xr:uid="{00000000-0005-0000-0000-0000075E0000}"/>
    <cellStyle name="Normal 3 18 8 12 2" xfId="24081" xr:uid="{00000000-0005-0000-0000-0000085E0000}"/>
    <cellStyle name="Normal 3 18 8 12 3" xfId="24082" xr:uid="{00000000-0005-0000-0000-0000095E0000}"/>
    <cellStyle name="Normal 3 18 8 13" xfId="24083" xr:uid="{00000000-0005-0000-0000-00000A5E0000}"/>
    <cellStyle name="Normal 3 18 8 13 2" xfId="24084" xr:uid="{00000000-0005-0000-0000-00000B5E0000}"/>
    <cellStyle name="Normal 3 18 8 13 3" xfId="24085" xr:uid="{00000000-0005-0000-0000-00000C5E0000}"/>
    <cellStyle name="Normal 3 18 8 14" xfId="24086" xr:uid="{00000000-0005-0000-0000-00000D5E0000}"/>
    <cellStyle name="Normal 3 18 8 14 2" xfId="24087" xr:uid="{00000000-0005-0000-0000-00000E5E0000}"/>
    <cellStyle name="Normal 3 18 8 14 3" xfId="24088" xr:uid="{00000000-0005-0000-0000-00000F5E0000}"/>
    <cellStyle name="Normal 3 18 8 15" xfId="24089" xr:uid="{00000000-0005-0000-0000-0000105E0000}"/>
    <cellStyle name="Normal 3 18 8 15 2" xfId="24090" xr:uid="{00000000-0005-0000-0000-0000115E0000}"/>
    <cellStyle name="Normal 3 18 8 15 3" xfId="24091" xr:uid="{00000000-0005-0000-0000-0000125E0000}"/>
    <cellStyle name="Normal 3 18 8 16" xfId="24092" xr:uid="{00000000-0005-0000-0000-0000135E0000}"/>
    <cellStyle name="Normal 3 18 8 17" xfId="24093" xr:uid="{00000000-0005-0000-0000-0000145E0000}"/>
    <cellStyle name="Normal 3 18 8 2" xfId="24094" xr:uid="{00000000-0005-0000-0000-0000155E0000}"/>
    <cellStyle name="Normal 3 18 8 2 10" xfId="24095" xr:uid="{00000000-0005-0000-0000-0000165E0000}"/>
    <cellStyle name="Normal 3 18 8 2 10 2" xfId="24096" xr:uid="{00000000-0005-0000-0000-0000175E0000}"/>
    <cellStyle name="Normal 3 18 8 2 10 3" xfId="24097" xr:uid="{00000000-0005-0000-0000-0000185E0000}"/>
    <cellStyle name="Normal 3 18 8 2 11" xfId="24098" xr:uid="{00000000-0005-0000-0000-0000195E0000}"/>
    <cellStyle name="Normal 3 18 8 2 11 2" xfId="24099" xr:uid="{00000000-0005-0000-0000-00001A5E0000}"/>
    <cellStyle name="Normal 3 18 8 2 11 3" xfId="24100" xr:uid="{00000000-0005-0000-0000-00001B5E0000}"/>
    <cellStyle name="Normal 3 18 8 2 12" xfId="24101" xr:uid="{00000000-0005-0000-0000-00001C5E0000}"/>
    <cellStyle name="Normal 3 18 8 2 12 2" xfId="24102" xr:uid="{00000000-0005-0000-0000-00001D5E0000}"/>
    <cellStyle name="Normal 3 18 8 2 12 3" xfId="24103" xr:uid="{00000000-0005-0000-0000-00001E5E0000}"/>
    <cellStyle name="Normal 3 18 8 2 13" xfId="24104" xr:uid="{00000000-0005-0000-0000-00001F5E0000}"/>
    <cellStyle name="Normal 3 18 8 2 13 2" xfId="24105" xr:uid="{00000000-0005-0000-0000-0000205E0000}"/>
    <cellStyle name="Normal 3 18 8 2 13 3" xfId="24106" xr:uid="{00000000-0005-0000-0000-0000215E0000}"/>
    <cellStyle name="Normal 3 18 8 2 14" xfId="24107" xr:uid="{00000000-0005-0000-0000-0000225E0000}"/>
    <cellStyle name="Normal 3 18 8 2 14 2" xfId="24108" xr:uid="{00000000-0005-0000-0000-0000235E0000}"/>
    <cellStyle name="Normal 3 18 8 2 14 3" xfId="24109" xr:uid="{00000000-0005-0000-0000-0000245E0000}"/>
    <cellStyle name="Normal 3 18 8 2 15" xfId="24110" xr:uid="{00000000-0005-0000-0000-0000255E0000}"/>
    <cellStyle name="Normal 3 18 8 2 16" xfId="24111" xr:uid="{00000000-0005-0000-0000-0000265E0000}"/>
    <cellStyle name="Normal 3 18 8 2 2" xfId="24112" xr:uid="{00000000-0005-0000-0000-0000275E0000}"/>
    <cellStyle name="Normal 3 18 8 2 2 2" xfId="24113" xr:uid="{00000000-0005-0000-0000-0000285E0000}"/>
    <cellStyle name="Normal 3 18 8 2 2 3" xfId="24114" xr:uid="{00000000-0005-0000-0000-0000295E0000}"/>
    <cellStyle name="Normal 3 18 8 2 3" xfId="24115" xr:uid="{00000000-0005-0000-0000-00002A5E0000}"/>
    <cellStyle name="Normal 3 18 8 2 3 2" xfId="24116" xr:uid="{00000000-0005-0000-0000-00002B5E0000}"/>
    <cellStyle name="Normal 3 18 8 2 3 3" xfId="24117" xr:uid="{00000000-0005-0000-0000-00002C5E0000}"/>
    <cellStyle name="Normal 3 18 8 2 4" xfId="24118" xr:uid="{00000000-0005-0000-0000-00002D5E0000}"/>
    <cellStyle name="Normal 3 18 8 2 4 2" xfId="24119" xr:uid="{00000000-0005-0000-0000-00002E5E0000}"/>
    <cellStyle name="Normal 3 18 8 2 4 3" xfId="24120" xr:uid="{00000000-0005-0000-0000-00002F5E0000}"/>
    <cellStyle name="Normal 3 18 8 2 5" xfId="24121" xr:uid="{00000000-0005-0000-0000-0000305E0000}"/>
    <cellStyle name="Normal 3 18 8 2 5 2" xfId="24122" xr:uid="{00000000-0005-0000-0000-0000315E0000}"/>
    <cellStyle name="Normal 3 18 8 2 5 3" xfId="24123" xr:uid="{00000000-0005-0000-0000-0000325E0000}"/>
    <cellStyle name="Normal 3 18 8 2 6" xfId="24124" xr:uid="{00000000-0005-0000-0000-0000335E0000}"/>
    <cellStyle name="Normal 3 18 8 2 6 2" xfId="24125" xr:uid="{00000000-0005-0000-0000-0000345E0000}"/>
    <cellStyle name="Normal 3 18 8 2 6 3" xfId="24126" xr:uid="{00000000-0005-0000-0000-0000355E0000}"/>
    <cellStyle name="Normal 3 18 8 2 7" xfId="24127" xr:uid="{00000000-0005-0000-0000-0000365E0000}"/>
    <cellStyle name="Normal 3 18 8 2 7 2" xfId="24128" xr:uid="{00000000-0005-0000-0000-0000375E0000}"/>
    <cellStyle name="Normal 3 18 8 2 7 3" xfId="24129" xr:uid="{00000000-0005-0000-0000-0000385E0000}"/>
    <cellStyle name="Normal 3 18 8 2 8" xfId="24130" xr:uid="{00000000-0005-0000-0000-0000395E0000}"/>
    <cellStyle name="Normal 3 18 8 2 8 2" xfId="24131" xr:uid="{00000000-0005-0000-0000-00003A5E0000}"/>
    <cellStyle name="Normal 3 18 8 2 8 3" xfId="24132" xr:uid="{00000000-0005-0000-0000-00003B5E0000}"/>
    <cellStyle name="Normal 3 18 8 2 9" xfId="24133" xr:uid="{00000000-0005-0000-0000-00003C5E0000}"/>
    <cellStyle name="Normal 3 18 8 2 9 2" xfId="24134" xr:uid="{00000000-0005-0000-0000-00003D5E0000}"/>
    <cellStyle name="Normal 3 18 8 2 9 3" xfId="24135" xr:uid="{00000000-0005-0000-0000-00003E5E0000}"/>
    <cellStyle name="Normal 3 18 8 3" xfId="24136" xr:uid="{00000000-0005-0000-0000-00003F5E0000}"/>
    <cellStyle name="Normal 3 18 8 3 2" xfId="24137" xr:uid="{00000000-0005-0000-0000-0000405E0000}"/>
    <cellStyle name="Normal 3 18 8 3 3" xfId="24138" xr:uid="{00000000-0005-0000-0000-0000415E0000}"/>
    <cellStyle name="Normal 3 18 8 4" xfId="24139" xr:uid="{00000000-0005-0000-0000-0000425E0000}"/>
    <cellStyle name="Normal 3 18 8 4 2" xfId="24140" xr:uid="{00000000-0005-0000-0000-0000435E0000}"/>
    <cellStyle name="Normal 3 18 8 4 3" xfId="24141" xr:uid="{00000000-0005-0000-0000-0000445E0000}"/>
    <cellStyle name="Normal 3 18 8 5" xfId="24142" xr:uid="{00000000-0005-0000-0000-0000455E0000}"/>
    <cellStyle name="Normal 3 18 8 5 2" xfId="24143" xr:uid="{00000000-0005-0000-0000-0000465E0000}"/>
    <cellStyle name="Normal 3 18 8 5 3" xfId="24144" xr:uid="{00000000-0005-0000-0000-0000475E0000}"/>
    <cellStyle name="Normal 3 18 8 6" xfId="24145" xr:uid="{00000000-0005-0000-0000-0000485E0000}"/>
    <cellStyle name="Normal 3 18 8 6 2" xfId="24146" xr:uid="{00000000-0005-0000-0000-0000495E0000}"/>
    <cellStyle name="Normal 3 18 8 6 3" xfId="24147" xr:uid="{00000000-0005-0000-0000-00004A5E0000}"/>
    <cellStyle name="Normal 3 18 8 7" xfId="24148" xr:uid="{00000000-0005-0000-0000-00004B5E0000}"/>
    <cellStyle name="Normal 3 18 8 7 2" xfId="24149" xr:uid="{00000000-0005-0000-0000-00004C5E0000}"/>
    <cellStyle name="Normal 3 18 8 7 3" xfId="24150" xr:uid="{00000000-0005-0000-0000-00004D5E0000}"/>
    <cellStyle name="Normal 3 18 8 8" xfId="24151" xr:uid="{00000000-0005-0000-0000-00004E5E0000}"/>
    <cellStyle name="Normal 3 18 8 8 2" xfId="24152" xr:uid="{00000000-0005-0000-0000-00004F5E0000}"/>
    <cellStyle name="Normal 3 18 8 8 3" xfId="24153" xr:uid="{00000000-0005-0000-0000-0000505E0000}"/>
    <cellStyle name="Normal 3 18 8 9" xfId="24154" xr:uid="{00000000-0005-0000-0000-0000515E0000}"/>
    <cellStyle name="Normal 3 18 8 9 2" xfId="24155" xr:uid="{00000000-0005-0000-0000-0000525E0000}"/>
    <cellStyle name="Normal 3 18 8 9 3" xfId="24156" xr:uid="{00000000-0005-0000-0000-0000535E0000}"/>
    <cellStyle name="Normal 3 18 9" xfId="24157" xr:uid="{00000000-0005-0000-0000-0000545E0000}"/>
    <cellStyle name="Normal 3 18 9 10" xfId="24158" xr:uid="{00000000-0005-0000-0000-0000555E0000}"/>
    <cellStyle name="Normal 3 18 9 10 2" xfId="24159" xr:uid="{00000000-0005-0000-0000-0000565E0000}"/>
    <cellStyle name="Normal 3 18 9 10 3" xfId="24160" xr:uid="{00000000-0005-0000-0000-0000575E0000}"/>
    <cellStyle name="Normal 3 18 9 11" xfId="24161" xr:uid="{00000000-0005-0000-0000-0000585E0000}"/>
    <cellStyle name="Normal 3 18 9 11 2" xfId="24162" xr:uid="{00000000-0005-0000-0000-0000595E0000}"/>
    <cellStyle name="Normal 3 18 9 11 3" xfId="24163" xr:uid="{00000000-0005-0000-0000-00005A5E0000}"/>
    <cellStyle name="Normal 3 18 9 12" xfId="24164" xr:uid="{00000000-0005-0000-0000-00005B5E0000}"/>
    <cellStyle name="Normal 3 18 9 12 2" xfId="24165" xr:uid="{00000000-0005-0000-0000-00005C5E0000}"/>
    <cellStyle name="Normal 3 18 9 12 3" xfId="24166" xr:uid="{00000000-0005-0000-0000-00005D5E0000}"/>
    <cellStyle name="Normal 3 18 9 13" xfId="24167" xr:uid="{00000000-0005-0000-0000-00005E5E0000}"/>
    <cellStyle name="Normal 3 18 9 13 2" xfId="24168" xr:uid="{00000000-0005-0000-0000-00005F5E0000}"/>
    <cellStyle name="Normal 3 18 9 13 3" xfId="24169" xr:uid="{00000000-0005-0000-0000-0000605E0000}"/>
    <cellStyle name="Normal 3 18 9 14" xfId="24170" xr:uid="{00000000-0005-0000-0000-0000615E0000}"/>
    <cellStyle name="Normal 3 18 9 14 2" xfId="24171" xr:uid="{00000000-0005-0000-0000-0000625E0000}"/>
    <cellStyle name="Normal 3 18 9 14 3" xfId="24172" xr:uid="{00000000-0005-0000-0000-0000635E0000}"/>
    <cellStyle name="Normal 3 18 9 15" xfId="24173" xr:uid="{00000000-0005-0000-0000-0000645E0000}"/>
    <cellStyle name="Normal 3 18 9 16" xfId="24174" xr:uid="{00000000-0005-0000-0000-0000655E0000}"/>
    <cellStyle name="Normal 3 18 9 2" xfId="24175" xr:uid="{00000000-0005-0000-0000-0000665E0000}"/>
    <cellStyle name="Normal 3 18 9 2 2" xfId="24176" xr:uid="{00000000-0005-0000-0000-0000675E0000}"/>
    <cellStyle name="Normal 3 18 9 2 3" xfId="24177" xr:uid="{00000000-0005-0000-0000-0000685E0000}"/>
    <cellStyle name="Normal 3 18 9 3" xfId="24178" xr:uid="{00000000-0005-0000-0000-0000695E0000}"/>
    <cellStyle name="Normal 3 18 9 3 2" xfId="24179" xr:uid="{00000000-0005-0000-0000-00006A5E0000}"/>
    <cellStyle name="Normal 3 18 9 3 3" xfId="24180" xr:uid="{00000000-0005-0000-0000-00006B5E0000}"/>
    <cellStyle name="Normal 3 18 9 4" xfId="24181" xr:uid="{00000000-0005-0000-0000-00006C5E0000}"/>
    <cellStyle name="Normal 3 18 9 4 2" xfId="24182" xr:uid="{00000000-0005-0000-0000-00006D5E0000}"/>
    <cellStyle name="Normal 3 18 9 4 3" xfId="24183" xr:uid="{00000000-0005-0000-0000-00006E5E0000}"/>
    <cellStyle name="Normal 3 18 9 5" xfId="24184" xr:uid="{00000000-0005-0000-0000-00006F5E0000}"/>
    <cellStyle name="Normal 3 18 9 5 2" xfId="24185" xr:uid="{00000000-0005-0000-0000-0000705E0000}"/>
    <cellStyle name="Normal 3 18 9 5 3" xfId="24186" xr:uid="{00000000-0005-0000-0000-0000715E0000}"/>
    <cellStyle name="Normal 3 18 9 6" xfId="24187" xr:uid="{00000000-0005-0000-0000-0000725E0000}"/>
    <cellStyle name="Normal 3 18 9 6 2" xfId="24188" xr:uid="{00000000-0005-0000-0000-0000735E0000}"/>
    <cellStyle name="Normal 3 18 9 6 3" xfId="24189" xr:uid="{00000000-0005-0000-0000-0000745E0000}"/>
    <cellStyle name="Normal 3 18 9 7" xfId="24190" xr:uid="{00000000-0005-0000-0000-0000755E0000}"/>
    <cellStyle name="Normal 3 18 9 7 2" xfId="24191" xr:uid="{00000000-0005-0000-0000-0000765E0000}"/>
    <cellStyle name="Normal 3 18 9 7 3" xfId="24192" xr:uid="{00000000-0005-0000-0000-0000775E0000}"/>
    <cellStyle name="Normal 3 18 9 8" xfId="24193" xr:uid="{00000000-0005-0000-0000-0000785E0000}"/>
    <cellStyle name="Normal 3 18 9 8 2" xfId="24194" xr:uid="{00000000-0005-0000-0000-0000795E0000}"/>
    <cellStyle name="Normal 3 18 9 8 3" xfId="24195" xr:uid="{00000000-0005-0000-0000-00007A5E0000}"/>
    <cellStyle name="Normal 3 18 9 9" xfId="24196" xr:uid="{00000000-0005-0000-0000-00007B5E0000}"/>
    <cellStyle name="Normal 3 18 9 9 2" xfId="24197" xr:uid="{00000000-0005-0000-0000-00007C5E0000}"/>
    <cellStyle name="Normal 3 18 9 9 3" xfId="24198" xr:uid="{00000000-0005-0000-0000-00007D5E0000}"/>
    <cellStyle name="Normal 3 19" xfId="24199" xr:uid="{00000000-0005-0000-0000-00007E5E0000}"/>
    <cellStyle name="Normal 3 19 10" xfId="24200" xr:uid="{00000000-0005-0000-0000-00007F5E0000}"/>
    <cellStyle name="Normal 3 19 10 10" xfId="24201" xr:uid="{00000000-0005-0000-0000-0000805E0000}"/>
    <cellStyle name="Normal 3 19 10 10 2" xfId="24202" xr:uid="{00000000-0005-0000-0000-0000815E0000}"/>
    <cellStyle name="Normal 3 19 10 10 3" xfId="24203" xr:uid="{00000000-0005-0000-0000-0000825E0000}"/>
    <cellStyle name="Normal 3 19 10 11" xfId="24204" xr:uid="{00000000-0005-0000-0000-0000835E0000}"/>
    <cellStyle name="Normal 3 19 10 11 2" xfId="24205" xr:uid="{00000000-0005-0000-0000-0000845E0000}"/>
    <cellStyle name="Normal 3 19 10 11 3" xfId="24206" xr:uid="{00000000-0005-0000-0000-0000855E0000}"/>
    <cellStyle name="Normal 3 19 10 12" xfId="24207" xr:uid="{00000000-0005-0000-0000-0000865E0000}"/>
    <cellStyle name="Normal 3 19 10 12 2" xfId="24208" xr:uid="{00000000-0005-0000-0000-0000875E0000}"/>
    <cellStyle name="Normal 3 19 10 12 3" xfId="24209" xr:uid="{00000000-0005-0000-0000-0000885E0000}"/>
    <cellStyle name="Normal 3 19 10 13" xfId="24210" xr:uid="{00000000-0005-0000-0000-0000895E0000}"/>
    <cellStyle name="Normal 3 19 10 13 2" xfId="24211" xr:uid="{00000000-0005-0000-0000-00008A5E0000}"/>
    <cellStyle name="Normal 3 19 10 13 3" xfId="24212" xr:uid="{00000000-0005-0000-0000-00008B5E0000}"/>
    <cellStyle name="Normal 3 19 10 14" xfId="24213" xr:uid="{00000000-0005-0000-0000-00008C5E0000}"/>
    <cellStyle name="Normal 3 19 10 14 2" xfId="24214" xr:uid="{00000000-0005-0000-0000-00008D5E0000}"/>
    <cellStyle name="Normal 3 19 10 14 3" xfId="24215" xr:uid="{00000000-0005-0000-0000-00008E5E0000}"/>
    <cellStyle name="Normal 3 19 10 15" xfId="24216" xr:uid="{00000000-0005-0000-0000-00008F5E0000}"/>
    <cellStyle name="Normal 3 19 10 16" xfId="24217" xr:uid="{00000000-0005-0000-0000-0000905E0000}"/>
    <cellStyle name="Normal 3 19 10 2" xfId="24218" xr:uid="{00000000-0005-0000-0000-0000915E0000}"/>
    <cellStyle name="Normal 3 19 10 2 2" xfId="24219" xr:uid="{00000000-0005-0000-0000-0000925E0000}"/>
    <cellStyle name="Normal 3 19 10 2 3" xfId="24220" xr:uid="{00000000-0005-0000-0000-0000935E0000}"/>
    <cellStyle name="Normal 3 19 10 3" xfId="24221" xr:uid="{00000000-0005-0000-0000-0000945E0000}"/>
    <cellStyle name="Normal 3 19 10 3 2" xfId="24222" xr:uid="{00000000-0005-0000-0000-0000955E0000}"/>
    <cellStyle name="Normal 3 19 10 3 3" xfId="24223" xr:uid="{00000000-0005-0000-0000-0000965E0000}"/>
    <cellStyle name="Normal 3 19 10 4" xfId="24224" xr:uid="{00000000-0005-0000-0000-0000975E0000}"/>
    <cellStyle name="Normal 3 19 10 4 2" xfId="24225" xr:uid="{00000000-0005-0000-0000-0000985E0000}"/>
    <cellStyle name="Normal 3 19 10 4 3" xfId="24226" xr:uid="{00000000-0005-0000-0000-0000995E0000}"/>
    <cellStyle name="Normal 3 19 10 5" xfId="24227" xr:uid="{00000000-0005-0000-0000-00009A5E0000}"/>
    <cellStyle name="Normal 3 19 10 5 2" xfId="24228" xr:uid="{00000000-0005-0000-0000-00009B5E0000}"/>
    <cellStyle name="Normal 3 19 10 5 3" xfId="24229" xr:uid="{00000000-0005-0000-0000-00009C5E0000}"/>
    <cellStyle name="Normal 3 19 10 6" xfId="24230" xr:uid="{00000000-0005-0000-0000-00009D5E0000}"/>
    <cellStyle name="Normal 3 19 10 6 2" xfId="24231" xr:uid="{00000000-0005-0000-0000-00009E5E0000}"/>
    <cellStyle name="Normal 3 19 10 6 3" xfId="24232" xr:uid="{00000000-0005-0000-0000-00009F5E0000}"/>
    <cellStyle name="Normal 3 19 10 7" xfId="24233" xr:uid="{00000000-0005-0000-0000-0000A05E0000}"/>
    <cellStyle name="Normal 3 19 10 7 2" xfId="24234" xr:uid="{00000000-0005-0000-0000-0000A15E0000}"/>
    <cellStyle name="Normal 3 19 10 7 3" xfId="24235" xr:uid="{00000000-0005-0000-0000-0000A25E0000}"/>
    <cellStyle name="Normal 3 19 10 8" xfId="24236" xr:uid="{00000000-0005-0000-0000-0000A35E0000}"/>
    <cellStyle name="Normal 3 19 10 8 2" xfId="24237" xr:uid="{00000000-0005-0000-0000-0000A45E0000}"/>
    <cellStyle name="Normal 3 19 10 8 3" xfId="24238" xr:uid="{00000000-0005-0000-0000-0000A55E0000}"/>
    <cellStyle name="Normal 3 19 10 9" xfId="24239" xr:uid="{00000000-0005-0000-0000-0000A65E0000}"/>
    <cellStyle name="Normal 3 19 10 9 2" xfId="24240" xr:uid="{00000000-0005-0000-0000-0000A75E0000}"/>
    <cellStyle name="Normal 3 19 10 9 3" xfId="24241" xr:uid="{00000000-0005-0000-0000-0000A85E0000}"/>
    <cellStyle name="Normal 3 19 11" xfId="24242" xr:uid="{00000000-0005-0000-0000-0000A95E0000}"/>
    <cellStyle name="Normal 3 19 11 10" xfId="24243" xr:uid="{00000000-0005-0000-0000-0000AA5E0000}"/>
    <cellStyle name="Normal 3 19 11 10 2" xfId="24244" xr:uid="{00000000-0005-0000-0000-0000AB5E0000}"/>
    <cellStyle name="Normal 3 19 11 10 3" xfId="24245" xr:uid="{00000000-0005-0000-0000-0000AC5E0000}"/>
    <cellStyle name="Normal 3 19 11 11" xfId="24246" xr:uid="{00000000-0005-0000-0000-0000AD5E0000}"/>
    <cellStyle name="Normal 3 19 11 11 2" xfId="24247" xr:uid="{00000000-0005-0000-0000-0000AE5E0000}"/>
    <cellStyle name="Normal 3 19 11 11 3" xfId="24248" xr:uid="{00000000-0005-0000-0000-0000AF5E0000}"/>
    <cellStyle name="Normal 3 19 11 12" xfId="24249" xr:uid="{00000000-0005-0000-0000-0000B05E0000}"/>
    <cellStyle name="Normal 3 19 11 12 2" xfId="24250" xr:uid="{00000000-0005-0000-0000-0000B15E0000}"/>
    <cellStyle name="Normal 3 19 11 12 3" xfId="24251" xr:uid="{00000000-0005-0000-0000-0000B25E0000}"/>
    <cellStyle name="Normal 3 19 11 13" xfId="24252" xr:uid="{00000000-0005-0000-0000-0000B35E0000}"/>
    <cellStyle name="Normal 3 19 11 13 2" xfId="24253" xr:uid="{00000000-0005-0000-0000-0000B45E0000}"/>
    <cellStyle name="Normal 3 19 11 13 3" xfId="24254" xr:uid="{00000000-0005-0000-0000-0000B55E0000}"/>
    <cellStyle name="Normal 3 19 11 14" xfId="24255" xr:uid="{00000000-0005-0000-0000-0000B65E0000}"/>
    <cellStyle name="Normal 3 19 11 14 2" xfId="24256" xr:uid="{00000000-0005-0000-0000-0000B75E0000}"/>
    <cellStyle name="Normal 3 19 11 14 3" xfId="24257" xr:uid="{00000000-0005-0000-0000-0000B85E0000}"/>
    <cellStyle name="Normal 3 19 11 15" xfId="24258" xr:uid="{00000000-0005-0000-0000-0000B95E0000}"/>
    <cellStyle name="Normal 3 19 11 16" xfId="24259" xr:uid="{00000000-0005-0000-0000-0000BA5E0000}"/>
    <cellStyle name="Normal 3 19 11 2" xfId="24260" xr:uid="{00000000-0005-0000-0000-0000BB5E0000}"/>
    <cellStyle name="Normal 3 19 11 2 2" xfId="24261" xr:uid="{00000000-0005-0000-0000-0000BC5E0000}"/>
    <cellStyle name="Normal 3 19 11 2 3" xfId="24262" xr:uid="{00000000-0005-0000-0000-0000BD5E0000}"/>
    <cellStyle name="Normal 3 19 11 3" xfId="24263" xr:uid="{00000000-0005-0000-0000-0000BE5E0000}"/>
    <cellStyle name="Normal 3 19 11 3 2" xfId="24264" xr:uid="{00000000-0005-0000-0000-0000BF5E0000}"/>
    <cellStyle name="Normal 3 19 11 3 3" xfId="24265" xr:uid="{00000000-0005-0000-0000-0000C05E0000}"/>
    <cellStyle name="Normal 3 19 11 4" xfId="24266" xr:uid="{00000000-0005-0000-0000-0000C15E0000}"/>
    <cellStyle name="Normal 3 19 11 4 2" xfId="24267" xr:uid="{00000000-0005-0000-0000-0000C25E0000}"/>
    <cellStyle name="Normal 3 19 11 4 3" xfId="24268" xr:uid="{00000000-0005-0000-0000-0000C35E0000}"/>
    <cellStyle name="Normal 3 19 11 5" xfId="24269" xr:uid="{00000000-0005-0000-0000-0000C45E0000}"/>
    <cellStyle name="Normal 3 19 11 5 2" xfId="24270" xr:uid="{00000000-0005-0000-0000-0000C55E0000}"/>
    <cellStyle name="Normal 3 19 11 5 3" xfId="24271" xr:uid="{00000000-0005-0000-0000-0000C65E0000}"/>
    <cellStyle name="Normal 3 19 11 6" xfId="24272" xr:uid="{00000000-0005-0000-0000-0000C75E0000}"/>
    <cellStyle name="Normal 3 19 11 6 2" xfId="24273" xr:uid="{00000000-0005-0000-0000-0000C85E0000}"/>
    <cellStyle name="Normal 3 19 11 6 3" xfId="24274" xr:uid="{00000000-0005-0000-0000-0000C95E0000}"/>
    <cellStyle name="Normal 3 19 11 7" xfId="24275" xr:uid="{00000000-0005-0000-0000-0000CA5E0000}"/>
    <cellStyle name="Normal 3 19 11 7 2" xfId="24276" xr:uid="{00000000-0005-0000-0000-0000CB5E0000}"/>
    <cellStyle name="Normal 3 19 11 7 3" xfId="24277" xr:uid="{00000000-0005-0000-0000-0000CC5E0000}"/>
    <cellStyle name="Normal 3 19 11 8" xfId="24278" xr:uid="{00000000-0005-0000-0000-0000CD5E0000}"/>
    <cellStyle name="Normal 3 19 11 8 2" xfId="24279" xr:uid="{00000000-0005-0000-0000-0000CE5E0000}"/>
    <cellStyle name="Normal 3 19 11 8 3" xfId="24280" xr:uid="{00000000-0005-0000-0000-0000CF5E0000}"/>
    <cellStyle name="Normal 3 19 11 9" xfId="24281" xr:uid="{00000000-0005-0000-0000-0000D05E0000}"/>
    <cellStyle name="Normal 3 19 11 9 2" xfId="24282" xr:uid="{00000000-0005-0000-0000-0000D15E0000}"/>
    <cellStyle name="Normal 3 19 11 9 3" xfId="24283" xr:uid="{00000000-0005-0000-0000-0000D25E0000}"/>
    <cellStyle name="Normal 3 19 12" xfId="24284" xr:uid="{00000000-0005-0000-0000-0000D35E0000}"/>
    <cellStyle name="Normal 3 19 12 10" xfId="24285" xr:uid="{00000000-0005-0000-0000-0000D45E0000}"/>
    <cellStyle name="Normal 3 19 12 10 2" xfId="24286" xr:uid="{00000000-0005-0000-0000-0000D55E0000}"/>
    <cellStyle name="Normal 3 19 12 10 3" xfId="24287" xr:uid="{00000000-0005-0000-0000-0000D65E0000}"/>
    <cellStyle name="Normal 3 19 12 11" xfId="24288" xr:uid="{00000000-0005-0000-0000-0000D75E0000}"/>
    <cellStyle name="Normal 3 19 12 11 2" xfId="24289" xr:uid="{00000000-0005-0000-0000-0000D85E0000}"/>
    <cellStyle name="Normal 3 19 12 11 3" xfId="24290" xr:uid="{00000000-0005-0000-0000-0000D95E0000}"/>
    <cellStyle name="Normal 3 19 12 12" xfId="24291" xr:uid="{00000000-0005-0000-0000-0000DA5E0000}"/>
    <cellStyle name="Normal 3 19 12 12 2" xfId="24292" xr:uid="{00000000-0005-0000-0000-0000DB5E0000}"/>
    <cellStyle name="Normal 3 19 12 12 3" xfId="24293" xr:uid="{00000000-0005-0000-0000-0000DC5E0000}"/>
    <cellStyle name="Normal 3 19 12 13" xfId="24294" xr:uid="{00000000-0005-0000-0000-0000DD5E0000}"/>
    <cellStyle name="Normal 3 19 12 13 2" xfId="24295" xr:uid="{00000000-0005-0000-0000-0000DE5E0000}"/>
    <cellStyle name="Normal 3 19 12 13 3" xfId="24296" xr:uid="{00000000-0005-0000-0000-0000DF5E0000}"/>
    <cellStyle name="Normal 3 19 12 14" xfId="24297" xr:uid="{00000000-0005-0000-0000-0000E05E0000}"/>
    <cellStyle name="Normal 3 19 12 14 2" xfId="24298" xr:uid="{00000000-0005-0000-0000-0000E15E0000}"/>
    <cellStyle name="Normal 3 19 12 14 3" xfId="24299" xr:uid="{00000000-0005-0000-0000-0000E25E0000}"/>
    <cellStyle name="Normal 3 19 12 15" xfId="24300" xr:uid="{00000000-0005-0000-0000-0000E35E0000}"/>
    <cellStyle name="Normal 3 19 12 16" xfId="24301" xr:uid="{00000000-0005-0000-0000-0000E45E0000}"/>
    <cellStyle name="Normal 3 19 12 2" xfId="24302" xr:uid="{00000000-0005-0000-0000-0000E55E0000}"/>
    <cellStyle name="Normal 3 19 12 2 2" xfId="24303" xr:uid="{00000000-0005-0000-0000-0000E65E0000}"/>
    <cellStyle name="Normal 3 19 12 2 3" xfId="24304" xr:uid="{00000000-0005-0000-0000-0000E75E0000}"/>
    <cellStyle name="Normal 3 19 12 3" xfId="24305" xr:uid="{00000000-0005-0000-0000-0000E85E0000}"/>
    <cellStyle name="Normal 3 19 12 3 2" xfId="24306" xr:uid="{00000000-0005-0000-0000-0000E95E0000}"/>
    <cellStyle name="Normal 3 19 12 3 3" xfId="24307" xr:uid="{00000000-0005-0000-0000-0000EA5E0000}"/>
    <cellStyle name="Normal 3 19 12 4" xfId="24308" xr:uid="{00000000-0005-0000-0000-0000EB5E0000}"/>
    <cellStyle name="Normal 3 19 12 4 2" xfId="24309" xr:uid="{00000000-0005-0000-0000-0000EC5E0000}"/>
    <cellStyle name="Normal 3 19 12 4 3" xfId="24310" xr:uid="{00000000-0005-0000-0000-0000ED5E0000}"/>
    <cellStyle name="Normal 3 19 12 5" xfId="24311" xr:uid="{00000000-0005-0000-0000-0000EE5E0000}"/>
    <cellStyle name="Normal 3 19 12 5 2" xfId="24312" xr:uid="{00000000-0005-0000-0000-0000EF5E0000}"/>
    <cellStyle name="Normal 3 19 12 5 3" xfId="24313" xr:uid="{00000000-0005-0000-0000-0000F05E0000}"/>
    <cellStyle name="Normal 3 19 12 6" xfId="24314" xr:uid="{00000000-0005-0000-0000-0000F15E0000}"/>
    <cellStyle name="Normal 3 19 12 6 2" xfId="24315" xr:uid="{00000000-0005-0000-0000-0000F25E0000}"/>
    <cellStyle name="Normal 3 19 12 6 3" xfId="24316" xr:uid="{00000000-0005-0000-0000-0000F35E0000}"/>
    <cellStyle name="Normal 3 19 12 7" xfId="24317" xr:uid="{00000000-0005-0000-0000-0000F45E0000}"/>
    <cellStyle name="Normal 3 19 12 7 2" xfId="24318" xr:uid="{00000000-0005-0000-0000-0000F55E0000}"/>
    <cellStyle name="Normal 3 19 12 7 3" xfId="24319" xr:uid="{00000000-0005-0000-0000-0000F65E0000}"/>
    <cellStyle name="Normal 3 19 12 8" xfId="24320" xr:uid="{00000000-0005-0000-0000-0000F75E0000}"/>
    <cellStyle name="Normal 3 19 12 8 2" xfId="24321" xr:uid="{00000000-0005-0000-0000-0000F85E0000}"/>
    <cellStyle name="Normal 3 19 12 8 3" xfId="24322" xr:uid="{00000000-0005-0000-0000-0000F95E0000}"/>
    <cellStyle name="Normal 3 19 12 9" xfId="24323" xr:uid="{00000000-0005-0000-0000-0000FA5E0000}"/>
    <cellStyle name="Normal 3 19 12 9 2" xfId="24324" xr:uid="{00000000-0005-0000-0000-0000FB5E0000}"/>
    <cellStyle name="Normal 3 19 12 9 3" xfId="24325" xr:uid="{00000000-0005-0000-0000-0000FC5E0000}"/>
    <cellStyle name="Normal 3 19 13" xfId="24326" xr:uid="{00000000-0005-0000-0000-0000FD5E0000}"/>
    <cellStyle name="Normal 3 19 13 10" xfId="24327" xr:uid="{00000000-0005-0000-0000-0000FE5E0000}"/>
    <cellStyle name="Normal 3 19 13 10 2" xfId="24328" xr:uid="{00000000-0005-0000-0000-0000FF5E0000}"/>
    <cellStyle name="Normal 3 19 13 10 3" xfId="24329" xr:uid="{00000000-0005-0000-0000-0000005F0000}"/>
    <cellStyle name="Normal 3 19 13 11" xfId="24330" xr:uid="{00000000-0005-0000-0000-0000015F0000}"/>
    <cellStyle name="Normal 3 19 13 11 2" xfId="24331" xr:uid="{00000000-0005-0000-0000-0000025F0000}"/>
    <cellStyle name="Normal 3 19 13 11 3" xfId="24332" xr:uid="{00000000-0005-0000-0000-0000035F0000}"/>
    <cellStyle name="Normal 3 19 13 12" xfId="24333" xr:uid="{00000000-0005-0000-0000-0000045F0000}"/>
    <cellStyle name="Normal 3 19 13 12 2" xfId="24334" xr:uid="{00000000-0005-0000-0000-0000055F0000}"/>
    <cellStyle name="Normal 3 19 13 12 3" xfId="24335" xr:uid="{00000000-0005-0000-0000-0000065F0000}"/>
    <cellStyle name="Normal 3 19 13 13" xfId="24336" xr:uid="{00000000-0005-0000-0000-0000075F0000}"/>
    <cellStyle name="Normal 3 19 13 13 2" xfId="24337" xr:uid="{00000000-0005-0000-0000-0000085F0000}"/>
    <cellStyle name="Normal 3 19 13 13 3" xfId="24338" xr:uid="{00000000-0005-0000-0000-0000095F0000}"/>
    <cellStyle name="Normal 3 19 13 14" xfId="24339" xr:uid="{00000000-0005-0000-0000-00000A5F0000}"/>
    <cellStyle name="Normal 3 19 13 14 2" xfId="24340" xr:uid="{00000000-0005-0000-0000-00000B5F0000}"/>
    <cellStyle name="Normal 3 19 13 14 3" xfId="24341" xr:uid="{00000000-0005-0000-0000-00000C5F0000}"/>
    <cellStyle name="Normal 3 19 13 15" xfId="24342" xr:uid="{00000000-0005-0000-0000-00000D5F0000}"/>
    <cellStyle name="Normal 3 19 13 16" xfId="24343" xr:uid="{00000000-0005-0000-0000-00000E5F0000}"/>
    <cellStyle name="Normal 3 19 13 2" xfId="24344" xr:uid="{00000000-0005-0000-0000-00000F5F0000}"/>
    <cellStyle name="Normal 3 19 13 2 2" xfId="24345" xr:uid="{00000000-0005-0000-0000-0000105F0000}"/>
    <cellStyle name="Normal 3 19 13 2 3" xfId="24346" xr:uid="{00000000-0005-0000-0000-0000115F0000}"/>
    <cellStyle name="Normal 3 19 13 3" xfId="24347" xr:uid="{00000000-0005-0000-0000-0000125F0000}"/>
    <cellStyle name="Normal 3 19 13 3 2" xfId="24348" xr:uid="{00000000-0005-0000-0000-0000135F0000}"/>
    <cellStyle name="Normal 3 19 13 3 3" xfId="24349" xr:uid="{00000000-0005-0000-0000-0000145F0000}"/>
    <cellStyle name="Normal 3 19 13 4" xfId="24350" xr:uid="{00000000-0005-0000-0000-0000155F0000}"/>
    <cellStyle name="Normal 3 19 13 4 2" xfId="24351" xr:uid="{00000000-0005-0000-0000-0000165F0000}"/>
    <cellStyle name="Normal 3 19 13 4 3" xfId="24352" xr:uid="{00000000-0005-0000-0000-0000175F0000}"/>
    <cellStyle name="Normal 3 19 13 5" xfId="24353" xr:uid="{00000000-0005-0000-0000-0000185F0000}"/>
    <cellStyle name="Normal 3 19 13 5 2" xfId="24354" xr:uid="{00000000-0005-0000-0000-0000195F0000}"/>
    <cellStyle name="Normal 3 19 13 5 3" xfId="24355" xr:uid="{00000000-0005-0000-0000-00001A5F0000}"/>
    <cellStyle name="Normal 3 19 13 6" xfId="24356" xr:uid="{00000000-0005-0000-0000-00001B5F0000}"/>
    <cellStyle name="Normal 3 19 13 6 2" xfId="24357" xr:uid="{00000000-0005-0000-0000-00001C5F0000}"/>
    <cellStyle name="Normal 3 19 13 6 3" xfId="24358" xr:uid="{00000000-0005-0000-0000-00001D5F0000}"/>
    <cellStyle name="Normal 3 19 13 7" xfId="24359" xr:uid="{00000000-0005-0000-0000-00001E5F0000}"/>
    <cellStyle name="Normal 3 19 13 7 2" xfId="24360" xr:uid="{00000000-0005-0000-0000-00001F5F0000}"/>
    <cellStyle name="Normal 3 19 13 7 3" xfId="24361" xr:uid="{00000000-0005-0000-0000-0000205F0000}"/>
    <cellStyle name="Normal 3 19 13 8" xfId="24362" xr:uid="{00000000-0005-0000-0000-0000215F0000}"/>
    <cellStyle name="Normal 3 19 13 8 2" xfId="24363" xr:uid="{00000000-0005-0000-0000-0000225F0000}"/>
    <cellStyle name="Normal 3 19 13 8 3" xfId="24364" xr:uid="{00000000-0005-0000-0000-0000235F0000}"/>
    <cellStyle name="Normal 3 19 13 9" xfId="24365" xr:uid="{00000000-0005-0000-0000-0000245F0000}"/>
    <cellStyle name="Normal 3 19 13 9 2" xfId="24366" xr:uid="{00000000-0005-0000-0000-0000255F0000}"/>
    <cellStyle name="Normal 3 19 13 9 3" xfId="24367" xr:uid="{00000000-0005-0000-0000-0000265F0000}"/>
    <cellStyle name="Normal 3 19 14" xfId="24368" xr:uid="{00000000-0005-0000-0000-0000275F0000}"/>
    <cellStyle name="Normal 3 19 14 10" xfId="24369" xr:uid="{00000000-0005-0000-0000-0000285F0000}"/>
    <cellStyle name="Normal 3 19 14 10 2" xfId="24370" xr:uid="{00000000-0005-0000-0000-0000295F0000}"/>
    <cellStyle name="Normal 3 19 14 10 3" xfId="24371" xr:uid="{00000000-0005-0000-0000-00002A5F0000}"/>
    <cellStyle name="Normal 3 19 14 11" xfId="24372" xr:uid="{00000000-0005-0000-0000-00002B5F0000}"/>
    <cellStyle name="Normal 3 19 14 11 2" xfId="24373" xr:uid="{00000000-0005-0000-0000-00002C5F0000}"/>
    <cellStyle name="Normal 3 19 14 11 3" xfId="24374" xr:uid="{00000000-0005-0000-0000-00002D5F0000}"/>
    <cellStyle name="Normal 3 19 14 12" xfId="24375" xr:uid="{00000000-0005-0000-0000-00002E5F0000}"/>
    <cellStyle name="Normal 3 19 14 12 2" xfId="24376" xr:uid="{00000000-0005-0000-0000-00002F5F0000}"/>
    <cellStyle name="Normal 3 19 14 12 3" xfId="24377" xr:uid="{00000000-0005-0000-0000-0000305F0000}"/>
    <cellStyle name="Normal 3 19 14 13" xfId="24378" xr:uid="{00000000-0005-0000-0000-0000315F0000}"/>
    <cellStyle name="Normal 3 19 14 13 2" xfId="24379" xr:uid="{00000000-0005-0000-0000-0000325F0000}"/>
    <cellStyle name="Normal 3 19 14 13 3" xfId="24380" xr:uid="{00000000-0005-0000-0000-0000335F0000}"/>
    <cellStyle name="Normal 3 19 14 14" xfId="24381" xr:uid="{00000000-0005-0000-0000-0000345F0000}"/>
    <cellStyle name="Normal 3 19 14 14 2" xfId="24382" xr:uid="{00000000-0005-0000-0000-0000355F0000}"/>
    <cellStyle name="Normal 3 19 14 14 3" xfId="24383" xr:uid="{00000000-0005-0000-0000-0000365F0000}"/>
    <cellStyle name="Normal 3 19 14 15" xfId="24384" xr:uid="{00000000-0005-0000-0000-0000375F0000}"/>
    <cellStyle name="Normal 3 19 14 16" xfId="24385" xr:uid="{00000000-0005-0000-0000-0000385F0000}"/>
    <cellStyle name="Normal 3 19 14 2" xfId="24386" xr:uid="{00000000-0005-0000-0000-0000395F0000}"/>
    <cellStyle name="Normal 3 19 14 2 2" xfId="24387" xr:uid="{00000000-0005-0000-0000-00003A5F0000}"/>
    <cellStyle name="Normal 3 19 14 2 3" xfId="24388" xr:uid="{00000000-0005-0000-0000-00003B5F0000}"/>
    <cellStyle name="Normal 3 19 14 3" xfId="24389" xr:uid="{00000000-0005-0000-0000-00003C5F0000}"/>
    <cellStyle name="Normal 3 19 14 3 2" xfId="24390" xr:uid="{00000000-0005-0000-0000-00003D5F0000}"/>
    <cellStyle name="Normal 3 19 14 3 3" xfId="24391" xr:uid="{00000000-0005-0000-0000-00003E5F0000}"/>
    <cellStyle name="Normal 3 19 14 4" xfId="24392" xr:uid="{00000000-0005-0000-0000-00003F5F0000}"/>
    <cellStyle name="Normal 3 19 14 4 2" xfId="24393" xr:uid="{00000000-0005-0000-0000-0000405F0000}"/>
    <cellStyle name="Normal 3 19 14 4 3" xfId="24394" xr:uid="{00000000-0005-0000-0000-0000415F0000}"/>
    <cellStyle name="Normal 3 19 14 5" xfId="24395" xr:uid="{00000000-0005-0000-0000-0000425F0000}"/>
    <cellStyle name="Normal 3 19 14 5 2" xfId="24396" xr:uid="{00000000-0005-0000-0000-0000435F0000}"/>
    <cellStyle name="Normal 3 19 14 5 3" xfId="24397" xr:uid="{00000000-0005-0000-0000-0000445F0000}"/>
    <cellStyle name="Normal 3 19 14 6" xfId="24398" xr:uid="{00000000-0005-0000-0000-0000455F0000}"/>
    <cellStyle name="Normal 3 19 14 6 2" xfId="24399" xr:uid="{00000000-0005-0000-0000-0000465F0000}"/>
    <cellStyle name="Normal 3 19 14 6 3" xfId="24400" xr:uid="{00000000-0005-0000-0000-0000475F0000}"/>
    <cellStyle name="Normal 3 19 14 7" xfId="24401" xr:uid="{00000000-0005-0000-0000-0000485F0000}"/>
    <cellStyle name="Normal 3 19 14 7 2" xfId="24402" xr:uid="{00000000-0005-0000-0000-0000495F0000}"/>
    <cellStyle name="Normal 3 19 14 7 3" xfId="24403" xr:uid="{00000000-0005-0000-0000-00004A5F0000}"/>
    <cellStyle name="Normal 3 19 14 8" xfId="24404" xr:uid="{00000000-0005-0000-0000-00004B5F0000}"/>
    <cellStyle name="Normal 3 19 14 8 2" xfId="24405" xr:uid="{00000000-0005-0000-0000-00004C5F0000}"/>
    <cellStyle name="Normal 3 19 14 8 3" xfId="24406" xr:uid="{00000000-0005-0000-0000-00004D5F0000}"/>
    <cellStyle name="Normal 3 19 14 9" xfId="24407" xr:uid="{00000000-0005-0000-0000-00004E5F0000}"/>
    <cellStyle name="Normal 3 19 14 9 2" xfId="24408" xr:uid="{00000000-0005-0000-0000-00004F5F0000}"/>
    <cellStyle name="Normal 3 19 14 9 3" xfId="24409" xr:uid="{00000000-0005-0000-0000-0000505F0000}"/>
    <cellStyle name="Normal 3 19 15" xfId="24410" xr:uid="{00000000-0005-0000-0000-0000515F0000}"/>
    <cellStyle name="Normal 3 19 15 2" xfId="24411" xr:uid="{00000000-0005-0000-0000-0000525F0000}"/>
    <cellStyle name="Normal 3 19 15 3" xfId="24412" xr:uid="{00000000-0005-0000-0000-0000535F0000}"/>
    <cellStyle name="Normal 3 19 16" xfId="24413" xr:uid="{00000000-0005-0000-0000-0000545F0000}"/>
    <cellStyle name="Normal 3 19 16 2" xfId="24414" xr:uid="{00000000-0005-0000-0000-0000555F0000}"/>
    <cellStyle name="Normal 3 19 16 3" xfId="24415" xr:uid="{00000000-0005-0000-0000-0000565F0000}"/>
    <cellStyle name="Normal 3 19 17" xfId="24416" xr:uid="{00000000-0005-0000-0000-0000575F0000}"/>
    <cellStyle name="Normal 3 19 17 2" xfId="24417" xr:uid="{00000000-0005-0000-0000-0000585F0000}"/>
    <cellStyle name="Normal 3 19 17 3" xfId="24418" xr:uid="{00000000-0005-0000-0000-0000595F0000}"/>
    <cellStyle name="Normal 3 19 18" xfId="24419" xr:uid="{00000000-0005-0000-0000-00005A5F0000}"/>
    <cellStyle name="Normal 3 19 18 2" xfId="24420" xr:uid="{00000000-0005-0000-0000-00005B5F0000}"/>
    <cellStyle name="Normal 3 19 18 3" xfId="24421" xr:uid="{00000000-0005-0000-0000-00005C5F0000}"/>
    <cellStyle name="Normal 3 19 19" xfId="24422" xr:uid="{00000000-0005-0000-0000-00005D5F0000}"/>
    <cellStyle name="Normal 3 19 19 2" xfId="24423" xr:uid="{00000000-0005-0000-0000-00005E5F0000}"/>
    <cellStyle name="Normal 3 19 19 3" xfId="24424" xr:uid="{00000000-0005-0000-0000-00005F5F0000}"/>
    <cellStyle name="Normal 3 19 2" xfId="24425" xr:uid="{00000000-0005-0000-0000-0000605F0000}"/>
    <cellStyle name="Normal 3 19 20" xfId="24426" xr:uid="{00000000-0005-0000-0000-0000615F0000}"/>
    <cellStyle name="Normal 3 19 20 2" xfId="24427" xr:uid="{00000000-0005-0000-0000-0000625F0000}"/>
    <cellStyle name="Normal 3 19 20 3" xfId="24428" xr:uid="{00000000-0005-0000-0000-0000635F0000}"/>
    <cellStyle name="Normal 3 19 21" xfId="24429" xr:uid="{00000000-0005-0000-0000-0000645F0000}"/>
    <cellStyle name="Normal 3 19 21 2" xfId="24430" xr:uid="{00000000-0005-0000-0000-0000655F0000}"/>
    <cellStyle name="Normal 3 19 21 3" xfId="24431" xr:uid="{00000000-0005-0000-0000-0000665F0000}"/>
    <cellStyle name="Normal 3 19 22" xfId="24432" xr:uid="{00000000-0005-0000-0000-0000675F0000}"/>
    <cellStyle name="Normal 3 19 22 2" xfId="24433" xr:uid="{00000000-0005-0000-0000-0000685F0000}"/>
    <cellStyle name="Normal 3 19 22 3" xfId="24434" xr:uid="{00000000-0005-0000-0000-0000695F0000}"/>
    <cellStyle name="Normal 3 19 23" xfId="24435" xr:uid="{00000000-0005-0000-0000-00006A5F0000}"/>
    <cellStyle name="Normal 3 19 23 2" xfId="24436" xr:uid="{00000000-0005-0000-0000-00006B5F0000}"/>
    <cellStyle name="Normal 3 19 23 3" xfId="24437" xr:uid="{00000000-0005-0000-0000-00006C5F0000}"/>
    <cellStyle name="Normal 3 19 24" xfId="24438" xr:uid="{00000000-0005-0000-0000-00006D5F0000}"/>
    <cellStyle name="Normal 3 19 24 2" xfId="24439" xr:uid="{00000000-0005-0000-0000-00006E5F0000}"/>
    <cellStyle name="Normal 3 19 24 3" xfId="24440" xr:uid="{00000000-0005-0000-0000-00006F5F0000}"/>
    <cellStyle name="Normal 3 19 25" xfId="24441" xr:uid="{00000000-0005-0000-0000-0000705F0000}"/>
    <cellStyle name="Normal 3 19 25 2" xfId="24442" xr:uid="{00000000-0005-0000-0000-0000715F0000}"/>
    <cellStyle name="Normal 3 19 25 3" xfId="24443" xr:uid="{00000000-0005-0000-0000-0000725F0000}"/>
    <cellStyle name="Normal 3 19 26" xfId="24444" xr:uid="{00000000-0005-0000-0000-0000735F0000}"/>
    <cellStyle name="Normal 3 19 26 2" xfId="24445" xr:uid="{00000000-0005-0000-0000-0000745F0000}"/>
    <cellStyle name="Normal 3 19 26 3" xfId="24446" xr:uid="{00000000-0005-0000-0000-0000755F0000}"/>
    <cellStyle name="Normal 3 19 27" xfId="24447" xr:uid="{00000000-0005-0000-0000-0000765F0000}"/>
    <cellStyle name="Normal 3 19 27 2" xfId="24448" xr:uid="{00000000-0005-0000-0000-0000775F0000}"/>
    <cellStyle name="Normal 3 19 27 3" xfId="24449" xr:uid="{00000000-0005-0000-0000-0000785F0000}"/>
    <cellStyle name="Normal 3 19 28" xfId="24450" xr:uid="{00000000-0005-0000-0000-0000795F0000}"/>
    <cellStyle name="Normal 3 19 29" xfId="24451" xr:uid="{00000000-0005-0000-0000-00007A5F0000}"/>
    <cellStyle name="Normal 3 19 3" xfId="24452" xr:uid="{00000000-0005-0000-0000-00007B5F0000}"/>
    <cellStyle name="Normal 3 19 4" xfId="24453" xr:uid="{00000000-0005-0000-0000-00007C5F0000}"/>
    <cellStyle name="Normal 3 19 5" xfId="24454" xr:uid="{00000000-0005-0000-0000-00007D5F0000}"/>
    <cellStyle name="Normal 3 19 6" xfId="24455" xr:uid="{00000000-0005-0000-0000-00007E5F0000}"/>
    <cellStyle name="Normal 3 19 6 10" xfId="24456" xr:uid="{00000000-0005-0000-0000-00007F5F0000}"/>
    <cellStyle name="Normal 3 19 6 10 2" xfId="24457" xr:uid="{00000000-0005-0000-0000-0000805F0000}"/>
    <cellStyle name="Normal 3 19 6 10 3" xfId="24458" xr:uid="{00000000-0005-0000-0000-0000815F0000}"/>
    <cellStyle name="Normal 3 19 6 11" xfId="24459" xr:uid="{00000000-0005-0000-0000-0000825F0000}"/>
    <cellStyle name="Normal 3 19 6 11 2" xfId="24460" xr:uid="{00000000-0005-0000-0000-0000835F0000}"/>
    <cellStyle name="Normal 3 19 6 11 3" xfId="24461" xr:uid="{00000000-0005-0000-0000-0000845F0000}"/>
    <cellStyle name="Normal 3 19 6 12" xfId="24462" xr:uid="{00000000-0005-0000-0000-0000855F0000}"/>
    <cellStyle name="Normal 3 19 6 12 2" xfId="24463" xr:uid="{00000000-0005-0000-0000-0000865F0000}"/>
    <cellStyle name="Normal 3 19 6 12 3" xfId="24464" xr:uid="{00000000-0005-0000-0000-0000875F0000}"/>
    <cellStyle name="Normal 3 19 6 13" xfId="24465" xr:uid="{00000000-0005-0000-0000-0000885F0000}"/>
    <cellStyle name="Normal 3 19 6 13 2" xfId="24466" xr:uid="{00000000-0005-0000-0000-0000895F0000}"/>
    <cellStyle name="Normal 3 19 6 13 3" xfId="24467" xr:uid="{00000000-0005-0000-0000-00008A5F0000}"/>
    <cellStyle name="Normal 3 19 6 14" xfId="24468" xr:uid="{00000000-0005-0000-0000-00008B5F0000}"/>
    <cellStyle name="Normal 3 19 6 14 2" xfId="24469" xr:uid="{00000000-0005-0000-0000-00008C5F0000}"/>
    <cellStyle name="Normal 3 19 6 14 3" xfId="24470" xr:uid="{00000000-0005-0000-0000-00008D5F0000}"/>
    <cellStyle name="Normal 3 19 6 15" xfId="24471" xr:uid="{00000000-0005-0000-0000-00008E5F0000}"/>
    <cellStyle name="Normal 3 19 6 15 2" xfId="24472" xr:uid="{00000000-0005-0000-0000-00008F5F0000}"/>
    <cellStyle name="Normal 3 19 6 15 3" xfId="24473" xr:uid="{00000000-0005-0000-0000-0000905F0000}"/>
    <cellStyle name="Normal 3 19 6 16" xfId="24474" xr:uid="{00000000-0005-0000-0000-0000915F0000}"/>
    <cellStyle name="Normal 3 19 6 17" xfId="24475" xr:uid="{00000000-0005-0000-0000-0000925F0000}"/>
    <cellStyle name="Normal 3 19 6 2" xfId="24476" xr:uid="{00000000-0005-0000-0000-0000935F0000}"/>
    <cellStyle name="Normal 3 19 6 2 10" xfId="24477" xr:uid="{00000000-0005-0000-0000-0000945F0000}"/>
    <cellStyle name="Normal 3 19 6 2 10 2" xfId="24478" xr:uid="{00000000-0005-0000-0000-0000955F0000}"/>
    <cellStyle name="Normal 3 19 6 2 10 3" xfId="24479" xr:uid="{00000000-0005-0000-0000-0000965F0000}"/>
    <cellStyle name="Normal 3 19 6 2 11" xfId="24480" xr:uid="{00000000-0005-0000-0000-0000975F0000}"/>
    <cellStyle name="Normal 3 19 6 2 11 2" xfId="24481" xr:uid="{00000000-0005-0000-0000-0000985F0000}"/>
    <cellStyle name="Normal 3 19 6 2 11 3" xfId="24482" xr:uid="{00000000-0005-0000-0000-0000995F0000}"/>
    <cellStyle name="Normal 3 19 6 2 12" xfId="24483" xr:uid="{00000000-0005-0000-0000-00009A5F0000}"/>
    <cellStyle name="Normal 3 19 6 2 12 2" xfId="24484" xr:uid="{00000000-0005-0000-0000-00009B5F0000}"/>
    <cellStyle name="Normal 3 19 6 2 12 3" xfId="24485" xr:uid="{00000000-0005-0000-0000-00009C5F0000}"/>
    <cellStyle name="Normal 3 19 6 2 13" xfId="24486" xr:uid="{00000000-0005-0000-0000-00009D5F0000}"/>
    <cellStyle name="Normal 3 19 6 2 13 2" xfId="24487" xr:uid="{00000000-0005-0000-0000-00009E5F0000}"/>
    <cellStyle name="Normal 3 19 6 2 13 3" xfId="24488" xr:uid="{00000000-0005-0000-0000-00009F5F0000}"/>
    <cellStyle name="Normal 3 19 6 2 14" xfId="24489" xr:uid="{00000000-0005-0000-0000-0000A05F0000}"/>
    <cellStyle name="Normal 3 19 6 2 14 2" xfId="24490" xr:uid="{00000000-0005-0000-0000-0000A15F0000}"/>
    <cellStyle name="Normal 3 19 6 2 14 3" xfId="24491" xr:uid="{00000000-0005-0000-0000-0000A25F0000}"/>
    <cellStyle name="Normal 3 19 6 2 15" xfId="24492" xr:uid="{00000000-0005-0000-0000-0000A35F0000}"/>
    <cellStyle name="Normal 3 19 6 2 16" xfId="24493" xr:uid="{00000000-0005-0000-0000-0000A45F0000}"/>
    <cellStyle name="Normal 3 19 6 2 2" xfId="24494" xr:uid="{00000000-0005-0000-0000-0000A55F0000}"/>
    <cellStyle name="Normal 3 19 6 2 2 2" xfId="24495" xr:uid="{00000000-0005-0000-0000-0000A65F0000}"/>
    <cellStyle name="Normal 3 19 6 2 2 3" xfId="24496" xr:uid="{00000000-0005-0000-0000-0000A75F0000}"/>
    <cellStyle name="Normal 3 19 6 2 3" xfId="24497" xr:uid="{00000000-0005-0000-0000-0000A85F0000}"/>
    <cellStyle name="Normal 3 19 6 2 3 2" xfId="24498" xr:uid="{00000000-0005-0000-0000-0000A95F0000}"/>
    <cellStyle name="Normal 3 19 6 2 3 3" xfId="24499" xr:uid="{00000000-0005-0000-0000-0000AA5F0000}"/>
    <cellStyle name="Normal 3 19 6 2 4" xfId="24500" xr:uid="{00000000-0005-0000-0000-0000AB5F0000}"/>
    <cellStyle name="Normal 3 19 6 2 4 2" xfId="24501" xr:uid="{00000000-0005-0000-0000-0000AC5F0000}"/>
    <cellStyle name="Normal 3 19 6 2 4 3" xfId="24502" xr:uid="{00000000-0005-0000-0000-0000AD5F0000}"/>
    <cellStyle name="Normal 3 19 6 2 5" xfId="24503" xr:uid="{00000000-0005-0000-0000-0000AE5F0000}"/>
    <cellStyle name="Normal 3 19 6 2 5 2" xfId="24504" xr:uid="{00000000-0005-0000-0000-0000AF5F0000}"/>
    <cellStyle name="Normal 3 19 6 2 5 3" xfId="24505" xr:uid="{00000000-0005-0000-0000-0000B05F0000}"/>
    <cellStyle name="Normal 3 19 6 2 6" xfId="24506" xr:uid="{00000000-0005-0000-0000-0000B15F0000}"/>
    <cellStyle name="Normal 3 19 6 2 6 2" xfId="24507" xr:uid="{00000000-0005-0000-0000-0000B25F0000}"/>
    <cellStyle name="Normal 3 19 6 2 6 3" xfId="24508" xr:uid="{00000000-0005-0000-0000-0000B35F0000}"/>
    <cellStyle name="Normal 3 19 6 2 7" xfId="24509" xr:uid="{00000000-0005-0000-0000-0000B45F0000}"/>
    <cellStyle name="Normal 3 19 6 2 7 2" xfId="24510" xr:uid="{00000000-0005-0000-0000-0000B55F0000}"/>
    <cellStyle name="Normal 3 19 6 2 7 3" xfId="24511" xr:uid="{00000000-0005-0000-0000-0000B65F0000}"/>
    <cellStyle name="Normal 3 19 6 2 8" xfId="24512" xr:uid="{00000000-0005-0000-0000-0000B75F0000}"/>
    <cellStyle name="Normal 3 19 6 2 8 2" xfId="24513" xr:uid="{00000000-0005-0000-0000-0000B85F0000}"/>
    <cellStyle name="Normal 3 19 6 2 8 3" xfId="24514" xr:uid="{00000000-0005-0000-0000-0000B95F0000}"/>
    <cellStyle name="Normal 3 19 6 2 9" xfId="24515" xr:uid="{00000000-0005-0000-0000-0000BA5F0000}"/>
    <cellStyle name="Normal 3 19 6 2 9 2" xfId="24516" xr:uid="{00000000-0005-0000-0000-0000BB5F0000}"/>
    <cellStyle name="Normal 3 19 6 2 9 3" xfId="24517" xr:uid="{00000000-0005-0000-0000-0000BC5F0000}"/>
    <cellStyle name="Normal 3 19 6 3" xfId="24518" xr:uid="{00000000-0005-0000-0000-0000BD5F0000}"/>
    <cellStyle name="Normal 3 19 6 3 2" xfId="24519" xr:uid="{00000000-0005-0000-0000-0000BE5F0000}"/>
    <cellStyle name="Normal 3 19 6 3 3" xfId="24520" xr:uid="{00000000-0005-0000-0000-0000BF5F0000}"/>
    <cellStyle name="Normal 3 19 6 4" xfId="24521" xr:uid="{00000000-0005-0000-0000-0000C05F0000}"/>
    <cellStyle name="Normal 3 19 6 4 2" xfId="24522" xr:uid="{00000000-0005-0000-0000-0000C15F0000}"/>
    <cellStyle name="Normal 3 19 6 4 3" xfId="24523" xr:uid="{00000000-0005-0000-0000-0000C25F0000}"/>
    <cellStyle name="Normal 3 19 6 5" xfId="24524" xr:uid="{00000000-0005-0000-0000-0000C35F0000}"/>
    <cellStyle name="Normal 3 19 6 5 2" xfId="24525" xr:uid="{00000000-0005-0000-0000-0000C45F0000}"/>
    <cellStyle name="Normal 3 19 6 5 3" xfId="24526" xr:uid="{00000000-0005-0000-0000-0000C55F0000}"/>
    <cellStyle name="Normal 3 19 6 6" xfId="24527" xr:uid="{00000000-0005-0000-0000-0000C65F0000}"/>
    <cellStyle name="Normal 3 19 6 6 2" xfId="24528" xr:uid="{00000000-0005-0000-0000-0000C75F0000}"/>
    <cellStyle name="Normal 3 19 6 6 3" xfId="24529" xr:uid="{00000000-0005-0000-0000-0000C85F0000}"/>
    <cellStyle name="Normal 3 19 6 7" xfId="24530" xr:uid="{00000000-0005-0000-0000-0000C95F0000}"/>
    <cellStyle name="Normal 3 19 6 7 2" xfId="24531" xr:uid="{00000000-0005-0000-0000-0000CA5F0000}"/>
    <cellStyle name="Normal 3 19 6 7 3" xfId="24532" xr:uid="{00000000-0005-0000-0000-0000CB5F0000}"/>
    <cellStyle name="Normal 3 19 6 8" xfId="24533" xr:uid="{00000000-0005-0000-0000-0000CC5F0000}"/>
    <cellStyle name="Normal 3 19 6 8 2" xfId="24534" xr:uid="{00000000-0005-0000-0000-0000CD5F0000}"/>
    <cellStyle name="Normal 3 19 6 8 3" xfId="24535" xr:uid="{00000000-0005-0000-0000-0000CE5F0000}"/>
    <cellStyle name="Normal 3 19 6 9" xfId="24536" xr:uid="{00000000-0005-0000-0000-0000CF5F0000}"/>
    <cellStyle name="Normal 3 19 6 9 2" xfId="24537" xr:uid="{00000000-0005-0000-0000-0000D05F0000}"/>
    <cellStyle name="Normal 3 19 6 9 3" xfId="24538" xr:uid="{00000000-0005-0000-0000-0000D15F0000}"/>
    <cellStyle name="Normal 3 19 7" xfId="24539" xr:uid="{00000000-0005-0000-0000-0000D25F0000}"/>
    <cellStyle name="Normal 3 19 7 10" xfId="24540" xr:uid="{00000000-0005-0000-0000-0000D35F0000}"/>
    <cellStyle name="Normal 3 19 7 10 2" xfId="24541" xr:uid="{00000000-0005-0000-0000-0000D45F0000}"/>
    <cellStyle name="Normal 3 19 7 10 3" xfId="24542" xr:uid="{00000000-0005-0000-0000-0000D55F0000}"/>
    <cellStyle name="Normal 3 19 7 11" xfId="24543" xr:uid="{00000000-0005-0000-0000-0000D65F0000}"/>
    <cellStyle name="Normal 3 19 7 11 2" xfId="24544" xr:uid="{00000000-0005-0000-0000-0000D75F0000}"/>
    <cellStyle name="Normal 3 19 7 11 3" xfId="24545" xr:uid="{00000000-0005-0000-0000-0000D85F0000}"/>
    <cellStyle name="Normal 3 19 7 12" xfId="24546" xr:uid="{00000000-0005-0000-0000-0000D95F0000}"/>
    <cellStyle name="Normal 3 19 7 12 2" xfId="24547" xr:uid="{00000000-0005-0000-0000-0000DA5F0000}"/>
    <cellStyle name="Normal 3 19 7 12 3" xfId="24548" xr:uid="{00000000-0005-0000-0000-0000DB5F0000}"/>
    <cellStyle name="Normal 3 19 7 13" xfId="24549" xr:uid="{00000000-0005-0000-0000-0000DC5F0000}"/>
    <cellStyle name="Normal 3 19 7 13 2" xfId="24550" xr:uid="{00000000-0005-0000-0000-0000DD5F0000}"/>
    <cellStyle name="Normal 3 19 7 13 3" xfId="24551" xr:uid="{00000000-0005-0000-0000-0000DE5F0000}"/>
    <cellStyle name="Normal 3 19 7 14" xfId="24552" xr:uid="{00000000-0005-0000-0000-0000DF5F0000}"/>
    <cellStyle name="Normal 3 19 7 14 2" xfId="24553" xr:uid="{00000000-0005-0000-0000-0000E05F0000}"/>
    <cellStyle name="Normal 3 19 7 14 3" xfId="24554" xr:uid="{00000000-0005-0000-0000-0000E15F0000}"/>
    <cellStyle name="Normal 3 19 7 15" xfId="24555" xr:uid="{00000000-0005-0000-0000-0000E25F0000}"/>
    <cellStyle name="Normal 3 19 7 15 2" xfId="24556" xr:uid="{00000000-0005-0000-0000-0000E35F0000}"/>
    <cellStyle name="Normal 3 19 7 15 3" xfId="24557" xr:uid="{00000000-0005-0000-0000-0000E45F0000}"/>
    <cellStyle name="Normal 3 19 7 16" xfId="24558" xr:uid="{00000000-0005-0000-0000-0000E55F0000}"/>
    <cellStyle name="Normal 3 19 7 17" xfId="24559" xr:uid="{00000000-0005-0000-0000-0000E65F0000}"/>
    <cellStyle name="Normal 3 19 7 2" xfId="24560" xr:uid="{00000000-0005-0000-0000-0000E75F0000}"/>
    <cellStyle name="Normal 3 19 7 2 10" xfId="24561" xr:uid="{00000000-0005-0000-0000-0000E85F0000}"/>
    <cellStyle name="Normal 3 19 7 2 10 2" xfId="24562" xr:uid="{00000000-0005-0000-0000-0000E95F0000}"/>
    <cellStyle name="Normal 3 19 7 2 10 3" xfId="24563" xr:uid="{00000000-0005-0000-0000-0000EA5F0000}"/>
    <cellStyle name="Normal 3 19 7 2 11" xfId="24564" xr:uid="{00000000-0005-0000-0000-0000EB5F0000}"/>
    <cellStyle name="Normal 3 19 7 2 11 2" xfId="24565" xr:uid="{00000000-0005-0000-0000-0000EC5F0000}"/>
    <cellStyle name="Normal 3 19 7 2 11 3" xfId="24566" xr:uid="{00000000-0005-0000-0000-0000ED5F0000}"/>
    <cellStyle name="Normal 3 19 7 2 12" xfId="24567" xr:uid="{00000000-0005-0000-0000-0000EE5F0000}"/>
    <cellStyle name="Normal 3 19 7 2 12 2" xfId="24568" xr:uid="{00000000-0005-0000-0000-0000EF5F0000}"/>
    <cellStyle name="Normal 3 19 7 2 12 3" xfId="24569" xr:uid="{00000000-0005-0000-0000-0000F05F0000}"/>
    <cellStyle name="Normal 3 19 7 2 13" xfId="24570" xr:uid="{00000000-0005-0000-0000-0000F15F0000}"/>
    <cellStyle name="Normal 3 19 7 2 13 2" xfId="24571" xr:uid="{00000000-0005-0000-0000-0000F25F0000}"/>
    <cellStyle name="Normal 3 19 7 2 13 3" xfId="24572" xr:uid="{00000000-0005-0000-0000-0000F35F0000}"/>
    <cellStyle name="Normal 3 19 7 2 14" xfId="24573" xr:uid="{00000000-0005-0000-0000-0000F45F0000}"/>
    <cellStyle name="Normal 3 19 7 2 14 2" xfId="24574" xr:uid="{00000000-0005-0000-0000-0000F55F0000}"/>
    <cellStyle name="Normal 3 19 7 2 14 3" xfId="24575" xr:uid="{00000000-0005-0000-0000-0000F65F0000}"/>
    <cellStyle name="Normal 3 19 7 2 15" xfId="24576" xr:uid="{00000000-0005-0000-0000-0000F75F0000}"/>
    <cellStyle name="Normal 3 19 7 2 16" xfId="24577" xr:uid="{00000000-0005-0000-0000-0000F85F0000}"/>
    <cellStyle name="Normal 3 19 7 2 2" xfId="24578" xr:uid="{00000000-0005-0000-0000-0000F95F0000}"/>
    <cellStyle name="Normal 3 19 7 2 2 2" xfId="24579" xr:uid="{00000000-0005-0000-0000-0000FA5F0000}"/>
    <cellStyle name="Normal 3 19 7 2 2 3" xfId="24580" xr:uid="{00000000-0005-0000-0000-0000FB5F0000}"/>
    <cellStyle name="Normal 3 19 7 2 3" xfId="24581" xr:uid="{00000000-0005-0000-0000-0000FC5F0000}"/>
    <cellStyle name="Normal 3 19 7 2 3 2" xfId="24582" xr:uid="{00000000-0005-0000-0000-0000FD5F0000}"/>
    <cellStyle name="Normal 3 19 7 2 3 3" xfId="24583" xr:uid="{00000000-0005-0000-0000-0000FE5F0000}"/>
    <cellStyle name="Normal 3 19 7 2 4" xfId="24584" xr:uid="{00000000-0005-0000-0000-0000FF5F0000}"/>
    <cellStyle name="Normal 3 19 7 2 4 2" xfId="24585" xr:uid="{00000000-0005-0000-0000-000000600000}"/>
    <cellStyle name="Normal 3 19 7 2 4 3" xfId="24586" xr:uid="{00000000-0005-0000-0000-000001600000}"/>
    <cellStyle name="Normal 3 19 7 2 5" xfId="24587" xr:uid="{00000000-0005-0000-0000-000002600000}"/>
    <cellStyle name="Normal 3 19 7 2 5 2" xfId="24588" xr:uid="{00000000-0005-0000-0000-000003600000}"/>
    <cellStyle name="Normal 3 19 7 2 5 3" xfId="24589" xr:uid="{00000000-0005-0000-0000-000004600000}"/>
    <cellStyle name="Normal 3 19 7 2 6" xfId="24590" xr:uid="{00000000-0005-0000-0000-000005600000}"/>
    <cellStyle name="Normal 3 19 7 2 6 2" xfId="24591" xr:uid="{00000000-0005-0000-0000-000006600000}"/>
    <cellStyle name="Normal 3 19 7 2 6 3" xfId="24592" xr:uid="{00000000-0005-0000-0000-000007600000}"/>
    <cellStyle name="Normal 3 19 7 2 7" xfId="24593" xr:uid="{00000000-0005-0000-0000-000008600000}"/>
    <cellStyle name="Normal 3 19 7 2 7 2" xfId="24594" xr:uid="{00000000-0005-0000-0000-000009600000}"/>
    <cellStyle name="Normal 3 19 7 2 7 3" xfId="24595" xr:uid="{00000000-0005-0000-0000-00000A600000}"/>
    <cellStyle name="Normal 3 19 7 2 8" xfId="24596" xr:uid="{00000000-0005-0000-0000-00000B600000}"/>
    <cellStyle name="Normal 3 19 7 2 8 2" xfId="24597" xr:uid="{00000000-0005-0000-0000-00000C600000}"/>
    <cellStyle name="Normal 3 19 7 2 8 3" xfId="24598" xr:uid="{00000000-0005-0000-0000-00000D600000}"/>
    <cellStyle name="Normal 3 19 7 2 9" xfId="24599" xr:uid="{00000000-0005-0000-0000-00000E600000}"/>
    <cellStyle name="Normal 3 19 7 2 9 2" xfId="24600" xr:uid="{00000000-0005-0000-0000-00000F600000}"/>
    <cellStyle name="Normal 3 19 7 2 9 3" xfId="24601" xr:uid="{00000000-0005-0000-0000-000010600000}"/>
    <cellStyle name="Normal 3 19 7 3" xfId="24602" xr:uid="{00000000-0005-0000-0000-000011600000}"/>
    <cellStyle name="Normal 3 19 7 3 2" xfId="24603" xr:uid="{00000000-0005-0000-0000-000012600000}"/>
    <cellStyle name="Normal 3 19 7 3 3" xfId="24604" xr:uid="{00000000-0005-0000-0000-000013600000}"/>
    <cellStyle name="Normal 3 19 7 4" xfId="24605" xr:uid="{00000000-0005-0000-0000-000014600000}"/>
    <cellStyle name="Normal 3 19 7 4 2" xfId="24606" xr:uid="{00000000-0005-0000-0000-000015600000}"/>
    <cellStyle name="Normal 3 19 7 4 3" xfId="24607" xr:uid="{00000000-0005-0000-0000-000016600000}"/>
    <cellStyle name="Normal 3 19 7 5" xfId="24608" xr:uid="{00000000-0005-0000-0000-000017600000}"/>
    <cellStyle name="Normal 3 19 7 5 2" xfId="24609" xr:uid="{00000000-0005-0000-0000-000018600000}"/>
    <cellStyle name="Normal 3 19 7 5 3" xfId="24610" xr:uid="{00000000-0005-0000-0000-000019600000}"/>
    <cellStyle name="Normal 3 19 7 6" xfId="24611" xr:uid="{00000000-0005-0000-0000-00001A600000}"/>
    <cellStyle name="Normal 3 19 7 6 2" xfId="24612" xr:uid="{00000000-0005-0000-0000-00001B600000}"/>
    <cellStyle name="Normal 3 19 7 6 3" xfId="24613" xr:uid="{00000000-0005-0000-0000-00001C600000}"/>
    <cellStyle name="Normal 3 19 7 7" xfId="24614" xr:uid="{00000000-0005-0000-0000-00001D600000}"/>
    <cellStyle name="Normal 3 19 7 7 2" xfId="24615" xr:uid="{00000000-0005-0000-0000-00001E600000}"/>
    <cellStyle name="Normal 3 19 7 7 3" xfId="24616" xr:uid="{00000000-0005-0000-0000-00001F600000}"/>
    <cellStyle name="Normal 3 19 7 8" xfId="24617" xr:uid="{00000000-0005-0000-0000-000020600000}"/>
    <cellStyle name="Normal 3 19 7 8 2" xfId="24618" xr:uid="{00000000-0005-0000-0000-000021600000}"/>
    <cellStyle name="Normal 3 19 7 8 3" xfId="24619" xr:uid="{00000000-0005-0000-0000-000022600000}"/>
    <cellStyle name="Normal 3 19 7 9" xfId="24620" xr:uid="{00000000-0005-0000-0000-000023600000}"/>
    <cellStyle name="Normal 3 19 7 9 2" xfId="24621" xr:uid="{00000000-0005-0000-0000-000024600000}"/>
    <cellStyle name="Normal 3 19 7 9 3" xfId="24622" xr:uid="{00000000-0005-0000-0000-000025600000}"/>
    <cellStyle name="Normal 3 19 8" xfId="24623" xr:uid="{00000000-0005-0000-0000-000026600000}"/>
    <cellStyle name="Normal 3 19 8 10" xfId="24624" xr:uid="{00000000-0005-0000-0000-000027600000}"/>
    <cellStyle name="Normal 3 19 8 10 2" xfId="24625" xr:uid="{00000000-0005-0000-0000-000028600000}"/>
    <cellStyle name="Normal 3 19 8 10 3" xfId="24626" xr:uid="{00000000-0005-0000-0000-000029600000}"/>
    <cellStyle name="Normal 3 19 8 11" xfId="24627" xr:uid="{00000000-0005-0000-0000-00002A600000}"/>
    <cellStyle name="Normal 3 19 8 11 2" xfId="24628" xr:uid="{00000000-0005-0000-0000-00002B600000}"/>
    <cellStyle name="Normal 3 19 8 11 3" xfId="24629" xr:uid="{00000000-0005-0000-0000-00002C600000}"/>
    <cellStyle name="Normal 3 19 8 12" xfId="24630" xr:uid="{00000000-0005-0000-0000-00002D600000}"/>
    <cellStyle name="Normal 3 19 8 12 2" xfId="24631" xr:uid="{00000000-0005-0000-0000-00002E600000}"/>
    <cellStyle name="Normal 3 19 8 12 3" xfId="24632" xr:uid="{00000000-0005-0000-0000-00002F600000}"/>
    <cellStyle name="Normal 3 19 8 13" xfId="24633" xr:uid="{00000000-0005-0000-0000-000030600000}"/>
    <cellStyle name="Normal 3 19 8 13 2" xfId="24634" xr:uid="{00000000-0005-0000-0000-000031600000}"/>
    <cellStyle name="Normal 3 19 8 13 3" xfId="24635" xr:uid="{00000000-0005-0000-0000-000032600000}"/>
    <cellStyle name="Normal 3 19 8 14" xfId="24636" xr:uid="{00000000-0005-0000-0000-000033600000}"/>
    <cellStyle name="Normal 3 19 8 14 2" xfId="24637" xr:uid="{00000000-0005-0000-0000-000034600000}"/>
    <cellStyle name="Normal 3 19 8 14 3" xfId="24638" xr:uid="{00000000-0005-0000-0000-000035600000}"/>
    <cellStyle name="Normal 3 19 8 15" xfId="24639" xr:uid="{00000000-0005-0000-0000-000036600000}"/>
    <cellStyle name="Normal 3 19 8 15 2" xfId="24640" xr:uid="{00000000-0005-0000-0000-000037600000}"/>
    <cellStyle name="Normal 3 19 8 15 3" xfId="24641" xr:uid="{00000000-0005-0000-0000-000038600000}"/>
    <cellStyle name="Normal 3 19 8 16" xfId="24642" xr:uid="{00000000-0005-0000-0000-000039600000}"/>
    <cellStyle name="Normal 3 19 8 17" xfId="24643" xr:uid="{00000000-0005-0000-0000-00003A600000}"/>
    <cellStyle name="Normal 3 19 8 2" xfId="24644" xr:uid="{00000000-0005-0000-0000-00003B600000}"/>
    <cellStyle name="Normal 3 19 8 2 10" xfId="24645" xr:uid="{00000000-0005-0000-0000-00003C600000}"/>
    <cellStyle name="Normal 3 19 8 2 10 2" xfId="24646" xr:uid="{00000000-0005-0000-0000-00003D600000}"/>
    <cellStyle name="Normal 3 19 8 2 10 3" xfId="24647" xr:uid="{00000000-0005-0000-0000-00003E600000}"/>
    <cellStyle name="Normal 3 19 8 2 11" xfId="24648" xr:uid="{00000000-0005-0000-0000-00003F600000}"/>
    <cellStyle name="Normal 3 19 8 2 11 2" xfId="24649" xr:uid="{00000000-0005-0000-0000-000040600000}"/>
    <cellStyle name="Normal 3 19 8 2 11 3" xfId="24650" xr:uid="{00000000-0005-0000-0000-000041600000}"/>
    <cellStyle name="Normal 3 19 8 2 12" xfId="24651" xr:uid="{00000000-0005-0000-0000-000042600000}"/>
    <cellStyle name="Normal 3 19 8 2 12 2" xfId="24652" xr:uid="{00000000-0005-0000-0000-000043600000}"/>
    <cellStyle name="Normal 3 19 8 2 12 3" xfId="24653" xr:uid="{00000000-0005-0000-0000-000044600000}"/>
    <cellStyle name="Normal 3 19 8 2 13" xfId="24654" xr:uid="{00000000-0005-0000-0000-000045600000}"/>
    <cellStyle name="Normal 3 19 8 2 13 2" xfId="24655" xr:uid="{00000000-0005-0000-0000-000046600000}"/>
    <cellStyle name="Normal 3 19 8 2 13 3" xfId="24656" xr:uid="{00000000-0005-0000-0000-000047600000}"/>
    <cellStyle name="Normal 3 19 8 2 14" xfId="24657" xr:uid="{00000000-0005-0000-0000-000048600000}"/>
    <cellStyle name="Normal 3 19 8 2 14 2" xfId="24658" xr:uid="{00000000-0005-0000-0000-000049600000}"/>
    <cellStyle name="Normal 3 19 8 2 14 3" xfId="24659" xr:uid="{00000000-0005-0000-0000-00004A600000}"/>
    <cellStyle name="Normal 3 19 8 2 15" xfId="24660" xr:uid="{00000000-0005-0000-0000-00004B600000}"/>
    <cellStyle name="Normal 3 19 8 2 16" xfId="24661" xr:uid="{00000000-0005-0000-0000-00004C600000}"/>
    <cellStyle name="Normal 3 19 8 2 2" xfId="24662" xr:uid="{00000000-0005-0000-0000-00004D600000}"/>
    <cellStyle name="Normal 3 19 8 2 2 2" xfId="24663" xr:uid="{00000000-0005-0000-0000-00004E600000}"/>
    <cellStyle name="Normal 3 19 8 2 2 3" xfId="24664" xr:uid="{00000000-0005-0000-0000-00004F600000}"/>
    <cellStyle name="Normal 3 19 8 2 3" xfId="24665" xr:uid="{00000000-0005-0000-0000-000050600000}"/>
    <cellStyle name="Normal 3 19 8 2 3 2" xfId="24666" xr:uid="{00000000-0005-0000-0000-000051600000}"/>
    <cellStyle name="Normal 3 19 8 2 3 3" xfId="24667" xr:uid="{00000000-0005-0000-0000-000052600000}"/>
    <cellStyle name="Normal 3 19 8 2 4" xfId="24668" xr:uid="{00000000-0005-0000-0000-000053600000}"/>
    <cellStyle name="Normal 3 19 8 2 4 2" xfId="24669" xr:uid="{00000000-0005-0000-0000-000054600000}"/>
    <cellStyle name="Normal 3 19 8 2 4 3" xfId="24670" xr:uid="{00000000-0005-0000-0000-000055600000}"/>
    <cellStyle name="Normal 3 19 8 2 5" xfId="24671" xr:uid="{00000000-0005-0000-0000-000056600000}"/>
    <cellStyle name="Normal 3 19 8 2 5 2" xfId="24672" xr:uid="{00000000-0005-0000-0000-000057600000}"/>
    <cellStyle name="Normal 3 19 8 2 5 3" xfId="24673" xr:uid="{00000000-0005-0000-0000-000058600000}"/>
    <cellStyle name="Normal 3 19 8 2 6" xfId="24674" xr:uid="{00000000-0005-0000-0000-000059600000}"/>
    <cellStyle name="Normal 3 19 8 2 6 2" xfId="24675" xr:uid="{00000000-0005-0000-0000-00005A600000}"/>
    <cellStyle name="Normal 3 19 8 2 6 3" xfId="24676" xr:uid="{00000000-0005-0000-0000-00005B600000}"/>
    <cellStyle name="Normal 3 19 8 2 7" xfId="24677" xr:uid="{00000000-0005-0000-0000-00005C600000}"/>
    <cellStyle name="Normal 3 19 8 2 7 2" xfId="24678" xr:uid="{00000000-0005-0000-0000-00005D600000}"/>
    <cellStyle name="Normal 3 19 8 2 7 3" xfId="24679" xr:uid="{00000000-0005-0000-0000-00005E600000}"/>
    <cellStyle name="Normal 3 19 8 2 8" xfId="24680" xr:uid="{00000000-0005-0000-0000-00005F600000}"/>
    <cellStyle name="Normal 3 19 8 2 8 2" xfId="24681" xr:uid="{00000000-0005-0000-0000-000060600000}"/>
    <cellStyle name="Normal 3 19 8 2 8 3" xfId="24682" xr:uid="{00000000-0005-0000-0000-000061600000}"/>
    <cellStyle name="Normal 3 19 8 2 9" xfId="24683" xr:uid="{00000000-0005-0000-0000-000062600000}"/>
    <cellStyle name="Normal 3 19 8 2 9 2" xfId="24684" xr:uid="{00000000-0005-0000-0000-000063600000}"/>
    <cellStyle name="Normal 3 19 8 2 9 3" xfId="24685" xr:uid="{00000000-0005-0000-0000-000064600000}"/>
    <cellStyle name="Normal 3 19 8 3" xfId="24686" xr:uid="{00000000-0005-0000-0000-000065600000}"/>
    <cellStyle name="Normal 3 19 8 3 2" xfId="24687" xr:uid="{00000000-0005-0000-0000-000066600000}"/>
    <cellStyle name="Normal 3 19 8 3 3" xfId="24688" xr:uid="{00000000-0005-0000-0000-000067600000}"/>
    <cellStyle name="Normal 3 19 8 4" xfId="24689" xr:uid="{00000000-0005-0000-0000-000068600000}"/>
    <cellStyle name="Normal 3 19 8 4 2" xfId="24690" xr:uid="{00000000-0005-0000-0000-000069600000}"/>
    <cellStyle name="Normal 3 19 8 4 3" xfId="24691" xr:uid="{00000000-0005-0000-0000-00006A600000}"/>
    <cellStyle name="Normal 3 19 8 5" xfId="24692" xr:uid="{00000000-0005-0000-0000-00006B600000}"/>
    <cellStyle name="Normal 3 19 8 5 2" xfId="24693" xr:uid="{00000000-0005-0000-0000-00006C600000}"/>
    <cellStyle name="Normal 3 19 8 5 3" xfId="24694" xr:uid="{00000000-0005-0000-0000-00006D600000}"/>
    <cellStyle name="Normal 3 19 8 6" xfId="24695" xr:uid="{00000000-0005-0000-0000-00006E600000}"/>
    <cellStyle name="Normal 3 19 8 6 2" xfId="24696" xr:uid="{00000000-0005-0000-0000-00006F600000}"/>
    <cellStyle name="Normal 3 19 8 6 3" xfId="24697" xr:uid="{00000000-0005-0000-0000-000070600000}"/>
    <cellStyle name="Normal 3 19 8 7" xfId="24698" xr:uid="{00000000-0005-0000-0000-000071600000}"/>
    <cellStyle name="Normal 3 19 8 7 2" xfId="24699" xr:uid="{00000000-0005-0000-0000-000072600000}"/>
    <cellStyle name="Normal 3 19 8 7 3" xfId="24700" xr:uid="{00000000-0005-0000-0000-000073600000}"/>
    <cellStyle name="Normal 3 19 8 8" xfId="24701" xr:uid="{00000000-0005-0000-0000-000074600000}"/>
    <cellStyle name="Normal 3 19 8 8 2" xfId="24702" xr:uid="{00000000-0005-0000-0000-000075600000}"/>
    <cellStyle name="Normal 3 19 8 8 3" xfId="24703" xr:uid="{00000000-0005-0000-0000-000076600000}"/>
    <cellStyle name="Normal 3 19 8 9" xfId="24704" xr:uid="{00000000-0005-0000-0000-000077600000}"/>
    <cellStyle name="Normal 3 19 8 9 2" xfId="24705" xr:uid="{00000000-0005-0000-0000-000078600000}"/>
    <cellStyle name="Normal 3 19 8 9 3" xfId="24706" xr:uid="{00000000-0005-0000-0000-000079600000}"/>
    <cellStyle name="Normal 3 19 9" xfId="24707" xr:uid="{00000000-0005-0000-0000-00007A600000}"/>
    <cellStyle name="Normal 3 19 9 10" xfId="24708" xr:uid="{00000000-0005-0000-0000-00007B600000}"/>
    <cellStyle name="Normal 3 19 9 10 2" xfId="24709" xr:uid="{00000000-0005-0000-0000-00007C600000}"/>
    <cellStyle name="Normal 3 19 9 10 3" xfId="24710" xr:uid="{00000000-0005-0000-0000-00007D600000}"/>
    <cellStyle name="Normal 3 19 9 11" xfId="24711" xr:uid="{00000000-0005-0000-0000-00007E600000}"/>
    <cellStyle name="Normal 3 19 9 11 2" xfId="24712" xr:uid="{00000000-0005-0000-0000-00007F600000}"/>
    <cellStyle name="Normal 3 19 9 11 3" xfId="24713" xr:uid="{00000000-0005-0000-0000-000080600000}"/>
    <cellStyle name="Normal 3 19 9 12" xfId="24714" xr:uid="{00000000-0005-0000-0000-000081600000}"/>
    <cellStyle name="Normal 3 19 9 12 2" xfId="24715" xr:uid="{00000000-0005-0000-0000-000082600000}"/>
    <cellStyle name="Normal 3 19 9 12 3" xfId="24716" xr:uid="{00000000-0005-0000-0000-000083600000}"/>
    <cellStyle name="Normal 3 19 9 13" xfId="24717" xr:uid="{00000000-0005-0000-0000-000084600000}"/>
    <cellStyle name="Normal 3 19 9 13 2" xfId="24718" xr:uid="{00000000-0005-0000-0000-000085600000}"/>
    <cellStyle name="Normal 3 19 9 13 3" xfId="24719" xr:uid="{00000000-0005-0000-0000-000086600000}"/>
    <cellStyle name="Normal 3 19 9 14" xfId="24720" xr:uid="{00000000-0005-0000-0000-000087600000}"/>
    <cellStyle name="Normal 3 19 9 14 2" xfId="24721" xr:uid="{00000000-0005-0000-0000-000088600000}"/>
    <cellStyle name="Normal 3 19 9 14 3" xfId="24722" xr:uid="{00000000-0005-0000-0000-000089600000}"/>
    <cellStyle name="Normal 3 19 9 15" xfId="24723" xr:uid="{00000000-0005-0000-0000-00008A600000}"/>
    <cellStyle name="Normal 3 19 9 16" xfId="24724" xr:uid="{00000000-0005-0000-0000-00008B600000}"/>
    <cellStyle name="Normal 3 19 9 2" xfId="24725" xr:uid="{00000000-0005-0000-0000-00008C600000}"/>
    <cellStyle name="Normal 3 19 9 2 2" xfId="24726" xr:uid="{00000000-0005-0000-0000-00008D600000}"/>
    <cellStyle name="Normal 3 19 9 2 3" xfId="24727" xr:uid="{00000000-0005-0000-0000-00008E600000}"/>
    <cellStyle name="Normal 3 19 9 3" xfId="24728" xr:uid="{00000000-0005-0000-0000-00008F600000}"/>
    <cellStyle name="Normal 3 19 9 3 2" xfId="24729" xr:uid="{00000000-0005-0000-0000-000090600000}"/>
    <cellStyle name="Normal 3 19 9 3 3" xfId="24730" xr:uid="{00000000-0005-0000-0000-000091600000}"/>
    <cellStyle name="Normal 3 19 9 4" xfId="24731" xr:uid="{00000000-0005-0000-0000-000092600000}"/>
    <cellStyle name="Normal 3 19 9 4 2" xfId="24732" xr:uid="{00000000-0005-0000-0000-000093600000}"/>
    <cellStyle name="Normal 3 19 9 4 3" xfId="24733" xr:uid="{00000000-0005-0000-0000-000094600000}"/>
    <cellStyle name="Normal 3 19 9 5" xfId="24734" xr:uid="{00000000-0005-0000-0000-000095600000}"/>
    <cellStyle name="Normal 3 19 9 5 2" xfId="24735" xr:uid="{00000000-0005-0000-0000-000096600000}"/>
    <cellStyle name="Normal 3 19 9 5 3" xfId="24736" xr:uid="{00000000-0005-0000-0000-000097600000}"/>
    <cellStyle name="Normal 3 19 9 6" xfId="24737" xr:uid="{00000000-0005-0000-0000-000098600000}"/>
    <cellStyle name="Normal 3 19 9 6 2" xfId="24738" xr:uid="{00000000-0005-0000-0000-000099600000}"/>
    <cellStyle name="Normal 3 19 9 6 3" xfId="24739" xr:uid="{00000000-0005-0000-0000-00009A600000}"/>
    <cellStyle name="Normal 3 19 9 7" xfId="24740" xr:uid="{00000000-0005-0000-0000-00009B600000}"/>
    <cellStyle name="Normal 3 19 9 7 2" xfId="24741" xr:uid="{00000000-0005-0000-0000-00009C600000}"/>
    <cellStyle name="Normal 3 19 9 7 3" xfId="24742" xr:uid="{00000000-0005-0000-0000-00009D600000}"/>
    <cellStyle name="Normal 3 19 9 8" xfId="24743" xr:uid="{00000000-0005-0000-0000-00009E600000}"/>
    <cellStyle name="Normal 3 19 9 8 2" xfId="24744" xr:uid="{00000000-0005-0000-0000-00009F600000}"/>
    <cellStyle name="Normal 3 19 9 8 3" xfId="24745" xr:uid="{00000000-0005-0000-0000-0000A0600000}"/>
    <cellStyle name="Normal 3 19 9 9" xfId="24746" xr:uid="{00000000-0005-0000-0000-0000A1600000}"/>
    <cellStyle name="Normal 3 19 9 9 2" xfId="24747" xr:uid="{00000000-0005-0000-0000-0000A2600000}"/>
    <cellStyle name="Normal 3 19 9 9 3" xfId="24748" xr:uid="{00000000-0005-0000-0000-0000A3600000}"/>
    <cellStyle name="Normal 3 2" xfId="24749" xr:uid="{00000000-0005-0000-0000-0000A4600000}"/>
    <cellStyle name="Normal 3 2 10" xfId="24750" xr:uid="{00000000-0005-0000-0000-0000A5600000}"/>
    <cellStyle name="Normal 3 2 11" xfId="24751" xr:uid="{00000000-0005-0000-0000-0000A6600000}"/>
    <cellStyle name="Normal 3 2 12" xfId="24752" xr:uid="{00000000-0005-0000-0000-0000A7600000}"/>
    <cellStyle name="Normal 3 2 13" xfId="24753" xr:uid="{00000000-0005-0000-0000-0000A8600000}"/>
    <cellStyle name="Normal 3 2 14" xfId="24754" xr:uid="{00000000-0005-0000-0000-0000A9600000}"/>
    <cellStyle name="Normal 3 2 15" xfId="24755" xr:uid="{00000000-0005-0000-0000-0000AA600000}"/>
    <cellStyle name="Normal 3 2 16" xfId="24756" xr:uid="{00000000-0005-0000-0000-0000AB600000}"/>
    <cellStyle name="Normal 3 2 17" xfId="24757" xr:uid="{00000000-0005-0000-0000-0000AC600000}"/>
    <cellStyle name="Normal 3 2 18" xfId="24758" xr:uid="{00000000-0005-0000-0000-0000AD600000}"/>
    <cellStyle name="Normal 3 2 19" xfId="24759" xr:uid="{00000000-0005-0000-0000-0000AE600000}"/>
    <cellStyle name="Normal 3 2 2" xfId="24760" xr:uid="{00000000-0005-0000-0000-0000AF600000}"/>
    <cellStyle name="Normal 3 2 20" xfId="24761" xr:uid="{00000000-0005-0000-0000-0000B0600000}"/>
    <cellStyle name="Normal 3 2 21" xfId="24762" xr:uid="{00000000-0005-0000-0000-0000B1600000}"/>
    <cellStyle name="Normal 3 2 22" xfId="24763" xr:uid="{00000000-0005-0000-0000-0000B2600000}"/>
    <cellStyle name="Normal 3 2 23" xfId="24764" xr:uid="{00000000-0005-0000-0000-0000B3600000}"/>
    <cellStyle name="Normal 3 2 24" xfId="24765" xr:uid="{00000000-0005-0000-0000-0000B4600000}"/>
    <cellStyle name="Normal 3 2 25" xfId="24766" xr:uid="{00000000-0005-0000-0000-0000B5600000}"/>
    <cellStyle name="Normal 3 2 25 10" xfId="24767" xr:uid="{00000000-0005-0000-0000-0000B6600000}"/>
    <cellStyle name="Normal 3 2 25 10 2" xfId="24768" xr:uid="{00000000-0005-0000-0000-0000B7600000}"/>
    <cellStyle name="Normal 3 2 25 10 3" xfId="24769" xr:uid="{00000000-0005-0000-0000-0000B8600000}"/>
    <cellStyle name="Normal 3 2 25 11" xfId="24770" xr:uid="{00000000-0005-0000-0000-0000B9600000}"/>
    <cellStyle name="Normal 3 2 25 11 2" xfId="24771" xr:uid="{00000000-0005-0000-0000-0000BA600000}"/>
    <cellStyle name="Normal 3 2 25 11 3" xfId="24772" xr:uid="{00000000-0005-0000-0000-0000BB600000}"/>
    <cellStyle name="Normal 3 2 25 12" xfId="24773" xr:uid="{00000000-0005-0000-0000-0000BC600000}"/>
    <cellStyle name="Normal 3 2 25 12 2" xfId="24774" xr:uid="{00000000-0005-0000-0000-0000BD600000}"/>
    <cellStyle name="Normal 3 2 25 12 3" xfId="24775" xr:uid="{00000000-0005-0000-0000-0000BE600000}"/>
    <cellStyle name="Normal 3 2 25 13" xfId="24776" xr:uid="{00000000-0005-0000-0000-0000BF600000}"/>
    <cellStyle name="Normal 3 2 25 13 2" xfId="24777" xr:uid="{00000000-0005-0000-0000-0000C0600000}"/>
    <cellStyle name="Normal 3 2 25 13 3" xfId="24778" xr:uid="{00000000-0005-0000-0000-0000C1600000}"/>
    <cellStyle name="Normal 3 2 25 14" xfId="24779" xr:uid="{00000000-0005-0000-0000-0000C2600000}"/>
    <cellStyle name="Normal 3 2 25 14 2" xfId="24780" xr:uid="{00000000-0005-0000-0000-0000C3600000}"/>
    <cellStyle name="Normal 3 2 25 14 3" xfId="24781" xr:uid="{00000000-0005-0000-0000-0000C4600000}"/>
    <cellStyle name="Normal 3 2 25 15" xfId="24782" xr:uid="{00000000-0005-0000-0000-0000C5600000}"/>
    <cellStyle name="Normal 3 2 25 15 2" xfId="24783" xr:uid="{00000000-0005-0000-0000-0000C6600000}"/>
    <cellStyle name="Normal 3 2 25 15 3" xfId="24784" xr:uid="{00000000-0005-0000-0000-0000C7600000}"/>
    <cellStyle name="Normal 3 2 25 16" xfId="24785" xr:uid="{00000000-0005-0000-0000-0000C8600000}"/>
    <cellStyle name="Normal 3 2 25 17" xfId="24786" xr:uid="{00000000-0005-0000-0000-0000C9600000}"/>
    <cellStyle name="Normal 3 2 25 2" xfId="24787" xr:uid="{00000000-0005-0000-0000-0000CA600000}"/>
    <cellStyle name="Normal 3 2 25 2 10" xfId="24788" xr:uid="{00000000-0005-0000-0000-0000CB600000}"/>
    <cellStyle name="Normal 3 2 25 2 10 2" xfId="24789" xr:uid="{00000000-0005-0000-0000-0000CC600000}"/>
    <cellStyle name="Normal 3 2 25 2 10 3" xfId="24790" xr:uid="{00000000-0005-0000-0000-0000CD600000}"/>
    <cellStyle name="Normal 3 2 25 2 11" xfId="24791" xr:uid="{00000000-0005-0000-0000-0000CE600000}"/>
    <cellStyle name="Normal 3 2 25 2 11 2" xfId="24792" xr:uid="{00000000-0005-0000-0000-0000CF600000}"/>
    <cellStyle name="Normal 3 2 25 2 11 3" xfId="24793" xr:uid="{00000000-0005-0000-0000-0000D0600000}"/>
    <cellStyle name="Normal 3 2 25 2 12" xfId="24794" xr:uid="{00000000-0005-0000-0000-0000D1600000}"/>
    <cellStyle name="Normal 3 2 25 2 12 2" xfId="24795" xr:uid="{00000000-0005-0000-0000-0000D2600000}"/>
    <cellStyle name="Normal 3 2 25 2 12 3" xfId="24796" xr:uid="{00000000-0005-0000-0000-0000D3600000}"/>
    <cellStyle name="Normal 3 2 25 2 13" xfId="24797" xr:uid="{00000000-0005-0000-0000-0000D4600000}"/>
    <cellStyle name="Normal 3 2 25 2 13 2" xfId="24798" xr:uid="{00000000-0005-0000-0000-0000D5600000}"/>
    <cellStyle name="Normal 3 2 25 2 13 3" xfId="24799" xr:uid="{00000000-0005-0000-0000-0000D6600000}"/>
    <cellStyle name="Normal 3 2 25 2 14" xfId="24800" xr:uid="{00000000-0005-0000-0000-0000D7600000}"/>
    <cellStyle name="Normal 3 2 25 2 14 2" xfId="24801" xr:uid="{00000000-0005-0000-0000-0000D8600000}"/>
    <cellStyle name="Normal 3 2 25 2 14 3" xfId="24802" xr:uid="{00000000-0005-0000-0000-0000D9600000}"/>
    <cellStyle name="Normal 3 2 25 2 15" xfId="24803" xr:uid="{00000000-0005-0000-0000-0000DA600000}"/>
    <cellStyle name="Normal 3 2 25 2 16" xfId="24804" xr:uid="{00000000-0005-0000-0000-0000DB600000}"/>
    <cellStyle name="Normal 3 2 25 2 2" xfId="24805" xr:uid="{00000000-0005-0000-0000-0000DC600000}"/>
    <cellStyle name="Normal 3 2 25 2 2 2" xfId="24806" xr:uid="{00000000-0005-0000-0000-0000DD600000}"/>
    <cellStyle name="Normal 3 2 25 2 2 3" xfId="24807" xr:uid="{00000000-0005-0000-0000-0000DE600000}"/>
    <cellStyle name="Normal 3 2 25 2 3" xfId="24808" xr:uid="{00000000-0005-0000-0000-0000DF600000}"/>
    <cellStyle name="Normal 3 2 25 2 3 2" xfId="24809" xr:uid="{00000000-0005-0000-0000-0000E0600000}"/>
    <cellStyle name="Normal 3 2 25 2 3 3" xfId="24810" xr:uid="{00000000-0005-0000-0000-0000E1600000}"/>
    <cellStyle name="Normal 3 2 25 2 4" xfId="24811" xr:uid="{00000000-0005-0000-0000-0000E2600000}"/>
    <cellStyle name="Normal 3 2 25 2 4 2" xfId="24812" xr:uid="{00000000-0005-0000-0000-0000E3600000}"/>
    <cellStyle name="Normal 3 2 25 2 4 3" xfId="24813" xr:uid="{00000000-0005-0000-0000-0000E4600000}"/>
    <cellStyle name="Normal 3 2 25 2 5" xfId="24814" xr:uid="{00000000-0005-0000-0000-0000E5600000}"/>
    <cellStyle name="Normal 3 2 25 2 5 2" xfId="24815" xr:uid="{00000000-0005-0000-0000-0000E6600000}"/>
    <cellStyle name="Normal 3 2 25 2 5 3" xfId="24816" xr:uid="{00000000-0005-0000-0000-0000E7600000}"/>
    <cellStyle name="Normal 3 2 25 2 6" xfId="24817" xr:uid="{00000000-0005-0000-0000-0000E8600000}"/>
    <cellStyle name="Normal 3 2 25 2 6 2" xfId="24818" xr:uid="{00000000-0005-0000-0000-0000E9600000}"/>
    <cellStyle name="Normal 3 2 25 2 6 3" xfId="24819" xr:uid="{00000000-0005-0000-0000-0000EA600000}"/>
    <cellStyle name="Normal 3 2 25 2 7" xfId="24820" xr:uid="{00000000-0005-0000-0000-0000EB600000}"/>
    <cellStyle name="Normal 3 2 25 2 7 2" xfId="24821" xr:uid="{00000000-0005-0000-0000-0000EC600000}"/>
    <cellStyle name="Normal 3 2 25 2 7 3" xfId="24822" xr:uid="{00000000-0005-0000-0000-0000ED600000}"/>
    <cellStyle name="Normal 3 2 25 2 8" xfId="24823" xr:uid="{00000000-0005-0000-0000-0000EE600000}"/>
    <cellStyle name="Normal 3 2 25 2 8 2" xfId="24824" xr:uid="{00000000-0005-0000-0000-0000EF600000}"/>
    <cellStyle name="Normal 3 2 25 2 8 3" xfId="24825" xr:uid="{00000000-0005-0000-0000-0000F0600000}"/>
    <cellStyle name="Normal 3 2 25 2 9" xfId="24826" xr:uid="{00000000-0005-0000-0000-0000F1600000}"/>
    <cellStyle name="Normal 3 2 25 2 9 2" xfId="24827" xr:uid="{00000000-0005-0000-0000-0000F2600000}"/>
    <cellStyle name="Normal 3 2 25 2 9 3" xfId="24828" xr:uid="{00000000-0005-0000-0000-0000F3600000}"/>
    <cellStyle name="Normal 3 2 25 3" xfId="24829" xr:uid="{00000000-0005-0000-0000-0000F4600000}"/>
    <cellStyle name="Normal 3 2 25 3 2" xfId="24830" xr:uid="{00000000-0005-0000-0000-0000F5600000}"/>
    <cellStyle name="Normal 3 2 25 3 3" xfId="24831" xr:uid="{00000000-0005-0000-0000-0000F6600000}"/>
    <cellStyle name="Normal 3 2 25 4" xfId="24832" xr:uid="{00000000-0005-0000-0000-0000F7600000}"/>
    <cellStyle name="Normal 3 2 25 4 2" xfId="24833" xr:uid="{00000000-0005-0000-0000-0000F8600000}"/>
    <cellStyle name="Normal 3 2 25 4 3" xfId="24834" xr:uid="{00000000-0005-0000-0000-0000F9600000}"/>
    <cellStyle name="Normal 3 2 25 5" xfId="24835" xr:uid="{00000000-0005-0000-0000-0000FA600000}"/>
    <cellStyle name="Normal 3 2 25 5 2" xfId="24836" xr:uid="{00000000-0005-0000-0000-0000FB600000}"/>
    <cellStyle name="Normal 3 2 25 5 3" xfId="24837" xr:uid="{00000000-0005-0000-0000-0000FC600000}"/>
    <cellStyle name="Normal 3 2 25 6" xfId="24838" xr:uid="{00000000-0005-0000-0000-0000FD600000}"/>
    <cellStyle name="Normal 3 2 25 6 2" xfId="24839" xr:uid="{00000000-0005-0000-0000-0000FE600000}"/>
    <cellStyle name="Normal 3 2 25 6 3" xfId="24840" xr:uid="{00000000-0005-0000-0000-0000FF600000}"/>
    <cellStyle name="Normal 3 2 25 7" xfId="24841" xr:uid="{00000000-0005-0000-0000-000000610000}"/>
    <cellStyle name="Normal 3 2 25 7 2" xfId="24842" xr:uid="{00000000-0005-0000-0000-000001610000}"/>
    <cellStyle name="Normal 3 2 25 7 3" xfId="24843" xr:uid="{00000000-0005-0000-0000-000002610000}"/>
    <cellStyle name="Normal 3 2 25 8" xfId="24844" xr:uid="{00000000-0005-0000-0000-000003610000}"/>
    <cellStyle name="Normal 3 2 25 8 2" xfId="24845" xr:uid="{00000000-0005-0000-0000-000004610000}"/>
    <cellStyle name="Normal 3 2 25 8 3" xfId="24846" xr:uid="{00000000-0005-0000-0000-000005610000}"/>
    <cellStyle name="Normal 3 2 25 9" xfId="24847" xr:uid="{00000000-0005-0000-0000-000006610000}"/>
    <cellStyle name="Normal 3 2 25 9 2" xfId="24848" xr:uid="{00000000-0005-0000-0000-000007610000}"/>
    <cellStyle name="Normal 3 2 25 9 3" xfId="24849" xr:uid="{00000000-0005-0000-0000-000008610000}"/>
    <cellStyle name="Normal 3 2 26" xfId="24850" xr:uid="{00000000-0005-0000-0000-000009610000}"/>
    <cellStyle name="Normal 3 2 26 10" xfId="24851" xr:uid="{00000000-0005-0000-0000-00000A610000}"/>
    <cellStyle name="Normal 3 2 26 10 2" xfId="24852" xr:uid="{00000000-0005-0000-0000-00000B610000}"/>
    <cellStyle name="Normal 3 2 26 10 3" xfId="24853" xr:uid="{00000000-0005-0000-0000-00000C610000}"/>
    <cellStyle name="Normal 3 2 26 11" xfId="24854" xr:uid="{00000000-0005-0000-0000-00000D610000}"/>
    <cellStyle name="Normal 3 2 26 11 2" xfId="24855" xr:uid="{00000000-0005-0000-0000-00000E610000}"/>
    <cellStyle name="Normal 3 2 26 11 3" xfId="24856" xr:uid="{00000000-0005-0000-0000-00000F610000}"/>
    <cellStyle name="Normal 3 2 26 12" xfId="24857" xr:uid="{00000000-0005-0000-0000-000010610000}"/>
    <cellStyle name="Normal 3 2 26 12 2" xfId="24858" xr:uid="{00000000-0005-0000-0000-000011610000}"/>
    <cellStyle name="Normal 3 2 26 12 3" xfId="24859" xr:uid="{00000000-0005-0000-0000-000012610000}"/>
    <cellStyle name="Normal 3 2 26 13" xfId="24860" xr:uid="{00000000-0005-0000-0000-000013610000}"/>
    <cellStyle name="Normal 3 2 26 13 2" xfId="24861" xr:uid="{00000000-0005-0000-0000-000014610000}"/>
    <cellStyle name="Normal 3 2 26 13 3" xfId="24862" xr:uid="{00000000-0005-0000-0000-000015610000}"/>
    <cellStyle name="Normal 3 2 26 14" xfId="24863" xr:uid="{00000000-0005-0000-0000-000016610000}"/>
    <cellStyle name="Normal 3 2 26 14 2" xfId="24864" xr:uid="{00000000-0005-0000-0000-000017610000}"/>
    <cellStyle name="Normal 3 2 26 14 3" xfId="24865" xr:uid="{00000000-0005-0000-0000-000018610000}"/>
    <cellStyle name="Normal 3 2 26 15" xfId="24866" xr:uid="{00000000-0005-0000-0000-000019610000}"/>
    <cellStyle name="Normal 3 2 26 15 2" xfId="24867" xr:uid="{00000000-0005-0000-0000-00001A610000}"/>
    <cellStyle name="Normal 3 2 26 15 3" xfId="24868" xr:uid="{00000000-0005-0000-0000-00001B610000}"/>
    <cellStyle name="Normal 3 2 26 16" xfId="24869" xr:uid="{00000000-0005-0000-0000-00001C610000}"/>
    <cellStyle name="Normal 3 2 26 17" xfId="24870" xr:uid="{00000000-0005-0000-0000-00001D610000}"/>
    <cellStyle name="Normal 3 2 26 2" xfId="24871" xr:uid="{00000000-0005-0000-0000-00001E610000}"/>
    <cellStyle name="Normal 3 2 26 2 10" xfId="24872" xr:uid="{00000000-0005-0000-0000-00001F610000}"/>
    <cellStyle name="Normal 3 2 26 2 10 2" xfId="24873" xr:uid="{00000000-0005-0000-0000-000020610000}"/>
    <cellStyle name="Normal 3 2 26 2 10 3" xfId="24874" xr:uid="{00000000-0005-0000-0000-000021610000}"/>
    <cellStyle name="Normal 3 2 26 2 11" xfId="24875" xr:uid="{00000000-0005-0000-0000-000022610000}"/>
    <cellStyle name="Normal 3 2 26 2 11 2" xfId="24876" xr:uid="{00000000-0005-0000-0000-000023610000}"/>
    <cellStyle name="Normal 3 2 26 2 11 3" xfId="24877" xr:uid="{00000000-0005-0000-0000-000024610000}"/>
    <cellStyle name="Normal 3 2 26 2 12" xfId="24878" xr:uid="{00000000-0005-0000-0000-000025610000}"/>
    <cellStyle name="Normal 3 2 26 2 12 2" xfId="24879" xr:uid="{00000000-0005-0000-0000-000026610000}"/>
    <cellStyle name="Normal 3 2 26 2 12 3" xfId="24880" xr:uid="{00000000-0005-0000-0000-000027610000}"/>
    <cellStyle name="Normal 3 2 26 2 13" xfId="24881" xr:uid="{00000000-0005-0000-0000-000028610000}"/>
    <cellStyle name="Normal 3 2 26 2 13 2" xfId="24882" xr:uid="{00000000-0005-0000-0000-000029610000}"/>
    <cellStyle name="Normal 3 2 26 2 13 3" xfId="24883" xr:uid="{00000000-0005-0000-0000-00002A610000}"/>
    <cellStyle name="Normal 3 2 26 2 14" xfId="24884" xr:uid="{00000000-0005-0000-0000-00002B610000}"/>
    <cellStyle name="Normal 3 2 26 2 14 2" xfId="24885" xr:uid="{00000000-0005-0000-0000-00002C610000}"/>
    <cellStyle name="Normal 3 2 26 2 14 3" xfId="24886" xr:uid="{00000000-0005-0000-0000-00002D610000}"/>
    <cellStyle name="Normal 3 2 26 2 15" xfId="24887" xr:uid="{00000000-0005-0000-0000-00002E610000}"/>
    <cellStyle name="Normal 3 2 26 2 16" xfId="24888" xr:uid="{00000000-0005-0000-0000-00002F610000}"/>
    <cellStyle name="Normal 3 2 26 2 2" xfId="24889" xr:uid="{00000000-0005-0000-0000-000030610000}"/>
    <cellStyle name="Normal 3 2 26 2 2 2" xfId="24890" xr:uid="{00000000-0005-0000-0000-000031610000}"/>
    <cellStyle name="Normal 3 2 26 2 2 3" xfId="24891" xr:uid="{00000000-0005-0000-0000-000032610000}"/>
    <cellStyle name="Normal 3 2 26 2 3" xfId="24892" xr:uid="{00000000-0005-0000-0000-000033610000}"/>
    <cellStyle name="Normal 3 2 26 2 3 2" xfId="24893" xr:uid="{00000000-0005-0000-0000-000034610000}"/>
    <cellStyle name="Normal 3 2 26 2 3 3" xfId="24894" xr:uid="{00000000-0005-0000-0000-000035610000}"/>
    <cellStyle name="Normal 3 2 26 2 4" xfId="24895" xr:uid="{00000000-0005-0000-0000-000036610000}"/>
    <cellStyle name="Normal 3 2 26 2 4 2" xfId="24896" xr:uid="{00000000-0005-0000-0000-000037610000}"/>
    <cellStyle name="Normal 3 2 26 2 4 3" xfId="24897" xr:uid="{00000000-0005-0000-0000-000038610000}"/>
    <cellStyle name="Normal 3 2 26 2 5" xfId="24898" xr:uid="{00000000-0005-0000-0000-000039610000}"/>
    <cellStyle name="Normal 3 2 26 2 5 2" xfId="24899" xr:uid="{00000000-0005-0000-0000-00003A610000}"/>
    <cellStyle name="Normal 3 2 26 2 5 3" xfId="24900" xr:uid="{00000000-0005-0000-0000-00003B610000}"/>
    <cellStyle name="Normal 3 2 26 2 6" xfId="24901" xr:uid="{00000000-0005-0000-0000-00003C610000}"/>
    <cellStyle name="Normal 3 2 26 2 6 2" xfId="24902" xr:uid="{00000000-0005-0000-0000-00003D610000}"/>
    <cellStyle name="Normal 3 2 26 2 6 3" xfId="24903" xr:uid="{00000000-0005-0000-0000-00003E610000}"/>
    <cellStyle name="Normal 3 2 26 2 7" xfId="24904" xr:uid="{00000000-0005-0000-0000-00003F610000}"/>
    <cellStyle name="Normal 3 2 26 2 7 2" xfId="24905" xr:uid="{00000000-0005-0000-0000-000040610000}"/>
    <cellStyle name="Normal 3 2 26 2 7 3" xfId="24906" xr:uid="{00000000-0005-0000-0000-000041610000}"/>
    <cellStyle name="Normal 3 2 26 2 8" xfId="24907" xr:uid="{00000000-0005-0000-0000-000042610000}"/>
    <cellStyle name="Normal 3 2 26 2 8 2" xfId="24908" xr:uid="{00000000-0005-0000-0000-000043610000}"/>
    <cellStyle name="Normal 3 2 26 2 8 3" xfId="24909" xr:uid="{00000000-0005-0000-0000-000044610000}"/>
    <cellStyle name="Normal 3 2 26 2 9" xfId="24910" xr:uid="{00000000-0005-0000-0000-000045610000}"/>
    <cellStyle name="Normal 3 2 26 2 9 2" xfId="24911" xr:uid="{00000000-0005-0000-0000-000046610000}"/>
    <cellStyle name="Normal 3 2 26 2 9 3" xfId="24912" xr:uid="{00000000-0005-0000-0000-000047610000}"/>
    <cellStyle name="Normal 3 2 26 3" xfId="24913" xr:uid="{00000000-0005-0000-0000-000048610000}"/>
    <cellStyle name="Normal 3 2 26 3 2" xfId="24914" xr:uid="{00000000-0005-0000-0000-000049610000}"/>
    <cellStyle name="Normal 3 2 26 3 3" xfId="24915" xr:uid="{00000000-0005-0000-0000-00004A610000}"/>
    <cellStyle name="Normal 3 2 26 4" xfId="24916" xr:uid="{00000000-0005-0000-0000-00004B610000}"/>
    <cellStyle name="Normal 3 2 26 4 2" xfId="24917" xr:uid="{00000000-0005-0000-0000-00004C610000}"/>
    <cellStyle name="Normal 3 2 26 4 3" xfId="24918" xr:uid="{00000000-0005-0000-0000-00004D610000}"/>
    <cellStyle name="Normal 3 2 26 5" xfId="24919" xr:uid="{00000000-0005-0000-0000-00004E610000}"/>
    <cellStyle name="Normal 3 2 26 5 2" xfId="24920" xr:uid="{00000000-0005-0000-0000-00004F610000}"/>
    <cellStyle name="Normal 3 2 26 5 3" xfId="24921" xr:uid="{00000000-0005-0000-0000-000050610000}"/>
    <cellStyle name="Normal 3 2 26 6" xfId="24922" xr:uid="{00000000-0005-0000-0000-000051610000}"/>
    <cellStyle name="Normal 3 2 26 6 2" xfId="24923" xr:uid="{00000000-0005-0000-0000-000052610000}"/>
    <cellStyle name="Normal 3 2 26 6 3" xfId="24924" xr:uid="{00000000-0005-0000-0000-000053610000}"/>
    <cellStyle name="Normal 3 2 26 7" xfId="24925" xr:uid="{00000000-0005-0000-0000-000054610000}"/>
    <cellStyle name="Normal 3 2 26 7 2" xfId="24926" xr:uid="{00000000-0005-0000-0000-000055610000}"/>
    <cellStyle name="Normal 3 2 26 7 3" xfId="24927" xr:uid="{00000000-0005-0000-0000-000056610000}"/>
    <cellStyle name="Normal 3 2 26 8" xfId="24928" xr:uid="{00000000-0005-0000-0000-000057610000}"/>
    <cellStyle name="Normal 3 2 26 8 2" xfId="24929" xr:uid="{00000000-0005-0000-0000-000058610000}"/>
    <cellStyle name="Normal 3 2 26 8 3" xfId="24930" xr:uid="{00000000-0005-0000-0000-000059610000}"/>
    <cellStyle name="Normal 3 2 26 9" xfId="24931" xr:uid="{00000000-0005-0000-0000-00005A610000}"/>
    <cellStyle name="Normal 3 2 26 9 2" xfId="24932" xr:uid="{00000000-0005-0000-0000-00005B610000}"/>
    <cellStyle name="Normal 3 2 26 9 3" xfId="24933" xr:uid="{00000000-0005-0000-0000-00005C610000}"/>
    <cellStyle name="Normal 3 2 27" xfId="24934" xr:uid="{00000000-0005-0000-0000-00005D610000}"/>
    <cellStyle name="Normal 3 2 27 10" xfId="24935" xr:uid="{00000000-0005-0000-0000-00005E610000}"/>
    <cellStyle name="Normal 3 2 27 10 2" xfId="24936" xr:uid="{00000000-0005-0000-0000-00005F610000}"/>
    <cellStyle name="Normal 3 2 27 10 3" xfId="24937" xr:uid="{00000000-0005-0000-0000-000060610000}"/>
    <cellStyle name="Normal 3 2 27 11" xfId="24938" xr:uid="{00000000-0005-0000-0000-000061610000}"/>
    <cellStyle name="Normal 3 2 27 11 2" xfId="24939" xr:uid="{00000000-0005-0000-0000-000062610000}"/>
    <cellStyle name="Normal 3 2 27 11 3" xfId="24940" xr:uid="{00000000-0005-0000-0000-000063610000}"/>
    <cellStyle name="Normal 3 2 27 12" xfId="24941" xr:uid="{00000000-0005-0000-0000-000064610000}"/>
    <cellStyle name="Normal 3 2 27 12 2" xfId="24942" xr:uid="{00000000-0005-0000-0000-000065610000}"/>
    <cellStyle name="Normal 3 2 27 12 3" xfId="24943" xr:uid="{00000000-0005-0000-0000-000066610000}"/>
    <cellStyle name="Normal 3 2 27 13" xfId="24944" xr:uid="{00000000-0005-0000-0000-000067610000}"/>
    <cellStyle name="Normal 3 2 27 13 2" xfId="24945" xr:uid="{00000000-0005-0000-0000-000068610000}"/>
    <cellStyle name="Normal 3 2 27 13 3" xfId="24946" xr:uid="{00000000-0005-0000-0000-000069610000}"/>
    <cellStyle name="Normal 3 2 27 14" xfId="24947" xr:uid="{00000000-0005-0000-0000-00006A610000}"/>
    <cellStyle name="Normal 3 2 27 14 2" xfId="24948" xr:uid="{00000000-0005-0000-0000-00006B610000}"/>
    <cellStyle name="Normal 3 2 27 14 3" xfId="24949" xr:uid="{00000000-0005-0000-0000-00006C610000}"/>
    <cellStyle name="Normal 3 2 27 15" xfId="24950" xr:uid="{00000000-0005-0000-0000-00006D610000}"/>
    <cellStyle name="Normal 3 2 27 15 2" xfId="24951" xr:uid="{00000000-0005-0000-0000-00006E610000}"/>
    <cellStyle name="Normal 3 2 27 15 3" xfId="24952" xr:uid="{00000000-0005-0000-0000-00006F610000}"/>
    <cellStyle name="Normal 3 2 27 16" xfId="24953" xr:uid="{00000000-0005-0000-0000-000070610000}"/>
    <cellStyle name="Normal 3 2 27 17" xfId="24954" xr:uid="{00000000-0005-0000-0000-000071610000}"/>
    <cellStyle name="Normal 3 2 27 2" xfId="24955" xr:uid="{00000000-0005-0000-0000-000072610000}"/>
    <cellStyle name="Normal 3 2 27 2 10" xfId="24956" xr:uid="{00000000-0005-0000-0000-000073610000}"/>
    <cellStyle name="Normal 3 2 27 2 10 2" xfId="24957" xr:uid="{00000000-0005-0000-0000-000074610000}"/>
    <cellStyle name="Normal 3 2 27 2 10 3" xfId="24958" xr:uid="{00000000-0005-0000-0000-000075610000}"/>
    <cellStyle name="Normal 3 2 27 2 11" xfId="24959" xr:uid="{00000000-0005-0000-0000-000076610000}"/>
    <cellStyle name="Normal 3 2 27 2 11 2" xfId="24960" xr:uid="{00000000-0005-0000-0000-000077610000}"/>
    <cellStyle name="Normal 3 2 27 2 11 3" xfId="24961" xr:uid="{00000000-0005-0000-0000-000078610000}"/>
    <cellStyle name="Normal 3 2 27 2 12" xfId="24962" xr:uid="{00000000-0005-0000-0000-000079610000}"/>
    <cellStyle name="Normal 3 2 27 2 12 2" xfId="24963" xr:uid="{00000000-0005-0000-0000-00007A610000}"/>
    <cellStyle name="Normal 3 2 27 2 12 3" xfId="24964" xr:uid="{00000000-0005-0000-0000-00007B610000}"/>
    <cellStyle name="Normal 3 2 27 2 13" xfId="24965" xr:uid="{00000000-0005-0000-0000-00007C610000}"/>
    <cellStyle name="Normal 3 2 27 2 13 2" xfId="24966" xr:uid="{00000000-0005-0000-0000-00007D610000}"/>
    <cellStyle name="Normal 3 2 27 2 13 3" xfId="24967" xr:uid="{00000000-0005-0000-0000-00007E610000}"/>
    <cellStyle name="Normal 3 2 27 2 14" xfId="24968" xr:uid="{00000000-0005-0000-0000-00007F610000}"/>
    <cellStyle name="Normal 3 2 27 2 14 2" xfId="24969" xr:uid="{00000000-0005-0000-0000-000080610000}"/>
    <cellStyle name="Normal 3 2 27 2 14 3" xfId="24970" xr:uid="{00000000-0005-0000-0000-000081610000}"/>
    <cellStyle name="Normal 3 2 27 2 15" xfId="24971" xr:uid="{00000000-0005-0000-0000-000082610000}"/>
    <cellStyle name="Normal 3 2 27 2 16" xfId="24972" xr:uid="{00000000-0005-0000-0000-000083610000}"/>
    <cellStyle name="Normal 3 2 27 2 2" xfId="24973" xr:uid="{00000000-0005-0000-0000-000084610000}"/>
    <cellStyle name="Normal 3 2 27 2 2 2" xfId="24974" xr:uid="{00000000-0005-0000-0000-000085610000}"/>
    <cellStyle name="Normal 3 2 27 2 2 3" xfId="24975" xr:uid="{00000000-0005-0000-0000-000086610000}"/>
    <cellStyle name="Normal 3 2 27 2 3" xfId="24976" xr:uid="{00000000-0005-0000-0000-000087610000}"/>
    <cellStyle name="Normal 3 2 27 2 3 2" xfId="24977" xr:uid="{00000000-0005-0000-0000-000088610000}"/>
    <cellStyle name="Normal 3 2 27 2 3 3" xfId="24978" xr:uid="{00000000-0005-0000-0000-000089610000}"/>
    <cellStyle name="Normal 3 2 27 2 4" xfId="24979" xr:uid="{00000000-0005-0000-0000-00008A610000}"/>
    <cellStyle name="Normal 3 2 27 2 4 2" xfId="24980" xr:uid="{00000000-0005-0000-0000-00008B610000}"/>
    <cellStyle name="Normal 3 2 27 2 4 3" xfId="24981" xr:uid="{00000000-0005-0000-0000-00008C610000}"/>
    <cellStyle name="Normal 3 2 27 2 5" xfId="24982" xr:uid="{00000000-0005-0000-0000-00008D610000}"/>
    <cellStyle name="Normal 3 2 27 2 5 2" xfId="24983" xr:uid="{00000000-0005-0000-0000-00008E610000}"/>
    <cellStyle name="Normal 3 2 27 2 5 3" xfId="24984" xr:uid="{00000000-0005-0000-0000-00008F610000}"/>
    <cellStyle name="Normal 3 2 27 2 6" xfId="24985" xr:uid="{00000000-0005-0000-0000-000090610000}"/>
    <cellStyle name="Normal 3 2 27 2 6 2" xfId="24986" xr:uid="{00000000-0005-0000-0000-000091610000}"/>
    <cellStyle name="Normal 3 2 27 2 6 3" xfId="24987" xr:uid="{00000000-0005-0000-0000-000092610000}"/>
    <cellStyle name="Normal 3 2 27 2 7" xfId="24988" xr:uid="{00000000-0005-0000-0000-000093610000}"/>
    <cellStyle name="Normal 3 2 27 2 7 2" xfId="24989" xr:uid="{00000000-0005-0000-0000-000094610000}"/>
    <cellStyle name="Normal 3 2 27 2 7 3" xfId="24990" xr:uid="{00000000-0005-0000-0000-000095610000}"/>
    <cellStyle name="Normal 3 2 27 2 8" xfId="24991" xr:uid="{00000000-0005-0000-0000-000096610000}"/>
    <cellStyle name="Normal 3 2 27 2 8 2" xfId="24992" xr:uid="{00000000-0005-0000-0000-000097610000}"/>
    <cellStyle name="Normal 3 2 27 2 8 3" xfId="24993" xr:uid="{00000000-0005-0000-0000-000098610000}"/>
    <cellStyle name="Normal 3 2 27 2 9" xfId="24994" xr:uid="{00000000-0005-0000-0000-000099610000}"/>
    <cellStyle name="Normal 3 2 27 2 9 2" xfId="24995" xr:uid="{00000000-0005-0000-0000-00009A610000}"/>
    <cellStyle name="Normal 3 2 27 2 9 3" xfId="24996" xr:uid="{00000000-0005-0000-0000-00009B610000}"/>
    <cellStyle name="Normal 3 2 27 3" xfId="24997" xr:uid="{00000000-0005-0000-0000-00009C610000}"/>
    <cellStyle name="Normal 3 2 27 3 2" xfId="24998" xr:uid="{00000000-0005-0000-0000-00009D610000}"/>
    <cellStyle name="Normal 3 2 27 3 3" xfId="24999" xr:uid="{00000000-0005-0000-0000-00009E610000}"/>
    <cellStyle name="Normal 3 2 27 4" xfId="25000" xr:uid="{00000000-0005-0000-0000-00009F610000}"/>
    <cellStyle name="Normal 3 2 27 4 2" xfId="25001" xr:uid="{00000000-0005-0000-0000-0000A0610000}"/>
    <cellStyle name="Normal 3 2 27 4 3" xfId="25002" xr:uid="{00000000-0005-0000-0000-0000A1610000}"/>
    <cellStyle name="Normal 3 2 27 5" xfId="25003" xr:uid="{00000000-0005-0000-0000-0000A2610000}"/>
    <cellStyle name="Normal 3 2 27 5 2" xfId="25004" xr:uid="{00000000-0005-0000-0000-0000A3610000}"/>
    <cellStyle name="Normal 3 2 27 5 3" xfId="25005" xr:uid="{00000000-0005-0000-0000-0000A4610000}"/>
    <cellStyle name="Normal 3 2 27 6" xfId="25006" xr:uid="{00000000-0005-0000-0000-0000A5610000}"/>
    <cellStyle name="Normal 3 2 27 6 2" xfId="25007" xr:uid="{00000000-0005-0000-0000-0000A6610000}"/>
    <cellStyle name="Normal 3 2 27 6 3" xfId="25008" xr:uid="{00000000-0005-0000-0000-0000A7610000}"/>
    <cellStyle name="Normal 3 2 27 7" xfId="25009" xr:uid="{00000000-0005-0000-0000-0000A8610000}"/>
    <cellStyle name="Normal 3 2 27 7 2" xfId="25010" xr:uid="{00000000-0005-0000-0000-0000A9610000}"/>
    <cellStyle name="Normal 3 2 27 7 3" xfId="25011" xr:uid="{00000000-0005-0000-0000-0000AA610000}"/>
    <cellStyle name="Normal 3 2 27 8" xfId="25012" xr:uid="{00000000-0005-0000-0000-0000AB610000}"/>
    <cellStyle name="Normal 3 2 27 8 2" xfId="25013" xr:uid="{00000000-0005-0000-0000-0000AC610000}"/>
    <cellStyle name="Normal 3 2 27 8 3" xfId="25014" xr:uid="{00000000-0005-0000-0000-0000AD610000}"/>
    <cellStyle name="Normal 3 2 27 9" xfId="25015" xr:uid="{00000000-0005-0000-0000-0000AE610000}"/>
    <cellStyle name="Normal 3 2 27 9 2" xfId="25016" xr:uid="{00000000-0005-0000-0000-0000AF610000}"/>
    <cellStyle name="Normal 3 2 27 9 3" xfId="25017" xr:uid="{00000000-0005-0000-0000-0000B0610000}"/>
    <cellStyle name="Normal 3 2 28" xfId="25018" xr:uid="{00000000-0005-0000-0000-0000B1610000}"/>
    <cellStyle name="Normal 3 2 28 10" xfId="25019" xr:uid="{00000000-0005-0000-0000-0000B2610000}"/>
    <cellStyle name="Normal 3 2 28 10 2" xfId="25020" xr:uid="{00000000-0005-0000-0000-0000B3610000}"/>
    <cellStyle name="Normal 3 2 28 10 3" xfId="25021" xr:uid="{00000000-0005-0000-0000-0000B4610000}"/>
    <cellStyle name="Normal 3 2 28 11" xfId="25022" xr:uid="{00000000-0005-0000-0000-0000B5610000}"/>
    <cellStyle name="Normal 3 2 28 11 2" xfId="25023" xr:uid="{00000000-0005-0000-0000-0000B6610000}"/>
    <cellStyle name="Normal 3 2 28 11 3" xfId="25024" xr:uid="{00000000-0005-0000-0000-0000B7610000}"/>
    <cellStyle name="Normal 3 2 28 12" xfId="25025" xr:uid="{00000000-0005-0000-0000-0000B8610000}"/>
    <cellStyle name="Normal 3 2 28 12 2" xfId="25026" xr:uid="{00000000-0005-0000-0000-0000B9610000}"/>
    <cellStyle name="Normal 3 2 28 12 3" xfId="25027" xr:uid="{00000000-0005-0000-0000-0000BA610000}"/>
    <cellStyle name="Normal 3 2 28 13" xfId="25028" xr:uid="{00000000-0005-0000-0000-0000BB610000}"/>
    <cellStyle name="Normal 3 2 28 13 2" xfId="25029" xr:uid="{00000000-0005-0000-0000-0000BC610000}"/>
    <cellStyle name="Normal 3 2 28 13 3" xfId="25030" xr:uid="{00000000-0005-0000-0000-0000BD610000}"/>
    <cellStyle name="Normal 3 2 28 14" xfId="25031" xr:uid="{00000000-0005-0000-0000-0000BE610000}"/>
    <cellStyle name="Normal 3 2 28 14 2" xfId="25032" xr:uid="{00000000-0005-0000-0000-0000BF610000}"/>
    <cellStyle name="Normal 3 2 28 14 3" xfId="25033" xr:uid="{00000000-0005-0000-0000-0000C0610000}"/>
    <cellStyle name="Normal 3 2 28 15" xfId="25034" xr:uid="{00000000-0005-0000-0000-0000C1610000}"/>
    <cellStyle name="Normal 3 2 28 16" xfId="25035" xr:uid="{00000000-0005-0000-0000-0000C2610000}"/>
    <cellStyle name="Normal 3 2 28 2" xfId="25036" xr:uid="{00000000-0005-0000-0000-0000C3610000}"/>
    <cellStyle name="Normal 3 2 28 2 2" xfId="25037" xr:uid="{00000000-0005-0000-0000-0000C4610000}"/>
    <cellStyle name="Normal 3 2 28 2 3" xfId="25038" xr:uid="{00000000-0005-0000-0000-0000C5610000}"/>
    <cellStyle name="Normal 3 2 28 3" xfId="25039" xr:uid="{00000000-0005-0000-0000-0000C6610000}"/>
    <cellStyle name="Normal 3 2 28 3 2" xfId="25040" xr:uid="{00000000-0005-0000-0000-0000C7610000}"/>
    <cellStyle name="Normal 3 2 28 3 3" xfId="25041" xr:uid="{00000000-0005-0000-0000-0000C8610000}"/>
    <cellStyle name="Normal 3 2 28 4" xfId="25042" xr:uid="{00000000-0005-0000-0000-0000C9610000}"/>
    <cellStyle name="Normal 3 2 28 4 2" xfId="25043" xr:uid="{00000000-0005-0000-0000-0000CA610000}"/>
    <cellStyle name="Normal 3 2 28 4 3" xfId="25044" xr:uid="{00000000-0005-0000-0000-0000CB610000}"/>
    <cellStyle name="Normal 3 2 28 5" xfId="25045" xr:uid="{00000000-0005-0000-0000-0000CC610000}"/>
    <cellStyle name="Normal 3 2 28 5 2" xfId="25046" xr:uid="{00000000-0005-0000-0000-0000CD610000}"/>
    <cellStyle name="Normal 3 2 28 5 3" xfId="25047" xr:uid="{00000000-0005-0000-0000-0000CE610000}"/>
    <cellStyle name="Normal 3 2 28 6" xfId="25048" xr:uid="{00000000-0005-0000-0000-0000CF610000}"/>
    <cellStyle name="Normal 3 2 28 6 2" xfId="25049" xr:uid="{00000000-0005-0000-0000-0000D0610000}"/>
    <cellStyle name="Normal 3 2 28 6 3" xfId="25050" xr:uid="{00000000-0005-0000-0000-0000D1610000}"/>
    <cellStyle name="Normal 3 2 28 7" xfId="25051" xr:uid="{00000000-0005-0000-0000-0000D2610000}"/>
    <cellStyle name="Normal 3 2 28 7 2" xfId="25052" xr:uid="{00000000-0005-0000-0000-0000D3610000}"/>
    <cellStyle name="Normal 3 2 28 7 3" xfId="25053" xr:uid="{00000000-0005-0000-0000-0000D4610000}"/>
    <cellStyle name="Normal 3 2 28 8" xfId="25054" xr:uid="{00000000-0005-0000-0000-0000D5610000}"/>
    <cellStyle name="Normal 3 2 28 8 2" xfId="25055" xr:uid="{00000000-0005-0000-0000-0000D6610000}"/>
    <cellStyle name="Normal 3 2 28 8 3" xfId="25056" xr:uid="{00000000-0005-0000-0000-0000D7610000}"/>
    <cellStyle name="Normal 3 2 28 9" xfId="25057" xr:uid="{00000000-0005-0000-0000-0000D8610000}"/>
    <cellStyle name="Normal 3 2 28 9 2" xfId="25058" xr:uid="{00000000-0005-0000-0000-0000D9610000}"/>
    <cellStyle name="Normal 3 2 28 9 3" xfId="25059" xr:uid="{00000000-0005-0000-0000-0000DA610000}"/>
    <cellStyle name="Normal 3 2 29" xfId="25060" xr:uid="{00000000-0005-0000-0000-0000DB610000}"/>
    <cellStyle name="Normal 3 2 29 10" xfId="25061" xr:uid="{00000000-0005-0000-0000-0000DC610000}"/>
    <cellStyle name="Normal 3 2 29 10 2" xfId="25062" xr:uid="{00000000-0005-0000-0000-0000DD610000}"/>
    <cellStyle name="Normal 3 2 29 10 3" xfId="25063" xr:uid="{00000000-0005-0000-0000-0000DE610000}"/>
    <cellStyle name="Normal 3 2 29 11" xfId="25064" xr:uid="{00000000-0005-0000-0000-0000DF610000}"/>
    <cellStyle name="Normal 3 2 29 11 2" xfId="25065" xr:uid="{00000000-0005-0000-0000-0000E0610000}"/>
    <cellStyle name="Normal 3 2 29 11 3" xfId="25066" xr:uid="{00000000-0005-0000-0000-0000E1610000}"/>
    <cellStyle name="Normal 3 2 29 12" xfId="25067" xr:uid="{00000000-0005-0000-0000-0000E2610000}"/>
    <cellStyle name="Normal 3 2 29 12 2" xfId="25068" xr:uid="{00000000-0005-0000-0000-0000E3610000}"/>
    <cellStyle name="Normal 3 2 29 12 3" xfId="25069" xr:uid="{00000000-0005-0000-0000-0000E4610000}"/>
    <cellStyle name="Normal 3 2 29 13" xfId="25070" xr:uid="{00000000-0005-0000-0000-0000E5610000}"/>
    <cellStyle name="Normal 3 2 29 13 2" xfId="25071" xr:uid="{00000000-0005-0000-0000-0000E6610000}"/>
    <cellStyle name="Normal 3 2 29 13 3" xfId="25072" xr:uid="{00000000-0005-0000-0000-0000E7610000}"/>
    <cellStyle name="Normal 3 2 29 14" xfId="25073" xr:uid="{00000000-0005-0000-0000-0000E8610000}"/>
    <cellStyle name="Normal 3 2 29 14 2" xfId="25074" xr:uid="{00000000-0005-0000-0000-0000E9610000}"/>
    <cellStyle name="Normal 3 2 29 14 3" xfId="25075" xr:uid="{00000000-0005-0000-0000-0000EA610000}"/>
    <cellStyle name="Normal 3 2 29 15" xfId="25076" xr:uid="{00000000-0005-0000-0000-0000EB610000}"/>
    <cellStyle name="Normal 3 2 29 16" xfId="25077" xr:uid="{00000000-0005-0000-0000-0000EC610000}"/>
    <cellStyle name="Normal 3 2 29 2" xfId="25078" xr:uid="{00000000-0005-0000-0000-0000ED610000}"/>
    <cellStyle name="Normal 3 2 29 2 2" xfId="25079" xr:uid="{00000000-0005-0000-0000-0000EE610000}"/>
    <cellStyle name="Normal 3 2 29 2 3" xfId="25080" xr:uid="{00000000-0005-0000-0000-0000EF610000}"/>
    <cellStyle name="Normal 3 2 29 3" xfId="25081" xr:uid="{00000000-0005-0000-0000-0000F0610000}"/>
    <cellStyle name="Normal 3 2 29 3 2" xfId="25082" xr:uid="{00000000-0005-0000-0000-0000F1610000}"/>
    <cellStyle name="Normal 3 2 29 3 3" xfId="25083" xr:uid="{00000000-0005-0000-0000-0000F2610000}"/>
    <cellStyle name="Normal 3 2 29 4" xfId="25084" xr:uid="{00000000-0005-0000-0000-0000F3610000}"/>
    <cellStyle name="Normal 3 2 29 4 2" xfId="25085" xr:uid="{00000000-0005-0000-0000-0000F4610000}"/>
    <cellStyle name="Normal 3 2 29 4 3" xfId="25086" xr:uid="{00000000-0005-0000-0000-0000F5610000}"/>
    <cellStyle name="Normal 3 2 29 5" xfId="25087" xr:uid="{00000000-0005-0000-0000-0000F6610000}"/>
    <cellStyle name="Normal 3 2 29 5 2" xfId="25088" xr:uid="{00000000-0005-0000-0000-0000F7610000}"/>
    <cellStyle name="Normal 3 2 29 5 3" xfId="25089" xr:uid="{00000000-0005-0000-0000-0000F8610000}"/>
    <cellStyle name="Normal 3 2 29 6" xfId="25090" xr:uid="{00000000-0005-0000-0000-0000F9610000}"/>
    <cellStyle name="Normal 3 2 29 6 2" xfId="25091" xr:uid="{00000000-0005-0000-0000-0000FA610000}"/>
    <cellStyle name="Normal 3 2 29 6 3" xfId="25092" xr:uid="{00000000-0005-0000-0000-0000FB610000}"/>
    <cellStyle name="Normal 3 2 29 7" xfId="25093" xr:uid="{00000000-0005-0000-0000-0000FC610000}"/>
    <cellStyle name="Normal 3 2 29 7 2" xfId="25094" xr:uid="{00000000-0005-0000-0000-0000FD610000}"/>
    <cellStyle name="Normal 3 2 29 7 3" xfId="25095" xr:uid="{00000000-0005-0000-0000-0000FE610000}"/>
    <cellStyle name="Normal 3 2 29 8" xfId="25096" xr:uid="{00000000-0005-0000-0000-0000FF610000}"/>
    <cellStyle name="Normal 3 2 29 8 2" xfId="25097" xr:uid="{00000000-0005-0000-0000-000000620000}"/>
    <cellStyle name="Normal 3 2 29 8 3" xfId="25098" xr:uid="{00000000-0005-0000-0000-000001620000}"/>
    <cellStyle name="Normal 3 2 29 9" xfId="25099" xr:uid="{00000000-0005-0000-0000-000002620000}"/>
    <cellStyle name="Normal 3 2 29 9 2" xfId="25100" xr:uid="{00000000-0005-0000-0000-000003620000}"/>
    <cellStyle name="Normal 3 2 29 9 3" xfId="25101" xr:uid="{00000000-0005-0000-0000-000004620000}"/>
    <cellStyle name="Normal 3 2 3" xfId="25102" xr:uid="{00000000-0005-0000-0000-000005620000}"/>
    <cellStyle name="Normal 3 2 3 10" xfId="25103" xr:uid="{00000000-0005-0000-0000-000006620000}"/>
    <cellStyle name="Normal 3 2 3 10 2" xfId="25104" xr:uid="{00000000-0005-0000-0000-000007620000}"/>
    <cellStyle name="Normal 3 2 3 10 3" xfId="25105" xr:uid="{00000000-0005-0000-0000-000008620000}"/>
    <cellStyle name="Normal 3 2 3 11" xfId="25106" xr:uid="{00000000-0005-0000-0000-000009620000}"/>
    <cellStyle name="Normal 3 2 3 11 2" xfId="25107" xr:uid="{00000000-0005-0000-0000-00000A620000}"/>
    <cellStyle name="Normal 3 2 3 11 3" xfId="25108" xr:uid="{00000000-0005-0000-0000-00000B620000}"/>
    <cellStyle name="Normal 3 2 3 12" xfId="25109" xr:uid="{00000000-0005-0000-0000-00000C620000}"/>
    <cellStyle name="Normal 3 2 3 12 2" xfId="25110" xr:uid="{00000000-0005-0000-0000-00000D620000}"/>
    <cellStyle name="Normal 3 2 3 12 3" xfId="25111" xr:uid="{00000000-0005-0000-0000-00000E620000}"/>
    <cellStyle name="Normal 3 2 3 13" xfId="25112" xr:uid="{00000000-0005-0000-0000-00000F620000}"/>
    <cellStyle name="Normal 3 2 3 13 2" xfId="25113" xr:uid="{00000000-0005-0000-0000-000010620000}"/>
    <cellStyle name="Normal 3 2 3 13 3" xfId="25114" xr:uid="{00000000-0005-0000-0000-000011620000}"/>
    <cellStyle name="Normal 3 2 3 14" xfId="25115" xr:uid="{00000000-0005-0000-0000-000012620000}"/>
    <cellStyle name="Normal 3 2 3 14 2" xfId="25116" xr:uid="{00000000-0005-0000-0000-000013620000}"/>
    <cellStyle name="Normal 3 2 3 14 3" xfId="25117" xr:uid="{00000000-0005-0000-0000-000014620000}"/>
    <cellStyle name="Normal 3 2 3 15" xfId="25118" xr:uid="{00000000-0005-0000-0000-000015620000}"/>
    <cellStyle name="Normal 3 2 3 15 2" xfId="25119" xr:uid="{00000000-0005-0000-0000-000016620000}"/>
    <cellStyle name="Normal 3 2 3 15 3" xfId="25120" xr:uid="{00000000-0005-0000-0000-000017620000}"/>
    <cellStyle name="Normal 3 2 3 16" xfId="25121" xr:uid="{00000000-0005-0000-0000-000018620000}"/>
    <cellStyle name="Normal 3 2 3 16 2" xfId="25122" xr:uid="{00000000-0005-0000-0000-000019620000}"/>
    <cellStyle name="Normal 3 2 3 16 3" xfId="25123" xr:uid="{00000000-0005-0000-0000-00001A620000}"/>
    <cellStyle name="Normal 3 2 3 17" xfId="25124" xr:uid="{00000000-0005-0000-0000-00001B620000}"/>
    <cellStyle name="Normal 3 2 3 17 2" xfId="25125" xr:uid="{00000000-0005-0000-0000-00001C620000}"/>
    <cellStyle name="Normal 3 2 3 17 3" xfId="25126" xr:uid="{00000000-0005-0000-0000-00001D620000}"/>
    <cellStyle name="Normal 3 2 3 18" xfId="25127" xr:uid="{00000000-0005-0000-0000-00001E620000}"/>
    <cellStyle name="Normal 3 2 3 19" xfId="25128" xr:uid="{00000000-0005-0000-0000-00001F620000}"/>
    <cellStyle name="Normal 3 2 3 2" xfId="25129" xr:uid="{00000000-0005-0000-0000-000020620000}"/>
    <cellStyle name="Normal 3 2 3 3" xfId="25130" xr:uid="{00000000-0005-0000-0000-000021620000}"/>
    <cellStyle name="Normal 3 2 3 4" xfId="25131" xr:uid="{00000000-0005-0000-0000-000022620000}"/>
    <cellStyle name="Normal 3 2 3 5" xfId="25132" xr:uid="{00000000-0005-0000-0000-000023620000}"/>
    <cellStyle name="Normal 3 2 3 5 2" xfId="25133" xr:uid="{00000000-0005-0000-0000-000024620000}"/>
    <cellStyle name="Normal 3 2 3 5 3" xfId="25134" xr:uid="{00000000-0005-0000-0000-000025620000}"/>
    <cellStyle name="Normal 3 2 3 6" xfId="25135" xr:uid="{00000000-0005-0000-0000-000026620000}"/>
    <cellStyle name="Normal 3 2 3 6 2" xfId="25136" xr:uid="{00000000-0005-0000-0000-000027620000}"/>
    <cellStyle name="Normal 3 2 3 6 3" xfId="25137" xr:uid="{00000000-0005-0000-0000-000028620000}"/>
    <cellStyle name="Normal 3 2 3 7" xfId="25138" xr:uid="{00000000-0005-0000-0000-000029620000}"/>
    <cellStyle name="Normal 3 2 3 7 2" xfId="25139" xr:uid="{00000000-0005-0000-0000-00002A620000}"/>
    <cellStyle name="Normal 3 2 3 7 3" xfId="25140" xr:uid="{00000000-0005-0000-0000-00002B620000}"/>
    <cellStyle name="Normal 3 2 3 8" xfId="25141" xr:uid="{00000000-0005-0000-0000-00002C620000}"/>
    <cellStyle name="Normal 3 2 3 8 2" xfId="25142" xr:uid="{00000000-0005-0000-0000-00002D620000}"/>
    <cellStyle name="Normal 3 2 3 8 3" xfId="25143" xr:uid="{00000000-0005-0000-0000-00002E620000}"/>
    <cellStyle name="Normal 3 2 3 9" xfId="25144" xr:uid="{00000000-0005-0000-0000-00002F620000}"/>
    <cellStyle name="Normal 3 2 3 9 2" xfId="25145" xr:uid="{00000000-0005-0000-0000-000030620000}"/>
    <cellStyle name="Normal 3 2 3 9 3" xfId="25146" xr:uid="{00000000-0005-0000-0000-000031620000}"/>
    <cellStyle name="Normal 3 2 30" xfId="25147" xr:uid="{00000000-0005-0000-0000-000032620000}"/>
    <cellStyle name="Normal 3 2 30 10" xfId="25148" xr:uid="{00000000-0005-0000-0000-000033620000}"/>
    <cellStyle name="Normal 3 2 30 10 2" xfId="25149" xr:uid="{00000000-0005-0000-0000-000034620000}"/>
    <cellStyle name="Normal 3 2 30 10 3" xfId="25150" xr:uid="{00000000-0005-0000-0000-000035620000}"/>
    <cellStyle name="Normal 3 2 30 11" xfId="25151" xr:uid="{00000000-0005-0000-0000-000036620000}"/>
    <cellStyle name="Normal 3 2 30 11 2" xfId="25152" xr:uid="{00000000-0005-0000-0000-000037620000}"/>
    <cellStyle name="Normal 3 2 30 11 3" xfId="25153" xr:uid="{00000000-0005-0000-0000-000038620000}"/>
    <cellStyle name="Normal 3 2 30 12" xfId="25154" xr:uid="{00000000-0005-0000-0000-000039620000}"/>
    <cellStyle name="Normal 3 2 30 12 2" xfId="25155" xr:uid="{00000000-0005-0000-0000-00003A620000}"/>
    <cellStyle name="Normal 3 2 30 12 3" xfId="25156" xr:uid="{00000000-0005-0000-0000-00003B620000}"/>
    <cellStyle name="Normal 3 2 30 13" xfId="25157" xr:uid="{00000000-0005-0000-0000-00003C620000}"/>
    <cellStyle name="Normal 3 2 30 13 2" xfId="25158" xr:uid="{00000000-0005-0000-0000-00003D620000}"/>
    <cellStyle name="Normal 3 2 30 13 3" xfId="25159" xr:uid="{00000000-0005-0000-0000-00003E620000}"/>
    <cellStyle name="Normal 3 2 30 14" xfId="25160" xr:uid="{00000000-0005-0000-0000-00003F620000}"/>
    <cellStyle name="Normal 3 2 30 14 2" xfId="25161" xr:uid="{00000000-0005-0000-0000-000040620000}"/>
    <cellStyle name="Normal 3 2 30 14 3" xfId="25162" xr:uid="{00000000-0005-0000-0000-000041620000}"/>
    <cellStyle name="Normal 3 2 30 15" xfId="25163" xr:uid="{00000000-0005-0000-0000-000042620000}"/>
    <cellStyle name="Normal 3 2 30 16" xfId="25164" xr:uid="{00000000-0005-0000-0000-000043620000}"/>
    <cellStyle name="Normal 3 2 30 2" xfId="25165" xr:uid="{00000000-0005-0000-0000-000044620000}"/>
    <cellStyle name="Normal 3 2 30 2 2" xfId="25166" xr:uid="{00000000-0005-0000-0000-000045620000}"/>
    <cellStyle name="Normal 3 2 30 2 3" xfId="25167" xr:uid="{00000000-0005-0000-0000-000046620000}"/>
    <cellStyle name="Normal 3 2 30 3" xfId="25168" xr:uid="{00000000-0005-0000-0000-000047620000}"/>
    <cellStyle name="Normal 3 2 30 3 2" xfId="25169" xr:uid="{00000000-0005-0000-0000-000048620000}"/>
    <cellStyle name="Normal 3 2 30 3 3" xfId="25170" xr:uid="{00000000-0005-0000-0000-000049620000}"/>
    <cellStyle name="Normal 3 2 30 4" xfId="25171" xr:uid="{00000000-0005-0000-0000-00004A620000}"/>
    <cellStyle name="Normal 3 2 30 4 2" xfId="25172" xr:uid="{00000000-0005-0000-0000-00004B620000}"/>
    <cellStyle name="Normal 3 2 30 4 3" xfId="25173" xr:uid="{00000000-0005-0000-0000-00004C620000}"/>
    <cellStyle name="Normal 3 2 30 5" xfId="25174" xr:uid="{00000000-0005-0000-0000-00004D620000}"/>
    <cellStyle name="Normal 3 2 30 5 2" xfId="25175" xr:uid="{00000000-0005-0000-0000-00004E620000}"/>
    <cellStyle name="Normal 3 2 30 5 3" xfId="25176" xr:uid="{00000000-0005-0000-0000-00004F620000}"/>
    <cellStyle name="Normal 3 2 30 6" xfId="25177" xr:uid="{00000000-0005-0000-0000-000050620000}"/>
    <cellStyle name="Normal 3 2 30 6 2" xfId="25178" xr:uid="{00000000-0005-0000-0000-000051620000}"/>
    <cellStyle name="Normal 3 2 30 6 3" xfId="25179" xr:uid="{00000000-0005-0000-0000-000052620000}"/>
    <cellStyle name="Normal 3 2 30 7" xfId="25180" xr:uid="{00000000-0005-0000-0000-000053620000}"/>
    <cellStyle name="Normal 3 2 30 7 2" xfId="25181" xr:uid="{00000000-0005-0000-0000-000054620000}"/>
    <cellStyle name="Normal 3 2 30 7 3" xfId="25182" xr:uid="{00000000-0005-0000-0000-000055620000}"/>
    <cellStyle name="Normal 3 2 30 8" xfId="25183" xr:uid="{00000000-0005-0000-0000-000056620000}"/>
    <cellStyle name="Normal 3 2 30 8 2" xfId="25184" xr:uid="{00000000-0005-0000-0000-000057620000}"/>
    <cellStyle name="Normal 3 2 30 8 3" xfId="25185" xr:uid="{00000000-0005-0000-0000-000058620000}"/>
    <cellStyle name="Normal 3 2 30 9" xfId="25186" xr:uid="{00000000-0005-0000-0000-000059620000}"/>
    <cellStyle name="Normal 3 2 30 9 2" xfId="25187" xr:uid="{00000000-0005-0000-0000-00005A620000}"/>
    <cellStyle name="Normal 3 2 30 9 3" xfId="25188" xr:uid="{00000000-0005-0000-0000-00005B620000}"/>
    <cellStyle name="Normal 3 2 31" xfId="25189" xr:uid="{00000000-0005-0000-0000-00005C620000}"/>
    <cellStyle name="Normal 3 2 31 10" xfId="25190" xr:uid="{00000000-0005-0000-0000-00005D620000}"/>
    <cellStyle name="Normal 3 2 31 10 2" xfId="25191" xr:uid="{00000000-0005-0000-0000-00005E620000}"/>
    <cellStyle name="Normal 3 2 31 10 3" xfId="25192" xr:uid="{00000000-0005-0000-0000-00005F620000}"/>
    <cellStyle name="Normal 3 2 31 11" xfId="25193" xr:uid="{00000000-0005-0000-0000-000060620000}"/>
    <cellStyle name="Normal 3 2 31 11 2" xfId="25194" xr:uid="{00000000-0005-0000-0000-000061620000}"/>
    <cellStyle name="Normal 3 2 31 11 3" xfId="25195" xr:uid="{00000000-0005-0000-0000-000062620000}"/>
    <cellStyle name="Normal 3 2 31 12" xfId="25196" xr:uid="{00000000-0005-0000-0000-000063620000}"/>
    <cellStyle name="Normal 3 2 31 12 2" xfId="25197" xr:uid="{00000000-0005-0000-0000-000064620000}"/>
    <cellStyle name="Normal 3 2 31 12 3" xfId="25198" xr:uid="{00000000-0005-0000-0000-000065620000}"/>
    <cellStyle name="Normal 3 2 31 13" xfId="25199" xr:uid="{00000000-0005-0000-0000-000066620000}"/>
    <cellStyle name="Normal 3 2 31 13 2" xfId="25200" xr:uid="{00000000-0005-0000-0000-000067620000}"/>
    <cellStyle name="Normal 3 2 31 13 3" xfId="25201" xr:uid="{00000000-0005-0000-0000-000068620000}"/>
    <cellStyle name="Normal 3 2 31 14" xfId="25202" xr:uid="{00000000-0005-0000-0000-000069620000}"/>
    <cellStyle name="Normal 3 2 31 14 2" xfId="25203" xr:uid="{00000000-0005-0000-0000-00006A620000}"/>
    <cellStyle name="Normal 3 2 31 14 3" xfId="25204" xr:uid="{00000000-0005-0000-0000-00006B620000}"/>
    <cellStyle name="Normal 3 2 31 15" xfId="25205" xr:uid="{00000000-0005-0000-0000-00006C620000}"/>
    <cellStyle name="Normal 3 2 31 16" xfId="25206" xr:uid="{00000000-0005-0000-0000-00006D620000}"/>
    <cellStyle name="Normal 3 2 31 2" xfId="25207" xr:uid="{00000000-0005-0000-0000-00006E620000}"/>
    <cellStyle name="Normal 3 2 31 2 2" xfId="25208" xr:uid="{00000000-0005-0000-0000-00006F620000}"/>
    <cellStyle name="Normal 3 2 31 2 3" xfId="25209" xr:uid="{00000000-0005-0000-0000-000070620000}"/>
    <cellStyle name="Normal 3 2 31 3" xfId="25210" xr:uid="{00000000-0005-0000-0000-000071620000}"/>
    <cellStyle name="Normal 3 2 31 3 2" xfId="25211" xr:uid="{00000000-0005-0000-0000-000072620000}"/>
    <cellStyle name="Normal 3 2 31 3 3" xfId="25212" xr:uid="{00000000-0005-0000-0000-000073620000}"/>
    <cellStyle name="Normal 3 2 31 4" xfId="25213" xr:uid="{00000000-0005-0000-0000-000074620000}"/>
    <cellStyle name="Normal 3 2 31 4 2" xfId="25214" xr:uid="{00000000-0005-0000-0000-000075620000}"/>
    <cellStyle name="Normal 3 2 31 4 3" xfId="25215" xr:uid="{00000000-0005-0000-0000-000076620000}"/>
    <cellStyle name="Normal 3 2 31 5" xfId="25216" xr:uid="{00000000-0005-0000-0000-000077620000}"/>
    <cellStyle name="Normal 3 2 31 5 2" xfId="25217" xr:uid="{00000000-0005-0000-0000-000078620000}"/>
    <cellStyle name="Normal 3 2 31 5 3" xfId="25218" xr:uid="{00000000-0005-0000-0000-000079620000}"/>
    <cellStyle name="Normal 3 2 31 6" xfId="25219" xr:uid="{00000000-0005-0000-0000-00007A620000}"/>
    <cellStyle name="Normal 3 2 31 6 2" xfId="25220" xr:uid="{00000000-0005-0000-0000-00007B620000}"/>
    <cellStyle name="Normal 3 2 31 6 3" xfId="25221" xr:uid="{00000000-0005-0000-0000-00007C620000}"/>
    <cellStyle name="Normal 3 2 31 7" xfId="25222" xr:uid="{00000000-0005-0000-0000-00007D620000}"/>
    <cellStyle name="Normal 3 2 31 7 2" xfId="25223" xr:uid="{00000000-0005-0000-0000-00007E620000}"/>
    <cellStyle name="Normal 3 2 31 7 3" xfId="25224" xr:uid="{00000000-0005-0000-0000-00007F620000}"/>
    <cellStyle name="Normal 3 2 31 8" xfId="25225" xr:uid="{00000000-0005-0000-0000-000080620000}"/>
    <cellStyle name="Normal 3 2 31 8 2" xfId="25226" xr:uid="{00000000-0005-0000-0000-000081620000}"/>
    <cellStyle name="Normal 3 2 31 8 3" xfId="25227" xr:uid="{00000000-0005-0000-0000-000082620000}"/>
    <cellStyle name="Normal 3 2 31 9" xfId="25228" xr:uid="{00000000-0005-0000-0000-000083620000}"/>
    <cellStyle name="Normal 3 2 31 9 2" xfId="25229" xr:uid="{00000000-0005-0000-0000-000084620000}"/>
    <cellStyle name="Normal 3 2 31 9 3" xfId="25230" xr:uid="{00000000-0005-0000-0000-000085620000}"/>
    <cellStyle name="Normal 3 2 32" xfId="25231" xr:uid="{00000000-0005-0000-0000-000086620000}"/>
    <cellStyle name="Normal 3 2 32 10" xfId="25232" xr:uid="{00000000-0005-0000-0000-000087620000}"/>
    <cellStyle name="Normal 3 2 32 10 2" xfId="25233" xr:uid="{00000000-0005-0000-0000-000088620000}"/>
    <cellStyle name="Normal 3 2 32 10 3" xfId="25234" xr:uid="{00000000-0005-0000-0000-000089620000}"/>
    <cellStyle name="Normal 3 2 32 11" xfId="25235" xr:uid="{00000000-0005-0000-0000-00008A620000}"/>
    <cellStyle name="Normal 3 2 32 11 2" xfId="25236" xr:uid="{00000000-0005-0000-0000-00008B620000}"/>
    <cellStyle name="Normal 3 2 32 11 3" xfId="25237" xr:uid="{00000000-0005-0000-0000-00008C620000}"/>
    <cellStyle name="Normal 3 2 32 12" xfId="25238" xr:uid="{00000000-0005-0000-0000-00008D620000}"/>
    <cellStyle name="Normal 3 2 32 12 2" xfId="25239" xr:uid="{00000000-0005-0000-0000-00008E620000}"/>
    <cellStyle name="Normal 3 2 32 12 3" xfId="25240" xr:uid="{00000000-0005-0000-0000-00008F620000}"/>
    <cellStyle name="Normal 3 2 32 13" xfId="25241" xr:uid="{00000000-0005-0000-0000-000090620000}"/>
    <cellStyle name="Normal 3 2 32 13 2" xfId="25242" xr:uid="{00000000-0005-0000-0000-000091620000}"/>
    <cellStyle name="Normal 3 2 32 13 3" xfId="25243" xr:uid="{00000000-0005-0000-0000-000092620000}"/>
    <cellStyle name="Normal 3 2 32 14" xfId="25244" xr:uid="{00000000-0005-0000-0000-000093620000}"/>
    <cellStyle name="Normal 3 2 32 14 2" xfId="25245" xr:uid="{00000000-0005-0000-0000-000094620000}"/>
    <cellStyle name="Normal 3 2 32 14 3" xfId="25246" xr:uid="{00000000-0005-0000-0000-000095620000}"/>
    <cellStyle name="Normal 3 2 32 15" xfId="25247" xr:uid="{00000000-0005-0000-0000-000096620000}"/>
    <cellStyle name="Normal 3 2 32 16" xfId="25248" xr:uid="{00000000-0005-0000-0000-000097620000}"/>
    <cellStyle name="Normal 3 2 32 2" xfId="25249" xr:uid="{00000000-0005-0000-0000-000098620000}"/>
    <cellStyle name="Normal 3 2 32 2 2" xfId="25250" xr:uid="{00000000-0005-0000-0000-000099620000}"/>
    <cellStyle name="Normal 3 2 32 2 3" xfId="25251" xr:uid="{00000000-0005-0000-0000-00009A620000}"/>
    <cellStyle name="Normal 3 2 32 3" xfId="25252" xr:uid="{00000000-0005-0000-0000-00009B620000}"/>
    <cellStyle name="Normal 3 2 32 3 2" xfId="25253" xr:uid="{00000000-0005-0000-0000-00009C620000}"/>
    <cellStyle name="Normal 3 2 32 3 3" xfId="25254" xr:uid="{00000000-0005-0000-0000-00009D620000}"/>
    <cellStyle name="Normal 3 2 32 4" xfId="25255" xr:uid="{00000000-0005-0000-0000-00009E620000}"/>
    <cellStyle name="Normal 3 2 32 4 2" xfId="25256" xr:uid="{00000000-0005-0000-0000-00009F620000}"/>
    <cellStyle name="Normal 3 2 32 4 3" xfId="25257" xr:uid="{00000000-0005-0000-0000-0000A0620000}"/>
    <cellStyle name="Normal 3 2 32 5" xfId="25258" xr:uid="{00000000-0005-0000-0000-0000A1620000}"/>
    <cellStyle name="Normal 3 2 32 5 2" xfId="25259" xr:uid="{00000000-0005-0000-0000-0000A2620000}"/>
    <cellStyle name="Normal 3 2 32 5 3" xfId="25260" xr:uid="{00000000-0005-0000-0000-0000A3620000}"/>
    <cellStyle name="Normal 3 2 32 6" xfId="25261" xr:uid="{00000000-0005-0000-0000-0000A4620000}"/>
    <cellStyle name="Normal 3 2 32 6 2" xfId="25262" xr:uid="{00000000-0005-0000-0000-0000A5620000}"/>
    <cellStyle name="Normal 3 2 32 6 3" xfId="25263" xr:uid="{00000000-0005-0000-0000-0000A6620000}"/>
    <cellStyle name="Normal 3 2 32 7" xfId="25264" xr:uid="{00000000-0005-0000-0000-0000A7620000}"/>
    <cellStyle name="Normal 3 2 32 7 2" xfId="25265" xr:uid="{00000000-0005-0000-0000-0000A8620000}"/>
    <cellStyle name="Normal 3 2 32 7 3" xfId="25266" xr:uid="{00000000-0005-0000-0000-0000A9620000}"/>
    <cellStyle name="Normal 3 2 32 8" xfId="25267" xr:uid="{00000000-0005-0000-0000-0000AA620000}"/>
    <cellStyle name="Normal 3 2 32 8 2" xfId="25268" xr:uid="{00000000-0005-0000-0000-0000AB620000}"/>
    <cellStyle name="Normal 3 2 32 8 3" xfId="25269" xr:uid="{00000000-0005-0000-0000-0000AC620000}"/>
    <cellStyle name="Normal 3 2 32 9" xfId="25270" xr:uid="{00000000-0005-0000-0000-0000AD620000}"/>
    <cellStyle name="Normal 3 2 32 9 2" xfId="25271" xr:uid="{00000000-0005-0000-0000-0000AE620000}"/>
    <cellStyle name="Normal 3 2 32 9 3" xfId="25272" xr:uid="{00000000-0005-0000-0000-0000AF620000}"/>
    <cellStyle name="Normal 3 2 33" xfId="25273" xr:uid="{00000000-0005-0000-0000-0000B0620000}"/>
    <cellStyle name="Normal 3 2 33 10" xfId="25274" xr:uid="{00000000-0005-0000-0000-0000B1620000}"/>
    <cellStyle name="Normal 3 2 33 10 2" xfId="25275" xr:uid="{00000000-0005-0000-0000-0000B2620000}"/>
    <cellStyle name="Normal 3 2 33 10 3" xfId="25276" xr:uid="{00000000-0005-0000-0000-0000B3620000}"/>
    <cellStyle name="Normal 3 2 33 11" xfId="25277" xr:uid="{00000000-0005-0000-0000-0000B4620000}"/>
    <cellStyle name="Normal 3 2 33 11 2" xfId="25278" xr:uid="{00000000-0005-0000-0000-0000B5620000}"/>
    <cellStyle name="Normal 3 2 33 11 3" xfId="25279" xr:uid="{00000000-0005-0000-0000-0000B6620000}"/>
    <cellStyle name="Normal 3 2 33 12" xfId="25280" xr:uid="{00000000-0005-0000-0000-0000B7620000}"/>
    <cellStyle name="Normal 3 2 33 12 2" xfId="25281" xr:uid="{00000000-0005-0000-0000-0000B8620000}"/>
    <cellStyle name="Normal 3 2 33 12 3" xfId="25282" xr:uid="{00000000-0005-0000-0000-0000B9620000}"/>
    <cellStyle name="Normal 3 2 33 13" xfId="25283" xr:uid="{00000000-0005-0000-0000-0000BA620000}"/>
    <cellStyle name="Normal 3 2 33 13 2" xfId="25284" xr:uid="{00000000-0005-0000-0000-0000BB620000}"/>
    <cellStyle name="Normal 3 2 33 13 3" xfId="25285" xr:uid="{00000000-0005-0000-0000-0000BC620000}"/>
    <cellStyle name="Normal 3 2 33 14" xfId="25286" xr:uid="{00000000-0005-0000-0000-0000BD620000}"/>
    <cellStyle name="Normal 3 2 33 14 2" xfId="25287" xr:uid="{00000000-0005-0000-0000-0000BE620000}"/>
    <cellStyle name="Normal 3 2 33 14 3" xfId="25288" xr:uid="{00000000-0005-0000-0000-0000BF620000}"/>
    <cellStyle name="Normal 3 2 33 15" xfId="25289" xr:uid="{00000000-0005-0000-0000-0000C0620000}"/>
    <cellStyle name="Normal 3 2 33 16" xfId="25290" xr:uid="{00000000-0005-0000-0000-0000C1620000}"/>
    <cellStyle name="Normal 3 2 33 2" xfId="25291" xr:uid="{00000000-0005-0000-0000-0000C2620000}"/>
    <cellStyle name="Normal 3 2 33 2 2" xfId="25292" xr:uid="{00000000-0005-0000-0000-0000C3620000}"/>
    <cellStyle name="Normal 3 2 33 2 3" xfId="25293" xr:uid="{00000000-0005-0000-0000-0000C4620000}"/>
    <cellStyle name="Normal 3 2 33 3" xfId="25294" xr:uid="{00000000-0005-0000-0000-0000C5620000}"/>
    <cellStyle name="Normal 3 2 33 3 2" xfId="25295" xr:uid="{00000000-0005-0000-0000-0000C6620000}"/>
    <cellStyle name="Normal 3 2 33 3 3" xfId="25296" xr:uid="{00000000-0005-0000-0000-0000C7620000}"/>
    <cellStyle name="Normal 3 2 33 4" xfId="25297" xr:uid="{00000000-0005-0000-0000-0000C8620000}"/>
    <cellStyle name="Normal 3 2 33 4 2" xfId="25298" xr:uid="{00000000-0005-0000-0000-0000C9620000}"/>
    <cellStyle name="Normal 3 2 33 4 3" xfId="25299" xr:uid="{00000000-0005-0000-0000-0000CA620000}"/>
    <cellStyle name="Normal 3 2 33 5" xfId="25300" xr:uid="{00000000-0005-0000-0000-0000CB620000}"/>
    <cellStyle name="Normal 3 2 33 5 2" xfId="25301" xr:uid="{00000000-0005-0000-0000-0000CC620000}"/>
    <cellStyle name="Normal 3 2 33 5 3" xfId="25302" xr:uid="{00000000-0005-0000-0000-0000CD620000}"/>
    <cellStyle name="Normal 3 2 33 6" xfId="25303" xr:uid="{00000000-0005-0000-0000-0000CE620000}"/>
    <cellStyle name="Normal 3 2 33 6 2" xfId="25304" xr:uid="{00000000-0005-0000-0000-0000CF620000}"/>
    <cellStyle name="Normal 3 2 33 6 3" xfId="25305" xr:uid="{00000000-0005-0000-0000-0000D0620000}"/>
    <cellStyle name="Normal 3 2 33 7" xfId="25306" xr:uid="{00000000-0005-0000-0000-0000D1620000}"/>
    <cellStyle name="Normal 3 2 33 7 2" xfId="25307" xr:uid="{00000000-0005-0000-0000-0000D2620000}"/>
    <cellStyle name="Normal 3 2 33 7 3" xfId="25308" xr:uid="{00000000-0005-0000-0000-0000D3620000}"/>
    <cellStyle name="Normal 3 2 33 8" xfId="25309" xr:uid="{00000000-0005-0000-0000-0000D4620000}"/>
    <cellStyle name="Normal 3 2 33 8 2" xfId="25310" xr:uid="{00000000-0005-0000-0000-0000D5620000}"/>
    <cellStyle name="Normal 3 2 33 8 3" xfId="25311" xr:uid="{00000000-0005-0000-0000-0000D6620000}"/>
    <cellStyle name="Normal 3 2 33 9" xfId="25312" xr:uid="{00000000-0005-0000-0000-0000D7620000}"/>
    <cellStyle name="Normal 3 2 33 9 2" xfId="25313" xr:uid="{00000000-0005-0000-0000-0000D8620000}"/>
    <cellStyle name="Normal 3 2 33 9 3" xfId="25314" xr:uid="{00000000-0005-0000-0000-0000D9620000}"/>
    <cellStyle name="Normal 3 2 34" xfId="25315" xr:uid="{00000000-0005-0000-0000-0000DA620000}"/>
    <cellStyle name="Normal 3 2 35" xfId="25316" xr:uid="{00000000-0005-0000-0000-0000DB620000}"/>
    <cellStyle name="Normal 3 2 36" xfId="25317" xr:uid="{00000000-0005-0000-0000-0000DC620000}"/>
    <cellStyle name="Normal 3 2 36 10" xfId="25318" xr:uid="{00000000-0005-0000-0000-0000DD620000}"/>
    <cellStyle name="Normal 3 2 36 10 2" xfId="25319" xr:uid="{00000000-0005-0000-0000-0000DE620000}"/>
    <cellStyle name="Normal 3 2 36 10 3" xfId="25320" xr:uid="{00000000-0005-0000-0000-0000DF620000}"/>
    <cellStyle name="Normal 3 2 36 11" xfId="25321" xr:uid="{00000000-0005-0000-0000-0000E0620000}"/>
    <cellStyle name="Normal 3 2 36 11 2" xfId="25322" xr:uid="{00000000-0005-0000-0000-0000E1620000}"/>
    <cellStyle name="Normal 3 2 36 11 3" xfId="25323" xr:uid="{00000000-0005-0000-0000-0000E2620000}"/>
    <cellStyle name="Normal 3 2 36 12" xfId="25324" xr:uid="{00000000-0005-0000-0000-0000E3620000}"/>
    <cellStyle name="Normal 3 2 36 12 2" xfId="25325" xr:uid="{00000000-0005-0000-0000-0000E4620000}"/>
    <cellStyle name="Normal 3 2 36 12 3" xfId="25326" xr:uid="{00000000-0005-0000-0000-0000E5620000}"/>
    <cellStyle name="Normal 3 2 36 13" xfId="25327" xr:uid="{00000000-0005-0000-0000-0000E6620000}"/>
    <cellStyle name="Normal 3 2 36 13 2" xfId="25328" xr:uid="{00000000-0005-0000-0000-0000E7620000}"/>
    <cellStyle name="Normal 3 2 36 13 3" xfId="25329" xr:uid="{00000000-0005-0000-0000-0000E8620000}"/>
    <cellStyle name="Normal 3 2 36 14" xfId="25330" xr:uid="{00000000-0005-0000-0000-0000E9620000}"/>
    <cellStyle name="Normal 3 2 36 14 2" xfId="25331" xr:uid="{00000000-0005-0000-0000-0000EA620000}"/>
    <cellStyle name="Normal 3 2 36 14 3" xfId="25332" xr:uid="{00000000-0005-0000-0000-0000EB620000}"/>
    <cellStyle name="Normal 3 2 36 15" xfId="25333" xr:uid="{00000000-0005-0000-0000-0000EC620000}"/>
    <cellStyle name="Normal 3 2 36 16" xfId="25334" xr:uid="{00000000-0005-0000-0000-0000ED620000}"/>
    <cellStyle name="Normal 3 2 36 2" xfId="25335" xr:uid="{00000000-0005-0000-0000-0000EE620000}"/>
    <cellStyle name="Normal 3 2 36 2 2" xfId="25336" xr:uid="{00000000-0005-0000-0000-0000EF620000}"/>
    <cellStyle name="Normal 3 2 36 2 3" xfId="25337" xr:uid="{00000000-0005-0000-0000-0000F0620000}"/>
    <cellStyle name="Normal 3 2 36 3" xfId="25338" xr:uid="{00000000-0005-0000-0000-0000F1620000}"/>
    <cellStyle name="Normal 3 2 36 3 2" xfId="25339" xr:uid="{00000000-0005-0000-0000-0000F2620000}"/>
    <cellStyle name="Normal 3 2 36 3 3" xfId="25340" xr:uid="{00000000-0005-0000-0000-0000F3620000}"/>
    <cellStyle name="Normal 3 2 36 4" xfId="25341" xr:uid="{00000000-0005-0000-0000-0000F4620000}"/>
    <cellStyle name="Normal 3 2 36 4 2" xfId="25342" xr:uid="{00000000-0005-0000-0000-0000F5620000}"/>
    <cellStyle name="Normal 3 2 36 4 3" xfId="25343" xr:uid="{00000000-0005-0000-0000-0000F6620000}"/>
    <cellStyle name="Normal 3 2 36 5" xfId="25344" xr:uid="{00000000-0005-0000-0000-0000F7620000}"/>
    <cellStyle name="Normal 3 2 36 5 2" xfId="25345" xr:uid="{00000000-0005-0000-0000-0000F8620000}"/>
    <cellStyle name="Normal 3 2 36 5 3" xfId="25346" xr:uid="{00000000-0005-0000-0000-0000F9620000}"/>
    <cellStyle name="Normal 3 2 36 6" xfId="25347" xr:uid="{00000000-0005-0000-0000-0000FA620000}"/>
    <cellStyle name="Normal 3 2 36 6 2" xfId="25348" xr:uid="{00000000-0005-0000-0000-0000FB620000}"/>
    <cellStyle name="Normal 3 2 36 6 3" xfId="25349" xr:uid="{00000000-0005-0000-0000-0000FC620000}"/>
    <cellStyle name="Normal 3 2 36 7" xfId="25350" xr:uid="{00000000-0005-0000-0000-0000FD620000}"/>
    <cellStyle name="Normal 3 2 36 7 2" xfId="25351" xr:uid="{00000000-0005-0000-0000-0000FE620000}"/>
    <cellStyle name="Normal 3 2 36 7 3" xfId="25352" xr:uid="{00000000-0005-0000-0000-0000FF620000}"/>
    <cellStyle name="Normal 3 2 36 8" xfId="25353" xr:uid="{00000000-0005-0000-0000-000000630000}"/>
    <cellStyle name="Normal 3 2 36 8 2" xfId="25354" xr:uid="{00000000-0005-0000-0000-000001630000}"/>
    <cellStyle name="Normal 3 2 36 8 3" xfId="25355" xr:uid="{00000000-0005-0000-0000-000002630000}"/>
    <cellStyle name="Normal 3 2 36 9" xfId="25356" xr:uid="{00000000-0005-0000-0000-000003630000}"/>
    <cellStyle name="Normal 3 2 36 9 2" xfId="25357" xr:uid="{00000000-0005-0000-0000-000004630000}"/>
    <cellStyle name="Normal 3 2 36 9 3" xfId="25358" xr:uid="{00000000-0005-0000-0000-000005630000}"/>
    <cellStyle name="Normal 3 2 37" xfId="25359" xr:uid="{00000000-0005-0000-0000-000006630000}"/>
    <cellStyle name="Normal 3 2 37 10" xfId="25360" xr:uid="{00000000-0005-0000-0000-000007630000}"/>
    <cellStyle name="Normal 3 2 37 10 2" xfId="25361" xr:uid="{00000000-0005-0000-0000-000008630000}"/>
    <cellStyle name="Normal 3 2 37 10 3" xfId="25362" xr:uid="{00000000-0005-0000-0000-000009630000}"/>
    <cellStyle name="Normal 3 2 37 11" xfId="25363" xr:uid="{00000000-0005-0000-0000-00000A630000}"/>
    <cellStyle name="Normal 3 2 37 11 2" xfId="25364" xr:uid="{00000000-0005-0000-0000-00000B630000}"/>
    <cellStyle name="Normal 3 2 37 11 3" xfId="25365" xr:uid="{00000000-0005-0000-0000-00000C630000}"/>
    <cellStyle name="Normal 3 2 37 12" xfId="25366" xr:uid="{00000000-0005-0000-0000-00000D630000}"/>
    <cellStyle name="Normal 3 2 37 12 2" xfId="25367" xr:uid="{00000000-0005-0000-0000-00000E630000}"/>
    <cellStyle name="Normal 3 2 37 12 3" xfId="25368" xr:uid="{00000000-0005-0000-0000-00000F630000}"/>
    <cellStyle name="Normal 3 2 37 13" xfId="25369" xr:uid="{00000000-0005-0000-0000-000010630000}"/>
    <cellStyle name="Normal 3 2 37 13 2" xfId="25370" xr:uid="{00000000-0005-0000-0000-000011630000}"/>
    <cellStyle name="Normal 3 2 37 13 3" xfId="25371" xr:uid="{00000000-0005-0000-0000-000012630000}"/>
    <cellStyle name="Normal 3 2 37 14" xfId="25372" xr:uid="{00000000-0005-0000-0000-000013630000}"/>
    <cellStyle name="Normal 3 2 37 14 2" xfId="25373" xr:uid="{00000000-0005-0000-0000-000014630000}"/>
    <cellStyle name="Normal 3 2 37 14 3" xfId="25374" xr:uid="{00000000-0005-0000-0000-000015630000}"/>
    <cellStyle name="Normal 3 2 37 15" xfId="25375" xr:uid="{00000000-0005-0000-0000-000016630000}"/>
    <cellStyle name="Normal 3 2 37 16" xfId="25376" xr:uid="{00000000-0005-0000-0000-000017630000}"/>
    <cellStyle name="Normal 3 2 37 2" xfId="25377" xr:uid="{00000000-0005-0000-0000-000018630000}"/>
    <cellStyle name="Normal 3 2 37 2 2" xfId="25378" xr:uid="{00000000-0005-0000-0000-000019630000}"/>
    <cellStyle name="Normal 3 2 37 2 3" xfId="25379" xr:uid="{00000000-0005-0000-0000-00001A630000}"/>
    <cellStyle name="Normal 3 2 37 3" xfId="25380" xr:uid="{00000000-0005-0000-0000-00001B630000}"/>
    <cellStyle name="Normal 3 2 37 3 2" xfId="25381" xr:uid="{00000000-0005-0000-0000-00001C630000}"/>
    <cellStyle name="Normal 3 2 37 3 3" xfId="25382" xr:uid="{00000000-0005-0000-0000-00001D630000}"/>
    <cellStyle name="Normal 3 2 37 4" xfId="25383" xr:uid="{00000000-0005-0000-0000-00001E630000}"/>
    <cellStyle name="Normal 3 2 37 4 2" xfId="25384" xr:uid="{00000000-0005-0000-0000-00001F630000}"/>
    <cellStyle name="Normal 3 2 37 4 3" xfId="25385" xr:uid="{00000000-0005-0000-0000-000020630000}"/>
    <cellStyle name="Normal 3 2 37 5" xfId="25386" xr:uid="{00000000-0005-0000-0000-000021630000}"/>
    <cellStyle name="Normal 3 2 37 5 2" xfId="25387" xr:uid="{00000000-0005-0000-0000-000022630000}"/>
    <cellStyle name="Normal 3 2 37 5 3" xfId="25388" xr:uid="{00000000-0005-0000-0000-000023630000}"/>
    <cellStyle name="Normal 3 2 37 6" xfId="25389" xr:uid="{00000000-0005-0000-0000-000024630000}"/>
    <cellStyle name="Normal 3 2 37 6 2" xfId="25390" xr:uid="{00000000-0005-0000-0000-000025630000}"/>
    <cellStyle name="Normal 3 2 37 6 3" xfId="25391" xr:uid="{00000000-0005-0000-0000-000026630000}"/>
    <cellStyle name="Normal 3 2 37 7" xfId="25392" xr:uid="{00000000-0005-0000-0000-000027630000}"/>
    <cellStyle name="Normal 3 2 37 7 2" xfId="25393" xr:uid="{00000000-0005-0000-0000-000028630000}"/>
    <cellStyle name="Normal 3 2 37 7 3" xfId="25394" xr:uid="{00000000-0005-0000-0000-000029630000}"/>
    <cellStyle name="Normal 3 2 37 8" xfId="25395" xr:uid="{00000000-0005-0000-0000-00002A630000}"/>
    <cellStyle name="Normal 3 2 37 8 2" xfId="25396" xr:uid="{00000000-0005-0000-0000-00002B630000}"/>
    <cellStyle name="Normal 3 2 37 8 3" xfId="25397" xr:uid="{00000000-0005-0000-0000-00002C630000}"/>
    <cellStyle name="Normal 3 2 37 9" xfId="25398" xr:uid="{00000000-0005-0000-0000-00002D630000}"/>
    <cellStyle name="Normal 3 2 37 9 2" xfId="25399" xr:uid="{00000000-0005-0000-0000-00002E630000}"/>
    <cellStyle name="Normal 3 2 37 9 3" xfId="25400" xr:uid="{00000000-0005-0000-0000-00002F630000}"/>
    <cellStyle name="Normal 3 2 4" xfId="25401" xr:uid="{00000000-0005-0000-0000-000030630000}"/>
    <cellStyle name="Normal 3 2 5" xfId="25402" xr:uid="{00000000-0005-0000-0000-000031630000}"/>
    <cellStyle name="Normal 3 2 6" xfId="25403" xr:uid="{00000000-0005-0000-0000-000032630000}"/>
    <cellStyle name="Normal 3 2 7" xfId="25404" xr:uid="{00000000-0005-0000-0000-000033630000}"/>
    <cellStyle name="Normal 3 2 8" xfId="25405" xr:uid="{00000000-0005-0000-0000-000034630000}"/>
    <cellStyle name="Normal 3 2 9" xfId="25406" xr:uid="{00000000-0005-0000-0000-000035630000}"/>
    <cellStyle name="Normal 3 20" xfId="25407" xr:uid="{00000000-0005-0000-0000-000036630000}"/>
    <cellStyle name="Normal 3 20 10" xfId="25408" xr:uid="{00000000-0005-0000-0000-000037630000}"/>
    <cellStyle name="Normal 3 20 10 10" xfId="25409" xr:uid="{00000000-0005-0000-0000-000038630000}"/>
    <cellStyle name="Normal 3 20 10 10 2" xfId="25410" xr:uid="{00000000-0005-0000-0000-000039630000}"/>
    <cellStyle name="Normal 3 20 10 10 3" xfId="25411" xr:uid="{00000000-0005-0000-0000-00003A630000}"/>
    <cellStyle name="Normal 3 20 10 11" xfId="25412" xr:uid="{00000000-0005-0000-0000-00003B630000}"/>
    <cellStyle name="Normal 3 20 10 11 2" xfId="25413" xr:uid="{00000000-0005-0000-0000-00003C630000}"/>
    <cellStyle name="Normal 3 20 10 11 3" xfId="25414" xr:uid="{00000000-0005-0000-0000-00003D630000}"/>
    <cellStyle name="Normal 3 20 10 12" xfId="25415" xr:uid="{00000000-0005-0000-0000-00003E630000}"/>
    <cellStyle name="Normal 3 20 10 12 2" xfId="25416" xr:uid="{00000000-0005-0000-0000-00003F630000}"/>
    <cellStyle name="Normal 3 20 10 12 3" xfId="25417" xr:uid="{00000000-0005-0000-0000-000040630000}"/>
    <cellStyle name="Normal 3 20 10 13" xfId="25418" xr:uid="{00000000-0005-0000-0000-000041630000}"/>
    <cellStyle name="Normal 3 20 10 13 2" xfId="25419" xr:uid="{00000000-0005-0000-0000-000042630000}"/>
    <cellStyle name="Normal 3 20 10 13 3" xfId="25420" xr:uid="{00000000-0005-0000-0000-000043630000}"/>
    <cellStyle name="Normal 3 20 10 14" xfId="25421" xr:uid="{00000000-0005-0000-0000-000044630000}"/>
    <cellStyle name="Normal 3 20 10 14 2" xfId="25422" xr:uid="{00000000-0005-0000-0000-000045630000}"/>
    <cellStyle name="Normal 3 20 10 14 3" xfId="25423" xr:uid="{00000000-0005-0000-0000-000046630000}"/>
    <cellStyle name="Normal 3 20 10 15" xfId="25424" xr:uid="{00000000-0005-0000-0000-000047630000}"/>
    <cellStyle name="Normal 3 20 10 16" xfId="25425" xr:uid="{00000000-0005-0000-0000-000048630000}"/>
    <cellStyle name="Normal 3 20 10 2" xfId="25426" xr:uid="{00000000-0005-0000-0000-000049630000}"/>
    <cellStyle name="Normal 3 20 10 2 2" xfId="25427" xr:uid="{00000000-0005-0000-0000-00004A630000}"/>
    <cellStyle name="Normal 3 20 10 2 3" xfId="25428" xr:uid="{00000000-0005-0000-0000-00004B630000}"/>
    <cellStyle name="Normal 3 20 10 3" xfId="25429" xr:uid="{00000000-0005-0000-0000-00004C630000}"/>
    <cellStyle name="Normal 3 20 10 3 2" xfId="25430" xr:uid="{00000000-0005-0000-0000-00004D630000}"/>
    <cellStyle name="Normal 3 20 10 3 3" xfId="25431" xr:uid="{00000000-0005-0000-0000-00004E630000}"/>
    <cellStyle name="Normal 3 20 10 4" xfId="25432" xr:uid="{00000000-0005-0000-0000-00004F630000}"/>
    <cellStyle name="Normal 3 20 10 4 2" xfId="25433" xr:uid="{00000000-0005-0000-0000-000050630000}"/>
    <cellStyle name="Normal 3 20 10 4 3" xfId="25434" xr:uid="{00000000-0005-0000-0000-000051630000}"/>
    <cellStyle name="Normal 3 20 10 5" xfId="25435" xr:uid="{00000000-0005-0000-0000-000052630000}"/>
    <cellStyle name="Normal 3 20 10 5 2" xfId="25436" xr:uid="{00000000-0005-0000-0000-000053630000}"/>
    <cellStyle name="Normal 3 20 10 5 3" xfId="25437" xr:uid="{00000000-0005-0000-0000-000054630000}"/>
    <cellStyle name="Normal 3 20 10 6" xfId="25438" xr:uid="{00000000-0005-0000-0000-000055630000}"/>
    <cellStyle name="Normal 3 20 10 6 2" xfId="25439" xr:uid="{00000000-0005-0000-0000-000056630000}"/>
    <cellStyle name="Normal 3 20 10 6 3" xfId="25440" xr:uid="{00000000-0005-0000-0000-000057630000}"/>
    <cellStyle name="Normal 3 20 10 7" xfId="25441" xr:uid="{00000000-0005-0000-0000-000058630000}"/>
    <cellStyle name="Normal 3 20 10 7 2" xfId="25442" xr:uid="{00000000-0005-0000-0000-000059630000}"/>
    <cellStyle name="Normal 3 20 10 7 3" xfId="25443" xr:uid="{00000000-0005-0000-0000-00005A630000}"/>
    <cellStyle name="Normal 3 20 10 8" xfId="25444" xr:uid="{00000000-0005-0000-0000-00005B630000}"/>
    <cellStyle name="Normal 3 20 10 8 2" xfId="25445" xr:uid="{00000000-0005-0000-0000-00005C630000}"/>
    <cellStyle name="Normal 3 20 10 8 3" xfId="25446" xr:uid="{00000000-0005-0000-0000-00005D630000}"/>
    <cellStyle name="Normal 3 20 10 9" xfId="25447" xr:uid="{00000000-0005-0000-0000-00005E630000}"/>
    <cellStyle name="Normal 3 20 10 9 2" xfId="25448" xr:uid="{00000000-0005-0000-0000-00005F630000}"/>
    <cellStyle name="Normal 3 20 10 9 3" xfId="25449" xr:uid="{00000000-0005-0000-0000-000060630000}"/>
    <cellStyle name="Normal 3 20 11" xfId="25450" xr:uid="{00000000-0005-0000-0000-000061630000}"/>
    <cellStyle name="Normal 3 20 11 10" xfId="25451" xr:uid="{00000000-0005-0000-0000-000062630000}"/>
    <cellStyle name="Normal 3 20 11 10 2" xfId="25452" xr:uid="{00000000-0005-0000-0000-000063630000}"/>
    <cellStyle name="Normal 3 20 11 10 3" xfId="25453" xr:uid="{00000000-0005-0000-0000-000064630000}"/>
    <cellStyle name="Normal 3 20 11 11" xfId="25454" xr:uid="{00000000-0005-0000-0000-000065630000}"/>
    <cellStyle name="Normal 3 20 11 11 2" xfId="25455" xr:uid="{00000000-0005-0000-0000-000066630000}"/>
    <cellStyle name="Normal 3 20 11 11 3" xfId="25456" xr:uid="{00000000-0005-0000-0000-000067630000}"/>
    <cellStyle name="Normal 3 20 11 12" xfId="25457" xr:uid="{00000000-0005-0000-0000-000068630000}"/>
    <cellStyle name="Normal 3 20 11 12 2" xfId="25458" xr:uid="{00000000-0005-0000-0000-000069630000}"/>
    <cellStyle name="Normal 3 20 11 12 3" xfId="25459" xr:uid="{00000000-0005-0000-0000-00006A630000}"/>
    <cellStyle name="Normal 3 20 11 13" xfId="25460" xr:uid="{00000000-0005-0000-0000-00006B630000}"/>
    <cellStyle name="Normal 3 20 11 13 2" xfId="25461" xr:uid="{00000000-0005-0000-0000-00006C630000}"/>
    <cellStyle name="Normal 3 20 11 13 3" xfId="25462" xr:uid="{00000000-0005-0000-0000-00006D630000}"/>
    <cellStyle name="Normal 3 20 11 14" xfId="25463" xr:uid="{00000000-0005-0000-0000-00006E630000}"/>
    <cellStyle name="Normal 3 20 11 14 2" xfId="25464" xr:uid="{00000000-0005-0000-0000-00006F630000}"/>
    <cellStyle name="Normal 3 20 11 14 3" xfId="25465" xr:uid="{00000000-0005-0000-0000-000070630000}"/>
    <cellStyle name="Normal 3 20 11 15" xfId="25466" xr:uid="{00000000-0005-0000-0000-000071630000}"/>
    <cellStyle name="Normal 3 20 11 16" xfId="25467" xr:uid="{00000000-0005-0000-0000-000072630000}"/>
    <cellStyle name="Normal 3 20 11 2" xfId="25468" xr:uid="{00000000-0005-0000-0000-000073630000}"/>
    <cellStyle name="Normal 3 20 11 2 2" xfId="25469" xr:uid="{00000000-0005-0000-0000-000074630000}"/>
    <cellStyle name="Normal 3 20 11 2 3" xfId="25470" xr:uid="{00000000-0005-0000-0000-000075630000}"/>
    <cellStyle name="Normal 3 20 11 3" xfId="25471" xr:uid="{00000000-0005-0000-0000-000076630000}"/>
    <cellStyle name="Normal 3 20 11 3 2" xfId="25472" xr:uid="{00000000-0005-0000-0000-000077630000}"/>
    <cellStyle name="Normal 3 20 11 3 3" xfId="25473" xr:uid="{00000000-0005-0000-0000-000078630000}"/>
    <cellStyle name="Normal 3 20 11 4" xfId="25474" xr:uid="{00000000-0005-0000-0000-000079630000}"/>
    <cellStyle name="Normal 3 20 11 4 2" xfId="25475" xr:uid="{00000000-0005-0000-0000-00007A630000}"/>
    <cellStyle name="Normal 3 20 11 4 3" xfId="25476" xr:uid="{00000000-0005-0000-0000-00007B630000}"/>
    <cellStyle name="Normal 3 20 11 5" xfId="25477" xr:uid="{00000000-0005-0000-0000-00007C630000}"/>
    <cellStyle name="Normal 3 20 11 5 2" xfId="25478" xr:uid="{00000000-0005-0000-0000-00007D630000}"/>
    <cellStyle name="Normal 3 20 11 5 3" xfId="25479" xr:uid="{00000000-0005-0000-0000-00007E630000}"/>
    <cellStyle name="Normal 3 20 11 6" xfId="25480" xr:uid="{00000000-0005-0000-0000-00007F630000}"/>
    <cellStyle name="Normal 3 20 11 6 2" xfId="25481" xr:uid="{00000000-0005-0000-0000-000080630000}"/>
    <cellStyle name="Normal 3 20 11 6 3" xfId="25482" xr:uid="{00000000-0005-0000-0000-000081630000}"/>
    <cellStyle name="Normal 3 20 11 7" xfId="25483" xr:uid="{00000000-0005-0000-0000-000082630000}"/>
    <cellStyle name="Normal 3 20 11 7 2" xfId="25484" xr:uid="{00000000-0005-0000-0000-000083630000}"/>
    <cellStyle name="Normal 3 20 11 7 3" xfId="25485" xr:uid="{00000000-0005-0000-0000-000084630000}"/>
    <cellStyle name="Normal 3 20 11 8" xfId="25486" xr:uid="{00000000-0005-0000-0000-000085630000}"/>
    <cellStyle name="Normal 3 20 11 8 2" xfId="25487" xr:uid="{00000000-0005-0000-0000-000086630000}"/>
    <cellStyle name="Normal 3 20 11 8 3" xfId="25488" xr:uid="{00000000-0005-0000-0000-000087630000}"/>
    <cellStyle name="Normal 3 20 11 9" xfId="25489" xr:uid="{00000000-0005-0000-0000-000088630000}"/>
    <cellStyle name="Normal 3 20 11 9 2" xfId="25490" xr:uid="{00000000-0005-0000-0000-000089630000}"/>
    <cellStyle name="Normal 3 20 11 9 3" xfId="25491" xr:uid="{00000000-0005-0000-0000-00008A630000}"/>
    <cellStyle name="Normal 3 20 12" xfId="25492" xr:uid="{00000000-0005-0000-0000-00008B630000}"/>
    <cellStyle name="Normal 3 20 12 10" xfId="25493" xr:uid="{00000000-0005-0000-0000-00008C630000}"/>
    <cellStyle name="Normal 3 20 12 10 2" xfId="25494" xr:uid="{00000000-0005-0000-0000-00008D630000}"/>
    <cellStyle name="Normal 3 20 12 10 3" xfId="25495" xr:uid="{00000000-0005-0000-0000-00008E630000}"/>
    <cellStyle name="Normal 3 20 12 11" xfId="25496" xr:uid="{00000000-0005-0000-0000-00008F630000}"/>
    <cellStyle name="Normal 3 20 12 11 2" xfId="25497" xr:uid="{00000000-0005-0000-0000-000090630000}"/>
    <cellStyle name="Normal 3 20 12 11 3" xfId="25498" xr:uid="{00000000-0005-0000-0000-000091630000}"/>
    <cellStyle name="Normal 3 20 12 12" xfId="25499" xr:uid="{00000000-0005-0000-0000-000092630000}"/>
    <cellStyle name="Normal 3 20 12 12 2" xfId="25500" xr:uid="{00000000-0005-0000-0000-000093630000}"/>
    <cellStyle name="Normal 3 20 12 12 3" xfId="25501" xr:uid="{00000000-0005-0000-0000-000094630000}"/>
    <cellStyle name="Normal 3 20 12 13" xfId="25502" xr:uid="{00000000-0005-0000-0000-000095630000}"/>
    <cellStyle name="Normal 3 20 12 13 2" xfId="25503" xr:uid="{00000000-0005-0000-0000-000096630000}"/>
    <cellStyle name="Normal 3 20 12 13 3" xfId="25504" xr:uid="{00000000-0005-0000-0000-000097630000}"/>
    <cellStyle name="Normal 3 20 12 14" xfId="25505" xr:uid="{00000000-0005-0000-0000-000098630000}"/>
    <cellStyle name="Normal 3 20 12 14 2" xfId="25506" xr:uid="{00000000-0005-0000-0000-000099630000}"/>
    <cellStyle name="Normal 3 20 12 14 3" xfId="25507" xr:uid="{00000000-0005-0000-0000-00009A630000}"/>
    <cellStyle name="Normal 3 20 12 15" xfId="25508" xr:uid="{00000000-0005-0000-0000-00009B630000}"/>
    <cellStyle name="Normal 3 20 12 16" xfId="25509" xr:uid="{00000000-0005-0000-0000-00009C630000}"/>
    <cellStyle name="Normal 3 20 12 2" xfId="25510" xr:uid="{00000000-0005-0000-0000-00009D630000}"/>
    <cellStyle name="Normal 3 20 12 2 2" xfId="25511" xr:uid="{00000000-0005-0000-0000-00009E630000}"/>
    <cellStyle name="Normal 3 20 12 2 3" xfId="25512" xr:uid="{00000000-0005-0000-0000-00009F630000}"/>
    <cellStyle name="Normal 3 20 12 3" xfId="25513" xr:uid="{00000000-0005-0000-0000-0000A0630000}"/>
    <cellStyle name="Normal 3 20 12 3 2" xfId="25514" xr:uid="{00000000-0005-0000-0000-0000A1630000}"/>
    <cellStyle name="Normal 3 20 12 3 3" xfId="25515" xr:uid="{00000000-0005-0000-0000-0000A2630000}"/>
    <cellStyle name="Normal 3 20 12 4" xfId="25516" xr:uid="{00000000-0005-0000-0000-0000A3630000}"/>
    <cellStyle name="Normal 3 20 12 4 2" xfId="25517" xr:uid="{00000000-0005-0000-0000-0000A4630000}"/>
    <cellStyle name="Normal 3 20 12 4 3" xfId="25518" xr:uid="{00000000-0005-0000-0000-0000A5630000}"/>
    <cellStyle name="Normal 3 20 12 5" xfId="25519" xr:uid="{00000000-0005-0000-0000-0000A6630000}"/>
    <cellStyle name="Normal 3 20 12 5 2" xfId="25520" xr:uid="{00000000-0005-0000-0000-0000A7630000}"/>
    <cellStyle name="Normal 3 20 12 5 3" xfId="25521" xr:uid="{00000000-0005-0000-0000-0000A8630000}"/>
    <cellStyle name="Normal 3 20 12 6" xfId="25522" xr:uid="{00000000-0005-0000-0000-0000A9630000}"/>
    <cellStyle name="Normal 3 20 12 6 2" xfId="25523" xr:uid="{00000000-0005-0000-0000-0000AA630000}"/>
    <cellStyle name="Normal 3 20 12 6 3" xfId="25524" xr:uid="{00000000-0005-0000-0000-0000AB630000}"/>
    <cellStyle name="Normal 3 20 12 7" xfId="25525" xr:uid="{00000000-0005-0000-0000-0000AC630000}"/>
    <cellStyle name="Normal 3 20 12 7 2" xfId="25526" xr:uid="{00000000-0005-0000-0000-0000AD630000}"/>
    <cellStyle name="Normal 3 20 12 7 3" xfId="25527" xr:uid="{00000000-0005-0000-0000-0000AE630000}"/>
    <cellStyle name="Normal 3 20 12 8" xfId="25528" xr:uid="{00000000-0005-0000-0000-0000AF630000}"/>
    <cellStyle name="Normal 3 20 12 8 2" xfId="25529" xr:uid="{00000000-0005-0000-0000-0000B0630000}"/>
    <cellStyle name="Normal 3 20 12 8 3" xfId="25530" xr:uid="{00000000-0005-0000-0000-0000B1630000}"/>
    <cellStyle name="Normal 3 20 12 9" xfId="25531" xr:uid="{00000000-0005-0000-0000-0000B2630000}"/>
    <cellStyle name="Normal 3 20 12 9 2" xfId="25532" xr:uid="{00000000-0005-0000-0000-0000B3630000}"/>
    <cellStyle name="Normal 3 20 12 9 3" xfId="25533" xr:uid="{00000000-0005-0000-0000-0000B4630000}"/>
    <cellStyle name="Normal 3 20 13" xfId="25534" xr:uid="{00000000-0005-0000-0000-0000B5630000}"/>
    <cellStyle name="Normal 3 20 13 10" xfId="25535" xr:uid="{00000000-0005-0000-0000-0000B6630000}"/>
    <cellStyle name="Normal 3 20 13 10 2" xfId="25536" xr:uid="{00000000-0005-0000-0000-0000B7630000}"/>
    <cellStyle name="Normal 3 20 13 10 3" xfId="25537" xr:uid="{00000000-0005-0000-0000-0000B8630000}"/>
    <cellStyle name="Normal 3 20 13 11" xfId="25538" xr:uid="{00000000-0005-0000-0000-0000B9630000}"/>
    <cellStyle name="Normal 3 20 13 11 2" xfId="25539" xr:uid="{00000000-0005-0000-0000-0000BA630000}"/>
    <cellStyle name="Normal 3 20 13 11 3" xfId="25540" xr:uid="{00000000-0005-0000-0000-0000BB630000}"/>
    <cellStyle name="Normal 3 20 13 12" xfId="25541" xr:uid="{00000000-0005-0000-0000-0000BC630000}"/>
    <cellStyle name="Normal 3 20 13 12 2" xfId="25542" xr:uid="{00000000-0005-0000-0000-0000BD630000}"/>
    <cellStyle name="Normal 3 20 13 12 3" xfId="25543" xr:uid="{00000000-0005-0000-0000-0000BE630000}"/>
    <cellStyle name="Normal 3 20 13 13" xfId="25544" xr:uid="{00000000-0005-0000-0000-0000BF630000}"/>
    <cellStyle name="Normal 3 20 13 13 2" xfId="25545" xr:uid="{00000000-0005-0000-0000-0000C0630000}"/>
    <cellStyle name="Normal 3 20 13 13 3" xfId="25546" xr:uid="{00000000-0005-0000-0000-0000C1630000}"/>
    <cellStyle name="Normal 3 20 13 14" xfId="25547" xr:uid="{00000000-0005-0000-0000-0000C2630000}"/>
    <cellStyle name="Normal 3 20 13 14 2" xfId="25548" xr:uid="{00000000-0005-0000-0000-0000C3630000}"/>
    <cellStyle name="Normal 3 20 13 14 3" xfId="25549" xr:uid="{00000000-0005-0000-0000-0000C4630000}"/>
    <cellStyle name="Normal 3 20 13 15" xfId="25550" xr:uid="{00000000-0005-0000-0000-0000C5630000}"/>
    <cellStyle name="Normal 3 20 13 16" xfId="25551" xr:uid="{00000000-0005-0000-0000-0000C6630000}"/>
    <cellStyle name="Normal 3 20 13 2" xfId="25552" xr:uid="{00000000-0005-0000-0000-0000C7630000}"/>
    <cellStyle name="Normal 3 20 13 2 2" xfId="25553" xr:uid="{00000000-0005-0000-0000-0000C8630000}"/>
    <cellStyle name="Normal 3 20 13 2 3" xfId="25554" xr:uid="{00000000-0005-0000-0000-0000C9630000}"/>
    <cellStyle name="Normal 3 20 13 3" xfId="25555" xr:uid="{00000000-0005-0000-0000-0000CA630000}"/>
    <cellStyle name="Normal 3 20 13 3 2" xfId="25556" xr:uid="{00000000-0005-0000-0000-0000CB630000}"/>
    <cellStyle name="Normal 3 20 13 3 3" xfId="25557" xr:uid="{00000000-0005-0000-0000-0000CC630000}"/>
    <cellStyle name="Normal 3 20 13 4" xfId="25558" xr:uid="{00000000-0005-0000-0000-0000CD630000}"/>
    <cellStyle name="Normal 3 20 13 4 2" xfId="25559" xr:uid="{00000000-0005-0000-0000-0000CE630000}"/>
    <cellStyle name="Normal 3 20 13 4 3" xfId="25560" xr:uid="{00000000-0005-0000-0000-0000CF630000}"/>
    <cellStyle name="Normal 3 20 13 5" xfId="25561" xr:uid="{00000000-0005-0000-0000-0000D0630000}"/>
    <cellStyle name="Normal 3 20 13 5 2" xfId="25562" xr:uid="{00000000-0005-0000-0000-0000D1630000}"/>
    <cellStyle name="Normal 3 20 13 5 3" xfId="25563" xr:uid="{00000000-0005-0000-0000-0000D2630000}"/>
    <cellStyle name="Normal 3 20 13 6" xfId="25564" xr:uid="{00000000-0005-0000-0000-0000D3630000}"/>
    <cellStyle name="Normal 3 20 13 6 2" xfId="25565" xr:uid="{00000000-0005-0000-0000-0000D4630000}"/>
    <cellStyle name="Normal 3 20 13 6 3" xfId="25566" xr:uid="{00000000-0005-0000-0000-0000D5630000}"/>
    <cellStyle name="Normal 3 20 13 7" xfId="25567" xr:uid="{00000000-0005-0000-0000-0000D6630000}"/>
    <cellStyle name="Normal 3 20 13 7 2" xfId="25568" xr:uid="{00000000-0005-0000-0000-0000D7630000}"/>
    <cellStyle name="Normal 3 20 13 7 3" xfId="25569" xr:uid="{00000000-0005-0000-0000-0000D8630000}"/>
    <cellStyle name="Normal 3 20 13 8" xfId="25570" xr:uid="{00000000-0005-0000-0000-0000D9630000}"/>
    <cellStyle name="Normal 3 20 13 8 2" xfId="25571" xr:uid="{00000000-0005-0000-0000-0000DA630000}"/>
    <cellStyle name="Normal 3 20 13 8 3" xfId="25572" xr:uid="{00000000-0005-0000-0000-0000DB630000}"/>
    <cellStyle name="Normal 3 20 13 9" xfId="25573" xr:uid="{00000000-0005-0000-0000-0000DC630000}"/>
    <cellStyle name="Normal 3 20 13 9 2" xfId="25574" xr:uid="{00000000-0005-0000-0000-0000DD630000}"/>
    <cellStyle name="Normal 3 20 13 9 3" xfId="25575" xr:uid="{00000000-0005-0000-0000-0000DE630000}"/>
    <cellStyle name="Normal 3 20 14" xfId="25576" xr:uid="{00000000-0005-0000-0000-0000DF630000}"/>
    <cellStyle name="Normal 3 20 14 10" xfId="25577" xr:uid="{00000000-0005-0000-0000-0000E0630000}"/>
    <cellStyle name="Normal 3 20 14 10 2" xfId="25578" xr:uid="{00000000-0005-0000-0000-0000E1630000}"/>
    <cellStyle name="Normal 3 20 14 10 3" xfId="25579" xr:uid="{00000000-0005-0000-0000-0000E2630000}"/>
    <cellStyle name="Normal 3 20 14 11" xfId="25580" xr:uid="{00000000-0005-0000-0000-0000E3630000}"/>
    <cellStyle name="Normal 3 20 14 11 2" xfId="25581" xr:uid="{00000000-0005-0000-0000-0000E4630000}"/>
    <cellStyle name="Normal 3 20 14 11 3" xfId="25582" xr:uid="{00000000-0005-0000-0000-0000E5630000}"/>
    <cellStyle name="Normal 3 20 14 12" xfId="25583" xr:uid="{00000000-0005-0000-0000-0000E6630000}"/>
    <cellStyle name="Normal 3 20 14 12 2" xfId="25584" xr:uid="{00000000-0005-0000-0000-0000E7630000}"/>
    <cellStyle name="Normal 3 20 14 12 3" xfId="25585" xr:uid="{00000000-0005-0000-0000-0000E8630000}"/>
    <cellStyle name="Normal 3 20 14 13" xfId="25586" xr:uid="{00000000-0005-0000-0000-0000E9630000}"/>
    <cellStyle name="Normal 3 20 14 13 2" xfId="25587" xr:uid="{00000000-0005-0000-0000-0000EA630000}"/>
    <cellStyle name="Normal 3 20 14 13 3" xfId="25588" xr:uid="{00000000-0005-0000-0000-0000EB630000}"/>
    <cellStyle name="Normal 3 20 14 14" xfId="25589" xr:uid="{00000000-0005-0000-0000-0000EC630000}"/>
    <cellStyle name="Normal 3 20 14 14 2" xfId="25590" xr:uid="{00000000-0005-0000-0000-0000ED630000}"/>
    <cellStyle name="Normal 3 20 14 14 3" xfId="25591" xr:uid="{00000000-0005-0000-0000-0000EE630000}"/>
    <cellStyle name="Normal 3 20 14 15" xfId="25592" xr:uid="{00000000-0005-0000-0000-0000EF630000}"/>
    <cellStyle name="Normal 3 20 14 16" xfId="25593" xr:uid="{00000000-0005-0000-0000-0000F0630000}"/>
    <cellStyle name="Normal 3 20 14 2" xfId="25594" xr:uid="{00000000-0005-0000-0000-0000F1630000}"/>
    <cellStyle name="Normal 3 20 14 2 2" xfId="25595" xr:uid="{00000000-0005-0000-0000-0000F2630000}"/>
    <cellStyle name="Normal 3 20 14 2 3" xfId="25596" xr:uid="{00000000-0005-0000-0000-0000F3630000}"/>
    <cellStyle name="Normal 3 20 14 3" xfId="25597" xr:uid="{00000000-0005-0000-0000-0000F4630000}"/>
    <cellStyle name="Normal 3 20 14 3 2" xfId="25598" xr:uid="{00000000-0005-0000-0000-0000F5630000}"/>
    <cellStyle name="Normal 3 20 14 3 3" xfId="25599" xr:uid="{00000000-0005-0000-0000-0000F6630000}"/>
    <cellStyle name="Normal 3 20 14 4" xfId="25600" xr:uid="{00000000-0005-0000-0000-0000F7630000}"/>
    <cellStyle name="Normal 3 20 14 4 2" xfId="25601" xr:uid="{00000000-0005-0000-0000-0000F8630000}"/>
    <cellStyle name="Normal 3 20 14 4 3" xfId="25602" xr:uid="{00000000-0005-0000-0000-0000F9630000}"/>
    <cellStyle name="Normal 3 20 14 5" xfId="25603" xr:uid="{00000000-0005-0000-0000-0000FA630000}"/>
    <cellStyle name="Normal 3 20 14 5 2" xfId="25604" xr:uid="{00000000-0005-0000-0000-0000FB630000}"/>
    <cellStyle name="Normal 3 20 14 5 3" xfId="25605" xr:uid="{00000000-0005-0000-0000-0000FC630000}"/>
    <cellStyle name="Normal 3 20 14 6" xfId="25606" xr:uid="{00000000-0005-0000-0000-0000FD630000}"/>
    <cellStyle name="Normal 3 20 14 6 2" xfId="25607" xr:uid="{00000000-0005-0000-0000-0000FE630000}"/>
    <cellStyle name="Normal 3 20 14 6 3" xfId="25608" xr:uid="{00000000-0005-0000-0000-0000FF630000}"/>
    <cellStyle name="Normal 3 20 14 7" xfId="25609" xr:uid="{00000000-0005-0000-0000-000000640000}"/>
    <cellStyle name="Normal 3 20 14 7 2" xfId="25610" xr:uid="{00000000-0005-0000-0000-000001640000}"/>
    <cellStyle name="Normal 3 20 14 7 3" xfId="25611" xr:uid="{00000000-0005-0000-0000-000002640000}"/>
    <cellStyle name="Normal 3 20 14 8" xfId="25612" xr:uid="{00000000-0005-0000-0000-000003640000}"/>
    <cellStyle name="Normal 3 20 14 8 2" xfId="25613" xr:uid="{00000000-0005-0000-0000-000004640000}"/>
    <cellStyle name="Normal 3 20 14 8 3" xfId="25614" xr:uid="{00000000-0005-0000-0000-000005640000}"/>
    <cellStyle name="Normal 3 20 14 9" xfId="25615" xr:uid="{00000000-0005-0000-0000-000006640000}"/>
    <cellStyle name="Normal 3 20 14 9 2" xfId="25616" xr:uid="{00000000-0005-0000-0000-000007640000}"/>
    <cellStyle name="Normal 3 20 14 9 3" xfId="25617" xr:uid="{00000000-0005-0000-0000-000008640000}"/>
    <cellStyle name="Normal 3 20 15" xfId="25618" xr:uid="{00000000-0005-0000-0000-000009640000}"/>
    <cellStyle name="Normal 3 20 15 2" xfId="25619" xr:uid="{00000000-0005-0000-0000-00000A640000}"/>
    <cellStyle name="Normal 3 20 15 3" xfId="25620" xr:uid="{00000000-0005-0000-0000-00000B640000}"/>
    <cellStyle name="Normal 3 20 16" xfId="25621" xr:uid="{00000000-0005-0000-0000-00000C640000}"/>
    <cellStyle name="Normal 3 20 16 2" xfId="25622" xr:uid="{00000000-0005-0000-0000-00000D640000}"/>
    <cellStyle name="Normal 3 20 16 3" xfId="25623" xr:uid="{00000000-0005-0000-0000-00000E640000}"/>
    <cellStyle name="Normal 3 20 17" xfId="25624" xr:uid="{00000000-0005-0000-0000-00000F640000}"/>
    <cellStyle name="Normal 3 20 17 2" xfId="25625" xr:uid="{00000000-0005-0000-0000-000010640000}"/>
    <cellStyle name="Normal 3 20 17 3" xfId="25626" xr:uid="{00000000-0005-0000-0000-000011640000}"/>
    <cellStyle name="Normal 3 20 18" xfId="25627" xr:uid="{00000000-0005-0000-0000-000012640000}"/>
    <cellStyle name="Normal 3 20 18 2" xfId="25628" xr:uid="{00000000-0005-0000-0000-000013640000}"/>
    <cellStyle name="Normal 3 20 18 3" xfId="25629" xr:uid="{00000000-0005-0000-0000-000014640000}"/>
    <cellStyle name="Normal 3 20 19" xfId="25630" xr:uid="{00000000-0005-0000-0000-000015640000}"/>
    <cellStyle name="Normal 3 20 19 2" xfId="25631" xr:uid="{00000000-0005-0000-0000-000016640000}"/>
    <cellStyle name="Normal 3 20 19 3" xfId="25632" xr:uid="{00000000-0005-0000-0000-000017640000}"/>
    <cellStyle name="Normal 3 20 2" xfId="25633" xr:uid="{00000000-0005-0000-0000-000018640000}"/>
    <cellStyle name="Normal 3 20 20" xfId="25634" xr:uid="{00000000-0005-0000-0000-000019640000}"/>
    <cellStyle name="Normal 3 20 20 2" xfId="25635" xr:uid="{00000000-0005-0000-0000-00001A640000}"/>
    <cellStyle name="Normal 3 20 20 3" xfId="25636" xr:uid="{00000000-0005-0000-0000-00001B640000}"/>
    <cellStyle name="Normal 3 20 21" xfId="25637" xr:uid="{00000000-0005-0000-0000-00001C640000}"/>
    <cellStyle name="Normal 3 20 21 2" xfId="25638" xr:uid="{00000000-0005-0000-0000-00001D640000}"/>
    <cellStyle name="Normal 3 20 21 3" xfId="25639" xr:uid="{00000000-0005-0000-0000-00001E640000}"/>
    <cellStyle name="Normal 3 20 22" xfId="25640" xr:uid="{00000000-0005-0000-0000-00001F640000}"/>
    <cellStyle name="Normal 3 20 22 2" xfId="25641" xr:uid="{00000000-0005-0000-0000-000020640000}"/>
    <cellStyle name="Normal 3 20 22 3" xfId="25642" xr:uid="{00000000-0005-0000-0000-000021640000}"/>
    <cellStyle name="Normal 3 20 23" xfId="25643" xr:uid="{00000000-0005-0000-0000-000022640000}"/>
    <cellStyle name="Normal 3 20 23 2" xfId="25644" xr:uid="{00000000-0005-0000-0000-000023640000}"/>
    <cellStyle name="Normal 3 20 23 3" xfId="25645" xr:uid="{00000000-0005-0000-0000-000024640000}"/>
    <cellStyle name="Normal 3 20 24" xfId="25646" xr:uid="{00000000-0005-0000-0000-000025640000}"/>
    <cellStyle name="Normal 3 20 24 2" xfId="25647" xr:uid="{00000000-0005-0000-0000-000026640000}"/>
    <cellStyle name="Normal 3 20 24 3" xfId="25648" xr:uid="{00000000-0005-0000-0000-000027640000}"/>
    <cellStyle name="Normal 3 20 25" xfId="25649" xr:uid="{00000000-0005-0000-0000-000028640000}"/>
    <cellStyle name="Normal 3 20 25 2" xfId="25650" xr:uid="{00000000-0005-0000-0000-000029640000}"/>
    <cellStyle name="Normal 3 20 25 3" xfId="25651" xr:uid="{00000000-0005-0000-0000-00002A640000}"/>
    <cellStyle name="Normal 3 20 26" xfId="25652" xr:uid="{00000000-0005-0000-0000-00002B640000}"/>
    <cellStyle name="Normal 3 20 26 2" xfId="25653" xr:uid="{00000000-0005-0000-0000-00002C640000}"/>
    <cellStyle name="Normal 3 20 26 3" xfId="25654" xr:uid="{00000000-0005-0000-0000-00002D640000}"/>
    <cellStyle name="Normal 3 20 27" xfId="25655" xr:uid="{00000000-0005-0000-0000-00002E640000}"/>
    <cellStyle name="Normal 3 20 27 2" xfId="25656" xr:uid="{00000000-0005-0000-0000-00002F640000}"/>
    <cellStyle name="Normal 3 20 27 3" xfId="25657" xr:uid="{00000000-0005-0000-0000-000030640000}"/>
    <cellStyle name="Normal 3 20 28" xfId="25658" xr:uid="{00000000-0005-0000-0000-000031640000}"/>
    <cellStyle name="Normal 3 20 29" xfId="25659" xr:uid="{00000000-0005-0000-0000-000032640000}"/>
    <cellStyle name="Normal 3 20 3" xfId="25660" xr:uid="{00000000-0005-0000-0000-000033640000}"/>
    <cellStyle name="Normal 3 20 4" xfId="25661" xr:uid="{00000000-0005-0000-0000-000034640000}"/>
    <cellStyle name="Normal 3 20 5" xfId="25662" xr:uid="{00000000-0005-0000-0000-000035640000}"/>
    <cellStyle name="Normal 3 20 6" xfId="25663" xr:uid="{00000000-0005-0000-0000-000036640000}"/>
    <cellStyle name="Normal 3 20 6 10" xfId="25664" xr:uid="{00000000-0005-0000-0000-000037640000}"/>
    <cellStyle name="Normal 3 20 6 10 2" xfId="25665" xr:uid="{00000000-0005-0000-0000-000038640000}"/>
    <cellStyle name="Normal 3 20 6 10 3" xfId="25666" xr:uid="{00000000-0005-0000-0000-000039640000}"/>
    <cellStyle name="Normal 3 20 6 11" xfId="25667" xr:uid="{00000000-0005-0000-0000-00003A640000}"/>
    <cellStyle name="Normal 3 20 6 11 2" xfId="25668" xr:uid="{00000000-0005-0000-0000-00003B640000}"/>
    <cellStyle name="Normal 3 20 6 11 3" xfId="25669" xr:uid="{00000000-0005-0000-0000-00003C640000}"/>
    <cellStyle name="Normal 3 20 6 12" xfId="25670" xr:uid="{00000000-0005-0000-0000-00003D640000}"/>
    <cellStyle name="Normal 3 20 6 12 2" xfId="25671" xr:uid="{00000000-0005-0000-0000-00003E640000}"/>
    <cellStyle name="Normal 3 20 6 12 3" xfId="25672" xr:uid="{00000000-0005-0000-0000-00003F640000}"/>
    <cellStyle name="Normal 3 20 6 13" xfId="25673" xr:uid="{00000000-0005-0000-0000-000040640000}"/>
    <cellStyle name="Normal 3 20 6 13 2" xfId="25674" xr:uid="{00000000-0005-0000-0000-000041640000}"/>
    <cellStyle name="Normal 3 20 6 13 3" xfId="25675" xr:uid="{00000000-0005-0000-0000-000042640000}"/>
    <cellStyle name="Normal 3 20 6 14" xfId="25676" xr:uid="{00000000-0005-0000-0000-000043640000}"/>
    <cellStyle name="Normal 3 20 6 14 2" xfId="25677" xr:uid="{00000000-0005-0000-0000-000044640000}"/>
    <cellStyle name="Normal 3 20 6 14 3" xfId="25678" xr:uid="{00000000-0005-0000-0000-000045640000}"/>
    <cellStyle name="Normal 3 20 6 15" xfId="25679" xr:uid="{00000000-0005-0000-0000-000046640000}"/>
    <cellStyle name="Normal 3 20 6 15 2" xfId="25680" xr:uid="{00000000-0005-0000-0000-000047640000}"/>
    <cellStyle name="Normal 3 20 6 15 3" xfId="25681" xr:uid="{00000000-0005-0000-0000-000048640000}"/>
    <cellStyle name="Normal 3 20 6 16" xfId="25682" xr:uid="{00000000-0005-0000-0000-000049640000}"/>
    <cellStyle name="Normal 3 20 6 17" xfId="25683" xr:uid="{00000000-0005-0000-0000-00004A640000}"/>
    <cellStyle name="Normal 3 20 6 2" xfId="25684" xr:uid="{00000000-0005-0000-0000-00004B640000}"/>
    <cellStyle name="Normal 3 20 6 2 10" xfId="25685" xr:uid="{00000000-0005-0000-0000-00004C640000}"/>
    <cellStyle name="Normal 3 20 6 2 10 2" xfId="25686" xr:uid="{00000000-0005-0000-0000-00004D640000}"/>
    <cellStyle name="Normal 3 20 6 2 10 3" xfId="25687" xr:uid="{00000000-0005-0000-0000-00004E640000}"/>
    <cellStyle name="Normal 3 20 6 2 11" xfId="25688" xr:uid="{00000000-0005-0000-0000-00004F640000}"/>
    <cellStyle name="Normal 3 20 6 2 11 2" xfId="25689" xr:uid="{00000000-0005-0000-0000-000050640000}"/>
    <cellStyle name="Normal 3 20 6 2 11 3" xfId="25690" xr:uid="{00000000-0005-0000-0000-000051640000}"/>
    <cellStyle name="Normal 3 20 6 2 12" xfId="25691" xr:uid="{00000000-0005-0000-0000-000052640000}"/>
    <cellStyle name="Normal 3 20 6 2 12 2" xfId="25692" xr:uid="{00000000-0005-0000-0000-000053640000}"/>
    <cellStyle name="Normal 3 20 6 2 12 3" xfId="25693" xr:uid="{00000000-0005-0000-0000-000054640000}"/>
    <cellStyle name="Normal 3 20 6 2 13" xfId="25694" xr:uid="{00000000-0005-0000-0000-000055640000}"/>
    <cellStyle name="Normal 3 20 6 2 13 2" xfId="25695" xr:uid="{00000000-0005-0000-0000-000056640000}"/>
    <cellStyle name="Normal 3 20 6 2 13 3" xfId="25696" xr:uid="{00000000-0005-0000-0000-000057640000}"/>
    <cellStyle name="Normal 3 20 6 2 14" xfId="25697" xr:uid="{00000000-0005-0000-0000-000058640000}"/>
    <cellStyle name="Normal 3 20 6 2 14 2" xfId="25698" xr:uid="{00000000-0005-0000-0000-000059640000}"/>
    <cellStyle name="Normal 3 20 6 2 14 3" xfId="25699" xr:uid="{00000000-0005-0000-0000-00005A640000}"/>
    <cellStyle name="Normal 3 20 6 2 15" xfId="25700" xr:uid="{00000000-0005-0000-0000-00005B640000}"/>
    <cellStyle name="Normal 3 20 6 2 16" xfId="25701" xr:uid="{00000000-0005-0000-0000-00005C640000}"/>
    <cellStyle name="Normal 3 20 6 2 2" xfId="25702" xr:uid="{00000000-0005-0000-0000-00005D640000}"/>
    <cellStyle name="Normal 3 20 6 2 2 2" xfId="25703" xr:uid="{00000000-0005-0000-0000-00005E640000}"/>
    <cellStyle name="Normal 3 20 6 2 2 3" xfId="25704" xr:uid="{00000000-0005-0000-0000-00005F640000}"/>
    <cellStyle name="Normal 3 20 6 2 3" xfId="25705" xr:uid="{00000000-0005-0000-0000-000060640000}"/>
    <cellStyle name="Normal 3 20 6 2 3 2" xfId="25706" xr:uid="{00000000-0005-0000-0000-000061640000}"/>
    <cellStyle name="Normal 3 20 6 2 3 3" xfId="25707" xr:uid="{00000000-0005-0000-0000-000062640000}"/>
    <cellStyle name="Normal 3 20 6 2 4" xfId="25708" xr:uid="{00000000-0005-0000-0000-000063640000}"/>
    <cellStyle name="Normal 3 20 6 2 4 2" xfId="25709" xr:uid="{00000000-0005-0000-0000-000064640000}"/>
    <cellStyle name="Normal 3 20 6 2 4 3" xfId="25710" xr:uid="{00000000-0005-0000-0000-000065640000}"/>
    <cellStyle name="Normal 3 20 6 2 5" xfId="25711" xr:uid="{00000000-0005-0000-0000-000066640000}"/>
    <cellStyle name="Normal 3 20 6 2 5 2" xfId="25712" xr:uid="{00000000-0005-0000-0000-000067640000}"/>
    <cellStyle name="Normal 3 20 6 2 5 3" xfId="25713" xr:uid="{00000000-0005-0000-0000-000068640000}"/>
    <cellStyle name="Normal 3 20 6 2 6" xfId="25714" xr:uid="{00000000-0005-0000-0000-000069640000}"/>
    <cellStyle name="Normal 3 20 6 2 6 2" xfId="25715" xr:uid="{00000000-0005-0000-0000-00006A640000}"/>
    <cellStyle name="Normal 3 20 6 2 6 3" xfId="25716" xr:uid="{00000000-0005-0000-0000-00006B640000}"/>
    <cellStyle name="Normal 3 20 6 2 7" xfId="25717" xr:uid="{00000000-0005-0000-0000-00006C640000}"/>
    <cellStyle name="Normal 3 20 6 2 7 2" xfId="25718" xr:uid="{00000000-0005-0000-0000-00006D640000}"/>
    <cellStyle name="Normal 3 20 6 2 7 3" xfId="25719" xr:uid="{00000000-0005-0000-0000-00006E640000}"/>
    <cellStyle name="Normal 3 20 6 2 8" xfId="25720" xr:uid="{00000000-0005-0000-0000-00006F640000}"/>
    <cellStyle name="Normal 3 20 6 2 8 2" xfId="25721" xr:uid="{00000000-0005-0000-0000-000070640000}"/>
    <cellStyle name="Normal 3 20 6 2 8 3" xfId="25722" xr:uid="{00000000-0005-0000-0000-000071640000}"/>
    <cellStyle name="Normal 3 20 6 2 9" xfId="25723" xr:uid="{00000000-0005-0000-0000-000072640000}"/>
    <cellStyle name="Normal 3 20 6 2 9 2" xfId="25724" xr:uid="{00000000-0005-0000-0000-000073640000}"/>
    <cellStyle name="Normal 3 20 6 2 9 3" xfId="25725" xr:uid="{00000000-0005-0000-0000-000074640000}"/>
    <cellStyle name="Normal 3 20 6 3" xfId="25726" xr:uid="{00000000-0005-0000-0000-000075640000}"/>
    <cellStyle name="Normal 3 20 6 3 2" xfId="25727" xr:uid="{00000000-0005-0000-0000-000076640000}"/>
    <cellStyle name="Normal 3 20 6 3 3" xfId="25728" xr:uid="{00000000-0005-0000-0000-000077640000}"/>
    <cellStyle name="Normal 3 20 6 4" xfId="25729" xr:uid="{00000000-0005-0000-0000-000078640000}"/>
    <cellStyle name="Normal 3 20 6 4 2" xfId="25730" xr:uid="{00000000-0005-0000-0000-000079640000}"/>
    <cellStyle name="Normal 3 20 6 4 3" xfId="25731" xr:uid="{00000000-0005-0000-0000-00007A640000}"/>
    <cellStyle name="Normal 3 20 6 5" xfId="25732" xr:uid="{00000000-0005-0000-0000-00007B640000}"/>
    <cellStyle name="Normal 3 20 6 5 2" xfId="25733" xr:uid="{00000000-0005-0000-0000-00007C640000}"/>
    <cellStyle name="Normal 3 20 6 5 3" xfId="25734" xr:uid="{00000000-0005-0000-0000-00007D640000}"/>
    <cellStyle name="Normal 3 20 6 6" xfId="25735" xr:uid="{00000000-0005-0000-0000-00007E640000}"/>
    <cellStyle name="Normal 3 20 6 6 2" xfId="25736" xr:uid="{00000000-0005-0000-0000-00007F640000}"/>
    <cellStyle name="Normal 3 20 6 6 3" xfId="25737" xr:uid="{00000000-0005-0000-0000-000080640000}"/>
    <cellStyle name="Normal 3 20 6 7" xfId="25738" xr:uid="{00000000-0005-0000-0000-000081640000}"/>
    <cellStyle name="Normal 3 20 6 7 2" xfId="25739" xr:uid="{00000000-0005-0000-0000-000082640000}"/>
    <cellStyle name="Normal 3 20 6 7 3" xfId="25740" xr:uid="{00000000-0005-0000-0000-000083640000}"/>
    <cellStyle name="Normal 3 20 6 8" xfId="25741" xr:uid="{00000000-0005-0000-0000-000084640000}"/>
    <cellStyle name="Normal 3 20 6 8 2" xfId="25742" xr:uid="{00000000-0005-0000-0000-000085640000}"/>
    <cellStyle name="Normal 3 20 6 8 3" xfId="25743" xr:uid="{00000000-0005-0000-0000-000086640000}"/>
    <cellStyle name="Normal 3 20 6 9" xfId="25744" xr:uid="{00000000-0005-0000-0000-000087640000}"/>
    <cellStyle name="Normal 3 20 6 9 2" xfId="25745" xr:uid="{00000000-0005-0000-0000-000088640000}"/>
    <cellStyle name="Normal 3 20 6 9 3" xfId="25746" xr:uid="{00000000-0005-0000-0000-000089640000}"/>
    <cellStyle name="Normal 3 20 7" xfId="25747" xr:uid="{00000000-0005-0000-0000-00008A640000}"/>
    <cellStyle name="Normal 3 20 7 10" xfId="25748" xr:uid="{00000000-0005-0000-0000-00008B640000}"/>
    <cellStyle name="Normal 3 20 7 10 2" xfId="25749" xr:uid="{00000000-0005-0000-0000-00008C640000}"/>
    <cellStyle name="Normal 3 20 7 10 3" xfId="25750" xr:uid="{00000000-0005-0000-0000-00008D640000}"/>
    <cellStyle name="Normal 3 20 7 11" xfId="25751" xr:uid="{00000000-0005-0000-0000-00008E640000}"/>
    <cellStyle name="Normal 3 20 7 11 2" xfId="25752" xr:uid="{00000000-0005-0000-0000-00008F640000}"/>
    <cellStyle name="Normal 3 20 7 11 3" xfId="25753" xr:uid="{00000000-0005-0000-0000-000090640000}"/>
    <cellStyle name="Normal 3 20 7 12" xfId="25754" xr:uid="{00000000-0005-0000-0000-000091640000}"/>
    <cellStyle name="Normal 3 20 7 12 2" xfId="25755" xr:uid="{00000000-0005-0000-0000-000092640000}"/>
    <cellStyle name="Normal 3 20 7 12 3" xfId="25756" xr:uid="{00000000-0005-0000-0000-000093640000}"/>
    <cellStyle name="Normal 3 20 7 13" xfId="25757" xr:uid="{00000000-0005-0000-0000-000094640000}"/>
    <cellStyle name="Normal 3 20 7 13 2" xfId="25758" xr:uid="{00000000-0005-0000-0000-000095640000}"/>
    <cellStyle name="Normal 3 20 7 13 3" xfId="25759" xr:uid="{00000000-0005-0000-0000-000096640000}"/>
    <cellStyle name="Normal 3 20 7 14" xfId="25760" xr:uid="{00000000-0005-0000-0000-000097640000}"/>
    <cellStyle name="Normal 3 20 7 14 2" xfId="25761" xr:uid="{00000000-0005-0000-0000-000098640000}"/>
    <cellStyle name="Normal 3 20 7 14 3" xfId="25762" xr:uid="{00000000-0005-0000-0000-000099640000}"/>
    <cellStyle name="Normal 3 20 7 15" xfId="25763" xr:uid="{00000000-0005-0000-0000-00009A640000}"/>
    <cellStyle name="Normal 3 20 7 15 2" xfId="25764" xr:uid="{00000000-0005-0000-0000-00009B640000}"/>
    <cellStyle name="Normal 3 20 7 15 3" xfId="25765" xr:uid="{00000000-0005-0000-0000-00009C640000}"/>
    <cellStyle name="Normal 3 20 7 16" xfId="25766" xr:uid="{00000000-0005-0000-0000-00009D640000}"/>
    <cellStyle name="Normal 3 20 7 17" xfId="25767" xr:uid="{00000000-0005-0000-0000-00009E640000}"/>
    <cellStyle name="Normal 3 20 7 2" xfId="25768" xr:uid="{00000000-0005-0000-0000-00009F640000}"/>
    <cellStyle name="Normal 3 20 7 2 10" xfId="25769" xr:uid="{00000000-0005-0000-0000-0000A0640000}"/>
    <cellStyle name="Normal 3 20 7 2 10 2" xfId="25770" xr:uid="{00000000-0005-0000-0000-0000A1640000}"/>
    <cellStyle name="Normal 3 20 7 2 10 3" xfId="25771" xr:uid="{00000000-0005-0000-0000-0000A2640000}"/>
    <cellStyle name="Normal 3 20 7 2 11" xfId="25772" xr:uid="{00000000-0005-0000-0000-0000A3640000}"/>
    <cellStyle name="Normal 3 20 7 2 11 2" xfId="25773" xr:uid="{00000000-0005-0000-0000-0000A4640000}"/>
    <cellStyle name="Normal 3 20 7 2 11 3" xfId="25774" xr:uid="{00000000-0005-0000-0000-0000A5640000}"/>
    <cellStyle name="Normal 3 20 7 2 12" xfId="25775" xr:uid="{00000000-0005-0000-0000-0000A6640000}"/>
    <cellStyle name="Normal 3 20 7 2 12 2" xfId="25776" xr:uid="{00000000-0005-0000-0000-0000A7640000}"/>
    <cellStyle name="Normal 3 20 7 2 12 3" xfId="25777" xr:uid="{00000000-0005-0000-0000-0000A8640000}"/>
    <cellStyle name="Normal 3 20 7 2 13" xfId="25778" xr:uid="{00000000-0005-0000-0000-0000A9640000}"/>
    <cellStyle name="Normal 3 20 7 2 13 2" xfId="25779" xr:uid="{00000000-0005-0000-0000-0000AA640000}"/>
    <cellStyle name="Normal 3 20 7 2 13 3" xfId="25780" xr:uid="{00000000-0005-0000-0000-0000AB640000}"/>
    <cellStyle name="Normal 3 20 7 2 14" xfId="25781" xr:uid="{00000000-0005-0000-0000-0000AC640000}"/>
    <cellStyle name="Normal 3 20 7 2 14 2" xfId="25782" xr:uid="{00000000-0005-0000-0000-0000AD640000}"/>
    <cellStyle name="Normal 3 20 7 2 14 3" xfId="25783" xr:uid="{00000000-0005-0000-0000-0000AE640000}"/>
    <cellStyle name="Normal 3 20 7 2 15" xfId="25784" xr:uid="{00000000-0005-0000-0000-0000AF640000}"/>
    <cellStyle name="Normal 3 20 7 2 16" xfId="25785" xr:uid="{00000000-0005-0000-0000-0000B0640000}"/>
    <cellStyle name="Normal 3 20 7 2 2" xfId="25786" xr:uid="{00000000-0005-0000-0000-0000B1640000}"/>
    <cellStyle name="Normal 3 20 7 2 2 2" xfId="25787" xr:uid="{00000000-0005-0000-0000-0000B2640000}"/>
    <cellStyle name="Normal 3 20 7 2 2 3" xfId="25788" xr:uid="{00000000-0005-0000-0000-0000B3640000}"/>
    <cellStyle name="Normal 3 20 7 2 3" xfId="25789" xr:uid="{00000000-0005-0000-0000-0000B4640000}"/>
    <cellStyle name="Normal 3 20 7 2 3 2" xfId="25790" xr:uid="{00000000-0005-0000-0000-0000B5640000}"/>
    <cellStyle name="Normal 3 20 7 2 3 3" xfId="25791" xr:uid="{00000000-0005-0000-0000-0000B6640000}"/>
    <cellStyle name="Normal 3 20 7 2 4" xfId="25792" xr:uid="{00000000-0005-0000-0000-0000B7640000}"/>
    <cellStyle name="Normal 3 20 7 2 4 2" xfId="25793" xr:uid="{00000000-0005-0000-0000-0000B8640000}"/>
    <cellStyle name="Normal 3 20 7 2 4 3" xfId="25794" xr:uid="{00000000-0005-0000-0000-0000B9640000}"/>
    <cellStyle name="Normal 3 20 7 2 5" xfId="25795" xr:uid="{00000000-0005-0000-0000-0000BA640000}"/>
    <cellStyle name="Normal 3 20 7 2 5 2" xfId="25796" xr:uid="{00000000-0005-0000-0000-0000BB640000}"/>
    <cellStyle name="Normal 3 20 7 2 5 3" xfId="25797" xr:uid="{00000000-0005-0000-0000-0000BC640000}"/>
    <cellStyle name="Normal 3 20 7 2 6" xfId="25798" xr:uid="{00000000-0005-0000-0000-0000BD640000}"/>
    <cellStyle name="Normal 3 20 7 2 6 2" xfId="25799" xr:uid="{00000000-0005-0000-0000-0000BE640000}"/>
    <cellStyle name="Normal 3 20 7 2 6 3" xfId="25800" xr:uid="{00000000-0005-0000-0000-0000BF640000}"/>
    <cellStyle name="Normal 3 20 7 2 7" xfId="25801" xr:uid="{00000000-0005-0000-0000-0000C0640000}"/>
    <cellStyle name="Normal 3 20 7 2 7 2" xfId="25802" xr:uid="{00000000-0005-0000-0000-0000C1640000}"/>
    <cellStyle name="Normal 3 20 7 2 7 3" xfId="25803" xr:uid="{00000000-0005-0000-0000-0000C2640000}"/>
    <cellStyle name="Normal 3 20 7 2 8" xfId="25804" xr:uid="{00000000-0005-0000-0000-0000C3640000}"/>
    <cellStyle name="Normal 3 20 7 2 8 2" xfId="25805" xr:uid="{00000000-0005-0000-0000-0000C4640000}"/>
    <cellStyle name="Normal 3 20 7 2 8 3" xfId="25806" xr:uid="{00000000-0005-0000-0000-0000C5640000}"/>
    <cellStyle name="Normal 3 20 7 2 9" xfId="25807" xr:uid="{00000000-0005-0000-0000-0000C6640000}"/>
    <cellStyle name="Normal 3 20 7 2 9 2" xfId="25808" xr:uid="{00000000-0005-0000-0000-0000C7640000}"/>
    <cellStyle name="Normal 3 20 7 2 9 3" xfId="25809" xr:uid="{00000000-0005-0000-0000-0000C8640000}"/>
    <cellStyle name="Normal 3 20 7 3" xfId="25810" xr:uid="{00000000-0005-0000-0000-0000C9640000}"/>
    <cellStyle name="Normal 3 20 7 3 2" xfId="25811" xr:uid="{00000000-0005-0000-0000-0000CA640000}"/>
    <cellStyle name="Normal 3 20 7 3 3" xfId="25812" xr:uid="{00000000-0005-0000-0000-0000CB640000}"/>
    <cellStyle name="Normal 3 20 7 4" xfId="25813" xr:uid="{00000000-0005-0000-0000-0000CC640000}"/>
    <cellStyle name="Normal 3 20 7 4 2" xfId="25814" xr:uid="{00000000-0005-0000-0000-0000CD640000}"/>
    <cellStyle name="Normal 3 20 7 4 3" xfId="25815" xr:uid="{00000000-0005-0000-0000-0000CE640000}"/>
    <cellStyle name="Normal 3 20 7 5" xfId="25816" xr:uid="{00000000-0005-0000-0000-0000CF640000}"/>
    <cellStyle name="Normal 3 20 7 5 2" xfId="25817" xr:uid="{00000000-0005-0000-0000-0000D0640000}"/>
    <cellStyle name="Normal 3 20 7 5 3" xfId="25818" xr:uid="{00000000-0005-0000-0000-0000D1640000}"/>
    <cellStyle name="Normal 3 20 7 6" xfId="25819" xr:uid="{00000000-0005-0000-0000-0000D2640000}"/>
    <cellStyle name="Normal 3 20 7 6 2" xfId="25820" xr:uid="{00000000-0005-0000-0000-0000D3640000}"/>
    <cellStyle name="Normal 3 20 7 6 3" xfId="25821" xr:uid="{00000000-0005-0000-0000-0000D4640000}"/>
    <cellStyle name="Normal 3 20 7 7" xfId="25822" xr:uid="{00000000-0005-0000-0000-0000D5640000}"/>
    <cellStyle name="Normal 3 20 7 7 2" xfId="25823" xr:uid="{00000000-0005-0000-0000-0000D6640000}"/>
    <cellStyle name="Normal 3 20 7 7 3" xfId="25824" xr:uid="{00000000-0005-0000-0000-0000D7640000}"/>
    <cellStyle name="Normal 3 20 7 8" xfId="25825" xr:uid="{00000000-0005-0000-0000-0000D8640000}"/>
    <cellStyle name="Normal 3 20 7 8 2" xfId="25826" xr:uid="{00000000-0005-0000-0000-0000D9640000}"/>
    <cellStyle name="Normal 3 20 7 8 3" xfId="25827" xr:uid="{00000000-0005-0000-0000-0000DA640000}"/>
    <cellStyle name="Normal 3 20 7 9" xfId="25828" xr:uid="{00000000-0005-0000-0000-0000DB640000}"/>
    <cellStyle name="Normal 3 20 7 9 2" xfId="25829" xr:uid="{00000000-0005-0000-0000-0000DC640000}"/>
    <cellStyle name="Normal 3 20 7 9 3" xfId="25830" xr:uid="{00000000-0005-0000-0000-0000DD640000}"/>
    <cellStyle name="Normal 3 20 8" xfId="25831" xr:uid="{00000000-0005-0000-0000-0000DE640000}"/>
    <cellStyle name="Normal 3 20 8 10" xfId="25832" xr:uid="{00000000-0005-0000-0000-0000DF640000}"/>
    <cellStyle name="Normal 3 20 8 10 2" xfId="25833" xr:uid="{00000000-0005-0000-0000-0000E0640000}"/>
    <cellStyle name="Normal 3 20 8 10 3" xfId="25834" xr:uid="{00000000-0005-0000-0000-0000E1640000}"/>
    <cellStyle name="Normal 3 20 8 11" xfId="25835" xr:uid="{00000000-0005-0000-0000-0000E2640000}"/>
    <cellStyle name="Normal 3 20 8 11 2" xfId="25836" xr:uid="{00000000-0005-0000-0000-0000E3640000}"/>
    <cellStyle name="Normal 3 20 8 11 3" xfId="25837" xr:uid="{00000000-0005-0000-0000-0000E4640000}"/>
    <cellStyle name="Normal 3 20 8 12" xfId="25838" xr:uid="{00000000-0005-0000-0000-0000E5640000}"/>
    <cellStyle name="Normal 3 20 8 12 2" xfId="25839" xr:uid="{00000000-0005-0000-0000-0000E6640000}"/>
    <cellStyle name="Normal 3 20 8 12 3" xfId="25840" xr:uid="{00000000-0005-0000-0000-0000E7640000}"/>
    <cellStyle name="Normal 3 20 8 13" xfId="25841" xr:uid="{00000000-0005-0000-0000-0000E8640000}"/>
    <cellStyle name="Normal 3 20 8 13 2" xfId="25842" xr:uid="{00000000-0005-0000-0000-0000E9640000}"/>
    <cellStyle name="Normal 3 20 8 13 3" xfId="25843" xr:uid="{00000000-0005-0000-0000-0000EA640000}"/>
    <cellStyle name="Normal 3 20 8 14" xfId="25844" xr:uid="{00000000-0005-0000-0000-0000EB640000}"/>
    <cellStyle name="Normal 3 20 8 14 2" xfId="25845" xr:uid="{00000000-0005-0000-0000-0000EC640000}"/>
    <cellStyle name="Normal 3 20 8 14 3" xfId="25846" xr:uid="{00000000-0005-0000-0000-0000ED640000}"/>
    <cellStyle name="Normal 3 20 8 15" xfId="25847" xr:uid="{00000000-0005-0000-0000-0000EE640000}"/>
    <cellStyle name="Normal 3 20 8 15 2" xfId="25848" xr:uid="{00000000-0005-0000-0000-0000EF640000}"/>
    <cellStyle name="Normal 3 20 8 15 3" xfId="25849" xr:uid="{00000000-0005-0000-0000-0000F0640000}"/>
    <cellStyle name="Normal 3 20 8 16" xfId="25850" xr:uid="{00000000-0005-0000-0000-0000F1640000}"/>
    <cellStyle name="Normal 3 20 8 17" xfId="25851" xr:uid="{00000000-0005-0000-0000-0000F2640000}"/>
    <cellStyle name="Normal 3 20 8 2" xfId="25852" xr:uid="{00000000-0005-0000-0000-0000F3640000}"/>
    <cellStyle name="Normal 3 20 8 2 10" xfId="25853" xr:uid="{00000000-0005-0000-0000-0000F4640000}"/>
    <cellStyle name="Normal 3 20 8 2 10 2" xfId="25854" xr:uid="{00000000-0005-0000-0000-0000F5640000}"/>
    <cellStyle name="Normal 3 20 8 2 10 3" xfId="25855" xr:uid="{00000000-0005-0000-0000-0000F6640000}"/>
    <cellStyle name="Normal 3 20 8 2 11" xfId="25856" xr:uid="{00000000-0005-0000-0000-0000F7640000}"/>
    <cellStyle name="Normal 3 20 8 2 11 2" xfId="25857" xr:uid="{00000000-0005-0000-0000-0000F8640000}"/>
    <cellStyle name="Normal 3 20 8 2 11 3" xfId="25858" xr:uid="{00000000-0005-0000-0000-0000F9640000}"/>
    <cellStyle name="Normal 3 20 8 2 12" xfId="25859" xr:uid="{00000000-0005-0000-0000-0000FA640000}"/>
    <cellStyle name="Normal 3 20 8 2 12 2" xfId="25860" xr:uid="{00000000-0005-0000-0000-0000FB640000}"/>
    <cellStyle name="Normal 3 20 8 2 12 3" xfId="25861" xr:uid="{00000000-0005-0000-0000-0000FC640000}"/>
    <cellStyle name="Normal 3 20 8 2 13" xfId="25862" xr:uid="{00000000-0005-0000-0000-0000FD640000}"/>
    <cellStyle name="Normal 3 20 8 2 13 2" xfId="25863" xr:uid="{00000000-0005-0000-0000-0000FE640000}"/>
    <cellStyle name="Normal 3 20 8 2 13 3" xfId="25864" xr:uid="{00000000-0005-0000-0000-0000FF640000}"/>
    <cellStyle name="Normal 3 20 8 2 14" xfId="25865" xr:uid="{00000000-0005-0000-0000-000000650000}"/>
    <cellStyle name="Normal 3 20 8 2 14 2" xfId="25866" xr:uid="{00000000-0005-0000-0000-000001650000}"/>
    <cellStyle name="Normal 3 20 8 2 14 3" xfId="25867" xr:uid="{00000000-0005-0000-0000-000002650000}"/>
    <cellStyle name="Normal 3 20 8 2 15" xfId="25868" xr:uid="{00000000-0005-0000-0000-000003650000}"/>
    <cellStyle name="Normal 3 20 8 2 16" xfId="25869" xr:uid="{00000000-0005-0000-0000-000004650000}"/>
    <cellStyle name="Normal 3 20 8 2 2" xfId="25870" xr:uid="{00000000-0005-0000-0000-000005650000}"/>
    <cellStyle name="Normal 3 20 8 2 2 2" xfId="25871" xr:uid="{00000000-0005-0000-0000-000006650000}"/>
    <cellStyle name="Normal 3 20 8 2 2 3" xfId="25872" xr:uid="{00000000-0005-0000-0000-000007650000}"/>
    <cellStyle name="Normal 3 20 8 2 3" xfId="25873" xr:uid="{00000000-0005-0000-0000-000008650000}"/>
    <cellStyle name="Normal 3 20 8 2 3 2" xfId="25874" xr:uid="{00000000-0005-0000-0000-000009650000}"/>
    <cellStyle name="Normal 3 20 8 2 3 3" xfId="25875" xr:uid="{00000000-0005-0000-0000-00000A650000}"/>
    <cellStyle name="Normal 3 20 8 2 4" xfId="25876" xr:uid="{00000000-0005-0000-0000-00000B650000}"/>
    <cellStyle name="Normal 3 20 8 2 4 2" xfId="25877" xr:uid="{00000000-0005-0000-0000-00000C650000}"/>
    <cellStyle name="Normal 3 20 8 2 4 3" xfId="25878" xr:uid="{00000000-0005-0000-0000-00000D650000}"/>
    <cellStyle name="Normal 3 20 8 2 5" xfId="25879" xr:uid="{00000000-0005-0000-0000-00000E650000}"/>
    <cellStyle name="Normal 3 20 8 2 5 2" xfId="25880" xr:uid="{00000000-0005-0000-0000-00000F650000}"/>
    <cellStyle name="Normal 3 20 8 2 5 3" xfId="25881" xr:uid="{00000000-0005-0000-0000-000010650000}"/>
    <cellStyle name="Normal 3 20 8 2 6" xfId="25882" xr:uid="{00000000-0005-0000-0000-000011650000}"/>
    <cellStyle name="Normal 3 20 8 2 6 2" xfId="25883" xr:uid="{00000000-0005-0000-0000-000012650000}"/>
    <cellStyle name="Normal 3 20 8 2 6 3" xfId="25884" xr:uid="{00000000-0005-0000-0000-000013650000}"/>
    <cellStyle name="Normal 3 20 8 2 7" xfId="25885" xr:uid="{00000000-0005-0000-0000-000014650000}"/>
    <cellStyle name="Normal 3 20 8 2 7 2" xfId="25886" xr:uid="{00000000-0005-0000-0000-000015650000}"/>
    <cellStyle name="Normal 3 20 8 2 7 3" xfId="25887" xr:uid="{00000000-0005-0000-0000-000016650000}"/>
    <cellStyle name="Normal 3 20 8 2 8" xfId="25888" xr:uid="{00000000-0005-0000-0000-000017650000}"/>
    <cellStyle name="Normal 3 20 8 2 8 2" xfId="25889" xr:uid="{00000000-0005-0000-0000-000018650000}"/>
    <cellStyle name="Normal 3 20 8 2 8 3" xfId="25890" xr:uid="{00000000-0005-0000-0000-000019650000}"/>
    <cellStyle name="Normal 3 20 8 2 9" xfId="25891" xr:uid="{00000000-0005-0000-0000-00001A650000}"/>
    <cellStyle name="Normal 3 20 8 2 9 2" xfId="25892" xr:uid="{00000000-0005-0000-0000-00001B650000}"/>
    <cellStyle name="Normal 3 20 8 2 9 3" xfId="25893" xr:uid="{00000000-0005-0000-0000-00001C650000}"/>
    <cellStyle name="Normal 3 20 8 3" xfId="25894" xr:uid="{00000000-0005-0000-0000-00001D650000}"/>
    <cellStyle name="Normal 3 20 8 3 2" xfId="25895" xr:uid="{00000000-0005-0000-0000-00001E650000}"/>
    <cellStyle name="Normal 3 20 8 3 3" xfId="25896" xr:uid="{00000000-0005-0000-0000-00001F650000}"/>
    <cellStyle name="Normal 3 20 8 4" xfId="25897" xr:uid="{00000000-0005-0000-0000-000020650000}"/>
    <cellStyle name="Normal 3 20 8 4 2" xfId="25898" xr:uid="{00000000-0005-0000-0000-000021650000}"/>
    <cellStyle name="Normal 3 20 8 4 3" xfId="25899" xr:uid="{00000000-0005-0000-0000-000022650000}"/>
    <cellStyle name="Normal 3 20 8 5" xfId="25900" xr:uid="{00000000-0005-0000-0000-000023650000}"/>
    <cellStyle name="Normal 3 20 8 5 2" xfId="25901" xr:uid="{00000000-0005-0000-0000-000024650000}"/>
    <cellStyle name="Normal 3 20 8 5 3" xfId="25902" xr:uid="{00000000-0005-0000-0000-000025650000}"/>
    <cellStyle name="Normal 3 20 8 6" xfId="25903" xr:uid="{00000000-0005-0000-0000-000026650000}"/>
    <cellStyle name="Normal 3 20 8 6 2" xfId="25904" xr:uid="{00000000-0005-0000-0000-000027650000}"/>
    <cellStyle name="Normal 3 20 8 6 3" xfId="25905" xr:uid="{00000000-0005-0000-0000-000028650000}"/>
    <cellStyle name="Normal 3 20 8 7" xfId="25906" xr:uid="{00000000-0005-0000-0000-000029650000}"/>
    <cellStyle name="Normal 3 20 8 7 2" xfId="25907" xr:uid="{00000000-0005-0000-0000-00002A650000}"/>
    <cellStyle name="Normal 3 20 8 7 3" xfId="25908" xr:uid="{00000000-0005-0000-0000-00002B650000}"/>
    <cellStyle name="Normal 3 20 8 8" xfId="25909" xr:uid="{00000000-0005-0000-0000-00002C650000}"/>
    <cellStyle name="Normal 3 20 8 8 2" xfId="25910" xr:uid="{00000000-0005-0000-0000-00002D650000}"/>
    <cellStyle name="Normal 3 20 8 8 3" xfId="25911" xr:uid="{00000000-0005-0000-0000-00002E650000}"/>
    <cellStyle name="Normal 3 20 8 9" xfId="25912" xr:uid="{00000000-0005-0000-0000-00002F650000}"/>
    <cellStyle name="Normal 3 20 8 9 2" xfId="25913" xr:uid="{00000000-0005-0000-0000-000030650000}"/>
    <cellStyle name="Normal 3 20 8 9 3" xfId="25914" xr:uid="{00000000-0005-0000-0000-000031650000}"/>
    <cellStyle name="Normal 3 20 9" xfId="25915" xr:uid="{00000000-0005-0000-0000-000032650000}"/>
    <cellStyle name="Normal 3 20 9 10" xfId="25916" xr:uid="{00000000-0005-0000-0000-000033650000}"/>
    <cellStyle name="Normal 3 20 9 10 2" xfId="25917" xr:uid="{00000000-0005-0000-0000-000034650000}"/>
    <cellStyle name="Normal 3 20 9 10 3" xfId="25918" xr:uid="{00000000-0005-0000-0000-000035650000}"/>
    <cellStyle name="Normal 3 20 9 11" xfId="25919" xr:uid="{00000000-0005-0000-0000-000036650000}"/>
    <cellStyle name="Normal 3 20 9 11 2" xfId="25920" xr:uid="{00000000-0005-0000-0000-000037650000}"/>
    <cellStyle name="Normal 3 20 9 11 3" xfId="25921" xr:uid="{00000000-0005-0000-0000-000038650000}"/>
    <cellStyle name="Normal 3 20 9 12" xfId="25922" xr:uid="{00000000-0005-0000-0000-000039650000}"/>
    <cellStyle name="Normal 3 20 9 12 2" xfId="25923" xr:uid="{00000000-0005-0000-0000-00003A650000}"/>
    <cellStyle name="Normal 3 20 9 12 3" xfId="25924" xr:uid="{00000000-0005-0000-0000-00003B650000}"/>
    <cellStyle name="Normal 3 20 9 13" xfId="25925" xr:uid="{00000000-0005-0000-0000-00003C650000}"/>
    <cellStyle name="Normal 3 20 9 13 2" xfId="25926" xr:uid="{00000000-0005-0000-0000-00003D650000}"/>
    <cellStyle name="Normal 3 20 9 13 3" xfId="25927" xr:uid="{00000000-0005-0000-0000-00003E650000}"/>
    <cellStyle name="Normal 3 20 9 14" xfId="25928" xr:uid="{00000000-0005-0000-0000-00003F650000}"/>
    <cellStyle name="Normal 3 20 9 14 2" xfId="25929" xr:uid="{00000000-0005-0000-0000-000040650000}"/>
    <cellStyle name="Normal 3 20 9 14 3" xfId="25930" xr:uid="{00000000-0005-0000-0000-000041650000}"/>
    <cellStyle name="Normal 3 20 9 15" xfId="25931" xr:uid="{00000000-0005-0000-0000-000042650000}"/>
    <cellStyle name="Normal 3 20 9 16" xfId="25932" xr:uid="{00000000-0005-0000-0000-000043650000}"/>
    <cellStyle name="Normal 3 20 9 2" xfId="25933" xr:uid="{00000000-0005-0000-0000-000044650000}"/>
    <cellStyle name="Normal 3 20 9 2 2" xfId="25934" xr:uid="{00000000-0005-0000-0000-000045650000}"/>
    <cellStyle name="Normal 3 20 9 2 3" xfId="25935" xr:uid="{00000000-0005-0000-0000-000046650000}"/>
    <cellStyle name="Normal 3 20 9 3" xfId="25936" xr:uid="{00000000-0005-0000-0000-000047650000}"/>
    <cellStyle name="Normal 3 20 9 3 2" xfId="25937" xr:uid="{00000000-0005-0000-0000-000048650000}"/>
    <cellStyle name="Normal 3 20 9 3 3" xfId="25938" xr:uid="{00000000-0005-0000-0000-000049650000}"/>
    <cellStyle name="Normal 3 20 9 4" xfId="25939" xr:uid="{00000000-0005-0000-0000-00004A650000}"/>
    <cellStyle name="Normal 3 20 9 4 2" xfId="25940" xr:uid="{00000000-0005-0000-0000-00004B650000}"/>
    <cellStyle name="Normal 3 20 9 4 3" xfId="25941" xr:uid="{00000000-0005-0000-0000-00004C650000}"/>
    <cellStyle name="Normal 3 20 9 5" xfId="25942" xr:uid="{00000000-0005-0000-0000-00004D650000}"/>
    <cellStyle name="Normal 3 20 9 5 2" xfId="25943" xr:uid="{00000000-0005-0000-0000-00004E650000}"/>
    <cellStyle name="Normal 3 20 9 5 3" xfId="25944" xr:uid="{00000000-0005-0000-0000-00004F650000}"/>
    <cellStyle name="Normal 3 20 9 6" xfId="25945" xr:uid="{00000000-0005-0000-0000-000050650000}"/>
    <cellStyle name="Normal 3 20 9 6 2" xfId="25946" xr:uid="{00000000-0005-0000-0000-000051650000}"/>
    <cellStyle name="Normal 3 20 9 6 3" xfId="25947" xr:uid="{00000000-0005-0000-0000-000052650000}"/>
    <cellStyle name="Normal 3 20 9 7" xfId="25948" xr:uid="{00000000-0005-0000-0000-000053650000}"/>
    <cellStyle name="Normal 3 20 9 7 2" xfId="25949" xr:uid="{00000000-0005-0000-0000-000054650000}"/>
    <cellStyle name="Normal 3 20 9 7 3" xfId="25950" xr:uid="{00000000-0005-0000-0000-000055650000}"/>
    <cellStyle name="Normal 3 20 9 8" xfId="25951" xr:uid="{00000000-0005-0000-0000-000056650000}"/>
    <cellStyle name="Normal 3 20 9 8 2" xfId="25952" xr:uid="{00000000-0005-0000-0000-000057650000}"/>
    <cellStyle name="Normal 3 20 9 8 3" xfId="25953" xr:uid="{00000000-0005-0000-0000-000058650000}"/>
    <cellStyle name="Normal 3 20 9 9" xfId="25954" xr:uid="{00000000-0005-0000-0000-000059650000}"/>
    <cellStyle name="Normal 3 20 9 9 2" xfId="25955" xr:uid="{00000000-0005-0000-0000-00005A650000}"/>
    <cellStyle name="Normal 3 20 9 9 3" xfId="25956" xr:uid="{00000000-0005-0000-0000-00005B650000}"/>
    <cellStyle name="Normal 3 21" xfId="25957" xr:uid="{00000000-0005-0000-0000-00005C650000}"/>
    <cellStyle name="Normal 3 21 10" xfId="25958" xr:uid="{00000000-0005-0000-0000-00005D650000}"/>
    <cellStyle name="Normal 3 21 10 10" xfId="25959" xr:uid="{00000000-0005-0000-0000-00005E650000}"/>
    <cellStyle name="Normal 3 21 10 10 2" xfId="25960" xr:uid="{00000000-0005-0000-0000-00005F650000}"/>
    <cellStyle name="Normal 3 21 10 10 3" xfId="25961" xr:uid="{00000000-0005-0000-0000-000060650000}"/>
    <cellStyle name="Normal 3 21 10 11" xfId="25962" xr:uid="{00000000-0005-0000-0000-000061650000}"/>
    <cellStyle name="Normal 3 21 10 11 2" xfId="25963" xr:uid="{00000000-0005-0000-0000-000062650000}"/>
    <cellStyle name="Normal 3 21 10 11 3" xfId="25964" xr:uid="{00000000-0005-0000-0000-000063650000}"/>
    <cellStyle name="Normal 3 21 10 12" xfId="25965" xr:uid="{00000000-0005-0000-0000-000064650000}"/>
    <cellStyle name="Normal 3 21 10 12 2" xfId="25966" xr:uid="{00000000-0005-0000-0000-000065650000}"/>
    <cellStyle name="Normal 3 21 10 12 3" xfId="25967" xr:uid="{00000000-0005-0000-0000-000066650000}"/>
    <cellStyle name="Normal 3 21 10 13" xfId="25968" xr:uid="{00000000-0005-0000-0000-000067650000}"/>
    <cellStyle name="Normal 3 21 10 13 2" xfId="25969" xr:uid="{00000000-0005-0000-0000-000068650000}"/>
    <cellStyle name="Normal 3 21 10 13 3" xfId="25970" xr:uid="{00000000-0005-0000-0000-000069650000}"/>
    <cellStyle name="Normal 3 21 10 14" xfId="25971" xr:uid="{00000000-0005-0000-0000-00006A650000}"/>
    <cellStyle name="Normal 3 21 10 14 2" xfId="25972" xr:uid="{00000000-0005-0000-0000-00006B650000}"/>
    <cellStyle name="Normal 3 21 10 14 3" xfId="25973" xr:uid="{00000000-0005-0000-0000-00006C650000}"/>
    <cellStyle name="Normal 3 21 10 15" xfId="25974" xr:uid="{00000000-0005-0000-0000-00006D650000}"/>
    <cellStyle name="Normal 3 21 10 16" xfId="25975" xr:uid="{00000000-0005-0000-0000-00006E650000}"/>
    <cellStyle name="Normal 3 21 10 2" xfId="25976" xr:uid="{00000000-0005-0000-0000-00006F650000}"/>
    <cellStyle name="Normal 3 21 10 2 2" xfId="25977" xr:uid="{00000000-0005-0000-0000-000070650000}"/>
    <cellStyle name="Normal 3 21 10 2 3" xfId="25978" xr:uid="{00000000-0005-0000-0000-000071650000}"/>
    <cellStyle name="Normal 3 21 10 3" xfId="25979" xr:uid="{00000000-0005-0000-0000-000072650000}"/>
    <cellStyle name="Normal 3 21 10 3 2" xfId="25980" xr:uid="{00000000-0005-0000-0000-000073650000}"/>
    <cellStyle name="Normal 3 21 10 3 3" xfId="25981" xr:uid="{00000000-0005-0000-0000-000074650000}"/>
    <cellStyle name="Normal 3 21 10 4" xfId="25982" xr:uid="{00000000-0005-0000-0000-000075650000}"/>
    <cellStyle name="Normal 3 21 10 4 2" xfId="25983" xr:uid="{00000000-0005-0000-0000-000076650000}"/>
    <cellStyle name="Normal 3 21 10 4 3" xfId="25984" xr:uid="{00000000-0005-0000-0000-000077650000}"/>
    <cellStyle name="Normal 3 21 10 5" xfId="25985" xr:uid="{00000000-0005-0000-0000-000078650000}"/>
    <cellStyle name="Normal 3 21 10 5 2" xfId="25986" xr:uid="{00000000-0005-0000-0000-000079650000}"/>
    <cellStyle name="Normal 3 21 10 5 3" xfId="25987" xr:uid="{00000000-0005-0000-0000-00007A650000}"/>
    <cellStyle name="Normal 3 21 10 6" xfId="25988" xr:uid="{00000000-0005-0000-0000-00007B650000}"/>
    <cellStyle name="Normal 3 21 10 6 2" xfId="25989" xr:uid="{00000000-0005-0000-0000-00007C650000}"/>
    <cellStyle name="Normal 3 21 10 6 3" xfId="25990" xr:uid="{00000000-0005-0000-0000-00007D650000}"/>
    <cellStyle name="Normal 3 21 10 7" xfId="25991" xr:uid="{00000000-0005-0000-0000-00007E650000}"/>
    <cellStyle name="Normal 3 21 10 7 2" xfId="25992" xr:uid="{00000000-0005-0000-0000-00007F650000}"/>
    <cellStyle name="Normal 3 21 10 7 3" xfId="25993" xr:uid="{00000000-0005-0000-0000-000080650000}"/>
    <cellStyle name="Normal 3 21 10 8" xfId="25994" xr:uid="{00000000-0005-0000-0000-000081650000}"/>
    <cellStyle name="Normal 3 21 10 8 2" xfId="25995" xr:uid="{00000000-0005-0000-0000-000082650000}"/>
    <cellStyle name="Normal 3 21 10 8 3" xfId="25996" xr:uid="{00000000-0005-0000-0000-000083650000}"/>
    <cellStyle name="Normal 3 21 10 9" xfId="25997" xr:uid="{00000000-0005-0000-0000-000084650000}"/>
    <cellStyle name="Normal 3 21 10 9 2" xfId="25998" xr:uid="{00000000-0005-0000-0000-000085650000}"/>
    <cellStyle name="Normal 3 21 10 9 3" xfId="25999" xr:uid="{00000000-0005-0000-0000-000086650000}"/>
    <cellStyle name="Normal 3 21 11" xfId="26000" xr:uid="{00000000-0005-0000-0000-000087650000}"/>
    <cellStyle name="Normal 3 21 11 10" xfId="26001" xr:uid="{00000000-0005-0000-0000-000088650000}"/>
    <cellStyle name="Normal 3 21 11 10 2" xfId="26002" xr:uid="{00000000-0005-0000-0000-000089650000}"/>
    <cellStyle name="Normal 3 21 11 10 3" xfId="26003" xr:uid="{00000000-0005-0000-0000-00008A650000}"/>
    <cellStyle name="Normal 3 21 11 11" xfId="26004" xr:uid="{00000000-0005-0000-0000-00008B650000}"/>
    <cellStyle name="Normal 3 21 11 11 2" xfId="26005" xr:uid="{00000000-0005-0000-0000-00008C650000}"/>
    <cellStyle name="Normal 3 21 11 11 3" xfId="26006" xr:uid="{00000000-0005-0000-0000-00008D650000}"/>
    <cellStyle name="Normal 3 21 11 12" xfId="26007" xr:uid="{00000000-0005-0000-0000-00008E650000}"/>
    <cellStyle name="Normal 3 21 11 12 2" xfId="26008" xr:uid="{00000000-0005-0000-0000-00008F650000}"/>
    <cellStyle name="Normal 3 21 11 12 3" xfId="26009" xr:uid="{00000000-0005-0000-0000-000090650000}"/>
    <cellStyle name="Normal 3 21 11 13" xfId="26010" xr:uid="{00000000-0005-0000-0000-000091650000}"/>
    <cellStyle name="Normal 3 21 11 13 2" xfId="26011" xr:uid="{00000000-0005-0000-0000-000092650000}"/>
    <cellStyle name="Normal 3 21 11 13 3" xfId="26012" xr:uid="{00000000-0005-0000-0000-000093650000}"/>
    <cellStyle name="Normal 3 21 11 14" xfId="26013" xr:uid="{00000000-0005-0000-0000-000094650000}"/>
    <cellStyle name="Normal 3 21 11 14 2" xfId="26014" xr:uid="{00000000-0005-0000-0000-000095650000}"/>
    <cellStyle name="Normal 3 21 11 14 3" xfId="26015" xr:uid="{00000000-0005-0000-0000-000096650000}"/>
    <cellStyle name="Normal 3 21 11 15" xfId="26016" xr:uid="{00000000-0005-0000-0000-000097650000}"/>
    <cellStyle name="Normal 3 21 11 16" xfId="26017" xr:uid="{00000000-0005-0000-0000-000098650000}"/>
    <cellStyle name="Normal 3 21 11 2" xfId="26018" xr:uid="{00000000-0005-0000-0000-000099650000}"/>
    <cellStyle name="Normal 3 21 11 2 2" xfId="26019" xr:uid="{00000000-0005-0000-0000-00009A650000}"/>
    <cellStyle name="Normal 3 21 11 2 3" xfId="26020" xr:uid="{00000000-0005-0000-0000-00009B650000}"/>
    <cellStyle name="Normal 3 21 11 3" xfId="26021" xr:uid="{00000000-0005-0000-0000-00009C650000}"/>
    <cellStyle name="Normal 3 21 11 3 2" xfId="26022" xr:uid="{00000000-0005-0000-0000-00009D650000}"/>
    <cellStyle name="Normal 3 21 11 3 3" xfId="26023" xr:uid="{00000000-0005-0000-0000-00009E650000}"/>
    <cellStyle name="Normal 3 21 11 4" xfId="26024" xr:uid="{00000000-0005-0000-0000-00009F650000}"/>
    <cellStyle name="Normal 3 21 11 4 2" xfId="26025" xr:uid="{00000000-0005-0000-0000-0000A0650000}"/>
    <cellStyle name="Normal 3 21 11 4 3" xfId="26026" xr:uid="{00000000-0005-0000-0000-0000A1650000}"/>
    <cellStyle name="Normal 3 21 11 5" xfId="26027" xr:uid="{00000000-0005-0000-0000-0000A2650000}"/>
    <cellStyle name="Normal 3 21 11 5 2" xfId="26028" xr:uid="{00000000-0005-0000-0000-0000A3650000}"/>
    <cellStyle name="Normal 3 21 11 5 3" xfId="26029" xr:uid="{00000000-0005-0000-0000-0000A4650000}"/>
    <cellStyle name="Normal 3 21 11 6" xfId="26030" xr:uid="{00000000-0005-0000-0000-0000A5650000}"/>
    <cellStyle name="Normal 3 21 11 6 2" xfId="26031" xr:uid="{00000000-0005-0000-0000-0000A6650000}"/>
    <cellStyle name="Normal 3 21 11 6 3" xfId="26032" xr:uid="{00000000-0005-0000-0000-0000A7650000}"/>
    <cellStyle name="Normal 3 21 11 7" xfId="26033" xr:uid="{00000000-0005-0000-0000-0000A8650000}"/>
    <cellStyle name="Normal 3 21 11 7 2" xfId="26034" xr:uid="{00000000-0005-0000-0000-0000A9650000}"/>
    <cellStyle name="Normal 3 21 11 7 3" xfId="26035" xr:uid="{00000000-0005-0000-0000-0000AA650000}"/>
    <cellStyle name="Normal 3 21 11 8" xfId="26036" xr:uid="{00000000-0005-0000-0000-0000AB650000}"/>
    <cellStyle name="Normal 3 21 11 8 2" xfId="26037" xr:uid="{00000000-0005-0000-0000-0000AC650000}"/>
    <cellStyle name="Normal 3 21 11 8 3" xfId="26038" xr:uid="{00000000-0005-0000-0000-0000AD650000}"/>
    <cellStyle name="Normal 3 21 11 9" xfId="26039" xr:uid="{00000000-0005-0000-0000-0000AE650000}"/>
    <cellStyle name="Normal 3 21 11 9 2" xfId="26040" xr:uid="{00000000-0005-0000-0000-0000AF650000}"/>
    <cellStyle name="Normal 3 21 11 9 3" xfId="26041" xr:uid="{00000000-0005-0000-0000-0000B0650000}"/>
    <cellStyle name="Normal 3 21 12" xfId="26042" xr:uid="{00000000-0005-0000-0000-0000B1650000}"/>
    <cellStyle name="Normal 3 21 12 10" xfId="26043" xr:uid="{00000000-0005-0000-0000-0000B2650000}"/>
    <cellStyle name="Normal 3 21 12 10 2" xfId="26044" xr:uid="{00000000-0005-0000-0000-0000B3650000}"/>
    <cellStyle name="Normal 3 21 12 10 3" xfId="26045" xr:uid="{00000000-0005-0000-0000-0000B4650000}"/>
    <cellStyle name="Normal 3 21 12 11" xfId="26046" xr:uid="{00000000-0005-0000-0000-0000B5650000}"/>
    <cellStyle name="Normal 3 21 12 11 2" xfId="26047" xr:uid="{00000000-0005-0000-0000-0000B6650000}"/>
    <cellStyle name="Normal 3 21 12 11 3" xfId="26048" xr:uid="{00000000-0005-0000-0000-0000B7650000}"/>
    <cellStyle name="Normal 3 21 12 12" xfId="26049" xr:uid="{00000000-0005-0000-0000-0000B8650000}"/>
    <cellStyle name="Normal 3 21 12 12 2" xfId="26050" xr:uid="{00000000-0005-0000-0000-0000B9650000}"/>
    <cellStyle name="Normal 3 21 12 12 3" xfId="26051" xr:uid="{00000000-0005-0000-0000-0000BA650000}"/>
    <cellStyle name="Normal 3 21 12 13" xfId="26052" xr:uid="{00000000-0005-0000-0000-0000BB650000}"/>
    <cellStyle name="Normal 3 21 12 13 2" xfId="26053" xr:uid="{00000000-0005-0000-0000-0000BC650000}"/>
    <cellStyle name="Normal 3 21 12 13 3" xfId="26054" xr:uid="{00000000-0005-0000-0000-0000BD650000}"/>
    <cellStyle name="Normal 3 21 12 14" xfId="26055" xr:uid="{00000000-0005-0000-0000-0000BE650000}"/>
    <cellStyle name="Normal 3 21 12 14 2" xfId="26056" xr:uid="{00000000-0005-0000-0000-0000BF650000}"/>
    <cellStyle name="Normal 3 21 12 14 3" xfId="26057" xr:uid="{00000000-0005-0000-0000-0000C0650000}"/>
    <cellStyle name="Normal 3 21 12 15" xfId="26058" xr:uid="{00000000-0005-0000-0000-0000C1650000}"/>
    <cellStyle name="Normal 3 21 12 16" xfId="26059" xr:uid="{00000000-0005-0000-0000-0000C2650000}"/>
    <cellStyle name="Normal 3 21 12 2" xfId="26060" xr:uid="{00000000-0005-0000-0000-0000C3650000}"/>
    <cellStyle name="Normal 3 21 12 2 2" xfId="26061" xr:uid="{00000000-0005-0000-0000-0000C4650000}"/>
    <cellStyle name="Normal 3 21 12 2 3" xfId="26062" xr:uid="{00000000-0005-0000-0000-0000C5650000}"/>
    <cellStyle name="Normal 3 21 12 3" xfId="26063" xr:uid="{00000000-0005-0000-0000-0000C6650000}"/>
    <cellStyle name="Normal 3 21 12 3 2" xfId="26064" xr:uid="{00000000-0005-0000-0000-0000C7650000}"/>
    <cellStyle name="Normal 3 21 12 3 3" xfId="26065" xr:uid="{00000000-0005-0000-0000-0000C8650000}"/>
    <cellStyle name="Normal 3 21 12 4" xfId="26066" xr:uid="{00000000-0005-0000-0000-0000C9650000}"/>
    <cellStyle name="Normal 3 21 12 4 2" xfId="26067" xr:uid="{00000000-0005-0000-0000-0000CA650000}"/>
    <cellStyle name="Normal 3 21 12 4 3" xfId="26068" xr:uid="{00000000-0005-0000-0000-0000CB650000}"/>
    <cellStyle name="Normal 3 21 12 5" xfId="26069" xr:uid="{00000000-0005-0000-0000-0000CC650000}"/>
    <cellStyle name="Normal 3 21 12 5 2" xfId="26070" xr:uid="{00000000-0005-0000-0000-0000CD650000}"/>
    <cellStyle name="Normal 3 21 12 5 3" xfId="26071" xr:uid="{00000000-0005-0000-0000-0000CE650000}"/>
    <cellStyle name="Normal 3 21 12 6" xfId="26072" xr:uid="{00000000-0005-0000-0000-0000CF650000}"/>
    <cellStyle name="Normal 3 21 12 6 2" xfId="26073" xr:uid="{00000000-0005-0000-0000-0000D0650000}"/>
    <cellStyle name="Normal 3 21 12 6 3" xfId="26074" xr:uid="{00000000-0005-0000-0000-0000D1650000}"/>
    <cellStyle name="Normal 3 21 12 7" xfId="26075" xr:uid="{00000000-0005-0000-0000-0000D2650000}"/>
    <cellStyle name="Normal 3 21 12 7 2" xfId="26076" xr:uid="{00000000-0005-0000-0000-0000D3650000}"/>
    <cellStyle name="Normal 3 21 12 7 3" xfId="26077" xr:uid="{00000000-0005-0000-0000-0000D4650000}"/>
    <cellStyle name="Normal 3 21 12 8" xfId="26078" xr:uid="{00000000-0005-0000-0000-0000D5650000}"/>
    <cellStyle name="Normal 3 21 12 8 2" xfId="26079" xr:uid="{00000000-0005-0000-0000-0000D6650000}"/>
    <cellStyle name="Normal 3 21 12 8 3" xfId="26080" xr:uid="{00000000-0005-0000-0000-0000D7650000}"/>
    <cellStyle name="Normal 3 21 12 9" xfId="26081" xr:uid="{00000000-0005-0000-0000-0000D8650000}"/>
    <cellStyle name="Normal 3 21 12 9 2" xfId="26082" xr:uid="{00000000-0005-0000-0000-0000D9650000}"/>
    <cellStyle name="Normal 3 21 12 9 3" xfId="26083" xr:uid="{00000000-0005-0000-0000-0000DA650000}"/>
    <cellStyle name="Normal 3 21 13" xfId="26084" xr:uid="{00000000-0005-0000-0000-0000DB650000}"/>
    <cellStyle name="Normal 3 21 13 10" xfId="26085" xr:uid="{00000000-0005-0000-0000-0000DC650000}"/>
    <cellStyle name="Normal 3 21 13 10 2" xfId="26086" xr:uid="{00000000-0005-0000-0000-0000DD650000}"/>
    <cellStyle name="Normal 3 21 13 10 3" xfId="26087" xr:uid="{00000000-0005-0000-0000-0000DE650000}"/>
    <cellStyle name="Normal 3 21 13 11" xfId="26088" xr:uid="{00000000-0005-0000-0000-0000DF650000}"/>
    <cellStyle name="Normal 3 21 13 11 2" xfId="26089" xr:uid="{00000000-0005-0000-0000-0000E0650000}"/>
    <cellStyle name="Normal 3 21 13 11 3" xfId="26090" xr:uid="{00000000-0005-0000-0000-0000E1650000}"/>
    <cellStyle name="Normal 3 21 13 12" xfId="26091" xr:uid="{00000000-0005-0000-0000-0000E2650000}"/>
    <cellStyle name="Normal 3 21 13 12 2" xfId="26092" xr:uid="{00000000-0005-0000-0000-0000E3650000}"/>
    <cellStyle name="Normal 3 21 13 12 3" xfId="26093" xr:uid="{00000000-0005-0000-0000-0000E4650000}"/>
    <cellStyle name="Normal 3 21 13 13" xfId="26094" xr:uid="{00000000-0005-0000-0000-0000E5650000}"/>
    <cellStyle name="Normal 3 21 13 13 2" xfId="26095" xr:uid="{00000000-0005-0000-0000-0000E6650000}"/>
    <cellStyle name="Normal 3 21 13 13 3" xfId="26096" xr:uid="{00000000-0005-0000-0000-0000E7650000}"/>
    <cellStyle name="Normal 3 21 13 14" xfId="26097" xr:uid="{00000000-0005-0000-0000-0000E8650000}"/>
    <cellStyle name="Normal 3 21 13 14 2" xfId="26098" xr:uid="{00000000-0005-0000-0000-0000E9650000}"/>
    <cellStyle name="Normal 3 21 13 14 3" xfId="26099" xr:uid="{00000000-0005-0000-0000-0000EA650000}"/>
    <cellStyle name="Normal 3 21 13 15" xfId="26100" xr:uid="{00000000-0005-0000-0000-0000EB650000}"/>
    <cellStyle name="Normal 3 21 13 16" xfId="26101" xr:uid="{00000000-0005-0000-0000-0000EC650000}"/>
    <cellStyle name="Normal 3 21 13 2" xfId="26102" xr:uid="{00000000-0005-0000-0000-0000ED650000}"/>
    <cellStyle name="Normal 3 21 13 2 2" xfId="26103" xr:uid="{00000000-0005-0000-0000-0000EE650000}"/>
    <cellStyle name="Normal 3 21 13 2 3" xfId="26104" xr:uid="{00000000-0005-0000-0000-0000EF650000}"/>
    <cellStyle name="Normal 3 21 13 3" xfId="26105" xr:uid="{00000000-0005-0000-0000-0000F0650000}"/>
    <cellStyle name="Normal 3 21 13 3 2" xfId="26106" xr:uid="{00000000-0005-0000-0000-0000F1650000}"/>
    <cellStyle name="Normal 3 21 13 3 3" xfId="26107" xr:uid="{00000000-0005-0000-0000-0000F2650000}"/>
    <cellStyle name="Normal 3 21 13 4" xfId="26108" xr:uid="{00000000-0005-0000-0000-0000F3650000}"/>
    <cellStyle name="Normal 3 21 13 4 2" xfId="26109" xr:uid="{00000000-0005-0000-0000-0000F4650000}"/>
    <cellStyle name="Normal 3 21 13 4 3" xfId="26110" xr:uid="{00000000-0005-0000-0000-0000F5650000}"/>
    <cellStyle name="Normal 3 21 13 5" xfId="26111" xr:uid="{00000000-0005-0000-0000-0000F6650000}"/>
    <cellStyle name="Normal 3 21 13 5 2" xfId="26112" xr:uid="{00000000-0005-0000-0000-0000F7650000}"/>
    <cellStyle name="Normal 3 21 13 5 3" xfId="26113" xr:uid="{00000000-0005-0000-0000-0000F8650000}"/>
    <cellStyle name="Normal 3 21 13 6" xfId="26114" xr:uid="{00000000-0005-0000-0000-0000F9650000}"/>
    <cellStyle name="Normal 3 21 13 6 2" xfId="26115" xr:uid="{00000000-0005-0000-0000-0000FA650000}"/>
    <cellStyle name="Normal 3 21 13 6 3" xfId="26116" xr:uid="{00000000-0005-0000-0000-0000FB650000}"/>
    <cellStyle name="Normal 3 21 13 7" xfId="26117" xr:uid="{00000000-0005-0000-0000-0000FC650000}"/>
    <cellStyle name="Normal 3 21 13 7 2" xfId="26118" xr:uid="{00000000-0005-0000-0000-0000FD650000}"/>
    <cellStyle name="Normal 3 21 13 7 3" xfId="26119" xr:uid="{00000000-0005-0000-0000-0000FE650000}"/>
    <cellStyle name="Normal 3 21 13 8" xfId="26120" xr:uid="{00000000-0005-0000-0000-0000FF650000}"/>
    <cellStyle name="Normal 3 21 13 8 2" xfId="26121" xr:uid="{00000000-0005-0000-0000-000000660000}"/>
    <cellStyle name="Normal 3 21 13 8 3" xfId="26122" xr:uid="{00000000-0005-0000-0000-000001660000}"/>
    <cellStyle name="Normal 3 21 13 9" xfId="26123" xr:uid="{00000000-0005-0000-0000-000002660000}"/>
    <cellStyle name="Normal 3 21 13 9 2" xfId="26124" xr:uid="{00000000-0005-0000-0000-000003660000}"/>
    <cellStyle name="Normal 3 21 13 9 3" xfId="26125" xr:uid="{00000000-0005-0000-0000-000004660000}"/>
    <cellStyle name="Normal 3 21 14" xfId="26126" xr:uid="{00000000-0005-0000-0000-000005660000}"/>
    <cellStyle name="Normal 3 21 14 10" xfId="26127" xr:uid="{00000000-0005-0000-0000-000006660000}"/>
    <cellStyle name="Normal 3 21 14 10 2" xfId="26128" xr:uid="{00000000-0005-0000-0000-000007660000}"/>
    <cellStyle name="Normal 3 21 14 10 3" xfId="26129" xr:uid="{00000000-0005-0000-0000-000008660000}"/>
    <cellStyle name="Normal 3 21 14 11" xfId="26130" xr:uid="{00000000-0005-0000-0000-000009660000}"/>
    <cellStyle name="Normal 3 21 14 11 2" xfId="26131" xr:uid="{00000000-0005-0000-0000-00000A660000}"/>
    <cellStyle name="Normal 3 21 14 11 3" xfId="26132" xr:uid="{00000000-0005-0000-0000-00000B660000}"/>
    <cellStyle name="Normal 3 21 14 12" xfId="26133" xr:uid="{00000000-0005-0000-0000-00000C660000}"/>
    <cellStyle name="Normal 3 21 14 12 2" xfId="26134" xr:uid="{00000000-0005-0000-0000-00000D660000}"/>
    <cellStyle name="Normal 3 21 14 12 3" xfId="26135" xr:uid="{00000000-0005-0000-0000-00000E660000}"/>
    <cellStyle name="Normal 3 21 14 13" xfId="26136" xr:uid="{00000000-0005-0000-0000-00000F660000}"/>
    <cellStyle name="Normal 3 21 14 13 2" xfId="26137" xr:uid="{00000000-0005-0000-0000-000010660000}"/>
    <cellStyle name="Normal 3 21 14 13 3" xfId="26138" xr:uid="{00000000-0005-0000-0000-000011660000}"/>
    <cellStyle name="Normal 3 21 14 14" xfId="26139" xr:uid="{00000000-0005-0000-0000-000012660000}"/>
    <cellStyle name="Normal 3 21 14 14 2" xfId="26140" xr:uid="{00000000-0005-0000-0000-000013660000}"/>
    <cellStyle name="Normal 3 21 14 14 3" xfId="26141" xr:uid="{00000000-0005-0000-0000-000014660000}"/>
    <cellStyle name="Normal 3 21 14 15" xfId="26142" xr:uid="{00000000-0005-0000-0000-000015660000}"/>
    <cellStyle name="Normal 3 21 14 16" xfId="26143" xr:uid="{00000000-0005-0000-0000-000016660000}"/>
    <cellStyle name="Normal 3 21 14 2" xfId="26144" xr:uid="{00000000-0005-0000-0000-000017660000}"/>
    <cellStyle name="Normal 3 21 14 2 2" xfId="26145" xr:uid="{00000000-0005-0000-0000-000018660000}"/>
    <cellStyle name="Normal 3 21 14 2 3" xfId="26146" xr:uid="{00000000-0005-0000-0000-000019660000}"/>
    <cellStyle name="Normal 3 21 14 3" xfId="26147" xr:uid="{00000000-0005-0000-0000-00001A660000}"/>
    <cellStyle name="Normal 3 21 14 3 2" xfId="26148" xr:uid="{00000000-0005-0000-0000-00001B660000}"/>
    <cellStyle name="Normal 3 21 14 3 3" xfId="26149" xr:uid="{00000000-0005-0000-0000-00001C660000}"/>
    <cellStyle name="Normal 3 21 14 4" xfId="26150" xr:uid="{00000000-0005-0000-0000-00001D660000}"/>
    <cellStyle name="Normal 3 21 14 4 2" xfId="26151" xr:uid="{00000000-0005-0000-0000-00001E660000}"/>
    <cellStyle name="Normal 3 21 14 4 3" xfId="26152" xr:uid="{00000000-0005-0000-0000-00001F660000}"/>
    <cellStyle name="Normal 3 21 14 5" xfId="26153" xr:uid="{00000000-0005-0000-0000-000020660000}"/>
    <cellStyle name="Normal 3 21 14 5 2" xfId="26154" xr:uid="{00000000-0005-0000-0000-000021660000}"/>
    <cellStyle name="Normal 3 21 14 5 3" xfId="26155" xr:uid="{00000000-0005-0000-0000-000022660000}"/>
    <cellStyle name="Normal 3 21 14 6" xfId="26156" xr:uid="{00000000-0005-0000-0000-000023660000}"/>
    <cellStyle name="Normal 3 21 14 6 2" xfId="26157" xr:uid="{00000000-0005-0000-0000-000024660000}"/>
    <cellStyle name="Normal 3 21 14 6 3" xfId="26158" xr:uid="{00000000-0005-0000-0000-000025660000}"/>
    <cellStyle name="Normal 3 21 14 7" xfId="26159" xr:uid="{00000000-0005-0000-0000-000026660000}"/>
    <cellStyle name="Normal 3 21 14 7 2" xfId="26160" xr:uid="{00000000-0005-0000-0000-000027660000}"/>
    <cellStyle name="Normal 3 21 14 7 3" xfId="26161" xr:uid="{00000000-0005-0000-0000-000028660000}"/>
    <cellStyle name="Normal 3 21 14 8" xfId="26162" xr:uid="{00000000-0005-0000-0000-000029660000}"/>
    <cellStyle name="Normal 3 21 14 8 2" xfId="26163" xr:uid="{00000000-0005-0000-0000-00002A660000}"/>
    <cellStyle name="Normal 3 21 14 8 3" xfId="26164" xr:uid="{00000000-0005-0000-0000-00002B660000}"/>
    <cellStyle name="Normal 3 21 14 9" xfId="26165" xr:uid="{00000000-0005-0000-0000-00002C660000}"/>
    <cellStyle name="Normal 3 21 14 9 2" xfId="26166" xr:uid="{00000000-0005-0000-0000-00002D660000}"/>
    <cellStyle name="Normal 3 21 14 9 3" xfId="26167" xr:uid="{00000000-0005-0000-0000-00002E660000}"/>
    <cellStyle name="Normal 3 21 15" xfId="26168" xr:uid="{00000000-0005-0000-0000-00002F660000}"/>
    <cellStyle name="Normal 3 21 15 2" xfId="26169" xr:uid="{00000000-0005-0000-0000-000030660000}"/>
    <cellStyle name="Normal 3 21 15 3" xfId="26170" xr:uid="{00000000-0005-0000-0000-000031660000}"/>
    <cellStyle name="Normal 3 21 16" xfId="26171" xr:uid="{00000000-0005-0000-0000-000032660000}"/>
    <cellStyle name="Normal 3 21 16 2" xfId="26172" xr:uid="{00000000-0005-0000-0000-000033660000}"/>
    <cellStyle name="Normal 3 21 16 3" xfId="26173" xr:uid="{00000000-0005-0000-0000-000034660000}"/>
    <cellStyle name="Normal 3 21 17" xfId="26174" xr:uid="{00000000-0005-0000-0000-000035660000}"/>
    <cellStyle name="Normal 3 21 17 2" xfId="26175" xr:uid="{00000000-0005-0000-0000-000036660000}"/>
    <cellStyle name="Normal 3 21 17 3" xfId="26176" xr:uid="{00000000-0005-0000-0000-000037660000}"/>
    <cellStyle name="Normal 3 21 18" xfId="26177" xr:uid="{00000000-0005-0000-0000-000038660000}"/>
    <cellStyle name="Normal 3 21 18 2" xfId="26178" xr:uid="{00000000-0005-0000-0000-000039660000}"/>
    <cellStyle name="Normal 3 21 18 3" xfId="26179" xr:uid="{00000000-0005-0000-0000-00003A660000}"/>
    <cellStyle name="Normal 3 21 19" xfId="26180" xr:uid="{00000000-0005-0000-0000-00003B660000}"/>
    <cellStyle name="Normal 3 21 19 2" xfId="26181" xr:uid="{00000000-0005-0000-0000-00003C660000}"/>
    <cellStyle name="Normal 3 21 19 3" xfId="26182" xr:uid="{00000000-0005-0000-0000-00003D660000}"/>
    <cellStyle name="Normal 3 21 2" xfId="26183" xr:uid="{00000000-0005-0000-0000-00003E660000}"/>
    <cellStyle name="Normal 3 21 20" xfId="26184" xr:uid="{00000000-0005-0000-0000-00003F660000}"/>
    <cellStyle name="Normal 3 21 20 2" xfId="26185" xr:uid="{00000000-0005-0000-0000-000040660000}"/>
    <cellStyle name="Normal 3 21 20 3" xfId="26186" xr:uid="{00000000-0005-0000-0000-000041660000}"/>
    <cellStyle name="Normal 3 21 21" xfId="26187" xr:uid="{00000000-0005-0000-0000-000042660000}"/>
    <cellStyle name="Normal 3 21 21 2" xfId="26188" xr:uid="{00000000-0005-0000-0000-000043660000}"/>
    <cellStyle name="Normal 3 21 21 3" xfId="26189" xr:uid="{00000000-0005-0000-0000-000044660000}"/>
    <cellStyle name="Normal 3 21 22" xfId="26190" xr:uid="{00000000-0005-0000-0000-000045660000}"/>
    <cellStyle name="Normal 3 21 22 2" xfId="26191" xr:uid="{00000000-0005-0000-0000-000046660000}"/>
    <cellStyle name="Normal 3 21 22 3" xfId="26192" xr:uid="{00000000-0005-0000-0000-000047660000}"/>
    <cellStyle name="Normal 3 21 23" xfId="26193" xr:uid="{00000000-0005-0000-0000-000048660000}"/>
    <cellStyle name="Normal 3 21 23 2" xfId="26194" xr:uid="{00000000-0005-0000-0000-000049660000}"/>
    <cellStyle name="Normal 3 21 23 3" xfId="26195" xr:uid="{00000000-0005-0000-0000-00004A660000}"/>
    <cellStyle name="Normal 3 21 24" xfId="26196" xr:uid="{00000000-0005-0000-0000-00004B660000}"/>
    <cellStyle name="Normal 3 21 24 2" xfId="26197" xr:uid="{00000000-0005-0000-0000-00004C660000}"/>
    <cellStyle name="Normal 3 21 24 3" xfId="26198" xr:uid="{00000000-0005-0000-0000-00004D660000}"/>
    <cellStyle name="Normal 3 21 25" xfId="26199" xr:uid="{00000000-0005-0000-0000-00004E660000}"/>
    <cellStyle name="Normal 3 21 25 2" xfId="26200" xr:uid="{00000000-0005-0000-0000-00004F660000}"/>
    <cellStyle name="Normal 3 21 25 3" xfId="26201" xr:uid="{00000000-0005-0000-0000-000050660000}"/>
    <cellStyle name="Normal 3 21 26" xfId="26202" xr:uid="{00000000-0005-0000-0000-000051660000}"/>
    <cellStyle name="Normal 3 21 26 2" xfId="26203" xr:uid="{00000000-0005-0000-0000-000052660000}"/>
    <cellStyle name="Normal 3 21 26 3" xfId="26204" xr:uid="{00000000-0005-0000-0000-000053660000}"/>
    <cellStyle name="Normal 3 21 27" xfId="26205" xr:uid="{00000000-0005-0000-0000-000054660000}"/>
    <cellStyle name="Normal 3 21 27 2" xfId="26206" xr:uid="{00000000-0005-0000-0000-000055660000}"/>
    <cellStyle name="Normal 3 21 27 3" xfId="26207" xr:uid="{00000000-0005-0000-0000-000056660000}"/>
    <cellStyle name="Normal 3 21 28" xfId="26208" xr:uid="{00000000-0005-0000-0000-000057660000}"/>
    <cellStyle name="Normal 3 21 29" xfId="26209" xr:uid="{00000000-0005-0000-0000-000058660000}"/>
    <cellStyle name="Normal 3 21 3" xfId="26210" xr:uid="{00000000-0005-0000-0000-000059660000}"/>
    <cellStyle name="Normal 3 21 4" xfId="26211" xr:uid="{00000000-0005-0000-0000-00005A660000}"/>
    <cellStyle name="Normal 3 21 5" xfId="26212" xr:uid="{00000000-0005-0000-0000-00005B660000}"/>
    <cellStyle name="Normal 3 21 6" xfId="26213" xr:uid="{00000000-0005-0000-0000-00005C660000}"/>
    <cellStyle name="Normal 3 21 6 10" xfId="26214" xr:uid="{00000000-0005-0000-0000-00005D660000}"/>
    <cellStyle name="Normal 3 21 6 10 2" xfId="26215" xr:uid="{00000000-0005-0000-0000-00005E660000}"/>
    <cellStyle name="Normal 3 21 6 10 3" xfId="26216" xr:uid="{00000000-0005-0000-0000-00005F660000}"/>
    <cellStyle name="Normal 3 21 6 11" xfId="26217" xr:uid="{00000000-0005-0000-0000-000060660000}"/>
    <cellStyle name="Normal 3 21 6 11 2" xfId="26218" xr:uid="{00000000-0005-0000-0000-000061660000}"/>
    <cellStyle name="Normal 3 21 6 11 3" xfId="26219" xr:uid="{00000000-0005-0000-0000-000062660000}"/>
    <cellStyle name="Normal 3 21 6 12" xfId="26220" xr:uid="{00000000-0005-0000-0000-000063660000}"/>
    <cellStyle name="Normal 3 21 6 12 2" xfId="26221" xr:uid="{00000000-0005-0000-0000-000064660000}"/>
    <cellStyle name="Normal 3 21 6 12 3" xfId="26222" xr:uid="{00000000-0005-0000-0000-000065660000}"/>
    <cellStyle name="Normal 3 21 6 13" xfId="26223" xr:uid="{00000000-0005-0000-0000-000066660000}"/>
    <cellStyle name="Normal 3 21 6 13 2" xfId="26224" xr:uid="{00000000-0005-0000-0000-000067660000}"/>
    <cellStyle name="Normal 3 21 6 13 3" xfId="26225" xr:uid="{00000000-0005-0000-0000-000068660000}"/>
    <cellStyle name="Normal 3 21 6 14" xfId="26226" xr:uid="{00000000-0005-0000-0000-000069660000}"/>
    <cellStyle name="Normal 3 21 6 14 2" xfId="26227" xr:uid="{00000000-0005-0000-0000-00006A660000}"/>
    <cellStyle name="Normal 3 21 6 14 3" xfId="26228" xr:uid="{00000000-0005-0000-0000-00006B660000}"/>
    <cellStyle name="Normal 3 21 6 15" xfId="26229" xr:uid="{00000000-0005-0000-0000-00006C660000}"/>
    <cellStyle name="Normal 3 21 6 15 2" xfId="26230" xr:uid="{00000000-0005-0000-0000-00006D660000}"/>
    <cellStyle name="Normal 3 21 6 15 3" xfId="26231" xr:uid="{00000000-0005-0000-0000-00006E660000}"/>
    <cellStyle name="Normal 3 21 6 16" xfId="26232" xr:uid="{00000000-0005-0000-0000-00006F660000}"/>
    <cellStyle name="Normal 3 21 6 17" xfId="26233" xr:uid="{00000000-0005-0000-0000-000070660000}"/>
    <cellStyle name="Normal 3 21 6 2" xfId="26234" xr:uid="{00000000-0005-0000-0000-000071660000}"/>
    <cellStyle name="Normal 3 21 6 2 10" xfId="26235" xr:uid="{00000000-0005-0000-0000-000072660000}"/>
    <cellStyle name="Normal 3 21 6 2 10 2" xfId="26236" xr:uid="{00000000-0005-0000-0000-000073660000}"/>
    <cellStyle name="Normal 3 21 6 2 10 3" xfId="26237" xr:uid="{00000000-0005-0000-0000-000074660000}"/>
    <cellStyle name="Normal 3 21 6 2 11" xfId="26238" xr:uid="{00000000-0005-0000-0000-000075660000}"/>
    <cellStyle name="Normal 3 21 6 2 11 2" xfId="26239" xr:uid="{00000000-0005-0000-0000-000076660000}"/>
    <cellStyle name="Normal 3 21 6 2 11 3" xfId="26240" xr:uid="{00000000-0005-0000-0000-000077660000}"/>
    <cellStyle name="Normal 3 21 6 2 12" xfId="26241" xr:uid="{00000000-0005-0000-0000-000078660000}"/>
    <cellStyle name="Normal 3 21 6 2 12 2" xfId="26242" xr:uid="{00000000-0005-0000-0000-000079660000}"/>
    <cellStyle name="Normal 3 21 6 2 12 3" xfId="26243" xr:uid="{00000000-0005-0000-0000-00007A660000}"/>
    <cellStyle name="Normal 3 21 6 2 13" xfId="26244" xr:uid="{00000000-0005-0000-0000-00007B660000}"/>
    <cellStyle name="Normal 3 21 6 2 13 2" xfId="26245" xr:uid="{00000000-0005-0000-0000-00007C660000}"/>
    <cellStyle name="Normal 3 21 6 2 13 3" xfId="26246" xr:uid="{00000000-0005-0000-0000-00007D660000}"/>
    <cellStyle name="Normal 3 21 6 2 14" xfId="26247" xr:uid="{00000000-0005-0000-0000-00007E660000}"/>
    <cellStyle name="Normal 3 21 6 2 14 2" xfId="26248" xr:uid="{00000000-0005-0000-0000-00007F660000}"/>
    <cellStyle name="Normal 3 21 6 2 14 3" xfId="26249" xr:uid="{00000000-0005-0000-0000-000080660000}"/>
    <cellStyle name="Normal 3 21 6 2 15" xfId="26250" xr:uid="{00000000-0005-0000-0000-000081660000}"/>
    <cellStyle name="Normal 3 21 6 2 16" xfId="26251" xr:uid="{00000000-0005-0000-0000-000082660000}"/>
    <cellStyle name="Normal 3 21 6 2 2" xfId="26252" xr:uid="{00000000-0005-0000-0000-000083660000}"/>
    <cellStyle name="Normal 3 21 6 2 2 2" xfId="26253" xr:uid="{00000000-0005-0000-0000-000084660000}"/>
    <cellStyle name="Normal 3 21 6 2 2 3" xfId="26254" xr:uid="{00000000-0005-0000-0000-000085660000}"/>
    <cellStyle name="Normal 3 21 6 2 3" xfId="26255" xr:uid="{00000000-0005-0000-0000-000086660000}"/>
    <cellStyle name="Normal 3 21 6 2 3 2" xfId="26256" xr:uid="{00000000-0005-0000-0000-000087660000}"/>
    <cellStyle name="Normal 3 21 6 2 3 3" xfId="26257" xr:uid="{00000000-0005-0000-0000-000088660000}"/>
    <cellStyle name="Normal 3 21 6 2 4" xfId="26258" xr:uid="{00000000-0005-0000-0000-000089660000}"/>
    <cellStyle name="Normal 3 21 6 2 4 2" xfId="26259" xr:uid="{00000000-0005-0000-0000-00008A660000}"/>
    <cellStyle name="Normal 3 21 6 2 4 3" xfId="26260" xr:uid="{00000000-0005-0000-0000-00008B660000}"/>
    <cellStyle name="Normal 3 21 6 2 5" xfId="26261" xr:uid="{00000000-0005-0000-0000-00008C660000}"/>
    <cellStyle name="Normal 3 21 6 2 5 2" xfId="26262" xr:uid="{00000000-0005-0000-0000-00008D660000}"/>
    <cellStyle name="Normal 3 21 6 2 5 3" xfId="26263" xr:uid="{00000000-0005-0000-0000-00008E660000}"/>
    <cellStyle name="Normal 3 21 6 2 6" xfId="26264" xr:uid="{00000000-0005-0000-0000-00008F660000}"/>
    <cellStyle name="Normal 3 21 6 2 6 2" xfId="26265" xr:uid="{00000000-0005-0000-0000-000090660000}"/>
    <cellStyle name="Normal 3 21 6 2 6 3" xfId="26266" xr:uid="{00000000-0005-0000-0000-000091660000}"/>
    <cellStyle name="Normal 3 21 6 2 7" xfId="26267" xr:uid="{00000000-0005-0000-0000-000092660000}"/>
    <cellStyle name="Normal 3 21 6 2 7 2" xfId="26268" xr:uid="{00000000-0005-0000-0000-000093660000}"/>
    <cellStyle name="Normal 3 21 6 2 7 3" xfId="26269" xr:uid="{00000000-0005-0000-0000-000094660000}"/>
    <cellStyle name="Normal 3 21 6 2 8" xfId="26270" xr:uid="{00000000-0005-0000-0000-000095660000}"/>
    <cellStyle name="Normal 3 21 6 2 8 2" xfId="26271" xr:uid="{00000000-0005-0000-0000-000096660000}"/>
    <cellStyle name="Normal 3 21 6 2 8 3" xfId="26272" xr:uid="{00000000-0005-0000-0000-000097660000}"/>
    <cellStyle name="Normal 3 21 6 2 9" xfId="26273" xr:uid="{00000000-0005-0000-0000-000098660000}"/>
    <cellStyle name="Normal 3 21 6 2 9 2" xfId="26274" xr:uid="{00000000-0005-0000-0000-000099660000}"/>
    <cellStyle name="Normal 3 21 6 2 9 3" xfId="26275" xr:uid="{00000000-0005-0000-0000-00009A660000}"/>
    <cellStyle name="Normal 3 21 6 3" xfId="26276" xr:uid="{00000000-0005-0000-0000-00009B660000}"/>
    <cellStyle name="Normal 3 21 6 3 2" xfId="26277" xr:uid="{00000000-0005-0000-0000-00009C660000}"/>
    <cellStyle name="Normal 3 21 6 3 3" xfId="26278" xr:uid="{00000000-0005-0000-0000-00009D660000}"/>
    <cellStyle name="Normal 3 21 6 4" xfId="26279" xr:uid="{00000000-0005-0000-0000-00009E660000}"/>
    <cellStyle name="Normal 3 21 6 4 2" xfId="26280" xr:uid="{00000000-0005-0000-0000-00009F660000}"/>
    <cellStyle name="Normal 3 21 6 4 3" xfId="26281" xr:uid="{00000000-0005-0000-0000-0000A0660000}"/>
    <cellStyle name="Normal 3 21 6 5" xfId="26282" xr:uid="{00000000-0005-0000-0000-0000A1660000}"/>
    <cellStyle name="Normal 3 21 6 5 2" xfId="26283" xr:uid="{00000000-0005-0000-0000-0000A2660000}"/>
    <cellStyle name="Normal 3 21 6 5 3" xfId="26284" xr:uid="{00000000-0005-0000-0000-0000A3660000}"/>
    <cellStyle name="Normal 3 21 6 6" xfId="26285" xr:uid="{00000000-0005-0000-0000-0000A4660000}"/>
    <cellStyle name="Normal 3 21 6 6 2" xfId="26286" xr:uid="{00000000-0005-0000-0000-0000A5660000}"/>
    <cellStyle name="Normal 3 21 6 6 3" xfId="26287" xr:uid="{00000000-0005-0000-0000-0000A6660000}"/>
    <cellStyle name="Normal 3 21 6 7" xfId="26288" xr:uid="{00000000-0005-0000-0000-0000A7660000}"/>
    <cellStyle name="Normal 3 21 6 7 2" xfId="26289" xr:uid="{00000000-0005-0000-0000-0000A8660000}"/>
    <cellStyle name="Normal 3 21 6 7 3" xfId="26290" xr:uid="{00000000-0005-0000-0000-0000A9660000}"/>
    <cellStyle name="Normal 3 21 6 8" xfId="26291" xr:uid="{00000000-0005-0000-0000-0000AA660000}"/>
    <cellStyle name="Normal 3 21 6 8 2" xfId="26292" xr:uid="{00000000-0005-0000-0000-0000AB660000}"/>
    <cellStyle name="Normal 3 21 6 8 3" xfId="26293" xr:uid="{00000000-0005-0000-0000-0000AC660000}"/>
    <cellStyle name="Normal 3 21 6 9" xfId="26294" xr:uid="{00000000-0005-0000-0000-0000AD660000}"/>
    <cellStyle name="Normal 3 21 6 9 2" xfId="26295" xr:uid="{00000000-0005-0000-0000-0000AE660000}"/>
    <cellStyle name="Normal 3 21 6 9 3" xfId="26296" xr:uid="{00000000-0005-0000-0000-0000AF660000}"/>
    <cellStyle name="Normal 3 21 7" xfId="26297" xr:uid="{00000000-0005-0000-0000-0000B0660000}"/>
    <cellStyle name="Normal 3 21 7 10" xfId="26298" xr:uid="{00000000-0005-0000-0000-0000B1660000}"/>
    <cellStyle name="Normal 3 21 7 10 2" xfId="26299" xr:uid="{00000000-0005-0000-0000-0000B2660000}"/>
    <cellStyle name="Normal 3 21 7 10 3" xfId="26300" xr:uid="{00000000-0005-0000-0000-0000B3660000}"/>
    <cellStyle name="Normal 3 21 7 11" xfId="26301" xr:uid="{00000000-0005-0000-0000-0000B4660000}"/>
    <cellStyle name="Normal 3 21 7 11 2" xfId="26302" xr:uid="{00000000-0005-0000-0000-0000B5660000}"/>
    <cellStyle name="Normal 3 21 7 11 3" xfId="26303" xr:uid="{00000000-0005-0000-0000-0000B6660000}"/>
    <cellStyle name="Normal 3 21 7 12" xfId="26304" xr:uid="{00000000-0005-0000-0000-0000B7660000}"/>
    <cellStyle name="Normal 3 21 7 12 2" xfId="26305" xr:uid="{00000000-0005-0000-0000-0000B8660000}"/>
    <cellStyle name="Normal 3 21 7 12 3" xfId="26306" xr:uid="{00000000-0005-0000-0000-0000B9660000}"/>
    <cellStyle name="Normal 3 21 7 13" xfId="26307" xr:uid="{00000000-0005-0000-0000-0000BA660000}"/>
    <cellStyle name="Normal 3 21 7 13 2" xfId="26308" xr:uid="{00000000-0005-0000-0000-0000BB660000}"/>
    <cellStyle name="Normal 3 21 7 13 3" xfId="26309" xr:uid="{00000000-0005-0000-0000-0000BC660000}"/>
    <cellStyle name="Normal 3 21 7 14" xfId="26310" xr:uid="{00000000-0005-0000-0000-0000BD660000}"/>
    <cellStyle name="Normal 3 21 7 14 2" xfId="26311" xr:uid="{00000000-0005-0000-0000-0000BE660000}"/>
    <cellStyle name="Normal 3 21 7 14 3" xfId="26312" xr:uid="{00000000-0005-0000-0000-0000BF660000}"/>
    <cellStyle name="Normal 3 21 7 15" xfId="26313" xr:uid="{00000000-0005-0000-0000-0000C0660000}"/>
    <cellStyle name="Normal 3 21 7 15 2" xfId="26314" xr:uid="{00000000-0005-0000-0000-0000C1660000}"/>
    <cellStyle name="Normal 3 21 7 15 3" xfId="26315" xr:uid="{00000000-0005-0000-0000-0000C2660000}"/>
    <cellStyle name="Normal 3 21 7 16" xfId="26316" xr:uid="{00000000-0005-0000-0000-0000C3660000}"/>
    <cellStyle name="Normal 3 21 7 17" xfId="26317" xr:uid="{00000000-0005-0000-0000-0000C4660000}"/>
    <cellStyle name="Normal 3 21 7 2" xfId="26318" xr:uid="{00000000-0005-0000-0000-0000C5660000}"/>
    <cellStyle name="Normal 3 21 7 2 10" xfId="26319" xr:uid="{00000000-0005-0000-0000-0000C6660000}"/>
    <cellStyle name="Normal 3 21 7 2 10 2" xfId="26320" xr:uid="{00000000-0005-0000-0000-0000C7660000}"/>
    <cellStyle name="Normal 3 21 7 2 10 3" xfId="26321" xr:uid="{00000000-0005-0000-0000-0000C8660000}"/>
    <cellStyle name="Normal 3 21 7 2 11" xfId="26322" xr:uid="{00000000-0005-0000-0000-0000C9660000}"/>
    <cellStyle name="Normal 3 21 7 2 11 2" xfId="26323" xr:uid="{00000000-0005-0000-0000-0000CA660000}"/>
    <cellStyle name="Normal 3 21 7 2 11 3" xfId="26324" xr:uid="{00000000-0005-0000-0000-0000CB660000}"/>
    <cellStyle name="Normal 3 21 7 2 12" xfId="26325" xr:uid="{00000000-0005-0000-0000-0000CC660000}"/>
    <cellStyle name="Normal 3 21 7 2 12 2" xfId="26326" xr:uid="{00000000-0005-0000-0000-0000CD660000}"/>
    <cellStyle name="Normal 3 21 7 2 12 3" xfId="26327" xr:uid="{00000000-0005-0000-0000-0000CE660000}"/>
    <cellStyle name="Normal 3 21 7 2 13" xfId="26328" xr:uid="{00000000-0005-0000-0000-0000CF660000}"/>
    <cellStyle name="Normal 3 21 7 2 13 2" xfId="26329" xr:uid="{00000000-0005-0000-0000-0000D0660000}"/>
    <cellStyle name="Normal 3 21 7 2 13 3" xfId="26330" xr:uid="{00000000-0005-0000-0000-0000D1660000}"/>
    <cellStyle name="Normal 3 21 7 2 14" xfId="26331" xr:uid="{00000000-0005-0000-0000-0000D2660000}"/>
    <cellStyle name="Normal 3 21 7 2 14 2" xfId="26332" xr:uid="{00000000-0005-0000-0000-0000D3660000}"/>
    <cellStyle name="Normal 3 21 7 2 14 3" xfId="26333" xr:uid="{00000000-0005-0000-0000-0000D4660000}"/>
    <cellStyle name="Normal 3 21 7 2 15" xfId="26334" xr:uid="{00000000-0005-0000-0000-0000D5660000}"/>
    <cellStyle name="Normal 3 21 7 2 16" xfId="26335" xr:uid="{00000000-0005-0000-0000-0000D6660000}"/>
    <cellStyle name="Normal 3 21 7 2 2" xfId="26336" xr:uid="{00000000-0005-0000-0000-0000D7660000}"/>
    <cellStyle name="Normal 3 21 7 2 2 2" xfId="26337" xr:uid="{00000000-0005-0000-0000-0000D8660000}"/>
    <cellStyle name="Normal 3 21 7 2 2 3" xfId="26338" xr:uid="{00000000-0005-0000-0000-0000D9660000}"/>
    <cellStyle name="Normal 3 21 7 2 3" xfId="26339" xr:uid="{00000000-0005-0000-0000-0000DA660000}"/>
    <cellStyle name="Normal 3 21 7 2 3 2" xfId="26340" xr:uid="{00000000-0005-0000-0000-0000DB660000}"/>
    <cellStyle name="Normal 3 21 7 2 3 3" xfId="26341" xr:uid="{00000000-0005-0000-0000-0000DC660000}"/>
    <cellStyle name="Normal 3 21 7 2 4" xfId="26342" xr:uid="{00000000-0005-0000-0000-0000DD660000}"/>
    <cellStyle name="Normal 3 21 7 2 4 2" xfId="26343" xr:uid="{00000000-0005-0000-0000-0000DE660000}"/>
    <cellStyle name="Normal 3 21 7 2 4 3" xfId="26344" xr:uid="{00000000-0005-0000-0000-0000DF660000}"/>
    <cellStyle name="Normal 3 21 7 2 5" xfId="26345" xr:uid="{00000000-0005-0000-0000-0000E0660000}"/>
    <cellStyle name="Normal 3 21 7 2 5 2" xfId="26346" xr:uid="{00000000-0005-0000-0000-0000E1660000}"/>
    <cellStyle name="Normal 3 21 7 2 5 3" xfId="26347" xr:uid="{00000000-0005-0000-0000-0000E2660000}"/>
    <cellStyle name="Normal 3 21 7 2 6" xfId="26348" xr:uid="{00000000-0005-0000-0000-0000E3660000}"/>
    <cellStyle name="Normal 3 21 7 2 6 2" xfId="26349" xr:uid="{00000000-0005-0000-0000-0000E4660000}"/>
    <cellStyle name="Normal 3 21 7 2 6 3" xfId="26350" xr:uid="{00000000-0005-0000-0000-0000E5660000}"/>
    <cellStyle name="Normal 3 21 7 2 7" xfId="26351" xr:uid="{00000000-0005-0000-0000-0000E6660000}"/>
    <cellStyle name="Normal 3 21 7 2 7 2" xfId="26352" xr:uid="{00000000-0005-0000-0000-0000E7660000}"/>
    <cellStyle name="Normal 3 21 7 2 7 3" xfId="26353" xr:uid="{00000000-0005-0000-0000-0000E8660000}"/>
    <cellStyle name="Normal 3 21 7 2 8" xfId="26354" xr:uid="{00000000-0005-0000-0000-0000E9660000}"/>
    <cellStyle name="Normal 3 21 7 2 8 2" xfId="26355" xr:uid="{00000000-0005-0000-0000-0000EA660000}"/>
    <cellStyle name="Normal 3 21 7 2 8 3" xfId="26356" xr:uid="{00000000-0005-0000-0000-0000EB660000}"/>
    <cellStyle name="Normal 3 21 7 2 9" xfId="26357" xr:uid="{00000000-0005-0000-0000-0000EC660000}"/>
    <cellStyle name="Normal 3 21 7 2 9 2" xfId="26358" xr:uid="{00000000-0005-0000-0000-0000ED660000}"/>
    <cellStyle name="Normal 3 21 7 2 9 3" xfId="26359" xr:uid="{00000000-0005-0000-0000-0000EE660000}"/>
    <cellStyle name="Normal 3 21 7 3" xfId="26360" xr:uid="{00000000-0005-0000-0000-0000EF660000}"/>
    <cellStyle name="Normal 3 21 7 3 2" xfId="26361" xr:uid="{00000000-0005-0000-0000-0000F0660000}"/>
    <cellStyle name="Normal 3 21 7 3 3" xfId="26362" xr:uid="{00000000-0005-0000-0000-0000F1660000}"/>
    <cellStyle name="Normal 3 21 7 4" xfId="26363" xr:uid="{00000000-0005-0000-0000-0000F2660000}"/>
    <cellStyle name="Normal 3 21 7 4 2" xfId="26364" xr:uid="{00000000-0005-0000-0000-0000F3660000}"/>
    <cellStyle name="Normal 3 21 7 4 3" xfId="26365" xr:uid="{00000000-0005-0000-0000-0000F4660000}"/>
    <cellStyle name="Normal 3 21 7 5" xfId="26366" xr:uid="{00000000-0005-0000-0000-0000F5660000}"/>
    <cellStyle name="Normal 3 21 7 5 2" xfId="26367" xr:uid="{00000000-0005-0000-0000-0000F6660000}"/>
    <cellStyle name="Normal 3 21 7 5 3" xfId="26368" xr:uid="{00000000-0005-0000-0000-0000F7660000}"/>
    <cellStyle name="Normal 3 21 7 6" xfId="26369" xr:uid="{00000000-0005-0000-0000-0000F8660000}"/>
    <cellStyle name="Normal 3 21 7 6 2" xfId="26370" xr:uid="{00000000-0005-0000-0000-0000F9660000}"/>
    <cellStyle name="Normal 3 21 7 6 3" xfId="26371" xr:uid="{00000000-0005-0000-0000-0000FA660000}"/>
    <cellStyle name="Normal 3 21 7 7" xfId="26372" xr:uid="{00000000-0005-0000-0000-0000FB660000}"/>
    <cellStyle name="Normal 3 21 7 7 2" xfId="26373" xr:uid="{00000000-0005-0000-0000-0000FC660000}"/>
    <cellStyle name="Normal 3 21 7 7 3" xfId="26374" xr:uid="{00000000-0005-0000-0000-0000FD660000}"/>
    <cellStyle name="Normal 3 21 7 8" xfId="26375" xr:uid="{00000000-0005-0000-0000-0000FE660000}"/>
    <cellStyle name="Normal 3 21 7 8 2" xfId="26376" xr:uid="{00000000-0005-0000-0000-0000FF660000}"/>
    <cellStyle name="Normal 3 21 7 8 3" xfId="26377" xr:uid="{00000000-0005-0000-0000-000000670000}"/>
    <cellStyle name="Normal 3 21 7 9" xfId="26378" xr:uid="{00000000-0005-0000-0000-000001670000}"/>
    <cellStyle name="Normal 3 21 7 9 2" xfId="26379" xr:uid="{00000000-0005-0000-0000-000002670000}"/>
    <cellStyle name="Normal 3 21 7 9 3" xfId="26380" xr:uid="{00000000-0005-0000-0000-000003670000}"/>
    <cellStyle name="Normal 3 21 8" xfId="26381" xr:uid="{00000000-0005-0000-0000-000004670000}"/>
    <cellStyle name="Normal 3 21 8 10" xfId="26382" xr:uid="{00000000-0005-0000-0000-000005670000}"/>
    <cellStyle name="Normal 3 21 8 10 2" xfId="26383" xr:uid="{00000000-0005-0000-0000-000006670000}"/>
    <cellStyle name="Normal 3 21 8 10 3" xfId="26384" xr:uid="{00000000-0005-0000-0000-000007670000}"/>
    <cellStyle name="Normal 3 21 8 11" xfId="26385" xr:uid="{00000000-0005-0000-0000-000008670000}"/>
    <cellStyle name="Normal 3 21 8 11 2" xfId="26386" xr:uid="{00000000-0005-0000-0000-000009670000}"/>
    <cellStyle name="Normal 3 21 8 11 3" xfId="26387" xr:uid="{00000000-0005-0000-0000-00000A670000}"/>
    <cellStyle name="Normal 3 21 8 12" xfId="26388" xr:uid="{00000000-0005-0000-0000-00000B670000}"/>
    <cellStyle name="Normal 3 21 8 12 2" xfId="26389" xr:uid="{00000000-0005-0000-0000-00000C670000}"/>
    <cellStyle name="Normal 3 21 8 12 3" xfId="26390" xr:uid="{00000000-0005-0000-0000-00000D670000}"/>
    <cellStyle name="Normal 3 21 8 13" xfId="26391" xr:uid="{00000000-0005-0000-0000-00000E670000}"/>
    <cellStyle name="Normal 3 21 8 13 2" xfId="26392" xr:uid="{00000000-0005-0000-0000-00000F670000}"/>
    <cellStyle name="Normal 3 21 8 13 3" xfId="26393" xr:uid="{00000000-0005-0000-0000-000010670000}"/>
    <cellStyle name="Normal 3 21 8 14" xfId="26394" xr:uid="{00000000-0005-0000-0000-000011670000}"/>
    <cellStyle name="Normal 3 21 8 14 2" xfId="26395" xr:uid="{00000000-0005-0000-0000-000012670000}"/>
    <cellStyle name="Normal 3 21 8 14 3" xfId="26396" xr:uid="{00000000-0005-0000-0000-000013670000}"/>
    <cellStyle name="Normal 3 21 8 15" xfId="26397" xr:uid="{00000000-0005-0000-0000-000014670000}"/>
    <cellStyle name="Normal 3 21 8 15 2" xfId="26398" xr:uid="{00000000-0005-0000-0000-000015670000}"/>
    <cellStyle name="Normal 3 21 8 15 3" xfId="26399" xr:uid="{00000000-0005-0000-0000-000016670000}"/>
    <cellStyle name="Normal 3 21 8 16" xfId="26400" xr:uid="{00000000-0005-0000-0000-000017670000}"/>
    <cellStyle name="Normal 3 21 8 17" xfId="26401" xr:uid="{00000000-0005-0000-0000-000018670000}"/>
    <cellStyle name="Normal 3 21 8 2" xfId="26402" xr:uid="{00000000-0005-0000-0000-000019670000}"/>
    <cellStyle name="Normal 3 21 8 2 10" xfId="26403" xr:uid="{00000000-0005-0000-0000-00001A670000}"/>
    <cellStyle name="Normal 3 21 8 2 10 2" xfId="26404" xr:uid="{00000000-0005-0000-0000-00001B670000}"/>
    <cellStyle name="Normal 3 21 8 2 10 3" xfId="26405" xr:uid="{00000000-0005-0000-0000-00001C670000}"/>
    <cellStyle name="Normal 3 21 8 2 11" xfId="26406" xr:uid="{00000000-0005-0000-0000-00001D670000}"/>
    <cellStyle name="Normal 3 21 8 2 11 2" xfId="26407" xr:uid="{00000000-0005-0000-0000-00001E670000}"/>
    <cellStyle name="Normal 3 21 8 2 11 3" xfId="26408" xr:uid="{00000000-0005-0000-0000-00001F670000}"/>
    <cellStyle name="Normal 3 21 8 2 12" xfId="26409" xr:uid="{00000000-0005-0000-0000-000020670000}"/>
    <cellStyle name="Normal 3 21 8 2 12 2" xfId="26410" xr:uid="{00000000-0005-0000-0000-000021670000}"/>
    <cellStyle name="Normal 3 21 8 2 12 3" xfId="26411" xr:uid="{00000000-0005-0000-0000-000022670000}"/>
    <cellStyle name="Normal 3 21 8 2 13" xfId="26412" xr:uid="{00000000-0005-0000-0000-000023670000}"/>
    <cellStyle name="Normal 3 21 8 2 13 2" xfId="26413" xr:uid="{00000000-0005-0000-0000-000024670000}"/>
    <cellStyle name="Normal 3 21 8 2 13 3" xfId="26414" xr:uid="{00000000-0005-0000-0000-000025670000}"/>
    <cellStyle name="Normal 3 21 8 2 14" xfId="26415" xr:uid="{00000000-0005-0000-0000-000026670000}"/>
    <cellStyle name="Normal 3 21 8 2 14 2" xfId="26416" xr:uid="{00000000-0005-0000-0000-000027670000}"/>
    <cellStyle name="Normal 3 21 8 2 14 3" xfId="26417" xr:uid="{00000000-0005-0000-0000-000028670000}"/>
    <cellStyle name="Normal 3 21 8 2 15" xfId="26418" xr:uid="{00000000-0005-0000-0000-000029670000}"/>
    <cellStyle name="Normal 3 21 8 2 16" xfId="26419" xr:uid="{00000000-0005-0000-0000-00002A670000}"/>
    <cellStyle name="Normal 3 21 8 2 2" xfId="26420" xr:uid="{00000000-0005-0000-0000-00002B670000}"/>
    <cellStyle name="Normal 3 21 8 2 2 2" xfId="26421" xr:uid="{00000000-0005-0000-0000-00002C670000}"/>
    <cellStyle name="Normal 3 21 8 2 2 3" xfId="26422" xr:uid="{00000000-0005-0000-0000-00002D670000}"/>
    <cellStyle name="Normal 3 21 8 2 3" xfId="26423" xr:uid="{00000000-0005-0000-0000-00002E670000}"/>
    <cellStyle name="Normal 3 21 8 2 3 2" xfId="26424" xr:uid="{00000000-0005-0000-0000-00002F670000}"/>
    <cellStyle name="Normal 3 21 8 2 3 3" xfId="26425" xr:uid="{00000000-0005-0000-0000-000030670000}"/>
    <cellStyle name="Normal 3 21 8 2 4" xfId="26426" xr:uid="{00000000-0005-0000-0000-000031670000}"/>
    <cellStyle name="Normal 3 21 8 2 4 2" xfId="26427" xr:uid="{00000000-0005-0000-0000-000032670000}"/>
    <cellStyle name="Normal 3 21 8 2 4 3" xfId="26428" xr:uid="{00000000-0005-0000-0000-000033670000}"/>
    <cellStyle name="Normal 3 21 8 2 5" xfId="26429" xr:uid="{00000000-0005-0000-0000-000034670000}"/>
    <cellStyle name="Normal 3 21 8 2 5 2" xfId="26430" xr:uid="{00000000-0005-0000-0000-000035670000}"/>
    <cellStyle name="Normal 3 21 8 2 5 3" xfId="26431" xr:uid="{00000000-0005-0000-0000-000036670000}"/>
    <cellStyle name="Normal 3 21 8 2 6" xfId="26432" xr:uid="{00000000-0005-0000-0000-000037670000}"/>
    <cellStyle name="Normal 3 21 8 2 6 2" xfId="26433" xr:uid="{00000000-0005-0000-0000-000038670000}"/>
    <cellStyle name="Normal 3 21 8 2 6 3" xfId="26434" xr:uid="{00000000-0005-0000-0000-000039670000}"/>
    <cellStyle name="Normal 3 21 8 2 7" xfId="26435" xr:uid="{00000000-0005-0000-0000-00003A670000}"/>
    <cellStyle name="Normal 3 21 8 2 7 2" xfId="26436" xr:uid="{00000000-0005-0000-0000-00003B670000}"/>
    <cellStyle name="Normal 3 21 8 2 7 3" xfId="26437" xr:uid="{00000000-0005-0000-0000-00003C670000}"/>
    <cellStyle name="Normal 3 21 8 2 8" xfId="26438" xr:uid="{00000000-0005-0000-0000-00003D670000}"/>
    <cellStyle name="Normal 3 21 8 2 8 2" xfId="26439" xr:uid="{00000000-0005-0000-0000-00003E670000}"/>
    <cellStyle name="Normal 3 21 8 2 8 3" xfId="26440" xr:uid="{00000000-0005-0000-0000-00003F670000}"/>
    <cellStyle name="Normal 3 21 8 2 9" xfId="26441" xr:uid="{00000000-0005-0000-0000-000040670000}"/>
    <cellStyle name="Normal 3 21 8 2 9 2" xfId="26442" xr:uid="{00000000-0005-0000-0000-000041670000}"/>
    <cellStyle name="Normal 3 21 8 2 9 3" xfId="26443" xr:uid="{00000000-0005-0000-0000-000042670000}"/>
    <cellStyle name="Normal 3 21 8 3" xfId="26444" xr:uid="{00000000-0005-0000-0000-000043670000}"/>
    <cellStyle name="Normal 3 21 8 3 2" xfId="26445" xr:uid="{00000000-0005-0000-0000-000044670000}"/>
    <cellStyle name="Normal 3 21 8 3 3" xfId="26446" xr:uid="{00000000-0005-0000-0000-000045670000}"/>
    <cellStyle name="Normal 3 21 8 4" xfId="26447" xr:uid="{00000000-0005-0000-0000-000046670000}"/>
    <cellStyle name="Normal 3 21 8 4 2" xfId="26448" xr:uid="{00000000-0005-0000-0000-000047670000}"/>
    <cellStyle name="Normal 3 21 8 4 3" xfId="26449" xr:uid="{00000000-0005-0000-0000-000048670000}"/>
    <cellStyle name="Normal 3 21 8 5" xfId="26450" xr:uid="{00000000-0005-0000-0000-000049670000}"/>
    <cellStyle name="Normal 3 21 8 5 2" xfId="26451" xr:uid="{00000000-0005-0000-0000-00004A670000}"/>
    <cellStyle name="Normal 3 21 8 5 3" xfId="26452" xr:uid="{00000000-0005-0000-0000-00004B670000}"/>
    <cellStyle name="Normal 3 21 8 6" xfId="26453" xr:uid="{00000000-0005-0000-0000-00004C670000}"/>
    <cellStyle name="Normal 3 21 8 6 2" xfId="26454" xr:uid="{00000000-0005-0000-0000-00004D670000}"/>
    <cellStyle name="Normal 3 21 8 6 3" xfId="26455" xr:uid="{00000000-0005-0000-0000-00004E670000}"/>
    <cellStyle name="Normal 3 21 8 7" xfId="26456" xr:uid="{00000000-0005-0000-0000-00004F670000}"/>
    <cellStyle name="Normal 3 21 8 7 2" xfId="26457" xr:uid="{00000000-0005-0000-0000-000050670000}"/>
    <cellStyle name="Normal 3 21 8 7 3" xfId="26458" xr:uid="{00000000-0005-0000-0000-000051670000}"/>
    <cellStyle name="Normal 3 21 8 8" xfId="26459" xr:uid="{00000000-0005-0000-0000-000052670000}"/>
    <cellStyle name="Normal 3 21 8 8 2" xfId="26460" xr:uid="{00000000-0005-0000-0000-000053670000}"/>
    <cellStyle name="Normal 3 21 8 8 3" xfId="26461" xr:uid="{00000000-0005-0000-0000-000054670000}"/>
    <cellStyle name="Normal 3 21 8 9" xfId="26462" xr:uid="{00000000-0005-0000-0000-000055670000}"/>
    <cellStyle name="Normal 3 21 8 9 2" xfId="26463" xr:uid="{00000000-0005-0000-0000-000056670000}"/>
    <cellStyle name="Normal 3 21 8 9 3" xfId="26464" xr:uid="{00000000-0005-0000-0000-000057670000}"/>
    <cellStyle name="Normal 3 21 9" xfId="26465" xr:uid="{00000000-0005-0000-0000-000058670000}"/>
    <cellStyle name="Normal 3 21 9 10" xfId="26466" xr:uid="{00000000-0005-0000-0000-000059670000}"/>
    <cellStyle name="Normal 3 21 9 10 2" xfId="26467" xr:uid="{00000000-0005-0000-0000-00005A670000}"/>
    <cellStyle name="Normal 3 21 9 10 3" xfId="26468" xr:uid="{00000000-0005-0000-0000-00005B670000}"/>
    <cellStyle name="Normal 3 21 9 11" xfId="26469" xr:uid="{00000000-0005-0000-0000-00005C670000}"/>
    <cellStyle name="Normal 3 21 9 11 2" xfId="26470" xr:uid="{00000000-0005-0000-0000-00005D670000}"/>
    <cellStyle name="Normal 3 21 9 11 3" xfId="26471" xr:uid="{00000000-0005-0000-0000-00005E670000}"/>
    <cellStyle name="Normal 3 21 9 12" xfId="26472" xr:uid="{00000000-0005-0000-0000-00005F670000}"/>
    <cellStyle name="Normal 3 21 9 12 2" xfId="26473" xr:uid="{00000000-0005-0000-0000-000060670000}"/>
    <cellStyle name="Normal 3 21 9 12 3" xfId="26474" xr:uid="{00000000-0005-0000-0000-000061670000}"/>
    <cellStyle name="Normal 3 21 9 13" xfId="26475" xr:uid="{00000000-0005-0000-0000-000062670000}"/>
    <cellStyle name="Normal 3 21 9 13 2" xfId="26476" xr:uid="{00000000-0005-0000-0000-000063670000}"/>
    <cellStyle name="Normal 3 21 9 13 3" xfId="26477" xr:uid="{00000000-0005-0000-0000-000064670000}"/>
    <cellStyle name="Normal 3 21 9 14" xfId="26478" xr:uid="{00000000-0005-0000-0000-000065670000}"/>
    <cellStyle name="Normal 3 21 9 14 2" xfId="26479" xr:uid="{00000000-0005-0000-0000-000066670000}"/>
    <cellStyle name="Normal 3 21 9 14 3" xfId="26480" xr:uid="{00000000-0005-0000-0000-000067670000}"/>
    <cellStyle name="Normal 3 21 9 15" xfId="26481" xr:uid="{00000000-0005-0000-0000-000068670000}"/>
    <cellStyle name="Normal 3 21 9 16" xfId="26482" xr:uid="{00000000-0005-0000-0000-000069670000}"/>
    <cellStyle name="Normal 3 21 9 2" xfId="26483" xr:uid="{00000000-0005-0000-0000-00006A670000}"/>
    <cellStyle name="Normal 3 21 9 2 2" xfId="26484" xr:uid="{00000000-0005-0000-0000-00006B670000}"/>
    <cellStyle name="Normal 3 21 9 2 3" xfId="26485" xr:uid="{00000000-0005-0000-0000-00006C670000}"/>
    <cellStyle name="Normal 3 21 9 3" xfId="26486" xr:uid="{00000000-0005-0000-0000-00006D670000}"/>
    <cellStyle name="Normal 3 21 9 3 2" xfId="26487" xr:uid="{00000000-0005-0000-0000-00006E670000}"/>
    <cellStyle name="Normal 3 21 9 3 3" xfId="26488" xr:uid="{00000000-0005-0000-0000-00006F670000}"/>
    <cellStyle name="Normal 3 21 9 4" xfId="26489" xr:uid="{00000000-0005-0000-0000-000070670000}"/>
    <cellStyle name="Normal 3 21 9 4 2" xfId="26490" xr:uid="{00000000-0005-0000-0000-000071670000}"/>
    <cellStyle name="Normal 3 21 9 4 3" xfId="26491" xr:uid="{00000000-0005-0000-0000-000072670000}"/>
    <cellStyle name="Normal 3 21 9 5" xfId="26492" xr:uid="{00000000-0005-0000-0000-000073670000}"/>
    <cellStyle name="Normal 3 21 9 5 2" xfId="26493" xr:uid="{00000000-0005-0000-0000-000074670000}"/>
    <cellStyle name="Normal 3 21 9 5 3" xfId="26494" xr:uid="{00000000-0005-0000-0000-000075670000}"/>
    <cellStyle name="Normal 3 21 9 6" xfId="26495" xr:uid="{00000000-0005-0000-0000-000076670000}"/>
    <cellStyle name="Normal 3 21 9 6 2" xfId="26496" xr:uid="{00000000-0005-0000-0000-000077670000}"/>
    <cellStyle name="Normal 3 21 9 6 3" xfId="26497" xr:uid="{00000000-0005-0000-0000-000078670000}"/>
    <cellStyle name="Normal 3 21 9 7" xfId="26498" xr:uid="{00000000-0005-0000-0000-000079670000}"/>
    <cellStyle name="Normal 3 21 9 7 2" xfId="26499" xr:uid="{00000000-0005-0000-0000-00007A670000}"/>
    <cellStyle name="Normal 3 21 9 7 3" xfId="26500" xr:uid="{00000000-0005-0000-0000-00007B670000}"/>
    <cellStyle name="Normal 3 21 9 8" xfId="26501" xr:uid="{00000000-0005-0000-0000-00007C670000}"/>
    <cellStyle name="Normal 3 21 9 8 2" xfId="26502" xr:uid="{00000000-0005-0000-0000-00007D670000}"/>
    <cellStyle name="Normal 3 21 9 8 3" xfId="26503" xr:uid="{00000000-0005-0000-0000-00007E670000}"/>
    <cellStyle name="Normal 3 21 9 9" xfId="26504" xr:uid="{00000000-0005-0000-0000-00007F670000}"/>
    <cellStyle name="Normal 3 21 9 9 2" xfId="26505" xr:uid="{00000000-0005-0000-0000-000080670000}"/>
    <cellStyle name="Normal 3 21 9 9 3" xfId="26506" xr:uid="{00000000-0005-0000-0000-000081670000}"/>
    <cellStyle name="Normal 3 22" xfId="26507" xr:uid="{00000000-0005-0000-0000-000082670000}"/>
    <cellStyle name="Normal 3 22 10" xfId="26508" xr:uid="{00000000-0005-0000-0000-000083670000}"/>
    <cellStyle name="Normal 3 22 10 10" xfId="26509" xr:uid="{00000000-0005-0000-0000-000084670000}"/>
    <cellStyle name="Normal 3 22 10 10 2" xfId="26510" xr:uid="{00000000-0005-0000-0000-000085670000}"/>
    <cellStyle name="Normal 3 22 10 10 3" xfId="26511" xr:uid="{00000000-0005-0000-0000-000086670000}"/>
    <cellStyle name="Normal 3 22 10 11" xfId="26512" xr:uid="{00000000-0005-0000-0000-000087670000}"/>
    <cellStyle name="Normal 3 22 10 11 2" xfId="26513" xr:uid="{00000000-0005-0000-0000-000088670000}"/>
    <cellStyle name="Normal 3 22 10 11 3" xfId="26514" xr:uid="{00000000-0005-0000-0000-000089670000}"/>
    <cellStyle name="Normal 3 22 10 12" xfId="26515" xr:uid="{00000000-0005-0000-0000-00008A670000}"/>
    <cellStyle name="Normal 3 22 10 12 2" xfId="26516" xr:uid="{00000000-0005-0000-0000-00008B670000}"/>
    <cellStyle name="Normal 3 22 10 12 3" xfId="26517" xr:uid="{00000000-0005-0000-0000-00008C670000}"/>
    <cellStyle name="Normal 3 22 10 13" xfId="26518" xr:uid="{00000000-0005-0000-0000-00008D670000}"/>
    <cellStyle name="Normal 3 22 10 13 2" xfId="26519" xr:uid="{00000000-0005-0000-0000-00008E670000}"/>
    <cellStyle name="Normal 3 22 10 13 3" xfId="26520" xr:uid="{00000000-0005-0000-0000-00008F670000}"/>
    <cellStyle name="Normal 3 22 10 14" xfId="26521" xr:uid="{00000000-0005-0000-0000-000090670000}"/>
    <cellStyle name="Normal 3 22 10 14 2" xfId="26522" xr:uid="{00000000-0005-0000-0000-000091670000}"/>
    <cellStyle name="Normal 3 22 10 14 3" xfId="26523" xr:uid="{00000000-0005-0000-0000-000092670000}"/>
    <cellStyle name="Normal 3 22 10 15" xfId="26524" xr:uid="{00000000-0005-0000-0000-000093670000}"/>
    <cellStyle name="Normal 3 22 10 16" xfId="26525" xr:uid="{00000000-0005-0000-0000-000094670000}"/>
    <cellStyle name="Normal 3 22 10 2" xfId="26526" xr:uid="{00000000-0005-0000-0000-000095670000}"/>
    <cellStyle name="Normal 3 22 10 2 2" xfId="26527" xr:uid="{00000000-0005-0000-0000-000096670000}"/>
    <cellStyle name="Normal 3 22 10 2 3" xfId="26528" xr:uid="{00000000-0005-0000-0000-000097670000}"/>
    <cellStyle name="Normal 3 22 10 3" xfId="26529" xr:uid="{00000000-0005-0000-0000-000098670000}"/>
    <cellStyle name="Normal 3 22 10 3 2" xfId="26530" xr:uid="{00000000-0005-0000-0000-000099670000}"/>
    <cellStyle name="Normal 3 22 10 3 3" xfId="26531" xr:uid="{00000000-0005-0000-0000-00009A670000}"/>
    <cellStyle name="Normal 3 22 10 4" xfId="26532" xr:uid="{00000000-0005-0000-0000-00009B670000}"/>
    <cellStyle name="Normal 3 22 10 4 2" xfId="26533" xr:uid="{00000000-0005-0000-0000-00009C670000}"/>
    <cellStyle name="Normal 3 22 10 4 3" xfId="26534" xr:uid="{00000000-0005-0000-0000-00009D670000}"/>
    <cellStyle name="Normal 3 22 10 5" xfId="26535" xr:uid="{00000000-0005-0000-0000-00009E670000}"/>
    <cellStyle name="Normal 3 22 10 5 2" xfId="26536" xr:uid="{00000000-0005-0000-0000-00009F670000}"/>
    <cellStyle name="Normal 3 22 10 5 3" xfId="26537" xr:uid="{00000000-0005-0000-0000-0000A0670000}"/>
    <cellStyle name="Normal 3 22 10 6" xfId="26538" xr:uid="{00000000-0005-0000-0000-0000A1670000}"/>
    <cellStyle name="Normal 3 22 10 6 2" xfId="26539" xr:uid="{00000000-0005-0000-0000-0000A2670000}"/>
    <cellStyle name="Normal 3 22 10 6 3" xfId="26540" xr:uid="{00000000-0005-0000-0000-0000A3670000}"/>
    <cellStyle name="Normal 3 22 10 7" xfId="26541" xr:uid="{00000000-0005-0000-0000-0000A4670000}"/>
    <cellStyle name="Normal 3 22 10 7 2" xfId="26542" xr:uid="{00000000-0005-0000-0000-0000A5670000}"/>
    <cellStyle name="Normal 3 22 10 7 3" xfId="26543" xr:uid="{00000000-0005-0000-0000-0000A6670000}"/>
    <cellStyle name="Normal 3 22 10 8" xfId="26544" xr:uid="{00000000-0005-0000-0000-0000A7670000}"/>
    <cellStyle name="Normal 3 22 10 8 2" xfId="26545" xr:uid="{00000000-0005-0000-0000-0000A8670000}"/>
    <cellStyle name="Normal 3 22 10 8 3" xfId="26546" xr:uid="{00000000-0005-0000-0000-0000A9670000}"/>
    <cellStyle name="Normal 3 22 10 9" xfId="26547" xr:uid="{00000000-0005-0000-0000-0000AA670000}"/>
    <cellStyle name="Normal 3 22 10 9 2" xfId="26548" xr:uid="{00000000-0005-0000-0000-0000AB670000}"/>
    <cellStyle name="Normal 3 22 10 9 3" xfId="26549" xr:uid="{00000000-0005-0000-0000-0000AC670000}"/>
    <cellStyle name="Normal 3 22 11" xfId="26550" xr:uid="{00000000-0005-0000-0000-0000AD670000}"/>
    <cellStyle name="Normal 3 22 11 10" xfId="26551" xr:uid="{00000000-0005-0000-0000-0000AE670000}"/>
    <cellStyle name="Normal 3 22 11 10 2" xfId="26552" xr:uid="{00000000-0005-0000-0000-0000AF670000}"/>
    <cellStyle name="Normal 3 22 11 10 3" xfId="26553" xr:uid="{00000000-0005-0000-0000-0000B0670000}"/>
    <cellStyle name="Normal 3 22 11 11" xfId="26554" xr:uid="{00000000-0005-0000-0000-0000B1670000}"/>
    <cellStyle name="Normal 3 22 11 11 2" xfId="26555" xr:uid="{00000000-0005-0000-0000-0000B2670000}"/>
    <cellStyle name="Normal 3 22 11 11 3" xfId="26556" xr:uid="{00000000-0005-0000-0000-0000B3670000}"/>
    <cellStyle name="Normal 3 22 11 12" xfId="26557" xr:uid="{00000000-0005-0000-0000-0000B4670000}"/>
    <cellStyle name="Normal 3 22 11 12 2" xfId="26558" xr:uid="{00000000-0005-0000-0000-0000B5670000}"/>
    <cellStyle name="Normal 3 22 11 12 3" xfId="26559" xr:uid="{00000000-0005-0000-0000-0000B6670000}"/>
    <cellStyle name="Normal 3 22 11 13" xfId="26560" xr:uid="{00000000-0005-0000-0000-0000B7670000}"/>
    <cellStyle name="Normal 3 22 11 13 2" xfId="26561" xr:uid="{00000000-0005-0000-0000-0000B8670000}"/>
    <cellStyle name="Normal 3 22 11 13 3" xfId="26562" xr:uid="{00000000-0005-0000-0000-0000B9670000}"/>
    <cellStyle name="Normal 3 22 11 14" xfId="26563" xr:uid="{00000000-0005-0000-0000-0000BA670000}"/>
    <cellStyle name="Normal 3 22 11 14 2" xfId="26564" xr:uid="{00000000-0005-0000-0000-0000BB670000}"/>
    <cellStyle name="Normal 3 22 11 14 3" xfId="26565" xr:uid="{00000000-0005-0000-0000-0000BC670000}"/>
    <cellStyle name="Normal 3 22 11 15" xfId="26566" xr:uid="{00000000-0005-0000-0000-0000BD670000}"/>
    <cellStyle name="Normal 3 22 11 16" xfId="26567" xr:uid="{00000000-0005-0000-0000-0000BE670000}"/>
    <cellStyle name="Normal 3 22 11 2" xfId="26568" xr:uid="{00000000-0005-0000-0000-0000BF670000}"/>
    <cellStyle name="Normal 3 22 11 2 2" xfId="26569" xr:uid="{00000000-0005-0000-0000-0000C0670000}"/>
    <cellStyle name="Normal 3 22 11 2 3" xfId="26570" xr:uid="{00000000-0005-0000-0000-0000C1670000}"/>
    <cellStyle name="Normal 3 22 11 3" xfId="26571" xr:uid="{00000000-0005-0000-0000-0000C2670000}"/>
    <cellStyle name="Normal 3 22 11 3 2" xfId="26572" xr:uid="{00000000-0005-0000-0000-0000C3670000}"/>
    <cellStyle name="Normal 3 22 11 3 3" xfId="26573" xr:uid="{00000000-0005-0000-0000-0000C4670000}"/>
    <cellStyle name="Normal 3 22 11 4" xfId="26574" xr:uid="{00000000-0005-0000-0000-0000C5670000}"/>
    <cellStyle name="Normal 3 22 11 4 2" xfId="26575" xr:uid="{00000000-0005-0000-0000-0000C6670000}"/>
    <cellStyle name="Normal 3 22 11 4 3" xfId="26576" xr:uid="{00000000-0005-0000-0000-0000C7670000}"/>
    <cellStyle name="Normal 3 22 11 5" xfId="26577" xr:uid="{00000000-0005-0000-0000-0000C8670000}"/>
    <cellStyle name="Normal 3 22 11 5 2" xfId="26578" xr:uid="{00000000-0005-0000-0000-0000C9670000}"/>
    <cellStyle name="Normal 3 22 11 5 3" xfId="26579" xr:uid="{00000000-0005-0000-0000-0000CA670000}"/>
    <cellStyle name="Normal 3 22 11 6" xfId="26580" xr:uid="{00000000-0005-0000-0000-0000CB670000}"/>
    <cellStyle name="Normal 3 22 11 6 2" xfId="26581" xr:uid="{00000000-0005-0000-0000-0000CC670000}"/>
    <cellStyle name="Normal 3 22 11 6 3" xfId="26582" xr:uid="{00000000-0005-0000-0000-0000CD670000}"/>
    <cellStyle name="Normal 3 22 11 7" xfId="26583" xr:uid="{00000000-0005-0000-0000-0000CE670000}"/>
    <cellStyle name="Normal 3 22 11 7 2" xfId="26584" xr:uid="{00000000-0005-0000-0000-0000CF670000}"/>
    <cellStyle name="Normal 3 22 11 7 3" xfId="26585" xr:uid="{00000000-0005-0000-0000-0000D0670000}"/>
    <cellStyle name="Normal 3 22 11 8" xfId="26586" xr:uid="{00000000-0005-0000-0000-0000D1670000}"/>
    <cellStyle name="Normal 3 22 11 8 2" xfId="26587" xr:uid="{00000000-0005-0000-0000-0000D2670000}"/>
    <cellStyle name="Normal 3 22 11 8 3" xfId="26588" xr:uid="{00000000-0005-0000-0000-0000D3670000}"/>
    <cellStyle name="Normal 3 22 11 9" xfId="26589" xr:uid="{00000000-0005-0000-0000-0000D4670000}"/>
    <cellStyle name="Normal 3 22 11 9 2" xfId="26590" xr:uid="{00000000-0005-0000-0000-0000D5670000}"/>
    <cellStyle name="Normal 3 22 11 9 3" xfId="26591" xr:uid="{00000000-0005-0000-0000-0000D6670000}"/>
    <cellStyle name="Normal 3 22 12" xfId="26592" xr:uid="{00000000-0005-0000-0000-0000D7670000}"/>
    <cellStyle name="Normal 3 22 12 10" xfId="26593" xr:uid="{00000000-0005-0000-0000-0000D8670000}"/>
    <cellStyle name="Normal 3 22 12 10 2" xfId="26594" xr:uid="{00000000-0005-0000-0000-0000D9670000}"/>
    <cellStyle name="Normal 3 22 12 10 3" xfId="26595" xr:uid="{00000000-0005-0000-0000-0000DA670000}"/>
    <cellStyle name="Normal 3 22 12 11" xfId="26596" xr:uid="{00000000-0005-0000-0000-0000DB670000}"/>
    <cellStyle name="Normal 3 22 12 11 2" xfId="26597" xr:uid="{00000000-0005-0000-0000-0000DC670000}"/>
    <cellStyle name="Normal 3 22 12 11 3" xfId="26598" xr:uid="{00000000-0005-0000-0000-0000DD670000}"/>
    <cellStyle name="Normal 3 22 12 12" xfId="26599" xr:uid="{00000000-0005-0000-0000-0000DE670000}"/>
    <cellStyle name="Normal 3 22 12 12 2" xfId="26600" xr:uid="{00000000-0005-0000-0000-0000DF670000}"/>
    <cellStyle name="Normal 3 22 12 12 3" xfId="26601" xr:uid="{00000000-0005-0000-0000-0000E0670000}"/>
    <cellStyle name="Normal 3 22 12 13" xfId="26602" xr:uid="{00000000-0005-0000-0000-0000E1670000}"/>
    <cellStyle name="Normal 3 22 12 13 2" xfId="26603" xr:uid="{00000000-0005-0000-0000-0000E2670000}"/>
    <cellStyle name="Normal 3 22 12 13 3" xfId="26604" xr:uid="{00000000-0005-0000-0000-0000E3670000}"/>
    <cellStyle name="Normal 3 22 12 14" xfId="26605" xr:uid="{00000000-0005-0000-0000-0000E4670000}"/>
    <cellStyle name="Normal 3 22 12 14 2" xfId="26606" xr:uid="{00000000-0005-0000-0000-0000E5670000}"/>
    <cellStyle name="Normal 3 22 12 14 3" xfId="26607" xr:uid="{00000000-0005-0000-0000-0000E6670000}"/>
    <cellStyle name="Normal 3 22 12 15" xfId="26608" xr:uid="{00000000-0005-0000-0000-0000E7670000}"/>
    <cellStyle name="Normal 3 22 12 16" xfId="26609" xr:uid="{00000000-0005-0000-0000-0000E8670000}"/>
    <cellStyle name="Normal 3 22 12 2" xfId="26610" xr:uid="{00000000-0005-0000-0000-0000E9670000}"/>
    <cellStyle name="Normal 3 22 12 2 2" xfId="26611" xr:uid="{00000000-0005-0000-0000-0000EA670000}"/>
    <cellStyle name="Normal 3 22 12 2 3" xfId="26612" xr:uid="{00000000-0005-0000-0000-0000EB670000}"/>
    <cellStyle name="Normal 3 22 12 3" xfId="26613" xr:uid="{00000000-0005-0000-0000-0000EC670000}"/>
    <cellStyle name="Normal 3 22 12 3 2" xfId="26614" xr:uid="{00000000-0005-0000-0000-0000ED670000}"/>
    <cellStyle name="Normal 3 22 12 3 3" xfId="26615" xr:uid="{00000000-0005-0000-0000-0000EE670000}"/>
    <cellStyle name="Normal 3 22 12 4" xfId="26616" xr:uid="{00000000-0005-0000-0000-0000EF670000}"/>
    <cellStyle name="Normal 3 22 12 4 2" xfId="26617" xr:uid="{00000000-0005-0000-0000-0000F0670000}"/>
    <cellStyle name="Normal 3 22 12 4 3" xfId="26618" xr:uid="{00000000-0005-0000-0000-0000F1670000}"/>
    <cellStyle name="Normal 3 22 12 5" xfId="26619" xr:uid="{00000000-0005-0000-0000-0000F2670000}"/>
    <cellStyle name="Normal 3 22 12 5 2" xfId="26620" xr:uid="{00000000-0005-0000-0000-0000F3670000}"/>
    <cellStyle name="Normal 3 22 12 5 3" xfId="26621" xr:uid="{00000000-0005-0000-0000-0000F4670000}"/>
    <cellStyle name="Normal 3 22 12 6" xfId="26622" xr:uid="{00000000-0005-0000-0000-0000F5670000}"/>
    <cellStyle name="Normal 3 22 12 6 2" xfId="26623" xr:uid="{00000000-0005-0000-0000-0000F6670000}"/>
    <cellStyle name="Normal 3 22 12 6 3" xfId="26624" xr:uid="{00000000-0005-0000-0000-0000F7670000}"/>
    <cellStyle name="Normal 3 22 12 7" xfId="26625" xr:uid="{00000000-0005-0000-0000-0000F8670000}"/>
    <cellStyle name="Normal 3 22 12 7 2" xfId="26626" xr:uid="{00000000-0005-0000-0000-0000F9670000}"/>
    <cellStyle name="Normal 3 22 12 7 3" xfId="26627" xr:uid="{00000000-0005-0000-0000-0000FA670000}"/>
    <cellStyle name="Normal 3 22 12 8" xfId="26628" xr:uid="{00000000-0005-0000-0000-0000FB670000}"/>
    <cellStyle name="Normal 3 22 12 8 2" xfId="26629" xr:uid="{00000000-0005-0000-0000-0000FC670000}"/>
    <cellStyle name="Normal 3 22 12 8 3" xfId="26630" xr:uid="{00000000-0005-0000-0000-0000FD670000}"/>
    <cellStyle name="Normal 3 22 12 9" xfId="26631" xr:uid="{00000000-0005-0000-0000-0000FE670000}"/>
    <cellStyle name="Normal 3 22 12 9 2" xfId="26632" xr:uid="{00000000-0005-0000-0000-0000FF670000}"/>
    <cellStyle name="Normal 3 22 12 9 3" xfId="26633" xr:uid="{00000000-0005-0000-0000-000000680000}"/>
    <cellStyle name="Normal 3 22 13" xfId="26634" xr:uid="{00000000-0005-0000-0000-000001680000}"/>
    <cellStyle name="Normal 3 22 13 10" xfId="26635" xr:uid="{00000000-0005-0000-0000-000002680000}"/>
    <cellStyle name="Normal 3 22 13 10 2" xfId="26636" xr:uid="{00000000-0005-0000-0000-000003680000}"/>
    <cellStyle name="Normal 3 22 13 10 3" xfId="26637" xr:uid="{00000000-0005-0000-0000-000004680000}"/>
    <cellStyle name="Normal 3 22 13 11" xfId="26638" xr:uid="{00000000-0005-0000-0000-000005680000}"/>
    <cellStyle name="Normal 3 22 13 11 2" xfId="26639" xr:uid="{00000000-0005-0000-0000-000006680000}"/>
    <cellStyle name="Normal 3 22 13 11 3" xfId="26640" xr:uid="{00000000-0005-0000-0000-000007680000}"/>
    <cellStyle name="Normal 3 22 13 12" xfId="26641" xr:uid="{00000000-0005-0000-0000-000008680000}"/>
    <cellStyle name="Normal 3 22 13 12 2" xfId="26642" xr:uid="{00000000-0005-0000-0000-000009680000}"/>
    <cellStyle name="Normal 3 22 13 12 3" xfId="26643" xr:uid="{00000000-0005-0000-0000-00000A680000}"/>
    <cellStyle name="Normal 3 22 13 13" xfId="26644" xr:uid="{00000000-0005-0000-0000-00000B680000}"/>
    <cellStyle name="Normal 3 22 13 13 2" xfId="26645" xr:uid="{00000000-0005-0000-0000-00000C680000}"/>
    <cellStyle name="Normal 3 22 13 13 3" xfId="26646" xr:uid="{00000000-0005-0000-0000-00000D680000}"/>
    <cellStyle name="Normal 3 22 13 14" xfId="26647" xr:uid="{00000000-0005-0000-0000-00000E680000}"/>
    <cellStyle name="Normal 3 22 13 14 2" xfId="26648" xr:uid="{00000000-0005-0000-0000-00000F680000}"/>
    <cellStyle name="Normal 3 22 13 14 3" xfId="26649" xr:uid="{00000000-0005-0000-0000-000010680000}"/>
    <cellStyle name="Normal 3 22 13 15" xfId="26650" xr:uid="{00000000-0005-0000-0000-000011680000}"/>
    <cellStyle name="Normal 3 22 13 16" xfId="26651" xr:uid="{00000000-0005-0000-0000-000012680000}"/>
    <cellStyle name="Normal 3 22 13 2" xfId="26652" xr:uid="{00000000-0005-0000-0000-000013680000}"/>
    <cellStyle name="Normal 3 22 13 2 2" xfId="26653" xr:uid="{00000000-0005-0000-0000-000014680000}"/>
    <cellStyle name="Normal 3 22 13 2 3" xfId="26654" xr:uid="{00000000-0005-0000-0000-000015680000}"/>
    <cellStyle name="Normal 3 22 13 3" xfId="26655" xr:uid="{00000000-0005-0000-0000-000016680000}"/>
    <cellStyle name="Normal 3 22 13 3 2" xfId="26656" xr:uid="{00000000-0005-0000-0000-000017680000}"/>
    <cellStyle name="Normal 3 22 13 3 3" xfId="26657" xr:uid="{00000000-0005-0000-0000-000018680000}"/>
    <cellStyle name="Normal 3 22 13 4" xfId="26658" xr:uid="{00000000-0005-0000-0000-000019680000}"/>
    <cellStyle name="Normal 3 22 13 4 2" xfId="26659" xr:uid="{00000000-0005-0000-0000-00001A680000}"/>
    <cellStyle name="Normal 3 22 13 4 3" xfId="26660" xr:uid="{00000000-0005-0000-0000-00001B680000}"/>
    <cellStyle name="Normal 3 22 13 5" xfId="26661" xr:uid="{00000000-0005-0000-0000-00001C680000}"/>
    <cellStyle name="Normal 3 22 13 5 2" xfId="26662" xr:uid="{00000000-0005-0000-0000-00001D680000}"/>
    <cellStyle name="Normal 3 22 13 5 3" xfId="26663" xr:uid="{00000000-0005-0000-0000-00001E680000}"/>
    <cellStyle name="Normal 3 22 13 6" xfId="26664" xr:uid="{00000000-0005-0000-0000-00001F680000}"/>
    <cellStyle name="Normal 3 22 13 6 2" xfId="26665" xr:uid="{00000000-0005-0000-0000-000020680000}"/>
    <cellStyle name="Normal 3 22 13 6 3" xfId="26666" xr:uid="{00000000-0005-0000-0000-000021680000}"/>
    <cellStyle name="Normal 3 22 13 7" xfId="26667" xr:uid="{00000000-0005-0000-0000-000022680000}"/>
    <cellStyle name="Normal 3 22 13 7 2" xfId="26668" xr:uid="{00000000-0005-0000-0000-000023680000}"/>
    <cellStyle name="Normal 3 22 13 7 3" xfId="26669" xr:uid="{00000000-0005-0000-0000-000024680000}"/>
    <cellStyle name="Normal 3 22 13 8" xfId="26670" xr:uid="{00000000-0005-0000-0000-000025680000}"/>
    <cellStyle name="Normal 3 22 13 8 2" xfId="26671" xr:uid="{00000000-0005-0000-0000-000026680000}"/>
    <cellStyle name="Normal 3 22 13 8 3" xfId="26672" xr:uid="{00000000-0005-0000-0000-000027680000}"/>
    <cellStyle name="Normal 3 22 13 9" xfId="26673" xr:uid="{00000000-0005-0000-0000-000028680000}"/>
    <cellStyle name="Normal 3 22 13 9 2" xfId="26674" xr:uid="{00000000-0005-0000-0000-000029680000}"/>
    <cellStyle name="Normal 3 22 13 9 3" xfId="26675" xr:uid="{00000000-0005-0000-0000-00002A680000}"/>
    <cellStyle name="Normal 3 22 14" xfId="26676" xr:uid="{00000000-0005-0000-0000-00002B680000}"/>
    <cellStyle name="Normal 3 22 14 10" xfId="26677" xr:uid="{00000000-0005-0000-0000-00002C680000}"/>
    <cellStyle name="Normal 3 22 14 10 2" xfId="26678" xr:uid="{00000000-0005-0000-0000-00002D680000}"/>
    <cellStyle name="Normal 3 22 14 10 3" xfId="26679" xr:uid="{00000000-0005-0000-0000-00002E680000}"/>
    <cellStyle name="Normal 3 22 14 11" xfId="26680" xr:uid="{00000000-0005-0000-0000-00002F680000}"/>
    <cellStyle name="Normal 3 22 14 11 2" xfId="26681" xr:uid="{00000000-0005-0000-0000-000030680000}"/>
    <cellStyle name="Normal 3 22 14 11 3" xfId="26682" xr:uid="{00000000-0005-0000-0000-000031680000}"/>
    <cellStyle name="Normal 3 22 14 12" xfId="26683" xr:uid="{00000000-0005-0000-0000-000032680000}"/>
    <cellStyle name="Normal 3 22 14 12 2" xfId="26684" xr:uid="{00000000-0005-0000-0000-000033680000}"/>
    <cellStyle name="Normal 3 22 14 12 3" xfId="26685" xr:uid="{00000000-0005-0000-0000-000034680000}"/>
    <cellStyle name="Normal 3 22 14 13" xfId="26686" xr:uid="{00000000-0005-0000-0000-000035680000}"/>
    <cellStyle name="Normal 3 22 14 13 2" xfId="26687" xr:uid="{00000000-0005-0000-0000-000036680000}"/>
    <cellStyle name="Normal 3 22 14 13 3" xfId="26688" xr:uid="{00000000-0005-0000-0000-000037680000}"/>
    <cellStyle name="Normal 3 22 14 14" xfId="26689" xr:uid="{00000000-0005-0000-0000-000038680000}"/>
    <cellStyle name="Normal 3 22 14 14 2" xfId="26690" xr:uid="{00000000-0005-0000-0000-000039680000}"/>
    <cellStyle name="Normal 3 22 14 14 3" xfId="26691" xr:uid="{00000000-0005-0000-0000-00003A680000}"/>
    <cellStyle name="Normal 3 22 14 15" xfId="26692" xr:uid="{00000000-0005-0000-0000-00003B680000}"/>
    <cellStyle name="Normal 3 22 14 16" xfId="26693" xr:uid="{00000000-0005-0000-0000-00003C680000}"/>
    <cellStyle name="Normal 3 22 14 2" xfId="26694" xr:uid="{00000000-0005-0000-0000-00003D680000}"/>
    <cellStyle name="Normal 3 22 14 2 2" xfId="26695" xr:uid="{00000000-0005-0000-0000-00003E680000}"/>
    <cellStyle name="Normal 3 22 14 2 3" xfId="26696" xr:uid="{00000000-0005-0000-0000-00003F680000}"/>
    <cellStyle name="Normal 3 22 14 3" xfId="26697" xr:uid="{00000000-0005-0000-0000-000040680000}"/>
    <cellStyle name="Normal 3 22 14 3 2" xfId="26698" xr:uid="{00000000-0005-0000-0000-000041680000}"/>
    <cellStyle name="Normal 3 22 14 3 3" xfId="26699" xr:uid="{00000000-0005-0000-0000-000042680000}"/>
    <cellStyle name="Normal 3 22 14 4" xfId="26700" xr:uid="{00000000-0005-0000-0000-000043680000}"/>
    <cellStyle name="Normal 3 22 14 4 2" xfId="26701" xr:uid="{00000000-0005-0000-0000-000044680000}"/>
    <cellStyle name="Normal 3 22 14 4 3" xfId="26702" xr:uid="{00000000-0005-0000-0000-000045680000}"/>
    <cellStyle name="Normal 3 22 14 5" xfId="26703" xr:uid="{00000000-0005-0000-0000-000046680000}"/>
    <cellStyle name="Normal 3 22 14 5 2" xfId="26704" xr:uid="{00000000-0005-0000-0000-000047680000}"/>
    <cellStyle name="Normal 3 22 14 5 3" xfId="26705" xr:uid="{00000000-0005-0000-0000-000048680000}"/>
    <cellStyle name="Normal 3 22 14 6" xfId="26706" xr:uid="{00000000-0005-0000-0000-000049680000}"/>
    <cellStyle name="Normal 3 22 14 6 2" xfId="26707" xr:uid="{00000000-0005-0000-0000-00004A680000}"/>
    <cellStyle name="Normal 3 22 14 6 3" xfId="26708" xr:uid="{00000000-0005-0000-0000-00004B680000}"/>
    <cellStyle name="Normal 3 22 14 7" xfId="26709" xr:uid="{00000000-0005-0000-0000-00004C680000}"/>
    <cellStyle name="Normal 3 22 14 7 2" xfId="26710" xr:uid="{00000000-0005-0000-0000-00004D680000}"/>
    <cellStyle name="Normal 3 22 14 7 3" xfId="26711" xr:uid="{00000000-0005-0000-0000-00004E680000}"/>
    <cellStyle name="Normal 3 22 14 8" xfId="26712" xr:uid="{00000000-0005-0000-0000-00004F680000}"/>
    <cellStyle name="Normal 3 22 14 8 2" xfId="26713" xr:uid="{00000000-0005-0000-0000-000050680000}"/>
    <cellStyle name="Normal 3 22 14 8 3" xfId="26714" xr:uid="{00000000-0005-0000-0000-000051680000}"/>
    <cellStyle name="Normal 3 22 14 9" xfId="26715" xr:uid="{00000000-0005-0000-0000-000052680000}"/>
    <cellStyle name="Normal 3 22 14 9 2" xfId="26716" xr:uid="{00000000-0005-0000-0000-000053680000}"/>
    <cellStyle name="Normal 3 22 14 9 3" xfId="26717" xr:uid="{00000000-0005-0000-0000-000054680000}"/>
    <cellStyle name="Normal 3 22 15" xfId="26718" xr:uid="{00000000-0005-0000-0000-000055680000}"/>
    <cellStyle name="Normal 3 22 15 2" xfId="26719" xr:uid="{00000000-0005-0000-0000-000056680000}"/>
    <cellStyle name="Normal 3 22 15 3" xfId="26720" xr:uid="{00000000-0005-0000-0000-000057680000}"/>
    <cellStyle name="Normal 3 22 16" xfId="26721" xr:uid="{00000000-0005-0000-0000-000058680000}"/>
    <cellStyle name="Normal 3 22 16 2" xfId="26722" xr:uid="{00000000-0005-0000-0000-000059680000}"/>
    <cellStyle name="Normal 3 22 16 3" xfId="26723" xr:uid="{00000000-0005-0000-0000-00005A680000}"/>
    <cellStyle name="Normal 3 22 17" xfId="26724" xr:uid="{00000000-0005-0000-0000-00005B680000}"/>
    <cellStyle name="Normal 3 22 17 2" xfId="26725" xr:uid="{00000000-0005-0000-0000-00005C680000}"/>
    <cellStyle name="Normal 3 22 17 3" xfId="26726" xr:uid="{00000000-0005-0000-0000-00005D680000}"/>
    <cellStyle name="Normal 3 22 18" xfId="26727" xr:uid="{00000000-0005-0000-0000-00005E680000}"/>
    <cellStyle name="Normal 3 22 18 2" xfId="26728" xr:uid="{00000000-0005-0000-0000-00005F680000}"/>
    <cellStyle name="Normal 3 22 18 3" xfId="26729" xr:uid="{00000000-0005-0000-0000-000060680000}"/>
    <cellStyle name="Normal 3 22 19" xfId="26730" xr:uid="{00000000-0005-0000-0000-000061680000}"/>
    <cellStyle name="Normal 3 22 19 2" xfId="26731" xr:uid="{00000000-0005-0000-0000-000062680000}"/>
    <cellStyle name="Normal 3 22 19 3" xfId="26732" xr:uid="{00000000-0005-0000-0000-000063680000}"/>
    <cellStyle name="Normal 3 22 2" xfId="26733" xr:uid="{00000000-0005-0000-0000-000064680000}"/>
    <cellStyle name="Normal 3 22 20" xfId="26734" xr:uid="{00000000-0005-0000-0000-000065680000}"/>
    <cellStyle name="Normal 3 22 20 2" xfId="26735" xr:uid="{00000000-0005-0000-0000-000066680000}"/>
    <cellStyle name="Normal 3 22 20 3" xfId="26736" xr:uid="{00000000-0005-0000-0000-000067680000}"/>
    <cellStyle name="Normal 3 22 21" xfId="26737" xr:uid="{00000000-0005-0000-0000-000068680000}"/>
    <cellStyle name="Normal 3 22 21 2" xfId="26738" xr:uid="{00000000-0005-0000-0000-000069680000}"/>
    <cellStyle name="Normal 3 22 21 3" xfId="26739" xr:uid="{00000000-0005-0000-0000-00006A680000}"/>
    <cellStyle name="Normal 3 22 22" xfId="26740" xr:uid="{00000000-0005-0000-0000-00006B680000}"/>
    <cellStyle name="Normal 3 22 22 2" xfId="26741" xr:uid="{00000000-0005-0000-0000-00006C680000}"/>
    <cellStyle name="Normal 3 22 22 3" xfId="26742" xr:uid="{00000000-0005-0000-0000-00006D680000}"/>
    <cellStyle name="Normal 3 22 23" xfId="26743" xr:uid="{00000000-0005-0000-0000-00006E680000}"/>
    <cellStyle name="Normal 3 22 23 2" xfId="26744" xr:uid="{00000000-0005-0000-0000-00006F680000}"/>
    <cellStyle name="Normal 3 22 23 3" xfId="26745" xr:uid="{00000000-0005-0000-0000-000070680000}"/>
    <cellStyle name="Normal 3 22 24" xfId="26746" xr:uid="{00000000-0005-0000-0000-000071680000}"/>
    <cellStyle name="Normal 3 22 24 2" xfId="26747" xr:uid="{00000000-0005-0000-0000-000072680000}"/>
    <cellStyle name="Normal 3 22 24 3" xfId="26748" xr:uid="{00000000-0005-0000-0000-000073680000}"/>
    <cellStyle name="Normal 3 22 25" xfId="26749" xr:uid="{00000000-0005-0000-0000-000074680000}"/>
    <cellStyle name="Normal 3 22 25 2" xfId="26750" xr:uid="{00000000-0005-0000-0000-000075680000}"/>
    <cellStyle name="Normal 3 22 25 3" xfId="26751" xr:uid="{00000000-0005-0000-0000-000076680000}"/>
    <cellStyle name="Normal 3 22 26" xfId="26752" xr:uid="{00000000-0005-0000-0000-000077680000}"/>
    <cellStyle name="Normal 3 22 26 2" xfId="26753" xr:uid="{00000000-0005-0000-0000-000078680000}"/>
    <cellStyle name="Normal 3 22 26 3" xfId="26754" xr:uid="{00000000-0005-0000-0000-000079680000}"/>
    <cellStyle name="Normal 3 22 27" xfId="26755" xr:uid="{00000000-0005-0000-0000-00007A680000}"/>
    <cellStyle name="Normal 3 22 27 2" xfId="26756" xr:uid="{00000000-0005-0000-0000-00007B680000}"/>
    <cellStyle name="Normal 3 22 27 3" xfId="26757" xr:uid="{00000000-0005-0000-0000-00007C680000}"/>
    <cellStyle name="Normal 3 22 28" xfId="26758" xr:uid="{00000000-0005-0000-0000-00007D680000}"/>
    <cellStyle name="Normal 3 22 29" xfId="26759" xr:uid="{00000000-0005-0000-0000-00007E680000}"/>
    <cellStyle name="Normal 3 22 3" xfId="26760" xr:uid="{00000000-0005-0000-0000-00007F680000}"/>
    <cellStyle name="Normal 3 22 4" xfId="26761" xr:uid="{00000000-0005-0000-0000-000080680000}"/>
    <cellStyle name="Normal 3 22 5" xfId="26762" xr:uid="{00000000-0005-0000-0000-000081680000}"/>
    <cellStyle name="Normal 3 22 6" xfId="26763" xr:uid="{00000000-0005-0000-0000-000082680000}"/>
    <cellStyle name="Normal 3 22 6 10" xfId="26764" xr:uid="{00000000-0005-0000-0000-000083680000}"/>
    <cellStyle name="Normal 3 22 6 10 2" xfId="26765" xr:uid="{00000000-0005-0000-0000-000084680000}"/>
    <cellStyle name="Normal 3 22 6 10 3" xfId="26766" xr:uid="{00000000-0005-0000-0000-000085680000}"/>
    <cellStyle name="Normal 3 22 6 11" xfId="26767" xr:uid="{00000000-0005-0000-0000-000086680000}"/>
    <cellStyle name="Normal 3 22 6 11 2" xfId="26768" xr:uid="{00000000-0005-0000-0000-000087680000}"/>
    <cellStyle name="Normal 3 22 6 11 3" xfId="26769" xr:uid="{00000000-0005-0000-0000-000088680000}"/>
    <cellStyle name="Normal 3 22 6 12" xfId="26770" xr:uid="{00000000-0005-0000-0000-000089680000}"/>
    <cellStyle name="Normal 3 22 6 12 2" xfId="26771" xr:uid="{00000000-0005-0000-0000-00008A680000}"/>
    <cellStyle name="Normal 3 22 6 12 3" xfId="26772" xr:uid="{00000000-0005-0000-0000-00008B680000}"/>
    <cellStyle name="Normal 3 22 6 13" xfId="26773" xr:uid="{00000000-0005-0000-0000-00008C680000}"/>
    <cellStyle name="Normal 3 22 6 13 2" xfId="26774" xr:uid="{00000000-0005-0000-0000-00008D680000}"/>
    <cellStyle name="Normal 3 22 6 13 3" xfId="26775" xr:uid="{00000000-0005-0000-0000-00008E680000}"/>
    <cellStyle name="Normal 3 22 6 14" xfId="26776" xr:uid="{00000000-0005-0000-0000-00008F680000}"/>
    <cellStyle name="Normal 3 22 6 14 2" xfId="26777" xr:uid="{00000000-0005-0000-0000-000090680000}"/>
    <cellStyle name="Normal 3 22 6 14 3" xfId="26778" xr:uid="{00000000-0005-0000-0000-000091680000}"/>
    <cellStyle name="Normal 3 22 6 15" xfId="26779" xr:uid="{00000000-0005-0000-0000-000092680000}"/>
    <cellStyle name="Normal 3 22 6 15 2" xfId="26780" xr:uid="{00000000-0005-0000-0000-000093680000}"/>
    <cellStyle name="Normal 3 22 6 15 3" xfId="26781" xr:uid="{00000000-0005-0000-0000-000094680000}"/>
    <cellStyle name="Normal 3 22 6 16" xfId="26782" xr:uid="{00000000-0005-0000-0000-000095680000}"/>
    <cellStyle name="Normal 3 22 6 17" xfId="26783" xr:uid="{00000000-0005-0000-0000-000096680000}"/>
    <cellStyle name="Normal 3 22 6 2" xfId="26784" xr:uid="{00000000-0005-0000-0000-000097680000}"/>
    <cellStyle name="Normal 3 22 6 2 10" xfId="26785" xr:uid="{00000000-0005-0000-0000-000098680000}"/>
    <cellStyle name="Normal 3 22 6 2 10 2" xfId="26786" xr:uid="{00000000-0005-0000-0000-000099680000}"/>
    <cellStyle name="Normal 3 22 6 2 10 3" xfId="26787" xr:uid="{00000000-0005-0000-0000-00009A680000}"/>
    <cellStyle name="Normal 3 22 6 2 11" xfId="26788" xr:uid="{00000000-0005-0000-0000-00009B680000}"/>
    <cellStyle name="Normal 3 22 6 2 11 2" xfId="26789" xr:uid="{00000000-0005-0000-0000-00009C680000}"/>
    <cellStyle name="Normal 3 22 6 2 11 3" xfId="26790" xr:uid="{00000000-0005-0000-0000-00009D680000}"/>
    <cellStyle name="Normal 3 22 6 2 12" xfId="26791" xr:uid="{00000000-0005-0000-0000-00009E680000}"/>
    <cellStyle name="Normal 3 22 6 2 12 2" xfId="26792" xr:uid="{00000000-0005-0000-0000-00009F680000}"/>
    <cellStyle name="Normal 3 22 6 2 12 3" xfId="26793" xr:uid="{00000000-0005-0000-0000-0000A0680000}"/>
    <cellStyle name="Normal 3 22 6 2 13" xfId="26794" xr:uid="{00000000-0005-0000-0000-0000A1680000}"/>
    <cellStyle name="Normal 3 22 6 2 13 2" xfId="26795" xr:uid="{00000000-0005-0000-0000-0000A2680000}"/>
    <cellStyle name="Normal 3 22 6 2 13 3" xfId="26796" xr:uid="{00000000-0005-0000-0000-0000A3680000}"/>
    <cellStyle name="Normal 3 22 6 2 14" xfId="26797" xr:uid="{00000000-0005-0000-0000-0000A4680000}"/>
    <cellStyle name="Normal 3 22 6 2 14 2" xfId="26798" xr:uid="{00000000-0005-0000-0000-0000A5680000}"/>
    <cellStyle name="Normal 3 22 6 2 14 3" xfId="26799" xr:uid="{00000000-0005-0000-0000-0000A6680000}"/>
    <cellStyle name="Normal 3 22 6 2 15" xfId="26800" xr:uid="{00000000-0005-0000-0000-0000A7680000}"/>
    <cellStyle name="Normal 3 22 6 2 16" xfId="26801" xr:uid="{00000000-0005-0000-0000-0000A8680000}"/>
    <cellStyle name="Normal 3 22 6 2 2" xfId="26802" xr:uid="{00000000-0005-0000-0000-0000A9680000}"/>
    <cellStyle name="Normal 3 22 6 2 2 2" xfId="26803" xr:uid="{00000000-0005-0000-0000-0000AA680000}"/>
    <cellStyle name="Normal 3 22 6 2 2 3" xfId="26804" xr:uid="{00000000-0005-0000-0000-0000AB680000}"/>
    <cellStyle name="Normal 3 22 6 2 3" xfId="26805" xr:uid="{00000000-0005-0000-0000-0000AC680000}"/>
    <cellStyle name="Normal 3 22 6 2 3 2" xfId="26806" xr:uid="{00000000-0005-0000-0000-0000AD680000}"/>
    <cellStyle name="Normal 3 22 6 2 3 3" xfId="26807" xr:uid="{00000000-0005-0000-0000-0000AE680000}"/>
    <cellStyle name="Normal 3 22 6 2 4" xfId="26808" xr:uid="{00000000-0005-0000-0000-0000AF680000}"/>
    <cellStyle name="Normal 3 22 6 2 4 2" xfId="26809" xr:uid="{00000000-0005-0000-0000-0000B0680000}"/>
    <cellStyle name="Normal 3 22 6 2 4 3" xfId="26810" xr:uid="{00000000-0005-0000-0000-0000B1680000}"/>
    <cellStyle name="Normal 3 22 6 2 5" xfId="26811" xr:uid="{00000000-0005-0000-0000-0000B2680000}"/>
    <cellStyle name="Normal 3 22 6 2 5 2" xfId="26812" xr:uid="{00000000-0005-0000-0000-0000B3680000}"/>
    <cellStyle name="Normal 3 22 6 2 5 3" xfId="26813" xr:uid="{00000000-0005-0000-0000-0000B4680000}"/>
    <cellStyle name="Normal 3 22 6 2 6" xfId="26814" xr:uid="{00000000-0005-0000-0000-0000B5680000}"/>
    <cellStyle name="Normal 3 22 6 2 6 2" xfId="26815" xr:uid="{00000000-0005-0000-0000-0000B6680000}"/>
    <cellStyle name="Normal 3 22 6 2 6 3" xfId="26816" xr:uid="{00000000-0005-0000-0000-0000B7680000}"/>
    <cellStyle name="Normal 3 22 6 2 7" xfId="26817" xr:uid="{00000000-0005-0000-0000-0000B8680000}"/>
    <cellStyle name="Normal 3 22 6 2 7 2" xfId="26818" xr:uid="{00000000-0005-0000-0000-0000B9680000}"/>
    <cellStyle name="Normal 3 22 6 2 7 3" xfId="26819" xr:uid="{00000000-0005-0000-0000-0000BA680000}"/>
    <cellStyle name="Normal 3 22 6 2 8" xfId="26820" xr:uid="{00000000-0005-0000-0000-0000BB680000}"/>
    <cellStyle name="Normal 3 22 6 2 8 2" xfId="26821" xr:uid="{00000000-0005-0000-0000-0000BC680000}"/>
    <cellStyle name="Normal 3 22 6 2 8 3" xfId="26822" xr:uid="{00000000-0005-0000-0000-0000BD680000}"/>
    <cellStyle name="Normal 3 22 6 2 9" xfId="26823" xr:uid="{00000000-0005-0000-0000-0000BE680000}"/>
    <cellStyle name="Normal 3 22 6 2 9 2" xfId="26824" xr:uid="{00000000-0005-0000-0000-0000BF680000}"/>
    <cellStyle name="Normal 3 22 6 2 9 3" xfId="26825" xr:uid="{00000000-0005-0000-0000-0000C0680000}"/>
    <cellStyle name="Normal 3 22 6 3" xfId="26826" xr:uid="{00000000-0005-0000-0000-0000C1680000}"/>
    <cellStyle name="Normal 3 22 6 3 2" xfId="26827" xr:uid="{00000000-0005-0000-0000-0000C2680000}"/>
    <cellStyle name="Normal 3 22 6 3 3" xfId="26828" xr:uid="{00000000-0005-0000-0000-0000C3680000}"/>
    <cellStyle name="Normal 3 22 6 4" xfId="26829" xr:uid="{00000000-0005-0000-0000-0000C4680000}"/>
    <cellStyle name="Normal 3 22 6 4 2" xfId="26830" xr:uid="{00000000-0005-0000-0000-0000C5680000}"/>
    <cellStyle name="Normal 3 22 6 4 3" xfId="26831" xr:uid="{00000000-0005-0000-0000-0000C6680000}"/>
    <cellStyle name="Normal 3 22 6 5" xfId="26832" xr:uid="{00000000-0005-0000-0000-0000C7680000}"/>
    <cellStyle name="Normal 3 22 6 5 2" xfId="26833" xr:uid="{00000000-0005-0000-0000-0000C8680000}"/>
    <cellStyle name="Normal 3 22 6 5 3" xfId="26834" xr:uid="{00000000-0005-0000-0000-0000C9680000}"/>
    <cellStyle name="Normal 3 22 6 6" xfId="26835" xr:uid="{00000000-0005-0000-0000-0000CA680000}"/>
    <cellStyle name="Normal 3 22 6 6 2" xfId="26836" xr:uid="{00000000-0005-0000-0000-0000CB680000}"/>
    <cellStyle name="Normal 3 22 6 6 3" xfId="26837" xr:uid="{00000000-0005-0000-0000-0000CC680000}"/>
    <cellStyle name="Normal 3 22 6 7" xfId="26838" xr:uid="{00000000-0005-0000-0000-0000CD680000}"/>
    <cellStyle name="Normal 3 22 6 7 2" xfId="26839" xr:uid="{00000000-0005-0000-0000-0000CE680000}"/>
    <cellStyle name="Normal 3 22 6 7 3" xfId="26840" xr:uid="{00000000-0005-0000-0000-0000CF680000}"/>
    <cellStyle name="Normal 3 22 6 8" xfId="26841" xr:uid="{00000000-0005-0000-0000-0000D0680000}"/>
    <cellStyle name="Normal 3 22 6 8 2" xfId="26842" xr:uid="{00000000-0005-0000-0000-0000D1680000}"/>
    <cellStyle name="Normal 3 22 6 8 3" xfId="26843" xr:uid="{00000000-0005-0000-0000-0000D2680000}"/>
    <cellStyle name="Normal 3 22 6 9" xfId="26844" xr:uid="{00000000-0005-0000-0000-0000D3680000}"/>
    <cellStyle name="Normal 3 22 6 9 2" xfId="26845" xr:uid="{00000000-0005-0000-0000-0000D4680000}"/>
    <cellStyle name="Normal 3 22 6 9 3" xfId="26846" xr:uid="{00000000-0005-0000-0000-0000D5680000}"/>
    <cellStyle name="Normal 3 22 7" xfId="26847" xr:uid="{00000000-0005-0000-0000-0000D6680000}"/>
    <cellStyle name="Normal 3 22 7 10" xfId="26848" xr:uid="{00000000-0005-0000-0000-0000D7680000}"/>
    <cellStyle name="Normal 3 22 7 10 2" xfId="26849" xr:uid="{00000000-0005-0000-0000-0000D8680000}"/>
    <cellStyle name="Normal 3 22 7 10 3" xfId="26850" xr:uid="{00000000-0005-0000-0000-0000D9680000}"/>
    <cellStyle name="Normal 3 22 7 11" xfId="26851" xr:uid="{00000000-0005-0000-0000-0000DA680000}"/>
    <cellStyle name="Normal 3 22 7 11 2" xfId="26852" xr:uid="{00000000-0005-0000-0000-0000DB680000}"/>
    <cellStyle name="Normal 3 22 7 11 3" xfId="26853" xr:uid="{00000000-0005-0000-0000-0000DC680000}"/>
    <cellStyle name="Normal 3 22 7 12" xfId="26854" xr:uid="{00000000-0005-0000-0000-0000DD680000}"/>
    <cellStyle name="Normal 3 22 7 12 2" xfId="26855" xr:uid="{00000000-0005-0000-0000-0000DE680000}"/>
    <cellStyle name="Normal 3 22 7 12 3" xfId="26856" xr:uid="{00000000-0005-0000-0000-0000DF680000}"/>
    <cellStyle name="Normal 3 22 7 13" xfId="26857" xr:uid="{00000000-0005-0000-0000-0000E0680000}"/>
    <cellStyle name="Normal 3 22 7 13 2" xfId="26858" xr:uid="{00000000-0005-0000-0000-0000E1680000}"/>
    <cellStyle name="Normal 3 22 7 13 3" xfId="26859" xr:uid="{00000000-0005-0000-0000-0000E2680000}"/>
    <cellStyle name="Normal 3 22 7 14" xfId="26860" xr:uid="{00000000-0005-0000-0000-0000E3680000}"/>
    <cellStyle name="Normal 3 22 7 14 2" xfId="26861" xr:uid="{00000000-0005-0000-0000-0000E4680000}"/>
    <cellStyle name="Normal 3 22 7 14 3" xfId="26862" xr:uid="{00000000-0005-0000-0000-0000E5680000}"/>
    <cellStyle name="Normal 3 22 7 15" xfId="26863" xr:uid="{00000000-0005-0000-0000-0000E6680000}"/>
    <cellStyle name="Normal 3 22 7 15 2" xfId="26864" xr:uid="{00000000-0005-0000-0000-0000E7680000}"/>
    <cellStyle name="Normal 3 22 7 15 3" xfId="26865" xr:uid="{00000000-0005-0000-0000-0000E8680000}"/>
    <cellStyle name="Normal 3 22 7 16" xfId="26866" xr:uid="{00000000-0005-0000-0000-0000E9680000}"/>
    <cellStyle name="Normal 3 22 7 17" xfId="26867" xr:uid="{00000000-0005-0000-0000-0000EA680000}"/>
    <cellStyle name="Normal 3 22 7 2" xfId="26868" xr:uid="{00000000-0005-0000-0000-0000EB680000}"/>
    <cellStyle name="Normal 3 22 7 2 10" xfId="26869" xr:uid="{00000000-0005-0000-0000-0000EC680000}"/>
    <cellStyle name="Normal 3 22 7 2 10 2" xfId="26870" xr:uid="{00000000-0005-0000-0000-0000ED680000}"/>
    <cellStyle name="Normal 3 22 7 2 10 3" xfId="26871" xr:uid="{00000000-0005-0000-0000-0000EE680000}"/>
    <cellStyle name="Normal 3 22 7 2 11" xfId="26872" xr:uid="{00000000-0005-0000-0000-0000EF680000}"/>
    <cellStyle name="Normal 3 22 7 2 11 2" xfId="26873" xr:uid="{00000000-0005-0000-0000-0000F0680000}"/>
    <cellStyle name="Normal 3 22 7 2 11 3" xfId="26874" xr:uid="{00000000-0005-0000-0000-0000F1680000}"/>
    <cellStyle name="Normal 3 22 7 2 12" xfId="26875" xr:uid="{00000000-0005-0000-0000-0000F2680000}"/>
    <cellStyle name="Normal 3 22 7 2 12 2" xfId="26876" xr:uid="{00000000-0005-0000-0000-0000F3680000}"/>
    <cellStyle name="Normal 3 22 7 2 12 3" xfId="26877" xr:uid="{00000000-0005-0000-0000-0000F4680000}"/>
    <cellStyle name="Normal 3 22 7 2 13" xfId="26878" xr:uid="{00000000-0005-0000-0000-0000F5680000}"/>
    <cellStyle name="Normal 3 22 7 2 13 2" xfId="26879" xr:uid="{00000000-0005-0000-0000-0000F6680000}"/>
    <cellStyle name="Normal 3 22 7 2 13 3" xfId="26880" xr:uid="{00000000-0005-0000-0000-0000F7680000}"/>
    <cellStyle name="Normal 3 22 7 2 14" xfId="26881" xr:uid="{00000000-0005-0000-0000-0000F8680000}"/>
    <cellStyle name="Normal 3 22 7 2 14 2" xfId="26882" xr:uid="{00000000-0005-0000-0000-0000F9680000}"/>
    <cellStyle name="Normal 3 22 7 2 14 3" xfId="26883" xr:uid="{00000000-0005-0000-0000-0000FA680000}"/>
    <cellStyle name="Normal 3 22 7 2 15" xfId="26884" xr:uid="{00000000-0005-0000-0000-0000FB680000}"/>
    <cellStyle name="Normal 3 22 7 2 16" xfId="26885" xr:uid="{00000000-0005-0000-0000-0000FC680000}"/>
    <cellStyle name="Normal 3 22 7 2 2" xfId="26886" xr:uid="{00000000-0005-0000-0000-0000FD680000}"/>
    <cellStyle name="Normal 3 22 7 2 2 2" xfId="26887" xr:uid="{00000000-0005-0000-0000-0000FE680000}"/>
    <cellStyle name="Normal 3 22 7 2 2 3" xfId="26888" xr:uid="{00000000-0005-0000-0000-0000FF680000}"/>
    <cellStyle name="Normal 3 22 7 2 3" xfId="26889" xr:uid="{00000000-0005-0000-0000-000000690000}"/>
    <cellStyle name="Normal 3 22 7 2 3 2" xfId="26890" xr:uid="{00000000-0005-0000-0000-000001690000}"/>
    <cellStyle name="Normal 3 22 7 2 3 3" xfId="26891" xr:uid="{00000000-0005-0000-0000-000002690000}"/>
    <cellStyle name="Normal 3 22 7 2 4" xfId="26892" xr:uid="{00000000-0005-0000-0000-000003690000}"/>
    <cellStyle name="Normal 3 22 7 2 4 2" xfId="26893" xr:uid="{00000000-0005-0000-0000-000004690000}"/>
    <cellStyle name="Normal 3 22 7 2 4 3" xfId="26894" xr:uid="{00000000-0005-0000-0000-000005690000}"/>
    <cellStyle name="Normal 3 22 7 2 5" xfId="26895" xr:uid="{00000000-0005-0000-0000-000006690000}"/>
    <cellStyle name="Normal 3 22 7 2 5 2" xfId="26896" xr:uid="{00000000-0005-0000-0000-000007690000}"/>
    <cellStyle name="Normal 3 22 7 2 5 3" xfId="26897" xr:uid="{00000000-0005-0000-0000-000008690000}"/>
    <cellStyle name="Normal 3 22 7 2 6" xfId="26898" xr:uid="{00000000-0005-0000-0000-000009690000}"/>
    <cellStyle name="Normal 3 22 7 2 6 2" xfId="26899" xr:uid="{00000000-0005-0000-0000-00000A690000}"/>
    <cellStyle name="Normal 3 22 7 2 6 3" xfId="26900" xr:uid="{00000000-0005-0000-0000-00000B690000}"/>
    <cellStyle name="Normal 3 22 7 2 7" xfId="26901" xr:uid="{00000000-0005-0000-0000-00000C690000}"/>
    <cellStyle name="Normal 3 22 7 2 7 2" xfId="26902" xr:uid="{00000000-0005-0000-0000-00000D690000}"/>
    <cellStyle name="Normal 3 22 7 2 7 3" xfId="26903" xr:uid="{00000000-0005-0000-0000-00000E690000}"/>
    <cellStyle name="Normal 3 22 7 2 8" xfId="26904" xr:uid="{00000000-0005-0000-0000-00000F690000}"/>
    <cellStyle name="Normal 3 22 7 2 8 2" xfId="26905" xr:uid="{00000000-0005-0000-0000-000010690000}"/>
    <cellStyle name="Normal 3 22 7 2 8 3" xfId="26906" xr:uid="{00000000-0005-0000-0000-000011690000}"/>
    <cellStyle name="Normal 3 22 7 2 9" xfId="26907" xr:uid="{00000000-0005-0000-0000-000012690000}"/>
    <cellStyle name="Normal 3 22 7 2 9 2" xfId="26908" xr:uid="{00000000-0005-0000-0000-000013690000}"/>
    <cellStyle name="Normal 3 22 7 2 9 3" xfId="26909" xr:uid="{00000000-0005-0000-0000-000014690000}"/>
    <cellStyle name="Normal 3 22 7 3" xfId="26910" xr:uid="{00000000-0005-0000-0000-000015690000}"/>
    <cellStyle name="Normal 3 22 7 3 2" xfId="26911" xr:uid="{00000000-0005-0000-0000-000016690000}"/>
    <cellStyle name="Normal 3 22 7 3 3" xfId="26912" xr:uid="{00000000-0005-0000-0000-000017690000}"/>
    <cellStyle name="Normal 3 22 7 4" xfId="26913" xr:uid="{00000000-0005-0000-0000-000018690000}"/>
    <cellStyle name="Normal 3 22 7 4 2" xfId="26914" xr:uid="{00000000-0005-0000-0000-000019690000}"/>
    <cellStyle name="Normal 3 22 7 4 3" xfId="26915" xr:uid="{00000000-0005-0000-0000-00001A690000}"/>
    <cellStyle name="Normal 3 22 7 5" xfId="26916" xr:uid="{00000000-0005-0000-0000-00001B690000}"/>
    <cellStyle name="Normal 3 22 7 5 2" xfId="26917" xr:uid="{00000000-0005-0000-0000-00001C690000}"/>
    <cellStyle name="Normal 3 22 7 5 3" xfId="26918" xr:uid="{00000000-0005-0000-0000-00001D690000}"/>
    <cellStyle name="Normal 3 22 7 6" xfId="26919" xr:uid="{00000000-0005-0000-0000-00001E690000}"/>
    <cellStyle name="Normal 3 22 7 6 2" xfId="26920" xr:uid="{00000000-0005-0000-0000-00001F690000}"/>
    <cellStyle name="Normal 3 22 7 6 3" xfId="26921" xr:uid="{00000000-0005-0000-0000-000020690000}"/>
    <cellStyle name="Normal 3 22 7 7" xfId="26922" xr:uid="{00000000-0005-0000-0000-000021690000}"/>
    <cellStyle name="Normal 3 22 7 7 2" xfId="26923" xr:uid="{00000000-0005-0000-0000-000022690000}"/>
    <cellStyle name="Normal 3 22 7 7 3" xfId="26924" xr:uid="{00000000-0005-0000-0000-000023690000}"/>
    <cellStyle name="Normal 3 22 7 8" xfId="26925" xr:uid="{00000000-0005-0000-0000-000024690000}"/>
    <cellStyle name="Normal 3 22 7 8 2" xfId="26926" xr:uid="{00000000-0005-0000-0000-000025690000}"/>
    <cellStyle name="Normal 3 22 7 8 3" xfId="26927" xr:uid="{00000000-0005-0000-0000-000026690000}"/>
    <cellStyle name="Normal 3 22 7 9" xfId="26928" xr:uid="{00000000-0005-0000-0000-000027690000}"/>
    <cellStyle name="Normal 3 22 7 9 2" xfId="26929" xr:uid="{00000000-0005-0000-0000-000028690000}"/>
    <cellStyle name="Normal 3 22 7 9 3" xfId="26930" xr:uid="{00000000-0005-0000-0000-000029690000}"/>
    <cellStyle name="Normal 3 22 8" xfId="26931" xr:uid="{00000000-0005-0000-0000-00002A690000}"/>
    <cellStyle name="Normal 3 22 8 10" xfId="26932" xr:uid="{00000000-0005-0000-0000-00002B690000}"/>
    <cellStyle name="Normal 3 22 8 10 2" xfId="26933" xr:uid="{00000000-0005-0000-0000-00002C690000}"/>
    <cellStyle name="Normal 3 22 8 10 3" xfId="26934" xr:uid="{00000000-0005-0000-0000-00002D690000}"/>
    <cellStyle name="Normal 3 22 8 11" xfId="26935" xr:uid="{00000000-0005-0000-0000-00002E690000}"/>
    <cellStyle name="Normal 3 22 8 11 2" xfId="26936" xr:uid="{00000000-0005-0000-0000-00002F690000}"/>
    <cellStyle name="Normal 3 22 8 11 3" xfId="26937" xr:uid="{00000000-0005-0000-0000-000030690000}"/>
    <cellStyle name="Normal 3 22 8 12" xfId="26938" xr:uid="{00000000-0005-0000-0000-000031690000}"/>
    <cellStyle name="Normal 3 22 8 12 2" xfId="26939" xr:uid="{00000000-0005-0000-0000-000032690000}"/>
    <cellStyle name="Normal 3 22 8 12 3" xfId="26940" xr:uid="{00000000-0005-0000-0000-000033690000}"/>
    <cellStyle name="Normal 3 22 8 13" xfId="26941" xr:uid="{00000000-0005-0000-0000-000034690000}"/>
    <cellStyle name="Normal 3 22 8 13 2" xfId="26942" xr:uid="{00000000-0005-0000-0000-000035690000}"/>
    <cellStyle name="Normal 3 22 8 13 3" xfId="26943" xr:uid="{00000000-0005-0000-0000-000036690000}"/>
    <cellStyle name="Normal 3 22 8 14" xfId="26944" xr:uid="{00000000-0005-0000-0000-000037690000}"/>
    <cellStyle name="Normal 3 22 8 14 2" xfId="26945" xr:uid="{00000000-0005-0000-0000-000038690000}"/>
    <cellStyle name="Normal 3 22 8 14 3" xfId="26946" xr:uid="{00000000-0005-0000-0000-000039690000}"/>
    <cellStyle name="Normal 3 22 8 15" xfId="26947" xr:uid="{00000000-0005-0000-0000-00003A690000}"/>
    <cellStyle name="Normal 3 22 8 15 2" xfId="26948" xr:uid="{00000000-0005-0000-0000-00003B690000}"/>
    <cellStyle name="Normal 3 22 8 15 3" xfId="26949" xr:uid="{00000000-0005-0000-0000-00003C690000}"/>
    <cellStyle name="Normal 3 22 8 16" xfId="26950" xr:uid="{00000000-0005-0000-0000-00003D690000}"/>
    <cellStyle name="Normal 3 22 8 17" xfId="26951" xr:uid="{00000000-0005-0000-0000-00003E690000}"/>
    <cellStyle name="Normal 3 22 8 2" xfId="26952" xr:uid="{00000000-0005-0000-0000-00003F690000}"/>
    <cellStyle name="Normal 3 22 8 2 10" xfId="26953" xr:uid="{00000000-0005-0000-0000-000040690000}"/>
    <cellStyle name="Normal 3 22 8 2 10 2" xfId="26954" xr:uid="{00000000-0005-0000-0000-000041690000}"/>
    <cellStyle name="Normal 3 22 8 2 10 3" xfId="26955" xr:uid="{00000000-0005-0000-0000-000042690000}"/>
    <cellStyle name="Normal 3 22 8 2 11" xfId="26956" xr:uid="{00000000-0005-0000-0000-000043690000}"/>
    <cellStyle name="Normal 3 22 8 2 11 2" xfId="26957" xr:uid="{00000000-0005-0000-0000-000044690000}"/>
    <cellStyle name="Normal 3 22 8 2 11 3" xfId="26958" xr:uid="{00000000-0005-0000-0000-000045690000}"/>
    <cellStyle name="Normal 3 22 8 2 12" xfId="26959" xr:uid="{00000000-0005-0000-0000-000046690000}"/>
    <cellStyle name="Normal 3 22 8 2 12 2" xfId="26960" xr:uid="{00000000-0005-0000-0000-000047690000}"/>
    <cellStyle name="Normal 3 22 8 2 12 3" xfId="26961" xr:uid="{00000000-0005-0000-0000-000048690000}"/>
    <cellStyle name="Normal 3 22 8 2 13" xfId="26962" xr:uid="{00000000-0005-0000-0000-000049690000}"/>
    <cellStyle name="Normal 3 22 8 2 13 2" xfId="26963" xr:uid="{00000000-0005-0000-0000-00004A690000}"/>
    <cellStyle name="Normal 3 22 8 2 13 3" xfId="26964" xr:uid="{00000000-0005-0000-0000-00004B690000}"/>
    <cellStyle name="Normal 3 22 8 2 14" xfId="26965" xr:uid="{00000000-0005-0000-0000-00004C690000}"/>
    <cellStyle name="Normal 3 22 8 2 14 2" xfId="26966" xr:uid="{00000000-0005-0000-0000-00004D690000}"/>
    <cellStyle name="Normal 3 22 8 2 14 3" xfId="26967" xr:uid="{00000000-0005-0000-0000-00004E690000}"/>
    <cellStyle name="Normal 3 22 8 2 15" xfId="26968" xr:uid="{00000000-0005-0000-0000-00004F690000}"/>
    <cellStyle name="Normal 3 22 8 2 16" xfId="26969" xr:uid="{00000000-0005-0000-0000-000050690000}"/>
    <cellStyle name="Normal 3 22 8 2 2" xfId="26970" xr:uid="{00000000-0005-0000-0000-000051690000}"/>
    <cellStyle name="Normal 3 22 8 2 2 2" xfId="26971" xr:uid="{00000000-0005-0000-0000-000052690000}"/>
    <cellStyle name="Normal 3 22 8 2 2 3" xfId="26972" xr:uid="{00000000-0005-0000-0000-000053690000}"/>
    <cellStyle name="Normal 3 22 8 2 3" xfId="26973" xr:uid="{00000000-0005-0000-0000-000054690000}"/>
    <cellStyle name="Normal 3 22 8 2 3 2" xfId="26974" xr:uid="{00000000-0005-0000-0000-000055690000}"/>
    <cellStyle name="Normal 3 22 8 2 3 3" xfId="26975" xr:uid="{00000000-0005-0000-0000-000056690000}"/>
    <cellStyle name="Normal 3 22 8 2 4" xfId="26976" xr:uid="{00000000-0005-0000-0000-000057690000}"/>
    <cellStyle name="Normal 3 22 8 2 4 2" xfId="26977" xr:uid="{00000000-0005-0000-0000-000058690000}"/>
    <cellStyle name="Normal 3 22 8 2 4 3" xfId="26978" xr:uid="{00000000-0005-0000-0000-000059690000}"/>
    <cellStyle name="Normal 3 22 8 2 5" xfId="26979" xr:uid="{00000000-0005-0000-0000-00005A690000}"/>
    <cellStyle name="Normal 3 22 8 2 5 2" xfId="26980" xr:uid="{00000000-0005-0000-0000-00005B690000}"/>
    <cellStyle name="Normal 3 22 8 2 5 3" xfId="26981" xr:uid="{00000000-0005-0000-0000-00005C690000}"/>
    <cellStyle name="Normal 3 22 8 2 6" xfId="26982" xr:uid="{00000000-0005-0000-0000-00005D690000}"/>
    <cellStyle name="Normal 3 22 8 2 6 2" xfId="26983" xr:uid="{00000000-0005-0000-0000-00005E690000}"/>
    <cellStyle name="Normal 3 22 8 2 6 3" xfId="26984" xr:uid="{00000000-0005-0000-0000-00005F690000}"/>
    <cellStyle name="Normal 3 22 8 2 7" xfId="26985" xr:uid="{00000000-0005-0000-0000-000060690000}"/>
    <cellStyle name="Normal 3 22 8 2 7 2" xfId="26986" xr:uid="{00000000-0005-0000-0000-000061690000}"/>
    <cellStyle name="Normal 3 22 8 2 7 3" xfId="26987" xr:uid="{00000000-0005-0000-0000-000062690000}"/>
    <cellStyle name="Normal 3 22 8 2 8" xfId="26988" xr:uid="{00000000-0005-0000-0000-000063690000}"/>
    <cellStyle name="Normal 3 22 8 2 8 2" xfId="26989" xr:uid="{00000000-0005-0000-0000-000064690000}"/>
    <cellStyle name="Normal 3 22 8 2 8 3" xfId="26990" xr:uid="{00000000-0005-0000-0000-000065690000}"/>
    <cellStyle name="Normal 3 22 8 2 9" xfId="26991" xr:uid="{00000000-0005-0000-0000-000066690000}"/>
    <cellStyle name="Normal 3 22 8 2 9 2" xfId="26992" xr:uid="{00000000-0005-0000-0000-000067690000}"/>
    <cellStyle name="Normal 3 22 8 2 9 3" xfId="26993" xr:uid="{00000000-0005-0000-0000-000068690000}"/>
    <cellStyle name="Normal 3 22 8 3" xfId="26994" xr:uid="{00000000-0005-0000-0000-000069690000}"/>
    <cellStyle name="Normal 3 22 8 3 2" xfId="26995" xr:uid="{00000000-0005-0000-0000-00006A690000}"/>
    <cellStyle name="Normal 3 22 8 3 3" xfId="26996" xr:uid="{00000000-0005-0000-0000-00006B690000}"/>
    <cellStyle name="Normal 3 22 8 4" xfId="26997" xr:uid="{00000000-0005-0000-0000-00006C690000}"/>
    <cellStyle name="Normal 3 22 8 4 2" xfId="26998" xr:uid="{00000000-0005-0000-0000-00006D690000}"/>
    <cellStyle name="Normal 3 22 8 4 3" xfId="26999" xr:uid="{00000000-0005-0000-0000-00006E690000}"/>
    <cellStyle name="Normal 3 22 8 5" xfId="27000" xr:uid="{00000000-0005-0000-0000-00006F690000}"/>
    <cellStyle name="Normal 3 22 8 5 2" xfId="27001" xr:uid="{00000000-0005-0000-0000-000070690000}"/>
    <cellStyle name="Normal 3 22 8 5 3" xfId="27002" xr:uid="{00000000-0005-0000-0000-000071690000}"/>
    <cellStyle name="Normal 3 22 8 6" xfId="27003" xr:uid="{00000000-0005-0000-0000-000072690000}"/>
    <cellStyle name="Normal 3 22 8 6 2" xfId="27004" xr:uid="{00000000-0005-0000-0000-000073690000}"/>
    <cellStyle name="Normal 3 22 8 6 3" xfId="27005" xr:uid="{00000000-0005-0000-0000-000074690000}"/>
    <cellStyle name="Normal 3 22 8 7" xfId="27006" xr:uid="{00000000-0005-0000-0000-000075690000}"/>
    <cellStyle name="Normal 3 22 8 7 2" xfId="27007" xr:uid="{00000000-0005-0000-0000-000076690000}"/>
    <cellStyle name="Normal 3 22 8 7 3" xfId="27008" xr:uid="{00000000-0005-0000-0000-000077690000}"/>
    <cellStyle name="Normal 3 22 8 8" xfId="27009" xr:uid="{00000000-0005-0000-0000-000078690000}"/>
    <cellStyle name="Normal 3 22 8 8 2" xfId="27010" xr:uid="{00000000-0005-0000-0000-000079690000}"/>
    <cellStyle name="Normal 3 22 8 8 3" xfId="27011" xr:uid="{00000000-0005-0000-0000-00007A690000}"/>
    <cellStyle name="Normal 3 22 8 9" xfId="27012" xr:uid="{00000000-0005-0000-0000-00007B690000}"/>
    <cellStyle name="Normal 3 22 8 9 2" xfId="27013" xr:uid="{00000000-0005-0000-0000-00007C690000}"/>
    <cellStyle name="Normal 3 22 8 9 3" xfId="27014" xr:uid="{00000000-0005-0000-0000-00007D690000}"/>
    <cellStyle name="Normal 3 22 9" xfId="27015" xr:uid="{00000000-0005-0000-0000-00007E690000}"/>
    <cellStyle name="Normal 3 22 9 10" xfId="27016" xr:uid="{00000000-0005-0000-0000-00007F690000}"/>
    <cellStyle name="Normal 3 22 9 10 2" xfId="27017" xr:uid="{00000000-0005-0000-0000-000080690000}"/>
    <cellStyle name="Normal 3 22 9 10 3" xfId="27018" xr:uid="{00000000-0005-0000-0000-000081690000}"/>
    <cellStyle name="Normal 3 22 9 11" xfId="27019" xr:uid="{00000000-0005-0000-0000-000082690000}"/>
    <cellStyle name="Normal 3 22 9 11 2" xfId="27020" xr:uid="{00000000-0005-0000-0000-000083690000}"/>
    <cellStyle name="Normal 3 22 9 11 3" xfId="27021" xr:uid="{00000000-0005-0000-0000-000084690000}"/>
    <cellStyle name="Normal 3 22 9 12" xfId="27022" xr:uid="{00000000-0005-0000-0000-000085690000}"/>
    <cellStyle name="Normal 3 22 9 12 2" xfId="27023" xr:uid="{00000000-0005-0000-0000-000086690000}"/>
    <cellStyle name="Normal 3 22 9 12 3" xfId="27024" xr:uid="{00000000-0005-0000-0000-000087690000}"/>
    <cellStyle name="Normal 3 22 9 13" xfId="27025" xr:uid="{00000000-0005-0000-0000-000088690000}"/>
    <cellStyle name="Normal 3 22 9 13 2" xfId="27026" xr:uid="{00000000-0005-0000-0000-000089690000}"/>
    <cellStyle name="Normal 3 22 9 13 3" xfId="27027" xr:uid="{00000000-0005-0000-0000-00008A690000}"/>
    <cellStyle name="Normal 3 22 9 14" xfId="27028" xr:uid="{00000000-0005-0000-0000-00008B690000}"/>
    <cellStyle name="Normal 3 22 9 14 2" xfId="27029" xr:uid="{00000000-0005-0000-0000-00008C690000}"/>
    <cellStyle name="Normal 3 22 9 14 3" xfId="27030" xr:uid="{00000000-0005-0000-0000-00008D690000}"/>
    <cellStyle name="Normal 3 22 9 15" xfId="27031" xr:uid="{00000000-0005-0000-0000-00008E690000}"/>
    <cellStyle name="Normal 3 22 9 16" xfId="27032" xr:uid="{00000000-0005-0000-0000-00008F690000}"/>
    <cellStyle name="Normal 3 22 9 2" xfId="27033" xr:uid="{00000000-0005-0000-0000-000090690000}"/>
    <cellStyle name="Normal 3 22 9 2 2" xfId="27034" xr:uid="{00000000-0005-0000-0000-000091690000}"/>
    <cellStyle name="Normal 3 22 9 2 3" xfId="27035" xr:uid="{00000000-0005-0000-0000-000092690000}"/>
    <cellStyle name="Normal 3 22 9 3" xfId="27036" xr:uid="{00000000-0005-0000-0000-000093690000}"/>
    <cellStyle name="Normal 3 22 9 3 2" xfId="27037" xr:uid="{00000000-0005-0000-0000-000094690000}"/>
    <cellStyle name="Normal 3 22 9 3 3" xfId="27038" xr:uid="{00000000-0005-0000-0000-000095690000}"/>
    <cellStyle name="Normal 3 22 9 4" xfId="27039" xr:uid="{00000000-0005-0000-0000-000096690000}"/>
    <cellStyle name="Normal 3 22 9 4 2" xfId="27040" xr:uid="{00000000-0005-0000-0000-000097690000}"/>
    <cellStyle name="Normal 3 22 9 4 3" xfId="27041" xr:uid="{00000000-0005-0000-0000-000098690000}"/>
    <cellStyle name="Normal 3 22 9 5" xfId="27042" xr:uid="{00000000-0005-0000-0000-000099690000}"/>
    <cellStyle name="Normal 3 22 9 5 2" xfId="27043" xr:uid="{00000000-0005-0000-0000-00009A690000}"/>
    <cellStyle name="Normal 3 22 9 5 3" xfId="27044" xr:uid="{00000000-0005-0000-0000-00009B690000}"/>
    <cellStyle name="Normal 3 22 9 6" xfId="27045" xr:uid="{00000000-0005-0000-0000-00009C690000}"/>
    <cellStyle name="Normal 3 22 9 6 2" xfId="27046" xr:uid="{00000000-0005-0000-0000-00009D690000}"/>
    <cellStyle name="Normal 3 22 9 6 3" xfId="27047" xr:uid="{00000000-0005-0000-0000-00009E690000}"/>
    <cellStyle name="Normal 3 22 9 7" xfId="27048" xr:uid="{00000000-0005-0000-0000-00009F690000}"/>
    <cellStyle name="Normal 3 22 9 7 2" xfId="27049" xr:uid="{00000000-0005-0000-0000-0000A0690000}"/>
    <cellStyle name="Normal 3 22 9 7 3" xfId="27050" xr:uid="{00000000-0005-0000-0000-0000A1690000}"/>
    <cellStyle name="Normal 3 22 9 8" xfId="27051" xr:uid="{00000000-0005-0000-0000-0000A2690000}"/>
    <cellStyle name="Normal 3 22 9 8 2" xfId="27052" xr:uid="{00000000-0005-0000-0000-0000A3690000}"/>
    <cellStyle name="Normal 3 22 9 8 3" xfId="27053" xr:uid="{00000000-0005-0000-0000-0000A4690000}"/>
    <cellStyle name="Normal 3 22 9 9" xfId="27054" xr:uid="{00000000-0005-0000-0000-0000A5690000}"/>
    <cellStyle name="Normal 3 22 9 9 2" xfId="27055" xr:uid="{00000000-0005-0000-0000-0000A6690000}"/>
    <cellStyle name="Normal 3 22 9 9 3" xfId="27056" xr:uid="{00000000-0005-0000-0000-0000A7690000}"/>
    <cellStyle name="Normal 3 23" xfId="27057" xr:uid="{00000000-0005-0000-0000-0000A8690000}"/>
    <cellStyle name="Normal 3 24" xfId="27058" xr:uid="{00000000-0005-0000-0000-0000A9690000}"/>
    <cellStyle name="Normal 3 25" xfId="27059" xr:uid="{00000000-0005-0000-0000-0000AA690000}"/>
    <cellStyle name="Normal 3 26" xfId="27060" xr:uid="{00000000-0005-0000-0000-0000AB690000}"/>
    <cellStyle name="Normal 3 27" xfId="27061" xr:uid="{00000000-0005-0000-0000-0000AC690000}"/>
    <cellStyle name="Normal 3 28" xfId="27062" xr:uid="{00000000-0005-0000-0000-0000AD690000}"/>
    <cellStyle name="Normal 3 29" xfId="27063" xr:uid="{00000000-0005-0000-0000-0000AE690000}"/>
    <cellStyle name="Normal 3 3" xfId="27064" xr:uid="{00000000-0005-0000-0000-0000AF690000}"/>
    <cellStyle name="Normal 3 3 10" xfId="27065" xr:uid="{00000000-0005-0000-0000-0000B0690000}"/>
    <cellStyle name="Normal 3 3 10 10" xfId="27066" xr:uid="{00000000-0005-0000-0000-0000B1690000}"/>
    <cellStyle name="Normal 3 3 10 10 10" xfId="27067" xr:uid="{00000000-0005-0000-0000-0000B2690000}"/>
    <cellStyle name="Normal 3 3 10 10 10 2" xfId="27068" xr:uid="{00000000-0005-0000-0000-0000B3690000}"/>
    <cellStyle name="Normal 3 3 10 10 10 3" xfId="27069" xr:uid="{00000000-0005-0000-0000-0000B4690000}"/>
    <cellStyle name="Normal 3 3 10 10 11" xfId="27070" xr:uid="{00000000-0005-0000-0000-0000B5690000}"/>
    <cellStyle name="Normal 3 3 10 10 11 2" xfId="27071" xr:uid="{00000000-0005-0000-0000-0000B6690000}"/>
    <cellStyle name="Normal 3 3 10 10 11 3" xfId="27072" xr:uid="{00000000-0005-0000-0000-0000B7690000}"/>
    <cellStyle name="Normal 3 3 10 10 12" xfId="27073" xr:uid="{00000000-0005-0000-0000-0000B8690000}"/>
    <cellStyle name="Normal 3 3 10 10 12 2" xfId="27074" xr:uid="{00000000-0005-0000-0000-0000B9690000}"/>
    <cellStyle name="Normal 3 3 10 10 12 3" xfId="27075" xr:uid="{00000000-0005-0000-0000-0000BA690000}"/>
    <cellStyle name="Normal 3 3 10 10 13" xfId="27076" xr:uid="{00000000-0005-0000-0000-0000BB690000}"/>
    <cellStyle name="Normal 3 3 10 10 13 2" xfId="27077" xr:uid="{00000000-0005-0000-0000-0000BC690000}"/>
    <cellStyle name="Normal 3 3 10 10 13 3" xfId="27078" xr:uid="{00000000-0005-0000-0000-0000BD690000}"/>
    <cellStyle name="Normal 3 3 10 10 14" xfId="27079" xr:uid="{00000000-0005-0000-0000-0000BE690000}"/>
    <cellStyle name="Normal 3 3 10 10 14 2" xfId="27080" xr:uid="{00000000-0005-0000-0000-0000BF690000}"/>
    <cellStyle name="Normal 3 3 10 10 14 3" xfId="27081" xr:uid="{00000000-0005-0000-0000-0000C0690000}"/>
    <cellStyle name="Normal 3 3 10 10 15" xfId="27082" xr:uid="{00000000-0005-0000-0000-0000C1690000}"/>
    <cellStyle name="Normal 3 3 10 10 16" xfId="27083" xr:uid="{00000000-0005-0000-0000-0000C2690000}"/>
    <cellStyle name="Normal 3 3 10 10 2" xfId="27084" xr:uid="{00000000-0005-0000-0000-0000C3690000}"/>
    <cellStyle name="Normal 3 3 10 10 2 2" xfId="27085" xr:uid="{00000000-0005-0000-0000-0000C4690000}"/>
    <cellStyle name="Normal 3 3 10 10 2 3" xfId="27086" xr:uid="{00000000-0005-0000-0000-0000C5690000}"/>
    <cellStyle name="Normal 3 3 10 10 3" xfId="27087" xr:uid="{00000000-0005-0000-0000-0000C6690000}"/>
    <cellStyle name="Normal 3 3 10 10 3 2" xfId="27088" xr:uid="{00000000-0005-0000-0000-0000C7690000}"/>
    <cellStyle name="Normal 3 3 10 10 3 3" xfId="27089" xr:uid="{00000000-0005-0000-0000-0000C8690000}"/>
    <cellStyle name="Normal 3 3 10 10 4" xfId="27090" xr:uid="{00000000-0005-0000-0000-0000C9690000}"/>
    <cellStyle name="Normal 3 3 10 10 4 2" xfId="27091" xr:uid="{00000000-0005-0000-0000-0000CA690000}"/>
    <cellStyle name="Normal 3 3 10 10 4 3" xfId="27092" xr:uid="{00000000-0005-0000-0000-0000CB690000}"/>
    <cellStyle name="Normal 3 3 10 10 5" xfId="27093" xr:uid="{00000000-0005-0000-0000-0000CC690000}"/>
    <cellStyle name="Normal 3 3 10 10 5 2" xfId="27094" xr:uid="{00000000-0005-0000-0000-0000CD690000}"/>
    <cellStyle name="Normal 3 3 10 10 5 3" xfId="27095" xr:uid="{00000000-0005-0000-0000-0000CE690000}"/>
    <cellStyle name="Normal 3 3 10 10 6" xfId="27096" xr:uid="{00000000-0005-0000-0000-0000CF690000}"/>
    <cellStyle name="Normal 3 3 10 10 6 2" xfId="27097" xr:uid="{00000000-0005-0000-0000-0000D0690000}"/>
    <cellStyle name="Normal 3 3 10 10 6 3" xfId="27098" xr:uid="{00000000-0005-0000-0000-0000D1690000}"/>
    <cellStyle name="Normal 3 3 10 10 7" xfId="27099" xr:uid="{00000000-0005-0000-0000-0000D2690000}"/>
    <cellStyle name="Normal 3 3 10 10 7 2" xfId="27100" xr:uid="{00000000-0005-0000-0000-0000D3690000}"/>
    <cellStyle name="Normal 3 3 10 10 7 3" xfId="27101" xr:uid="{00000000-0005-0000-0000-0000D4690000}"/>
    <cellStyle name="Normal 3 3 10 10 8" xfId="27102" xr:uid="{00000000-0005-0000-0000-0000D5690000}"/>
    <cellStyle name="Normal 3 3 10 10 8 2" xfId="27103" xr:uid="{00000000-0005-0000-0000-0000D6690000}"/>
    <cellStyle name="Normal 3 3 10 10 8 3" xfId="27104" xr:uid="{00000000-0005-0000-0000-0000D7690000}"/>
    <cellStyle name="Normal 3 3 10 10 9" xfId="27105" xr:uid="{00000000-0005-0000-0000-0000D8690000}"/>
    <cellStyle name="Normal 3 3 10 10 9 2" xfId="27106" xr:uid="{00000000-0005-0000-0000-0000D9690000}"/>
    <cellStyle name="Normal 3 3 10 10 9 3" xfId="27107" xr:uid="{00000000-0005-0000-0000-0000DA690000}"/>
    <cellStyle name="Normal 3 3 10 11" xfId="27108" xr:uid="{00000000-0005-0000-0000-0000DB690000}"/>
    <cellStyle name="Normal 3 3 10 11 2" xfId="27109" xr:uid="{00000000-0005-0000-0000-0000DC690000}"/>
    <cellStyle name="Normal 3 3 10 11 3" xfId="27110" xr:uid="{00000000-0005-0000-0000-0000DD690000}"/>
    <cellStyle name="Normal 3 3 10 12" xfId="27111" xr:uid="{00000000-0005-0000-0000-0000DE690000}"/>
    <cellStyle name="Normal 3 3 10 12 2" xfId="27112" xr:uid="{00000000-0005-0000-0000-0000DF690000}"/>
    <cellStyle name="Normal 3 3 10 12 3" xfId="27113" xr:uid="{00000000-0005-0000-0000-0000E0690000}"/>
    <cellStyle name="Normal 3 3 10 13" xfId="27114" xr:uid="{00000000-0005-0000-0000-0000E1690000}"/>
    <cellStyle name="Normal 3 3 10 13 2" xfId="27115" xr:uid="{00000000-0005-0000-0000-0000E2690000}"/>
    <cellStyle name="Normal 3 3 10 13 3" xfId="27116" xr:uid="{00000000-0005-0000-0000-0000E3690000}"/>
    <cellStyle name="Normal 3 3 10 14" xfId="27117" xr:uid="{00000000-0005-0000-0000-0000E4690000}"/>
    <cellStyle name="Normal 3 3 10 14 2" xfId="27118" xr:uid="{00000000-0005-0000-0000-0000E5690000}"/>
    <cellStyle name="Normal 3 3 10 14 3" xfId="27119" xr:uid="{00000000-0005-0000-0000-0000E6690000}"/>
    <cellStyle name="Normal 3 3 10 15" xfId="27120" xr:uid="{00000000-0005-0000-0000-0000E7690000}"/>
    <cellStyle name="Normal 3 3 10 15 2" xfId="27121" xr:uid="{00000000-0005-0000-0000-0000E8690000}"/>
    <cellStyle name="Normal 3 3 10 15 3" xfId="27122" xr:uid="{00000000-0005-0000-0000-0000E9690000}"/>
    <cellStyle name="Normal 3 3 10 16" xfId="27123" xr:uid="{00000000-0005-0000-0000-0000EA690000}"/>
    <cellStyle name="Normal 3 3 10 16 2" xfId="27124" xr:uid="{00000000-0005-0000-0000-0000EB690000}"/>
    <cellStyle name="Normal 3 3 10 16 3" xfId="27125" xr:uid="{00000000-0005-0000-0000-0000EC690000}"/>
    <cellStyle name="Normal 3 3 10 17" xfId="27126" xr:uid="{00000000-0005-0000-0000-0000ED690000}"/>
    <cellStyle name="Normal 3 3 10 17 2" xfId="27127" xr:uid="{00000000-0005-0000-0000-0000EE690000}"/>
    <cellStyle name="Normal 3 3 10 17 3" xfId="27128" xr:uid="{00000000-0005-0000-0000-0000EF690000}"/>
    <cellStyle name="Normal 3 3 10 18" xfId="27129" xr:uid="{00000000-0005-0000-0000-0000F0690000}"/>
    <cellStyle name="Normal 3 3 10 18 2" xfId="27130" xr:uid="{00000000-0005-0000-0000-0000F1690000}"/>
    <cellStyle name="Normal 3 3 10 18 3" xfId="27131" xr:uid="{00000000-0005-0000-0000-0000F2690000}"/>
    <cellStyle name="Normal 3 3 10 19" xfId="27132" xr:uid="{00000000-0005-0000-0000-0000F3690000}"/>
    <cellStyle name="Normal 3 3 10 19 2" xfId="27133" xr:uid="{00000000-0005-0000-0000-0000F4690000}"/>
    <cellStyle name="Normal 3 3 10 19 3" xfId="27134" xr:uid="{00000000-0005-0000-0000-0000F5690000}"/>
    <cellStyle name="Normal 3 3 10 2" xfId="27135" xr:uid="{00000000-0005-0000-0000-0000F6690000}"/>
    <cellStyle name="Normal 3 3 10 2 10" xfId="27136" xr:uid="{00000000-0005-0000-0000-0000F7690000}"/>
    <cellStyle name="Normal 3 3 10 2 10 2" xfId="27137" xr:uid="{00000000-0005-0000-0000-0000F8690000}"/>
    <cellStyle name="Normal 3 3 10 2 10 3" xfId="27138" xr:uid="{00000000-0005-0000-0000-0000F9690000}"/>
    <cellStyle name="Normal 3 3 10 2 11" xfId="27139" xr:uid="{00000000-0005-0000-0000-0000FA690000}"/>
    <cellStyle name="Normal 3 3 10 2 11 2" xfId="27140" xr:uid="{00000000-0005-0000-0000-0000FB690000}"/>
    <cellStyle name="Normal 3 3 10 2 11 3" xfId="27141" xr:uid="{00000000-0005-0000-0000-0000FC690000}"/>
    <cellStyle name="Normal 3 3 10 2 12" xfId="27142" xr:uid="{00000000-0005-0000-0000-0000FD690000}"/>
    <cellStyle name="Normal 3 3 10 2 12 2" xfId="27143" xr:uid="{00000000-0005-0000-0000-0000FE690000}"/>
    <cellStyle name="Normal 3 3 10 2 12 3" xfId="27144" xr:uid="{00000000-0005-0000-0000-0000FF690000}"/>
    <cellStyle name="Normal 3 3 10 2 13" xfId="27145" xr:uid="{00000000-0005-0000-0000-0000006A0000}"/>
    <cellStyle name="Normal 3 3 10 2 13 2" xfId="27146" xr:uid="{00000000-0005-0000-0000-0000016A0000}"/>
    <cellStyle name="Normal 3 3 10 2 13 3" xfId="27147" xr:uid="{00000000-0005-0000-0000-0000026A0000}"/>
    <cellStyle name="Normal 3 3 10 2 14" xfId="27148" xr:uid="{00000000-0005-0000-0000-0000036A0000}"/>
    <cellStyle name="Normal 3 3 10 2 14 2" xfId="27149" xr:uid="{00000000-0005-0000-0000-0000046A0000}"/>
    <cellStyle name="Normal 3 3 10 2 14 3" xfId="27150" xr:uid="{00000000-0005-0000-0000-0000056A0000}"/>
    <cellStyle name="Normal 3 3 10 2 15" xfId="27151" xr:uid="{00000000-0005-0000-0000-0000066A0000}"/>
    <cellStyle name="Normal 3 3 10 2 15 2" xfId="27152" xr:uid="{00000000-0005-0000-0000-0000076A0000}"/>
    <cellStyle name="Normal 3 3 10 2 15 3" xfId="27153" xr:uid="{00000000-0005-0000-0000-0000086A0000}"/>
    <cellStyle name="Normal 3 3 10 2 16" xfId="27154" xr:uid="{00000000-0005-0000-0000-0000096A0000}"/>
    <cellStyle name="Normal 3 3 10 2 17" xfId="27155" xr:uid="{00000000-0005-0000-0000-00000A6A0000}"/>
    <cellStyle name="Normal 3 3 10 2 2" xfId="27156" xr:uid="{00000000-0005-0000-0000-00000B6A0000}"/>
    <cellStyle name="Normal 3 3 10 2 2 10" xfId="27157" xr:uid="{00000000-0005-0000-0000-00000C6A0000}"/>
    <cellStyle name="Normal 3 3 10 2 2 10 2" xfId="27158" xr:uid="{00000000-0005-0000-0000-00000D6A0000}"/>
    <cellStyle name="Normal 3 3 10 2 2 10 3" xfId="27159" xr:uid="{00000000-0005-0000-0000-00000E6A0000}"/>
    <cellStyle name="Normal 3 3 10 2 2 11" xfId="27160" xr:uid="{00000000-0005-0000-0000-00000F6A0000}"/>
    <cellStyle name="Normal 3 3 10 2 2 11 2" xfId="27161" xr:uid="{00000000-0005-0000-0000-0000106A0000}"/>
    <cellStyle name="Normal 3 3 10 2 2 11 3" xfId="27162" xr:uid="{00000000-0005-0000-0000-0000116A0000}"/>
    <cellStyle name="Normal 3 3 10 2 2 12" xfId="27163" xr:uid="{00000000-0005-0000-0000-0000126A0000}"/>
    <cellStyle name="Normal 3 3 10 2 2 12 2" xfId="27164" xr:uid="{00000000-0005-0000-0000-0000136A0000}"/>
    <cellStyle name="Normal 3 3 10 2 2 12 3" xfId="27165" xr:uid="{00000000-0005-0000-0000-0000146A0000}"/>
    <cellStyle name="Normal 3 3 10 2 2 13" xfId="27166" xr:uid="{00000000-0005-0000-0000-0000156A0000}"/>
    <cellStyle name="Normal 3 3 10 2 2 13 2" xfId="27167" xr:uid="{00000000-0005-0000-0000-0000166A0000}"/>
    <cellStyle name="Normal 3 3 10 2 2 13 3" xfId="27168" xr:uid="{00000000-0005-0000-0000-0000176A0000}"/>
    <cellStyle name="Normal 3 3 10 2 2 14" xfId="27169" xr:uid="{00000000-0005-0000-0000-0000186A0000}"/>
    <cellStyle name="Normal 3 3 10 2 2 14 2" xfId="27170" xr:uid="{00000000-0005-0000-0000-0000196A0000}"/>
    <cellStyle name="Normal 3 3 10 2 2 14 3" xfId="27171" xr:uid="{00000000-0005-0000-0000-00001A6A0000}"/>
    <cellStyle name="Normal 3 3 10 2 2 15" xfId="27172" xr:uid="{00000000-0005-0000-0000-00001B6A0000}"/>
    <cellStyle name="Normal 3 3 10 2 2 16" xfId="27173" xr:uid="{00000000-0005-0000-0000-00001C6A0000}"/>
    <cellStyle name="Normal 3 3 10 2 2 2" xfId="27174" xr:uid="{00000000-0005-0000-0000-00001D6A0000}"/>
    <cellStyle name="Normal 3 3 10 2 2 2 2" xfId="27175" xr:uid="{00000000-0005-0000-0000-00001E6A0000}"/>
    <cellStyle name="Normal 3 3 10 2 2 2 3" xfId="27176" xr:uid="{00000000-0005-0000-0000-00001F6A0000}"/>
    <cellStyle name="Normal 3 3 10 2 2 3" xfId="27177" xr:uid="{00000000-0005-0000-0000-0000206A0000}"/>
    <cellStyle name="Normal 3 3 10 2 2 3 2" xfId="27178" xr:uid="{00000000-0005-0000-0000-0000216A0000}"/>
    <cellStyle name="Normal 3 3 10 2 2 3 3" xfId="27179" xr:uid="{00000000-0005-0000-0000-0000226A0000}"/>
    <cellStyle name="Normal 3 3 10 2 2 4" xfId="27180" xr:uid="{00000000-0005-0000-0000-0000236A0000}"/>
    <cellStyle name="Normal 3 3 10 2 2 4 2" xfId="27181" xr:uid="{00000000-0005-0000-0000-0000246A0000}"/>
    <cellStyle name="Normal 3 3 10 2 2 4 3" xfId="27182" xr:uid="{00000000-0005-0000-0000-0000256A0000}"/>
    <cellStyle name="Normal 3 3 10 2 2 5" xfId="27183" xr:uid="{00000000-0005-0000-0000-0000266A0000}"/>
    <cellStyle name="Normal 3 3 10 2 2 5 2" xfId="27184" xr:uid="{00000000-0005-0000-0000-0000276A0000}"/>
    <cellStyle name="Normal 3 3 10 2 2 5 3" xfId="27185" xr:uid="{00000000-0005-0000-0000-0000286A0000}"/>
    <cellStyle name="Normal 3 3 10 2 2 6" xfId="27186" xr:uid="{00000000-0005-0000-0000-0000296A0000}"/>
    <cellStyle name="Normal 3 3 10 2 2 6 2" xfId="27187" xr:uid="{00000000-0005-0000-0000-00002A6A0000}"/>
    <cellStyle name="Normal 3 3 10 2 2 6 3" xfId="27188" xr:uid="{00000000-0005-0000-0000-00002B6A0000}"/>
    <cellStyle name="Normal 3 3 10 2 2 7" xfId="27189" xr:uid="{00000000-0005-0000-0000-00002C6A0000}"/>
    <cellStyle name="Normal 3 3 10 2 2 7 2" xfId="27190" xr:uid="{00000000-0005-0000-0000-00002D6A0000}"/>
    <cellStyle name="Normal 3 3 10 2 2 7 3" xfId="27191" xr:uid="{00000000-0005-0000-0000-00002E6A0000}"/>
    <cellStyle name="Normal 3 3 10 2 2 8" xfId="27192" xr:uid="{00000000-0005-0000-0000-00002F6A0000}"/>
    <cellStyle name="Normal 3 3 10 2 2 8 2" xfId="27193" xr:uid="{00000000-0005-0000-0000-0000306A0000}"/>
    <cellStyle name="Normal 3 3 10 2 2 8 3" xfId="27194" xr:uid="{00000000-0005-0000-0000-0000316A0000}"/>
    <cellStyle name="Normal 3 3 10 2 2 9" xfId="27195" xr:uid="{00000000-0005-0000-0000-0000326A0000}"/>
    <cellStyle name="Normal 3 3 10 2 2 9 2" xfId="27196" xr:uid="{00000000-0005-0000-0000-0000336A0000}"/>
    <cellStyle name="Normal 3 3 10 2 2 9 3" xfId="27197" xr:uid="{00000000-0005-0000-0000-0000346A0000}"/>
    <cellStyle name="Normal 3 3 10 2 3" xfId="27198" xr:uid="{00000000-0005-0000-0000-0000356A0000}"/>
    <cellStyle name="Normal 3 3 10 2 3 2" xfId="27199" xr:uid="{00000000-0005-0000-0000-0000366A0000}"/>
    <cellStyle name="Normal 3 3 10 2 3 3" xfId="27200" xr:uid="{00000000-0005-0000-0000-0000376A0000}"/>
    <cellStyle name="Normal 3 3 10 2 4" xfId="27201" xr:uid="{00000000-0005-0000-0000-0000386A0000}"/>
    <cellStyle name="Normal 3 3 10 2 4 2" xfId="27202" xr:uid="{00000000-0005-0000-0000-0000396A0000}"/>
    <cellStyle name="Normal 3 3 10 2 4 3" xfId="27203" xr:uid="{00000000-0005-0000-0000-00003A6A0000}"/>
    <cellStyle name="Normal 3 3 10 2 5" xfId="27204" xr:uid="{00000000-0005-0000-0000-00003B6A0000}"/>
    <cellStyle name="Normal 3 3 10 2 5 2" xfId="27205" xr:uid="{00000000-0005-0000-0000-00003C6A0000}"/>
    <cellStyle name="Normal 3 3 10 2 5 3" xfId="27206" xr:uid="{00000000-0005-0000-0000-00003D6A0000}"/>
    <cellStyle name="Normal 3 3 10 2 6" xfId="27207" xr:uid="{00000000-0005-0000-0000-00003E6A0000}"/>
    <cellStyle name="Normal 3 3 10 2 6 2" xfId="27208" xr:uid="{00000000-0005-0000-0000-00003F6A0000}"/>
    <cellStyle name="Normal 3 3 10 2 6 3" xfId="27209" xr:uid="{00000000-0005-0000-0000-0000406A0000}"/>
    <cellStyle name="Normal 3 3 10 2 7" xfId="27210" xr:uid="{00000000-0005-0000-0000-0000416A0000}"/>
    <cellStyle name="Normal 3 3 10 2 7 2" xfId="27211" xr:uid="{00000000-0005-0000-0000-0000426A0000}"/>
    <cellStyle name="Normal 3 3 10 2 7 3" xfId="27212" xr:uid="{00000000-0005-0000-0000-0000436A0000}"/>
    <cellStyle name="Normal 3 3 10 2 8" xfId="27213" xr:uid="{00000000-0005-0000-0000-0000446A0000}"/>
    <cellStyle name="Normal 3 3 10 2 8 2" xfId="27214" xr:uid="{00000000-0005-0000-0000-0000456A0000}"/>
    <cellStyle name="Normal 3 3 10 2 8 3" xfId="27215" xr:uid="{00000000-0005-0000-0000-0000466A0000}"/>
    <cellStyle name="Normal 3 3 10 2 9" xfId="27216" xr:uid="{00000000-0005-0000-0000-0000476A0000}"/>
    <cellStyle name="Normal 3 3 10 2 9 2" xfId="27217" xr:uid="{00000000-0005-0000-0000-0000486A0000}"/>
    <cellStyle name="Normal 3 3 10 2 9 3" xfId="27218" xr:uid="{00000000-0005-0000-0000-0000496A0000}"/>
    <cellStyle name="Normal 3 3 10 20" xfId="27219" xr:uid="{00000000-0005-0000-0000-00004A6A0000}"/>
    <cellStyle name="Normal 3 3 10 20 2" xfId="27220" xr:uid="{00000000-0005-0000-0000-00004B6A0000}"/>
    <cellStyle name="Normal 3 3 10 20 3" xfId="27221" xr:uid="{00000000-0005-0000-0000-00004C6A0000}"/>
    <cellStyle name="Normal 3 3 10 21" xfId="27222" xr:uid="{00000000-0005-0000-0000-00004D6A0000}"/>
    <cellStyle name="Normal 3 3 10 21 2" xfId="27223" xr:uid="{00000000-0005-0000-0000-00004E6A0000}"/>
    <cellStyle name="Normal 3 3 10 21 3" xfId="27224" xr:uid="{00000000-0005-0000-0000-00004F6A0000}"/>
    <cellStyle name="Normal 3 3 10 22" xfId="27225" xr:uid="{00000000-0005-0000-0000-0000506A0000}"/>
    <cellStyle name="Normal 3 3 10 22 2" xfId="27226" xr:uid="{00000000-0005-0000-0000-0000516A0000}"/>
    <cellStyle name="Normal 3 3 10 22 3" xfId="27227" xr:uid="{00000000-0005-0000-0000-0000526A0000}"/>
    <cellStyle name="Normal 3 3 10 23" xfId="27228" xr:uid="{00000000-0005-0000-0000-0000536A0000}"/>
    <cellStyle name="Normal 3 3 10 23 2" xfId="27229" xr:uid="{00000000-0005-0000-0000-0000546A0000}"/>
    <cellStyle name="Normal 3 3 10 23 3" xfId="27230" xr:uid="{00000000-0005-0000-0000-0000556A0000}"/>
    <cellStyle name="Normal 3 3 10 24" xfId="27231" xr:uid="{00000000-0005-0000-0000-0000566A0000}"/>
    <cellStyle name="Normal 3 3 10 25" xfId="27232" xr:uid="{00000000-0005-0000-0000-0000576A0000}"/>
    <cellStyle name="Normal 3 3 10 3" xfId="27233" xr:uid="{00000000-0005-0000-0000-0000586A0000}"/>
    <cellStyle name="Normal 3 3 10 3 10" xfId="27234" xr:uid="{00000000-0005-0000-0000-0000596A0000}"/>
    <cellStyle name="Normal 3 3 10 3 10 2" xfId="27235" xr:uid="{00000000-0005-0000-0000-00005A6A0000}"/>
    <cellStyle name="Normal 3 3 10 3 10 3" xfId="27236" xr:uid="{00000000-0005-0000-0000-00005B6A0000}"/>
    <cellStyle name="Normal 3 3 10 3 11" xfId="27237" xr:uid="{00000000-0005-0000-0000-00005C6A0000}"/>
    <cellStyle name="Normal 3 3 10 3 11 2" xfId="27238" xr:uid="{00000000-0005-0000-0000-00005D6A0000}"/>
    <cellStyle name="Normal 3 3 10 3 11 3" xfId="27239" xr:uid="{00000000-0005-0000-0000-00005E6A0000}"/>
    <cellStyle name="Normal 3 3 10 3 12" xfId="27240" xr:uid="{00000000-0005-0000-0000-00005F6A0000}"/>
    <cellStyle name="Normal 3 3 10 3 12 2" xfId="27241" xr:uid="{00000000-0005-0000-0000-0000606A0000}"/>
    <cellStyle name="Normal 3 3 10 3 12 3" xfId="27242" xr:uid="{00000000-0005-0000-0000-0000616A0000}"/>
    <cellStyle name="Normal 3 3 10 3 13" xfId="27243" xr:uid="{00000000-0005-0000-0000-0000626A0000}"/>
    <cellStyle name="Normal 3 3 10 3 13 2" xfId="27244" xr:uid="{00000000-0005-0000-0000-0000636A0000}"/>
    <cellStyle name="Normal 3 3 10 3 13 3" xfId="27245" xr:uid="{00000000-0005-0000-0000-0000646A0000}"/>
    <cellStyle name="Normal 3 3 10 3 14" xfId="27246" xr:uid="{00000000-0005-0000-0000-0000656A0000}"/>
    <cellStyle name="Normal 3 3 10 3 14 2" xfId="27247" xr:uid="{00000000-0005-0000-0000-0000666A0000}"/>
    <cellStyle name="Normal 3 3 10 3 14 3" xfId="27248" xr:uid="{00000000-0005-0000-0000-0000676A0000}"/>
    <cellStyle name="Normal 3 3 10 3 15" xfId="27249" xr:uid="{00000000-0005-0000-0000-0000686A0000}"/>
    <cellStyle name="Normal 3 3 10 3 15 2" xfId="27250" xr:uid="{00000000-0005-0000-0000-0000696A0000}"/>
    <cellStyle name="Normal 3 3 10 3 15 3" xfId="27251" xr:uid="{00000000-0005-0000-0000-00006A6A0000}"/>
    <cellStyle name="Normal 3 3 10 3 16" xfId="27252" xr:uid="{00000000-0005-0000-0000-00006B6A0000}"/>
    <cellStyle name="Normal 3 3 10 3 17" xfId="27253" xr:uid="{00000000-0005-0000-0000-00006C6A0000}"/>
    <cellStyle name="Normal 3 3 10 3 2" xfId="27254" xr:uid="{00000000-0005-0000-0000-00006D6A0000}"/>
    <cellStyle name="Normal 3 3 10 3 2 10" xfId="27255" xr:uid="{00000000-0005-0000-0000-00006E6A0000}"/>
    <cellStyle name="Normal 3 3 10 3 2 10 2" xfId="27256" xr:uid="{00000000-0005-0000-0000-00006F6A0000}"/>
    <cellStyle name="Normal 3 3 10 3 2 10 3" xfId="27257" xr:uid="{00000000-0005-0000-0000-0000706A0000}"/>
    <cellStyle name="Normal 3 3 10 3 2 11" xfId="27258" xr:uid="{00000000-0005-0000-0000-0000716A0000}"/>
    <cellStyle name="Normal 3 3 10 3 2 11 2" xfId="27259" xr:uid="{00000000-0005-0000-0000-0000726A0000}"/>
    <cellStyle name="Normal 3 3 10 3 2 11 3" xfId="27260" xr:uid="{00000000-0005-0000-0000-0000736A0000}"/>
    <cellStyle name="Normal 3 3 10 3 2 12" xfId="27261" xr:uid="{00000000-0005-0000-0000-0000746A0000}"/>
    <cellStyle name="Normal 3 3 10 3 2 12 2" xfId="27262" xr:uid="{00000000-0005-0000-0000-0000756A0000}"/>
    <cellStyle name="Normal 3 3 10 3 2 12 3" xfId="27263" xr:uid="{00000000-0005-0000-0000-0000766A0000}"/>
    <cellStyle name="Normal 3 3 10 3 2 13" xfId="27264" xr:uid="{00000000-0005-0000-0000-0000776A0000}"/>
    <cellStyle name="Normal 3 3 10 3 2 13 2" xfId="27265" xr:uid="{00000000-0005-0000-0000-0000786A0000}"/>
    <cellStyle name="Normal 3 3 10 3 2 13 3" xfId="27266" xr:uid="{00000000-0005-0000-0000-0000796A0000}"/>
    <cellStyle name="Normal 3 3 10 3 2 14" xfId="27267" xr:uid="{00000000-0005-0000-0000-00007A6A0000}"/>
    <cellStyle name="Normal 3 3 10 3 2 14 2" xfId="27268" xr:uid="{00000000-0005-0000-0000-00007B6A0000}"/>
    <cellStyle name="Normal 3 3 10 3 2 14 3" xfId="27269" xr:uid="{00000000-0005-0000-0000-00007C6A0000}"/>
    <cellStyle name="Normal 3 3 10 3 2 15" xfId="27270" xr:uid="{00000000-0005-0000-0000-00007D6A0000}"/>
    <cellStyle name="Normal 3 3 10 3 2 16" xfId="27271" xr:uid="{00000000-0005-0000-0000-00007E6A0000}"/>
    <cellStyle name="Normal 3 3 10 3 2 2" xfId="27272" xr:uid="{00000000-0005-0000-0000-00007F6A0000}"/>
    <cellStyle name="Normal 3 3 10 3 2 2 2" xfId="27273" xr:uid="{00000000-0005-0000-0000-0000806A0000}"/>
    <cellStyle name="Normal 3 3 10 3 2 2 3" xfId="27274" xr:uid="{00000000-0005-0000-0000-0000816A0000}"/>
    <cellStyle name="Normal 3 3 10 3 2 3" xfId="27275" xr:uid="{00000000-0005-0000-0000-0000826A0000}"/>
    <cellStyle name="Normal 3 3 10 3 2 3 2" xfId="27276" xr:uid="{00000000-0005-0000-0000-0000836A0000}"/>
    <cellStyle name="Normal 3 3 10 3 2 3 3" xfId="27277" xr:uid="{00000000-0005-0000-0000-0000846A0000}"/>
    <cellStyle name="Normal 3 3 10 3 2 4" xfId="27278" xr:uid="{00000000-0005-0000-0000-0000856A0000}"/>
    <cellStyle name="Normal 3 3 10 3 2 4 2" xfId="27279" xr:uid="{00000000-0005-0000-0000-0000866A0000}"/>
    <cellStyle name="Normal 3 3 10 3 2 4 3" xfId="27280" xr:uid="{00000000-0005-0000-0000-0000876A0000}"/>
    <cellStyle name="Normal 3 3 10 3 2 5" xfId="27281" xr:uid="{00000000-0005-0000-0000-0000886A0000}"/>
    <cellStyle name="Normal 3 3 10 3 2 5 2" xfId="27282" xr:uid="{00000000-0005-0000-0000-0000896A0000}"/>
    <cellStyle name="Normal 3 3 10 3 2 5 3" xfId="27283" xr:uid="{00000000-0005-0000-0000-00008A6A0000}"/>
    <cellStyle name="Normal 3 3 10 3 2 6" xfId="27284" xr:uid="{00000000-0005-0000-0000-00008B6A0000}"/>
    <cellStyle name="Normal 3 3 10 3 2 6 2" xfId="27285" xr:uid="{00000000-0005-0000-0000-00008C6A0000}"/>
    <cellStyle name="Normal 3 3 10 3 2 6 3" xfId="27286" xr:uid="{00000000-0005-0000-0000-00008D6A0000}"/>
    <cellStyle name="Normal 3 3 10 3 2 7" xfId="27287" xr:uid="{00000000-0005-0000-0000-00008E6A0000}"/>
    <cellStyle name="Normal 3 3 10 3 2 7 2" xfId="27288" xr:uid="{00000000-0005-0000-0000-00008F6A0000}"/>
    <cellStyle name="Normal 3 3 10 3 2 7 3" xfId="27289" xr:uid="{00000000-0005-0000-0000-0000906A0000}"/>
    <cellStyle name="Normal 3 3 10 3 2 8" xfId="27290" xr:uid="{00000000-0005-0000-0000-0000916A0000}"/>
    <cellStyle name="Normal 3 3 10 3 2 8 2" xfId="27291" xr:uid="{00000000-0005-0000-0000-0000926A0000}"/>
    <cellStyle name="Normal 3 3 10 3 2 8 3" xfId="27292" xr:uid="{00000000-0005-0000-0000-0000936A0000}"/>
    <cellStyle name="Normal 3 3 10 3 2 9" xfId="27293" xr:uid="{00000000-0005-0000-0000-0000946A0000}"/>
    <cellStyle name="Normal 3 3 10 3 2 9 2" xfId="27294" xr:uid="{00000000-0005-0000-0000-0000956A0000}"/>
    <cellStyle name="Normal 3 3 10 3 2 9 3" xfId="27295" xr:uid="{00000000-0005-0000-0000-0000966A0000}"/>
    <cellStyle name="Normal 3 3 10 3 3" xfId="27296" xr:uid="{00000000-0005-0000-0000-0000976A0000}"/>
    <cellStyle name="Normal 3 3 10 3 3 2" xfId="27297" xr:uid="{00000000-0005-0000-0000-0000986A0000}"/>
    <cellStyle name="Normal 3 3 10 3 3 3" xfId="27298" xr:uid="{00000000-0005-0000-0000-0000996A0000}"/>
    <cellStyle name="Normal 3 3 10 3 4" xfId="27299" xr:uid="{00000000-0005-0000-0000-00009A6A0000}"/>
    <cellStyle name="Normal 3 3 10 3 4 2" xfId="27300" xr:uid="{00000000-0005-0000-0000-00009B6A0000}"/>
    <cellStyle name="Normal 3 3 10 3 4 3" xfId="27301" xr:uid="{00000000-0005-0000-0000-00009C6A0000}"/>
    <cellStyle name="Normal 3 3 10 3 5" xfId="27302" xr:uid="{00000000-0005-0000-0000-00009D6A0000}"/>
    <cellStyle name="Normal 3 3 10 3 5 2" xfId="27303" xr:uid="{00000000-0005-0000-0000-00009E6A0000}"/>
    <cellStyle name="Normal 3 3 10 3 5 3" xfId="27304" xr:uid="{00000000-0005-0000-0000-00009F6A0000}"/>
    <cellStyle name="Normal 3 3 10 3 6" xfId="27305" xr:uid="{00000000-0005-0000-0000-0000A06A0000}"/>
    <cellStyle name="Normal 3 3 10 3 6 2" xfId="27306" xr:uid="{00000000-0005-0000-0000-0000A16A0000}"/>
    <cellStyle name="Normal 3 3 10 3 6 3" xfId="27307" xr:uid="{00000000-0005-0000-0000-0000A26A0000}"/>
    <cellStyle name="Normal 3 3 10 3 7" xfId="27308" xr:uid="{00000000-0005-0000-0000-0000A36A0000}"/>
    <cellStyle name="Normal 3 3 10 3 7 2" xfId="27309" xr:uid="{00000000-0005-0000-0000-0000A46A0000}"/>
    <cellStyle name="Normal 3 3 10 3 7 3" xfId="27310" xr:uid="{00000000-0005-0000-0000-0000A56A0000}"/>
    <cellStyle name="Normal 3 3 10 3 8" xfId="27311" xr:uid="{00000000-0005-0000-0000-0000A66A0000}"/>
    <cellStyle name="Normal 3 3 10 3 8 2" xfId="27312" xr:uid="{00000000-0005-0000-0000-0000A76A0000}"/>
    <cellStyle name="Normal 3 3 10 3 8 3" xfId="27313" xr:uid="{00000000-0005-0000-0000-0000A86A0000}"/>
    <cellStyle name="Normal 3 3 10 3 9" xfId="27314" xr:uid="{00000000-0005-0000-0000-0000A96A0000}"/>
    <cellStyle name="Normal 3 3 10 3 9 2" xfId="27315" xr:uid="{00000000-0005-0000-0000-0000AA6A0000}"/>
    <cellStyle name="Normal 3 3 10 3 9 3" xfId="27316" xr:uid="{00000000-0005-0000-0000-0000AB6A0000}"/>
    <cellStyle name="Normal 3 3 10 4" xfId="27317" xr:uid="{00000000-0005-0000-0000-0000AC6A0000}"/>
    <cellStyle name="Normal 3 3 10 4 10" xfId="27318" xr:uid="{00000000-0005-0000-0000-0000AD6A0000}"/>
    <cellStyle name="Normal 3 3 10 4 10 2" xfId="27319" xr:uid="{00000000-0005-0000-0000-0000AE6A0000}"/>
    <cellStyle name="Normal 3 3 10 4 10 3" xfId="27320" xr:uid="{00000000-0005-0000-0000-0000AF6A0000}"/>
    <cellStyle name="Normal 3 3 10 4 11" xfId="27321" xr:uid="{00000000-0005-0000-0000-0000B06A0000}"/>
    <cellStyle name="Normal 3 3 10 4 11 2" xfId="27322" xr:uid="{00000000-0005-0000-0000-0000B16A0000}"/>
    <cellStyle name="Normal 3 3 10 4 11 3" xfId="27323" xr:uid="{00000000-0005-0000-0000-0000B26A0000}"/>
    <cellStyle name="Normal 3 3 10 4 12" xfId="27324" xr:uid="{00000000-0005-0000-0000-0000B36A0000}"/>
    <cellStyle name="Normal 3 3 10 4 12 2" xfId="27325" xr:uid="{00000000-0005-0000-0000-0000B46A0000}"/>
    <cellStyle name="Normal 3 3 10 4 12 3" xfId="27326" xr:uid="{00000000-0005-0000-0000-0000B56A0000}"/>
    <cellStyle name="Normal 3 3 10 4 13" xfId="27327" xr:uid="{00000000-0005-0000-0000-0000B66A0000}"/>
    <cellStyle name="Normal 3 3 10 4 13 2" xfId="27328" xr:uid="{00000000-0005-0000-0000-0000B76A0000}"/>
    <cellStyle name="Normal 3 3 10 4 13 3" xfId="27329" xr:uid="{00000000-0005-0000-0000-0000B86A0000}"/>
    <cellStyle name="Normal 3 3 10 4 14" xfId="27330" xr:uid="{00000000-0005-0000-0000-0000B96A0000}"/>
    <cellStyle name="Normal 3 3 10 4 14 2" xfId="27331" xr:uid="{00000000-0005-0000-0000-0000BA6A0000}"/>
    <cellStyle name="Normal 3 3 10 4 14 3" xfId="27332" xr:uid="{00000000-0005-0000-0000-0000BB6A0000}"/>
    <cellStyle name="Normal 3 3 10 4 15" xfId="27333" xr:uid="{00000000-0005-0000-0000-0000BC6A0000}"/>
    <cellStyle name="Normal 3 3 10 4 15 2" xfId="27334" xr:uid="{00000000-0005-0000-0000-0000BD6A0000}"/>
    <cellStyle name="Normal 3 3 10 4 15 3" xfId="27335" xr:uid="{00000000-0005-0000-0000-0000BE6A0000}"/>
    <cellStyle name="Normal 3 3 10 4 16" xfId="27336" xr:uid="{00000000-0005-0000-0000-0000BF6A0000}"/>
    <cellStyle name="Normal 3 3 10 4 17" xfId="27337" xr:uid="{00000000-0005-0000-0000-0000C06A0000}"/>
    <cellStyle name="Normal 3 3 10 4 2" xfId="27338" xr:uid="{00000000-0005-0000-0000-0000C16A0000}"/>
    <cellStyle name="Normal 3 3 10 4 2 10" xfId="27339" xr:uid="{00000000-0005-0000-0000-0000C26A0000}"/>
    <cellStyle name="Normal 3 3 10 4 2 10 2" xfId="27340" xr:uid="{00000000-0005-0000-0000-0000C36A0000}"/>
    <cellStyle name="Normal 3 3 10 4 2 10 3" xfId="27341" xr:uid="{00000000-0005-0000-0000-0000C46A0000}"/>
    <cellStyle name="Normal 3 3 10 4 2 11" xfId="27342" xr:uid="{00000000-0005-0000-0000-0000C56A0000}"/>
    <cellStyle name="Normal 3 3 10 4 2 11 2" xfId="27343" xr:uid="{00000000-0005-0000-0000-0000C66A0000}"/>
    <cellStyle name="Normal 3 3 10 4 2 11 3" xfId="27344" xr:uid="{00000000-0005-0000-0000-0000C76A0000}"/>
    <cellStyle name="Normal 3 3 10 4 2 12" xfId="27345" xr:uid="{00000000-0005-0000-0000-0000C86A0000}"/>
    <cellStyle name="Normal 3 3 10 4 2 12 2" xfId="27346" xr:uid="{00000000-0005-0000-0000-0000C96A0000}"/>
    <cellStyle name="Normal 3 3 10 4 2 12 3" xfId="27347" xr:uid="{00000000-0005-0000-0000-0000CA6A0000}"/>
    <cellStyle name="Normal 3 3 10 4 2 13" xfId="27348" xr:uid="{00000000-0005-0000-0000-0000CB6A0000}"/>
    <cellStyle name="Normal 3 3 10 4 2 13 2" xfId="27349" xr:uid="{00000000-0005-0000-0000-0000CC6A0000}"/>
    <cellStyle name="Normal 3 3 10 4 2 13 3" xfId="27350" xr:uid="{00000000-0005-0000-0000-0000CD6A0000}"/>
    <cellStyle name="Normal 3 3 10 4 2 14" xfId="27351" xr:uid="{00000000-0005-0000-0000-0000CE6A0000}"/>
    <cellStyle name="Normal 3 3 10 4 2 14 2" xfId="27352" xr:uid="{00000000-0005-0000-0000-0000CF6A0000}"/>
    <cellStyle name="Normal 3 3 10 4 2 14 3" xfId="27353" xr:uid="{00000000-0005-0000-0000-0000D06A0000}"/>
    <cellStyle name="Normal 3 3 10 4 2 15" xfId="27354" xr:uid="{00000000-0005-0000-0000-0000D16A0000}"/>
    <cellStyle name="Normal 3 3 10 4 2 16" xfId="27355" xr:uid="{00000000-0005-0000-0000-0000D26A0000}"/>
    <cellStyle name="Normal 3 3 10 4 2 2" xfId="27356" xr:uid="{00000000-0005-0000-0000-0000D36A0000}"/>
    <cellStyle name="Normal 3 3 10 4 2 2 2" xfId="27357" xr:uid="{00000000-0005-0000-0000-0000D46A0000}"/>
    <cellStyle name="Normal 3 3 10 4 2 2 3" xfId="27358" xr:uid="{00000000-0005-0000-0000-0000D56A0000}"/>
    <cellStyle name="Normal 3 3 10 4 2 3" xfId="27359" xr:uid="{00000000-0005-0000-0000-0000D66A0000}"/>
    <cellStyle name="Normal 3 3 10 4 2 3 2" xfId="27360" xr:uid="{00000000-0005-0000-0000-0000D76A0000}"/>
    <cellStyle name="Normal 3 3 10 4 2 3 3" xfId="27361" xr:uid="{00000000-0005-0000-0000-0000D86A0000}"/>
    <cellStyle name="Normal 3 3 10 4 2 4" xfId="27362" xr:uid="{00000000-0005-0000-0000-0000D96A0000}"/>
    <cellStyle name="Normal 3 3 10 4 2 4 2" xfId="27363" xr:uid="{00000000-0005-0000-0000-0000DA6A0000}"/>
    <cellStyle name="Normal 3 3 10 4 2 4 3" xfId="27364" xr:uid="{00000000-0005-0000-0000-0000DB6A0000}"/>
    <cellStyle name="Normal 3 3 10 4 2 5" xfId="27365" xr:uid="{00000000-0005-0000-0000-0000DC6A0000}"/>
    <cellStyle name="Normal 3 3 10 4 2 5 2" xfId="27366" xr:uid="{00000000-0005-0000-0000-0000DD6A0000}"/>
    <cellStyle name="Normal 3 3 10 4 2 5 3" xfId="27367" xr:uid="{00000000-0005-0000-0000-0000DE6A0000}"/>
    <cellStyle name="Normal 3 3 10 4 2 6" xfId="27368" xr:uid="{00000000-0005-0000-0000-0000DF6A0000}"/>
    <cellStyle name="Normal 3 3 10 4 2 6 2" xfId="27369" xr:uid="{00000000-0005-0000-0000-0000E06A0000}"/>
    <cellStyle name="Normal 3 3 10 4 2 6 3" xfId="27370" xr:uid="{00000000-0005-0000-0000-0000E16A0000}"/>
    <cellStyle name="Normal 3 3 10 4 2 7" xfId="27371" xr:uid="{00000000-0005-0000-0000-0000E26A0000}"/>
    <cellStyle name="Normal 3 3 10 4 2 7 2" xfId="27372" xr:uid="{00000000-0005-0000-0000-0000E36A0000}"/>
    <cellStyle name="Normal 3 3 10 4 2 7 3" xfId="27373" xr:uid="{00000000-0005-0000-0000-0000E46A0000}"/>
    <cellStyle name="Normal 3 3 10 4 2 8" xfId="27374" xr:uid="{00000000-0005-0000-0000-0000E56A0000}"/>
    <cellStyle name="Normal 3 3 10 4 2 8 2" xfId="27375" xr:uid="{00000000-0005-0000-0000-0000E66A0000}"/>
    <cellStyle name="Normal 3 3 10 4 2 8 3" xfId="27376" xr:uid="{00000000-0005-0000-0000-0000E76A0000}"/>
    <cellStyle name="Normal 3 3 10 4 2 9" xfId="27377" xr:uid="{00000000-0005-0000-0000-0000E86A0000}"/>
    <cellStyle name="Normal 3 3 10 4 2 9 2" xfId="27378" xr:uid="{00000000-0005-0000-0000-0000E96A0000}"/>
    <cellStyle name="Normal 3 3 10 4 2 9 3" xfId="27379" xr:uid="{00000000-0005-0000-0000-0000EA6A0000}"/>
    <cellStyle name="Normal 3 3 10 4 3" xfId="27380" xr:uid="{00000000-0005-0000-0000-0000EB6A0000}"/>
    <cellStyle name="Normal 3 3 10 4 3 2" xfId="27381" xr:uid="{00000000-0005-0000-0000-0000EC6A0000}"/>
    <cellStyle name="Normal 3 3 10 4 3 3" xfId="27382" xr:uid="{00000000-0005-0000-0000-0000ED6A0000}"/>
    <cellStyle name="Normal 3 3 10 4 4" xfId="27383" xr:uid="{00000000-0005-0000-0000-0000EE6A0000}"/>
    <cellStyle name="Normal 3 3 10 4 4 2" xfId="27384" xr:uid="{00000000-0005-0000-0000-0000EF6A0000}"/>
    <cellStyle name="Normal 3 3 10 4 4 3" xfId="27385" xr:uid="{00000000-0005-0000-0000-0000F06A0000}"/>
    <cellStyle name="Normal 3 3 10 4 5" xfId="27386" xr:uid="{00000000-0005-0000-0000-0000F16A0000}"/>
    <cellStyle name="Normal 3 3 10 4 5 2" xfId="27387" xr:uid="{00000000-0005-0000-0000-0000F26A0000}"/>
    <cellStyle name="Normal 3 3 10 4 5 3" xfId="27388" xr:uid="{00000000-0005-0000-0000-0000F36A0000}"/>
    <cellStyle name="Normal 3 3 10 4 6" xfId="27389" xr:uid="{00000000-0005-0000-0000-0000F46A0000}"/>
    <cellStyle name="Normal 3 3 10 4 6 2" xfId="27390" xr:uid="{00000000-0005-0000-0000-0000F56A0000}"/>
    <cellStyle name="Normal 3 3 10 4 6 3" xfId="27391" xr:uid="{00000000-0005-0000-0000-0000F66A0000}"/>
    <cellStyle name="Normal 3 3 10 4 7" xfId="27392" xr:uid="{00000000-0005-0000-0000-0000F76A0000}"/>
    <cellStyle name="Normal 3 3 10 4 7 2" xfId="27393" xr:uid="{00000000-0005-0000-0000-0000F86A0000}"/>
    <cellStyle name="Normal 3 3 10 4 7 3" xfId="27394" xr:uid="{00000000-0005-0000-0000-0000F96A0000}"/>
    <cellStyle name="Normal 3 3 10 4 8" xfId="27395" xr:uid="{00000000-0005-0000-0000-0000FA6A0000}"/>
    <cellStyle name="Normal 3 3 10 4 8 2" xfId="27396" xr:uid="{00000000-0005-0000-0000-0000FB6A0000}"/>
    <cellStyle name="Normal 3 3 10 4 8 3" xfId="27397" xr:uid="{00000000-0005-0000-0000-0000FC6A0000}"/>
    <cellStyle name="Normal 3 3 10 4 9" xfId="27398" xr:uid="{00000000-0005-0000-0000-0000FD6A0000}"/>
    <cellStyle name="Normal 3 3 10 4 9 2" xfId="27399" xr:uid="{00000000-0005-0000-0000-0000FE6A0000}"/>
    <cellStyle name="Normal 3 3 10 4 9 3" xfId="27400" xr:uid="{00000000-0005-0000-0000-0000FF6A0000}"/>
    <cellStyle name="Normal 3 3 10 5" xfId="27401" xr:uid="{00000000-0005-0000-0000-0000006B0000}"/>
    <cellStyle name="Normal 3 3 10 5 10" xfId="27402" xr:uid="{00000000-0005-0000-0000-0000016B0000}"/>
    <cellStyle name="Normal 3 3 10 5 10 2" xfId="27403" xr:uid="{00000000-0005-0000-0000-0000026B0000}"/>
    <cellStyle name="Normal 3 3 10 5 10 3" xfId="27404" xr:uid="{00000000-0005-0000-0000-0000036B0000}"/>
    <cellStyle name="Normal 3 3 10 5 11" xfId="27405" xr:uid="{00000000-0005-0000-0000-0000046B0000}"/>
    <cellStyle name="Normal 3 3 10 5 11 2" xfId="27406" xr:uid="{00000000-0005-0000-0000-0000056B0000}"/>
    <cellStyle name="Normal 3 3 10 5 11 3" xfId="27407" xr:uid="{00000000-0005-0000-0000-0000066B0000}"/>
    <cellStyle name="Normal 3 3 10 5 12" xfId="27408" xr:uid="{00000000-0005-0000-0000-0000076B0000}"/>
    <cellStyle name="Normal 3 3 10 5 12 2" xfId="27409" xr:uid="{00000000-0005-0000-0000-0000086B0000}"/>
    <cellStyle name="Normal 3 3 10 5 12 3" xfId="27410" xr:uid="{00000000-0005-0000-0000-0000096B0000}"/>
    <cellStyle name="Normal 3 3 10 5 13" xfId="27411" xr:uid="{00000000-0005-0000-0000-00000A6B0000}"/>
    <cellStyle name="Normal 3 3 10 5 13 2" xfId="27412" xr:uid="{00000000-0005-0000-0000-00000B6B0000}"/>
    <cellStyle name="Normal 3 3 10 5 13 3" xfId="27413" xr:uid="{00000000-0005-0000-0000-00000C6B0000}"/>
    <cellStyle name="Normal 3 3 10 5 14" xfId="27414" xr:uid="{00000000-0005-0000-0000-00000D6B0000}"/>
    <cellStyle name="Normal 3 3 10 5 14 2" xfId="27415" xr:uid="{00000000-0005-0000-0000-00000E6B0000}"/>
    <cellStyle name="Normal 3 3 10 5 14 3" xfId="27416" xr:uid="{00000000-0005-0000-0000-00000F6B0000}"/>
    <cellStyle name="Normal 3 3 10 5 15" xfId="27417" xr:uid="{00000000-0005-0000-0000-0000106B0000}"/>
    <cellStyle name="Normal 3 3 10 5 16" xfId="27418" xr:uid="{00000000-0005-0000-0000-0000116B0000}"/>
    <cellStyle name="Normal 3 3 10 5 2" xfId="27419" xr:uid="{00000000-0005-0000-0000-0000126B0000}"/>
    <cellStyle name="Normal 3 3 10 5 2 2" xfId="27420" xr:uid="{00000000-0005-0000-0000-0000136B0000}"/>
    <cellStyle name="Normal 3 3 10 5 2 3" xfId="27421" xr:uid="{00000000-0005-0000-0000-0000146B0000}"/>
    <cellStyle name="Normal 3 3 10 5 3" xfId="27422" xr:uid="{00000000-0005-0000-0000-0000156B0000}"/>
    <cellStyle name="Normal 3 3 10 5 3 2" xfId="27423" xr:uid="{00000000-0005-0000-0000-0000166B0000}"/>
    <cellStyle name="Normal 3 3 10 5 3 3" xfId="27424" xr:uid="{00000000-0005-0000-0000-0000176B0000}"/>
    <cellStyle name="Normal 3 3 10 5 4" xfId="27425" xr:uid="{00000000-0005-0000-0000-0000186B0000}"/>
    <cellStyle name="Normal 3 3 10 5 4 2" xfId="27426" xr:uid="{00000000-0005-0000-0000-0000196B0000}"/>
    <cellStyle name="Normal 3 3 10 5 4 3" xfId="27427" xr:uid="{00000000-0005-0000-0000-00001A6B0000}"/>
    <cellStyle name="Normal 3 3 10 5 5" xfId="27428" xr:uid="{00000000-0005-0000-0000-00001B6B0000}"/>
    <cellStyle name="Normal 3 3 10 5 5 2" xfId="27429" xr:uid="{00000000-0005-0000-0000-00001C6B0000}"/>
    <cellStyle name="Normal 3 3 10 5 5 3" xfId="27430" xr:uid="{00000000-0005-0000-0000-00001D6B0000}"/>
    <cellStyle name="Normal 3 3 10 5 6" xfId="27431" xr:uid="{00000000-0005-0000-0000-00001E6B0000}"/>
    <cellStyle name="Normal 3 3 10 5 6 2" xfId="27432" xr:uid="{00000000-0005-0000-0000-00001F6B0000}"/>
    <cellStyle name="Normal 3 3 10 5 6 3" xfId="27433" xr:uid="{00000000-0005-0000-0000-0000206B0000}"/>
    <cellStyle name="Normal 3 3 10 5 7" xfId="27434" xr:uid="{00000000-0005-0000-0000-0000216B0000}"/>
    <cellStyle name="Normal 3 3 10 5 7 2" xfId="27435" xr:uid="{00000000-0005-0000-0000-0000226B0000}"/>
    <cellStyle name="Normal 3 3 10 5 7 3" xfId="27436" xr:uid="{00000000-0005-0000-0000-0000236B0000}"/>
    <cellStyle name="Normal 3 3 10 5 8" xfId="27437" xr:uid="{00000000-0005-0000-0000-0000246B0000}"/>
    <cellStyle name="Normal 3 3 10 5 8 2" xfId="27438" xr:uid="{00000000-0005-0000-0000-0000256B0000}"/>
    <cellStyle name="Normal 3 3 10 5 8 3" xfId="27439" xr:uid="{00000000-0005-0000-0000-0000266B0000}"/>
    <cellStyle name="Normal 3 3 10 5 9" xfId="27440" xr:uid="{00000000-0005-0000-0000-0000276B0000}"/>
    <cellStyle name="Normal 3 3 10 5 9 2" xfId="27441" xr:uid="{00000000-0005-0000-0000-0000286B0000}"/>
    <cellStyle name="Normal 3 3 10 5 9 3" xfId="27442" xr:uid="{00000000-0005-0000-0000-0000296B0000}"/>
    <cellStyle name="Normal 3 3 10 6" xfId="27443" xr:uid="{00000000-0005-0000-0000-00002A6B0000}"/>
    <cellStyle name="Normal 3 3 10 6 10" xfId="27444" xr:uid="{00000000-0005-0000-0000-00002B6B0000}"/>
    <cellStyle name="Normal 3 3 10 6 10 2" xfId="27445" xr:uid="{00000000-0005-0000-0000-00002C6B0000}"/>
    <cellStyle name="Normal 3 3 10 6 10 3" xfId="27446" xr:uid="{00000000-0005-0000-0000-00002D6B0000}"/>
    <cellStyle name="Normal 3 3 10 6 11" xfId="27447" xr:uid="{00000000-0005-0000-0000-00002E6B0000}"/>
    <cellStyle name="Normal 3 3 10 6 11 2" xfId="27448" xr:uid="{00000000-0005-0000-0000-00002F6B0000}"/>
    <cellStyle name="Normal 3 3 10 6 11 3" xfId="27449" xr:uid="{00000000-0005-0000-0000-0000306B0000}"/>
    <cellStyle name="Normal 3 3 10 6 12" xfId="27450" xr:uid="{00000000-0005-0000-0000-0000316B0000}"/>
    <cellStyle name="Normal 3 3 10 6 12 2" xfId="27451" xr:uid="{00000000-0005-0000-0000-0000326B0000}"/>
    <cellStyle name="Normal 3 3 10 6 12 3" xfId="27452" xr:uid="{00000000-0005-0000-0000-0000336B0000}"/>
    <cellStyle name="Normal 3 3 10 6 13" xfId="27453" xr:uid="{00000000-0005-0000-0000-0000346B0000}"/>
    <cellStyle name="Normal 3 3 10 6 13 2" xfId="27454" xr:uid="{00000000-0005-0000-0000-0000356B0000}"/>
    <cellStyle name="Normal 3 3 10 6 13 3" xfId="27455" xr:uid="{00000000-0005-0000-0000-0000366B0000}"/>
    <cellStyle name="Normal 3 3 10 6 14" xfId="27456" xr:uid="{00000000-0005-0000-0000-0000376B0000}"/>
    <cellStyle name="Normal 3 3 10 6 14 2" xfId="27457" xr:uid="{00000000-0005-0000-0000-0000386B0000}"/>
    <cellStyle name="Normal 3 3 10 6 14 3" xfId="27458" xr:uid="{00000000-0005-0000-0000-0000396B0000}"/>
    <cellStyle name="Normal 3 3 10 6 15" xfId="27459" xr:uid="{00000000-0005-0000-0000-00003A6B0000}"/>
    <cellStyle name="Normal 3 3 10 6 16" xfId="27460" xr:uid="{00000000-0005-0000-0000-00003B6B0000}"/>
    <cellStyle name="Normal 3 3 10 6 2" xfId="27461" xr:uid="{00000000-0005-0000-0000-00003C6B0000}"/>
    <cellStyle name="Normal 3 3 10 6 2 2" xfId="27462" xr:uid="{00000000-0005-0000-0000-00003D6B0000}"/>
    <cellStyle name="Normal 3 3 10 6 2 3" xfId="27463" xr:uid="{00000000-0005-0000-0000-00003E6B0000}"/>
    <cellStyle name="Normal 3 3 10 6 3" xfId="27464" xr:uid="{00000000-0005-0000-0000-00003F6B0000}"/>
    <cellStyle name="Normal 3 3 10 6 3 2" xfId="27465" xr:uid="{00000000-0005-0000-0000-0000406B0000}"/>
    <cellStyle name="Normal 3 3 10 6 3 3" xfId="27466" xr:uid="{00000000-0005-0000-0000-0000416B0000}"/>
    <cellStyle name="Normal 3 3 10 6 4" xfId="27467" xr:uid="{00000000-0005-0000-0000-0000426B0000}"/>
    <cellStyle name="Normal 3 3 10 6 4 2" xfId="27468" xr:uid="{00000000-0005-0000-0000-0000436B0000}"/>
    <cellStyle name="Normal 3 3 10 6 4 3" xfId="27469" xr:uid="{00000000-0005-0000-0000-0000446B0000}"/>
    <cellStyle name="Normal 3 3 10 6 5" xfId="27470" xr:uid="{00000000-0005-0000-0000-0000456B0000}"/>
    <cellStyle name="Normal 3 3 10 6 5 2" xfId="27471" xr:uid="{00000000-0005-0000-0000-0000466B0000}"/>
    <cellStyle name="Normal 3 3 10 6 5 3" xfId="27472" xr:uid="{00000000-0005-0000-0000-0000476B0000}"/>
    <cellStyle name="Normal 3 3 10 6 6" xfId="27473" xr:uid="{00000000-0005-0000-0000-0000486B0000}"/>
    <cellStyle name="Normal 3 3 10 6 6 2" xfId="27474" xr:uid="{00000000-0005-0000-0000-0000496B0000}"/>
    <cellStyle name="Normal 3 3 10 6 6 3" xfId="27475" xr:uid="{00000000-0005-0000-0000-00004A6B0000}"/>
    <cellStyle name="Normal 3 3 10 6 7" xfId="27476" xr:uid="{00000000-0005-0000-0000-00004B6B0000}"/>
    <cellStyle name="Normal 3 3 10 6 7 2" xfId="27477" xr:uid="{00000000-0005-0000-0000-00004C6B0000}"/>
    <cellStyle name="Normal 3 3 10 6 7 3" xfId="27478" xr:uid="{00000000-0005-0000-0000-00004D6B0000}"/>
    <cellStyle name="Normal 3 3 10 6 8" xfId="27479" xr:uid="{00000000-0005-0000-0000-00004E6B0000}"/>
    <cellStyle name="Normal 3 3 10 6 8 2" xfId="27480" xr:uid="{00000000-0005-0000-0000-00004F6B0000}"/>
    <cellStyle name="Normal 3 3 10 6 8 3" xfId="27481" xr:uid="{00000000-0005-0000-0000-0000506B0000}"/>
    <cellStyle name="Normal 3 3 10 6 9" xfId="27482" xr:uid="{00000000-0005-0000-0000-0000516B0000}"/>
    <cellStyle name="Normal 3 3 10 6 9 2" xfId="27483" xr:uid="{00000000-0005-0000-0000-0000526B0000}"/>
    <cellStyle name="Normal 3 3 10 6 9 3" xfId="27484" xr:uid="{00000000-0005-0000-0000-0000536B0000}"/>
    <cellStyle name="Normal 3 3 10 7" xfId="27485" xr:uid="{00000000-0005-0000-0000-0000546B0000}"/>
    <cellStyle name="Normal 3 3 10 7 10" xfId="27486" xr:uid="{00000000-0005-0000-0000-0000556B0000}"/>
    <cellStyle name="Normal 3 3 10 7 10 2" xfId="27487" xr:uid="{00000000-0005-0000-0000-0000566B0000}"/>
    <cellStyle name="Normal 3 3 10 7 10 3" xfId="27488" xr:uid="{00000000-0005-0000-0000-0000576B0000}"/>
    <cellStyle name="Normal 3 3 10 7 11" xfId="27489" xr:uid="{00000000-0005-0000-0000-0000586B0000}"/>
    <cellStyle name="Normal 3 3 10 7 11 2" xfId="27490" xr:uid="{00000000-0005-0000-0000-0000596B0000}"/>
    <cellStyle name="Normal 3 3 10 7 11 3" xfId="27491" xr:uid="{00000000-0005-0000-0000-00005A6B0000}"/>
    <cellStyle name="Normal 3 3 10 7 12" xfId="27492" xr:uid="{00000000-0005-0000-0000-00005B6B0000}"/>
    <cellStyle name="Normal 3 3 10 7 12 2" xfId="27493" xr:uid="{00000000-0005-0000-0000-00005C6B0000}"/>
    <cellStyle name="Normal 3 3 10 7 12 3" xfId="27494" xr:uid="{00000000-0005-0000-0000-00005D6B0000}"/>
    <cellStyle name="Normal 3 3 10 7 13" xfId="27495" xr:uid="{00000000-0005-0000-0000-00005E6B0000}"/>
    <cellStyle name="Normal 3 3 10 7 13 2" xfId="27496" xr:uid="{00000000-0005-0000-0000-00005F6B0000}"/>
    <cellStyle name="Normal 3 3 10 7 13 3" xfId="27497" xr:uid="{00000000-0005-0000-0000-0000606B0000}"/>
    <cellStyle name="Normal 3 3 10 7 14" xfId="27498" xr:uid="{00000000-0005-0000-0000-0000616B0000}"/>
    <cellStyle name="Normal 3 3 10 7 14 2" xfId="27499" xr:uid="{00000000-0005-0000-0000-0000626B0000}"/>
    <cellStyle name="Normal 3 3 10 7 14 3" xfId="27500" xr:uid="{00000000-0005-0000-0000-0000636B0000}"/>
    <cellStyle name="Normal 3 3 10 7 15" xfId="27501" xr:uid="{00000000-0005-0000-0000-0000646B0000}"/>
    <cellStyle name="Normal 3 3 10 7 16" xfId="27502" xr:uid="{00000000-0005-0000-0000-0000656B0000}"/>
    <cellStyle name="Normal 3 3 10 7 2" xfId="27503" xr:uid="{00000000-0005-0000-0000-0000666B0000}"/>
    <cellStyle name="Normal 3 3 10 7 2 2" xfId="27504" xr:uid="{00000000-0005-0000-0000-0000676B0000}"/>
    <cellStyle name="Normal 3 3 10 7 2 3" xfId="27505" xr:uid="{00000000-0005-0000-0000-0000686B0000}"/>
    <cellStyle name="Normal 3 3 10 7 3" xfId="27506" xr:uid="{00000000-0005-0000-0000-0000696B0000}"/>
    <cellStyle name="Normal 3 3 10 7 3 2" xfId="27507" xr:uid="{00000000-0005-0000-0000-00006A6B0000}"/>
    <cellStyle name="Normal 3 3 10 7 3 3" xfId="27508" xr:uid="{00000000-0005-0000-0000-00006B6B0000}"/>
    <cellStyle name="Normal 3 3 10 7 4" xfId="27509" xr:uid="{00000000-0005-0000-0000-00006C6B0000}"/>
    <cellStyle name="Normal 3 3 10 7 4 2" xfId="27510" xr:uid="{00000000-0005-0000-0000-00006D6B0000}"/>
    <cellStyle name="Normal 3 3 10 7 4 3" xfId="27511" xr:uid="{00000000-0005-0000-0000-00006E6B0000}"/>
    <cellStyle name="Normal 3 3 10 7 5" xfId="27512" xr:uid="{00000000-0005-0000-0000-00006F6B0000}"/>
    <cellStyle name="Normal 3 3 10 7 5 2" xfId="27513" xr:uid="{00000000-0005-0000-0000-0000706B0000}"/>
    <cellStyle name="Normal 3 3 10 7 5 3" xfId="27514" xr:uid="{00000000-0005-0000-0000-0000716B0000}"/>
    <cellStyle name="Normal 3 3 10 7 6" xfId="27515" xr:uid="{00000000-0005-0000-0000-0000726B0000}"/>
    <cellStyle name="Normal 3 3 10 7 6 2" xfId="27516" xr:uid="{00000000-0005-0000-0000-0000736B0000}"/>
    <cellStyle name="Normal 3 3 10 7 6 3" xfId="27517" xr:uid="{00000000-0005-0000-0000-0000746B0000}"/>
    <cellStyle name="Normal 3 3 10 7 7" xfId="27518" xr:uid="{00000000-0005-0000-0000-0000756B0000}"/>
    <cellStyle name="Normal 3 3 10 7 7 2" xfId="27519" xr:uid="{00000000-0005-0000-0000-0000766B0000}"/>
    <cellStyle name="Normal 3 3 10 7 7 3" xfId="27520" xr:uid="{00000000-0005-0000-0000-0000776B0000}"/>
    <cellStyle name="Normal 3 3 10 7 8" xfId="27521" xr:uid="{00000000-0005-0000-0000-0000786B0000}"/>
    <cellStyle name="Normal 3 3 10 7 8 2" xfId="27522" xr:uid="{00000000-0005-0000-0000-0000796B0000}"/>
    <cellStyle name="Normal 3 3 10 7 8 3" xfId="27523" xr:uid="{00000000-0005-0000-0000-00007A6B0000}"/>
    <cellStyle name="Normal 3 3 10 7 9" xfId="27524" xr:uid="{00000000-0005-0000-0000-00007B6B0000}"/>
    <cellStyle name="Normal 3 3 10 7 9 2" xfId="27525" xr:uid="{00000000-0005-0000-0000-00007C6B0000}"/>
    <cellStyle name="Normal 3 3 10 7 9 3" xfId="27526" xr:uid="{00000000-0005-0000-0000-00007D6B0000}"/>
    <cellStyle name="Normal 3 3 10 8" xfId="27527" xr:uid="{00000000-0005-0000-0000-00007E6B0000}"/>
    <cellStyle name="Normal 3 3 10 8 10" xfId="27528" xr:uid="{00000000-0005-0000-0000-00007F6B0000}"/>
    <cellStyle name="Normal 3 3 10 8 10 2" xfId="27529" xr:uid="{00000000-0005-0000-0000-0000806B0000}"/>
    <cellStyle name="Normal 3 3 10 8 10 3" xfId="27530" xr:uid="{00000000-0005-0000-0000-0000816B0000}"/>
    <cellStyle name="Normal 3 3 10 8 11" xfId="27531" xr:uid="{00000000-0005-0000-0000-0000826B0000}"/>
    <cellStyle name="Normal 3 3 10 8 11 2" xfId="27532" xr:uid="{00000000-0005-0000-0000-0000836B0000}"/>
    <cellStyle name="Normal 3 3 10 8 11 3" xfId="27533" xr:uid="{00000000-0005-0000-0000-0000846B0000}"/>
    <cellStyle name="Normal 3 3 10 8 12" xfId="27534" xr:uid="{00000000-0005-0000-0000-0000856B0000}"/>
    <cellStyle name="Normal 3 3 10 8 12 2" xfId="27535" xr:uid="{00000000-0005-0000-0000-0000866B0000}"/>
    <cellStyle name="Normal 3 3 10 8 12 3" xfId="27536" xr:uid="{00000000-0005-0000-0000-0000876B0000}"/>
    <cellStyle name="Normal 3 3 10 8 13" xfId="27537" xr:uid="{00000000-0005-0000-0000-0000886B0000}"/>
    <cellStyle name="Normal 3 3 10 8 13 2" xfId="27538" xr:uid="{00000000-0005-0000-0000-0000896B0000}"/>
    <cellStyle name="Normal 3 3 10 8 13 3" xfId="27539" xr:uid="{00000000-0005-0000-0000-00008A6B0000}"/>
    <cellStyle name="Normal 3 3 10 8 14" xfId="27540" xr:uid="{00000000-0005-0000-0000-00008B6B0000}"/>
    <cellStyle name="Normal 3 3 10 8 14 2" xfId="27541" xr:uid="{00000000-0005-0000-0000-00008C6B0000}"/>
    <cellStyle name="Normal 3 3 10 8 14 3" xfId="27542" xr:uid="{00000000-0005-0000-0000-00008D6B0000}"/>
    <cellStyle name="Normal 3 3 10 8 15" xfId="27543" xr:uid="{00000000-0005-0000-0000-00008E6B0000}"/>
    <cellStyle name="Normal 3 3 10 8 16" xfId="27544" xr:uid="{00000000-0005-0000-0000-00008F6B0000}"/>
    <cellStyle name="Normal 3 3 10 8 2" xfId="27545" xr:uid="{00000000-0005-0000-0000-0000906B0000}"/>
    <cellStyle name="Normal 3 3 10 8 2 2" xfId="27546" xr:uid="{00000000-0005-0000-0000-0000916B0000}"/>
    <cellStyle name="Normal 3 3 10 8 2 3" xfId="27547" xr:uid="{00000000-0005-0000-0000-0000926B0000}"/>
    <cellStyle name="Normal 3 3 10 8 3" xfId="27548" xr:uid="{00000000-0005-0000-0000-0000936B0000}"/>
    <cellStyle name="Normal 3 3 10 8 3 2" xfId="27549" xr:uid="{00000000-0005-0000-0000-0000946B0000}"/>
    <cellStyle name="Normal 3 3 10 8 3 3" xfId="27550" xr:uid="{00000000-0005-0000-0000-0000956B0000}"/>
    <cellStyle name="Normal 3 3 10 8 4" xfId="27551" xr:uid="{00000000-0005-0000-0000-0000966B0000}"/>
    <cellStyle name="Normal 3 3 10 8 4 2" xfId="27552" xr:uid="{00000000-0005-0000-0000-0000976B0000}"/>
    <cellStyle name="Normal 3 3 10 8 4 3" xfId="27553" xr:uid="{00000000-0005-0000-0000-0000986B0000}"/>
    <cellStyle name="Normal 3 3 10 8 5" xfId="27554" xr:uid="{00000000-0005-0000-0000-0000996B0000}"/>
    <cellStyle name="Normal 3 3 10 8 5 2" xfId="27555" xr:uid="{00000000-0005-0000-0000-00009A6B0000}"/>
    <cellStyle name="Normal 3 3 10 8 5 3" xfId="27556" xr:uid="{00000000-0005-0000-0000-00009B6B0000}"/>
    <cellStyle name="Normal 3 3 10 8 6" xfId="27557" xr:uid="{00000000-0005-0000-0000-00009C6B0000}"/>
    <cellStyle name="Normal 3 3 10 8 6 2" xfId="27558" xr:uid="{00000000-0005-0000-0000-00009D6B0000}"/>
    <cellStyle name="Normal 3 3 10 8 6 3" xfId="27559" xr:uid="{00000000-0005-0000-0000-00009E6B0000}"/>
    <cellStyle name="Normal 3 3 10 8 7" xfId="27560" xr:uid="{00000000-0005-0000-0000-00009F6B0000}"/>
    <cellStyle name="Normal 3 3 10 8 7 2" xfId="27561" xr:uid="{00000000-0005-0000-0000-0000A06B0000}"/>
    <cellStyle name="Normal 3 3 10 8 7 3" xfId="27562" xr:uid="{00000000-0005-0000-0000-0000A16B0000}"/>
    <cellStyle name="Normal 3 3 10 8 8" xfId="27563" xr:uid="{00000000-0005-0000-0000-0000A26B0000}"/>
    <cellStyle name="Normal 3 3 10 8 8 2" xfId="27564" xr:uid="{00000000-0005-0000-0000-0000A36B0000}"/>
    <cellStyle name="Normal 3 3 10 8 8 3" xfId="27565" xr:uid="{00000000-0005-0000-0000-0000A46B0000}"/>
    <cellStyle name="Normal 3 3 10 8 9" xfId="27566" xr:uid="{00000000-0005-0000-0000-0000A56B0000}"/>
    <cellStyle name="Normal 3 3 10 8 9 2" xfId="27567" xr:uid="{00000000-0005-0000-0000-0000A66B0000}"/>
    <cellStyle name="Normal 3 3 10 8 9 3" xfId="27568" xr:uid="{00000000-0005-0000-0000-0000A76B0000}"/>
    <cellStyle name="Normal 3 3 10 9" xfId="27569" xr:uid="{00000000-0005-0000-0000-0000A86B0000}"/>
    <cellStyle name="Normal 3 3 10 9 10" xfId="27570" xr:uid="{00000000-0005-0000-0000-0000A96B0000}"/>
    <cellStyle name="Normal 3 3 10 9 10 2" xfId="27571" xr:uid="{00000000-0005-0000-0000-0000AA6B0000}"/>
    <cellStyle name="Normal 3 3 10 9 10 3" xfId="27572" xr:uid="{00000000-0005-0000-0000-0000AB6B0000}"/>
    <cellStyle name="Normal 3 3 10 9 11" xfId="27573" xr:uid="{00000000-0005-0000-0000-0000AC6B0000}"/>
    <cellStyle name="Normal 3 3 10 9 11 2" xfId="27574" xr:uid="{00000000-0005-0000-0000-0000AD6B0000}"/>
    <cellStyle name="Normal 3 3 10 9 11 3" xfId="27575" xr:uid="{00000000-0005-0000-0000-0000AE6B0000}"/>
    <cellStyle name="Normal 3 3 10 9 12" xfId="27576" xr:uid="{00000000-0005-0000-0000-0000AF6B0000}"/>
    <cellStyle name="Normal 3 3 10 9 12 2" xfId="27577" xr:uid="{00000000-0005-0000-0000-0000B06B0000}"/>
    <cellStyle name="Normal 3 3 10 9 12 3" xfId="27578" xr:uid="{00000000-0005-0000-0000-0000B16B0000}"/>
    <cellStyle name="Normal 3 3 10 9 13" xfId="27579" xr:uid="{00000000-0005-0000-0000-0000B26B0000}"/>
    <cellStyle name="Normal 3 3 10 9 13 2" xfId="27580" xr:uid="{00000000-0005-0000-0000-0000B36B0000}"/>
    <cellStyle name="Normal 3 3 10 9 13 3" xfId="27581" xr:uid="{00000000-0005-0000-0000-0000B46B0000}"/>
    <cellStyle name="Normal 3 3 10 9 14" xfId="27582" xr:uid="{00000000-0005-0000-0000-0000B56B0000}"/>
    <cellStyle name="Normal 3 3 10 9 14 2" xfId="27583" xr:uid="{00000000-0005-0000-0000-0000B66B0000}"/>
    <cellStyle name="Normal 3 3 10 9 14 3" xfId="27584" xr:uid="{00000000-0005-0000-0000-0000B76B0000}"/>
    <cellStyle name="Normal 3 3 10 9 15" xfId="27585" xr:uid="{00000000-0005-0000-0000-0000B86B0000}"/>
    <cellStyle name="Normal 3 3 10 9 16" xfId="27586" xr:uid="{00000000-0005-0000-0000-0000B96B0000}"/>
    <cellStyle name="Normal 3 3 10 9 2" xfId="27587" xr:uid="{00000000-0005-0000-0000-0000BA6B0000}"/>
    <cellStyle name="Normal 3 3 10 9 2 2" xfId="27588" xr:uid="{00000000-0005-0000-0000-0000BB6B0000}"/>
    <cellStyle name="Normal 3 3 10 9 2 3" xfId="27589" xr:uid="{00000000-0005-0000-0000-0000BC6B0000}"/>
    <cellStyle name="Normal 3 3 10 9 3" xfId="27590" xr:uid="{00000000-0005-0000-0000-0000BD6B0000}"/>
    <cellStyle name="Normal 3 3 10 9 3 2" xfId="27591" xr:uid="{00000000-0005-0000-0000-0000BE6B0000}"/>
    <cellStyle name="Normal 3 3 10 9 3 3" xfId="27592" xr:uid="{00000000-0005-0000-0000-0000BF6B0000}"/>
    <cellStyle name="Normal 3 3 10 9 4" xfId="27593" xr:uid="{00000000-0005-0000-0000-0000C06B0000}"/>
    <cellStyle name="Normal 3 3 10 9 4 2" xfId="27594" xr:uid="{00000000-0005-0000-0000-0000C16B0000}"/>
    <cellStyle name="Normal 3 3 10 9 4 3" xfId="27595" xr:uid="{00000000-0005-0000-0000-0000C26B0000}"/>
    <cellStyle name="Normal 3 3 10 9 5" xfId="27596" xr:uid="{00000000-0005-0000-0000-0000C36B0000}"/>
    <cellStyle name="Normal 3 3 10 9 5 2" xfId="27597" xr:uid="{00000000-0005-0000-0000-0000C46B0000}"/>
    <cellStyle name="Normal 3 3 10 9 5 3" xfId="27598" xr:uid="{00000000-0005-0000-0000-0000C56B0000}"/>
    <cellStyle name="Normal 3 3 10 9 6" xfId="27599" xr:uid="{00000000-0005-0000-0000-0000C66B0000}"/>
    <cellStyle name="Normal 3 3 10 9 6 2" xfId="27600" xr:uid="{00000000-0005-0000-0000-0000C76B0000}"/>
    <cellStyle name="Normal 3 3 10 9 6 3" xfId="27601" xr:uid="{00000000-0005-0000-0000-0000C86B0000}"/>
    <cellStyle name="Normal 3 3 10 9 7" xfId="27602" xr:uid="{00000000-0005-0000-0000-0000C96B0000}"/>
    <cellStyle name="Normal 3 3 10 9 7 2" xfId="27603" xr:uid="{00000000-0005-0000-0000-0000CA6B0000}"/>
    <cellStyle name="Normal 3 3 10 9 7 3" xfId="27604" xr:uid="{00000000-0005-0000-0000-0000CB6B0000}"/>
    <cellStyle name="Normal 3 3 10 9 8" xfId="27605" xr:uid="{00000000-0005-0000-0000-0000CC6B0000}"/>
    <cellStyle name="Normal 3 3 10 9 8 2" xfId="27606" xr:uid="{00000000-0005-0000-0000-0000CD6B0000}"/>
    <cellStyle name="Normal 3 3 10 9 8 3" xfId="27607" xr:uid="{00000000-0005-0000-0000-0000CE6B0000}"/>
    <cellStyle name="Normal 3 3 10 9 9" xfId="27608" xr:uid="{00000000-0005-0000-0000-0000CF6B0000}"/>
    <cellStyle name="Normal 3 3 10 9 9 2" xfId="27609" xr:uid="{00000000-0005-0000-0000-0000D06B0000}"/>
    <cellStyle name="Normal 3 3 10 9 9 3" xfId="27610" xr:uid="{00000000-0005-0000-0000-0000D16B0000}"/>
    <cellStyle name="Normal 3 3 11" xfId="27611" xr:uid="{00000000-0005-0000-0000-0000D26B0000}"/>
    <cellStyle name="Normal 3 3 11 10" xfId="27612" xr:uid="{00000000-0005-0000-0000-0000D36B0000}"/>
    <cellStyle name="Normal 3 3 11 10 10" xfId="27613" xr:uid="{00000000-0005-0000-0000-0000D46B0000}"/>
    <cellStyle name="Normal 3 3 11 10 10 2" xfId="27614" xr:uid="{00000000-0005-0000-0000-0000D56B0000}"/>
    <cellStyle name="Normal 3 3 11 10 10 3" xfId="27615" xr:uid="{00000000-0005-0000-0000-0000D66B0000}"/>
    <cellStyle name="Normal 3 3 11 10 11" xfId="27616" xr:uid="{00000000-0005-0000-0000-0000D76B0000}"/>
    <cellStyle name="Normal 3 3 11 10 11 2" xfId="27617" xr:uid="{00000000-0005-0000-0000-0000D86B0000}"/>
    <cellStyle name="Normal 3 3 11 10 11 3" xfId="27618" xr:uid="{00000000-0005-0000-0000-0000D96B0000}"/>
    <cellStyle name="Normal 3 3 11 10 12" xfId="27619" xr:uid="{00000000-0005-0000-0000-0000DA6B0000}"/>
    <cellStyle name="Normal 3 3 11 10 12 2" xfId="27620" xr:uid="{00000000-0005-0000-0000-0000DB6B0000}"/>
    <cellStyle name="Normal 3 3 11 10 12 3" xfId="27621" xr:uid="{00000000-0005-0000-0000-0000DC6B0000}"/>
    <cellStyle name="Normal 3 3 11 10 13" xfId="27622" xr:uid="{00000000-0005-0000-0000-0000DD6B0000}"/>
    <cellStyle name="Normal 3 3 11 10 13 2" xfId="27623" xr:uid="{00000000-0005-0000-0000-0000DE6B0000}"/>
    <cellStyle name="Normal 3 3 11 10 13 3" xfId="27624" xr:uid="{00000000-0005-0000-0000-0000DF6B0000}"/>
    <cellStyle name="Normal 3 3 11 10 14" xfId="27625" xr:uid="{00000000-0005-0000-0000-0000E06B0000}"/>
    <cellStyle name="Normal 3 3 11 10 14 2" xfId="27626" xr:uid="{00000000-0005-0000-0000-0000E16B0000}"/>
    <cellStyle name="Normal 3 3 11 10 14 3" xfId="27627" xr:uid="{00000000-0005-0000-0000-0000E26B0000}"/>
    <cellStyle name="Normal 3 3 11 10 15" xfId="27628" xr:uid="{00000000-0005-0000-0000-0000E36B0000}"/>
    <cellStyle name="Normal 3 3 11 10 16" xfId="27629" xr:uid="{00000000-0005-0000-0000-0000E46B0000}"/>
    <cellStyle name="Normal 3 3 11 10 2" xfId="27630" xr:uid="{00000000-0005-0000-0000-0000E56B0000}"/>
    <cellStyle name="Normal 3 3 11 10 2 2" xfId="27631" xr:uid="{00000000-0005-0000-0000-0000E66B0000}"/>
    <cellStyle name="Normal 3 3 11 10 2 3" xfId="27632" xr:uid="{00000000-0005-0000-0000-0000E76B0000}"/>
    <cellStyle name="Normal 3 3 11 10 3" xfId="27633" xr:uid="{00000000-0005-0000-0000-0000E86B0000}"/>
    <cellStyle name="Normal 3 3 11 10 3 2" xfId="27634" xr:uid="{00000000-0005-0000-0000-0000E96B0000}"/>
    <cellStyle name="Normal 3 3 11 10 3 3" xfId="27635" xr:uid="{00000000-0005-0000-0000-0000EA6B0000}"/>
    <cellStyle name="Normal 3 3 11 10 4" xfId="27636" xr:uid="{00000000-0005-0000-0000-0000EB6B0000}"/>
    <cellStyle name="Normal 3 3 11 10 4 2" xfId="27637" xr:uid="{00000000-0005-0000-0000-0000EC6B0000}"/>
    <cellStyle name="Normal 3 3 11 10 4 3" xfId="27638" xr:uid="{00000000-0005-0000-0000-0000ED6B0000}"/>
    <cellStyle name="Normal 3 3 11 10 5" xfId="27639" xr:uid="{00000000-0005-0000-0000-0000EE6B0000}"/>
    <cellStyle name="Normal 3 3 11 10 5 2" xfId="27640" xr:uid="{00000000-0005-0000-0000-0000EF6B0000}"/>
    <cellStyle name="Normal 3 3 11 10 5 3" xfId="27641" xr:uid="{00000000-0005-0000-0000-0000F06B0000}"/>
    <cellStyle name="Normal 3 3 11 10 6" xfId="27642" xr:uid="{00000000-0005-0000-0000-0000F16B0000}"/>
    <cellStyle name="Normal 3 3 11 10 6 2" xfId="27643" xr:uid="{00000000-0005-0000-0000-0000F26B0000}"/>
    <cellStyle name="Normal 3 3 11 10 6 3" xfId="27644" xr:uid="{00000000-0005-0000-0000-0000F36B0000}"/>
    <cellStyle name="Normal 3 3 11 10 7" xfId="27645" xr:uid="{00000000-0005-0000-0000-0000F46B0000}"/>
    <cellStyle name="Normal 3 3 11 10 7 2" xfId="27646" xr:uid="{00000000-0005-0000-0000-0000F56B0000}"/>
    <cellStyle name="Normal 3 3 11 10 7 3" xfId="27647" xr:uid="{00000000-0005-0000-0000-0000F66B0000}"/>
    <cellStyle name="Normal 3 3 11 10 8" xfId="27648" xr:uid="{00000000-0005-0000-0000-0000F76B0000}"/>
    <cellStyle name="Normal 3 3 11 10 8 2" xfId="27649" xr:uid="{00000000-0005-0000-0000-0000F86B0000}"/>
    <cellStyle name="Normal 3 3 11 10 8 3" xfId="27650" xr:uid="{00000000-0005-0000-0000-0000F96B0000}"/>
    <cellStyle name="Normal 3 3 11 10 9" xfId="27651" xr:uid="{00000000-0005-0000-0000-0000FA6B0000}"/>
    <cellStyle name="Normal 3 3 11 10 9 2" xfId="27652" xr:uid="{00000000-0005-0000-0000-0000FB6B0000}"/>
    <cellStyle name="Normal 3 3 11 10 9 3" xfId="27653" xr:uid="{00000000-0005-0000-0000-0000FC6B0000}"/>
    <cellStyle name="Normal 3 3 11 11" xfId="27654" xr:uid="{00000000-0005-0000-0000-0000FD6B0000}"/>
    <cellStyle name="Normal 3 3 11 11 2" xfId="27655" xr:uid="{00000000-0005-0000-0000-0000FE6B0000}"/>
    <cellStyle name="Normal 3 3 11 11 3" xfId="27656" xr:uid="{00000000-0005-0000-0000-0000FF6B0000}"/>
    <cellStyle name="Normal 3 3 11 12" xfId="27657" xr:uid="{00000000-0005-0000-0000-0000006C0000}"/>
    <cellStyle name="Normal 3 3 11 12 2" xfId="27658" xr:uid="{00000000-0005-0000-0000-0000016C0000}"/>
    <cellStyle name="Normal 3 3 11 12 3" xfId="27659" xr:uid="{00000000-0005-0000-0000-0000026C0000}"/>
    <cellStyle name="Normal 3 3 11 13" xfId="27660" xr:uid="{00000000-0005-0000-0000-0000036C0000}"/>
    <cellStyle name="Normal 3 3 11 13 2" xfId="27661" xr:uid="{00000000-0005-0000-0000-0000046C0000}"/>
    <cellStyle name="Normal 3 3 11 13 3" xfId="27662" xr:uid="{00000000-0005-0000-0000-0000056C0000}"/>
    <cellStyle name="Normal 3 3 11 14" xfId="27663" xr:uid="{00000000-0005-0000-0000-0000066C0000}"/>
    <cellStyle name="Normal 3 3 11 14 2" xfId="27664" xr:uid="{00000000-0005-0000-0000-0000076C0000}"/>
    <cellStyle name="Normal 3 3 11 14 3" xfId="27665" xr:uid="{00000000-0005-0000-0000-0000086C0000}"/>
    <cellStyle name="Normal 3 3 11 15" xfId="27666" xr:uid="{00000000-0005-0000-0000-0000096C0000}"/>
    <cellStyle name="Normal 3 3 11 15 2" xfId="27667" xr:uid="{00000000-0005-0000-0000-00000A6C0000}"/>
    <cellStyle name="Normal 3 3 11 15 3" xfId="27668" xr:uid="{00000000-0005-0000-0000-00000B6C0000}"/>
    <cellStyle name="Normal 3 3 11 16" xfId="27669" xr:uid="{00000000-0005-0000-0000-00000C6C0000}"/>
    <cellStyle name="Normal 3 3 11 16 2" xfId="27670" xr:uid="{00000000-0005-0000-0000-00000D6C0000}"/>
    <cellStyle name="Normal 3 3 11 16 3" xfId="27671" xr:uid="{00000000-0005-0000-0000-00000E6C0000}"/>
    <cellStyle name="Normal 3 3 11 17" xfId="27672" xr:uid="{00000000-0005-0000-0000-00000F6C0000}"/>
    <cellStyle name="Normal 3 3 11 17 2" xfId="27673" xr:uid="{00000000-0005-0000-0000-0000106C0000}"/>
    <cellStyle name="Normal 3 3 11 17 3" xfId="27674" xr:uid="{00000000-0005-0000-0000-0000116C0000}"/>
    <cellStyle name="Normal 3 3 11 18" xfId="27675" xr:uid="{00000000-0005-0000-0000-0000126C0000}"/>
    <cellStyle name="Normal 3 3 11 18 2" xfId="27676" xr:uid="{00000000-0005-0000-0000-0000136C0000}"/>
    <cellStyle name="Normal 3 3 11 18 3" xfId="27677" xr:uid="{00000000-0005-0000-0000-0000146C0000}"/>
    <cellStyle name="Normal 3 3 11 19" xfId="27678" xr:uid="{00000000-0005-0000-0000-0000156C0000}"/>
    <cellStyle name="Normal 3 3 11 19 2" xfId="27679" xr:uid="{00000000-0005-0000-0000-0000166C0000}"/>
    <cellStyle name="Normal 3 3 11 19 3" xfId="27680" xr:uid="{00000000-0005-0000-0000-0000176C0000}"/>
    <cellStyle name="Normal 3 3 11 2" xfId="27681" xr:uid="{00000000-0005-0000-0000-0000186C0000}"/>
    <cellStyle name="Normal 3 3 11 2 10" xfId="27682" xr:uid="{00000000-0005-0000-0000-0000196C0000}"/>
    <cellStyle name="Normal 3 3 11 2 10 2" xfId="27683" xr:uid="{00000000-0005-0000-0000-00001A6C0000}"/>
    <cellStyle name="Normal 3 3 11 2 10 3" xfId="27684" xr:uid="{00000000-0005-0000-0000-00001B6C0000}"/>
    <cellStyle name="Normal 3 3 11 2 11" xfId="27685" xr:uid="{00000000-0005-0000-0000-00001C6C0000}"/>
    <cellStyle name="Normal 3 3 11 2 11 2" xfId="27686" xr:uid="{00000000-0005-0000-0000-00001D6C0000}"/>
    <cellStyle name="Normal 3 3 11 2 11 3" xfId="27687" xr:uid="{00000000-0005-0000-0000-00001E6C0000}"/>
    <cellStyle name="Normal 3 3 11 2 12" xfId="27688" xr:uid="{00000000-0005-0000-0000-00001F6C0000}"/>
    <cellStyle name="Normal 3 3 11 2 12 2" xfId="27689" xr:uid="{00000000-0005-0000-0000-0000206C0000}"/>
    <cellStyle name="Normal 3 3 11 2 12 3" xfId="27690" xr:uid="{00000000-0005-0000-0000-0000216C0000}"/>
    <cellStyle name="Normal 3 3 11 2 13" xfId="27691" xr:uid="{00000000-0005-0000-0000-0000226C0000}"/>
    <cellStyle name="Normal 3 3 11 2 13 2" xfId="27692" xr:uid="{00000000-0005-0000-0000-0000236C0000}"/>
    <cellStyle name="Normal 3 3 11 2 13 3" xfId="27693" xr:uid="{00000000-0005-0000-0000-0000246C0000}"/>
    <cellStyle name="Normal 3 3 11 2 14" xfId="27694" xr:uid="{00000000-0005-0000-0000-0000256C0000}"/>
    <cellStyle name="Normal 3 3 11 2 14 2" xfId="27695" xr:uid="{00000000-0005-0000-0000-0000266C0000}"/>
    <cellStyle name="Normal 3 3 11 2 14 3" xfId="27696" xr:uid="{00000000-0005-0000-0000-0000276C0000}"/>
    <cellStyle name="Normal 3 3 11 2 15" xfId="27697" xr:uid="{00000000-0005-0000-0000-0000286C0000}"/>
    <cellStyle name="Normal 3 3 11 2 15 2" xfId="27698" xr:uid="{00000000-0005-0000-0000-0000296C0000}"/>
    <cellStyle name="Normal 3 3 11 2 15 3" xfId="27699" xr:uid="{00000000-0005-0000-0000-00002A6C0000}"/>
    <cellStyle name="Normal 3 3 11 2 16" xfId="27700" xr:uid="{00000000-0005-0000-0000-00002B6C0000}"/>
    <cellStyle name="Normal 3 3 11 2 17" xfId="27701" xr:uid="{00000000-0005-0000-0000-00002C6C0000}"/>
    <cellStyle name="Normal 3 3 11 2 2" xfId="27702" xr:uid="{00000000-0005-0000-0000-00002D6C0000}"/>
    <cellStyle name="Normal 3 3 11 2 2 10" xfId="27703" xr:uid="{00000000-0005-0000-0000-00002E6C0000}"/>
    <cellStyle name="Normal 3 3 11 2 2 10 2" xfId="27704" xr:uid="{00000000-0005-0000-0000-00002F6C0000}"/>
    <cellStyle name="Normal 3 3 11 2 2 10 3" xfId="27705" xr:uid="{00000000-0005-0000-0000-0000306C0000}"/>
    <cellStyle name="Normal 3 3 11 2 2 11" xfId="27706" xr:uid="{00000000-0005-0000-0000-0000316C0000}"/>
    <cellStyle name="Normal 3 3 11 2 2 11 2" xfId="27707" xr:uid="{00000000-0005-0000-0000-0000326C0000}"/>
    <cellStyle name="Normal 3 3 11 2 2 11 3" xfId="27708" xr:uid="{00000000-0005-0000-0000-0000336C0000}"/>
    <cellStyle name="Normal 3 3 11 2 2 12" xfId="27709" xr:uid="{00000000-0005-0000-0000-0000346C0000}"/>
    <cellStyle name="Normal 3 3 11 2 2 12 2" xfId="27710" xr:uid="{00000000-0005-0000-0000-0000356C0000}"/>
    <cellStyle name="Normal 3 3 11 2 2 12 3" xfId="27711" xr:uid="{00000000-0005-0000-0000-0000366C0000}"/>
    <cellStyle name="Normal 3 3 11 2 2 13" xfId="27712" xr:uid="{00000000-0005-0000-0000-0000376C0000}"/>
    <cellStyle name="Normal 3 3 11 2 2 13 2" xfId="27713" xr:uid="{00000000-0005-0000-0000-0000386C0000}"/>
    <cellStyle name="Normal 3 3 11 2 2 13 3" xfId="27714" xr:uid="{00000000-0005-0000-0000-0000396C0000}"/>
    <cellStyle name="Normal 3 3 11 2 2 14" xfId="27715" xr:uid="{00000000-0005-0000-0000-00003A6C0000}"/>
    <cellStyle name="Normal 3 3 11 2 2 14 2" xfId="27716" xr:uid="{00000000-0005-0000-0000-00003B6C0000}"/>
    <cellStyle name="Normal 3 3 11 2 2 14 3" xfId="27717" xr:uid="{00000000-0005-0000-0000-00003C6C0000}"/>
    <cellStyle name="Normal 3 3 11 2 2 15" xfId="27718" xr:uid="{00000000-0005-0000-0000-00003D6C0000}"/>
    <cellStyle name="Normal 3 3 11 2 2 16" xfId="27719" xr:uid="{00000000-0005-0000-0000-00003E6C0000}"/>
    <cellStyle name="Normal 3 3 11 2 2 2" xfId="27720" xr:uid="{00000000-0005-0000-0000-00003F6C0000}"/>
    <cellStyle name="Normal 3 3 11 2 2 2 2" xfId="27721" xr:uid="{00000000-0005-0000-0000-0000406C0000}"/>
    <cellStyle name="Normal 3 3 11 2 2 2 3" xfId="27722" xr:uid="{00000000-0005-0000-0000-0000416C0000}"/>
    <cellStyle name="Normal 3 3 11 2 2 3" xfId="27723" xr:uid="{00000000-0005-0000-0000-0000426C0000}"/>
    <cellStyle name="Normal 3 3 11 2 2 3 2" xfId="27724" xr:uid="{00000000-0005-0000-0000-0000436C0000}"/>
    <cellStyle name="Normal 3 3 11 2 2 3 3" xfId="27725" xr:uid="{00000000-0005-0000-0000-0000446C0000}"/>
    <cellStyle name="Normal 3 3 11 2 2 4" xfId="27726" xr:uid="{00000000-0005-0000-0000-0000456C0000}"/>
    <cellStyle name="Normal 3 3 11 2 2 4 2" xfId="27727" xr:uid="{00000000-0005-0000-0000-0000466C0000}"/>
    <cellStyle name="Normal 3 3 11 2 2 4 3" xfId="27728" xr:uid="{00000000-0005-0000-0000-0000476C0000}"/>
    <cellStyle name="Normal 3 3 11 2 2 5" xfId="27729" xr:uid="{00000000-0005-0000-0000-0000486C0000}"/>
    <cellStyle name="Normal 3 3 11 2 2 5 2" xfId="27730" xr:uid="{00000000-0005-0000-0000-0000496C0000}"/>
    <cellStyle name="Normal 3 3 11 2 2 5 3" xfId="27731" xr:uid="{00000000-0005-0000-0000-00004A6C0000}"/>
    <cellStyle name="Normal 3 3 11 2 2 6" xfId="27732" xr:uid="{00000000-0005-0000-0000-00004B6C0000}"/>
    <cellStyle name="Normal 3 3 11 2 2 6 2" xfId="27733" xr:uid="{00000000-0005-0000-0000-00004C6C0000}"/>
    <cellStyle name="Normal 3 3 11 2 2 6 3" xfId="27734" xr:uid="{00000000-0005-0000-0000-00004D6C0000}"/>
    <cellStyle name="Normal 3 3 11 2 2 7" xfId="27735" xr:uid="{00000000-0005-0000-0000-00004E6C0000}"/>
    <cellStyle name="Normal 3 3 11 2 2 7 2" xfId="27736" xr:uid="{00000000-0005-0000-0000-00004F6C0000}"/>
    <cellStyle name="Normal 3 3 11 2 2 7 3" xfId="27737" xr:uid="{00000000-0005-0000-0000-0000506C0000}"/>
    <cellStyle name="Normal 3 3 11 2 2 8" xfId="27738" xr:uid="{00000000-0005-0000-0000-0000516C0000}"/>
    <cellStyle name="Normal 3 3 11 2 2 8 2" xfId="27739" xr:uid="{00000000-0005-0000-0000-0000526C0000}"/>
    <cellStyle name="Normal 3 3 11 2 2 8 3" xfId="27740" xr:uid="{00000000-0005-0000-0000-0000536C0000}"/>
    <cellStyle name="Normal 3 3 11 2 2 9" xfId="27741" xr:uid="{00000000-0005-0000-0000-0000546C0000}"/>
    <cellStyle name="Normal 3 3 11 2 2 9 2" xfId="27742" xr:uid="{00000000-0005-0000-0000-0000556C0000}"/>
    <cellStyle name="Normal 3 3 11 2 2 9 3" xfId="27743" xr:uid="{00000000-0005-0000-0000-0000566C0000}"/>
    <cellStyle name="Normal 3 3 11 2 3" xfId="27744" xr:uid="{00000000-0005-0000-0000-0000576C0000}"/>
    <cellStyle name="Normal 3 3 11 2 3 2" xfId="27745" xr:uid="{00000000-0005-0000-0000-0000586C0000}"/>
    <cellStyle name="Normal 3 3 11 2 3 3" xfId="27746" xr:uid="{00000000-0005-0000-0000-0000596C0000}"/>
    <cellStyle name="Normal 3 3 11 2 4" xfId="27747" xr:uid="{00000000-0005-0000-0000-00005A6C0000}"/>
    <cellStyle name="Normal 3 3 11 2 4 2" xfId="27748" xr:uid="{00000000-0005-0000-0000-00005B6C0000}"/>
    <cellStyle name="Normal 3 3 11 2 4 3" xfId="27749" xr:uid="{00000000-0005-0000-0000-00005C6C0000}"/>
    <cellStyle name="Normal 3 3 11 2 5" xfId="27750" xr:uid="{00000000-0005-0000-0000-00005D6C0000}"/>
    <cellStyle name="Normal 3 3 11 2 5 2" xfId="27751" xr:uid="{00000000-0005-0000-0000-00005E6C0000}"/>
    <cellStyle name="Normal 3 3 11 2 5 3" xfId="27752" xr:uid="{00000000-0005-0000-0000-00005F6C0000}"/>
    <cellStyle name="Normal 3 3 11 2 6" xfId="27753" xr:uid="{00000000-0005-0000-0000-0000606C0000}"/>
    <cellStyle name="Normal 3 3 11 2 6 2" xfId="27754" xr:uid="{00000000-0005-0000-0000-0000616C0000}"/>
    <cellStyle name="Normal 3 3 11 2 6 3" xfId="27755" xr:uid="{00000000-0005-0000-0000-0000626C0000}"/>
    <cellStyle name="Normal 3 3 11 2 7" xfId="27756" xr:uid="{00000000-0005-0000-0000-0000636C0000}"/>
    <cellStyle name="Normal 3 3 11 2 7 2" xfId="27757" xr:uid="{00000000-0005-0000-0000-0000646C0000}"/>
    <cellStyle name="Normal 3 3 11 2 7 3" xfId="27758" xr:uid="{00000000-0005-0000-0000-0000656C0000}"/>
    <cellStyle name="Normal 3 3 11 2 8" xfId="27759" xr:uid="{00000000-0005-0000-0000-0000666C0000}"/>
    <cellStyle name="Normal 3 3 11 2 8 2" xfId="27760" xr:uid="{00000000-0005-0000-0000-0000676C0000}"/>
    <cellStyle name="Normal 3 3 11 2 8 3" xfId="27761" xr:uid="{00000000-0005-0000-0000-0000686C0000}"/>
    <cellStyle name="Normal 3 3 11 2 9" xfId="27762" xr:uid="{00000000-0005-0000-0000-0000696C0000}"/>
    <cellStyle name="Normal 3 3 11 2 9 2" xfId="27763" xr:uid="{00000000-0005-0000-0000-00006A6C0000}"/>
    <cellStyle name="Normal 3 3 11 2 9 3" xfId="27764" xr:uid="{00000000-0005-0000-0000-00006B6C0000}"/>
    <cellStyle name="Normal 3 3 11 20" xfId="27765" xr:uid="{00000000-0005-0000-0000-00006C6C0000}"/>
    <cellStyle name="Normal 3 3 11 20 2" xfId="27766" xr:uid="{00000000-0005-0000-0000-00006D6C0000}"/>
    <cellStyle name="Normal 3 3 11 20 3" xfId="27767" xr:uid="{00000000-0005-0000-0000-00006E6C0000}"/>
    <cellStyle name="Normal 3 3 11 21" xfId="27768" xr:uid="{00000000-0005-0000-0000-00006F6C0000}"/>
    <cellStyle name="Normal 3 3 11 21 2" xfId="27769" xr:uid="{00000000-0005-0000-0000-0000706C0000}"/>
    <cellStyle name="Normal 3 3 11 21 3" xfId="27770" xr:uid="{00000000-0005-0000-0000-0000716C0000}"/>
    <cellStyle name="Normal 3 3 11 22" xfId="27771" xr:uid="{00000000-0005-0000-0000-0000726C0000}"/>
    <cellStyle name="Normal 3 3 11 22 2" xfId="27772" xr:uid="{00000000-0005-0000-0000-0000736C0000}"/>
    <cellStyle name="Normal 3 3 11 22 3" xfId="27773" xr:uid="{00000000-0005-0000-0000-0000746C0000}"/>
    <cellStyle name="Normal 3 3 11 23" xfId="27774" xr:uid="{00000000-0005-0000-0000-0000756C0000}"/>
    <cellStyle name="Normal 3 3 11 23 2" xfId="27775" xr:uid="{00000000-0005-0000-0000-0000766C0000}"/>
    <cellStyle name="Normal 3 3 11 23 3" xfId="27776" xr:uid="{00000000-0005-0000-0000-0000776C0000}"/>
    <cellStyle name="Normal 3 3 11 24" xfId="27777" xr:uid="{00000000-0005-0000-0000-0000786C0000}"/>
    <cellStyle name="Normal 3 3 11 25" xfId="27778" xr:uid="{00000000-0005-0000-0000-0000796C0000}"/>
    <cellStyle name="Normal 3 3 11 3" xfId="27779" xr:uid="{00000000-0005-0000-0000-00007A6C0000}"/>
    <cellStyle name="Normal 3 3 11 3 10" xfId="27780" xr:uid="{00000000-0005-0000-0000-00007B6C0000}"/>
    <cellStyle name="Normal 3 3 11 3 10 2" xfId="27781" xr:uid="{00000000-0005-0000-0000-00007C6C0000}"/>
    <cellStyle name="Normal 3 3 11 3 10 3" xfId="27782" xr:uid="{00000000-0005-0000-0000-00007D6C0000}"/>
    <cellStyle name="Normal 3 3 11 3 11" xfId="27783" xr:uid="{00000000-0005-0000-0000-00007E6C0000}"/>
    <cellStyle name="Normal 3 3 11 3 11 2" xfId="27784" xr:uid="{00000000-0005-0000-0000-00007F6C0000}"/>
    <cellStyle name="Normal 3 3 11 3 11 3" xfId="27785" xr:uid="{00000000-0005-0000-0000-0000806C0000}"/>
    <cellStyle name="Normal 3 3 11 3 12" xfId="27786" xr:uid="{00000000-0005-0000-0000-0000816C0000}"/>
    <cellStyle name="Normal 3 3 11 3 12 2" xfId="27787" xr:uid="{00000000-0005-0000-0000-0000826C0000}"/>
    <cellStyle name="Normal 3 3 11 3 12 3" xfId="27788" xr:uid="{00000000-0005-0000-0000-0000836C0000}"/>
    <cellStyle name="Normal 3 3 11 3 13" xfId="27789" xr:uid="{00000000-0005-0000-0000-0000846C0000}"/>
    <cellStyle name="Normal 3 3 11 3 13 2" xfId="27790" xr:uid="{00000000-0005-0000-0000-0000856C0000}"/>
    <cellStyle name="Normal 3 3 11 3 13 3" xfId="27791" xr:uid="{00000000-0005-0000-0000-0000866C0000}"/>
    <cellStyle name="Normal 3 3 11 3 14" xfId="27792" xr:uid="{00000000-0005-0000-0000-0000876C0000}"/>
    <cellStyle name="Normal 3 3 11 3 14 2" xfId="27793" xr:uid="{00000000-0005-0000-0000-0000886C0000}"/>
    <cellStyle name="Normal 3 3 11 3 14 3" xfId="27794" xr:uid="{00000000-0005-0000-0000-0000896C0000}"/>
    <cellStyle name="Normal 3 3 11 3 15" xfId="27795" xr:uid="{00000000-0005-0000-0000-00008A6C0000}"/>
    <cellStyle name="Normal 3 3 11 3 15 2" xfId="27796" xr:uid="{00000000-0005-0000-0000-00008B6C0000}"/>
    <cellStyle name="Normal 3 3 11 3 15 3" xfId="27797" xr:uid="{00000000-0005-0000-0000-00008C6C0000}"/>
    <cellStyle name="Normal 3 3 11 3 16" xfId="27798" xr:uid="{00000000-0005-0000-0000-00008D6C0000}"/>
    <cellStyle name="Normal 3 3 11 3 17" xfId="27799" xr:uid="{00000000-0005-0000-0000-00008E6C0000}"/>
    <cellStyle name="Normal 3 3 11 3 2" xfId="27800" xr:uid="{00000000-0005-0000-0000-00008F6C0000}"/>
    <cellStyle name="Normal 3 3 11 3 2 10" xfId="27801" xr:uid="{00000000-0005-0000-0000-0000906C0000}"/>
    <cellStyle name="Normal 3 3 11 3 2 10 2" xfId="27802" xr:uid="{00000000-0005-0000-0000-0000916C0000}"/>
    <cellStyle name="Normal 3 3 11 3 2 10 3" xfId="27803" xr:uid="{00000000-0005-0000-0000-0000926C0000}"/>
    <cellStyle name="Normal 3 3 11 3 2 11" xfId="27804" xr:uid="{00000000-0005-0000-0000-0000936C0000}"/>
    <cellStyle name="Normal 3 3 11 3 2 11 2" xfId="27805" xr:uid="{00000000-0005-0000-0000-0000946C0000}"/>
    <cellStyle name="Normal 3 3 11 3 2 11 3" xfId="27806" xr:uid="{00000000-0005-0000-0000-0000956C0000}"/>
    <cellStyle name="Normal 3 3 11 3 2 12" xfId="27807" xr:uid="{00000000-0005-0000-0000-0000966C0000}"/>
    <cellStyle name="Normal 3 3 11 3 2 12 2" xfId="27808" xr:uid="{00000000-0005-0000-0000-0000976C0000}"/>
    <cellStyle name="Normal 3 3 11 3 2 12 3" xfId="27809" xr:uid="{00000000-0005-0000-0000-0000986C0000}"/>
    <cellStyle name="Normal 3 3 11 3 2 13" xfId="27810" xr:uid="{00000000-0005-0000-0000-0000996C0000}"/>
    <cellStyle name="Normal 3 3 11 3 2 13 2" xfId="27811" xr:uid="{00000000-0005-0000-0000-00009A6C0000}"/>
    <cellStyle name="Normal 3 3 11 3 2 13 3" xfId="27812" xr:uid="{00000000-0005-0000-0000-00009B6C0000}"/>
    <cellStyle name="Normal 3 3 11 3 2 14" xfId="27813" xr:uid="{00000000-0005-0000-0000-00009C6C0000}"/>
    <cellStyle name="Normal 3 3 11 3 2 14 2" xfId="27814" xr:uid="{00000000-0005-0000-0000-00009D6C0000}"/>
    <cellStyle name="Normal 3 3 11 3 2 14 3" xfId="27815" xr:uid="{00000000-0005-0000-0000-00009E6C0000}"/>
    <cellStyle name="Normal 3 3 11 3 2 15" xfId="27816" xr:uid="{00000000-0005-0000-0000-00009F6C0000}"/>
    <cellStyle name="Normal 3 3 11 3 2 16" xfId="27817" xr:uid="{00000000-0005-0000-0000-0000A06C0000}"/>
    <cellStyle name="Normal 3 3 11 3 2 2" xfId="27818" xr:uid="{00000000-0005-0000-0000-0000A16C0000}"/>
    <cellStyle name="Normal 3 3 11 3 2 2 2" xfId="27819" xr:uid="{00000000-0005-0000-0000-0000A26C0000}"/>
    <cellStyle name="Normal 3 3 11 3 2 2 3" xfId="27820" xr:uid="{00000000-0005-0000-0000-0000A36C0000}"/>
    <cellStyle name="Normal 3 3 11 3 2 3" xfId="27821" xr:uid="{00000000-0005-0000-0000-0000A46C0000}"/>
    <cellStyle name="Normal 3 3 11 3 2 3 2" xfId="27822" xr:uid="{00000000-0005-0000-0000-0000A56C0000}"/>
    <cellStyle name="Normal 3 3 11 3 2 3 3" xfId="27823" xr:uid="{00000000-0005-0000-0000-0000A66C0000}"/>
    <cellStyle name="Normal 3 3 11 3 2 4" xfId="27824" xr:uid="{00000000-0005-0000-0000-0000A76C0000}"/>
    <cellStyle name="Normal 3 3 11 3 2 4 2" xfId="27825" xr:uid="{00000000-0005-0000-0000-0000A86C0000}"/>
    <cellStyle name="Normal 3 3 11 3 2 4 3" xfId="27826" xr:uid="{00000000-0005-0000-0000-0000A96C0000}"/>
    <cellStyle name="Normal 3 3 11 3 2 5" xfId="27827" xr:uid="{00000000-0005-0000-0000-0000AA6C0000}"/>
    <cellStyle name="Normal 3 3 11 3 2 5 2" xfId="27828" xr:uid="{00000000-0005-0000-0000-0000AB6C0000}"/>
    <cellStyle name="Normal 3 3 11 3 2 5 3" xfId="27829" xr:uid="{00000000-0005-0000-0000-0000AC6C0000}"/>
    <cellStyle name="Normal 3 3 11 3 2 6" xfId="27830" xr:uid="{00000000-0005-0000-0000-0000AD6C0000}"/>
    <cellStyle name="Normal 3 3 11 3 2 6 2" xfId="27831" xr:uid="{00000000-0005-0000-0000-0000AE6C0000}"/>
    <cellStyle name="Normal 3 3 11 3 2 6 3" xfId="27832" xr:uid="{00000000-0005-0000-0000-0000AF6C0000}"/>
    <cellStyle name="Normal 3 3 11 3 2 7" xfId="27833" xr:uid="{00000000-0005-0000-0000-0000B06C0000}"/>
    <cellStyle name="Normal 3 3 11 3 2 7 2" xfId="27834" xr:uid="{00000000-0005-0000-0000-0000B16C0000}"/>
    <cellStyle name="Normal 3 3 11 3 2 7 3" xfId="27835" xr:uid="{00000000-0005-0000-0000-0000B26C0000}"/>
    <cellStyle name="Normal 3 3 11 3 2 8" xfId="27836" xr:uid="{00000000-0005-0000-0000-0000B36C0000}"/>
    <cellStyle name="Normal 3 3 11 3 2 8 2" xfId="27837" xr:uid="{00000000-0005-0000-0000-0000B46C0000}"/>
    <cellStyle name="Normal 3 3 11 3 2 8 3" xfId="27838" xr:uid="{00000000-0005-0000-0000-0000B56C0000}"/>
    <cellStyle name="Normal 3 3 11 3 2 9" xfId="27839" xr:uid="{00000000-0005-0000-0000-0000B66C0000}"/>
    <cellStyle name="Normal 3 3 11 3 2 9 2" xfId="27840" xr:uid="{00000000-0005-0000-0000-0000B76C0000}"/>
    <cellStyle name="Normal 3 3 11 3 2 9 3" xfId="27841" xr:uid="{00000000-0005-0000-0000-0000B86C0000}"/>
    <cellStyle name="Normal 3 3 11 3 3" xfId="27842" xr:uid="{00000000-0005-0000-0000-0000B96C0000}"/>
    <cellStyle name="Normal 3 3 11 3 3 2" xfId="27843" xr:uid="{00000000-0005-0000-0000-0000BA6C0000}"/>
    <cellStyle name="Normal 3 3 11 3 3 3" xfId="27844" xr:uid="{00000000-0005-0000-0000-0000BB6C0000}"/>
    <cellStyle name="Normal 3 3 11 3 4" xfId="27845" xr:uid="{00000000-0005-0000-0000-0000BC6C0000}"/>
    <cellStyle name="Normal 3 3 11 3 4 2" xfId="27846" xr:uid="{00000000-0005-0000-0000-0000BD6C0000}"/>
    <cellStyle name="Normal 3 3 11 3 4 3" xfId="27847" xr:uid="{00000000-0005-0000-0000-0000BE6C0000}"/>
    <cellStyle name="Normal 3 3 11 3 5" xfId="27848" xr:uid="{00000000-0005-0000-0000-0000BF6C0000}"/>
    <cellStyle name="Normal 3 3 11 3 5 2" xfId="27849" xr:uid="{00000000-0005-0000-0000-0000C06C0000}"/>
    <cellStyle name="Normal 3 3 11 3 5 3" xfId="27850" xr:uid="{00000000-0005-0000-0000-0000C16C0000}"/>
    <cellStyle name="Normal 3 3 11 3 6" xfId="27851" xr:uid="{00000000-0005-0000-0000-0000C26C0000}"/>
    <cellStyle name="Normal 3 3 11 3 6 2" xfId="27852" xr:uid="{00000000-0005-0000-0000-0000C36C0000}"/>
    <cellStyle name="Normal 3 3 11 3 6 3" xfId="27853" xr:uid="{00000000-0005-0000-0000-0000C46C0000}"/>
    <cellStyle name="Normal 3 3 11 3 7" xfId="27854" xr:uid="{00000000-0005-0000-0000-0000C56C0000}"/>
    <cellStyle name="Normal 3 3 11 3 7 2" xfId="27855" xr:uid="{00000000-0005-0000-0000-0000C66C0000}"/>
    <cellStyle name="Normal 3 3 11 3 7 3" xfId="27856" xr:uid="{00000000-0005-0000-0000-0000C76C0000}"/>
    <cellStyle name="Normal 3 3 11 3 8" xfId="27857" xr:uid="{00000000-0005-0000-0000-0000C86C0000}"/>
    <cellStyle name="Normal 3 3 11 3 8 2" xfId="27858" xr:uid="{00000000-0005-0000-0000-0000C96C0000}"/>
    <cellStyle name="Normal 3 3 11 3 8 3" xfId="27859" xr:uid="{00000000-0005-0000-0000-0000CA6C0000}"/>
    <cellStyle name="Normal 3 3 11 3 9" xfId="27860" xr:uid="{00000000-0005-0000-0000-0000CB6C0000}"/>
    <cellStyle name="Normal 3 3 11 3 9 2" xfId="27861" xr:uid="{00000000-0005-0000-0000-0000CC6C0000}"/>
    <cellStyle name="Normal 3 3 11 3 9 3" xfId="27862" xr:uid="{00000000-0005-0000-0000-0000CD6C0000}"/>
    <cellStyle name="Normal 3 3 11 4" xfId="27863" xr:uid="{00000000-0005-0000-0000-0000CE6C0000}"/>
    <cellStyle name="Normal 3 3 11 4 10" xfId="27864" xr:uid="{00000000-0005-0000-0000-0000CF6C0000}"/>
    <cellStyle name="Normal 3 3 11 4 10 2" xfId="27865" xr:uid="{00000000-0005-0000-0000-0000D06C0000}"/>
    <cellStyle name="Normal 3 3 11 4 10 3" xfId="27866" xr:uid="{00000000-0005-0000-0000-0000D16C0000}"/>
    <cellStyle name="Normal 3 3 11 4 11" xfId="27867" xr:uid="{00000000-0005-0000-0000-0000D26C0000}"/>
    <cellStyle name="Normal 3 3 11 4 11 2" xfId="27868" xr:uid="{00000000-0005-0000-0000-0000D36C0000}"/>
    <cellStyle name="Normal 3 3 11 4 11 3" xfId="27869" xr:uid="{00000000-0005-0000-0000-0000D46C0000}"/>
    <cellStyle name="Normal 3 3 11 4 12" xfId="27870" xr:uid="{00000000-0005-0000-0000-0000D56C0000}"/>
    <cellStyle name="Normal 3 3 11 4 12 2" xfId="27871" xr:uid="{00000000-0005-0000-0000-0000D66C0000}"/>
    <cellStyle name="Normal 3 3 11 4 12 3" xfId="27872" xr:uid="{00000000-0005-0000-0000-0000D76C0000}"/>
    <cellStyle name="Normal 3 3 11 4 13" xfId="27873" xr:uid="{00000000-0005-0000-0000-0000D86C0000}"/>
    <cellStyle name="Normal 3 3 11 4 13 2" xfId="27874" xr:uid="{00000000-0005-0000-0000-0000D96C0000}"/>
    <cellStyle name="Normal 3 3 11 4 13 3" xfId="27875" xr:uid="{00000000-0005-0000-0000-0000DA6C0000}"/>
    <cellStyle name="Normal 3 3 11 4 14" xfId="27876" xr:uid="{00000000-0005-0000-0000-0000DB6C0000}"/>
    <cellStyle name="Normal 3 3 11 4 14 2" xfId="27877" xr:uid="{00000000-0005-0000-0000-0000DC6C0000}"/>
    <cellStyle name="Normal 3 3 11 4 14 3" xfId="27878" xr:uid="{00000000-0005-0000-0000-0000DD6C0000}"/>
    <cellStyle name="Normal 3 3 11 4 15" xfId="27879" xr:uid="{00000000-0005-0000-0000-0000DE6C0000}"/>
    <cellStyle name="Normal 3 3 11 4 15 2" xfId="27880" xr:uid="{00000000-0005-0000-0000-0000DF6C0000}"/>
    <cellStyle name="Normal 3 3 11 4 15 3" xfId="27881" xr:uid="{00000000-0005-0000-0000-0000E06C0000}"/>
    <cellStyle name="Normal 3 3 11 4 16" xfId="27882" xr:uid="{00000000-0005-0000-0000-0000E16C0000}"/>
    <cellStyle name="Normal 3 3 11 4 17" xfId="27883" xr:uid="{00000000-0005-0000-0000-0000E26C0000}"/>
    <cellStyle name="Normal 3 3 11 4 2" xfId="27884" xr:uid="{00000000-0005-0000-0000-0000E36C0000}"/>
    <cellStyle name="Normal 3 3 11 4 2 10" xfId="27885" xr:uid="{00000000-0005-0000-0000-0000E46C0000}"/>
    <cellStyle name="Normal 3 3 11 4 2 10 2" xfId="27886" xr:uid="{00000000-0005-0000-0000-0000E56C0000}"/>
    <cellStyle name="Normal 3 3 11 4 2 10 3" xfId="27887" xr:uid="{00000000-0005-0000-0000-0000E66C0000}"/>
    <cellStyle name="Normal 3 3 11 4 2 11" xfId="27888" xr:uid="{00000000-0005-0000-0000-0000E76C0000}"/>
    <cellStyle name="Normal 3 3 11 4 2 11 2" xfId="27889" xr:uid="{00000000-0005-0000-0000-0000E86C0000}"/>
    <cellStyle name="Normal 3 3 11 4 2 11 3" xfId="27890" xr:uid="{00000000-0005-0000-0000-0000E96C0000}"/>
    <cellStyle name="Normal 3 3 11 4 2 12" xfId="27891" xr:uid="{00000000-0005-0000-0000-0000EA6C0000}"/>
    <cellStyle name="Normal 3 3 11 4 2 12 2" xfId="27892" xr:uid="{00000000-0005-0000-0000-0000EB6C0000}"/>
    <cellStyle name="Normal 3 3 11 4 2 12 3" xfId="27893" xr:uid="{00000000-0005-0000-0000-0000EC6C0000}"/>
    <cellStyle name="Normal 3 3 11 4 2 13" xfId="27894" xr:uid="{00000000-0005-0000-0000-0000ED6C0000}"/>
    <cellStyle name="Normal 3 3 11 4 2 13 2" xfId="27895" xr:uid="{00000000-0005-0000-0000-0000EE6C0000}"/>
    <cellStyle name="Normal 3 3 11 4 2 13 3" xfId="27896" xr:uid="{00000000-0005-0000-0000-0000EF6C0000}"/>
    <cellStyle name="Normal 3 3 11 4 2 14" xfId="27897" xr:uid="{00000000-0005-0000-0000-0000F06C0000}"/>
    <cellStyle name="Normal 3 3 11 4 2 14 2" xfId="27898" xr:uid="{00000000-0005-0000-0000-0000F16C0000}"/>
    <cellStyle name="Normal 3 3 11 4 2 14 3" xfId="27899" xr:uid="{00000000-0005-0000-0000-0000F26C0000}"/>
    <cellStyle name="Normal 3 3 11 4 2 15" xfId="27900" xr:uid="{00000000-0005-0000-0000-0000F36C0000}"/>
    <cellStyle name="Normal 3 3 11 4 2 16" xfId="27901" xr:uid="{00000000-0005-0000-0000-0000F46C0000}"/>
    <cellStyle name="Normal 3 3 11 4 2 2" xfId="27902" xr:uid="{00000000-0005-0000-0000-0000F56C0000}"/>
    <cellStyle name="Normal 3 3 11 4 2 2 2" xfId="27903" xr:uid="{00000000-0005-0000-0000-0000F66C0000}"/>
    <cellStyle name="Normal 3 3 11 4 2 2 3" xfId="27904" xr:uid="{00000000-0005-0000-0000-0000F76C0000}"/>
    <cellStyle name="Normal 3 3 11 4 2 3" xfId="27905" xr:uid="{00000000-0005-0000-0000-0000F86C0000}"/>
    <cellStyle name="Normal 3 3 11 4 2 3 2" xfId="27906" xr:uid="{00000000-0005-0000-0000-0000F96C0000}"/>
    <cellStyle name="Normal 3 3 11 4 2 3 3" xfId="27907" xr:uid="{00000000-0005-0000-0000-0000FA6C0000}"/>
    <cellStyle name="Normal 3 3 11 4 2 4" xfId="27908" xr:uid="{00000000-0005-0000-0000-0000FB6C0000}"/>
    <cellStyle name="Normal 3 3 11 4 2 4 2" xfId="27909" xr:uid="{00000000-0005-0000-0000-0000FC6C0000}"/>
    <cellStyle name="Normal 3 3 11 4 2 4 3" xfId="27910" xr:uid="{00000000-0005-0000-0000-0000FD6C0000}"/>
    <cellStyle name="Normal 3 3 11 4 2 5" xfId="27911" xr:uid="{00000000-0005-0000-0000-0000FE6C0000}"/>
    <cellStyle name="Normal 3 3 11 4 2 5 2" xfId="27912" xr:uid="{00000000-0005-0000-0000-0000FF6C0000}"/>
    <cellStyle name="Normal 3 3 11 4 2 5 3" xfId="27913" xr:uid="{00000000-0005-0000-0000-0000006D0000}"/>
    <cellStyle name="Normal 3 3 11 4 2 6" xfId="27914" xr:uid="{00000000-0005-0000-0000-0000016D0000}"/>
    <cellStyle name="Normal 3 3 11 4 2 6 2" xfId="27915" xr:uid="{00000000-0005-0000-0000-0000026D0000}"/>
    <cellStyle name="Normal 3 3 11 4 2 6 3" xfId="27916" xr:uid="{00000000-0005-0000-0000-0000036D0000}"/>
    <cellStyle name="Normal 3 3 11 4 2 7" xfId="27917" xr:uid="{00000000-0005-0000-0000-0000046D0000}"/>
    <cellStyle name="Normal 3 3 11 4 2 7 2" xfId="27918" xr:uid="{00000000-0005-0000-0000-0000056D0000}"/>
    <cellStyle name="Normal 3 3 11 4 2 7 3" xfId="27919" xr:uid="{00000000-0005-0000-0000-0000066D0000}"/>
    <cellStyle name="Normal 3 3 11 4 2 8" xfId="27920" xr:uid="{00000000-0005-0000-0000-0000076D0000}"/>
    <cellStyle name="Normal 3 3 11 4 2 8 2" xfId="27921" xr:uid="{00000000-0005-0000-0000-0000086D0000}"/>
    <cellStyle name="Normal 3 3 11 4 2 8 3" xfId="27922" xr:uid="{00000000-0005-0000-0000-0000096D0000}"/>
    <cellStyle name="Normal 3 3 11 4 2 9" xfId="27923" xr:uid="{00000000-0005-0000-0000-00000A6D0000}"/>
    <cellStyle name="Normal 3 3 11 4 2 9 2" xfId="27924" xr:uid="{00000000-0005-0000-0000-00000B6D0000}"/>
    <cellStyle name="Normal 3 3 11 4 2 9 3" xfId="27925" xr:uid="{00000000-0005-0000-0000-00000C6D0000}"/>
    <cellStyle name="Normal 3 3 11 4 3" xfId="27926" xr:uid="{00000000-0005-0000-0000-00000D6D0000}"/>
    <cellStyle name="Normal 3 3 11 4 3 2" xfId="27927" xr:uid="{00000000-0005-0000-0000-00000E6D0000}"/>
    <cellStyle name="Normal 3 3 11 4 3 3" xfId="27928" xr:uid="{00000000-0005-0000-0000-00000F6D0000}"/>
    <cellStyle name="Normal 3 3 11 4 4" xfId="27929" xr:uid="{00000000-0005-0000-0000-0000106D0000}"/>
    <cellStyle name="Normal 3 3 11 4 4 2" xfId="27930" xr:uid="{00000000-0005-0000-0000-0000116D0000}"/>
    <cellStyle name="Normal 3 3 11 4 4 3" xfId="27931" xr:uid="{00000000-0005-0000-0000-0000126D0000}"/>
    <cellStyle name="Normal 3 3 11 4 5" xfId="27932" xr:uid="{00000000-0005-0000-0000-0000136D0000}"/>
    <cellStyle name="Normal 3 3 11 4 5 2" xfId="27933" xr:uid="{00000000-0005-0000-0000-0000146D0000}"/>
    <cellStyle name="Normal 3 3 11 4 5 3" xfId="27934" xr:uid="{00000000-0005-0000-0000-0000156D0000}"/>
    <cellStyle name="Normal 3 3 11 4 6" xfId="27935" xr:uid="{00000000-0005-0000-0000-0000166D0000}"/>
    <cellStyle name="Normal 3 3 11 4 6 2" xfId="27936" xr:uid="{00000000-0005-0000-0000-0000176D0000}"/>
    <cellStyle name="Normal 3 3 11 4 6 3" xfId="27937" xr:uid="{00000000-0005-0000-0000-0000186D0000}"/>
    <cellStyle name="Normal 3 3 11 4 7" xfId="27938" xr:uid="{00000000-0005-0000-0000-0000196D0000}"/>
    <cellStyle name="Normal 3 3 11 4 7 2" xfId="27939" xr:uid="{00000000-0005-0000-0000-00001A6D0000}"/>
    <cellStyle name="Normal 3 3 11 4 7 3" xfId="27940" xr:uid="{00000000-0005-0000-0000-00001B6D0000}"/>
    <cellStyle name="Normal 3 3 11 4 8" xfId="27941" xr:uid="{00000000-0005-0000-0000-00001C6D0000}"/>
    <cellStyle name="Normal 3 3 11 4 8 2" xfId="27942" xr:uid="{00000000-0005-0000-0000-00001D6D0000}"/>
    <cellStyle name="Normal 3 3 11 4 8 3" xfId="27943" xr:uid="{00000000-0005-0000-0000-00001E6D0000}"/>
    <cellStyle name="Normal 3 3 11 4 9" xfId="27944" xr:uid="{00000000-0005-0000-0000-00001F6D0000}"/>
    <cellStyle name="Normal 3 3 11 4 9 2" xfId="27945" xr:uid="{00000000-0005-0000-0000-0000206D0000}"/>
    <cellStyle name="Normal 3 3 11 4 9 3" xfId="27946" xr:uid="{00000000-0005-0000-0000-0000216D0000}"/>
    <cellStyle name="Normal 3 3 11 5" xfId="27947" xr:uid="{00000000-0005-0000-0000-0000226D0000}"/>
    <cellStyle name="Normal 3 3 11 5 10" xfId="27948" xr:uid="{00000000-0005-0000-0000-0000236D0000}"/>
    <cellStyle name="Normal 3 3 11 5 10 2" xfId="27949" xr:uid="{00000000-0005-0000-0000-0000246D0000}"/>
    <cellStyle name="Normal 3 3 11 5 10 3" xfId="27950" xr:uid="{00000000-0005-0000-0000-0000256D0000}"/>
    <cellStyle name="Normal 3 3 11 5 11" xfId="27951" xr:uid="{00000000-0005-0000-0000-0000266D0000}"/>
    <cellStyle name="Normal 3 3 11 5 11 2" xfId="27952" xr:uid="{00000000-0005-0000-0000-0000276D0000}"/>
    <cellStyle name="Normal 3 3 11 5 11 3" xfId="27953" xr:uid="{00000000-0005-0000-0000-0000286D0000}"/>
    <cellStyle name="Normal 3 3 11 5 12" xfId="27954" xr:uid="{00000000-0005-0000-0000-0000296D0000}"/>
    <cellStyle name="Normal 3 3 11 5 12 2" xfId="27955" xr:uid="{00000000-0005-0000-0000-00002A6D0000}"/>
    <cellStyle name="Normal 3 3 11 5 12 3" xfId="27956" xr:uid="{00000000-0005-0000-0000-00002B6D0000}"/>
    <cellStyle name="Normal 3 3 11 5 13" xfId="27957" xr:uid="{00000000-0005-0000-0000-00002C6D0000}"/>
    <cellStyle name="Normal 3 3 11 5 13 2" xfId="27958" xr:uid="{00000000-0005-0000-0000-00002D6D0000}"/>
    <cellStyle name="Normal 3 3 11 5 13 3" xfId="27959" xr:uid="{00000000-0005-0000-0000-00002E6D0000}"/>
    <cellStyle name="Normal 3 3 11 5 14" xfId="27960" xr:uid="{00000000-0005-0000-0000-00002F6D0000}"/>
    <cellStyle name="Normal 3 3 11 5 14 2" xfId="27961" xr:uid="{00000000-0005-0000-0000-0000306D0000}"/>
    <cellStyle name="Normal 3 3 11 5 14 3" xfId="27962" xr:uid="{00000000-0005-0000-0000-0000316D0000}"/>
    <cellStyle name="Normal 3 3 11 5 15" xfId="27963" xr:uid="{00000000-0005-0000-0000-0000326D0000}"/>
    <cellStyle name="Normal 3 3 11 5 16" xfId="27964" xr:uid="{00000000-0005-0000-0000-0000336D0000}"/>
    <cellStyle name="Normal 3 3 11 5 2" xfId="27965" xr:uid="{00000000-0005-0000-0000-0000346D0000}"/>
    <cellStyle name="Normal 3 3 11 5 2 2" xfId="27966" xr:uid="{00000000-0005-0000-0000-0000356D0000}"/>
    <cellStyle name="Normal 3 3 11 5 2 3" xfId="27967" xr:uid="{00000000-0005-0000-0000-0000366D0000}"/>
    <cellStyle name="Normal 3 3 11 5 3" xfId="27968" xr:uid="{00000000-0005-0000-0000-0000376D0000}"/>
    <cellStyle name="Normal 3 3 11 5 3 2" xfId="27969" xr:uid="{00000000-0005-0000-0000-0000386D0000}"/>
    <cellStyle name="Normal 3 3 11 5 3 3" xfId="27970" xr:uid="{00000000-0005-0000-0000-0000396D0000}"/>
    <cellStyle name="Normal 3 3 11 5 4" xfId="27971" xr:uid="{00000000-0005-0000-0000-00003A6D0000}"/>
    <cellStyle name="Normal 3 3 11 5 4 2" xfId="27972" xr:uid="{00000000-0005-0000-0000-00003B6D0000}"/>
    <cellStyle name="Normal 3 3 11 5 4 3" xfId="27973" xr:uid="{00000000-0005-0000-0000-00003C6D0000}"/>
    <cellStyle name="Normal 3 3 11 5 5" xfId="27974" xr:uid="{00000000-0005-0000-0000-00003D6D0000}"/>
    <cellStyle name="Normal 3 3 11 5 5 2" xfId="27975" xr:uid="{00000000-0005-0000-0000-00003E6D0000}"/>
    <cellStyle name="Normal 3 3 11 5 5 3" xfId="27976" xr:uid="{00000000-0005-0000-0000-00003F6D0000}"/>
    <cellStyle name="Normal 3 3 11 5 6" xfId="27977" xr:uid="{00000000-0005-0000-0000-0000406D0000}"/>
    <cellStyle name="Normal 3 3 11 5 6 2" xfId="27978" xr:uid="{00000000-0005-0000-0000-0000416D0000}"/>
    <cellStyle name="Normal 3 3 11 5 6 3" xfId="27979" xr:uid="{00000000-0005-0000-0000-0000426D0000}"/>
    <cellStyle name="Normal 3 3 11 5 7" xfId="27980" xr:uid="{00000000-0005-0000-0000-0000436D0000}"/>
    <cellStyle name="Normal 3 3 11 5 7 2" xfId="27981" xr:uid="{00000000-0005-0000-0000-0000446D0000}"/>
    <cellStyle name="Normal 3 3 11 5 7 3" xfId="27982" xr:uid="{00000000-0005-0000-0000-0000456D0000}"/>
    <cellStyle name="Normal 3 3 11 5 8" xfId="27983" xr:uid="{00000000-0005-0000-0000-0000466D0000}"/>
    <cellStyle name="Normal 3 3 11 5 8 2" xfId="27984" xr:uid="{00000000-0005-0000-0000-0000476D0000}"/>
    <cellStyle name="Normal 3 3 11 5 8 3" xfId="27985" xr:uid="{00000000-0005-0000-0000-0000486D0000}"/>
    <cellStyle name="Normal 3 3 11 5 9" xfId="27986" xr:uid="{00000000-0005-0000-0000-0000496D0000}"/>
    <cellStyle name="Normal 3 3 11 5 9 2" xfId="27987" xr:uid="{00000000-0005-0000-0000-00004A6D0000}"/>
    <cellStyle name="Normal 3 3 11 5 9 3" xfId="27988" xr:uid="{00000000-0005-0000-0000-00004B6D0000}"/>
    <cellStyle name="Normal 3 3 11 6" xfId="27989" xr:uid="{00000000-0005-0000-0000-00004C6D0000}"/>
    <cellStyle name="Normal 3 3 11 6 10" xfId="27990" xr:uid="{00000000-0005-0000-0000-00004D6D0000}"/>
    <cellStyle name="Normal 3 3 11 6 10 2" xfId="27991" xr:uid="{00000000-0005-0000-0000-00004E6D0000}"/>
    <cellStyle name="Normal 3 3 11 6 10 3" xfId="27992" xr:uid="{00000000-0005-0000-0000-00004F6D0000}"/>
    <cellStyle name="Normal 3 3 11 6 11" xfId="27993" xr:uid="{00000000-0005-0000-0000-0000506D0000}"/>
    <cellStyle name="Normal 3 3 11 6 11 2" xfId="27994" xr:uid="{00000000-0005-0000-0000-0000516D0000}"/>
    <cellStyle name="Normal 3 3 11 6 11 3" xfId="27995" xr:uid="{00000000-0005-0000-0000-0000526D0000}"/>
    <cellStyle name="Normal 3 3 11 6 12" xfId="27996" xr:uid="{00000000-0005-0000-0000-0000536D0000}"/>
    <cellStyle name="Normal 3 3 11 6 12 2" xfId="27997" xr:uid="{00000000-0005-0000-0000-0000546D0000}"/>
    <cellStyle name="Normal 3 3 11 6 12 3" xfId="27998" xr:uid="{00000000-0005-0000-0000-0000556D0000}"/>
    <cellStyle name="Normal 3 3 11 6 13" xfId="27999" xr:uid="{00000000-0005-0000-0000-0000566D0000}"/>
    <cellStyle name="Normal 3 3 11 6 13 2" xfId="28000" xr:uid="{00000000-0005-0000-0000-0000576D0000}"/>
    <cellStyle name="Normal 3 3 11 6 13 3" xfId="28001" xr:uid="{00000000-0005-0000-0000-0000586D0000}"/>
    <cellStyle name="Normal 3 3 11 6 14" xfId="28002" xr:uid="{00000000-0005-0000-0000-0000596D0000}"/>
    <cellStyle name="Normal 3 3 11 6 14 2" xfId="28003" xr:uid="{00000000-0005-0000-0000-00005A6D0000}"/>
    <cellStyle name="Normal 3 3 11 6 14 3" xfId="28004" xr:uid="{00000000-0005-0000-0000-00005B6D0000}"/>
    <cellStyle name="Normal 3 3 11 6 15" xfId="28005" xr:uid="{00000000-0005-0000-0000-00005C6D0000}"/>
    <cellStyle name="Normal 3 3 11 6 16" xfId="28006" xr:uid="{00000000-0005-0000-0000-00005D6D0000}"/>
    <cellStyle name="Normal 3 3 11 6 2" xfId="28007" xr:uid="{00000000-0005-0000-0000-00005E6D0000}"/>
    <cellStyle name="Normal 3 3 11 6 2 2" xfId="28008" xr:uid="{00000000-0005-0000-0000-00005F6D0000}"/>
    <cellStyle name="Normal 3 3 11 6 2 3" xfId="28009" xr:uid="{00000000-0005-0000-0000-0000606D0000}"/>
    <cellStyle name="Normal 3 3 11 6 3" xfId="28010" xr:uid="{00000000-0005-0000-0000-0000616D0000}"/>
    <cellStyle name="Normal 3 3 11 6 3 2" xfId="28011" xr:uid="{00000000-0005-0000-0000-0000626D0000}"/>
    <cellStyle name="Normal 3 3 11 6 3 3" xfId="28012" xr:uid="{00000000-0005-0000-0000-0000636D0000}"/>
    <cellStyle name="Normal 3 3 11 6 4" xfId="28013" xr:uid="{00000000-0005-0000-0000-0000646D0000}"/>
    <cellStyle name="Normal 3 3 11 6 4 2" xfId="28014" xr:uid="{00000000-0005-0000-0000-0000656D0000}"/>
    <cellStyle name="Normal 3 3 11 6 4 3" xfId="28015" xr:uid="{00000000-0005-0000-0000-0000666D0000}"/>
    <cellStyle name="Normal 3 3 11 6 5" xfId="28016" xr:uid="{00000000-0005-0000-0000-0000676D0000}"/>
    <cellStyle name="Normal 3 3 11 6 5 2" xfId="28017" xr:uid="{00000000-0005-0000-0000-0000686D0000}"/>
    <cellStyle name="Normal 3 3 11 6 5 3" xfId="28018" xr:uid="{00000000-0005-0000-0000-0000696D0000}"/>
    <cellStyle name="Normal 3 3 11 6 6" xfId="28019" xr:uid="{00000000-0005-0000-0000-00006A6D0000}"/>
    <cellStyle name="Normal 3 3 11 6 6 2" xfId="28020" xr:uid="{00000000-0005-0000-0000-00006B6D0000}"/>
    <cellStyle name="Normal 3 3 11 6 6 3" xfId="28021" xr:uid="{00000000-0005-0000-0000-00006C6D0000}"/>
    <cellStyle name="Normal 3 3 11 6 7" xfId="28022" xr:uid="{00000000-0005-0000-0000-00006D6D0000}"/>
    <cellStyle name="Normal 3 3 11 6 7 2" xfId="28023" xr:uid="{00000000-0005-0000-0000-00006E6D0000}"/>
    <cellStyle name="Normal 3 3 11 6 7 3" xfId="28024" xr:uid="{00000000-0005-0000-0000-00006F6D0000}"/>
    <cellStyle name="Normal 3 3 11 6 8" xfId="28025" xr:uid="{00000000-0005-0000-0000-0000706D0000}"/>
    <cellStyle name="Normal 3 3 11 6 8 2" xfId="28026" xr:uid="{00000000-0005-0000-0000-0000716D0000}"/>
    <cellStyle name="Normal 3 3 11 6 8 3" xfId="28027" xr:uid="{00000000-0005-0000-0000-0000726D0000}"/>
    <cellStyle name="Normal 3 3 11 6 9" xfId="28028" xr:uid="{00000000-0005-0000-0000-0000736D0000}"/>
    <cellStyle name="Normal 3 3 11 6 9 2" xfId="28029" xr:uid="{00000000-0005-0000-0000-0000746D0000}"/>
    <cellStyle name="Normal 3 3 11 6 9 3" xfId="28030" xr:uid="{00000000-0005-0000-0000-0000756D0000}"/>
    <cellStyle name="Normal 3 3 11 7" xfId="28031" xr:uid="{00000000-0005-0000-0000-0000766D0000}"/>
    <cellStyle name="Normal 3 3 11 7 10" xfId="28032" xr:uid="{00000000-0005-0000-0000-0000776D0000}"/>
    <cellStyle name="Normal 3 3 11 7 10 2" xfId="28033" xr:uid="{00000000-0005-0000-0000-0000786D0000}"/>
    <cellStyle name="Normal 3 3 11 7 10 3" xfId="28034" xr:uid="{00000000-0005-0000-0000-0000796D0000}"/>
    <cellStyle name="Normal 3 3 11 7 11" xfId="28035" xr:uid="{00000000-0005-0000-0000-00007A6D0000}"/>
    <cellStyle name="Normal 3 3 11 7 11 2" xfId="28036" xr:uid="{00000000-0005-0000-0000-00007B6D0000}"/>
    <cellStyle name="Normal 3 3 11 7 11 3" xfId="28037" xr:uid="{00000000-0005-0000-0000-00007C6D0000}"/>
    <cellStyle name="Normal 3 3 11 7 12" xfId="28038" xr:uid="{00000000-0005-0000-0000-00007D6D0000}"/>
    <cellStyle name="Normal 3 3 11 7 12 2" xfId="28039" xr:uid="{00000000-0005-0000-0000-00007E6D0000}"/>
    <cellStyle name="Normal 3 3 11 7 12 3" xfId="28040" xr:uid="{00000000-0005-0000-0000-00007F6D0000}"/>
    <cellStyle name="Normal 3 3 11 7 13" xfId="28041" xr:uid="{00000000-0005-0000-0000-0000806D0000}"/>
    <cellStyle name="Normal 3 3 11 7 13 2" xfId="28042" xr:uid="{00000000-0005-0000-0000-0000816D0000}"/>
    <cellStyle name="Normal 3 3 11 7 13 3" xfId="28043" xr:uid="{00000000-0005-0000-0000-0000826D0000}"/>
    <cellStyle name="Normal 3 3 11 7 14" xfId="28044" xr:uid="{00000000-0005-0000-0000-0000836D0000}"/>
    <cellStyle name="Normal 3 3 11 7 14 2" xfId="28045" xr:uid="{00000000-0005-0000-0000-0000846D0000}"/>
    <cellStyle name="Normal 3 3 11 7 14 3" xfId="28046" xr:uid="{00000000-0005-0000-0000-0000856D0000}"/>
    <cellStyle name="Normal 3 3 11 7 15" xfId="28047" xr:uid="{00000000-0005-0000-0000-0000866D0000}"/>
    <cellStyle name="Normal 3 3 11 7 16" xfId="28048" xr:uid="{00000000-0005-0000-0000-0000876D0000}"/>
    <cellStyle name="Normal 3 3 11 7 2" xfId="28049" xr:uid="{00000000-0005-0000-0000-0000886D0000}"/>
    <cellStyle name="Normal 3 3 11 7 2 2" xfId="28050" xr:uid="{00000000-0005-0000-0000-0000896D0000}"/>
    <cellStyle name="Normal 3 3 11 7 2 3" xfId="28051" xr:uid="{00000000-0005-0000-0000-00008A6D0000}"/>
    <cellStyle name="Normal 3 3 11 7 3" xfId="28052" xr:uid="{00000000-0005-0000-0000-00008B6D0000}"/>
    <cellStyle name="Normal 3 3 11 7 3 2" xfId="28053" xr:uid="{00000000-0005-0000-0000-00008C6D0000}"/>
    <cellStyle name="Normal 3 3 11 7 3 3" xfId="28054" xr:uid="{00000000-0005-0000-0000-00008D6D0000}"/>
    <cellStyle name="Normal 3 3 11 7 4" xfId="28055" xr:uid="{00000000-0005-0000-0000-00008E6D0000}"/>
    <cellStyle name="Normal 3 3 11 7 4 2" xfId="28056" xr:uid="{00000000-0005-0000-0000-00008F6D0000}"/>
    <cellStyle name="Normal 3 3 11 7 4 3" xfId="28057" xr:uid="{00000000-0005-0000-0000-0000906D0000}"/>
    <cellStyle name="Normal 3 3 11 7 5" xfId="28058" xr:uid="{00000000-0005-0000-0000-0000916D0000}"/>
    <cellStyle name="Normal 3 3 11 7 5 2" xfId="28059" xr:uid="{00000000-0005-0000-0000-0000926D0000}"/>
    <cellStyle name="Normal 3 3 11 7 5 3" xfId="28060" xr:uid="{00000000-0005-0000-0000-0000936D0000}"/>
    <cellStyle name="Normal 3 3 11 7 6" xfId="28061" xr:uid="{00000000-0005-0000-0000-0000946D0000}"/>
    <cellStyle name="Normal 3 3 11 7 6 2" xfId="28062" xr:uid="{00000000-0005-0000-0000-0000956D0000}"/>
    <cellStyle name="Normal 3 3 11 7 6 3" xfId="28063" xr:uid="{00000000-0005-0000-0000-0000966D0000}"/>
    <cellStyle name="Normal 3 3 11 7 7" xfId="28064" xr:uid="{00000000-0005-0000-0000-0000976D0000}"/>
    <cellStyle name="Normal 3 3 11 7 7 2" xfId="28065" xr:uid="{00000000-0005-0000-0000-0000986D0000}"/>
    <cellStyle name="Normal 3 3 11 7 7 3" xfId="28066" xr:uid="{00000000-0005-0000-0000-0000996D0000}"/>
    <cellStyle name="Normal 3 3 11 7 8" xfId="28067" xr:uid="{00000000-0005-0000-0000-00009A6D0000}"/>
    <cellStyle name="Normal 3 3 11 7 8 2" xfId="28068" xr:uid="{00000000-0005-0000-0000-00009B6D0000}"/>
    <cellStyle name="Normal 3 3 11 7 8 3" xfId="28069" xr:uid="{00000000-0005-0000-0000-00009C6D0000}"/>
    <cellStyle name="Normal 3 3 11 7 9" xfId="28070" xr:uid="{00000000-0005-0000-0000-00009D6D0000}"/>
    <cellStyle name="Normal 3 3 11 7 9 2" xfId="28071" xr:uid="{00000000-0005-0000-0000-00009E6D0000}"/>
    <cellStyle name="Normal 3 3 11 7 9 3" xfId="28072" xr:uid="{00000000-0005-0000-0000-00009F6D0000}"/>
    <cellStyle name="Normal 3 3 11 8" xfId="28073" xr:uid="{00000000-0005-0000-0000-0000A06D0000}"/>
    <cellStyle name="Normal 3 3 11 8 10" xfId="28074" xr:uid="{00000000-0005-0000-0000-0000A16D0000}"/>
    <cellStyle name="Normal 3 3 11 8 10 2" xfId="28075" xr:uid="{00000000-0005-0000-0000-0000A26D0000}"/>
    <cellStyle name="Normal 3 3 11 8 10 3" xfId="28076" xr:uid="{00000000-0005-0000-0000-0000A36D0000}"/>
    <cellStyle name="Normal 3 3 11 8 11" xfId="28077" xr:uid="{00000000-0005-0000-0000-0000A46D0000}"/>
    <cellStyle name="Normal 3 3 11 8 11 2" xfId="28078" xr:uid="{00000000-0005-0000-0000-0000A56D0000}"/>
    <cellStyle name="Normal 3 3 11 8 11 3" xfId="28079" xr:uid="{00000000-0005-0000-0000-0000A66D0000}"/>
    <cellStyle name="Normal 3 3 11 8 12" xfId="28080" xr:uid="{00000000-0005-0000-0000-0000A76D0000}"/>
    <cellStyle name="Normal 3 3 11 8 12 2" xfId="28081" xr:uid="{00000000-0005-0000-0000-0000A86D0000}"/>
    <cellStyle name="Normal 3 3 11 8 12 3" xfId="28082" xr:uid="{00000000-0005-0000-0000-0000A96D0000}"/>
    <cellStyle name="Normal 3 3 11 8 13" xfId="28083" xr:uid="{00000000-0005-0000-0000-0000AA6D0000}"/>
    <cellStyle name="Normal 3 3 11 8 13 2" xfId="28084" xr:uid="{00000000-0005-0000-0000-0000AB6D0000}"/>
    <cellStyle name="Normal 3 3 11 8 13 3" xfId="28085" xr:uid="{00000000-0005-0000-0000-0000AC6D0000}"/>
    <cellStyle name="Normal 3 3 11 8 14" xfId="28086" xr:uid="{00000000-0005-0000-0000-0000AD6D0000}"/>
    <cellStyle name="Normal 3 3 11 8 14 2" xfId="28087" xr:uid="{00000000-0005-0000-0000-0000AE6D0000}"/>
    <cellStyle name="Normal 3 3 11 8 14 3" xfId="28088" xr:uid="{00000000-0005-0000-0000-0000AF6D0000}"/>
    <cellStyle name="Normal 3 3 11 8 15" xfId="28089" xr:uid="{00000000-0005-0000-0000-0000B06D0000}"/>
    <cellStyle name="Normal 3 3 11 8 16" xfId="28090" xr:uid="{00000000-0005-0000-0000-0000B16D0000}"/>
    <cellStyle name="Normal 3 3 11 8 2" xfId="28091" xr:uid="{00000000-0005-0000-0000-0000B26D0000}"/>
    <cellStyle name="Normal 3 3 11 8 2 2" xfId="28092" xr:uid="{00000000-0005-0000-0000-0000B36D0000}"/>
    <cellStyle name="Normal 3 3 11 8 2 3" xfId="28093" xr:uid="{00000000-0005-0000-0000-0000B46D0000}"/>
    <cellStyle name="Normal 3 3 11 8 3" xfId="28094" xr:uid="{00000000-0005-0000-0000-0000B56D0000}"/>
    <cellStyle name="Normal 3 3 11 8 3 2" xfId="28095" xr:uid="{00000000-0005-0000-0000-0000B66D0000}"/>
    <cellStyle name="Normal 3 3 11 8 3 3" xfId="28096" xr:uid="{00000000-0005-0000-0000-0000B76D0000}"/>
    <cellStyle name="Normal 3 3 11 8 4" xfId="28097" xr:uid="{00000000-0005-0000-0000-0000B86D0000}"/>
    <cellStyle name="Normal 3 3 11 8 4 2" xfId="28098" xr:uid="{00000000-0005-0000-0000-0000B96D0000}"/>
    <cellStyle name="Normal 3 3 11 8 4 3" xfId="28099" xr:uid="{00000000-0005-0000-0000-0000BA6D0000}"/>
    <cellStyle name="Normal 3 3 11 8 5" xfId="28100" xr:uid="{00000000-0005-0000-0000-0000BB6D0000}"/>
    <cellStyle name="Normal 3 3 11 8 5 2" xfId="28101" xr:uid="{00000000-0005-0000-0000-0000BC6D0000}"/>
    <cellStyle name="Normal 3 3 11 8 5 3" xfId="28102" xr:uid="{00000000-0005-0000-0000-0000BD6D0000}"/>
    <cellStyle name="Normal 3 3 11 8 6" xfId="28103" xr:uid="{00000000-0005-0000-0000-0000BE6D0000}"/>
    <cellStyle name="Normal 3 3 11 8 6 2" xfId="28104" xr:uid="{00000000-0005-0000-0000-0000BF6D0000}"/>
    <cellStyle name="Normal 3 3 11 8 6 3" xfId="28105" xr:uid="{00000000-0005-0000-0000-0000C06D0000}"/>
    <cellStyle name="Normal 3 3 11 8 7" xfId="28106" xr:uid="{00000000-0005-0000-0000-0000C16D0000}"/>
    <cellStyle name="Normal 3 3 11 8 7 2" xfId="28107" xr:uid="{00000000-0005-0000-0000-0000C26D0000}"/>
    <cellStyle name="Normal 3 3 11 8 7 3" xfId="28108" xr:uid="{00000000-0005-0000-0000-0000C36D0000}"/>
    <cellStyle name="Normal 3 3 11 8 8" xfId="28109" xr:uid="{00000000-0005-0000-0000-0000C46D0000}"/>
    <cellStyle name="Normal 3 3 11 8 8 2" xfId="28110" xr:uid="{00000000-0005-0000-0000-0000C56D0000}"/>
    <cellStyle name="Normal 3 3 11 8 8 3" xfId="28111" xr:uid="{00000000-0005-0000-0000-0000C66D0000}"/>
    <cellStyle name="Normal 3 3 11 8 9" xfId="28112" xr:uid="{00000000-0005-0000-0000-0000C76D0000}"/>
    <cellStyle name="Normal 3 3 11 8 9 2" xfId="28113" xr:uid="{00000000-0005-0000-0000-0000C86D0000}"/>
    <cellStyle name="Normal 3 3 11 8 9 3" xfId="28114" xr:uid="{00000000-0005-0000-0000-0000C96D0000}"/>
    <cellStyle name="Normal 3 3 11 9" xfId="28115" xr:uid="{00000000-0005-0000-0000-0000CA6D0000}"/>
    <cellStyle name="Normal 3 3 11 9 10" xfId="28116" xr:uid="{00000000-0005-0000-0000-0000CB6D0000}"/>
    <cellStyle name="Normal 3 3 11 9 10 2" xfId="28117" xr:uid="{00000000-0005-0000-0000-0000CC6D0000}"/>
    <cellStyle name="Normal 3 3 11 9 10 3" xfId="28118" xr:uid="{00000000-0005-0000-0000-0000CD6D0000}"/>
    <cellStyle name="Normal 3 3 11 9 11" xfId="28119" xr:uid="{00000000-0005-0000-0000-0000CE6D0000}"/>
    <cellStyle name="Normal 3 3 11 9 11 2" xfId="28120" xr:uid="{00000000-0005-0000-0000-0000CF6D0000}"/>
    <cellStyle name="Normal 3 3 11 9 11 3" xfId="28121" xr:uid="{00000000-0005-0000-0000-0000D06D0000}"/>
    <cellStyle name="Normal 3 3 11 9 12" xfId="28122" xr:uid="{00000000-0005-0000-0000-0000D16D0000}"/>
    <cellStyle name="Normal 3 3 11 9 12 2" xfId="28123" xr:uid="{00000000-0005-0000-0000-0000D26D0000}"/>
    <cellStyle name="Normal 3 3 11 9 12 3" xfId="28124" xr:uid="{00000000-0005-0000-0000-0000D36D0000}"/>
    <cellStyle name="Normal 3 3 11 9 13" xfId="28125" xr:uid="{00000000-0005-0000-0000-0000D46D0000}"/>
    <cellStyle name="Normal 3 3 11 9 13 2" xfId="28126" xr:uid="{00000000-0005-0000-0000-0000D56D0000}"/>
    <cellStyle name="Normal 3 3 11 9 13 3" xfId="28127" xr:uid="{00000000-0005-0000-0000-0000D66D0000}"/>
    <cellStyle name="Normal 3 3 11 9 14" xfId="28128" xr:uid="{00000000-0005-0000-0000-0000D76D0000}"/>
    <cellStyle name="Normal 3 3 11 9 14 2" xfId="28129" xr:uid="{00000000-0005-0000-0000-0000D86D0000}"/>
    <cellStyle name="Normal 3 3 11 9 14 3" xfId="28130" xr:uid="{00000000-0005-0000-0000-0000D96D0000}"/>
    <cellStyle name="Normal 3 3 11 9 15" xfId="28131" xr:uid="{00000000-0005-0000-0000-0000DA6D0000}"/>
    <cellStyle name="Normal 3 3 11 9 16" xfId="28132" xr:uid="{00000000-0005-0000-0000-0000DB6D0000}"/>
    <cellStyle name="Normal 3 3 11 9 2" xfId="28133" xr:uid="{00000000-0005-0000-0000-0000DC6D0000}"/>
    <cellStyle name="Normal 3 3 11 9 2 2" xfId="28134" xr:uid="{00000000-0005-0000-0000-0000DD6D0000}"/>
    <cellStyle name="Normal 3 3 11 9 2 3" xfId="28135" xr:uid="{00000000-0005-0000-0000-0000DE6D0000}"/>
    <cellStyle name="Normal 3 3 11 9 3" xfId="28136" xr:uid="{00000000-0005-0000-0000-0000DF6D0000}"/>
    <cellStyle name="Normal 3 3 11 9 3 2" xfId="28137" xr:uid="{00000000-0005-0000-0000-0000E06D0000}"/>
    <cellStyle name="Normal 3 3 11 9 3 3" xfId="28138" xr:uid="{00000000-0005-0000-0000-0000E16D0000}"/>
    <cellStyle name="Normal 3 3 11 9 4" xfId="28139" xr:uid="{00000000-0005-0000-0000-0000E26D0000}"/>
    <cellStyle name="Normal 3 3 11 9 4 2" xfId="28140" xr:uid="{00000000-0005-0000-0000-0000E36D0000}"/>
    <cellStyle name="Normal 3 3 11 9 4 3" xfId="28141" xr:uid="{00000000-0005-0000-0000-0000E46D0000}"/>
    <cellStyle name="Normal 3 3 11 9 5" xfId="28142" xr:uid="{00000000-0005-0000-0000-0000E56D0000}"/>
    <cellStyle name="Normal 3 3 11 9 5 2" xfId="28143" xr:uid="{00000000-0005-0000-0000-0000E66D0000}"/>
    <cellStyle name="Normal 3 3 11 9 5 3" xfId="28144" xr:uid="{00000000-0005-0000-0000-0000E76D0000}"/>
    <cellStyle name="Normal 3 3 11 9 6" xfId="28145" xr:uid="{00000000-0005-0000-0000-0000E86D0000}"/>
    <cellStyle name="Normal 3 3 11 9 6 2" xfId="28146" xr:uid="{00000000-0005-0000-0000-0000E96D0000}"/>
    <cellStyle name="Normal 3 3 11 9 6 3" xfId="28147" xr:uid="{00000000-0005-0000-0000-0000EA6D0000}"/>
    <cellStyle name="Normal 3 3 11 9 7" xfId="28148" xr:uid="{00000000-0005-0000-0000-0000EB6D0000}"/>
    <cellStyle name="Normal 3 3 11 9 7 2" xfId="28149" xr:uid="{00000000-0005-0000-0000-0000EC6D0000}"/>
    <cellStyle name="Normal 3 3 11 9 7 3" xfId="28150" xr:uid="{00000000-0005-0000-0000-0000ED6D0000}"/>
    <cellStyle name="Normal 3 3 11 9 8" xfId="28151" xr:uid="{00000000-0005-0000-0000-0000EE6D0000}"/>
    <cellStyle name="Normal 3 3 11 9 8 2" xfId="28152" xr:uid="{00000000-0005-0000-0000-0000EF6D0000}"/>
    <cellStyle name="Normal 3 3 11 9 8 3" xfId="28153" xr:uid="{00000000-0005-0000-0000-0000F06D0000}"/>
    <cellStyle name="Normal 3 3 11 9 9" xfId="28154" xr:uid="{00000000-0005-0000-0000-0000F16D0000}"/>
    <cellStyle name="Normal 3 3 11 9 9 2" xfId="28155" xr:uid="{00000000-0005-0000-0000-0000F26D0000}"/>
    <cellStyle name="Normal 3 3 11 9 9 3" xfId="28156" xr:uid="{00000000-0005-0000-0000-0000F36D0000}"/>
    <cellStyle name="Normal 3 3 12" xfId="28157" xr:uid="{00000000-0005-0000-0000-0000F46D0000}"/>
    <cellStyle name="Normal 3 3 12 10" xfId="28158" xr:uid="{00000000-0005-0000-0000-0000F56D0000}"/>
    <cellStyle name="Normal 3 3 12 10 10" xfId="28159" xr:uid="{00000000-0005-0000-0000-0000F66D0000}"/>
    <cellStyle name="Normal 3 3 12 10 10 2" xfId="28160" xr:uid="{00000000-0005-0000-0000-0000F76D0000}"/>
    <cellStyle name="Normal 3 3 12 10 10 3" xfId="28161" xr:uid="{00000000-0005-0000-0000-0000F86D0000}"/>
    <cellStyle name="Normal 3 3 12 10 11" xfId="28162" xr:uid="{00000000-0005-0000-0000-0000F96D0000}"/>
    <cellStyle name="Normal 3 3 12 10 11 2" xfId="28163" xr:uid="{00000000-0005-0000-0000-0000FA6D0000}"/>
    <cellStyle name="Normal 3 3 12 10 11 3" xfId="28164" xr:uid="{00000000-0005-0000-0000-0000FB6D0000}"/>
    <cellStyle name="Normal 3 3 12 10 12" xfId="28165" xr:uid="{00000000-0005-0000-0000-0000FC6D0000}"/>
    <cellStyle name="Normal 3 3 12 10 12 2" xfId="28166" xr:uid="{00000000-0005-0000-0000-0000FD6D0000}"/>
    <cellStyle name="Normal 3 3 12 10 12 3" xfId="28167" xr:uid="{00000000-0005-0000-0000-0000FE6D0000}"/>
    <cellStyle name="Normal 3 3 12 10 13" xfId="28168" xr:uid="{00000000-0005-0000-0000-0000FF6D0000}"/>
    <cellStyle name="Normal 3 3 12 10 13 2" xfId="28169" xr:uid="{00000000-0005-0000-0000-0000006E0000}"/>
    <cellStyle name="Normal 3 3 12 10 13 3" xfId="28170" xr:uid="{00000000-0005-0000-0000-0000016E0000}"/>
    <cellStyle name="Normal 3 3 12 10 14" xfId="28171" xr:uid="{00000000-0005-0000-0000-0000026E0000}"/>
    <cellStyle name="Normal 3 3 12 10 14 2" xfId="28172" xr:uid="{00000000-0005-0000-0000-0000036E0000}"/>
    <cellStyle name="Normal 3 3 12 10 14 3" xfId="28173" xr:uid="{00000000-0005-0000-0000-0000046E0000}"/>
    <cellStyle name="Normal 3 3 12 10 15" xfId="28174" xr:uid="{00000000-0005-0000-0000-0000056E0000}"/>
    <cellStyle name="Normal 3 3 12 10 16" xfId="28175" xr:uid="{00000000-0005-0000-0000-0000066E0000}"/>
    <cellStyle name="Normal 3 3 12 10 2" xfId="28176" xr:uid="{00000000-0005-0000-0000-0000076E0000}"/>
    <cellStyle name="Normal 3 3 12 10 2 2" xfId="28177" xr:uid="{00000000-0005-0000-0000-0000086E0000}"/>
    <cellStyle name="Normal 3 3 12 10 2 3" xfId="28178" xr:uid="{00000000-0005-0000-0000-0000096E0000}"/>
    <cellStyle name="Normal 3 3 12 10 3" xfId="28179" xr:uid="{00000000-0005-0000-0000-00000A6E0000}"/>
    <cellStyle name="Normal 3 3 12 10 3 2" xfId="28180" xr:uid="{00000000-0005-0000-0000-00000B6E0000}"/>
    <cellStyle name="Normal 3 3 12 10 3 3" xfId="28181" xr:uid="{00000000-0005-0000-0000-00000C6E0000}"/>
    <cellStyle name="Normal 3 3 12 10 4" xfId="28182" xr:uid="{00000000-0005-0000-0000-00000D6E0000}"/>
    <cellStyle name="Normal 3 3 12 10 4 2" xfId="28183" xr:uid="{00000000-0005-0000-0000-00000E6E0000}"/>
    <cellStyle name="Normal 3 3 12 10 4 3" xfId="28184" xr:uid="{00000000-0005-0000-0000-00000F6E0000}"/>
    <cellStyle name="Normal 3 3 12 10 5" xfId="28185" xr:uid="{00000000-0005-0000-0000-0000106E0000}"/>
    <cellStyle name="Normal 3 3 12 10 5 2" xfId="28186" xr:uid="{00000000-0005-0000-0000-0000116E0000}"/>
    <cellStyle name="Normal 3 3 12 10 5 3" xfId="28187" xr:uid="{00000000-0005-0000-0000-0000126E0000}"/>
    <cellStyle name="Normal 3 3 12 10 6" xfId="28188" xr:uid="{00000000-0005-0000-0000-0000136E0000}"/>
    <cellStyle name="Normal 3 3 12 10 6 2" xfId="28189" xr:uid="{00000000-0005-0000-0000-0000146E0000}"/>
    <cellStyle name="Normal 3 3 12 10 6 3" xfId="28190" xr:uid="{00000000-0005-0000-0000-0000156E0000}"/>
    <cellStyle name="Normal 3 3 12 10 7" xfId="28191" xr:uid="{00000000-0005-0000-0000-0000166E0000}"/>
    <cellStyle name="Normal 3 3 12 10 7 2" xfId="28192" xr:uid="{00000000-0005-0000-0000-0000176E0000}"/>
    <cellStyle name="Normal 3 3 12 10 7 3" xfId="28193" xr:uid="{00000000-0005-0000-0000-0000186E0000}"/>
    <cellStyle name="Normal 3 3 12 10 8" xfId="28194" xr:uid="{00000000-0005-0000-0000-0000196E0000}"/>
    <cellStyle name="Normal 3 3 12 10 8 2" xfId="28195" xr:uid="{00000000-0005-0000-0000-00001A6E0000}"/>
    <cellStyle name="Normal 3 3 12 10 8 3" xfId="28196" xr:uid="{00000000-0005-0000-0000-00001B6E0000}"/>
    <cellStyle name="Normal 3 3 12 10 9" xfId="28197" xr:uid="{00000000-0005-0000-0000-00001C6E0000}"/>
    <cellStyle name="Normal 3 3 12 10 9 2" xfId="28198" xr:uid="{00000000-0005-0000-0000-00001D6E0000}"/>
    <cellStyle name="Normal 3 3 12 10 9 3" xfId="28199" xr:uid="{00000000-0005-0000-0000-00001E6E0000}"/>
    <cellStyle name="Normal 3 3 12 11" xfId="28200" xr:uid="{00000000-0005-0000-0000-00001F6E0000}"/>
    <cellStyle name="Normal 3 3 12 11 2" xfId="28201" xr:uid="{00000000-0005-0000-0000-0000206E0000}"/>
    <cellStyle name="Normal 3 3 12 11 3" xfId="28202" xr:uid="{00000000-0005-0000-0000-0000216E0000}"/>
    <cellStyle name="Normal 3 3 12 12" xfId="28203" xr:uid="{00000000-0005-0000-0000-0000226E0000}"/>
    <cellStyle name="Normal 3 3 12 12 2" xfId="28204" xr:uid="{00000000-0005-0000-0000-0000236E0000}"/>
    <cellStyle name="Normal 3 3 12 12 3" xfId="28205" xr:uid="{00000000-0005-0000-0000-0000246E0000}"/>
    <cellStyle name="Normal 3 3 12 13" xfId="28206" xr:uid="{00000000-0005-0000-0000-0000256E0000}"/>
    <cellStyle name="Normal 3 3 12 13 2" xfId="28207" xr:uid="{00000000-0005-0000-0000-0000266E0000}"/>
    <cellStyle name="Normal 3 3 12 13 3" xfId="28208" xr:uid="{00000000-0005-0000-0000-0000276E0000}"/>
    <cellStyle name="Normal 3 3 12 14" xfId="28209" xr:uid="{00000000-0005-0000-0000-0000286E0000}"/>
    <cellStyle name="Normal 3 3 12 14 2" xfId="28210" xr:uid="{00000000-0005-0000-0000-0000296E0000}"/>
    <cellStyle name="Normal 3 3 12 14 3" xfId="28211" xr:uid="{00000000-0005-0000-0000-00002A6E0000}"/>
    <cellStyle name="Normal 3 3 12 15" xfId="28212" xr:uid="{00000000-0005-0000-0000-00002B6E0000}"/>
    <cellStyle name="Normal 3 3 12 15 2" xfId="28213" xr:uid="{00000000-0005-0000-0000-00002C6E0000}"/>
    <cellStyle name="Normal 3 3 12 15 3" xfId="28214" xr:uid="{00000000-0005-0000-0000-00002D6E0000}"/>
    <cellStyle name="Normal 3 3 12 16" xfId="28215" xr:uid="{00000000-0005-0000-0000-00002E6E0000}"/>
    <cellStyle name="Normal 3 3 12 16 2" xfId="28216" xr:uid="{00000000-0005-0000-0000-00002F6E0000}"/>
    <cellStyle name="Normal 3 3 12 16 3" xfId="28217" xr:uid="{00000000-0005-0000-0000-0000306E0000}"/>
    <cellStyle name="Normal 3 3 12 17" xfId="28218" xr:uid="{00000000-0005-0000-0000-0000316E0000}"/>
    <cellStyle name="Normal 3 3 12 17 2" xfId="28219" xr:uid="{00000000-0005-0000-0000-0000326E0000}"/>
    <cellStyle name="Normal 3 3 12 17 3" xfId="28220" xr:uid="{00000000-0005-0000-0000-0000336E0000}"/>
    <cellStyle name="Normal 3 3 12 18" xfId="28221" xr:uid="{00000000-0005-0000-0000-0000346E0000}"/>
    <cellStyle name="Normal 3 3 12 18 2" xfId="28222" xr:uid="{00000000-0005-0000-0000-0000356E0000}"/>
    <cellStyle name="Normal 3 3 12 18 3" xfId="28223" xr:uid="{00000000-0005-0000-0000-0000366E0000}"/>
    <cellStyle name="Normal 3 3 12 19" xfId="28224" xr:uid="{00000000-0005-0000-0000-0000376E0000}"/>
    <cellStyle name="Normal 3 3 12 19 2" xfId="28225" xr:uid="{00000000-0005-0000-0000-0000386E0000}"/>
    <cellStyle name="Normal 3 3 12 19 3" xfId="28226" xr:uid="{00000000-0005-0000-0000-0000396E0000}"/>
    <cellStyle name="Normal 3 3 12 2" xfId="28227" xr:uid="{00000000-0005-0000-0000-00003A6E0000}"/>
    <cellStyle name="Normal 3 3 12 2 10" xfId="28228" xr:uid="{00000000-0005-0000-0000-00003B6E0000}"/>
    <cellStyle name="Normal 3 3 12 2 10 2" xfId="28229" xr:uid="{00000000-0005-0000-0000-00003C6E0000}"/>
    <cellStyle name="Normal 3 3 12 2 10 3" xfId="28230" xr:uid="{00000000-0005-0000-0000-00003D6E0000}"/>
    <cellStyle name="Normal 3 3 12 2 11" xfId="28231" xr:uid="{00000000-0005-0000-0000-00003E6E0000}"/>
    <cellStyle name="Normal 3 3 12 2 11 2" xfId="28232" xr:uid="{00000000-0005-0000-0000-00003F6E0000}"/>
    <cellStyle name="Normal 3 3 12 2 11 3" xfId="28233" xr:uid="{00000000-0005-0000-0000-0000406E0000}"/>
    <cellStyle name="Normal 3 3 12 2 12" xfId="28234" xr:uid="{00000000-0005-0000-0000-0000416E0000}"/>
    <cellStyle name="Normal 3 3 12 2 12 2" xfId="28235" xr:uid="{00000000-0005-0000-0000-0000426E0000}"/>
    <cellStyle name="Normal 3 3 12 2 12 3" xfId="28236" xr:uid="{00000000-0005-0000-0000-0000436E0000}"/>
    <cellStyle name="Normal 3 3 12 2 13" xfId="28237" xr:uid="{00000000-0005-0000-0000-0000446E0000}"/>
    <cellStyle name="Normal 3 3 12 2 13 2" xfId="28238" xr:uid="{00000000-0005-0000-0000-0000456E0000}"/>
    <cellStyle name="Normal 3 3 12 2 13 3" xfId="28239" xr:uid="{00000000-0005-0000-0000-0000466E0000}"/>
    <cellStyle name="Normal 3 3 12 2 14" xfId="28240" xr:uid="{00000000-0005-0000-0000-0000476E0000}"/>
    <cellStyle name="Normal 3 3 12 2 14 2" xfId="28241" xr:uid="{00000000-0005-0000-0000-0000486E0000}"/>
    <cellStyle name="Normal 3 3 12 2 14 3" xfId="28242" xr:uid="{00000000-0005-0000-0000-0000496E0000}"/>
    <cellStyle name="Normal 3 3 12 2 15" xfId="28243" xr:uid="{00000000-0005-0000-0000-00004A6E0000}"/>
    <cellStyle name="Normal 3 3 12 2 15 2" xfId="28244" xr:uid="{00000000-0005-0000-0000-00004B6E0000}"/>
    <cellStyle name="Normal 3 3 12 2 15 3" xfId="28245" xr:uid="{00000000-0005-0000-0000-00004C6E0000}"/>
    <cellStyle name="Normal 3 3 12 2 16" xfId="28246" xr:uid="{00000000-0005-0000-0000-00004D6E0000}"/>
    <cellStyle name="Normal 3 3 12 2 17" xfId="28247" xr:uid="{00000000-0005-0000-0000-00004E6E0000}"/>
    <cellStyle name="Normal 3 3 12 2 2" xfId="28248" xr:uid="{00000000-0005-0000-0000-00004F6E0000}"/>
    <cellStyle name="Normal 3 3 12 2 2 10" xfId="28249" xr:uid="{00000000-0005-0000-0000-0000506E0000}"/>
    <cellStyle name="Normal 3 3 12 2 2 10 2" xfId="28250" xr:uid="{00000000-0005-0000-0000-0000516E0000}"/>
    <cellStyle name="Normal 3 3 12 2 2 10 3" xfId="28251" xr:uid="{00000000-0005-0000-0000-0000526E0000}"/>
    <cellStyle name="Normal 3 3 12 2 2 11" xfId="28252" xr:uid="{00000000-0005-0000-0000-0000536E0000}"/>
    <cellStyle name="Normal 3 3 12 2 2 11 2" xfId="28253" xr:uid="{00000000-0005-0000-0000-0000546E0000}"/>
    <cellStyle name="Normal 3 3 12 2 2 11 3" xfId="28254" xr:uid="{00000000-0005-0000-0000-0000556E0000}"/>
    <cellStyle name="Normal 3 3 12 2 2 12" xfId="28255" xr:uid="{00000000-0005-0000-0000-0000566E0000}"/>
    <cellStyle name="Normal 3 3 12 2 2 12 2" xfId="28256" xr:uid="{00000000-0005-0000-0000-0000576E0000}"/>
    <cellStyle name="Normal 3 3 12 2 2 12 3" xfId="28257" xr:uid="{00000000-0005-0000-0000-0000586E0000}"/>
    <cellStyle name="Normal 3 3 12 2 2 13" xfId="28258" xr:uid="{00000000-0005-0000-0000-0000596E0000}"/>
    <cellStyle name="Normal 3 3 12 2 2 13 2" xfId="28259" xr:uid="{00000000-0005-0000-0000-00005A6E0000}"/>
    <cellStyle name="Normal 3 3 12 2 2 13 3" xfId="28260" xr:uid="{00000000-0005-0000-0000-00005B6E0000}"/>
    <cellStyle name="Normal 3 3 12 2 2 14" xfId="28261" xr:uid="{00000000-0005-0000-0000-00005C6E0000}"/>
    <cellStyle name="Normal 3 3 12 2 2 14 2" xfId="28262" xr:uid="{00000000-0005-0000-0000-00005D6E0000}"/>
    <cellStyle name="Normal 3 3 12 2 2 14 3" xfId="28263" xr:uid="{00000000-0005-0000-0000-00005E6E0000}"/>
    <cellStyle name="Normal 3 3 12 2 2 15" xfId="28264" xr:uid="{00000000-0005-0000-0000-00005F6E0000}"/>
    <cellStyle name="Normal 3 3 12 2 2 16" xfId="28265" xr:uid="{00000000-0005-0000-0000-0000606E0000}"/>
    <cellStyle name="Normal 3 3 12 2 2 2" xfId="28266" xr:uid="{00000000-0005-0000-0000-0000616E0000}"/>
    <cellStyle name="Normal 3 3 12 2 2 2 2" xfId="28267" xr:uid="{00000000-0005-0000-0000-0000626E0000}"/>
    <cellStyle name="Normal 3 3 12 2 2 2 3" xfId="28268" xr:uid="{00000000-0005-0000-0000-0000636E0000}"/>
    <cellStyle name="Normal 3 3 12 2 2 3" xfId="28269" xr:uid="{00000000-0005-0000-0000-0000646E0000}"/>
    <cellStyle name="Normal 3 3 12 2 2 3 2" xfId="28270" xr:uid="{00000000-0005-0000-0000-0000656E0000}"/>
    <cellStyle name="Normal 3 3 12 2 2 3 3" xfId="28271" xr:uid="{00000000-0005-0000-0000-0000666E0000}"/>
    <cellStyle name="Normal 3 3 12 2 2 4" xfId="28272" xr:uid="{00000000-0005-0000-0000-0000676E0000}"/>
    <cellStyle name="Normal 3 3 12 2 2 4 2" xfId="28273" xr:uid="{00000000-0005-0000-0000-0000686E0000}"/>
    <cellStyle name="Normal 3 3 12 2 2 4 3" xfId="28274" xr:uid="{00000000-0005-0000-0000-0000696E0000}"/>
    <cellStyle name="Normal 3 3 12 2 2 5" xfId="28275" xr:uid="{00000000-0005-0000-0000-00006A6E0000}"/>
    <cellStyle name="Normal 3 3 12 2 2 5 2" xfId="28276" xr:uid="{00000000-0005-0000-0000-00006B6E0000}"/>
    <cellStyle name="Normal 3 3 12 2 2 5 3" xfId="28277" xr:uid="{00000000-0005-0000-0000-00006C6E0000}"/>
    <cellStyle name="Normal 3 3 12 2 2 6" xfId="28278" xr:uid="{00000000-0005-0000-0000-00006D6E0000}"/>
    <cellStyle name="Normal 3 3 12 2 2 6 2" xfId="28279" xr:uid="{00000000-0005-0000-0000-00006E6E0000}"/>
    <cellStyle name="Normal 3 3 12 2 2 6 3" xfId="28280" xr:uid="{00000000-0005-0000-0000-00006F6E0000}"/>
    <cellStyle name="Normal 3 3 12 2 2 7" xfId="28281" xr:uid="{00000000-0005-0000-0000-0000706E0000}"/>
    <cellStyle name="Normal 3 3 12 2 2 7 2" xfId="28282" xr:uid="{00000000-0005-0000-0000-0000716E0000}"/>
    <cellStyle name="Normal 3 3 12 2 2 7 3" xfId="28283" xr:uid="{00000000-0005-0000-0000-0000726E0000}"/>
    <cellStyle name="Normal 3 3 12 2 2 8" xfId="28284" xr:uid="{00000000-0005-0000-0000-0000736E0000}"/>
    <cellStyle name="Normal 3 3 12 2 2 8 2" xfId="28285" xr:uid="{00000000-0005-0000-0000-0000746E0000}"/>
    <cellStyle name="Normal 3 3 12 2 2 8 3" xfId="28286" xr:uid="{00000000-0005-0000-0000-0000756E0000}"/>
    <cellStyle name="Normal 3 3 12 2 2 9" xfId="28287" xr:uid="{00000000-0005-0000-0000-0000766E0000}"/>
    <cellStyle name="Normal 3 3 12 2 2 9 2" xfId="28288" xr:uid="{00000000-0005-0000-0000-0000776E0000}"/>
    <cellStyle name="Normal 3 3 12 2 2 9 3" xfId="28289" xr:uid="{00000000-0005-0000-0000-0000786E0000}"/>
    <cellStyle name="Normal 3 3 12 2 3" xfId="28290" xr:uid="{00000000-0005-0000-0000-0000796E0000}"/>
    <cellStyle name="Normal 3 3 12 2 3 2" xfId="28291" xr:uid="{00000000-0005-0000-0000-00007A6E0000}"/>
    <cellStyle name="Normal 3 3 12 2 3 3" xfId="28292" xr:uid="{00000000-0005-0000-0000-00007B6E0000}"/>
    <cellStyle name="Normal 3 3 12 2 4" xfId="28293" xr:uid="{00000000-0005-0000-0000-00007C6E0000}"/>
    <cellStyle name="Normal 3 3 12 2 4 2" xfId="28294" xr:uid="{00000000-0005-0000-0000-00007D6E0000}"/>
    <cellStyle name="Normal 3 3 12 2 4 3" xfId="28295" xr:uid="{00000000-0005-0000-0000-00007E6E0000}"/>
    <cellStyle name="Normal 3 3 12 2 5" xfId="28296" xr:uid="{00000000-0005-0000-0000-00007F6E0000}"/>
    <cellStyle name="Normal 3 3 12 2 5 2" xfId="28297" xr:uid="{00000000-0005-0000-0000-0000806E0000}"/>
    <cellStyle name="Normal 3 3 12 2 5 3" xfId="28298" xr:uid="{00000000-0005-0000-0000-0000816E0000}"/>
    <cellStyle name="Normal 3 3 12 2 6" xfId="28299" xr:uid="{00000000-0005-0000-0000-0000826E0000}"/>
    <cellStyle name="Normal 3 3 12 2 6 2" xfId="28300" xr:uid="{00000000-0005-0000-0000-0000836E0000}"/>
    <cellStyle name="Normal 3 3 12 2 6 3" xfId="28301" xr:uid="{00000000-0005-0000-0000-0000846E0000}"/>
    <cellStyle name="Normal 3 3 12 2 7" xfId="28302" xr:uid="{00000000-0005-0000-0000-0000856E0000}"/>
    <cellStyle name="Normal 3 3 12 2 7 2" xfId="28303" xr:uid="{00000000-0005-0000-0000-0000866E0000}"/>
    <cellStyle name="Normal 3 3 12 2 7 3" xfId="28304" xr:uid="{00000000-0005-0000-0000-0000876E0000}"/>
    <cellStyle name="Normal 3 3 12 2 8" xfId="28305" xr:uid="{00000000-0005-0000-0000-0000886E0000}"/>
    <cellStyle name="Normal 3 3 12 2 8 2" xfId="28306" xr:uid="{00000000-0005-0000-0000-0000896E0000}"/>
    <cellStyle name="Normal 3 3 12 2 8 3" xfId="28307" xr:uid="{00000000-0005-0000-0000-00008A6E0000}"/>
    <cellStyle name="Normal 3 3 12 2 9" xfId="28308" xr:uid="{00000000-0005-0000-0000-00008B6E0000}"/>
    <cellStyle name="Normal 3 3 12 2 9 2" xfId="28309" xr:uid="{00000000-0005-0000-0000-00008C6E0000}"/>
    <cellStyle name="Normal 3 3 12 2 9 3" xfId="28310" xr:uid="{00000000-0005-0000-0000-00008D6E0000}"/>
    <cellStyle name="Normal 3 3 12 20" xfId="28311" xr:uid="{00000000-0005-0000-0000-00008E6E0000}"/>
    <cellStyle name="Normal 3 3 12 20 2" xfId="28312" xr:uid="{00000000-0005-0000-0000-00008F6E0000}"/>
    <cellStyle name="Normal 3 3 12 20 3" xfId="28313" xr:uid="{00000000-0005-0000-0000-0000906E0000}"/>
    <cellStyle name="Normal 3 3 12 21" xfId="28314" xr:uid="{00000000-0005-0000-0000-0000916E0000}"/>
    <cellStyle name="Normal 3 3 12 21 2" xfId="28315" xr:uid="{00000000-0005-0000-0000-0000926E0000}"/>
    <cellStyle name="Normal 3 3 12 21 3" xfId="28316" xr:uid="{00000000-0005-0000-0000-0000936E0000}"/>
    <cellStyle name="Normal 3 3 12 22" xfId="28317" xr:uid="{00000000-0005-0000-0000-0000946E0000}"/>
    <cellStyle name="Normal 3 3 12 22 2" xfId="28318" xr:uid="{00000000-0005-0000-0000-0000956E0000}"/>
    <cellStyle name="Normal 3 3 12 22 3" xfId="28319" xr:uid="{00000000-0005-0000-0000-0000966E0000}"/>
    <cellStyle name="Normal 3 3 12 23" xfId="28320" xr:uid="{00000000-0005-0000-0000-0000976E0000}"/>
    <cellStyle name="Normal 3 3 12 23 2" xfId="28321" xr:uid="{00000000-0005-0000-0000-0000986E0000}"/>
    <cellStyle name="Normal 3 3 12 23 3" xfId="28322" xr:uid="{00000000-0005-0000-0000-0000996E0000}"/>
    <cellStyle name="Normal 3 3 12 24" xfId="28323" xr:uid="{00000000-0005-0000-0000-00009A6E0000}"/>
    <cellStyle name="Normal 3 3 12 25" xfId="28324" xr:uid="{00000000-0005-0000-0000-00009B6E0000}"/>
    <cellStyle name="Normal 3 3 12 3" xfId="28325" xr:uid="{00000000-0005-0000-0000-00009C6E0000}"/>
    <cellStyle name="Normal 3 3 12 3 10" xfId="28326" xr:uid="{00000000-0005-0000-0000-00009D6E0000}"/>
    <cellStyle name="Normal 3 3 12 3 10 2" xfId="28327" xr:uid="{00000000-0005-0000-0000-00009E6E0000}"/>
    <cellStyle name="Normal 3 3 12 3 10 3" xfId="28328" xr:uid="{00000000-0005-0000-0000-00009F6E0000}"/>
    <cellStyle name="Normal 3 3 12 3 11" xfId="28329" xr:uid="{00000000-0005-0000-0000-0000A06E0000}"/>
    <cellStyle name="Normal 3 3 12 3 11 2" xfId="28330" xr:uid="{00000000-0005-0000-0000-0000A16E0000}"/>
    <cellStyle name="Normal 3 3 12 3 11 3" xfId="28331" xr:uid="{00000000-0005-0000-0000-0000A26E0000}"/>
    <cellStyle name="Normal 3 3 12 3 12" xfId="28332" xr:uid="{00000000-0005-0000-0000-0000A36E0000}"/>
    <cellStyle name="Normal 3 3 12 3 12 2" xfId="28333" xr:uid="{00000000-0005-0000-0000-0000A46E0000}"/>
    <cellStyle name="Normal 3 3 12 3 12 3" xfId="28334" xr:uid="{00000000-0005-0000-0000-0000A56E0000}"/>
    <cellStyle name="Normal 3 3 12 3 13" xfId="28335" xr:uid="{00000000-0005-0000-0000-0000A66E0000}"/>
    <cellStyle name="Normal 3 3 12 3 13 2" xfId="28336" xr:uid="{00000000-0005-0000-0000-0000A76E0000}"/>
    <cellStyle name="Normal 3 3 12 3 13 3" xfId="28337" xr:uid="{00000000-0005-0000-0000-0000A86E0000}"/>
    <cellStyle name="Normal 3 3 12 3 14" xfId="28338" xr:uid="{00000000-0005-0000-0000-0000A96E0000}"/>
    <cellStyle name="Normal 3 3 12 3 14 2" xfId="28339" xr:uid="{00000000-0005-0000-0000-0000AA6E0000}"/>
    <cellStyle name="Normal 3 3 12 3 14 3" xfId="28340" xr:uid="{00000000-0005-0000-0000-0000AB6E0000}"/>
    <cellStyle name="Normal 3 3 12 3 15" xfId="28341" xr:uid="{00000000-0005-0000-0000-0000AC6E0000}"/>
    <cellStyle name="Normal 3 3 12 3 15 2" xfId="28342" xr:uid="{00000000-0005-0000-0000-0000AD6E0000}"/>
    <cellStyle name="Normal 3 3 12 3 15 3" xfId="28343" xr:uid="{00000000-0005-0000-0000-0000AE6E0000}"/>
    <cellStyle name="Normal 3 3 12 3 16" xfId="28344" xr:uid="{00000000-0005-0000-0000-0000AF6E0000}"/>
    <cellStyle name="Normal 3 3 12 3 17" xfId="28345" xr:uid="{00000000-0005-0000-0000-0000B06E0000}"/>
    <cellStyle name="Normal 3 3 12 3 2" xfId="28346" xr:uid="{00000000-0005-0000-0000-0000B16E0000}"/>
    <cellStyle name="Normal 3 3 12 3 2 10" xfId="28347" xr:uid="{00000000-0005-0000-0000-0000B26E0000}"/>
    <cellStyle name="Normal 3 3 12 3 2 10 2" xfId="28348" xr:uid="{00000000-0005-0000-0000-0000B36E0000}"/>
    <cellStyle name="Normal 3 3 12 3 2 10 3" xfId="28349" xr:uid="{00000000-0005-0000-0000-0000B46E0000}"/>
    <cellStyle name="Normal 3 3 12 3 2 11" xfId="28350" xr:uid="{00000000-0005-0000-0000-0000B56E0000}"/>
    <cellStyle name="Normal 3 3 12 3 2 11 2" xfId="28351" xr:uid="{00000000-0005-0000-0000-0000B66E0000}"/>
    <cellStyle name="Normal 3 3 12 3 2 11 3" xfId="28352" xr:uid="{00000000-0005-0000-0000-0000B76E0000}"/>
    <cellStyle name="Normal 3 3 12 3 2 12" xfId="28353" xr:uid="{00000000-0005-0000-0000-0000B86E0000}"/>
    <cellStyle name="Normal 3 3 12 3 2 12 2" xfId="28354" xr:uid="{00000000-0005-0000-0000-0000B96E0000}"/>
    <cellStyle name="Normal 3 3 12 3 2 12 3" xfId="28355" xr:uid="{00000000-0005-0000-0000-0000BA6E0000}"/>
    <cellStyle name="Normal 3 3 12 3 2 13" xfId="28356" xr:uid="{00000000-0005-0000-0000-0000BB6E0000}"/>
    <cellStyle name="Normal 3 3 12 3 2 13 2" xfId="28357" xr:uid="{00000000-0005-0000-0000-0000BC6E0000}"/>
    <cellStyle name="Normal 3 3 12 3 2 13 3" xfId="28358" xr:uid="{00000000-0005-0000-0000-0000BD6E0000}"/>
    <cellStyle name="Normal 3 3 12 3 2 14" xfId="28359" xr:uid="{00000000-0005-0000-0000-0000BE6E0000}"/>
    <cellStyle name="Normal 3 3 12 3 2 14 2" xfId="28360" xr:uid="{00000000-0005-0000-0000-0000BF6E0000}"/>
    <cellStyle name="Normal 3 3 12 3 2 14 3" xfId="28361" xr:uid="{00000000-0005-0000-0000-0000C06E0000}"/>
    <cellStyle name="Normal 3 3 12 3 2 15" xfId="28362" xr:uid="{00000000-0005-0000-0000-0000C16E0000}"/>
    <cellStyle name="Normal 3 3 12 3 2 16" xfId="28363" xr:uid="{00000000-0005-0000-0000-0000C26E0000}"/>
    <cellStyle name="Normal 3 3 12 3 2 2" xfId="28364" xr:uid="{00000000-0005-0000-0000-0000C36E0000}"/>
    <cellStyle name="Normal 3 3 12 3 2 2 2" xfId="28365" xr:uid="{00000000-0005-0000-0000-0000C46E0000}"/>
    <cellStyle name="Normal 3 3 12 3 2 2 3" xfId="28366" xr:uid="{00000000-0005-0000-0000-0000C56E0000}"/>
    <cellStyle name="Normal 3 3 12 3 2 3" xfId="28367" xr:uid="{00000000-0005-0000-0000-0000C66E0000}"/>
    <cellStyle name="Normal 3 3 12 3 2 3 2" xfId="28368" xr:uid="{00000000-0005-0000-0000-0000C76E0000}"/>
    <cellStyle name="Normal 3 3 12 3 2 3 3" xfId="28369" xr:uid="{00000000-0005-0000-0000-0000C86E0000}"/>
    <cellStyle name="Normal 3 3 12 3 2 4" xfId="28370" xr:uid="{00000000-0005-0000-0000-0000C96E0000}"/>
    <cellStyle name="Normal 3 3 12 3 2 4 2" xfId="28371" xr:uid="{00000000-0005-0000-0000-0000CA6E0000}"/>
    <cellStyle name="Normal 3 3 12 3 2 4 3" xfId="28372" xr:uid="{00000000-0005-0000-0000-0000CB6E0000}"/>
    <cellStyle name="Normal 3 3 12 3 2 5" xfId="28373" xr:uid="{00000000-0005-0000-0000-0000CC6E0000}"/>
    <cellStyle name="Normal 3 3 12 3 2 5 2" xfId="28374" xr:uid="{00000000-0005-0000-0000-0000CD6E0000}"/>
    <cellStyle name="Normal 3 3 12 3 2 5 3" xfId="28375" xr:uid="{00000000-0005-0000-0000-0000CE6E0000}"/>
    <cellStyle name="Normal 3 3 12 3 2 6" xfId="28376" xr:uid="{00000000-0005-0000-0000-0000CF6E0000}"/>
    <cellStyle name="Normal 3 3 12 3 2 6 2" xfId="28377" xr:uid="{00000000-0005-0000-0000-0000D06E0000}"/>
    <cellStyle name="Normal 3 3 12 3 2 6 3" xfId="28378" xr:uid="{00000000-0005-0000-0000-0000D16E0000}"/>
    <cellStyle name="Normal 3 3 12 3 2 7" xfId="28379" xr:uid="{00000000-0005-0000-0000-0000D26E0000}"/>
    <cellStyle name="Normal 3 3 12 3 2 7 2" xfId="28380" xr:uid="{00000000-0005-0000-0000-0000D36E0000}"/>
    <cellStyle name="Normal 3 3 12 3 2 7 3" xfId="28381" xr:uid="{00000000-0005-0000-0000-0000D46E0000}"/>
    <cellStyle name="Normal 3 3 12 3 2 8" xfId="28382" xr:uid="{00000000-0005-0000-0000-0000D56E0000}"/>
    <cellStyle name="Normal 3 3 12 3 2 8 2" xfId="28383" xr:uid="{00000000-0005-0000-0000-0000D66E0000}"/>
    <cellStyle name="Normal 3 3 12 3 2 8 3" xfId="28384" xr:uid="{00000000-0005-0000-0000-0000D76E0000}"/>
    <cellStyle name="Normal 3 3 12 3 2 9" xfId="28385" xr:uid="{00000000-0005-0000-0000-0000D86E0000}"/>
    <cellStyle name="Normal 3 3 12 3 2 9 2" xfId="28386" xr:uid="{00000000-0005-0000-0000-0000D96E0000}"/>
    <cellStyle name="Normal 3 3 12 3 2 9 3" xfId="28387" xr:uid="{00000000-0005-0000-0000-0000DA6E0000}"/>
    <cellStyle name="Normal 3 3 12 3 3" xfId="28388" xr:uid="{00000000-0005-0000-0000-0000DB6E0000}"/>
    <cellStyle name="Normal 3 3 12 3 3 2" xfId="28389" xr:uid="{00000000-0005-0000-0000-0000DC6E0000}"/>
    <cellStyle name="Normal 3 3 12 3 3 3" xfId="28390" xr:uid="{00000000-0005-0000-0000-0000DD6E0000}"/>
    <cellStyle name="Normal 3 3 12 3 4" xfId="28391" xr:uid="{00000000-0005-0000-0000-0000DE6E0000}"/>
    <cellStyle name="Normal 3 3 12 3 4 2" xfId="28392" xr:uid="{00000000-0005-0000-0000-0000DF6E0000}"/>
    <cellStyle name="Normal 3 3 12 3 4 3" xfId="28393" xr:uid="{00000000-0005-0000-0000-0000E06E0000}"/>
    <cellStyle name="Normal 3 3 12 3 5" xfId="28394" xr:uid="{00000000-0005-0000-0000-0000E16E0000}"/>
    <cellStyle name="Normal 3 3 12 3 5 2" xfId="28395" xr:uid="{00000000-0005-0000-0000-0000E26E0000}"/>
    <cellStyle name="Normal 3 3 12 3 5 3" xfId="28396" xr:uid="{00000000-0005-0000-0000-0000E36E0000}"/>
    <cellStyle name="Normal 3 3 12 3 6" xfId="28397" xr:uid="{00000000-0005-0000-0000-0000E46E0000}"/>
    <cellStyle name="Normal 3 3 12 3 6 2" xfId="28398" xr:uid="{00000000-0005-0000-0000-0000E56E0000}"/>
    <cellStyle name="Normal 3 3 12 3 6 3" xfId="28399" xr:uid="{00000000-0005-0000-0000-0000E66E0000}"/>
    <cellStyle name="Normal 3 3 12 3 7" xfId="28400" xr:uid="{00000000-0005-0000-0000-0000E76E0000}"/>
    <cellStyle name="Normal 3 3 12 3 7 2" xfId="28401" xr:uid="{00000000-0005-0000-0000-0000E86E0000}"/>
    <cellStyle name="Normal 3 3 12 3 7 3" xfId="28402" xr:uid="{00000000-0005-0000-0000-0000E96E0000}"/>
    <cellStyle name="Normal 3 3 12 3 8" xfId="28403" xr:uid="{00000000-0005-0000-0000-0000EA6E0000}"/>
    <cellStyle name="Normal 3 3 12 3 8 2" xfId="28404" xr:uid="{00000000-0005-0000-0000-0000EB6E0000}"/>
    <cellStyle name="Normal 3 3 12 3 8 3" xfId="28405" xr:uid="{00000000-0005-0000-0000-0000EC6E0000}"/>
    <cellStyle name="Normal 3 3 12 3 9" xfId="28406" xr:uid="{00000000-0005-0000-0000-0000ED6E0000}"/>
    <cellStyle name="Normal 3 3 12 3 9 2" xfId="28407" xr:uid="{00000000-0005-0000-0000-0000EE6E0000}"/>
    <cellStyle name="Normal 3 3 12 3 9 3" xfId="28408" xr:uid="{00000000-0005-0000-0000-0000EF6E0000}"/>
    <cellStyle name="Normal 3 3 12 4" xfId="28409" xr:uid="{00000000-0005-0000-0000-0000F06E0000}"/>
    <cellStyle name="Normal 3 3 12 4 10" xfId="28410" xr:uid="{00000000-0005-0000-0000-0000F16E0000}"/>
    <cellStyle name="Normal 3 3 12 4 10 2" xfId="28411" xr:uid="{00000000-0005-0000-0000-0000F26E0000}"/>
    <cellStyle name="Normal 3 3 12 4 10 3" xfId="28412" xr:uid="{00000000-0005-0000-0000-0000F36E0000}"/>
    <cellStyle name="Normal 3 3 12 4 11" xfId="28413" xr:uid="{00000000-0005-0000-0000-0000F46E0000}"/>
    <cellStyle name="Normal 3 3 12 4 11 2" xfId="28414" xr:uid="{00000000-0005-0000-0000-0000F56E0000}"/>
    <cellStyle name="Normal 3 3 12 4 11 3" xfId="28415" xr:uid="{00000000-0005-0000-0000-0000F66E0000}"/>
    <cellStyle name="Normal 3 3 12 4 12" xfId="28416" xr:uid="{00000000-0005-0000-0000-0000F76E0000}"/>
    <cellStyle name="Normal 3 3 12 4 12 2" xfId="28417" xr:uid="{00000000-0005-0000-0000-0000F86E0000}"/>
    <cellStyle name="Normal 3 3 12 4 12 3" xfId="28418" xr:uid="{00000000-0005-0000-0000-0000F96E0000}"/>
    <cellStyle name="Normal 3 3 12 4 13" xfId="28419" xr:uid="{00000000-0005-0000-0000-0000FA6E0000}"/>
    <cellStyle name="Normal 3 3 12 4 13 2" xfId="28420" xr:uid="{00000000-0005-0000-0000-0000FB6E0000}"/>
    <cellStyle name="Normal 3 3 12 4 13 3" xfId="28421" xr:uid="{00000000-0005-0000-0000-0000FC6E0000}"/>
    <cellStyle name="Normal 3 3 12 4 14" xfId="28422" xr:uid="{00000000-0005-0000-0000-0000FD6E0000}"/>
    <cellStyle name="Normal 3 3 12 4 14 2" xfId="28423" xr:uid="{00000000-0005-0000-0000-0000FE6E0000}"/>
    <cellStyle name="Normal 3 3 12 4 14 3" xfId="28424" xr:uid="{00000000-0005-0000-0000-0000FF6E0000}"/>
    <cellStyle name="Normal 3 3 12 4 15" xfId="28425" xr:uid="{00000000-0005-0000-0000-0000006F0000}"/>
    <cellStyle name="Normal 3 3 12 4 15 2" xfId="28426" xr:uid="{00000000-0005-0000-0000-0000016F0000}"/>
    <cellStyle name="Normal 3 3 12 4 15 3" xfId="28427" xr:uid="{00000000-0005-0000-0000-0000026F0000}"/>
    <cellStyle name="Normal 3 3 12 4 16" xfId="28428" xr:uid="{00000000-0005-0000-0000-0000036F0000}"/>
    <cellStyle name="Normal 3 3 12 4 17" xfId="28429" xr:uid="{00000000-0005-0000-0000-0000046F0000}"/>
    <cellStyle name="Normal 3 3 12 4 2" xfId="28430" xr:uid="{00000000-0005-0000-0000-0000056F0000}"/>
    <cellStyle name="Normal 3 3 12 4 2 10" xfId="28431" xr:uid="{00000000-0005-0000-0000-0000066F0000}"/>
    <cellStyle name="Normal 3 3 12 4 2 10 2" xfId="28432" xr:uid="{00000000-0005-0000-0000-0000076F0000}"/>
    <cellStyle name="Normal 3 3 12 4 2 10 3" xfId="28433" xr:uid="{00000000-0005-0000-0000-0000086F0000}"/>
    <cellStyle name="Normal 3 3 12 4 2 11" xfId="28434" xr:uid="{00000000-0005-0000-0000-0000096F0000}"/>
    <cellStyle name="Normal 3 3 12 4 2 11 2" xfId="28435" xr:uid="{00000000-0005-0000-0000-00000A6F0000}"/>
    <cellStyle name="Normal 3 3 12 4 2 11 3" xfId="28436" xr:uid="{00000000-0005-0000-0000-00000B6F0000}"/>
    <cellStyle name="Normal 3 3 12 4 2 12" xfId="28437" xr:uid="{00000000-0005-0000-0000-00000C6F0000}"/>
    <cellStyle name="Normal 3 3 12 4 2 12 2" xfId="28438" xr:uid="{00000000-0005-0000-0000-00000D6F0000}"/>
    <cellStyle name="Normal 3 3 12 4 2 12 3" xfId="28439" xr:uid="{00000000-0005-0000-0000-00000E6F0000}"/>
    <cellStyle name="Normal 3 3 12 4 2 13" xfId="28440" xr:uid="{00000000-0005-0000-0000-00000F6F0000}"/>
    <cellStyle name="Normal 3 3 12 4 2 13 2" xfId="28441" xr:uid="{00000000-0005-0000-0000-0000106F0000}"/>
    <cellStyle name="Normal 3 3 12 4 2 13 3" xfId="28442" xr:uid="{00000000-0005-0000-0000-0000116F0000}"/>
    <cellStyle name="Normal 3 3 12 4 2 14" xfId="28443" xr:uid="{00000000-0005-0000-0000-0000126F0000}"/>
    <cellStyle name="Normal 3 3 12 4 2 14 2" xfId="28444" xr:uid="{00000000-0005-0000-0000-0000136F0000}"/>
    <cellStyle name="Normal 3 3 12 4 2 14 3" xfId="28445" xr:uid="{00000000-0005-0000-0000-0000146F0000}"/>
    <cellStyle name="Normal 3 3 12 4 2 15" xfId="28446" xr:uid="{00000000-0005-0000-0000-0000156F0000}"/>
    <cellStyle name="Normal 3 3 12 4 2 16" xfId="28447" xr:uid="{00000000-0005-0000-0000-0000166F0000}"/>
    <cellStyle name="Normal 3 3 12 4 2 2" xfId="28448" xr:uid="{00000000-0005-0000-0000-0000176F0000}"/>
    <cellStyle name="Normal 3 3 12 4 2 2 2" xfId="28449" xr:uid="{00000000-0005-0000-0000-0000186F0000}"/>
    <cellStyle name="Normal 3 3 12 4 2 2 3" xfId="28450" xr:uid="{00000000-0005-0000-0000-0000196F0000}"/>
    <cellStyle name="Normal 3 3 12 4 2 3" xfId="28451" xr:uid="{00000000-0005-0000-0000-00001A6F0000}"/>
    <cellStyle name="Normal 3 3 12 4 2 3 2" xfId="28452" xr:uid="{00000000-0005-0000-0000-00001B6F0000}"/>
    <cellStyle name="Normal 3 3 12 4 2 3 3" xfId="28453" xr:uid="{00000000-0005-0000-0000-00001C6F0000}"/>
    <cellStyle name="Normal 3 3 12 4 2 4" xfId="28454" xr:uid="{00000000-0005-0000-0000-00001D6F0000}"/>
    <cellStyle name="Normal 3 3 12 4 2 4 2" xfId="28455" xr:uid="{00000000-0005-0000-0000-00001E6F0000}"/>
    <cellStyle name="Normal 3 3 12 4 2 4 3" xfId="28456" xr:uid="{00000000-0005-0000-0000-00001F6F0000}"/>
    <cellStyle name="Normal 3 3 12 4 2 5" xfId="28457" xr:uid="{00000000-0005-0000-0000-0000206F0000}"/>
    <cellStyle name="Normal 3 3 12 4 2 5 2" xfId="28458" xr:uid="{00000000-0005-0000-0000-0000216F0000}"/>
    <cellStyle name="Normal 3 3 12 4 2 5 3" xfId="28459" xr:uid="{00000000-0005-0000-0000-0000226F0000}"/>
    <cellStyle name="Normal 3 3 12 4 2 6" xfId="28460" xr:uid="{00000000-0005-0000-0000-0000236F0000}"/>
    <cellStyle name="Normal 3 3 12 4 2 6 2" xfId="28461" xr:uid="{00000000-0005-0000-0000-0000246F0000}"/>
    <cellStyle name="Normal 3 3 12 4 2 6 3" xfId="28462" xr:uid="{00000000-0005-0000-0000-0000256F0000}"/>
    <cellStyle name="Normal 3 3 12 4 2 7" xfId="28463" xr:uid="{00000000-0005-0000-0000-0000266F0000}"/>
    <cellStyle name="Normal 3 3 12 4 2 7 2" xfId="28464" xr:uid="{00000000-0005-0000-0000-0000276F0000}"/>
    <cellStyle name="Normal 3 3 12 4 2 7 3" xfId="28465" xr:uid="{00000000-0005-0000-0000-0000286F0000}"/>
    <cellStyle name="Normal 3 3 12 4 2 8" xfId="28466" xr:uid="{00000000-0005-0000-0000-0000296F0000}"/>
    <cellStyle name="Normal 3 3 12 4 2 8 2" xfId="28467" xr:uid="{00000000-0005-0000-0000-00002A6F0000}"/>
    <cellStyle name="Normal 3 3 12 4 2 8 3" xfId="28468" xr:uid="{00000000-0005-0000-0000-00002B6F0000}"/>
    <cellStyle name="Normal 3 3 12 4 2 9" xfId="28469" xr:uid="{00000000-0005-0000-0000-00002C6F0000}"/>
    <cellStyle name="Normal 3 3 12 4 2 9 2" xfId="28470" xr:uid="{00000000-0005-0000-0000-00002D6F0000}"/>
    <cellStyle name="Normal 3 3 12 4 2 9 3" xfId="28471" xr:uid="{00000000-0005-0000-0000-00002E6F0000}"/>
    <cellStyle name="Normal 3 3 12 4 3" xfId="28472" xr:uid="{00000000-0005-0000-0000-00002F6F0000}"/>
    <cellStyle name="Normal 3 3 12 4 3 2" xfId="28473" xr:uid="{00000000-0005-0000-0000-0000306F0000}"/>
    <cellStyle name="Normal 3 3 12 4 3 3" xfId="28474" xr:uid="{00000000-0005-0000-0000-0000316F0000}"/>
    <cellStyle name="Normal 3 3 12 4 4" xfId="28475" xr:uid="{00000000-0005-0000-0000-0000326F0000}"/>
    <cellStyle name="Normal 3 3 12 4 4 2" xfId="28476" xr:uid="{00000000-0005-0000-0000-0000336F0000}"/>
    <cellStyle name="Normal 3 3 12 4 4 3" xfId="28477" xr:uid="{00000000-0005-0000-0000-0000346F0000}"/>
    <cellStyle name="Normal 3 3 12 4 5" xfId="28478" xr:uid="{00000000-0005-0000-0000-0000356F0000}"/>
    <cellStyle name="Normal 3 3 12 4 5 2" xfId="28479" xr:uid="{00000000-0005-0000-0000-0000366F0000}"/>
    <cellStyle name="Normal 3 3 12 4 5 3" xfId="28480" xr:uid="{00000000-0005-0000-0000-0000376F0000}"/>
    <cellStyle name="Normal 3 3 12 4 6" xfId="28481" xr:uid="{00000000-0005-0000-0000-0000386F0000}"/>
    <cellStyle name="Normal 3 3 12 4 6 2" xfId="28482" xr:uid="{00000000-0005-0000-0000-0000396F0000}"/>
    <cellStyle name="Normal 3 3 12 4 6 3" xfId="28483" xr:uid="{00000000-0005-0000-0000-00003A6F0000}"/>
    <cellStyle name="Normal 3 3 12 4 7" xfId="28484" xr:uid="{00000000-0005-0000-0000-00003B6F0000}"/>
    <cellStyle name="Normal 3 3 12 4 7 2" xfId="28485" xr:uid="{00000000-0005-0000-0000-00003C6F0000}"/>
    <cellStyle name="Normal 3 3 12 4 7 3" xfId="28486" xr:uid="{00000000-0005-0000-0000-00003D6F0000}"/>
    <cellStyle name="Normal 3 3 12 4 8" xfId="28487" xr:uid="{00000000-0005-0000-0000-00003E6F0000}"/>
    <cellStyle name="Normal 3 3 12 4 8 2" xfId="28488" xr:uid="{00000000-0005-0000-0000-00003F6F0000}"/>
    <cellStyle name="Normal 3 3 12 4 8 3" xfId="28489" xr:uid="{00000000-0005-0000-0000-0000406F0000}"/>
    <cellStyle name="Normal 3 3 12 4 9" xfId="28490" xr:uid="{00000000-0005-0000-0000-0000416F0000}"/>
    <cellStyle name="Normal 3 3 12 4 9 2" xfId="28491" xr:uid="{00000000-0005-0000-0000-0000426F0000}"/>
    <cellStyle name="Normal 3 3 12 4 9 3" xfId="28492" xr:uid="{00000000-0005-0000-0000-0000436F0000}"/>
    <cellStyle name="Normal 3 3 12 5" xfId="28493" xr:uid="{00000000-0005-0000-0000-0000446F0000}"/>
    <cellStyle name="Normal 3 3 12 5 10" xfId="28494" xr:uid="{00000000-0005-0000-0000-0000456F0000}"/>
    <cellStyle name="Normal 3 3 12 5 10 2" xfId="28495" xr:uid="{00000000-0005-0000-0000-0000466F0000}"/>
    <cellStyle name="Normal 3 3 12 5 10 3" xfId="28496" xr:uid="{00000000-0005-0000-0000-0000476F0000}"/>
    <cellStyle name="Normal 3 3 12 5 11" xfId="28497" xr:uid="{00000000-0005-0000-0000-0000486F0000}"/>
    <cellStyle name="Normal 3 3 12 5 11 2" xfId="28498" xr:uid="{00000000-0005-0000-0000-0000496F0000}"/>
    <cellStyle name="Normal 3 3 12 5 11 3" xfId="28499" xr:uid="{00000000-0005-0000-0000-00004A6F0000}"/>
    <cellStyle name="Normal 3 3 12 5 12" xfId="28500" xr:uid="{00000000-0005-0000-0000-00004B6F0000}"/>
    <cellStyle name="Normal 3 3 12 5 12 2" xfId="28501" xr:uid="{00000000-0005-0000-0000-00004C6F0000}"/>
    <cellStyle name="Normal 3 3 12 5 12 3" xfId="28502" xr:uid="{00000000-0005-0000-0000-00004D6F0000}"/>
    <cellStyle name="Normal 3 3 12 5 13" xfId="28503" xr:uid="{00000000-0005-0000-0000-00004E6F0000}"/>
    <cellStyle name="Normal 3 3 12 5 13 2" xfId="28504" xr:uid="{00000000-0005-0000-0000-00004F6F0000}"/>
    <cellStyle name="Normal 3 3 12 5 13 3" xfId="28505" xr:uid="{00000000-0005-0000-0000-0000506F0000}"/>
    <cellStyle name="Normal 3 3 12 5 14" xfId="28506" xr:uid="{00000000-0005-0000-0000-0000516F0000}"/>
    <cellStyle name="Normal 3 3 12 5 14 2" xfId="28507" xr:uid="{00000000-0005-0000-0000-0000526F0000}"/>
    <cellStyle name="Normal 3 3 12 5 14 3" xfId="28508" xr:uid="{00000000-0005-0000-0000-0000536F0000}"/>
    <cellStyle name="Normal 3 3 12 5 15" xfId="28509" xr:uid="{00000000-0005-0000-0000-0000546F0000}"/>
    <cellStyle name="Normal 3 3 12 5 16" xfId="28510" xr:uid="{00000000-0005-0000-0000-0000556F0000}"/>
    <cellStyle name="Normal 3 3 12 5 2" xfId="28511" xr:uid="{00000000-0005-0000-0000-0000566F0000}"/>
    <cellStyle name="Normal 3 3 12 5 2 2" xfId="28512" xr:uid="{00000000-0005-0000-0000-0000576F0000}"/>
    <cellStyle name="Normal 3 3 12 5 2 3" xfId="28513" xr:uid="{00000000-0005-0000-0000-0000586F0000}"/>
    <cellStyle name="Normal 3 3 12 5 3" xfId="28514" xr:uid="{00000000-0005-0000-0000-0000596F0000}"/>
    <cellStyle name="Normal 3 3 12 5 3 2" xfId="28515" xr:uid="{00000000-0005-0000-0000-00005A6F0000}"/>
    <cellStyle name="Normal 3 3 12 5 3 3" xfId="28516" xr:uid="{00000000-0005-0000-0000-00005B6F0000}"/>
    <cellStyle name="Normal 3 3 12 5 4" xfId="28517" xr:uid="{00000000-0005-0000-0000-00005C6F0000}"/>
    <cellStyle name="Normal 3 3 12 5 4 2" xfId="28518" xr:uid="{00000000-0005-0000-0000-00005D6F0000}"/>
    <cellStyle name="Normal 3 3 12 5 4 3" xfId="28519" xr:uid="{00000000-0005-0000-0000-00005E6F0000}"/>
    <cellStyle name="Normal 3 3 12 5 5" xfId="28520" xr:uid="{00000000-0005-0000-0000-00005F6F0000}"/>
    <cellStyle name="Normal 3 3 12 5 5 2" xfId="28521" xr:uid="{00000000-0005-0000-0000-0000606F0000}"/>
    <cellStyle name="Normal 3 3 12 5 5 3" xfId="28522" xr:uid="{00000000-0005-0000-0000-0000616F0000}"/>
    <cellStyle name="Normal 3 3 12 5 6" xfId="28523" xr:uid="{00000000-0005-0000-0000-0000626F0000}"/>
    <cellStyle name="Normal 3 3 12 5 6 2" xfId="28524" xr:uid="{00000000-0005-0000-0000-0000636F0000}"/>
    <cellStyle name="Normal 3 3 12 5 6 3" xfId="28525" xr:uid="{00000000-0005-0000-0000-0000646F0000}"/>
    <cellStyle name="Normal 3 3 12 5 7" xfId="28526" xr:uid="{00000000-0005-0000-0000-0000656F0000}"/>
    <cellStyle name="Normal 3 3 12 5 7 2" xfId="28527" xr:uid="{00000000-0005-0000-0000-0000666F0000}"/>
    <cellStyle name="Normal 3 3 12 5 7 3" xfId="28528" xr:uid="{00000000-0005-0000-0000-0000676F0000}"/>
    <cellStyle name="Normal 3 3 12 5 8" xfId="28529" xr:uid="{00000000-0005-0000-0000-0000686F0000}"/>
    <cellStyle name="Normal 3 3 12 5 8 2" xfId="28530" xr:uid="{00000000-0005-0000-0000-0000696F0000}"/>
    <cellStyle name="Normal 3 3 12 5 8 3" xfId="28531" xr:uid="{00000000-0005-0000-0000-00006A6F0000}"/>
    <cellStyle name="Normal 3 3 12 5 9" xfId="28532" xr:uid="{00000000-0005-0000-0000-00006B6F0000}"/>
    <cellStyle name="Normal 3 3 12 5 9 2" xfId="28533" xr:uid="{00000000-0005-0000-0000-00006C6F0000}"/>
    <cellStyle name="Normal 3 3 12 5 9 3" xfId="28534" xr:uid="{00000000-0005-0000-0000-00006D6F0000}"/>
    <cellStyle name="Normal 3 3 12 6" xfId="28535" xr:uid="{00000000-0005-0000-0000-00006E6F0000}"/>
    <cellStyle name="Normal 3 3 12 6 10" xfId="28536" xr:uid="{00000000-0005-0000-0000-00006F6F0000}"/>
    <cellStyle name="Normal 3 3 12 6 10 2" xfId="28537" xr:uid="{00000000-0005-0000-0000-0000706F0000}"/>
    <cellStyle name="Normal 3 3 12 6 10 3" xfId="28538" xr:uid="{00000000-0005-0000-0000-0000716F0000}"/>
    <cellStyle name="Normal 3 3 12 6 11" xfId="28539" xr:uid="{00000000-0005-0000-0000-0000726F0000}"/>
    <cellStyle name="Normal 3 3 12 6 11 2" xfId="28540" xr:uid="{00000000-0005-0000-0000-0000736F0000}"/>
    <cellStyle name="Normal 3 3 12 6 11 3" xfId="28541" xr:uid="{00000000-0005-0000-0000-0000746F0000}"/>
    <cellStyle name="Normal 3 3 12 6 12" xfId="28542" xr:uid="{00000000-0005-0000-0000-0000756F0000}"/>
    <cellStyle name="Normal 3 3 12 6 12 2" xfId="28543" xr:uid="{00000000-0005-0000-0000-0000766F0000}"/>
    <cellStyle name="Normal 3 3 12 6 12 3" xfId="28544" xr:uid="{00000000-0005-0000-0000-0000776F0000}"/>
    <cellStyle name="Normal 3 3 12 6 13" xfId="28545" xr:uid="{00000000-0005-0000-0000-0000786F0000}"/>
    <cellStyle name="Normal 3 3 12 6 13 2" xfId="28546" xr:uid="{00000000-0005-0000-0000-0000796F0000}"/>
    <cellStyle name="Normal 3 3 12 6 13 3" xfId="28547" xr:uid="{00000000-0005-0000-0000-00007A6F0000}"/>
    <cellStyle name="Normal 3 3 12 6 14" xfId="28548" xr:uid="{00000000-0005-0000-0000-00007B6F0000}"/>
    <cellStyle name="Normal 3 3 12 6 14 2" xfId="28549" xr:uid="{00000000-0005-0000-0000-00007C6F0000}"/>
    <cellStyle name="Normal 3 3 12 6 14 3" xfId="28550" xr:uid="{00000000-0005-0000-0000-00007D6F0000}"/>
    <cellStyle name="Normal 3 3 12 6 15" xfId="28551" xr:uid="{00000000-0005-0000-0000-00007E6F0000}"/>
    <cellStyle name="Normal 3 3 12 6 16" xfId="28552" xr:uid="{00000000-0005-0000-0000-00007F6F0000}"/>
    <cellStyle name="Normal 3 3 12 6 2" xfId="28553" xr:uid="{00000000-0005-0000-0000-0000806F0000}"/>
    <cellStyle name="Normal 3 3 12 6 2 2" xfId="28554" xr:uid="{00000000-0005-0000-0000-0000816F0000}"/>
    <cellStyle name="Normal 3 3 12 6 2 3" xfId="28555" xr:uid="{00000000-0005-0000-0000-0000826F0000}"/>
    <cellStyle name="Normal 3 3 12 6 3" xfId="28556" xr:uid="{00000000-0005-0000-0000-0000836F0000}"/>
    <cellStyle name="Normal 3 3 12 6 3 2" xfId="28557" xr:uid="{00000000-0005-0000-0000-0000846F0000}"/>
    <cellStyle name="Normal 3 3 12 6 3 3" xfId="28558" xr:uid="{00000000-0005-0000-0000-0000856F0000}"/>
    <cellStyle name="Normal 3 3 12 6 4" xfId="28559" xr:uid="{00000000-0005-0000-0000-0000866F0000}"/>
    <cellStyle name="Normal 3 3 12 6 4 2" xfId="28560" xr:uid="{00000000-0005-0000-0000-0000876F0000}"/>
    <cellStyle name="Normal 3 3 12 6 4 3" xfId="28561" xr:uid="{00000000-0005-0000-0000-0000886F0000}"/>
    <cellStyle name="Normal 3 3 12 6 5" xfId="28562" xr:uid="{00000000-0005-0000-0000-0000896F0000}"/>
    <cellStyle name="Normal 3 3 12 6 5 2" xfId="28563" xr:uid="{00000000-0005-0000-0000-00008A6F0000}"/>
    <cellStyle name="Normal 3 3 12 6 5 3" xfId="28564" xr:uid="{00000000-0005-0000-0000-00008B6F0000}"/>
    <cellStyle name="Normal 3 3 12 6 6" xfId="28565" xr:uid="{00000000-0005-0000-0000-00008C6F0000}"/>
    <cellStyle name="Normal 3 3 12 6 6 2" xfId="28566" xr:uid="{00000000-0005-0000-0000-00008D6F0000}"/>
    <cellStyle name="Normal 3 3 12 6 6 3" xfId="28567" xr:uid="{00000000-0005-0000-0000-00008E6F0000}"/>
    <cellStyle name="Normal 3 3 12 6 7" xfId="28568" xr:uid="{00000000-0005-0000-0000-00008F6F0000}"/>
    <cellStyle name="Normal 3 3 12 6 7 2" xfId="28569" xr:uid="{00000000-0005-0000-0000-0000906F0000}"/>
    <cellStyle name="Normal 3 3 12 6 7 3" xfId="28570" xr:uid="{00000000-0005-0000-0000-0000916F0000}"/>
    <cellStyle name="Normal 3 3 12 6 8" xfId="28571" xr:uid="{00000000-0005-0000-0000-0000926F0000}"/>
    <cellStyle name="Normal 3 3 12 6 8 2" xfId="28572" xr:uid="{00000000-0005-0000-0000-0000936F0000}"/>
    <cellStyle name="Normal 3 3 12 6 8 3" xfId="28573" xr:uid="{00000000-0005-0000-0000-0000946F0000}"/>
    <cellStyle name="Normal 3 3 12 6 9" xfId="28574" xr:uid="{00000000-0005-0000-0000-0000956F0000}"/>
    <cellStyle name="Normal 3 3 12 6 9 2" xfId="28575" xr:uid="{00000000-0005-0000-0000-0000966F0000}"/>
    <cellStyle name="Normal 3 3 12 6 9 3" xfId="28576" xr:uid="{00000000-0005-0000-0000-0000976F0000}"/>
    <cellStyle name="Normal 3 3 12 7" xfId="28577" xr:uid="{00000000-0005-0000-0000-0000986F0000}"/>
    <cellStyle name="Normal 3 3 12 7 10" xfId="28578" xr:uid="{00000000-0005-0000-0000-0000996F0000}"/>
    <cellStyle name="Normal 3 3 12 7 10 2" xfId="28579" xr:uid="{00000000-0005-0000-0000-00009A6F0000}"/>
    <cellStyle name="Normal 3 3 12 7 10 3" xfId="28580" xr:uid="{00000000-0005-0000-0000-00009B6F0000}"/>
    <cellStyle name="Normal 3 3 12 7 11" xfId="28581" xr:uid="{00000000-0005-0000-0000-00009C6F0000}"/>
    <cellStyle name="Normal 3 3 12 7 11 2" xfId="28582" xr:uid="{00000000-0005-0000-0000-00009D6F0000}"/>
    <cellStyle name="Normal 3 3 12 7 11 3" xfId="28583" xr:uid="{00000000-0005-0000-0000-00009E6F0000}"/>
    <cellStyle name="Normal 3 3 12 7 12" xfId="28584" xr:uid="{00000000-0005-0000-0000-00009F6F0000}"/>
    <cellStyle name="Normal 3 3 12 7 12 2" xfId="28585" xr:uid="{00000000-0005-0000-0000-0000A06F0000}"/>
    <cellStyle name="Normal 3 3 12 7 12 3" xfId="28586" xr:uid="{00000000-0005-0000-0000-0000A16F0000}"/>
    <cellStyle name="Normal 3 3 12 7 13" xfId="28587" xr:uid="{00000000-0005-0000-0000-0000A26F0000}"/>
    <cellStyle name="Normal 3 3 12 7 13 2" xfId="28588" xr:uid="{00000000-0005-0000-0000-0000A36F0000}"/>
    <cellStyle name="Normal 3 3 12 7 13 3" xfId="28589" xr:uid="{00000000-0005-0000-0000-0000A46F0000}"/>
    <cellStyle name="Normal 3 3 12 7 14" xfId="28590" xr:uid="{00000000-0005-0000-0000-0000A56F0000}"/>
    <cellStyle name="Normal 3 3 12 7 14 2" xfId="28591" xr:uid="{00000000-0005-0000-0000-0000A66F0000}"/>
    <cellStyle name="Normal 3 3 12 7 14 3" xfId="28592" xr:uid="{00000000-0005-0000-0000-0000A76F0000}"/>
    <cellStyle name="Normal 3 3 12 7 15" xfId="28593" xr:uid="{00000000-0005-0000-0000-0000A86F0000}"/>
    <cellStyle name="Normal 3 3 12 7 16" xfId="28594" xr:uid="{00000000-0005-0000-0000-0000A96F0000}"/>
    <cellStyle name="Normal 3 3 12 7 2" xfId="28595" xr:uid="{00000000-0005-0000-0000-0000AA6F0000}"/>
    <cellStyle name="Normal 3 3 12 7 2 2" xfId="28596" xr:uid="{00000000-0005-0000-0000-0000AB6F0000}"/>
    <cellStyle name="Normal 3 3 12 7 2 3" xfId="28597" xr:uid="{00000000-0005-0000-0000-0000AC6F0000}"/>
    <cellStyle name="Normal 3 3 12 7 3" xfId="28598" xr:uid="{00000000-0005-0000-0000-0000AD6F0000}"/>
    <cellStyle name="Normal 3 3 12 7 3 2" xfId="28599" xr:uid="{00000000-0005-0000-0000-0000AE6F0000}"/>
    <cellStyle name="Normal 3 3 12 7 3 3" xfId="28600" xr:uid="{00000000-0005-0000-0000-0000AF6F0000}"/>
    <cellStyle name="Normal 3 3 12 7 4" xfId="28601" xr:uid="{00000000-0005-0000-0000-0000B06F0000}"/>
    <cellStyle name="Normal 3 3 12 7 4 2" xfId="28602" xr:uid="{00000000-0005-0000-0000-0000B16F0000}"/>
    <cellStyle name="Normal 3 3 12 7 4 3" xfId="28603" xr:uid="{00000000-0005-0000-0000-0000B26F0000}"/>
    <cellStyle name="Normal 3 3 12 7 5" xfId="28604" xr:uid="{00000000-0005-0000-0000-0000B36F0000}"/>
    <cellStyle name="Normal 3 3 12 7 5 2" xfId="28605" xr:uid="{00000000-0005-0000-0000-0000B46F0000}"/>
    <cellStyle name="Normal 3 3 12 7 5 3" xfId="28606" xr:uid="{00000000-0005-0000-0000-0000B56F0000}"/>
    <cellStyle name="Normal 3 3 12 7 6" xfId="28607" xr:uid="{00000000-0005-0000-0000-0000B66F0000}"/>
    <cellStyle name="Normal 3 3 12 7 6 2" xfId="28608" xr:uid="{00000000-0005-0000-0000-0000B76F0000}"/>
    <cellStyle name="Normal 3 3 12 7 6 3" xfId="28609" xr:uid="{00000000-0005-0000-0000-0000B86F0000}"/>
    <cellStyle name="Normal 3 3 12 7 7" xfId="28610" xr:uid="{00000000-0005-0000-0000-0000B96F0000}"/>
    <cellStyle name="Normal 3 3 12 7 7 2" xfId="28611" xr:uid="{00000000-0005-0000-0000-0000BA6F0000}"/>
    <cellStyle name="Normal 3 3 12 7 7 3" xfId="28612" xr:uid="{00000000-0005-0000-0000-0000BB6F0000}"/>
    <cellStyle name="Normal 3 3 12 7 8" xfId="28613" xr:uid="{00000000-0005-0000-0000-0000BC6F0000}"/>
    <cellStyle name="Normal 3 3 12 7 8 2" xfId="28614" xr:uid="{00000000-0005-0000-0000-0000BD6F0000}"/>
    <cellStyle name="Normal 3 3 12 7 8 3" xfId="28615" xr:uid="{00000000-0005-0000-0000-0000BE6F0000}"/>
    <cellStyle name="Normal 3 3 12 7 9" xfId="28616" xr:uid="{00000000-0005-0000-0000-0000BF6F0000}"/>
    <cellStyle name="Normal 3 3 12 7 9 2" xfId="28617" xr:uid="{00000000-0005-0000-0000-0000C06F0000}"/>
    <cellStyle name="Normal 3 3 12 7 9 3" xfId="28618" xr:uid="{00000000-0005-0000-0000-0000C16F0000}"/>
    <cellStyle name="Normal 3 3 12 8" xfId="28619" xr:uid="{00000000-0005-0000-0000-0000C26F0000}"/>
    <cellStyle name="Normal 3 3 12 8 10" xfId="28620" xr:uid="{00000000-0005-0000-0000-0000C36F0000}"/>
    <cellStyle name="Normal 3 3 12 8 10 2" xfId="28621" xr:uid="{00000000-0005-0000-0000-0000C46F0000}"/>
    <cellStyle name="Normal 3 3 12 8 10 3" xfId="28622" xr:uid="{00000000-0005-0000-0000-0000C56F0000}"/>
    <cellStyle name="Normal 3 3 12 8 11" xfId="28623" xr:uid="{00000000-0005-0000-0000-0000C66F0000}"/>
    <cellStyle name="Normal 3 3 12 8 11 2" xfId="28624" xr:uid="{00000000-0005-0000-0000-0000C76F0000}"/>
    <cellStyle name="Normal 3 3 12 8 11 3" xfId="28625" xr:uid="{00000000-0005-0000-0000-0000C86F0000}"/>
    <cellStyle name="Normal 3 3 12 8 12" xfId="28626" xr:uid="{00000000-0005-0000-0000-0000C96F0000}"/>
    <cellStyle name="Normal 3 3 12 8 12 2" xfId="28627" xr:uid="{00000000-0005-0000-0000-0000CA6F0000}"/>
    <cellStyle name="Normal 3 3 12 8 12 3" xfId="28628" xr:uid="{00000000-0005-0000-0000-0000CB6F0000}"/>
    <cellStyle name="Normal 3 3 12 8 13" xfId="28629" xr:uid="{00000000-0005-0000-0000-0000CC6F0000}"/>
    <cellStyle name="Normal 3 3 12 8 13 2" xfId="28630" xr:uid="{00000000-0005-0000-0000-0000CD6F0000}"/>
    <cellStyle name="Normal 3 3 12 8 13 3" xfId="28631" xr:uid="{00000000-0005-0000-0000-0000CE6F0000}"/>
    <cellStyle name="Normal 3 3 12 8 14" xfId="28632" xr:uid="{00000000-0005-0000-0000-0000CF6F0000}"/>
    <cellStyle name="Normal 3 3 12 8 14 2" xfId="28633" xr:uid="{00000000-0005-0000-0000-0000D06F0000}"/>
    <cellStyle name="Normal 3 3 12 8 14 3" xfId="28634" xr:uid="{00000000-0005-0000-0000-0000D16F0000}"/>
    <cellStyle name="Normal 3 3 12 8 15" xfId="28635" xr:uid="{00000000-0005-0000-0000-0000D26F0000}"/>
    <cellStyle name="Normal 3 3 12 8 16" xfId="28636" xr:uid="{00000000-0005-0000-0000-0000D36F0000}"/>
    <cellStyle name="Normal 3 3 12 8 2" xfId="28637" xr:uid="{00000000-0005-0000-0000-0000D46F0000}"/>
    <cellStyle name="Normal 3 3 12 8 2 2" xfId="28638" xr:uid="{00000000-0005-0000-0000-0000D56F0000}"/>
    <cellStyle name="Normal 3 3 12 8 2 3" xfId="28639" xr:uid="{00000000-0005-0000-0000-0000D66F0000}"/>
    <cellStyle name="Normal 3 3 12 8 3" xfId="28640" xr:uid="{00000000-0005-0000-0000-0000D76F0000}"/>
    <cellStyle name="Normal 3 3 12 8 3 2" xfId="28641" xr:uid="{00000000-0005-0000-0000-0000D86F0000}"/>
    <cellStyle name="Normal 3 3 12 8 3 3" xfId="28642" xr:uid="{00000000-0005-0000-0000-0000D96F0000}"/>
    <cellStyle name="Normal 3 3 12 8 4" xfId="28643" xr:uid="{00000000-0005-0000-0000-0000DA6F0000}"/>
    <cellStyle name="Normal 3 3 12 8 4 2" xfId="28644" xr:uid="{00000000-0005-0000-0000-0000DB6F0000}"/>
    <cellStyle name="Normal 3 3 12 8 4 3" xfId="28645" xr:uid="{00000000-0005-0000-0000-0000DC6F0000}"/>
    <cellStyle name="Normal 3 3 12 8 5" xfId="28646" xr:uid="{00000000-0005-0000-0000-0000DD6F0000}"/>
    <cellStyle name="Normal 3 3 12 8 5 2" xfId="28647" xr:uid="{00000000-0005-0000-0000-0000DE6F0000}"/>
    <cellStyle name="Normal 3 3 12 8 5 3" xfId="28648" xr:uid="{00000000-0005-0000-0000-0000DF6F0000}"/>
    <cellStyle name="Normal 3 3 12 8 6" xfId="28649" xr:uid="{00000000-0005-0000-0000-0000E06F0000}"/>
    <cellStyle name="Normal 3 3 12 8 6 2" xfId="28650" xr:uid="{00000000-0005-0000-0000-0000E16F0000}"/>
    <cellStyle name="Normal 3 3 12 8 6 3" xfId="28651" xr:uid="{00000000-0005-0000-0000-0000E26F0000}"/>
    <cellStyle name="Normal 3 3 12 8 7" xfId="28652" xr:uid="{00000000-0005-0000-0000-0000E36F0000}"/>
    <cellStyle name="Normal 3 3 12 8 7 2" xfId="28653" xr:uid="{00000000-0005-0000-0000-0000E46F0000}"/>
    <cellStyle name="Normal 3 3 12 8 7 3" xfId="28654" xr:uid="{00000000-0005-0000-0000-0000E56F0000}"/>
    <cellStyle name="Normal 3 3 12 8 8" xfId="28655" xr:uid="{00000000-0005-0000-0000-0000E66F0000}"/>
    <cellStyle name="Normal 3 3 12 8 8 2" xfId="28656" xr:uid="{00000000-0005-0000-0000-0000E76F0000}"/>
    <cellStyle name="Normal 3 3 12 8 8 3" xfId="28657" xr:uid="{00000000-0005-0000-0000-0000E86F0000}"/>
    <cellStyle name="Normal 3 3 12 8 9" xfId="28658" xr:uid="{00000000-0005-0000-0000-0000E96F0000}"/>
    <cellStyle name="Normal 3 3 12 8 9 2" xfId="28659" xr:uid="{00000000-0005-0000-0000-0000EA6F0000}"/>
    <cellStyle name="Normal 3 3 12 8 9 3" xfId="28660" xr:uid="{00000000-0005-0000-0000-0000EB6F0000}"/>
    <cellStyle name="Normal 3 3 12 9" xfId="28661" xr:uid="{00000000-0005-0000-0000-0000EC6F0000}"/>
    <cellStyle name="Normal 3 3 12 9 10" xfId="28662" xr:uid="{00000000-0005-0000-0000-0000ED6F0000}"/>
    <cellStyle name="Normal 3 3 12 9 10 2" xfId="28663" xr:uid="{00000000-0005-0000-0000-0000EE6F0000}"/>
    <cellStyle name="Normal 3 3 12 9 10 3" xfId="28664" xr:uid="{00000000-0005-0000-0000-0000EF6F0000}"/>
    <cellStyle name="Normal 3 3 12 9 11" xfId="28665" xr:uid="{00000000-0005-0000-0000-0000F06F0000}"/>
    <cellStyle name="Normal 3 3 12 9 11 2" xfId="28666" xr:uid="{00000000-0005-0000-0000-0000F16F0000}"/>
    <cellStyle name="Normal 3 3 12 9 11 3" xfId="28667" xr:uid="{00000000-0005-0000-0000-0000F26F0000}"/>
    <cellStyle name="Normal 3 3 12 9 12" xfId="28668" xr:uid="{00000000-0005-0000-0000-0000F36F0000}"/>
    <cellStyle name="Normal 3 3 12 9 12 2" xfId="28669" xr:uid="{00000000-0005-0000-0000-0000F46F0000}"/>
    <cellStyle name="Normal 3 3 12 9 12 3" xfId="28670" xr:uid="{00000000-0005-0000-0000-0000F56F0000}"/>
    <cellStyle name="Normal 3 3 12 9 13" xfId="28671" xr:uid="{00000000-0005-0000-0000-0000F66F0000}"/>
    <cellStyle name="Normal 3 3 12 9 13 2" xfId="28672" xr:uid="{00000000-0005-0000-0000-0000F76F0000}"/>
    <cellStyle name="Normal 3 3 12 9 13 3" xfId="28673" xr:uid="{00000000-0005-0000-0000-0000F86F0000}"/>
    <cellStyle name="Normal 3 3 12 9 14" xfId="28674" xr:uid="{00000000-0005-0000-0000-0000F96F0000}"/>
    <cellStyle name="Normal 3 3 12 9 14 2" xfId="28675" xr:uid="{00000000-0005-0000-0000-0000FA6F0000}"/>
    <cellStyle name="Normal 3 3 12 9 14 3" xfId="28676" xr:uid="{00000000-0005-0000-0000-0000FB6F0000}"/>
    <cellStyle name="Normal 3 3 12 9 15" xfId="28677" xr:uid="{00000000-0005-0000-0000-0000FC6F0000}"/>
    <cellStyle name="Normal 3 3 12 9 16" xfId="28678" xr:uid="{00000000-0005-0000-0000-0000FD6F0000}"/>
    <cellStyle name="Normal 3 3 12 9 2" xfId="28679" xr:uid="{00000000-0005-0000-0000-0000FE6F0000}"/>
    <cellStyle name="Normal 3 3 12 9 2 2" xfId="28680" xr:uid="{00000000-0005-0000-0000-0000FF6F0000}"/>
    <cellStyle name="Normal 3 3 12 9 2 3" xfId="28681" xr:uid="{00000000-0005-0000-0000-000000700000}"/>
    <cellStyle name="Normal 3 3 12 9 3" xfId="28682" xr:uid="{00000000-0005-0000-0000-000001700000}"/>
    <cellStyle name="Normal 3 3 12 9 3 2" xfId="28683" xr:uid="{00000000-0005-0000-0000-000002700000}"/>
    <cellStyle name="Normal 3 3 12 9 3 3" xfId="28684" xr:uid="{00000000-0005-0000-0000-000003700000}"/>
    <cellStyle name="Normal 3 3 12 9 4" xfId="28685" xr:uid="{00000000-0005-0000-0000-000004700000}"/>
    <cellStyle name="Normal 3 3 12 9 4 2" xfId="28686" xr:uid="{00000000-0005-0000-0000-000005700000}"/>
    <cellStyle name="Normal 3 3 12 9 4 3" xfId="28687" xr:uid="{00000000-0005-0000-0000-000006700000}"/>
    <cellStyle name="Normal 3 3 12 9 5" xfId="28688" xr:uid="{00000000-0005-0000-0000-000007700000}"/>
    <cellStyle name="Normal 3 3 12 9 5 2" xfId="28689" xr:uid="{00000000-0005-0000-0000-000008700000}"/>
    <cellStyle name="Normal 3 3 12 9 5 3" xfId="28690" xr:uid="{00000000-0005-0000-0000-000009700000}"/>
    <cellStyle name="Normal 3 3 12 9 6" xfId="28691" xr:uid="{00000000-0005-0000-0000-00000A700000}"/>
    <cellStyle name="Normal 3 3 12 9 6 2" xfId="28692" xr:uid="{00000000-0005-0000-0000-00000B700000}"/>
    <cellStyle name="Normal 3 3 12 9 6 3" xfId="28693" xr:uid="{00000000-0005-0000-0000-00000C700000}"/>
    <cellStyle name="Normal 3 3 12 9 7" xfId="28694" xr:uid="{00000000-0005-0000-0000-00000D700000}"/>
    <cellStyle name="Normal 3 3 12 9 7 2" xfId="28695" xr:uid="{00000000-0005-0000-0000-00000E700000}"/>
    <cellStyle name="Normal 3 3 12 9 7 3" xfId="28696" xr:uid="{00000000-0005-0000-0000-00000F700000}"/>
    <cellStyle name="Normal 3 3 12 9 8" xfId="28697" xr:uid="{00000000-0005-0000-0000-000010700000}"/>
    <cellStyle name="Normal 3 3 12 9 8 2" xfId="28698" xr:uid="{00000000-0005-0000-0000-000011700000}"/>
    <cellStyle name="Normal 3 3 12 9 8 3" xfId="28699" xr:uid="{00000000-0005-0000-0000-000012700000}"/>
    <cellStyle name="Normal 3 3 12 9 9" xfId="28700" xr:uid="{00000000-0005-0000-0000-000013700000}"/>
    <cellStyle name="Normal 3 3 12 9 9 2" xfId="28701" xr:uid="{00000000-0005-0000-0000-000014700000}"/>
    <cellStyle name="Normal 3 3 12 9 9 3" xfId="28702" xr:uid="{00000000-0005-0000-0000-000015700000}"/>
    <cellStyle name="Normal 3 3 13" xfId="28703" xr:uid="{00000000-0005-0000-0000-000016700000}"/>
    <cellStyle name="Normal 3 3 13 10" xfId="28704" xr:uid="{00000000-0005-0000-0000-000017700000}"/>
    <cellStyle name="Normal 3 3 13 10 10" xfId="28705" xr:uid="{00000000-0005-0000-0000-000018700000}"/>
    <cellStyle name="Normal 3 3 13 10 10 2" xfId="28706" xr:uid="{00000000-0005-0000-0000-000019700000}"/>
    <cellStyle name="Normal 3 3 13 10 10 3" xfId="28707" xr:uid="{00000000-0005-0000-0000-00001A700000}"/>
    <cellStyle name="Normal 3 3 13 10 11" xfId="28708" xr:uid="{00000000-0005-0000-0000-00001B700000}"/>
    <cellStyle name="Normal 3 3 13 10 11 2" xfId="28709" xr:uid="{00000000-0005-0000-0000-00001C700000}"/>
    <cellStyle name="Normal 3 3 13 10 11 3" xfId="28710" xr:uid="{00000000-0005-0000-0000-00001D700000}"/>
    <cellStyle name="Normal 3 3 13 10 12" xfId="28711" xr:uid="{00000000-0005-0000-0000-00001E700000}"/>
    <cellStyle name="Normal 3 3 13 10 12 2" xfId="28712" xr:uid="{00000000-0005-0000-0000-00001F700000}"/>
    <cellStyle name="Normal 3 3 13 10 12 3" xfId="28713" xr:uid="{00000000-0005-0000-0000-000020700000}"/>
    <cellStyle name="Normal 3 3 13 10 13" xfId="28714" xr:uid="{00000000-0005-0000-0000-000021700000}"/>
    <cellStyle name="Normal 3 3 13 10 13 2" xfId="28715" xr:uid="{00000000-0005-0000-0000-000022700000}"/>
    <cellStyle name="Normal 3 3 13 10 13 3" xfId="28716" xr:uid="{00000000-0005-0000-0000-000023700000}"/>
    <cellStyle name="Normal 3 3 13 10 14" xfId="28717" xr:uid="{00000000-0005-0000-0000-000024700000}"/>
    <cellStyle name="Normal 3 3 13 10 14 2" xfId="28718" xr:uid="{00000000-0005-0000-0000-000025700000}"/>
    <cellStyle name="Normal 3 3 13 10 14 3" xfId="28719" xr:uid="{00000000-0005-0000-0000-000026700000}"/>
    <cellStyle name="Normal 3 3 13 10 15" xfId="28720" xr:uid="{00000000-0005-0000-0000-000027700000}"/>
    <cellStyle name="Normal 3 3 13 10 16" xfId="28721" xr:uid="{00000000-0005-0000-0000-000028700000}"/>
    <cellStyle name="Normal 3 3 13 10 2" xfId="28722" xr:uid="{00000000-0005-0000-0000-000029700000}"/>
    <cellStyle name="Normal 3 3 13 10 2 2" xfId="28723" xr:uid="{00000000-0005-0000-0000-00002A700000}"/>
    <cellStyle name="Normal 3 3 13 10 2 3" xfId="28724" xr:uid="{00000000-0005-0000-0000-00002B700000}"/>
    <cellStyle name="Normal 3 3 13 10 3" xfId="28725" xr:uid="{00000000-0005-0000-0000-00002C700000}"/>
    <cellStyle name="Normal 3 3 13 10 3 2" xfId="28726" xr:uid="{00000000-0005-0000-0000-00002D700000}"/>
    <cellStyle name="Normal 3 3 13 10 3 3" xfId="28727" xr:uid="{00000000-0005-0000-0000-00002E700000}"/>
    <cellStyle name="Normal 3 3 13 10 4" xfId="28728" xr:uid="{00000000-0005-0000-0000-00002F700000}"/>
    <cellStyle name="Normal 3 3 13 10 4 2" xfId="28729" xr:uid="{00000000-0005-0000-0000-000030700000}"/>
    <cellStyle name="Normal 3 3 13 10 4 3" xfId="28730" xr:uid="{00000000-0005-0000-0000-000031700000}"/>
    <cellStyle name="Normal 3 3 13 10 5" xfId="28731" xr:uid="{00000000-0005-0000-0000-000032700000}"/>
    <cellStyle name="Normal 3 3 13 10 5 2" xfId="28732" xr:uid="{00000000-0005-0000-0000-000033700000}"/>
    <cellStyle name="Normal 3 3 13 10 5 3" xfId="28733" xr:uid="{00000000-0005-0000-0000-000034700000}"/>
    <cellStyle name="Normal 3 3 13 10 6" xfId="28734" xr:uid="{00000000-0005-0000-0000-000035700000}"/>
    <cellStyle name="Normal 3 3 13 10 6 2" xfId="28735" xr:uid="{00000000-0005-0000-0000-000036700000}"/>
    <cellStyle name="Normal 3 3 13 10 6 3" xfId="28736" xr:uid="{00000000-0005-0000-0000-000037700000}"/>
    <cellStyle name="Normal 3 3 13 10 7" xfId="28737" xr:uid="{00000000-0005-0000-0000-000038700000}"/>
    <cellStyle name="Normal 3 3 13 10 7 2" xfId="28738" xr:uid="{00000000-0005-0000-0000-000039700000}"/>
    <cellStyle name="Normal 3 3 13 10 7 3" xfId="28739" xr:uid="{00000000-0005-0000-0000-00003A700000}"/>
    <cellStyle name="Normal 3 3 13 10 8" xfId="28740" xr:uid="{00000000-0005-0000-0000-00003B700000}"/>
    <cellStyle name="Normal 3 3 13 10 8 2" xfId="28741" xr:uid="{00000000-0005-0000-0000-00003C700000}"/>
    <cellStyle name="Normal 3 3 13 10 8 3" xfId="28742" xr:uid="{00000000-0005-0000-0000-00003D700000}"/>
    <cellStyle name="Normal 3 3 13 10 9" xfId="28743" xr:uid="{00000000-0005-0000-0000-00003E700000}"/>
    <cellStyle name="Normal 3 3 13 10 9 2" xfId="28744" xr:uid="{00000000-0005-0000-0000-00003F700000}"/>
    <cellStyle name="Normal 3 3 13 10 9 3" xfId="28745" xr:uid="{00000000-0005-0000-0000-000040700000}"/>
    <cellStyle name="Normal 3 3 13 11" xfId="28746" xr:uid="{00000000-0005-0000-0000-000041700000}"/>
    <cellStyle name="Normal 3 3 13 11 2" xfId="28747" xr:uid="{00000000-0005-0000-0000-000042700000}"/>
    <cellStyle name="Normal 3 3 13 11 3" xfId="28748" xr:uid="{00000000-0005-0000-0000-000043700000}"/>
    <cellStyle name="Normal 3 3 13 12" xfId="28749" xr:uid="{00000000-0005-0000-0000-000044700000}"/>
    <cellStyle name="Normal 3 3 13 12 2" xfId="28750" xr:uid="{00000000-0005-0000-0000-000045700000}"/>
    <cellStyle name="Normal 3 3 13 12 3" xfId="28751" xr:uid="{00000000-0005-0000-0000-000046700000}"/>
    <cellStyle name="Normal 3 3 13 13" xfId="28752" xr:uid="{00000000-0005-0000-0000-000047700000}"/>
    <cellStyle name="Normal 3 3 13 13 2" xfId="28753" xr:uid="{00000000-0005-0000-0000-000048700000}"/>
    <cellStyle name="Normal 3 3 13 13 3" xfId="28754" xr:uid="{00000000-0005-0000-0000-000049700000}"/>
    <cellStyle name="Normal 3 3 13 14" xfId="28755" xr:uid="{00000000-0005-0000-0000-00004A700000}"/>
    <cellStyle name="Normal 3 3 13 14 2" xfId="28756" xr:uid="{00000000-0005-0000-0000-00004B700000}"/>
    <cellStyle name="Normal 3 3 13 14 3" xfId="28757" xr:uid="{00000000-0005-0000-0000-00004C700000}"/>
    <cellStyle name="Normal 3 3 13 15" xfId="28758" xr:uid="{00000000-0005-0000-0000-00004D700000}"/>
    <cellStyle name="Normal 3 3 13 15 2" xfId="28759" xr:uid="{00000000-0005-0000-0000-00004E700000}"/>
    <cellStyle name="Normal 3 3 13 15 3" xfId="28760" xr:uid="{00000000-0005-0000-0000-00004F700000}"/>
    <cellStyle name="Normal 3 3 13 16" xfId="28761" xr:uid="{00000000-0005-0000-0000-000050700000}"/>
    <cellStyle name="Normal 3 3 13 16 2" xfId="28762" xr:uid="{00000000-0005-0000-0000-000051700000}"/>
    <cellStyle name="Normal 3 3 13 16 3" xfId="28763" xr:uid="{00000000-0005-0000-0000-000052700000}"/>
    <cellStyle name="Normal 3 3 13 17" xfId="28764" xr:uid="{00000000-0005-0000-0000-000053700000}"/>
    <cellStyle name="Normal 3 3 13 17 2" xfId="28765" xr:uid="{00000000-0005-0000-0000-000054700000}"/>
    <cellStyle name="Normal 3 3 13 17 3" xfId="28766" xr:uid="{00000000-0005-0000-0000-000055700000}"/>
    <cellStyle name="Normal 3 3 13 18" xfId="28767" xr:uid="{00000000-0005-0000-0000-000056700000}"/>
    <cellStyle name="Normal 3 3 13 18 2" xfId="28768" xr:uid="{00000000-0005-0000-0000-000057700000}"/>
    <cellStyle name="Normal 3 3 13 18 3" xfId="28769" xr:uid="{00000000-0005-0000-0000-000058700000}"/>
    <cellStyle name="Normal 3 3 13 19" xfId="28770" xr:uid="{00000000-0005-0000-0000-000059700000}"/>
    <cellStyle name="Normal 3 3 13 19 2" xfId="28771" xr:uid="{00000000-0005-0000-0000-00005A700000}"/>
    <cellStyle name="Normal 3 3 13 19 3" xfId="28772" xr:uid="{00000000-0005-0000-0000-00005B700000}"/>
    <cellStyle name="Normal 3 3 13 2" xfId="28773" xr:uid="{00000000-0005-0000-0000-00005C700000}"/>
    <cellStyle name="Normal 3 3 13 2 10" xfId="28774" xr:uid="{00000000-0005-0000-0000-00005D700000}"/>
    <cellStyle name="Normal 3 3 13 2 10 2" xfId="28775" xr:uid="{00000000-0005-0000-0000-00005E700000}"/>
    <cellStyle name="Normal 3 3 13 2 10 3" xfId="28776" xr:uid="{00000000-0005-0000-0000-00005F700000}"/>
    <cellStyle name="Normal 3 3 13 2 11" xfId="28777" xr:uid="{00000000-0005-0000-0000-000060700000}"/>
    <cellStyle name="Normal 3 3 13 2 11 2" xfId="28778" xr:uid="{00000000-0005-0000-0000-000061700000}"/>
    <cellStyle name="Normal 3 3 13 2 11 3" xfId="28779" xr:uid="{00000000-0005-0000-0000-000062700000}"/>
    <cellStyle name="Normal 3 3 13 2 12" xfId="28780" xr:uid="{00000000-0005-0000-0000-000063700000}"/>
    <cellStyle name="Normal 3 3 13 2 12 2" xfId="28781" xr:uid="{00000000-0005-0000-0000-000064700000}"/>
    <cellStyle name="Normal 3 3 13 2 12 3" xfId="28782" xr:uid="{00000000-0005-0000-0000-000065700000}"/>
    <cellStyle name="Normal 3 3 13 2 13" xfId="28783" xr:uid="{00000000-0005-0000-0000-000066700000}"/>
    <cellStyle name="Normal 3 3 13 2 13 2" xfId="28784" xr:uid="{00000000-0005-0000-0000-000067700000}"/>
    <cellStyle name="Normal 3 3 13 2 13 3" xfId="28785" xr:uid="{00000000-0005-0000-0000-000068700000}"/>
    <cellStyle name="Normal 3 3 13 2 14" xfId="28786" xr:uid="{00000000-0005-0000-0000-000069700000}"/>
    <cellStyle name="Normal 3 3 13 2 14 2" xfId="28787" xr:uid="{00000000-0005-0000-0000-00006A700000}"/>
    <cellStyle name="Normal 3 3 13 2 14 3" xfId="28788" xr:uid="{00000000-0005-0000-0000-00006B700000}"/>
    <cellStyle name="Normal 3 3 13 2 15" xfId="28789" xr:uid="{00000000-0005-0000-0000-00006C700000}"/>
    <cellStyle name="Normal 3 3 13 2 15 2" xfId="28790" xr:uid="{00000000-0005-0000-0000-00006D700000}"/>
    <cellStyle name="Normal 3 3 13 2 15 3" xfId="28791" xr:uid="{00000000-0005-0000-0000-00006E700000}"/>
    <cellStyle name="Normal 3 3 13 2 16" xfId="28792" xr:uid="{00000000-0005-0000-0000-00006F700000}"/>
    <cellStyle name="Normal 3 3 13 2 17" xfId="28793" xr:uid="{00000000-0005-0000-0000-000070700000}"/>
    <cellStyle name="Normal 3 3 13 2 2" xfId="28794" xr:uid="{00000000-0005-0000-0000-000071700000}"/>
    <cellStyle name="Normal 3 3 13 2 2 10" xfId="28795" xr:uid="{00000000-0005-0000-0000-000072700000}"/>
    <cellStyle name="Normal 3 3 13 2 2 10 2" xfId="28796" xr:uid="{00000000-0005-0000-0000-000073700000}"/>
    <cellStyle name="Normal 3 3 13 2 2 10 3" xfId="28797" xr:uid="{00000000-0005-0000-0000-000074700000}"/>
    <cellStyle name="Normal 3 3 13 2 2 11" xfId="28798" xr:uid="{00000000-0005-0000-0000-000075700000}"/>
    <cellStyle name="Normal 3 3 13 2 2 11 2" xfId="28799" xr:uid="{00000000-0005-0000-0000-000076700000}"/>
    <cellStyle name="Normal 3 3 13 2 2 11 3" xfId="28800" xr:uid="{00000000-0005-0000-0000-000077700000}"/>
    <cellStyle name="Normal 3 3 13 2 2 12" xfId="28801" xr:uid="{00000000-0005-0000-0000-000078700000}"/>
    <cellStyle name="Normal 3 3 13 2 2 12 2" xfId="28802" xr:uid="{00000000-0005-0000-0000-000079700000}"/>
    <cellStyle name="Normal 3 3 13 2 2 12 3" xfId="28803" xr:uid="{00000000-0005-0000-0000-00007A700000}"/>
    <cellStyle name="Normal 3 3 13 2 2 13" xfId="28804" xr:uid="{00000000-0005-0000-0000-00007B700000}"/>
    <cellStyle name="Normal 3 3 13 2 2 13 2" xfId="28805" xr:uid="{00000000-0005-0000-0000-00007C700000}"/>
    <cellStyle name="Normal 3 3 13 2 2 13 3" xfId="28806" xr:uid="{00000000-0005-0000-0000-00007D700000}"/>
    <cellStyle name="Normal 3 3 13 2 2 14" xfId="28807" xr:uid="{00000000-0005-0000-0000-00007E700000}"/>
    <cellStyle name="Normal 3 3 13 2 2 14 2" xfId="28808" xr:uid="{00000000-0005-0000-0000-00007F700000}"/>
    <cellStyle name="Normal 3 3 13 2 2 14 3" xfId="28809" xr:uid="{00000000-0005-0000-0000-000080700000}"/>
    <cellStyle name="Normal 3 3 13 2 2 15" xfId="28810" xr:uid="{00000000-0005-0000-0000-000081700000}"/>
    <cellStyle name="Normal 3 3 13 2 2 16" xfId="28811" xr:uid="{00000000-0005-0000-0000-000082700000}"/>
    <cellStyle name="Normal 3 3 13 2 2 2" xfId="28812" xr:uid="{00000000-0005-0000-0000-000083700000}"/>
    <cellStyle name="Normal 3 3 13 2 2 2 2" xfId="28813" xr:uid="{00000000-0005-0000-0000-000084700000}"/>
    <cellStyle name="Normal 3 3 13 2 2 2 3" xfId="28814" xr:uid="{00000000-0005-0000-0000-000085700000}"/>
    <cellStyle name="Normal 3 3 13 2 2 3" xfId="28815" xr:uid="{00000000-0005-0000-0000-000086700000}"/>
    <cellStyle name="Normal 3 3 13 2 2 3 2" xfId="28816" xr:uid="{00000000-0005-0000-0000-000087700000}"/>
    <cellStyle name="Normal 3 3 13 2 2 3 3" xfId="28817" xr:uid="{00000000-0005-0000-0000-000088700000}"/>
    <cellStyle name="Normal 3 3 13 2 2 4" xfId="28818" xr:uid="{00000000-0005-0000-0000-000089700000}"/>
    <cellStyle name="Normal 3 3 13 2 2 4 2" xfId="28819" xr:uid="{00000000-0005-0000-0000-00008A700000}"/>
    <cellStyle name="Normal 3 3 13 2 2 4 3" xfId="28820" xr:uid="{00000000-0005-0000-0000-00008B700000}"/>
    <cellStyle name="Normal 3 3 13 2 2 5" xfId="28821" xr:uid="{00000000-0005-0000-0000-00008C700000}"/>
    <cellStyle name="Normal 3 3 13 2 2 5 2" xfId="28822" xr:uid="{00000000-0005-0000-0000-00008D700000}"/>
    <cellStyle name="Normal 3 3 13 2 2 5 3" xfId="28823" xr:uid="{00000000-0005-0000-0000-00008E700000}"/>
    <cellStyle name="Normal 3 3 13 2 2 6" xfId="28824" xr:uid="{00000000-0005-0000-0000-00008F700000}"/>
    <cellStyle name="Normal 3 3 13 2 2 6 2" xfId="28825" xr:uid="{00000000-0005-0000-0000-000090700000}"/>
    <cellStyle name="Normal 3 3 13 2 2 6 3" xfId="28826" xr:uid="{00000000-0005-0000-0000-000091700000}"/>
    <cellStyle name="Normal 3 3 13 2 2 7" xfId="28827" xr:uid="{00000000-0005-0000-0000-000092700000}"/>
    <cellStyle name="Normal 3 3 13 2 2 7 2" xfId="28828" xr:uid="{00000000-0005-0000-0000-000093700000}"/>
    <cellStyle name="Normal 3 3 13 2 2 7 3" xfId="28829" xr:uid="{00000000-0005-0000-0000-000094700000}"/>
    <cellStyle name="Normal 3 3 13 2 2 8" xfId="28830" xr:uid="{00000000-0005-0000-0000-000095700000}"/>
    <cellStyle name="Normal 3 3 13 2 2 8 2" xfId="28831" xr:uid="{00000000-0005-0000-0000-000096700000}"/>
    <cellStyle name="Normal 3 3 13 2 2 8 3" xfId="28832" xr:uid="{00000000-0005-0000-0000-000097700000}"/>
    <cellStyle name="Normal 3 3 13 2 2 9" xfId="28833" xr:uid="{00000000-0005-0000-0000-000098700000}"/>
    <cellStyle name="Normal 3 3 13 2 2 9 2" xfId="28834" xr:uid="{00000000-0005-0000-0000-000099700000}"/>
    <cellStyle name="Normal 3 3 13 2 2 9 3" xfId="28835" xr:uid="{00000000-0005-0000-0000-00009A700000}"/>
    <cellStyle name="Normal 3 3 13 2 3" xfId="28836" xr:uid="{00000000-0005-0000-0000-00009B700000}"/>
    <cellStyle name="Normal 3 3 13 2 3 2" xfId="28837" xr:uid="{00000000-0005-0000-0000-00009C700000}"/>
    <cellStyle name="Normal 3 3 13 2 3 3" xfId="28838" xr:uid="{00000000-0005-0000-0000-00009D700000}"/>
    <cellStyle name="Normal 3 3 13 2 4" xfId="28839" xr:uid="{00000000-0005-0000-0000-00009E700000}"/>
    <cellStyle name="Normal 3 3 13 2 4 2" xfId="28840" xr:uid="{00000000-0005-0000-0000-00009F700000}"/>
    <cellStyle name="Normal 3 3 13 2 4 3" xfId="28841" xr:uid="{00000000-0005-0000-0000-0000A0700000}"/>
    <cellStyle name="Normal 3 3 13 2 5" xfId="28842" xr:uid="{00000000-0005-0000-0000-0000A1700000}"/>
    <cellStyle name="Normal 3 3 13 2 5 2" xfId="28843" xr:uid="{00000000-0005-0000-0000-0000A2700000}"/>
    <cellStyle name="Normal 3 3 13 2 5 3" xfId="28844" xr:uid="{00000000-0005-0000-0000-0000A3700000}"/>
    <cellStyle name="Normal 3 3 13 2 6" xfId="28845" xr:uid="{00000000-0005-0000-0000-0000A4700000}"/>
    <cellStyle name="Normal 3 3 13 2 6 2" xfId="28846" xr:uid="{00000000-0005-0000-0000-0000A5700000}"/>
    <cellStyle name="Normal 3 3 13 2 6 3" xfId="28847" xr:uid="{00000000-0005-0000-0000-0000A6700000}"/>
    <cellStyle name="Normal 3 3 13 2 7" xfId="28848" xr:uid="{00000000-0005-0000-0000-0000A7700000}"/>
    <cellStyle name="Normal 3 3 13 2 7 2" xfId="28849" xr:uid="{00000000-0005-0000-0000-0000A8700000}"/>
    <cellStyle name="Normal 3 3 13 2 7 3" xfId="28850" xr:uid="{00000000-0005-0000-0000-0000A9700000}"/>
    <cellStyle name="Normal 3 3 13 2 8" xfId="28851" xr:uid="{00000000-0005-0000-0000-0000AA700000}"/>
    <cellStyle name="Normal 3 3 13 2 8 2" xfId="28852" xr:uid="{00000000-0005-0000-0000-0000AB700000}"/>
    <cellStyle name="Normal 3 3 13 2 8 3" xfId="28853" xr:uid="{00000000-0005-0000-0000-0000AC700000}"/>
    <cellStyle name="Normal 3 3 13 2 9" xfId="28854" xr:uid="{00000000-0005-0000-0000-0000AD700000}"/>
    <cellStyle name="Normal 3 3 13 2 9 2" xfId="28855" xr:uid="{00000000-0005-0000-0000-0000AE700000}"/>
    <cellStyle name="Normal 3 3 13 2 9 3" xfId="28856" xr:uid="{00000000-0005-0000-0000-0000AF700000}"/>
    <cellStyle name="Normal 3 3 13 20" xfId="28857" xr:uid="{00000000-0005-0000-0000-0000B0700000}"/>
    <cellStyle name="Normal 3 3 13 20 2" xfId="28858" xr:uid="{00000000-0005-0000-0000-0000B1700000}"/>
    <cellStyle name="Normal 3 3 13 20 3" xfId="28859" xr:uid="{00000000-0005-0000-0000-0000B2700000}"/>
    <cellStyle name="Normal 3 3 13 21" xfId="28860" xr:uid="{00000000-0005-0000-0000-0000B3700000}"/>
    <cellStyle name="Normal 3 3 13 21 2" xfId="28861" xr:uid="{00000000-0005-0000-0000-0000B4700000}"/>
    <cellStyle name="Normal 3 3 13 21 3" xfId="28862" xr:uid="{00000000-0005-0000-0000-0000B5700000}"/>
    <cellStyle name="Normal 3 3 13 22" xfId="28863" xr:uid="{00000000-0005-0000-0000-0000B6700000}"/>
    <cellStyle name="Normal 3 3 13 22 2" xfId="28864" xr:uid="{00000000-0005-0000-0000-0000B7700000}"/>
    <cellStyle name="Normal 3 3 13 22 3" xfId="28865" xr:uid="{00000000-0005-0000-0000-0000B8700000}"/>
    <cellStyle name="Normal 3 3 13 23" xfId="28866" xr:uid="{00000000-0005-0000-0000-0000B9700000}"/>
    <cellStyle name="Normal 3 3 13 23 2" xfId="28867" xr:uid="{00000000-0005-0000-0000-0000BA700000}"/>
    <cellStyle name="Normal 3 3 13 23 3" xfId="28868" xr:uid="{00000000-0005-0000-0000-0000BB700000}"/>
    <cellStyle name="Normal 3 3 13 24" xfId="28869" xr:uid="{00000000-0005-0000-0000-0000BC700000}"/>
    <cellStyle name="Normal 3 3 13 25" xfId="28870" xr:uid="{00000000-0005-0000-0000-0000BD700000}"/>
    <cellStyle name="Normal 3 3 13 3" xfId="28871" xr:uid="{00000000-0005-0000-0000-0000BE700000}"/>
    <cellStyle name="Normal 3 3 13 3 10" xfId="28872" xr:uid="{00000000-0005-0000-0000-0000BF700000}"/>
    <cellStyle name="Normal 3 3 13 3 10 2" xfId="28873" xr:uid="{00000000-0005-0000-0000-0000C0700000}"/>
    <cellStyle name="Normal 3 3 13 3 10 3" xfId="28874" xr:uid="{00000000-0005-0000-0000-0000C1700000}"/>
    <cellStyle name="Normal 3 3 13 3 11" xfId="28875" xr:uid="{00000000-0005-0000-0000-0000C2700000}"/>
    <cellStyle name="Normal 3 3 13 3 11 2" xfId="28876" xr:uid="{00000000-0005-0000-0000-0000C3700000}"/>
    <cellStyle name="Normal 3 3 13 3 11 3" xfId="28877" xr:uid="{00000000-0005-0000-0000-0000C4700000}"/>
    <cellStyle name="Normal 3 3 13 3 12" xfId="28878" xr:uid="{00000000-0005-0000-0000-0000C5700000}"/>
    <cellStyle name="Normal 3 3 13 3 12 2" xfId="28879" xr:uid="{00000000-0005-0000-0000-0000C6700000}"/>
    <cellStyle name="Normal 3 3 13 3 12 3" xfId="28880" xr:uid="{00000000-0005-0000-0000-0000C7700000}"/>
    <cellStyle name="Normal 3 3 13 3 13" xfId="28881" xr:uid="{00000000-0005-0000-0000-0000C8700000}"/>
    <cellStyle name="Normal 3 3 13 3 13 2" xfId="28882" xr:uid="{00000000-0005-0000-0000-0000C9700000}"/>
    <cellStyle name="Normal 3 3 13 3 13 3" xfId="28883" xr:uid="{00000000-0005-0000-0000-0000CA700000}"/>
    <cellStyle name="Normal 3 3 13 3 14" xfId="28884" xr:uid="{00000000-0005-0000-0000-0000CB700000}"/>
    <cellStyle name="Normal 3 3 13 3 14 2" xfId="28885" xr:uid="{00000000-0005-0000-0000-0000CC700000}"/>
    <cellStyle name="Normal 3 3 13 3 14 3" xfId="28886" xr:uid="{00000000-0005-0000-0000-0000CD700000}"/>
    <cellStyle name="Normal 3 3 13 3 15" xfId="28887" xr:uid="{00000000-0005-0000-0000-0000CE700000}"/>
    <cellStyle name="Normal 3 3 13 3 15 2" xfId="28888" xr:uid="{00000000-0005-0000-0000-0000CF700000}"/>
    <cellStyle name="Normal 3 3 13 3 15 3" xfId="28889" xr:uid="{00000000-0005-0000-0000-0000D0700000}"/>
    <cellStyle name="Normal 3 3 13 3 16" xfId="28890" xr:uid="{00000000-0005-0000-0000-0000D1700000}"/>
    <cellStyle name="Normal 3 3 13 3 17" xfId="28891" xr:uid="{00000000-0005-0000-0000-0000D2700000}"/>
    <cellStyle name="Normal 3 3 13 3 2" xfId="28892" xr:uid="{00000000-0005-0000-0000-0000D3700000}"/>
    <cellStyle name="Normal 3 3 13 3 2 10" xfId="28893" xr:uid="{00000000-0005-0000-0000-0000D4700000}"/>
    <cellStyle name="Normal 3 3 13 3 2 10 2" xfId="28894" xr:uid="{00000000-0005-0000-0000-0000D5700000}"/>
    <cellStyle name="Normal 3 3 13 3 2 10 3" xfId="28895" xr:uid="{00000000-0005-0000-0000-0000D6700000}"/>
    <cellStyle name="Normal 3 3 13 3 2 11" xfId="28896" xr:uid="{00000000-0005-0000-0000-0000D7700000}"/>
    <cellStyle name="Normal 3 3 13 3 2 11 2" xfId="28897" xr:uid="{00000000-0005-0000-0000-0000D8700000}"/>
    <cellStyle name="Normal 3 3 13 3 2 11 3" xfId="28898" xr:uid="{00000000-0005-0000-0000-0000D9700000}"/>
    <cellStyle name="Normal 3 3 13 3 2 12" xfId="28899" xr:uid="{00000000-0005-0000-0000-0000DA700000}"/>
    <cellStyle name="Normal 3 3 13 3 2 12 2" xfId="28900" xr:uid="{00000000-0005-0000-0000-0000DB700000}"/>
    <cellStyle name="Normal 3 3 13 3 2 12 3" xfId="28901" xr:uid="{00000000-0005-0000-0000-0000DC700000}"/>
    <cellStyle name="Normal 3 3 13 3 2 13" xfId="28902" xr:uid="{00000000-0005-0000-0000-0000DD700000}"/>
    <cellStyle name="Normal 3 3 13 3 2 13 2" xfId="28903" xr:uid="{00000000-0005-0000-0000-0000DE700000}"/>
    <cellStyle name="Normal 3 3 13 3 2 13 3" xfId="28904" xr:uid="{00000000-0005-0000-0000-0000DF700000}"/>
    <cellStyle name="Normal 3 3 13 3 2 14" xfId="28905" xr:uid="{00000000-0005-0000-0000-0000E0700000}"/>
    <cellStyle name="Normal 3 3 13 3 2 14 2" xfId="28906" xr:uid="{00000000-0005-0000-0000-0000E1700000}"/>
    <cellStyle name="Normal 3 3 13 3 2 14 3" xfId="28907" xr:uid="{00000000-0005-0000-0000-0000E2700000}"/>
    <cellStyle name="Normal 3 3 13 3 2 15" xfId="28908" xr:uid="{00000000-0005-0000-0000-0000E3700000}"/>
    <cellStyle name="Normal 3 3 13 3 2 16" xfId="28909" xr:uid="{00000000-0005-0000-0000-0000E4700000}"/>
    <cellStyle name="Normal 3 3 13 3 2 2" xfId="28910" xr:uid="{00000000-0005-0000-0000-0000E5700000}"/>
    <cellStyle name="Normal 3 3 13 3 2 2 2" xfId="28911" xr:uid="{00000000-0005-0000-0000-0000E6700000}"/>
    <cellStyle name="Normal 3 3 13 3 2 2 3" xfId="28912" xr:uid="{00000000-0005-0000-0000-0000E7700000}"/>
    <cellStyle name="Normal 3 3 13 3 2 3" xfId="28913" xr:uid="{00000000-0005-0000-0000-0000E8700000}"/>
    <cellStyle name="Normal 3 3 13 3 2 3 2" xfId="28914" xr:uid="{00000000-0005-0000-0000-0000E9700000}"/>
    <cellStyle name="Normal 3 3 13 3 2 3 3" xfId="28915" xr:uid="{00000000-0005-0000-0000-0000EA700000}"/>
    <cellStyle name="Normal 3 3 13 3 2 4" xfId="28916" xr:uid="{00000000-0005-0000-0000-0000EB700000}"/>
    <cellStyle name="Normal 3 3 13 3 2 4 2" xfId="28917" xr:uid="{00000000-0005-0000-0000-0000EC700000}"/>
    <cellStyle name="Normal 3 3 13 3 2 4 3" xfId="28918" xr:uid="{00000000-0005-0000-0000-0000ED700000}"/>
    <cellStyle name="Normal 3 3 13 3 2 5" xfId="28919" xr:uid="{00000000-0005-0000-0000-0000EE700000}"/>
    <cellStyle name="Normal 3 3 13 3 2 5 2" xfId="28920" xr:uid="{00000000-0005-0000-0000-0000EF700000}"/>
    <cellStyle name="Normal 3 3 13 3 2 5 3" xfId="28921" xr:uid="{00000000-0005-0000-0000-0000F0700000}"/>
    <cellStyle name="Normal 3 3 13 3 2 6" xfId="28922" xr:uid="{00000000-0005-0000-0000-0000F1700000}"/>
    <cellStyle name="Normal 3 3 13 3 2 6 2" xfId="28923" xr:uid="{00000000-0005-0000-0000-0000F2700000}"/>
    <cellStyle name="Normal 3 3 13 3 2 6 3" xfId="28924" xr:uid="{00000000-0005-0000-0000-0000F3700000}"/>
    <cellStyle name="Normal 3 3 13 3 2 7" xfId="28925" xr:uid="{00000000-0005-0000-0000-0000F4700000}"/>
    <cellStyle name="Normal 3 3 13 3 2 7 2" xfId="28926" xr:uid="{00000000-0005-0000-0000-0000F5700000}"/>
    <cellStyle name="Normal 3 3 13 3 2 7 3" xfId="28927" xr:uid="{00000000-0005-0000-0000-0000F6700000}"/>
    <cellStyle name="Normal 3 3 13 3 2 8" xfId="28928" xr:uid="{00000000-0005-0000-0000-0000F7700000}"/>
    <cellStyle name="Normal 3 3 13 3 2 8 2" xfId="28929" xr:uid="{00000000-0005-0000-0000-0000F8700000}"/>
    <cellStyle name="Normal 3 3 13 3 2 8 3" xfId="28930" xr:uid="{00000000-0005-0000-0000-0000F9700000}"/>
    <cellStyle name="Normal 3 3 13 3 2 9" xfId="28931" xr:uid="{00000000-0005-0000-0000-0000FA700000}"/>
    <cellStyle name="Normal 3 3 13 3 2 9 2" xfId="28932" xr:uid="{00000000-0005-0000-0000-0000FB700000}"/>
    <cellStyle name="Normal 3 3 13 3 2 9 3" xfId="28933" xr:uid="{00000000-0005-0000-0000-0000FC700000}"/>
    <cellStyle name="Normal 3 3 13 3 3" xfId="28934" xr:uid="{00000000-0005-0000-0000-0000FD700000}"/>
    <cellStyle name="Normal 3 3 13 3 3 2" xfId="28935" xr:uid="{00000000-0005-0000-0000-0000FE700000}"/>
    <cellStyle name="Normal 3 3 13 3 3 3" xfId="28936" xr:uid="{00000000-0005-0000-0000-0000FF700000}"/>
    <cellStyle name="Normal 3 3 13 3 4" xfId="28937" xr:uid="{00000000-0005-0000-0000-000000710000}"/>
    <cellStyle name="Normal 3 3 13 3 4 2" xfId="28938" xr:uid="{00000000-0005-0000-0000-000001710000}"/>
    <cellStyle name="Normal 3 3 13 3 4 3" xfId="28939" xr:uid="{00000000-0005-0000-0000-000002710000}"/>
    <cellStyle name="Normal 3 3 13 3 5" xfId="28940" xr:uid="{00000000-0005-0000-0000-000003710000}"/>
    <cellStyle name="Normal 3 3 13 3 5 2" xfId="28941" xr:uid="{00000000-0005-0000-0000-000004710000}"/>
    <cellStyle name="Normal 3 3 13 3 5 3" xfId="28942" xr:uid="{00000000-0005-0000-0000-000005710000}"/>
    <cellStyle name="Normal 3 3 13 3 6" xfId="28943" xr:uid="{00000000-0005-0000-0000-000006710000}"/>
    <cellStyle name="Normal 3 3 13 3 6 2" xfId="28944" xr:uid="{00000000-0005-0000-0000-000007710000}"/>
    <cellStyle name="Normal 3 3 13 3 6 3" xfId="28945" xr:uid="{00000000-0005-0000-0000-000008710000}"/>
    <cellStyle name="Normal 3 3 13 3 7" xfId="28946" xr:uid="{00000000-0005-0000-0000-000009710000}"/>
    <cellStyle name="Normal 3 3 13 3 7 2" xfId="28947" xr:uid="{00000000-0005-0000-0000-00000A710000}"/>
    <cellStyle name="Normal 3 3 13 3 7 3" xfId="28948" xr:uid="{00000000-0005-0000-0000-00000B710000}"/>
    <cellStyle name="Normal 3 3 13 3 8" xfId="28949" xr:uid="{00000000-0005-0000-0000-00000C710000}"/>
    <cellStyle name="Normal 3 3 13 3 8 2" xfId="28950" xr:uid="{00000000-0005-0000-0000-00000D710000}"/>
    <cellStyle name="Normal 3 3 13 3 8 3" xfId="28951" xr:uid="{00000000-0005-0000-0000-00000E710000}"/>
    <cellStyle name="Normal 3 3 13 3 9" xfId="28952" xr:uid="{00000000-0005-0000-0000-00000F710000}"/>
    <cellStyle name="Normal 3 3 13 3 9 2" xfId="28953" xr:uid="{00000000-0005-0000-0000-000010710000}"/>
    <cellStyle name="Normal 3 3 13 3 9 3" xfId="28954" xr:uid="{00000000-0005-0000-0000-000011710000}"/>
    <cellStyle name="Normal 3 3 13 4" xfId="28955" xr:uid="{00000000-0005-0000-0000-000012710000}"/>
    <cellStyle name="Normal 3 3 13 4 10" xfId="28956" xr:uid="{00000000-0005-0000-0000-000013710000}"/>
    <cellStyle name="Normal 3 3 13 4 10 2" xfId="28957" xr:uid="{00000000-0005-0000-0000-000014710000}"/>
    <cellStyle name="Normal 3 3 13 4 10 3" xfId="28958" xr:uid="{00000000-0005-0000-0000-000015710000}"/>
    <cellStyle name="Normal 3 3 13 4 11" xfId="28959" xr:uid="{00000000-0005-0000-0000-000016710000}"/>
    <cellStyle name="Normal 3 3 13 4 11 2" xfId="28960" xr:uid="{00000000-0005-0000-0000-000017710000}"/>
    <cellStyle name="Normal 3 3 13 4 11 3" xfId="28961" xr:uid="{00000000-0005-0000-0000-000018710000}"/>
    <cellStyle name="Normal 3 3 13 4 12" xfId="28962" xr:uid="{00000000-0005-0000-0000-000019710000}"/>
    <cellStyle name="Normal 3 3 13 4 12 2" xfId="28963" xr:uid="{00000000-0005-0000-0000-00001A710000}"/>
    <cellStyle name="Normal 3 3 13 4 12 3" xfId="28964" xr:uid="{00000000-0005-0000-0000-00001B710000}"/>
    <cellStyle name="Normal 3 3 13 4 13" xfId="28965" xr:uid="{00000000-0005-0000-0000-00001C710000}"/>
    <cellStyle name="Normal 3 3 13 4 13 2" xfId="28966" xr:uid="{00000000-0005-0000-0000-00001D710000}"/>
    <cellStyle name="Normal 3 3 13 4 13 3" xfId="28967" xr:uid="{00000000-0005-0000-0000-00001E710000}"/>
    <cellStyle name="Normal 3 3 13 4 14" xfId="28968" xr:uid="{00000000-0005-0000-0000-00001F710000}"/>
    <cellStyle name="Normal 3 3 13 4 14 2" xfId="28969" xr:uid="{00000000-0005-0000-0000-000020710000}"/>
    <cellStyle name="Normal 3 3 13 4 14 3" xfId="28970" xr:uid="{00000000-0005-0000-0000-000021710000}"/>
    <cellStyle name="Normal 3 3 13 4 15" xfId="28971" xr:uid="{00000000-0005-0000-0000-000022710000}"/>
    <cellStyle name="Normal 3 3 13 4 15 2" xfId="28972" xr:uid="{00000000-0005-0000-0000-000023710000}"/>
    <cellStyle name="Normal 3 3 13 4 15 3" xfId="28973" xr:uid="{00000000-0005-0000-0000-000024710000}"/>
    <cellStyle name="Normal 3 3 13 4 16" xfId="28974" xr:uid="{00000000-0005-0000-0000-000025710000}"/>
    <cellStyle name="Normal 3 3 13 4 17" xfId="28975" xr:uid="{00000000-0005-0000-0000-000026710000}"/>
    <cellStyle name="Normal 3 3 13 4 2" xfId="28976" xr:uid="{00000000-0005-0000-0000-000027710000}"/>
    <cellStyle name="Normal 3 3 13 4 2 10" xfId="28977" xr:uid="{00000000-0005-0000-0000-000028710000}"/>
    <cellStyle name="Normal 3 3 13 4 2 10 2" xfId="28978" xr:uid="{00000000-0005-0000-0000-000029710000}"/>
    <cellStyle name="Normal 3 3 13 4 2 10 3" xfId="28979" xr:uid="{00000000-0005-0000-0000-00002A710000}"/>
    <cellStyle name="Normal 3 3 13 4 2 11" xfId="28980" xr:uid="{00000000-0005-0000-0000-00002B710000}"/>
    <cellStyle name="Normal 3 3 13 4 2 11 2" xfId="28981" xr:uid="{00000000-0005-0000-0000-00002C710000}"/>
    <cellStyle name="Normal 3 3 13 4 2 11 3" xfId="28982" xr:uid="{00000000-0005-0000-0000-00002D710000}"/>
    <cellStyle name="Normal 3 3 13 4 2 12" xfId="28983" xr:uid="{00000000-0005-0000-0000-00002E710000}"/>
    <cellStyle name="Normal 3 3 13 4 2 12 2" xfId="28984" xr:uid="{00000000-0005-0000-0000-00002F710000}"/>
    <cellStyle name="Normal 3 3 13 4 2 12 3" xfId="28985" xr:uid="{00000000-0005-0000-0000-000030710000}"/>
    <cellStyle name="Normal 3 3 13 4 2 13" xfId="28986" xr:uid="{00000000-0005-0000-0000-000031710000}"/>
    <cellStyle name="Normal 3 3 13 4 2 13 2" xfId="28987" xr:uid="{00000000-0005-0000-0000-000032710000}"/>
    <cellStyle name="Normal 3 3 13 4 2 13 3" xfId="28988" xr:uid="{00000000-0005-0000-0000-000033710000}"/>
    <cellStyle name="Normal 3 3 13 4 2 14" xfId="28989" xr:uid="{00000000-0005-0000-0000-000034710000}"/>
    <cellStyle name="Normal 3 3 13 4 2 14 2" xfId="28990" xr:uid="{00000000-0005-0000-0000-000035710000}"/>
    <cellStyle name="Normal 3 3 13 4 2 14 3" xfId="28991" xr:uid="{00000000-0005-0000-0000-000036710000}"/>
    <cellStyle name="Normal 3 3 13 4 2 15" xfId="28992" xr:uid="{00000000-0005-0000-0000-000037710000}"/>
    <cellStyle name="Normal 3 3 13 4 2 16" xfId="28993" xr:uid="{00000000-0005-0000-0000-000038710000}"/>
    <cellStyle name="Normal 3 3 13 4 2 2" xfId="28994" xr:uid="{00000000-0005-0000-0000-000039710000}"/>
    <cellStyle name="Normal 3 3 13 4 2 2 2" xfId="28995" xr:uid="{00000000-0005-0000-0000-00003A710000}"/>
    <cellStyle name="Normal 3 3 13 4 2 2 3" xfId="28996" xr:uid="{00000000-0005-0000-0000-00003B710000}"/>
    <cellStyle name="Normal 3 3 13 4 2 3" xfId="28997" xr:uid="{00000000-0005-0000-0000-00003C710000}"/>
    <cellStyle name="Normal 3 3 13 4 2 3 2" xfId="28998" xr:uid="{00000000-0005-0000-0000-00003D710000}"/>
    <cellStyle name="Normal 3 3 13 4 2 3 3" xfId="28999" xr:uid="{00000000-0005-0000-0000-00003E710000}"/>
    <cellStyle name="Normal 3 3 13 4 2 4" xfId="29000" xr:uid="{00000000-0005-0000-0000-00003F710000}"/>
    <cellStyle name="Normal 3 3 13 4 2 4 2" xfId="29001" xr:uid="{00000000-0005-0000-0000-000040710000}"/>
    <cellStyle name="Normal 3 3 13 4 2 4 3" xfId="29002" xr:uid="{00000000-0005-0000-0000-000041710000}"/>
    <cellStyle name="Normal 3 3 13 4 2 5" xfId="29003" xr:uid="{00000000-0005-0000-0000-000042710000}"/>
    <cellStyle name="Normal 3 3 13 4 2 5 2" xfId="29004" xr:uid="{00000000-0005-0000-0000-000043710000}"/>
    <cellStyle name="Normal 3 3 13 4 2 5 3" xfId="29005" xr:uid="{00000000-0005-0000-0000-000044710000}"/>
    <cellStyle name="Normal 3 3 13 4 2 6" xfId="29006" xr:uid="{00000000-0005-0000-0000-000045710000}"/>
    <cellStyle name="Normal 3 3 13 4 2 6 2" xfId="29007" xr:uid="{00000000-0005-0000-0000-000046710000}"/>
    <cellStyle name="Normal 3 3 13 4 2 6 3" xfId="29008" xr:uid="{00000000-0005-0000-0000-000047710000}"/>
    <cellStyle name="Normal 3 3 13 4 2 7" xfId="29009" xr:uid="{00000000-0005-0000-0000-000048710000}"/>
    <cellStyle name="Normal 3 3 13 4 2 7 2" xfId="29010" xr:uid="{00000000-0005-0000-0000-000049710000}"/>
    <cellStyle name="Normal 3 3 13 4 2 7 3" xfId="29011" xr:uid="{00000000-0005-0000-0000-00004A710000}"/>
    <cellStyle name="Normal 3 3 13 4 2 8" xfId="29012" xr:uid="{00000000-0005-0000-0000-00004B710000}"/>
    <cellStyle name="Normal 3 3 13 4 2 8 2" xfId="29013" xr:uid="{00000000-0005-0000-0000-00004C710000}"/>
    <cellStyle name="Normal 3 3 13 4 2 8 3" xfId="29014" xr:uid="{00000000-0005-0000-0000-00004D710000}"/>
    <cellStyle name="Normal 3 3 13 4 2 9" xfId="29015" xr:uid="{00000000-0005-0000-0000-00004E710000}"/>
    <cellStyle name="Normal 3 3 13 4 2 9 2" xfId="29016" xr:uid="{00000000-0005-0000-0000-00004F710000}"/>
    <cellStyle name="Normal 3 3 13 4 2 9 3" xfId="29017" xr:uid="{00000000-0005-0000-0000-000050710000}"/>
    <cellStyle name="Normal 3 3 13 4 3" xfId="29018" xr:uid="{00000000-0005-0000-0000-000051710000}"/>
    <cellStyle name="Normal 3 3 13 4 3 2" xfId="29019" xr:uid="{00000000-0005-0000-0000-000052710000}"/>
    <cellStyle name="Normal 3 3 13 4 3 3" xfId="29020" xr:uid="{00000000-0005-0000-0000-000053710000}"/>
    <cellStyle name="Normal 3 3 13 4 4" xfId="29021" xr:uid="{00000000-0005-0000-0000-000054710000}"/>
    <cellStyle name="Normal 3 3 13 4 4 2" xfId="29022" xr:uid="{00000000-0005-0000-0000-000055710000}"/>
    <cellStyle name="Normal 3 3 13 4 4 3" xfId="29023" xr:uid="{00000000-0005-0000-0000-000056710000}"/>
    <cellStyle name="Normal 3 3 13 4 5" xfId="29024" xr:uid="{00000000-0005-0000-0000-000057710000}"/>
    <cellStyle name="Normal 3 3 13 4 5 2" xfId="29025" xr:uid="{00000000-0005-0000-0000-000058710000}"/>
    <cellStyle name="Normal 3 3 13 4 5 3" xfId="29026" xr:uid="{00000000-0005-0000-0000-000059710000}"/>
    <cellStyle name="Normal 3 3 13 4 6" xfId="29027" xr:uid="{00000000-0005-0000-0000-00005A710000}"/>
    <cellStyle name="Normal 3 3 13 4 6 2" xfId="29028" xr:uid="{00000000-0005-0000-0000-00005B710000}"/>
    <cellStyle name="Normal 3 3 13 4 6 3" xfId="29029" xr:uid="{00000000-0005-0000-0000-00005C710000}"/>
    <cellStyle name="Normal 3 3 13 4 7" xfId="29030" xr:uid="{00000000-0005-0000-0000-00005D710000}"/>
    <cellStyle name="Normal 3 3 13 4 7 2" xfId="29031" xr:uid="{00000000-0005-0000-0000-00005E710000}"/>
    <cellStyle name="Normal 3 3 13 4 7 3" xfId="29032" xr:uid="{00000000-0005-0000-0000-00005F710000}"/>
    <cellStyle name="Normal 3 3 13 4 8" xfId="29033" xr:uid="{00000000-0005-0000-0000-000060710000}"/>
    <cellStyle name="Normal 3 3 13 4 8 2" xfId="29034" xr:uid="{00000000-0005-0000-0000-000061710000}"/>
    <cellStyle name="Normal 3 3 13 4 8 3" xfId="29035" xr:uid="{00000000-0005-0000-0000-000062710000}"/>
    <cellStyle name="Normal 3 3 13 4 9" xfId="29036" xr:uid="{00000000-0005-0000-0000-000063710000}"/>
    <cellStyle name="Normal 3 3 13 4 9 2" xfId="29037" xr:uid="{00000000-0005-0000-0000-000064710000}"/>
    <cellStyle name="Normal 3 3 13 4 9 3" xfId="29038" xr:uid="{00000000-0005-0000-0000-000065710000}"/>
    <cellStyle name="Normal 3 3 13 5" xfId="29039" xr:uid="{00000000-0005-0000-0000-000066710000}"/>
    <cellStyle name="Normal 3 3 13 5 10" xfId="29040" xr:uid="{00000000-0005-0000-0000-000067710000}"/>
    <cellStyle name="Normal 3 3 13 5 10 2" xfId="29041" xr:uid="{00000000-0005-0000-0000-000068710000}"/>
    <cellStyle name="Normal 3 3 13 5 10 3" xfId="29042" xr:uid="{00000000-0005-0000-0000-000069710000}"/>
    <cellStyle name="Normal 3 3 13 5 11" xfId="29043" xr:uid="{00000000-0005-0000-0000-00006A710000}"/>
    <cellStyle name="Normal 3 3 13 5 11 2" xfId="29044" xr:uid="{00000000-0005-0000-0000-00006B710000}"/>
    <cellStyle name="Normal 3 3 13 5 11 3" xfId="29045" xr:uid="{00000000-0005-0000-0000-00006C710000}"/>
    <cellStyle name="Normal 3 3 13 5 12" xfId="29046" xr:uid="{00000000-0005-0000-0000-00006D710000}"/>
    <cellStyle name="Normal 3 3 13 5 12 2" xfId="29047" xr:uid="{00000000-0005-0000-0000-00006E710000}"/>
    <cellStyle name="Normal 3 3 13 5 12 3" xfId="29048" xr:uid="{00000000-0005-0000-0000-00006F710000}"/>
    <cellStyle name="Normal 3 3 13 5 13" xfId="29049" xr:uid="{00000000-0005-0000-0000-000070710000}"/>
    <cellStyle name="Normal 3 3 13 5 13 2" xfId="29050" xr:uid="{00000000-0005-0000-0000-000071710000}"/>
    <cellStyle name="Normal 3 3 13 5 13 3" xfId="29051" xr:uid="{00000000-0005-0000-0000-000072710000}"/>
    <cellStyle name="Normal 3 3 13 5 14" xfId="29052" xr:uid="{00000000-0005-0000-0000-000073710000}"/>
    <cellStyle name="Normal 3 3 13 5 14 2" xfId="29053" xr:uid="{00000000-0005-0000-0000-000074710000}"/>
    <cellStyle name="Normal 3 3 13 5 14 3" xfId="29054" xr:uid="{00000000-0005-0000-0000-000075710000}"/>
    <cellStyle name="Normal 3 3 13 5 15" xfId="29055" xr:uid="{00000000-0005-0000-0000-000076710000}"/>
    <cellStyle name="Normal 3 3 13 5 16" xfId="29056" xr:uid="{00000000-0005-0000-0000-000077710000}"/>
    <cellStyle name="Normal 3 3 13 5 2" xfId="29057" xr:uid="{00000000-0005-0000-0000-000078710000}"/>
    <cellStyle name="Normal 3 3 13 5 2 2" xfId="29058" xr:uid="{00000000-0005-0000-0000-000079710000}"/>
    <cellStyle name="Normal 3 3 13 5 2 3" xfId="29059" xr:uid="{00000000-0005-0000-0000-00007A710000}"/>
    <cellStyle name="Normal 3 3 13 5 3" xfId="29060" xr:uid="{00000000-0005-0000-0000-00007B710000}"/>
    <cellStyle name="Normal 3 3 13 5 3 2" xfId="29061" xr:uid="{00000000-0005-0000-0000-00007C710000}"/>
    <cellStyle name="Normal 3 3 13 5 3 3" xfId="29062" xr:uid="{00000000-0005-0000-0000-00007D710000}"/>
    <cellStyle name="Normal 3 3 13 5 4" xfId="29063" xr:uid="{00000000-0005-0000-0000-00007E710000}"/>
    <cellStyle name="Normal 3 3 13 5 4 2" xfId="29064" xr:uid="{00000000-0005-0000-0000-00007F710000}"/>
    <cellStyle name="Normal 3 3 13 5 4 3" xfId="29065" xr:uid="{00000000-0005-0000-0000-000080710000}"/>
    <cellStyle name="Normal 3 3 13 5 5" xfId="29066" xr:uid="{00000000-0005-0000-0000-000081710000}"/>
    <cellStyle name="Normal 3 3 13 5 5 2" xfId="29067" xr:uid="{00000000-0005-0000-0000-000082710000}"/>
    <cellStyle name="Normal 3 3 13 5 5 3" xfId="29068" xr:uid="{00000000-0005-0000-0000-000083710000}"/>
    <cellStyle name="Normal 3 3 13 5 6" xfId="29069" xr:uid="{00000000-0005-0000-0000-000084710000}"/>
    <cellStyle name="Normal 3 3 13 5 6 2" xfId="29070" xr:uid="{00000000-0005-0000-0000-000085710000}"/>
    <cellStyle name="Normal 3 3 13 5 6 3" xfId="29071" xr:uid="{00000000-0005-0000-0000-000086710000}"/>
    <cellStyle name="Normal 3 3 13 5 7" xfId="29072" xr:uid="{00000000-0005-0000-0000-000087710000}"/>
    <cellStyle name="Normal 3 3 13 5 7 2" xfId="29073" xr:uid="{00000000-0005-0000-0000-000088710000}"/>
    <cellStyle name="Normal 3 3 13 5 7 3" xfId="29074" xr:uid="{00000000-0005-0000-0000-000089710000}"/>
    <cellStyle name="Normal 3 3 13 5 8" xfId="29075" xr:uid="{00000000-0005-0000-0000-00008A710000}"/>
    <cellStyle name="Normal 3 3 13 5 8 2" xfId="29076" xr:uid="{00000000-0005-0000-0000-00008B710000}"/>
    <cellStyle name="Normal 3 3 13 5 8 3" xfId="29077" xr:uid="{00000000-0005-0000-0000-00008C710000}"/>
    <cellStyle name="Normal 3 3 13 5 9" xfId="29078" xr:uid="{00000000-0005-0000-0000-00008D710000}"/>
    <cellStyle name="Normal 3 3 13 5 9 2" xfId="29079" xr:uid="{00000000-0005-0000-0000-00008E710000}"/>
    <cellStyle name="Normal 3 3 13 5 9 3" xfId="29080" xr:uid="{00000000-0005-0000-0000-00008F710000}"/>
    <cellStyle name="Normal 3 3 13 6" xfId="29081" xr:uid="{00000000-0005-0000-0000-000090710000}"/>
    <cellStyle name="Normal 3 3 13 6 10" xfId="29082" xr:uid="{00000000-0005-0000-0000-000091710000}"/>
    <cellStyle name="Normal 3 3 13 6 10 2" xfId="29083" xr:uid="{00000000-0005-0000-0000-000092710000}"/>
    <cellStyle name="Normal 3 3 13 6 10 3" xfId="29084" xr:uid="{00000000-0005-0000-0000-000093710000}"/>
    <cellStyle name="Normal 3 3 13 6 11" xfId="29085" xr:uid="{00000000-0005-0000-0000-000094710000}"/>
    <cellStyle name="Normal 3 3 13 6 11 2" xfId="29086" xr:uid="{00000000-0005-0000-0000-000095710000}"/>
    <cellStyle name="Normal 3 3 13 6 11 3" xfId="29087" xr:uid="{00000000-0005-0000-0000-000096710000}"/>
    <cellStyle name="Normal 3 3 13 6 12" xfId="29088" xr:uid="{00000000-0005-0000-0000-000097710000}"/>
    <cellStyle name="Normal 3 3 13 6 12 2" xfId="29089" xr:uid="{00000000-0005-0000-0000-000098710000}"/>
    <cellStyle name="Normal 3 3 13 6 12 3" xfId="29090" xr:uid="{00000000-0005-0000-0000-000099710000}"/>
    <cellStyle name="Normal 3 3 13 6 13" xfId="29091" xr:uid="{00000000-0005-0000-0000-00009A710000}"/>
    <cellStyle name="Normal 3 3 13 6 13 2" xfId="29092" xr:uid="{00000000-0005-0000-0000-00009B710000}"/>
    <cellStyle name="Normal 3 3 13 6 13 3" xfId="29093" xr:uid="{00000000-0005-0000-0000-00009C710000}"/>
    <cellStyle name="Normal 3 3 13 6 14" xfId="29094" xr:uid="{00000000-0005-0000-0000-00009D710000}"/>
    <cellStyle name="Normal 3 3 13 6 14 2" xfId="29095" xr:uid="{00000000-0005-0000-0000-00009E710000}"/>
    <cellStyle name="Normal 3 3 13 6 14 3" xfId="29096" xr:uid="{00000000-0005-0000-0000-00009F710000}"/>
    <cellStyle name="Normal 3 3 13 6 15" xfId="29097" xr:uid="{00000000-0005-0000-0000-0000A0710000}"/>
    <cellStyle name="Normal 3 3 13 6 16" xfId="29098" xr:uid="{00000000-0005-0000-0000-0000A1710000}"/>
    <cellStyle name="Normal 3 3 13 6 2" xfId="29099" xr:uid="{00000000-0005-0000-0000-0000A2710000}"/>
    <cellStyle name="Normal 3 3 13 6 2 2" xfId="29100" xr:uid="{00000000-0005-0000-0000-0000A3710000}"/>
    <cellStyle name="Normal 3 3 13 6 2 3" xfId="29101" xr:uid="{00000000-0005-0000-0000-0000A4710000}"/>
    <cellStyle name="Normal 3 3 13 6 3" xfId="29102" xr:uid="{00000000-0005-0000-0000-0000A5710000}"/>
    <cellStyle name="Normal 3 3 13 6 3 2" xfId="29103" xr:uid="{00000000-0005-0000-0000-0000A6710000}"/>
    <cellStyle name="Normal 3 3 13 6 3 3" xfId="29104" xr:uid="{00000000-0005-0000-0000-0000A7710000}"/>
    <cellStyle name="Normal 3 3 13 6 4" xfId="29105" xr:uid="{00000000-0005-0000-0000-0000A8710000}"/>
    <cellStyle name="Normal 3 3 13 6 4 2" xfId="29106" xr:uid="{00000000-0005-0000-0000-0000A9710000}"/>
    <cellStyle name="Normal 3 3 13 6 4 3" xfId="29107" xr:uid="{00000000-0005-0000-0000-0000AA710000}"/>
    <cellStyle name="Normal 3 3 13 6 5" xfId="29108" xr:uid="{00000000-0005-0000-0000-0000AB710000}"/>
    <cellStyle name="Normal 3 3 13 6 5 2" xfId="29109" xr:uid="{00000000-0005-0000-0000-0000AC710000}"/>
    <cellStyle name="Normal 3 3 13 6 5 3" xfId="29110" xr:uid="{00000000-0005-0000-0000-0000AD710000}"/>
    <cellStyle name="Normal 3 3 13 6 6" xfId="29111" xr:uid="{00000000-0005-0000-0000-0000AE710000}"/>
    <cellStyle name="Normal 3 3 13 6 6 2" xfId="29112" xr:uid="{00000000-0005-0000-0000-0000AF710000}"/>
    <cellStyle name="Normal 3 3 13 6 6 3" xfId="29113" xr:uid="{00000000-0005-0000-0000-0000B0710000}"/>
    <cellStyle name="Normal 3 3 13 6 7" xfId="29114" xr:uid="{00000000-0005-0000-0000-0000B1710000}"/>
    <cellStyle name="Normal 3 3 13 6 7 2" xfId="29115" xr:uid="{00000000-0005-0000-0000-0000B2710000}"/>
    <cellStyle name="Normal 3 3 13 6 7 3" xfId="29116" xr:uid="{00000000-0005-0000-0000-0000B3710000}"/>
    <cellStyle name="Normal 3 3 13 6 8" xfId="29117" xr:uid="{00000000-0005-0000-0000-0000B4710000}"/>
    <cellStyle name="Normal 3 3 13 6 8 2" xfId="29118" xr:uid="{00000000-0005-0000-0000-0000B5710000}"/>
    <cellStyle name="Normal 3 3 13 6 8 3" xfId="29119" xr:uid="{00000000-0005-0000-0000-0000B6710000}"/>
    <cellStyle name="Normal 3 3 13 6 9" xfId="29120" xr:uid="{00000000-0005-0000-0000-0000B7710000}"/>
    <cellStyle name="Normal 3 3 13 6 9 2" xfId="29121" xr:uid="{00000000-0005-0000-0000-0000B8710000}"/>
    <cellStyle name="Normal 3 3 13 6 9 3" xfId="29122" xr:uid="{00000000-0005-0000-0000-0000B9710000}"/>
    <cellStyle name="Normal 3 3 13 7" xfId="29123" xr:uid="{00000000-0005-0000-0000-0000BA710000}"/>
    <cellStyle name="Normal 3 3 13 7 10" xfId="29124" xr:uid="{00000000-0005-0000-0000-0000BB710000}"/>
    <cellStyle name="Normal 3 3 13 7 10 2" xfId="29125" xr:uid="{00000000-0005-0000-0000-0000BC710000}"/>
    <cellStyle name="Normal 3 3 13 7 10 3" xfId="29126" xr:uid="{00000000-0005-0000-0000-0000BD710000}"/>
    <cellStyle name="Normal 3 3 13 7 11" xfId="29127" xr:uid="{00000000-0005-0000-0000-0000BE710000}"/>
    <cellStyle name="Normal 3 3 13 7 11 2" xfId="29128" xr:uid="{00000000-0005-0000-0000-0000BF710000}"/>
    <cellStyle name="Normal 3 3 13 7 11 3" xfId="29129" xr:uid="{00000000-0005-0000-0000-0000C0710000}"/>
    <cellStyle name="Normal 3 3 13 7 12" xfId="29130" xr:uid="{00000000-0005-0000-0000-0000C1710000}"/>
    <cellStyle name="Normal 3 3 13 7 12 2" xfId="29131" xr:uid="{00000000-0005-0000-0000-0000C2710000}"/>
    <cellStyle name="Normal 3 3 13 7 12 3" xfId="29132" xr:uid="{00000000-0005-0000-0000-0000C3710000}"/>
    <cellStyle name="Normal 3 3 13 7 13" xfId="29133" xr:uid="{00000000-0005-0000-0000-0000C4710000}"/>
    <cellStyle name="Normal 3 3 13 7 13 2" xfId="29134" xr:uid="{00000000-0005-0000-0000-0000C5710000}"/>
    <cellStyle name="Normal 3 3 13 7 13 3" xfId="29135" xr:uid="{00000000-0005-0000-0000-0000C6710000}"/>
    <cellStyle name="Normal 3 3 13 7 14" xfId="29136" xr:uid="{00000000-0005-0000-0000-0000C7710000}"/>
    <cellStyle name="Normal 3 3 13 7 14 2" xfId="29137" xr:uid="{00000000-0005-0000-0000-0000C8710000}"/>
    <cellStyle name="Normal 3 3 13 7 14 3" xfId="29138" xr:uid="{00000000-0005-0000-0000-0000C9710000}"/>
    <cellStyle name="Normal 3 3 13 7 15" xfId="29139" xr:uid="{00000000-0005-0000-0000-0000CA710000}"/>
    <cellStyle name="Normal 3 3 13 7 16" xfId="29140" xr:uid="{00000000-0005-0000-0000-0000CB710000}"/>
    <cellStyle name="Normal 3 3 13 7 2" xfId="29141" xr:uid="{00000000-0005-0000-0000-0000CC710000}"/>
    <cellStyle name="Normal 3 3 13 7 2 2" xfId="29142" xr:uid="{00000000-0005-0000-0000-0000CD710000}"/>
    <cellStyle name="Normal 3 3 13 7 2 3" xfId="29143" xr:uid="{00000000-0005-0000-0000-0000CE710000}"/>
    <cellStyle name="Normal 3 3 13 7 3" xfId="29144" xr:uid="{00000000-0005-0000-0000-0000CF710000}"/>
    <cellStyle name="Normal 3 3 13 7 3 2" xfId="29145" xr:uid="{00000000-0005-0000-0000-0000D0710000}"/>
    <cellStyle name="Normal 3 3 13 7 3 3" xfId="29146" xr:uid="{00000000-0005-0000-0000-0000D1710000}"/>
    <cellStyle name="Normal 3 3 13 7 4" xfId="29147" xr:uid="{00000000-0005-0000-0000-0000D2710000}"/>
    <cellStyle name="Normal 3 3 13 7 4 2" xfId="29148" xr:uid="{00000000-0005-0000-0000-0000D3710000}"/>
    <cellStyle name="Normal 3 3 13 7 4 3" xfId="29149" xr:uid="{00000000-0005-0000-0000-0000D4710000}"/>
    <cellStyle name="Normal 3 3 13 7 5" xfId="29150" xr:uid="{00000000-0005-0000-0000-0000D5710000}"/>
    <cellStyle name="Normal 3 3 13 7 5 2" xfId="29151" xr:uid="{00000000-0005-0000-0000-0000D6710000}"/>
    <cellStyle name="Normal 3 3 13 7 5 3" xfId="29152" xr:uid="{00000000-0005-0000-0000-0000D7710000}"/>
    <cellStyle name="Normal 3 3 13 7 6" xfId="29153" xr:uid="{00000000-0005-0000-0000-0000D8710000}"/>
    <cellStyle name="Normal 3 3 13 7 6 2" xfId="29154" xr:uid="{00000000-0005-0000-0000-0000D9710000}"/>
    <cellStyle name="Normal 3 3 13 7 6 3" xfId="29155" xr:uid="{00000000-0005-0000-0000-0000DA710000}"/>
    <cellStyle name="Normal 3 3 13 7 7" xfId="29156" xr:uid="{00000000-0005-0000-0000-0000DB710000}"/>
    <cellStyle name="Normal 3 3 13 7 7 2" xfId="29157" xr:uid="{00000000-0005-0000-0000-0000DC710000}"/>
    <cellStyle name="Normal 3 3 13 7 7 3" xfId="29158" xr:uid="{00000000-0005-0000-0000-0000DD710000}"/>
    <cellStyle name="Normal 3 3 13 7 8" xfId="29159" xr:uid="{00000000-0005-0000-0000-0000DE710000}"/>
    <cellStyle name="Normal 3 3 13 7 8 2" xfId="29160" xr:uid="{00000000-0005-0000-0000-0000DF710000}"/>
    <cellStyle name="Normal 3 3 13 7 8 3" xfId="29161" xr:uid="{00000000-0005-0000-0000-0000E0710000}"/>
    <cellStyle name="Normal 3 3 13 7 9" xfId="29162" xr:uid="{00000000-0005-0000-0000-0000E1710000}"/>
    <cellStyle name="Normal 3 3 13 7 9 2" xfId="29163" xr:uid="{00000000-0005-0000-0000-0000E2710000}"/>
    <cellStyle name="Normal 3 3 13 7 9 3" xfId="29164" xr:uid="{00000000-0005-0000-0000-0000E3710000}"/>
    <cellStyle name="Normal 3 3 13 8" xfId="29165" xr:uid="{00000000-0005-0000-0000-0000E4710000}"/>
    <cellStyle name="Normal 3 3 13 8 10" xfId="29166" xr:uid="{00000000-0005-0000-0000-0000E5710000}"/>
    <cellStyle name="Normal 3 3 13 8 10 2" xfId="29167" xr:uid="{00000000-0005-0000-0000-0000E6710000}"/>
    <cellStyle name="Normal 3 3 13 8 10 3" xfId="29168" xr:uid="{00000000-0005-0000-0000-0000E7710000}"/>
    <cellStyle name="Normal 3 3 13 8 11" xfId="29169" xr:uid="{00000000-0005-0000-0000-0000E8710000}"/>
    <cellStyle name="Normal 3 3 13 8 11 2" xfId="29170" xr:uid="{00000000-0005-0000-0000-0000E9710000}"/>
    <cellStyle name="Normal 3 3 13 8 11 3" xfId="29171" xr:uid="{00000000-0005-0000-0000-0000EA710000}"/>
    <cellStyle name="Normal 3 3 13 8 12" xfId="29172" xr:uid="{00000000-0005-0000-0000-0000EB710000}"/>
    <cellStyle name="Normal 3 3 13 8 12 2" xfId="29173" xr:uid="{00000000-0005-0000-0000-0000EC710000}"/>
    <cellStyle name="Normal 3 3 13 8 12 3" xfId="29174" xr:uid="{00000000-0005-0000-0000-0000ED710000}"/>
    <cellStyle name="Normal 3 3 13 8 13" xfId="29175" xr:uid="{00000000-0005-0000-0000-0000EE710000}"/>
    <cellStyle name="Normal 3 3 13 8 13 2" xfId="29176" xr:uid="{00000000-0005-0000-0000-0000EF710000}"/>
    <cellStyle name="Normal 3 3 13 8 13 3" xfId="29177" xr:uid="{00000000-0005-0000-0000-0000F0710000}"/>
    <cellStyle name="Normal 3 3 13 8 14" xfId="29178" xr:uid="{00000000-0005-0000-0000-0000F1710000}"/>
    <cellStyle name="Normal 3 3 13 8 14 2" xfId="29179" xr:uid="{00000000-0005-0000-0000-0000F2710000}"/>
    <cellStyle name="Normal 3 3 13 8 14 3" xfId="29180" xr:uid="{00000000-0005-0000-0000-0000F3710000}"/>
    <cellStyle name="Normal 3 3 13 8 15" xfId="29181" xr:uid="{00000000-0005-0000-0000-0000F4710000}"/>
    <cellStyle name="Normal 3 3 13 8 16" xfId="29182" xr:uid="{00000000-0005-0000-0000-0000F5710000}"/>
    <cellStyle name="Normal 3 3 13 8 2" xfId="29183" xr:uid="{00000000-0005-0000-0000-0000F6710000}"/>
    <cellStyle name="Normal 3 3 13 8 2 2" xfId="29184" xr:uid="{00000000-0005-0000-0000-0000F7710000}"/>
    <cellStyle name="Normal 3 3 13 8 2 3" xfId="29185" xr:uid="{00000000-0005-0000-0000-0000F8710000}"/>
    <cellStyle name="Normal 3 3 13 8 3" xfId="29186" xr:uid="{00000000-0005-0000-0000-0000F9710000}"/>
    <cellStyle name="Normal 3 3 13 8 3 2" xfId="29187" xr:uid="{00000000-0005-0000-0000-0000FA710000}"/>
    <cellStyle name="Normal 3 3 13 8 3 3" xfId="29188" xr:uid="{00000000-0005-0000-0000-0000FB710000}"/>
    <cellStyle name="Normal 3 3 13 8 4" xfId="29189" xr:uid="{00000000-0005-0000-0000-0000FC710000}"/>
    <cellStyle name="Normal 3 3 13 8 4 2" xfId="29190" xr:uid="{00000000-0005-0000-0000-0000FD710000}"/>
    <cellStyle name="Normal 3 3 13 8 4 3" xfId="29191" xr:uid="{00000000-0005-0000-0000-0000FE710000}"/>
    <cellStyle name="Normal 3 3 13 8 5" xfId="29192" xr:uid="{00000000-0005-0000-0000-0000FF710000}"/>
    <cellStyle name="Normal 3 3 13 8 5 2" xfId="29193" xr:uid="{00000000-0005-0000-0000-000000720000}"/>
    <cellStyle name="Normal 3 3 13 8 5 3" xfId="29194" xr:uid="{00000000-0005-0000-0000-000001720000}"/>
    <cellStyle name="Normal 3 3 13 8 6" xfId="29195" xr:uid="{00000000-0005-0000-0000-000002720000}"/>
    <cellStyle name="Normal 3 3 13 8 6 2" xfId="29196" xr:uid="{00000000-0005-0000-0000-000003720000}"/>
    <cellStyle name="Normal 3 3 13 8 6 3" xfId="29197" xr:uid="{00000000-0005-0000-0000-000004720000}"/>
    <cellStyle name="Normal 3 3 13 8 7" xfId="29198" xr:uid="{00000000-0005-0000-0000-000005720000}"/>
    <cellStyle name="Normal 3 3 13 8 7 2" xfId="29199" xr:uid="{00000000-0005-0000-0000-000006720000}"/>
    <cellStyle name="Normal 3 3 13 8 7 3" xfId="29200" xr:uid="{00000000-0005-0000-0000-000007720000}"/>
    <cellStyle name="Normal 3 3 13 8 8" xfId="29201" xr:uid="{00000000-0005-0000-0000-000008720000}"/>
    <cellStyle name="Normal 3 3 13 8 8 2" xfId="29202" xr:uid="{00000000-0005-0000-0000-000009720000}"/>
    <cellStyle name="Normal 3 3 13 8 8 3" xfId="29203" xr:uid="{00000000-0005-0000-0000-00000A720000}"/>
    <cellStyle name="Normal 3 3 13 8 9" xfId="29204" xr:uid="{00000000-0005-0000-0000-00000B720000}"/>
    <cellStyle name="Normal 3 3 13 8 9 2" xfId="29205" xr:uid="{00000000-0005-0000-0000-00000C720000}"/>
    <cellStyle name="Normal 3 3 13 8 9 3" xfId="29206" xr:uid="{00000000-0005-0000-0000-00000D720000}"/>
    <cellStyle name="Normal 3 3 13 9" xfId="29207" xr:uid="{00000000-0005-0000-0000-00000E720000}"/>
    <cellStyle name="Normal 3 3 13 9 10" xfId="29208" xr:uid="{00000000-0005-0000-0000-00000F720000}"/>
    <cellStyle name="Normal 3 3 13 9 10 2" xfId="29209" xr:uid="{00000000-0005-0000-0000-000010720000}"/>
    <cellStyle name="Normal 3 3 13 9 10 3" xfId="29210" xr:uid="{00000000-0005-0000-0000-000011720000}"/>
    <cellStyle name="Normal 3 3 13 9 11" xfId="29211" xr:uid="{00000000-0005-0000-0000-000012720000}"/>
    <cellStyle name="Normal 3 3 13 9 11 2" xfId="29212" xr:uid="{00000000-0005-0000-0000-000013720000}"/>
    <cellStyle name="Normal 3 3 13 9 11 3" xfId="29213" xr:uid="{00000000-0005-0000-0000-000014720000}"/>
    <cellStyle name="Normal 3 3 13 9 12" xfId="29214" xr:uid="{00000000-0005-0000-0000-000015720000}"/>
    <cellStyle name="Normal 3 3 13 9 12 2" xfId="29215" xr:uid="{00000000-0005-0000-0000-000016720000}"/>
    <cellStyle name="Normal 3 3 13 9 12 3" xfId="29216" xr:uid="{00000000-0005-0000-0000-000017720000}"/>
    <cellStyle name="Normal 3 3 13 9 13" xfId="29217" xr:uid="{00000000-0005-0000-0000-000018720000}"/>
    <cellStyle name="Normal 3 3 13 9 13 2" xfId="29218" xr:uid="{00000000-0005-0000-0000-000019720000}"/>
    <cellStyle name="Normal 3 3 13 9 13 3" xfId="29219" xr:uid="{00000000-0005-0000-0000-00001A720000}"/>
    <cellStyle name="Normal 3 3 13 9 14" xfId="29220" xr:uid="{00000000-0005-0000-0000-00001B720000}"/>
    <cellStyle name="Normal 3 3 13 9 14 2" xfId="29221" xr:uid="{00000000-0005-0000-0000-00001C720000}"/>
    <cellStyle name="Normal 3 3 13 9 14 3" xfId="29222" xr:uid="{00000000-0005-0000-0000-00001D720000}"/>
    <cellStyle name="Normal 3 3 13 9 15" xfId="29223" xr:uid="{00000000-0005-0000-0000-00001E720000}"/>
    <cellStyle name="Normal 3 3 13 9 16" xfId="29224" xr:uid="{00000000-0005-0000-0000-00001F720000}"/>
    <cellStyle name="Normal 3 3 13 9 2" xfId="29225" xr:uid="{00000000-0005-0000-0000-000020720000}"/>
    <cellStyle name="Normal 3 3 13 9 2 2" xfId="29226" xr:uid="{00000000-0005-0000-0000-000021720000}"/>
    <cellStyle name="Normal 3 3 13 9 2 3" xfId="29227" xr:uid="{00000000-0005-0000-0000-000022720000}"/>
    <cellStyle name="Normal 3 3 13 9 3" xfId="29228" xr:uid="{00000000-0005-0000-0000-000023720000}"/>
    <cellStyle name="Normal 3 3 13 9 3 2" xfId="29229" xr:uid="{00000000-0005-0000-0000-000024720000}"/>
    <cellStyle name="Normal 3 3 13 9 3 3" xfId="29230" xr:uid="{00000000-0005-0000-0000-000025720000}"/>
    <cellStyle name="Normal 3 3 13 9 4" xfId="29231" xr:uid="{00000000-0005-0000-0000-000026720000}"/>
    <cellStyle name="Normal 3 3 13 9 4 2" xfId="29232" xr:uid="{00000000-0005-0000-0000-000027720000}"/>
    <cellStyle name="Normal 3 3 13 9 4 3" xfId="29233" xr:uid="{00000000-0005-0000-0000-000028720000}"/>
    <cellStyle name="Normal 3 3 13 9 5" xfId="29234" xr:uid="{00000000-0005-0000-0000-000029720000}"/>
    <cellStyle name="Normal 3 3 13 9 5 2" xfId="29235" xr:uid="{00000000-0005-0000-0000-00002A720000}"/>
    <cellStyle name="Normal 3 3 13 9 5 3" xfId="29236" xr:uid="{00000000-0005-0000-0000-00002B720000}"/>
    <cellStyle name="Normal 3 3 13 9 6" xfId="29237" xr:uid="{00000000-0005-0000-0000-00002C720000}"/>
    <cellStyle name="Normal 3 3 13 9 6 2" xfId="29238" xr:uid="{00000000-0005-0000-0000-00002D720000}"/>
    <cellStyle name="Normal 3 3 13 9 6 3" xfId="29239" xr:uid="{00000000-0005-0000-0000-00002E720000}"/>
    <cellStyle name="Normal 3 3 13 9 7" xfId="29240" xr:uid="{00000000-0005-0000-0000-00002F720000}"/>
    <cellStyle name="Normal 3 3 13 9 7 2" xfId="29241" xr:uid="{00000000-0005-0000-0000-000030720000}"/>
    <cellStyle name="Normal 3 3 13 9 7 3" xfId="29242" xr:uid="{00000000-0005-0000-0000-000031720000}"/>
    <cellStyle name="Normal 3 3 13 9 8" xfId="29243" xr:uid="{00000000-0005-0000-0000-000032720000}"/>
    <cellStyle name="Normal 3 3 13 9 8 2" xfId="29244" xr:uid="{00000000-0005-0000-0000-000033720000}"/>
    <cellStyle name="Normal 3 3 13 9 8 3" xfId="29245" xr:uid="{00000000-0005-0000-0000-000034720000}"/>
    <cellStyle name="Normal 3 3 13 9 9" xfId="29246" xr:uid="{00000000-0005-0000-0000-000035720000}"/>
    <cellStyle name="Normal 3 3 13 9 9 2" xfId="29247" xr:uid="{00000000-0005-0000-0000-000036720000}"/>
    <cellStyle name="Normal 3 3 13 9 9 3" xfId="29248" xr:uid="{00000000-0005-0000-0000-000037720000}"/>
    <cellStyle name="Normal 3 3 14" xfId="29249" xr:uid="{00000000-0005-0000-0000-000038720000}"/>
    <cellStyle name="Normal 3 3 14 10" xfId="29250" xr:uid="{00000000-0005-0000-0000-000039720000}"/>
    <cellStyle name="Normal 3 3 14 10 10" xfId="29251" xr:uid="{00000000-0005-0000-0000-00003A720000}"/>
    <cellStyle name="Normal 3 3 14 10 10 2" xfId="29252" xr:uid="{00000000-0005-0000-0000-00003B720000}"/>
    <cellStyle name="Normal 3 3 14 10 10 3" xfId="29253" xr:uid="{00000000-0005-0000-0000-00003C720000}"/>
    <cellStyle name="Normal 3 3 14 10 11" xfId="29254" xr:uid="{00000000-0005-0000-0000-00003D720000}"/>
    <cellStyle name="Normal 3 3 14 10 11 2" xfId="29255" xr:uid="{00000000-0005-0000-0000-00003E720000}"/>
    <cellStyle name="Normal 3 3 14 10 11 3" xfId="29256" xr:uid="{00000000-0005-0000-0000-00003F720000}"/>
    <cellStyle name="Normal 3 3 14 10 12" xfId="29257" xr:uid="{00000000-0005-0000-0000-000040720000}"/>
    <cellStyle name="Normal 3 3 14 10 12 2" xfId="29258" xr:uid="{00000000-0005-0000-0000-000041720000}"/>
    <cellStyle name="Normal 3 3 14 10 12 3" xfId="29259" xr:uid="{00000000-0005-0000-0000-000042720000}"/>
    <cellStyle name="Normal 3 3 14 10 13" xfId="29260" xr:uid="{00000000-0005-0000-0000-000043720000}"/>
    <cellStyle name="Normal 3 3 14 10 13 2" xfId="29261" xr:uid="{00000000-0005-0000-0000-000044720000}"/>
    <cellStyle name="Normal 3 3 14 10 13 3" xfId="29262" xr:uid="{00000000-0005-0000-0000-000045720000}"/>
    <cellStyle name="Normal 3 3 14 10 14" xfId="29263" xr:uid="{00000000-0005-0000-0000-000046720000}"/>
    <cellStyle name="Normal 3 3 14 10 14 2" xfId="29264" xr:uid="{00000000-0005-0000-0000-000047720000}"/>
    <cellStyle name="Normal 3 3 14 10 14 3" xfId="29265" xr:uid="{00000000-0005-0000-0000-000048720000}"/>
    <cellStyle name="Normal 3 3 14 10 15" xfId="29266" xr:uid="{00000000-0005-0000-0000-000049720000}"/>
    <cellStyle name="Normal 3 3 14 10 16" xfId="29267" xr:uid="{00000000-0005-0000-0000-00004A720000}"/>
    <cellStyle name="Normal 3 3 14 10 2" xfId="29268" xr:uid="{00000000-0005-0000-0000-00004B720000}"/>
    <cellStyle name="Normal 3 3 14 10 2 2" xfId="29269" xr:uid="{00000000-0005-0000-0000-00004C720000}"/>
    <cellStyle name="Normal 3 3 14 10 2 3" xfId="29270" xr:uid="{00000000-0005-0000-0000-00004D720000}"/>
    <cellStyle name="Normal 3 3 14 10 3" xfId="29271" xr:uid="{00000000-0005-0000-0000-00004E720000}"/>
    <cellStyle name="Normal 3 3 14 10 3 2" xfId="29272" xr:uid="{00000000-0005-0000-0000-00004F720000}"/>
    <cellStyle name="Normal 3 3 14 10 3 3" xfId="29273" xr:uid="{00000000-0005-0000-0000-000050720000}"/>
    <cellStyle name="Normal 3 3 14 10 4" xfId="29274" xr:uid="{00000000-0005-0000-0000-000051720000}"/>
    <cellStyle name="Normal 3 3 14 10 4 2" xfId="29275" xr:uid="{00000000-0005-0000-0000-000052720000}"/>
    <cellStyle name="Normal 3 3 14 10 4 3" xfId="29276" xr:uid="{00000000-0005-0000-0000-000053720000}"/>
    <cellStyle name="Normal 3 3 14 10 5" xfId="29277" xr:uid="{00000000-0005-0000-0000-000054720000}"/>
    <cellStyle name="Normal 3 3 14 10 5 2" xfId="29278" xr:uid="{00000000-0005-0000-0000-000055720000}"/>
    <cellStyle name="Normal 3 3 14 10 5 3" xfId="29279" xr:uid="{00000000-0005-0000-0000-000056720000}"/>
    <cellStyle name="Normal 3 3 14 10 6" xfId="29280" xr:uid="{00000000-0005-0000-0000-000057720000}"/>
    <cellStyle name="Normal 3 3 14 10 6 2" xfId="29281" xr:uid="{00000000-0005-0000-0000-000058720000}"/>
    <cellStyle name="Normal 3 3 14 10 6 3" xfId="29282" xr:uid="{00000000-0005-0000-0000-000059720000}"/>
    <cellStyle name="Normal 3 3 14 10 7" xfId="29283" xr:uid="{00000000-0005-0000-0000-00005A720000}"/>
    <cellStyle name="Normal 3 3 14 10 7 2" xfId="29284" xr:uid="{00000000-0005-0000-0000-00005B720000}"/>
    <cellStyle name="Normal 3 3 14 10 7 3" xfId="29285" xr:uid="{00000000-0005-0000-0000-00005C720000}"/>
    <cellStyle name="Normal 3 3 14 10 8" xfId="29286" xr:uid="{00000000-0005-0000-0000-00005D720000}"/>
    <cellStyle name="Normal 3 3 14 10 8 2" xfId="29287" xr:uid="{00000000-0005-0000-0000-00005E720000}"/>
    <cellStyle name="Normal 3 3 14 10 8 3" xfId="29288" xr:uid="{00000000-0005-0000-0000-00005F720000}"/>
    <cellStyle name="Normal 3 3 14 10 9" xfId="29289" xr:uid="{00000000-0005-0000-0000-000060720000}"/>
    <cellStyle name="Normal 3 3 14 10 9 2" xfId="29290" xr:uid="{00000000-0005-0000-0000-000061720000}"/>
    <cellStyle name="Normal 3 3 14 10 9 3" xfId="29291" xr:uid="{00000000-0005-0000-0000-000062720000}"/>
    <cellStyle name="Normal 3 3 14 11" xfId="29292" xr:uid="{00000000-0005-0000-0000-000063720000}"/>
    <cellStyle name="Normal 3 3 14 11 2" xfId="29293" xr:uid="{00000000-0005-0000-0000-000064720000}"/>
    <cellStyle name="Normal 3 3 14 11 3" xfId="29294" xr:uid="{00000000-0005-0000-0000-000065720000}"/>
    <cellStyle name="Normal 3 3 14 12" xfId="29295" xr:uid="{00000000-0005-0000-0000-000066720000}"/>
    <cellStyle name="Normal 3 3 14 12 2" xfId="29296" xr:uid="{00000000-0005-0000-0000-000067720000}"/>
    <cellStyle name="Normal 3 3 14 12 3" xfId="29297" xr:uid="{00000000-0005-0000-0000-000068720000}"/>
    <cellStyle name="Normal 3 3 14 13" xfId="29298" xr:uid="{00000000-0005-0000-0000-000069720000}"/>
    <cellStyle name="Normal 3 3 14 13 2" xfId="29299" xr:uid="{00000000-0005-0000-0000-00006A720000}"/>
    <cellStyle name="Normal 3 3 14 13 3" xfId="29300" xr:uid="{00000000-0005-0000-0000-00006B720000}"/>
    <cellStyle name="Normal 3 3 14 14" xfId="29301" xr:uid="{00000000-0005-0000-0000-00006C720000}"/>
    <cellStyle name="Normal 3 3 14 14 2" xfId="29302" xr:uid="{00000000-0005-0000-0000-00006D720000}"/>
    <cellStyle name="Normal 3 3 14 14 3" xfId="29303" xr:uid="{00000000-0005-0000-0000-00006E720000}"/>
    <cellStyle name="Normal 3 3 14 15" xfId="29304" xr:uid="{00000000-0005-0000-0000-00006F720000}"/>
    <cellStyle name="Normal 3 3 14 15 2" xfId="29305" xr:uid="{00000000-0005-0000-0000-000070720000}"/>
    <cellStyle name="Normal 3 3 14 15 3" xfId="29306" xr:uid="{00000000-0005-0000-0000-000071720000}"/>
    <cellStyle name="Normal 3 3 14 16" xfId="29307" xr:uid="{00000000-0005-0000-0000-000072720000}"/>
    <cellStyle name="Normal 3 3 14 16 2" xfId="29308" xr:uid="{00000000-0005-0000-0000-000073720000}"/>
    <cellStyle name="Normal 3 3 14 16 3" xfId="29309" xr:uid="{00000000-0005-0000-0000-000074720000}"/>
    <cellStyle name="Normal 3 3 14 17" xfId="29310" xr:uid="{00000000-0005-0000-0000-000075720000}"/>
    <cellStyle name="Normal 3 3 14 17 2" xfId="29311" xr:uid="{00000000-0005-0000-0000-000076720000}"/>
    <cellStyle name="Normal 3 3 14 17 3" xfId="29312" xr:uid="{00000000-0005-0000-0000-000077720000}"/>
    <cellStyle name="Normal 3 3 14 18" xfId="29313" xr:uid="{00000000-0005-0000-0000-000078720000}"/>
    <cellStyle name="Normal 3 3 14 18 2" xfId="29314" xr:uid="{00000000-0005-0000-0000-000079720000}"/>
    <cellStyle name="Normal 3 3 14 18 3" xfId="29315" xr:uid="{00000000-0005-0000-0000-00007A720000}"/>
    <cellStyle name="Normal 3 3 14 19" xfId="29316" xr:uid="{00000000-0005-0000-0000-00007B720000}"/>
    <cellStyle name="Normal 3 3 14 19 2" xfId="29317" xr:uid="{00000000-0005-0000-0000-00007C720000}"/>
    <cellStyle name="Normal 3 3 14 19 3" xfId="29318" xr:uid="{00000000-0005-0000-0000-00007D720000}"/>
    <cellStyle name="Normal 3 3 14 2" xfId="29319" xr:uid="{00000000-0005-0000-0000-00007E720000}"/>
    <cellStyle name="Normal 3 3 14 2 10" xfId="29320" xr:uid="{00000000-0005-0000-0000-00007F720000}"/>
    <cellStyle name="Normal 3 3 14 2 10 2" xfId="29321" xr:uid="{00000000-0005-0000-0000-000080720000}"/>
    <cellStyle name="Normal 3 3 14 2 10 3" xfId="29322" xr:uid="{00000000-0005-0000-0000-000081720000}"/>
    <cellStyle name="Normal 3 3 14 2 11" xfId="29323" xr:uid="{00000000-0005-0000-0000-000082720000}"/>
    <cellStyle name="Normal 3 3 14 2 11 2" xfId="29324" xr:uid="{00000000-0005-0000-0000-000083720000}"/>
    <cellStyle name="Normal 3 3 14 2 11 3" xfId="29325" xr:uid="{00000000-0005-0000-0000-000084720000}"/>
    <cellStyle name="Normal 3 3 14 2 12" xfId="29326" xr:uid="{00000000-0005-0000-0000-000085720000}"/>
    <cellStyle name="Normal 3 3 14 2 12 2" xfId="29327" xr:uid="{00000000-0005-0000-0000-000086720000}"/>
    <cellStyle name="Normal 3 3 14 2 12 3" xfId="29328" xr:uid="{00000000-0005-0000-0000-000087720000}"/>
    <cellStyle name="Normal 3 3 14 2 13" xfId="29329" xr:uid="{00000000-0005-0000-0000-000088720000}"/>
    <cellStyle name="Normal 3 3 14 2 13 2" xfId="29330" xr:uid="{00000000-0005-0000-0000-000089720000}"/>
    <cellStyle name="Normal 3 3 14 2 13 3" xfId="29331" xr:uid="{00000000-0005-0000-0000-00008A720000}"/>
    <cellStyle name="Normal 3 3 14 2 14" xfId="29332" xr:uid="{00000000-0005-0000-0000-00008B720000}"/>
    <cellStyle name="Normal 3 3 14 2 14 2" xfId="29333" xr:uid="{00000000-0005-0000-0000-00008C720000}"/>
    <cellStyle name="Normal 3 3 14 2 14 3" xfId="29334" xr:uid="{00000000-0005-0000-0000-00008D720000}"/>
    <cellStyle name="Normal 3 3 14 2 15" xfId="29335" xr:uid="{00000000-0005-0000-0000-00008E720000}"/>
    <cellStyle name="Normal 3 3 14 2 15 2" xfId="29336" xr:uid="{00000000-0005-0000-0000-00008F720000}"/>
    <cellStyle name="Normal 3 3 14 2 15 3" xfId="29337" xr:uid="{00000000-0005-0000-0000-000090720000}"/>
    <cellStyle name="Normal 3 3 14 2 16" xfId="29338" xr:uid="{00000000-0005-0000-0000-000091720000}"/>
    <cellStyle name="Normal 3 3 14 2 17" xfId="29339" xr:uid="{00000000-0005-0000-0000-000092720000}"/>
    <cellStyle name="Normal 3 3 14 2 2" xfId="29340" xr:uid="{00000000-0005-0000-0000-000093720000}"/>
    <cellStyle name="Normal 3 3 14 2 2 10" xfId="29341" xr:uid="{00000000-0005-0000-0000-000094720000}"/>
    <cellStyle name="Normal 3 3 14 2 2 10 2" xfId="29342" xr:uid="{00000000-0005-0000-0000-000095720000}"/>
    <cellStyle name="Normal 3 3 14 2 2 10 3" xfId="29343" xr:uid="{00000000-0005-0000-0000-000096720000}"/>
    <cellStyle name="Normal 3 3 14 2 2 11" xfId="29344" xr:uid="{00000000-0005-0000-0000-000097720000}"/>
    <cellStyle name="Normal 3 3 14 2 2 11 2" xfId="29345" xr:uid="{00000000-0005-0000-0000-000098720000}"/>
    <cellStyle name="Normal 3 3 14 2 2 11 3" xfId="29346" xr:uid="{00000000-0005-0000-0000-000099720000}"/>
    <cellStyle name="Normal 3 3 14 2 2 12" xfId="29347" xr:uid="{00000000-0005-0000-0000-00009A720000}"/>
    <cellStyle name="Normal 3 3 14 2 2 12 2" xfId="29348" xr:uid="{00000000-0005-0000-0000-00009B720000}"/>
    <cellStyle name="Normal 3 3 14 2 2 12 3" xfId="29349" xr:uid="{00000000-0005-0000-0000-00009C720000}"/>
    <cellStyle name="Normal 3 3 14 2 2 13" xfId="29350" xr:uid="{00000000-0005-0000-0000-00009D720000}"/>
    <cellStyle name="Normal 3 3 14 2 2 13 2" xfId="29351" xr:uid="{00000000-0005-0000-0000-00009E720000}"/>
    <cellStyle name="Normal 3 3 14 2 2 13 3" xfId="29352" xr:uid="{00000000-0005-0000-0000-00009F720000}"/>
    <cellStyle name="Normal 3 3 14 2 2 14" xfId="29353" xr:uid="{00000000-0005-0000-0000-0000A0720000}"/>
    <cellStyle name="Normal 3 3 14 2 2 14 2" xfId="29354" xr:uid="{00000000-0005-0000-0000-0000A1720000}"/>
    <cellStyle name="Normal 3 3 14 2 2 14 3" xfId="29355" xr:uid="{00000000-0005-0000-0000-0000A2720000}"/>
    <cellStyle name="Normal 3 3 14 2 2 15" xfId="29356" xr:uid="{00000000-0005-0000-0000-0000A3720000}"/>
    <cellStyle name="Normal 3 3 14 2 2 16" xfId="29357" xr:uid="{00000000-0005-0000-0000-0000A4720000}"/>
    <cellStyle name="Normal 3 3 14 2 2 2" xfId="29358" xr:uid="{00000000-0005-0000-0000-0000A5720000}"/>
    <cellStyle name="Normal 3 3 14 2 2 2 2" xfId="29359" xr:uid="{00000000-0005-0000-0000-0000A6720000}"/>
    <cellStyle name="Normal 3 3 14 2 2 2 3" xfId="29360" xr:uid="{00000000-0005-0000-0000-0000A7720000}"/>
    <cellStyle name="Normal 3 3 14 2 2 3" xfId="29361" xr:uid="{00000000-0005-0000-0000-0000A8720000}"/>
    <cellStyle name="Normal 3 3 14 2 2 3 2" xfId="29362" xr:uid="{00000000-0005-0000-0000-0000A9720000}"/>
    <cellStyle name="Normal 3 3 14 2 2 3 3" xfId="29363" xr:uid="{00000000-0005-0000-0000-0000AA720000}"/>
    <cellStyle name="Normal 3 3 14 2 2 4" xfId="29364" xr:uid="{00000000-0005-0000-0000-0000AB720000}"/>
    <cellStyle name="Normal 3 3 14 2 2 4 2" xfId="29365" xr:uid="{00000000-0005-0000-0000-0000AC720000}"/>
    <cellStyle name="Normal 3 3 14 2 2 4 3" xfId="29366" xr:uid="{00000000-0005-0000-0000-0000AD720000}"/>
    <cellStyle name="Normal 3 3 14 2 2 5" xfId="29367" xr:uid="{00000000-0005-0000-0000-0000AE720000}"/>
    <cellStyle name="Normal 3 3 14 2 2 5 2" xfId="29368" xr:uid="{00000000-0005-0000-0000-0000AF720000}"/>
    <cellStyle name="Normal 3 3 14 2 2 5 3" xfId="29369" xr:uid="{00000000-0005-0000-0000-0000B0720000}"/>
    <cellStyle name="Normal 3 3 14 2 2 6" xfId="29370" xr:uid="{00000000-0005-0000-0000-0000B1720000}"/>
    <cellStyle name="Normal 3 3 14 2 2 6 2" xfId="29371" xr:uid="{00000000-0005-0000-0000-0000B2720000}"/>
    <cellStyle name="Normal 3 3 14 2 2 6 3" xfId="29372" xr:uid="{00000000-0005-0000-0000-0000B3720000}"/>
    <cellStyle name="Normal 3 3 14 2 2 7" xfId="29373" xr:uid="{00000000-0005-0000-0000-0000B4720000}"/>
    <cellStyle name="Normal 3 3 14 2 2 7 2" xfId="29374" xr:uid="{00000000-0005-0000-0000-0000B5720000}"/>
    <cellStyle name="Normal 3 3 14 2 2 7 3" xfId="29375" xr:uid="{00000000-0005-0000-0000-0000B6720000}"/>
    <cellStyle name="Normal 3 3 14 2 2 8" xfId="29376" xr:uid="{00000000-0005-0000-0000-0000B7720000}"/>
    <cellStyle name="Normal 3 3 14 2 2 8 2" xfId="29377" xr:uid="{00000000-0005-0000-0000-0000B8720000}"/>
    <cellStyle name="Normal 3 3 14 2 2 8 3" xfId="29378" xr:uid="{00000000-0005-0000-0000-0000B9720000}"/>
    <cellStyle name="Normal 3 3 14 2 2 9" xfId="29379" xr:uid="{00000000-0005-0000-0000-0000BA720000}"/>
    <cellStyle name="Normal 3 3 14 2 2 9 2" xfId="29380" xr:uid="{00000000-0005-0000-0000-0000BB720000}"/>
    <cellStyle name="Normal 3 3 14 2 2 9 3" xfId="29381" xr:uid="{00000000-0005-0000-0000-0000BC720000}"/>
    <cellStyle name="Normal 3 3 14 2 3" xfId="29382" xr:uid="{00000000-0005-0000-0000-0000BD720000}"/>
    <cellStyle name="Normal 3 3 14 2 3 2" xfId="29383" xr:uid="{00000000-0005-0000-0000-0000BE720000}"/>
    <cellStyle name="Normal 3 3 14 2 3 3" xfId="29384" xr:uid="{00000000-0005-0000-0000-0000BF720000}"/>
    <cellStyle name="Normal 3 3 14 2 4" xfId="29385" xr:uid="{00000000-0005-0000-0000-0000C0720000}"/>
    <cellStyle name="Normal 3 3 14 2 4 2" xfId="29386" xr:uid="{00000000-0005-0000-0000-0000C1720000}"/>
    <cellStyle name="Normal 3 3 14 2 4 3" xfId="29387" xr:uid="{00000000-0005-0000-0000-0000C2720000}"/>
    <cellStyle name="Normal 3 3 14 2 5" xfId="29388" xr:uid="{00000000-0005-0000-0000-0000C3720000}"/>
    <cellStyle name="Normal 3 3 14 2 5 2" xfId="29389" xr:uid="{00000000-0005-0000-0000-0000C4720000}"/>
    <cellStyle name="Normal 3 3 14 2 5 3" xfId="29390" xr:uid="{00000000-0005-0000-0000-0000C5720000}"/>
    <cellStyle name="Normal 3 3 14 2 6" xfId="29391" xr:uid="{00000000-0005-0000-0000-0000C6720000}"/>
    <cellStyle name="Normal 3 3 14 2 6 2" xfId="29392" xr:uid="{00000000-0005-0000-0000-0000C7720000}"/>
    <cellStyle name="Normal 3 3 14 2 6 3" xfId="29393" xr:uid="{00000000-0005-0000-0000-0000C8720000}"/>
    <cellStyle name="Normal 3 3 14 2 7" xfId="29394" xr:uid="{00000000-0005-0000-0000-0000C9720000}"/>
    <cellStyle name="Normal 3 3 14 2 7 2" xfId="29395" xr:uid="{00000000-0005-0000-0000-0000CA720000}"/>
    <cellStyle name="Normal 3 3 14 2 7 3" xfId="29396" xr:uid="{00000000-0005-0000-0000-0000CB720000}"/>
    <cellStyle name="Normal 3 3 14 2 8" xfId="29397" xr:uid="{00000000-0005-0000-0000-0000CC720000}"/>
    <cellStyle name="Normal 3 3 14 2 8 2" xfId="29398" xr:uid="{00000000-0005-0000-0000-0000CD720000}"/>
    <cellStyle name="Normal 3 3 14 2 8 3" xfId="29399" xr:uid="{00000000-0005-0000-0000-0000CE720000}"/>
    <cellStyle name="Normal 3 3 14 2 9" xfId="29400" xr:uid="{00000000-0005-0000-0000-0000CF720000}"/>
    <cellStyle name="Normal 3 3 14 2 9 2" xfId="29401" xr:uid="{00000000-0005-0000-0000-0000D0720000}"/>
    <cellStyle name="Normal 3 3 14 2 9 3" xfId="29402" xr:uid="{00000000-0005-0000-0000-0000D1720000}"/>
    <cellStyle name="Normal 3 3 14 20" xfId="29403" xr:uid="{00000000-0005-0000-0000-0000D2720000}"/>
    <cellStyle name="Normal 3 3 14 20 2" xfId="29404" xr:uid="{00000000-0005-0000-0000-0000D3720000}"/>
    <cellStyle name="Normal 3 3 14 20 3" xfId="29405" xr:uid="{00000000-0005-0000-0000-0000D4720000}"/>
    <cellStyle name="Normal 3 3 14 21" xfId="29406" xr:uid="{00000000-0005-0000-0000-0000D5720000}"/>
    <cellStyle name="Normal 3 3 14 21 2" xfId="29407" xr:uid="{00000000-0005-0000-0000-0000D6720000}"/>
    <cellStyle name="Normal 3 3 14 21 3" xfId="29408" xr:uid="{00000000-0005-0000-0000-0000D7720000}"/>
    <cellStyle name="Normal 3 3 14 22" xfId="29409" xr:uid="{00000000-0005-0000-0000-0000D8720000}"/>
    <cellStyle name="Normal 3 3 14 22 2" xfId="29410" xr:uid="{00000000-0005-0000-0000-0000D9720000}"/>
    <cellStyle name="Normal 3 3 14 22 3" xfId="29411" xr:uid="{00000000-0005-0000-0000-0000DA720000}"/>
    <cellStyle name="Normal 3 3 14 23" xfId="29412" xr:uid="{00000000-0005-0000-0000-0000DB720000}"/>
    <cellStyle name="Normal 3 3 14 23 2" xfId="29413" xr:uid="{00000000-0005-0000-0000-0000DC720000}"/>
    <cellStyle name="Normal 3 3 14 23 3" xfId="29414" xr:uid="{00000000-0005-0000-0000-0000DD720000}"/>
    <cellStyle name="Normal 3 3 14 24" xfId="29415" xr:uid="{00000000-0005-0000-0000-0000DE720000}"/>
    <cellStyle name="Normal 3 3 14 25" xfId="29416" xr:uid="{00000000-0005-0000-0000-0000DF720000}"/>
    <cellStyle name="Normal 3 3 14 3" xfId="29417" xr:uid="{00000000-0005-0000-0000-0000E0720000}"/>
    <cellStyle name="Normal 3 3 14 3 10" xfId="29418" xr:uid="{00000000-0005-0000-0000-0000E1720000}"/>
    <cellStyle name="Normal 3 3 14 3 10 2" xfId="29419" xr:uid="{00000000-0005-0000-0000-0000E2720000}"/>
    <cellStyle name="Normal 3 3 14 3 10 3" xfId="29420" xr:uid="{00000000-0005-0000-0000-0000E3720000}"/>
    <cellStyle name="Normal 3 3 14 3 11" xfId="29421" xr:uid="{00000000-0005-0000-0000-0000E4720000}"/>
    <cellStyle name="Normal 3 3 14 3 11 2" xfId="29422" xr:uid="{00000000-0005-0000-0000-0000E5720000}"/>
    <cellStyle name="Normal 3 3 14 3 11 3" xfId="29423" xr:uid="{00000000-0005-0000-0000-0000E6720000}"/>
    <cellStyle name="Normal 3 3 14 3 12" xfId="29424" xr:uid="{00000000-0005-0000-0000-0000E7720000}"/>
    <cellStyle name="Normal 3 3 14 3 12 2" xfId="29425" xr:uid="{00000000-0005-0000-0000-0000E8720000}"/>
    <cellStyle name="Normal 3 3 14 3 12 3" xfId="29426" xr:uid="{00000000-0005-0000-0000-0000E9720000}"/>
    <cellStyle name="Normal 3 3 14 3 13" xfId="29427" xr:uid="{00000000-0005-0000-0000-0000EA720000}"/>
    <cellStyle name="Normal 3 3 14 3 13 2" xfId="29428" xr:uid="{00000000-0005-0000-0000-0000EB720000}"/>
    <cellStyle name="Normal 3 3 14 3 13 3" xfId="29429" xr:uid="{00000000-0005-0000-0000-0000EC720000}"/>
    <cellStyle name="Normal 3 3 14 3 14" xfId="29430" xr:uid="{00000000-0005-0000-0000-0000ED720000}"/>
    <cellStyle name="Normal 3 3 14 3 14 2" xfId="29431" xr:uid="{00000000-0005-0000-0000-0000EE720000}"/>
    <cellStyle name="Normal 3 3 14 3 14 3" xfId="29432" xr:uid="{00000000-0005-0000-0000-0000EF720000}"/>
    <cellStyle name="Normal 3 3 14 3 15" xfId="29433" xr:uid="{00000000-0005-0000-0000-0000F0720000}"/>
    <cellStyle name="Normal 3 3 14 3 15 2" xfId="29434" xr:uid="{00000000-0005-0000-0000-0000F1720000}"/>
    <cellStyle name="Normal 3 3 14 3 15 3" xfId="29435" xr:uid="{00000000-0005-0000-0000-0000F2720000}"/>
    <cellStyle name="Normal 3 3 14 3 16" xfId="29436" xr:uid="{00000000-0005-0000-0000-0000F3720000}"/>
    <cellStyle name="Normal 3 3 14 3 17" xfId="29437" xr:uid="{00000000-0005-0000-0000-0000F4720000}"/>
    <cellStyle name="Normal 3 3 14 3 2" xfId="29438" xr:uid="{00000000-0005-0000-0000-0000F5720000}"/>
    <cellStyle name="Normal 3 3 14 3 2 10" xfId="29439" xr:uid="{00000000-0005-0000-0000-0000F6720000}"/>
    <cellStyle name="Normal 3 3 14 3 2 10 2" xfId="29440" xr:uid="{00000000-0005-0000-0000-0000F7720000}"/>
    <cellStyle name="Normal 3 3 14 3 2 10 3" xfId="29441" xr:uid="{00000000-0005-0000-0000-0000F8720000}"/>
    <cellStyle name="Normal 3 3 14 3 2 11" xfId="29442" xr:uid="{00000000-0005-0000-0000-0000F9720000}"/>
    <cellStyle name="Normal 3 3 14 3 2 11 2" xfId="29443" xr:uid="{00000000-0005-0000-0000-0000FA720000}"/>
    <cellStyle name="Normal 3 3 14 3 2 11 3" xfId="29444" xr:uid="{00000000-0005-0000-0000-0000FB720000}"/>
    <cellStyle name="Normal 3 3 14 3 2 12" xfId="29445" xr:uid="{00000000-0005-0000-0000-0000FC720000}"/>
    <cellStyle name="Normal 3 3 14 3 2 12 2" xfId="29446" xr:uid="{00000000-0005-0000-0000-0000FD720000}"/>
    <cellStyle name="Normal 3 3 14 3 2 12 3" xfId="29447" xr:uid="{00000000-0005-0000-0000-0000FE720000}"/>
    <cellStyle name="Normal 3 3 14 3 2 13" xfId="29448" xr:uid="{00000000-0005-0000-0000-0000FF720000}"/>
    <cellStyle name="Normal 3 3 14 3 2 13 2" xfId="29449" xr:uid="{00000000-0005-0000-0000-000000730000}"/>
    <cellStyle name="Normal 3 3 14 3 2 13 3" xfId="29450" xr:uid="{00000000-0005-0000-0000-000001730000}"/>
    <cellStyle name="Normal 3 3 14 3 2 14" xfId="29451" xr:uid="{00000000-0005-0000-0000-000002730000}"/>
    <cellStyle name="Normal 3 3 14 3 2 14 2" xfId="29452" xr:uid="{00000000-0005-0000-0000-000003730000}"/>
    <cellStyle name="Normal 3 3 14 3 2 14 3" xfId="29453" xr:uid="{00000000-0005-0000-0000-000004730000}"/>
    <cellStyle name="Normal 3 3 14 3 2 15" xfId="29454" xr:uid="{00000000-0005-0000-0000-000005730000}"/>
    <cellStyle name="Normal 3 3 14 3 2 16" xfId="29455" xr:uid="{00000000-0005-0000-0000-000006730000}"/>
    <cellStyle name="Normal 3 3 14 3 2 2" xfId="29456" xr:uid="{00000000-0005-0000-0000-000007730000}"/>
    <cellStyle name="Normal 3 3 14 3 2 2 2" xfId="29457" xr:uid="{00000000-0005-0000-0000-000008730000}"/>
    <cellStyle name="Normal 3 3 14 3 2 2 3" xfId="29458" xr:uid="{00000000-0005-0000-0000-000009730000}"/>
    <cellStyle name="Normal 3 3 14 3 2 3" xfId="29459" xr:uid="{00000000-0005-0000-0000-00000A730000}"/>
    <cellStyle name="Normal 3 3 14 3 2 3 2" xfId="29460" xr:uid="{00000000-0005-0000-0000-00000B730000}"/>
    <cellStyle name="Normal 3 3 14 3 2 3 3" xfId="29461" xr:uid="{00000000-0005-0000-0000-00000C730000}"/>
    <cellStyle name="Normal 3 3 14 3 2 4" xfId="29462" xr:uid="{00000000-0005-0000-0000-00000D730000}"/>
    <cellStyle name="Normal 3 3 14 3 2 4 2" xfId="29463" xr:uid="{00000000-0005-0000-0000-00000E730000}"/>
    <cellStyle name="Normal 3 3 14 3 2 4 3" xfId="29464" xr:uid="{00000000-0005-0000-0000-00000F730000}"/>
    <cellStyle name="Normal 3 3 14 3 2 5" xfId="29465" xr:uid="{00000000-0005-0000-0000-000010730000}"/>
    <cellStyle name="Normal 3 3 14 3 2 5 2" xfId="29466" xr:uid="{00000000-0005-0000-0000-000011730000}"/>
    <cellStyle name="Normal 3 3 14 3 2 5 3" xfId="29467" xr:uid="{00000000-0005-0000-0000-000012730000}"/>
    <cellStyle name="Normal 3 3 14 3 2 6" xfId="29468" xr:uid="{00000000-0005-0000-0000-000013730000}"/>
    <cellStyle name="Normal 3 3 14 3 2 6 2" xfId="29469" xr:uid="{00000000-0005-0000-0000-000014730000}"/>
    <cellStyle name="Normal 3 3 14 3 2 6 3" xfId="29470" xr:uid="{00000000-0005-0000-0000-000015730000}"/>
    <cellStyle name="Normal 3 3 14 3 2 7" xfId="29471" xr:uid="{00000000-0005-0000-0000-000016730000}"/>
    <cellStyle name="Normal 3 3 14 3 2 7 2" xfId="29472" xr:uid="{00000000-0005-0000-0000-000017730000}"/>
    <cellStyle name="Normal 3 3 14 3 2 7 3" xfId="29473" xr:uid="{00000000-0005-0000-0000-000018730000}"/>
    <cellStyle name="Normal 3 3 14 3 2 8" xfId="29474" xr:uid="{00000000-0005-0000-0000-000019730000}"/>
    <cellStyle name="Normal 3 3 14 3 2 8 2" xfId="29475" xr:uid="{00000000-0005-0000-0000-00001A730000}"/>
    <cellStyle name="Normal 3 3 14 3 2 8 3" xfId="29476" xr:uid="{00000000-0005-0000-0000-00001B730000}"/>
    <cellStyle name="Normal 3 3 14 3 2 9" xfId="29477" xr:uid="{00000000-0005-0000-0000-00001C730000}"/>
    <cellStyle name="Normal 3 3 14 3 2 9 2" xfId="29478" xr:uid="{00000000-0005-0000-0000-00001D730000}"/>
    <cellStyle name="Normal 3 3 14 3 2 9 3" xfId="29479" xr:uid="{00000000-0005-0000-0000-00001E730000}"/>
    <cellStyle name="Normal 3 3 14 3 3" xfId="29480" xr:uid="{00000000-0005-0000-0000-00001F730000}"/>
    <cellStyle name="Normal 3 3 14 3 3 2" xfId="29481" xr:uid="{00000000-0005-0000-0000-000020730000}"/>
    <cellStyle name="Normal 3 3 14 3 3 3" xfId="29482" xr:uid="{00000000-0005-0000-0000-000021730000}"/>
    <cellStyle name="Normal 3 3 14 3 4" xfId="29483" xr:uid="{00000000-0005-0000-0000-000022730000}"/>
    <cellStyle name="Normal 3 3 14 3 4 2" xfId="29484" xr:uid="{00000000-0005-0000-0000-000023730000}"/>
    <cellStyle name="Normal 3 3 14 3 4 3" xfId="29485" xr:uid="{00000000-0005-0000-0000-000024730000}"/>
    <cellStyle name="Normal 3 3 14 3 5" xfId="29486" xr:uid="{00000000-0005-0000-0000-000025730000}"/>
    <cellStyle name="Normal 3 3 14 3 5 2" xfId="29487" xr:uid="{00000000-0005-0000-0000-000026730000}"/>
    <cellStyle name="Normal 3 3 14 3 5 3" xfId="29488" xr:uid="{00000000-0005-0000-0000-000027730000}"/>
    <cellStyle name="Normal 3 3 14 3 6" xfId="29489" xr:uid="{00000000-0005-0000-0000-000028730000}"/>
    <cellStyle name="Normal 3 3 14 3 6 2" xfId="29490" xr:uid="{00000000-0005-0000-0000-000029730000}"/>
    <cellStyle name="Normal 3 3 14 3 6 3" xfId="29491" xr:uid="{00000000-0005-0000-0000-00002A730000}"/>
    <cellStyle name="Normal 3 3 14 3 7" xfId="29492" xr:uid="{00000000-0005-0000-0000-00002B730000}"/>
    <cellStyle name="Normal 3 3 14 3 7 2" xfId="29493" xr:uid="{00000000-0005-0000-0000-00002C730000}"/>
    <cellStyle name="Normal 3 3 14 3 7 3" xfId="29494" xr:uid="{00000000-0005-0000-0000-00002D730000}"/>
    <cellStyle name="Normal 3 3 14 3 8" xfId="29495" xr:uid="{00000000-0005-0000-0000-00002E730000}"/>
    <cellStyle name="Normal 3 3 14 3 8 2" xfId="29496" xr:uid="{00000000-0005-0000-0000-00002F730000}"/>
    <cellStyle name="Normal 3 3 14 3 8 3" xfId="29497" xr:uid="{00000000-0005-0000-0000-000030730000}"/>
    <cellStyle name="Normal 3 3 14 3 9" xfId="29498" xr:uid="{00000000-0005-0000-0000-000031730000}"/>
    <cellStyle name="Normal 3 3 14 3 9 2" xfId="29499" xr:uid="{00000000-0005-0000-0000-000032730000}"/>
    <cellStyle name="Normal 3 3 14 3 9 3" xfId="29500" xr:uid="{00000000-0005-0000-0000-000033730000}"/>
    <cellStyle name="Normal 3 3 14 4" xfId="29501" xr:uid="{00000000-0005-0000-0000-000034730000}"/>
    <cellStyle name="Normal 3 3 14 4 10" xfId="29502" xr:uid="{00000000-0005-0000-0000-000035730000}"/>
    <cellStyle name="Normal 3 3 14 4 10 2" xfId="29503" xr:uid="{00000000-0005-0000-0000-000036730000}"/>
    <cellStyle name="Normal 3 3 14 4 10 3" xfId="29504" xr:uid="{00000000-0005-0000-0000-000037730000}"/>
    <cellStyle name="Normal 3 3 14 4 11" xfId="29505" xr:uid="{00000000-0005-0000-0000-000038730000}"/>
    <cellStyle name="Normal 3 3 14 4 11 2" xfId="29506" xr:uid="{00000000-0005-0000-0000-000039730000}"/>
    <cellStyle name="Normal 3 3 14 4 11 3" xfId="29507" xr:uid="{00000000-0005-0000-0000-00003A730000}"/>
    <cellStyle name="Normal 3 3 14 4 12" xfId="29508" xr:uid="{00000000-0005-0000-0000-00003B730000}"/>
    <cellStyle name="Normal 3 3 14 4 12 2" xfId="29509" xr:uid="{00000000-0005-0000-0000-00003C730000}"/>
    <cellStyle name="Normal 3 3 14 4 12 3" xfId="29510" xr:uid="{00000000-0005-0000-0000-00003D730000}"/>
    <cellStyle name="Normal 3 3 14 4 13" xfId="29511" xr:uid="{00000000-0005-0000-0000-00003E730000}"/>
    <cellStyle name="Normal 3 3 14 4 13 2" xfId="29512" xr:uid="{00000000-0005-0000-0000-00003F730000}"/>
    <cellStyle name="Normal 3 3 14 4 13 3" xfId="29513" xr:uid="{00000000-0005-0000-0000-000040730000}"/>
    <cellStyle name="Normal 3 3 14 4 14" xfId="29514" xr:uid="{00000000-0005-0000-0000-000041730000}"/>
    <cellStyle name="Normal 3 3 14 4 14 2" xfId="29515" xr:uid="{00000000-0005-0000-0000-000042730000}"/>
    <cellStyle name="Normal 3 3 14 4 14 3" xfId="29516" xr:uid="{00000000-0005-0000-0000-000043730000}"/>
    <cellStyle name="Normal 3 3 14 4 15" xfId="29517" xr:uid="{00000000-0005-0000-0000-000044730000}"/>
    <cellStyle name="Normal 3 3 14 4 15 2" xfId="29518" xr:uid="{00000000-0005-0000-0000-000045730000}"/>
    <cellStyle name="Normal 3 3 14 4 15 3" xfId="29519" xr:uid="{00000000-0005-0000-0000-000046730000}"/>
    <cellStyle name="Normal 3 3 14 4 16" xfId="29520" xr:uid="{00000000-0005-0000-0000-000047730000}"/>
    <cellStyle name="Normal 3 3 14 4 17" xfId="29521" xr:uid="{00000000-0005-0000-0000-000048730000}"/>
    <cellStyle name="Normal 3 3 14 4 2" xfId="29522" xr:uid="{00000000-0005-0000-0000-000049730000}"/>
    <cellStyle name="Normal 3 3 14 4 2 10" xfId="29523" xr:uid="{00000000-0005-0000-0000-00004A730000}"/>
    <cellStyle name="Normal 3 3 14 4 2 10 2" xfId="29524" xr:uid="{00000000-0005-0000-0000-00004B730000}"/>
    <cellStyle name="Normal 3 3 14 4 2 10 3" xfId="29525" xr:uid="{00000000-0005-0000-0000-00004C730000}"/>
    <cellStyle name="Normal 3 3 14 4 2 11" xfId="29526" xr:uid="{00000000-0005-0000-0000-00004D730000}"/>
    <cellStyle name="Normal 3 3 14 4 2 11 2" xfId="29527" xr:uid="{00000000-0005-0000-0000-00004E730000}"/>
    <cellStyle name="Normal 3 3 14 4 2 11 3" xfId="29528" xr:uid="{00000000-0005-0000-0000-00004F730000}"/>
    <cellStyle name="Normal 3 3 14 4 2 12" xfId="29529" xr:uid="{00000000-0005-0000-0000-000050730000}"/>
    <cellStyle name="Normal 3 3 14 4 2 12 2" xfId="29530" xr:uid="{00000000-0005-0000-0000-000051730000}"/>
    <cellStyle name="Normal 3 3 14 4 2 12 3" xfId="29531" xr:uid="{00000000-0005-0000-0000-000052730000}"/>
    <cellStyle name="Normal 3 3 14 4 2 13" xfId="29532" xr:uid="{00000000-0005-0000-0000-000053730000}"/>
    <cellStyle name="Normal 3 3 14 4 2 13 2" xfId="29533" xr:uid="{00000000-0005-0000-0000-000054730000}"/>
    <cellStyle name="Normal 3 3 14 4 2 13 3" xfId="29534" xr:uid="{00000000-0005-0000-0000-000055730000}"/>
    <cellStyle name="Normal 3 3 14 4 2 14" xfId="29535" xr:uid="{00000000-0005-0000-0000-000056730000}"/>
    <cellStyle name="Normal 3 3 14 4 2 14 2" xfId="29536" xr:uid="{00000000-0005-0000-0000-000057730000}"/>
    <cellStyle name="Normal 3 3 14 4 2 14 3" xfId="29537" xr:uid="{00000000-0005-0000-0000-000058730000}"/>
    <cellStyle name="Normal 3 3 14 4 2 15" xfId="29538" xr:uid="{00000000-0005-0000-0000-000059730000}"/>
    <cellStyle name="Normal 3 3 14 4 2 16" xfId="29539" xr:uid="{00000000-0005-0000-0000-00005A730000}"/>
    <cellStyle name="Normal 3 3 14 4 2 2" xfId="29540" xr:uid="{00000000-0005-0000-0000-00005B730000}"/>
    <cellStyle name="Normal 3 3 14 4 2 2 2" xfId="29541" xr:uid="{00000000-0005-0000-0000-00005C730000}"/>
    <cellStyle name="Normal 3 3 14 4 2 2 3" xfId="29542" xr:uid="{00000000-0005-0000-0000-00005D730000}"/>
    <cellStyle name="Normal 3 3 14 4 2 3" xfId="29543" xr:uid="{00000000-0005-0000-0000-00005E730000}"/>
    <cellStyle name="Normal 3 3 14 4 2 3 2" xfId="29544" xr:uid="{00000000-0005-0000-0000-00005F730000}"/>
    <cellStyle name="Normal 3 3 14 4 2 3 3" xfId="29545" xr:uid="{00000000-0005-0000-0000-000060730000}"/>
    <cellStyle name="Normal 3 3 14 4 2 4" xfId="29546" xr:uid="{00000000-0005-0000-0000-000061730000}"/>
    <cellStyle name="Normal 3 3 14 4 2 4 2" xfId="29547" xr:uid="{00000000-0005-0000-0000-000062730000}"/>
    <cellStyle name="Normal 3 3 14 4 2 4 3" xfId="29548" xr:uid="{00000000-0005-0000-0000-000063730000}"/>
    <cellStyle name="Normal 3 3 14 4 2 5" xfId="29549" xr:uid="{00000000-0005-0000-0000-000064730000}"/>
    <cellStyle name="Normal 3 3 14 4 2 5 2" xfId="29550" xr:uid="{00000000-0005-0000-0000-000065730000}"/>
    <cellStyle name="Normal 3 3 14 4 2 5 3" xfId="29551" xr:uid="{00000000-0005-0000-0000-000066730000}"/>
    <cellStyle name="Normal 3 3 14 4 2 6" xfId="29552" xr:uid="{00000000-0005-0000-0000-000067730000}"/>
    <cellStyle name="Normal 3 3 14 4 2 6 2" xfId="29553" xr:uid="{00000000-0005-0000-0000-000068730000}"/>
    <cellStyle name="Normal 3 3 14 4 2 6 3" xfId="29554" xr:uid="{00000000-0005-0000-0000-000069730000}"/>
    <cellStyle name="Normal 3 3 14 4 2 7" xfId="29555" xr:uid="{00000000-0005-0000-0000-00006A730000}"/>
    <cellStyle name="Normal 3 3 14 4 2 7 2" xfId="29556" xr:uid="{00000000-0005-0000-0000-00006B730000}"/>
    <cellStyle name="Normal 3 3 14 4 2 7 3" xfId="29557" xr:uid="{00000000-0005-0000-0000-00006C730000}"/>
    <cellStyle name="Normal 3 3 14 4 2 8" xfId="29558" xr:uid="{00000000-0005-0000-0000-00006D730000}"/>
    <cellStyle name="Normal 3 3 14 4 2 8 2" xfId="29559" xr:uid="{00000000-0005-0000-0000-00006E730000}"/>
    <cellStyle name="Normal 3 3 14 4 2 8 3" xfId="29560" xr:uid="{00000000-0005-0000-0000-00006F730000}"/>
    <cellStyle name="Normal 3 3 14 4 2 9" xfId="29561" xr:uid="{00000000-0005-0000-0000-000070730000}"/>
    <cellStyle name="Normal 3 3 14 4 2 9 2" xfId="29562" xr:uid="{00000000-0005-0000-0000-000071730000}"/>
    <cellStyle name="Normal 3 3 14 4 2 9 3" xfId="29563" xr:uid="{00000000-0005-0000-0000-000072730000}"/>
    <cellStyle name="Normal 3 3 14 4 3" xfId="29564" xr:uid="{00000000-0005-0000-0000-000073730000}"/>
    <cellStyle name="Normal 3 3 14 4 3 2" xfId="29565" xr:uid="{00000000-0005-0000-0000-000074730000}"/>
    <cellStyle name="Normal 3 3 14 4 3 3" xfId="29566" xr:uid="{00000000-0005-0000-0000-000075730000}"/>
    <cellStyle name="Normal 3 3 14 4 4" xfId="29567" xr:uid="{00000000-0005-0000-0000-000076730000}"/>
    <cellStyle name="Normal 3 3 14 4 4 2" xfId="29568" xr:uid="{00000000-0005-0000-0000-000077730000}"/>
    <cellStyle name="Normal 3 3 14 4 4 3" xfId="29569" xr:uid="{00000000-0005-0000-0000-000078730000}"/>
    <cellStyle name="Normal 3 3 14 4 5" xfId="29570" xr:uid="{00000000-0005-0000-0000-000079730000}"/>
    <cellStyle name="Normal 3 3 14 4 5 2" xfId="29571" xr:uid="{00000000-0005-0000-0000-00007A730000}"/>
    <cellStyle name="Normal 3 3 14 4 5 3" xfId="29572" xr:uid="{00000000-0005-0000-0000-00007B730000}"/>
    <cellStyle name="Normal 3 3 14 4 6" xfId="29573" xr:uid="{00000000-0005-0000-0000-00007C730000}"/>
    <cellStyle name="Normal 3 3 14 4 6 2" xfId="29574" xr:uid="{00000000-0005-0000-0000-00007D730000}"/>
    <cellStyle name="Normal 3 3 14 4 6 3" xfId="29575" xr:uid="{00000000-0005-0000-0000-00007E730000}"/>
    <cellStyle name="Normal 3 3 14 4 7" xfId="29576" xr:uid="{00000000-0005-0000-0000-00007F730000}"/>
    <cellStyle name="Normal 3 3 14 4 7 2" xfId="29577" xr:uid="{00000000-0005-0000-0000-000080730000}"/>
    <cellStyle name="Normal 3 3 14 4 7 3" xfId="29578" xr:uid="{00000000-0005-0000-0000-000081730000}"/>
    <cellStyle name="Normal 3 3 14 4 8" xfId="29579" xr:uid="{00000000-0005-0000-0000-000082730000}"/>
    <cellStyle name="Normal 3 3 14 4 8 2" xfId="29580" xr:uid="{00000000-0005-0000-0000-000083730000}"/>
    <cellStyle name="Normal 3 3 14 4 8 3" xfId="29581" xr:uid="{00000000-0005-0000-0000-000084730000}"/>
    <cellStyle name="Normal 3 3 14 4 9" xfId="29582" xr:uid="{00000000-0005-0000-0000-000085730000}"/>
    <cellStyle name="Normal 3 3 14 4 9 2" xfId="29583" xr:uid="{00000000-0005-0000-0000-000086730000}"/>
    <cellStyle name="Normal 3 3 14 4 9 3" xfId="29584" xr:uid="{00000000-0005-0000-0000-000087730000}"/>
    <cellStyle name="Normal 3 3 14 5" xfId="29585" xr:uid="{00000000-0005-0000-0000-000088730000}"/>
    <cellStyle name="Normal 3 3 14 5 10" xfId="29586" xr:uid="{00000000-0005-0000-0000-000089730000}"/>
    <cellStyle name="Normal 3 3 14 5 10 2" xfId="29587" xr:uid="{00000000-0005-0000-0000-00008A730000}"/>
    <cellStyle name="Normal 3 3 14 5 10 3" xfId="29588" xr:uid="{00000000-0005-0000-0000-00008B730000}"/>
    <cellStyle name="Normal 3 3 14 5 11" xfId="29589" xr:uid="{00000000-0005-0000-0000-00008C730000}"/>
    <cellStyle name="Normal 3 3 14 5 11 2" xfId="29590" xr:uid="{00000000-0005-0000-0000-00008D730000}"/>
    <cellStyle name="Normal 3 3 14 5 11 3" xfId="29591" xr:uid="{00000000-0005-0000-0000-00008E730000}"/>
    <cellStyle name="Normal 3 3 14 5 12" xfId="29592" xr:uid="{00000000-0005-0000-0000-00008F730000}"/>
    <cellStyle name="Normal 3 3 14 5 12 2" xfId="29593" xr:uid="{00000000-0005-0000-0000-000090730000}"/>
    <cellStyle name="Normal 3 3 14 5 12 3" xfId="29594" xr:uid="{00000000-0005-0000-0000-000091730000}"/>
    <cellStyle name="Normal 3 3 14 5 13" xfId="29595" xr:uid="{00000000-0005-0000-0000-000092730000}"/>
    <cellStyle name="Normal 3 3 14 5 13 2" xfId="29596" xr:uid="{00000000-0005-0000-0000-000093730000}"/>
    <cellStyle name="Normal 3 3 14 5 13 3" xfId="29597" xr:uid="{00000000-0005-0000-0000-000094730000}"/>
    <cellStyle name="Normal 3 3 14 5 14" xfId="29598" xr:uid="{00000000-0005-0000-0000-000095730000}"/>
    <cellStyle name="Normal 3 3 14 5 14 2" xfId="29599" xr:uid="{00000000-0005-0000-0000-000096730000}"/>
    <cellStyle name="Normal 3 3 14 5 14 3" xfId="29600" xr:uid="{00000000-0005-0000-0000-000097730000}"/>
    <cellStyle name="Normal 3 3 14 5 15" xfId="29601" xr:uid="{00000000-0005-0000-0000-000098730000}"/>
    <cellStyle name="Normal 3 3 14 5 16" xfId="29602" xr:uid="{00000000-0005-0000-0000-000099730000}"/>
    <cellStyle name="Normal 3 3 14 5 2" xfId="29603" xr:uid="{00000000-0005-0000-0000-00009A730000}"/>
    <cellStyle name="Normal 3 3 14 5 2 2" xfId="29604" xr:uid="{00000000-0005-0000-0000-00009B730000}"/>
    <cellStyle name="Normal 3 3 14 5 2 3" xfId="29605" xr:uid="{00000000-0005-0000-0000-00009C730000}"/>
    <cellStyle name="Normal 3 3 14 5 3" xfId="29606" xr:uid="{00000000-0005-0000-0000-00009D730000}"/>
    <cellStyle name="Normal 3 3 14 5 3 2" xfId="29607" xr:uid="{00000000-0005-0000-0000-00009E730000}"/>
    <cellStyle name="Normal 3 3 14 5 3 3" xfId="29608" xr:uid="{00000000-0005-0000-0000-00009F730000}"/>
    <cellStyle name="Normal 3 3 14 5 4" xfId="29609" xr:uid="{00000000-0005-0000-0000-0000A0730000}"/>
    <cellStyle name="Normal 3 3 14 5 4 2" xfId="29610" xr:uid="{00000000-0005-0000-0000-0000A1730000}"/>
    <cellStyle name="Normal 3 3 14 5 4 3" xfId="29611" xr:uid="{00000000-0005-0000-0000-0000A2730000}"/>
    <cellStyle name="Normal 3 3 14 5 5" xfId="29612" xr:uid="{00000000-0005-0000-0000-0000A3730000}"/>
    <cellStyle name="Normal 3 3 14 5 5 2" xfId="29613" xr:uid="{00000000-0005-0000-0000-0000A4730000}"/>
    <cellStyle name="Normal 3 3 14 5 5 3" xfId="29614" xr:uid="{00000000-0005-0000-0000-0000A5730000}"/>
    <cellStyle name="Normal 3 3 14 5 6" xfId="29615" xr:uid="{00000000-0005-0000-0000-0000A6730000}"/>
    <cellStyle name="Normal 3 3 14 5 6 2" xfId="29616" xr:uid="{00000000-0005-0000-0000-0000A7730000}"/>
    <cellStyle name="Normal 3 3 14 5 6 3" xfId="29617" xr:uid="{00000000-0005-0000-0000-0000A8730000}"/>
    <cellStyle name="Normal 3 3 14 5 7" xfId="29618" xr:uid="{00000000-0005-0000-0000-0000A9730000}"/>
    <cellStyle name="Normal 3 3 14 5 7 2" xfId="29619" xr:uid="{00000000-0005-0000-0000-0000AA730000}"/>
    <cellStyle name="Normal 3 3 14 5 7 3" xfId="29620" xr:uid="{00000000-0005-0000-0000-0000AB730000}"/>
    <cellStyle name="Normal 3 3 14 5 8" xfId="29621" xr:uid="{00000000-0005-0000-0000-0000AC730000}"/>
    <cellStyle name="Normal 3 3 14 5 8 2" xfId="29622" xr:uid="{00000000-0005-0000-0000-0000AD730000}"/>
    <cellStyle name="Normal 3 3 14 5 8 3" xfId="29623" xr:uid="{00000000-0005-0000-0000-0000AE730000}"/>
    <cellStyle name="Normal 3 3 14 5 9" xfId="29624" xr:uid="{00000000-0005-0000-0000-0000AF730000}"/>
    <cellStyle name="Normal 3 3 14 5 9 2" xfId="29625" xr:uid="{00000000-0005-0000-0000-0000B0730000}"/>
    <cellStyle name="Normal 3 3 14 5 9 3" xfId="29626" xr:uid="{00000000-0005-0000-0000-0000B1730000}"/>
    <cellStyle name="Normal 3 3 14 6" xfId="29627" xr:uid="{00000000-0005-0000-0000-0000B2730000}"/>
    <cellStyle name="Normal 3 3 14 6 10" xfId="29628" xr:uid="{00000000-0005-0000-0000-0000B3730000}"/>
    <cellStyle name="Normal 3 3 14 6 10 2" xfId="29629" xr:uid="{00000000-0005-0000-0000-0000B4730000}"/>
    <cellStyle name="Normal 3 3 14 6 10 3" xfId="29630" xr:uid="{00000000-0005-0000-0000-0000B5730000}"/>
    <cellStyle name="Normal 3 3 14 6 11" xfId="29631" xr:uid="{00000000-0005-0000-0000-0000B6730000}"/>
    <cellStyle name="Normal 3 3 14 6 11 2" xfId="29632" xr:uid="{00000000-0005-0000-0000-0000B7730000}"/>
    <cellStyle name="Normal 3 3 14 6 11 3" xfId="29633" xr:uid="{00000000-0005-0000-0000-0000B8730000}"/>
    <cellStyle name="Normal 3 3 14 6 12" xfId="29634" xr:uid="{00000000-0005-0000-0000-0000B9730000}"/>
    <cellStyle name="Normal 3 3 14 6 12 2" xfId="29635" xr:uid="{00000000-0005-0000-0000-0000BA730000}"/>
    <cellStyle name="Normal 3 3 14 6 12 3" xfId="29636" xr:uid="{00000000-0005-0000-0000-0000BB730000}"/>
    <cellStyle name="Normal 3 3 14 6 13" xfId="29637" xr:uid="{00000000-0005-0000-0000-0000BC730000}"/>
    <cellStyle name="Normal 3 3 14 6 13 2" xfId="29638" xr:uid="{00000000-0005-0000-0000-0000BD730000}"/>
    <cellStyle name="Normal 3 3 14 6 13 3" xfId="29639" xr:uid="{00000000-0005-0000-0000-0000BE730000}"/>
    <cellStyle name="Normal 3 3 14 6 14" xfId="29640" xr:uid="{00000000-0005-0000-0000-0000BF730000}"/>
    <cellStyle name="Normal 3 3 14 6 14 2" xfId="29641" xr:uid="{00000000-0005-0000-0000-0000C0730000}"/>
    <cellStyle name="Normal 3 3 14 6 14 3" xfId="29642" xr:uid="{00000000-0005-0000-0000-0000C1730000}"/>
    <cellStyle name="Normal 3 3 14 6 15" xfId="29643" xr:uid="{00000000-0005-0000-0000-0000C2730000}"/>
    <cellStyle name="Normal 3 3 14 6 16" xfId="29644" xr:uid="{00000000-0005-0000-0000-0000C3730000}"/>
    <cellStyle name="Normal 3 3 14 6 2" xfId="29645" xr:uid="{00000000-0005-0000-0000-0000C4730000}"/>
    <cellStyle name="Normal 3 3 14 6 2 2" xfId="29646" xr:uid="{00000000-0005-0000-0000-0000C5730000}"/>
    <cellStyle name="Normal 3 3 14 6 2 3" xfId="29647" xr:uid="{00000000-0005-0000-0000-0000C6730000}"/>
    <cellStyle name="Normal 3 3 14 6 3" xfId="29648" xr:uid="{00000000-0005-0000-0000-0000C7730000}"/>
    <cellStyle name="Normal 3 3 14 6 3 2" xfId="29649" xr:uid="{00000000-0005-0000-0000-0000C8730000}"/>
    <cellStyle name="Normal 3 3 14 6 3 3" xfId="29650" xr:uid="{00000000-0005-0000-0000-0000C9730000}"/>
    <cellStyle name="Normal 3 3 14 6 4" xfId="29651" xr:uid="{00000000-0005-0000-0000-0000CA730000}"/>
    <cellStyle name="Normal 3 3 14 6 4 2" xfId="29652" xr:uid="{00000000-0005-0000-0000-0000CB730000}"/>
    <cellStyle name="Normal 3 3 14 6 4 3" xfId="29653" xr:uid="{00000000-0005-0000-0000-0000CC730000}"/>
    <cellStyle name="Normal 3 3 14 6 5" xfId="29654" xr:uid="{00000000-0005-0000-0000-0000CD730000}"/>
    <cellStyle name="Normal 3 3 14 6 5 2" xfId="29655" xr:uid="{00000000-0005-0000-0000-0000CE730000}"/>
    <cellStyle name="Normal 3 3 14 6 5 3" xfId="29656" xr:uid="{00000000-0005-0000-0000-0000CF730000}"/>
    <cellStyle name="Normal 3 3 14 6 6" xfId="29657" xr:uid="{00000000-0005-0000-0000-0000D0730000}"/>
    <cellStyle name="Normal 3 3 14 6 6 2" xfId="29658" xr:uid="{00000000-0005-0000-0000-0000D1730000}"/>
    <cellStyle name="Normal 3 3 14 6 6 3" xfId="29659" xr:uid="{00000000-0005-0000-0000-0000D2730000}"/>
    <cellStyle name="Normal 3 3 14 6 7" xfId="29660" xr:uid="{00000000-0005-0000-0000-0000D3730000}"/>
    <cellStyle name="Normal 3 3 14 6 7 2" xfId="29661" xr:uid="{00000000-0005-0000-0000-0000D4730000}"/>
    <cellStyle name="Normal 3 3 14 6 7 3" xfId="29662" xr:uid="{00000000-0005-0000-0000-0000D5730000}"/>
    <cellStyle name="Normal 3 3 14 6 8" xfId="29663" xr:uid="{00000000-0005-0000-0000-0000D6730000}"/>
    <cellStyle name="Normal 3 3 14 6 8 2" xfId="29664" xr:uid="{00000000-0005-0000-0000-0000D7730000}"/>
    <cellStyle name="Normal 3 3 14 6 8 3" xfId="29665" xr:uid="{00000000-0005-0000-0000-0000D8730000}"/>
    <cellStyle name="Normal 3 3 14 6 9" xfId="29666" xr:uid="{00000000-0005-0000-0000-0000D9730000}"/>
    <cellStyle name="Normal 3 3 14 6 9 2" xfId="29667" xr:uid="{00000000-0005-0000-0000-0000DA730000}"/>
    <cellStyle name="Normal 3 3 14 6 9 3" xfId="29668" xr:uid="{00000000-0005-0000-0000-0000DB730000}"/>
    <cellStyle name="Normal 3 3 14 7" xfId="29669" xr:uid="{00000000-0005-0000-0000-0000DC730000}"/>
    <cellStyle name="Normal 3 3 14 7 10" xfId="29670" xr:uid="{00000000-0005-0000-0000-0000DD730000}"/>
    <cellStyle name="Normal 3 3 14 7 10 2" xfId="29671" xr:uid="{00000000-0005-0000-0000-0000DE730000}"/>
    <cellStyle name="Normal 3 3 14 7 10 3" xfId="29672" xr:uid="{00000000-0005-0000-0000-0000DF730000}"/>
    <cellStyle name="Normal 3 3 14 7 11" xfId="29673" xr:uid="{00000000-0005-0000-0000-0000E0730000}"/>
    <cellStyle name="Normal 3 3 14 7 11 2" xfId="29674" xr:uid="{00000000-0005-0000-0000-0000E1730000}"/>
    <cellStyle name="Normal 3 3 14 7 11 3" xfId="29675" xr:uid="{00000000-0005-0000-0000-0000E2730000}"/>
    <cellStyle name="Normal 3 3 14 7 12" xfId="29676" xr:uid="{00000000-0005-0000-0000-0000E3730000}"/>
    <cellStyle name="Normal 3 3 14 7 12 2" xfId="29677" xr:uid="{00000000-0005-0000-0000-0000E4730000}"/>
    <cellStyle name="Normal 3 3 14 7 12 3" xfId="29678" xr:uid="{00000000-0005-0000-0000-0000E5730000}"/>
    <cellStyle name="Normal 3 3 14 7 13" xfId="29679" xr:uid="{00000000-0005-0000-0000-0000E6730000}"/>
    <cellStyle name="Normal 3 3 14 7 13 2" xfId="29680" xr:uid="{00000000-0005-0000-0000-0000E7730000}"/>
    <cellStyle name="Normal 3 3 14 7 13 3" xfId="29681" xr:uid="{00000000-0005-0000-0000-0000E8730000}"/>
    <cellStyle name="Normal 3 3 14 7 14" xfId="29682" xr:uid="{00000000-0005-0000-0000-0000E9730000}"/>
    <cellStyle name="Normal 3 3 14 7 14 2" xfId="29683" xr:uid="{00000000-0005-0000-0000-0000EA730000}"/>
    <cellStyle name="Normal 3 3 14 7 14 3" xfId="29684" xr:uid="{00000000-0005-0000-0000-0000EB730000}"/>
    <cellStyle name="Normal 3 3 14 7 15" xfId="29685" xr:uid="{00000000-0005-0000-0000-0000EC730000}"/>
    <cellStyle name="Normal 3 3 14 7 16" xfId="29686" xr:uid="{00000000-0005-0000-0000-0000ED730000}"/>
    <cellStyle name="Normal 3 3 14 7 2" xfId="29687" xr:uid="{00000000-0005-0000-0000-0000EE730000}"/>
    <cellStyle name="Normal 3 3 14 7 2 2" xfId="29688" xr:uid="{00000000-0005-0000-0000-0000EF730000}"/>
    <cellStyle name="Normal 3 3 14 7 2 3" xfId="29689" xr:uid="{00000000-0005-0000-0000-0000F0730000}"/>
    <cellStyle name="Normal 3 3 14 7 3" xfId="29690" xr:uid="{00000000-0005-0000-0000-0000F1730000}"/>
    <cellStyle name="Normal 3 3 14 7 3 2" xfId="29691" xr:uid="{00000000-0005-0000-0000-0000F2730000}"/>
    <cellStyle name="Normal 3 3 14 7 3 3" xfId="29692" xr:uid="{00000000-0005-0000-0000-0000F3730000}"/>
    <cellStyle name="Normal 3 3 14 7 4" xfId="29693" xr:uid="{00000000-0005-0000-0000-0000F4730000}"/>
    <cellStyle name="Normal 3 3 14 7 4 2" xfId="29694" xr:uid="{00000000-0005-0000-0000-0000F5730000}"/>
    <cellStyle name="Normal 3 3 14 7 4 3" xfId="29695" xr:uid="{00000000-0005-0000-0000-0000F6730000}"/>
    <cellStyle name="Normal 3 3 14 7 5" xfId="29696" xr:uid="{00000000-0005-0000-0000-0000F7730000}"/>
    <cellStyle name="Normal 3 3 14 7 5 2" xfId="29697" xr:uid="{00000000-0005-0000-0000-0000F8730000}"/>
    <cellStyle name="Normal 3 3 14 7 5 3" xfId="29698" xr:uid="{00000000-0005-0000-0000-0000F9730000}"/>
    <cellStyle name="Normal 3 3 14 7 6" xfId="29699" xr:uid="{00000000-0005-0000-0000-0000FA730000}"/>
    <cellStyle name="Normal 3 3 14 7 6 2" xfId="29700" xr:uid="{00000000-0005-0000-0000-0000FB730000}"/>
    <cellStyle name="Normal 3 3 14 7 6 3" xfId="29701" xr:uid="{00000000-0005-0000-0000-0000FC730000}"/>
    <cellStyle name="Normal 3 3 14 7 7" xfId="29702" xr:uid="{00000000-0005-0000-0000-0000FD730000}"/>
    <cellStyle name="Normal 3 3 14 7 7 2" xfId="29703" xr:uid="{00000000-0005-0000-0000-0000FE730000}"/>
    <cellStyle name="Normal 3 3 14 7 7 3" xfId="29704" xr:uid="{00000000-0005-0000-0000-0000FF730000}"/>
    <cellStyle name="Normal 3 3 14 7 8" xfId="29705" xr:uid="{00000000-0005-0000-0000-000000740000}"/>
    <cellStyle name="Normal 3 3 14 7 8 2" xfId="29706" xr:uid="{00000000-0005-0000-0000-000001740000}"/>
    <cellStyle name="Normal 3 3 14 7 8 3" xfId="29707" xr:uid="{00000000-0005-0000-0000-000002740000}"/>
    <cellStyle name="Normal 3 3 14 7 9" xfId="29708" xr:uid="{00000000-0005-0000-0000-000003740000}"/>
    <cellStyle name="Normal 3 3 14 7 9 2" xfId="29709" xr:uid="{00000000-0005-0000-0000-000004740000}"/>
    <cellStyle name="Normal 3 3 14 7 9 3" xfId="29710" xr:uid="{00000000-0005-0000-0000-000005740000}"/>
    <cellStyle name="Normal 3 3 14 8" xfId="29711" xr:uid="{00000000-0005-0000-0000-000006740000}"/>
    <cellStyle name="Normal 3 3 14 8 10" xfId="29712" xr:uid="{00000000-0005-0000-0000-000007740000}"/>
    <cellStyle name="Normal 3 3 14 8 10 2" xfId="29713" xr:uid="{00000000-0005-0000-0000-000008740000}"/>
    <cellStyle name="Normal 3 3 14 8 10 3" xfId="29714" xr:uid="{00000000-0005-0000-0000-000009740000}"/>
    <cellStyle name="Normal 3 3 14 8 11" xfId="29715" xr:uid="{00000000-0005-0000-0000-00000A740000}"/>
    <cellStyle name="Normal 3 3 14 8 11 2" xfId="29716" xr:uid="{00000000-0005-0000-0000-00000B740000}"/>
    <cellStyle name="Normal 3 3 14 8 11 3" xfId="29717" xr:uid="{00000000-0005-0000-0000-00000C740000}"/>
    <cellStyle name="Normal 3 3 14 8 12" xfId="29718" xr:uid="{00000000-0005-0000-0000-00000D740000}"/>
    <cellStyle name="Normal 3 3 14 8 12 2" xfId="29719" xr:uid="{00000000-0005-0000-0000-00000E740000}"/>
    <cellStyle name="Normal 3 3 14 8 12 3" xfId="29720" xr:uid="{00000000-0005-0000-0000-00000F740000}"/>
    <cellStyle name="Normal 3 3 14 8 13" xfId="29721" xr:uid="{00000000-0005-0000-0000-000010740000}"/>
    <cellStyle name="Normal 3 3 14 8 13 2" xfId="29722" xr:uid="{00000000-0005-0000-0000-000011740000}"/>
    <cellStyle name="Normal 3 3 14 8 13 3" xfId="29723" xr:uid="{00000000-0005-0000-0000-000012740000}"/>
    <cellStyle name="Normal 3 3 14 8 14" xfId="29724" xr:uid="{00000000-0005-0000-0000-000013740000}"/>
    <cellStyle name="Normal 3 3 14 8 14 2" xfId="29725" xr:uid="{00000000-0005-0000-0000-000014740000}"/>
    <cellStyle name="Normal 3 3 14 8 14 3" xfId="29726" xr:uid="{00000000-0005-0000-0000-000015740000}"/>
    <cellStyle name="Normal 3 3 14 8 15" xfId="29727" xr:uid="{00000000-0005-0000-0000-000016740000}"/>
    <cellStyle name="Normal 3 3 14 8 16" xfId="29728" xr:uid="{00000000-0005-0000-0000-000017740000}"/>
    <cellStyle name="Normal 3 3 14 8 2" xfId="29729" xr:uid="{00000000-0005-0000-0000-000018740000}"/>
    <cellStyle name="Normal 3 3 14 8 2 2" xfId="29730" xr:uid="{00000000-0005-0000-0000-000019740000}"/>
    <cellStyle name="Normal 3 3 14 8 2 3" xfId="29731" xr:uid="{00000000-0005-0000-0000-00001A740000}"/>
    <cellStyle name="Normal 3 3 14 8 3" xfId="29732" xr:uid="{00000000-0005-0000-0000-00001B740000}"/>
    <cellStyle name="Normal 3 3 14 8 3 2" xfId="29733" xr:uid="{00000000-0005-0000-0000-00001C740000}"/>
    <cellStyle name="Normal 3 3 14 8 3 3" xfId="29734" xr:uid="{00000000-0005-0000-0000-00001D740000}"/>
    <cellStyle name="Normal 3 3 14 8 4" xfId="29735" xr:uid="{00000000-0005-0000-0000-00001E740000}"/>
    <cellStyle name="Normal 3 3 14 8 4 2" xfId="29736" xr:uid="{00000000-0005-0000-0000-00001F740000}"/>
    <cellStyle name="Normal 3 3 14 8 4 3" xfId="29737" xr:uid="{00000000-0005-0000-0000-000020740000}"/>
    <cellStyle name="Normal 3 3 14 8 5" xfId="29738" xr:uid="{00000000-0005-0000-0000-000021740000}"/>
    <cellStyle name="Normal 3 3 14 8 5 2" xfId="29739" xr:uid="{00000000-0005-0000-0000-000022740000}"/>
    <cellStyle name="Normal 3 3 14 8 5 3" xfId="29740" xr:uid="{00000000-0005-0000-0000-000023740000}"/>
    <cellStyle name="Normal 3 3 14 8 6" xfId="29741" xr:uid="{00000000-0005-0000-0000-000024740000}"/>
    <cellStyle name="Normal 3 3 14 8 6 2" xfId="29742" xr:uid="{00000000-0005-0000-0000-000025740000}"/>
    <cellStyle name="Normal 3 3 14 8 6 3" xfId="29743" xr:uid="{00000000-0005-0000-0000-000026740000}"/>
    <cellStyle name="Normal 3 3 14 8 7" xfId="29744" xr:uid="{00000000-0005-0000-0000-000027740000}"/>
    <cellStyle name="Normal 3 3 14 8 7 2" xfId="29745" xr:uid="{00000000-0005-0000-0000-000028740000}"/>
    <cellStyle name="Normal 3 3 14 8 7 3" xfId="29746" xr:uid="{00000000-0005-0000-0000-000029740000}"/>
    <cellStyle name="Normal 3 3 14 8 8" xfId="29747" xr:uid="{00000000-0005-0000-0000-00002A740000}"/>
    <cellStyle name="Normal 3 3 14 8 8 2" xfId="29748" xr:uid="{00000000-0005-0000-0000-00002B740000}"/>
    <cellStyle name="Normal 3 3 14 8 8 3" xfId="29749" xr:uid="{00000000-0005-0000-0000-00002C740000}"/>
    <cellStyle name="Normal 3 3 14 8 9" xfId="29750" xr:uid="{00000000-0005-0000-0000-00002D740000}"/>
    <cellStyle name="Normal 3 3 14 8 9 2" xfId="29751" xr:uid="{00000000-0005-0000-0000-00002E740000}"/>
    <cellStyle name="Normal 3 3 14 8 9 3" xfId="29752" xr:uid="{00000000-0005-0000-0000-00002F740000}"/>
    <cellStyle name="Normal 3 3 14 9" xfId="29753" xr:uid="{00000000-0005-0000-0000-000030740000}"/>
    <cellStyle name="Normal 3 3 14 9 10" xfId="29754" xr:uid="{00000000-0005-0000-0000-000031740000}"/>
    <cellStyle name="Normal 3 3 14 9 10 2" xfId="29755" xr:uid="{00000000-0005-0000-0000-000032740000}"/>
    <cellStyle name="Normal 3 3 14 9 10 3" xfId="29756" xr:uid="{00000000-0005-0000-0000-000033740000}"/>
    <cellStyle name="Normal 3 3 14 9 11" xfId="29757" xr:uid="{00000000-0005-0000-0000-000034740000}"/>
    <cellStyle name="Normal 3 3 14 9 11 2" xfId="29758" xr:uid="{00000000-0005-0000-0000-000035740000}"/>
    <cellStyle name="Normal 3 3 14 9 11 3" xfId="29759" xr:uid="{00000000-0005-0000-0000-000036740000}"/>
    <cellStyle name="Normal 3 3 14 9 12" xfId="29760" xr:uid="{00000000-0005-0000-0000-000037740000}"/>
    <cellStyle name="Normal 3 3 14 9 12 2" xfId="29761" xr:uid="{00000000-0005-0000-0000-000038740000}"/>
    <cellStyle name="Normal 3 3 14 9 12 3" xfId="29762" xr:uid="{00000000-0005-0000-0000-000039740000}"/>
    <cellStyle name="Normal 3 3 14 9 13" xfId="29763" xr:uid="{00000000-0005-0000-0000-00003A740000}"/>
    <cellStyle name="Normal 3 3 14 9 13 2" xfId="29764" xr:uid="{00000000-0005-0000-0000-00003B740000}"/>
    <cellStyle name="Normal 3 3 14 9 13 3" xfId="29765" xr:uid="{00000000-0005-0000-0000-00003C740000}"/>
    <cellStyle name="Normal 3 3 14 9 14" xfId="29766" xr:uid="{00000000-0005-0000-0000-00003D740000}"/>
    <cellStyle name="Normal 3 3 14 9 14 2" xfId="29767" xr:uid="{00000000-0005-0000-0000-00003E740000}"/>
    <cellStyle name="Normal 3 3 14 9 14 3" xfId="29768" xr:uid="{00000000-0005-0000-0000-00003F740000}"/>
    <cellStyle name="Normal 3 3 14 9 15" xfId="29769" xr:uid="{00000000-0005-0000-0000-000040740000}"/>
    <cellStyle name="Normal 3 3 14 9 16" xfId="29770" xr:uid="{00000000-0005-0000-0000-000041740000}"/>
    <cellStyle name="Normal 3 3 14 9 2" xfId="29771" xr:uid="{00000000-0005-0000-0000-000042740000}"/>
    <cellStyle name="Normal 3 3 14 9 2 2" xfId="29772" xr:uid="{00000000-0005-0000-0000-000043740000}"/>
    <cellStyle name="Normal 3 3 14 9 2 3" xfId="29773" xr:uid="{00000000-0005-0000-0000-000044740000}"/>
    <cellStyle name="Normal 3 3 14 9 3" xfId="29774" xr:uid="{00000000-0005-0000-0000-000045740000}"/>
    <cellStyle name="Normal 3 3 14 9 3 2" xfId="29775" xr:uid="{00000000-0005-0000-0000-000046740000}"/>
    <cellStyle name="Normal 3 3 14 9 3 3" xfId="29776" xr:uid="{00000000-0005-0000-0000-000047740000}"/>
    <cellStyle name="Normal 3 3 14 9 4" xfId="29777" xr:uid="{00000000-0005-0000-0000-000048740000}"/>
    <cellStyle name="Normal 3 3 14 9 4 2" xfId="29778" xr:uid="{00000000-0005-0000-0000-000049740000}"/>
    <cellStyle name="Normal 3 3 14 9 4 3" xfId="29779" xr:uid="{00000000-0005-0000-0000-00004A740000}"/>
    <cellStyle name="Normal 3 3 14 9 5" xfId="29780" xr:uid="{00000000-0005-0000-0000-00004B740000}"/>
    <cellStyle name="Normal 3 3 14 9 5 2" xfId="29781" xr:uid="{00000000-0005-0000-0000-00004C740000}"/>
    <cellStyle name="Normal 3 3 14 9 5 3" xfId="29782" xr:uid="{00000000-0005-0000-0000-00004D740000}"/>
    <cellStyle name="Normal 3 3 14 9 6" xfId="29783" xr:uid="{00000000-0005-0000-0000-00004E740000}"/>
    <cellStyle name="Normal 3 3 14 9 6 2" xfId="29784" xr:uid="{00000000-0005-0000-0000-00004F740000}"/>
    <cellStyle name="Normal 3 3 14 9 6 3" xfId="29785" xr:uid="{00000000-0005-0000-0000-000050740000}"/>
    <cellStyle name="Normal 3 3 14 9 7" xfId="29786" xr:uid="{00000000-0005-0000-0000-000051740000}"/>
    <cellStyle name="Normal 3 3 14 9 7 2" xfId="29787" xr:uid="{00000000-0005-0000-0000-000052740000}"/>
    <cellStyle name="Normal 3 3 14 9 7 3" xfId="29788" xr:uid="{00000000-0005-0000-0000-000053740000}"/>
    <cellStyle name="Normal 3 3 14 9 8" xfId="29789" xr:uid="{00000000-0005-0000-0000-000054740000}"/>
    <cellStyle name="Normal 3 3 14 9 8 2" xfId="29790" xr:uid="{00000000-0005-0000-0000-000055740000}"/>
    <cellStyle name="Normal 3 3 14 9 8 3" xfId="29791" xr:uid="{00000000-0005-0000-0000-000056740000}"/>
    <cellStyle name="Normal 3 3 14 9 9" xfId="29792" xr:uid="{00000000-0005-0000-0000-000057740000}"/>
    <cellStyle name="Normal 3 3 14 9 9 2" xfId="29793" xr:uid="{00000000-0005-0000-0000-000058740000}"/>
    <cellStyle name="Normal 3 3 14 9 9 3" xfId="29794" xr:uid="{00000000-0005-0000-0000-000059740000}"/>
    <cellStyle name="Normal 3 3 15" xfId="29795" xr:uid="{00000000-0005-0000-0000-00005A740000}"/>
    <cellStyle name="Normal 3 3 15 10" xfId="29796" xr:uid="{00000000-0005-0000-0000-00005B740000}"/>
    <cellStyle name="Normal 3 3 15 10 10" xfId="29797" xr:uid="{00000000-0005-0000-0000-00005C740000}"/>
    <cellStyle name="Normal 3 3 15 10 10 2" xfId="29798" xr:uid="{00000000-0005-0000-0000-00005D740000}"/>
    <cellStyle name="Normal 3 3 15 10 10 3" xfId="29799" xr:uid="{00000000-0005-0000-0000-00005E740000}"/>
    <cellStyle name="Normal 3 3 15 10 11" xfId="29800" xr:uid="{00000000-0005-0000-0000-00005F740000}"/>
    <cellStyle name="Normal 3 3 15 10 11 2" xfId="29801" xr:uid="{00000000-0005-0000-0000-000060740000}"/>
    <cellStyle name="Normal 3 3 15 10 11 3" xfId="29802" xr:uid="{00000000-0005-0000-0000-000061740000}"/>
    <cellStyle name="Normal 3 3 15 10 12" xfId="29803" xr:uid="{00000000-0005-0000-0000-000062740000}"/>
    <cellStyle name="Normal 3 3 15 10 12 2" xfId="29804" xr:uid="{00000000-0005-0000-0000-000063740000}"/>
    <cellStyle name="Normal 3 3 15 10 12 3" xfId="29805" xr:uid="{00000000-0005-0000-0000-000064740000}"/>
    <cellStyle name="Normal 3 3 15 10 13" xfId="29806" xr:uid="{00000000-0005-0000-0000-000065740000}"/>
    <cellStyle name="Normal 3 3 15 10 13 2" xfId="29807" xr:uid="{00000000-0005-0000-0000-000066740000}"/>
    <cellStyle name="Normal 3 3 15 10 13 3" xfId="29808" xr:uid="{00000000-0005-0000-0000-000067740000}"/>
    <cellStyle name="Normal 3 3 15 10 14" xfId="29809" xr:uid="{00000000-0005-0000-0000-000068740000}"/>
    <cellStyle name="Normal 3 3 15 10 14 2" xfId="29810" xr:uid="{00000000-0005-0000-0000-000069740000}"/>
    <cellStyle name="Normal 3 3 15 10 14 3" xfId="29811" xr:uid="{00000000-0005-0000-0000-00006A740000}"/>
    <cellStyle name="Normal 3 3 15 10 15" xfId="29812" xr:uid="{00000000-0005-0000-0000-00006B740000}"/>
    <cellStyle name="Normal 3 3 15 10 16" xfId="29813" xr:uid="{00000000-0005-0000-0000-00006C740000}"/>
    <cellStyle name="Normal 3 3 15 10 2" xfId="29814" xr:uid="{00000000-0005-0000-0000-00006D740000}"/>
    <cellStyle name="Normal 3 3 15 10 2 2" xfId="29815" xr:uid="{00000000-0005-0000-0000-00006E740000}"/>
    <cellStyle name="Normal 3 3 15 10 2 3" xfId="29816" xr:uid="{00000000-0005-0000-0000-00006F740000}"/>
    <cellStyle name="Normal 3 3 15 10 3" xfId="29817" xr:uid="{00000000-0005-0000-0000-000070740000}"/>
    <cellStyle name="Normal 3 3 15 10 3 2" xfId="29818" xr:uid="{00000000-0005-0000-0000-000071740000}"/>
    <cellStyle name="Normal 3 3 15 10 3 3" xfId="29819" xr:uid="{00000000-0005-0000-0000-000072740000}"/>
    <cellStyle name="Normal 3 3 15 10 4" xfId="29820" xr:uid="{00000000-0005-0000-0000-000073740000}"/>
    <cellStyle name="Normal 3 3 15 10 4 2" xfId="29821" xr:uid="{00000000-0005-0000-0000-000074740000}"/>
    <cellStyle name="Normal 3 3 15 10 4 3" xfId="29822" xr:uid="{00000000-0005-0000-0000-000075740000}"/>
    <cellStyle name="Normal 3 3 15 10 5" xfId="29823" xr:uid="{00000000-0005-0000-0000-000076740000}"/>
    <cellStyle name="Normal 3 3 15 10 5 2" xfId="29824" xr:uid="{00000000-0005-0000-0000-000077740000}"/>
    <cellStyle name="Normal 3 3 15 10 5 3" xfId="29825" xr:uid="{00000000-0005-0000-0000-000078740000}"/>
    <cellStyle name="Normal 3 3 15 10 6" xfId="29826" xr:uid="{00000000-0005-0000-0000-000079740000}"/>
    <cellStyle name="Normal 3 3 15 10 6 2" xfId="29827" xr:uid="{00000000-0005-0000-0000-00007A740000}"/>
    <cellStyle name="Normal 3 3 15 10 6 3" xfId="29828" xr:uid="{00000000-0005-0000-0000-00007B740000}"/>
    <cellStyle name="Normal 3 3 15 10 7" xfId="29829" xr:uid="{00000000-0005-0000-0000-00007C740000}"/>
    <cellStyle name="Normal 3 3 15 10 7 2" xfId="29830" xr:uid="{00000000-0005-0000-0000-00007D740000}"/>
    <cellStyle name="Normal 3 3 15 10 7 3" xfId="29831" xr:uid="{00000000-0005-0000-0000-00007E740000}"/>
    <cellStyle name="Normal 3 3 15 10 8" xfId="29832" xr:uid="{00000000-0005-0000-0000-00007F740000}"/>
    <cellStyle name="Normal 3 3 15 10 8 2" xfId="29833" xr:uid="{00000000-0005-0000-0000-000080740000}"/>
    <cellStyle name="Normal 3 3 15 10 8 3" xfId="29834" xr:uid="{00000000-0005-0000-0000-000081740000}"/>
    <cellStyle name="Normal 3 3 15 10 9" xfId="29835" xr:uid="{00000000-0005-0000-0000-000082740000}"/>
    <cellStyle name="Normal 3 3 15 10 9 2" xfId="29836" xr:uid="{00000000-0005-0000-0000-000083740000}"/>
    <cellStyle name="Normal 3 3 15 10 9 3" xfId="29837" xr:uid="{00000000-0005-0000-0000-000084740000}"/>
    <cellStyle name="Normal 3 3 15 11" xfId="29838" xr:uid="{00000000-0005-0000-0000-000085740000}"/>
    <cellStyle name="Normal 3 3 15 11 2" xfId="29839" xr:uid="{00000000-0005-0000-0000-000086740000}"/>
    <cellStyle name="Normal 3 3 15 11 3" xfId="29840" xr:uid="{00000000-0005-0000-0000-000087740000}"/>
    <cellStyle name="Normal 3 3 15 12" xfId="29841" xr:uid="{00000000-0005-0000-0000-000088740000}"/>
    <cellStyle name="Normal 3 3 15 12 2" xfId="29842" xr:uid="{00000000-0005-0000-0000-000089740000}"/>
    <cellStyle name="Normal 3 3 15 12 3" xfId="29843" xr:uid="{00000000-0005-0000-0000-00008A740000}"/>
    <cellStyle name="Normal 3 3 15 13" xfId="29844" xr:uid="{00000000-0005-0000-0000-00008B740000}"/>
    <cellStyle name="Normal 3 3 15 13 2" xfId="29845" xr:uid="{00000000-0005-0000-0000-00008C740000}"/>
    <cellStyle name="Normal 3 3 15 13 3" xfId="29846" xr:uid="{00000000-0005-0000-0000-00008D740000}"/>
    <cellStyle name="Normal 3 3 15 14" xfId="29847" xr:uid="{00000000-0005-0000-0000-00008E740000}"/>
    <cellStyle name="Normal 3 3 15 14 2" xfId="29848" xr:uid="{00000000-0005-0000-0000-00008F740000}"/>
    <cellStyle name="Normal 3 3 15 14 3" xfId="29849" xr:uid="{00000000-0005-0000-0000-000090740000}"/>
    <cellStyle name="Normal 3 3 15 15" xfId="29850" xr:uid="{00000000-0005-0000-0000-000091740000}"/>
    <cellStyle name="Normal 3 3 15 15 2" xfId="29851" xr:uid="{00000000-0005-0000-0000-000092740000}"/>
    <cellStyle name="Normal 3 3 15 15 3" xfId="29852" xr:uid="{00000000-0005-0000-0000-000093740000}"/>
    <cellStyle name="Normal 3 3 15 16" xfId="29853" xr:uid="{00000000-0005-0000-0000-000094740000}"/>
    <cellStyle name="Normal 3 3 15 16 2" xfId="29854" xr:uid="{00000000-0005-0000-0000-000095740000}"/>
    <cellStyle name="Normal 3 3 15 16 3" xfId="29855" xr:uid="{00000000-0005-0000-0000-000096740000}"/>
    <cellStyle name="Normal 3 3 15 17" xfId="29856" xr:uid="{00000000-0005-0000-0000-000097740000}"/>
    <cellStyle name="Normal 3 3 15 17 2" xfId="29857" xr:uid="{00000000-0005-0000-0000-000098740000}"/>
    <cellStyle name="Normal 3 3 15 17 3" xfId="29858" xr:uid="{00000000-0005-0000-0000-000099740000}"/>
    <cellStyle name="Normal 3 3 15 18" xfId="29859" xr:uid="{00000000-0005-0000-0000-00009A740000}"/>
    <cellStyle name="Normal 3 3 15 18 2" xfId="29860" xr:uid="{00000000-0005-0000-0000-00009B740000}"/>
    <cellStyle name="Normal 3 3 15 18 3" xfId="29861" xr:uid="{00000000-0005-0000-0000-00009C740000}"/>
    <cellStyle name="Normal 3 3 15 19" xfId="29862" xr:uid="{00000000-0005-0000-0000-00009D740000}"/>
    <cellStyle name="Normal 3 3 15 19 2" xfId="29863" xr:uid="{00000000-0005-0000-0000-00009E740000}"/>
    <cellStyle name="Normal 3 3 15 19 3" xfId="29864" xr:uid="{00000000-0005-0000-0000-00009F740000}"/>
    <cellStyle name="Normal 3 3 15 2" xfId="29865" xr:uid="{00000000-0005-0000-0000-0000A0740000}"/>
    <cellStyle name="Normal 3 3 15 2 10" xfId="29866" xr:uid="{00000000-0005-0000-0000-0000A1740000}"/>
    <cellStyle name="Normal 3 3 15 2 10 2" xfId="29867" xr:uid="{00000000-0005-0000-0000-0000A2740000}"/>
    <cellStyle name="Normal 3 3 15 2 10 3" xfId="29868" xr:uid="{00000000-0005-0000-0000-0000A3740000}"/>
    <cellStyle name="Normal 3 3 15 2 11" xfId="29869" xr:uid="{00000000-0005-0000-0000-0000A4740000}"/>
    <cellStyle name="Normal 3 3 15 2 11 2" xfId="29870" xr:uid="{00000000-0005-0000-0000-0000A5740000}"/>
    <cellStyle name="Normal 3 3 15 2 11 3" xfId="29871" xr:uid="{00000000-0005-0000-0000-0000A6740000}"/>
    <cellStyle name="Normal 3 3 15 2 12" xfId="29872" xr:uid="{00000000-0005-0000-0000-0000A7740000}"/>
    <cellStyle name="Normal 3 3 15 2 12 2" xfId="29873" xr:uid="{00000000-0005-0000-0000-0000A8740000}"/>
    <cellStyle name="Normal 3 3 15 2 12 3" xfId="29874" xr:uid="{00000000-0005-0000-0000-0000A9740000}"/>
    <cellStyle name="Normal 3 3 15 2 13" xfId="29875" xr:uid="{00000000-0005-0000-0000-0000AA740000}"/>
    <cellStyle name="Normal 3 3 15 2 13 2" xfId="29876" xr:uid="{00000000-0005-0000-0000-0000AB740000}"/>
    <cellStyle name="Normal 3 3 15 2 13 3" xfId="29877" xr:uid="{00000000-0005-0000-0000-0000AC740000}"/>
    <cellStyle name="Normal 3 3 15 2 14" xfId="29878" xr:uid="{00000000-0005-0000-0000-0000AD740000}"/>
    <cellStyle name="Normal 3 3 15 2 14 2" xfId="29879" xr:uid="{00000000-0005-0000-0000-0000AE740000}"/>
    <cellStyle name="Normal 3 3 15 2 14 3" xfId="29880" xr:uid="{00000000-0005-0000-0000-0000AF740000}"/>
    <cellStyle name="Normal 3 3 15 2 15" xfId="29881" xr:uid="{00000000-0005-0000-0000-0000B0740000}"/>
    <cellStyle name="Normal 3 3 15 2 15 2" xfId="29882" xr:uid="{00000000-0005-0000-0000-0000B1740000}"/>
    <cellStyle name="Normal 3 3 15 2 15 3" xfId="29883" xr:uid="{00000000-0005-0000-0000-0000B2740000}"/>
    <cellStyle name="Normal 3 3 15 2 16" xfId="29884" xr:uid="{00000000-0005-0000-0000-0000B3740000}"/>
    <cellStyle name="Normal 3 3 15 2 17" xfId="29885" xr:uid="{00000000-0005-0000-0000-0000B4740000}"/>
    <cellStyle name="Normal 3 3 15 2 2" xfId="29886" xr:uid="{00000000-0005-0000-0000-0000B5740000}"/>
    <cellStyle name="Normal 3 3 15 2 2 10" xfId="29887" xr:uid="{00000000-0005-0000-0000-0000B6740000}"/>
    <cellStyle name="Normal 3 3 15 2 2 10 2" xfId="29888" xr:uid="{00000000-0005-0000-0000-0000B7740000}"/>
    <cellStyle name="Normal 3 3 15 2 2 10 3" xfId="29889" xr:uid="{00000000-0005-0000-0000-0000B8740000}"/>
    <cellStyle name="Normal 3 3 15 2 2 11" xfId="29890" xr:uid="{00000000-0005-0000-0000-0000B9740000}"/>
    <cellStyle name="Normal 3 3 15 2 2 11 2" xfId="29891" xr:uid="{00000000-0005-0000-0000-0000BA740000}"/>
    <cellStyle name="Normal 3 3 15 2 2 11 3" xfId="29892" xr:uid="{00000000-0005-0000-0000-0000BB740000}"/>
    <cellStyle name="Normal 3 3 15 2 2 12" xfId="29893" xr:uid="{00000000-0005-0000-0000-0000BC740000}"/>
    <cellStyle name="Normal 3 3 15 2 2 12 2" xfId="29894" xr:uid="{00000000-0005-0000-0000-0000BD740000}"/>
    <cellStyle name="Normal 3 3 15 2 2 12 3" xfId="29895" xr:uid="{00000000-0005-0000-0000-0000BE740000}"/>
    <cellStyle name="Normal 3 3 15 2 2 13" xfId="29896" xr:uid="{00000000-0005-0000-0000-0000BF740000}"/>
    <cellStyle name="Normal 3 3 15 2 2 13 2" xfId="29897" xr:uid="{00000000-0005-0000-0000-0000C0740000}"/>
    <cellStyle name="Normal 3 3 15 2 2 13 3" xfId="29898" xr:uid="{00000000-0005-0000-0000-0000C1740000}"/>
    <cellStyle name="Normal 3 3 15 2 2 14" xfId="29899" xr:uid="{00000000-0005-0000-0000-0000C2740000}"/>
    <cellStyle name="Normal 3 3 15 2 2 14 2" xfId="29900" xr:uid="{00000000-0005-0000-0000-0000C3740000}"/>
    <cellStyle name="Normal 3 3 15 2 2 14 3" xfId="29901" xr:uid="{00000000-0005-0000-0000-0000C4740000}"/>
    <cellStyle name="Normal 3 3 15 2 2 15" xfId="29902" xr:uid="{00000000-0005-0000-0000-0000C5740000}"/>
    <cellStyle name="Normal 3 3 15 2 2 16" xfId="29903" xr:uid="{00000000-0005-0000-0000-0000C6740000}"/>
    <cellStyle name="Normal 3 3 15 2 2 2" xfId="29904" xr:uid="{00000000-0005-0000-0000-0000C7740000}"/>
    <cellStyle name="Normal 3 3 15 2 2 2 2" xfId="29905" xr:uid="{00000000-0005-0000-0000-0000C8740000}"/>
    <cellStyle name="Normal 3 3 15 2 2 2 3" xfId="29906" xr:uid="{00000000-0005-0000-0000-0000C9740000}"/>
    <cellStyle name="Normal 3 3 15 2 2 3" xfId="29907" xr:uid="{00000000-0005-0000-0000-0000CA740000}"/>
    <cellStyle name="Normal 3 3 15 2 2 3 2" xfId="29908" xr:uid="{00000000-0005-0000-0000-0000CB740000}"/>
    <cellStyle name="Normal 3 3 15 2 2 3 3" xfId="29909" xr:uid="{00000000-0005-0000-0000-0000CC740000}"/>
    <cellStyle name="Normal 3 3 15 2 2 4" xfId="29910" xr:uid="{00000000-0005-0000-0000-0000CD740000}"/>
    <cellStyle name="Normal 3 3 15 2 2 4 2" xfId="29911" xr:uid="{00000000-0005-0000-0000-0000CE740000}"/>
    <cellStyle name="Normal 3 3 15 2 2 4 3" xfId="29912" xr:uid="{00000000-0005-0000-0000-0000CF740000}"/>
    <cellStyle name="Normal 3 3 15 2 2 5" xfId="29913" xr:uid="{00000000-0005-0000-0000-0000D0740000}"/>
    <cellStyle name="Normal 3 3 15 2 2 5 2" xfId="29914" xr:uid="{00000000-0005-0000-0000-0000D1740000}"/>
    <cellStyle name="Normal 3 3 15 2 2 5 3" xfId="29915" xr:uid="{00000000-0005-0000-0000-0000D2740000}"/>
    <cellStyle name="Normal 3 3 15 2 2 6" xfId="29916" xr:uid="{00000000-0005-0000-0000-0000D3740000}"/>
    <cellStyle name="Normal 3 3 15 2 2 6 2" xfId="29917" xr:uid="{00000000-0005-0000-0000-0000D4740000}"/>
    <cellStyle name="Normal 3 3 15 2 2 6 3" xfId="29918" xr:uid="{00000000-0005-0000-0000-0000D5740000}"/>
    <cellStyle name="Normal 3 3 15 2 2 7" xfId="29919" xr:uid="{00000000-0005-0000-0000-0000D6740000}"/>
    <cellStyle name="Normal 3 3 15 2 2 7 2" xfId="29920" xr:uid="{00000000-0005-0000-0000-0000D7740000}"/>
    <cellStyle name="Normal 3 3 15 2 2 7 3" xfId="29921" xr:uid="{00000000-0005-0000-0000-0000D8740000}"/>
    <cellStyle name="Normal 3 3 15 2 2 8" xfId="29922" xr:uid="{00000000-0005-0000-0000-0000D9740000}"/>
    <cellStyle name="Normal 3 3 15 2 2 8 2" xfId="29923" xr:uid="{00000000-0005-0000-0000-0000DA740000}"/>
    <cellStyle name="Normal 3 3 15 2 2 8 3" xfId="29924" xr:uid="{00000000-0005-0000-0000-0000DB740000}"/>
    <cellStyle name="Normal 3 3 15 2 2 9" xfId="29925" xr:uid="{00000000-0005-0000-0000-0000DC740000}"/>
    <cellStyle name="Normal 3 3 15 2 2 9 2" xfId="29926" xr:uid="{00000000-0005-0000-0000-0000DD740000}"/>
    <cellStyle name="Normal 3 3 15 2 2 9 3" xfId="29927" xr:uid="{00000000-0005-0000-0000-0000DE740000}"/>
    <cellStyle name="Normal 3 3 15 2 3" xfId="29928" xr:uid="{00000000-0005-0000-0000-0000DF740000}"/>
    <cellStyle name="Normal 3 3 15 2 3 2" xfId="29929" xr:uid="{00000000-0005-0000-0000-0000E0740000}"/>
    <cellStyle name="Normal 3 3 15 2 3 3" xfId="29930" xr:uid="{00000000-0005-0000-0000-0000E1740000}"/>
    <cellStyle name="Normal 3 3 15 2 4" xfId="29931" xr:uid="{00000000-0005-0000-0000-0000E2740000}"/>
    <cellStyle name="Normal 3 3 15 2 4 2" xfId="29932" xr:uid="{00000000-0005-0000-0000-0000E3740000}"/>
    <cellStyle name="Normal 3 3 15 2 4 3" xfId="29933" xr:uid="{00000000-0005-0000-0000-0000E4740000}"/>
    <cellStyle name="Normal 3 3 15 2 5" xfId="29934" xr:uid="{00000000-0005-0000-0000-0000E5740000}"/>
    <cellStyle name="Normal 3 3 15 2 5 2" xfId="29935" xr:uid="{00000000-0005-0000-0000-0000E6740000}"/>
    <cellStyle name="Normal 3 3 15 2 5 3" xfId="29936" xr:uid="{00000000-0005-0000-0000-0000E7740000}"/>
    <cellStyle name="Normal 3 3 15 2 6" xfId="29937" xr:uid="{00000000-0005-0000-0000-0000E8740000}"/>
    <cellStyle name="Normal 3 3 15 2 6 2" xfId="29938" xr:uid="{00000000-0005-0000-0000-0000E9740000}"/>
    <cellStyle name="Normal 3 3 15 2 6 3" xfId="29939" xr:uid="{00000000-0005-0000-0000-0000EA740000}"/>
    <cellStyle name="Normal 3 3 15 2 7" xfId="29940" xr:uid="{00000000-0005-0000-0000-0000EB740000}"/>
    <cellStyle name="Normal 3 3 15 2 7 2" xfId="29941" xr:uid="{00000000-0005-0000-0000-0000EC740000}"/>
    <cellStyle name="Normal 3 3 15 2 7 3" xfId="29942" xr:uid="{00000000-0005-0000-0000-0000ED740000}"/>
    <cellStyle name="Normal 3 3 15 2 8" xfId="29943" xr:uid="{00000000-0005-0000-0000-0000EE740000}"/>
    <cellStyle name="Normal 3 3 15 2 8 2" xfId="29944" xr:uid="{00000000-0005-0000-0000-0000EF740000}"/>
    <cellStyle name="Normal 3 3 15 2 8 3" xfId="29945" xr:uid="{00000000-0005-0000-0000-0000F0740000}"/>
    <cellStyle name="Normal 3 3 15 2 9" xfId="29946" xr:uid="{00000000-0005-0000-0000-0000F1740000}"/>
    <cellStyle name="Normal 3 3 15 2 9 2" xfId="29947" xr:uid="{00000000-0005-0000-0000-0000F2740000}"/>
    <cellStyle name="Normal 3 3 15 2 9 3" xfId="29948" xr:uid="{00000000-0005-0000-0000-0000F3740000}"/>
    <cellStyle name="Normal 3 3 15 20" xfId="29949" xr:uid="{00000000-0005-0000-0000-0000F4740000}"/>
    <cellStyle name="Normal 3 3 15 20 2" xfId="29950" xr:uid="{00000000-0005-0000-0000-0000F5740000}"/>
    <cellStyle name="Normal 3 3 15 20 3" xfId="29951" xr:uid="{00000000-0005-0000-0000-0000F6740000}"/>
    <cellStyle name="Normal 3 3 15 21" xfId="29952" xr:uid="{00000000-0005-0000-0000-0000F7740000}"/>
    <cellStyle name="Normal 3 3 15 21 2" xfId="29953" xr:uid="{00000000-0005-0000-0000-0000F8740000}"/>
    <cellStyle name="Normal 3 3 15 21 3" xfId="29954" xr:uid="{00000000-0005-0000-0000-0000F9740000}"/>
    <cellStyle name="Normal 3 3 15 22" xfId="29955" xr:uid="{00000000-0005-0000-0000-0000FA740000}"/>
    <cellStyle name="Normal 3 3 15 22 2" xfId="29956" xr:uid="{00000000-0005-0000-0000-0000FB740000}"/>
    <cellStyle name="Normal 3 3 15 22 3" xfId="29957" xr:uid="{00000000-0005-0000-0000-0000FC740000}"/>
    <cellStyle name="Normal 3 3 15 23" xfId="29958" xr:uid="{00000000-0005-0000-0000-0000FD740000}"/>
    <cellStyle name="Normal 3 3 15 23 2" xfId="29959" xr:uid="{00000000-0005-0000-0000-0000FE740000}"/>
    <cellStyle name="Normal 3 3 15 23 3" xfId="29960" xr:uid="{00000000-0005-0000-0000-0000FF740000}"/>
    <cellStyle name="Normal 3 3 15 24" xfId="29961" xr:uid="{00000000-0005-0000-0000-000000750000}"/>
    <cellStyle name="Normal 3 3 15 25" xfId="29962" xr:uid="{00000000-0005-0000-0000-000001750000}"/>
    <cellStyle name="Normal 3 3 15 3" xfId="29963" xr:uid="{00000000-0005-0000-0000-000002750000}"/>
    <cellStyle name="Normal 3 3 15 3 10" xfId="29964" xr:uid="{00000000-0005-0000-0000-000003750000}"/>
    <cellStyle name="Normal 3 3 15 3 10 2" xfId="29965" xr:uid="{00000000-0005-0000-0000-000004750000}"/>
    <cellStyle name="Normal 3 3 15 3 10 3" xfId="29966" xr:uid="{00000000-0005-0000-0000-000005750000}"/>
    <cellStyle name="Normal 3 3 15 3 11" xfId="29967" xr:uid="{00000000-0005-0000-0000-000006750000}"/>
    <cellStyle name="Normal 3 3 15 3 11 2" xfId="29968" xr:uid="{00000000-0005-0000-0000-000007750000}"/>
    <cellStyle name="Normal 3 3 15 3 11 3" xfId="29969" xr:uid="{00000000-0005-0000-0000-000008750000}"/>
    <cellStyle name="Normal 3 3 15 3 12" xfId="29970" xr:uid="{00000000-0005-0000-0000-000009750000}"/>
    <cellStyle name="Normal 3 3 15 3 12 2" xfId="29971" xr:uid="{00000000-0005-0000-0000-00000A750000}"/>
    <cellStyle name="Normal 3 3 15 3 12 3" xfId="29972" xr:uid="{00000000-0005-0000-0000-00000B750000}"/>
    <cellStyle name="Normal 3 3 15 3 13" xfId="29973" xr:uid="{00000000-0005-0000-0000-00000C750000}"/>
    <cellStyle name="Normal 3 3 15 3 13 2" xfId="29974" xr:uid="{00000000-0005-0000-0000-00000D750000}"/>
    <cellStyle name="Normal 3 3 15 3 13 3" xfId="29975" xr:uid="{00000000-0005-0000-0000-00000E750000}"/>
    <cellStyle name="Normal 3 3 15 3 14" xfId="29976" xr:uid="{00000000-0005-0000-0000-00000F750000}"/>
    <cellStyle name="Normal 3 3 15 3 14 2" xfId="29977" xr:uid="{00000000-0005-0000-0000-000010750000}"/>
    <cellStyle name="Normal 3 3 15 3 14 3" xfId="29978" xr:uid="{00000000-0005-0000-0000-000011750000}"/>
    <cellStyle name="Normal 3 3 15 3 15" xfId="29979" xr:uid="{00000000-0005-0000-0000-000012750000}"/>
    <cellStyle name="Normal 3 3 15 3 15 2" xfId="29980" xr:uid="{00000000-0005-0000-0000-000013750000}"/>
    <cellStyle name="Normal 3 3 15 3 15 3" xfId="29981" xr:uid="{00000000-0005-0000-0000-000014750000}"/>
    <cellStyle name="Normal 3 3 15 3 16" xfId="29982" xr:uid="{00000000-0005-0000-0000-000015750000}"/>
    <cellStyle name="Normal 3 3 15 3 17" xfId="29983" xr:uid="{00000000-0005-0000-0000-000016750000}"/>
    <cellStyle name="Normal 3 3 15 3 2" xfId="29984" xr:uid="{00000000-0005-0000-0000-000017750000}"/>
    <cellStyle name="Normal 3 3 15 3 2 10" xfId="29985" xr:uid="{00000000-0005-0000-0000-000018750000}"/>
    <cellStyle name="Normal 3 3 15 3 2 10 2" xfId="29986" xr:uid="{00000000-0005-0000-0000-000019750000}"/>
    <cellStyle name="Normal 3 3 15 3 2 10 3" xfId="29987" xr:uid="{00000000-0005-0000-0000-00001A750000}"/>
    <cellStyle name="Normal 3 3 15 3 2 11" xfId="29988" xr:uid="{00000000-0005-0000-0000-00001B750000}"/>
    <cellStyle name="Normal 3 3 15 3 2 11 2" xfId="29989" xr:uid="{00000000-0005-0000-0000-00001C750000}"/>
    <cellStyle name="Normal 3 3 15 3 2 11 3" xfId="29990" xr:uid="{00000000-0005-0000-0000-00001D750000}"/>
    <cellStyle name="Normal 3 3 15 3 2 12" xfId="29991" xr:uid="{00000000-0005-0000-0000-00001E750000}"/>
    <cellStyle name="Normal 3 3 15 3 2 12 2" xfId="29992" xr:uid="{00000000-0005-0000-0000-00001F750000}"/>
    <cellStyle name="Normal 3 3 15 3 2 12 3" xfId="29993" xr:uid="{00000000-0005-0000-0000-000020750000}"/>
    <cellStyle name="Normal 3 3 15 3 2 13" xfId="29994" xr:uid="{00000000-0005-0000-0000-000021750000}"/>
    <cellStyle name="Normal 3 3 15 3 2 13 2" xfId="29995" xr:uid="{00000000-0005-0000-0000-000022750000}"/>
    <cellStyle name="Normal 3 3 15 3 2 13 3" xfId="29996" xr:uid="{00000000-0005-0000-0000-000023750000}"/>
    <cellStyle name="Normal 3 3 15 3 2 14" xfId="29997" xr:uid="{00000000-0005-0000-0000-000024750000}"/>
    <cellStyle name="Normal 3 3 15 3 2 14 2" xfId="29998" xr:uid="{00000000-0005-0000-0000-000025750000}"/>
    <cellStyle name="Normal 3 3 15 3 2 14 3" xfId="29999" xr:uid="{00000000-0005-0000-0000-000026750000}"/>
    <cellStyle name="Normal 3 3 15 3 2 15" xfId="30000" xr:uid="{00000000-0005-0000-0000-000027750000}"/>
    <cellStyle name="Normal 3 3 15 3 2 16" xfId="30001" xr:uid="{00000000-0005-0000-0000-000028750000}"/>
    <cellStyle name="Normal 3 3 15 3 2 2" xfId="30002" xr:uid="{00000000-0005-0000-0000-000029750000}"/>
    <cellStyle name="Normal 3 3 15 3 2 2 2" xfId="30003" xr:uid="{00000000-0005-0000-0000-00002A750000}"/>
    <cellStyle name="Normal 3 3 15 3 2 2 3" xfId="30004" xr:uid="{00000000-0005-0000-0000-00002B750000}"/>
    <cellStyle name="Normal 3 3 15 3 2 3" xfId="30005" xr:uid="{00000000-0005-0000-0000-00002C750000}"/>
    <cellStyle name="Normal 3 3 15 3 2 3 2" xfId="30006" xr:uid="{00000000-0005-0000-0000-00002D750000}"/>
    <cellStyle name="Normal 3 3 15 3 2 3 3" xfId="30007" xr:uid="{00000000-0005-0000-0000-00002E750000}"/>
    <cellStyle name="Normal 3 3 15 3 2 4" xfId="30008" xr:uid="{00000000-0005-0000-0000-00002F750000}"/>
    <cellStyle name="Normal 3 3 15 3 2 4 2" xfId="30009" xr:uid="{00000000-0005-0000-0000-000030750000}"/>
    <cellStyle name="Normal 3 3 15 3 2 4 3" xfId="30010" xr:uid="{00000000-0005-0000-0000-000031750000}"/>
    <cellStyle name="Normal 3 3 15 3 2 5" xfId="30011" xr:uid="{00000000-0005-0000-0000-000032750000}"/>
    <cellStyle name="Normal 3 3 15 3 2 5 2" xfId="30012" xr:uid="{00000000-0005-0000-0000-000033750000}"/>
    <cellStyle name="Normal 3 3 15 3 2 5 3" xfId="30013" xr:uid="{00000000-0005-0000-0000-000034750000}"/>
    <cellStyle name="Normal 3 3 15 3 2 6" xfId="30014" xr:uid="{00000000-0005-0000-0000-000035750000}"/>
    <cellStyle name="Normal 3 3 15 3 2 6 2" xfId="30015" xr:uid="{00000000-0005-0000-0000-000036750000}"/>
    <cellStyle name="Normal 3 3 15 3 2 6 3" xfId="30016" xr:uid="{00000000-0005-0000-0000-000037750000}"/>
    <cellStyle name="Normal 3 3 15 3 2 7" xfId="30017" xr:uid="{00000000-0005-0000-0000-000038750000}"/>
    <cellStyle name="Normal 3 3 15 3 2 7 2" xfId="30018" xr:uid="{00000000-0005-0000-0000-000039750000}"/>
    <cellStyle name="Normal 3 3 15 3 2 7 3" xfId="30019" xr:uid="{00000000-0005-0000-0000-00003A750000}"/>
    <cellStyle name="Normal 3 3 15 3 2 8" xfId="30020" xr:uid="{00000000-0005-0000-0000-00003B750000}"/>
    <cellStyle name="Normal 3 3 15 3 2 8 2" xfId="30021" xr:uid="{00000000-0005-0000-0000-00003C750000}"/>
    <cellStyle name="Normal 3 3 15 3 2 8 3" xfId="30022" xr:uid="{00000000-0005-0000-0000-00003D750000}"/>
    <cellStyle name="Normal 3 3 15 3 2 9" xfId="30023" xr:uid="{00000000-0005-0000-0000-00003E750000}"/>
    <cellStyle name="Normal 3 3 15 3 2 9 2" xfId="30024" xr:uid="{00000000-0005-0000-0000-00003F750000}"/>
    <cellStyle name="Normal 3 3 15 3 2 9 3" xfId="30025" xr:uid="{00000000-0005-0000-0000-000040750000}"/>
    <cellStyle name="Normal 3 3 15 3 3" xfId="30026" xr:uid="{00000000-0005-0000-0000-000041750000}"/>
    <cellStyle name="Normal 3 3 15 3 3 2" xfId="30027" xr:uid="{00000000-0005-0000-0000-000042750000}"/>
    <cellStyle name="Normal 3 3 15 3 3 3" xfId="30028" xr:uid="{00000000-0005-0000-0000-000043750000}"/>
    <cellStyle name="Normal 3 3 15 3 4" xfId="30029" xr:uid="{00000000-0005-0000-0000-000044750000}"/>
    <cellStyle name="Normal 3 3 15 3 4 2" xfId="30030" xr:uid="{00000000-0005-0000-0000-000045750000}"/>
    <cellStyle name="Normal 3 3 15 3 4 3" xfId="30031" xr:uid="{00000000-0005-0000-0000-000046750000}"/>
    <cellStyle name="Normal 3 3 15 3 5" xfId="30032" xr:uid="{00000000-0005-0000-0000-000047750000}"/>
    <cellStyle name="Normal 3 3 15 3 5 2" xfId="30033" xr:uid="{00000000-0005-0000-0000-000048750000}"/>
    <cellStyle name="Normal 3 3 15 3 5 3" xfId="30034" xr:uid="{00000000-0005-0000-0000-000049750000}"/>
    <cellStyle name="Normal 3 3 15 3 6" xfId="30035" xr:uid="{00000000-0005-0000-0000-00004A750000}"/>
    <cellStyle name="Normal 3 3 15 3 6 2" xfId="30036" xr:uid="{00000000-0005-0000-0000-00004B750000}"/>
    <cellStyle name="Normal 3 3 15 3 6 3" xfId="30037" xr:uid="{00000000-0005-0000-0000-00004C750000}"/>
    <cellStyle name="Normal 3 3 15 3 7" xfId="30038" xr:uid="{00000000-0005-0000-0000-00004D750000}"/>
    <cellStyle name="Normal 3 3 15 3 7 2" xfId="30039" xr:uid="{00000000-0005-0000-0000-00004E750000}"/>
    <cellStyle name="Normal 3 3 15 3 7 3" xfId="30040" xr:uid="{00000000-0005-0000-0000-00004F750000}"/>
    <cellStyle name="Normal 3 3 15 3 8" xfId="30041" xr:uid="{00000000-0005-0000-0000-000050750000}"/>
    <cellStyle name="Normal 3 3 15 3 8 2" xfId="30042" xr:uid="{00000000-0005-0000-0000-000051750000}"/>
    <cellStyle name="Normal 3 3 15 3 8 3" xfId="30043" xr:uid="{00000000-0005-0000-0000-000052750000}"/>
    <cellStyle name="Normal 3 3 15 3 9" xfId="30044" xr:uid="{00000000-0005-0000-0000-000053750000}"/>
    <cellStyle name="Normal 3 3 15 3 9 2" xfId="30045" xr:uid="{00000000-0005-0000-0000-000054750000}"/>
    <cellStyle name="Normal 3 3 15 3 9 3" xfId="30046" xr:uid="{00000000-0005-0000-0000-000055750000}"/>
    <cellStyle name="Normal 3 3 15 4" xfId="30047" xr:uid="{00000000-0005-0000-0000-000056750000}"/>
    <cellStyle name="Normal 3 3 15 4 10" xfId="30048" xr:uid="{00000000-0005-0000-0000-000057750000}"/>
    <cellStyle name="Normal 3 3 15 4 10 2" xfId="30049" xr:uid="{00000000-0005-0000-0000-000058750000}"/>
    <cellStyle name="Normal 3 3 15 4 10 3" xfId="30050" xr:uid="{00000000-0005-0000-0000-000059750000}"/>
    <cellStyle name="Normal 3 3 15 4 11" xfId="30051" xr:uid="{00000000-0005-0000-0000-00005A750000}"/>
    <cellStyle name="Normal 3 3 15 4 11 2" xfId="30052" xr:uid="{00000000-0005-0000-0000-00005B750000}"/>
    <cellStyle name="Normal 3 3 15 4 11 3" xfId="30053" xr:uid="{00000000-0005-0000-0000-00005C750000}"/>
    <cellStyle name="Normal 3 3 15 4 12" xfId="30054" xr:uid="{00000000-0005-0000-0000-00005D750000}"/>
    <cellStyle name="Normal 3 3 15 4 12 2" xfId="30055" xr:uid="{00000000-0005-0000-0000-00005E750000}"/>
    <cellStyle name="Normal 3 3 15 4 12 3" xfId="30056" xr:uid="{00000000-0005-0000-0000-00005F750000}"/>
    <cellStyle name="Normal 3 3 15 4 13" xfId="30057" xr:uid="{00000000-0005-0000-0000-000060750000}"/>
    <cellStyle name="Normal 3 3 15 4 13 2" xfId="30058" xr:uid="{00000000-0005-0000-0000-000061750000}"/>
    <cellStyle name="Normal 3 3 15 4 13 3" xfId="30059" xr:uid="{00000000-0005-0000-0000-000062750000}"/>
    <cellStyle name="Normal 3 3 15 4 14" xfId="30060" xr:uid="{00000000-0005-0000-0000-000063750000}"/>
    <cellStyle name="Normal 3 3 15 4 14 2" xfId="30061" xr:uid="{00000000-0005-0000-0000-000064750000}"/>
    <cellStyle name="Normal 3 3 15 4 14 3" xfId="30062" xr:uid="{00000000-0005-0000-0000-000065750000}"/>
    <cellStyle name="Normal 3 3 15 4 15" xfId="30063" xr:uid="{00000000-0005-0000-0000-000066750000}"/>
    <cellStyle name="Normal 3 3 15 4 15 2" xfId="30064" xr:uid="{00000000-0005-0000-0000-000067750000}"/>
    <cellStyle name="Normal 3 3 15 4 15 3" xfId="30065" xr:uid="{00000000-0005-0000-0000-000068750000}"/>
    <cellStyle name="Normal 3 3 15 4 16" xfId="30066" xr:uid="{00000000-0005-0000-0000-000069750000}"/>
    <cellStyle name="Normal 3 3 15 4 17" xfId="30067" xr:uid="{00000000-0005-0000-0000-00006A750000}"/>
    <cellStyle name="Normal 3 3 15 4 2" xfId="30068" xr:uid="{00000000-0005-0000-0000-00006B750000}"/>
    <cellStyle name="Normal 3 3 15 4 2 10" xfId="30069" xr:uid="{00000000-0005-0000-0000-00006C750000}"/>
    <cellStyle name="Normal 3 3 15 4 2 10 2" xfId="30070" xr:uid="{00000000-0005-0000-0000-00006D750000}"/>
    <cellStyle name="Normal 3 3 15 4 2 10 3" xfId="30071" xr:uid="{00000000-0005-0000-0000-00006E750000}"/>
    <cellStyle name="Normal 3 3 15 4 2 11" xfId="30072" xr:uid="{00000000-0005-0000-0000-00006F750000}"/>
    <cellStyle name="Normal 3 3 15 4 2 11 2" xfId="30073" xr:uid="{00000000-0005-0000-0000-000070750000}"/>
    <cellStyle name="Normal 3 3 15 4 2 11 3" xfId="30074" xr:uid="{00000000-0005-0000-0000-000071750000}"/>
    <cellStyle name="Normal 3 3 15 4 2 12" xfId="30075" xr:uid="{00000000-0005-0000-0000-000072750000}"/>
    <cellStyle name="Normal 3 3 15 4 2 12 2" xfId="30076" xr:uid="{00000000-0005-0000-0000-000073750000}"/>
    <cellStyle name="Normal 3 3 15 4 2 12 3" xfId="30077" xr:uid="{00000000-0005-0000-0000-000074750000}"/>
    <cellStyle name="Normal 3 3 15 4 2 13" xfId="30078" xr:uid="{00000000-0005-0000-0000-000075750000}"/>
    <cellStyle name="Normal 3 3 15 4 2 13 2" xfId="30079" xr:uid="{00000000-0005-0000-0000-000076750000}"/>
    <cellStyle name="Normal 3 3 15 4 2 13 3" xfId="30080" xr:uid="{00000000-0005-0000-0000-000077750000}"/>
    <cellStyle name="Normal 3 3 15 4 2 14" xfId="30081" xr:uid="{00000000-0005-0000-0000-000078750000}"/>
    <cellStyle name="Normal 3 3 15 4 2 14 2" xfId="30082" xr:uid="{00000000-0005-0000-0000-000079750000}"/>
    <cellStyle name="Normal 3 3 15 4 2 14 3" xfId="30083" xr:uid="{00000000-0005-0000-0000-00007A750000}"/>
    <cellStyle name="Normal 3 3 15 4 2 15" xfId="30084" xr:uid="{00000000-0005-0000-0000-00007B750000}"/>
    <cellStyle name="Normal 3 3 15 4 2 16" xfId="30085" xr:uid="{00000000-0005-0000-0000-00007C750000}"/>
    <cellStyle name="Normal 3 3 15 4 2 2" xfId="30086" xr:uid="{00000000-0005-0000-0000-00007D750000}"/>
    <cellStyle name="Normal 3 3 15 4 2 2 2" xfId="30087" xr:uid="{00000000-0005-0000-0000-00007E750000}"/>
    <cellStyle name="Normal 3 3 15 4 2 2 3" xfId="30088" xr:uid="{00000000-0005-0000-0000-00007F750000}"/>
    <cellStyle name="Normal 3 3 15 4 2 3" xfId="30089" xr:uid="{00000000-0005-0000-0000-000080750000}"/>
    <cellStyle name="Normal 3 3 15 4 2 3 2" xfId="30090" xr:uid="{00000000-0005-0000-0000-000081750000}"/>
    <cellStyle name="Normal 3 3 15 4 2 3 3" xfId="30091" xr:uid="{00000000-0005-0000-0000-000082750000}"/>
    <cellStyle name="Normal 3 3 15 4 2 4" xfId="30092" xr:uid="{00000000-0005-0000-0000-000083750000}"/>
    <cellStyle name="Normal 3 3 15 4 2 4 2" xfId="30093" xr:uid="{00000000-0005-0000-0000-000084750000}"/>
    <cellStyle name="Normal 3 3 15 4 2 4 3" xfId="30094" xr:uid="{00000000-0005-0000-0000-000085750000}"/>
    <cellStyle name="Normal 3 3 15 4 2 5" xfId="30095" xr:uid="{00000000-0005-0000-0000-000086750000}"/>
    <cellStyle name="Normal 3 3 15 4 2 5 2" xfId="30096" xr:uid="{00000000-0005-0000-0000-000087750000}"/>
    <cellStyle name="Normal 3 3 15 4 2 5 3" xfId="30097" xr:uid="{00000000-0005-0000-0000-000088750000}"/>
    <cellStyle name="Normal 3 3 15 4 2 6" xfId="30098" xr:uid="{00000000-0005-0000-0000-000089750000}"/>
    <cellStyle name="Normal 3 3 15 4 2 6 2" xfId="30099" xr:uid="{00000000-0005-0000-0000-00008A750000}"/>
    <cellStyle name="Normal 3 3 15 4 2 6 3" xfId="30100" xr:uid="{00000000-0005-0000-0000-00008B750000}"/>
    <cellStyle name="Normal 3 3 15 4 2 7" xfId="30101" xr:uid="{00000000-0005-0000-0000-00008C750000}"/>
    <cellStyle name="Normal 3 3 15 4 2 7 2" xfId="30102" xr:uid="{00000000-0005-0000-0000-00008D750000}"/>
    <cellStyle name="Normal 3 3 15 4 2 7 3" xfId="30103" xr:uid="{00000000-0005-0000-0000-00008E750000}"/>
    <cellStyle name="Normal 3 3 15 4 2 8" xfId="30104" xr:uid="{00000000-0005-0000-0000-00008F750000}"/>
    <cellStyle name="Normal 3 3 15 4 2 8 2" xfId="30105" xr:uid="{00000000-0005-0000-0000-000090750000}"/>
    <cellStyle name="Normal 3 3 15 4 2 8 3" xfId="30106" xr:uid="{00000000-0005-0000-0000-000091750000}"/>
    <cellStyle name="Normal 3 3 15 4 2 9" xfId="30107" xr:uid="{00000000-0005-0000-0000-000092750000}"/>
    <cellStyle name="Normal 3 3 15 4 2 9 2" xfId="30108" xr:uid="{00000000-0005-0000-0000-000093750000}"/>
    <cellStyle name="Normal 3 3 15 4 2 9 3" xfId="30109" xr:uid="{00000000-0005-0000-0000-000094750000}"/>
    <cellStyle name="Normal 3 3 15 4 3" xfId="30110" xr:uid="{00000000-0005-0000-0000-000095750000}"/>
    <cellStyle name="Normal 3 3 15 4 3 2" xfId="30111" xr:uid="{00000000-0005-0000-0000-000096750000}"/>
    <cellStyle name="Normal 3 3 15 4 3 3" xfId="30112" xr:uid="{00000000-0005-0000-0000-000097750000}"/>
    <cellStyle name="Normal 3 3 15 4 4" xfId="30113" xr:uid="{00000000-0005-0000-0000-000098750000}"/>
    <cellStyle name="Normal 3 3 15 4 4 2" xfId="30114" xr:uid="{00000000-0005-0000-0000-000099750000}"/>
    <cellStyle name="Normal 3 3 15 4 4 3" xfId="30115" xr:uid="{00000000-0005-0000-0000-00009A750000}"/>
    <cellStyle name="Normal 3 3 15 4 5" xfId="30116" xr:uid="{00000000-0005-0000-0000-00009B750000}"/>
    <cellStyle name="Normal 3 3 15 4 5 2" xfId="30117" xr:uid="{00000000-0005-0000-0000-00009C750000}"/>
    <cellStyle name="Normal 3 3 15 4 5 3" xfId="30118" xr:uid="{00000000-0005-0000-0000-00009D750000}"/>
    <cellStyle name="Normal 3 3 15 4 6" xfId="30119" xr:uid="{00000000-0005-0000-0000-00009E750000}"/>
    <cellStyle name="Normal 3 3 15 4 6 2" xfId="30120" xr:uid="{00000000-0005-0000-0000-00009F750000}"/>
    <cellStyle name="Normal 3 3 15 4 6 3" xfId="30121" xr:uid="{00000000-0005-0000-0000-0000A0750000}"/>
    <cellStyle name="Normal 3 3 15 4 7" xfId="30122" xr:uid="{00000000-0005-0000-0000-0000A1750000}"/>
    <cellStyle name="Normal 3 3 15 4 7 2" xfId="30123" xr:uid="{00000000-0005-0000-0000-0000A2750000}"/>
    <cellStyle name="Normal 3 3 15 4 7 3" xfId="30124" xr:uid="{00000000-0005-0000-0000-0000A3750000}"/>
    <cellStyle name="Normal 3 3 15 4 8" xfId="30125" xr:uid="{00000000-0005-0000-0000-0000A4750000}"/>
    <cellStyle name="Normal 3 3 15 4 8 2" xfId="30126" xr:uid="{00000000-0005-0000-0000-0000A5750000}"/>
    <cellStyle name="Normal 3 3 15 4 8 3" xfId="30127" xr:uid="{00000000-0005-0000-0000-0000A6750000}"/>
    <cellStyle name="Normal 3 3 15 4 9" xfId="30128" xr:uid="{00000000-0005-0000-0000-0000A7750000}"/>
    <cellStyle name="Normal 3 3 15 4 9 2" xfId="30129" xr:uid="{00000000-0005-0000-0000-0000A8750000}"/>
    <cellStyle name="Normal 3 3 15 4 9 3" xfId="30130" xr:uid="{00000000-0005-0000-0000-0000A9750000}"/>
    <cellStyle name="Normal 3 3 15 5" xfId="30131" xr:uid="{00000000-0005-0000-0000-0000AA750000}"/>
    <cellStyle name="Normal 3 3 15 5 10" xfId="30132" xr:uid="{00000000-0005-0000-0000-0000AB750000}"/>
    <cellStyle name="Normal 3 3 15 5 10 2" xfId="30133" xr:uid="{00000000-0005-0000-0000-0000AC750000}"/>
    <cellStyle name="Normal 3 3 15 5 10 3" xfId="30134" xr:uid="{00000000-0005-0000-0000-0000AD750000}"/>
    <cellStyle name="Normal 3 3 15 5 11" xfId="30135" xr:uid="{00000000-0005-0000-0000-0000AE750000}"/>
    <cellStyle name="Normal 3 3 15 5 11 2" xfId="30136" xr:uid="{00000000-0005-0000-0000-0000AF750000}"/>
    <cellStyle name="Normal 3 3 15 5 11 3" xfId="30137" xr:uid="{00000000-0005-0000-0000-0000B0750000}"/>
    <cellStyle name="Normal 3 3 15 5 12" xfId="30138" xr:uid="{00000000-0005-0000-0000-0000B1750000}"/>
    <cellStyle name="Normal 3 3 15 5 12 2" xfId="30139" xr:uid="{00000000-0005-0000-0000-0000B2750000}"/>
    <cellStyle name="Normal 3 3 15 5 12 3" xfId="30140" xr:uid="{00000000-0005-0000-0000-0000B3750000}"/>
    <cellStyle name="Normal 3 3 15 5 13" xfId="30141" xr:uid="{00000000-0005-0000-0000-0000B4750000}"/>
    <cellStyle name="Normal 3 3 15 5 13 2" xfId="30142" xr:uid="{00000000-0005-0000-0000-0000B5750000}"/>
    <cellStyle name="Normal 3 3 15 5 13 3" xfId="30143" xr:uid="{00000000-0005-0000-0000-0000B6750000}"/>
    <cellStyle name="Normal 3 3 15 5 14" xfId="30144" xr:uid="{00000000-0005-0000-0000-0000B7750000}"/>
    <cellStyle name="Normal 3 3 15 5 14 2" xfId="30145" xr:uid="{00000000-0005-0000-0000-0000B8750000}"/>
    <cellStyle name="Normal 3 3 15 5 14 3" xfId="30146" xr:uid="{00000000-0005-0000-0000-0000B9750000}"/>
    <cellStyle name="Normal 3 3 15 5 15" xfId="30147" xr:uid="{00000000-0005-0000-0000-0000BA750000}"/>
    <cellStyle name="Normal 3 3 15 5 16" xfId="30148" xr:uid="{00000000-0005-0000-0000-0000BB750000}"/>
    <cellStyle name="Normal 3 3 15 5 2" xfId="30149" xr:uid="{00000000-0005-0000-0000-0000BC750000}"/>
    <cellStyle name="Normal 3 3 15 5 2 2" xfId="30150" xr:uid="{00000000-0005-0000-0000-0000BD750000}"/>
    <cellStyle name="Normal 3 3 15 5 2 3" xfId="30151" xr:uid="{00000000-0005-0000-0000-0000BE750000}"/>
    <cellStyle name="Normal 3 3 15 5 3" xfId="30152" xr:uid="{00000000-0005-0000-0000-0000BF750000}"/>
    <cellStyle name="Normal 3 3 15 5 3 2" xfId="30153" xr:uid="{00000000-0005-0000-0000-0000C0750000}"/>
    <cellStyle name="Normal 3 3 15 5 3 3" xfId="30154" xr:uid="{00000000-0005-0000-0000-0000C1750000}"/>
    <cellStyle name="Normal 3 3 15 5 4" xfId="30155" xr:uid="{00000000-0005-0000-0000-0000C2750000}"/>
    <cellStyle name="Normal 3 3 15 5 4 2" xfId="30156" xr:uid="{00000000-0005-0000-0000-0000C3750000}"/>
    <cellStyle name="Normal 3 3 15 5 4 3" xfId="30157" xr:uid="{00000000-0005-0000-0000-0000C4750000}"/>
    <cellStyle name="Normal 3 3 15 5 5" xfId="30158" xr:uid="{00000000-0005-0000-0000-0000C5750000}"/>
    <cellStyle name="Normal 3 3 15 5 5 2" xfId="30159" xr:uid="{00000000-0005-0000-0000-0000C6750000}"/>
    <cellStyle name="Normal 3 3 15 5 5 3" xfId="30160" xr:uid="{00000000-0005-0000-0000-0000C7750000}"/>
    <cellStyle name="Normal 3 3 15 5 6" xfId="30161" xr:uid="{00000000-0005-0000-0000-0000C8750000}"/>
    <cellStyle name="Normal 3 3 15 5 6 2" xfId="30162" xr:uid="{00000000-0005-0000-0000-0000C9750000}"/>
    <cellStyle name="Normal 3 3 15 5 6 3" xfId="30163" xr:uid="{00000000-0005-0000-0000-0000CA750000}"/>
    <cellStyle name="Normal 3 3 15 5 7" xfId="30164" xr:uid="{00000000-0005-0000-0000-0000CB750000}"/>
    <cellStyle name="Normal 3 3 15 5 7 2" xfId="30165" xr:uid="{00000000-0005-0000-0000-0000CC750000}"/>
    <cellStyle name="Normal 3 3 15 5 7 3" xfId="30166" xr:uid="{00000000-0005-0000-0000-0000CD750000}"/>
    <cellStyle name="Normal 3 3 15 5 8" xfId="30167" xr:uid="{00000000-0005-0000-0000-0000CE750000}"/>
    <cellStyle name="Normal 3 3 15 5 8 2" xfId="30168" xr:uid="{00000000-0005-0000-0000-0000CF750000}"/>
    <cellStyle name="Normal 3 3 15 5 8 3" xfId="30169" xr:uid="{00000000-0005-0000-0000-0000D0750000}"/>
    <cellStyle name="Normal 3 3 15 5 9" xfId="30170" xr:uid="{00000000-0005-0000-0000-0000D1750000}"/>
    <cellStyle name="Normal 3 3 15 5 9 2" xfId="30171" xr:uid="{00000000-0005-0000-0000-0000D2750000}"/>
    <cellStyle name="Normal 3 3 15 5 9 3" xfId="30172" xr:uid="{00000000-0005-0000-0000-0000D3750000}"/>
    <cellStyle name="Normal 3 3 15 6" xfId="30173" xr:uid="{00000000-0005-0000-0000-0000D4750000}"/>
    <cellStyle name="Normal 3 3 15 6 10" xfId="30174" xr:uid="{00000000-0005-0000-0000-0000D5750000}"/>
    <cellStyle name="Normal 3 3 15 6 10 2" xfId="30175" xr:uid="{00000000-0005-0000-0000-0000D6750000}"/>
    <cellStyle name="Normal 3 3 15 6 10 3" xfId="30176" xr:uid="{00000000-0005-0000-0000-0000D7750000}"/>
    <cellStyle name="Normal 3 3 15 6 11" xfId="30177" xr:uid="{00000000-0005-0000-0000-0000D8750000}"/>
    <cellStyle name="Normal 3 3 15 6 11 2" xfId="30178" xr:uid="{00000000-0005-0000-0000-0000D9750000}"/>
    <cellStyle name="Normal 3 3 15 6 11 3" xfId="30179" xr:uid="{00000000-0005-0000-0000-0000DA750000}"/>
    <cellStyle name="Normal 3 3 15 6 12" xfId="30180" xr:uid="{00000000-0005-0000-0000-0000DB750000}"/>
    <cellStyle name="Normal 3 3 15 6 12 2" xfId="30181" xr:uid="{00000000-0005-0000-0000-0000DC750000}"/>
    <cellStyle name="Normal 3 3 15 6 12 3" xfId="30182" xr:uid="{00000000-0005-0000-0000-0000DD750000}"/>
    <cellStyle name="Normal 3 3 15 6 13" xfId="30183" xr:uid="{00000000-0005-0000-0000-0000DE750000}"/>
    <cellStyle name="Normal 3 3 15 6 13 2" xfId="30184" xr:uid="{00000000-0005-0000-0000-0000DF750000}"/>
    <cellStyle name="Normal 3 3 15 6 13 3" xfId="30185" xr:uid="{00000000-0005-0000-0000-0000E0750000}"/>
    <cellStyle name="Normal 3 3 15 6 14" xfId="30186" xr:uid="{00000000-0005-0000-0000-0000E1750000}"/>
    <cellStyle name="Normal 3 3 15 6 14 2" xfId="30187" xr:uid="{00000000-0005-0000-0000-0000E2750000}"/>
    <cellStyle name="Normal 3 3 15 6 14 3" xfId="30188" xr:uid="{00000000-0005-0000-0000-0000E3750000}"/>
    <cellStyle name="Normal 3 3 15 6 15" xfId="30189" xr:uid="{00000000-0005-0000-0000-0000E4750000}"/>
    <cellStyle name="Normal 3 3 15 6 16" xfId="30190" xr:uid="{00000000-0005-0000-0000-0000E5750000}"/>
    <cellStyle name="Normal 3 3 15 6 2" xfId="30191" xr:uid="{00000000-0005-0000-0000-0000E6750000}"/>
    <cellStyle name="Normal 3 3 15 6 2 2" xfId="30192" xr:uid="{00000000-0005-0000-0000-0000E7750000}"/>
    <cellStyle name="Normal 3 3 15 6 2 3" xfId="30193" xr:uid="{00000000-0005-0000-0000-0000E8750000}"/>
    <cellStyle name="Normal 3 3 15 6 3" xfId="30194" xr:uid="{00000000-0005-0000-0000-0000E9750000}"/>
    <cellStyle name="Normal 3 3 15 6 3 2" xfId="30195" xr:uid="{00000000-0005-0000-0000-0000EA750000}"/>
    <cellStyle name="Normal 3 3 15 6 3 3" xfId="30196" xr:uid="{00000000-0005-0000-0000-0000EB750000}"/>
    <cellStyle name="Normal 3 3 15 6 4" xfId="30197" xr:uid="{00000000-0005-0000-0000-0000EC750000}"/>
    <cellStyle name="Normal 3 3 15 6 4 2" xfId="30198" xr:uid="{00000000-0005-0000-0000-0000ED750000}"/>
    <cellStyle name="Normal 3 3 15 6 4 3" xfId="30199" xr:uid="{00000000-0005-0000-0000-0000EE750000}"/>
    <cellStyle name="Normal 3 3 15 6 5" xfId="30200" xr:uid="{00000000-0005-0000-0000-0000EF750000}"/>
    <cellStyle name="Normal 3 3 15 6 5 2" xfId="30201" xr:uid="{00000000-0005-0000-0000-0000F0750000}"/>
    <cellStyle name="Normal 3 3 15 6 5 3" xfId="30202" xr:uid="{00000000-0005-0000-0000-0000F1750000}"/>
    <cellStyle name="Normal 3 3 15 6 6" xfId="30203" xr:uid="{00000000-0005-0000-0000-0000F2750000}"/>
    <cellStyle name="Normal 3 3 15 6 6 2" xfId="30204" xr:uid="{00000000-0005-0000-0000-0000F3750000}"/>
    <cellStyle name="Normal 3 3 15 6 6 3" xfId="30205" xr:uid="{00000000-0005-0000-0000-0000F4750000}"/>
    <cellStyle name="Normal 3 3 15 6 7" xfId="30206" xr:uid="{00000000-0005-0000-0000-0000F5750000}"/>
    <cellStyle name="Normal 3 3 15 6 7 2" xfId="30207" xr:uid="{00000000-0005-0000-0000-0000F6750000}"/>
    <cellStyle name="Normal 3 3 15 6 7 3" xfId="30208" xr:uid="{00000000-0005-0000-0000-0000F7750000}"/>
    <cellStyle name="Normal 3 3 15 6 8" xfId="30209" xr:uid="{00000000-0005-0000-0000-0000F8750000}"/>
    <cellStyle name="Normal 3 3 15 6 8 2" xfId="30210" xr:uid="{00000000-0005-0000-0000-0000F9750000}"/>
    <cellStyle name="Normal 3 3 15 6 8 3" xfId="30211" xr:uid="{00000000-0005-0000-0000-0000FA750000}"/>
    <cellStyle name="Normal 3 3 15 6 9" xfId="30212" xr:uid="{00000000-0005-0000-0000-0000FB750000}"/>
    <cellStyle name="Normal 3 3 15 6 9 2" xfId="30213" xr:uid="{00000000-0005-0000-0000-0000FC750000}"/>
    <cellStyle name="Normal 3 3 15 6 9 3" xfId="30214" xr:uid="{00000000-0005-0000-0000-0000FD750000}"/>
    <cellStyle name="Normal 3 3 15 7" xfId="30215" xr:uid="{00000000-0005-0000-0000-0000FE750000}"/>
    <cellStyle name="Normal 3 3 15 7 10" xfId="30216" xr:uid="{00000000-0005-0000-0000-0000FF750000}"/>
    <cellStyle name="Normal 3 3 15 7 10 2" xfId="30217" xr:uid="{00000000-0005-0000-0000-000000760000}"/>
    <cellStyle name="Normal 3 3 15 7 10 3" xfId="30218" xr:uid="{00000000-0005-0000-0000-000001760000}"/>
    <cellStyle name="Normal 3 3 15 7 11" xfId="30219" xr:uid="{00000000-0005-0000-0000-000002760000}"/>
    <cellStyle name="Normal 3 3 15 7 11 2" xfId="30220" xr:uid="{00000000-0005-0000-0000-000003760000}"/>
    <cellStyle name="Normal 3 3 15 7 11 3" xfId="30221" xr:uid="{00000000-0005-0000-0000-000004760000}"/>
    <cellStyle name="Normal 3 3 15 7 12" xfId="30222" xr:uid="{00000000-0005-0000-0000-000005760000}"/>
    <cellStyle name="Normal 3 3 15 7 12 2" xfId="30223" xr:uid="{00000000-0005-0000-0000-000006760000}"/>
    <cellStyle name="Normal 3 3 15 7 12 3" xfId="30224" xr:uid="{00000000-0005-0000-0000-000007760000}"/>
    <cellStyle name="Normal 3 3 15 7 13" xfId="30225" xr:uid="{00000000-0005-0000-0000-000008760000}"/>
    <cellStyle name="Normal 3 3 15 7 13 2" xfId="30226" xr:uid="{00000000-0005-0000-0000-000009760000}"/>
    <cellStyle name="Normal 3 3 15 7 13 3" xfId="30227" xr:uid="{00000000-0005-0000-0000-00000A760000}"/>
    <cellStyle name="Normal 3 3 15 7 14" xfId="30228" xr:uid="{00000000-0005-0000-0000-00000B760000}"/>
    <cellStyle name="Normal 3 3 15 7 14 2" xfId="30229" xr:uid="{00000000-0005-0000-0000-00000C760000}"/>
    <cellStyle name="Normal 3 3 15 7 14 3" xfId="30230" xr:uid="{00000000-0005-0000-0000-00000D760000}"/>
    <cellStyle name="Normal 3 3 15 7 15" xfId="30231" xr:uid="{00000000-0005-0000-0000-00000E760000}"/>
    <cellStyle name="Normal 3 3 15 7 16" xfId="30232" xr:uid="{00000000-0005-0000-0000-00000F760000}"/>
    <cellStyle name="Normal 3 3 15 7 2" xfId="30233" xr:uid="{00000000-0005-0000-0000-000010760000}"/>
    <cellStyle name="Normal 3 3 15 7 2 2" xfId="30234" xr:uid="{00000000-0005-0000-0000-000011760000}"/>
    <cellStyle name="Normal 3 3 15 7 2 3" xfId="30235" xr:uid="{00000000-0005-0000-0000-000012760000}"/>
    <cellStyle name="Normal 3 3 15 7 3" xfId="30236" xr:uid="{00000000-0005-0000-0000-000013760000}"/>
    <cellStyle name="Normal 3 3 15 7 3 2" xfId="30237" xr:uid="{00000000-0005-0000-0000-000014760000}"/>
    <cellStyle name="Normal 3 3 15 7 3 3" xfId="30238" xr:uid="{00000000-0005-0000-0000-000015760000}"/>
    <cellStyle name="Normal 3 3 15 7 4" xfId="30239" xr:uid="{00000000-0005-0000-0000-000016760000}"/>
    <cellStyle name="Normal 3 3 15 7 4 2" xfId="30240" xr:uid="{00000000-0005-0000-0000-000017760000}"/>
    <cellStyle name="Normal 3 3 15 7 4 3" xfId="30241" xr:uid="{00000000-0005-0000-0000-000018760000}"/>
    <cellStyle name="Normal 3 3 15 7 5" xfId="30242" xr:uid="{00000000-0005-0000-0000-000019760000}"/>
    <cellStyle name="Normal 3 3 15 7 5 2" xfId="30243" xr:uid="{00000000-0005-0000-0000-00001A760000}"/>
    <cellStyle name="Normal 3 3 15 7 5 3" xfId="30244" xr:uid="{00000000-0005-0000-0000-00001B760000}"/>
    <cellStyle name="Normal 3 3 15 7 6" xfId="30245" xr:uid="{00000000-0005-0000-0000-00001C760000}"/>
    <cellStyle name="Normal 3 3 15 7 6 2" xfId="30246" xr:uid="{00000000-0005-0000-0000-00001D760000}"/>
    <cellStyle name="Normal 3 3 15 7 6 3" xfId="30247" xr:uid="{00000000-0005-0000-0000-00001E760000}"/>
    <cellStyle name="Normal 3 3 15 7 7" xfId="30248" xr:uid="{00000000-0005-0000-0000-00001F760000}"/>
    <cellStyle name="Normal 3 3 15 7 7 2" xfId="30249" xr:uid="{00000000-0005-0000-0000-000020760000}"/>
    <cellStyle name="Normal 3 3 15 7 7 3" xfId="30250" xr:uid="{00000000-0005-0000-0000-000021760000}"/>
    <cellStyle name="Normal 3 3 15 7 8" xfId="30251" xr:uid="{00000000-0005-0000-0000-000022760000}"/>
    <cellStyle name="Normal 3 3 15 7 8 2" xfId="30252" xr:uid="{00000000-0005-0000-0000-000023760000}"/>
    <cellStyle name="Normal 3 3 15 7 8 3" xfId="30253" xr:uid="{00000000-0005-0000-0000-000024760000}"/>
    <cellStyle name="Normal 3 3 15 7 9" xfId="30254" xr:uid="{00000000-0005-0000-0000-000025760000}"/>
    <cellStyle name="Normal 3 3 15 7 9 2" xfId="30255" xr:uid="{00000000-0005-0000-0000-000026760000}"/>
    <cellStyle name="Normal 3 3 15 7 9 3" xfId="30256" xr:uid="{00000000-0005-0000-0000-000027760000}"/>
    <cellStyle name="Normal 3 3 15 8" xfId="30257" xr:uid="{00000000-0005-0000-0000-000028760000}"/>
    <cellStyle name="Normal 3 3 15 8 10" xfId="30258" xr:uid="{00000000-0005-0000-0000-000029760000}"/>
    <cellStyle name="Normal 3 3 15 8 10 2" xfId="30259" xr:uid="{00000000-0005-0000-0000-00002A760000}"/>
    <cellStyle name="Normal 3 3 15 8 10 3" xfId="30260" xr:uid="{00000000-0005-0000-0000-00002B760000}"/>
    <cellStyle name="Normal 3 3 15 8 11" xfId="30261" xr:uid="{00000000-0005-0000-0000-00002C760000}"/>
    <cellStyle name="Normal 3 3 15 8 11 2" xfId="30262" xr:uid="{00000000-0005-0000-0000-00002D760000}"/>
    <cellStyle name="Normal 3 3 15 8 11 3" xfId="30263" xr:uid="{00000000-0005-0000-0000-00002E760000}"/>
    <cellStyle name="Normal 3 3 15 8 12" xfId="30264" xr:uid="{00000000-0005-0000-0000-00002F760000}"/>
    <cellStyle name="Normal 3 3 15 8 12 2" xfId="30265" xr:uid="{00000000-0005-0000-0000-000030760000}"/>
    <cellStyle name="Normal 3 3 15 8 12 3" xfId="30266" xr:uid="{00000000-0005-0000-0000-000031760000}"/>
    <cellStyle name="Normal 3 3 15 8 13" xfId="30267" xr:uid="{00000000-0005-0000-0000-000032760000}"/>
    <cellStyle name="Normal 3 3 15 8 13 2" xfId="30268" xr:uid="{00000000-0005-0000-0000-000033760000}"/>
    <cellStyle name="Normal 3 3 15 8 13 3" xfId="30269" xr:uid="{00000000-0005-0000-0000-000034760000}"/>
    <cellStyle name="Normal 3 3 15 8 14" xfId="30270" xr:uid="{00000000-0005-0000-0000-000035760000}"/>
    <cellStyle name="Normal 3 3 15 8 14 2" xfId="30271" xr:uid="{00000000-0005-0000-0000-000036760000}"/>
    <cellStyle name="Normal 3 3 15 8 14 3" xfId="30272" xr:uid="{00000000-0005-0000-0000-000037760000}"/>
    <cellStyle name="Normal 3 3 15 8 15" xfId="30273" xr:uid="{00000000-0005-0000-0000-000038760000}"/>
    <cellStyle name="Normal 3 3 15 8 16" xfId="30274" xr:uid="{00000000-0005-0000-0000-000039760000}"/>
    <cellStyle name="Normal 3 3 15 8 2" xfId="30275" xr:uid="{00000000-0005-0000-0000-00003A760000}"/>
    <cellStyle name="Normal 3 3 15 8 2 2" xfId="30276" xr:uid="{00000000-0005-0000-0000-00003B760000}"/>
    <cellStyle name="Normal 3 3 15 8 2 3" xfId="30277" xr:uid="{00000000-0005-0000-0000-00003C760000}"/>
    <cellStyle name="Normal 3 3 15 8 3" xfId="30278" xr:uid="{00000000-0005-0000-0000-00003D760000}"/>
    <cellStyle name="Normal 3 3 15 8 3 2" xfId="30279" xr:uid="{00000000-0005-0000-0000-00003E760000}"/>
    <cellStyle name="Normal 3 3 15 8 3 3" xfId="30280" xr:uid="{00000000-0005-0000-0000-00003F760000}"/>
    <cellStyle name="Normal 3 3 15 8 4" xfId="30281" xr:uid="{00000000-0005-0000-0000-000040760000}"/>
    <cellStyle name="Normal 3 3 15 8 4 2" xfId="30282" xr:uid="{00000000-0005-0000-0000-000041760000}"/>
    <cellStyle name="Normal 3 3 15 8 4 3" xfId="30283" xr:uid="{00000000-0005-0000-0000-000042760000}"/>
    <cellStyle name="Normal 3 3 15 8 5" xfId="30284" xr:uid="{00000000-0005-0000-0000-000043760000}"/>
    <cellStyle name="Normal 3 3 15 8 5 2" xfId="30285" xr:uid="{00000000-0005-0000-0000-000044760000}"/>
    <cellStyle name="Normal 3 3 15 8 5 3" xfId="30286" xr:uid="{00000000-0005-0000-0000-000045760000}"/>
    <cellStyle name="Normal 3 3 15 8 6" xfId="30287" xr:uid="{00000000-0005-0000-0000-000046760000}"/>
    <cellStyle name="Normal 3 3 15 8 6 2" xfId="30288" xr:uid="{00000000-0005-0000-0000-000047760000}"/>
    <cellStyle name="Normal 3 3 15 8 6 3" xfId="30289" xr:uid="{00000000-0005-0000-0000-000048760000}"/>
    <cellStyle name="Normal 3 3 15 8 7" xfId="30290" xr:uid="{00000000-0005-0000-0000-000049760000}"/>
    <cellStyle name="Normal 3 3 15 8 7 2" xfId="30291" xr:uid="{00000000-0005-0000-0000-00004A760000}"/>
    <cellStyle name="Normal 3 3 15 8 7 3" xfId="30292" xr:uid="{00000000-0005-0000-0000-00004B760000}"/>
    <cellStyle name="Normal 3 3 15 8 8" xfId="30293" xr:uid="{00000000-0005-0000-0000-00004C760000}"/>
    <cellStyle name="Normal 3 3 15 8 8 2" xfId="30294" xr:uid="{00000000-0005-0000-0000-00004D760000}"/>
    <cellStyle name="Normal 3 3 15 8 8 3" xfId="30295" xr:uid="{00000000-0005-0000-0000-00004E760000}"/>
    <cellStyle name="Normal 3 3 15 8 9" xfId="30296" xr:uid="{00000000-0005-0000-0000-00004F760000}"/>
    <cellStyle name="Normal 3 3 15 8 9 2" xfId="30297" xr:uid="{00000000-0005-0000-0000-000050760000}"/>
    <cellStyle name="Normal 3 3 15 8 9 3" xfId="30298" xr:uid="{00000000-0005-0000-0000-000051760000}"/>
    <cellStyle name="Normal 3 3 15 9" xfId="30299" xr:uid="{00000000-0005-0000-0000-000052760000}"/>
    <cellStyle name="Normal 3 3 15 9 10" xfId="30300" xr:uid="{00000000-0005-0000-0000-000053760000}"/>
    <cellStyle name="Normal 3 3 15 9 10 2" xfId="30301" xr:uid="{00000000-0005-0000-0000-000054760000}"/>
    <cellStyle name="Normal 3 3 15 9 10 3" xfId="30302" xr:uid="{00000000-0005-0000-0000-000055760000}"/>
    <cellStyle name="Normal 3 3 15 9 11" xfId="30303" xr:uid="{00000000-0005-0000-0000-000056760000}"/>
    <cellStyle name="Normal 3 3 15 9 11 2" xfId="30304" xr:uid="{00000000-0005-0000-0000-000057760000}"/>
    <cellStyle name="Normal 3 3 15 9 11 3" xfId="30305" xr:uid="{00000000-0005-0000-0000-000058760000}"/>
    <cellStyle name="Normal 3 3 15 9 12" xfId="30306" xr:uid="{00000000-0005-0000-0000-000059760000}"/>
    <cellStyle name="Normal 3 3 15 9 12 2" xfId="30307" xr:uid="{00000000-0005-0000-0000-00005A760000}"/>
    <cellStyle name="Normal 3 3 15 9 12 3" xfId="30308" xr:uid="{00000000-0005-0000-0000-00005B760000}"/>
    <cellStyle name="Normal 3 3 15 9 13" xfId="30309" xr:uid="{00000000-0005-0000-0000-00005C760000}"/>
    <cellStyle name="Normal 3 3 15 9 13 2" xfId="30310" xr:uid="{00000000-0005-0000-0000-00005D760000}"/>
    <cellStyle name="Normal 3 3 15 9 13 3" xfId="30311" xr:uid="{00000000-0005-0000-0000-00005E760000}"/>
    <cellStyle name="Normal 3 3 15 9 14" xfId="30312" xr:uid="{00000000-0005-0000-0000-00005F760000}"/>
    <cellStyle name="Normal 3 3 15 9 14 2" xfId="30313" xr:uid="{00000000-0005-0000-0000-000060760000}"/>
    <cellStyle name="Normal 3 3 15 9 14 3" xfId="30314" xr:uid="{00000000-0005-0000-0000-000061760000}"/>
    <cellStyle name="Normal 3 3 15 9 15" xfId="30315" xr:uid="{00000000-0005-0000-0000-000062760000}"/>
    <cellStyle name="Normal 3 3 15 9 16" xfId="30316" xr:uid="{00000000-0005-0000-0000-000063760000}"/>
    <cellStyle name="Normal 3 3 15 9 2" xfId="30317" xr:uid="{00000000-0005-0000-0000-000064760000}"/>
    <cellStyle name="Normal 3 3 15 9 2 2" xfId="30318" xr:uid="{00000000-0005-0000-0000-000065760000}"/>
    <cellStyle name="Normal 3 3 15 9 2 3" xfId="30319" xr:uid="{00000000-0005-0000-0000-000066760000}"/>
    <cellStyle name="Normal 3 3 15 9 3" xfId="30320" xr:uid="{00000000-0005-0000-0000-000067760000}"/>
    <cellStyle name="Normal 3 3 15 9 3 2" xfId="30321" xr:uid="{00000000-0005-0000-0000-000068760000}"/>
    <cellStyle name="Normal 3 3 15 9 3 3" xfId="30322" xr:uid="{00000000-0005-0000-0000-000069760000}"/>
    <cellStyle name="Normal 3 3 15 9 4" xfId="30323" xr:uid="{00000000-0005-0000-0000-00006A760000}"/>
    <cellStyle name="Normal 3 3 15 9 4 2" xfId="30324" xr:uid="{00000000-0005-0000-0000-00006B760000}"/>
    <cellStyle name="Normal 3 3 15 9 4 3" xfId="30325" xr:uid="{00000000-0005-0000-0000-00006C760000}"/>
    <cellStyle name="Normal 3 3 15 9 5" xfId="30326" xr:uid="{00000000-0005-0000-0000-00006D760000}"/>
    <cellStyle name="Normal 3 3 15 9 5 2" xfId="30327" xr:uid="{00000000-0005-0000-0000-00006E760000}"/>
    <cellStyle name="Normal 3 3 15 9 5 3" xfId="30328" xr:uid="{00000000-0005-0000-0000-00006F760000}"/>
    <cellStyle name="Normal 3 3 15 9 6" xfId="30329" xr:uid="{00000000-0005-0000-0000-000070760000}"/>
    <cellStyle name="Normal 3 3 15 9 6 2" xfId="30330" xr:uid="{00000000-0005-0000-0000-000071760000}"/>
    <cellStyle name="Normal 3 3 15 9 6 3" xfId="30331" xr:uid="{00000000-0005-0000-0000-000072760000}"/>
    <cellStyle name="Normal 3 3 15 9 7" xfId="30332" xr:uid="{00000000-0005-0000-0000-000073760000}"/>
    <cellStyle name="Normal 3 3 15 9 7 2" xfId="30333" xr:uid="{00000000-0005-0000-0000-000074760000}"/>
    <cellStyle name="Normal 3 3 15 9 7 3" xfId="30334" xr:uid="{00000000-0005-0000-0000-000075760000}"/>
    <cellStyle name="Normal 3 3 15 9 8" xfId="30335" xr:uid="{00000000-0005-0000-0000-000076760000}"/>
    <cellStyle name="Normal 3 3 15 9 8 2" xfId="30336" xr:uid="{00000000-0005-0000-0000-000077760000}"/>
    <cellStyle name="Normal 3 3 15 9 8 3" xfId="30337" xr:uid="{00000000-0005-0000-0000-000078760000}"/>
    <cellStyle name="Normal 3 3 15 9 9" xfId="30338" xr:uid="{00000000-0005-0000-0000-000079760000}"/>
    <cellStyle name="Normal 3 3 15 9 9 2" xfId="30339" xr:uid="{00000000-0005-0000-0000-00007A760000}"/>
    <cellStyle name="Normal 3 3 15 9 9 3" xfId="30340" xr:uid="{00000000-0005-0000-0000-00007B760000}"/>
    <cellStyle name="Normal 3 3 16" xfId="30341" xr:uid="{00000000-0005-0000-0000-00007C760000}"/>
    <cellStyle name="Normal 3 3 16 10" xfId="30342" xr:uid="{00000000-0005-0000-0000-00007D760000}"/>
    <cellStyle name="Normal 3 3 16 10 10" xfId="30343" xr:uid="{00000000-0005-0000-0000-00007E760000}"/>
    <cellStyle name="Normal 3 3 16 10 10 2" xfId="30344" xr:uid="{00000000-0005-0000-0000-00007F760000}"/>
    <cellStyle name="Normal 3 3 16 10 10 3" xfId="30345" xr:uid="{00000000-0005-0000-0000-000080760000}"/>
    <cellStyle name="Normal 3 3 16 10 11" xfId="30346" xr:uid="{00000000-0005-0000-0000-000081760000}"/>
    <cellStyle name="Normal 3 3 16 10 11 2" xfId="30347" xr:uid="{00000000-0005-0000-0000-000082760000}"/>
    <cellStyle name="Normal 3 3 16 10 11 3" xfId="30348" xr:uid="{00000000-0005-0000-0000-000083760000}"/>
    <cellStyle name="Normal 3 3 16 10 12" xfId="30349" xr:uid="{00000000-0005-0000-0000-000084760000}"/>
    <cellStyle name="Normal 3 3 16 10 12 2" xfId="30350" xr:uid="{00000000-0005-0000-0000-000085760000}"/>
    <cellStyle name="Normal 3 3 16 10 12 3" xfId="30351" xr:uid="{00000000-0005-0000-0000-000086760000}"/>
    <cellStyle name="Normal 3 3 16 10 13" xfId="30352" xr:uid="{00000000-0005-0000-0000-000087760000}"/>
    <cellStyle name="Normal 3 3 16 10 13 2" xfId="30353" xr:uid="{00000000-0005-0000-0000-000088760000}"/>
    <cellStyle name="Normal 3 3 16 10 13 3" xfId="30354" xr:uid="{00000000-0005-0000-0000-000089760000}"/>
    <cellStyle name="Normal 3 3 16 10 14" xfId="30355" xr:uid="{00000000-0005-0000-0000-00008A760000}"/>
    <cellStyle name="Normal 3 3 16 10 14 2" xfId="30356" xr:uid="{00000000-0005-0000-0000-00008B760000}"/>
    <cellStyle name="Normal 3 3 16 10 14 3" xfId="30357" xr:uid="{00000000-0005-0000-0000-00008C760000}"/>
    <cellStyle name="Normal 3 3 16 10 15" xfId="30358" xr:uid="{00000000-0005-0000-0000-00008D760000}"/>
    <cellStyle name="Normal 3 3 16 10 16" xfId="30359" xr:uid="{00000000-0005-0000-0000-00008E760000}"/>
    <cellStyle name="Normal 3 3 16 10 2" xfId="30360" xr:uid="{00000000-0005-0000-0000-00008F760000}"/>
    <cellStyle name="Normal 3 3 16 10 2 2" xfId="30361" xr:uid="{00000000-0005-0000-0000-000090760000}"/>
    <cellStyle name="Normal 3 3 16 10 2 3" xfId="30362" xr:uid="{00000000-0005-0000-0000-000091760000}"/>
    <cellStyle name="Normal 3 3 16 10 3" xfId="30363" xr:uid="{00000000-0005-0000-0000-000092760000}"/>
    <cellStyle name="Normal 3 3 16 10 3 2" xfId="30364" xr:uid="{00000000-0005-0000-0000-000093760000}"/>
    <cellStyle name="Normal 3 3 16 10 3 3" xfId="30365" xr:uid="{00000000-0005-0000-0000-000094760000}"/>
    <cellStyle name="Normal 3 3 16 10 4" xfId="30366" xr:uid="{00000000-0005-0000-0000-000095760000}"/>
    <cellStyle name="Normal 3 3 16 10 4 2" xfId="30367" xr:uid="{00000000-0005-0000-0000-000096760000}"/>
    <cellStyle name="Normal 3 3 16 10 4 3" xfId="30368" xr:uid="{00000000-0005-0000-0000-000097760000}"/>
    <cellStyle name="Normal 3 3 16 10 5" xfId="30369" xr:uid="{00000000-0005-0000-0000-000098760000}"/>
    <cellStyle name="Normal 3 3 16 10 5 2" xfId="30370" xr:uid="{00000000-0005-0000-0000-000099760000}"/>
    <cellStyle name="Normal 3 3 16 10 5 3" xfId="30371" xr:uid="{00000000-0005-0000-0000-00009A760000}"/>
    <cellStyle name="Normal 3 3 16 10 6" xfId="30372" xr:uid="{00000000-0005-0000-0000-00009B760000}"/>
    <cellStyle name="Normal 3 3 16 10 6 2" xfId="30373" xr:uid="{00000000-0005-0000-0000-00009C760000}"/>
    <cellStyle name="Normal 3 3 16 10 6 3" xfId="30374" xr:uid="{00000000-0005-0000-0000-00009D760000}"/>
    <cellStyle name="Normal 3 3 16 10 7" xfId="30375" xr:uid="{00000000-0005-0000-0000-00009E760000}"/>
    <cellStyle name="Normal 3 3 16 10 7 2" xfId="30376" xr:uid="{00000000-0005-0000-0000-00009F760000}"/>
    <cellStyle name="Normal 3 3 16 10 7 3" xfId="30377" xr:uid="{00000000-0005-0000-0000-0000A0760000}"/>
    <cellStyle name="Normal 3 3 16 10 8" xfId="30378" xr:uid="{00000000-0005-0000-0000-0000A1760000}"/>
    <cellStyle name="Normal 3 3 16 10 8 2" xfId="30379" xr:uid="{00000000-0005-0000-0000-0000A2760000}"/>
    <cellStyle name="Normal 3 3 16 10 8 3" xfId="30380" xr:uid="{00000000-0005-0000-0000-0000A3760000}"/>
    <cellStyle name="Normal 3 3 16 10 9" xfId="30381" xr:uid="{00000000-0005-0000-0000-0000A4760000}"/>
    <cellStyle name="Normal 3 3 16 10 9 2" xfId="30382" xr:uid="{00000000-0005-0000-0000-0000A5760000}"/>
    <cellStyle name="Normal 3 3 16 10 9 3" xfId="30383" xr:uid="{00000000-0005-0000-0000-0000A6760000}"/>
    <cellStyle name="Normal 3 3 16 11" xfId="30384" xr:uid="{00000000-0005-0000-0000-0000A7760000}"/>
    <cellStyle name="Normal 3 3 16 11 2" xfId="30385" xr:uid="{00000000-0005-0000-0000-0000A8760000}"/>
    <cellStyle name="Normal 3 3 16 11 3" xfId="30386" xr:uid="{00000000-0005-0000-0000-0000A9760000}"/>
    <cellStyle name="Normal 3 3 16 12" xfId="30387" xr:uid="{00000000-0005-0000-0000-0000AA760000}"/>
    <cellStyle name="Normal 3 3 16 12 2" xfId="30388" xr:uid="{00000000-0005-0000-0000-0000AB760000}"/>
    <cellStyle name="Normal 3 3 16 12 3" xfId="30389" xr:uid="{00000000-0005-0000-0000-0000AC760000}"/>
    <cellStyle name="Normal 3 3 16 13" xfId="30390" xr:uid="{00000000-0005-0000-0000-0000AD760000}"/>
    <cellStyle name="Normal 3 3 16 13 2" xfId="30391" xr:uid="{00000000-0005-0000-0000-0000AE760000}"/>
    <cellStyle name="Normal 3 3 16 13 3" xfId="30392" xr:uid="{00000000-0005-0000-0000-0000AF760000}"/>
    <cellStyle name="Normal 3 3 16 14" xfId="30393" xr:uid="{00000000-0005-0000-0000-0000B0760000}"/>
    <cellStyle name="Normal 3 3 16 14 2" xfId="30394" xr:uid="{00000000-0005-0000-0000-0000B1760000}"/>
    <cellStyle name="Normal 3 3 16 14 3" xfId="30395" xr:uid="{00000000-0005-0000-0000-0000B2760000}"/>
    <cellStyle name="Normal 3 3 16 15" xfId="30396" xr:uid="{00000000-0005-0000-0000-0000B3760000}"/>
    <cellStyle name="Normal 3 3 16 15 2" xfId="30397" xr:uid="{00000000-0005-0000-0000-0000B4760000}"/>
    <cellStyle name="Normal 3 3 16 15 3" xfId="30398" xr:uid="{00000000-0005-0000-0000-0000B5760000}"/>
    <cellStyle name="Normal 3 3 16 16" xfId="30399" xr:uid="{00000000-0005-0000-0000-0000B6760000}"/>
    <cellStyle name="Normal 3 3 16 16 2" xfId="30400" xr:uid="{00000000-0005-0000-0000-0000B7760000}"/>
    <cellStyle name="Normal 3 3 16 16 3" xfId="30401" xr:uid="{00000000-0005-0000-0000-0000B8760000}"/>
    <cellStyle name="Normal 3 3 16 17" xfId="30402" xr:uid="{00000000-0005-0000-0000-0000B9760000}"/>
    <cellStyle name="Normal 3 3 16 17 2" xfId="30403" xr:uid="{00000000-0005-0000-0000-0000BA760000}"/>
    <cellStyle name="Normal 3 3 16 17 3" xfId="30404" xr:uid="{00000000-0005-0000-0000-0000BB760000}"/>
    <cellStyle name="Normal 3 3 16 18" xfId="30405" xr:uid="{00000000-0005-0000-0000-0000BC760000}"/>
    <cellStyle name="Normal 3 3 16 18 2" xfId="30406" xr:uid="{00000000-0005-0000-0000-0000BD760000}"/>
    <cellStyle name="Normal 3 3 16 18 3" xfId="30407" xr:uid="{00000000-0005-0000-0000-0000BE760000}"/>
    <cellStyle name="Normal 3 3 16 19" xfId="30408" xr:uid="{00000000-0005-0000-0000-0000BF760000}"/>
    <cellStyle name="Normal 3 3 16 19 2" xfId="30409" xr:uid="{00000000-0005-0000-0000-0000C0760000}"/>
    <cellStyle name="Normal 3 3 16 19 3" xfId="30410" xr:uid="{00000000-0005-0000-0000-0000C1760000}"/>
    <cellStyle name="Normal 3 3 16 2" xfId="30411" xr:uid="{00000000-0005-0000-0000-0000C2760000}"/>
    <cellStyle name="Normal 3 3 16 2 10" xfId="30412" xr:uid="{00000000-0005-0000-0000-0000C3760000}"/>
    <cellStyle name="Normal 3 3 16 2 10 2" xfId="30413" xr:uid="{00000000-0005-0000-0000-0000C4760000}"/>
    <cellStyle name="Normal 3 3 16 2 10 3" xfId="30414" xr:uid="{00000000-0005-0000-0000-0000C5760000}"/>
    <cellStyle name="Normal 3 3 16 2 11" xfId="30415" xr:uid="{00000000-0005-0000-0000-0000C6760000}"/>
    <cellStyle name="Normal 3 3 16 2 11 2" xfId="30416" xr:uid="{00000000-0005-0000-0000-0000C7760000}"/>
    <cellStyle name="Normal 3 3 16 2 11 3" xfId="30417" xr:uid="{00000000-0005-0000-0000-0000C8760000}"/>
    <cellStyle name="Normal 3 3 16 2 12" xfId="30418" xr:uid="{00000000-0005-0000-0000-0000C9760000}"/>
    <cellStyle name="Normal 3 3 16 2 12 2" xfId="30419" xr:uid="{00000000-0005-0000-0000-0000CA760000}"/>
    <cellStyle name="Normal 3 3 16 2 12 3" xfId="30420" xr:uid="{00000000-0005-0000-0000-0000CB760000}"/>
    <cellStyle name="Normal 3 3 16 2 13" xfId="30421" xr:uid="{00000000-0005-0000-0000-0000CC760000}"/>
    <cellStyle name="Normal 3 3 16 2 13 2" xfId="30422" xr:uid="{00000000-0005-0000-0000-0000CD760000}"/>
    <cellStyle name="Normal 3 3 16 2 13 3" xfId="30423" xr:uid="{00000000-0005-0000-0000-0000CE760000}"/>
    <cellStyle name="Normal 3 3 16 2 14" xfId="30424" xr:uid="{00000000-0005-0000-0000-0000CF760000}"/>
    <cellStyle name="Normal 3 3 16 2 14 2" xfId="30425" xr:uid="{00000000-0005-0000-0000-0000D0760000}"/>
    <cellStyle name="Normal 3 3 16 2 14 3" xfId="30426" xr:uid="{00000000-0005-0000-0000-0000D1760000}"/>
    <cellStyle name="Normal 3 3 16 2 15" xfId="30427" xr:uid="{00000000-0005-0000-0000-0000D2760000}"/>
    <cellStyle name="Normal 3 3 16 2 15 2" xfId="30428" xr:uid="{00000000-0005-0000-0000-0000D3760000}"/>
    <cellStyle name="Normal 3 3 16 2 15 3" xfId="30429" xr:uid="{00000000-0005-0000-0000-0000D4760000}"/>
    <cellStyle name="Normal 3 3 16 2 16" xfId="30430" xr:uid="{00000000-0005-0000-0000-0000D5760000}"/>
    <cellStyle name="Normal 3 3 16 2 17" xfId="30431" xr:uid="{00000000-0005-0000-0000-0000D6760000}"/>
    <cellStyle name="Normal 3 3 16 2 2" xfId="30432" xr:uid="{00000000-0005-0000-0000-0000D7760000}"/>
    <cellStyle name="Normal 3 3 16 2 2 10" xfId="30433" xr:uid="{00000000-0005-0000-0000-0000D8760000}"/>
    <cellStyle name="Normal 3 3 16 2 2 10 2" xfId="30434" xr:uid="{00000000-0005-0000-0000-0000D9760000}"/>
    <cellStyle name="Normal 3 3 16 2 2 10 3" xfId="30435" xr:uid="{00000000-0005-0000-0000-0000DA760000}"/>
    <cellStyle name="Normal 3 3 16 2 2 11" xfId="30436" xr:uid="{00000000-0005-0000-0000-0000DB760000}"/>
    <cellStyle name="Normal 3 3 16 2 2 11 2" xfId="30437" xr:uid="{00000000-0005-0000-0000-0000DC760000}"/>
    <cellStyle name="Normal 3 3 16 2 2 11 3" xfId="30438" xr:uid="{00000000-0005-0000-0000-0000DD760000}"/>
    <cellStyle name="Normal 3 3 16 2 2 12" xfId="30439" xr:uid="{00000000-0005-0000-0000-0000DE760000}"/>
    <cellStyle name="Normal 3 3 16 2 2 12 2" xfId="30440" xr:uid="{00000000-0005-0000-0000-0000DF760000}"/>
    <cellStyle name="Normal 3 3 16 2 2 12 3" xfId="30441" xr:uid="{00000000-0005-0000-0000-0000E0760000}"/>
    <cellStyle name="Normal 3 3 16 2 2 13" xfId="30442" xr:uid="{00000000-0005-0000-0000-0000E1760000}"/>
    <cellStyle name="Normal 3 3 16 2 2 13 2" xfId="30443" xr:uid="{00000000-0005-0000-0000-0000E2760000}"/>
    <cellStyle name="Normal 3 3 16 2 2 13 3" xfId="30444" xr:uid="{00000000-0005-0000-0000-0000E3760000}"/>
    <cellStyle name="Normal 3 3 16 2 2 14" xfId="30445" xr:uid="{00000000-0005-0000-0000-0000E4760000}"/>
    <cellStyle name="Normal 3 3 16 2 2 14 2" xfId="30446" xr:uid="{00000000-0005-0000-0000-0000E5760000}"/>
    <cellStyle name="Normal 3 3 16 2 2 14 3" xfId="30447" xr:uid="{00000000-0005-0000-0000-0000E6760000}"/>
    <cellStyle name="Normal 3 3 16 2 2 15" xfId="30448" xr:uid="{00000000-0005-0000-0000-0000E7760000}"/>
    <cellStyle name="Normal 3 3 16 2 2 16" xfId="30449" xr:uid="{00000000-0005-0000-0000-0000E8760000}"/>
    <cellStyle name="Normal 3 3 16 2 2 2" xfId="30450" xr:uid="{00000000-0005-0000-0000-0000E9760000}"/>
    <cellStyle name="Normal 3 3 16 2 2 2 2" xfId="30451" xr:uid="{00000000-0005-0000-0000-0000EA760000}"/>
    <cellStyle name="Normal 3 3 16 2 2 2 3" xfId="30452" xr:uid="{00000000-0005-0000-0000-0000EB760000}"/>
    <cellStyle name="Normal 3 3 16 2 2 3" xfId="30453" xr:uid="{00000000-0005-0000-0000-0000EC760000}"/>
    <cellStyle name="Normal 3 3 16 2 2 3 2" xfId="30454" xr:uid="{00000000-0005-0000-0000-0000ED760000}"/>
    <cellStyle name="Normal 3 3 16 2 2 3 3" xfId="30455" xr:uid="{00000000-0005-0000-0000-0000EE760000}"/>
    <cellStyle name="Normal 3 3 16 2 2 4" xfId="30456" xr:uid="{00000000-0005-0000-0000-0000EF760000}"/>
    <cellStyle name="Normal 3 3 16 2 2 4 2" xfId="30457" xr:uid="{00000000-0005-0000-0000-0000F0760000}"/>
    <cellStyle name="Normal 3 3 16 2 2 4 3" xfId="30458" xr:uid="{00000000-0005-0000-0000-0000F1760000}"/>
    <cellStyle name="Normal 3 3 16 2 2 5" xfId="30459" xr:uid="{00000000-0005-0000-0000-0000F2760000}"/>
    <cellStyle name="Normal 3 3 16 2 2 5 2" xfId="30460" xr:uid="{00000000-0005-0000-0000-0000F3760000}"/>
    <cellStyle name="Normal 3 3 16 2 2 5 3" xfId="30461" xr:uid="{00000000-0005-0000-0000-0000F4760000}"/>
    <cellStyle name="Normal 3 3 16 2 2 6" xfId="30462" xr:uid="{00000000-0005-0000-0000-0000F5760000}"/>
    <cellStyle name="Normal 3 3 16 2 2 6 2" xfId="30463" xr:uid="{00000000-0005-0000-0000-0000F6760000}"/>
    <cellStyle name="Normal 3 3 16 2 2 6 3" xfId="30464" xr:uid="{00000000-0005-0000-0000-0000F7760000}"/>
    <cellStyle name="Normal 3 3 16 2 2 7" xfId="30465" xr:uid="{00000000-0005-0000-0000-0000F8760000}"/>
    <cellStyle name="Normal 3 3 16 2 2 7 2" xfId="30466" xr:uid="{00000000-0005-0000-0000-0000F9760000}"/>
    <cellStyle name="Normal 3 3 16 2 2 7 3" xfId="30467" xr:uid="{00000000-0005-0000-0000-0000FA760000}"/>
    <cellStyle name="Normal 3 3 16 2 2 8" xfId="30468" xr:uid="{00000000-0005-0000-0000-0000FB760000}"/>
    <cellStyle name="Normal 3 3 16 2 2 8 2" xfId="30469" xr:uid="{00000000-0005-0000-0000-0000FC760000}"/>
    <cellStyle name="Normal 3 3 16 2 2 8 3" xfId="30470" xr:uid="{00000000-0005-0000-0000-0000FD760000}"/>
    <cellStyle name="Normal 3 3 16 2 2 9" xfId="30471" xr:uid="{00000000-0005-0000-0000-0000FE760000}"/>
    <cellStyle name="Normal 3 3 16 2 2 9 2" xfId="30472" xr:uid="{00000000-0005-0000-0000-0000FF760000}"/>
    <cellStyle name="Normal 3 3 16 2 2 9 3" xfId="30473" xr:uid="{00000000-0005-0000-0000-000000770000}"/>
    <cellStyle name="Normal 3 3 16 2 3" xfId="30474" xr:uid="{00000000-0005-0000-0000-000001770000}"/>
    <cellStyle name="Normal 3 3 16 2 3 2" xfId="30475" xr:uid="{00000000-0005-0000-0000-000002770000}"/>
    <cellStyle name="Normal 3 3 16 2 3 3" xfId="30476" xr:uid="{00000000-0005-0000-0000-000003770000}"/>
    <cellStyle name="Normal 3 3 16 2 4" xfId="30477" xr:uid="{00000000-0005-0000-0000-000004770000}"/>
    <cellStyle name="Normal 3 3 16 2 4 2" xfId="30478" xr:uid="{00000000-0005-0000-0000-000005770000}"/>
    <cellStyle name="Normal 3 3 16 2 4 3" xfId="30479" xr:uid="{00000000-0005-0000-0000-000006770000}"/>
    <cellStyle name="Normal 3 3 16 2 5" xfId="30480" xr:uid="{00000000-0005-0000-0000-000007770000}"/>
    <cellStyle name="Normal 3 3 16 2 5 2" xfId="30481" xr:uid="{00000000-0005-0000-0000-000008770000}"/>
    <cellStyle name="Normal 3 3 16 2 5 3" xfId="30482" xr:uid="{00000000-0005-0000-0000-000009770000}"/>
    <cellStyle name="Normal 3 3 16 2 6" xfId="30483" xr:uid="{00000000-0005-0000-0000-00000A770000}"/>
    <cellStyle name="Normal 3 3 16 2 6 2" xfId="30484" xr:uid="{00000000-0005-0000-0000-00000B770000}"/>
    <cellStyle name="Normal 3 3 16 2 6 3" xfId="30485" xr:uid="{00000000-0005-0000-0000-00000C770000}"/>
    <cellStyle name="Normal 3 3 16 2 7" xfId="30486" xr:uid="{00000000-0005-0000-0000-00000D770000}"/>
    <cellStyle name="Normal 3 3 16 2 7 2" xfId="30487" xr:uid="{00000000-0005-0000-0000-00000E770000}"/>
    <cellStyle name="Normal 3 3 16 2 7 3" xfId="30488" xr:uid="{00000000-0005-0000-0000-00000F770000}"/>
    <cellStyle name="Normal 3 3 16 2 8" xfId="30489" xr:uid="{00000000-0005-0000-0000-000010770000}"/>
    <cellStyle name="Normal 3 3 16 2 8 2" xfId="30490" xr:uid="{00000000-0005-0000-0000-000011770000}"/>
    <cellStyle name="Normal 3 3 16 2 8 3" xfId="30491" xr:uid="{00000000-0005-0000-0000-000012770000}"/>
    <cellStyle name="Normal 3 3 16 2 9" xfId="30492" xr:uid="{00000000-0005-0000-0000-000013770000}"/>
    <cellStyle name="Normal 3 3 16 2 9 2" xfId="30493" xr:uid="{00000000-0005-0000-0000-000014770000}"/>
    <cellStyle name="Normal 3 3 16 2 9 3" xfId="30494" xr:uid="{00000000-0005-0000-0000-000015770000}"/>
    <cellStyle name="Normal 3 3 16 20" xfId="30495" xr:uid="{00000000-0005-0000-0000-000016770000}"/>
    <cellStyle name="Normal 3 3 16 20 2" xfId="30496" xr:uid="{00000000-0005-0000-0000-000017770000}"/>
    <cellStyle name="Normal 3 3 16 20 3" xfId="30497" xr:uid="{00000000-0005-0000-0000-000018770000}"/>
    <cellStyle name="Normal 3 3 16 21" xfId="30498" xr:uid="{00000000-0005-0000-0000-000019770000}"/>
    <cellStyle name="Normal 3 3 16 21 2" xfId="30499" xr:uid="{00000000-0005-0000-0000-00001A770000}"/>
    <cellStyle name="Normal 3 3 16 21 3" xfId="30500" xr:uid="{00000000-0005-0000-0000-00001B770000}"/>
    <cellStyle name="Normal 3 3 16 22" xfId="30501" xr:uid="{00000000-0005-0000-0000-00001C770000}"/>
    <cellStyle name="Normal 3 3 16 22 2" xfId="30502" xr:uid="{00000000-0005-0000-0000-00001D770000}"/>
    <cellStyle name="Normal 3 3 16 22 3" xfId="30503" xr:uid="{00000000-0005-0000-0000-00001E770000}"/>
    <cellStyle name="Normal 3 3 16 23" xfId="30504" xr:uid="{00000000-0005-0000-0000-00001F770000}"/>
    <cellStyle name="Normal 3 3 16 23 2" xfId="30505" xr:uid="{00000000-0005-0000-0000-000020770000}"/>
    <cellStyle name="Normal 3 3 16 23 3" xfId="30506" xr:uid="{00000000-0005-0000-0000-000021770000}"/>
    <cellStyle name="Normal 3 3 16 24" xfId="30507" xr:uid="{00000000-0005-0000-0000-000022770000}"/>
    <cellStyle name="Normal 3 3 16 25" xfId="30508" xr:uid="{00000000-0005-0000-0000-000023770000}"/>
    <cellStyle name="Normal 3 3 16 3" xfId="30509" xr:uid="{00000000-0005-0000-0000-000024770000}"/>
    <cellStyle name="Normal 3 3 16 3 10" xfId="30510" xr:uid="{00000000-0005-0000-0000-000025770000}"/>
    <cellStyle name="Normal 3 3 16 3 10 2" xfId="30511" xr:uid="{00000000-0005-0000-0000-000026770000}"/>
    <cellStyle name="Normal 3 3 16 3 10 3" xfId="30512" xr:uid="{00000000-0005-0000-0000-000027770000}"/>
    <cellStyle name="Normal 3 3 16 3 11" xfId="30513" xr:uid="{00000000-0005-0000-0000-000028770000}"/>
    <cellStyle name="Normal 3 3 16 3 11 2" xfId="30514" xr:uid="{00000000-0005-0000-0000-000029770000}"/>
    <cellStyle name="Normal 3 3 16 3 11 3" xfId="30515" xr:uid="{00000000-0005-0000-0000-00002A770000}"/>
    <cellStyle name="Normal 3 3 16 3 12" xfId="30516" xr:uid="{00000000-0005-0000-0000-00002B770000}"/>
    <cellStyle name="Normal 3 3 16 3 12 2" xfId="30517" xr:uid="{00000000-0005-0000-0000-00002C770000}"/>
    <cellStyle name="Normal 3 3 16 3 12 3" xfId="30518" xr:uid="{00000000-0005-0000-0000-00002D770000}"/>
    <cellStyle name="Normal 3 3 16 3 13" xfId="30519" xr:uid="{00000000-0005-0000-0000-00002E770000}"/>
    <cellStyle name="Normal 3 3 16 3 13 2" xfId="30520" xr:uid="{00000000-0005-0000-0000-00002F770000}"/>
    <cellStyle name="Normal 3 3 16 3 13 3" xfId="30521" xr:uid="{00000000-0005-0000-0000-000030770000}"/>
    <cellStyle name="Normal 3 3 16 3 14" xfId="30522" xr:uid="{00000000-0005-0000-0000-000031770000}"/>
    <cellStyle name="Normal 3 3 16 3 14 2" xfId="30523" xr:uid="{00000000-0005-0000-0000-000032770000}"/>
    <cellStyle name="Normal 3 3 16 3 14 3" xfId="30524" xr:uid="{00000000-0005-0000-0000-000033770000}"/>
    <cellStyle name="Normal 3 3 16 3 15" xfId="30525" xr:uid="{00000000-0005-0000-0000-000034770000}"/>
    <cellStyle name="Normal 3 3 16 3 15 2" xfId="30526" xr:uid="{00000000-0005-0000-0000-000035770000}"/>
    <cellStyle name="Normal 3 3 16 3 15 3" xfId="30527" xr:uid="{00000000-0005-0000-0000-000036770000}"/>
    <cellStyle name="Normal 3 3 16 3 16" xfId="30528" xr:uid="{00000000-0005-0000-0000-000037770000}"/>
    <cellStyle name="Normal 3 3 16 3 17" xfId="30529" xr:uid="{00000000-0005-0000-0000-000038770000}"/>
    <cellStyle name="Normal 3 3 16 3 2" xfId="30530" xr:uid="{00000000-0005-0000-0000-000039770000}"/>
    <cellStyle name="Normal 3 3 16 3 2 10" xfId="30531" xr:uid="{00000000-0005-0000-0000-00003A770000}"/>
    <cellStyle name="Normal 3 3 16 3 2 10 2" xfId="30532" xr:uid="{00000000-0005-0000-0000-00003B770000}"/>
    <cellStyle name="Normal 3 3 16 3 2 10 3" xfId="30533" xr:uid="{00000000-0005-0000-0000-00003C770000}"/>
    <cellStyle name="Normal 3 3 16 3 2 11" xfId="30534" xr:uid="{00000000-0005-0000-0000-00003D770000}"/>
    <cellStyle name="Normal 3 3 16 3 2 11 2" xfId="30535" xr:uid="{00000000-0005-0000-0000-00003E770000}"/>
    <cellStyle name="Normal 3 3 16 3 2 11 3" xfId="30536" xr:uid="{00000000-0005-0000-0000-00003F770000}"/>
    <cellStyle name="Normal 3 3 16 3 2 12" xfId="30537" xr:uid="{00000000-0005-0000-0000-000040770000}"/>
    <cellStyle name="Normal 3 3 16 3 2 12 2" xfId="30538" xr:uid="{00000000-0005-0000-0000-000041770000}"/>
    <cellStyle name="Normal 3 3 16 3 2 12 3" xfId="30539" xr:uid="{00000000-0005-0000-0000-000042770000}"/>
    <cellStyle name="Normal 3 3 16 3 2 13" xfId="30540" xr:uid="{00000000-0005-0000-0000-000043770000}"/>
    <cellStyle name="Normal 3 3 16 3 2 13 2" xfId="30541" xr:uid="{00000000-0005-0000-0000-000044770000}"/>
    <cellStyle name="Normal 3 3 16 3 2 13 3" xfId="30542" xr:uid="{00000000-0005-0000-0000-000045770000}"/>
    <cellStyle name="Normal 3 3 16 3 2 14" xfId="30543" xr:uid="{00000000-0005-0000-0000-000046770000}"/>
    <cellStyle name="Normal 3 3 16 3 2 14 2" xfId="30544" xr:uid="{00000000-0005-0000-0000-000047770000}"/>
    <cellStyle name="Normal 3 3 16 3 2 14 3" xfId="30545" xr:uid="{00000000-0005-0000-0000-000048770000}"/>
    <cellStyle name="Normal 3 3 16 3 2 15" xfId="30546" xr:uid="{00000000-0005-0000-0000-000049770000}"/>
    <cellStyle name="Normal 3 3 16 3 2 16" xfId="30547" xr:uid="{00000000-0005-0000-0000-00004A770000}"/>
    <cellStyle name="Normal 3 3 16 3 2 2" xfId="30548" xr:uid="{00000000-0005-0000-0000-00004B770000}"/>
    <cellStyle name="Normal 3 3 16 3 2 2 2" xfId="30549" xr:uid="{00000000-0005-0000-0000-00004C770000}"/>
    <cellStyle name="Normal 3 3 16 3 2 2 3" xfId="30550" xr:uid="{00000000-0005-0000-0000-00004D770000}"/>
    <cellStyle name="Normal 3 3 16 3 2 3" xfId="30551" xr:uid="{00000000-0005-0000-0000-00004E770000}"/>
    <cellStyle name="Normal 3 3 16 3 2 3 2" xfId="30552" xr:uid="{00000000-0005-0000-0000-00004F770000}"/>
    <cellStyle name="Normal 3 3 16 3 2 3 3" xfId="30553" xr:uid="{00000000-0005-0000-0000-000050770000}"/>
    <cellStyle name="Normal 3 3 16 3 2 4" xfId="30554" xr:uid="{00000000-0005-0000-0000-000051770000}"/>
    <cellStyle name="Normal 3 3 16 3 2 4 2" xfId="30555" xr:uid="{00000000-0005-0000-0000-000052770000}"/>
    <cellStyle name="Normal 3 3 16 3 2 4 3" xfId="30556" xr:uid="{00000000-0005-0000-0000-000053770000}"/>
    <cellStyle name="Normal 3 3 16 3 2 5" xfId="30557" xr:uid="{00000000-0005-0000-0000-000054770000}"/>
    <cellStyle name="Normal 3 3 16 3 2 5 2" xfId="30558" xr:uid="{00000000-0005-0000-0000-000055770000}"/>
    <cellStyle name="Normal 3 3 16 3 2 5 3" xfId="30559" xr:uid="{00000000-0005-0000-0000-000056770000}"/>
    <cellStyle name="Normal 3 3 16 3 2 6" xfId="30560" xr:uid="{00000000-0005-0000-0000-000057770000}"/>
    <cellStyle name="Normal 3 3 16 3 2 6 2" xfId="30561" xr:uid="{00000000-0005-0000-0000-000058770000}"/>
    <cellStyle name="Normal 3 3 16 3 2 6 3" xfId="30562" xr:uid="{00000000-0005-0000-0000-000059770000}"/>
    <cellStyle name="Normal 3 3 16 3 2 7" xfId="30563" xr:uid="{00000000-0005-0000-0000-00005A770000}"/>
    <cellStyle name="Normal 3 3 16 3 2 7 2" xfId="30564" xr:uid="{00000000-0005-0000-0000-00005B770000}"/>
    <cellStyle name="Normal 3 3 16 3 2 7 3" xfId="30565" xr:uid="{00000000-0005-0000-0000-00005C770000}"/>
    <cellStyle name="Normal 3 3 16 3 2 8" xfId="30566" xr:uid="{00000000-0005-0000-0000-00005D770000}"/>
    <cellStyle name="Normal 3 3 16 3 2 8 2" xfId="30567" xr:uid="{00000000-0005-0000-0000-00005E770000}"/>
    <cellStyle name="Normal 3 3 16 3 2 8 3" xfId="30568" xr:uid="{00000000-0005-0000-0000-00005F770000}"/>
    <cellStyle name="Normal 3 3 16 3 2 9" xfId="30569" xr:uid="{00000000-0005-0000-0000-000060770000}"/>
    <cellStyle name="Normal 3 3 16 3 2 9 2" xfId="30570" xr:uid="{00000000-0005-0000-0000-000061770000}"/>
    <cellStyle name="Normal 3 3 16 3 2 9 3" xfId="30571" xr:uid="{00000000-0005-0000-0000-000062770000}"/>
    <cellStyle name="Normal 3 3 16 3 3" xfId="30572" xr:uid="{00000000-0005-0000-0000-000063770000}"/>
    <cellStyle name="Normal 3 3 16 3 3 2" xfId="30573" xr:uid="{00000000-0005-0000-0000-000064770000}"/>
    <cellStyle name="Normal 3 3 16 3 3 3" xfId="30574" xr:uid="{00000000-0005-0000-0000-000065770000}"/>
    <cellStyle name="Normal 3 3 16 3 4" xfId="30575" xr:uid="{00000000-0005-0000-0000-000066770000}"/>
    <cellStyle name="Normal 3 3 16 3 4 2" xfId="30576" xr:uid="{00000000-0005-0000-0000-000067770000}"/>
    <cellStyle name="Normal 3 3 16 3 4 3" xfId="30577" xr:uid="{00000000-0005-0000-0000-000068770000}"/>
    <cellStyle name="Normal 3 3 16 3 5" xfId="30578" xr:uid="{00000000-0005-0000-0000-000069770000}"/>
    <cellStyle name="Normal 3 3 16 3 5 2" xfId="30579" xr:uid="{00000000-0005-0000-0000-00006A770000}"/>
    <cellStyle name="Normal 3 3 16 3 5 3" xfId="30580" xr:uid="{00000000-0005-0000-0000-00006B770000}"/>
    <cellStyle name="Normal 3 3 16 3 6" xfId="30581" xr:uid="{00000000-0005-0000-0000-00006C770000}"/>
    <cellStyle name="Normal 3 3 16 3 6 2" xfId="30582" xr:uid="{00000000-0005-0000-0000-00006D770000}"/>
    <cellStyle name="Normal 3 3 16 3 6 3" xfId="30583" xr:uid="{00000000-0005-0000-0000-00006E770000}"/>
    <cellStyle name="Normal 3 3 16 3 7" xfId="30584" xr:uid="{00000000-0005-0000-0000-00006F770000}"/>
    <cellStyle name="Normal 3 3 16 3 7 2" xfId="30585" xr:uid="{00000000-0005-0000-0000-000070770000}"/>
    <cellStyle name="Normal 3 3 16 3 7 3" xfId="30586" xr:uid="{00000000-0005-0000-0000-000071770000}"/>
    <cellStyle name="Normal 3 3 16 3 8" xfId="30587" xr:uid="{00000000-0005-0000-0000-000072770000}"/>
    <cellStyle name="Normal 3 3 16 3 8 2" xfId="30588" xr:uid="{00000000-0005-0000-0000-000073770000}"/>
    <cellStyle name="Normal 3 3 16 3 8 3" xfId="30589" xr:uid="{00000000-0005-0000-0000-000074770000}"/>
    <cellStyle name="Normal 3 3 16 3 9" xfId="30590" xr:uid="{00000000-0005-0000-0000-000075770000}"/>
    <cellStyle name="Normal 3 3 16 3 9 2" xfId="30591" xr:uid="{00000000-0005-0000-0000-000076770000}"/>
    <cellStyle name="Normal 3 3 16 3 9 3" xfId="30592" xr:uid="{00000000-0005-0000-0000-000077770000}"/>
    <cellStyle name="Normal 3 3 16 4" xfId="30593" xr:uid="{00000000-0005-0000-0000-000078770000}"/>
    <cellStyle name="Normal 3 3 16 4 10" xfId="30594" xr:uid="{00000000-0005-0000-0000-000079770000}"/>
    <cellStyle name="Normal 3 3 16 4 10 2" xfId="30595" xr:uid="{00000000-0005-0000-0000-00007A770000}"/>
    <cellStyle name="Normal 3 3 16 4 10 3" xfId="30596" xr:uid="{00000000-0005-0000-0000-00007B770000}"/>
    <cellStyle name="Normal 3 3 16 4 11" xfId="30597" xr:uid="{00000000-0005-0000-0000-00007C770000}"/>
    <cellStyle name="Normal 3 3 16 4 11 2" xfId="30598" xr:uid="{00000000-0005-0000-0000-00007D770000}"/>
    <cellStyle name="Normal 3 3 16 4 11 3" xfId="30599" xr:uid="{00000000-0005-0000-0000-00007E770000}"/>
    <cellStyle name="Normal 3 3 16 4 12" xfId="30600" xr:uid="{00000000-0005-0000-0000-00007F770000}"/>
    <cellStyle name="Normal 3 3 16 4 12 2" xfId="30601" xr:uid="{00000000-0005-0000-0000-000080770000}"/>
    <cellStyle name="Normal 3 3 16 4 12 3" xfId="30602" xr:uid="{00000000-0005-0000-0000-000081770000}"/>
    <cellStyle name="Normal 3 3 16 4 13" xfId="30603" xr:uid="{00000000-0005-0000-0000-000082770000}"/>
    <cellStyle name="Normal 3 3 16 4 13 2" xfId="30604" xr:uid="{00000000-0005-0000-0000-000083770000}"/>
    <cellStyle name="Normal 3 3 16 4 13 3" xfId="30605" xr:uid="{00000000-0005-0000-0000-000084770000}"/>
    <cellStyle name="Normal 3 3 16 4 14" xfId="30606" xr:uid="{00000000-0005-0000-0000-000085770000}"/>
    <cellStyle name="Normal 3 3 16 4 14 2" xfId="30607" xr:uid="{00000000-0005-0000-0000-000086770000}"/>
    <cellStyle name="Normal 3 3 16 4 14 3" xfId="30608" xr:uid="{00000000-0005-0000-0000-000087770000}"/>
    <cellStyle name="Normal 3 3 16 4 15" xfId="30609" xr:uid="{00000000-0005-0000-0000-000088770000}"/>
    <cellStyle name="Normal 3 3 16 4 15 2" xfId="30610" xr:uid="{00000000-0005-0000-0000-000089770000}"/>
    <cellStyle name="Normal 3 3 16 4 15 3" xfId="30611" xr:uid="{00000000-0005-0000-0000-00008A770000}"/>
    <cellStyle name="Normal 3 3 16 4 16" xfId="30612" xr:uid="{00000000-0005-0000-0000-00008B770000}"/>
    <cellStyle name="Normal 3 3 16 4 17" xfId="30613" xr:uid="{00000000-0005-0000-0000-00008C770000}"/>
    <cellStyle name="Normal 3 3 16 4 2" xfId="30614" xr:uid="{00000000-0005-0000-0000-00008D770000}"/>
    <cellStyle name="Normal 3 3 16 4 2 10" xfId="30615" xr:uid="{00000000-0005-0000-0000-00008E770000}"/>
    <cellStyle name="Normal 3 3 16 4 2 10 2" xfId="30616" xr:uid="{00000000-0005-0000-0000-00008F770000}"/>
    <cellStyle name="Normal 3 3 16 4 2 10 3" xfId="30617" xr:uid="{00000000-0005-0000-0000-000090770000}"/>
    <cellStyle name="Normal 3 3 16 4 2 11" xfId="30618" xr:uid="{00000000-0005-0000-0000-000091770000}"/>
    <cellStyle name="Normal 3 3 16 4 2 11 2" xfId="30619" xr:uid="{00000000-0005-0000-0000-000092770000}"/>
    <cellStyle name="Normal 3 3 16 4 2 11 3" xfId="30620" xr:uid="{00000000-0005-0000-0000-000093770000}"/>
    <cellStyle name="Normal 3 3 16 4 2 12" xfId="30621" xr:uid="{00000000-0005-0000-0000-000094770000}"/>
    <cellStyle name="Normal 3 3 16 4 2 12 2" xfId="30622" xr:uid="{00000000-0005-0000-0000-000095770000}"/>
    <cellStyle name="Normal 3 3 16 4 2 12 3" xfId="30623" xr:uid="{00000000-0005-0000-0000-000096770000}"/>
    <cellStyle name="Normal 3 3 16 4 2 13" xfId="30624" xr:uid="{00000000-0005-0000-0000-000097770000}"/>
    <cellStyle name="Normal 3 3 16 4 2 13 2" xfId="30625" xr:uid="{00000000-0005-0000-0000-000098770000}"/>
    <cellStyle name="Normal 3 3 16 4 2 13 3" xfId="30626" xr:uid="{00000000-0005-0000-0000-000099770000}"/>
    <cellStyle name="Normal 3 3 16 4 2 14" xfId="30627" xr:uid="{00000000-0005-0000-0000-00009A770000}"/>
    <cellStyle name="Normal 3 3 16 4 2 14 2" xfId="30628" xr:uid="{00000000-0005-0000-0000-00009B770000}"/>
    <cellStyle name="Normal 3 3 16 4 2 14 3" xfId="30629" xr:uid="{00000000-0005-0000-0000-00009C770000}"/>
    <cellStyle name="Normal 3 3 16 4 2 15" xfId="30630" xr:uid="{00000000-0005-0000-0000-00009D770000}"/>
    <cellStyle name="Normal 3 3 16 4 2 16" xfId="30631" xr:uid="{00000000-0005-0000-0000-00009E770000}"/>
    <cellStyle name="Normal 3 3 16 4 2 2" xfId="30632" xr:uid="{00000000-0005-0000-0000-00009F770000}"/>
    <cellStyle name="Normal 3 3 16 4 2 2 2" xfId="30633" xr:uid="{00000000-0005-0000-0000-0000A0770000}"/>
    <cellStyle name="Normal 3 3 16 4 2 2 3" xfId="30634" xr:uid="{00000000-0005-0000-0000-0000A1770000}"/>
    <cellStyle name="Normal 3 3 16 4 2 3" xfId="30635" xr:uid="{00000000-0005-0000-0000-0000A2770000}"/>
    <cellStyle name="Normal 3 3 16 4 2 3 2" xfId="30636" xr:uid="{00000000-0005-0000-0000-0000A3770000}"/>
    <cellStyle name="Normal 3 3 16 4 2 3 3" xfId="30637" xr:uid="{00000000-0005-0000-0000-0000A4770000}"/>
    <cellStyle name="Normal 3 3 16 4 2 4" xfId="30638" xr:uid="{00000000-0005-0000-0000-0000A5770000}"/>
    <cellStyle name="Normal 3 3 16 4 2 4 2" xfId="30639" xr:uid="{00000000-0005-0000-0000-0000A6770000}"/>
    <cellStyle name="Normal 3 3 16 4 2 4 3" xfId="30640" xr:uid="{00000000-0005-0000-0000-0000A7770000}"/>
    <cellStyle name="Normal 3 3 16 4 2 5" xfId="30641" xr:uid="{00000000-0005-0000-0000-0000A8770000}"/>
    <cellStyle name="Normal 3 3 16 4 2 5 2" xfId="30642" xr:uid="{00000000-0005-0000-0000-0000A9770000}"/>
    <cellStyle name="Normal 3 3 16 4 2 5 3" xfId="30643" xr:uid="{00000000-0005-0000-0000-0000AA770000}"/>
    <cellStyle name="Normal 3 3 16 4 2 6" xfId="30644" xr:uid="{00000000-0005-0000-0000-0000AB770000}"/>
    <cellStyle name="Normal 3 3 16 4 2 6 2" xfId="30645" xr:uid="{00000000-0005-0000-0000-0000AC770000}"/>
    <cellStyle name="Normal 3 3 16 4 2 6 3" xfId="30646" xr:uid="{00000000-0005-0000-0000-0000AD770000}"/>
    <cellStyle name="Normal 3 3 16 4 2 7" xfId="30647" xr:uid="{00000000-0005-0000-0000-0000AE770000}"/>
    <cellStyle name="Normal 3 3 16 4 2 7 2" xfId="30648" xr:uid="{00000000-0005-0000-0000-0000AF770000}"/>
    <cellStyle name="Normal 3 3 16 4 2 7 3" xfId="30649" xr:uid="{00000000-0005-0000-0000-0000B0770000}"/>
    <cellStyle name="Normal 3 3 16 4 2 8" xfId="30650" xr:uid="{00000000-0005-0000-0000-0000B1770000}"/>
    <cellStyle name="Normal 3 3 16 4 2 8 2" xfId="30651" xr:uid="{00000000-0005-0000-0000-0000B2770000}"/>
    <cellStyle name="Normal 3 3 16 4 2 8 3" xfId="30652" xr:uid="{00000000-0005-0000-0000-0000B3770000}"/>
    <cellStyle name="Normal 3 3 16 4 2 9" xfId="30653" xr:uid="{00000000-0005-0000-0000-0000B4770000}"/>
    <cellStyle name="Normal 3 3 16 4 2 9 2" xfId="30654" xr:uid="{00000000-0005-0000-0000-0000B5770000}"/>
    <cellStyle name="Normal 3 3 16 4 2 9 3" xfId="30655" xr:uid="{00000000-0005-0000-0000-0000B6770000}"/>
    <cellStyle name="Normal 3 3 16 4 3" xfId="30656" xr:uid="{00000000-0005-0000-0000-0000B7770000}"/>
    <cellStyle name="Normal 3 3 16 4 3 2" xfId="30657" xr:uid="{00000000-0005-0000-0000-0000B8770000}"/>
    <cellStyle name="Normal 3 3 16 4 3 3" xfId="30658" xr:uid="{00000000-0005-0000-0000-0000B9770000}"/>
    <cellStyle name="Normal 3 3 16 4 4" xfId="30659" xr:uid="{00000000-0005-0000-0000-0000BA770000}"/>
    <cellStyle name="Normal 3 3 16 4 4 2" xfId="30660" xr:uid="{00000000-0005-0000-0000-0000BB770000}"/>
    <cellStyle name="Normal 3 3 16 4 4 3" xfId="30661" xr:uid="{00000000-0005-0000-0000-0000BC770000}"/>
    <cellStyle name="Normal 3 3 16 4 5" xfId="30662" xr:uid="{00000000-0005-0000-0000-0000BD770000}"/>
    <cellStyle name="Normal 3 3 16 4 5 2" xfId="30663" xr:uid="{00000000-0005-0000-0000-0000BE770000}"/>
    <cellStyle name="Normal 3 3 16 4 5 3" xfId="30664" xr:uid="{00000000-0005-0000-0000-0000BF770000}"/>
    <cellStyle name="Normal 3 3 16 4 6" xfId="30665" xr:uid="{00000000-0005-0000-0000-0000C0770000}"/>
    <cellStyle name="Normal 3 3 16 4 6 2" xfId="30666" xr:uid="{00000000-0005-0000-0000-0000C1770000}"/>
    <cellStyle name="Normal 3 3 16 4 6 3" xfId="30667" xr:uid="{00000000-0005-0000-0000-0000C2770000}"/>
    <cellStyle name="Normal 3 3 16 4 7" xfId="30668" xr:uid="{00000000-0005-0000-0000-0000C3770000}"/>
    <cellStyle name="Normal 3 3 16 4 7 2" xfId="30669" xr:uid="{00000000-0005-0000-0000-0000C4770000}"/>
    <cellStyle name="Normal 3 3 16 4 7 3" xfId="30670" xr:uid="{00000000-0005-0000-0000-0000C5770000}"/>
    <cellStyle name="Normal 3 3 16 4 8" xfId="30671" xr:uid="{00000000-0005-0000-0000-0000C6770000}"/>
    <cellStyle name="Normal 3 3 16 4 8 2" xfId="30672" xr:uid="{00000000-0005-0000-0000-0000C7770000}"/>
    <cellStyle name="Normal 3 3 16 4 8 3" xfId="30673" xr:uid="{00000000-0005-0000-0000-0000C8770000}"/>
    <cellStyle name="Normal 3 3 16 4 9" xfId="30674" xr:uid="{00000000-0005-0000-0000-0000C9770000}"/>
    <cellStyle name="Normal 3 3 16 4 9 2" xfId="30675" xr:uid="{00000000-0005-0000-0000-0000CA770000}"/>
    <cellStyle name="Normal 3 3 16 4 9 3" xfId="30676" xr:uid="{00000000-0005-0000-0000-0000CB770000}"/>
    <cellStyle name="Normal 3 3 16 5" xfId="30677" xr:uid="{00000000-0005-0000-0000-0000CC770000}"/>
    <cellStyle name="Normal 3 3 16 5 10" xfId="30678" xr:uid="{00000000-0005-0000-0000-0000CD770000}"/>
    <cellStyle name="Normal 3 3 16 5 10 2" xfId="30679" xr:uid="{00000000-0005-0000-0000-0000CE770000}"/>
    <cellStyle name="Normal 3 3 16 5 10 3" xfId="30680" xr:uid="{00000000-0005-0000-0000-0000CF770000}"/>
    <cellStyle name="Normal 3 3 16 5 11" xfId="30681" xr:uid="{00000000-0005-0000-0000-0000D0770000}"/>
    <cellStyle name="Normal 3 3 16 5 11 2" xfId="30682" xr:uid="{00000000-0005-0000-0000-0000D1770000}"/>
    <cellStyle name="Normal 3 3 16 5 11 3" xfId="30683" xr:uid="{00000000-0005-0000-0000-0000D2770000}"/>
    <cellStyle name="Normal 3 3 16 5 12" xfId="30684" xr:uid="{00000000-0005-0000-0000-0000D3770000}"/>
    <cellStyle name="Normal 3 3 16 5 12 2" xfId="30685" xr:uid="{00000000-0005-0000-0000-0000D4770000}"/>
    <cellStyle name="Normal 3 3 16 5 12 3" xfId="30686" xr:uid="{00000000-0005-0000-0000-0000D5770000}"/>
    <cellStyle name="Normal 3 3 16 5 13" xfId="30687" xr:uid="{00000000-0005-0000-0000-0000D6770000}"/>
    <cellStyle name="Normal 3 3 16 5 13 2" xfId="30688" xr:uid="{00000000-0005-0000-0000-0000D7770000}"/>
    <cellStyle name="Normal 3 3 16 5 13 3" xfId="30689" xr:uid="{00000000-0005-0000-0000-0000D8770000}"/>
    <cellStyle name="Normal 3 3 16 5 14" xfId="30690" xr:uid="{00000000-0005-0000-0000-0000D9770000}"/>
    <cellStyle name="Normal 3 3 16 5 14 2" xfId="30691" xr:uid="{00000000-0005-0000-0000-0000DA770000}"/>
    <cellStyle name="Normal 3 3 16 5 14 3" xfId="30692" xr:uid="{00000000-0005-0000-0000-0000DB770000}"/>
    <cellStyle name="Normal 3 3 16 5 15" xfId="30693" xr:uid="{00000000-0005-0000-0000-0000DC770000}"/>
    <cellStyle name="Normal 3 3 16 5 16" xfId="30694" xr:uid="{00000000-0005-0000-0000-0000DD770000}"/>
    <cellStyle name="Normal 3 3 16 5 2" xfId="30695" xr:uid="{00000000-0005-0000-0000-0000DE770000}"/>
    <cellStyle name="Normal 3 3 16 5 2 2" xfId="30696" xr:uid="{00000000-0005-0000-0000-0000DF770000}"/>
    <cellStyle name="Normal 3 3 16 5 2 3" xfId="30697" xr:uid="{00000000-0005-0000-0000-0000E0770000}"/>
    <cellStyle name="Normal 3 3 16 5 3" xfId="30698" xr:uid="{00000000-0005-0000-0000-0000E1770000}"/>
    <cellStyle name="Normal 3 3 16 5 3 2" xfId="30699" xr:uid="{00000000-0005-0000-0000-0000E2770000}"/>
    <cellStyle name="Normal 3 3 16 5 3 3" xfId="30700" xr:uid="{00000000-0005-0000-0000-0000E3770000}"/>
    <cellStyle name="Normal 3 3 16 5 4" xfId="30701" xr:uid="{00000000-0005-0000-0000-0000E4770000}"/>
    <cellStyle name="Normal 3 3 16 5 4 2" xfId="30702" xr:uid="{00000000-0005-0000-0000-0000E5770000}"/>
    <cellStyle name="Normal 3 3 16 5 4 3" xfId="30703" xr:uid="{00000000-0005-0000-0000-0000E6770000}"/>
    <cellStyle name="Normal 3 3 16 5 5" xfId="30704" xr:uid="{00000000-0005-0000-0000-0000E7770000}"/>
    <cellStyle name="Normal 3 3 16 5 5 2" xfId="30705" xr:uid="{00000000-0005-0000-0000-0000E8770000}"/>
    <cellStyle name="Normal 3 3 16 5 5 3" xfId="30706" xr:uid="{00000000-0005-0000-0000-0000E9770000}"/>
    <cellStyle name="Normal 3 3 16 5 6" xfId="30707" xr:uid="{00000000-0005-0000-0000-0000EA770000}"/>
    <cellStyle name="Normal 3 3 16 5 6 2" xfId="30708" xr:uid="{00000000-0005-0000-0000-0000EB770000}"/>
    <cellStyle name="Normal 3 3 16 5 6 3" xfId="30709" xr:uid="{00000000-0005-0000-0000-0000EC770000}"/>
    <cellStyle name="Normal 3 3 16 5 7" xfId="30710" xr:uid="{00000000-0005-0000-0000-0000ED770000}"/>
    <cellStyle name="Normal 3 3 16 5 7 2" xfId="30711" xr:uid="{00000000-0005-0000-0000-0000EE770000}"/>
    <cellStyle name="Normal 3 3 16 5 7 3" xfId="30712" xr:uid="{00000000-0005-0000-0000-0000EF770000}"/>
    <cellStyle name="Normal 3 3 16 5 8" xfId="30713" xr:uid="{00000000-0005-0000-0000-0000F0770000}"/>
    <cellStyle name="Normal 3 3 16 5 8 2" xfId="30714" xr:uid="{00000000-0005-0000-0000-0000F1770000}"/>
    <cellStyle name="Normal 3 3 16 5 8 3" xfId="30715" xr:uid="{00000000-0005-0000-0000-0000F2770000}"/>
    <cellStyle name="Normal 3 3 16 5 9" xfId="30716" xr:uid="{00000000-0005-0000-0000-0000F3770000}"/>
    <cellStyle name="Normal 3 3 16 5 9 2" xfId="30717" xr:uid="{00000000-0005-0000-0000-0000F4770000}"/>
    <cellStyle name="Normal 3 3 16 5 9 3" xfId="30718" xr:uid="{00000000-0005-0000-0000-0000F5770000}"/>
    <cellStyle name="Normal 3 3 16 6" xfId="30719" xr:uid="{00000000-0005-0000-0000-0000F6770000}"/>
    <cellStyle name="Normal 3 3 16 6 10" xfId="30720" xr:uid="{00000000-0005-0000-0000-0000F7770000}"/>
    <cellStyle name="Normal 3 3 16 6 10 2" xfId="30721" xr:uid="{00000000-0005-0000-0000-0000F8770000}"/>
    <cellStyle name="Normal 3 3 16 6 10 3" xfId="30722" xr:uid="{00000000-0005-0000-0000-0000F9770000}"/>
    <cellStyle name="Normal 3 3 16 6 11" xfId="30723" xr:uid="{00000000-0005-0000-0000-0000FA770000}"/>
    <cellStyle name="Normal 3 3 16 6 11 2" xfId="30724" xr:uid="{00000000-0005-0000-0000-0000FB770000}"/>
    <cellStyle name="Normal 3 3 16 6 11 3" xfId="30725" xr:uid="{00000000-0005-0000-0000-0000FC770000}"/>
    <cellStyle name="Normal 3 3 16 6 12" xfId="30726" xr:uid="{00000000-0005-0000-0000-0000FD770000}"/>
    <cellStyle name="Normal 3 3 16 6 12 2" xfId="30727" xr:uid="{00000000-0005-0000-0000-0000FE770000}"/>
    <cellStyle name="Normal 3 3 16 6 12 3" xfId="30728" xr:uid="{00000000-0005-0000-0000-0000FF770000}"/>
    <cellStyle name="Normal 3 3 16 6 13" xfId="30729" xr:uid="{00000000-0005-0000-0000-000000780000}"/>
    <cellStyle name="Normal 3 3 16 6 13 2" xfId="30730" xr:uid="{00000000-0005-0000-0000-000001780000}"/>
    <cellStyle name="Normal 3 3 16 6 13 3" xfId="30731" xr:uid="{00000000-0005-0000-0000-000002780000}"/>
    <cellStyle name="Normal 3 3 16 6 14" xfId="30732" xr:uid="{00000000-0005-0000-0000-000003780000}"/>
    <cellStyle name="Normal 3 3 16 6 14 2" xfId="30733" xr:uid="{00000000-0005-0000-0000-000004780000}"/>
    <cellStyle name="Normal 3 3 16 6 14 3" xfId="30734" xr:uid="{00000000-0005-0000-0000-000005780000}"/>
    <cellStyle name="Normal 3 3 16 6 15" xfId="30735" xr:uid="{00000000-0005-0000-0000-000006780000}"/>
    <cellStyle name="Normal 3 3 16 6 16" xfId="30736" xr:uid="{00000000-0005-0000-0000-000007780000}"/>
    <cellStyle name="Normal 3 3 16 6 2" xfId="30737" xr:uid="{00000000-0005-0000-0000-000008780000}"/>
    <cellStyle name="Normal 3 3 16 6 2 2" xfId="30738" xr:uid="{00000000-0005-0000-0000-000009780000}"/>
    <cellStyle name="Normal 3 3 16 6 2 3" xfId="30739" xr:uid="{00000000-0005-0000-0000-00000A780000}"/>
    <cellStyle name="Normal 3 3 16 6 3" xfId="30740" xr:uid="{00000000-0005-0000-0000-00000B780000}"/>
    <cellStyle name="Normal 3 3 16 6 3 2" xfId="30741" xr:uid="{00000000-0005-0000-0000-00000C780000}"/>
    <cellStyle name="Normal 3 3 16 6 3 3" xfId="30742" xr:uid="{00000000-0005-0000-0000-00000D780000}"/>
    <cellStyle name="Normal 3 3 16 6 4" xfId="30743" xr:uid="{00000000-0005-0000-0000-00000E780000}"/>
    <cellStyle name="Normal 3 3 16 6 4 2" xfId="30744" xr:uid="{00000000-0005-0000-0000-00000F780000}"/>
    <cellStyle name="Normal 3 3 16 6 4 3" xfId="30745" xr:uid="{00000000-0005-0000-0000-000010780000}"/>
    <cellStyle name="Normal 3 3 16 6 5" xfId="30746" xr:uid="{00000000-0005-0000-0000-000011780000}"/>
    <cellStyle name="Normal 3 3 16 6 5 2" xfId="30747" xr:uid="{00000000-0005-0000-0000-000012780000}"/>
    <cellStyle name="Normal 3 3 16 6 5 3" xfId="30748" xr:uid="{00000000-0005-0000-0000-000013780000}"/>
    <cellStyle name="Normal 3 3 16 6 6" xfId="30749" xr:uid="{00000000-0005-0000-0000-000014780000}"/>
    <cellStyle name="Normal 3 3 16 6 6 2" xfId="30750" xr:uid="{00000000-0005-0000-0000-000015780000}"/>
    <cellStyle name="Normal 3 3 16 6 6 3" xfId="30751" xr:uid="{00000000-0005-0000-0000-000016780000}"/>
    <cellStyle name="Normal 3 3 16 6 7" xfId="30752" xr:uid="{00000000-0005-0000-0000-000017780000}"/>
    <cellStyle name="Normal 3 3 16 6 7 2" xfId="30753" xr:uid="{00000000-0005-0000-0000-000018780000}"/>
    <cellStyle name="Normal 3 3 16 6 7 3" xfId="30754" xr:uid="{00000000-0005-0000-0000-000019780000}"/>
    <cellStyle name="Normal 3 3 16 6 8" xfId="30755" xr:uid="{00000000-0005-0000-0000-00001A780000}"/>
    <cellStyle name="Normal 3 3 16 6 8 2" xfId="30756" xr:uid="{00000000-0005-0000-0000-00001B780000}"/>
    <cellStyle name="Normal 3 3 16 6 8 3" xfId="30757" xr:uid="{00000000-0005-0000-0000-00001C780000}"/>
    <cellStyle name="Normal 3 3 16 6 9" xfId="30758" xr:uid="{00000000-0005-0000-0000-00001D780000}"/>
    <cellStyle name="Normal 3 3 16 6 9 2" xfId="30759" xr:uid="{00000000-0005-0000-0000-00001E780000}"/>
    <cellStyle name="Normal 3 3 16 6 9 3" xfId="30760" xr:uid="{00000000-0005-0000-0000-00001F780000}"/>
    <cellStyle name="Normal 3 3 16 7" xfId="30761" xr:uid="{00000000-0005-0000-0000-000020780000}"/>
    <cellStyle name="Normal 3 3 16 7 10" xfId="30762" xr:uid="{00000000-0005-0000-0000-000021780000}"/>
    <cellStyle name="Normal 3 3 16 7 10 2" xfId="30763" xr:uid="{00000000-0005-0000-0000-000022780000}"/>
    <cellStyle name="Normal 3 3 16 7 10 3" xfId="30764" xr:uid="{00000000-0005-0000-0000-000023780000}"/>
    <cellStyle name="Normal 3 3 16 7 11" xfId="30765" xr:uid="{00000000-0005-0000-0000-000024780000}"/>
    <cellStyle name="Normal 3 3 16 7 11 2" xfId="30766" xr:uid="{00000000-0005-0000-0000-000025780000}"/>
    <cellStyle name="Normal 3 3 16 7 11 3" xfId="30767" xr:uid="{00000000-0005-0000-0000-000026780000}"/>
    <cellStyle name="Normal 3 3 16 7 12" xfId="30768" xr:uid="{00000000-0005-0000-0000-000027780000}"/>
    <cellStyle name="Normal 3 3 16 7 12 2" xfId="30769" xr:uid="{00000000-0005-0000-0000-000028780000}"/>
    <cellStyle name="Normal 3 3 16 7 12 3" xfId="30770" xr:uid="{00000000-0005-0000-0000-000029780000}"/>
    <cellStyle name="Normal 3 3 16 7 13" xfId="30771" xr:uid="{00000000-0005-0000-0000-00002A780000}"/>
    <cellStyle name="Normal 3 3 16 7 13 2" xfId="30772" xr:uid="{00000000-0005-0000-0000-00002B780000}"/>
    <cellStyle name="Normal 3 3 16 7 13 3" xfId="30773" xr:uid="{00000000-0005-0000-0000-00002C780000}"/>
    <cellStyle name="Normal 3 3 16 7 14" xfId="30774" xr:uid="{00000000-0005-0000-0000-00002D780000}"/>
    <cellStyle name="Normal 3 3 16 7 14 2" xfId="30775" xr:uid="{00000000-0005-0000-0000-00002E780000}"/>
    <cellStyle name="Normal 3 3 16 7 14 3" xfId="30776" xr:uid="{00000000-0005-0000-0000-00002F780000}"/>
    <cellStyle name="Normal 3 3 16 7 15" xfId="30777" xr:uid="{00000000-0005-0000-0000-000030780000}"/>
    <cellStyle name="Normal 3 3 16 7 16" xfId="30778" xr:uid="{00000000-0005-0000-0000-000031780000}"/>
    <cellStyle name="Normal 3 3 16 7 2" xfId="30779" xr:uid="{00000000-0005-0000-0000-000032780000}"/>
    <cellStyle name="Normal 3 3 16 7 2 2" xfId="30780" xr:uid="{00000000-0005-0000-0000-000033780000}"/>
    <cellStyle name="Normal 3 3 16 7 2 3" xfId="30781" xr:uid="{00000000-0005-0000-0000-000034780000}"/>
    <cellStyle name="Normal 3 3 16 7 3" xfId="30782" xr:uid="{00000000-0005-0000-0000-000035780000}"/>
    <cellStyle name="Normal 3 3 16 7 3 2" xfId="30783" xr:uid="{00000000-0005-0000-0000-000036780000}"/>
    <cellStyle name="Normal 3 3 16 7 3 3" xfId="30784" xr:uid="{00000000-0005-0000-0000-000037780000}"/>
    <cellStyle name="Normal 3 3 16 7 4" xfId="30785" xr:uid="{00000000-0005-0000-0000-000038780000}"/>
    <cellStyle name="Normal 3 3 16 7 4 2" xfId="30786" xr:uid="{00000000-0005-0000-0000-000039780000}"/>
    <cellStyle name="Normal 3 3 16 7 4 3" xfId="30787" xr:uid="{00000000-0005-0000-0000-00003A780000}"/>
    <cellStyle name="Normal 3 3 16 7 5" xfId="30788" xr:uid="{00000000-0005-0000-0000-00003B780000}"/>
    <cellStyle name="Normal 3 3 16 7 5 2" xfId="30789" xr:uid="{00000000-0005-0000-0000-00003C780000}"/>
    <cellStyle name="Normal 3 3 16 7 5 3" xfId="30790" xr:uid="{00000000-0005-0000-0000-00003D780000}"/>
    <cellStyle name="Normal 3 3 16 7 6" xfId="30791" xr:uid="{00000000-0005-0000-0000-00003E780000}"/>
    <cellStyle name="Normal 3 3 16 7 6 2" xfId="30792" xr:uid="{00000000-0005-0000-0000-00003F780000}"/>
    <cellStyle name="Normal 3 3 16 7 6 3" xfId="30793" xr:uid="{00000000-0005-0000-0000-000040780000}"/>
    <cellStyle name="Normal 3 3 16 7 7" xfId="30794" xr:uid="{00000000-0005-0000-0000-000041780000}"/>
    <cellStyle name="Normal 3 3 16 7 7 2" xfId="30795" xr:uid="{00000000-0005-0000-0000-000042780000}"/>
    <cellStyle name="Normal 3 3 16 7 7 3" xfId="30796" xr:uid="{00000000-0005-0000-0000-000043780000}"/>
    <cellStyle name="Normal 3 3 16 7 8" xfId="30797" xr:uid="{00000000-0005-0000-0000-000044780000}"/>
    <cellStyle name="Normal 3 3 16 7 8 2" xfId="30798" xr:uid="{00000000-0005-0000-0000-000045780000}"/>
    <cellStyle name="Normal 3 3 16 7 8 3" xfId="30799" xr:uid="{00000000-0005-0000-0000-000046780000}"/>
    <cellStyle name="Normal 3 3 16 7 9" xfId="30800" xr:uid="{00000000-0005-0000-0000-000047780000}"/>
    <cellStyle name="Normal 3 3 16 7 9 2" xfId="30801" xr:uid="{00000000-0005-0000-0000-000048780000}"/>
    <cellStyle name="Normal 3 3 16 7 9 3" xfId="30802" xr:uid="{00000000-0005-0000-0000-000049780000}"/>
    <cellStyle name="Normal 3 3 16 8" xfId="30803" xr:uid="{00000000-0005-0000-0000-00004A780000}"/>
    <cellStyle name="Normal 3 3 16 8 10" xfId="30804" xr:uid="{00000000-0005-0000-0000-00004B780000}"/>
    <cellStyle name="Normal 3 3 16 8 10 2" xfId="30805" xr:uid="{00000000-0005-0000-0000-00004C780000}"/>
    <cellStyle name="Normal 3 3 16 8 10 3" xfId="30806" xr:uid="{00000000-0005-0000-0000-00004D780000}"/>
    <cellStyle name="Normal 3 3 16 8 11" xfId="30807" xr:uid="{00000000-0005-0000-0000-00004E780000}"/>
    <cellStyle name="Normal 3 3 16 8 11 2" xfId="30808" xr:uid="{00000000-0005-0000-0000-00004F780000}"/>
    <cellStyle name="Normal 3 3 16 8 11 3" xfId="30809" xr:uid="{00000000-0005-0000-0000-000050780000}"/>
    <cellStyle name="Normal 3 3 16 8 12" xfId="30810" xr:uid="{00000000-0005-0000-0000-000051780000}"/>
    <cellStyle name="Normal 3 3 16 8 12 2" xfId="30811" xr:uid="{00000000-0005-0000-0000-000052780000}"/>
    <cellStyle name="Normal 3 3 16 8 12 3" xfId="30812" xr:uid="{00000000-0005-0000-0000-000053780000}"/>
    <cellStyle name="Normal 3 3 16 8 13" xfId="30813" xr:uid="{00000000-0005-0000-0000-000054780000}"/>
    <cellStyle name="Normal 3 3 16 8 13 2" xfId="30814" xr:uid="{00000000-0005-0000-0000-000055780000}"/>
    <cellStyle name="Normal 3 3 16 8 13 3" xfId="30815" xr:uid="{00000000-0005-0000-0000-000056780000}"/>
    <cellStyle name="Normal 3 3 16 8 14" xfId="30816" xr:uid="{00000000-0005-0000-0000-000057780000}"/>
    <cellStyle name="Normal 3 3 16 8 14 2" xfId="30817" xr:uid="{00000000-0005-0000-0000-000058780000}"/>
    <cellStyle name="Normal 3 3 16 8 14 3" xfId="30818" xr:uid="{00000000-0005-0000-0000-000059780000}"/>
    <cellStyle name="Normal 3 3 16 8 15" xfId="30819" xr:uid="{00000000-0005-0000-0000-00005A780000}"/>
    <cellStyle name="Normal 3 3 16 8 16" xfId="30820" xr:uid="{00000000-0005-0000-0000-00005B780000}"/>
    <cellStyle name="Normal 3 3 16 8 2" xfId="30821" xr:uid="{00000000-0005-0000-0000-00005C780000}"/>
    <cellStyle name="Normal 3 3 16 8 2 2" xfId="30822" xr:uid="{00000000-0005-0000-0000-00005D780000}"/>
    <cellStyle name="Normal 3 3 16 8 2 3" xfId="30823" xr:uid="{00000000-0005-0000-0000-00005E780000}"/>
    <cellStyle name="Normal 3 3 16 8 3" xfId="30824" xr:uid="{00000000-0005-0000-0000-00005F780000}"/>
    <cellStyle name="Normal 3 3 16 8 3 2" xfId="30825" xr:uid="{00000000-0005-0000-0000-000060780000}"/>
    <cellStyle name="Normal 3 3 16 8 3 3" xfId="30826" xr:uid="{00000000-0005-0000-0000-000061780000}"/>
    <cellStyle name="Normal 3 3 16 8 4" xfId="30827" xr:uid="{00000000-0005-0000-0000-000062780000}"/>
    <cellStyle name="Normal 3 3 16 8 4 2" xfId="30828" xr:uid="{00000000-0005-0000-0000-000063780000}"/>
    <cellStyle name="Normal 3 3 16 8 4 3" xfId="30829" xr:uid="{00000000-0005-0000-0000-000064780000}"/>
    <cellStyle name="Normal 3 3 16 8 5" xfId="30830" xr:uid="{00000000-0005-0000-0000-000065780000}"/>
    <cellStyle name="Normal 3 3 16 8 5 2" xfId="30831" xr:uid="{00000000-0005-0000-0000-000066780000}"/>
    <cellStyle name="Normal 3 3 16 8 5 3" xfId="30832" xr:uid="{00000000-0005-0000-0000-000067780000}"/>
    <cellStyle name="Normal 3 3 16 8 6" xfId="30833" xr:uid="{00000000-0005-0000-0000-000068780000}"/>
    <cellStyle name="Normal 3 3 16 8 6 2" xfId="30834" xr:uid="{00000000-0005-0000-0000-000069780000}"/>
    <cellStyle name="Normal 3 3 16 8 6 3" xfId="30835" xr:uid="{00000000-0005-0000-0000-00006A780000}"/>
    <cellStyle name="Normal 3 3 16 8 7" xfId="30836" xr:uid="{00000000-0005-0000-0000-00006B780000}"/>
    <cellStyle name="Normal 3 3 16 8 7 2" xfId="30837" xr:uid="{00000000-0005-0000-0000-00006C780000}"/>
    <cellStyle name="Normal 3 3 16 8 7 3" xfId="30838" xr:uid="{00000000-0005-0000-0000-00006D780000}"/>
    <cellStyle name="Normal 3 3 16 8 8" xfId="30839" xr:uid="{00000000-0005-0000-0000-00006E780000}"/>
    <cellStyle name="Normal 3 3 16 8 8 2" xfId="30840" xr:uid="{00000000-0005-0000-0000-00006F780000}"/>
    <cellStyle name="Normal 3 3 16 8 8 3" xfId="30841" xr:uid="{00000000-0005-0000-0000-000070780000}"/>
    <cellStyle name="Normal 3 3 16 8 9" xfId="30842" xr:uid="{00000000-0005-0000-0000-000071780000}"/>
    <cellStyle name="Normal 3 3 16 8 9 2" xfId="30843" xr:uid="{00000000-0005-0000-0000-000072780000}"/>
    <cellStyle name="Normal 3 3 16 8 9 3" xfId="30844" xr:uid="{00000000-0005-0000-0000-000073780000}"/>
    <cellStyle name="Normal 3 3 16 9" xfId="30845" xr:uid="{00000000-0005-0000-0000-000074780000}"/>
    <cellStyle name="Normal 3 3 16 9 10" xfId="30846" xr:uid="{00000000-0005-0000-0000-000075780000}"/>
    <cellStyle name="Normal 3 3 16 9 10 2" xfId="30847" xr:uid="{00000000-0005-0000-0000-000076780000}"/>
    <cellStyle name="Normal 3 3 16 9 10 3" xfId="30848" xr:uid="{00000000-0005-0000-0000-000077780000}"/>
    <cellStyle name="Normal 3 3 16 9 11" xfId="30849" xr:uid="{00000000-0005-0000-0000-000078780000}"/>
    <cellStyle name="Normal 3 3 16 9 11 2" xfId="30850" xr:uid="{00000000-0005-0000-0000-000079780000}"/>
    <cellStyle name="Normal 3 3 16 9 11 3" xfId="30851" xr:uid="{00000000-0005-0000-0000-00007A780000}"/>
    <cellStyle name="Normal 3 3 16 9 12" xfId="30852" xr:uid="{00000000-0005-0000-0000-00007B780000}"/>
    <cellStyle name="Normal 3 3 16 9 12 2" xfId="30853" xr:uid="{00000000-0005-0000-0000-00007C780000}"/>
    <cellStyle name="Normal 3 3 16 9 12 3" xfId="30854" xr:uid="{00000000-0005-0000-0000-00007D780000}"/>
    <cellStyle name="Normal 3 3 16 9 13" xfId="30855" xr:uid="{00000000-0005-0000-0000-00007E780000}"/>
    <cellStyle name="Normal 3 3 16 9 13 2" xfId="30856" xr:uid="{00000000-0005-0000-0000-00007F780000}"/>
    <cellStyle name="Normal 3 3 16 9 13 3" xfId="30857" xr:uid="{00000000-0005-0000-0000-000080780000}"/>
    <cellStyle name="Normal 3 3 16 9 14" xfId="30858" xr:uid="{00000000-0005-0000-0000-000081780000}"/>
    <cellStyle name="Normal 3 3 16 9 14 2" xfId="30859" xr:uid="{00000000-0005-0000-0000-000082780000}"/>
    <cellStyle name="Normal 3 3 16 9 14 3" xfId="30860" xr:uid="{00000000-0005-0000-0000-000083780000}"/>
    <cellStyle name="Normal 3 3 16 9 15" xfId="30861" xr:uid="{00000000-0005-0000-0000-000084780000}"/>
    <cellStyle name="Normal 3 3 16 9 16" xfId="30862" xr:uid="{00000000-0005-0000-0000-000085780000}"/>
    <cellStyle name="Normal 3 3 16 9 2" xfId="30863" xr:uid="{00000000-0005-0000-0000-000086780000}"/>
    <cellStyle name="Normal 3 3 16 9 2 2" xfId="30864" xr:uid="{00000000-0005-0000-0000-000087780000}"/>
    <cellStyle name="Normal 3 3 16 9 2 3" xfId="30865" xr:uid="{00000000-0005-0000-0000-000088780000}"/>
    <cellStyle name="Normal 3 3 16 9 3" xfId="30866" xr:uid="{00000000-0005-0000-0000-000089780000}"/>
    <cellStyle name="Normal 3 3 16 9 3 2" xfId="30867" xr:uid="{00000000-0005-0000-0000-00008A780000}"/>
    <cellStyle name="Normal 3 3 16 9 3 3" xfId="30868" xr:uid="{00000000-0005-0000-0000-00008B780000}"/>
    <cellStyle name="Normal 3 3 16 9 4" xfId="30869" xr:uid="{00000000-0005-0000-0000-00008C780000}"/>
    <cellStyle name="Normal 3 3 16 9 4 2" xfId="30870" xr:uid="{00000000-0005-0000-0000-00008D780000}"/>
    <cellStyle name="Normal 3 3 16 9 4 3" xfId="30871" xr:uid="{00000000-0005-0000-0000-00008E780000}"/>
    <cellStyle name="Normal 3 3 16 9 5" xfId="30872" xr:uid="{00000000-0005-0000-0000-00008F780000}"/>
    <cellStyle name="Normal 3 3 16 9 5 2" xfId="30873" xr:uid="{00000000-0005-0000-0000-000090780000}"/>
    <cellStyle name="Normal 3 3 16 9 5 3" xfId="30874" xr:uid="{00000000-0005-0000-0000-000091780000}"/>
    <cellStyle name="Normal 3 3 16 9 6" xfId="30875" xr:uid="{00000000-0005-0000-0000-000092780000}"/>
    <cellStyle name="Normal 3 3 16 9 6 2" xfId="30876" xr:uid="{00000000-0005-0000-0000-000093780000}"/>
    <cellStyle name="Normal 3 3 16 9 6 3" xfId="30877" xr:uid="{00000000-0005-0000-0000-000094780000}"/>
    <cellStyle name="Normal 3 3 16 9 7" xfId="30878" xr:uid="{00000000-0005-0000-0000-000095780000}"/>
    <cellStyle name="Normal 3 3 16 9 7 2" xfId="30879" xr:uid="{00000000-0005-0000-0000-000096780000}"/>
    <cellStyle name="Normal 3 3 16 9 7 3" xfId="30880" xr:uid="{00000000-0005-0000-0000-000097780000}"/>
    <cellStyle name="Normal 3 3 16 9 8" xfId="30881" xr:uid="{00000000-0005-0000-0000-000098780000}"/>
    <cellStyle name="Normal 3 3 16 9 8 2" xfId="30882" xr:uid="{00000000-0005-0000-0000-000099780000}"/>
    <cellStyle name="Normal 3 3 16 9 8 3" xfId="30883" xr:uid="{00000000-0005-0000-0000-00009A780000}"/>
    <cellStyle name="Normal 3 3 16 9 9" xfId="30884" xr:uid="{00000000-0005-0000-0000-00009B780000}"/>
    <cellStyle name="Normal 3 3 16 9 9 2" xfId="30885" xr:uid="{00000000-0005-0000-0000-00009C780000}"/>
    <cellStyle name="Normal 3 3 16 9 9 3" xfId="30886" xr:uid="{00000000-0005-0000-0000-00009D780000}"/>
    <cellStyle name="Normal 3 3 17" xfId="30887" xr:uid="{00000000-0005-0000-0000-00009E780000}"/>
    <cellStyle name="Normal 3 3 17 10" xfId="30888" xr:uid="{00000000-0005-0000-0000-00009F780000}"/>
    <cellStyle name="Normal 3 3 17 10 10" xfId="30889" xr:uid="{00000000-0005-0000-0000-0000A0780000}"/>
    <cellStyle name="Normal 3 3 17 10 10 2" xfId="30890" xr:uid="{00000000-0005-0000-0000-0000A1780000}"/>
    <cellStyle name="Normal 3 3 17 10 10 3" xfId="30891" xr:uid="{00000000-0005-0000-0000-0000A2780000}"/>
    <cellStyle name="Normal 3 3 17 10 11" xfId="30892" xr:uid="{00000000-0005-0000-0000-0000A3780000}"/>
    <cellStyle name="Normal 3 3 17 10 11 2" xfId="30893" xr:uid="{00000000-0005-0000-0000-0000A4780000}"/>
    <cellStyle name="Normal 3 3 17 10 11 3" xfId="30894" xr:uid="{00000000-0005-0000-0000-0000A5780000}"/>
    <cellStyle name="Normal 3 3 17 10 12" xfId="30895" xr:uid="{00000000-0005-0000-0000-0000A6780000}"/>
    <cellStyle name="Normal 3 3 17 10 12 2" xfId="30896" xr:uid="{00000000-0005-0000-0000-0000A7780000}"/>
    <cellStyle name="Normal 3 3 17 10 12 3" xfId="30897" xr:uid="{00000000-0005-0000-0000-0000A8780000}"/>
    <cellStyle name="Normal 3 3 17 10 13" xfId="30898" xr:uid="{00000000-0005-0000-0000-0000A9780000}"/>
    <cellStyle name="Normal 3 3 17 10 13 2" xfId="30899" xr:uid="{00000000-0005-0000-0000-0000AA780000}"/>
    <cellStyle name="Normal 3 3 17 10 13 3" xfId="30900" xr:uid="{00000000-0005-0000-0000-0000AB780000}"/>
    <cellStyle name="Normal 3 3 17 10 14" xfId="30901" xr:uid="{00000000-0005-0000-0000-0000AC780000}"/>
    <cellStyle name="Normal 3 3 17 10 14 2" xfId="30902" xr:uid="{00000000-0005-0000-0000-0000AD780000}"/>
    <cellStyle name="Normal 3 3 17 10 14 3" xfId="30903" xr:uid="{00000000-0005-0000-0000-0000AE780000}"/>
    <cellStyle name="Normal 3 3 17 10 15" xfId="30904" xr:uid="{00000000-0005-0000-0000-0000AF780000}"/>
    <cellStyle name="Normal 3 3 17 10 16" xfId="30905" xr:uid="{00000000-0005-0000-0000-0000B0780000}"/>
    <cellStyle name="Normal 3 3 17 10 2" xfId="30906" xr:uid="{00000000-0005-0000-0000-0000B1780000}"/>
    <cellStyle name="Normal 3 3 17 10 2 2" xfId="30907" xr:uid="{00000000-0005-0000-0000-0000B2780000}"/>
    <cellStyle name="Normal 3 3 17 10 2 3" xfId="30908" xr:uid="{00000000-0005-0000-0000-0000B3780000}"/>
    <cellStyle name="Normal 3 3 17 10 3" xfId="30909" xr:uid="{00000000-0005-0000-0000-0000B4780000}"/>
    <cellStyle name="Normal 3 3 17 10 3 2" xfId="30910" xr:uid="{00000000-0005-0000-0000-0000B5780000}"/>
    <cellStyle name="Normal 3 3 17 10 3 3" xfId="30911" xr:uid="{00000000-0005-0000-0000-0000B6780000}"/>
    <cellStyle name="Normal 3 3 17 10 4" xfId="30912" xr:uid="{00000000-0005-0000-0000-0000B7780000}"/>
    <cellStyle name="Normal 3 3 17 10 4 2" xfId="30913" xr:uid="{00000000-0005-0000-0000-0000B8780000}"/>
    <cellStyle name="Normal 3 3 17 10 4 3" xfId="30914" xr:uid="{00000000-0005-0000-0000-0000B9780000}"/>
    <cellStyle name="Normal 3 3 17 10 5" xfId="30915" xr:uid="{00000000-0005-0000-0000-0000BA780000}"/>
    <cellStyle name="Normal 3 3 17 10 5 2" xfId="30916" xr:uid="{00000000-0005-0000-0000-0000BB780000}"/>
    <cellStyle name="Normal 3 3 17 10 5 3" xfId="30917" xr:uid="{00000000-0005-0000-0000-0000BC780000}"/>
    <cellStyle name="Normal 3 3 17 10 6" xfId="30918" xr:uid="{00000000-0005-0000-0000-0000BD780000}"/>
    <cellStyle name="Normal 3 3 17 10 6 2" xfId="30919" xr:uid="{00000000-0005-0000-0000-0000BE780000}"/>
    <cellStyle name="Normal 3 3 17 10 6 3" xfId="30920" xr:uid="{00000000-0005-0000-0000-0000BF780000}"/>
    <cellStyle name="Normal 3 3 17 10 7" xfId="30921" xr:uid="{00000000-0005-0000-0000-0000C0780000}"/>
    <cellStyle name="Normal 3 3 17 10 7 2" xfId="30922" xr:uid="{00000000-0005-0000-0000-0000C1780000}"/>
    <cellStyle name="Normal 3 3 17 10 7 3" xfId="30923" xr:uid="{00000000-0005-0000-0000-0000C2780000}"/>
    <cellStyle name="Normal 3 3 17 10 8" xfId="30924" xr:uid="{00000000-0005-0000-0000-0000C3780000}"/>
    <cellStyle name="Normal 3 3 17 10 8 2" xfId="30925" xr:uid="{00000000-0005-0000-0000-0000C4780000}"/>
    <cellStyle name="Normal 3 3 17 10 8 3" xfId="30926" xr:uid="{00000000-0005-0000-0000-0000C5780000}"/>
    <cellStyle name="Normal 3 3 17 10 9" xfId="30927" xr:uid="{00000000-0005-0000-0000-0000C6780000}"/>
    <cellStyle name="Normal 3 3 17 10 9 2" xfId="30928" xr:uid="{00000000-0005-0000-0000-0000C7780000}"/>
    <cellStyle name="Normal 3 3 17 10 9 3" xfId="30929" xr:uid="{00000000-0005-0000-0000-0000C8780000}"/>
    <cellStyle name="Normal 3 3 17 11" xfId="30930" xr:uid="{00000000-0005-0000-0000-0000C9780000}"/>
    <cellStyle name="Normal 3 3 17 11 2" xfId="30931" xr:uid="{00000000-0005-0000-0000-0000CA780000}"/>
    <cellStyle name="Normal 3 3 17 11 3" xfId="30932" xr:uid="{00000000-0005-0000-0000-0000CB780000}"/>
    <cellStyle name="Normal 3 3 17 12" xfId="30933" xr:uid="{00000000-0005-0000-0000-0000CC780000}"/>
    <cellStyle name="Normal 3 3 17 12 2" xfId="30934" xr:uid="{00000000-0005-0000-0000-0000CD780000}"/>
    <cellStyle name="Normal 3 3 17 12 3" xfId="30935" xr:uid="{00000000-0005-0000-0000-0000CE780000}"/>
    <cellStyle name="Normal 3 3 17 13" xfId="30936" xr:uid="{00000000-0005-0000-0000-0000CF780000}"/>
    <cellStyle name="Normal 3 3 17 13 2" xfId="30937" xr:uid="{00000000-0005-0000-0000-0000D0780000}"/>
    <cellStyle name="Normal 3 3 17 13 3" xfId="30938" xr:uid="{00000000-0005-0000-0000-0000D1780000}"/>
    <cellStyle name="Normal 3 3 17 14" xfId="30939" xr:uid="{00000000-0005-0000-0000-0000D2780000}"/>
    <cellStyle name="Normal 3 3 17 14 2" xfId="30940" xr:uid="{00000000-0005-0000-0000-0000D3780000}"/>
    <cellStyle name="Normal 3 3 17 14 3" xfId="30941" xr:uid="{00000000-0005-0000-0000-0000D4780000}"/>
    <cellStyle name="Normal 3 3 17 15" xfId="30942" xr:uid="{00000000-0005-0000-0000-0000D5780000}"/>
    <cellStyle name="Normal 3 3 17 15 2" xfId="30943" xr:uid="{00000000-0005-0000-0000-0000D6780000}"/>
    <cellStyle name="Normal 3 3 17 15 3" xfId="30944" xr:uid="{00000000-0005-0000-0000-0000D7780000}"/>
    <cellStyle name="Normal 3 3 17 16" xfId="30945" xr:uid="{00000000-0005-0000-0000-0000D8780000}"/>
    <cellStyle name="Normal 3 3 17 16 2" xfId="30946" xr:uid="{00000000-0005-0000-0000-0000D9780000}"/>
    <cellStyle name="Normal 3 3 17 16 3" xfId="30947" xr:uid="{00000000-0005-0000-0000-0000DA780000}"/>
    <cellStyle name="Normal 3 3 17 17" xfId="30948" xr:uid="{00000000-0005-0000-0000-0000DB780000}"/>
    <cellStyle name="Normal 3 3 17 17 2" xfId="30949" xr:uid="{00000000-0005-0000-0000-0000DC780000}"/>
    <cellStyle name="Normal 3 3 17 17 3" xfId="30950" xr:uid="{00000000-0005-0000-0000-0000DD780000}"/>
    <cellStyle name="Normal 3 3 17 18" xfId="30951" xr:uid="{00000000-0005-0000-0000-0000DE780000}"/>
    <cellStyle name="Normal 3 3 17 18 2" xfId="30952" xr:uid="{00000000-0005-0000-0000-0000DF780000}"/>
    <cellStyle name="Normal 3 3 17 18 3" xfId="30953" xr:uid="{00000000-0005-0000-0000-0000E0780000}"/>
    <cellStyle name="Normal 3 3 17 19" xfId="30954" xr:uid="{00000000-0005-0000-0000-0000E1780000}"/>
    <cellStyle name="Normal 3 3 17 19 2" xfId="30955" xr:uid="{00000000-0005-0000-0000-0000E2780000}"/>
    <cellStyle name="Normal 3 3 17 19 3" xfId="30956" xr:uid="{00000000-0005-0000-0000-0000E3780000}"/>
    <cellStyle name="Normal 3 3 17 2" xfId="30957" xr:uid="{00000000-0005-0000-0000-0000E4780000}"/>
    <cellStyle name="Normal 3 3 17 2 10" xfId="30958" xr:uid="{00000000-0005-0000-0000-0000E5780000}"/>
    <cellStyle name="Normal 3 3 17 2 10 2" xfId="30959" xr:uid="{00000000-0005-0000-0000-0000E6780000}"/>
    <cellStyle name="Normal 3 3 17 2 10 3" xfId="30960" xr:uid="{00000000-0005-0000-0000-0000E7780000}"/>
    <cellStyle name="Normal 3 3 17 2 11" xfId="30961" xr:uid="{00000000-0005-0000-0000-0000E8780000}"/>
    <cellStyle name="Normal 3 3 17 2 11 2" xfId="30962" xr:uid="{00000000-0005-0000-0000-0000E9780000}"/>
    <cellStyle name="Normal 3 3 17 2 11 3" xfId="30963" xr:uid="{00000000-0005-0000-0000-0000EA780000}"/>
    <cellStyle name="Normal 3 3 17 2 12" xfId="30964" xr:uid="{00000000-0005-0000-0000-0000EB780000}"/>
    <cellStyle name="Normal 3 3 17 2 12 2" xfId="30965" xr:uid="{00000000-0005-0000-0000-0000EC780000}"/>
    <cellStyle name="Normal 3 3 17 2 12 3" xfId="30966" xr:uid="{00000000-0005-0000-0000-0000ED780000}"/>
    <cellStyle name="Normal 3 3 17 2 13" xfId="30967" xr:uid="{00000000-0005-0000-0000-0000EE780000}"/>
    <cellStyle name="Normal 3 3 17 2 13 2" xfId="30968" xr:uid="{00000000-0005-0000-0000-0000EF780000}"/>
    <cellStyle name="Normal 3 3 17 2 13 3" xfId="30969" xr:uid="{00000000-0005-0000-0000-0000F0780000}"/>
    <cellStyle name="Normal 3 3 17 2 14" xfId="30970" xr:uid="{00000000-0005-0000-0000-0000F1780000}"/>
    <cellStyle name="Normal 3 3 17 2 14 2" xfId="30971" xr:uid="{00000000-0005-0000-0000-0000F2780000}"/>
    <cellStyle name="Normal 3 3 17 2 14 3" xfId="30972" xr:uid="{00000000-0005-0000-0000-0000F3780000}"/>
    <cellStyle name="Normal 3 3 17 2 15" xfId="30973" xr:uid="{00000000-0005-0000-0000-0000F4780000}"/>
    <cellStyle name="Normal 3 3 17 2 15 2" xfId="30974" xr:uid="{00000000-0005-0000-0000-0000F5780000}"/>
    <cellStyle name="Normal 3 3 17 2 15 3" xfId="30975" xr:uid="{00000000-0005-0000-0000-0000F6780000}"/>
    <cellStyle name="Normal 3 3 17 2 16" xfId="30976" xr:uid="{00000000-0005-0000-0000-0000F7780000}"/>
    <cellStyle name="Normal 3 3 17 2 17" xfId="30977" xr:uid="{00000000-0005-0000-0000-0000F8780000}"/>
    <cellStyle name="Normal 3 3 17 2 2" xfId="30978" xr:uid="{00000000-0005-0000-0000-0000F9780000}"/>
    <cellStyle name="Normal 3 3 17 2 2 10" xfId="30979" xr:uid="{00000000-0005-0000-0000-0000FA780000}"/>
    <cellStyle name="Normal 3 3 17 2 2 10 2" xfId="30980" xr:uid="{00000000-0005-0000-0000-0000FB780000}"/>
    <cellStyle name="Normal 3 3 17 2 2 10 3" xfId="30981" xr:uid="{00000000-0005-0000-0000-0000FC780000}"/>
    <cellStyle name="Normal 3 3 17 2 2 11" xfId="30982" xr:uid="{00000000-0005-0000-0000-0000FD780000}"/>
    <cellStyle name="Normal 3 3 17 2 2 11 2" xfId="30983" xr:uid="{00000000-0005-0000-0000-0000FE780000}"/>
    <cellStyle name="Normal 3 3 17 2 2 11 3" xfId="30984" xr:uid="{00000000-0005-0000-0000-0000FF780000}"/>
    <cellStyle name="Normal 3 3 17 2 2 12" xfId="30985" xr:uid="{00000000-0005-0000-0000-000000790000}"/>
    <cellStyle name="Normal 3 3 17 2 2 12 2" xfId="30986" xr:uid="{00000000-0005-0000-0000-000001790000}"/>
    <cellStyle name="Normal 3 3 17 2 2 12 3" xfId="30987" xr:uid="{00000000-0005-0000-0000-000002790000}"/>
    <cellStyle name="Normal 3 3 17 2 2 13" xfId="30988" xr:uid="{00000000-0005-0000-0000-000003790000}"/>
    <cellStyle name="Normal 3 3 17 2 2 13 2" xfId="30989" xr:uid="{00000000-0005-0000-0000-000004790000}"/>
    <cellStyle name="Normal 3 3 17 2 2 13 3" xfId="30990" xr:uid="{00000000-0005-0000-0000-000005790000}"/>
    <cellStyle name="Normal 3 3 17 2 2 14" xfId="30991" xr:uid="{00000000-0005-0000-0000-000006790000}"/>
    <cellStyle name="Normal 3 3 17 2 2 14 2" xfId="30992" xr:uid="{00000000-0005-0000-0000-000007790000}"/>
    <cellStyle name="Normal 3 3 17 2 2 14 3" xfId="30993" xr:uid="{00000000-0005-0000-0000-000008790000}"/>
    <cellStyle name="Normal 3 3 17 2 2 15" xfId="30994" xr:uid="{00000000-0005-0000-0000-000009790000}"/>
    <cellStyle name="Normal 3 3 17 2 2 16" xfId="30995" xr:uid="{00000000-0005-0000-0000-00000A790000}"/>
    <cellStyle name="Normal 3 3 17 2 2 2" xfId="30996" xr:uid="{00000000-0005-0000-0000-00000B790000}"/>
    <cellStyle name="Normal 3 3 17 2 2 2 2" xfId="30997" xr:uid="{00000000-0005-0000-0000-00000C790000}"/>
    <cellStyle name="Normal 3 3 17 2 2 2 3" xfId="30998" xr:uid="{00000000-0005-0000-0000-00000D790000}"/>
    <cellStyle name="Normal 3 3 17 2 2 3" xfId="30999" xr:uid="{00000000-0005-0000-0000-00000E790000}"/>
    <cellStyle name="Normal 3 3 17 2 2 3 2" xfId="31000" xr:uid="{00000000-0005-0000-0000-00000F790000}"/>
    <cellStyle name="Normal 3 3 17 2 2 3 3" xfId="31001" xr:uid="{00000000-0005-0000-0000-000010790000}"/>
    <cellStyle name="Normal 3 3 17 2 2 4" xfId="31002" xr:uid="{00000000-0005-0000-0000-000011790000}"/>
    <cellStyle name="Normal 3 3 17 2 2 4 2" xfId="31003" xr:uid="{00000000-0005-0000-0000-000012790000}"/>
    <cellStyle name="Normal 3 3 17 2 2 4 3" xfId="31004" xr:uid="{00000000-0005-0000-0000-000013790000}"/>
    <cellStyle name="Normal 3 3 17 2 2 5" xfId="31005" xr:uid="{00000000-0005-0000-0000-000014790000}"/>
    <cellStyle name="Normal 3 3 17 2 2 5 2" xfId="31006" xr:uid="{00000000-0005-0000-0000-000015790000}"/>
    <cellStyle name="Normal 3 3 17 2 2 5 3" xfId="31007" xr:uid="{00000000-0005-0000-0000-000016790000}"/>
    <cellStyle name="Normal 3 3 17 2 2 6" xfId="31008" xr:uid="{00000000-0005-0000-0000-000017790000}"/>
    <cellStyle name="Normal 3 3 17 2 2 6 2" xfId="31009" xr:uid="{00000000-0005-0000-0000-000018790000}"/>
    <cellStyle name="Normal 3 3 17 2 2 6 3" xfId="31010" xr:uid="{00000000-0005-0000-0000-000019790000}"/>
    <cellStyle name="Normal 3 3 17 2 2 7" xfId="31011" xr:uid="{00000000-0005-0000-0000-00001A790000}"/>
    <cellStyle name="Normal 3 3 17 2 2 7 2" xfId="31012" xr:uid="{00000000-0005-0000-0000-00001B790000}"/>
    <cellStyle name="Normal 3 3 17 2 2 7 3" xfId="31013" xr:uid="{00000000-0005-0000-0000-00001C790000}"/>
    <cellStyle name="Normal 3 3 17 2 2 8" xfId="31014" xr:uid="{00000000-0005-0000-0000-00001D790000}"/>
    <cellStyle name="Normal 3 3 17 2 2 8 2" xfId="31015" xr:uid="{00000000-0005-0000-0000-00001E790000}"/>
    <cellStyle name="Normal 3 3 17 2 2 8 3" xfId="31016" xr:uid="{00000000-0005-0000-0000-00001F790000}"/>
    <cellStyle name="Normal 3 3 17 2 2 9" xfId="31017" xr:uid="{00000000-0005-0000-0000-000020790000}"/>
    <cellStyle name="Normal 3 3 17 2 2 9 2" xfId="31018" xr:uid="{00000000-0005-0000-0000-000021790000}"/>
    <cellStyle name="Normal 3 3 17 2 2 9 3" xfId="31019" xr:uid="{00000000-0005-0000-0000-000022790000}"/>
    <cellStyle name="Normal 3 3 17 2 3" xfId="31020" xr:uid="{00000000-0005-0000-0000-000023790000}"/>
    <cellStyle name="Normal 3 3 17 2 3 2" xfId="31021" xr:uid="{00000000-0005-0000-0000-000024790000}"/>
    <cellStyle name="Normal 3 3 17 2 3 3" xfId="31022" xr:uid="{00000000-0005-0000-0000-000025790000}"/>
    <cellStyle name="Normal 3 3 17 2 4" xfId="31023" xr:uid="{00000000-0005-0000-0000-000026790000}"/>
    <cellStyle name="Normal 3 3 17 2 4 2" xfId="31024" xr:uid="{00000000-0005-0000-0000-000027790000}"/>
    <cellStyle name="Normal 3 3 17 2 4 3" xfId="31025" xr:uid="{00000000-0005-0000-0000-000028790000}"/>
    <cellStyle name="Normal 3 3 17 2 5" xfId="31026" xr:uid="{00000000-0005-0000-0000-000029790000}"/>
    <cellStyle name="Normal 3 3 17 2 5 2" xfId="31027" xr:uid="{00000000-0005-0000-0000-00002A790000}"/>
    <cellStyle name="Normal 3 3 17 2 5 3" xfId="31028" xr:uid="{00000000-0005-0000-0000-00002B790000}"/>
    <cellStyle name="Normal 3 3 17 2 6" xfId="31029" xr:uid="{00000000-0005-0000-0000-00002C790000}"/>
    <cellStyle name="Normal 3 3 17 2 6 2" xfId="31030" xr:uid="{00000000-0005-0000-0000-00002D790000}"/>
    <cellStyle name="Normal 3 3 17 2 6 3" xfId="31031" xr:uid="{00000000-0005-0000-0000-00002E790000}"/>
    <cellStyle name="Normal 3 3 17 2 7" xfId="31032" xr:uid="{00000000-0005-0000-0000-00002F790000}"/>
    <cellStyle name="Normal 3 3 17 2 7 2" xfId="31033" xr:uid="{00000000-0005-0000-0000-000030790000}"/>
    <cellStyle name="Normal 3 3 17 2 7 3" xfId="31034" xr:uid="{00000000-0005-0000-0000-000031790000}"/>
    <cellStyle name="Normal 3 3 17 2 8" xfId="31035" xr:uid="{00000000-0005-0000-0000-000032790000}"/>
    <cellStyle name="Normal 3 3 17 2 8 2" xfId="31036" xr:uid="{00000000-0005-0000-0000-000033790000}"/>
    <cellStyle name="Normal 3 3 17 2 8 3" xfId="31037" xr:uid="{00000000-0005-0000-0000-000034790000}"/>
    <cellStyle name="Normal 3 3 17 2 9" xfId="31038" xr:uid="{00000000-0005-0000-0000-000035790000}"/>
    <cellStyle name="Normal 3 3 17 2 9 2" xfId="31039" xr:uid="{00000000-0005-0000-0000-000036790000}"/>
    <cellStyle name="Normal 3 3 17 2 9 3" xfId="31040" xr:uid="{00000000-0005-0000-0000-000037790000}"/>
    <cellStyle name="Normal 3 3 17 20" xfId="31041" xr:uid="{00000000-0005-0000-0000-000038790000}"/>
    <cellStyle name="Normal 3 3 17 20 2" xfId="31042" xr:uid="{00000000-0005-0000-0000-000039790000}"/>
    <cellStyle name="Normal 3 3 17 20 3" xfId="31043" xr:uid="{00000000-0005-0000-0000-00003A790000}"/>
    <cellStyle name="Normal 3 3 17 21" xfId="31044" xr:uid="{00000000-0005-0000-0000-00003B790000}"/>
    <cellStyle name="Normal 3 3 17 21 2" xfId="31045" xr:uid="{00000000-0005-0000-0000-00003C790000}"/>
    <cellStyle name="Normal 3 3 17 21 3" xfId="31046" xr:uid="{00000000-0005-0000-0000-00003D790000}"/>
    <cellStyle name="Normal 3 3 17 22" xfId="31047" xr:uid="{00000000-0005-0000-0000-00003E790000}"/>
    <cellStyle name="Normal 3 3 17 22 2" xfId="31048" xr:uid="{00000000-0005-0000-0000-00003F790000}"/>
    <cellStyle name="Normal 3 3 17 22 3" xfId="31049" xr:uid="{00000000-0005-0000-0000-000040790000}"/>
    <cellStyle name="Normal 3 3 17 23" xfId="31050" xr:uid="{00000000-0005-0000-0000-000041790000}"/>
    <cellStyle name="Normal 3 3 17 23 2" xfId="31051" xr:uid="{00000000-0005-0000-0000-000042790000}"/>
    <cellStyle name="Normal 3 3 17 23 3" xfId="31052" xr:uid="{00000000-0005-0000-0000-000043790000}"/>
    <cellStyle name="Normal 3 3 17 24" xfId="31053" xr:uid="{00000000-0005-0000-0000-000044790000}"/>
    <cellStyle name="Normal 3 3 17 25" xfId="31054" xr:uid="{00000000-0005-0000-0000-000045790000}"/>
    <cellStyle name="Normal 3 3 17 3" xfId="31055" xr:uid="{00000000-0005-0000-0000-000046790000}"/>
    <cellStyle name="Normal 3 3 17 3 10" xfId="31056" xr:uid="{00000000-0005-0000-0000-000047790000}"/>
    <cellStyle name="Normal 3 3 17 3 10 2" xfId="31057" xr:uid="{00000000-0005-0000-0000-000048790000}"/>
    <cellStyle name="Normal 3 3 17 3 10 3" xfId="31058" xr:uid="{00000000-0005-0000-0000-000049790000}"/>
    <cellStyle name="Normal 3 3 17 3 11" xfId="31059" xr:uid="{00000000-0005-0000-0000-00004A790000}"/>
    <cellStyle name="Normal 3 3 17 3 11 2" xfId="31060" xr:uid="{00000000-0005-0000-0000-00004B790000}"/>
    <cellStyle name="Normal 3 3 17 3 11 3" xfId="31061" xr:uid="{00000000-0005-0000-0000-00004C790000}"/>
    <cellStyle name="Normal 3 3 17 3 12" xfId="31062" xr:uid="{00000000-0005-0000-0000-00004D790000}"/>
    <cellStyle name="Normal 3 3 17 3 12 2" xfId="31063" xr:uid="{00000000-0005-0000-0000-00004E790000}"/>
    <cellStyle name="Normal 3 3 17 3 12 3" xfId="31064" xr:uid="{00000000-0005-0000-0000-00004F790000}"/>
    <cellStyle name="Normal 3 3 17 3 13" xfId="31065" xr:uid="{00000000-0005-0000-0000-000050790000}"/>
    <cellStyle name="Normal 3 3 17 3 13 2" xfId="31066" xr:uid="{00000000-0005-0000-0000-000051790000}"/>
    <cellStyle name="Normal 3 3 17 3 13 3" xfId="31067" xr:uid="{00000000-0005-0000-0000-000052790000}"/>
    <cellStyle name="Normal 3 3 17 3 14" xfId="31068" xr:uid="{00000000-0005-0000-0000-000053790000}"/>
    <cellStyle name="Normal 3 3 17 3 14 2" xfId="31069" xr:uid="{00000000-0005-0000-0000-000054790000}"/>
    <cellStyle name="Normal 3 3 17 3 14 3" xfId="31070" xr:uid="{00000000-0005-0000-0000-000055790000}"/>
    <cellStyle name="Normal 3 3 17 3 15" xfId="31071" xr:uid="{00000000-0005-0000-0000-000056790000}"/>
    <cellStyle name="Normal 3 3 17 3 15 2" xfId="31072" xr:uid="{00000000-0005-0000-0000-000057790000}"/>
    <cellStyle name="Normal 3 3 17 3 15 3" xfId="31073" xr:uid="{00000000-0005-0000-0000-000058790000}"/>
    <cellStyle name="Normal 3 3 17 3 16" xfId="31074" xr:uid="{00000000-0005-0000-0000-000059790000}"/>
    <cellStyle name="Normal 3 3 17 3 17" xfId="31075" xr:uid="{00000000-0005-0000-0000-00005A790000}"/>
    <cellStyle name="Normal 3 3 17 3 2" xfId="31076" xr:uid="{00000000-0005-0000-0000-00005B790000}"/>
    <cellStyle name="Normal 3 3 17 3 2 10" xfId="31077" xr:uid="{00000000-0005-0000-0000-00005C790000}"/>
    <cellStyle name="Normal 3 3 17 3 2 10 2" xfId="31078" xr:uid="{00000000-0005-0000-0000-00005D790000}"/>
    <cellStyle name="Normal 3 3 17 3 2 10 3" xfId="31079" xr:uid="{00000000-0005-0000-0000-00005E790000}"/>
    <cellStyle name="Normal 3 3 17 3 2 11" xfId="31080" xr:uid="{00000000-0005-0000-0000-00005F790000}"/>
    <cellStyle name="Normal 3 3 17 3 2 11 2" xfId="31081" xr:uid="{00000000-0005-0000-0000-000060790000}"/>
    <cellStyle name="Normal 3 3 17 3 2 11 3" xfId="31082" xr:uid="{00000000-0005-0000-0000-000061790000}"/>
    <cellStyle name="Normal 3 3 17 3 2 12" xfId="31083" xr:uid="{00000000-0005-0000-0000-000062790000}"/>
    <cellStyle name="Normal 3 3 17 3 2 12 2" xfId="31084" xr:uid="{00000000-0005-0000-0000-000063790000}"/>
    <cellStyle name="Normal 3 3 17 3 2 12 3" xfId="31085" xr:uid="{00000000-0005-0000-0000-000064790000}"/>
    <cellStyle name="Normal 3 3 17 3 2 13" xfId="31086" xr:uid="{00000000-0005-0000-0000-000065790000}"/>
    <cellStyle name="Normal 3 3 17 3 2 13 2" xfId="31087" xr:uid="{00000000-0005-0000-0000-000066790000}"/>
    <cellStyle name="Normal 3 3 17 3 2 13 3" xfId="31088" xr:uid="{00000000-0005-0000-0000-000067790000}"/>
    <cellStyle name="Normal 3 3 17 3 2 14" xfId="31089" xr:uid="{00000000-0005-0000-0000-000068790000}"/>
    <cellStyle name="Normal 3 3 17 3 2 14 2" xfId="31090" xr:uid="{00000000-0005-0000-0000-000069790000}"/>
    <cellStyle name="Normal 3 3 17 3 2 14 3" xfId="31091" xr:uid="{00000000-0005-0000-0000-00006A790000}"/>
    <cellStyle name="Normal 3 3 17 3 2 15" xfId="31092" xr:uid="{00000000-0005-0000-0000-00006B790000}"/>
    <cellStyle name="Normal 3 3 17 3 2 16" xfId="31093" xr:uid="{00000000-0005-0000-0000-00006C790000}"/>
    <cellStyle name="Normal 3 3 17 3 2 2" xfId="31094" xr:uid="{00000000-0005-0000-0000-00006D790000}"/>
    <cellStyle name="Normal 3 3 17 3 2 2 2" xfId="31095" xr:uid="{00000000-0005-0000-0000-00006E790000}"/>
    <cellStyle name="Normal 3 3 17 3 2 2 3" xfId="31096" xr:uid="{00000000-0005-0000-0000-00006F790000}"/>
    <cellStyle name="Normal 3 3 17 3 2 3" xfId="31097" xr:uid="{00000000-0005-0000-0000-000070790000}"/>
    <cellStyle name="Normal 3 3 17 3 2 3 2" xfId="31098" xr:uid="{00000000-0005-0000-0000-000071790000}"/>
    <cellStyle name="Normal 3 3 17 3 2 3 3" xfId="31099" xr:uid="{00000000-0005-0000-0000-000072790000}"/>
    <cellStyle name="Normal 3 3 17 3 2 4" xfId="31100" xr:uid="{00000000-0005-0000-0000-000073790000}"/>
    <cellStyle name="Normal 3 3 17 3 2 4 2" xfId="31101" xr:uid="{00000000-0005-0000-0000-000074790000}"/>
    <cellStyle name="Normal 3 3 17 3 2 4 3" xfId="31102" xr:uid="{00000000-0005-0000-0000-000075790000}"/>
    <cellStyle name="Normal 3 3 17 3 2 5" xfId="31103" xr:uid="{00000000-0005-0000-0000-000076790000}"/>
    <cellStyle name="Normal 3 3 17 3 2 5 2" xfId="31104" xr:uid="{00000000-0005-0000-0000-000077790000}"/>
    <cellStyle name="Normal 3 3 17 3 2 5 3" xfId="31105" xr:uid="{00000000-0005-0000-0000-000078790000}"/>
    <cellStyle name="Normal 3 3 17 3 2 6" xfId="31106" xr:uid="{00000000-0005-0000-0000-000079790000}"/>
    <cellStyle name="Normal 3 3 17 3 2 6 2" xfId="31107" xr:uid="{00000000-0005-0000-0000-00007A790000}"/>
    <cellStyle name="Normal 3 3 17 3 2 6 3" xfId="31108" xr:uid="{00000000-0005-0000-0000-00007B790000}"/>
    <cellStyle name="Normal 3 3 17 3 2 7" xfId="31109" xr:uid="{00000000-0005-0000-0000-00007C790000}"/>
    <cellStyle name="Normal 3 3 17 3 2 7 2" xfId="31110" xr:uid="{00000000-0005-0000-0000-00007D790000}"/>
    <cellStyle name="Normal 3 3 17 3 2 7 3" xfId="31111" xr:uid="{00000000-0005-0000-0000-00007E790000}"/>
    <cellStyle name="Normal 3 3 17 3 2 8" xfId="31112" xr:uid="{00000000-0005-0000-0000-00007F790000}"/>
    <cellStyle name="Normal 3 3 17 3 2 8 2" xfId="31113" xr:uid="{00000000-0005-0000-0000-000080790000}"/>
    <cellStyle name="Normal 3 3 17 3 2 8 3" xfId="31114" xr:uid="{00000000-0005-0000-0000-000081790000}"/>
    <cellStyle name="Normal 3 3 17 3 2 9" xfId="31115" xr:uid="{00000000-0005-0000-0000-000082790000}"/>
    <cellStyle name="Normal 3 3 17 3 2 9 2" xfId="31116" xr:uid="{00000000-0005-0000-0000-000083790000}"/>
    <cellStyle name="Normal 3 3 17 3 2 9 3" xfId="31117" xr:uid="{00000000-0005-0000-0000-000084790000}"/>
    <cellStyle name="Normal 3 3 17 3 3" xfId="31118" xr:uid="{00000000-0005-0000-0000-000085790000}"/>
    <cellStyle name="Normal 3 3 17 3 3 2" xfId="31119" xr:uid="{00000000-0005-0000-0000-000086790000}"/>
    <cellStyle name="Normal 3 3 17 3 3 3" xfId="31120" xr:uid="{00000000-0005-0000-0000-000087790000}"/>
    <cellStyle name="Normal 3 3 17 3 4" xfId="31121" xr:uid="{00000000-0005-0000-0000-000088790000}"/>
    <cellStyle name="Normal 3 3 17 3 4 2" xfId="31122" xr:uid="{00000000-0005-0000-0000-000089790000}"/>
    <cellStyle name="Normal 3 3 17 3 4 3" xfId="31123" xr:uid="{00000000-0005-0000-0000-00008A790000}"/>
    <cellStyle name="Normal 3 3 17 3 5" xfId="31124" xr:uid="{00000000-0005-0000-0000-00008B790000}"/>
    <cellStyle name="Normal 3 3 17 3 5 2" xfId="31125" xr:uid="{00000000-0005-0000-0000-00008C790000}"/>
    <cellStyle name="Normal 3 3 17 3 5 3" xfId="31126" xr:uid="{00000000-0005-0000-0000-00008D790000}"/>
    <cellStyle name="Normal 3 3 17 3 6" xfId="31127" xr:uid="{00000000-0005-0000-0000-00008E790000}"/>
    <cellStyle name="Normal 3 3 17 3 6 2" xfId="31128" xr:uid="{00000000-0005-0000-0000-00008F790000}"/>
    <cellStyle name="Normal 3 3 17 3 6 3" xfId="31129" xr:uid="{00000000-0005-0000-0000-000090790000}"/>
    <cellStyle name="Normal 3 3 17 3 7" xfId="31130" xr:uid="{00000000-0005-0000-0000-000091790000}"/>
    <cellStyle name="Normal 3 3 17 3 7 2" xfId="31131" xr:uid="{00000000-0005-0000-0000-000092790000}"/>
    <cellStyle name="Normal 3 3 17 3 7 3" xfId="31132" xr:uid="{00000000-0005-0000-0000-000093790000}"/>
    <cellStyle name="Normal 3 3 17 3 8" xfId="31133" xr:uid="{00000000-0005-0000-0000-000094790000}"/>
    <cellStyle name="Normal 3 3 17 3 8 2" xfId="31134" xr:uid="{00000000-0005-0000-0000-000095790000}"/>
    <cellStyle name="Normal 3 3 17 3 8 3" xfId="31135" xr:uid="{00000000-0005-0000-0000-000096790000}"/>
    <cellStyle name="Normal 3 3 17 3 9" xfId="31136" xr:uid="{00000000-0005-0000-0000-000097790000}"/>
    <cellStyle name="Normal 3 3 17 3 9 2" xfId="31137" xr:uid="{00000000-0005-0000-0000-000098790000}"/>
    <cellStyle name="Normal 3 3 17 3 9 3" xfId="31138" xr:uid="{00000000-0005-0000-0000-000099790000}"/>
    <cellStyle name="Normal 3 3 17 4" xfId="31139" xr:uid="{00000000-0005-0000-0000-00009A790000}"/>
    <cellStyle name="Normal 3 3 17 4 10" xfId="31140" xr:uid="{00000000-0005-0000-0000-00009B790000}"/>
    <cellStyle name="Normal 3 3 17 4 10 2" xfId="31141" xr:uid="{00000000-0005-0000-0000-00009C790000}"/>
    <cellStyle name="Normal 3 3 17 4 10 3" xfId="31142" xr:uid="{00000000-0005-0000-0000-00009D790000}"/>
    <cellStyle name="Normal 3 3 17 4 11" xfId="31143" xr:uid="{00000000-0005-0000-0000-00009E790000}"/>
    <cellStyle name="Normal 3 3 17 4 11 2" xfId="31144" xr:uid="{00000000-0005-0000-0000-00009F790000}"/>
    <cellStyle name="Normal 3 3 17 4 11 3" xfId="31145" xr:uid="{00000000-0005-0000-0000-0000A0790000}"/>
    <cellStyle name="Normal 3 3 17 4 12" xfId="31146" xr:uid="{00000000-0005-0000-0000-0000A1790000}"/>
    <cellStyle name="Normal 3 3 17 4 12 2" xfId="31147" xr:uid="{00000000-0005-0000-0000-0000A2790000}"/>
    <cellStyle name="Normal 3 3 17 4 12 3" xfId="31148" xr:uid="{00000000-0005-0000-0000-0000A3790000}"/>
    <cellStyle name="Normal 3 3 17 4 13" xfId="31149" xr:uid="{00000000-0005-0000-0000-0000A4790000}"/>
    <cellStyle name="Normal 3 3 17 4 13 2" xfId="31150" xr:uid="{00000000-0005-0000-0000-0000A5790000}"/>
    <cellStyle name="Normal 3 3 17 4 13 3" xfId="31151" xr:uid="{00000000-0005-0000-0000-0000A6790000}"/>
    <cellStyle name="Normal 3 3 17 4 14" xfId="31152" xr:uid="{00000000-0005-0000-0000-0000A7790000}"/>
    <cellStyle name="Normal 3 3 17 4 14 2" xfId="31153" xr:uid="{00000000-0005-0000-0000-0000A8790000}"/>
    <cellStyle name="Normal 3 3 17 4 14 3" xfId="31154" xr:uid="{00000000-0005-0000-0000-0000A9790000}"/>
    <cellStyle name="Normal 3 3 17 4 15" xfId="31155" xr:uid="{00000000-0005-0000-0000-0000AA790000}"/>
    <cellStyle name="Normal 3 3 17 4 15 2" xfId="31156" xr:uid="{00000000-0005-0000-0000-0000AB790000}"/>
    <cellStyle name="Normal 3 3 17 4 15 3" xfId="31157" xr:uid="{00000000-0005-0000-0000-0000AC790000}"/>
    <cellStyle name="Normal 3 3 17 4 16" xfId="31158" xr:uid="{00000000-0005-0000-0000-0000AD790000}"/>
    <cellStyle name="Normal 3 3 17 4 17" xfId="31159" xr:uid="{00000000-0005-0000-0000-0000AE790000}"/>
    <cellStyle name="Normal 3 3 17 4 2" xfId="31160" xr:uid="{00000000-0005-0000-0000-0000AF790000}"/>
    <cellStyle name="Normal 3 3 17 4 2 10" xfId="31161" xr:uid="{00000000-0005-0000-0000-0000B0790000}"/>
    <cellStyle name="Normal 3 3 17 4 2 10 2" xfId="31162" xr:uid="{00000000-0005-0000-0000-0000B1790000}"/>
    <cellStyle name="Normal 3 3 17 4 2 10 3" xfId="31163" xr:uid="{00000000-0005-0000-0000-0000B2790000}"/>
    <cellStyle name="Normal 3 3 17 4 2 11" xfId="31164" xr:uid="{00000000-0005-0000-0000-0000B3790000}"/>
    <cellStyle name="Normal 3 3 17 4 2 11 2" xfId="31165" xr:uid="{00000000-0005-0000-0000-0000B4790000}"/>
    <cellStyle name="Normal 3 3 17 4 2 11 3" xfId="31166" xr:uid="{00000000-0005-0000-0000-0000B5790000}"/>
    <cellStyle name="Normal 3 3 17 4 2 12" xfId="31167" xr:uid="{00000000-0005-0000-0000-0000B6790000}"/>
    <cellStyle name="Normal 3 3 17 4 2 12 2" xfId="31168" xr:uid="{00000000-0005-0000-0000-0000B7790000}"/>
    <cellStyle name="Normal 3 3 17 4 2 12 3" xfId="31169" xr:uid="{00000000-0005-0000-0000-0000B8790000}"/>
    <cellStyle name="Normal 3 3 17 4 2 13" xfId="31170" xr:uid="{00000000-0005-0000-0000-0000B9790000}"/>
    <cellStyle name="Normal 3 3 17 4 2 13 2" xfId="31171" xr:uid="{00000000-0005-0000-0000-0000BA790000}"/>
    <cellStyle name="Normal 3 3 17 4 2 13 3" xfId="31172" xr:uid="{00000000-0005-0000-0000-0000BB790000}"/>
    <cellStyle name="Normal 3 3 17 4 2 14" xfId="31173" xr:uid="{00000000-0005-0000-0000-0000BC790000}"/>
    <cellStyle name="Normal 3 3 17 4 2 14 2" xfId="31174" xr:uid="{00000000-0005-0000-0000-0000BD790000}"/>
    <cellStyle name="Normal 3 3 17 4 2 14 3" xfId="31175" xr:uid="{00000000-0005-0000-0000-0000BE790000}"/>
    <cellStyle name="Normal 3 3 17 4 2 15" xfId="31176" xr:uid="{00000000-0005-0000-0000-0000BF790000}"/>
    <cellStyle name="Normal 3 3 17 4 2 16" xfId="31177" xr:uid="{00000000-0005-0000-0000-0000C0790000}"/>
    <cellStyle name="Normal 3 3 17 4 2 2" xfId="31178" xr:uid="{00000000-0005-0000-0000-0000C1790000}"/>
    <cellStyle name="Normal 3 3 17 4 2 2 2" xfId="31179" xr:uid="{00000000-0005-0000-0000-0000C2790000}"/>
    <cellStyle name="Normal 3 3 17 4 2 2 3" xfId="31180" xr:uid="{00000000-0005-0000-0000-0000C3790000}"/>
    <cellStyle name="Normal 3 3 17 4 2 3" xfId="31181" xr:uid="{00000000-0005-0000-0000-0000C4790000}"/>
    <cellStyle name="Normal 3 3 17 4 2 3 2" xfId="31182" xr:uid="{00000000-0005-0000-0000-0000C5790000}"/>
    <cellStyle name="Normal 3 3 17 4 2 3 3" xfId="31183" xr:uid="{00000000-0005-0000-0000-0000C6790000}"/>
    <cellStyle name="Normal 3 3 17 4 2 4" xfId="31184" xr:uid="{00000000-0005-0000-0000-0000C7790000}"/>
    <cellStyle name="Normal 3 3 17 4 2 4 2" xfId="31185" xr:uid="{00000000-0005-0000-0000-0000C8790000}"/>
    <cellStyle name="Normal 3 3 17 4 2 4 3" xfId="31186" xr:uid="{00000000-0005-0000-0000-0000C9790000}"/>
    <cellStyle name="Normal 3 3 17 4 2 5" xfId="31187" xr:uid="{00000000-0005-0000-0000-0000CA790000}"/>
    <cellStyle name="Normal 3 3 17 4 2 5 2" xfId="31188" xr:uid="{00000000-0005-0000-0000-0000CB790000}"/>
    <cellStyle name="Normal 3 3 17 4 2 5 3" xfId="31189" xr:uid="{00000000-0005-0000-0000-0000CC790000}"/>
    <cellStyle name="Normal 3 3 17 4 2 6" xfId="31190" xr:uid="{00000000-0005-0000-0000-0000CD790000}"/>
    <cellStyle name="Normal 3 3 17 4 2 6 2" xfId="31191" xr:uid="{00000000-0005-0000-0000-0000CE790000}"/>
    <cellStyle name="Normal 3 3 17 4 2 6 3" xfId="31192" xr:uid="{00000000-0005-0000-0000-0000CF790000}"/>
    <cellStyle name="Normal 3 3 17 4 2 7" xfId="31193" xr:uid="{00000000-0005-0000-0000-0000D0790000}"/>
    <cellStyle name="Normal 3 3 17 4 2 7 2" xfId="31194" xr:uid="{00000000-0005-0000-0000-0000D1790000}"/>
    <cellStyle name="Normal 3 3 17 4 2 7 3" xfId="31195" xr:uid="{00000000-0005-0000-0000-0000D2790000}"/>
    <cellStyle name="Normal 3 3 17 4 2 8" xfId="31196" xr:uid="{00000000-0005-0000-0000-0000D3790000}"/>
    <cellStyle name="Normal 3 3 17 4 2 8 2" xfId="31197" xr:uid="{00000000-0005-0000-0000-0000D4790000}"/>
    <cellStyle name="Normal 3 3 17 4 2 8 3" xfId="31198" xr:uid="{00000000-0005-0000-0000-0000D5790000}"/>
    <cellStyle name="Normal 3 3 17 4 2 9" xfId="31199" xr:uid="{00000000-0005-0000-0000-0000D6790000}"/>
    <cellStyle name="Normal 3 3 17 4 2 9 2" xfId="31200" xr:uid="{00000000-0005-0000-0000-0000D7790000}"/>
    <cellStyle name="Normal 3 3 17 4 2 9 3" xfId="31201" xr:uid="{00000000-0005-0000-0000-0000D8790000}"/>
    <cellStyle name="Normal 3 3 17 4 3" xfId="31202" xr:uid="{00000000-0005-0000-0000-0000D9790000}"/>
    <cellStyle name="Normal 3 3 17 4 3 2" xfId="31203" xr:uid="{00000000-0005-0000-0000-0000DA790000}"/>
    <cellStyle name="Normal 3 3 17 4 3 3" xfId="31204" xr:uid="{00000000-0005-0000-0000-0000DB790000}"/>
    <cellStyle name="Normal 3 3 17 4 4" xfId="31205" xr:uid="{00000000-0005-0000-0000-0000DC790000}"/>
    <cellStyle name="Normal 3 3 17 4 4 2" xfId="31206" xr:uid="{00000000-0005-0000-0000-0000DD790000}"/>
    <cellStyle name="Normal 3 3 17 4 4 3" xfId="31207" xr:uid="{00000000-0005-0000-0000-0000DE790000}"/>
    <cellStyle name="Normal 3 3 17 4 5" xfId="31208" xr:uid="{00000000-0005-0000-0000-0000DF790000}"/>
    <cellStyle name="Normal 3 3 17 4 5 2" xfId="31209" xr:uid="{00000000-0005-0000-0000-0000E0790000}"/>
    <cellStyle name="Normal 3 3 17 4 5 3" xfId="31210" xr:uid="{00000000-0005-0000-0000-0000E1790000}"/>
    <cellStyle name="Normal 3 3 17 4 6" xfId="31211" xr:uid="{00000000-0005-0000-0000-0000E2790000}"/>
    <cellStyle name="Normal 3 3 17 4 6 2" xfId="31212" xr:uid="{00000000-0005-0000-0000-0000E3790000}"/>
    <cellStyle name="Normal 3 3 17 4 6 3" xfId="31213" xr:uid="{00000000-0005-0000-0000-0000E4790000}"/>
    <cellStyle name="Normal 3 3 17 4 7" xfId="31214" xr:uid="{00000000-0005-0000-0000-0000E5790000}"/>
    <cellStyle name="Normal 3 3 17 4 7 2" xfId="31215" xr:uid="{00000000-0005-0000-0000-0000E6790000}"/>
    <cellStyle name="Normal 3 3 17 4 7 3" xfId="31216" xr:uid="{00000000-0005-0000-0000-0000E7790000}"/>
    <cellStyle name="Normal 3 3 17 4 8" xfId="31217" xr:uid="{00000000-0005-0000-0000-0000E8790000}"/>
    <cellStyle name="Normal 3 3 17 4 8 2" xfId="31218" xr:uid="{00000000-0005-0000-0000-0000E9790000}"/>
    <cellStyle name="Normal 3 3 17 4 8 3" xfId="31219" xr:uid="{00000000-0005-0000-0000-0000EA790000}"/>
    <cellStyle name="Normal 3 3 17 4 9" xfId="31220" xr:uid="{00000000-0005-0000-0000-0000EB790000}"/>
    <cellStyle name="Normal 3 3 17 4 9 2" xfId="31221" xr:uid="{00000000-0005-0000-0000-0000EC790000}"/>
    <cellStyle name="Normal 3 3 17 4 9 3" xfId="31222" xr:uid="{00000000-0005-0000-0000-0000ED790000}"/>
    <cellStyle name="Normal 3 3 17 5" xfId="31223" xr:uid="{00000000-0005-0000-0000-0000EE790000}"/>
    <cellStyle name="Normal 3 3 17 5 10" xfId="31224" xr:uid="{00000000-0005-0000-0000-0000EF790000}"/>
    <cellStyle name="Normal 3 3 17 5 10 2" xfId="31225" xr:uid="{00000000-0005-0000-0000-0000F0790000}"/>
    <cellStyle name="Normal 3 3 17 5 10 3" xfId="31226" xr:uid="{00000000-0005-0000-0000-0000F1790000}"/>
    <cellStyle name="Normal 3 3 17 5 11" xfId="31227" xr:uid="{00000000-0005-0000-0000-0000F2790000}"/>
    <cellStyle name="Normal 3 3 17 5 11 2" xfId="31228" xr:uid="{00000000-0005-0000-0000-0000F3790000}"/>
    <cellStyle name="Normal 3 3 17 5 11 3" xfId="31229" xr:uid="{00000000-0005-0000-0000-0000F4790000}"/>
    <cellStyle name="Normal 3 3 17 5 12" xfId="31230" xr:uid="{00000000-0005-0000-0000-0000F5790000}"/>
    <cellStyle name="Normal 3 3 17 5 12 2" xfId="31231" xr:uid="{00000000-0005-0000-0000-0000F6790000}"/>
    <cellStyle name="Normal 3 3 17 5 12 3" xfId="31232" xr:uid="{00000000-0005-0000-0000-0000F7790000}"/>
    <cellStyle name="Normal 3 3 17 5 13" xfId="31233" xr:uid="{00000000-0005-0000-0000-0000F8790000}"/>
    <cellStyle name="Normal 3 3 17 5 13 2" xfId="31234" xr:uid="{00000000-0005-0000-0000-0000F9790000}"/>
    <cellStyle name="Normal 3 3 17 5 13 3" xfId="31235" xr:uid="{00000000-0005-0000-0000-0000FA790000}"/>
    <cellStyle name="Normal 3 3 17 5 14" xfId="31236" xr:uid="{00000000-0005-0000-0000-0000FB790000}"/>
    <cellStyle name="Normal 3 3 17 5 14 2" xfId="31237" xr:uid="{00000000-0005-0000-0000-0000FC790000}"/>
    <cellStyle name="Normal 3 3 17 5 14 3" xfId="31238" xr:uid="{00000000-0005-0000-0000-0000FD790000}"/>
    <cellStyle name="Normal 3 3 17 5 15" xfId="31239" xr:uid="{00000000-0005-0000-0000-0000FE790000}"/>
    <cellStyle name="Normal 3 3 17 5 16" xfId="31240" xr:uid="{00000000-0005-0000-0000-0000FF790000}"/>
    <cellStyle name="Normal 3 3 17 5 2" xfId="31241" xr:uid="{00000000-0005-0000-0000-0000007A0000}"/>
    <cellStyle name="Normal 3 3 17 5 2 2" xfId="31242" xr:uid="{00000000-0005-0000-0000-0000017A0000}"/>
    <cellStyle name="Normal 3 3 17 5 2 3" xfId="31243" xr:uid="{00000000-0005-0000-0000-0000027A0000}"/>
    <cellStyle name="Normal 3 3 17 5 3" xfId="31244" xr:uid="{00000000-0005-0000-0000-0000037A0000}"/>
    <cellStyle name="Normal 3 3 17 5 3 2" xfId="31245" xr:uid="{00000000-0005-0000-0000-0000047A0000}"/>
    <cellStyle name="Normal 3 3 17 5 3 3" xfId="31246" xr:uid="{00000000-0005-0000-0000-0000057A0000}"/>
    <cellStyle name="Normal 3 3 17 5 4" xfId="31247" xr:uid="{00000000-0005-0000-0000-0000067A0000}"/>
    <cellStyle name="Normal 3 3 17 5 4 2" xfId="31248" xr:uid="{00000000-0005-0000-0000-0000077A0000}"/>
    <cellStyle name="Normal 3 3 17 5 4 3" xfId="31249" xr:uid="{00000000-0005-0000-0000-0000087A0000}"/>
    <cellStyle name="Normal 3 3 17 5 5" xfId="31250" xr:uid="{00000000-0005-0000-0000-0000097A0000}"/>
    <cellStyle name="Normal 3 3 17 5 5 2" xfId="31251" xr:uid="{00000000-0005-0000-0000-00000A7A0000}"/>
    <cellStyle name="Normal 3 3 17 5 5 3" xfId="31252" xr:uid="{00000000-0005-0000-0000-00000B7A0000}"/>
    <cellStyle name="Normal 3 3 17 5 6" xfId="31253" xr:uid="{00000000-0005-0000-0000-00000C7A0000}"/>
    <cellStyle name="Normal 3 3 17 5 6 2" xfId="31254" xr:uid="{00000000-0005-0000-0000-00000D7A0000}"/>
    <cellStyle name="Normal 3 3 17 5 6 3" xfId="31255" xr:uid="{00000000-0005-0000-0000-00000E7A0000}"/>
    <cellStyle name="Normal 3 3 17 5 7" xfId="31256" xr:uid="{00000000-0005-0000-0000-00000F7A0000}"/>
    <cellStyle name="Normal 3 3 17 5 7 2" xfId="31257" xr:uid="{00000000-0005-0000-0000-0000107A0000}"/>
    <cellStyle name="Normal 3 3 17 5 7 3" xfId="31258" xr:uid="{00000000-0005-0000-0000-0000117A0000}"/>
    <cellStyle name="Normal 3 3 17 5 8" xfId="31259" xr:uid="{00000000-0005-0000-0000-0000127A0000}"/>
    <cellStyle name="Normal 3 3 17 5 8 2" xfId="31260" xr:uid="{00000000-0005-0000-0000-0000137A0000}"/>
    <cellStyle name="Normal 3 3 17 5 8 3" xfId="31261" xr:uid="{00000000-0005-0000-0000-0000147A0000}"/>
    <cellStyle name="Normal 3 3 17 5 9" xfId="31262" xr:uid="{00000000-0005-0000-0000-0000157A0000}"/>
    <cellStyle name="Normal 3 3 17 5 9 2" xfId="31263" xr:uid="{00000000-0005-0000-0000-0000167A0000}"/>
    <cellStyle name="Normal 3 3 17 5 9 3" xfId="31264" xr:uid="{00000000-0005-0000-0000-0000177A0000}"/>
    <cellStyle name="Normal 3 3 17 6" xfId="31265" xr:uid="{00000000-0005-0000-0000-0000187A0000}"/>
    <cellStyle name="Normal 3 3 17 6 10" xfId="31266" xr:uid="{00000000-0005-0000-0000-0000197A0000}"/>
    <cellStyle name="Normal 3 3 17 6 10 2" xfId="31267" xr:uid="{00000000-0005-0000-0000-00001A7A0000}"/>
    <cellStyle name="Normal 3 3 17 6 10 3" xfId="31268" xr:uid="{00000000-0005-0000-0000-00001B7A0000}"/>
    <cellStyle name="Normal 3 3 17 6 11" xfId="31269" xr:uid="{00000000-0005-0000-0000-00001C7A0000}"/>
    <cellStyle name="Normal 3 3 17 6 11 2" xfId="31270" xr:uid="{00000000-0005-0000-0000-00001D7A0000}"/>
    <cellStyle name="Normal 3 3 17 6 11 3" xfId="31271" xr:uid="{00000000-0005-0000-0000-00001E7A0000}"/>
    <cellStyle name="Normal 3 3 17 6 12" xfId="31272" xr:uid="{00000000-0005-0000-0000-00001F7A0000}"/>
    <cellStyle name="Normal 3 3 17 6 12 2" xfId="31273" xr:uid="{00000000-0005-0000-0000-0000207A0000}"/>
    <cellStyle name="Normal 3 3 17 6 12 3" xfId="31274" xr:uid="{00000000-0005-0000-0000-0000217A0000}"/>
    <cellStyle name="Normal 3 3 17 6 13" xfId="31275" xr:uid="{00000000-0005-0000-0000-0000227A0000}"/>
    <cellStyle name="Normal 3 3 17 6 13 2" xfId="31276" xr:uid="{00000000-0005-0000-0000-0000237A0000}"/>
    <cellStyle name="Normal 3 3 17 6 13 3" xfId="31277" xr:uid="{00000000-0005-0000-0000-0000247A0000}"/>
    <cellStyle name="Normal 3 3 17 6 14" xfId="31278" xr:uid="{00000000-0005-0000-0000-0000257A0000}"/>
    <cellStyle name="Normal 3 3 17 6 14 2" xfId="31279" xr:uid="{00000000-0005-0000-0000-0000267A0000}"/>
    <cellStyle name="Normal 3 3 17 6 14 3" xfId="31280" xr:uid="{00000000-0005-0000-0000-0000277A0000}"/>
    <cellStyle name="Normal 3 3 17 6 15" xfId="31281" xr:uid="{00000000-0005-0000-0000-0000287A0000}"/>
    <cellStyle name="Normal 3 3 17 6 16" xfId="31282" xr:uid="{00000000-0005-0000-0000-0000297A0000}"/>
    <cellStyle name="Normal 3 3 17 6 2" xfId="31283" xr:uid="{00000000-0005-0000-0000-00002A7A0000}"/>
    <cellStyle name="Normal 3 3 17 6 2 2" xfId="31284" xr:uid="{00000000-0005-0000-0000-00002B7A0000}"/>
    <cellStyle name="Normal 3 3 17 6 2 3" xfId="31285" xr:uid="{00000000-0005-0000-0000-00002C7A0000}"/>
    <cellStyle name="Normal 3 3 17 6 3" xfId="31286" xr:uid="{00000000-0005-0000-0000-00002D7A0000}"/>
    <cellStyle name="Normal 3 3 17 6 3 2" xfId="31287" xr:uid="{00000000-0005-0000-0000-00002E7A0000}"/>
    <cellStyle name="Normal 3 3 17 6 3 3" xfId="31288" xr:uid="{00000000-0005-0000-0000-00002F7A0000}"/>
    <cellStyle name="Normal 3 3 17 6 4" xfId="31289" xr:uid="{00000000-0005-0000-0000-0000307A0000}"/>
    <cellStyle name="Normal 3 3 17 6 4 2" xfId="31290" xr:uid="{00000000-0005-0000-0000-0000317A0000}"/>
    <cellStyle name="Normal 3 3 17 6 4 3" xfId="31291" xr:uid="{00000000-0005-0000-0000-0000327A0000}"/>
    <cellStyle name="Normal 3 3 17 6 5" xfId="31292" xr:uid="{00000000-0005-0000-0000-0000337A0000}"/>
    <cellStyle name="Normal 3 3 17 6 5 2" xfId="31293" xr:uid="{00000000-0005-0000-0000-0000347A0000}"/>
    <cellStyle name="Normal 3 3 17 6 5 3" xfId="31294" xr:uid="{00000000-0005-0000-0000-0000357A0000}"/>
    <cellStyle name="Normal 3 3 17 6 6" xfId="31295" xr:uid="{00000000-0005-0000-0000-0000367A0000}"/>
    <cellStyle name="Normal 3 3 17 6 6 2" xfId="31296" xr:uid="{00000000-0005-0000-0000-0000377A0000}"/>
    <cellStyle name="Normal 3 3 17 6 6 3" xfId="31297" xr:uid="{00000000-0005-0000-0000-0000387A0000}"/>
    <cellStyle name="Normal 3 3 17 6 7" xfId="31298" xr:uid="{00000000-0005-0000-0000-0000397A0000}"/>
    <cellStyle name="Normal 3 3 17 6 7 2" xfId="31299" xr:uid="{00000000-0005-0000-0000-00003A7A0000}"/>
    <cellStyle name="Normal 3 3 17 6 7 3" xfId="31300" xr:uid="{00000000-0005-0000-0000-00003B7A0000}"/>
    <cellStyle name="Normal 3 3 17 6 8" xfId="31301" xr:uid="{00000000-0005-0000-0000-00003C7A0000}"/>
    <cellStyle name="Normal 3 3 17 6 8 2" xfId="31302" xr:uid="{00000000-0005-0000-0000-00003D7A0000}"/>
    <cellStyle name="Normal 3 3 17 6 8 3" xfId="31303" xr:uid="{00000000-0005-0000-0000-00003E7A0000}"/>
    <cellStyle name="Normal 3 3 17 6 9" xfId="31304" xr:uid="{00000000-0005-0000-0000-00003F7A0000}"/>
    <cellStyle name="Normal 3 3 17 6 9 2" xfId="31305" xr:uid="{00000000-0005-0000-0000-0000407A0000}"/>
    <cellStyle name="Normal 3 3 17 6 9 3" xfId="31306" xr:uid="{00000000-0005-0000-0000-0000417A0000}"/>
    <cellStyle name="Normal 3 3 17 7" xfId="31307" xr:uid="{00000000-0005-0000-0000-0000427A0000}"/>
    <cellStyle name="Normal 3 3 17 7 10" xfId="31308" xr:uid="{00000000-0005-0000-0000-0000437A0000}"/>
    <cellStyle name="Normal 3 3 17 7 10 2" xfId="31309" xr:uid="{00000000-0005-0000-0000-0000447A0000}"/>
    <cellStyle name="Normal 3 3 17 7 10 3" xfId="31310" xr:uid="{00000000-0005-0000-0000-0000457A0000}"/>
    <cellStyle name="Normal 3 3 17 7 11" xfId="31311" xr:uid="{00000000-0005-0000-0000-0000467A0000}"/>
    <cellStyle name="Normal 3 3 17 7 11 2" xfId="31312" xr:uid="{00000000-0005-0000-0000-0000477A0000}"/>
    <cellStyle name="Normal 3 3 17 7 11 3" xfId="31313" xr:uid="{00000000-0005-0000-0000-0000487A0000}"/>
    <cellStyle name="Normal 3 3 17 7 12" xfId="31314" xr:uid="{00000000-0005-0000-0000-0000497A0000}"/>
    <cellStyle name="Normal 3 3 17 7 12 2" xfId="31315" xr:uid="{00000000-0005-0000-0000-00004A7A0000}"/>
    <cellStyle name="Normal 3 3 17 7 12 3" xfId="31316" xr:uid="{00000000-0005-0000-0000-00004B7A0000}"/>
    <cellStyle name="Normal 3 3 17 7 13" xfId="31317" xr:uid="{00000000-0005-0000-0000-00004C7A0000}"/>
    <cellStyle name="Normal 3 3 17 7 13 2" xfId="31318" xr:uid="{00000000-0005-0000-0000-00004D7A0000}"/>
    <cellStyle name="Normal 3 3 17 7 13 3" xfId="31319" xr:uid="{00000000-0005-0000-0000-00004E7A0000}"/>
    <cellStyle name="Normal 3 3 17 7 14" xfId="31320" xr:uid="{00000000-0005-0000-0000-00004F7A0000}"/>
    <cellStyle name="Normal 3 3 17 7 14 2" xfId="31321" xr:uid="{00000000-0005-0000-0000-0000507A0000}"/>
    <cellStyle name="Normal 3 3 17 7 14 3" xfId="31322" xr:uid="{00000000-0005-0000-0000-0000517A0000}"/>
    <cellStyle name="Normal 3 3 17 7 15" xfId="31323" xr:uid="{00000000-0005-0000-0000-0000527A0000}"/>
    <cellStyle name="Normal 3 3 17 7 16" xfId="31324" xr:uid="{00000000-0005-0000-0000-0000537A0000}"/>
    <cellStyle name="Normal 3 3 17 7 2" xfId="31325" xr:uid="{00000000-0005-0000-0000-0000547A0000}"/>
    <cellStyle name="Normal 3 3 17 7 2 2" xfId="31326" xr:uid="{00000000-0005-0000-0000-0000557A0000}"/>
    <cellStyle name="Normal 3 3 17 7 2 3" xfId="31327" xr:uid="{00000000-0005-0000-0000-0000567A0000}"/>
    <cellStyle name="Normal 3 3 17 7 3" xfId="31328" xr:uid="{00000000-0005-0000-0000-0000577A0000}"/>
    <cellStyle name="Normal 3 3 17 7 3 2" xfId="31329" xr:uid="{00000000-0005-0000-0000-0000587A0000}"/>
    <cellStyle name="Normal 3 3 17 7 3 3" xfId="31330" xr:uid="{00000000-0005-0000-0000-0000597A0000}"/>
    <cellStyle name="Normal 3 3 17 7 4" xfId="31331" xr:uid="{00000000-0005-0000-0000-00005A7A0000}"/>
    <cellStyle name="Normal 3 3 17 7 4 2" xfId="31332" xr:uid="{00000000-0005-0000-0000-00005B7A0000}"/>
    <cellStyle name="Normal 3 3 17 7 4 3" xfId="31333" xr:uid="{00000000-0005-0000-0000-00005C7A0000}"/>
    <cellStyle name="Normal 3 3 17 7 5" xfId="31334" xr:uid="{00000000-0005-0000-0000-00005D7A0000}"/>
    <cellStyle name="Normal 3 3 17 7 5 2" xfId="31335" xr:uid="{00000000-0005-0000-0000-00005E7A0000}"/>
    <cellStyle name="Normal 3 3 17 7 5 3" xfId="31336" xr:uid="{00000000-0005-0000-0000-00005F7A0000}"/>
    <cellStyle name="Normal 3 3 17 7 6" xfId="31337" xr:uid="{00000000-0005-0000-0000-0000607A0000}"/>
    <cellStyle name="Normal 3 3 17 7 6 2" xfId="31338" xr:uid="{00000000-0005-0000-0000-0000617A0000}"/>
    <cellStyle name="Normal 3 3 17 7 6 3" xfId="31339" xr:uid="{00000000-0005-0000-0000-0000627A0000}"/>
    <cellStyle name="Normal 3 3 17 7 7" xfId="31340" xr:uid="{00000000-0005-0000-0000-0000637A0000}"/>
    <cellStyle name="Normal 3 3 17 7 7 2" xfId="31341" xr:uid="{00000000-0005-0000-0000-0000647A0000}"/>
    <cellStyle name="Normal 3 3 17 7 7 3" xfId="31342" xr:uid="{00000000-0005-0000-0000-0000657A0000}"/>
    <cellStyle name="Normal 3 3 17 7 8" xfId="31343" xr:uid="{00000000-0005-0000-0000-0000667A0000}"/>
    <cellStyle name="Normal 3 3 17 7 8 2" xfId="31344" xr:uid="{00000000-0005-0000-0000-0000677A0000}"/>
    <cellStyle name="Normal 3 3 17 7 8 3" xfId="31345" xr:uid="{00000000-0005-0000-0000-0000687A0000}"/>
    <cellStyle name="Normal 3 3 17 7 9" xfId="31346" xr:uid="{00000000-0005-0000-0000-0000697A0000}"/>
    <cellStyle name="Normal 3 3 17 7 9 2" xfId="31347" xr:uid="{00000000-0005-0000-0000-00006A7A0000}"/>
    <cellStyle name="Normal 3 3 17 7 9 3" xfId="31348" xr:uid="{00000000-0005-0000-0000-00006B7A0000}"/>
    <cellStyle name="Normal 3 3 17 8" xfId="31349" xr:uid="{00000000-0005-0000-0000-00006C7A0000}"/>
    <cellStyle name="Normal 3 3 17 8 10" xfId="31350" xr:uid="{00000000-0005-0000-0000-00006D7A0000}"/>
    <cellStyle name="Normal 3 3 17 8 10 2" xfId="31351" xr:uid="{00000000-0005-0000-0000-00006E7A0000}"/>
    <cellStyle name="Normal 3 3 17 8 10 3" xfId="31352" xr:uid="{00000000-0005-0000-0000-00006F7A0000}"/>
    <cellStyle name="Normal 3 3 17 8 11" xfId="31353" xr:uid="{00000000-0005-0000-0000-0000707A0000}"/>
    <cellStyle name="Normal 3 3 17 8 11 2" xfId="31354" xr:uid="{00000000-0005-0000-0000-0000717A0000}"/>
    <cellStyle name="Normal 3 3 17 8 11 3" xfId="31355" xr:uid="{00000000-0005-0000-0000-0000727A0000}"/>
    <cellStyle name="Normal 3 3 17 8 12" xfId="31356" xr:uid="{00000000-0005-0000-0000-0000737A0000}"/>
    <cellStyle name="Normal 3 3 17 8 12 2" xfId="31357" xr:uid="{00000000-0005-0000-0000-0000747A0000}"/>
    <cellStyle name="Normal 3 3 17 8 12 3" xfId="31358" xr:uid="{00000000-0005-0000-0000-0000757A0000}"/>
    <cellStyle name="Normal 3 3 17 8 13" xfId="31359" xr:uid="{00000000-0005-0000-0000-0000767A0000}"/>
    <cellStyle name="Normal 3 3 17 8 13 2" xfId="31360" xr:uid="{00000000-0005-0000-0000-0000777A0000}"/>
    <cellStyle name="Normal 3 3 17 8 13 3" xfId="31361" xr:uid="{00000000-0005-0000-0000-0000787A0000}"/>
    <cellStyle name="Normal 3 3 17 8 14" xfId="31362" xr:uid="{00000000-0005-0000-0000-0000797A0000}"/>
    <cellStyle name="Normal 3 3 17 8 14 2" xfId="31363" xr:uid="{00000000-0005-0000-0000-00007A7A0000}"/>
    <cellStyle name="Normal 3 3 17 8 14 3" xfId="31364" xr:uid="{00000000-0005-0000-0000-00007B7A0000}"/>
    <cellStyle name="Normal 3 3 17 8 15" xfId="31365" xr:uid="{00000000-0005-0000-0000-00007C7A0000}"/>
    <cellStyle name="Normal 3 3 17 8 16" xfId="31366" xr:uid="{00000000-0005-0000-0000-00007D7A0000}"/>
    <cellStyle name="Normal 3 3 17 8 2" xfId="31367" xr:uid="{00000000-0005-0000-0000-00007E7A0000}"/>
    <cellStyle name="Normal 3 3 17 8 2 2" xfId="31368" xr:uid="{00000000-0005-0000-0000-00007F7A0000}"/>
    <cellStyle name="Normal 3 3 17 8 2 3" xfId="31369" xr:uid="{00000000-0005-0000-0000-0000807A0000}"/>
    <cellStyle name="Normal 3 3 17 8 3" xfId="31370" xr:uid="{00000000-0005-0000-0000-0000817A0000}"/>
    <cellStyle name="Normal 3 3 17 8 3 2" xfId="31371" xr:uid="{00000000-0005-0000-0000-0000827A0000}"/>
    <cellStyle name="Normal 3 3 17 8 3 3" xfId="31372" xr:uid="{00000000-0005-0000-0000-0000837A0000}"/>
    <cellStyle name="Normal 3 3 17 8 4" xfId="31373" xr:uid="{00000000-0005-0000-0000-0000847A0000}"/>
    <cellStyle name="Normal 3 3 17 8 4 2" xfId="31374" xr:uid="{00000000-0005-0000-0000-0000857A0000}"/>
    <cellStyle name="Normal 3 3 17 8 4 3" xfId="31375" xr:uid="{00000000-0005-0000-0000-0000867A0000}"/>
    <cellStyle name="Normal 3 3 17 8 5" xfId="31376" xr:uid="{00000000-0005-0000-0000-0000877A0000}"/>
    <cellStyle name="Normal 3 3 17 8 5 2" xfId="31377" xr:uid="{00000000-0005-0000-0000-0000887A0000}"/>
    <cellStyle name="Normal 3 3 17 8 5 3" xfId="31378" xr:uid="{00000000-0005-0000-0000-0000897A0000}"/>
    <cellStyle name="Normal 3 3 17 8 6" xfId="31379" xr:uid="{00000000-0005-0000-0000-00008A7A0000}"/>
    <cellStyle name="Normal 3 3 17 8 6 2" xfId="31380" xr:uid="{00000000-0005-0000-0000-00008B7A0000}"/>
    <cellStyle name="Normal 3 3 17 8 6 3" xfId="31381" xr:uid="{00000000-0005-0000-0000-00008C7A0000}"/>
    <cellStyle name="Normal 3 3 17 8 7" xfId="31382" xr:uid="{00000000-0005-0000-0000-00008D7A0000}"/>
    <cellStyle name="Normal 3 3 17 8 7 2" xfId="31383" xr:uid="{00000000-0005-0000-0000-00008E7A0000}"/>
    <cellStyle name="Normal 3 3 17 8 7 3" xfId="31384" xr:uid="{00000000-0005-0000-0000-00008F7A0000}"/>
    <cellStyle name="Normal 3 3 17 8 8" xfId="31385" xr:uid="{00000000-0005-0000-0000-0000907A0000}"/>
    <cellStyle name="Normal 3 3 17 8 8 2" xfId="31386" xr:uid="{00000000-0005-0000-0000-0000917A0000}"/>
    <cellStyle name="Normal 3 3 17 8 8 3" xfId="31387" xr:uid="{00000000-0005-0000-0000-0000927A0000}"/>
    <cellStyle name="Normal 3 3 17 8 9" xfId="31388" xr:uid="{00000000-0005-0000-0000-0000937A0000}"/>
    <cellStyle name="Normal 3 3 17 8 9 2" xfId="31389" xr:uid="{00000000-0005-0000-0000-0000947A0000}"/>
    <cellStyle name="Normal 3 3 17 8 9 3" xfId="31390" xr:uid="{00000000-0005-0000-0000-0000957A0000}"/>
    <cellStyle name="Normal 3 3 17 9" xfId="31391" xr:uid="{00000000-0005-0000-0000-0000967A0000}"/>
    <cellStyle name="Normal 3 3 17 9 10" xfId="31392" xr:uid="{00000000-0005-0000-0000-0000977A0000}"/>
    <cellStyle name="Normal 3 3 17 9 10 2" xfId="31393" xr:uid="{00000000-0005-0000-0000-0000987A0000}"/>
    <cellStyle name="Normal 3 3 17 9 10 3" xfId="31394" xr:uid="{00000000-0005-0000-0000-0000997A0000}"/>
    <cellStyle name="Normal 3 3 17 9 11" xfId="31395" xr:uid="{00000000-0005-0000-0000-00009A7A0000}"/>
    <cellStyle name="Normal 3 3 17 9 11 2" xfId="31396" xr:uid="{00000000-0005-0000-0000-00009B7A0000}"/>
    <cellStyle name="Normal 3 3 17 9 11 3" xfId="31397" xr:uid="{00000000-0005-0000-0000-00009C7A0000}"/>
    <cellStyle name="Normal 3 3 17 9 12" xfId="31398" xr:uid="{00000000-0005-0000-0000-00009D7A0000}"/>
    <cellStyle name="Normal 3 3 17 9 12 2" xfId="31399" xr:uid="{00000000-0005-0000-0000-00009E7A0000}"/>
    <cellStyle name="Normal 3 3 17 9 12 3" xfId="31400" xr:uid="{00000000-0005-0000-0000-00009F7A0000}"/>
    <cellStyle name="Normal 3 3 17 9 13" xfId="31401" xr:uid="{00000000-0005-0000-0000-0000A07A0000}"/>
    <cellStyle name="Normal 3 3 17 9 13 2" xfId="31402" xr:uid="{00000000-0005-0000-0000-0000A17A0000}"/>
    <cellStyle name="Normal 3 3 17 9 13 3" xfId="31403" xr:uid="{00000000-0005-0000-0000-0000A27A0000}"/>
    <cellStyle name="Normal 3 3 17 9 14" xfId="31404" xr:uid="{00000000-0005-0000-0000-0000A37A0000}"/>
    <cellStyle name="Normal 3 3 17 9 14 2" xfId="31405" xr:uid="{00000000-0005-0000-0000-0000A47A0000}"/>
    <cellStyle name="Normal 3 3 17 9 14 3" xfId="31406" xr:uid="{00000000-0005-0000-0000-0000A57A0000}"/>
    <cellStyle name="Normal 3 3 17 9 15" xfId="31407" xr:uid="{00000000-0005-0000-0000-0000A67A0000}"/>
    <cellStyle name="Normal 3 3 17 9 16" xfId="31408" xr:uid="{00000000-0005-0000-0000-0000A77A0000}"/>
    <cellStyle name="Normal 3 3 17 9 2" xfId="31409" xr:uid="{00000000-0005-0000-0000-0000A87A0000}"/>
    <cellStyle name="Normal 3 3 17 9 2 2" xfId="31410" xr:uid="{00000000-0005-0000-0000-0000A97A0000}"/>
    <cellStyle name="Normal 3 3 17 9 2 3" xfId="31411" xr:uid="{00000000-0005-0000-0000-0000AA7A0000}"/>
    <cellStyle name="Normal 3 3 17 9 3" xfId="31412" xr:uid="{00000000-0005-0000-0000-0000AB7A0000}"/>
    <cellStyle name="Normal 3 3 17 9 3 2" xfId="31413" xr:uid="{00000000-0005-0000-0000-0000AC7A0000}"/>
    <cellStyle name="Normal 3 3 17 9 3 3" xfId="31414" xr:uid="{00000000-0005-0000-0000-0000AD7A0000}"/>
    <cellStyle name="Normal 3 3 17 9 4" xfId="31415" xr:uid="{00000000-0005-0000-0000-0000AE7A0000}"/>
    <cellStyle name="Normal 3 3 17 9 4 2" xfId="31416" xr:uid="{00000000-0005-0000-0000-0000AF7A0000}"/>
    <cellStyle name="Normal 3 3 17 9 4 3" xfId="31417" xr:uid="{00000000-0005-0000-0000-0000B07A0000}"/>
    <cellStyle name="Normal 3 3 17 9 5" xfId="31418" xr:uid="{00000000-0005-0000-0000-0000B17A0000}"/>
    <cellStyle name="Normal 3 3 17 9 5 2" xfId="31419" xr:uid="{00000000-0005-0000-0000-0000B27A0000}"/>
    <cellStyle name="Normal 3 3 17 9 5 3" xfId="31420" xr:uid="{00000000-0005-0000-0000-0000B37A0000}"/>
    <cellStyle name="Normal 3 3 17 9 6" xfId="31421" xr:uid="{00000000-0005-0000-0000-0000B47A0000}"/>
    <cellStyle name="Normal 3 3 17 9 6 2" xfId="31422" xr:uid="{00000000-0005-0000-0000-0000B57A0000}"/>
    <cellStyle name="Normal 3 3 17 9 6 3" xfId="31423" xr:uid="{00000000-0005-0000-0000-0000B67A0000}"/>
    <cellStyle name="Normal 3 3 17 9 7" xfId="31424" xr:uid="{00000000-0005-0000-0000-0000B77A0000}"/>
    <cellStyle name="Normal 3 3 17 9 7 2" xfId="31425" xr:uid="{00000000-0005-0000-0000-0000B87A0000}"/>
    <cellStyle name="Normal 3 3 17 9 7 3" xfId="31426" xr:uid="{00000000-0005-0000-0000-0000B97A0000}"/>
    <cellStyle name="Normal 3 3 17 9 8" xfId="31427" xr:uid="{00000000-0005-0000-0000-0000BA7A0000}"/>
    <cellStyle name="Normal 3 3 17 9 8 2" xfId="31428" xr:uid="{00000000-0005-0000-0000-0000BB7A0000}"/>
    <cellStyle name="Normal 3 3 17 9 8 3" xfId="31429" xr:uid="{00000000-0005-0000-0000-0000BC7A0000}"/>
    <cellStyle name="Normal 3 3 17 9 9" xfId="31430" xr:uid="{00000000-0005-0000-0000-0000BD7A0000}"/>
    <cellStyle name="Normal 3 3 17 9 9 2" xfId="31431" xr:uid="{00000000-0005-0000-0000-0000BE7A0000}"/>
    <cellStyle name="Normal 3 3 17 9 9 3" xfId="31432" xr:uid="{00000000-0005-0000-0000-0000BF7A0000}"/>
    <cellStyle name="Normal 3 3 18" xfId="31433" xr:uid="{00000000-0005-0000-0000-0000C07A0000}"/>
    <cellStyle name="Normal 3 3 18 10" xfId="31434" xr:uid="{00000000-0005-0000-0000-0000C17A0000}"/>
    <cellStyle name="Normal 3 3 18 10 10" xfId="31435" xr:uid="{00000000-0005-0000-0000-0000C27A0000}"/>
    <cellStyle name="Normal 3 3 18 10 10 2" xfId="31436" xr:uid="{00000000-0005-0000-0000-0000C37A0000}"/>
    <cellStyle name="Normal 3 3 18 10 10 3" xfId="31437" xr:uid="{00000000-0005-0000-0000-0000C47A0000}"/>
    <cellStyle name="Normal 3 3 18 10 11" xfId="31438" xr:uid="{00000000-0005-0000-0000-0000C57A0000}"/>
    <cellStyle name="Normal 3 3 18 10 11 2" xfId="31439" xr:uid="{00000000-0005-0000-0000-0000C67A0000}"/>
    <cellStyle name="Normal 3 3 18 10 11 3" xfId="31440" xr:uid="{00000000-0005-0000-0000-0000C77A0000}"/>
    <cellStyle name="Normal 3 3 18 10 12" xfId="31441" xr:uid="{00000000-0005-0000-0000-0000C87A0000}"/>
    <cellStyle name="Normal 3 3 18 10 12 2" xfId="31442" xr:uid="{00000000-0005-0000-0000-0000C97A0000}"/>
    <cellStyle name="Normal 3 3 18 10 12 3" xfId="31443" xr:uid="{00000000-0005-0000-0000-0000CA7A0000}"/>
    <cellStyle name="Normal 3 3 18 10 13" xfId="31444" xr:uid="{00000000-0005-0000-0000-0000CB7A0000}"/>
    <cellStyle name="Normal 3 3 18 10 13 2" xfId="31445" xr:uid="{00000000-0005-0000-0000-0000CC7A0000}"/>
    <cellStyle name="Normal 3 3 18 10 13 3" xfId="31446" xr:uid="{00000000-0005-0000-0000-0000CD7A0000}"/>
    <cellStyle name="Normal 3 3 18 10 14" xfId="31447" xr:uid="{00000000-0005-0000-0000-0000CE7A0000}"/>
    <cellStyle name="Normal 3 3 18 10 14 2" xfId="31448" xr:uid="{00000000-0005-0000-0000-0000CF7A0000}"/>
    <cellStyle name="Normal 3 3 18 10 14 3" xfId="31449" xr:uid="{00000000-0005-0000-0000-0000D07A0000}"/>
    <cellStyle name="Normal 3 3 18 10 15" xfId="31450" xr:uid="{00000000-0005-0000-0000-0000D17A0000}"/>
    <cellStyle name="Normal 3 3 18 10 16" xfId="31451" xr:uid="{00000000-0005-0000-0000-0000D27A0000}"/>
    <cellStyle name="Normal 3 3 18 10 2" xfId="31452" xr:uid="{00000000-0005-0000-0000-0000D37A0000}"/>
    <cellStyle name="Normal 3 3 18 10 2 2" xfId="31453" xr:uid="{00000000-0005-0000-0000-0000D47A0000}"/>
    <cellStyle name="Normal 3 3 18 10 2 3" xfId="31454" xr:uid="{00000000-0005-0000-0000-0000D57A0000}"/>
    <cellStyle name="Normal 3 3 18 10 3" xfId="31455" xr:uid="{00000000-0005-0000-0000-0000D67A0000}"/>
    <cellStyle name="Normal 3 3 18 10 3 2" xfId="31456" xr:uid="{00000000-0005-0000-0000-0000D77A0000}"/>
    <cellStyle name="Normal 3 3 18 10 3 3" xfId="31457" xr:uid="{00000000-0005-0000-0000-0000D87A0000}"/>
    <cellStyle name="Normal 3 3 18 10 4" xfId="31458" xr:uid="{00000000-0005-0000-0000-0000D97A0000}"/>
    <cellStyle name="Normal 3 3 18 10 4 2" xfId="31459" xr:uid="{00000000-0005-0000-0000-0000DA7A0000}"/>
    <cellStyle name="Normal 3 3 18 10 4 3" xfId="31460" xr:uid="{00000000-0005-0000-0000-0000DB7A0000}"/>
    <cellStyle name="Normal 3 3 18 10 5" xfId="31461" xr:uid="{00000000-0005-0000-0000-0000DC7A0000}"/>
    <cellStyle name="Normal 3 3 18 10 5 2" xfId="31462" xr:uid="{00000000-0005-0000-0000-0000DD7A0000}"/>
    <cellStyle name="Normal 3 3 18 10 5 3" xfId="31463" xr:uid="{00000000-0005-0000-0000-0000DE7A0000}"/>
    <cellStyle name="Normal 3 3 18 10 6" xfId="31464" xr:uid="{00000000-0005-0000-0000-0000DF7A0000}"/>
    <cellStyle name="Normal 3 3 18 10 6 2" xfId="31465" xr:uid="{00000000-0005-0000-0000-0000E07A0000}"/>
    <cellStyle name="Normal 3 3 18 10 6 3" xfId="31466" xr:uid="{00000000-0005-0000-0000-0000E17A0000}"/>
    <cellStyle name="Normal 3 3 18 10 7" xfId="31467" xr:uid="{00000000-0005-0000-0000-0000E27A0000}"/>
    <cellStyle name="Normal 3 3 18 10 7 2" xfId="31468" xr:uid="{00000000-0005-0000-0000-0000E37A0000}"/>
    <cellStyle name="Normal 3 3 18 10 7 3" xfId="31469" xr:uid="{00000000-0005-0000-0000-0000E47A0000}"/>
    <cellStyle name="Normal 3 3 18 10 8" xfId="31470" xr:uid="{00000000-0005-0000-0000-0000E57A0000}"/>
    <cellStyle name="Normal 3 3 18 10 8 2" xfId="31471" xr:uid="{00000000-0005-0000-0000-0000E67A0000}"/>
    <cellStyle name="Normal 3 3 18 10 8 3" xfId="31472" xr:uid="{00000000-0005-0000-0000-0000E77A0000}"/>
    <cellStyle name="Normal 3 3 18 10 9" xfId="31473" xr:uid="{00000000-0005-0000-0000-0000E87A0000}"/>
    <cellStyle name="Normal 3 3 18 10 9 2" xfId="31474" xr:uid="{00000000-0005-0000-0000-0000E97A0000}"/>
    <cellStyle name="Normal 3 3 18 10 9 3" xfId="31475" xr:uid="{00000000-0005-0000-0000-0000EA7A0000}"/>
    <cellStyle name="Normal 3 3 18 11" xfId="31476" xr:uid="{00000000-0005-0000-0000-0000EB7A0000}"/>
    <cellStyle name="Normal 3 3 18 11 2" xfId="31477" xr:uid="{00000000-0005-0000-0000-0000EC7A0000}"/>
    <cellStyle name="Normal 3 3 18 11 3" xfId="31478" xr:uid="{00000000-0005-0000-0000-0000ED7A0000}"/>
    <cellStyle name="Normal 3 3 18 12" xfId="31479" xr:uid="{00000000-0005-0000-0000-0000EE7A0000}"/>
    <cellStyle name="Normal 3 3 18 12 2" xfId="31480" xr:uid="{00000000-0005-0000-0000-0000EF7A0000}"/>
    <cellStyle name="Normal 3 3 18 12 3" xfId="31481" xr:uid="{00000000-0005-0000-0000-0000F07A0000}"/>
    <cellStyle name="Normal 3 3 18 13" xfId="31482" xr:uid="{00000000-0005-0000-0000-0000F17A0000}"/>
    <cellStyle name="Normal 3 3 18 13 2" xfId="31483" xr:uid="{00000000-0005-0000-0000-0000F27A0000}"/>
    <cellStyle name="Normal 3 3 18 13 3" xfId="31484" xr:uid="{00000000-0005-0000-0000-0000F37A0000}"/>
    <cellStyle name="Normal 3 3 18 14" xfId="31485" xr:uid="{00000000-0005-0000-0000-0000F47A0000}"/>
    <cellStyle name="Normal 3 3 18 14 2" xfId="31486" xr:uid="{00000000-0005-0000-0000-0000F57A0000}"/>
    <cellStyle name="Normal 3 3 18 14 3" xfId="31487" xr:uid="{00000000-0005-0000-0000-0000F67A0000}"/>
    <cellStyle name="Normal 3 3 18 15" xfId="31488" xr:uid="{00000000-0005-0000-0000-0000F77A0000}"/>
    <cellStyle name="Normal 3 3 18 15 2" xfId="31489" xr:uid="{00000000-0005-0000-0000-0000F87A0000}"/>
    <cellStyle name="Normal 3 3 18 15 3" xfId="31490" xr:uid="{00000000-0005-0000-0000-0000F97A0000}"/>
    <cellStyle name="Normal 3 3 18 16" xfId="31491" xr:uid="{00000000-0005-0000-0000-0000FA7A0000}"/>
    <cellStyle name="Normal 3 3 18 16 2" xfId="31492" xr:uid="{00000000-0005-0000-0000-0000FB7A0000}"/>
    <cellStyle name="Normal 3 3 18 16 3" xfId="31493" xr:uid="{00000000-0005-0000-0000-0000FC7A0000}"/>
    <cellStyle name="Normal 3 3 18 17" xfId="31494" xr:uid="{00000000-0005-0000-0000-0000FD7A0000}"/>
    <cellStyle name="Normal 3 3 18 17 2" xfId="31495" xr:uid="{00000000-0005-0000-0000-0000FE7A0000}"/>
    <cellStyle name="Normal 3 3 18 17 3" xfId="31496" xr:uid="{00000000-0005-0000-0000-0000FF7A0000}"/>
    <cellStyle name="Normal 3 3 18 18" xfId="31497" xr:uid="{00000000-0005-0000-0000-0000007B0000}"/>
    <cellStyle name="Normal 3 3 18 18 2" xfId="31498" xr:uid="{00000000-0005-0000-0000-0000017B0000}"/>
    <cellStyle name="Normal 3 3 18 18 3" xfId="31499" xr:uid="{00000000-0005-0000-0000-0000027B0000}"/>
    <cellStyle name="Normal 3 3 18 19" xfId="31500" xr:uid="{00000000-0005-0000-0000-0000037B0000}"/>
    <cellStyle name="Normal 3 3 18 19 2" xfId="31501" xr:uid="{00000000-0005-0000-0000-0000047B0000}"/>
    <cellStyle name="Normal 3 3 18 19 3" xfId="31502" xr:uid="{00000000-0005-0000-0000-0000057B0000}"/>
    <cellStyle name="Normal 3 3 18 2" xfId="31503" xr:uid="{00000000-0005-0000-0000-0000067B0000}"/>
    <cellStyle name="Normal 3 3 18 2 10" xfId="31504" xr:uid="{00000000-0005-0000-0000-0000077B0000}"/>
    <cellStyle name="Normal 3 3 18 2 10 2" xfId="31505" xr:uid="{00000000-0005-0000-0000-0000087B0000}"/>
    <cellStyle name="Normal 3 3 18 2 10 3" xfId="31506" xr:uid="{00000000-0005-0000-0000-0000097B0000}"/>
    <cellStyle name="Normal 3 3 18 2 11" xfId="31507" xr:uid="{00000000-0005-0000-0000-00000A7B0000}"/>
    <cellStyle name="Normal 3 3 18 2 11 2" xfId="31508" xr:uid="{00000000-0005-0000-0000-00000B7B0000}"/>
    <cellStyle name="Normal 3 3 18 2 11 3" xfId="31509" xr:uid="{00000000-0005-0000-0000-00000C7B0000}"/>
    <cellStyle name="Normal 3 3 18 2 12" xfId="31510" xr:uid="{00000000-0005-0000-0000-00000D7B0000}"/>
    <cellStyle name="Normal 3 3 18 2 12 2" xfId="31511" xr:uid="{00000000-0005-0000-0000-00000E7B0000}"/>
    <cellStyle name="Normal 3 3 18 2 12 3" xfId="31512" xr:uid="{00000000-0005-0000-0000-00000F7B0000}"/>
    <cellStyle name="Normal 3 3 18 2 13" xfId="31513" xr:uid="{00000000-0005-0000-0000-0000107B0000}"/>
    <cellStyle name="Normal 3 3 18 2 13 2" xfId="31514" xr:uid="{00000000-0005-0000-0000-0000117B0000}"/>
    <cellStyle name="Normal 3 3 18 2 13 3" xfId="31515" xr:uid="{00000000-0005-0000-0000-0000127B0000}"/>
    <cellStyle name="Normal 3 3 18 2 14" xfId="31516" xr:uid="{00000000-0005-0000-0000-0000137B0000}"/>
    <cellStyle name="Normal 3 3 18 2 14 2" xfId="31517" xr:uid="{00000000-0005-0000-0000-0000147B0000}"/>
    <cellStyle name="Normal 3 3 18 2 14 3" xfId="31518" xr:uid="{00000000-0005-0000-0000-0000157B0000}"/>
    <cellStyle name="Normal 3 3 18 2 15" xfId="31519" xr:uid="{00000000-0005-0000-0000-0000167B0000}"/>
    <cellStyle name="Normal 3 3 18 2 15 2" xfId="31520" xr:uid="{00000000-0005-0000-0000-0000177B0000}"/>
    <cellStyle name="Normal 3 3 18 2 15 3" xfId="31521" xr:uid="{00000000-0005-0000-0000-0000187B0000}"/>
    <cellStyle name="Normal 3 3 18 2 16" xfId="31522" xr:uid="{00000000-0005-0000-0000-0000197B0000}"/>
    <cellStyle name="Normal 3 3 18 2 17" xfId="31523" xr:uid="{00000000-0005-0000-0000-00001A7B0000}"/>
    <cellStyle name="Normal 3 3 18 2 2" xfId="31524" xr:uid="{00000000-0005-0000-0000-00001B7B0000}"/>
    <cellStyle name="Normal 3 3 18 2 2 10" xfId="31525" xr:uid="{00000000-0005-0000-0000-00001C7B0000}"/>
    <cellStyle name="Normal 3 3 18 2 2 10 2" xfId="31526" xr:uid="{00000000-0005-0000-0000-00001D7B0000}"/>
    <cellStyle name="Normal 3 3 18 2 2 10 3" xfId="31527" xr:uid="{00000000-0005-0000-0000-00001E7B0000}"/>
    <cellStyle name="Normal 3 3 18 2 2 11" xfId="31528" xr:uid="{00000000-0005-0000-0000-00001F7B0000}"/>
    <cellStyle name="Normal 3 3 18 2 2 11 2" xfId="31529" xr:uid="{00000000-0005-0000-0000-0000207B0000}"/>
    <cellStyle name="Normal 3 3 18 2 2 11 3" xfId="31530" xr:uid="{00000000-0005-0000-0000-0000217B0000}"/>
    <cellStyle name="Normal 3 3 18 2 2 12" xfId="31531" xr:uid="{00000000-0005-0000-0000-0000227B0000}"/>
    <cellStyle name="Normal 3 3 18 2 2 12 2" xfId="31532" xr:uid="{00000000-0005-0000-0000-0000237B0000}"/>
    <cellStyle name="Normal 3 3 18 2 2 12 3" xfId="31533" xr:uid="{00000000-0005-0000-0000-0000247B0000}"/>
    <cellStyle name="Normal 3 3 18 2 2 13" xfId="31534" xr:uid="{00000000-0005-0000-0000-0000257B0000}"/>
    <cellStyle name="Normal 3 3 18 2 2 13 2" xfId="31535" xr:uid="{00000000-0005-0000-0000-0000267B0000}"/>
    <cellStyle name="Normal 3 3 18 2 2 13 3" xfId="31536" xr:uid="{00000000-0005-0000-0000-0000277B0000}"/>
    <cellStyle name="Normal 3 3 18 2 2 14" xfId="31537" xr:uid="{00000000-0005-0000-0000-0000287B0000}"/>
    <cellStyle name="Normal 3 3 18 2 2 14 2" xfId="31538" xr:uid="{00000000-0005-0000-0000-0000297B0000}"/>
    <cellStyle name="Normal 3 3 18 2 2 14 3" xfId="31539" xr:uid="{00000000-0005-0000-0000-00002A7B0000}"/>
    <cellStyle name="Normal 3 3 18 2 2 15" xfId="31540" xr:uid="{00000000-0005-0000-0000-00002B7B0000}"/>
    <cellStyle name="Normal 3 3 18 2 2 16" xfId="31541" xr:uid="{00000000-0005-0000-0000-00002C7B0000}"/>
    <cellStyle name="Normal 3 3 18 2 2 2" xfId="31542" xr:uid="{00000000-0005-0000-0000-00002D7B0000}"/>
    <cellStyle name="Normal 3 3 18 2 2 2 2" xfId="31543" xr:uid="{00000000-0005-0000-0000-00002E7B0000}"/>
    <cellStyle name="Normal 3 3 18 2 2 2 3" xfId="31544" xr:uid="{00000000-0005-0000-0000-00002F7B0000}"/>
    <cellStyle name="Normal 3 3 18 2 2 3" xfId="31545" xr:uid="{00000000-0005-0000-0000-0000307B0000}"/>
    <cellStyle name="Normal 3 3 18 2 2 3 2" xfId="31546" xr:uid="{00000000-0005-0000-0000-0000317B0000}"/>
    <cellStyle name="Normal 3 3 18 2 2 3 3" xfId="31547" xr:uid="{00000000-0005-0000-0000-0000327B0000}"/>
    <cellStyle name="Normal 3 3 18 2 2 4" xfId="31548" xr:uid="{00000000-0005-0000-0000-0000337B0000}"/>
    <cellStyle name="Normal 3 3 18 2 2 4 2" xfId="31549" xr:uid="{00000000-0005-0000-0000-0000347B0000}"/>
    <cellStyle name="Normal 3 3 18 2 2 4 3" xfId="31550" xr:uid="{00000000-0005-0000-0000-0000357B0000}"/>
    <cellStyle name="Normal 3 3 18 2 2 5" xfId="31551" xr:uid="{00000000-0005-0000-0000-0000367B0000}"/>
    <cellStyle name="Normal 3 3 18 2 2 5 2" xfId="31552" xr:uid="{00000000-0005-0000-0000-0000377B0000}"/>
    <cellStyle name="Normal 3 3 18 2 2 5 3" xfId="31553" xr:uid="{00000000-0005-0000-0000-0000387B0000}"/>
    <cellStyle name="Normal 3 3 18 2 2 6" xfId="31554" xr:uid="{00000000-0005-0000-0000-0000397B0000}"/>
    <cellStyle name="Normal 3 3 18 2 2 6 2" xfId="31555" xr:uid="{00000000-0005-0000-0000-00003A7B0000}"/>
    <cellStyle name="Normal 3 3 18 2 2 6 3" xfId="31556" xr:uid="{00000000-0005-0000-0000-00003B7B0000}"/>
    <cellStyle name="Normal 3 3 18 2 2 7" xfId="31557" xr:uid="{00000000-0005-0000-0000-00003C7B0000}"/>
    <cellStyle name="Normal 3 3 18 2 2 7 2" xfId="31558" xr:uid="{00000000-0005-0000-0000-00003D7B0000}"/>
    <cellStyle name="Normal 3 3 18 2 2 7 3" xfId="31559" xr:uid="{00000000-0005-0000-0000-00003E7B0000}"/>
    <cellStyle name="Normal 3 3 18 2 2 8" xfId="31560" xr:uid="{00000000-0005-0000-0000-00003F7B0000}"/>
    <cellStyle name="Normal 3 3 18 2 2 8 2" xfId="31561" xr:uid="{00000000-0005-0000-0000-0000407B0000}"/>
    <cellStyle name="Normal 3 3 18 2 2 8 3" xfId="31562" xr:uid="{00000000-0005-0000-0000-0000417B0000}"/>
    <cellStyle name="Normal 3 3 18 2 2 9" xfId="31563" xr:uid="{00000000-0005-0000-0000-0000427B0000}"/>
    <cellStyle name="Normal 3 3 18 2 2 9 2" xfId="31564" xr:uid="{00000000-0005-0000-0000-0000437B0000}"/>
    <cellStyle name="Normal 3 3 18 2 2 9 3" xfId="31565" xr:uid="{00000000-0005-0000-0000-0000447B0000}"/>
    <cellStyle name="Normal 3 3 18 2 3" xfId="31566" xr:uid="{00000000-0005-0000-0000-0000457B0000}"/>
    <cellStyle name="Normal 3 3 18 2 3 2" xfId="31567" xr:uid="{00000000-0005-0000-0000-0000467B0000}"/>
    <cellStyle name="Normal 3 3 18 2 3 3" xfId="31568" xr:uid="{00000000-0005-0000-0000-0000477B0000}"/>
    <cellStyle name="Normal 3 3 18 2 4" xfId="31569" xr:uid="{00000000-0005-0000-0000-0000487B0000}"/>
    <cellStyle name="Normal 3 3 18 2 4 2" xfId="31570" xr:uid="{00000000-0005-0000-0000-0000497B0000}"/>
    <cellStyle name="Normal 3 3 18 2 4 3" xfId="31571" xr:uid="{00000000-0005-0000-0000-00004A7B0000}"/>
    <cellStyle name="Normal 3 3 18 2 5" xfId="31572" xr:uid="{00000000-0005-0000-0000-00004B7B0000}"/>
    <cellStyle name="Normal 3 3 18 2 5 2" xfId="31573" xr:uid="{00000000-0005-0000-0000-00004C7B0000}"/>
    <cellStyle name="Normal 3 3 18 2 5 3" xfId="31574" xr:uid="{00000000-0005-0000-0000-00004D7B0000}"/>
    <cellStyle name="Normal 3 3 18 2 6" xfId="31575" xr:uid="{00000000-0005-0000-0000-00004E7B0000}"/>
    <cellStyle name="Normal 3 3 18 2 6 2" xfId="31576" xr:uid="{00000000-0005-0000-0000-00004F7B0000}"/>
    <cellStyle name="Normal 3 3 18 2 6 3" xfId="31577" xr:uid="{00000000-0005-0000-0000-0000507B0000}"/>
    <cellStyle name="Normal 3 3 18 2 7" xfId="31578" xr:uid="{00000000-0005-0000-0000-0000517B0000}"/>
    <cellStyle name="Normal 3 3 18 2 7 2" xfId="31579" xr:uid="{00000000-0005-0000-0000-0000527B0000}"/>
    <cellStyle name="Normal 3 3 18 2 7 3" xfId="31580" xr:uid="{00000000-0005-0000-0000-0000537B0000}"/>
    <cellStyle name="Normal 3 3 18 2 8" xfId="31581" xr:uid="{00000000-0005-0000-0000-0000547B0000}"/>
    <cellStyle name="Normal 3 3 18 2 8 2" xfId="31582" xr:uid="{00000000-0005-0000-0000-0000557B0000}"/>
    <cellStyle name="Normal 3 3 18 2 8 3" xfId="31583" xr:uid="{00000000-0005-0000-0000-0000567B0000}"/>
    <cellStyle name="Normal 3 3 18 2 9" xfId="31584" xr:uid="{00000000-0005-0000-0000-0000577B0000}"/>
    <cellStyle name="Normal 3 3 18 2 9 2" xfId="31585" xr:uid="{00000000-0005-0000-0000-0000587B0000}"/>
    <cellStyle name="Normal 3 3 18 2 9 3" xfId="31586" xr:uid="{00000000-0005-0000-0000-0000597B0000}"/>
    <cellStyle name="Normal 3 3 18 20" xfId="31587" xr:uid="{00000000-0005-0000-0000-00005A7B0000}"/>
    <cellStyle name="Normal 3 3 18 20 2" xfId="31588" xr:uid="{00000000-0005-0000-0000-00005B7B0000}"/>
    <cellStyle name="Normal 3 3 18 20 3" xfId="31589" xr:uid="{00000000-0005-0000-0000-00005C7B0000}"/>
    <cellStyle name="Normal 3 3 18 21" xfId="31590" xr:uid="{00000000-0005-0000-0000-00005D7B0000}"/>
    <cellStyle name="Normal 3 3 18 21 2" xfId="31591" xr:uid="{00000000-0005-0000-0000-00005E7B0000}"/>
    <cellStyle name="Normal 3 3 18 21 3" xfId="31592" xr:uid="{00000000-0005-0000-0000-00005F7B0000}"/>
    <cellStyle name="Normal 3 3 18 22" xfId="31593" xr:uid="{00000000-0005-0000-0000-0000607B0000}"/>
    <cellStyle name="Normal 3 3 18 22 2" xfId="31594" xr:uid="{00000000-0005-0000-0000-0000617B0000}"/>
    <cellStyle name="Normal 3 3 18 22 3" xfId="31595" xr:uid="{00000000-0005-0000-0000-0000627B0000}"/>
    <cellStyle name="Normal 3 3 18 23" xfId="31596" xr:uid="{00000000-0005-0000-0000-0000637B0000}"/>
    <cellStyle name="Normal 3 3 18 23 2" xfId="31597" xr:uid="{00000000-0005-0000-0000-0000647B0000}"/>
    <cellStyle name="Normal 3 3 18 23 3" xfId="31598" xr:uid="{00000000-0005-0000-0000-0000657B0000}"/>
    <cellStyle name="Normal 3 3 18 24" xfId="31599" xr:uid="{00000000-0005-0000-0000-0000667B0000}"/>
    <cellStyle name="Normal 3 3 18 25" xfId="31600" xr:uid="{00000000-0005-0000-0000-0000677B0000}"/>
    <cellStyle name="Normal 3 3 18 3" xfId="31601" xr:uid="{00000000-0005-0000-0000-0000687B0000}"/>
    <cellStyle name="Normal 3 3 18 3 10" xfId="31602" xr:uid="{00000000-0005-0000-0000-0000697B0000}"/>
    <cellStyle name="Normal 3 3 18 3 10 2" xfId="31603" xr:uid="{00000000-0005-0000-0000-00006A7B0000}"/>
    <cellStyle name="Normal 3 3 18 3 10 3" xfId="31604" xr:uid="{00000000-0005-0000-0000-00006B7B0000}"/>
    <cellStyle name="Normal 3 3 18 3 11" xfId="31605" xr:uid="{00000000-0005-0000-0000-00006C7B0000}"/>
    <cellStyle name="Normal 3 3 18 3 11 2" xfId="31606" xr:uid="{00000000-0005-0000-0000-00006D7B0000}"/>
    <cellStyle name="Normal 3 3 18 3 11 3" xfId="31607" xr:uid="{00000000-0005-0000-0000-00006E7B0000}"/>
    <cellStyle name="Normal 3 3 18 3 12" xfId="31608" xr:uid="{00000000-0005-0000-0000-00006F7B0000}"/>
    <cellStyle name="Normal 3 3 18 3 12 2" xfId="31609" xr:uid="{00000000-0005-0000-0000-0000707B0000}"/>
    <cellStyle name="Normal 3 3 18 3 12 3" xfId="31610" xr:uid="{00000000-0005-0000-0000-0000717B0000}"/>
    <cellStyle name="Normal 3 3 18 3 13" xfId="31611" xr:uid="{00000000-0005-0000-0000-0000727B0000}"/>
    <cellStyle name="Normal 3 3 18 3 13 2" xfId="31612" xr:uid="{00000000-0005-0000-0000-0000737B0000}"/>
    <cellStyle name="Normal 3 3 18 3 13 3" xfId="31613" xr:uid="{00000000-0005-0000-0000-0000747B0000}"/>
    <cellStyle name="Normal 3 3 18 3 14" xfId="31614" xr:uid="{00000000-0005-0000-0000-0000757B0000}"/>
    <cellStyle name="Normal 3 3 18 3 14 2" xfId="31615" xr:uid="{00000000-0005-0000-0000-0000767B0000}"/>
    <cellStyle name="Normal 3 3 18 3 14 3" xfId="31616" xr:uid="{00000000-0005-0000-0000-0000777B0000}"/>
    <cellStyle name="Normal 3 3 18 3 15" xfId="31617" xr:uid="{00000000-0005-0000-0000-0000787B0000}"/>
    <cellStyle name="Normal 3 3 18 3 15 2" xfId="31618" xr:uid="{00000000-0005-0000-0000-0000797B0000}"/>
    <cellStyle name="Normal 3 3 18 3 15 3" xfId="31619" xr:uid="{00000000-0005-0000-0000-00007A7B0000}"/>
    <cellStyle name="Normal 3 3 18 3 16" xfId="31620" xr:uid="{00000000-0005-0000-0000-00007B7B0000}"/>
    <cellStyle name="Normal 3 3 18 3 17" xfId="31621" xr:uid="{00000000-0005-0000-0000-00007C7B0000}"/>
    <cellStyle name="Normal 3 3 18 3 2" xfId="31622" xr:uid="{00000000-0005-0000-0000-00007D7B0000}"/>
    <cellStyle name="Normal 3 3 18 3 2 10" xfId="31623" xr:uid="{00000000-0005-0000-0000-00007E7B0000}"/>
    <cellStyle name="Normal 3 3 18 3 2 10 2" xfId="31624" xr:uid="{00000000-0005-0000-0000-00007F7B0000}"/>
    <cellStyle name="Normal 3 3 18 3 2 10 3" xfId="31625" xr:uid="{00000000-0005-0000-0000-0000807B0000}"/>
    <cellStyle name="Normal 3 3 18 3 2 11" xfId="31626" xr:uid="{00000000-0005-0000-0000-0000817B0000}"/>
    <cellStyle name="Normal 3 3 18 3 2 11 2" xfId="31627" xr:uid="{00000000-0005-0000-0000-0000827B0000}"/>
    <cellStyle name="Normal 3 3 18 3 2 11 3" xfId="31628" xr:uid="{00000000-0005-0000-0000-0000837B0000}"/>
    <cellStyle name="Normal 3 3 18 3 2 12" xfId="31629" xr:uid="{00000000-0005-0000-0000-0000847B0000}"/>
    <cellStyle name="Normal 3 3 18 3 2 12 2" xfId="31630" xr:uid="{00000000-0005-0000-0000-0000857B0000}"/>
    <cellStyle name="Normal 3 3 18 3 2 12 3" xfId="31631" xr:uid="{00000000-0005-0000-0000-0000867B0000}"/>
    <cellStyle name="Normal 3 3 18 3 2 13" xfId="31632" xr:uid="{00000000-0005-0000-0000-0000877B0000}"/>
    <cellStyle name="Normal 3 3 18 3 2 13 2" xfId="31633" xr:uid="{00000000-0005-0000-0000-0000887B0000}"/>
    <cellStyle name="Normal 3 3 18 3 2 13 3" xfId="31634" xr:uid="{00000000-0005-0000-0000-0000897B0000}"/>
    <cellStyle name="Normal 3 3 18 3 2 14" xfId="31635" xr:uid="{00000000-0005-0000-0000-00008A7B0000}"/>
    <cellStyle name="Normal 3 3 18 3 2 14 2" xfId="31636" xr:uid="{00000000-0005-0000-0000-00008B7B0000}"/>
    <cellStyle name="Normal 3 3 18 3 2 14 3" xfId="31637" xr:uid="{00000000-0005-0000-0000-00008C7B0000}"/>
    <cellStyle name="Normal 3 3 18 3 2 15" xfId="31638" xr:uid="{00000000-0005-0000-0000-00008D7B0000}"/>
    <cellStyle name="Normal 3 3 18 3 2 16" xfId="31639" xr:uid="{00000000-0005-0000-0000-00008E7B0000}"/>
    <cellStyle name="Normal 3 3 18 3 2 2" xfId="31640" xr:uid="{00000000-0005-0000-0000-00008F7B0000}"/>
    <cellStyle name="Normal 3 3 18 3 2 2 2" xfId="31641" xr:uid="{00000000-0005-0000-0000-0000907B0000}"/>
    <cellStyle name="Normal 3 3 18 3 2 2 3" xfId="31642" xr:uid="{00000000-0005-0000-0000-0000917B0000}"/>
    <cellStyle name="Normal 3 3 18 3 2 3" xfId="31643" xr:uid="{00000000-0005-0000-0000-0000927B0000}"/>
    <cellStyle name="Normal 3 3 18 3 2 3 2" xfId="31644" xr:uid="{00000000-0005-0000-0000-0000937B0000}"/>
    <cellStyle name="Normal 3 3 18 3 2 3 3" xfId="31645" xr:uid="{00000000-0005-0000-0000-0000947B0000}"/>
    <cellStyle name="Normal 3 3 18 3 2 4" xfId="31646" xr:uid="{00000000-0005-0000-0000-0000957B0000}"/>
    <cellStyle name="Normal 3 3 18 3 2 4 2" xfId="31647" xr:uid="{00000000-0005-0000-0000-0000967B0000}"/>
    <cellStyle name="Normal 3 3 18 3 2 4 3" xfId="31648" xr:uid="{00000000-0005-0000-0000-0000977B0000}"/>
    <cellStyle name="Normal 3 3 18 3 2 5" xfId="31649" xr:uid="{00000000-0005-0000-0000-0000987B0000}"/>
    <cellStyle name="Normal 3 3 18 3 2 5 2" xfId="31650" xr:uid="{00000000-0005-0000-0000-0000997B0000}"/>
    <cellStyle name="Normal 3 3 18 3 2 5 3" xfId="31651" xr:uid="{00000000-0005-0000-0000-00009A7B0000}"/>
    <cellStyle name="Normal 3 3 18 3 2 6" xfId="31652" xr:uid="{00000000-0005-0000-0000-00009B7B0000}"/>
    <cellStyle name="Normal 3 3 18 3 2 6 2" xfId="31653" xr:uid="{00000000-0005-0000-0000-00009C7B0000}"/>
    <cellStyle name="Normal 3 3 18 3 2 6 3" xfId="31654" xr:uid="{00000000-0005-0000-0000-00009D7B0000}"/>
    <cellStyle name="Normal 3 3 18 3 2 7" xfId="31655" xr:uid="{00000000-0005-0000-0000-00009E7B0000}"/>
    <cellStyle name="Normal 3 3 18 3 2 7 2" xfId="31656" xr:uid="{00000000-0005-0000-0000-00009F7B0000}"/>
    <cellStyle name="Normal 3 3 18 3 2 7 3" xfId="31657" xr:uid="{00000000-0005-0000-0000-0000A07B0000}"/>
    <cellStyle name="Normal 3 3 18 3 2 8" xfId="31658" xr:uid="{00000000-0005-0000-0000-0000A17B0000}"/>
    <cellStyle name="Normal 3 3 18 3 2 8 2" xfId="31659" xr:uid="{00000000-0005-0000-0000-0000A27B0000}"/>
    <cellStyle name="Normal 3 3 18 3 2 8 3" xfId="31660" xr:uid="{00000000-0005-0000-0000-0000A37B0000}"/>
    <cellStyle name="Normal 3 3 18 3 2 9" xfId="31661" xr:uid="{00000000-0005-0000-0000-0000A47B0000}"/>
    <cellStyle name="Normal 3 3 18 3 2 9 2" xfId="31662" xr:uid="{00000000-0005-0000-0000-0000A57B0000}"/>
    <cellStyle name="Normal 3 3 18 3 2 9 3" xfId="31663" xr:uid="{00000000-0005-0000-0000-0000A67B0000}"/>
    <cellStyle name="Normal 3 3 18 3 3" xfId="31664" xr:uid="{00000000-0005-0000-0000-0000A77B0000}"/>
    <cellStyle name="Normal 3 3 18 3 3 2" xfId="31665" xr:uid="{00000000-0005-0000-0000-0000A87B0000}"/>
    <cellStyle name="Normal 3 3 18 3 3 3" xfId="31666" xr:uid="{00000000-0005-0000-0000-0000A97B0000}"/>
    <cellStyle name="Normal 3 3 18 3 4" xfId="31667" xr:uid="{00000000-0005-0000-0000-0000AA7B0000}"/>
    <cellStyle name="Normal 3 3 18 3 4 2" xfId="31668" xr:uid="{00000000-0005-0000-0000-0000AB7B0000}"/>
    <cellStyle name="Normal 3 3 18 3 4 3" xfId="31669" xr:uid="{00000000-0005-0000-0000-0000AC7B0000}"/>
    <cellStyle name="Normal 3 3 18 3 5" xfId="31670" xr:uid="{00000000-0005-0000-0000-0000AD7B0000}"/>
    <cellStyle name="Normal 3 3 18 3 5 2" xfId="31671" xr:uid="{00000000-0005-0000-0000-0000AE7B0000}"/>
    <cellStyle name="Normal 3 3 18 3 5 3" xfId="31672" xr:uid="{00000000-0005-0000-0000-0000AF7B0000}"/>
    <cellStyle name="Normal 3 3 18 3 6" xfId="31673" xr:uid="{00000000-0005-0000-0000-0000B07B0000}"/>
    <cellStyle name="Normal 3 3 18 3 6 2" xfId="31674" xr:uid="{00000000-0005-0000-0000-0000B17B0000}"/>
    <cellStyle name="Normal 3 3 18 3 6 3" xfId="31675" xr:uid="{00000000-0005-0000-0000-0000B27B0000}"/>
    <cellStyle name="Normal 3 3 18 3 7" xfId="31676" xr:uid="{00000000-0005-0000-0000-0000B37B0000}"/>
    <cellStyle name="Normal 3 3 18 3 7 2" xfId="31677" xr:uid="{00000000-0005-0000-0000-0000B47B0000}"/>
    <cellStyle name="Normal 3 3 18 3 7 3" xfId="31678" xr:uid="{00000000-0005-0000-0000-0000B57B0000}"/>
    <cellStyle name="Normal 3 3 18 3 8" xfId="31679" xr:uid="{00000000-0005-0000-0000-0000B67B0000}"/>
    <cellStyle name="Normal 3 3 18 3 8 2" xfId="31680" xr:uid="{00000000-0005-0000-0000-0000B77B0000}"/>
    <cellStyle name="Normal 3 3 18 3 8 3" xfId="31681" xr:uid="{00000000-0005-0000-0000-0000B87B0000}"/>
    <cellStyle name="Normal 3 3 18 3 9" xfId="31682" xr:uid="{00000000-0005-0000-0000-0000B97B0000}"/>
    <cellStyle name="Normal 3 3 18 3 9 2" xfId="31683" xr:uid="{00000000-0005-0000-0000-0000BA7B0000}"/>
    <cellStyle name="Normal 3 3 18 3 9 3" xfId="31684" xr:uid="{00000000-0005-0000-0000-0000BB7B0000}"/>
    <cellStyle name="Normal 3 3 18 4" xfId="31685" xr:uid="{00000000-0005-0000-0000-0000BC7B0000}"/>
    <cellStyle name="Normal 3 3 18 4 10" xfId="31686" xr:uid="{00000000-0005-0000-0000-0000BD7B0000}"/>
    <cellStyle name="Normal 3 3 18 4 10 2" xfId="31687" xr:uid="{00000000-0005-0000-0000-0000BE7B0000}"/>
    <cellStyle name="Normal 3 3 18 4 10 3" xfId="31688" xr:uid="{00000000-0005-0000-0000-0000BF7B0000}"/>
    <cellStyle name="Normal 3 3 18 4 11" xfId="31689" xr:uid="{00000000-0005-0000-0000-0000C07B0000}"/>
    <cellStyle name="Normal 3 3 18 4 11 2" xfId="31690" xr:uid="{00000000-0005-0000-0000-0000C17B0000}"/>
    <cellStyle name="Normal 3 3 18 4 11 3" xfId="31691" xr:uid="{00000000-0005-0000-0000-0000C27B0000}"/>
    <cellStyle name="Normal 3 3 18 4 12" xfId="31692" xr:uid="{00000000-0005-0000-0000-0000C37B0000}"/>
    <cellStyle name="Normal 3 3 18 4 12 2" xfId="31693" xr:uid="{00000000-0005-0000-0000-0000C47B0000}"/>
    <cellStyle name="Normal 3 3 18 4 12 3" xfId="31694" xr:uid="{00000000-0005-0000-0000-0000C57B0000}"/>
    <cellStyle name="Normal 3 3 18 4 13" xfId="31695" xr:uid="{00000000-0005-0000-0000-0000C67B0000}"/>
    <cellStyle name="Normal 3 3 18 4 13 2" xfId="31696" xr:uid="{00000000-0005-0000-0000-0000C77B0000}"/>
    <cellStyle name="Normal 3 3 18 4 13 3" xfId="31697" xr:uid="{00000000-0005-0000-0000-0000C87B0000}"/>
    <cellStyle name="Normal 3 3 18 4 14" xfId="31698" xr:uid="{00000000-0005-0000-0000-0000C97B0000}"/>
    <cellStyle name="Normal 3 3 18 4 14 2" xfId="31699" xr:uid="{00000000-0005-0000-0000-0000CA7B0000}"/>
    <cellStyle name="Normal 3 3 18 4 14 3" xfId="31700" xr:uid="{00000000-0005-0000-0000-0000CB7B0000}"/>
    <cellStyle name="Normal 3 3 18 4 15" xfId="31701" xr:uid="{00000000-0005-0000-0000-0000CC7B0000}"/>
    <cellStyle name="Normal 3 3 18 4 15 2" xfId="31702" xr:uid="{00000000-0005-0000-0000-0000CD7B0000}"/>
    <cellStyle name="Normal 3 3 18 4 15 3" xfId="31703" xr:uid="{00000000-0005-0000-0000-0000CE7B0000}"/>
    <cellStyle name="Normal 3 3 18 4 16" xfId="31704" xr:uid="{00000000-0005-0000-0000-0000CF7B0000}"/>
    <cellStyle name="Normal 3 3 18 4 17" xfId="31705" xr:uid="{00000000-0005-0000-0000-0000D07B0000}"/>
    <cellStyle name="Normal 3 3 18 4 2" xfId="31706" xr:uid="{00000000-0005-0000-0000-0000D17B0000}"/>
    <cellStyle name="Normal 3 3 18 4 2 10" xfId="31707" xr:uid="{00000000-0005-0000-0000-0000D27B0000}"/>
    <cellStyle name="Normal 3 3 18 4 2 10 2" xfId="31708" xr:uid="{00000000-0005-0000-0000-0000D37B0000}"/>
    <cellStyle name="Normal 3 3 18 4 2 10 3" xfId="31709" xr:uid="{00000000-0005-0000-0000-0000D47B0000}"/>
    <cellStyle name="Normal 3 3 18 4 2 11" xfId="31710" xr:uid="{00000000-0005-0000-0000-0000D57B0000}"/>
    <cellStyle name="Normal 3 3 18 4 2 11 2" xfId="31711" xr:uid="{00000000-0005-0000-0000-0000D67B0000}"/>
    <cellStyle name="Normal 3 3 18 4 2 11 3" xfId="31712" xr:uid="{00000000-0005-0000-0000-0000D77B0000}"/>
    <cellStyle name="Normal 3 3 18 4 2 12" xfId="31713" xr:uid="{00000000-0005-0000-0000-0000D87B0000}"/>
    <cellStyle name="Normal 3 3 18 4 2 12 2" xfId="31714" xr:uid="{00000000-0005-0000-0000-0000D97B0000}"/>
    <cellStyle name="Normal 3 3 18 4 2 12 3" xfId="31715" xr:uid="{00000000-0005-0000-0000-0000DA7B0000}"/>
    <cellStyle name="Normal 3 3 18 4 2 13" xfId="31716" xr:uid="{00000000-0005-0000-0000-0000DB7B0000}"/>
    <cellStyle name="Normal 3 3 18 4 2 13 2" xfId="31717" xr:uid="{00000000-0005-0000-0000-0000DC7B0000}"/>
    <cellStyle name="Normal 3 3 18 4 2 13 3" xfId="31718" xr:uid="{00000000-0005-0000-0000-0000DD7B0000}"/>
    <cellStyle name="Normal 3 3 18 4 2 14" xfId="31719" xr:uid="{00000000-0005-0000-0000-0000DE7B0000}"/>
    <cellStyle name="Normal 3 3 18 4 2 14 2" xfId="31720" xr:uid="{00000000-0005-0000-0000-0000DF7B0000}"/>
    <cellStyle name="Normal 3 3 18 4 2 14 3" xfId="31721" xr:uid="{00000000-0005-0000-0000-0000E07B0000}"/>
    <cellStyle name="Normal 3 3 18 4 2 15" xfId="31722" xr:uid="{00000000-0005-0000-0000-0000E17B0000}"/>
    <cellStyle name="Normal 3 3 18 4 2 16" xfId="31723" xr:uid="{00000000-0005-0000-0000-0000E27B0000}"/>
    <cellStyle name="Normal 3 3 18 4 2 2" xfId="31724" xr:uid="{00000000-0005-0000-0000-0000E37B0000}"/>
    <cellStyle name="Normal 3 3 18 4 2 2 2" xfId="31725" xr:uid="{00000000-0005-0000-0000-0000E47B0000}"/>
    <cellStyle name="Normal 3 3 18 4 2 2 3" xfId="31726" xr:uid="{00000000-0005-0000-0000-0000E57B0000}"/>
    <cellStyle name="Normal 3 3 18 4 2 3" xfId="31727" xr:uid="{00000000-0005-0000-0000-0000E67B0000}"/>
    <cellStyle name="Normal 3 3 18 4 2 3 2" xfId="31728" xr:uid="{00000000-0005-0000-0000-0000E77B0000}"/>
    <cellStyle name="Normal 3 3 18 4 2 3 3" xfId="31729" xr:uid="{00000000-0005-0000-0000-0000E87B0000}"/>
    <cellStyle name="Normal 3 3 18 4 2 4" xfId="31730" xr:uid="{00000000-0005-0000-0000-0000E97B0000}"/>
    <cellStyle name="Normal 3 3 18 4 2 4 2" xfId="31731" xr:uid="{00000000-0005-0000-0000-0000EA7B0000}"/>
    <cellStyle name="Normal 3 3 18 4 2 4 3" xfId="31732" xr:uid="{00000000-0005-0000-0000-0000EB7B0000}"/>
    <cellStyle name="Normal 3 3 18 4 2 5" xfId="31733" xr:uid="{00000000-0005-0000-0000-0000EC7B0000}"/>
    <cellStyle name="Normal 3 3 18 4 2 5 2" xfId="31734" xr:uid="{00000000-0005-0000-0000-0000ED7B0000}"/>
    <cellStyle name="Normal 3 3 18 4 2 5 3" xfId="31735" xr:uid="{00000000-0005-0000-0000-0000EE7B0000}"/>
    <cellStyle name="Normal 3 3 18 4 2 6" xfId="31736" xr:uid="{00000000-0005-0000-0000-0000EF7B0000}"/>
    <cellStyle name="Normal 3 3 18 4 2 6 2" xfId="31737" xr:uid="{00000000-0005-0000-0000-0000F07B0000}"/>
    <cellStyle name="Normal 3 3 18 4 2 6 3" xfId="31738" xr:uid="{00000000-0005-0000-0000-0000F17B0000}"/>
    <cellStyle name="Normal 3 3 18 4 2 7" xfId="31739" xr:uid="{00000000-0005-0000-0000-0000F27B0000}"/>
    <cellStyle name="Normal 3 3 18 4 2 7 2" xfId="31740" xr:uid="{00000000-0005-0000-0000-0000F37B0000}"/>
    <cellStyle name="Normal 3 3 18 4 2 7 3" xfId="31741" xr:uid="{00000000-0005-0000-0000-0000F47B0000}"/>
    <cellStyle name="Normal 3 3 18 4 2 8" xfId="31742" xr:uid="{00000000-0005-0000-0000-0000F57B0000}"/>
    <cellStyle name="Normal 3 3 18 4 2 8 2" xfId="31743" xr:uid="{00000000-0005-0000-0000-0000F67B0000}"/>
    <cellStyle name="Normal 3 3 18 4 2 8 3" xfId="31744" xr:uid="{00000000-0005-0000-0000-0000F77B0000}"/>
    <cellStyle name="Normal 3 3 18 4 2 9" xfId="31745" xr:uid="{00000000-0005-0000-0000-0000F87B0000}"/>
    <cellStyle name="Normal 3 3 18 4 2 9 2" xfId="31746" xr:uid="{00000000-0005-0000-0000-0000F97B0000}"/>
    <cellStyle name="Normal 3 3 18 4 2 9 3" xfId="31747" xr:uid="{00000000-0005-0000-0000-0000FA7B0000}"/>
    <cellStyle name="Normal 3 3 18 4 3" xfId="31748" xr:uid="{00000000-0005-0000-0000-0000FB7B0000}"/>
    <cellStyle name="Normal 3 3 18 4 3 2" xfId="31749" xr:uid="{00000000-0005-0000-0000-0000FC7B0000}"/>
    <cellStyle name="Normal 3 3 18 4 3 3" xfId="31750" xr:uid="{00000000-0005-0000-0000-0000FD7B0000}"/>
    <cellStyle name="Normal 3 3 18 4 4" xfId="31751" xr:uid="{00000000-0005-0000-0000-0000FE7B0000}"/>
    <cellStyle name="Normal 3 3 18 4 4 2" xfId="31752" xr:uid="{00000000-0005-0000-0000-0000FF7B0000}"/>
    <cellStyle name="Normal 3 3 18 4 4 3" xfId="31753" xr:uid="{00000000-0005-0000-0000-0000007C0000}"/>
    <cellStyle name="Normal 3 3 18 4 5" xfId="31754" xr:uid="{00000000-0005-0000-0000-0000017C0000}"/>
    <cellStyle name="Normal 3 3 18 4 5 2" xfId="31755" xr:uid="{00000000-0005-0000-0000-0000027C0000}"/>
    <cellStyle name="Normal 3 3 18 4 5 3" xfId="31756" xr:uid="{00000000-0005-0000-0000-0000037C0000}"/>
    <cellStyle name="Normal 3 3 18 4 6" xfId="31757" xr:uid="{00000000-0005-0000-0000-0000047C0000}"/>
    <cellStyle name="Normal 3 3 18 4 6 2" xfId="31758" xr:uid="{00000000-0005-0000-0000-0000057C0000}"/>
    <cellStyle name="Normal 3 3 18 4 6 3" xfId="31759" xr:uid="{00000000-0005-0000-0000-0000067C0000}"/>
    <cellStyle name="Normal 3 3 18 4 7" xfId="31760" xr:uid="{00000000-0005-0000-0000-0000077C0000}"/>
    <cellStyle name="Normal 3 3 18 4 7 2" xfId="31761" xr:uid="{00000000-0005-0000-0000-0000087C0000}"/>
    <cellStyle name="Normal 3 3 18 4 7 3" xfId="31762" xr:uid="{00000000-0005-0000-0000-0000097C0000}"/>
    <cellStyle name="Normal 3 3 18 4 8" xfId="31763" xr:uid="{00000000-0005-0000-0000-00000A7C0000}"/>
    <cellStyle name="Normal 3 3 18 4 8 2" xfId="31764" xr:uid="{00000000-0005-0000-0000-00000B7C0000}"/>
    <cellStyle name="Normal 3 3 18 4 8 3" xfId="31765" xr:uid="{00000000-0005-0000-0000-00000C7C0000}"/>
    <cellStyle name="Normal 3 3 18 4 9" xfId="31766" xr:uid="{00000000-0005-0000-0000-00000D7C0000}"/>
    <cellStyle name="Normal 3 3 18 4 9 2" xfId="31767" xr:uid="{00000000-0005-0000-0000-00000E7C0000}"/>
    <cellStyle name="Normal 3 3 18 4 9 3" xfId="31768" xr:uid="{00000000-0005-0000-0000-00000F7C0000}"/>
    <cellStyle name="Normal 3 3 18 5" xfId="31769" xr:uid="{00000000-0005-0000-0000-0000107C0000}"/>
    <cellStyle name="Normal 3 3 18 5 10" xfId="31770" xr:uid="{00000000-0005-0000-0000-0000117C0000}"/>
    <cellStyle name="Normal 3 3 18 5 10 2" xfId="31771" xr:uid="{00000000-0005-0000-0000-0000127C0000}"/>
    <cellStyle name="Normal 3 3 18 5 10 3" xfId="31772" xr:uid="{00000000-0005-0000-0000-0000137C0000}"/>
    <cellStyle name="Normal 3 3 18 5 11" xfId="31773" xr:uid="{00000000-0005-0000-0000-0000147C0000}"/>
    <cellStyle name="Normal 3 3 18 5 11 2" xfId="31774" xr:uid="{00000000-0005-0000-0000-0000157C0000}"/>
    <cellStyle name="Normal 3 3 18 5 11 3" xfId="31775" xr:uid="{00000000-0005-0000-0000-0000167C0000}"/>
    <cellStyle name="Normal 3 3 18 5 12" xfId="31776" xr:uid="{00000000-0005-0000-0000-0000177C0000}"/>
    <cellStyle name="Normal 3 3 18 5 12 2" xfId="31777" xr:uid="{00000000-0005-0000-0000-0000187C0000}"/>
    <cellStyle name="Normal 3 3 18 5 12 3" xfId="31778" xr:uid="{00000000-0005-0000-0000-0000197C0000}"/>
    <cellStyle name="Normal 3 3 18 5 13" xfId="31779" xr:uid="{00000000-0005-0000-0000-00001A7C0000}"/>
    <cellStyle name="Normal 3 3 18 5 13 2" xfId="31780" xr:uid="{00000000-0005-0000-0000-00001B7C0000}"/>
    <cellStyle name="Normal 3 3 18 5 13 3" xfId="31781" xr:uid="{00000000-0005-0000-0000-00001C7C0000}"/>
    <cellStyle name="Normal 3 3 18 5 14" xfId="31782" xr:uid="{00000000-0005-0000-0000-00001D7C0000}"/>
    <cellStyle name="Normal 3 3 18 5 14 2" xfId="31783" xr:uid="{00000000-0005-0000-0000-00001E7C0000}"/>
    <cellStyle name="Normal 3 3 18 5 14 3" xfId="31784" xr:uid="{00000000-0005-0000-0000-00001F7C0000}"/>
    <cellStyle name="Normal 3 3 18 5 15" xfId="31785" xr:uid="{00000000-0005-0000-0000-0000207C0000}"/>
    <cellStyle name="Normal 3 3 18 5 16" xfId="31786" xr:uid="{00000000-0005-0000-0000-0000217C0000}"/>
    <cellStyle name="Normal 3 3 18 5 2" xfId="31787" xr:uid="{00000000-0005-0000-0000-0000227C0000}"/>
    <cellStyle name="Normal 3 3 18 5 2 2" xfId="31788" xr:uid="{00000000-0005-0000-0000-0000237C0000}"/>
    <cellStyle name="Normal 3 3 18 5 2 3" xfId="31789" xr:uid="{00000000-0005-0000-0000-0000247C0000}"/>
    <cellStyle name="Normal 3 3 18 5 3" xfId="31790" xr:uid="{00000000-0005-0000-0000-0000257C0000}"/>
    <cellStyle name="Normal 3 3 18 5 3 2" xfId="31791" xr:uid="{00000000-0005-0000-0000-0000267C0000}"/>
    <cellStyle name="Normal 3 3 18 5 3 3" xfId="31792" xr:uid="{00000000-0005-0000-0000-0000277C0000}"/>
    <cellStyle name="Normal 3 3 18 5 4" xfId="31793" xr:uid="{00000000-0005-0000-0000-0000287C0000}"/>
    <cellStyle name="Normal 3 3 18 5 4 2" xfId="31794" xr:uid="{00000000-0005-0000-0000-0000297C0000}"/>
    <cellStyle name="Normal 3 3 18 5 4 3" xfId="31795" xr:uid="{00000000-0005-0000-0000-00002A7C0000}"/>
    <cellStyle name="Normal 3 3 18 5 5" xfId="31796" xr:uid="{00000000-0005-0000-0000-00002B7C0000}"/>
    <cellStyle name="Normal 3 3 18 5 5 2" xfId="31797" xr:uid="{00000000-0005-0000-0000-00002C7C0000}"/>
    <cellStyle name="Normal 3 3 18 5 5 3" xfId="31798" xr:uid="{00000000-0005-0000-0000-00002D7C0000}"/>
    <cellStyle name="Normal 3 3 18 5 6" xfId="31799" xr:uid="{00000000-0005-0000-0000-00002E7C0000}"/>
    <cellStyle name="Normal 3 3 18 5 6 2" xfId="31800" xr:uid="{00000000-0005-0000-0000-00002F7C0000}"/>
    <cellStyle name="Normal 3 3 18 5 6 3" xfId="31801" xr:uid="{00000000-0005-0000-0000-0000307C0000}"/>
    <cellStyle name="Normal 3 3 18 5 7" xfId="31802" xr:uid="{00000000-0005-0000-0000-0000317C0000}"/>
    <cellStyle name="Normal 3 3 18 5 7 2" xfId="31803" xr:uid="{00000000-0005-0000-0000-0000327C0000}"/>
    <cellStyle name="Normal 3 3 18 5 7 3" xfId="31804" xr:uid="{00000000-0005-0000-0000-0000337C0000}"/>
    <cellStyle name="Normal 3 3 18 5 8" xfId="31805" xr:uid="{00000000-0005-0000-0000-0000347C0000}"/>
    <cellStyle name="Normal 3 3 18 5 8 2" xfId="31806" xr:uid="{00000000-0005-0000-0000-0000357C0000}"/>
    <cellStyle name="Normal 3 3 18 5 8 3" xfId="31807" xr:uid="{00000000-0005-0000-0000-0000367C0000}"/>
    <cellStyle name="Normal 3 3 18 5 9" xfId="31808" xr:uid="{00000000-0005-0000-0000-0000377C0000}"/>
    <cellStyle name="Normal 3 3 18 5 9 2" xfId="31809" xr:uid="{00000000-0005-0000-0000-0000387C0000}"/>
    <cellStyle name="Normal 3 3 18 5 9 3" xfId="31810" xr:uid="{00000000-0005-0000-0000-0000397C0000}"/>
    <cellStyle name="Normal 3 3 18 6" xfId="31811" xr:uid="{00000000-0005-0000-0000-00003A7C0000}"/>
    <cellStyle name="Normal 3 3 18 6 10" xfId="31812" xr:uid="{00000000-0005-0000-0000-00003B7C0000}"/>
    <cellStyle name="Normal 3 3 18 6 10 2" xfId="31813" xr:uid="{00000000-0005-0000-0000-00003C7C0000}"/>
    <cellStyle name="Normal 3 3 18 6 10 3" xfId="31814" xr:uid="{00000000-0005-0000-0000-00003D7C0000}"/>
    <cellStyle name="Normal 3 3 18 6 11" xfId="31815" xr:uid="{00000000-0005-0000-0000-00003E7C0000}"/>
    <cellStyle name="Normal 3 3 18 6 11 2" xfId="31816" xr:uid="{00000000-0005-0000-0000-00003F7C0000}"/>
    <cellStyle name="Normal 3 3 18 6 11 3" xfId="31817" xr:uid="{00000000-0005-0000-0000-0000407C0000}"/>
    <cellStyle name="Normal 3 3 18 6 12" xfId="31818" xr:uid="{00000000-0005-0000-0000-0000417C0000}"/>
    <cellStyle name="Normal 3 3 18 6 12 2" xfId="31819" xr:uid="{00000000-0005-0000-0000-0000427C0000}"/>
    <cellStyle name="Normal 3 3 18 6 12 3" xfId="31820" xr:uid="{00000000-0005-0000-0000-0000437C0000}"/>
    <cellStyle name="Normal 3 3 18 6 13" xfId="31821" xr:uid="{00000000-0005-0000-0000-0000447C0000}"/>
    <cellStyle name="Normal 3 3 18 6 13 2" xfId="31822" xr:uid="{00000000-0005-0000-0000-0000457C0000}"/>
    <cellStyle name="Normal 3 3 18 6 13 3" xfId="31823" xr:uid="{00000000-0005-0000-0000-0000467C0000}"/>
    <cellStyle name="Normal 3 3 18 6 14" xfId="31824" xr:uid="{00000000-0005-0000-0000-0000477C0000}"/>
    <cellStyle name="Normal 3 3 18 6 14 2" xfId="31825" xr:uid="{00000000-0005-0000-0000-0000487C0000}"/>
    <cellStyle name="Normal 3 3 18 6 14 3" xfId="31826" xr:uid="{00000000-0005-0000-0000-0000497C0000}"/>
    <cellStyle name="Normal 3 3 18 6 15" xfId="31827" xr:uid="{00000000-0005-0000-0000-00004A7C0000}"/>
    <cellStyle name="Normal 3 3 18 6 16" xfId="31828" xr:uid="{00000000-0005-0000-0000-00004B7C0000}"/>
    <cellStyle name="Normal 3 3 18 6 2" xfId="31829" xr:uid="{00000000-0005-0000-0000-00004C7C0000}"/>
    <cellStyle name="Normal 3 3 18 6 2 2" xfId="31830" xr:uid="{00000000-0005-0000-0000-00004D7C0000}"/>
    <cellStyle name="Normal 3 3 18 6 2 3" xfId="31831" xr:uid="{00000000-0005-0000-0000-00004E7C0000}"/>
    <cellStyle name="Normal 3 3 18 6 3" xfId="31832" xr:uid="{00000000-0005-0000-0000-00004F7C0000}"/>
    <cellStyle name="Normal 3 3 18 6 3 2" xfId="31833" xr:uid="{00000000-0005-0000-0000-0000507C0000}"/>
    <cellStyle name="Normal 3 3 18 6 3 3" xfId="31834" xr:uid="{00000000-0005-0000-0000-0000517C0000}"/>
    <cellStyle name="Normal 3 3 18 6 4" xfId="31835" xr:uid="{00000000-0005-0000-0000-0000527C0000}"/>
    <cellStyle name="Normal 3 3 18 6 4 2" xfId="31836" xr:uid="{00000000-0005-0000-0000-0000537C0000}"/>
    <cellStyle name="Normal 3 3 18 6 4 3" xfId="31837" xr:uid="{00000000-0005-0000-0000-0000547C0000}"/>
    <cellStyle name="Normal 3 3 18 6 5" xfId="31838" xr:uid="{00000000-0005-0000-0000-0000557C0000}"/>
    <cellStyle name="Normal 3 3 18 6 5 2" xfId="31839" xr:uid="{00000000-0005-0000-0000-0000567C0000}"/>
    <cellStyle name="Normal 3 3 18 6 5 3" xfId="31840" xr:uid="{00000000-0005-0000-0000-0000577C0000}"/>
    <cellStyle name="Normal 3 3 18 6 6" xfId="31841" xr:uid="{00000000-0005-0000-0000-0000587C0000}"/>
    <cellStyle name="Normal 3 3 18 6 6 2" xfId="31842" xr:uid="{00000000-0005-0000-0000-0000597C0000}"/>
    <cellStyle name="Normal 3 3 18 6 6 3" xfId="31843" xr:uid="{00000000-0005-0000-0000-00005A7C0000}"/>
    <cellStyle name="Normal 3 3 18 6 7" xfId="31844" xr:uid="{00000000-0005-0000-0000-00005B7C0000}"/>
    <cellStyle name="Normal 3 3 18 6 7 2" xfId="31845" xr:uid="{00000000-0005-0000-0000-00005C7C0000}"/>
    <cellStyle name="Normal 3 3 18 6 7 3" xfId="31846" xr:uid="{00000000-0005-0000-0000-00005D7C0000}"/>
    <cellStyle name="Normal 3 3 18 6 8" xfId="31847" xr:uid="{00000000-0005-0000-0000-00005E7C0000}"/>
    <cellStyle name="Normal 3 3 18 6 8 2" xfId="31848" xr:uid="{00000000-0005-0000-0000-00005F7C0000}"/>
    <cellStyle name="Normal 3 3 18 6 8 3" xfId="31849" xr:uid="{00000000-0005-0000-0000-0000607C0000}"/>
    <cellStyle name="Normal 3 3 18 6 9" xfId="31850" xr:uid="{00000000-0005-0000-0000-0000617C0000}"/>
    <cellStyle name="Normal 3 3 18 6 9 2" xfId="31851" xr:uid="{00000000-0005-0000-0000-0000627C0000}"/>
    <cellStyle name="Normal 3 3 18 6 9 3" xfId="31852" xr:uid="{00000000-0005-0000-0000-0000637C0000}"/>
    <cellStyle name="Normal 3 3 18 7" xfId="31853" xr:uid="{00000000-0005-0000-0000-0000647C0000}"/>
    <cellStyle name="Normal 3 3 18 7 10" xfId="31854" xr:uid="{00000000-0005-0000-0000-0000657C0000}"/>
    <cellStyle name="Normal 3 3 18 7 10 2" xfId="31855" xr:uid="{00000000-0005-0000-0000-0000667C0000}"/>
    <cellStyle name="Normal 3 3 18 7 10 3" xfId="31856" xr:uid="{00000000-0005-0000-0000-0000677C0000}"/>
    <cellStyle name="Normal 3 3 18 7 11" xfId="31857" xr:uid="{00000000-0005-0000-0000-0000687C0000}"/>
    <cellStyle name="Normal 3 3 18 7 11 2" xfId="31858" xr:uid="{00000000-0005-0000-0000-0000697C0000}"/>
    <cellStyle name="Normal 3 3 18 7 11 3" xfId="31859" xr:uid="{00000000-0005-0000-0000-00006A7C0000}"/>
    <cellStyle name="Normal 3 3 18 7 12" xfId="31860" xr:uid="{00000000-0005-0000-0000-00006B7C0000}"/>
    <cellStyle name="Normal 3 3 18 7 12 2" xfId="31861" xr:uid="{00000000-0005-0000-0000-00006C7C0000}"/>
    <cellStyle name="Normal 3 3 18 7 12 3" xfId="31862" xr:uid="{00000000-0005-0000-0000-00006D7C0000}"/>
    <cellStyle name="Normal 3 3 18 7 13" xfId="31863" xr:uid="{00000000-0005-0000-0000-00006E7C0000}"/>
    <cellStyle name="Normal 3 3 18 7 13 2" xfId="31864" xr:uid="{00000000-0005-0000-0000-00006F7C0000}"/>
    <cellStyle name="Normal 3 3 18 7 13 3" xfId="31865" xr:uid="{00000000-0005-0000-0000-0000707C0000}"/>
    <cellStyle name="Normal 3 3 18 7 14" xfId="31866" xr:uid="{00000000-0005-0000-0000-0000717C0000}"/>
    <cellStyle name="Normal 3 3 18 7 14 2" xfId="31867" xr:uid="{00000000-0005-0000-0000-0000727C0000}"/>
    <cellStyle name="Normal 3 3 18 7 14 3" xfId="31868" xr:uid="{00000000-0005-0000-0000-0000737C0000}"/>
    <cellStyle name="Normal 3 3 18 7 15" xfId="31869" xr:uid="{00000000-0005-0000-0000-0000747C0000}"/>
    <cellStyle name="Normal 3 3 18 7 16" xfId="31870" xr:uid="{00000000-0005-0000-0000-0000757C0000}"/>
    <cellStyle name="Normal 3 3 18 7 2" xfId="31871" xr:uid="{00000000-0005-0000-0000-0000767C0000}"/>
    <cellStyle name="Normal 3 3 18 7 2 2" xfId="31872" xr:uid="{00000000-0005-0000-0000-0000777C0000}"/>
    <cellStyle name="Normal 3 3 18 7 2 3" xfId="31873" xr:uid="{00000000-0005-0000-0000-0000787C0000}"/>
    <cellStyle name="Normal 3 3 18 7 3" xfId="31874" xr:uid="{00000000-0005-0000-0000-0000797C0000}"/>
    <cellStyle name="Normal 3 3 18 7 3 2" xfId="31875" xr:uid="{00000000-0005-0000-0000-00007A7C0000}"/>
    <cellStyle name="Normal 3 3 18 7 3 3" xfId="31876" xr:uid="{00000000-0005-0000-0000-00007B7C0000}"/>
    <cellStyle name="Normal 3 3 18 7 4" xfId="31877" xr:uid="{00000000-0005-0000-0000-00007C7C0000}"/>
    <cellStyle name="Normal 3 3 18 7 4 2" xfId="31878" xr:uid="{00000000-0005-0000-0000-00007D7C0000}"/>
    <cellStyle name="Normal 3 3 18 7 4 3" xfId="31879" xr:uid="{00000000-0005-0000-0000-00007E7C0000}"/>
    <cellStyle name="Normal 3 3 18 7 5" xfId="31880" xr:uid="{00000000-0005-0000-0000-00007F7C0000}"/>
    <cellStyle name="Normal 3 3 18 7 5 2" xfId="31881" xr:uid="{00000000-0005-0000-0000-0000807C0000}"/>
    <cellStyle name="Normal 3 3 18 7 5 3" xfId="31882" xr:uid="{00000000-0005-0000-0000-0000817C0000}"/>
    <cellStyle name="Normal 3 3 18 7 6" xfId="31883" xr:uid="{00000000-0005-0000-0000-0000827C0000}"/>
    <cellStyle name="Normal 3 3 18 7 6 2" xfId="31884" xr:uid="{00000000-0005-0000-0000-0000837C0000}"/>
    <cellStyle name="Normal 3 3 18 7 6 3" xfId="31885" xr:uid="{00000000-0005-0000-0000-0000847C0000}"/>
    <cellStyle name="Normal 3 3 18 7 7" xfId="31886" xr:uid="{00000000-0005-0000-0000-0000857C0000}"/>
    <cellStyle name="Normal 3 3 18 7 7 2" xfId="31887" xr:uid="{00000000-0005-0000-0000-0000867C0000}"/>
    <cellStyle name="Normal 3 3 18 7 7 3" xfId="31888" xr:uid="{00000000-0005-0000-0000-0000877C0000}"/>
    <cellStyle name="Normal 3 3 18 7 8" xfId="31889" xr:uid="{00000000-0005-0000-0000-0000887C0000}"/>
    <cellStyle name="Normal 3 3 18 7 8 2" xfId="31890" xr:uid="{00000000-0005-0000-0000-0000897C0000}"/>
    <cellStyle name="Normal 3 3 18 7 8 3" xfId="31891" xr:uid="{00000000-0005-0000-0000-00008A7C0000}"/>
    <cellStyle name="Normal 3 3 18 7 9" xfId="31892" xr:uid="{00000000-0005-0000-0000-00008B7C0000}"/>
    <cellStyle name="Normal 3 3 18 7 9 2" xfId="31893" xr:uid="{00000000-0005-0000-0000-00008C7C0000}"/>
    <cellStyle name="Normal 3 3 18 7 9 3" xfId="31894" xr:uid="{00000000-0005-0000-0000-00008D7C0000}"/>
    <cellStyle name="Normal 3 3 18 8" xfId="31895" xr:uid="{00000000-0005-0000-0000-00008E7C0000}"/>
    <cellStyle name="Normal 3 3 18 8 10" xfId="31896" xr:uid="{00000000-0005-0000-0000-00008F7C0000}"/>
    <cellStyle name="Normal 3 3 18 8 10 2" xfId="31897" xr:uid="{00000000-0005-0000-0000-0000907C0000}"/>
    <cellStyle name="Normal 3 3 18 8 10 3" xfId="31898" xr:uid="{00000000-0005-0000-0000-0000917C0000}"/>
    <cellStyle name="Normal 3 3 18 8 11" xfId="31899" xr:uid="{00000000-0005-0000-0000-0000927C0000}"/>
    <cellStyle name="Normal 3 3 18 8 11 2" xfId="31900" xr:uid="{00000000-0005-0000-0000-0000937C0000}"/>
    <cellStyle name="Normal 3 3 18 8 11 3" xfId="31901" xr:uid="{00000000-0005-0000-0000-0000947C0000}"/>
    <cellStyle name="Normal 3 3 18 8 12" xfId="31902" xr:uid="{00000000-0005-0000-0000-0000957C0000}"/>
    <cellStyle name="Normal 3 3 18 8 12 2" xfId="31903" xr:uid="{00000000-0005-0000-0000-0000967C0000}"/>
    <cellStyle name="Normal 3 3 18 8 12 3" xfId="31904" xr:uid="{00000000-0005-0000-0000-0000977C0000}"/>
    <cellStyle name="Normal 3 3 18 8 13" xfId="31905" xr:uid="{00000000-0005-0000-0000-0000987C0000}"/>
    <cellStyle name="Normal 3 3 18 8 13 2" xfId="31906" xr:uid="{00000000-0005-0000-0000-0000997C0000}"/>
    <cellStyle name="Normal 3 3 18 8 13 3" xfId="31907" xr:uid="{00000000-0005-0000-0000-00009A7C0000}"/>
    <cellStyle name="Normal 3 3 18 8 14" xfId="31908" xr:uid="{00000000-0005-0000-0000-00009B7C0000}"/>
    <cellStyle name="Normal 3 3 18 8 14 2" xfId="31909" xr:uid="{00000000-0005-0000-0000-00009C7C0000}"/>
    <cellStyle name="Normal 3 3 18 8 14 3" xfId="31910" xr:uid="{00000000-0005-0000-0000-00009D7C0000}"/>
    <cellStyle name="Normal 3 3 18 8 15" xfId="31911" xr:uid="{00000000-0005-0000-0000-00009E7C0000}"/>
    <cellStyle name="Normal 3 3 18 8 16" xfId="31912" xr:uid="{00000000-0005-0000-0000-00009F7C0000}"/>
    <cellStyle name="Normal 3 3 18 8 2" xfId="31913" xr:uid="{00000000-0005-0000-0000-0000A07C0000}"/>
    <cellStyle name="Normal 3 3 18 8 2 2" xfId="31914" xr:uid="{00000000-0005-0000-0000-0000A17C0000}"/>
    <cellStyle name="Normal 3 3 18 8 2 3" xfId="31915" xr:uid="{00000000-0005-0000-0000-0000A27C0000}"/>
    <cellStyle name="Normal 3 3 18 8 3" xfId="31916" xr:uid="{00000000-0005-0000-0000-0000A37C0000}"/>
    <cellStyle name="Normal 3 3 18 8 3 2" xfId="31917" xr:uid="{00000000-0005-0000-0000-0000A47C0000}"/>
    <cellStyle name="Normal 3 3 18 8 3 3" xfId="31918" xr:uid="{00000000-0005-0000-0000-0000A57C0000}"/>
    <cellStyle name="Normal 3 3 18 8 4" xfId="31919" xr:uid="{00000000-0005-0000-0000-0000A67C0000}"/>
    <cellStyle name="Normal 3 3 18 8 4 2" xfId="31920" xr:uid="{00000000-0005-0000-0000-0000A77C0000}"/>
    <cellStyle name="Normal 3 3 18 8 4 3" xfId="31921" xr:uid="{00000000-0005-0000-0000-0000A87C0000}"/>
    <cellStyle name="Normal 3 3 18 8 5" xfId="31922" xr:uid="{00000000-0005-0000-0000-0000A97C0000}"/>
    <cellStyle name="Normal 3 3 18 8 5 2" xfId="31923" xr:uid="{00000000-0005-0000-0000-0000AA7C0000}"/>
    <cellStyle name="Normal 3 3 18 8 5 3" xfId="31924" xr:uid="{00000000-0005-0000-0000-0000AB7C0000}"/>
    <cellStyle name="Normal 3 3 18 8 6" xfId="31925" xr:uid="{00000000-0005-0000-0000-0000AC7C0000}"/>
    <cellStyle name="Normal 3 3 18 8 6 2" xfId="31926" xr:uid="{00000000-0005-0000-0000-0000AD7C0000}"/>
    <cellStyle name="Normal 3 3 18 8 6 3" xfId="31927" xr:uid="{00000000-0005-0000-0000-0000AE7C0000}"/>
    <cellStyle name="Normal 3 3 18 8 7" xfId="31928" xr:uid="{00000000-0005-0000-0000-0000AF7C0000}"/>
    <cellStyle name="Normal 3 3 18 8 7 2" xfId="31929" xr:uid="{00000000-0005-0000-0000-0000B07C0000}"/>
    <cellStyle name="Normal 3 3 18 8 7 3" xfId="31930" xr:uid="{00000000-0005-0000-0000-0000B17C0000}"/>
    <cellStyle name="Normal 3 3 18 8 8" xfId="31931" xr:uid="{00000000-0005-0000-0000-0000B27C0000}"/>
    <cellStyle name="Normal 3 3 18 8 8 2" xfId="31932" xr:uid="{00000000-0005-0000-0000-0000B37C0000}"/>
    <cellStyle name="Normal 3 3 18 8 8 3" xfId="31933" xr:uid="{00000000-0005-0000-0000-0000B47C0000}"/>
    <cellStyle name="Normal 3 3 18 8 9" xfId="31934" xr:uid="{00000000-0005-0000-0000-0000B57C0000}"/>
    <cellStyle name="Normal 3 3 18 8 9 2" xfId="31935" xr:uid="{00000000-0005-0000-0000-0000B67C0000}"/>
    <cellStyle name="Normal 3 3 18 8 9 3" xfId="31936" xr:uid="{00000000-0005-0000-0000-0000B77C0000}"/>
    <cellStyle name="Normal 3 3 18 9" xfId="31937" xr:uid="{00000000-0005-0000-0000-0000B87C0000}"/>
    <cellStyle name="Normal 3 3 18 9 10" xfId="31938" xr:uid="{00000000-0005-0000-0000-0000B97C0000}"/>
    <cellStyle name="Normal 3 3 18 9 10 2" xfId="31939" xr:uid="{00000000-0005-0000-0000-0000BA7C0000}"/>
    <cellStyle name="Normal 3 3 18 9 10 3" xfId="31940" xr:uid="{00000000-0005-0000-0000-0000BB7C0000}"/>
    <cellStyle name="Normal 3 3 18 9 11" xfId="31941" xr:uid="{00000000-0005-0000-0000-0000BC7C0000}"/>
    <cellStyle name="Normal 3 3 18 9 11 2" xfId="31942" xr:uid="{00000000-0005-0000-0000-0000BD7C0000}"/>
    <cellStyle name="Normal 3 3 18 9 11 3" xfId="31943" xr:uid="{00000000-0005-0000-0000-0000BE7C0000}"/>
    <cellStyle name="Normal 3 3 18 9 12" xfId="31944" xr:uid="{00000000-0005-0000-0000-0000BF7C0000}"/>
    <cellStyle name="Normal 3 3 18 9 12 2" xfId="31945" xr:uid="{00000000-0005-0000-0000-0000C07C0000}"/>
    <cellStyle name="Normal 3 3 18 9 12 3" xfId="31946" xr:uid="{00000000-0005-0000-0000-0000C17C0000}"/>
    <cellStyle name="Normal 3 3 18 9 13" xfId="31947" xr:uid="{00000000-0005-0000-0000-0000C27C0000}"/>
    <cellStyle name="Normal 3 3 18 9 13 2" xfId="31948" xr:uid="{00000000-0005-0000-0000-0000C37C0000}"/>
    <cellStyle name="Normal 3 3 18 9 13 3" xfId="31949" xr:uid="{00000000-0005-0000-0000-0000C47C0000}"/>
    <cellStyle name="Normal 3 3 18 9 14" xfId="31950" xr:uid="{00000000-0005-0000-0000-0000C57C0000}"/>
    <cellStyle name="Normal 3 3 18 9 14 2" xfId="31951" xr:uid="{00000000-0005-0000-0000-0000C67C0000}"/>
    <cellStyle name="Normal 3 3 18 9 14 3" xfId="31952" xr:uid="{00000000-0005-0000-0000-0000C77C0000}"/>
    <cellStyle name="Normal 3 3 18 9 15" xfId="31953" xr:uid="{00000000-0005-0000-0000-0000C87C0000}"/>
    <cellStyle name="Normal 3 3 18 9 16" xfId="31954" xr:uid="{00000000-0005-0000-0000-0000C97C0000}"/>
    <cellStyle name="Normal 3 3 18 9 2" xfId="31955" xr:uid="{00000000-0005-0000-0000-0000CA7C0000}"/>
    <cellStyle name="Normal 3 3 18 9 2 2" xfId="31956" xr:uid="{00000000-0005-0000-0000-0000CB7C0000}"/>
    <cellStyle name="Normal 3 3 18 9 2 3" xfId="31957" xr:uid="{00000000-0005-0000-0000-0000CC7C0000}"/>
    <cellStyle name="Normal 3 3 18 9 3" xfId="31958" xr:uid="{00000000-0005-0000-0000-0000CD7C0000}"/>
    <cellStyle name="Normal 3 3 18 9 3 2" xfId="31959" xr:uid="{00000000-0005-0000-0000-0000CE7C0000}"/>
    <cellStyle name="Normal 3 3 18 9 3 3" xfId="31960" xr:uid="{00000000-0005-0000-0000-0000CF7C0000}"/>
    <cellStyle name="Normal 3 3 18 9 4" xfId="31961" xr:uid="{00000000-0005-0000-0000-0000D07C0000}"/>
    <cellStyle name="Normal 3 3 18 9 4 2" xfId="31962" xr:uid="{00000000-0005-0000-0000-0000D17C0000}"/>
    <cellStyle name="Normal 3 3 18 9 4 3" xfId="31963" xr:uid="{00000000-0005-0000-0000-0000D27C0000}"/>
    <cellStyle name="Normal 3 3 18 9 5" xfId="31964" xr:uid="{00000000-0005-0000-0000-0000D37C0000}"/>
    <cellStyle name="Normal 3 3 18 9 5 2" xfId="31965" xr:uid="{00000000-0005-0000-0000-0000D47C0000}"/>
    <cellStyle name="Normal 3 3 18 9 5 3" xfId="31966" xr:uid="{00000000-0005-0000-0000-0000D57C0000}"/>
    <cellStyle name="Normal 3 3 18 9 6" xfId="31967" xr:uid="{00000000-0005-0000-0000-0000D67C0000}"/>
    <cellStyle name="Normal 3 3 18 9 6 2" xfId="31968" xr:uid="{00000000-0005-0000-0000-0000D77C0000}"/>
    <cellStyle name="Normal 3 3 18 9 6 3" xfId="31969" xr:uid="{00000000-0005-0000-0000-0000D87C0000}"/>
    <cellStyle name="Normal 3 3 18 9 7" xfId="31970" xr:uid="{00000000-0005-0000-0000-0000D97C0000}"/>
    <cellStyle name="Normal 3 3 18 9 7 2" xfId="31971" xr:uid="{00000000-0005-0000-0000-0000DA7C0000}"/>
    <cellStyle name="Normal 3 3 18 9 7 3" xfId="31972" xr:uid="{00000000-0005-0000-0000-0000DB7C0000}"/>
    <cellStyle name="Normal 3 3 18 9 8" xfId="31973" xr:uid="{00000000-0005-0000-0000-0000DC7C0000}"/>
    <cellStyle name="Normal 3 3 18 9 8 2" xfId="31974" xr:uid="{00000000-0005-0000-0000-0000DD7C0000}"/>
    <cellStyle name="Normal 3 3 18 9 8 3" xfId="31975" xr:uid="{00000000-0005-0000-0000-0000DE7C0000}"/>
    <cellStyle name="Normal 3 3 18 9 9" xfId="31976" xr:uid="{00000000-0005-0000-0000-0000DF7C0000}"/>
    <cellStyle name="Normal 3 3 18 9 9 2" xfId="31977" xr:uid="{00000000-0005-0000-0000-0000E07C0000}"/>
    <cellStyle name="Normal 3 3 18 9 9 3" xfId="31978" xr:uid="{00000000-0005-0000-0000-0000E17C0000}"/>
    <cellStyle name="Normal 3 3 19" xfId="31979" xr:uid="{00000000-0005-0000-0000-0000E27C0000}"/>
    <cellStyle name="Normal 3 3 19 10" xfId="31980" xr:uid="{00000000-0005-0000-0000-0000E37C0000}"/>
    <cellStyle name="Normal 3 3 19 10 2" xfId="31981" xr:uid="{00000000-0005-0000-0000-0000E47C0000}"/>
    <cellStyle name="Normal 3 3 19 10 3" xfId="31982" xr:uid="{00000000-0005-0000-0000-0000E57C0000}"/>
    <cellStyle name="Normal 3 3 19 11" xfId="31983" xr:uid="{00000000-0005-0000-0000-0000E67C0000}"/>
    <cellStyle name="Normal 3 3 19 11 2" xfId="31984" xr:uid="{00000000-0005-0000-0000-0000E77C0000}"/>
    <cellStyle name="Normal 3 3 19 11 3" xfId="31985" xr:uid="{00000000-0005-0000-0000-0000E87C0000}"/>
    <cellStyle name="Normal 3 3 19 12" xfId="31986" xr:uid="{00000000-0005-0000-0000-0000E97C0000}"/>
    <cellStyle name="Normal 3 3 19 12 2" xfId="31987" xr:uid="{00000000-0005-0000-0000-0000EA7C0000}"/>
    <cellStyle name="Normal 3 3 19 12 3" xfId="31988" xr:uid="{00000000-0005-0000-0000-0000EB7C0000}"/>
    <cellStyle name="Normal 3 3 19 13" xfId="31989" xr:uid="{00000000-0005-0000-0000-0000EC7C0000}"/>
    <cellStyle name="Normal 3 3 19 13 2" xfId="31990" xr:uid="{00000000-0005-0000-0000-0000ED7C0000}"/>
    <cellStyle name="Normal 3 3 19 13 3" xfId="31991" xr:uid="{00000000-0005-0000-0000-0000EE7C0000}"/>
    <cellStyle name="Normal 3 3 19 14" xfId="31992" xr:uid="{00000000-0005-0000-0000-0000EF7C0000}"/>
    <cellStyle name="Normal 3 3 19 14 2" xfId="31993" xr:uid="{00000000-0005-0000-0000-0000F07C0000}"/>
    <cellStyle name="Normal 3 3 19 14 3" xfId="31994" xr:uid="{00000000-0005-0000-0000-0000F17C0000}"/>
    <cellStyle name="Normal 3 3 19 15" xfId="31995" xr:uid="{00000000-0005-0000-0000-0000F27C0000}"/>
    <cellStyle name="Normal 3 3 19 15 2" xfId="31996" xr:uid="{00000000-0005-0000-0000-0000F37C0000}"/>
    <cellStyle name="Normal 3 3 19 15 3" xfId="31997" xr:uid="{00000000-0005-0000-0000-0000F47C0000}"/>
    <cellStyle name="Normal 3 3 19 16" xfId="31998" xr:uid="{00000000-0005-0000-0000-0000F57C0000}"/>
    <cellStyle name="Normal 3 3 19 17" xfId="31999" xr:uid="{00000000-0005-0000-0000-0000F67C0000}"/>
    <cellStyle name="Normal 3 3 19 2" xfId="32000" xr:uid="{00000000-0005-0000-0000-0000F77C0000}"/>
    <cellStyle name="Normal 3 3 19 2 10" xfId="32001" xr:uid="{00000000-0005-0000-0000-0000F87C0000}"/>
    <cellStyle name="Normal 3 3 19 2 10 2" xfId="32002" xr:uid="{00000000-0005-0000-0000-0000F97C0000}"/>
    <cellStyle name="Normal 3 3 19 2 10 3" xfId="32003" xr:uid="{00000000-0005-0000-0000-0000FA7C0000}"/>
    <cellStyle name="Normal 3 3 19 2 11" xfId="32004" xr:uid="{00000000-0005-0000-0000-0000FB7C0000}"/>
    <cellStyle name="Normal 3 3 19 2 11 2" xfId="32005" xr:uid="{00000000-0005-0000-0000-0000FC7C0000}"/>
    <cellStyle name="Normal 3 3 19 2 11 3" xfId="32006" xr:uid="{00000000-0005-0000-0000-0000FD7C0000}"/>
    <cellStyle name="Normal 3 3 19 2 12" xfId="32007" xr:uid="{00000000-0005-0000-0000-0000FE7C0000}"/>
    <cellStyle name="Normal 3 3 19 2 12 2" xfId="32008" xr:uid="{00000000-0005-0000-0000-0000FF7C0000}"/>
    <cellStyle name="Normal 3 3 19 2 12 3" xfId="32009" xr:uid="{00000000-0005-0000-0000-0000007D0000}"/>
    <cellStyle name="Normal 3 3 19 2 13" xfId="32010" xr:uid="{00000000-0005-0000-0000-0000017D0000}"/>
    <cellStyle name="Normal 3 3 19 2 13 2" xfId="32011" xr:uid="{00000000-0005-0000-0000-0000027D0000}"/>
    <cellStyle name="Normal 3 3 19 2 13 3" xfId="32012" xr:uid="{00000000-0005-0000-0000-0000037D0000}"/>
    <cellStyle name="Normal 3 3 19 2 14" xfId="32013" xr:uid="{00000000-0005-0000-0000-0000047D0000}"/>
    <cellStyle name="Normal 3 3 19 2 14 2" xfId="32014" xr:uid="{00000000-0005-0000-0000-0000057D0000}"/>
    <cellStyle name="Normal 3 3 19 2 14 3" xfId="32015" xr:uid="{00000000-0005-0000-0000-0000067D0000}"/>
    <cellStyle name="Normal 3 3 19 2 15" xfId="32016" xr:uid="{00000000-0005-0000-0000-0000077D0000}"/>
    <cellStyle name="Normal 3 3 19 2 16" xfId="32017" xr:uid="{00000000-0005-0000-0000-0000087D0000}"/>
    <cellStyle name="Normal 3 3 19 2 2" xfId="32018" xr:uid="{00000000-0005-0000-0000-0000097D0000}"/>
    <cellStyle name="Normal 3 3 19 2 2 2" xfId="32019" xr:uid="{00000000-0005-0000-0000-00000A7D0000}"/>
    <cellStyle name="Normal 3 3 19 2 2 3" xfId="32020" xr:uid="{00000000-0005-0000-0000-00000B7D0000}"/>
    <cellStyle name="Normal 3 3 19 2 3" xfId="32021" xr:uid="{00000000-0005-0000-0000-00000C7D0000}"/>
    <cellStyle name="Normal 3 3 19 2 3 2" xfId="32022" xr:uid="{00000000-0005-0000-0000-00000D7D0000}"/>
    <cellStyle name="Normal 3 3 19 2 3 3" xfId="32023" xr:uid="{00000000-0005-0000-0000-00000E7D0000}"/>
    <cellStyle name="Normal 3 3 19 2 4" xfId="32024" xr:uid="{00000000-0005-0000-0000-00000F7D0000}"/>
    <cellStyle name="Normal 3 3 19 2 4 2" xfId="32025" xr:uid="{00000000-0005-0000-0000-0000107D0000}"/>
    <cellStyle name="Normal 3 3 19 2 4 3" xfId="32026" xr:uid="{00000000-0005-0000-0000-0000117D0000}"/>
    <cellStyle name="Normal 3 3 19 2 5" xfId="32027" xr:uid="{00000000-0005-0000-0000-0000127D0000}"/>
    <cellStyle name="Normal 3 3 19 2 5 2" xfId="32028" xr:uid="{00000000-0005-0000-0000-0000137D0000}"/>
    <cellStyle name="Normal 3 3 19 2 5 3" xfId="32029" xr:uid="{00000000-0005-0000-0000-0000147D0000}"/>
    <cellStyle name="Normal 3 3 19 2 6" xfId="32030" xr:uid="{00000000-0005-0000-0000-0000157D0000}"/>
    <cellStyle name="Normal 3 3 19 2 6 2" xfId="32031" xr:uid="{00000000-0005-0000-0000-0000167D0000}"/>
    <cellStyle name="Normal 3 3 19 2 6 3" xfId="32032" xr:uid="{00000000-0005-0000-0000-0000177D0000}"/>
    <cellStyle name="Normal 3 3 19 2 7" xfId="32033" xr:uid="{00000000-0005-0000-0000-0000187D0000}"/>
    <cellStyle name="Normal 3 3 19 2 7 2" xfId="32034" xr:uid="{00000000-0005-0000-0000-0000197D0000}"/>
    <cellStyle name="Normal 3 3 19 2 7 3" xfId="32035" xr:uid="{00000000-0005-0000-0000-00001A7D0000}"/>
    <cellStyle name="Normal 3 3 19 2 8" xfId="32036" xr:uid="{00000000-0005-0000-0000-00001B7D0000}"/>
    <cellStyle name="Normal 3 3 19 2 8 2" xfId="32037" xr:uid="{00000000-0005-0000-0000-00001C7D0000}"/>
    <cellStyle name="Normal 3 3 19 2 8 3" xfId="32038" xr:uid="{00000000-0005-0000-0000-00001D7D0000}"/>
    <cellStyle name="Normal 3 3 19 2 9" xfId="32039" xr:uid="{00000000-0005-0000-0000-00001E7D0000}"/>
    <cellStyle name="Normal 3 3 19 2 9 2" xfId="32040" xr:uid="{00000000-0005-0000-0000-00001F7D0000}"/>
    <cellStyle name="Normal 3 3 19 2 9 3" xfId="32041" xr:uid="{00000000-0005-0000-0000-0000207D0000}"/>
    <cellStyle name="Normal 3 3 19 3" xfId="32042" xr:uid="{00000000-0005-0000-0000-0000217D0000}"/>
    <cellStyle name="Normal 3 3 19 3 2" xfId="32043" xr:uid="{00000000-0005-0000-0000-0000227D0000}"/>
    <cellStyle name="Normal 3 3 19 3 3" xfId="32044" xr:uid="{00000000-0005-0000-0000-0000237D0000}"/>
    <cellStyle name="Normal 3 3 19 4" xfId="32045" xr:uid="{00000000-0005-0000-0000-0000247D0000}"/>
    <cellStyle name="Normal 3 3 19 4 2" xfId="32046" xr:uid="{00000000-0005-0000-0000-0000257D0000}"/>
    <cellStyle name="Normal 3 3 19 4 3" xfId="32047" xr:uid="{00000000-0005-0000-0000-0000267D0000}"/>
    <cellStyle name="Normal 3 3 19 5" xfId="32048" xr:uid="{00000000-0005-0000-0000-0000277D0000}"/>
    <cellStyle name="Normal 3 3 19 5 2" xfId="32049" xr:uid="{00000000-0005-0000-0000-0000287D0000}"/>
    <cellStyle name="Normal 3 3 19 5 3" xfId="32050" xr:uid="{00000000-0005-0000-0000-0000297D0000}"/>
    <cellStyle name="Normal 3 3 19 6" xfId="32051" xr:uid="{00000000-0005-0000-0000-00002A7D0000}"/>
    <cellStyle name="Normal 3 3 19 6 2" xfId="32052" xr:uid="{00000000-0005-0000-0000-00002B7D0000}"/>
    <cellStyle name="Normal 3 3 19 6 3" xfId="32053" xr:uid="{00000000-0005-0000-0000-00002C7D0000}"/>
    <cellStyle name="Normal 3 3 19 7" xfId="32054" xr:uid="{00000000-0005-0000-0000-00002D7D0000}"/>
    <cellStyle name="Normal 3 3 19 7 2" xfId="32055" xr:uid="{00000000-0005-0000-0000-00002E7D0000}"/>
    <cellStyle name="Normal 3 3 19 7 3" xfId="32056" xr:uid="{00000000-0005-0000-0000-00002F7D0000}"/>
    <cellStyle name="Normal 3 3 19 8" xfId="32057" xr:uid="{00000000-0005-0000-0000-0000307D0000}"/>
    <cellStyle name="Normal 3 3 19 8 2" xfId="32058" xr:uid="{00000000-0005-0000-0000-0000317D0000}"/>
    <cellStyle name="Normal 3 3 19 8 3" xfId="32059" xr:uid="{00000000-0005-0000-0000-0000327D0000}"/>
    <cellStyle name="Normal 3 3 19 9" xfId="32060" xr:uid="{00000000-0005-0000-0000-0000337D0000}"/>
    <cellStyle name="Normal 3 3 19 9 2" xfId="32061" xr:uid="{00000000-0005-0000-0000-0000347D0000}"/>
    <cellStyle name="Normal 3 3 19 9 3" xfId="32062" xr:uid="{00000000-0005-0000-0000-0000357D0000}"/>
    <cellStyle name="Normal 3 3 2" xfId="32063" xr:uid="{00000000-0005-0000-0000-0000367D0000}"/>
    <cellStyle name="Normal 3 3 2 10" xfId="32064" xr:uid="{00000000-0005-0000-0000-0000377D0000}"/>
    <cellStyle name="Normal 3 3 2 10 10" xfId="32065" xr:uid="{00000000-0005-0000-0000-0000387D0000}"/>
    <cellStyle name="Normal 3 3 2 10 10 2" xfId="32066" xr:uid="{00000000-0005-0000-0000-0000397D0000}"/>
    <cellStyle name="Normal 3 3 2 10 10 3" xfId="32067" xr:uid="{00000000-0005-0000-0000-00003A7D0000}"/>
    <cellStyle name="Normal 3 3 2 10 11" xfId="32068" xr:uid="{00000000-0005-0000-0000-00003B7D0000}"/>
    <cellStyle name="Normal 3 3 2 10 11 2" xfId="32069" xr:uid="{00000000-0005-0000-0000-00003C7D0000}"/>
    <cellStyle name="Normal 3 3 2 10 11 3" xfId="32070" xr:uid="{00000000-0005-0000-0000-00003D7D0000}"/>
    <cellStyle name="Normal 3 3 2 10 12" xfId="32071" xr:uid="{00000000-0005-0000-0000-00003E7D0000}"/>
    <cellStyle name="Normal 3 3 2 10 12 2" xfId="32072" xr:uid="{00000000-0005-0000-0000-00003F7D0000}"/>
    <cellStyle name="Normal 3 3 2 10 12 3" xfId="32073" xr:uid="{00000000-0005-0000-0000-0000407D0000}"/>
    <cellStyle name="Normal 3 3 2 10 13" xfId="32074" xr:uid="{00000000-0005-0000-0000-0000417D0000}"/>
    <cellStyle name="Normal 3 3 2 10 13 2" xfId="32075" xr:uid="{00000000-0005-0000-0000-0000427D0000}"/>
    <cellStyle name="Normal 3 3 2 10 13 3" xfId="32076" xr:uid="{00000000-0005-0000-0000-0000437D0000}"/>
    <cellStyle name="Normal 3 3 2 10 14" xfId="32077" xr:uid="{00000000-0005-0000-0000-0000447D0000}"/>
    <cellStyle name="Normal 3 3 2 10 14 2" xfId="32078" xr:uid="{00000000-0005-0000-0000-0000457D0000}"/>
    <cellStyle name="Normal 3 3 2 10 14 3" xfId="32079" xr:uid="{00000000-0005-0000-0000-0000467D0000}"/>
    <cellStyle name="Normal 3 3 2 10 15" xfId="32080" xr:uid="{00000000-0005-0000-0000-0000477D0000}"/>
    <cellStyle name="Normal 3 3 2 10 16" xfId="32081" xr:uid="{00000000-0005-0000-0000-0000487D0000}"/>
    <cellStyle name="Normal 3 3 2 10 2" xfId="32082" xr:uid="{00000000-0005-0000-0000-0000497D0000}"/>
    <cellStyle name="Normal 3 3 2 10 2 2" xfId="32083" xr:uid="{00000000-0005-0000-0000-00004A7D0000}"/>
    <cellStyle name="Normal 3 3 2 10 2 3" xfId="32084" xr:uid="{00000000-0005-0000-0000-00004B7D0000}"/>
    <cellStyle name="Normal 3 3 2 10 3" xfId="32085" xr:uid="{00000000-0005-0000-0000-00004C7D0000}"/>
    <cellStyle name="Normal 3 3 2 10 3 2" xfId="32086" xr:uid="{00000000-0005-0000-0000-00004D7D0000}"/>
    <cellStyle name="Normal 3 3 2 10 3 3" xfId="32087" xr:uid="{00000000-0005-0000-0000-00004E7D0000}"/>
    <cellStyle name="Normal 3 3 2 10 4" xfId="32088" xr:uid="{00000000-0005-0000-0000-00004F7D0000}"/>
    <cellStyle name="Normal 3 3 2 10 4 2" xfId="32089" xr:uid="{00000000-0005-0000-0000-0000507D0000}"/>
    <cellStyle name="Normal 3 3 2 10 4 3" xfId="32090" xr:uid="{00000000-0005-0000-0000-0000517D0000}"/>
    <cellStyle name="Normal 3 3 2 10 5" xfId="32091" xr:uid="{00000000-0005-0000-0000-0000527D0000}"/>
    <cellStyle name="Normal 3 3 2 10 5 2" xfId="32092" xr:uid="{00000000-0005-0000-0000-0000537D0000}"/>
    <cellStyle name="Normal 3 3 2 10 5 3" xfId="32093" xr:uid="{00000000-0005-0000-0000-0000547D0000}"/>
    <cellStyle name="Normal 3 3 2 10 6" xfId="32094" xr:uid="{00000000-0005-0000-0000-0000557D0000}"/>
    <cellStyle name="Normal 3 3 2 10 6 2" xfId="32095" xr:uid="{00000000-0005-0000-0000-0000567D0000}"/>
    <cellStyle name="Normal 3 3 2 10 6 3" xfId="32096" xr:uid="{00000000-0005-0000-0000-0000577D0000}"/>
    <cellStyle name="Normal 3 3 2 10 7" xfId="32097" xr:uid="{00000000-0005-0000-0000-0000587D0000}"/>
    <cellStyle name="Normal 3 3 2 10 7 2" xfId="32098" xr:uid="{00000000-0005-0000-0000-0000597D0000}"/>
    <cellStyle name="Normal 3 3 2 10 7 3" xfId="32099" xr:uid="{00000000-0005-0000-0000-00005A7D0000}"/>
    <cellStyle name="Normal 3 3 2 10 8" xfId="32100" xr:uid="{00000000-0005-0000-0000-00005B7D0000}"/>
    <cellStyle name="Normal 3 3 2 10 8 2" xfId="32101" xr:uid="{00000000-0005-0000-0000-00005C7D0000}"/>
    <cellStyle name="Normal 3 3 2 10 8 3" xfId="32102" xr:uid="{00000000-0005-0000-0000-00005D7D0000}"/>
    <cellStyle name="Normal 3 3 2 10 9" xfId="32103" xr:uid="{00000000-0005-0000-0000-00005E7D0000}"/>
    <cellStyle name="Normal 3 3 2 10 9 2" xfId="32104" xr:uid="{00000000-0005-0000-0000-00005F7D0000}"/>
    <cellStyle name="Normal 3 3 2 10 9 3" xfId="32105" xr:uid="{00000000-0005-0000-0000-0000607D0000}"/>
    <cellStyle name="Normal 3 3 2 11" xfId="32106" xr:uid="{00000000-0005-0000-0000-0000617D0000}"/>
    <cellStyle name="Normal 3 3 2 11 10" xfId="32107" xr:uid="{00000000-0005-0000-0000-0000627D0000}"/>
    <cellStyle name="Normal 3 3 2 11 10 2" xfId="32108" xr:uid="{00000000-0005-0000-0000-0000637D0000}"/>
    <cellStyle name="Normal 3 3 2 11 10 3" xfId="32109" xr:uid="{00000000-0005-0000-0000-0000647D0000}"/>
    <cellStyle name="Normal 3 3 2 11 11" xfId="32110" xr:uid="{00000000-0005-0000-0000-0000657D0000}"/>
    <cellStyle name="Normal 3 3 2 11 11 2" xfId="32111" xr:uid="{00000000-0005-0000-0000-0000667D0000}"/>
    <cellStyle name="Normal 3 3 2 11 11 3" xfId="32112" xr:uid="{00000000-0005-0000-0000-0000677D0000}"/>
    <cellStyle name="Normal 3 3 2 11 12" xfId="32113" xr:uid="{00000000-0005-0000-0000-0000687D0000}"/>
    <cellStyle name="Normal 3 3 2 11 12 2" xfId="32114" xr:uid="{00000000-0005-0000-0000-0000697D0000}"/>
    <cellStyle name="Normal 3 3 2 11 12 3" xfId="32115" xr:uid="{00000000-0005-0000-0000-00006A7D0000}"/>
    <cellStyle name="Normal 3 3 2 11 13" xfId="32116" xr:uid="{00000000-0005-0000-0000-00006B7D0000}"/>
    <cellStyle name="Normal 3 3 2 11 13 2" xfId="32117" xr:uid="{00000000-0005-0000-0000-00006C7D0000}"/>
    <cellStyle name="Normal 3 3 2 11 13 3" xfId="32118" xr:uid="{00000000-0005-0000-0000-00006D7D0000}"/>
    <cellStyle name="Normal 3 3 2 11 14" xfId="32119" xr:uid="{00000000-0005-0000-0000-00006E7D0000}"/>
    <cellStyle name="Normal 3 3 2 11 14 2" xfId="32120" xr:uid="{00000000-0005-0000-0000-00006F7D0000}"/>
    <cellStyle name="Normal 3 3 2 11 14 3" xfId="32121" xr:uid="{00000000-0005-0000-0000-0000707D0000}"/>
    <cellStyle name="Normal 3 3 2 11 15" xfId="32122" xr:uid="{00000000-0005-0000-0000-0000717D0000}"/>
    <cellStyle name="Normal 3 3 2 11 16" xfId="32123" xr:uid="{00000000-0005-0000-0000-0000727D0000}"/>
    <cellStyle name="Normal 3 3 2 11 2" xfId="32124" xr:uid="{00000000-0005-0000-0000-0000737D0000}"/>
    <cellStyle name="Normal 3 3 2 11 2 2" xfId="32125" xr:uid="{00000000-0005-0000-0000-0000747D0000}"/>
    <cellStyle name="Normal 3 3 2 11 2 3" xfId="32126" xr:uid="{00000000-0005-0000-0000-0000757D0000}"/>
    <cellStyle name="Normal 3 3 2 11 3" xfId="32127" xr:uid="{00000000-0005-0000-0000-0000767D0000}"/>
    <cellStyle name="Normal 3 3 2 11 3 2" xfId="32128" xr:uid="{00000000-0005-0000-0000-0000777D0000}"/>
    <cellStyle name="Normal 3 3 2 11 3 3" xfId="32129" xr:uid="{00000000-0005-0000-0000-0000787D0000}"/>
    <cellStyle name="Normal 3 3 2 11 4" xfId="32130" xr:uid="{00000000-0005-0000-0000-0000797D0000}"/>
    <cellStyle name="Normal 3 3 2 11 4 2" xfId="32131" xr:uid="{00000000-0005-0000-0000-00007A7D0000}"/>
    <cellStyle name="Normal 3 3 2 11 4 3" xfId="32132" xr:uid="{00000000-0005-0000-0000-00007B7D0000}"/>
    <cellStyle name="Normal 3 3 2 11 5" xfId="32133" xr:uid="{00000000-0005-0000-0000-00007C7D0000}"/>
    <cellStyle name="Normal 3 3 2 11 5 2" xfId="32134" xr:uid="{00000000-0005-0000-0000-00007D7D0000}"/>
    <cellStyle name="Normal 3 3 2 11 5 3" xfId="32135" xr:uid="{00000000-0005-0000-0000-00007E7D0000}"/>
    <cellStyle name="Normal 3 3 2 11 6" xfId="32136" xr:uid="{00000000-0005-0000-0000-00007F7D0000}"/>
    <cellStyle name="Normal 3 3 2 11 6 2" xfId="32137" xr:uid="{00000000-0005-0000-0000-0000807D0000}"/>
    <cellStyle name="Normal 3 3 2 11 6 3" xfId="32138" xr:uid="{00000000-0005-0000-0000-0000817D0000}"/>
    <cellStyle name="Normal 3 3 2 11 7" xfId="32139" xr:uid="{00000000-0005-0000-0000-0000827D0000}"/>
    <cellStyle name="Normal 3 3 2 11 7 2" xfId="32140" xr:uid="{00000000-0005-0000-0000-0000837D0000}"/>
    <cellStyle name="Normal 3 3 2 11 7 3" xfId="32141" xr:uid="{00000000-0005-0000-0000-0000847D0000}"/>
    <cellStyle name="Normal 3 3 2 11 8" xfId="32142" xr:uid="{00000000-0005-0000-0000-0000857D0000}"/>
    <cellStyle name="Normal 3 3 2 11 8 2" xfId="32143" xr:uid="{00000000-0005-0000-0000-0000867D0000}"/>
    <cellStyle name="Normal 3 3 2 11 8 3" xfId="32144" xr:uid="{00000000-0005-0000-0000-0000877D0000}"/>
    <cellStyle name="Normal 3 3 2 11 9" xfId="32145" xr:uid="{00000000-0005-0000-0000-0000887D0000}"/>
    <cellStyle name="Normal 3 3 2 11 9 2" xfId="32146" xr:uid="{00000000-0005-0000-0000-0000897D0000}"/>
    <cellStyle name="Normal 3 3 2 11 9 3" xfId="32147" xr:uid="{00000000-0005-0000-0000-00008A7D0000}"/>
    <cellStyle name="Normal 3 3 2 12" xfId="32148" xr:uid="{00000000-0005-0000-0000-00008B7D0000}"/>
    <cellStyle name="Normal 3 3 2 12 10" xfId="32149" xr:uid="{00000000-0005-0000-0000-00008C7D0000}"/>
    <cellStyle name="Normal 3 3 2 12 10 2" xfId="32150" xr:uid="{00000000-0005-0000-0000-00008D7D0000}"/>
    <cellStyle name="Normal 3 3 2 12 10 3" xfId="32151" xr:uid="{00000000-0005-0000-0000-00008E7D0000}"/>
    <cellStyle name="Normal 3 3 2 12 11" xfId="32152" xr:uid="{00000000-0005-0000-0000-00008F7D0000}"/>
    <cellStyle name="Normal 3 3 2 12 11 2" xfId="32153" xr:uid="{00000000-0005-0000-0000-0000907D0000}"/>
    <cellStyle name="Normal 3 3 2 12 11 3" xfId="32154" xr:uid="{00000000-0005-0000-0000-0000917D0000}"/>
    <cellStyle name="Normal 3 3 2 12 12" xfId="32155" xr:uid="{00000000-0005-0000-0000-0000927D0000}"/>
    <cellStyle name="Normal 3 3 2 12 12 2" xfId="32156" xr:uid="{00000000-0005-0000-0000-0000937D0000}"/>
    <cellStyle name="Normal 3 3 2 12 12 3" xfId="32157" xr:uid="{00000000-0005-0000-0000-0000947D0000}"/>
    <cellStyle name="Normal 3 3 2 12 13" xfId="32158" xr:uid="{00000000-0005-0000-0000-0000957D0000}"/>
    <cellStyle name="Normal 3 3 2 12 13 2" xfId="32159" xr:uid="{00000000-0005-0000-0000-0000967D0000}"/>
    <cellStyle name="Normal 3 3 2 12 13 3" xfId="32160" xr:uid="{00000000-0005-0000-0000-0000977D0000}"/>
    <cellStyle name="Normal 3 3 2 12 14" xfId="32161" xr:uid="{00000000-0005-0000-0000-0000987D0000}"/>
    <cellStyle name="Normal 3 3 2 12 14 2" xfId="32162" xr:uid="{00000000-0005-0000-0000-0000997D0000}"/>
    <cellStyle name="Normal 3 3 2 12 14 3" xfId="32163" xr:uid="{00000000-0005-0000-0000-00009A7D0000}"/>
    <cellStyle name="Normal 3 3 2 12 15" xfId="32164" xr:uid="{00000000-0005-0000-0000-00009B7D0000}"/>
    <cellStyle name="Normal 3 3 2 12 16" xfId="32165" xr:uid="{00000000-0005-0000-0000-00009C7D0000}"/>
    <cellStyle name="Normal 3 3 2 12 2" xfId="32166" xr:uid="{00000000-0005-0000-0000-00009D7D0000}"/>
    <cellStyle name="Normal 3 3 2 12 2 2" xfId="32167" xr:uid="{00000000-0005-0000-0000-00009E7D0000}"/>
    <cellStyle name="Normal 3 3 2 12 2 3" xfId="32168" xr:uid="{00000000-0005-0000-0000-00009F7D0000}"/>
    <cellStyle name="Normal 3 3 2 12 3" xfId="32169" xr:uid="{00000000-0005-0000-0000-0000A07D0000}"/>
    <cellStyle name="Normal 3 3 2 12 3 2" xfId="32170" xr:uid="{00000000-0005-0000-0000-0000A17D0000}"/>
    <cellStyle name="Normal 3 3 2 12 3 3" xfId="32171" xr:uid="{00000000-0005-0000-0000-0000A27D0000}"/>
    <cellStyle name="Normal 3 3 2 12 4" xfId="32172" xr:uid="{00000000-0005-0000-0000-0000A37D0000}"/>
    <cellStyle name="Normal 3 3 2 12 4 2" xfId="32173" xr:uid="{00000000-0005-0000-0000-0000A47D0000}"/>
    <cellStyle name="Normal 3 3 2 12 4 3" xfId="32174" xr:uid="{00000000-0005-0000-0000-0000A57D0000}"/>
    <cellStyle name="Normal 3 3 2 12 5" xfId="32175" xr:uid="{00000000-0005-0000-0000-0000A67D0000}"/>
    <cellStyle name="Normal 3 3 2 12 5 2" xfId="32176" xr:uid="{00000000-0005-0000-0000-0000A77D0000}"/>
    <cellStyle name="Normal 3 3 2 12 5 3" xfId="32177" xr:uid="{00000000-0005-0000-0000-0000A87D0000}"/>
    <cellStyle name="Normal 3 3 2 12 6" xfId="32178" xr:uid="{00000000-0005-0000-0000-0000A97D0000}"/>
    <cellStyle name="Normal 3 3 2 12 6 2" xfId="32179" xr:uid="{00000000-0005-0000-0000-0000AA7D0000}"/>
    <cellStyle name="Normal 3 3 2 12 6 3" xfId="32180" xr:uid="{00000000-0005-0000-0000-0000AB7D0000}"/>
    <cellStyle name="Normal 3 3 2 12 7" xfId="32181" xr:uid="{00000000-0005-0000-0000-0000AC7D0000}"/>
    <cellStyle name="Normal 3 3 2 12 7 2" xfId="32182" xr:uid="{00000000-0005-0000-0000-0000AD7D0000}"/>
    <cellStyle name="Normal 3 3 2 12 7 3" xfId="32183" xr:uid="{00000000-0005-0000-0000-0000AE7D0000}"/>
    <cellStyle name="Normal 3 3 2 12 8" xfId="32184" xr:uid="{00000000-0005-0000-0000-0000AF7D0000}"/>
    <cellStyle name="Normal 3 3 2 12 8 2" xfId="32185" xr:uid="{00000000-0005-0000-0000-0000B07D0000}"/>
    <cellStyle name="Normal 3 3 2 12 8 3" xfId="32186" xr:uid="{00000000-0005-0000-0000-0000B17D0000}"/>
    <cellStyle name="Normal 3 3 2 12 9" xfId="32187" xr:uid="{00000000-0005-0000-0000-0000B27D0000}"/>
    <cellStyle name="Normal 3 3 2 12 9 2" xfId="32188" xr:uid="{00000000-0005-0000-0000-0000B37D0000}"/>
    <cellStyle name="Normal 3 3 2 12 9 3" xfId="32189" xr:uid="{00000000-0005-0000-0000-0000B47D0000}"/>
    <cellStyle name="Normal 3 3 2 13" xfId="32190" xr:uid="{00000000-0005-0000-0000-0000B57D0000}"/>
    <cellStyle name="Normal 3 3 2 13 10" xfId="32191" xr:uid="{00000000-0005-0000-0000-0000B67D0000}"/>
    <cellStyle name="Normal 3 3 2 13 10 2" xfId="32192" xr:uid="{00000000-0005-0000-0000-0000B77D0000}"/>
    <cellStyle name="Normal 3 3 2 13 10 3" xfId="32193" xr:uid="{00000000-0005-0000-0000-0000B87D0000}"/>
    <cellStyle name="Normal 3 3 2 13 11" xfId="32194" xr:uid="{00000000-0005-0000-0000-0000B97D0000}"/>
    <cellStyle name="Normal 3 3 2 13 11 2" xfId="32195" xr:uid="{00000000-0005-0000-0000-0000BA7D0000}"/>
    <cellStyle name="Normal 3 3 2 13 11 3" xfId="32196" xr:uid="{00000000-0005-0000-0000-0000BB7D0000}"/>
    <cellStyle name="Normal 3 3 2 13 12" xfId="32197" xr:uid="{00000000-0005-0000-0000-0000BC7D0000}"/>
    <cellStyle name="Normal 3 3 2 13 12 2" xfId="32198" xr:uid="{00000000-0005-0000-0000-0000BD7D0000}"/>
    <cellStyle name="Normal 3 3 2 13 12 3" xfId="32199" xr:uid="{00000000-0005-0000-0000-0000BE7D0000}"/>
    <cellStyle name="Normal 3 3 2 13 13" xfId="32200" xr:uid="{00000000-0005-0000-0000-0000BF7D0000}"/>
    <cellStyle name="Normal 3 3 2 13 13 2" xfId="32201" xr:uid="{00000000-0005-0000-0000-0000C07D0000}"/>
    <cellStyle name="Normal 3 3 2 13 13 3" xfId="32202" xr:uid="{00000000-0005-0000-0000-0000C17D0000}"/>
    <cellStyle name="Normal 3 3 2 13 14" xfId="32203" xr:uid="{00000000-0005-0000-0000-0000C27D0000}"/>
    <cellStyle name="Normal 3 3 2 13 14 2" xfId="32204" xr:uid="{00000000-0005-0000-0000-0000C37D0000}"/>
    <cellStyle name="Normal 3 3 2 13 14 3" xfId="32205" xr:uid="{00000000-0005-0000-0000-0000C47D0000}"/>
    <cellStyle name="Normal 3 3 2 13 15" xfId="32206" xr:uid="{00000000-0005-0000-0000-0000C57D0000}"/>
    <cellStyle name="Normal 3 3 2 13 16" xfId="32207" xr:uid="{00000000-0005-0000-0000-0000C67D0000}"/>
    <cellStyle name="Normal 3 3 2 13 2" xfId="32208" xr:uid="{00000000-0005-0000-0000-0000C77D0000}"/>
    <cellStyle name="Normal 3 3 2 13 2 2" xfId="32209" xr:uid="{00000000-0005-0000-0000-0000C87D0000}"/>
    <cellStyle name="Normal 3 3 2 13 2 3" xfId="32210" xr:uid="{00000000-0005-0000-0000-0000C97D0000}"/>
    <cellStyle name="Normal 3 3 2 13 3" xfId="32211" xr:uid="{00000000-0005-0000-0000-0000CA7D0000}"/>
    <cellStyle name="Normal 3 3 2 13 3 2" xfId="32212" xr:uid="{00000000-0005-0000-0000-0000CB7D0000}"/>
    <cellStyle name="Normal 3 3 2 13 3 3" xfId="32213" xr:uid="{00000000-0005-0000-0000-0000CC7D0000}"/>
    <cellStyle name="Normal 3 3 2 13 4" xfId="32214" xr:uid="{00000000-0005-0000-0000-0000CD7D0000}"/>
    <cellStyle name="Normal 3 3 2 13 4 2" xfId="32215" xr:uid="{00000000-0005-0000-0000-0000CE7D0000}"/>
    <cellStyle name="Normal 3 3 2 13 4 3" xfId="32216" xr:uid="{00000000-0005-0000-0000-0000CF7D0000}"/>
    <cellStyle name="Normal 3 3 2 13 5" xfId="32217" xr:uid="{00000000-0005-0000-0000-0000D07D0000}"/>
    <cellStyle name="Normal 3 3 2 13 5 2" xfId="32218" xr:uid="{00000000-0005-0000-0000-0000D17D0000}"/>
    <cellStyle name="Normal 3 3 2 13 5 3" xfId="32219" xr:uid="{00000000-0005-0000-0000-0000D27D0000}"/>
    <cellStyle name="Normal 3 3 2 13 6" xfId="32220" xr:uid="{00000000-0005-0000-0000-0000D37D0000}"/>
    <cellStyle name="Normal 3 3 2 13 6 2" xfId="32221" xr:uid="{00000000-0005-0000-0000-0000D47D0000}"/>
    <cellStyle name="Normal 3 3 2 13 6 3" xfId="32222" xr:uid="{00000000-0005-0000-0000-0000D57D0000}"/>
    <cellStyle name="Normal 3 3 2 13 7" xfId="32223" xr:uid="{00000000-0005-0000-0000-0000D67D0000}"/>
    <cellStyle name="Normal 3 3 2 13 7 2" xfId="32224" xr:uid="{00000000-0005-0000-0000-0000D77D0000}"/>
    <cellStyle name="Normal 3 3 2 13 7 3" xfId="32225" xr:uid="{00000000-0005-0000-0000-0000D87D0000}"/>
    <cellStyle name="Normal 3 3 2 13 8" xfId="32226" xr:uid="{00000000-0005-0000-0000-0000D97D0000}"/>
    <cellStyle name="Normal 3 3 2 13 8 2" xfId="32227" xr:uid="{00000000-0005-0000-0000-0000DA7D0000}"/>
    <cellStyle name="Normal 3 3 2 13 8 3" xfId="32228" xr:uid="{00000000-0005-0000-0000-0000DB7D0000}"/>
    <cellStyle name="Normal 3 3 2 13 9" xfId="32229" xr:uid="{00000000-0005-0000-0000-0000DC7D0000}"/>
    <cellStyle name="Normal 3 3 2 13 9 2" xfId="32230" xr:uid="{00000000-0005-0000-0000-0000DD7D0000}"/>
    <cellStyle name="Normal 3 3 2 13 9 3" xfId="32231" xr:uid="{00000000-0005-0000-0000-0000DE7D0000}"/>
    <cellStyle name="Normal 3 3 2 14" xfId="32232" xr:uid="{00000000-0005-0000-0000-0000DF7D0000}"/>
    <cellStyle name="Normal 3 3 2 14 10" xfId="32233" xr:uid="{00000000-0005-0000-0000-0000E07D0000}"/>
    <cellStyle name="Normal 3 3 2 14 10 2" xfId="32234" xr:uid="{00000000-0005-0000-0000-0000E17D0000}"/>
    <cellStyle name="Normal 3 3 2 14 10 3" xfId="32235" xr:uid="{00000000-0005-0000-0000-0000E27D0000}"/>
    <cellStyle name="Normal 3 3 2 14 11" xfId="32236" xr:uid="{00000000-0005-0000-0000-0000E37D0000}"/>
    <cellStyle name="Normal 3 3 2 14 11 2" xfId="32237" xr:uid="{00000000-0005-0000-0000-0000E47D0000}"/>
    <cellStyle name="Normal 3 3 2 14 11 3" xfId="32238" xr:uid="{00000000-0005-0000-0000-0000E57D0000}"/>
    <cellStyle name="Normal 3 3 2 14 12" xfId="32239" xr:uid="{00000000-0005-0000-0000-0000E67D0000}"/>
    <cellStyle name="Normal 3 3 2 14 12 2" xfId="32240" xr:uid="{00000000-0005-0000-0000-0000E77D0000}"/>
    <cellStyle name="Normal 3 3 2 14 12 3" xfId="32241" xr:uid="{00000000-0005-0000-0000-0000E87D0000}"/>
    <cellStyle name="Normal 3 3 2 14 13" xfId="32242" xr:uid="{00000000-0005-0000-0000-0000E97D0000}"/>
    <cellStyle name="Normal 3 3 2 14 13 2" xfId="32243" xr:uid="{00000000-0005-0000-0000-0000EA7D0000}"/>
    <cellStyle name="Normal 3 3 2 14 13 3" xfId="32244" xr:uid="{00000000-0005-0000-0000-0000EB7D0000}"/>
    <cellStyle name="Normal 3 3 2 14 14" xfId="32245" xr:uid="{00000000-0005-0000-0000-0000EC7D0000}"/>
    <cellStyle name="Normal 3 3 2 14 14 2" xfId="32246" xr:uid="{00000000-0005-0000-0000-0000ED7D0000}"/>
    <cellStyle name="Normal 3 3 2 14 14 3" xfId="32247" xr:uid="{00000000-0005-0000-0000-0000EE7D0000}"/>
    <cellStyle name="Normal 3 3 2 14 15" xfId="32248" xr:uid="{00000000-0005-0000-0000-0000EF7D0000}"/>
    <cellStyle name="Normal 3 3 2 14 16" xfId="32249" xr:uid="{00000000-0005-0000-0000-0000F07D0000}"/>
    <cellStyle name="Normal 3 3 2 14 2" xfId="32250" xr:uid="{00000000-0005-0000-0000-0000F17D0000}"/>
    <cellStyle name="Normal 3 3 2 14 2 2" xfId="32251" xr:uid="{00000000-0005-0000-0000-0000F27D0000}"/>
    <cellStyle name="Normal 3 3 2 14 2 3" xfId="32252" xr:uid="{00000000-0005-0000-0000-0000F37D0000}"/>
    <cellStyle name="Normal 3 3 2 14 3" xfId="32253" xr:uid="{00000000-0005-0000-0000-0000F47D0000}"/>
    <cellStyle name="Normal 3 3 2 14 3 2" xfId="32254" xr:uid="{00000000-0005-0000-0000-0000F57D0000}"/>
    <cellStyle name="Normal 3 3 2 14 3 3" xfId="32255" xr:uid="{00000000-0005-0000-0000-0000F67D0000}"/>
    <cellStyle name="Normal 3 3 2 14 4" xfId="32256" xr:uid="{00000000-0005-0000-0000-0000F77D0000}"/>
    <cellStyle name="Normal 3 3 2 14 4 2" xfId="32257" xr:uid="{00000000-0005-0000-0000-0000F87D0000}"/>
    <cellStyle name="Normal 3 3 2 14 4 3" xfId="32258" xr:uid="{00000000-0005-0000-0000-0000F97D0000}"/>
    <cellStyle name="Normal 3 3 2 14 5" xfId="32259" xr:uid="{00000000-0005-0000-0000-0000FA7D0000}"/>
    <cellStyle name="Normal 3 3 2 14 5 2" xfId="32260" xr:uid="{00000000-0005-0000-0000-0000FB7D0000}"/>
    <cellStyle name="Normal 3 3 2 14 5 3" xfId="32261" xr:uid="{00000000-0005-0000-0000-0000FC7D0000}"/>
    <cellStyle name="Normal 3 3 2 14 6" xfId="32262" xr:uid="{00000000-0005-0000-0000-0000FD7D0000}"/>
    <cellStyle name="Normal 3 3 2 14 6 2" xfId="32263" xr:uid="{00000000-0005-0000-0000-0000FE7D0000}"/>
    <cellStyle name="Normal 3 3 2 14 6 3" xfId="32264" xr:uid="{00000000-0005-0000-0000-0000FF7D0000}"/>
    <cellStyle name="Normal 3 3 2 14 7" xfId="32265" xr:uid="{00000000-0005-0000-0000-0000007E0000}"/>
    <cellStyle name="Normal 3 3 2 14 7 2" xfId="32266" xr:uid="{00000000-0005-0000-0000-0000017E0000}"/>
    <cellStyle name="Normal 3 3 2 14 7 3" xfId="32267" xr:uid="{00000000-0005-0000-0000-0000027E0000}"/>
    <cellStyle name="Normal 3 3 2 14 8" xfId="32268" xr:uid="{00000000-0005-0000-0000-0000037E0000}"/>
    <cellStyle name="Normal 3 3 2 14 8 2" xfId="32269" xr:uid="{00000000-0005-0000-0000-0000047E0000}"/>
    <cellStyle name="Normal 3 3 2 14 8 3" xfId="32270" xr:uid="{00000000-0005-0000-0000-0000057E0000}"/>
    <cellStyle name="Normal 3 3 2 14 9" xfId="32271" xr:uid="{00000000-0005-0000-0000-0000067E0000}"/>
    <cellStyle name="Normal 3 3 2 14 9 2" xfId="32272" xr:uid="{00000000-0005-0000-0000-0000077E0000}"/>
    <cellStyle name="Normal 3 3 2 14 9 3" xfId="32273" xr:uid="{00000000-0005-0000-0000-0000087E0000}"/>
    <cellStyle name="Normal 3 3 2 15" xfId="32274" xr:uid="{00000000-0005-0000-0000-0000097E0000}"/>
    <cellStyle name="Normal 3 3 2 16" xfId="32275" xr:uid="{00000000-0005-0000-0000-00000A7E0000}"/>
    <cellStyle name="Normal 3 3 2 17" xfId="32276" xr:uid="{00000000-0005-0000-0000-00000B7E0000}"/>
    <cellStyle name="Normal 3 3 2 17 10" xfId="32277" xr:uid="{00000000-0005-0000-0000-00000C7E0000}"/>
    <cellStyle name="Normal 3 3 2 17 10 2" xfId="32278" xr:uid="{00000000-0005-0000-0000-00000D7E0000}"/>
    <cellStyle name="Normal 3 3 2 17 10 3" xfId="32279" xr:uid="{00000000-0005-0000-0000-00000E7E0000}"/>
    <cellStyle name="Normal 3 3 2 17 11" xfId="32280" xr:uid="{00000000-0005-0000-0000-00000F7E0000}"/>
    <cellStyle name="Normal 3 3 2 17 11 2" xfId="32281" xr:uid="{00000000-0005-0000-0000-0000107E0000}"/>
    <cellStyle name="Normal 3 3 2 17 11 3" xfId="32282" xr:uid="{00000000-0005-0000-0000-0000117E0000}"/>
    <cellStyle name="Normal 3 3 2 17 12" xfId="32283" xr:uid="{00000000-0005-0000-0000-0000127E0000}"/>
    <cellStyle name="Normal 3 3 2 17 12 2" xfId="32284" xr:uid="{00000000-0005-0000-0000-0000137E0000}"/>
    <cellStyle name="Normal 3 3 2 17 12 3" xfId="32285" xr:uid="{00000000-0005-0000-0000-0000147E0000}"/>
    <cellStyle name="Normal 3 3 2 17 13" xfId="32286" xr:uid="{00000000-0005-0000-0000-0000157E0000}"/>
    <cellStyle name="Normal 3 3 2 17 13 2" xfId="32287" xr:uid="{00000000-0005-0000-0000-0000167E0000}"/>
    <cellStyle name="Normal 3 3 2 17 13 3" xfId="32288" xr:uid="{00000000-0005-0000-0000-0000177E0000}"/>
    <cellStyle name="Normal 3 3 2 17 14" xfId="32289" xr:uid="{00000000-0005-0000-0000-0000187E0000}"/>
    <cellStyle name="Normal 3 3 2 17 14 2" xfId="32290" xr:uid="{00000000-0005-0000-0000-0000197E0000}"/>
    <cellStyle name="Normal 3 3 2 17 14 3" xfId="32291" xr:uid="{00000000-0005-0000-0000-00001A7E0000}"/>
    <cellStyle name="Normal 3 3 2 17 15" xfId="32292" xr:uid="{00000000-0005-0000-0000-00001B7E0000}"/>
    <cellStyle name="Normal 3 3 2 17 16" xfId="32293" xr:uid="{00000000-0005-0000-0000-00001C7E0000}"/>
    <cellStyle name="Normal 3 3 2 17 2" xfId="32294" xr:uid="{00000000-0005-0000-0000-00001D7E0000}"/>
    <cellStyle name="Normal 3 3 2 17 2 2" xfId="32295" xr:uid="{00000000-0005-0000-0000-00001E7E0000}"/>
    <cellStyle name="Normal 3 3 2 17 2 3" xfId="32296" xr:uid="{00000000-0005-0000-0000-00001F7E0000}"/>
    <cellStyle name="Normal 3 3 2 17 3" xfId="32297" xr:uid="{00000000-0005-0000-0000-0000207E0000}"/>
    <cellStyle name="Normal 3 3 2 17 3 2" xfId="32298" xr:uid="{00000000-0005-0000-0000-0000217E0000}"/>
    <cellStyle name="Normal 3 3 2 17 3 3" xfId="32299" xr:uid="{00000000-0005-0000-0000-0000227E0000}"/>
    <cellStyle name="Normal 3 3 2 17 4" xfId="32300" xr:uid="{00000000-0005-0000-0000-0000237E0000}"/>
    <cellStyle name="Normal 3 3 2 17 4 2" xfId="32301" xr:uid="{00000000-0005-0000-0000-0000247E0000}"/>
    <cellStyle name="Normal 3 3 2 17 4 3" xfId="32302" xr:uid="{00000000-0005-0000-0000-0000257E0000}"/>
    <cellStyle name="Normal 3 3 2 17 5" xfId="32303" xr:uid="{00000000-0005-0000-0000-0000267E0000}"/>
    <cellStyle name="Normal 3 3 2 17 5 2" xfId="32304" xr:uid="{00000000-0005-0000-0000-0000277E0000}"/>
    <cellStyle name="Normal 3 3 2 17 5 3" xfId="32305" xr:uid="{00000000-0005-0000-0000-0000287E0000}"/>
    <cellStyle name="Normal 3 3 2 17 6" xfId="32306" xr:uid="{00000000-0005-0000-0000-0000297E0000}"/>
    <cellStyle name="Normal 3 3 2 17 6 2" xfId="32307" xr:uid="{00000000-0005-0000-0000-00002A7E0000}"/>
    <cellStyle name="Normal 3 3 2 17 6 3" xfId="32308" xr:uid="{00000000-0005-0000-0000-00002B7E0000}"/>
    <cellStyle name="Normal 3 3 2 17 7" xfId="32309" xr:uid="{00000000-0005-0000-0000-00002C7E0000}"/>
    <cellStyle name="Normal 3 3 2 17 7 2" xfId="32310" xr:uid="{00000000-0005-0000-0000-00002D7E0000}"/>
    <cellStyle name="Normal 3 3 2 17 7 3" xfId="32311" xr:uid="{00000000-0005-0000-0000-00002E7E0000}"/>
    <cellStyle name="Normal 3 3 2 17 8" xfId="32312" xr:uid="{00000000-0005-0000-0000-00002F7E0000}"/>
    <cellStyle name="Normal 3 3 2 17 8 2" xfId="32313" xr:uid="{00000000-0005-0000-0000-0000307E0000}"/>
    <cellStyle name="Normal 3 3 2 17 8 3" xfId="32314" xr:uid="{00000000-0005-0000-0000-0000317E0000}"/>
    <cellStyle name="Normal 3 3 2 17 9" xfId="32315" xr:uid="{00000000-0005-0000-0000-0000327E0000}"/>
    <cellStyle name="Normal 3 3 2 17 9 2" xfId="32316" xr:uid="{00000000-0005-0000-0000-0000337E0000}"/>
    <cellStyle name="Normal 3 3 2 17 9 3" xfId="32317" xr:uid="{00000000-0005-0000-0000-0000347E0000}"/>
    <cellStyle name="Normal 3 3 2 18" xfId="32318" xr:uid="{00000000-0005-0000-0000-0000357E0000}"/>
    <cellStyle name="Normal 3 3 2 18 10" xfId="32319" xr:uid="{00000000-0005-0000-0000-0000367E0000}"/>
    <cellStyle name="Normal 3 3 2 18 10 2" xfId="32320" xr:uid="{00000000-0005-0000-0000-0000377E0000}"/>
    <cellStyle name="Normal 3 3 2 18 10 3" xfId="32321" xr:uid="{00000000-0005-0000-0000-0000387E0000}"/>
    <cellStyle name="Normal 3 3 2 18 11" xfId="32322" xr:uid="{00000000-0005-0000-0000-0000397E0000}"/>
    <cellStyle name="Normal 3 3 2 18 11 2" xfId="32323" xr:uid="{00000000-0005-0000-0000-00003A7E0000}"/>
    <cellStyle name="Normal 3 3 2 18 11 3" xfId="32324" xr:uid="{00000000-0005-0000-0000-00003B7E0000}"/>
    <cellStyle name="Normal 3 3 2 18 12" xfId="32325" xr:uid="{00000000-0005-0000-0000-00003C7E0000}"/>
    <cellStyle name="Normal 3 3 2 18 12 2" xfId="32326" xr:uid="{00000000-0005-0000-0000-00003D7E0000}"/>
    <cellStyle name="Normal 3 3 2 18 12 3" xfId="32327" xr:uid="{00000000-0005-0000-0000-00003E7E0000}"/>
    <cellStyle name="Normal 3 3 2 18 13" xfId="32328" xr:uid="{00000000-0005-0000-0000-00003F7E0000}"/>
    <cellStyle name="Normal 3 3 2 18 13 2" xfId="32329" xr:uid="{00000000-0005-0000-0000-0000407E0000}"/>
    <cellStyle name="Normal 3 3 2 18 13 3" xfId="32330" xr:uid="{00000000-0005-0000-0000-0000417E0000}"/>
    <cellStyle name="Normal 3 3 2 18 14" xfId="32331" xr:uid="{00000000-0005-0000-0000-0000427E0000}"/>
    <cellStyle name="Normal 3 3 2 18 14 2" xfId="32332" xr:uid="{00000000-0005-0000-0000-0000437E0000}"/>
    <cellStyle name="Normal 3 3 2 18 14 3" xfId="32333" xr:uid="{00000000-0005-0000-0000-0000447E0000}"/>
    <cellStyle name="Normal 3 3 2 18 15" xfId="32334" xr:uid="{00000000-0005-0000-0000-0000457E0000}"/>
    <cellStyle name="Normal 3 3 2 18 16" xfId="32335" xr:uid="{00000000-0005-0000-0000-0000467E0000}"/>
    <cellStyle name="Normal 3 3 2 18 2" xfId="32336" xr:uid="{00000000-0005-0000-0000-0000477E0000}"/>
    <cellStyle name="Normal 3 3 2 18 2 2" xfId="32337" xr:uid="{00000000-0005-0000-0000-0000487E0000}"/>
    <cellStyle name="Normal 3 3 2 18 2 3" xfId="32338" xr:uid="{00000000-0005-0000-0000-0000497E0000}"/>
    <cellStyle name="Normal 3 3 2 18 3" xfId="32339" xr:uid="{00000000-0005-0000-0000-00004A7E0000}"/>
    <cellStyle name="Normal 3 3 2 18 3 2" xfId="32340" xr:uid="{00000000-0005-0000-0000-00004B7E0000}"/>
    <cellStyle name="Normal 3 3 2 18 3 3" xfId="32341" xr:uid="{00000000-0005-0000-0000-00004C7E0000}"/>
    <cellStyle name="Normal 3 3 2 18 4" xfId="32342" xr:uid="{00000000-0005-0000-0000-00004D7E0000}"/>
    <cellStyle name="Normal 3 3 2 18 4 2" xfId="32343" xr:uid="{00000000-0005-0000-0000-00004E7E0000}"/>
    <cellStyle name="Normal 3 3 2 18 4 3" xfId="32344" xr:uid="{00000000-0005-0000-0000-00004F7E0000}"/>
    <cellStyle name="Normal 3 3 2 18 5" xfId="32345" xr:uid="{00000000-0005-0000-0000-0000507E0000}"/>
    <cellStyle name="Normal 3 3 2 18 5 2" xfId="32346" xr:uid="{00000000-0005-0000-0000-0000517E0000}"/>
    <cellStyle name="Normal 3 3 2 18 5 3" xfId="32347" xr:uid="{00000000-0005-0000-0000-0000527E0000}"/>
    <cellStyle name="Normal 3 3 2 18 6" xfId="32348" xr:uid="{00000000-0005-0000-0000-0000537E0000}"/>
    <cellStyle name="Normal 3 3 2 18 6 2" xfId="32349" xr:uid="{00000000-0005-0000-0000-0000547E0000}"/>
    <cellStyle name="Normal 3 3 2 18 6 3" xfId="32350" xr:uid="{00000000-0005-0000-0000-0000557E0000}"/>
    <cellStyle name="Normal 3 3 2 18 7" xfId="32351" xr:uid="{00000000-0005-0000-0000-0000567E0000}"/>
    <cellStyle name="Normal 3 3 2 18 7 2" xfId="32352" xr:uid="{00000000-0005-0000-0000-0000577E0000}"/>
    <cellStyle name="Normal 3 3 2 18 7 3" xfId="32353" xr:uid="{00000000-0005-0000-0000-0000587E0000}"/>
    <cellStyle name="Normal 3 3 2 18 8" xfId="32354" xr:uid="{00000000-0005-0000-0000-0000597E0000}"/>
    <cellStyle name="Normal 3 3 2 18 8 2" xfId="32355" xr:uid="{00000000-0005-0000-0000-00005A7E0000}"/>
    <cellStyle name="Normal 3 3 2 18 8 3" xfId="32356" xr:uid="{00000000-0005-0000-0000-00005B7E0000}"/>
    <cellStyle name="Normal 3 3 2 18 9" xfId="32357" xr:uid="{00000000-0005-0000-0000-00005C7E0000}"/>
    <cellStyle name="Normal 3 3 2 18 9 2" xfId="32358" xr:uid="{00000000-0005-0000-0000-00005D7E0000}"/>
    <cellStyle name="Normal 3 3 2 18 9 3" xfId="32359" xr:uid="{00000000-0005-0000-0000-00005E7E0000}"/>
    <cellStyle name="Normal 3 3 2 2" xfId="32360" xr:uid="{00000000-0005-0000-0000-00005F7E0000}"/>
    <cellStyle name="Normal 3 3 2 2 10" xfId="32361" xr:uid="{00000000-0005-0000-0000-0000607E0000}"/>
    <cellStyle name="Normal 3 3 2 2 10 2" xfId="32362" xr:uid="{00000000-0005-0000-0000-0000617E0000}"/>
    <cellStyle name="Normal 3 3 2 2 10 3" xfId="32363" xr:uid="{00000000-0005-0000-0000-0000627E0000}"/>
    <cellStyle name="Normal 3 3 2 2 11" xfId="32364" xr:uid="{00000000-0005-0000-0000-0000637E0000}"/>
    <cellStyle name="Normal 3 3 2 2 11 2" xfId="32365" xr:uid="{00000000-0005-0000-0000-0000647E0000}"/>
    <cellStyle name="Normal 3 3 2 2 11 3" xfId="32366" xr:uid="{00000000-0005-0000-0000-0000657E0000}"/>
    <cellStyle name="Normal 3 3 2 2 12" xfId="32367" xr:uid="{00000000-0005-0000-0000-0000667E0000}"/>
    <cellStyle name="Normal 3 3 2 2 12 2" xfId="32368" xr:uid="{00000000-0005-0000-0000-0000677E0000}"/>
    <cellStyle name="Normal 3 3 2 2 12 3" xfId="32369" xr:uid="{00000000-0005-0000-0000-0000687E0000}"/>
    <cellStyle name="Normal 3 3 2 2 13" xfId="32370" xr:uid="{00000000-0005-0000-0000-0000697E0000}"/>
    <cellStyle name="Normal 3 3 2 2 13 2" xfId="32371" xr:uid="{00000000-0005-0000-0000-00006A7E0000}"/>
    <cellStyle name="Normal 3 3 2 2 13 3" xfId="32372" xr:uid="{00000000-0005-0000-0000-00006B7E0000}"/>
    <cellStyle name="Normal 3 3 2 2 14" xfId="32373" xr:uid="{00000000-0005-0000-0000-00006C7E0000}"/>
    <cellStyle name="Normal 3 3 2 2 14 2" xfId="32374" xr:uid="{00000000-0005-0000-0000-00006D7E0000}"/>
    <cellStyle name="Normal 3 3 2 2 14 3" xfId="32375" xr:uid="{00000000-0005-0000-0000-00006E7E0000}"/>
    <cellStyle name="Normal 3 3 2 2 15" xfId="32376" xr:uid="{00000000-0005-0000-0000-00006F7E0000}"/>
    <cellStyle name="Normal 3 3 2 2 15 2" xfId="32377" xr:uid="{00000000-0005-0000-0000-0000707E0000}"/>
    <cellStyle name="Normal 3 3 2 2 15 3" xfId="32378" xr:uid="{00000000-0005-0000-0000-0000717E0000}"/>
    <cellStyle name="Normal 3 3 2 2 16" xfId="32379" xr:uid="{00000000-0005-0000-0000-0000727E0000}"/>
    <cellStyle name="Normal 3 3 2 2 16 2" xfId="32380" xr:uid="{00000000-0005-0000-0000-0000737E0000}"/>
    <cellStyle name="Normal 3 3 2 2 16 3" xfId="32381" xr:uid="{00000000-0005-0000-0000-0000747E0000}"/>
    <cellStyle name="Normal 3 3 2 2 17" xfId="32382" xr:uid="{00000000-0005-0000-0000-0000757E0000}"/>
    <cellStyle name="Normal 3 3 2 2 17 2" xfId="32383" xr:uid="{00000000-0005-0000-0000-0000767E0000}"/>
    <cellStyle name="Normal 3 3 2 2 17 3" xfId="32384" xr:uid="{00000000-0005-0000-0000-0000777E0000}"/>
    <cellStyle name="Normal 3 3 2 2 18" xfId="32385" xr:uid="{00000000-0005-0000-0000-0000787E0000}"/>
    <cellStyle name="Normal 3 3 2 2 19" xfId="32386" xr:uid="{00000000-0005-0000-0000-0000797E0000}"/>
    <cellStyle name="Normal 3 3 2 2 2" xfId="32387" xr:uid="{00000000-0005-0000-0000-00007A7E0000}"/>
    <cellStyle name="Normal 3 3 2 2 3" xfId="32388" xr:uid="{00000000-0005-0000-0000-00007B7E0000}"/>
    <cellStyle name="Normal 3 3 2 2 4" xfId="32389" xr:uid="{00000000-0005-0000-0000-00007C7E0000}"/>
    <cellStyle name="Normal 3 3 2 2 5" xfId="32390" xr:uid="{00000000-0005-0000-0000-00007D7E0000}"/>
    <cellStyle name="Normal 3 3 2 2 5 2" xfId="32391" xr:uid="{00000000-0005-0000-0000-00007E7E0000}"/>
    <cellStyle name="Normal 3 3 2 2 5 3" xfId="32392" xr:uid="{00000000-0005-0000-0000-00007F7E0000}"/>
    <cellStyle name="Normal 3 3 2 2 6" xfId="32393" xr:uid="{00000000-0005-0000-0000-0000807E0000}"/>
    <cellStyle name="Normal 3 3 2 2 6 2" xfId="32394" xr:uid="{00000000-0005-0000-0000-0000817E0000}"/>
    <cellStyle name="Normal 3 3 2 2 6 3" xfId="32395" xr:uid="{00000000-0005-0000-0000-0000827E0000}"/>
    <cellStyle name="Normal 3 3 2 2 7" xfId="32396" xr:uid="{00000000-0005-0000-0000-0000837E0000}"/>
    <cellStyle name="Normal 3 3 2 2 7 2" xfId="32397" xr:uid="{00000000-0005-0000-0000-0000847E0000}"/>
    <cellStyle name="Normal 3 3 2 2 7 3" xfId="32398" xr:uid="{00000000-0005-0000-0000-0000857E0000}"/>
    <cellStyle name="Normal 3 3 2 2 8" xfId="32399" xr:uid="{00000000-0005-0000-0000-0000867E0000}"/>
    <cellStyle name="Normal 3 3 2 2 8 2" xfId="32400" xr:uid="{00000000-0005-0000-0000-0000877E0000}"/>
    <cellStyle name="Normal 3 3 2 2 8 3" xfId="32401" xr:uid="{00000000-0005-0000-0000-0000887E0000}"/>
    <cellStyle name="Normal 3 3 2 2 9" xfId="32402" xr:uid="{00000000-0005-0000-0000-0000897E0000}"/>
    <cellStyle name="Normal 3 3 2 2 9 2" xfId="32403" xr:uid="{00000000-0005-0000-0000-00008A7E0000}"/>
    <cellStyle name="Normal 3 3 2 2 9 3" xfId="32404" xr:uid="{00000000-0005-0000-0000-00008B7E0000}"/>
    <cellStyle name="Normal 3 3 2 3" xfId="32405" xr:uid="{00000000-0005-0000-0000-00008C7E0000}"/>
    <cellStyle name="Normal 3 3 2 4" xfId="32406" xr:uid="{00000000-0005-0000-0000-00008D7E0000}"/>
    <cellStyle name="Normal 3 3 2 5" xfId="32407" xr:uid="{00000000-0005-0000-0000-00008E7E0000}"/>
    <cellStyle name="Normal 3 3 2 6" xfId="32408" xr:uid="{00000000-0005-0000-0000-00008F7E0000}"/>
    <cellStyle name="Normal 3 3 2 6 10" xfId="32409" xr:uid="{00000000-0005-0000-0000-0000907E0000}"/>
    <cellStyle name="Normal 3 3 2 6 10 2" xfId="32410" xr:uid="{00000000-0005-0000-0000-0000917E0000}"/>
    <cellStyle name="Normal 3 3 2 6 10 3" xfId="32411" xr:uid="{00000000-0005-0000-0000-0000927E0000}"/>
    <cellStyle name="Normal 3 3 2 6 11" xfId="32412" xr:uid="{00000000-0005-0000-0000-0000937E0000}"/>
    <cellStyle name="Normal 3 3 2 6 11 2" xfId="32413" xr:uid="{00000000-0005-0000-0000-0000947E0000}"/>
    <cellStyle name="Normal 3 3 2 6 11 3" xfId="32414" xr:uid="{00000000-0005-0000-0000-0000957E0000}"/>
    <cellStyle name="Normal 3 3 2 6 12" xfId="32415" xr:uid="{00000000-0005-0000-0000-0000967E0000}"/>
    <cellStyle name="Normal 3 3 2 6 12 2" xfId="32416" xr:uid="{00000000-0005-0000-0000-0000977E0000}"/>
    <cellStyle name="Normal 3 3 2 6 12 3" xfId="32417" xr:uid="{00000000-0005-0000-0000-0000987E0000}"/>
    <cellStyle name="Normal 3 3 2 6 13" xfId="32418" xr:uid="{00000000-0005-0000-0000-0000997E0000}"/>
    <cellStyle name="Normal 3 3 2 6 13 2" xfId="32419" xr:uid="{00000000-0005-0000-0000-00009A7E0000}"/>
    <cellStyle name="Normal 3 3 2 6 13 3" xfId="32420" xr:uid="{00000000-0005-0000-0000-00009B7E0000}"/>
    <cellStyle name="Normal 3 3 2 6 14" xfId="32421" xr:uid="{00000000-0005-0000-0000-00009C7E0000}"/>
    <cellStyle name="Normal 3 3 2 6 14 2" xfId="32422" xr:uid="{00000000-0005-0000-0000-00009D7E0000}"/>
    <cellStyle name="Normal 3 3 2 6 14 3" xfId="32423" xr:uid="{00000000-0005-0000-0000-00009E7E0000}"/>
    <cellStyle name="Normal 3 3 2 6 15" xfId="32424" xr:uid="{00000000-0005-0000-0000-00009F7E0000}"/>
    <cellStyle name="Normal 3 3 2 6 15 2" xfId="32425" xr:uid="{00000000-0005-0000-0000-0000A07E0000}"/>
    <cellStyle name="Normal 3 3 2 6 15 3" xfId="32426" xr:uid="{00000000-0005-0000-0000-0000A17E0000}"/>
    <cellStyle name="Normal 3 3 2 6 16" xfId="32427" xr:uid="{00000000-0005-0000-0000-0000A27E0000}"/>
    <cellStyle name="Normal 3 3 2 6 17" xfId="32428" xr:uid="{00000000-0005-0000-0000-0000A37E0000}"/>
    <cellStyle name="Normal 3 3 2 6 2" xfId="32429" xr:uid="{00000000-0005-0000-0000-0000A47E0000}"/>
    <cellStyle name="Normal 3 3 2 6 2 10" xfId="32430" xr:uid="{00000000-0005-0000-0000-0000A57E0000}"/>
    <cellStyle name="Normal 3 3 2 6 2 10 2" xfId="32431" xr:uid="{00000000-0005-0000-0000-0000A67E0000}"/>
    <cellStyle name="Normal 3 3 2 6 2 10 3" xfId="32432" xr:uid="{00000000-0005-0000-0000-0000A77E0000}"/>
    <cellStyle name="Normal 3 3 2 6 2 11" xfId="32433" xr:uid="{00000000-0005-0000-0000-0000A87E0000}"/>
    <cellStyle name="Normal 3 3 2 6 2 11 2" xfId="32434" xr:uid="{00000000-0005-0000-0000-0000A97E0000}"/>
    <cellStyle name="Normal 3 3 2 6 2 11 3" xfId="32435" xr:uid="{00000000-0005-0000-0000-0000AA7E0000}"/>
    <cellStyle name="Normal 3 3 2 6 2 12" xfId="32436" xr:uid="{00000000-0005-0000-0000-0000AB7E0000}"/>
    <cellStyle name="Normal 3 3 2 6 2 12 2" xfId="32437" xr:uid="{00000000-0005-0000-0000-0000AC7E0000}"/>
    <cellStyle name="Normal 3 3 2 6 2 12 3" xfId="32438" xr:uid="{00000000-0005-0000-0000-0000AD7E0000}"/>
    <cellStyle name="Normal 3 3 2 6 2 13" xfId="32439" xr:uid="{00000000-0005-0000-0000-0000AE7E0000}"/>
    <cellStyle name="Normal 3 3 2 6 2 13 2" xfId="32440" xr:uid="{00000000-0005-0000-0000-0000AF7E0000}"/>
    <cellStyle name="Normal 3 3 2 6 2 13 3" xfId="32441" xr:uid="{00000000-0005-0000-0000-0000B07E0000}"/>
    <cellStyle name="Normal 3 3 2 6 2 14" xfId="32442" xr:uid="{00000000-0005-0000-0000-0000B17E0000}"/>
    <cellStyle name="Normal 3 3 2 6 2 14 2" xfId="32443" xr:uid="{00000000-0005-0000-0000-0000B27E0000}"/>
    <cellStyle name="Normal 3 3 2 6 2 14 3" xfId="32444" xr:uid="{00000000-0005-0000-0000-0000B37E0000}"/>
    <cellStyle name="Normal 3 3 2 6 2 15" xfId="32445" xr:uid="{00000000-0005-0000-0000-0000B47E0000}"/>
    <cellStyle name="Normal 3 3 2 6 2 16" xfId="32446" xr:uid="{00000000-0005-0000-0000-0000B57E0000}"/>
    <cellStyle name="Normal 3 3 2 6 2 2" xfId="32447" xr:uid="{00000000-0005-0000-0000-0000B67E0000}"/>
    <cellStyle name="Normal 3 3 2 6 2 2 2" xfId="32448" xr:uid="{00000000-0005-0000-0000-0000B77E0000}"/>
    <cellStyle name="Normal 3 3 2 6 2 2 3" xfId="32449" xr:uid="{00000000-0005-0000-0000-0000B87E0000}"/>
    <cellStyle name="Normal 3 3 2 6 2 3" xfId="32450" xr:uid="{00000000-0005-0000-0000-0000B97E0000}"/>
    <cellStyle name="Normal 3 3 2 6 2 3 2" xfId="32451" xr:uid="{00000000-0005-0000-0000-0000BA7E0000}"/>
    <cellStyle name="Normal 3 3 2 6 2 3 3" xfId="32452" xr:uid="{00000000-0005-0000-0000-0000BB7E0000}"/>
    <cellStyle name="Normal 3 3 2 6 2 4" xfId="32453" xr:uid="{00000000-0005-0000-0000-0000BC7E0000}"/>
    <cellStyle name="Normal 3 3 2 6 2 4 2" xfId="32454" xr:uid="{00000000-0005-0000-0000-0000BD7E0000}"/>
    <cellStyle name="Normal 3 3 2 6 2 4 3" xfId="32455" xr:uid="{00000000-0005-0000-0000-0000BE7E0000}"/>
    <cellStyle name="Normal 3 3 2 6 2 5" xfId="32456" xr:uid="{00000000-0005-0000-0000-0000BF7E0000}"/>
    <cellStyle name="Normal 3 3 2 6 2 5 2" xfId="32457" xr:uid="{00000000-0005-0000-0000-0000C07E0000}"/>
    <cellStyle name="Normal 3 3 2 6 2 5 3" xfId="32458" xr:uid="{00000000-0005-0000-0000-0000C17E0000}"/>
    <cellStyle name="Normal 3 3 2 6 2 6" xfId="32459" xr:uid="{00000000-0005-0000-0000-0000C27E0000}"/>
    <cellStyle name="Normal 3 3 2 6 2 6 2" xfId="32460" xr:uid="{00000000-0005-0000-0000-0000C37E0000}"/>
    <cellStyle name="Normal 3 3 2 6 2 6 3" xfId="32461" xr:uid="{00000000-0005-0000-0000-0000C47E0000}"/>
    <cellStyle name="Normal 3 3 2 6 2 7" xfId="32462" xr:uid="{00000000-0005-0000-0000-0000C57E0000}"/>
    <cellStyle name="Normal 3 3 2 6 2 7 2" xfId="32463" xr:uid="{00000000-0005-0000-0000-0000C67E0000}"/>
    <cellStyle name="Normal 3 3 2 6 2 7 3" xfId="32464" xr:uid="{00000000-0005-0000-0000-0000C77E0000}"/>
    <cellStyle name="Normal 3 3 2 6 2 8" xfId="32465" xr:uid="{00000000-0005-0000-0000-0000C87E0000}"/>
    <cellStyle name="Normal 3 3 2 6 2 8 2" xfId="32466" xr:uid="{00000000-0005-0000-0000-0000C97E0000}"/>
    <cellStyle name="Normal 3 3 2 6 2 8 3" xfId="32467" xr:uid="{00000000-0005-0000-0000-0000CA7E0000}"/>
    <cellStyle name="Normal 3 3 2 6 2 9" xfId="32468" xr:uid="{00000000-0005-0000-0000-0000CB7E0000}"/>
    <cellStyle name="Normal 3 3 2 6 2 9 2" xfId="32469" xr:uid="{00000000-0005-0000-0000-0000CC7E0000}"/>
    <cellStyle name="Normal 3 3 2 6 2 9 3" xfId="32470" xr:uid="{00000000-0005-0000-0000-0000CD7E0000}"/>
    <cellStyle name="Normal 3 3 2 6 3" xfId="32471" xr:uid="{00000000-0005-0000-0000-0000CE7E0000}"/>
    <cellStyle name="Normal 3 3 2 6 3 2" xfId="32472" xr:uid="{00000000-0005-0000-0000-0000CF7E0000}"/>
    <cellStyle name="Normal 3 3 2 6 3 3" xfId="32473" xr:uid="{00000000-0005-0000-0000-0000D07E0000}"/>
    <cellStyle name="Normal 3 3 2 6 4" xfId="32474" xr:uid="{00000000-0005-0000-0000-0000D17E0000}"/>
    <cellStyle name="Normal 3 3 2 6 4 2" xfId="32475" xr:uid="{00000000-0005-0000-0000-0000D27E0000}"/>
    <cellStyle name="Normal 3 3 2 6 4 3" xfId="32476" xr:uid="{00000000-0005-0000-0000-0000D37E0000}"/>
    <cellStyle name="Normal 3 3 2 6 5" xfId="32477" xr:uid="{00000000-0005-0000-0000-0000D47E0000}"/>
    <cellStyle name="Normal 3 3 2 6 5 2" xfId="32478" xr:uid="{00000000-0005-0000-0000-0000D57E0000}"/>
    <cellStyle name="Normal 3 3 2 6 5 3" xfId="32479" xr:uid="{00000000-0005-0000-0000-0000D67E0000}"/>
    <cellStyle name="Normal 3 3 2 6 6" xfId="32480" xr:uid="{00000000-0005-0000-0000-0000D77E0000}"/>
    <cellStyle name="Normal 3 3 2 6 6 2" xfId="32481" xr:uid="{00000000-0005-0000-0000-0000D87E0000}"/>
    <cellStyle name="Normal 3 3 2 6 6 3" xfId="32482" xr:uid="{00000000-0005-0000-0000-0000D97E0000}"/>
    <cellStyle name="Normal 3 3 2 6 7" xfId="32483" xr:uid="{00000000-0005-0000-0000-0000DA7E0000}"/>
    <cellStyle name="Normal 3 3 2 6 7 2" xfId="32484" xr:uid="{00000000-0005-0000-0000-0000DB7E0000}"/>
    <cellStyle name="Normal 3 3 2 6 7 3" xfId="32485" xr:uid="{00000000-0005-0000-0000-0000DC7E0000}"/>
    <cellStyle name="Normal 3 3 2 6 8" xfId="32486" xr:uid="{00000000-0005-0000-0000-0000DD7E0000}"/>
    <cellStyle name="Normal 3 3 2 6 8 2" xfId="32487" xr:uid="{00000000-0005-0000-0000-0000DE7E0000}"/>
    <cellStyle name="Normal 3 3 2 6 8 3" xfId="32488" xr:uid="{00000000-0005-0000-0000-0000DF7E0000}"/>
    <cellStyle name="Normal 3 3 2 6 9" xfId="32489" xr:uid="{00000000-0005-0000-0000-0000E07E0000}"/>
    <cellStyle name="Normal 3 3 2 6 9 2" xfId="32490" xr:uid="{00000000-0005-0000-0000-0000E17E0000}"/>
    <cellStyle name="Normal 3 3 2 6 9 3" xfId="32491" xr:uid="{00000000-0005-0000-0000-0000E27E0000}"/>
    <cellStyle name="Normal 3 3 2 7" xfId="32492" xr:uid="{00000000-0005-0000-0000-0000E37E0000}"/>
    <cellStyle name="Normal 3 3 2 7 10" xfId="32493" xr:uid="{00000000-0005-0000-0000-0000E47E0000}"/>
    <cellStyle name="Normal 3 3 2 7 10 2" xfId="32494" xr:uid="{00000000-0005-0000-0000-0000E57E0000}"/>
    <cellStyle name="Normal 3 3 2 7 10 3" xfId="32495" xr:uid="{00000000-0005-0000-0000-0000E67E0000}"/>
    <cellStyle name="Normal 3 3 2 7 11" xfId="32496" xr:uid="{00000000-0005-0000-0000-0000E77E0000}"/>
    <cellStyle name="Normal 3 3 2 7 11 2" xfId="32497" xr:uid="{00000000-0005-0000-0000-0000E87E0000}"/>
    <cellStyle name="Normal 3 3 2 7 11 3" xfId="32498" xr:uid="{00000000-0005-0000-0000-0000E97E0000}"/>
    <cellStyle name="Normal 3 3 2 7 12" xfId="32499" xr:uid="{00000000-0005-0000-0000-0000EA7E0000}"/>
    <cellStyle name="Normal 3 3 2 7 12 2" xfId="32500" xr:uid="{00000000-0005-0000-0000-0000EB7E0000}"/>
    <cellStyle name="Normal 3 3 2 7 12 3" xfId="32501" xr:uid="{00000000-0005-0000-0000-0000EC7E0000}"/>
    <cellStyle name="Normal 3 3 2 7 13" xfId="32502" xr:uid="{00000000-0005-0000-0000-0000ED7E0000}"/>
    <cellStyle name="Normal 3 3 2 7 13 2" xfId="32503" xr:uid="{00000000-0005-0000-0000-0000EE7E0000}"/>
    <cellStyle name="Normal 3 3 2 7 13 3" xfId="32504" xr:uid="{00000000-0005-0000-0000-0000EF7E0000}"/>
    <cellStyle name="Normal 3 3 2 7 14" xfId="32505" xr:uid="{00000000-0005-0000-0000-0000F07E0000}"/>
    <cellStyle name="Normal 3 3 2 7 14 2" xfId="32506" xr:uid="{00000000-0005-0000-0000-0000F17E0000}"/>
    <cellStyle name="Normal 3 3 2 7 14 3" xfId="32507" xr:uid="{00000000-0005-0000-0000-0000F27E0000}"/>
    <cellStyle name="Normal 3 3 2 7 15" xfId="32508" xr:uid="{00000000-0005-0000-0000-0000F37E0000}"/>
    <cellStyle name="Normal 3 3 2 7 15 2" xfId="32509" xr:uid="{00000000-0005-0000-0000-0000F47E0000}"/>
    <cellStyle name="Normal 3 3 2 7 15 3" xfId="32510" xr:uid="{00000000-0005-0000-0000-0000F57E0000}"/>
    <cellStyle name="Normal 3 3 2 7 16" xfId="32511" xr:uid="{00000000-0005-0000-0000-0000F67E0000}"/>
    <cellStyle name="Normal 3 3 2 7 17" xfId="32512" xr:uid="{00000000-0005-0000-0000-0000F77E0000}"/>
    <cellStyle name="Normal 3 3 2 7 2" xfId="32513" xr:uid="{00000000-0005-0000-0000-0000F87E0000}"/>
    <cellStyle name="Normal 3 3 2 7 2 10" xfId="32514" xr:uid="{00000000-0005-0000-0000-0000F97E0000}"/>
    <cellStyle name="Normal 3 3 2 7 2 10 2" xfId="32515" xr:uid="{00000000-0005-0000-0000-0000FA7E0000}"/>
    <cellStyle name="Normal 3 3 2 7 2 10 3" xfId="32516" xr:uid="{00000000-0005-0000-0000-0000FB7E0000}"/>
    <cellStyle name="Normal 3 3 2 7 2 11" xfId="32517" xr:uid="{00000000-0005-0000-0000-0000FC7E0000}"/>
    <cellStyle name="Normal 3 3 2 7 2 11 2" xfId="32518" xr:uid="{00000000-0005-0000-0000-0000FD7E0000}"/>
    <cellStyle name="Normal 3 3 2 7 2 11 3" xfId="32519" xr:uid="{00000000-0005-0000-0000-0000FE7E0000}"/>
    <cellStyle name="Normal 3 3 2 7 2 12" xfId="32520" xr:uid="{00000000-0005-0000-0000-0000FF7E0000}"/>
    <cellStyle name="Normal 3 3 2 7 2 12 2" xfId="32521" xr:uid="{00000000-0005-0000-0000-0000007F0000}"/>
    <cellStyle name="Normal 3 3 2 7 2 12 3" xfId="32522" xr:uid="{00000000-0005-0000-0000-0000017F0000}"/>
    <cellStyle name="Normal 3 3 2 7 2 13" xfId="32523" xr:uid="{00000000-0005-0000-0000-0000027F0000}"/>
    <cellStyle name="Normal 3 3 2 7 2 13 2" xfId="32524" xr:uid="{00000000-0005-0000-0000-0000037F0000}"/>
    <cellStyle name="Normal 3 3 2 7 2 13 3" xfId="32525" xr:uid="{00000000-0005-0000-0000-0000047F0000}"/>
    <cellStyle name="Normal 3 3 2 7 2 14" xfId="32526" xr:uid="{00000000-0005-0000-0000-0000057F0000}"/>
    <cellStyle name="Normal 3 3 2 7 2 14 2" xfId="32527" xr:uid="{00000000-0005-0000-0000-0000067F0000}"/>
    <cellStyle name="Normal 3 3 2 7 2 14 3" xfId="32528" xr:uid="{00000000-0005-0000-0000-0000077F0000}"/>
    <cellStyle name="Normal 3 3 2 7 2 15" xfId="32529" xr:uid="{00000000-0005-0000-0000-0000087F0000}"/>
    <cellStyle name="Normal 3 3 2 7 2 16" xfId="32530" xr:uid="{00000000-0005-0000-0000-0000097F0000}"/>
    <cellStyle name="Normal 3 3 2 7 2 2" xfId="32531" xr:uid="{00000000-0005-0000-0000-00000A7F0000}"/>
    <cellStyle name="Normal 3 3 2 7 2 2 2" xfId="32532" xr:uid="{00000000-0005-0000-0000-00000B7F0000}"/>
    <cellStyle name="Normal 3 3 2 7 2 2 3" xfId="32533" xr:uid="{00000000-0005-0000-0000-00000C7F0000}"/>
    <cellStyle name="Normal 3 3 2 7 2 3" xfId="32534" xr:uid="{00000000-0005-0000-0000-00000D7F0000}"/>
    <cellStyle name="Normal 3 3 2 7 2 3 2" xfId="32535" xr:uid="{00000000-0005-0000-0000-00000E7F0000}"/>
    <cellStyle name="Normal 3 3 2 7 2 3 3" xfId="32536" xr:uid="{00000000-0005-0000-0000-00000F7F0000}"/>
    <cellStyle name="Normal 3 3 2 7 2 4" xfId="32537" xr:uid="{00000000-0005-0000-0000-0000107F0000}"/>
    <cellStyle name="Normal 3 3 2 7 2 4 2" xfId="32538" xr:uid="{00000000-0005-0000-0000-0000117F0000}"/>
    <cellStyle name="Normal 3 3 2 7 2 4 3" xfId="32539" xr:uid="{00000000-0005-0000-0000-0000127F0000}"/>
    <cellStyle name="Normal 3 3 2 7 2 5" xfId="32540" xr:uid="{00000000-0005-0000-0000-0000137F0000}"/>
    <cellStyle name="Normal 3 3 2 7 2 5 2" xfId="32541" xr:uid="{00000000-0005-0000-0000-0000147F0000}"/>
    <cellStyle name="Normal 3 3 2 7 2 5 3" xfId="32542" xr:uid="{00000000-0005-0000-0000-0000157F0000}"/>
    <cellStyle name="Normal 3 3 2 7 2 6" xfId="32543" xr:uid="{00000000-0005-0000-0000-0000167F0000}"/>
    <cellStyle name="Normal 3 3 2 7 2 6 2" xfId="32544" xr:uid="{00000000-0005-0000-0000-0000177F0000}"/>
    <cellStyle name="Normal 3 3 2 7 2 6 3" xfId="32545" xr:uid="{00000000-0005-0000-0000-0000187F0000}"/>
    <cellStyle name="Normal 3 3 2 7 2 7" xfId="32546" xr:uid="{00000000-0005-0000-0000-0000197F0000}"/>
    <cellStyle name="Normal 3 3 2 7 2 7 2" xfId="32547" xr:uid="{00000000-0005-0000-0000-00001A7F0000}"/>
    <cellStyle name="Normal 3 3 2 7 2 7 3" xfId="32548" xr:uid="{00000000-0005-0000-0000-00001B7F0000}"/>
    <cellStyle name="Normal 3 3 2 7 2 8" xfId="32549" xr:uid="{00000000-0005-0000-0000-00001C7F0000}"/>
    <cellStyle name="Normal 3 3 2 7 2 8 2" xfId="32550" xr:uid="{00000000-0005-0000-0000-00001D7F0000}"/>
    <cellStyle name="Normal 3 3 2 7 2 8 3" xfId="32551" xr:uid="{00000000-0005-0000-0000-00001E7F0000}"/>
    <cellStyle name="Normal 3 3 2 7 2 9" xfId="32552" xr:uid="{00000000-0005-0000-0000-00001F7F0000}"/>
    <cellStyle name="Normal 3 3 2 7 2 9 2" xfId="32553" xr:uid="{00000000-0005-0000-0000-0000207F0000}"/>
    <cellStyle name="Normal 3 3 2 7 2 9 3" xfId="32554" xr:uid="{00000000-0005-0000-0000-0000217F0000}"/>
    <cellStyle name="Normal 3 3 2 7 3" xfId="32555" xr:uid="{00000000-0005-0000-0000-0000227F0000}"/>
    <cellStyle name="Normal 3 3 2 7 3 2" xfId="32556" xr:uid="{00000000-0005-0000-0000-0000237F0000}"/>
    <cellStyle name="Normal 3 3 2 7 3 3" xfId="32557" xr:uid="{00000000-0005-0000-0000-0000247F0000}"/>
    <cellStyle name="Normal 3 3 2 7 4" xfId="32558" xr:uid="{00000000-0005-0000-0000-0000257F0000}"/>
    <cellStyle name="Normal 3 3 2 7 4 2" xfId="32559" xr:uid="{00000000-0005-0000-0000-0000267F0000}"/>
    <cellStyle name="Normal 3 3 2 7 4 3" xfId="32560" xr:uid="{00000000-0005-0000-0000-0000277F0000}"/>
    <cellStyle name="Normal 3 3 2 7 5" xfId="32561" xr:uid="{00000000-0005-0000-0000-0000287F0000}"/>
    <cellStyle name="Normal 3 3 2 7 5 2" xfId="32562" xr:uid="{00000000-0005-0000-0000-0000297F0000}"/>
    <cellStyle name="Normal 3 3 2 7 5 3" xfId="32563" xr:uid="{00000000-0005-0000-0000-00002A7F0000}"/>
    <cellStyle name="Normal 3 3 2 7 6" xfId="32564" xr:uid="{00000000-0005-0000-0000-00002B7F0000}"/>
    <cellStyle name="Normal 3 3 2 7 6 2" xfId="32565" xr:uid="{00000000-0005-0000-0000-00002C7F0000}"/>
    <cellStyle name="Normal 3 3 2 7 6 3" xfId="32566" xr:uid="{00000000-0005-0000-0000-00002D7F0000}"/>
    <cellStyle name="Normal 3 3 2 7 7" xfId="32567" xr:uid="{00000000-0005-0000-0000-00002E7F0000}"/>
    <cellStyle name="Normal 3 3 2 7 7 2" xfId="32568" xr:uid="{00000000-0005-0000-0000-00002F7F0000}"/>
    <cellStyle name="Normal 3 3 2 7 7 3" xfId="32569" xr:uid="{00000000-0005-0000-0000-0000307F0000}"/>
    <cellStyle name="Normal 3 3 2 7 8" xfId="32570" xr:uid="{00000000-0005-0000-0000-0000317F0000}"/>
    <cellStyle name="Normal 3 3 2 7 8 2" xfId="32571" xr:uid="{00000000-0005-0000-0000-0000327F0000}"/>
    <cellStyle name="Normal 3 3 2 7 8 3" xfId="32572" xr:uid="{00000000-0005-0000-0000-0000337F0000}"/>
    <cellStyle name="Normal 3 3 2 7 9" xfId="32573" xr:uid="{00000000-0005-0000-0000-0000347F0000}"/>
    <cellStyle name="Normal 3 3 2 7 9 2" xfId="32574" xr:uid="{00000000-0005-0000-0000-0000357F0000}"/>
    <cellStyle name="Normal 3 3 2 7 9 3" xfId="32575" xr:uid="{00000000-0005-0000-0000-0000367F0000}"/>
    <cellStyle name="Normal 3 3 2 8" xfId="32576" xr:uid="{00000000-0005-0000-0000-0000377F0000}"/>
    <cellStyle name="Normal 3 3 2 8 10" xfId="32577" xr:uid="{00000000-0005-0000-0000-0000387F0000}"/>
    <cellStyle name="Normal 3 3 2 8 10 2" xfId="32578" xr:uid="{00000000-0005-0000-0000-0000397F0000}"/>
    <cellStyle name="Normal 3 3 2 8 10 3" xfId="32579" xr:uid="{00000000-0005-0000-0000-00003A7F0000}"/>
    <cellStyle name="Normal 3 3 2 8 11" xfId="32580" xr:uid="{00000000-0005-0000-0000-00003B7F0000}"/>
    <cellStyle name="Normal 3 3 2 8 11 2" xfId="32581" xr:uid="{00000000-0005-0000-0000-00003C7F0000}"/>
    <cellStyle name="Normal 3 3 2 8 11 3" xfId="32582" xr:uid="{00000000-0005-0000-0000-00003D7F0000}"/>
    <cellStyle name="Normal 3 3 2 8 12" xfId="32583" xr:uid="{00000000-0005-0000-0000-00003E7F0000}"/>
    <cellStyle name="Normal 3 3 2 8 12 2" xfId="32584" xr:uid="{00000000-0005-0000-0000-00003F7F0000}"/>
    <cellStyle name="Normal 3 3 2 8 12 3" xfId="32585" xr:uid="{00000000-0005-0000-0000-0000407F0000}"/>
    <cellStyle name="Normal 3 3 2 8 13" xfId="32586" xr:uid="{00000000-0005-0000-0000-0000417F0000}"/>
    <cellStyle name="Normal 3 3 2 8 13 2" xfId="32587" xr:uid="{00000000-0005-0000-0000-0000427F0000}"/>
    <cellStyle name="Normal 3 3 2 8 13 3" xfId="32588" xr:uid="{00000000-0005-0000-0000-0000437F0000}"/>
    <cellStyle name="Normal 3 3 2 8 14" xfId="32589" xr:uid="{00000000-0005-0000-0000-0000447F0000}"/>
    <cellStyle name="Normal 3 3 2 8 14 2" xfId="32590" xr:uid="{00000000-0005-0000-0000-0000457F0000}"/>
    <cellStyle name="Normal 3 3 2 8 14 3" xfId="32591" xr:uid="{00000000-0005-0000-0000-0000467F0000}"/>
    <cellStyle name="Normal 3 3 2 8 15" xfId="32592" xr:uid="{00000000-0005-0000-0000-0000477F0000}"/>
    <cellStyle name="Normal 3 3 2 8 15 2" xfId="32593" xr:uid="{00000000-0005-0000-0000-0000487F0000}"/>
    <cellStyle name="Normal 3 3 2 8 15 3" xfId="32594" xr:uid="{00000000-0005-0000-0000-0000497F0000}"/>
    <cellStyle name="Normal 3 3 2 8 16" xfId="32595" xr:uid="{00000000-0005-0000-0000-00004A7F0000}"/>
    <cellStyle name="Normal 3 3 2 8 17" xfId="32596" xr:uid="{00000000-0005-0000-0000-00004B7F0000}"/>
    <cellStyle name="Normal 3 3 2 8 2" xfId="32597" xr:uid="{00000000-0005-0000-0000-00004C7F0000}"/>
    <cellStyle name="Normal 3 3 2 8 2 10" xfId="32598" xr:uid="{00000000-0005-0000-0000-00004D7F0000}"/>
    <cellStyle name="Normal 3 3 2 8 2 10 2" xfId="32599" xr:uid="{00000000-0005-0000-0000-00004E7F0000}"/>
    <cellStyle name="Normal 3 3 2 8 2 10 3" xfId="32600" xr:uid="{00000000-0005-0000-0000-00004F7F0000}"/>
    <cellStyle name="Normal 3 3 2 8 2 11" xfId="32601" xr:uid="{00000000-0005-0000-0000-0000507F0000}"/>
    <cellStyle name="Normal 3 3 2 8 2 11 2" xfId="32602" xr:uid="{00000000-0005-0000-0000-0000517F0000}"/>
    <cellStyle name="Normal 3 3 2 8 2 11 3" xfId="32603" xr:uid="{00000000-0005-0000-0000-0000527F0000}"/>
    <cellStyle name="Normal 3 3 2 8 2 12" xfId="32604" xr:uid="{00000000-0005-0000-0000-0000537F0000}"/>
    <cellStyle name="Normal 3 3 2 8 2 12 2" xfId="32605" xr:uid="{00000000-0005-0000-0000-0000547F0000}"/>
    <cellStyle name="Normal 3 3 2 8 2 12 3" xfId="32606" xr:uid="{00000000-0005-0000-0000-0000557F0000}"/>
    <cellStyle name="Normal 3 3 2 8 2 13" xfId="32607" xr:uid="{00000000-0005-0000-0000-0000567F0000}"/>
    <cellStyle name="Normal 3 3 2 8 2 13 2" xfId="32608" xr:uid="{00000000-0005-0000-0000-0000577F0000}"/>
    <cellStyle name="Normal 3 3 2 8 2 13 3" xfId="32609" xr:uid="{00000000-0005-0000-0000-0000587F0000}"/>
    <cellStyle name="Normal 3 3 2 8 2 14" xfId="32610" xr:uid="{00000000-0005-0000-0000-0000597F0000}"/>
    <cellStyle name="Normal 3 3 2 8 2 14 2" xfId="32611" xr:uid="{00000000-0005-0000-0000-00005A7F0000}"/>
    <cellStyle name="Normal 3 3 2 8 2 14 3" xfId="32612" xr:uid="{00000000-0005-0000-0000-00005B7F0000}"/>
    <cellStyle name="Normal 3 3 2 8 2 15" xfId="32613" xr:uid="{00000000-0005-0000-0000-00005C7F0000}"/>
    <cellStyle name="Normal 3 3 2 8 2 16" xfId="32614" xr:uid="{00000000-0005-0000-0000-00005D7F0000}"/>
    <cellStyle name="Normal 3 3 2 8 2 2" xfId="32615" xr:uid="{00000000-0005-0000-0000-00005E7F0000}"/>
    <cellStyle name="Normal 3 3 2 8 2 2 2" xfId="32616" xr:uid="{00000000-0005-0000-0000-00005F7F0000}"/>
    <cellStyle name="Normal 3 3 2 8 2 2 3" xfId="32617" xr:uid="{00000000-0005-0000-0000-0000607F0000}"/>
    <cellStyle name="Normal 3 3 2 8 2 3" xfId="32618" xr:uid="{00000000-0005-0000-0000-0000617F0000}"/>
    <cellStyle name="Normal 3 3 2 8 2 3 2" xfId="32619" xr:uid="{00000000-0005-0000-0000-0000627F0000}"/>
    <cellStyle name="Normal 3 3 2 8 2 3 3" xfId="32620" xr:uid="{00000000-0005-0000-0000-0000637F0000}"/>
    <cellStyle name="Normal 3 3 2 8 2 4" xfId="32621" xr:uid="{00000000-0005-0000-0000-0000647F0000}"/>
    <cellStyle name="Normal 3 3 2 8 2 4 2" xfId="32622" xr:uid="{00000000-0005-0000-0000-0000657F0000}"/>
    <cellStyle name="Normal 3 3 2 8 2 4 3" xfId="32623" xr:uid="{00000000-0005-0000-0000-0000667F0000}"/>
    <cellStyle name="Normal 3 3 2 8 2 5" xfId="32624" xr:uid="{00000000-0005-0000-0000-0000677F0000}"/>
    <cellStyle name="Normal 3 3 2 8 2 5 2" xfId="32625" xr:uid="{00000000-0005-0000-0000-0000687F0000}"/>
    <cellStyle name="Normal 3 3 2 8 2 5 3" xfId="32626" xr:uid="{00000000-0005-0000-0000-0000697F0000}"/>
    <cellStyle name="Normal 3 3 2 8 2 6" xfId="32627" xr:uid="{00000000-0005-0000-0000-00006A7F0000}"/>
    <cellStyle name="Normal 3 3 2 8 2 6 2" xfId="32628" xr:uid="{00000000-0005-0000-0000-00006B7F0000}"/>
    <cellStyle name="Normal 3 3 2 8 2 6 3" xfId="32629" xr:uid="{00000000-0005-0000-0000-00006C7F0000}"/>
    <cellStyle name="Normal 3 3 2 8 2 7" xfId="32630" xr:uid="{00000000-0005-0000-0000-00006D7F0000}"/>
    <cellStyle name="Normal 3 3 2 8 2 7 2" xfId="32631" xr:uid="{00000000-0005-0000-0000-00006E7F0000}"/>
    <cellStyle name="Normal 3 3 2 8 2 7 3" xfId="32632" xr:uid="{00000000-0005-0000-0000-00006F7F0000}"/>
    <cellStyle name="Normal 3 3 2 8 2 8" xfId="32633" xr:uid="{00000000-0005-0000-0000-0000707F0000}"/>
    <cellStyle name="Normal 3 3 2 8 2 8 2" xfId="32634" xr:uid="{00000000-0005-0000-0000-0000717F0000}"/>
    <cellStyle name="Normal 3 3 2 8 2 8 3" xfId="32635" xr:uid="{00000000-0005-0000-0000-0000727F0000}"/>
    <cellStyle name="Normal 3 3 2 8 2 9" xfId="32636" xr:uid="{00000000-0005-0000-0000-0000737F0000}"/>
    <cellStyle name="Normal 3 3 2 8 2 9 2" xfId="32637" xr:uid="{00000000-0005-0000-0000-0000747F0000}"/>
    <cellStyle name="Normal 3 3 2 8 2 9 3" xfId="32638" xr:uid="{00000000-0005-0000-0000-0000757F0000}"/>
    <cellStyle name="Normal 3 3 2 8 3" xfId="32639" xr:uid="{00000000-0005-0000-0000-0000767F0000}"/>
    <cellStyle name="Normal 3 3 2 8 3 2" xfId="32640" xr:uid="{00000000-0005-0000-0000-0000777F0000}"/>
    <cellStyle name="Normal 3 3 2 8 3 3" xfId="32641" xr:uid="{00000000-0005-0000-0000-0000787F0000}"/>
    <cellStyle name="Normal 3 3 2 8 4" xfId="32642" xr:uid="{00000000-0005-0000-0000-0000797F0000}"/>
    <cellStyle name="Normal 3 3 2 8 4 2" xfId="32643" xr:uid="{00000000-0005-0000-0000-00007A7F0000}"/>
    <cellStyle name="Normal 3 3 2 8 4 3" xfId="32644" xr:uid="{00000000-0005-0000-0000-00007B7F0000}"/>
    <cellStyle name="Normal 3 3 2 8 5" xfId="32645" xr:uid="{00000000-0005-0000-0000-00007C7F0000}"/>
    <cellStyle name="Normal 3 3 2 8 5 2" xfId="32646" xr:uid="{00000000-0005-0000-0000-00007D7F0000}"/>
    <cellStyle name="Normal 3 3 2 8 5 3" xfId="32647" xr:uid="{00000000-0005-0000-0000-00007E7F0000}"/>
    <cellStyle name="Normal 3 3 2 8 6" xfId="32648" xr:uid="{00000000-0005-0000-0000-00007F7F0000}"/>
    <cellStyle name="Normal 3 3 2 8 6 2" xfId="32649" xr:uid="{00000000-0005-0000-0000-0000807F0000}"/>
    <cellStyle name="Normal 3 3 2 8 6 3" xfId="32650" xr:uid="{00000000-0005-0000-0000-0000817F0000}"/>
    <cellStyle name="Normal 3 3 2 8 7" xfId="32651" xr:uid="{00000000-0005-0000-0000-0000827F0000}"/>
    <cellStyle name="Normal 3 3 2 8 7 2" xfId="32652" xr:uid="{00000000-0005-0000-0000-0000837F0000}"/>
    <cellStyle name="Normal 3 3 2 8 7 3" xfId="32653" xr:uid="{00000000-0005-0000-0000-0000847F0000}"/>
    <cellStyle name="Normal 3 3 2 8 8" xfId="32654" xr:uid="{00000000-0005-0000-0000-0000857F0000}"/>
    <cellStyle name="Normal 3 3 2 8 8 2" xfId="32655" xr:uid="{00000000-0005-0000-0000-0000867F0000}"/>
    <cellStyle name="Normal 3 3 2 8 8 3" xfId="32656" xr:uid="{00000000-0005-0000-0000-0000877F0000}"/>
    <cellStyle name="Normal 3 3 2 8 9" xfId="32657" xr:uid="{00000000-0005-0000-0000-0000887F0000}"/>
    <cellStyle name="Normal 3 3 2 8 9 2" xfId="32658" xr:uid="{00000000-0005-0000-0000-0000897F0000}"/>
    <cellStyle name="Normal 3 3 2 8 9 3" xfId="32659" xr:uid="{00000000-0005-0000-0000-00008A7F0000}"/>
    <cellStyle name="Normal 3 3 2 9" xfId="32660" xr:uid="{00000000-0005-0000-0000-00008B7F0000}"/>
    <cellStyle name="Normal 3 3 2 9 10" xfId="32661" xr:uid="{00000000-0005-0000-0000-00008C7F0000}"/>
    <cellStyle name="Normal 3 3 2 9 10 2" xfId="32662" xr:uid="{00000000-0005-0000-0000-00008D7F0000}"/>
    <cellStyle name="Normal 3 3 2 9 10 3" xfId="32663" xr:uid="{00000000-0005-0000-0000-00008E7F0000}"/>
    <cellStyle name="Normal 3 3 2 9 11" xfId="32664" xr:uid="{00000000-0005-0000-0000-00008F7F0000}"/>
    <cellStyle name="Normal 3 3 2 9 11 2" xfId="32665" xr:uid="{00000000-0005-0000-0000-0000907F0000}"/>
    <cellStyle name="Normal 3 3 2 9 11 3" xfId="32666" xr:uid="{00000000-0005-0000-0000-0000917F0000}"/>
    <cellStyle name="Normal 3 3 2 9 12" xfId="32667" xr:uid="{00000000-0005-0000-0000-0000927F0000}"/>
    <cellStyle name="Normal 3 3 2 9 12 2" xfId="32668" xr:uid="{00000000-0005-0000-0000-0000937F0000}"/>
    <cellStyle name="Normal 3 3 2 9 12 3" xfId="32669" xr:uid="{00000000-0005-0000-0000-0000947F0000}"/>
    <cellStyle name="Normal 3 3 2 9 13" xfId="32670" xr:uid="{00000000-0005-0000-0000-0000957F0000}"/>
    <cellStyle name="Normal 3 3 2 9 13 2" xfId="32671" xr:uid="{00000000-0005-0000-0000-0000967F0000}"/>
    <cellStyle name="Normal 3 3 2 9 13 3" xfId="32672" xr:uid="{00000000-0005-0000-0000-0000977F0000}"/>
    <cellStyle name="Normal 3 3 2 9 14" xfId="32673" xr:uid="{00000000-0005-0000-0000-0000987F0000}"/>
    <cellStyle name="Normal 3 3 2 9 14 2" xfId="32674" xr:uid="{00000000-0005-0000-0000-0000997F0000}"/>
    <cellStyle name="Normal 3 3 2 9 14 3" xfId="32675" xr:uid="{00000000-0005-0000-0000-00009A7F0000}"/>
    <cellStyle name="Normal 3 3 2 9 15" xfId="32676" xr:uid="{00000000-0005-0000-0000-00009B7F0000}"/>
    <cellStyle name="Normal 3 3 2 9 16" xfId="32677" xr:uid="{00000000-0005-0000-0000-00009C7F0000}"/>
    <cellStyle name="Normal 3 3 2 9 2" xfId="32678" xr:uid="{00000000-0005-0000-0000-00009D7F0000}"/>
    <cellStyle name="Normal 3 3 2 9 2 2" xfId="32679" xr:uid="{00000000-0005-0000-0000-00009E7F0000}"/>
    <cellStyle name="Normal 3 3 2 9 2 3" xfId="32680" xr:uid="{00000000-0005-0000-0000-00009F7F0000}"/>
    <cellStyle name="Normal 3 3 2 9 3" xfId="32681" xr:uid="{00000000-0005-0000-0000-0000A07F0000}"/>
    <cellStyle name="Normal 3 3 2 9 3 2" xfId="32682" xr:uid="{00000000-0005-0000-0000-0000A17F0000}"/>
    <cellStyle name="Normal 3 3 2 9 3 3" xfId="32683" xr:uid="{00000000-0005-0000-0000-0000A27F0000}"/>
    <cellStyle name="Normal 3 3 2 9 4" xfId="32684" xr:uid="{00000000-0005-0000-0000-0000A37F0000}"/>
    <cellStyle name="Normal 3 3 2 9 4 2" xfId="32685" xr:uid="{00000000-0005-0000-0000-0000A47F0000}"/>
    <cellStyle name="Normal 3 3 2 9 4 3" xfId="32686" xr:uid="{00000000-0005-0000-0000-0000A57F0000}"/>
    <cellStyle name="Normal 3 3 2 9 5" xfId="32687" xr:uid="{00000000-0005-0000-0000-0000A67F0000}"/>
    <cellStyle name="Normal 3 3 2 9 5 2" xfId="32688" xr:uid="{00000000-0005-0000-0000-0000A77F0000}"/>
    <cellStyle name="Normal 3 3 2 9 5 3" xfId="32689" xr:uid="{00000000-0005-0000-0000-0000A87F0000}"/>
    <cellStyle name="Normal 3 3 2 9 6" xfId="32690" xr:uid="{00000000-0005-0000-0000-0000A97F0000}"/>
    <cellStyle name="Normal 3 3 2 9 6 2" xfId="32691" xr:uid="{00000000-0005-0000-0000-0000AA7F0000}"/>
    <cellStyle name="Normal 3 3 2 9 6 3" xfId="32692" xr:uid="{00000000-0005-0000-0000-0000AB7F0000}"/>
    <cellStyle name="Normal 3 3 2 9 7" xfId="32693" xr:uid="{00000000-0005-0000-0000-0000AC7F0000}"/>
    <cellStyle name="Normal 3 3 2 9 7 2" xfId="32694" xr:uid="{00000000-0005-0000-0000-0000AD7F0000}"/>
    <cellStyle name="Normal 3 3 2 9 7 3" xfId="32695" xr:uid="{00000000-0005-0000-0000-0000AE7F0000}"/>
    <cellStyle name="Normal 3 3 2 9 8" xfId="32696" xr:uid="{00000000-0005-0000-0000-0000AF7F0000}"/>
    <cellStyle name="Normal 3 3 2 9 8 2" xfId="32697" xr:uid="{00000000-0005-0000-0000-0000B07F0000}"/>
    <cellStyle name="Normal 3 3 2 9 8 3" xfId="32698" xr:uid="{00000000-0005-0000-0000-0000B17F0000}"/>
    <cellStyle name="Normal 3 3 2 9 9" xfId="32699" xr:uid="{00000000-0005-0000-0000-0000B27F0000}"/>
    <cellStyle name="Normal 3 3 2 9 9 2" xfId="32700" xr:uid="{00000000-0005-0000-0000-0000B37F0000}"/>
    <cellStyle name="Normal 3 3 2 9 9 3" xfId="32701" xr:uid="{00000000-0005-0000-0000-0000B47F0000}"/>
    <cellStyle name="Normal 3 3 20" xfId="32702" xr:uid="{00000000-0005-0000-0000-0000B57F0000}"/>
    <cellStyle name="Normal 3 3 20 10" xfId="32703" xr:uid="{00000000-0005-0000-0000-0000B67F0000}"/>
    <cellStyle name="Normal 3 3 20 10 2" xfId="32704" xr:uid="{00000000-0005-0000-0000-0000B77F0000}"/>
    <cellStyle name="Normal 3 3 20 10 3" xfId="32705" xr:uid="{00000000-0005-0000-0000-0000B87F0000}"/>
    <cellStyle name="Normal 3 3 20 11" xfId="32706" xr:uid="{00000000-0005-0000-0000-0000B97F0000}"/>
    <cellStyle name="Normal 3 3 20 11 2" xfId="32707" xr:uid="{00000000-0005-0000-0000-0000BA7F0000}"/>
    <cellStyle name="Normal 3 3 20 11 3" xfId="32708" xr:uid="{00000000-0005-0000-0000-0000BB7F0000}"/>
    <cellStyle name="Normal 3 3 20 12" xfId="32709" xr:uid="{00000000-0005-0000-0000-0000BC7F0000}"/>
    <cellStyle name="Normal 3 3 20 12 2" xfId="32710" xr:uid="{00000000-0005-0000-0000-0000BD7F0000}"/>
    <cellStyle name="Normal 3 3 20 12 3" xfId="32711" xr:uid="{00000000-0005-0000-0000-0000BE7F0000}"/>
    <cellStyle name="Normal 3 3 20 13" xfId="32712" xr:uid="{00000000-0005-0000-0000-0000BF7F0000}"/>
    <cellStyle name="Normal 3 3 20 13 2" xfId="32713" xr:uid="{00000000-0005-0000-0000-0000C07F0000}"/>
    <cellStyle name="Normal 3 3 20 13 3" xfId="32714" xr:uid="{00000000-0005-0000-0000-0000C17F0000}"/>
    <cellStyle name="Normal 3 3 20 14" xfId="32715" xr:uid="{00000000-0005-0000-0000-0000C27F0000}"/>
    <cellStyle name="Normal 3 3 20 14 2" xfId="32716" xr:uid="{00000000-0005-0000-0000-0000C37F0000}"/>
    <cellStyle name="Normal 3 3 20 14 3" xfId="32717" xr:uid="{00000000-0005-0000-0000-0000C47F0000}"/>
    <cellStyle name="Normal 3 3 20 15" xfId="32718" xr:uid="{00000000-0005-0000-0000-0000C57F0000}"/>
    <cellStyle name="Normal 3 3 20 15 2" xfId="32719" xr:uid="{00000000-0005-0000-0000-0000C67F0000}"/>
    <cellStyle name="Normal 3 3 20 15 3" xfId="32720" xr:uid="{00000000-0005-0000-0000-0000C77F0000}"/>
    <cellStyle name="Normal 3 3 20 16" xfId="32721" xr:uid="{00000000-0005-0000-0000-0000C87F0000}"/>
    <cellStyle name="Normal 3 3 20 17" xfId="32722" xr:uid="{00000000-0005-0000-0000-0000C97F0000}"/>
    <cellStyle name="Normal 3 3 20 2" xfId="32723" xr:uid="{00000000-0005-0000-0000-0000CA7F0000}"/>
    <cellStyle name="Normal 3 3 20 2 10" xfId="32724" xr:uid="{00000000-0005-0000-0000-0000CB7F0000}"/>
    <cellStyle name="Normal 3 3 20 2 10 2" xfId="32725" xr:uid="{00000000-0005-0000-0000-0000CC7F0000}"/>
    <cellStyle name="Normal 3 3 20 2 10 3" xfId="32726" xr:uid="{00000000-0005-0000-0000-0000CD7F0000}"/>
    <cellStyle name="Normal 3 3 20 2 11" xfId="32727" xr:uid="{00000000-0005-0000-0000-0000CE7F0000}"/>
    <cellStyle name="Normal 3 3 20 2 11 2" xfId="32728" xr:uid="{00000000-0005-0000-0000-0000CF7F0000}"/>
    <cellStyle name="Normal 3 3 20 2 11 3" xfId="32729" xr:uid="{00000000-0005-0000-0000-0000D07F0000}"/>
    <cellStyle name="Normal 3 3 20 2 12" xfId="32730" xr:uid="{00000000-0005-0000-0000-0000D17F0000}"/>
    <cellStyle name="Normal 3 3 20 2 12 2" xfId="32731" xr:uid="{00000000-0005-0000-0000-0000D27F0000}"/>
    <cellStyle name="Normal 3 3 20 2 12 3" xfId="32732" xr:uid="{00000000-0005-0000-0000-0000D37F0000}"/>
    <cellStyle name="Normal 3 3 20 2 13" xfId="32733" xr:uid="{00000000-0005-0000-0000-0000D47F0000}"/>
    <cellStyle name="Normal 3 3 20 2 13 2" xfId="32734" xr:uid="{00000000-0005-0000-0000-0000D57F0000}"/>
    <cellStyle name="Normal 3 3 20 2 13 3" xfId="32735" xr:uid="{00000000-0005-0000-0000-0000D67F0000}"/>
    <cellStyle name="Normal 3 3 20 2 14" xfId="32736" xr:uid="{00000000-0005-0000-0000-0000D77F0000}"/>
    <cellStyle name="Normal 3 3 20 2 14 2" xfId="32737" xr:uid="{00000000-0005-0000-0000-0000D87F0000}"/>
    <cellStyle name="Normal 3 3 20 2 14 3" xfId="32738" xr:uid="{00000000-0005-0000-0000-0000D97F0000}"/>
    <cellStyle name="Normal 3 3 20 2 15" xfId="32739" xr:uid="{00000000-0005-0000-0000-0000DA7F0000}"/>
    <cellStyle name="Normal 3 3 20 2 16" xfId="32740" xr:uid="{00000000-0005-0000-0000-0000DB7F0000}"/>
    <cellStyle name="Normal 3 3 20 2 2" xfId="32741" xr:uid="{00000000-0005-0000-0000-0000DC7F0000}"/>
    <cellStyle name="Normal 3 3 20 2 2 2" xfId="32742" xr:uid="{00000000-0005-0000-0000-0000DD7F0000}"/>
    <cellStyle name="Normal 3 3 20 2 2 3" xfId="32743" xr:uid="{00000000-0005-0000-0000-0000DE7F0000}"/>
    <cellStyle name="Normal 3 3 20 2 3" xfId="32744" xr:uid="{00000000-0005-0000-0000-0000DF7F0000}"/>
    <cellStyle name="Normal 3 3 20 2 3 2" xfId="32745" xr:uid="{00000000-0005-0000-0000-0000E07F0000}"/>
    <cellStyle name="Normal 3 3 20 2 3 3" xfId="32746" xr:uid="{00000000-0005-0000-0000-0000E17F0000}"/>
    <cellStyle name="Normal 3 3 20 2 4" xfId="32747" xr:uid="{00000000-0005-0000-0000-0000E27F0000}"/>
    <cellStyle name="Normal 3 3 20 2 4 2" xfId="32748" xr:uid="{00000000-0005-0000-0000-0000E37F0000}"/>
    <cellStyle name="Normal 3 3 20 2 4 3" xfId="32749" xr:uid="{00000000-0005-0000-0000-0000E47F0000}"/>
    <cellStyle name="Normal 3 3 20 2 5" xfId="32750" xr:uid="{00000000-0005-0000-0000-0000E57F0000}"/>
    <cellStyle name="Normal 3 3 20 2 5 2" xfId="32751" xr:uid="{00000000-0005-0000-0000-0000E67F0000}"/>
    <cellStyle name="Normal 3 3 20 2 5 3" xfId="32752" xr:uid="{00000000-0005-0000-0000-0000E77F0000}"/>
    <cellStyle name="Normal 3 3 20 2 6" xfId="32753" xr:uid="{00000000-0005-0000-0000-0000E87F0000}"/>
    <cellStyle name="Normal 3 3 20 2 6 2" xfId="32754" xr:uid="{00000000-0005-0000-0000-0000E97F0000}"/>
    <cellStyle name="Normal 3 3 20 2 6 3" xfId="32755" xr:uid="{00000000-0005-0000-0000-0000EA7F0000}"/>
    <cellStyle name="Normal 3 3 20 2 7" xfId="32756" xr:uid="{00000000-0005-0000-0000-0000EB7F0000}"/>
    <cellStyle name="Normal 3 3 20 2 7 2" xfId="32757" xr:uid="{00000000-0005-0000-0000-0000EC7F0000}"/>
    <cellStyle name="Normal 3 3 20 2 7 3" xfId="32758" xr:uid="{00000000-0005-0000-0000-0000ED7F0000}"/>
    <cellStyle name="Normal 3 3 20 2 8" xfId="32759" xr:uid="{00000000-0005-0000-0000-0000EE7F0000}"/>
    <cellStyle name="Normal 3 3 20 2 8 2" xfId="32760" xr:uid="{00000000-0005-0000-0000-0000EF7F0000}"/>
    <cellStyle name="Normal 3 3 20 2 8 3" xfId="32761" xr:uid="{00000000-0005-0000-0000-0000F07F0000}"/>
    <cellStyle name="Normal 3 3 20 2 9" xfId="32762" xr:uid="{00000000-0005-0000-0000-0000F17F0000}"/>
    <cellStyle name="Normal 3 3 20 2 9 2" xfId="32763" xr:uid="{00000000-0005-0000-0000-0000F27F0000}"/>
    <cellStyle name="Normal 3 3 20 2 9 3" xfId="32764" xr:uid="{00000000-0005-0000-0000-0000F37F0000}"/>
    <cellStyle name="Normal 3 3 20 3" xfId="32765" xr:uid="{00000000-0005-0000-0000-0000F47F0000}"/>
    <cellStyle name="Normal 3 3 20 3 2" xfId="32766" xr:uid="{00000000-0005-0000-0000-0000F57F0000}"/>
    <cellStyle name="Normal 3 3 20 3 3" xfId="32767" xr:uid="{00000000-0005-0000-0000-0000F67F0000}"/>
    <cellStyle name="Normal 3 3 20 4" xfId="32768" xr:uid="{00000000-0005-0000-0000-0000F77F0000}"/>
    <cellStyle name="Normal 3 3 20 4 2" xfId="32769" xr:uid="{00000000-0005-0000-0000-0000F87F0000}"/>
    <cellStyle name="Normal 3 3 20 4 3" xfId="32770" xr:uid="{00000000-0005-0000-0000-0000F97F0000}"/>
    <cellStyle name="Normal 3 3 20 5" xfId="32771" xr:uid="{00000000-0005-0000-0000-0000FA7F0000}"/>
    <cellStyle name="Normal 3 3 20 5 2" xfId="32772" xr:uid="{00000000-0005-0000-0000-0000FB7F0000}"/>
    <cellStyle name="Normal 3 3 20 5 3" xfId="32773" xr:uid="{00000000-0005-0000-0000-0000FC7F0000}"/>
    <cellStyle name="Normal 3 3 20 6" xfId="32774" xr:uid="{00000000-0005-0000-0000-0000FD7F0000}"/>
    <cellStyle name="Normal 3 3 20 6 2" xfId="32775" xr:uid="{00000000-0005-0000-0000-0000FE7F0000}"/>
    <cellStyle name="Normal 3 3 20 6 3" xfId="32776" xr:uid="{00000000-0005-0000-0000-0000FF7F0000}"/>
    <cellStyle name="Normal 3 3 20 7" xfId="32777" xr:uid="{00000000-0005-0000-0000-000000800000}"/>
    <cellStyle name="Normal 3 3 20 7 2" xfId="32778" xr:uid="{00000000-0005-0000-0000-000001800000}"/>
    <cellStyle name="Normal 3 3 20 7 3" xfId="32779" xr:uid="{00000000-0005-0000-0000-000002800000}"/>
    <cellStyle name="Normal 3 3 20 8" xfId="32780" xr:uid="{00000000-0005-0000-0000-000003800000}"/>
    <cellStyle name="Normal 3 3 20 8 2" xfId="32781" xr:uid="{00000000-0005-0000-0000-000004800000}"/>
    <cellStyle name="Normal 3 3 20 8 3" xfId="32782" xr:uid="{00000000-0005-0000-0000-000005800000}"/>
    <cellStyle name="Normal 3 3 20 9" xfId="32783" xr:uid="{00000000-0005-0000-0000-000006800000}"/>
    <cellStyle name="Normal 3 3 20 9 2" xfId="32784" xr:uid="{00000000-0005-0000-0000-000007800000}"/>
    <cellStyle name="Normal 3 3 20 9 3" xfId="32785" xr:uid="{00000000-0005-0000-0000-000008800000}"/>
    <cellStyle name="Normal 3 3 21" xfId="32786" xr:uid="{00000000-0005-0000-0000-000009800000}"/>
    <cellStyle name="Normal 3 3 21 10" xfId="32787" xr:uid="{00000000-0005-0000-0000-00000A800000}"/>
    <cellStyle name="Normal 3 3 21 10 2" xfId="32788" xr:uid="{00000000-0005-0000-0000-00000B800000}"/>
    <cellStyle name="Normal 3 3 21 10 3" xfId="32789" xr:uid="{00000000-0005-0000-0000-00000C800000}"/>
    <cellStyle name="Normal 3 3 21 11" xfId="32790" xr:uid="{00000000-0005-0000-0000-00000D800000}"/>
    <cellStyle name="Normal 3 3 21 11 2" xfId="32791" xr:uid="{00000000-0005-0000-0000-00000E800000}"/>
    <cellStyle name="Normal 3 3 21 11 3" xfId="32792" xr:uid="{00000000-0005-0000-0000-00000F800000}"/>
    <cellStyle name="Normal 3 3 21 12" xfId="32793" xr:uid="{00000000-0005-0000-0000-000010800000}"/>
    <cellStyle name="Normal 3 3 21 12 2" xfId="32794" xr:uid="{00000000-0005-0000-0000-000011800000}"/>
    <cellStyle name="Normal 3 3 21 12 3" xfId="32795" xr:uid="{00000000-0005-0000-0000-000012800000}"/>
    <cellStyle name="Normal 3 3 21 13" xfId="32796" xr:uid="{00000000-0005-0000-0000-000013800000}"/>
    <cellStyle name="Normal 3 3 21 13 2" xfId="32797" xr:uid="{00000000-0005-0000-0000-000014800000}"/>
    <cellStyle name="Normal 3 3 21 13 3" xfId="32798" xr:uid="{00000000-0005-0000-0000-000015800000}"/>
    <cellStyle name="Normal 3 3 21 14" xfId="32799" xr:uid="{00000000-0005-0000-0000-000016800000}"/>
    <cellStyle name="Normal 3 3 21 14 2" xfId="32800" xr:uid="{00000000-0005-0000-0000-000017800000}"/>
    <cellStyle name="Normal 3 3 21 14 3" xfId="32801" xr:uid="{00000000-0005-0000-0000-000018800000}"/>
    <cellStyle name="Normal 3 3 21 15" xfId="32802" xr:uid="{00000000-0005-0000-0000-000019800000}"/>
    <cellStyle name="Normal 3 3 21 15 2" xfId="32803" xr:uid="{00000000-0005-0000-0000-00001A800000}"/>
    <cellStyle name="Normal 3 3 21 15 3" xfId="32804" xr:uid="{00000000-0005-0000-0000-00001B800000}"/>
    <cellStyle name="Normal 3 3 21 16" xfId="32805" xr:uid="{00000000-0005-0000-0000-00001C800000}"/>
    <cellStyle name="Normal 3 3 21 17" xfId="32806" xr:uid="{00000000-0005-0000-0000-00001D800000}"/>
    <cellStyle name="Normal 3 3 21 2" xfId="32807" xr:uid="{00000000-0005-0000-0000-00001E800000}"/>
    <cellStyle name="Normal 3 3 21 2 10" xfId="32808" xr:uid="{00000000-0005-0000-0000-00001F800000}"/>
    <cellStyle name="Normal 3 3 21 2 10 2" xfId="32809" xr:uid="{00000000-0005-0000-0000-000020800000}"/>
    <cellStyle name="Normal 3 3 21 2 10 3" xfId="32810" xr:uid="{00000000-0005-0000-0000-000021800000}"/>
    <cellStyle name="Normal 3 3 21 2 11" xfId="32811" xr:uid="{00000000-0005-0000-0000-000022800000}"/>
    <cellStyle name="Normal 3 3 21 2 11 2" xfId="32812" xr:uid="{00000000-0005-0000-0000-000023800000}"/>
    <cellStyle name="Normal 3 3 21 2 11 3" xfId="32813" xr:uid="{00000000-0005-0000-0000-000024800000}"/>
    <cellStyle name="Normal 3 3 21 2 12" xfId="32814" xr:uid="{00000000-0005-0000-0000-000025800000}"/>
    <cellStyle name="Normal 3 3 21 2 12 2" xfId="32815" xr:uid="{00000000-0005-0000-0000-000026800000}"/>
    <cellStyle name="Normal 3 3 21 2 12 3" xfId="32816" xr:uid="{00000000-0005-0000-0000-000027800000}"/>
    <cellStyle name="Normal 3 3 21 2 13" xfId="32817" xr:uid="{00000000-0005-0000-0000-000028800000}"/>
    <cellStyle name="Normal 3 3 21 2 13 2" xfId="32818" xr:uid="{00000000-0005-0000-0000-000029800000}"/>
    <cellStyle name="Normal 3 3 21 2 13 3" xfId="32819" xr:uid="{00000000-0005-0000-0000-00002A800000}"/>
    <cellStyle name="Normal 3 3 21 2 14" xfId="32820" xr:uid="{00000000-0005-0000-0000-00002B800000}"/>
    <cellStyle name="Normal 3 3 21 2 14 2" xfId="32821" xr:uid="{00000000-0005-0000-0000-00002C800000}"/>
    <cellStyle name="Normal 3 3 21 2 14 3" xfId="32822" xr:uid="{00000000-0005-0000-0000-00002D800000}"/>
    <cellStyle name="Normal 3 3 21 2 15" xfId="32823" xr:uid="{00000000-0005-0000-0000-00002E800000}"/>
    <cellStyle name="Normal 3 3 21 2 16" xfId="32824" xr:uid="{00000000-0005-0000-0000-00002F800000}"/>
    <cellStyle name="Normal 3 3 21 2 2" xfId="32825" xr:uid="{00000000-0005-0000-0000-000030800000}"/>
    <cellStyle name="Normal 3 3 21 2 2 2" xfId="32826" xr:uid="{00000000-0005-0000-0000-000031800000}"/>
    <cellStyle name="Normal 3 3 21 2 2 3" xfId="32827" xr:uid="{00000000-0005-0000-0000-000032800000}"/>
    <cellStyle name="Normal 3 3 21 2 3" xfId="32828" xr:uid="{00000000-0005-0000-0000-000033800000}"/>
    <cellStyle name="Normal 3 3 21 2 3 2" xfId="32829" xr:uid="{00000000-0005-0000-0000-000034800000}"/>
    <cellStyle name="Normal 3 3 21 2 3 3" xfId="32830" xr:uid="{00000000-0005-0000-0000-000035800000}"/>
    <cellStyle name="Normal 3 3 21 2 4" xfId="32831" xr:uid="{00000000-0005-0000-0000-000036800000}"/>
    <cellStyle name="Normal 3 3 21 2 4 2" xfId="32832" xr:uid="{00000000-0005-0000-0000-000037800000}"/>
    <cellStyle name="Normal 3 3 21 2 4 3" xfId="32833" xr:uid="{00000000-0005-0000-0000-000038800000}"/>
    <cellStyle name="Normal 3 3 21 2 5" xfId="32834" xr:uid="{00000000-0005-0000-0000-000039800000}"/>
    <cellStyle name="Normal 3 3 21 2 5 2" xfId="32835" xr:uid="{00000000-0005-0000-0000-00003A800000}"/>
    <cellStyle name="Normal 3 3 21 2 5 3" xfId="32836" xr:uid="{00000000-0005-0000-0000-00003B800000}"/>
    <cellStyle name="Normal 3 3 21 2 6" xfId="32837" xr:uid="{00000000-0005-0000-0000-00003C800000}"/>
    <cellStyle name="Normal 3 3 21 2 6 2" xfId="32838" xr:uid="{00000000-0005-0000-0000-00003D800000}"/>
    <cellStyle name="Normal 3 3 21 2 6 3" xfId="32839" xr:uid="{00000000-0005-0000-0000-00003E800000}"/>
    <cellStyle name="Normal 3 3 21 2 7" xfId="32840" xr:uid="{00000000-0005-0000-0000-00003F800000}"/>
    <cellStyle name="Normal 3 3 21 2 7 2" xfId="32841" xr:uid="{00000000-0005-0000-0000-000040800000}"/>
    <cellStyle name="Normal 3 3 21 2 7 3" xfId="32842" xr:uid="{00000000-0005-0000-0000-000041800000}"/>
    <cellStyle name="Normal 3 3 21 2 8" xfId="32843" xr:uid="{00000000-0005-0000-0000-000042800000}"/>
    <cellStyle name="Normal 3 3 21 2 8 2" xfId="32844" xr:uid="{00000000-0005-0000-0000-000043800000}"/>
    <cellStyle name="Normal 3 3 21 2 8 3" xfId="32845" xr:uid="{00000000-0005-0000-0000-000044800000}"/>
    <cellStyle name="Normal 3 3 21 2 9" xfId="32846" xr:uid="{00000000-0005-0000-0000-000045800000}"/>
    <cellStyle name="Normal 3 3 21 2 9 2" xfId="32847" xr:uid="{00000000-0005-0000-0000-000046800000}"/>
    <cellStyle name="Normal 3 3 21 2 9 3" xfId="32848" xr:uid="{00000000-0005-0000-0000-000047800000}"/>
    <cellStyle name="Normal 3 3 21 3" xfId="32849" xr:uid="{00000000-0005-0000-0000-000048800000}"/>
    <cellStyle name="Normal 3 3 21 3 2" xfId="32850" xr:uid="{00000000-0005-0000-0000-000049800000}"/>
    <cellStyle name="Normal 3 3 21 3 3" xfId="32851" xr:uid="{00000000-0005-0000-0000-00004A800000}"/>
    <cellStyle name="Normal 3 3 21 4" xfId="32852" xr:uid="{00000000-0005-0000-0000-00004B800000}"/>
    <cellStyle name="Normal 3 3 21 4 2" xfId="32853" xr:uid="{00000000-0005-0000-0000-00004C800000}"/>
    <cellStyle name="Normal 3 3 21 4 3" xfId="32854" xr:uid="{00000000-0005-0000-0000-00004D800000}"/>
    <cellStyle name="Normal 3 3 21 5" xfId="32855" xr:uid="{00000000-0005-0000-0000-00004E800000}"/>
    <cellStyle name="Normal 3 3 21 5 2" xfId="32856" xr:uid="{00000000-0005-0000-0000-00004F800000}"/>
    <cellStyle name="Normal 3 3 21 5 3" xfId="32857" xr:uid="{00000000-0005-0000-0000-000050800000}"/>
    <cellStyle name="Normal 3 3 21 6" xfId="32858" xr:uid="{00000000-0005-0000-0000-000051800000}"/>
    <cellStyle name="Normal 3 3 21 6 2" xfId="32859" xr:uid="{00000000-0005-0000-0000-000052800000}"/>
    <cellStyle name="Normal 3 3 21 6 3" xfId="32860" xr:uid="{00000000-0005-0000-0000-000053800000}"/>
    <cellStyle name="Normal 3 3 21 7" xfId="32861" xr:uid="{00000000-0005-0000-0000-000054800000}"/>
    <cellStyle name="Normal 3 3 21 7 2" xfId="32862" xr:uid="{00000000-0005-0000-0000-000055800000}"/>
    <cellStyle name="Normal 3 3 21 7 3" xfId="32863" xr:uid="{00000000-0005-0000-0000-000056800000}"/>
    <cellStyle name="Normal 3 3 21 8" xfId="32864" xr:uid="{00000000-0005-0000-0000-000057800000}"/>
    <cellStyle name="Normal 3 3 21 8 2" xfId="32865" xr:uid="{00000000-0005-0000-0000-000058800000}"/>
    <cellStyle name="Normal 3 3 21 8 3" xfId="32866" xr:uid="{00000000-0005-0000-0000-000059800000}"/>
    <cellStyle name="Normal 3 3 21 9" xfId="32867" xr:uid="{00000000-0005-0000-0000-00005A800000}"/>
    <cellStyle name="Normal 3 3 21 9 2" xfId="32868" xr:uid="{00000000-0005-0000-0000-00005B800000}"/>
    <cellStyle name="Normal 3 3 21 9 3" xfId="32869" xr:uid="{00000000-0005-0000-0000-00005C800000}"/>
    <cellStyle name="Normal 3 3 22" xfId="32870" xr:uid="{00000000-0005-0000-0000-00005D800000}"/>
    <cellStyle name="Normal 3 3 22 10" xfId="32871" xr:uid="{00000000-0005-0000-0000-00005E800000}"/>
    <cellStyle name="Normal 3 3 22 10 2" xfId="32872" xr:uid="{00000000-0005-0000-0000-00005F800000}"/>
    <cellStyle name="Normal 3 3 22 10 3" xfId="32873" xr:uid="{00000000-0005-0000-0000-000060800000}"/>
    <cellStyle name="Normal 3 3 22 11" xfId="32874" xr:uid="{00000000-0005-0000-0000-000061800000}"/>
    <cellStyle name="Normal 3 3 22 11 2" xfId="32875" xr:uid="{00000000-0005-0000-0000-000062800000}"/>
    <cellStyle name="Normal 3 3 22 11 3" xfId="32876" xr:uid="{00000000-0005-0000-0000-000063800000}"/>
    <cellStyle name="Normal 3 3 22 12" xfId="32877" xr:uid="{00000000-0005-0000-0000-000064800000}"/>
    <cellStyle name="Normal 3 3 22 12 2" xfId="32878" xr:uid="{00000000-0005-0000-0000-000065800000}"/>
    <cellStyle name="Normal 3 3 22 12 3" xfId="32879" xr:uid="{00000000-0005-0000-0000-000066800000}"/>
    <cellStyle name="Normal 3 3 22 13" xfId="32880" xr:uid="{00000000-0005-0000-0000-000067800000}"/>
    <cellStyle name="Normal 3 3 22 13 2" xfId="32881" xr:uid="{00000000-0005-0000-0000-000068800000}"/>
    <cellStyle name="Normal 3 3 22 13 3" xfId="32882" xr:uid="{00000000-0005-0000-0000-000069800000}"/>
    <cellStyle name="Normal 3 3 22 14" xfId="32883" xr:uid="{00000000-0005-0000-0000-00006A800000}"/>
    <cellStyle name="Normal 3 3 22 14 2" xfId="32884" xr:uid="{00000000-0005-0000-0000-00006B800000}"/>
    <cellStyle name="Normal 3 3 22 14 3" xfId="32885" xr:uid="{00000000-0005-0000-0000-00006C800000}"/>
    <cellStyle name="Normal 3 3 22 15" xfId="32886" xr:uid="{00000000-0005-0000-0000-00006D800000}"/>
    <cellStyle name="Normal 3 3 22 16" xfId="32887" xr:uid="{00000000-0005-0000-0000-00006E800000}"/>
    <cellStyle name="Normal 3 3 22 2" xfId="32888" xr:uid="{00000000-0005-0000-0000-00006F800000}"/>
    <cellStyle name="Normal 3 3 22 2 2" xfId="32889" xr:uid="{00000000-0005-0000-0000-000070800000}"/>
    <cellStyle name="Normal 3 3 22 2 3" xfId="32890" xr:uid="{00000000-0005-0000-0000-000071800000}"/>
    <cellStyle name="Normal 3 3 22 3" xfId="32891" xr:uid="{00000000-0005-0000-0000-000072800000}"/>
    <cellStyle name="Normal 3 3 22 3 2" xfId="32892" xr:uid="{00000000-0005-0000-0000-000073800000}"/>
    <cellStyle name="Normal 3 3 22 3 3" xfId="32893" xr:uid="{00000000-0005-0000-0000-000074800000}"/>
    <cellStyle name="Normal 3 3 22 4" xfId="32894" xr:uid="{00000000-0005-0000-0000-000075800000}"/>
    <cellStyle name="Normal 3 3 22 4 2" xfId="32895" xr:uid="{00000000-0005-0000-0000-000076800000}"/>
    <cellStyle name="Normal 3 3 22 4 3" xfId="32896" xr:uid="{00000000-0005-0000-0000-000077800000}"/>
    <cellStyle name="Normal 3 3 22 5" xfId="32897" xr:uid="{00000000-0005-0000-0000-000078800000}"/>
    <cellStyle name="Normal 3 3 22 5 2" xfId="32898" xr:uid="{00000000-0005-0000-0000-000079800000}"/>
    <cellStyle name="Normal 3 3 22 5 3" xfId="32899" xr:uid="{00000000-0005-0000-0000-00007A800000}"/>
    <cellStyle name="Normal 3 3 22 6" xfId="32900" xr:uid="{00000000-0005-0000-0000-00007B800000}"/>
    <cellStyle name="Normal 3 3 22 6 2" xfId="32901" xr:uid="{00000000-0005-0000-0000-00007C800000}"/>
    <cellStyle name="Normal 3 3 22 6 3" xfId="32902" xr:uid="{00000000-0005-0000-0000-00007D800000}"/>
    <cellStyle name="Normal 3 3 22 7" xfId="32903" xr:uid="{00000000-0005-0000-0000-00007E800000}"/>
    <cellStyle name="Normal 3 3 22 7 2" xfId="32904" xr:uid="{00000000-0005-0000-0000-00007F800000}"/>
    <cellStyle name="Normal 3 3 22 7 3" xfId="32905" xr:uid="{00000000-0005-0000-0000-000080800000}"/>
    <cellStyle name="Normal 3 3 22 8" xfId="32906" xr:uid="{00000000-0005-0000-0000-000081800000}"/>
    <cellStyle name="Normal 3 3 22 8 2" xfId="32907" xr:uid="{00000000-0005-0000-0000-000082800000}"/>
    <cellStyle name="Normal 3 3 22 8 3" xfId="32908" xr:uid="{00000000-0005-0000-0000-000083800000}"/>
    <cellStyle name="Normal 3 3 22 9" xfId="32909" xr:uid="{00000000-0005-0000-0000-000084800000}"/>
    <cellStyle name="Normal 3 3 22 9 2" xfId="32910" xr:uid="{00000000-0005-0000-0000-000085800000}"/>
    <cellStyle name="Normal 3 3 22 9 3" xfId="32911" xr:uid="{00000000-0005-0000-0000-000086800000}"/>
    <cellStyle name="Normal 3 3 23" xfId="32912" xr:uid="{00000000-0005-0000-0000-000087800000}"/>
    <cellStyle name="Normal 3 3 23 10" xfId="32913" xr:uid="{00000000-0005-0000-0000-000088800000}"/>
    <cellStyle name="Normal 3 3 23 10 2" xfId="32914" xr:uid="{00000000-0005-0000-0000-000089800000}"/>
    <cellStyle name="Normal 3 3 23 10 3" xfId="32915" xr:uid="{00000000-0005-0000-0000-00008A800000}"/>
    <cellStyle name="Normal 3 3 23 11" xfId="32916" xr:uid="{00000000-0005-0000-0000-00008B800000}"/>
    <cellStyle name="Normal 3 3 23 11 2" xfId="32917" xr:uid="{00000000-0005-0000-0000-00008C800000}"/>
    <cellStyle name="Normal 3 3 23 11 3" xfId="32918" xr:uid="{00000000-0005-0000-0000-00008D800000}"/>
    <cellStyle name="Normal 3 3 23 12" xfId="32919" xr:uid="{00000000-0005-0000-0000-00008E800000}"/>
    <cellStyle name="Normal 3 3 23 12 2" xfId="32920" xr:uid="{00000000-0005-0000-0000-00008F800000}"/>
    <cellStyle name="Normal 3 3 23 12 3" xfId="32921" xr:uid="{00000000-0005-0000-0000-000090800000}"/>
    <cellStyle name="Normal 3 3 23 13" xfId="32922" xr:uid="{00000000-0005-0000-0000-000091800000}"/>
    <cellStyle name="Normal 3 3 23 13 2" xfId="32923" xr:uid="{00000000-0005-0000-0000-000092800000}"/>
    <cellStyle name="Normal 3 3 23 13 3" xfId="32924" xr:uid="{00000000-0005-0000-0000-000093800000}"/>
    <cellStyle name="Normal 3 3 23 14" xfId="32925" xr:uid="{00000000-0005-0000-0000-000094800000}"/>
    <cellStyle name="Normal 3 3 23 14 2" xfId="32926" xr:uid="{00000000-0005-0000-0000-000095800000}"/>
    <cellStyle name="Normal 3 3 23 14 3" xfId="32927" xr:uid="{00000000-0005-0000-0000-000096800000}"/>
    <cellStyle name="Normal 3 3 23 15" xfId="32928" xr:uid="{00000000-0005-0000-0000-000097800000}"/>
    <cellStyle name="Normal 3 3 23 16" xfId="32929" xr:uid="{00000000-0005-0000-0000-000098800000}"/>
    <cellStyle name="Normal 3 3 23 2" xfId="32930" xr:uid="{00000000-0005-0000-0000-000099800000}"/>
    <cellStyle name="Normal 3 3 23 2 2" xfId="32931" xr:uid="{00000000-0005-0000-0000-00009A800000}"/>
    <cellStyle name="Normal 3 3 23 2 3" xfId="32932" xr:uid="{00000000-0005-0000-0000-00009B800000}"/>
    <cellStyle name="Normal 3 3 23 3" xfId="32933" xr:uid="{00000000-0005-0000-0000-00009C800000}"/>
    <cellStyle name="Normal 3 3 23 3 2" xfId="32934" xr:uid="{00000000-0005-0000-0000-00009D800000}"/>
    <cellStyle name="Normal 3 3 23 3 3" xfId="32935" xr:uid="{00000000-0005-0000-0000-00009E800000}"/>
    <cellStyle name="Normal 3 3 23 4" xfId="32936" xr:uid="{00000000-0005-0000-0000-00009F800000}"/>
    <cellStyle name="Normal 3 3 23 4 2" xfId="32937" xr:uid="{00000000-0005-0000-0000-0000A0800000}"/>
    <cellStyle name="Normal 3 3 23 4 3" xfId="32938" xr:uid="{00000000-0005-0000-0000-0000A1800000}"/>
    <cellStyle name="Normal 3 3 23 5" xfId="32939" xr:uid="{00000000-0005-0000-0000-0000A2800000}"/>
    <cellStyle name="Normal 3 3 23 5 2" xfId="32940" xr:uid="{00000000-0005-0000-0000-0000A3800000}"/>
    <cellStyle name="Normal 3 3 23 5 3" xfId="32941" xr:uid="{00000000-0005-0000-0000-0000A4800000}"/>
    <cellStyle name="Normal 3 3 23 6" xfId="32942" xr:uid="{00000000-0005-0000-0000-0000A5800000}"/>
    <cellStyle name="Normal 3 3 23 6 2" xfId="32943" xr:uid="{00000000-0005-0000-0000-0000A6800000}"/>
    <cellStyle name="Normal 3 3 23 6 3" xfId="32944" xr:uid="{00000000-0005-0000-0000-0000A7800000}"/>
    <cellStyle name="Normal 3 3 23 7" xfId="32945" xr:uid="{00000000-0005-0000-0000-0000A8800000}"/>
    <cellStyle name="Normal 3 3 23 7 2" xfId="32946" xr:uid="{00000000-0005-0000-0000-0000A9800000}"/>
    <cellStyle name="Normal 3 3 23 7 3" xfId="32947" xr:uid="{00000000-0005-0000-0000-0000AA800000}"/>
    <cellStyle name="Normal 3 3 23 8" xfId="32948" xr:uid="{00000000-0005-0000-0000-0000AB800000}"/>
    <cellStyle name="Normal 3 3 23 8 2" xfId="32949" xr:uid="{00000000-0005-0000-0000-0000AC800000}"/>
    <cellStyle name="Normal 3 3 23 8 3" xfId="32950" xr:uid="{00000000-0005-0000-0000-0000AD800000}"/>
    <cellStyle name="Normal 3 3 23 9" xfId="32951" xr:uid="{00000000-0005-0000-0000-0000AE800000}"/>
    <cellStyle name="Normal 3 3 23 9 2" xfId="32952" xr:uid="{00000000-0005-0000-0000-0000AF800000}"/>
    <cellStyle name="Normal 3 3 23 9 3" xfId="32953" xr:uid="{00000000-0005-0000-0000-0000B0800000}"/>
    <cellStyle name="Normal 3 3 24" xfId="32954" xr:uid="{00000000-0005-0000-0000-0000B1800000}"/>
    <cellStyle name="Normal 3 3 24 10" xfId="32955" xr:uid="{00000000-0005-0000-0000-0000B2800000}"/>
    <cellStyle name="Normal 3 3 24 10 2" xfId="32956" xr:uid="{00000000-0005-0000-0000-0000B3800000}"/>
    <cellStyle name="Normal 3 3 24 10 3" xfId="32957" xr:uid="{00000000-0005-0000-0000-0000B4800000}"/>
    <cellStyle name="Normal 3 3 24 11" xfId="32958" xr:uid="{00000000-0005-0000-0000-0000B5800000}"/>
    <cellStyle name="Normal 3 3 24 11 2" xfId="32959" xr:uid="{00000000-0005-0000-0000-0000B6800000}"/>
    <cellStyle name="Normal 3 3 24 11 3" xfId="32960" xr:uid="{00000000-0005-0000-0000-0000B7800000}"/>
    <cellStyle name="Normal 3 3 24 12" xfId="32961" xr:uid="{00000000-0005-0000-0000-0000B8800000}"/>
    <cellStyle name="Normal 3 3 24 12 2" xfId="32962" xr:uid="{00000000-0005-0000-0000-0000B9800000}"/>
    <cellStyle name="Normal 3 3 24 12 3" xfId="32963" xr:uid="{00000000-0005-0000-0000-0000BA800000}"/>
    <cellStyle name="Normal 3 3 24 13" xfId="32964" xr:uid="{00000000-0005-0000-0000-0000BB800000}"/>
    <cellStyle name="Normal 3 3 24 13 2" xfId="32965" xr:uid="{00000000-0005-0000-0000-0000BC800000}"/>
    <cellStyle name="Normal 3 3 24 13 3" xfId="32966" xr:uid="{00000000-0005-0000-0000-0000BD800000}"/>
    <cellStyle name="Normal 3 3 24 14" xfId="32967" xr:uid="{00000000-0005-0000-0000-0000BE800000}"/>
    <cellStyle name="Normal 3 3 24 14 2" xfId="32968" xr:uid="{00000000-0005-0000-0000-0000BF800000}"/>
    <cellStyle name="Normal 3 3 24 14 3" xfId="32969" xr:uid="{00000000-0005-0000-0000-0000C0800000}"/>
    <cellStyle name="Normal 3 3 24 15" xfId="32970" xr:uid="{00000000-0005-0000-0000-0000C1800000}"/>
    <cellStyle name="Normal 3 3 24 16" xfId="32971" xr:uid="{00000000-0005-0000-0000-0000C2800000}"/>
    <cellStyle name="Normal 3 3 24 2" xfId="32972" xr:uid="{00000000-0005-0000-0000-0000C3800000}"/>
    <cellStyle name="Normal 3 3 24 2 2" xfId="32973" xr:uid="{00000000-0005-0000-0000-0000C4800000}"/>
    <cellStyle name="Normal 3 3 24 2 3" xfId="32974" xr:uid="{00000000-0005-0000-0000-0000C5800000}"/>
    <cellStyle name="Normal 3 3 24 3" xfId="32975" xr:uid="{00000000-0005-0000-0000-0000C6800000}"/>
    <cellStyle name="Normal 3 3 24 3 2" xfId="32976" xr:uid="{00000000-0005-0000-0000-0000C7800000}"/>
    <cellStyle name="Normal 3 3 24 3 3" xfId="32977" xr:uid="{00000000-0005-0000-0000-0000C8800000}"/>
    <cellStyle name="Normal 3 3 24 4" xfId="32978" xr:uid="{00000000-0005-0000-0000-0000C9800000}"/>
    <cellStyle name="Normal 3 3 24 4 2" xfId="32979" xr:uid="{00000000-0005-0000-0000-0000CA800000}"/>
    <cellStyle name="Normal 3 3 24 4 3" xfId="32980" xr:uid="{00000000-0005-0000-0000-0000CB800000}"/>
    <cellStyle name="Normal 3 3 24 5" xfId="32981" xr:uid="{00000000-0005-0000-0000-0000CC800000}"/>
    <cellStyle name="Normal 3 3 24 5 2" xfId="32982" xr:uid="{00000000-0005-0000-0000-0000CD800000}"/>
    <cellStyle name="Normal 3 3 24 5 3" xfId="32983" xr:uid="{00000000-0005-0000-0000-0000CE800000}"/>
    <cellStyle name="Normal 3 3 24 6" xfId="32984" xr:uid="{00000000-0005-0000-0000-0000CF800000}"/>
    <cellStyle name="Normal 3 3 24 6 2" xfId="32985" xr:uid="{00000000-0005-0000-0000-0000D0800000}"/>
    <cellStyle name="Normal 3 3 24 6 3" xfId="32986" xr:uid="{00000000-0005-0000-0000-0000D1800000}"/>
    <cellStyle name="Normal 3 3 24 7" xfId="32987" xr:uid="{00000000-0005-0000-0000-0000D2800000}"/>
    <cellStyle name="Normal 3 3 24 7 2" xfId="32988" xr:uid="{00000000-0005-0000-0000-0000D3800000}"/>
    <cellStyle name="Normal 3 3 24 7 3" xfId="32989" xr:uid="{00000000-0005-0000-0000-0000D4800000}"/>
    <cellStyle name="Normal 3 3 24 8" xfId="32990" xr:uid="{00000000-0005-0000-0000-0000D5800000}"/>
    <cellStyle name="Normal 3 3 24 8 2" xfId="32991" xr:uid="{00000000-0005-0000-0000-0000D6800000}"/>
    <cellStyle name="Normal 3 3 24 8 3" xfId="32992" xr:uid="{00000000-0005-0000-0000-0000D7800000}"/>
    <cellStyle name="Normal 3 3 24 9" xfId="32993" xr:uid="{00000000-0005-0000-0000-0000D8800000}"/>
    <cellStyle name="Normal 3 3 24 9 2" xfId="32994" xr:uid="{00000000-0005-0000-0000-0000D9800000}"/>
    <cellStyle name="Normal 3 3 24 9 3" xfId="32995" xr:uid="{00000000-0005-0000-0000-0000DA800000}"/>
    <cellStyle name="Normal 3 3 25" xfId="32996" xr:uid="{00000000-0005-0000-0000-0000DB800000}"/>
    <cellStyle name="Normal 3 3 25 10" xfId="32997" xr:uid="{00000000-0005-0000-0000-0000DC800000}"/>
    <cellStyle name="Normal 3 3 25 10 2" xfId="32998" xr:uid="{00000000-0005-0000-0000-0000DD800000}"/>
    <cellStyle name="Normal 3 3 25 10 3" xfId="32999" xr:uid="{00000000-0005-0000-0000-0000DE800000}"/>
    <cellStyle name="Normal 3 3 25 11" xfId="33000" xr:uid="{00000000-0005-0000-0000-0000DF800000}"/>
    <cellStyle name="Normal 3 3 25 11 2" xfId="33001" xr:uid="{00000000-0005-0000-0000-0000E0800000}"/>
    <cellStyle name="Normal 3 3 25 11 3" xfId="33002" xr:uid="{00000000-0005-0000-0000-0000E1800000}"/>
    <cellStyle name="Normal 3 3 25 12" xfId="33003" xr:uid="{00000000-0005-0000-0000-0000E2800000}"/>
    <cellStyle name="Normal 3 3 25 12 2" xfId="33004" xr:uid="{00000000-0005-0000-0000-0000E3800000}"/>
    <cellStyle name="Normal 3 3 25 12 3" xfId="33005" xr:uid="{00000000-0005-0000-0000-0000E4800000}"/>
    <cellStyle name="Normal 3 3 25 13" xfId="33006" xr:uid="{00000000-0005-0000-0000-0000E5800000}"/>
    <cellStyle name="Normal 3 3 25 13 2" xfId="33007" xr:uid="{00000000-0005-0000-0000-0000E6800000}"/>
    <cellStyle name="Normal 3 3 25 13 3" xfId="33008" xr:uid="{00000000-0005-0000-0000-0000E7800000}"/>
    <cellStyle name="Normal 3 3 25 14" xfId="33009" xr:uid="{00000000-0005-0000-0000-0000E8800000}"/>
    <cellStyle name="Normal 3 3 25 14 2" xfId="33010" xr:uid="{00000000-0005-0000-0000-0000E9800000}"/>
    <cellStyle name="Normal 3 3 25 14 3" xfId="33011" xr:uid="{00000000-0005-0000-0000-0000EA800000}"/>
    <cellStyle name="Normal 3 3 25 15" xfId="33012" xr:uid="{00000000-0005-0000-0000-0000EB800000}"/>
    <cellStyle name="Normal 3 3 25 16" xfId="33013" xr:uid="{00000000-0005-0000-0000-0000EC800000}"/>
    <cellStyle name="Normal 3 3 25 2" xfId="33014" xr:uid="{00000000-0005-0000-0000-0000ED800000}"/>
    <cellStyle name="Normal 3 3 25 2 2" xfId="33015" xr:uid="{00000000-0005-0000-0000-0000EE800000}"/>
    <cellStyle name="Normal 3 3 25 2 3" xfId="33016" xr:uid="{00000000-0005-0000-0000-0000EF800000}"/>
    <cellStyle name="Normal 3 3 25 3" xfId="33017" xr:uid="{00000000-0005-0000-0000-0000F0800000}"/>
    <cellStyle name="Normal 3 3 25 3 2" xfId="33018" xr:uid="{00000000-0005-0000-0000-0000F1800000}"/>
    <cellStyle name="Normal 3 3 25 3 3" xfId="33019" xr:uid="{00000000-0005-0000-0000-0000F2800000}"/>
    <cellStyle name="Normal 3 3 25 4" xfId="33020" xr:uid="{00000000-0005-0000-0000-0000F3800000}"/>
    <cellStyle name="Normal 3 3 25 4 2" xfId="33021" xr:uid="{00000000-0005-0000-0000-0000F4800000}"/>
    <cellStyle name="Normal 3 3 25 4 3" xfId="33022" xr:uid="{00000000-0005-0000-0000-0000F5800000}"/>
    <cellStyle name="Normal 3 3 25 5" xfId="33023" xr:uid="{00000000-0005-0000-0000-0000F6800000}"/>
    <cellStyle name="Normal 3 3 25 5 2" xfId="33024" xr:uid="{00000000-0005-0000-0000-0000F7800000}"/>
    <cellStyle name="Normal 3 3 25 5 3" xfId="33025" xr:uid="{00000000-0005-0000-0000-0000F8800000}"/>
    <cellStyle name="Normal 3 3 25 6" xfId="33026" xr:uid="{00000000-0005-0000-0000-0000F9800000}"/>
    <cellStyle name="Normal 3 3 25 6 2" xfId="33027" xr:uid="{00000000-0005-0000-0000-0000FA800000}"/>
    <cellStyle name="Normal 3 3 25 6 3" xfId="33028" xr:uid="{00000000-0005-0000-0000-0000FB800000}"/>
    <cellStyle name="Normal 3 3 25 7" xfId="33029" xr:uid="{00000000-0005-0000-0000-0000FC800000}"/>
    <cellStyle name="Normal 3 3 25 7 2" xfId="33030" xr:uid="{00000000-0005-0000-0000-0000FD800000}"/>
    <cellStyle name="Normal 3 3 25 7 3" xfId="33031" xr:uid="{00000000-0005-0000-0000-0000FE800000}"/>
    <cellStyle name="Normal 3 3 25 8" xfId="33032" xr:uid="{00000000-0005-0000-0000-0000FF800000}"/>
    <cellStyle name="Normal 3 3 25 8 2" xfId="33033" xr:uid="{00000000-0005-0000-0000-000000810000}"/>
    <cellStyle name="Normal 3 3 25 8 3" xfId="33034" xr:uid="{00000000-0005-0000-0000-000001810000}"/>
    <cellStyle name="Normal 3 3 25 9" xfId="33035" xr:uid="{00000000-0005-0000-0000-000002810000}"/>
    <cellStyle name="Normal 3 3 25 9 2" xfId="33036" xr:uid="{00000000-0005-0000-0000-000003810000}"/>
    <cellStyle name="Normal 3 3 25 9 3" xfId="33037" xr:uid="{00000000-0005-0000-0000-000004810000}"/>
    <cellStyle name="Normal 3 3 26" xfId="33038" xr:uid="{00000000-0005-0000-0000-000005810000}"/>
    <cellStyle name="Normal 3 3 26 10" xfId="33039" xr:uid="{00000000-0005-0000-0000-000006810000}"/>
    <cellStyle name="Normal 3 3 26 10 2" xfId="33040" xr:uid="{00000000-0005-0000-0000-000007810000}"/>
    <cellStyle name="Normal 3 3 26 10 3" xfId="33041" xr:uid="{00000000-0005-0000-0000-000008810000}"/>
    <cellStyle name="Normal 3 3 26 11" xfId="33042" xr:uid="{00000000-0005-0000-0000-000009810000}"/>
    <cellStyle name="Normal 3 3 26 11 2" xfId="33043" xr:uid="{00000000-0005-0000-0000-00000A810000}"/>
    <cellStyle name="Normal 3 3 26 11 3" xfId="33044" xr:uid="{00000000-0005-0000-0000-00000B810000}"/>
    <cellStyle name="Normal 3 3 26 12" xfId="33045" xr:uid="{00000000-0005-0000-0000-00000C810000}"/>
    <cellStyle name="Normal 3 3 26 12 2" xfId="33046" xr:uid="{00000000-0005-0000-0000-00000D810000}"/>
    <cellStyle name="Normal 3 3 26 12 3" xfId="33047" xr:uid="{00000000-0005-0000-0000-00000E810000}"/>
    <cellStyle name="Normal 3 3 26 13" xfId="33048" xr:uid="{00000000-0005-0000-0000-00000F810000}"/>
    <cellStyle name="Normal 3 3 26 13 2" xfId="33049" xr:uid="{00000000-0005-0000-0000-000010810000}"/>
    <cellStyle name="Normal 3 3 26 13 3" xfId="33050" xr:uid="{00000000-0005-0000-0000-000011810000}"/>
    <cellStyle name="Normal 3 3 26 14" xfId="33051" xr:uid="{00000000-0005-0000-0000-000012810000}"/>
    <cellStyle name="Normal 3 3 26 14 2" xfId="33052" xr:uid="{00000000-0005-0000-0000-000013810000}"/>
    <cellStyle name="Normal 3 3 26 14 3" xfId="33053" xr:uid="{00000000-0005-0000-0000-000014810000}"/>
    <cellStyle name="Normal 3 3 26 15" xfId="33054" xr:uid="{00000000-0005-0000-0000-000015810000}"/>
    <cellStyle name="Normal 3 3 26 16" xfId="33055" xr:uid="{00000000-0005-0000-0000-000016810000}"/>
    <cellStyle name="Normal 3 3 26 2" xfId="33056" xr:uid="{00000000-0005-0000-0000-000017810000}"/>
    <cellStyle name="Normal 3 3 26 2 2" xfId="33057" xr:uid="{00000000-0005-0000-0000-000018810000}"/>
    <cellStyle name="Normal 3 3 26 2 3" xfId="33058" xr:uid="{00000000-0005-0000-0000-000019810000}"/>
    <cellStyle name="Normal 3 3 26 3" xfId="33059" xr:uid="{00000000-0005-0000-0000-00001A810000}"/>
    <cellStyle name="Normal 3 3 26 3 2" xfId="33060" xr:uid="{00000000-0005-0000-0000-00001B810000}"/>
    <cellStyle name="Normal 3 3 26 3 3" xfId="33061" xr:uid="{00000000-0005-0000-0000-00001C810000}"/>
    <cellStyle name="Normal 3 3 26 4" xfId="33062" xr:uid="{00000000-0005-0000-0000-00001D810000}"/>
    <cellStyle name="Normal 3 3 26 4 2" xfId="33063" xr:uid="{00000000-0005-0000-0000-00001E810000}"/>
    <cellStyle name="Normal 3 3 26 4 3" xfId="33064" xr:uid="{00000000-0005-0000-0000-00001F810000}"/>
    <cellStyle name="Normal 3 3 26 5" xfId="33065" xr:uid="{00000000-0005-0000-0000-000020810000}"/>
    <cellStyle name="Normal 3 3 26 5 2" xfId="33066" xr:uid="{00000000-0005-0000-0000-000021810000}"/>
    <cellStyle name="Normal 3 3 26 5 3" xfId="33067" xr:uid="{00000000-0005-0000-0000-000022810000}"/>
    <cellStyle name="Normal 3 3 26 6" xfId="33068" xr:uid="{00000000-0005-0000-0000-000023810000}"/>
    <cellStyle name="Normal 3 3 26 6 2" xfId="33069" xr:uid="{00000000-0005-0000-0000-000024810000}"/>
    <cellStyle name="Normal 3 3 26 6 3" xfId="33070" xr:uid="{00000000-0005-0000-0000-000025810000}"/>
    <cellStyle name="Normal 3 3 26 7" xfId="33071" xr:uid="{00000000-0005-0000-0000-000026810000}"/>
    <cellStyle name="Normal 3 3 26 7 2" xfId="33072" xr:uid="{00000000-0005-0000-0000-000027810000}"/>
    <cellStyle name="Normal 3 3 26 7 3" xfId="33073" xr:uid="{00000000-0005-0000-0000-000028810000}"/>
    <cellStyle name="Normal 3 3 26 8" xfId="33074" xr:uid="{00000000-0005-0000-0000-000029810000}"/>
    <cellStyle name="Normal 3 3 26 8 2" xfId="33075" xr:uid="{00000000-0005-0000-0000-00002A810000}"/>
    <cellStyle name="Normal 3 3 26 8 3" xfId="33076" xr:uid="{00000000-0005-0000-0000-00002B810000}"/>
    <cellStyle name="Normal 3 3 26 9" xfId="33077" xr:uid="{00000000-0005-0000-0000-00002C810000}"/>
    <cellStyle name="Normal 3 3 26 9 2" xfId="33078" xr:uid="{00000000-0005-0000-0000-00002D810000}"/>
    <cellStyle name="Normal 3 3 26 9 3" xfId="33079" xr:uid="{00000000-0005-0000-0000-00002E810000}"/>
    <cellStyle name="Normal 3 3 27" xfId="33080" xr:uid="{00000000-0005-0000-0000-00002F810000}"/>
    <cellStyle name="Normal 3 3 27 10" xfId="33081" xr:uid="{00000000-0005-0000-0000-000030810000}"/>
    <cellStyle name="Normal 3 3 27 10 2" xfId="33082" xr:uid="{00000000-0005-0000-0000-000031810000}"/>
    <cellStyle name="Normal 3 3 27 10 3" xfId="33083" xr:uid="{00000000-0005-0000-0000-000032810000}"/>
    <cellStyle name="Normal 3 3 27 11" xfId="33084" xr:uid="{00000000-0005-0000-0000-000033810000}"/>
    <cellStyle name="Normal 3 3 27 11 2" xfId="33085" xr:uid="{00000000-0005-0000-0000-000034810000}"/>
    <cellStyle name="Normal 3 3 27 11 3" xfId="33086" xr:uid="{00000000-0005-0000-0000-000035810000}"/>
    <cellStyle name="Normal 3 3 27 12" xfId="33087" xr:uid="{00000000-0005-0000-0000-000036810000}"/>
    <cellStyle name="Normal 3 3 27 12 2" xfId="33088" xr:uid="{00000000-0005-0000-0000-000037810000}"/>
    <cellStyle name="Normal 3 3 27 12 3" xfId="33089" xr:uid="{00000000-0005-0000-0000-000038810000}"/>
    <cellStyle name="Normal 3 3 27 13" xfId="33090" xr:uid="{00000000-0005-0000-0000-000039810000}"/>
    <cellStyle name="Normal 3 3 27 13 2" xfId="33091" xr:uid="{00000000-0005-0000-0000-00003A810000}"/>
    <cellStyle name="Normal 3 3 27 13 3" xfId="33092" xr:uid="{00000000-0005-0000-0000-00003B810000}"/>
    <cellStyle name="Normal 3 3 27 14" xfId="33093" xr:uid="{00000000-0005-0000-0000-00003C810000}"/>
    <cellStyle name="Normal 3 3 27 14 2" xfId="33094" xr:uid="{00000000-0005-0000-0000-00003D810000}"/>
    <cellStyle name="Normal 3 3 27 14 3" xfId="33095" xr:uid="{00000000-0005-0000-0000-00003E810000}"/>
    <cellStyle name="Normal 3 3 27 15" xfId="33096" xr:uid="{00000000-0005-0000-0000-00003F810000}"/>
    <cellStyle name="Normal 3 3 27 16" xfId="33097" xr:uid="{00000000-0005-0000-0000-000040810000}"/>
    <cellStyle name="Normal 3 3 27 2" xfId="33098" xr:uid="{00000000-0005-0000-0000-000041810000}"/>
    <cellStyle name="Normal 3 3 27 2 2" xfId="33099" xr:uid="{00000000-0005-0000-0000-000042810000}"/>
    <cellStyle name="Normal 3 3 27 2 3" xfId="33100" xr:uid="{00000000-0005-0000-0000-000043810000}"/>
    <cellStyle name="Normal 3 3 27 3" xfId="33101" xr:uid="{00000000-0005-0000-0000-000044810000}"/>
    <cellStyle name="Normal 3 3 27 3 2" xfId="33102" xr:uid="{00000000-0005-0000-0000-000045810000}"/>
    <cellStyle name="Normal 3 3 27 3 3" xfId="33103" xr:uid="{00000000-0005-0000-0000-000046810000}"/>
    <cellStyle name="Normal 3 3 27 4" xfId="33104" xr:uid="{00000000-0005-0000-0000-000047810000}"/>
    <cellStyle name="Normal 3 3 27 4 2" xfId="33105" xr:uid="{00000000-0005-0000-0000-000048810000}"/>
    <cellStyle name="Normal 3 3 27 4 3" xfId="33106" xr:uid="{00000000-0005-0000-0000-000049810000}"/>
    <cellStyle name="Normal 3 3 27 5" xfId="33107" xr:uid="{00000000-0005-0000-0000-00004A810000}"/>
    <cellStyle name="Normal 3 3 27 5 2" xfId="33108" xr:uid="{00000000-0005-0000-0000-00004B810000}"/>
    <cellStyle name="Normal 3 3 27 5 3" xfId="33109" xr:uid="{00000000-0005-0000-0000-00004C810000}"/>
    <cellStyle name="Normal 3 3 27 6" xfId="33110" xr:uid="{00000000-0005-0000-0000-00004D810000}"/>
    <cellStyle name="Normal 3 3 27 6 2" xfId="33111" xr:uid="{00000000-0005-0000-0000-00004E810000}"/>
    <cellStyle name="Normal 3 3 27 6 3" xfId="33112" xr:uid="{00000000-0005-0000-0000-00004F810000}"/>
    <cellStyle name="Normal 3 3 27 7" xfId="33113" xr:uid="{00000000-0005-0000-0000-000050810000}"/>
    <cellStyle name="Normal 3 3 27 7 2" xfId="33114" xr:uid="{00000000-0005-0000-0000-000051810000}"/>
    <cellStyle name="Normal 3 3 27 7 3" xfId="33115" xr:uid="{00000000-0005-0000-0000-000052810000}"/>
    <cellStyle name="Normal 3 3 27 8" xfId="33116" xr:uid="{00000000-0005-0000-0000-000053810000}"/>
    <cellStyle name="Normal 3 3 27 8 2" xfId="33117" xr:uid="{00000000-0005-0000-0000-000054810000}"/>
    <cellStyle name="Normal 3 3 27 8 3" xfId="33118" xr:uid="{00000000-0005-0000-0000-000055810000}"/>
    <cellStyle name="Normal 3 3 27 9" xfId="33119" xr:uid="{00000000-0005-0000-0000-000056810000}"/>
    <cellStyle name="Normal 3 3 27 9 2" xfId="33120" xr:uid="{00000000-0005-0000-0000-000057810000}"/>
    <cellStyle name="Normal 3 3 27 9 3" xfId="33121" xr:uid="{00000000-0005-0000-0000-000058810000}"/>
    <cellStyle name="Normal 3 3 28" xfId="33122" xr:uid="{00000000-0005-0000-0000-000059810000}"/>
    <cellStyle name="Normal 3 3 29" xfId="33123" xr:uid="{00000000-0005-0000-0000-00005A810000}"/>
    <cellStyle name="Normal 3 3 3" xfId="33124" xr:uid="{00000000-0005-0000-0000-00005B810000}"/>
    <cellStyle name="Normal 3 3 3 10" xfId="33125" xr:uid="{00000000-0005-0000-0000-00005C810000}"/>
    <cellStyle name="Normal 3 3 3 10 10" xfId="33126" xr:uid="{00000000-0005-0000-0000-00005D810000}"/>
    <cellStyle name="Normal 3 3 3 10 10 2" xfId="33127" xr:uid="{00000000-0005-0000-0000-00005E810000}"/>
    <cellStyle name="Normal 3 3 3 10 10 3" xfId="33128" xr:uid="{00000000-0005-0000-0000-00005F810000}"/>
    <cellStyle name="Normal 3 3 3 10 11" xfId="33129" xr:uid="{00000000-0005-0000-0000-000060810000}"/>
    <cellStyle name="Normal 3 3 3 10 11 2" xfId="33130" xr:uid="{00000000-0005-0000-0000-000061810000}"/>
    <cellStyle name="Normal 3 3 3 10 11 3" xfId="33131" xr:uid="{00000000-0005-0000-0000-000062810000}"/>
    <cellStyle name="Normal 3 3 3 10 12" xfId="33132" xr:uid="{00000000-0005-0000-0000-000063810000}"/>
    <cellStyle name="Normal 3 3 3 10 12 2" xfId="33133" xr:uid="{00000000-0005-0000-0000-000064810000}"/>
    <cellStyle name="Normal 3 3 3 10 12 3" xfId="33134" xr:uid="{00000000-0005-0000-0000-000065810000}"/>
    <cellStyle name="Normal 3 3 3 10 13" xfId="33135" xr:uid="{00000000-0005-0000-0000-000066810000}"/>
    <cellStyle name="Normal 3 3 3 10 13 2" xfId="33136" xr:uid="{00000000-0005-0000-0000-000067810000}"/>
    <cellStyle name="Normal 3 3 3 10 13 3" xfId="33137" xr:uid="{00000000-0005-0000-0000-000068810000}"/>
    <cellStyle name="Normal 3 3 3 10 14" xfId="33138" xr:uid="{00000000-0005-0000-0000-000069810000}"/>
    <cellStyle name="Normal 3 3 3 10 14 2" xfId="33139" xr:uid="{00000000-0005-0000-0000-00006A810000}"/>
    <cellStyle name="Normal 3 3 3 10 14 3" xfId="33140" xr:uid="{00000000-0005-0000-0000-00006B810000}"/>
    <cellStyle name="Normal 3 3 3 10 15" xfId="33141" xr:uid="{00000000-0005-0000-0000-00006C810000}"/>
    <cellStyle name="Normal 3 3 3 10 16" xfId="33142" xr:uid="{00000000-0005-0000-0000-00006D810000}"/>
    <cellStyle name="Normal 3 3 3 10 2" xfId="33143" xr:uid="{00000000-0005-0000-0000-00006E810000}"/>
    <cellStyle name="Normal 3 3 3 10 2 2" xfId="33144" xr:uid="{00000000-0005-0000-0000-00006F810000}"/>
    <cellStyle name="Normal 3 3 3 10 2 3" xfId="33145" xr:uid="{00000000-0005-0000-0000-000070810000}"/>
    <cellStyle name="Normal 3 3 3 10 3" xfId="33146" xr:uid="{00000000-0005-0000-0000-000071810000}"/>
    <cellStyle name="Normal 3 3 3 10 3 2" xfId="33147" xr:uid="{00000000-0005-0000-0000-000072810000}"/>
    <cellStyle name="Normal 3 3 3 10 3 3" xfId="33148" xr:uid="{00000000-0005-0000-0000-000073810000}"/>
    <cellStyle name="Normal 3 3 3 10 4" xfId="33149" xr:uid="{00000000-0005-0000-0000-000074810000}"/>
    <cellStyle name="Normal 3 3 3 10 4 2" xfId="33150" xr:uid="{00000000-0005-0000-0000-000075810000}"/>
    <cellStyle name="Normal 3 3 3 10 4 3" xfId="33151" xr:uid="{00000000-0005-0000-0000-000076810000}"/>
    <cellStyle name="Normal 3 3 3 10 5" xfId="33152" xr:uid="{00000000-0005-0000-0000-000077810000}"/>
    <cellStyle name="Normal 3 3 3 10 5 2" xfId="33153" xr:uid="{00000000-0005-0000-0000-000078810000}"/>
    <cellStyle name="Normal 3 3 3 10 5 3" xfId="33154" xr:uid="{00000000-0005-0000-0000-000079810000}"/>
    <cellStyle name="Normal 3 3 3 10 6" xfId="33155" xr:uid="{00000000-0005-0000-0000-00007A810000}"/>
    <cellStyle name="Normal 3 3 3 10 6 2" xfId="33156" xr:uid="{00000000-0005-0000-0000-00007B810000}"/>
    <cellStyle name="Normal 3 3 3 10 6 3" xfId="33157" xr:uid="{00000000-0005-0000-0000-00007C810000}"/>
    <cellStyle name="Normal 3 3 3 10 7" xfId="33158" xr:uid="{00000000-0005-0000-0000-00007D810000}"/>
    <cellStyle name="Normal 3 3 3 10 7 2" xfId="33159" xr:uid="{00000000-0005-0000-0000-00007E810000}"/>
    <cellStyle name="Normal 3 3 3 10 7 3" xfId="33160" xr:uid="{00000000-0005-0000-0000-00007F810000}"/>
    <cellStyle name="Normal 3 3 3 10 8" xfId="33161" xr:uid="{00000000-0005-0000-0000-000080810000}"/>
    <cellStyle name="Normal 3 3 3 10 8 2" xfId="33162" xr:uid="{00000000-0005-0000-0000-000081810000}"/>
    <cellStyle name="Normal 3 3 3 10 8 3" xfId="33163" xr:uid="{00000000-0005-0000-0000-000082810000}"/>
    <cellStyle name="Normal 3 3 3 10 9" xfId="33164" xr:uid="{00000000-0005-0000-0000-000083810000}"/>
    <cellStyle name="Normal 3 3 3 10 9 2" xfId="33165" xr:uid="{00000000-0005-0000-0000-000084810000}"/>
    <cellStyle name="Normal 3 3 3 10 9 3" xfId="33166" xr:uid="{00000000-0005-0000-0000-000085810000}"/>
    <cellStyle name="Normal 3 3 3 11" xfId="33167" xr:uid="{00000000-0005-0000-0000-000086810000}"/>
    <cellStyle name="Normal 3 3 3 11 10" xfId="33168" xr:uid="{00000000-0005-0000-0000-000087810000}"/>
    <cellStyle name="Normal 3 3 3 11 10 2" xfId="33169" xr:uid="{00000000-0005-0000-0000-000088810000}"/>
    <cellStyle name="Normal 3 3 3 11 10 3" xfId="33170" xr:uid="{00000000-0005-0000-0000-000089810000}"/>
    <cellStyle name="Normal 3 3 3 11 11" xfId="33171" xr:uid="{00000000-0005-0000-0000-00008A810000}"/>
    <cellStyle name="Normal 3 3 3 11 11 2" xfId="33172" xr:uid="{00000000-0005-0000-0000-00008B810000}"/>
    <cellStyle name="Normal 3 3 3 11 11 3" xfId="33173" xr:uid="{00000000-0005-0000-0000-00008C810000}"/>
    <cellStyle name="Normal 3 3 3 11 12" xfId="33174" xr:uid="{00000000-0005-0000-0000-00008D810000}"/>
    <cellStyle name="Normal 3 3 3 11 12 2" xfId="33175" xr:uid="{00000000-0005-0000-0000-00008E810000}"/>
    <cellStyle name="Normal 3 3 3 11 12 3" xfId="33176" xr:uid="{00000000-0005-0000-0000-00008F810000}"/>
    <cellStyle name="Normal 3 3 3 11 13" xfId="33177" xr:uid="{00000000-0005-0000-0000-000090810000}"/>
    <cellStyle name="Normal 3 3 3 11 13 2" xfId="33178" xr:uid="{00000000-0005-0000-0000-000091810000}"/>
    <cellStyle name="Normal 3 3 3 11 13 3" xfId="33179" xr:uid="{00000000-0005-0000-0000-000092810000}"/>
    <cellStyle name="Normal 3 3 3 11 14" xfId="33180" xr:uid="{00000000-0005-0000-0000-000093810000}"/>
    <cellStyle name="Normal 3 3 3 11 14 2" xfId="33181" xr:uid="{00000000-0005-0000-0000-000094810000}"/>
    <cellStyle name="Normal 3 3 3 11 14 3" xfId="33182" xr:uid="{00000000-0005-0000-0000-000095810000}"/>
    <cellStyle name="Normal 3 3 3 11 15" xfId="33183" xr:uid="{00000000-0005-0000-0000-000096810000}"/>
    <cellStyle name="Normal 3 3 3 11 16" xfId="33184" xr:uid="{00000000-0005-0000-0000-000097810000}"/>
    <cellStyle name="Normal 3 3 3 11 2" xfId="33185" xr:uid="{00000000-0005-0000-0000-000098810000}"/>
    <cellStyle name="Normal 3 3 3 11 2 2" xfId="33186" xr:uid="{00000000-0005-0000-0000-000099810000}"/>
    <cellStyle name="Normal 3 3 3 11 2 3" xfId="33187" xr:uid="{00000000-0005-0000-0000-00009A810000}"/>
    <cellStyle name="Normal 3 3 3 11 3" xfId="33188" xr:uid="{00000000-0005-0000-0000-00009B810000}"/>
    <cellStyle name="Normal 3 3 3 11 3 2" xfId="33189" xr:uid="{00000000-0005-0000-0000-00009C810000}"/>
    <cellStyle name="Normal 3 3 3 11 3 3" xfId="33190" xr:uid="{00000000-0005-0000-0000-00009D810000}"/>
    <cellStyle name="Normal 3 3 3 11 4" xfId="33191" xr:uid="{00000000-0005-0000-0000-00009E810000}"/>
    <cellStyle name="Normal 3 3 3 11 4 2" xfId="33192" xr:uid="{00000000-0005-0000-0000-00009F810000}"/>
    <cellStyle name="Normal 3 3 3 11 4 3" xfId="33193" xr:uid="{00000000-0005-0000-0000-0000A0810000}"/>
    <cellStyle name="Normal 3 3 3 11 5" xfId="33194" xr:uid="{00000000-0005-0000-0000-0000A1810000}"/>
    <cellStyle name="Normal 3 3 3 11 5 2" xfId="33195" xr:uid="{00000000-0005-0000-0000-0000A2810000}"/>
    <cellStyle name="Normal 3 3 3 11 5 3" xfId="33196" xr:uid="{00000000-0005-0000-0000-0000A3810000}"/>
    <cellStyle name="Normal 3 3 3 11 6" xfId="33197" xr:uid="{00000000-0005-0000-0000-0000A4810000}"/>
    <cellStyle name="Normal 3 3 3 11 6 2" xfId="33198" xr:uid="{00000000-0005-0000-0000-0000A5810000}"/>
    <cellStyle name="Normal 3 3 3 11 6 3" xfId="33199" xr:uid="{00000000-0005-0000-0000-0000A6810000}"/>
    <cellStyle name="Normal 3 3 3 11 7" xfId="33200" xr:uid="{00000000-0005-0000-0000-0000A7810000}"/>
    <cellStyle name="Normal 3 3 3 11 7 2" xfId="33201" xr:uid="{00000000-0005-0000-0000-0000A8810000}"/>
    <cellStyle name="Normal 3 3 3 11 7 3" xfId="33202" xr:uid="{00000000-0005-0000-0000-0000A9810000}"/>
    <cellStyle name="Normal 3 3 3 11 8" xfId="33203" xr:uid="{00000000-0005-0000-0000-0000AA810000}"/>
    <cellStyle name="Normal 3 3 3 11 8 2" xfId="33204" xr:uid="{00000000-0005-0000-0000-0000AB810000}"/>
    <cellStyle name="Normal 3 3 3 11 8 3" xfId="33205" xr:uid="{00000000-0005-0000-0000-0000AC810000}"/>
    <cellStyle name="Normal 3 3 3 11 9" xfId="33206" xr:uid="{00000000-0005-0000-0000-0000AD810000}"/>
    <cellStyle name="Normal 3 3 3 11 9 2" xfId="33207" xr:uid="{00000000-0005-0000-0000-0000AE810000}"/>
    <cellStyle name="Normal 3 3 3 11 9 3" xfId="33208" xr:uid="{00000000-0005-0000-0000-0000AF810000}"/>
    <cellStyle name="Normal 3 3 3 12" xfId="33209" xr:uid="{00000000-0005-0000-0000-0000B0810000}"/>
    <cellStyle name="Normal 3 3 3 12 10" xfId="33210" xr:uid="{00000000-0005-0000-0000-0000B1810000}"/>
    <cellStyle name="Normal 3 3 3 12 10 2" xfId="33211" xr:uid="{00000000-0005-0000-0000-0000B2810000}"/>
    <cellStyle name="Normal 3 3 3 12 10 3" xfId="33212" xr:uid="{00000000-0005-0000-0000-0000B3810000}"/>
    <cellStyle name="Normal 3 3 3 12 11" xfId="33213" xr:uid="{00000000-0005-0000-0000-0000B4810000}"/>
    <cellStyle name="Normal 3 3 3 12 11 2" xfId="33214" xr:uid="{00000000-0005-0000-0000-0000B5810000}"/>
    <cellStyle name="Normal 3 3 3 12 11 3" xfId="33215" xr:uid="{00000000-0005-0000-0000-0000B6810000}"/>
    <cellStyle name="Normal 3 3 3 12 12" xfId="33216" xr:uid="{00000000-0005-0000-0000-0000B7810000}"/>
    <cellStyle name="Normal 3 3 3 12 12 2" xfId="33217" xr:uid="{00000000-0005-0000-0000-0000B8810000}"/>
    <cellStyle name="Normal 3 3 3 12 12 3" xfId="33218" xr:uid="{00000000-0005-0000-0000-0000B9810000}"/>
    <cellStyle name="Normal 3 3 3 12 13" xfId="33219" xr:uid="{00000000-0005-0000-0000-0000BA810000}"/>
    <cellStyle name="Normal 3 3 3 12 13 2" xfId="33220" xr:uid="{00000000-0005-0000-0000-0000BB810000}"/>
    <cellStyle name="Normal 3 3 3 12 13 3" xfId="33221" xr:uid="{00000000-0005-0000-0000-0000BC810000}"/>
    <cellStyle name="Normal 3 3 3 12 14" xfId="33222" xr:uid="{00000000-0005-0000-0000-0000BD810000}"/>
    <cellStyle name="Normal 3 3 3 12 14 2" xfId="33223" xr:uid="{00000000-0005-0000-0000-0000BE810000}"/>
    <cellStyle name="Normal 3 3 3 12 14 3" xfId="33224" xr:uid="{00000000-0005-0000-0000-0000BF810000}"/>
    <cellStyle name="Normal 3 3 3 12 15" xfId="33225" xr:uid="{00000000-0005-0000-0000-0000C0810000}"/>
    <cellStyle name="Normal 3 3 3 12 16" xfId="33226" xr:uid="{00000000-0005-0000-0000-0000C1810000}"/>
    <cellStyle name="Normal 3 3 3 12 2" xfId="33227" xr:uid="{00000000-0005-0000-0000-0000C2810000}"/>
    <cellStyle name="Normal 3 3 3 12 2 2" xfId="33228" xr:uid="{00000000-0005-0000-0000-0000C3810000}"/>
    <cellStyle name="Normal 3 3 3 12 2 3" xfId="33229" xr:uid="{00000000-0005-0000-0000-0000C4810000}"/>
    <cellStyle name="Normal 3 3 3 12 3" xfId="33230" xr:uid="{00000000-0005-0000-0000-0000C5810000}"/>
    <cellStyle name="Normal 3 3 3 12 3 2" xfId="33231" xr:uid="{00000000-0005-0000-0000-0000C6810000}"/>
    <cellStyle name="Normal 3 3 3 12 3 3" xfId="33232" xr:uid="{00000000-0005-0000-0000-0000C7810000}"/>
    <cellStyle name="Normal 3 3 3 12 4" xfId="33233" xr:uid="{00000000-0005-0000-0000-0000C8810000}"/>
    <cellStyle name="Normal 3 3 3 12 4 2" xfId="33234" xr:uid="{00000000-0005-0000-0000-0000C9810000}"/>
    <cellStyle name="Normal 3 3 3 12 4 3" xfId="33235" xr:uid="{00000000-0005-0000-0000-0000CA810000}"/>
    <cellStyle name="Normal 3 3 3 12 5" xfId="33236" xr:uid="{00000000-0005-0000-0000-0000CB810000}"/>
    <cellStyle name="Normal 3 3 3 12 5 2" xfId="33237" xr:uid="{00000000-0005-0000-0000-0000CC810000}"/>
    <cellStyle name="Normal 3 3 3 12 5 3" xfId="33238" xr:uid="{00000000-0005-0000-0000-0000CD810000}"/>
    <cellStyle name="Normal 3 3 3 12 6" xfId="33239" xr:uid="{00000000-0005-0000-0000-0000CE810000}"/>
    <cellStyle name="Normal 3 3 3 12 6 2" xfId="33240" xr:uid="{00000000-0005-0000-0000-0000CF810000}"/>
    <cellStyle name="Normal 3 3 3 12 6 3" xfId="33241" xr:uid="{00000000-0005-0000-0000-0000D0810000}"/>
    <cellStyle name="Normal 3 3 3 12 7" xfId="33242" xr:uid="{00000000-0005-0000-0000-0000D1810000}"/>
    <cellStyle name="Normal 3 3 3 12 7 2" xfId="33243" xr:uid="{00000000-0005-0000-0000-0000D2810000}"/>
    <cellStyle name="Normal 3 3 3 12 7 3" xfId="33244" xr:uid="{00000000-0005-0000-0000-0000D3810000}"/>
    <cellStyle name="Normal 3 3 3 12 8" xfId="33245" xr:uid="{00000000-0005-0000-0000-0000D4810000}"/>
    <cellStyle name="Normal 3 3 3 12 8 2" xfId="33246" xr:uid="{00000000-0005-0000-0000-0000D5810000}"/>
    <cellStyle name="Normal 3 3 3 12 8 3" xfId="33247" xr:uid="{00000000-0005-0000-0000-0000D6810000}"/>
    <cellStyle name="Normal 3 3 3 12 9" xfId="33248" xr:uid="{00000000-0005-0000-0000-0000D7810000}"/>
    <cellStyle name="Normal 3 3 3 12 9 2" xfId="33249" xr:uid="{00000000-0005-0000-0000-0000D8810000}"/>
    <cellStyle name="Normal 3 3 3 12 9 3" xfId="33250" xr:uid="{00000000-0005-0000-0000-0000D9810000}"/>
    <cellStyle name="Normal 3 3 3 13" xfId="33251" xr:uid="{00000000-0005-0000-0000-0000DA810000}"/>
    <cellStyle name="Normal 3 3 3 13 10" xfId="33252" xr:uid="{00000000-0005-0000-0000-0000DB810000}"/>
    <cellStyle name="Normal 3 3 3 13 10 2" xfId="33253" xr:uid="{00000000-0005-0000-0000-0000DC810000}"/>
    <cellStyle name="Normal 3 3 3 13 10 3" xfId="33254" xr:uid="{00000000-0005-0000-0000-0000DD810000}"/>
    <cellStyle name="Normal 3 3 3 13 11" xfId="33255" xr:uid="{00000000-0005-0000-0000-0000DE810000}"/>
    <cellStyle name="Normal 3 3 3 13 11 2" xfId="33256" xr:uid="{00000000-0005-0000-0000-0000DF810000}"/>
    <cellStyle name="Normal 3 3 3 13 11 3" xfId="33257" xr:uid="{00000000-0005-0000-0000-0000E0810000}"/>
    <cellStyle name="Normal 3 3 3 13 12" xfId="33258" xr:uid="{00000000-0005-0000-0000-0000E1810000}"/>
    <cellStyle name="Normal 3 3 3 13 12 2" xfId="33259" xr:uid="{00000000-0005-0000-0000-0000E2810000}"/>
    <cellStyle name="Normal 3 3 3 13 12 3" xfId="33260" xr:uid="{00000000-0005-0000-0000-0000E3810000}"/>
    <cellStyle name="Normal 3 3 3 13 13" xfId="33261" xr:uid="{00000000-0005-0000-0000-0000E4810000}"/>
    <cellStyle name="Normal 3 3 3 13 13 2" xfId="33262" xr:uid="{00000000-0005-0000-0000-0000E5810000}"/>
    <cellStyle name="Normal 3 3 3 13 13 3" xfId="33263" xr:uid="{00000000-0005-0000-0000-0000E6810000}"/>
    <cellStyle name="Normal 3 3 3 13 14" xfId="33264" xr:uid="{00000000-0005-0000-0000-0000E7810000}"/>
    <cellStyle name="Normal 3 3 3 13 14 2" xfId="33265" xr:uid="{00000000-0005-0000-0000-0000E8810000}"/>
    <cellStyle name="Normal 3 3 3 13 14 3" xfId="33266" xr:uid="{00000000-0005-0000-0000-0000E9810000}"/>
    <cellStyle name="Normal 3 3 3 13 15" xfId="33267" xr:uid="{00000000-0005-0000-0000-0000EA810000}"/>
    <cellStyle name="Normal 3 3 3 13 16" xfId="33268" xr:uid="{00000000-0005-0000-0000-0000EB810000}"/>
    <cellStyle name="Normal 3 3 3 13 2" xfId="33269" xr:uid="{00000000-0005-0000-0000-0000EC810000}"/>
    <cellStyle name="Normal 3 3 3 13 2 2" xfId="33270" xr:uid="{00000000-0005-0000-0000-0000ED810000}"/>
    <cellStyle name="Normal 3 3 3 13 2 3" xfId="33271" xr:uid="{00000000-0005-0000-0000-0000EE810000}"/>
    <cellStyle name="Normal 3 3 3 13 3" xfId="33272" xr:uid="{00000000-0005-0000-0000-0000EF810000}"/>
    <cellStyle name="Normal 3 3 3 13 3 2" xfId="33273" xr:uid="{00000000-0005-0000-0000-0000F0810000}"/>
    <cellStyle name="Normal 3 3 3 13 3 3" xfId="33274" xr:uid="{00000000-0005-0000-0000-0000F1810000}"/>
    <cellStyle name="Normal 3 3 3 13 4" xfId="33275" xr:uid="{00000000-0005-0000-0000-0000F2810000}"/>
    <cellStyle name="Normal 3 3 3 13 4 2" xfId="33276" xr:uid="{00000000-0005-0000-0000-0000F3810000}"/>
    <cellStyle name="Normal 3 3 3 13 4 3" xfId="33277" xr:uid="{00000000-0005-0000-0000-0000F4810000}"/>
    <cellStyle name="Normal 3 3 3 13 5" xfId="33278" xr:uid="{00000000-0005-0000-0000-0000F5810000}"/>
    <cellStyle name="Normal 3 3 3 13 5 2" xfId="33279" xr:uid="{00000000-0005-0000-0000-0000F6810000}"/>
    <cellStyle name="Normal 3 3 3 13 5 3" xfId="33280" xr:uid="{00000000-0005-0000-0000-0000F7810000}"/>
    <cellStyle name="Normal 3 3 3 13 6" xfId="33281" xr:uid="{00000000-0005-0000-0000-0000F8810000}"/>
    <cellStyle name="Normal 3 3 3 13 6 2" xfId="33282" xr:uid="{00000000-0005-0000-0000-0000F9810000}"/>
    <cellStyle name="Normal 3 3 3 13 6 3" xfId="33283" xr:uid="{00000000-0005-0000-0000-0000FA810000}"/>
    <cellStyle name="Normal 3 3 3 13 7" xfId="33284" xr:uid="{00000000-0005-0000-0000-0000FB810000}"/>
    <cellStyle name="Normal 3 3 3 13 7 2" xfId="33285" xr:uid="{00000000-0005-0000-0000-0000FC810000}"/>
    <cellStyle name="Normal 3 3 3 13 7 3" xfId="33286" xr:uid="{00000000-0005-0000-0000-0000FD810000}"/>
    <cellStyle name="Normal 3 3 3 13 8" xfId="33287" xr:uid="{00000000-0005-0000-0000-0000FE810000}"/>
    <cellStyle name="Normal 3 3 3 13 8 2" xfId="33288" xr:uid="{00000000-0005-0000-0000-0000FF810000}"/>
    <cellStyle name="Normal 3 3 3 13 8 3" xfId="33289" xr:uid="{00000000-0005-0000-0000-000000820000}"/>
    <cellStyle name="Normal 3 3 3 13 9" xfId="33290" xr:uid="{00000000-0005-0000-0000-000001820000}"/>
    <cellStyle name="Normal 3 3 3 13 9 2" xfId="33291" xr:uid="{00000000-0005-0000-0000-000002820000}"/>
    <cellStyle name="Normal 3 3 3 13 9 3" xfId="33292" xr:uid="{00000000-0005-0000-0000-000003820000}"/>
    <cellStyle name="Normal 3 3 3 14" xfId="33293" xr:uid="{00000000-0005-0000-0000-000004820000}"/>
    <cellStyle name="Normal 3 3 3 14 10" xfId="33294" xr:uid="{00000000-0005-0000-0000-000005820000}"/>
    <cellStyle name="Normal 3 3 3 14 10 2" xfId="33295" xr:uid="{00000000-0005-0000-0000-000006820000}"/>
    <cellStyle name="Normal 3 3 3 14 10 3" xfId="33296" xr:uid="{00000000-0005-0000-0000-000007820000}"/>
    <cellStyle name="Normal 3 3 3 14 11" xfId="33297" xr:uid="{00000000-0005-0000-0000-000008820000}"/>
    <cellStyle name="Normal 3 3 3 14 11 2" xfId="33298" xr:uid="{00000000-0005-0000-0000-000009820000}"/>
    <cellStyle name="Normal 3 3 3 14 11 3" xfId="33299" xr:uid="{00000000-0005-0000-0000-00000A820000}"/>
    <cellStyle name="Normal 3 3 3 14 12" xfId="33300" xr:uid="{00000000-0005-0000-0000-00000B820000}"/>
    <cellStyle name="Normal 3 3 3 14 12 2" xfId="33301" xr:uid="{00000000-0005-0000-0000-00000C820000}"/>
    <cellStyle name="Normal 3 3 3 14 12 3" xfId="33302" xr:uid="{00000000-0005-0000-0000-00000D820000}"/>
    <cellStyle name="Normal 3 3 3 14 13" xfId="33303" xr:uid="{00000000-0005-0000-0000-00000E820000}"/>
    <cellStyle name="Normal 3 3 3 14 13 2" xfId="33304" xr:uid="{00000000-0005-0000-0000-00000F820000}"/>
    <cellStyle name="Normal 3 3 3 14 13 3" xfId="33305" xr:uid="{00000000-0005-0000-0000-000010820000}"/>
    <cellStyle name="Normal 3 3 3 14 14" xfId="33306" xr:uid="{00000000-0005-0000-0000-000011820000}"/>
    <cellStyle name="Normal 3 3 3 14 14 2" xfId="33307" xr:uid="{00000000-0005-0000-0000-000012820000}"/>
    <cellStyle name="Normal 3 3 3 14 14 3" xfId="33308" xr:uid="{00000000-0005-0000-0000-000013820000}"/>
    <cellStyle name="Normal 3 3 3 14 15" xfId="33309" xr:uid="{00000000-0005-0000-0000-000014820000}"/>
    <cellStyle name="Normal 3 3 3 14 16" xfId="33310" xr:uid="{00000000-0005-0000-0000-000015820000}"/>
    <cellStyle name="Normal 3 3 3 14 2" xfId="33311" xr:uid="{00000000-0005-0000-0000-000016820000}"/>
    <cellStyle name="Normal 3 3 3 14 2 2" xfId="33312" xr:uid="{00000000-0005-0000-0000-000017820000}"/>
    <cellStyle name="Normal 3 3 3 14 2 3" xfId="33313" xr:uid="{00000000-0005-0000-0000-000018820000}"/>
    <cellStyle name="Normal 3 3 3 14 3" xfId="33314" xr:uid="{00000000-0005-0000-0000-000019820000}"/>
    <cellStyle name="Normal 3 3 3 14 3 2" xfId="33315" xr:uid="{00000000-0005-0000-0000-00001A820000}"/>
    <cellStyle name="Normal 3 3 3 14 3 3" xfId="33316" xr:uid="{00000000-0005-0000-0000-00001B820000}"/>
    <cellStyle name="Normal 3 3 3 14 4" xfId="33317" xr:uid="{00000000-0005-0000-0000-00001C820000}"/>
    <cellStyle name="Normal 3 3 3 14 4 2" xfId="33318" xr:uid="{00000000-0005-0000-0000-00001D820000}"/>
    <cellStyle name="Normal 3 3 3 14 4 3" xfId="33319" xr:uid="{00000000-0005-0000-0000-00001E820000}"/>
    <cellStyle name="Normal 3 3 3 14 5" xfId="33320" xr:uid="{00000000-0005-0000-0000-00001F820000}"/>
    <cellStyle name="Normal 3 3 3 14 5 2" xfId="33321" xr:uid="{00000000-0005-0000-0000-000020820000}"/>
    <cellStyle name="Normal 3 3 3 14 5 3" xfId="33322" xr:uid="{00000000-0005-0000-0000-000021820000}"/>
    <cellStyle name="Normal 3 3 3 14 6" xfId="33323" xr:uid="{00000000-0005-0000-0000-000022820000}"/>
    <cellStyle name="Normal 3 3 3 14 6 2" xfId="33324" xr:uid="{00000000-0005-0000-0000-000023820000}"/>
    <cellStyle name="Normal 3 3 3 14 6 3" xfId="33325" xr:uid="{00000000-0005-0000-0000-000024820000}"/>
    <cellStyle name="Normal 3 3 3 14 7" xfId="33326" xr:uid="{00000000-0005-0000-0000-000025820000}"/>
    <cellStyle name="Normal 3 3 3 14 7 2" xfId="33327" xr:uid="{00000000-0005-0000-0000-000026820000}"/>
    <cellStyle name="Normal 3 3 3 14 7 3" xfId="33328" xr:uid="{00000000-0005-0000-0000-000027820000}"/>
    <cellStyle name="Normal 3 3 3 14 8" xfId="33329" xr:uid="{00000000-0005-0000-0000-000028820000}"/>
    <cellStyle name="Normal 3 3 3 14 8 2" xfId="33330" xr:uid="{00000000-0005-0000-0000-000029820000}"/>
    <cellStyle name="Normal 3 3 3 14 8 3" xfId="33331" xr:uid="{00000000-0005-0000-0000-00002A820000}"/>
    <cellStyle name="Normal 3 3 3 14 9" xfId="33332" xr:uid="{00000000-0005-0000-0000-00002B820000}"/>
    <cellStyle name="Normal 3 3 3 14 9 2" xfId="33333" xr:uid="{00000000-0005-0000-0000-00002C820000}"/>
    <cellStyle name="Normal 3 3 3 14 9 3" xfId="33334" xr:uid="{00000000-0005-0000-0000-00002D820000}"/>
    <cellStyle name="Normal 3 3 3 15" xfId="33335" xr:uid="{00000000-0005-0000-0000-00002E820000}"/>
    <cellStyle name="Normal 3 3 3 15 2" xfId="33336" xr:uid="{00000000-0005-0000-0000-00002F820000}"/>
    <cellStyle name="Normal 3 3 3 15 3" xfId="33337" xr:uid="{00000000-0005-0000-0000-000030820000}"/>
    <cellStyle name="Normal 3 3 3 16" xfId="33338" xr:uid="{00000000-0005-0000-0000-000031820000}"/>
    <cellStyle name="Normal 3 3 3 16 2" xfId="33339" xr:uid="{00000000-0005-0000-0000-000032820000}"/>
    <cellStyle name="Normal 3 3 3 16 3" xfId="33340" xr:uid="{00000000-0005-0000-0000-000033820000}"/>
    <cellStyle name="Normal 3 3 3 17" xfId="33341" xr:uid="{00000000-0005-0000-0000-000034820000}"/>
    <cellStyle name="Normal 3 3 3 17 2" xfId="33342" xr:uid="{00000000-0005-0000-0000-000035820000}"/>
    <cellStyle name="Normal 3 3 3 17 3" xfId="33343" xr:uid="{00000000-0005-0000-0000-000036820000}"/>
    <cellStyle name="Normal 3 3 3 18" xfId="33344" xr:uid="{00000000-0005-0000-0000-000037820000}"/>
    <cellStyle name="Normal 3 3 3 18 2" xfId="33345" xr:uid="{00000000-0005-0000-0000-000038820000}"/>
    <cellStyle name="Normal 3 3 3 18 3" xfId="33346" xr:uid="{00000000-0005-0000-0000-000039820000}"/>
    <cellStyle name="Normal 3 3 3 19" xfId="33347" xr:uid="{00000000-0005-0000-0000-00003A820000}"/>
    <cellStyle name="Normal 3 3 3 19 2" xfId="33348" xr:uid="{00000000-0005-0000-0000-00003B820000}"/>
    <cellStyle name="Normal 3 3 3 19 3" xfId="33349" xr:uid="{00000000-0005-0000-0000-00003C820000}"/>
    <cellStyle name="Normal 3 3 3 2" xfId="33350" xr:uid="{00000000-0005-0000-0000-00003D820000}"/>
    <cellStyle name="Normal 3 3 3 20" xfId="33351" xr:uid="{00000000-0005-0000-0000-00003E820000}"/>
    <cellStyle name="Normal 3 3 3 20 2" xfId="33352" xr:uid="{00000000-0005-0000-0000-00003F820000}"/>
    <cellStyle name="Normal 3 3 3 20 3" xfId="33353" xr:uid="{00000000-0005-0000-0000-000040820000}"/>
    <cellStyle name="Normal 3 3 3 21" xfId="33354" xr:uid="{00000000-0005-0000-0000-000041820000}"/>
    <cellStyle name="Normal 3 3 3 21 2" xfId="33355" xr:uid="{00000000-0005-0000-0000-000042820000}"/>
    <cellStyle name="Normal 3 3 3 21 3" xfId="33356" xr:uid="{00000000-0005-0000-0000-000043820000}"/>
    <cellStyle name="Normal 3 3 3 22" xfId="33357" xr:uid="{00000000-0005-0000-0000-000044820000}"/>
    <cellStyle name="Normal 3 3 3 22 2" xfId="33358" xr:uid="{00000000-0005-0000-0000-000045820000}"/>
    <cellStyle name="Normal 3 3 3 22 3" xfId="33359" xr:uid="{00000000-0005-0000-0000-000046820000}"/>
    <cellStyle name="Normal 3 3 3 23" xfId="33360" xr:uid="{00000000-0005-0000-0000-000047820000}"/>
    <cellStyle name="Normal 3 3 3 23 2" xfId="33361" xr:uid="{00000000-0005-0000-0000-000048820000}"/>
    <cellStyle name="Normal 3 3 3 23 3" xfId="33362" xr:uid="{00000000-0005-0000-0000-000049820000}"/>
    <cellStyle name="Normal 3 3 3 24" xfId="33363" xr:uid="{00000000-0005-0000-0000-00004A820000}"/>
    <cellStyle name="Normal 3 3 3 24 2" xfId="33364" xr:uid="{00000000-0005-0000-0000-00004B820000}"/>
    <cellStyle name="Normal 3 3 3 24 3" xfId="33365" xr:uid="{00000000-0005-0000-0000-00004C820000}"/>
    <cellStyle name="Normal 3 3 3 25" xfId="33366" xr:uid="{00000000-0005-0000-0000-00004D820000}"/>
    <cellStyle name="Normal 3 3 3 25 2" xfId="33367" xr:uid="{00000000-0005-0000-0000-00004E820000}"/>
    <cellStyle name="Normal 3 3 3 25 3" xfId="33368" xr:uid="{00000000-0005-0000-0000-00004F820000}"/>
    <cellStyle name="Normal 3 3 3 26" xfId="33369" xr:uid="{00000000-0005-0000-0000-000050820000}"/>
    <cellStyle name="Normal 3 3 3 26 2" xfId="33370" xr:uid="{00000000-0005-0000-0000-000051820000}"/>
    <cellStyle name="Normal 3 3 3 26 3" xfId="33371" xr:uid="{00000000-0005-0000-0000-000052820000}"/>
    <cellStyle name="Normal 3 3 3 27" xfId="33372" xr:uid="{00000000-0005-0000-0000-000053820000}"/>
    <cellStyle name="Normal 3 3 3 27 2" xfId="33373" xr:uid="{00000000-0005-0000-0000-000054820000}"/>
    <cellStyle name="Normal 3 3 3 27 3" xfId="33374" xr:uid="{00000000-0005-0000-0000-000055820000}"/>
    <cellStyle name="Normal 3 3 3 28" xfId="33375" xr:uid="{00000000-0005-0000-0000-000056820000}"/>
    <cellStyle name="Normal 3 3 3 29" xfId="33376" xr:uid="{00000000-0005-0000-0000-000057820000}"/>
    <cellStyle name="Normal 3 3 3 3" xfId="33377" xr:uid="{00000000-0005-0000-0000-000058820000}"/>
    <cellStyle name="Normal 3 3 3 4" xfId="33378" xr:uid="{00000000-0005-0000-0000-000059820000}"/>
    <cellStyle name="Normal 3 3 3 5" xfId="33379" xr:uid="{00000000-0005-0000-0000-00005A820000}"/>
    <cellStyle name="Normal 3 3 3 6" xfId="33380" xr:uid="{00000000-0005-0000-0000-00005B820000}"/>
    <cellStyle name="Normal 3 3 3 6 10" xfId="33381" xr:uid="{00000000-0005-0000-0000-00005C820000}"/>
    <cellStyle name="Normal 3 3 3 6 10 2" xfId="33382" xr:uid="{00000000-0005-0000-0000-00005D820000}"/>
    <cellStyle name="Normal 3 3 3 6 10 3" xfId="33383" xr:uid="{00000000-0005-0000-0000-00005E820000}"/>
    <cellStyle name="Normal 3 3 3 6 11" xfId="33384" xr:uid="{00000000-0005-0000-0000-00005F820000}"/>
    <cellStyle name="Normal 3 3 3 6 11 2" xfId="33385" xr:uid="{00000000-0005-0000-0000-000060820000}"/>
    <cellStyle name="Normal 3 3 3 6 11 3" xfId="33386" xr:uid="{00000000-0005-0000-0000-000061820000}"/>
    <cellStyle name="Normal 3 3 3 6 12" xfId="33387" xr:uid="{00000000-0005-0000-0000-000062820000}"/>
    <cellStyle name="Normal 3 3 3 6 12 2" xfId="33388" xr:uid="{00000000-0005-0000-0000-000063820000}"/>
    <cellStyle name="Normal 3 3 3 6 12 3" xfId="33389" xr:uid="{00000000-0005-0000-0000-000064820000}"/>
    <cellStyle name="Normal 3 3 3 6 13" xfId="33390" xr:uid="{00000000-0005-0000-0000-000065820000}"/>
    <cellStyle name="Normal 3 3 3 6 13 2" xfId="33391" xr:uid="{00000000-0005-0000-0000-000066820000}"/>
    <cellStyle name="Normal 3 3 3 6 13 3" xfId="33392" xr:uid="{00000000-0005-0000-0000-000067820000}"/>
    <cellStyle name="Normal 3 3 3 6 14" xfId="33393" xr:uid="{00000000-0005-0000-0000-000068820000}"/>
    <cellStyle name="Normal 3 3 3 6 14 2" xfId="33394" xr:uid="{00000000-0005-0000-0000-000069820000}"/>
    <cellStyle name="Normal 3 3 3 6 14 3" xfId="33395" xr:uid="{00000000-0005-0000-0000-00006A820000}"/>
    <cellStyle name="Normal 3 3 3 6 15" xfId="33396" xr:uid="{00000000-0005-0000-0000-00006B820000}"/>
    <cellStyle name="Normal 3 3 3 6 15 2" xfId="33397" xr:uid="{00000000-0005-0000-0000-00006C820000}"/>
    <cellStyle name="Normal 3 3 3 6 15 3" xfId="33398" xr:uid="{00000000-0005-0000-0000-00006D820000}"/>
    <cellStyle name="Normal 3 3 3 6 16" xfId="33399" xr:uid="{00000000-0005-0000-0000-00006E820000}"/>
    <cellStyle name="Normal 3 3 3 6 17" xfId="33400" xr:uid="{00000000-0005-0000-0000-00006F820000}"/>
    <cellStyle name="Normal 3 3 3 6 2" xfId="33401" xr:uid="{00000000-0005-0000-0000-000070820000}"/>
    <cellStyle name="Normal 3 3 3 6 2 10" xfId="33402" xr:uid="{00000000-0005-0000-0000-000071820000}"/>
    <cellStyle name="Normal 3 3 3 6 2 10 2" xfId="33403" xr:uid="{00000000-0005-0000-0000-000072820000}"/>
    <cellStyle name="Normal 3 3 3 6 2 10 3" xfId="33404" xr:uid="{00000000-0005-0000-0000-000073820000}"/>
    <cellStyle name="Normal 3 3 3 6 2 11" xfId="33405" xr:uid="{00000000-0005-0000-0000-000074820000}"/>
    <cellStyle name="Normal 3 3 3 6 2 11 2" xfId="33406" xr:uid="{00000000-0005-0000-0000-000075820000}"/>
    <cellStyle name="Normal 3 3 3 6 2 11 3" xfId="33407" xr:uid="{00000000-0005-0000-0000-000076820000}"/>
    <cellStyle name="Normal 3 3 3 6 2 12" xfId="33408" xr:uid="{00000000-0005-0000-0000-000077820000}"/>
    <cellStyle name="Normal 3 3 3 6 2 12 2" xfId="33409" xr:uid="{00000000-0005-0000-0000-000078820000}"/>
    <cellStyle name="Normal 3 3 3 6 2 12 3" xfId="33410" xr:uid="{00000000-0005-0000-0000-000079820000}"/>
    <cellStyle name="Normal 3 3 3 6 2 13" xfId="33411" xr:uid="{00000000-0005-0000-0000-00007A820000}"/>
    <cellStyle name="Normal 3 3 3 6 2 13 2" xfId="33412" xr:uid="{00000000-0005-0000-0000-00007B820000}"/>
    <cellStyle name="Normal 3 3 3 6 2 13 3" xfId="33413" xr:uid="{00000000-0005-0000-0000-00007C820000}"/>
    <cellStyle name="Normal 3 3 3 6 2 14" xfId="33414" xr:uid="{00000000-0005-0000-0000-00007D820000}"/>
    <cellStyle name="Normal 3 3 3 6 2 14 2" xfId="33415" xr:uid="{00000000-0005-0000-0000-00007E820000}"/>
    <cellStyle name="Normal 3 3 3 6 2 14 3" xfId="33416" xr:uid="{00000000-0005-0000-0000-00007F820000}"/>
    <cellStyle name="Normal 3 3 3 6 2 15" xfId="33417" xr:uid="{00000000-0005-0000-0000-000080820000}"/>
    <cellStyle name="Normal 3 3 3 6 2 16" xfId="33418" xr:uid="{00000000-0005-0000-0000-000081820000}"/>
    <cellStyle name="Normal 3 3 3 6 2 2" xfId="33419" xr:uid="{00000000-0005-0000-0000-000082820000}"/>
    <cellStyle name="Normal 3 3 3 6 2 2 2" xfId="33420" xr:uid="{00000000-0005-0000-0000-000083820000}"/>
    <cellStyle name="Normal 3 3 3 6 2 2 3" xfId="33421" xr:uid="{00000000-0005-0000-0000-000084820000}"/>
    <cellStyle name="Normal 3 3 3 6 2 3" xfId="33422" xr:uid="{00000000-0005-0000-0000-000085820000}"/>
    <cellStyle name="Normal 3 3 3 6 2 3 2" xfId="33423" xr:uid="{00000000-0005-0000-0000-000086820000}"/>
    <cellStyle name="Normal 3 3 3 6 2 3 3" xfId="33424" xr:uid="{00000000-0005-0000-0000-000087820000}"/>
    <cellStyle name="Normal 3 3 3 6 2 4" xfId="33425" xr:uid="{00000000-0005-0000-0000-000088820000}"/>
    <cellStyle name="Normal 3 3 3 6 2 4 2" xfId="33426" xr:uid="{00000000-0005-0000-0000-000089820000}"/>
    <cellStyle name="Normal 3 3 3 6 2 4 3" xfId="33427" xr:uid="{00000000-0005-0000-0000-00008A820000}"/>
    <cellStyle name="Normal 3 3 3 6 2 5" xfId="33428" xr:uid="{00000000-0005-0000-0000-00008B820000}"/>
    <cellStyle name="Normal 3 3 3 6 2 5 2" xfId="33429" xr:uid="{00000000-0005-0000-0000-00008C820000}"/>
    <cellStyle name="Normal 3 3 3 6 2 5 3" xfId="33430" xr:uid="{00000000-0005-0000-0000-00008D820000}"/>
    <cellStyle name="Normal 3 3 3 6 2 6" xfId="33431" xr:uid="{00000000-0005-0000-0000-00008E820000}"/>
    <cellStyle name="Normal 3 3 3 6 2 6 2" xfId="33432" xr:uid="{00000000-0005-0000-0000-00008F820000}"/>
    <cellStyle name="Normal 3 3 3 6 2 6 3" xfId="33433" xr:uid="{00000000-0005-0000-0000-000090820000}"/>
    <cellStyle name="Normal 3 3 3 6 2 7" xfId="33434" xr:uid="{00000000-0005-0000-0000-000091820000}"/>
    <cellStyle name="Normal 3 3 3 6 2 7 2" xfId="33435" xr:uid="{00000000-0005-0000-0000-000092820000}"/>
    <cellStyle name="Normal 3 3 3 6 2 7 3" xfId="33436" xr:uid="{00000000-0005-0000-0000-000093820000}"/>
    <cellStyle name="Normal 3 3 3 6 2 8" xfId="33437" xr:uid="{00000000-0005-0000-0000-000094820000}"/>
    <cellStyle name="Normal 3 3 3 6 2 8 2" xfId="33438" xr:uid="{00000000-0005-0000-0000-000095820000}"/>
    <cellStyle name="Normal 3 3 3 6 2 8 3" xfId="33439" xr:uid="{00000000-0005-0000-0000-000096820000}"/>
    <cellStyle name="Normal 3 3 3 6 2 9" xfId="33440" xr:uid="{00000000-0005-0000-0000-000097820000}"/>
    <cellStyle name="Normal 3 3 3 6 2 9 2" xfId="33441" xr:uid="{00000000-0005-0000-0000-000098820000}"/>
    <cellStyle name="Normal 3 3 3 6 2 9 3" xfId="33442" xr:uid="{00000000-0005-0000-0000-000099820000}"/>
    <cellStyle name="Normal 3 3 3 6 3" xfId="33443" xr:uid="{00000000-0005-0000-0000-00009A820000}"/>
    <cellStyle name="Normal 3 3 3 6 3 2" xfId="33444" xr:uid="{00000000-0005-0000-0000-00009B820000}"/>
    <cellStyle name="Normal 3 3 3 6 3 3" xfId="33445" xr:uid="{00000000-0005-0000-0000-00009C820000}"/>
    <cellStyle name="Normal 3 3 3 6 4" xfId="33446" xr:uid="{00000000-0005-0000-0000-00009D820000}"/>
    <cellStyle name="Normal 3 3 3 6 4 2" xfId="33447" xr:uid="{00000000-0005-0000-0000-00009E820000}"/>
    <cellStyle name="Normal 3 3 3 6 4 3" xfId="33448" xr:uid="{00000000-0005-0000-0000-00009F820000}"/>
    <cellStyle name="Normal 3 3 3 6 5" xfId="33449" xr:uid="{00000000-0005-0000-0000-0000A0820000}"/>
    <cellStyle name="Normal 3 3 3 6 5 2" xfId="33450" xr:uid="{00000000-0005-0000-0000-0000A1820000}"/>
    <cellStyle name="Normal 3 3 3 6 5 3" xfId="33451" xr:uid="{00000000-0005-0000-0000-0000A2820000}"/>
    <cellStyle name="Normal 3 3 3 6 6" xfId="33452" xr:uid="{00000000-0005-0000-0000-0000A3820000}"/>
    <cellStyle name="Normal 3 3 3 6 6 2" xfId="33453" xr:uid="{00000000-0005-0000-0000-0000A4820000}"/>
    <cellStyle name="Normal 3 3 3 6 6 3" xfId="33454" xr:uid="{00000000-0005-0000-0000-0000A5820000}"/>
    <cellStyle name="Normal 3 3 3 6 7" xfId="33455" xr:uid="{00000000-0005-0000-0000-0000A6820000}"/>
    <cellStyle name="Normal 3 3 3 6 7 2" xfId="33456" xr:uid="{00000000-0005-0000-0000-0000A7820000}"/>
    <cellStyle name="Normal 3 3 3 6 7 3" xfId="33457" xr:uid="{00000000-0005-0000-0000-0000A8820000}"/>
    <cellStyle name="Normal 3 3 3 6 8" xfId="33458" xr:uid="{00000000-0005-0000-0000-0000A9820000}"/>
    <cellStyle name="Normal 3 3 3 6 8 2" xfId="33459" xr:uid="{00000000-0005-0000-0000-0000AA820000}"/>
    <cellStyle name="Normal 3 3 3 6 8 3" xfId="33460" xr:uid="{00000000-0005-0000-0000-0000AB820000}"/>
    <cellStyle name="Normal 3 3 3 6 9" xfId="33461" xr:uid="{00000000-0005-0000-0000-0000AC820000}"/>
    <cellStyle name="Normal 3 3 3 6 9 2" xfId="33462" xr:uid="{00000000-0005-0000-0000-0000AD820000}"/>
    <cellStyle name="Normal 3 3 3 6 9 3" xfId="33463" xr:uid="{00000000-0005-0000-0000-0000AE820000}"/>
    <cellStyle name="Normal 3 3 3 7" xfId="33464" xr:uid="{00000000-0005-0000-0000-0000AF820000}"/>
    <cellStyle name="Normal 3 3 3 7 10" xfId="33465" xr:uid="{00000000-0005-0000-0000-0000B0820000}"/>
    <cellStyle name="Normal 3 3 3 7 10 2" xfId="33466" xr:uid="{00000000-0005-0000-0000-0000B1820000}"/>
    <cellStyle name="Normal 3 3 3 7 10 3" xfId="33467" xr:uid="{00000000-0005-0000-0000-0000B2820000}"/>
    <cellStyle name="Normal 3 3 3 7 11" xfId="33468" xr:uid="{00000000-0005-0000-0000-0000B3820000}"/>
    <cellStyle name="Normal 3 3 3 7 11 2" xfId="33469" xr:uid="{00000000-0005-0000-0000-0000B4820000}"/>
    <cellStyle name="Normal 3 3 3 7 11 3" xfId="33470" xr:uid="{00000000-0005-0000-0000-0000B5820000}"/>
    <cellStyle name="Normal 3 3 3 7 12" xfId="33471" xr:uid="{00000000-0005-0000-0000-0000B6820000}"/>
    <cellStyle name="Normal 3 3 3 7 12 2" xfId="33472" xr:uid="{00000000-0005-0000-0000-0000B7820000}"/>
    <cellStyle name="Normal 3 3 3 7 12 3" xfId="33473" xr:uid="{00000000-0005-0000-0000-0000B8820000}"/>
    <cellStyle name="Normal 3 3 3 7 13" xfId="33474" xr:uid="{00000000-0005-0000-0000-0000B9820000}"/>
    <cellStyle name="Normal 3 3 3 7 13 2" xfId="33475" xr:uid="{00000000-0005-0000-0000-0000BA820000}"/>
    <cellStyle name="Normal 3 3 3 7 13 3" xfId="33476" xr:uid="{00000000-0005-0000-0000-0000BB820000}"/>
    <cellStyle name="Normal 3 3 3 7 14" xfId="33477" xr:uid="{00000000-0005-0000-0000-0000BC820000}"/>
    <cellStyle name="Normal 3 3 3 7 14 2" xfId="33478" xr:uid="{00000000-0005-0000-0000-0000BD820000}"/>
    <cellStyle name="Normal 3 3 3 7 14 3" xfId="33479" xr:uid="{00000000-0005-0000-0000-0000BE820000}"/>
    <cellStyle name="Normal 3 3 3 7 15" xfId="33480" xr:uid="{00000000-0005-0000-0000-0000BF820000}"/>
    <cellStyle name="Normal 3 3 3 7 15 2" xfId="33481" xr:uid="{00000000-0005-0000-0000-0000C0820000}"/>
    <cellStyle name="Normal 3 3 3 7 15 3" xfId="33482" xr:uid="{00000000-0005-0000-0000-0000C1820000}"/>
    <cellStyle name="Normal 3 3 3 7 16" xfId="33483" xr:uid="{00000000-0005-0000-0000-0000C2820000}"/>
    <cellStyle name="Normal 3 3 3 7 17" xfId="33484" xr:uid="{00000000-0005-0000-0000-0000C3820000}"/>
    <cellStyle name="Normal 3 3 3 7 2" xfId="33485" xr:uid="{00000000-0005-0000-0000-0000C4820000}"/>
    <cellStyle name="Normal 3 3 3 7 2 10" xfId="33486" xr:uid="{00000000-0005-0000-0000-0000C5820000}"/>
    <cellStyle name="Normal 3 3 3 7 2 10 2" xfId="33487" xr:uid="{00000000-0005-0000-0000-0000C6820000}"/>
    <cellStyle name="Normal 3 3 3 7 2 10 3" xfId="33488" xr:uid="{00000000-0005-0000-0000-0000C7820000}"/>
    <cellStyle name="Normal 3 3 3 7 2 11" xfId="33489" xr:uid="{00000000-0005-0000-0000-0000C8820000}"/>
    <cellStyle name="Normal 3 3 3 7 2 11 2" xfId="33490" xr:uid="{00000000-0005-0000-0000-0000C9820000}"/>
    <cellStyle name="Normal 3 3 3 7 2 11 3" xfId="33491" xr:uid="{00000000-0005-0000-0000-0000CA820000}"/>
    <cellStyle name="Normal 3 3 3 7 2 12" xfId="33492" xr:uid="{00000000-0005-0000-0000-0000CB820000}"/>
    <cellStyle name="Normal 3 3 3 7 2 12 2" xfId="33493" xr:uid="{00000000-0005-0000-0000-0000CC820000}"/>
    <cellStyle name="Normal 3 3 3 7 2 12 3" xfId="33494" xr:uid="{00000000-0005-0000-0000-0000CD820000}"/>
    <cellStyle name="Normal 3 3 3 7 2 13" xfId="33495" xr:uid="{00000000-0005-0000-0000-0000CE820000}"/>
    <cellStyle name="Normal 3 3 3 7 2 13 2" xfId="33496" xr:uid="{00000000-0005-0000-0000-0000CF820000}"/>
    <cellStyle name="Normal 3 3 3 7 2 13 3" xfId="33497" xr:uid="{00000000-0005-0000-0000-0000D0820000}"/>
    <cellStyle name="Normal 3 3 3 7 2 14" xfId="33498" xr:uid="{00000000-0005-0000-0000-0000D1820000}"/>
    <cellStyle name="Normal 3 3 3 7 2 14 2" xfId="33499" xr:uid="{00000000-0005-0000-0000-0000D2820000}"/>
    <cellStyle name="Normal 3 3 3 7 2 14 3" xfId="33500" xr:uid="{00000000-0005-0000-0000-0000D3820000}"/>
    <cellStyle name="Normal 3 3 3 7 2 15" xfId="33501" xr:uid="{00000000-0005-0000-0000-0000D4820000}"/>
    <cellStyle name="Normal 3 3 3 7 2 16" xfId="33502" xr:uid="{00000000-0005-0000-0000-0000D5820000}"/>
    <cellStyle name="Normal 3 3 3 7 2 2" xfId="33503" xr:uid="{00000000-0005-0000-0000-0000D6820000}"/>
    <cellStyle name="Normal 3 3 3 7 2 2 2" xfId="33504" xr:uid="{00000000-0005-0000-0000-0000D7820000}"/>
    <cellStyle name="Normal 3 3 3 7 2 2 3" xfId="33505" xr:uid="{00000000-0005-0000-0000-0000D8820000}"/>
    <cellStyle name="Normal 3 3 3 7 2 3" xfId="33506" xr:uid="{00000000-0005-0000-0000-0000D9820000}"/>
    <cellStyle name="Normal 3 3 3 7 2 3 2" xfId="33507" xr:uid="{00000000-0005-0000-0000-0000DA820000}"/>
    <cellStyle name="Normal 3 3 3 7 2 3 3" xfId="33508" xr:uid="{00000000-0005-0000-0000-0000DB820000}"/>
    <cellStyle name="Normal 3 3 3 7 2 4" xfId="33509" xr:uid="{00000000-0005-0000-0000-0000DC820000}"/>
    <cellStyle name="Normal 3 3 3 7 2 4 2" xfId="33510" xr:uid="{00000000-0005-0000-0000-0000DD820000}"/>
    <cellStyle name="Normal 3 3 3 7 2 4 3" xfId="33511" xr:uid="{00000000-0005-0000-0000-0000DE820000}"/>
    <cellStyle name="Normal 3 3 3 7 2 5" xfId="33512" xr:uid="{00000000-0005-0000-0000-0000DF820000}"/>
    <cellStyle name="Normal 3 3 3 7 2 5 2" xfId="33513" xr:uid="{00000000-0005-0000-0000-0000E0820000}"/>
    <cellStyle name="Normal 3 3 3 7 2 5 3" xfId="33514" xr:uid="{00000000-0005-0000-0000-0000E1820000}"/>
    <cellStyle name="Normal 3 3 3 7 2 6" xfId="33515" xr:uid="{00000000-0005-0000-0000-0000E2820000}"/>
    <cellStyle name="Normal 3 3 3 7 2 6 2" xfId="33516" xr:uid="{00000000-0005-0000-0000-0000E3820000}"/>
    <cellStyle name="Normal 3 3 3 7 2 6 3" xfId="33517" xr:uid="{00000000-0005-0000-0000-0000E4820000}"/>
    <cellStyle name="Normal 3 3 3 7 2 7" xfId="33518" xr:uid="{00000000-0005-0000-0000-0000E5820000}"/>
    <cellStyle name="Normal 3 3 3 7 2 7 2" xfId="33519" xr:uid="{00000000-0005-0000-0000-0000E6820000}"/>
    <cellStyle name="Normal 3 3 3 7 2 7 3" xfId="33520" xr:uid="{00000000-0005-0000-0000-0000E7820000}"/>
    <cellStyle name="Normal 3 3 3 7 2 8" xfId="33521" xr:uid="{00000000-0005-0000-0000-0000E8820000}"/>
    <cellStyle name="Normal 3 3 3 7 2 8 2" xfId="33522" xr:uid="{00000000-0005-0000-0000-0000E9820000}"/>
    <cellStyle name="Normal 3 3 3 7 2 8 3" xfId="33523" xr:uid="{00000000-0005-0000-0000-0000EA820000}"/>
    <cellStyle name="Normal 3 3 3 7 2 9" xfId="33524" xr:uid="{00000000-0005-0000-0000-0000EB820000}"/>
    <cellStyle name="Normal 3 3 3 7 2 9 2" xfId="33525" xr:uid="{00000000-0005-0000-0000-0000EC820000}"/>
    <cellStyle name="Normal 3 3 3 7 2 9 3" xfId="33526" xr:uid="{00000000-0005-0000-0000-0000ED820000}"/>
    <cellStyle name="Normal 3 3 3 7 3" xfId="33527" xr:uid="{00000000-0005-0000-0000-0000EE820000}"/>
    <cellStyle name="Normal 3 3 3 7 3 2" xfId="33528" xr:uid="{00000000-0005-0000-0000-0000EF820000}"/>
    <cellStyle name="Normal 3 3 3 7 3 3" xfId="33529" xr:uid="{00000000-0005-0000-0000-0000F0820000}"/>
    <cellStyle name="Normal 3 3 3 7 4" xfId="33530" xr:uid="{00000000-0005-0000-0000-0000F1820000}"/>
    <cellStyle name="Normal 3 3 3 7 4 2" xfId="33531" xr:uid="{00000000-0005-0000-0000-0000F2820000}"/>
    <cellStyle name="Normal 3 3 3 7 4 3" xfId="33532" xr:uid="{00000000-0005-0000-0000-0000F3820000}"/>
    <cellStyle name="Normal 3 3 3 7 5" xfId="33533" xr:uid="{00000000-0005-0000-0000-0000F4820000}"/>
    <cellStyle name="Normal 3 3 3 7 5 2" xfId="33534" xr:uid="{00000000-0005-0000-0000-0000F5820000}"/>
    <cellStyle name="Normal 3 3 3 7 5 3" xfId="33535" xr:uid="{00000000-0005-0000-0000-0000F6820000}"/>
    <cellStyle name="Normal 3 3 3 7 6" xfId="33536" xr:uid="{00000000-0005-0000-0000-0000F7820000}"/>
    <cellStyle name="Normal 3 3 3 7 6 2" xfId="33537" xr:uid="{00000000-0005-0000-0000-0000F8820000}"/>
    <cellStyle name="Normal 3 3 3 7 6 3" xfId="33538" xr:uid="{00000000-0005-0000-0000-0000F9820000}"/>
    <cellStyle name="Normal 3 3 3 7 7" xfId="33539" xr:uid="{00000000-0005-0000-0000-0000FA820000}"/>
    <cellStyle name="Normal 3 3 3 7 7 2" xfId="33540" xr:uid="{00000000-0005-0000-0000-0000FB820000}"/>
    <cellStyle name="Normal 3 3 3 7 7 3" xfId="33541" xr:uid="{00000000-0005-0000-0000-0000FC820000}"/>
    <cellStyle name="Normal 3 3 3 7 8" xfId="33542" xr:uid="{00000000-0005-0000-0000-0000FD820000}"/>
    <cellStyle name="Normal 3 3 3 7 8 2" xfId="33543" xr:uid="{00000000-0005-0000-0000-0000FE820000}"/>
    <cellStyle name="Normal 3 3 3 7 8 3" xfId="33544" xr:uid="{00000000-0005-0000-0000-0000FF820000}"/>
    <cellStyle name="Normal 3 3 3 7 9" xfId="33545" xr:uid="{00000000-0005-0000-0000-000000830000}"/>
    <cellStyle name="Normal 3 3 3 7 9 2" xfId="33546" xr:uid="{00000000-0005-0000-0000-000001830000}"/>
    <cellStyle name="Normal 3 3 3 7 9 3" xfId="33547" xr:uid="{00000000-0005-0000-0000-000002830000}"/>
    <cellStyle name="Normal 3 3 3 8" xfId="33548" xr:uid="{00000000-0005-0000-0000-000003830000}"/>
    <cellStyle name="Normal 3 3 3 8 10" xfId="33549" xr:uid="{00000000-0005-0000-0000-000004830000}"/>
    <cellStyle name="Normal 3 3 3 8 10 2" xfId="33550" xr:uid="{00000000-0005-0000-0000-000005830000}"/>
    <cellStyle name="Normal 3 3 3 8 10 3" xfId="33551" xr:uid="{00000000-0005-0000-0000-000006830000}"/>
    <cellStyle name="Normal 3 3 3 8 11" xfId="33552" xr:uid="{00000000-0005-0000-0000-000007830000}"/>
    <cellStyle name="Normal 3 3 3 8 11 2" xfId="33553" xr:uid="{00000000-0005-0000-0000-000008830000}"/>
    <cellStyle name="Normal 3 3 3 8 11 3" xfId="33554" xr:uid="{00000000-0005-0000-0000-000009830000}"/>
    <cellStyle name="Normal 3 3 3 8 12" xfId="33555" xr:uid="{00000000-0005-0000-0000-00000A830000}"/>
    <cellStyle name="Normal 3 3 3 8 12 2" xfId="33556" xr:uid="{00000000-0005-0000-0000-00000B830000}"/>
    <cellStyle name="Normal 3 3 3 8 12 3" xfId="33557" xr:uid="{00000000-0005-0000-0000-00000C830000}"/>
    <cellStyle name="Normal 3 3 3 8 13" xfId="33558" xr:uid="{00000000-0005-0000-0000-00000D830000}"/>
    <cellStyle name="Normal 3 3 3 8 13 2" xfId="33559" xr:uid="{00000000-0005-0000-0000-00000E830000}"/>
    <cellStyle name="Normal 3 3 3 8 13 3" xfId="33560" xr:uid="{00000000-0005-0000-0000-00000F830000}"/>
    <cellStyle name="Normal 3 3 3 8 14" xfId="33561" xr:uid="{00000000-0005-0000-0000-000010830000}"/>
    <cellStyle name="Normal 3 3 3 8 14 2" xfId="33562" xr:uid="{00000000-0005-0000-0000-000011830000}"/>
    <cellStyle name="Normal 3 3 3 8 14 3" xfId="33563" xr:uid="{00000000-0005-0000-0000-000012830000}"/>
    <cellStyle name="Normal 3 3 3 8 15" xfId="33564" xr:uid="{00000000-0005-0000-0000-000013830000}"/>
    <cellStyle name="Normal 3 3 3 8 15 2" xfId="33565" xr:uid="{00000000-0005-0000-0000-000014830000}"/>
    <cellStyle name="Normal 3 3 3 8 15 3" xfId="33566" xr:uid="{00000000-0005-0000-0000-000015830000}"/>
    <cellStyle name="Normal 3 3 3 8 16" xfId="33567" xr:uid="{00000000-0005-0000-0000-000016830000}"/>
    <cellStyle name="Normal 3 3 3 8 17" xfId="33568" xr:uid="{00000000-0005-0000-0000-000017830000}"/>
    <cellStyle name="Normal 3 3 3 8 2" xfId="33569" xr:uid="{00000000-0005-0000-0000-000018830000}"/>
    <cellStyle name="Normal 3 3 3 8 2 10" xfId="33570" xr:uid="{00000000-0005-0000-0000-000019830000}"/>
    <cellStyle name="Normal 3 3 3 8 2 10 2" xfId="33571" xr:uid="{00000000-0005-0000-0000-00001A830000}"/>
    <cellStyle name="Normal 3 3 3 8 2 10 3" xfId="33572" xr:uid="{00000000-0005-0000-0000-00001B830000}"/>
    <cellStyle name="Normal 3 3 3 8 2 11" xfId="33573" xr:uid="{00000000-0005-0000-0000-00001C830000}"/>
    <cellStyle name="Normal 3 3 3 8 2 11 2" xfId="33574" xr:uid="{00000000-0005-0000-0000-00001D830000}"/>
    <cellStyle name="Normal 3 3 3 8 2 11 3" xfId="33575" xr:uid="{00000000-0005-0000-0000-00001E830000}"/>
    <cellStyle name="Normal 3 3 3 8 2 12" xfId="33576" xr:uid="{00000000-0005-0000-0000-00001F830000}"/>
    <cellStyle name="Normal 3 3 3 8 2 12 2" xfId="33577" xr:uid="{00000000-0005-0000-0000-000020830000}"/>
    <cellStyle name="Normal 3 3 3 8 2 12 3" xfId="33578" xr:uid="{00000000-0005-0000-0000-000021830000}"/>
    <cellStyle name="Normal 3 3 3 8 2 13" xfId="33579" xr:uid="{00000000-0005-0000-0000-000022830000}"/>
    <cellStyle name="Normal 3 3 3 8 2 13 2" xfId="33580" xr:uid="{00000000-0005-0000-0000-000023830000}"/>
    <cellStyle name="Normal 3 3 3 8 2 13 3" xfId="33581" xr:uid="{00000000-0005-0000-0000-000024830000}"/>
    <cellStyle name="Normal 3 3 3 8 2 14" xfId="33582" xr:uid="{00000000-0005-0000-0000-000025830000}"/>
    <cellStyle name="Normal 3 3 3 8 2 14 2" xfId="33583" xr:uid="{00000000-0005-0000-0000-000026830000}"/>
    <cellStyle name="Normal 3 3 3 8 2 14 3" xfId="33584" xr:uid="{00000000-0005-0000-0000-000027830000}"/>
    <cellStyle name="Normal 3 3 3 8 2 15" xfId="33585" xr:uid="{00000000-0005-0000-0000-000028830000}"/>
    <cellStyle name="Normal 3 3 3 8 2 16" xfId="33586" xr:uid="{00000000-0005-0000-0000-000029830000}"/>
    <cellStyle name="Normal 3 3 3 8 2 2" xfId="33587" xr:uid="{00000000-0005-0000-0000-00002A830000}"/>
    <cellStyle name="Normal 3 3 3 8 2 2 2" xfId="33588" xr:uid="{00000000-0005-0000-0000-00002B830000}"/>
    <cellStyle name="Normal 3 3 3 8 2 2 3" xfId="33589" xr:uid="{00000000-0005-0000-0000-00002C830000}"/>
    <cellStyle name="Normal 3 3 3 8 2 3" xfId="33590" xr:uid="{00000000-0005-0000-0000-00002D830000}"/>
    <cellStyle name="Normal 3 3 3 8 2 3 2" xfId="33591" xr:uid="{00000000-0005-0000-0000-00002E830000}"/>
    <cellStyle name="Normal 3 3 3 8 2 3 3" xfId="33592" xr:uid="{00000000-0005-0000-0000-00002F830000}"/>
    <cellStyle name="Normal 3 3 3 8 2 4" xfId="33593" xr:uid="{00000000-0005-0000-0000-000030830000}"/>
    <cellStyle name="Normal 3 3 3 8 2 4 2" xfId="33594" xr:uid="{00000000-0005-0000-0000-000031830000}"/>
    <cellStyle name="Normal 3 3 3 8 2 4 3" xfId="33595" xr:uid="{00000000-0005-0000-0000-000032830000}"/>
    <cellStyle name="Normal 3 3 3 8 2 5" xfId="33596" xr:uid="{00000000-0005-0000-0000-000033830000}"/>
    <cellStyle name="Normal 3 3 3 8 2 5 2" xfId="33597" xr:uid="{00000000-0005-0000-0000-000034830000}"/>
    <cellStyle name="Normal 3 3 3 8 2 5 3" xfId="33598" xr:uid="{00000000-0005-0000-0000-000035830000}"/>
    <cellStyle name="Normal 3 3 3 8 2 6" xfId="33599" xr:uid="{00000000-0005-0000-0000-000036830000}"/>
    <cellStyle name="Normal 3 3 3 8 2 6 2" xfId="33600" xr:uid="{00000000-0005-0000-0000-000037830000}"/>
    <cellStyle name="Normal 3 3 3 8 2 6 3" xfId="33601" xr:uid="{00000000-0005-0000-0000-000038830000}"/>
    <cellStyle name="Normal 3 3 3 8 2 7" xfId="33602" xr:uid="{00000000-0005-0000-0000-000039830000}"/>
    <cellStyle name="Normal 3 3 3 8 2 7 2" xfId="33603" xr:uid="{00000000-0005-0000-0000-00003A830000}"/>
    <cellStyle name="Normal 3 3 3 8 2 7 3" xfId="33604" xr:uid="{00000000-0005-0000-0000-00003B830000}"/>
    <cellStyle name="Normal 3 3 3 8 2 8" xfId="33605" xr:uid="{00000000-0005-0000-0000-00003C830000}"/>
    <cellStyle name="Normal 3 3 3 8 2 8 2" xfId="33606" xr:uid="{00000000-0005-0000-0000-00003D830000}"/>
    <cellStyle name="Normal 3 3 3 8 2 8 3" xfId="33607" xr:uid="{00000000-0005-0000-0000-00003E830000}"/>
    <cellStyle name="Normal 3 3 3 8 2 9" xfId="33608" xr:uid="{00000000-0005-0000-0000-00003F830000}"/>
    <cellStyle name="Normal 3 3 3 8 2 9 2" xfId="33609" xr:uid="{00000000-0005-0000-0000-000040830000}"/>
    <cellStyle name="Normal 3 3 3 8 2 9 3" xfId="33610" xr:uid="{00000000-0005-0000-0000-000041830000}"/>
    <cellStyle name="Normal 3 3 3 8 3" xfId="33611" xr:uid="{00000000-0005-0000-0000-000042830000}"/>
    <cellStyle name="Normal 3 3 3 8 3 2" xfId="33612" xr:uid="{00000000-0005-0000-0000-000043830000}"/>
    <cellStyle name="Normal 3 3 3 8 3 3" xfId="33613" xr:uid="{00000000-0005-0000-0000-000044830000}"/>
    <cellStyle name="Normal 3 3 3 8 4" xfId="33614" xr:uid="{00000000-0005-0000-0000-000045830000}"/>
    <cellStyle name="Normal 3 3 3 8 4 2" xfId="33615" xr:uid="{00000000-0005-0000-0000-000046830000}"/>
    <cellStyle name="Normal 3 3 3 8 4 3" xfId="33616" xr:uid="{00000000-0005-0000-0000-000047830000}"/>
    <cellStyle name="Normal 3 3 3 8 5" xfId="33617" xr:uid="{00000000-0005-0000-0000-000048830000}"/>
    <cellStyle name="Normal 3 3 3 8 5 2" xfId="33618" xr:uid="{00000000-0005-0000-0000-000049830000}"/>
    <cellStyle name="Normal 3 3 3 8 5 3" xfId="33619" xr:uid="{00000000-0005-0000-0000-00004A830000}"/>
    <cellStyle name="Normal 3 3 3 8 6" xfId="33620" xr:uid="{00000000-0005-0000-0000-00004B830000}"/>
    <cellStyle name="Normal 3 3 3 8 6 2" xfId="33621" xr:uid="{00000000-0005-0000-0000-00004C830000}"/>
    <cellStyle name="Normal 3 3 3 8 6 3" xfId="33622" xr:uid="{00000000-0005-0000-0000-00004D830000}"/>
    <cellStyle name="Normal 3 3 3 8 7" xfId="33623" xr:uid="{00000000-0005-0000-0000-00004E830000}"/>
    <cellStyle name="Normal 3 3 3 8 7 2" xfId="33624" xr:uid="{00000000-0005-0000-0000-00004F830000}"/>
    <cellStyle name="Normal 3 3 3 8 7 3" xfId="33625" xr:uid="{00000000-0005-0000-0000-000050830000}"/>
    <cellStyle name="Normal 3 3 3 8 8" xfId="33626" xr:uid="{00000000-0005-0000-0000-000051830000}"/>
    <cellStyle name="Normal 3 3 3 8 8 2" xfId="33627" xr:uid="{00000000-0005-0000-0000-000052830000}"/>
    <cellStyle name="Normal 3 3 3 8 8 3" xfId="33628" xr:uid="{00000000-0005-0000-0000-000053830000}"/>
    <cellStyle name="Normal 3 3 3 8 9" xfId="33629" xr:uid="{00000000-0005-0000-0000-000054830000}"/>
    <cellStyle name="Normal 3 3 3 8 9 2" xfId="33630" xr:uid="{00000000-0005-0000-0000-000055830000}"/>
    <cellStyle name="Normal 3 3 3 8 9 3" xfId="33631" xr:uid="{00000000-0005-0000-0000-000056830000}"/>
    <cellStyle name="Normal 3 3 3 9" xfId="33632" xr:uid="{00000000-0005-0000-0000-000057830000}"/>
    <cellStyle name="Normal 3 3 3 9 10" xfId="33633" xr:uid="{00000000-0005-0000-0000-000058830000}"/>
    <cellStyle name="Normal 3 3 3 9 10 2" xfId="33634" xr:uid="{00000000-0005-0000-0000-000059830000}"/>
    <cellStyle name="Normal 3 3 3 9 10 3" xfId="33635" xr:uid="{00000000-0005-0000-0000-00005A830000}"/>
    <cellStyle name="Normal 3 3 3 9 11" xfId="33636" xr:uid="{00000000-0005-0000-0000-00005B830000}"/>
    <cellStyle name="Normal 3 3 3 9 11 2" xfId="33637" xr:uid="{00000000-0005-0000-0000-00005C830000}"/>
    <cellStyle name="Normal 3 3 3 9 11 3" xfId="33638" xr:uid="{00000000-0005-0000-0000-00005D830000}"/>
    <cellStyle name="Normal 3 3 3 9 12" xfId="33639" xr:uid="{00000000-0005-0000-0000-00005E830000}"/>
    <cellStyle name="Normal 3 3 3 9 12 2" xfId="33640" xr:uid="{00000000-0005-0000-0000-00005F830000}"/>
    <cellStyle name="Normal 3 3 3 9 12 3" xfId="33641" xr:uid="{00000000-0005-0000-0000-000060830000}"/>
    <cellStyle name="Normal 3 3 3 9 13" xfId="33642" xr:uid="{00000000-0005-0000-0000-000061830000}"/>
    <cellStyle name="Normal 3 3 3 9 13 2" xfId="33643" xr:uid="{00000000-0005-0000-0000-000062830000}"/>
    <cellStyle name="Normal 3 3 3 9 13 3" xfId="33644" xr:uid="{00000000-0005-0000-0000-000063830000}"/>
    <cellStyle name="Normal 3 3 3 9 14" xfId="33645" xr:uid="{00000000-0005-0000-0000-000064830000}"/>
    <cellStyle name="Normal 3 3 3 9 14 2" xfId="33646" xr:uid="{00000000-0005-0000-0000-000065830000}"/>
    <cellStyle name="Normal 3 3 3 9 14 3" xfId="33647" xr:uid="{00000000-0005-0000-0000-000066830000}"/>
    <cellStyle name="Normal 3 3 3 9 15" xfId="33648" xr:uid="{00000000-0005-0000-0000-000067830000}"/>
    <cellStyle name="Normal 3 3 3 9 16" xfId="33649" xr:uid="{00000000-0005-0000-0000-000068830000}"/>
    <cellStyle name="Normal 3 3 3 9 2" xfId="33650" xr:uid="{00000000-0005-0000-0000-000069830000}"/>
    <cellStyle name="Normal 3 3 3 9 2 2" xfId="33651" xr:uid="{00000000-0005-0000-0000-00006A830000}"/>
    <cellStyle name="Normal 3 3 3 9 2 3" xfId="33652" xr:uid="{00000000-0005-0000-0000-00006B830000}"/>
    <cellStyle name="Normal 3 3 3 9 3" xfId="33653" xr:uid="{00000000-0005-0000-0000-00006C830000}"/>
    <cellStyle name="Normal 3 3 3 9 3 2" xfId="33654" xr:uid="{00000000-0005-0000-0000-00006D830000}"/>
    <cellStyle name="Normal 3 3 3 9 3 3" xfId="33655" xr:uid="{00000000-0005-0000-0000-00006E830000}"/>
    <cellStyle name="Normal 3 3 3 9 4" xfId="33656" xr:uid="{00000000-0005-0000-0000-00006F830000}"/>
    <cellStyle name="Normal 3 3 3 9 4 2" xfId="33657" xr:uid="{00000000-0005-0000-0000-000070830000}"/>
    <cellStyle name="Normal 3 3 3 9 4 3" xfId="33658" xr:uid="{00000000-0005-0000-0000-000071830000}"/>
    <cellStyle name="Normal 3 3 3 9 5" xfId="33659" xr:uid="{00000000-0005-0000-0000-000072830000}"/>
    <cellStyle name="Normal 3 3 3 9 5 2" xfId="33660" xr:uid="{00000000-0005-0000-0000-000073830000}"/>
    <cellStyle name="Normal 3 3 3 9 5 3" xfId="33661" xr:uid="{00000000-0005-0000-0000-000074830000}"/>
    <cellStyle name="Normal 3 3 3 9 6" xfId="33662" xr:uid="{00000000-0005-0000-0000-000075830000}"/>
    <cellStyle name="Normal 3 3 3 9 6 2" xfId="33663" xr:uid="{00000000-0005-0000-0000-000076830000}"/>
    <cellStyle name="Normal 3 3 3 9 6 3" xfId="33664" xr:uid="{00000000-0005-0000-0000-000077830000}"/>
    <cellStyle name="Normal 3 3 3 9 7" xfId="33665" xr:uid="{00000000-0005-0000-0000-000078830000}"/>
    <cellStyle name="Normal 3 3 3 9 7 2" xfId="33666" xr:uid="{00000000-0005-0000-0000-000079830000}"/>
    <cellStyle name="Normal 3 3 3 9 7 3" xfId="33667" xr:uid="{00000000-0005-0000-0000-00007A830000}"/>
    <cellStyle name="Normal 3 3 3 9 8" xfId="33668" xr:uid="{00000000-0005-0000-0000-00007B830000}"/>
    <cellStyle name="Normal 3 3 3 9 8 2" xfId="33669" xr:uid="{00000000-0005-0000-0000-00007C830000}"/>
    <cellStyle name="Normal 3 3 3 9 8 3" xfId="33670" xr:uid="{00000000-0005-0000-0000-00007D830000}"/>
    <cellStyle name="Normal 3 3 3 9 9" xfId="33671" xr:uid="{00000000-0005-0000-0000-00007E830000}"/>
    <cellStyle name="Normal 3 3 3 9 9 2" xfId="33672" xr:uid="{00000000-0005-0000-0000-00007F830000}"/>
    <cellStyle name="Normal 3 3 3 9 9 3" xfId="33673" xr:uid="{00000000-0005-0000-0000-000080830000}"/>
    <cellStyle name="Normal 3 3 30" xfId="33674" xr:uid="{00000000-0005-0000-0000-000081830000}"/>
    <cellStyle name="Normal 3 3 30 10" xfId="33675" xr:uid="{00000000-0005-0000-0000-000082830000}"/>
    <cellStyle name="Normal 3 3 30 10 2" xfId="33676" xr:uid="{00000000-0005-0000-0000-000083830000}"/>
    <cellStyle name="Normal 3 3 30 10 3" xfId="33677" xr:uid="{00000000-0005-0000-0000-000084830000}"/>
    <cellStyle name="Normal 3 3 30 11" xfId="33678" xr:uid="{00000000-0005-0000-0000-000085830000}"/>
    <cellStyle name="Normal 3 3 30 11 2" xfId="33679" xr:uid="{00000000-0005-0000-0000-000086830000}"/>
    <cellStyle name="Normal 3 3 30 11 3" xfId="33680" xr:uid="{00000000-0005-0000-0000-000087830000}"/>
    <cellStyle name="Normal 3 3 30 12" xfId="33681" xr:uid="{00000000-0005-0000-0000-000088830000}"/>
    <cellStyle name="Normal 3 3 30 12 2" xfId="33682" xr:uid="{00000000-0005-0000-0000-000089830000}"/>
    <cellStyle name="Normal 3 3 30 12 3" xfId="33683" xr:uid="{00000000-0005-0000-0000-00008A830000}"/>
    <cellStyle name="Normal 3 3 30 13" xfId="33684" xr:uid="{00000000-0005-0000-0000-00008B830000}"/>
    <cellStyle name="Normal 3 3 30 13 2" xfId="33685" xr:uid="{00000000-0005-0000-0000-00008C830000}"/>
    <cellStyle name="Normal 3 3 30 13 3" xfId="33686" xr:uid="{00000000-0005-0000-0000-00008D830000}"/>
    <cellStyle name="Normal 3 3 30 14" xfId="33687" xr:uid="{00000000-0005-0000-0000-00008E830000}"/>
    <cellStyle name="Normal 3 3 30 14 2" xfId="33688" xr:uid="{00000000-0005-0000-0000-00008F830000}"/>
    <cellStyle name="Normal 3 3 30 14 3" xfId="33689" xr:uid="{00000000-0005-0000-0000-000090830000}"/>
    <cellStyle name="Normal 3 3 30 15" xfId="33690" xr:uid="{00000000-0005-0000-0000-000091830000}"/>
    <cellStyle name="Normal 3 3 30 16" xfId="33691" xr:uid="{00000000-0005-0000-0000-000092830000}"/>
    <cellStyle name="Normal 3 3 30 2" xfId="33692" xr:uid="{00000000-0005-0000-0000-000093830000}"/>
    <cellStyle name="Normal 3 3 30 2 2" xfId="33693" xr:uid="{00000000-0005-0000-0000-000094830000}"/>
    <cellStyle name="Normal 3 3 30 2 3" xfId="33694" xr:uid="{00000000-0005-0000-0000-000095830000}"/>
    <cellStyle name="Normal 3 3 30 3" xfId="33695" xr:uid="{00000000-0005-0000-0000-000096830000}"/>
    <cellStyle name="Normal 3 3 30 3 2" xfId="33696" xr:uid="{00000000-0005-0000-0000-000097830000}"/>
    <cellStyle name="Normal 3 3 30 3 3" xfId="33697" xr:uid="{00000000-0005-0000-0000-000098830000}"/>
    <cellStyle name="Normal 3 3 30 4" xfId="33698" xr:uid="{00000000-0005-0000-0000-000099830000}"/>
    <cellStyle name="Normal 3 3 30 4 2" xfId="33699" xr:uid="{00000000-0005-0000-0000-00009A830000}"/>
    <cellStyle name="Normal 3 3 30 4 3" xfId="33700" xr:uid="{00000000-0005-0000-0000-00009B830000}"/>
    <cellStyle name="Normal 3 3 30 5" xfId="33701" xr:uid="{00000000-0005-0000-0000-00009C830000}"/>
    <cellStyle name="Normal 3 3 30 5 2" xfId="33702" xr:uid="{00000000-0005-0000-0000-00009D830000}"/>
    <cellStyle name="Normal 3 3 30 5 3" xfId="33703" xr:uid="{00000000-0005-0000-0000-00009E830000}"/>
    <cellStyle name="Normal 3 3 30 6" xfId="33704" xr:uid="{00000000-0005-0000-0000-00009F830000}"/>
    <cellStyle name="Normal 3 3 30 6 2" xfId="33705" xr:uid="{00000000-0005-0000-0000-0000A0830000}"/>
    <cellStyle name="Normal 3 3 30 6 3" xfId="33706" xr:uid="{00000000-0005-0000-0000-0000A1830000}"/>
    <cellStyle name="Normal 3 3 30 7" xfId="33707" xr:uid="{00000000-0005-0000-0000-0000A2830000}"/>
    <cellStyle name="Normal 3 3 30 7 2" xfId="33708" xr:uid="{00000000-0005-0000-0000-0000A3830000}"/>
    <cellStyle name="Normal 3 3 30 7 3" xfId="33709" xr:uid="{00000000-0005-0000-0000-0000A4830000}"/>
    <cellStyle name="Normal 3 3 30 8" xfId="33710" xr:uid="{00000000-0005-0000-0000-0000A5830000}"/>
    <cellStyle name="Normal 3 3 30 8 2" xfId="33711" xr:uid="{00000000-0005-0000-0000-0000A6830000}"/>
    <cellStyle name="Normal 3 3 30 8 3" xfId="33712" xr:uid="{00000000-0005-0000-0000-0000A7830000}"/>
    <cellStyle name="Normal 3 3 30 9" xfId="33713" xr:uid="{00000000-0005-0000-0000-0000A8830000}"/>
    <cellStyle name="Normal 3 3 30 9 2" xfId="33714" xr:uid="{00000000-0005-0000-0000-0000A9830000}"/>
    <cellStyle name="Normal 3 3 30 9 3" xfId="33715" xr:uid="{00000000-0005-0000-0000-0000AA830000}"/>
    <cellStyle name="Normal 3 3 31" xfId="33716" xr:uid="{00000000-0005-0000-0000-0000AB830000}"/>
    <cellStyle name="Normal 3 3 31 10" xfId="33717" xr:uid="{00000000-0005-0000-0000-0000AC830000}"/>
    <cellStyle name="Normal 3 3 31 10 2" xfId="33718" xr:uid="{00000000-0005-0000-0000-0000AD830000}"/>
    <cellStyle name="Normal 3 3 31 10 3" xfId="33719" xr:uid="{00000000-0005-0000-0000-0000AE830000}"/>
    <cellStyle name="Normal 3 3 31 11" xfId="33720" xr:uid="{00000000-0005-0000-0000-0000AF830000}"/>
    <cellStyle name="Normal 3 3 31 11 2" xfId="33721" xr:uid="{00000000-0005-0000-0000-0000B0830000}"/>
    <cellStyle name="Normal 3 3 31 11 3" xfId="33722" xr:uid="{00000000-0005-0000-0000-0000B1830000}"/>
    <cellStyle name="Normal 3 3 31 12" xfId="33723" xr:uid="{00000000-0005-0000-0000-0000B2830000}"/>
    <cellStyle name="Normal 3 3 31 12 2" xfId="33724" xr:uid="{00000000-0005-0000-0000-0000B3830000}"/>
    <cellStyle name="Normal 3 3 31 12 3" xfId="33725" xr:uid="{00000000-0005-0000-0000-0000B4830000}"/>
    <cellStyle name="Normal 3 3 31 13" xfId="33726" xr:uid="{00000000-0005-0000-0000-0000B5830000}"/>
    <cellStyle name="Normal 3 3 31 13 2" xfId="33727" xr:uid="{00000000-0005-0000-0000-0000B6830000}"/>
    <cellStyle name="Normal 3 3 31 13 3" xfId="33728" xr:uid="{00000000-0005-0000-0000-0000B7830000}"/>
    <cellStyle name="Normal 3 3 31 14" xfId="33729" xr:uid="{00000000-0005-0000-0000-0000B8830000}"/>
    <cellStyle name="Normal 3 3 31 14 2" xfId="33730" xr:uid="{00000000-0005-0000-0000-0000B9830000}"/>
    <cellStyle name="Normal 3 3 31 14 3" xfId="33731" xr:uid="{00000000-0005-0000-0000-0000BA830000}"/>
    <cellStyle name="Normal 3 3 31 15" xfId="33732" xr:uid="{00000000-0005-0000-0000-0000BB830000}"/>
    <cellStyle name="Normal 3 3 31 16" xfId="33733" xr:uid="{00000000-0005-0000-0000-0000BC830000}"/>
    <cellStyle name="Normal 3 3 31 2" xfId="33734" xr:uid="{00000000-0005-0000-0000-0000BD830000}"/>
    <cellStyle name="Normal 3 3 31 2 2" xfId="33735" xr:uid="{00000000-0005-0000-0000-0000BE830000}"/>
    <cellStyle name="Normal 3 3 31 2 3" xfId="33736" xr:uid="{00000000-0005-0000-0000-0000BF830000}"/>
    <cellStyle name="Normal 3 3 31 3" xfId="33737" xr:uid="{00000000-0005-0000-0000-0000C0830000}"/>
    <cellStyle name="Normal 3 3 31 3 2" xfId="33738" xr:uid="{00000000-0005-0000-0000-0000C1830000}"/>
    <cellStyle name="Normal 3 3 31 3 3" xfId="33739" xr:uid="{00000000-0005-0000-0000-0000C2830000}"/>
    <cellStyle name="Normal 3 3 31 4" xfId="33740" xr:uid="{00000000-0005-0000-0000-0000C3830000}"/>
    <cellStyle name="Normal 3 3 31 4 2" xfId="33741" xr:uid="{00000000-0005-0000-0000-0000C4830000}"/>
    <cellStyle name="Normal 3 3 31 4 3" xfId="33742" xr:uid="{00000000-0005-0000-0000-0000C5830000}"/>
    <cellStyle name="Normal 3 3 31 5" xfId="33743" xr:uid="{00000000-0005-0000-0000-0000C6830000}"/>
    <cellStyle name="Normal 3 3 31 5 2" xfId="33744" xr:uid="{00000000-0005-0000-0000-0000C7830000}"/>
    <cellStyle name="Normal 3 3 31 5 3" xfId="33745" xr:uid="{00000000-0005-0000-0000-0000C8830000}"/>
    <cellStyle name="Normal 3 3 31 6" xfId="33746" xr:uid="{00000000-0005-0000-0000-0000C9830000}"/>
    <cellStyle name="Normal 3 3 31 6 2" xfId="33747" xr:uid="{00000000-0005-0000-0000-0000CA830000}"/>
    <cellStyle name="Normal 3 3 31 6 3" xfId="33748" xr:uid="{00000000-0005-0000-0000-0000CB830000}"/>
    <cellStyle name="Normal 3 3 31 7" xfId="33749" xr:uid="{00000000-0005-0000-0000-0000CC830000}"/>
    <cellStyle name="Normal 3 3 31 7 2" xfId="33750" xr:uid="{00000000-0005-0000-0000-0000CD830000}"/>
    <cellStyle name="Normal 3 3 31 7 3" xfId="33751" xr:uid="{00000000-0005-0000-0000-0000CE830000}"/>
    <cellStyle name="Normal 3 3 31 8" xfId="33752" xr:uid="{00000000-0005-0000-0000-0000CF830000}"/>
    <cellStyle name="Normal 3 3 31 8 2" xfId="33753" xr:uid="{00000000-0005-0000-0000-0000D0830000}"/>
    <cellStyle name="Normal 3 3 31 8 3" xfId="33754" xr:uid="{00000000-0005-0000-0000-0000D1830000}"/>
    <cellStyle name="Normal 3 3 31 9" xfId="33755" xr:uid="{00000000-0005-0000-0000-0000D2830000}"/>
    <cellStyle name="Normal 3 3 31 9 2" xfId="33756" xr:uid="{00000000-0005-0000-0000-0000D3830000}"/>
    <cellStyle name="Normal 3 3 31 9 3" xfId="33757" xr:uid="{00000000-0005-0000-0000-0000D4830000}"/>
    <cellStyle name="Normal 3 3 4" xfId="33758" xr:uid="{00000000-0005-0000-0000-0000D5830000}"/>
    <cellStyle name="Normal 3 3 4 10" xfId="33759" xr:uid="{00000000-0005-0000-0000-0000D6830000}"/>
    <cellStyle name="Normal 3 3 4 10 10" xfId="33760" xr:uid="{00000000-0005-0000-0000-0000D7830000}"/>
    <cellStyle name="Normal 3 3 4 10 10 2" xfId="33761" xr:uid="{00000000-0005-0000-0000-0000D8830000}"/>
    <cellStyle name="Normal 3 3 4 10 10 3" xfId="33762" xr:uid="{00000000-0005-0000-0000-0000D9830000}"/>
    <cellStyle name="Normal 3 3 4 10 11" xfId="33763" xr:uid="{00000000-0005-0000-0000-0000DA830000}"/>
    <cellStyle name="Normal 3 3 4 10 11 2" xfId="33764" xr:uid="{00000000-0005-0000-0000-0000DB830000}"/>
    <cellStyle name="Normal 3 3 4 10 11 3" xfId="33765" xr:uid="{00000000-0005-0000-0000-0000DC830000}"/>
    <cellStyle name="Normal 3 3 4 10 12" xfId="33766" xr:uid="{00000000-0005-0000-0000-0000DD830000}"/>
    <cellStyle name="Normal 3 3 4 10 12 2" xfId="33767" xr:uid="{00000000-0005-0000-0000-0000DE830000}"/>
    <cellStyle name="Normal 3 3 4 10 12 3" xfId="33768" xr:uid="{00000000-0005-0000-0000-0000DF830000}"/>
    <cellStyle name="Normal 3 3 4 10 13" xfId="33769" xr:uid="{00000000-0005-0000-0000-0000E0830000}"/>
    <cellStyle name="Normal 3 3 4 10 13 2" xfId="33770" xr:uid="{00000000-0005-0000-0000-0000E1830000}"/>
    <cellStyle name="Normal 3 3 4 10 13 3" xfId="33771" xr:uid="{00000000-0005-0000-0000-0000E2830000}"/>
    <cellStyle name="Normal 3 3 4 10 14" xfId="33772" xr:uid="{00000000-0005-0000-0000-0000E3830000}"/>
    <cellStyle name="Normal 3 3 4 10 14 2" xfId="33773" xr:uid="{00000000-0005-0000-0000-0000E4830000}"/>
    <cellStyle name="Normal 3 3 4 10 14 3" xfId="33774" xr:uid="{00000000-0005-0000-0000-0000E5830000}"/>
    <cellStyle name="Normal 3 3 4 10 15" xfId="33775" xr:uid="{00000000-0005-0000-0000-0000E6830000}"/>
    <cellStyle name="Normal 3 3 4 10 16" xfId="33776" xr:uid="{00000000-0005-0000-0000-0000E7830000}"/>
    <cellStyle name="Normal 3 3 4 10 2" xfId="33777" xr:uid="{00000000-0005-0000-0000-0000E8830000}"/>
    <cellStyle name="Normal 3 3 4 10 2 2" xfId="33778" xr:uid="{00000000-0005-0000-0000-0000E9830000}"/>
    <cellStyle name="Normal 3 3 4 10 2 3" xfId="33779" xr:uid="{00000000-0005-0000-0000-0000EA830000}"/>
    <cellStyle name="Normal 3 3 4 10 3" xfId="33780" xr:uid="{00000000-0005-0000-0000-0000EB830000}"/>
    <cellStyle name="Normal 3 3 4 10 3 2" xfId="33781" xr:uid="{00000000-0005-0000-0000-0000EC830000}"/>
    <cellStyle name="Normal 3 3 4 10 3 3" xfId="33782" xr:uid="{00000000-0005-0000-0000-0000ED830000}"/>
    <cellStyle name="Normal 3 3 4 10 4" xfId="33783" xr:uid="{00000000-0005-0000-0000-0000EE830000}"/>
    <cellStyle name="Normal 3 3 4 10 4 2" xfId="33784" xr:uid="{00000000-0005-0000-0000-0000EF830000}"/>
    <cellStyle name="Normal 3 3 4 10 4 3" xfId="33785" xr:uid="{00000000-0005-0000-0000-0000F0830000}"/>
    <cellStyle name="Normal 3 3 4 10 5" xfId="33786" xr:uid="{00000000-0005-0000-0000-0000F1830000}"/>
    <cellStyle name="Normal 3 3 4 10 5 2" xfId="33787" xr:uid="{00000000-0005-0000-0000-0000F2830000}"/>
    <cellStyle name="Normal 3 3 4 10 5 3" xfId="33788" xr:uid="{00000000-0005-0000-0000-0000F3830000}"/>
    <cellStyle name="Normal 3 3 4 10 6" xfId="33789" xr:uid="{00000000-0005-0000-0000-0000F4830000}"/>
    <cellStyle name="Normal 3 3 4 10 6 2" xfId="33790" xr:uid="{00000000-0005-0000-0000-0000F5830000}"/>
    <cellStyle name="Normal 3 3 4 10 6 3" xfId="33791" xr:uid="{00000000-0005-0000-0000-0000F6830000}"/>
    <cellStyle name="Normal 3 3 4 10 7" xfId="33792" xr:uid="{00000000-0005-0000-0000-0000F7830000}"/>
    <cellStyle name="Normal 3 3 4 10 7 2" xfId="33793" xr:uid="{00000000-0005-0000-0000-0000F8830000}"/>
    <cellStyle name="Normal 3 3 4 10 7 3" xfId="33794" xr:uid="{00000000-0005-0000-0000-0000F9830000}"/>
    <cellStyle name="Normal 3 3 4 10 8" xfId="33795" xr:uid="{00000000-0005-0000-0000-0000FA830000}"/>
    <cellStyle name="Normal 3 3 4 10 8 2" xfId="33796" xr:uid="{00000000-0005-0000-0000-0000FB830000}"/>
    <cellStyle name="Normal 3 3 4 10 8 3" xfId="33797" xr:uid="{00000000-0005-0000-0000-0000FC830000}"/>
    <cellStyle name="Normal 3 3 4 10 9" xfId="33798" xr:uid="{00000000-0005-0000-0000-0000FD830000}"/>
    <cellStyle name="Normal 3 3 4 10 9 2" xfId="33799" xr:uid="{00000000-0005-0000-0000-0000FE830000}"/>
    <cellStyle name="Normal 3 3 4 10 9 3" xfId="33800" xr:uid="{00000000-0005-0000-0000-0000FF830000}"/>
    <cellStyle name="Normal 3 3 4 11" xfId="33801" xr:uid="{00000000-0005-0000-0000-000000840000}"/>
    <cellStyle name="Normal 3 3 4 11 10" xfId="33802" xr:uid="{00000000-0005-0000-0000-000001840000}"/>
    <cellStyle name="Normal 3 3 4 11 10 2" xfId="33803" xr:uid="{00000000-0005-0000-0000-000002840000}"/>
    <cellStyle name="Normal 3 3 4 11 10 3" xfId="33804" xr:uid="{00000000-0005-0000-0000-000003840000}"/>
    <cellStyle name="Normal 3 3 4 11 11" xfId="33805" xr:uid="{00000000-0005-0000-0000-000004840000}"/>
    <cellStyle name="Normal 3 3 4 11 11 2" xfId="33806" xr:uid="{00000000-0005-0000-0000-000005840000}"/>
    <cellStyle name="Normal 3 3 4 11 11 3" xfId="33807" xr:uid="{00000000-0005-0000-0000-000006840000}"/>
    <cellStyle name="Normal 3 3 4 11 12" xfId="33808" xr:uid="{00000000-0005-0000-0000-000007840000}"/>
    <cellStyle name="Normal 3 3 4 11 12 2" xfId="33809" xr:uid="{00000000-0005-0000-0000-000008840000}"/>
    <cellStyle name="Normal 3 3 4 11 12 3" xfId="33810" xr:uid="{00000000-0005-0000-0000-000009840000}"/>
    <cellStyle name="Normal 3 3 4 11 13" xfId="33811" xr:uid="{00000000-0005-0000-0000-00000A840000}"/>
    <cellStyle name="Normal 3 3 4 11 13 2" xfId="33812" xr:uid="{00000000-0005-0000-0000-00000B840000}"/>
    <cellStyle name="Normal 3 3 4 11 13 3" xfId="33813" xr:uid="{00000000-0005-0000-0000-00000C840000}"/>
    <cellStyle name="Normal 3 3 4 11 14" xfId="33814" xr:uid="{00000000-0005-0000-0000-00000D840000}"/>
    <cellStyle name="Normal 3 3 4 11 14 2" xfId="33815" xr:uid="{00000000-0005-0000-0000-00000E840000}"/>
    <cellStyle name="Normal 3 3 4 11 14 3" xfId="33816" xr:uid="{00000000-0005-0000-0000-00000F840000}"/>
    <cellStyle name="Normal 3 3 4 11 15" xfId="33817" xr:uid="{00000000-0005-0000-0000-000010840000}"/>
    <cellStyle name="Normal 3 3 4 11 16" xfId="33818" xr:uid="{00000000-0005-0000-0000-000011840000}"/>
    <cellStyle name="Normal 3 3 4 11 2" xfId="33819" xr:uid="{00000000-0005-0000-0000-000012840000}"/>
    <cellStyle name="Normal 3 3 4 11 2 2" xfId="33820" xr:uid="{00000000-0005-0000-0000-000013840000}"/>
    <cellStyle name="Normal 3 3 4 11 2 3" xfId="33821" xr:uid="{00000000-0005-0000-0000-000014840000}"/>
    <cellStyle name="Normal 3 3 4 11 3" xfId="33822" xr:uid="{00000000-0005-0000-0000-000015840000}"/>
    <cellStyle name="Normal 3 3 4 11 3 2" xfId="33823" xr:uid="{00000000-0005-0000-0000-000016840000}"/>
    <cellStyle name="Normal 3 3 4 11 3 3" xfId="33824" xr:uid="{00000000-0005-0000-0000-000017840000}"/>
    <cellStyle name="Normal 3 3 4 11 4" xfId="33825" xr:uid="{00000000-0005-0000-0000-000018840000}"/>
    <cellStyle name="Normal 3 3 4 11 4 2" xfId="33826" xr:uid="{00000000-0005-0000-0000-000019840000}"/>
    <cellStyle name="Normal 3 3 4 11 4 3" xfId="33827" xr:uid="{00000000-0005-0000-0000-00001A840000}"/>
    <cellStyle name="Normal 3 3 4 11 5" xfId="33828" xr:uid="{00000000-0005-0000-0000-00001B840000}"/>
    <cellStyle name="Normal 3 3 4 11 5 2" xfId="33829" xr:uid="{00000000-0005-0000-0000-00001C840000}"/>
    <cellStyle name="Normal 3 3 4 11 5 3" xfId="33830" xr:uid="{00000000-0005-0000-0000-00001D840000}"/>
    <cellStyle name="Normal 3 3 4 11 6" xfId="33831" xr:uid="{00000000-0005-0000-0000-00001E840000}"/>
    <cellStyle name="Normal 3 3 4 11 6 2" xfId="33832" xr:uid="{00000000-0005-0000-0000-00001F840000}"/>
    <cellStyle name="Normal 3 3 4 11 6 3" xfId="33833" xr:uid="{00000000-0005-0000-0000-000020840000}"/>
    <cellStyle name="Normal 3 3 4 11 7" xfId="33834" xr:uid="{00000000-0005-0000-0000-000021840000}"/>
    <cellStyle name="Normal 3 3 4 11 7 2" xfId="33835" xr:uid="{00000000-0005-0000-0000-000022840000}"/>
    <cellStyle name="Normal 3 3 4 11 7 3" xfId="33836" xr:uid="{00000000-0005-0000-0000-000023840000}"/>
    <cellStyle name="Normal 3 3 4 11 8" xfId="33837" xr:uid="{00000000-0005-0000-0000-000024840000}"/>
    <cellStyle name="Normal 3 3 4 11 8 2" xfId="33838" xr:uid="{00000000-0005-0000-0000-000025840000}"/>
    <cellStyle name="Normal 3 3 4 11 8 3" xfId="33839" xr:uid="{00000000-0005-0000-0000-000026840000}"/>
    <cellStyle name="Normal 3 3 4 11 9" xfId="33840" xr:uid="{00000000-0005-0000-0000-000027840000}"/>
    <cellStyle name="Normal 3 3 4 11 9 2" xfId="33841" xr:uid="{00000000-0005-0000-0000-000028840000}"/>
    <cellStyle name="Normal 3 3 4 11 9 3" xfId="33842" xr:uid="{00000000-0005-0000-0000-000029840000}"/>
    <cellStyle name="Normal 3 3 4 12" xfId="33843" xr:uid="{00000000-0005-0000-0000-00002A840000}"/>
    <cellStyle name="Normal 3 3 4 12 10" xfId="33844" xr:uid="{00000000-0005-0000-0000-00002B840000}"/>
    <cellStyle name="Normal 3 3 4 12 10 2" xfId="33845" xr:uid="{00000000-0005-0000-0000-00002C840000}"/>
    <cellStyle name="Normal 3 3 4 12 10 3" xfId="33846" xr:uid="{00000000-0005-0000-0000-00002D840000}"/>
    <cellStyle name="Normal 3 3 4 12 11" xfId="33847" xr:uid="{00000000-0005-0000-0000-00002E840000}"/>
    <cellStyle name="Normal 3 3 4 12 11 2" xfId="33848" xr:uid="{00000000-0005-0000-0000-00002F840000}"/>
    <cellStyle name="Normal 3 3 4 12 11 3" xfId="33849" xr:uid="{00000000-0005-0000-0000-000030840000}"/>
    <cellStyle name="Normal 3 3 4 12 12" xfId="33850" xr:uid="{00000000-0005-0000-0000-000031840000}"/>
    <cellStyle name="Normal 3 3 4 12 12 2" xfId="33851" xr:uid="{00000000-0005-0000-0000-000032840000}"/>
    <cellStyle name="Normal 3 3 4 12 12 3" xfId="33852" xr:uid="{00000000-0005-0000-0000-000033840000}"/>
    <cellStyle name="Normal 3 3 4 12 13" xfId="33853" xr:uid="{00000000-0005-0000-0000-000034840000}"/>
    <cellStyle name="Normal 3 3 4 12 13 2" xfId="33854" xr:uid="{00000000-0005-0000-0000-000035840000}"/>
    <cellStyle name="Normal 3 3 4 12 13 3" xfId="33855" xr:uid="{00000000-0005-0000-0000-000036840000}"/>
    <cellStyle name="Normal 3 3 4 12 14" xfId="33856" xr:uid="{00000000-0005-0000-0000-000037840000}"/>
    <cellStyle name="Normal 3 3 4 12 14 2" xfId="33857" xr:uid="{00000000-0005-0000-0000-000038840000}"/>
    <cellStyle name="Normal 3 3 4 12 14 3" xfId="33858" xr:uid="{00000000-0005-0000-0000-000039840000}"/>
    <cellStyle name="Normal 3 3 4 12 15" xfId="33859" xr:uid="{00000000-0005-0000-0000-00003A840000}"/>
    <cellStyle name="Normal 3 3 4 12 16" xfId="33860" xr:uid="{00000000-0005-0000-0000-00003B840000}"/>
    <cellStyle name="Normal 3 3 4 12 2" xfId="33861" xr:uid="{00000000-0005-0000-0000-00003C840000}"/>
    <cellStyle name="Normal 3 3 4 12 2 2" xfId="33862" xr:uid="{00000000-0005-0000-0000-00003D840000}"/>
    <cellStyle name="Normal 3 3 4 12 2 3" xfId="33863" xr:uid="{00000000-0005-0000-0000-00003E840000}"/>
    <cellStyle name="Normal 3 3 4 12 3" xfId="33864" xr:uid="{00000000-0005-0000-0000-00003F840000}"/>
    <cellStyle name="Normal 3 3 4 12 3 2" xfId="33865" xr:uid="{00000000-0005-0000-0000-000040840000}"/>
    <cellStyle name="Normal 3 3 4 12 3 3" xfId="33866" xr:uid="{00000000-0005-0000-0000-000041840000}"/>
    <cellStyle name="Normal 3 3 4 12 4" xfId="33867" xr:uid="{00000000-0005-0000-0000-000042840000}"/>
    <cellStyle name="Normal 3 3 4 12 4 2" xfId="33868" xr:uid="{00000000-0005-0000-0000-000043840000}"/>
    <cellStyle name="Normal 3 3 4 12 4 3" xfId="33869" xr:uid="{00000000-0005-0000-0000-000044840000}"/>
    <cellStyle name="Normal 3 3 4 12 5" xfId="33870" xr:uid="{00000000-0005-0000-0000-000045840000}"/>
    <cellStyle name="Normal 3 3 4 12 5 2" xfId="33871" xr:uid="{00000000-0005-0000-0000-000046840000}"/>
    <cellStyle name="Normal 3 3 4 12 5 3" xfId="33872" xr:uid="{00000000-0005-0000-0000-000047840000}"/>
    <cellStyle name="Normal 3 3 4 12 6" xfId="33873" xr:uid="{00000000-0005-0000-0000-000048840000}"/>
    <cellStyle name="Normal 3 3 4 12 6 2" xfId="33874" xr:uid="{00000000-0005-0000-0000-000049840000}"/>
    <cellStyle name="Normal 3 3 4 12 6 3" xfId="33875" xr:uid="{00000000-0005-0000-0000-00004A840000}"/>
    <cellStyle name="Normal 3 3 4 12 7" xfId="33876" xr:uid="{00000000-0005-0000-0000-00004B840000}"/>
    <cellStyle name="Normal 3 3 4 12 7 2" xfId="33877" xr:uid="{00000000-0005-0000-0000-00004C840000}"/>
    <cellStyle name="Normal 3 3 4 12 7 3" xfId="33878" xr:uid="{00000000-0005-0000-0000-00004D840000}"/>
    <cellStyle name="Normal 3 3 4 12 8" xfId="33879" xr:uid="{00000000-0005-0000-0000-00004E840000}"/>
    <cellStyle name="Normal 3 3 4 12 8 2" xfId="33880" xr:uid="{00000000-0005-0000-0000-00004F840000}"/>
    <cellStyle name="Normal 3 3 4 12 8 3" xfId="33881" xr:uid="{00000000-0005-0000-0000-000050840000}"/>
    <cellStyle name="Normal 3 3 4 12 9" xfId="33882" xr:uid="{00000000-0005-0000-0000-000051840000}"/>
    <cellStyle name="Normal 3 3 4 12 9 2" xfId="33883" xr:uid="{00000000-0005-0000-0000-000052840000}"/>
    <cellStyle name="Normal 3 3 4 12 9 3" xfId="33884" xr:uid="{00000000-0005-0000-0000-000053840000}"/>
    <cellStyle name="Normal 3 3 4 13" xfId="33885" xr:uid="{00000000-0005-0000-0000-000054840000}"/>
    <cellStyle name="Normal 3 3 4 13 10" xfId="33886" xr:uid="{00000000-0005-0000-0000-000055840000}"/>
    <cellStyle name="Normal 3 3 4 13 10 2" xfId="33887" xr:uid="{00000000-0005-0000-0000-000056840000}"/>
    <cellStyle name="Normal 3 3 4 13 10 3" xfId="33888" xr:uid="{00000000-0005-0000-0000-000057840000}"/>
    <cellStyle name="Normal 3 3 4 13 11" xfId="33889" xr:uid="{00000000-0005-0000-0000-000058840000}"/>
    <cellStyle name="Normal 3 3 4 13 11 2" xfId="33890" xr:uid="{00000000-0005-0000-0000-000059840000}"/>
    <cellStyle name="Normal 3 3 4 13 11 3" xfId="33891" xr:uid="{00000000-0005-0000-0000-00005A840000}"/>
    <cellStyle name="Normal 3 3 4 13 12" xfId="33892" xr:uid="{00000000-0005-0000-0000-00005B840000}"/>
    <cellStyle name="Normal 3 3 4 13 12 2" xfId="33893" xr:uid="{00000000-0005-0000-0000-00005C840000}"/>
    <cellStyle name="Normal 3 3 4 13 12 3" xfId="33894" xr:uid="{00000000-0005-0000-0000-00005D840000}"/>
    <cellStyle name="Normal 3 3 4 13 13" xfId="33895" xr:uid="{00000000-0005-0000-0000-00005E840000}"/>
    <cellStyle name="Normal 3 3 4 13 13 2" xfId="33896" xr:uid="{00000000-0005-0000-0000-00005F840000}"/>
    <cellStyle name="Normal 3 3 4 13 13 3" xfId="33897" xr:uid="{00000000-0005-0000-0000-000060840000}"/>
    <cellStyle name="Normal 3 3 4 13 14" xfId="33898" xr:uid="{00000000-0005-0000-0000-000061840000}"/>
    <cellStyle name="Normal 3 3 4 13 14 2" xfId="33899" xr:uid="{00000000-0005-0000-0000-000062840000}"/>
    <cellStyle name="Normal 3 3 4 13 14 3" xfId="33900" xr:uid="{00000000-0005-0000-0000-000063840000}"/>
    <cellStyle name="Normal 3 3 4 13 15" xfId="33901" xr:uid="{00000000-0005-0000-0000-000064840000}"/>
    <cellStyle name="Normal 3 3 4 13 16" xfId="33902" xr:uid="{00000000-0005-0000-0000-000065840000}"/>
    <cellStyle name="Normal 3 3 4 13 2" xfId="33903" xr:uid="{00000000-0005-0000-0000-000066840000}"/>
    <cellStyle name="Normal 3 3 4 13 2 2" xfId="33904" xr:uid="{00000000-0005-0000-0000-000067840000}"/>
    <cellStyle name="Normal 3 3 4 13 2 3" xfId="33905" xr:uid="{00000000-0005-0000-0000-000068840000}"/>
    <cellStyle name="Normal 3 3 4 13 3" xfId="33906" xr:uid="{00000000-0005-0000-0000-000069840000}"/>
    <cellStyle name="Normal 3 3 4 13 3 2" xfId="33907" xr:uid="{00000000-0005-0000-0000-00006A840000}"/>
    <cellStyle name="Normal 3 3 4 13 3 3" xfId="33908" xr:uid="{00000000-0005-0000-0000-00006B840000}"/>
    <cellStyle name="Normal 3 3 4 13 4" xfId="33909" xr:uid="{00000000-0005-0000-0000-00006C840000}"/>
    <cellStyle name="Normal 3 3 4 13 4 2" xfId="33910" xr:uid="{00000000-0005-0000-0000-00006D840000}"/>
    <cellStyle name="Normal 3 3 4 13 4 3" xfId="33911" xr:uid="{00000000-0005-0000-0000-00006E840000}"/>
    <cellStyle name="Normal 3 3 4 13 5" xfId="33912" xr:uid="{00000000-0005-0000-0000-00006F840000}"/>
    <cellStyle name="Normal 3 3 4 13 5 2" xfId="33913" xr:uid="{00000000-0005-0000-0000-000070840000}"/>
    <cellStyle name="Normal 3 3 4 13 5 3" xfId="33914" xr:uid="{00000000-0005-0000-0000-000071840000}"/>
    <cellStyle name="Normal 3 3 4 13 6" xfId="33915" xr:uid="{00000000-0005-0000-0000-000072840000}"/>
    <cellStyle name="Normal 3 3 4 13 6 2" xfId="33916" xr:uid="{00000000-0005-0000-0000-000073840000}"/>
    <cellStyle name="Normal 3 3 4 13 6 3" xfId="33917" xr:uid="{00000000-0005-0000-0000-000074840000}"/>
    <cellStyle name="Normal 3 3 4 13 7" xfId="33918" xr:uid="{00000000-0005-0000-0000-000075840000}"/>
    <cellStyle name="Normal 3 3 4 13 7 2" xfId="33919" xr:uid="{00000000-0005-0000-0000-000076840000}"/>
    <cellStyle name="Normal 3 3 4 13 7 3" xfId="33920" xr:uid="{00000000-0005-0000-0000-000077840000}"/>
    <cellStyle name="Normal 3 3 4 13 8" xfId="33921" xr:uid="{00000000-0005-0000-0000-000078840000}"/>
    <cellStyle name="Normal 3 3 4 13 8 2" xfId="33922" xr:uid="{00000000-0005-0000-0000-000079840000}"/>
    <cellStyle name="Normal 3 3 4 13 8 3" xfId="33923" xr:uid="{00000000-0005-0000-0000-00007A840000}"/>
    <cellStyle name="Normal 3 3 4 13 9" xfId="33924" xr:uid="{00000000-0005-0000-0000-00007B840000}"/>
    <cellStyle name="Normal 3 3 4 13 9 2" xfId="33925" xr:uid="{00000000-0005-0000-0000-00007C840000}"/>
    <cellStyle name="Normal 3 3 4 13 9 3" xfId="33926" xr:uid="{00000000-0005-0000-0000-00007D840000}"/>
    <cellStyle name="Normal 3 3 4 14" xfId="33927" xr:uid="{00000000-0005-0000-0000-00007E840000}"/>
    <cellStyle name="Normal 3 3 4 14 10" xfId="33928" xr:uid="{00000000-0005-0000-0000-00007F840000}"/>
    <cellStyle name="Normal 3 3 4 14 10 2" xfId="33929" xr:uid="{00000000-0005-0000-0000-000080840000}"/>
    <cellStyle name="Normal 3 3 4 14 10 3" xfId="33930" xr:uid="{00000000-0005-0000-0000-000081840000}"/>
    <cellStyle name="Normal 3 3 4 14 11" xfId="33931" xr:uid="{00000000-0005-0000-0000-000082840000}"/>
    <cellStyle name="Normal 3 3 4 14 11 2" xfId="33932" xr:uid="{00000000-0005-0000-0000-000083840000}"/>
    <cellStyle name="Normal 3 3 4 14 11 3" xfId="33933" xr:uid="{00000000-0005-0000-0000-000084840000}"/>
    <cellStyle name="Normal 3 3 4 14 12" xfId="33934" xr:uid="{00000000-0005-0000-0000-000085840000}"/>
    <cellStyle name="Normal 3 3 4 14 12 2" xfId="33935" xr:uid="{00000000-0005-0000-0000-000086840000}"/>
    <cellStyle name="Normal 3 3 4 14 12 3" xfId="33936" xr:uid="{00000000-0005-0000-0000-000087840000}"/>
    <cellStyle name="Normal 3 3 4 14 13" xfId="33937" xr:uid="{00000000-0005-0000-0000-000088840000}"/>
    <cellStyle name="Normal 3 3 4 14 13 2" xfId="33938" xr:uid="{00000000-0005-0000-0000-000089840000}"/>
    <cellStyle name="Normal 3 3 4 14 13 3" xfId="33939" xr:uid="{00000000-0005-0000-0000-00008A840000}"/>
    <cellStyle name="Normal 3 3 4 14 14" xfId="33940" xr:uid="{00000000-0005-0000-0000-00008B840000}"/>
    <cellStyle name="Normal 3 3 4 14 14 2" xfId="33941" xr:uid="{00000000-0005-0000-0000-00008C840000}"/>
    <cellStyle name="Normal 3 3 4 14 14 3" xfId="33942" xr:uid="{00000000-0005-0000-0000-00008D840000}"/>
    <cellStyle name="Normal 3 3 4 14 15" xfId="33943" xr:uid="{00000000-0005-0000-0000-00008E840000}"/>
    <cellStyle name="Normal 3 3 4 14 16" xfId="33944" xr:uid="{00000000-0005-0000-0000-00008F840000}"/>
    <cellStyle name="Normal 3 3 4 14 2" xfId="33945" xr:uid="{00000000-0005-0000-0000-000090840000}"/>
    <cellStyle name="Normal 3 3 4 14 2 2" xfId="33946" xr:uid="{00000000-0005-0000-0000-000091840000}"/>
    <cellStyle name="Normal 3 3 4 14 2 3" xfId="33947" xr:uid="{00000000-0005-0000-0000-000092840000}"/>
    <cellStyle name="Normal 3 3 4 14 3" xfId="33948" xr:uid="{00000000-0005-0000-0000-000093840000}"/>
    <cellStyle name="Normal 3 3 4 14 3 2" xfId="33949" xr:uid="{00000000-0005-0000-0000-000094840000}"/>
    <cellStyle name="Normal 3 3 4 14 3 3" xfId="33950" xr:uid="{00000000-0005-0000-0000-000095840000}"/>
    <cellStyle name="Normal 3 3 4 14 4" xfId="33951" xr:uid="{00000000-0005-0000-0000-000096840000}"/>
    <cellStyle name="Normal 3 3 4 14 4 2" xfId="33952" xr:uid="{00000000-0005-0000-0000-000097840000}"/>
    <cellStyle name="Normal 3 3 4 14 4 3" xfId="33953" xr:uid="{00000000-0005-0000-0000-000098840000}"/>
    <cellStyle name="Normal 3 3 4 14 5" xfId="33954" xr:uid="{00000000-0005-0000-0000-000099840000}"/>
    <cellStyle name="Normal 3 3 4 14 5 2" xfId="33955" xr:uid="{00000000-0005-0000-0000-00009A840000}"/>
    <cellStyle name="Normal 3 3 4 14 5 3" xfId="33956" xr:uid="{00000000-0005-0000-0000-00009B840000}"/>
    <cellStyle name="Normal 3 3 4 14 6" xfId="33957" xr:uid="{00000000-0005-0000-0000-00009C840000}"/>
    <cellStyle name="Normal 3 3 4 14 6 2" xfId="33958" xr:uid="{00000000-0005-0000-0000-00009D840000}"/>
    <cellStyle name="Normal 3 3 4 14 6 3" xfId="33959" xr:uid="{00000000-0005-0000-0000-00009E840000}"/>
    <cellStyle name="Normal 3 3 4 14 7" xfId="33960" xr:uid="{00000000-0005-0000-0000-00009F840000}"/>
    <cellStyle name="Normal 3 3 4 14 7 2" xfId="33961" xr:uid="{00000000-0005-0000-0000-0000A0840000}"/>
    <cellStyle name="Normal 3 3 4 14 7 3" xfId="33962" xr:uid="{00000000-0005-0000-0000-0000A1840000}"/>
    <cellStyle name="Normal 3 3 4 14 8" xfId="33963" xr:uid="{00000000-0005-0000-0000-0000A2840000}"/>
    <cellStyle name="Normal 3 3 4 14 8 2" xfId="33964" xr:uid="{00000000-0005-0000-0000-0000A3840000}"/>
    <cellStyle name="Normal 3 3 4 14 8 3" xfId="33965" xr:uid="{00000000-0005-0000-0000-0000A4840000}"/>
    <cellStyle name="Normal 3 3 4 14 9" xfId="33966" xr:uid="{00000000-0005-0000-0000-0000A5840000}"/>
    <cellStyle name="Normal 3 3 4 14 9 2" xfId="33967" xr:uid="{00000000-0005-0000-0000-0000A6840000}"/>
    <cellStyle name="Normal 3 3 4 14 9 3" xfId="33968" xr:uid="{00000000-0005-0000-0000-0000A7840000}"/>
    <cellStyle name="Normal 3 3 4 15" xfId="33969" xr:uid="{00000000-0005-0000-0000-0000A8840000}"/>
    <cellStyle name="Normal 3 3 4 15 2" xfId="33970" xr:uid="{00000000-0005-0000-0000-0000A9840000}"/>
    <cellStyle name="Normal 3 3 4 15 3" xfId="33971" xr:uid="{00000000-0005-0000-0000-0000AA840000}"/>
    <cellStyle name="Normal 3 3 4 16" xfId="33972" xr:uid="{00000000-0005-0000-0000-0000AB840000}"/>
    <cellStyle name="Normal 3 3 4 16 2" xfId="33973" xr:uid="{00000000-0005-0000-0000-0000AC840000}"/>
    <cellStyle name="Normal 3 3 4 16 3" xfId="33974" xr:uid="{00000000-0005-0000-0000-0000AD840000}"/>
    <cellStyle name="Normal 3 3 4 17" xfId="33975" xr:uid="{00000000-0005-0000-0000-0000AE840000}"/>
    <cellStyle name="Normal 3 3 4 17 2" xfId="33976" xr:uid="{00000000-0005-0000-0000-0000AF840000}"/>
    <cellStyle name="Normal 3 3 4 17 3" xfId="33977" xr:uid="{00000000-0005-0000-0000-0000B0840000}"/>
    <cellStyle name="Normal 3 3 4 18" xfId="33978" xr:uid="{00000000-0005-0000-0000-0000B1840000}"/>
    <cellStyle name="Normal 3 3 4 18 2" xfId="33979" xr:uid="{00000000-0005-0000-0000-0000B2840000}"/>
    <cellStyle name="Normal 3 3 4 18 3" xfId="33980" xr:uid="{00000000-0005-0000-0000-0000B3840000}"/>
    <cellStyle name="Normal 3 3 4 19" xfId="33981" xr:uid="{00000000-0005-0000-0000-0000B4840000}"/>
    <cellStyle name="Normal 3 3 4 19 2" xfId="33982" xr:uid="{00000000-0005-0000-0000-0000B5840000}"/>
    <cellStyle name="Normal 3 3 4 19 3" xfId="33983" xr:uid="{00000000-0005-0000-0000-0000B6840000}"/>
    <cellStyle name="Normal 3 3 4 2" xfId="33984" xr:uid="{00000000-0005-0000-0000-0000B7840000}"/>
    <cellStyle name="Normal 3 3 4 20" xfId="33985" xr:uid="{00000000-0005-0000-0000-0000B8840000}"/>
    <cellStyle name="Normal 3 3 4 20 2" xfId="33986" xr:uid="{00000000-0005-0000-0000-0000B9840000}"/>
    <cellStyle name="Normal 3 3 4 20 3" xfId="33987" xr:uid="{00000000-0005-0000-0000-0000BA840000}"/>
    <cellStyle name="Normal 3 3 4 21" xfId="33988" xr:uid="{00000000-0005-0000-0000-0000BB840000}"/>
    <cellStyle name="Normal 3 3 4 21 2" xfId="33989" xr:uid="{00000000-0005-0000-0000-0000BC840000}"/>
    <cellStyle name="Normal 3 3 4 21 3" xfId="33990" xr:uid="{00000000-0005-0000-0000-0000BD840000}"/>
    <cellStyle name="Normal 3 3 4 22" xfId="33991" xr:uid="{00000000-0005-0000-0000-0000BE840000}"/>
    <cellStyle name="Normal 3 3 4 22 2" xfId="33992" xr:uid="{00000000-0005-0000-0000-0000BF840000}"/>
    <cellStyle name="Normal 3 3 4 22 3" xfId="33993" xr:uid="{00000000-0005-0000-0000-0000C0840000}"/>
    <cellStyle name="Normal 3 3 4 23" xfId="33994" xr:uid="{00000000-0005-0000-0000-0000C1840000}"/>
    <cellStyle name="Normal 3 3 4 23 2" xfId="33995" xr:uid="{00000000-0005-0000-0000-0000C2840000}"/>
    <cellStyle name="Normal 3 3 4 23 3" xfId="33996" xr:uid="{00000000-0005-0000-0000-0000C3840000}"/>
    <cellStyle name="Normal 3 3 4 24" xfId="33997" xr:uid="{00000000-0005-0000-0000-0000C4840000}"/>
    <cellStyle name="Normal 3 3 4 24 2" xfId="33998" xr:uid="{00000000-0005-0000-0000-0000C5840000}"/>
    <cellStyle name="Normal 3 3 4 24 3" xfId="33999" xr:uid="{00000000-0005-0000-0000-0000C6840000}"/>
    <cellStyle name="Normal 3 3 4 25" xfId="34000" xr:uid="{00000000-0005-0000-0000-0000C7840000}"/>
    <cellStyle name="Normal 3 3 4 25 2" xfId="34001" xr:uid="{00000000-0005-0000-0000-0000C8840000}"/>
    <cellStyle name="Normal 3 3 4 25 3" xfId="34002" xr:uid="{00000000-0005-0000-0000-0000C9840000}"/>
    <cellStyle name="Normal 3 3 4 26" xfId="34003" xr:uid="{00000000-0005-0000-0000-0000CA840000}"/>
    <cellStyle name="Normal 3 3 4 26 2" xfId="34004" xr:uid="{00000000-0005-0000-0000-0000CB840000}"/>
    <cellStyle name="Normal 3 3 4 26 3" xfId="34005" xr:uid="{00000000-0005-0000-0000-0000CC840000}"/>
    <cellStyle name="Normal 3 3 4 27" xfId="34006" xr:uid="{00000000-0005-0000-0000-0000CD840000}"/>
    <cellStyle name="Normal 3 3 4 27 2" xfId="34007" xr:uid="{00000000-0005-0000-0000-0000CE840000}"/>
    <cellStyle name="Normal 3 3 4 27 3" xfId="34008" xr:uid="{00000000-0005-0000-0000-0000CF840000}"/>
    <cellStyle name="Normal 3 3 4 28" xfId="34009" xr:uid="{00000000-0005-0000-0000-0000D0840000}"/>
    <cellStyle name="Normal 3 3 4 29" xfId="34010" xr:uid="{00000000-0005-0000-0000-0000D1840000}"/>
    <cellStyle name="Normal 3 3 4 3" xfId="34011" xr:uid="{00000000-0005-0000-0000-0000D2840000}"/>
    <cellStyle name="Normal 3 3 4 4" xfId="34012" xr:uid="{00000000-0005-0000-0000-0000D3840000}"/>
    <cellStyle name="Normal 3 3 4 5" xfId="34013" xr:uid="{00000000-0005-0000-0000-0000D4840000}"/>
    <cellStyle name="Normal 3 3 4 6" xfId="34014" xr:uid="{00000000-0005-0000-0000-0000D5840000}"/>
    <cellStyle name="Normal 3 3 4 6 10" xfId="34015" xr:uid="{00000000-0005-0000-0000-0000D6840000}"/>
    <cellStyle name="Normal 3 3 4 6 10 2" xfId="34016" xr:uid="{00000000-0005-0000-0000-0000D7840000}"/>
    <cellStyle name="Normal 3 3 4 6 10 3" xfId="34017" xr:uid="{00000000-0005-0000-0000-0000D8840000}"/>
    <cellStyle name="Normal 3 3 4 6 11" xfId="34018" xr:uid="{00000000-0005-0000-0000-0000D9840000}"/>
    <cellStyle name="Normal 3 3 4 6 11 2" xfId="34019" xr:uid="{00000000-0005-0000-0000-0000DA840000}"/>
    <cellStyle name="Normal 3 3 4 6 11 3" xfId="34020" xr:uid="{00000000-0005-0000-0000-0000DB840000}"/>
    <cellStyle name="Normal 3 3 4 6 12" xfId="34021" xr:uid="{00000000-0005-0000-0000-0000DC840000}"/>
    <cellStyle name="Normal 3 3 4 6 12 2" xfId="34022" xr:uid="{00000000-0005-0000-0000-0000DD840000}"/>
    <cellStyle name="Normal 3 3 4 6 12 3" xfId="34023" xr:uid="{00000000-0005-0000-0000-0000DE840000}"/>
    <cellStyle name="Normal 3 3 4 6 13" xfId="34024" xr:uid="{00000000-0005-0000-0000-0000DF840000}"/>
    <cellStyle name="Normal 3 3 4 6 13 2" xfId="34025" xr:uid="{00000000-0005-0000-0000-0000E0840000}"/>
    <cellStyle name="Normal 3 3 4 6 13 3" xfId="34026" xr:uid="{00000000-0005-0000-0000-0000E1840000}"/>
    <cellStyle name="Normal 3 3 4 6 14" xfId="34027" xr:uid="{00000000-0005-0000-0000-0000E2840000}"/>
    <cellStyle name="Normal 3 3 4 6 14 2" xfId="34028" xr:uid="{00000000-0005-0000-0000-0000E3840000}"/>
    <cellStyle name="Normal 3 3 4 6 14 3" xfId="34029" xr:uid="{00000000-0005-0000-0000-0000E4840000}"/>
    <cellStyle name="Normal 3 3 4 6 15" xfId="34030" xr:uid="{00000000-0005-0000-0000-0000E5840000}"/>
    <cellStyle name="Normal 3 3 4 6 15 2" xfId="34031" xr:uid="{00000000-0005-0000-0000-0000E6840000}"/>
    <cellStyle name="Normal 3 3 4 6 15 3" xfId="34032" xr:uid="{00000000-0005-0000-0000-0000E7840000}"/>
    <cellStyle name="Normal 3 3 4 6 16" xfId="34033" xr:uid="{00000000-0005-0000-0000-0000E8840000}"/>
    <cellStyle name="Normal 3 3 4 6 17" xfId="34034" xr:uid="{00000000-0005-0000-0000-0000E9840000}"/>
    <cellStyle name="Normal 3 3 4 6 2" xfId="34035" xr:uid="{00000000-0005-0000-0000-0000EA840000}"/>
    <cellStyle name="Normal 3 3 4 6 2 10" xfId="34036" xr:uid="{00000000-0005-0000-0000-0000EB840000}"/>
    <cellStyle name="Normal 3 3 4 6 2 10 2" xfId="34037" xr:uid="{00000000-0005-0000-0000-0000EC840000}"/>
    <cellStyle name="Normal 3 3 4 6 2 10 3" xfId="34038" xr:uid="{00000000-0005-0000-0000-0000ED840000}"/>
    <cellStyle name="Normal 3 3 4 6 2 11" xfId="34039" xr:uid="{00000000-0005-0000-0000-0000EE840000}"/>
    <cellStyle name="Normal 3 3 4 6 2 11 2" xfId="34040" xr:uid="{00000000-0005-0000-0000-0000EF840000}"/>
    <cellStyle name="Normal 3 3 4 6 2 11 3" xfId="34041" xr:uid="{00000000-0005-0000-0000-0000F0840000}"/>
    <cellStyle name="Normal 3 3 4 6 2 12" xfId="34042" xr:uid="{00000000-0005-0000-0000-0000F1840000}"/>
    <cellStyle name="Normal 3 3 4 6 2 12 2" xfId="34043" xr:uid="{00000000-0005-0000-0000-0000F2840000}"/>
    <cellStyle name="Normal 3 3 4 6 2 12 3" xfId="34044" xr:uid="{00000000-0005-0000-0000-0000F3840000}"/>
    <cellStyle name="Normal 3 3 4 6 2 13" xfId="34045" xr:uid="{00000000-0005-0000-0000-0000F4840000}"/>
    <cellStyle name="Normal 3 3 4 6 2 13 2" xfId="34046" xr:uid="{00000000-0005-0000-0000-0000F5840000}"/>
    <cellStyle name="Normal 3 3 4 6 2 13 3" xfId="34047" xr:uid="{00000000-0005-0000-0000-0000F6840000}"/>
    <cellStyle name="Normal 3 3 4 6 2 14" xfId="34048" xr:uid="{00000000-0005-0000-0000-0000F7840000}"/>
    <cellStyle name="Normal 3 3 4 6 2 14 2" xfId="34049" xr:uid="{00000000-0005-0000-0000-0000F8840000}"/>
    <cellStyle name="Normal 3 3 4 6 2 14 3" xfId="34050" xr:uid="{00000000-0005-0000-0000-0000F9840000}"/>
    <cellStyle name="Normal 3 3 4 6 2 15" xfId="34051" xr:uid="{00000000-0005-0000-0000-0000FA840000}"/>
    <cellStyle name="Normal 3 3 4 6 2 16" xfId="34052" xr:uid="{00000000-0005-0000-0000-0000FB840000}"/>
    <cellStyle name="Normal 3 3 4 6 2 2" xfId="34053" xr:uid="{00000000-0005-0000-0000-0000FC840000}"/>
    <cellStyle name="Normal 3 3 4 6 2 2 2" xfId="34054" xr:uid="{00000000-0005-0000-0000-0000FD840000}"/>
    <cellStyle name="Normal 3 3 4 6 2 2 3" xfId="34055" xr:uid="{00000000-0005-0000-0000-0000FE840000}"/>
    <cellStyle name="Normal 3 3 4 6 2 3" xfId="34056" xr:uid="{00000000-0005-0000-0000-0000FF840000}"/>
    <cellStyle name="Normal 3 3 4 6 2 3 2" xfId="34057" xr:uid="{00000000-0005-0000-0000-000000850000}"/>
    <cellStyle name="Normal 3 3 4 6 2 3 3" xfId="34058" xr:uid="{00000000-0005-0000-0000-000001850000}"/>
    <cellStyle name="Normal 3 3 4 6 2 4" xfId="34059" xr:uid="{00000000-0005-0000-0000-000002850000}"/>
    <cellStyle name="Normal 3 3 4 6 2 4 2" xfId="34060" xr:uid="{00000000-0005-0000-0000-000003850000}"/>
    <cellStyle name="Normal 3 3 4 6 2 4 3" xfId="34061" xr:uid="{00000000-0005-0000-0000-000004850000}"/>
    <cellStyle name="Normal 3 3 4 6 2 5" xfId="34062" xr:uid="{00000000-0005-0000-0000-000005850000}"/>
    <cellStyle name="Normal 3 3 4 6 2 5 2" xfId="34063" xr:uid="{00000000-0005-0000-0000-000006850000}"/>
    <cellStyle name="Normal 3 3 4 6 2 5 3" xfId="34064" xr:uid="{00000000-0005-0000-0000-000007850000}"/>
    <cellStyle name="Normal 3 3 4 6 2 6" xfId="34065" xr:uid="{00000000-0005-0000-0000-000008850000}"/>
    <cellStyle name="Normal 3 3 4 6 2 6 2" xfId="34066" xr:uid="{00000000-0005-0000-0000-000009850000}"/>
    <cellStyle name="Normal 3 3 4 6 2 6 3" xfId="34067" xr:uid="{00000000-0005-0000-0000-00000A850000}"/>
    <cellStyle name="Normal 3 3 4 6 2 7" xfId="34068" xr:uid="{00000000-0005-0000-0000-00000B850000}"/>
    <cellStyle name="Normal 3 3 4 6 2 7 2" xfId="34069" xr:uid="{00000000-0005-0000-0000-00000C850000}"/>
    <cellStyle name="Normal 3 3 4 6 2 7 3" xfId="34070" xr:uid="{00000000-0005-0000-0000-00000D850000}"/>
    <cellStyle name="Normal 3 3 4 6 2 8" xfId="34071" xr:uid="{00000000-0005-0000-0000-00000E850000}"/>
    <cellStyle name="Normal 3 3 4 6 2 8 2" xfId="34072" xr:uid="{00000000-0005-0000-0000-00000F850000}"/>
    <cellStyle name="Normal 3 3 4 6 2 8 3" xfId="34073" xr:uid="{00000000-0005-0000-0000-000010850000}"/>
    <cellStyle name="Normal 3 3 4 6 2 9" xfId="34074" xr:uid="{00000000-0005-0000-0000-000011850000}"/>
    <cellStyle name="Normal 3 3 4 6 2 9 2" xfId="34075" xr:uid="{00000000-0005-0000-0000-000012850000}"/>
    <cellStyle name="Normal 3 3 4 6 2 9 3" xfId="34076" xr:uid="{00000000-0005-0000-0000-000013850000}"/>
    <cellStyle name="Normal 3 3 4 6 3" xfId="34077" xr:uid="{00000000-0005-0000-0000-000014850000}"/>
    <cellStyle name="Normal 3 3 4 6 3 2" xfId="34078" xr:uid="{00000000-0005-0000-0000-000015850000}"/>
    <cellStyle name="Normal 3 3 4 6 3 3" xfId="34079" xr:uid="{00000000-0005-0000-0000-000016850000}"/>
    <cellStyle name="Normal 3 3 4 6 4" xfId="34080" xr:uid="{00000000-0005-0000-0000-000017850000}"/>
    <cellStyle name="Normal 3 3 4 6 4 2" xfId="34081" xr:uid="{00000000-0005-0000-0000-000018850000}"/>
    <cellStyle name="Normal 3 3 4 6 4 3" xfId="34082" xr:uid="{00000000-0005-0000-0000-000019850000}"/>
    <cellStyle name="Normal 3 3 4 6 5" xfId="34083" xr:uid="{00000000-0005-0000-0000-00001A850000}"/>
    <cellStyle name="Normal 3 3 4 6 5 2" xfId="34084" xr:uid="{00000000-0005-0000-0000-00001B850000}"/>
    <cellStyle name="Normal 3 3 4 6 5 3" xfId="34085" xr:uid="{00000000-0005-0000-0000-00001C850000}"/>
    <cellStyle name="Normal 3 3 4 6 6" xfId="34086" xr:uid="{00000000-0005-0000-0000-00001D850000}"/>
    <cellStyle name="Normal 3 3 4 6 6 2" xfId="34087" xr:uid="{00000000-0005-0000-0000-00001E850000}"/>
    <cellStyle name="Normal 3 3 4 6 6 3" xfId="34088" xr:uid="{00000000-0005-0000-0000-00001F850000}"/>
    <cellStyle name="Normal 3 3 4 6 7" xfId="34089" xr:uid="{00000000-0005-0000-0000-000020850000}"/>
    <cellStyle name="Normal 3 3 4 6 7 2" xfId="34090" xr:uid="{00000000-0005-0000-0000-000021850000}"/>
    <cellStyle name="Normal 3 3 4 6 7 3" xfId="34091" xr:uid="{00000000-0005-0000-0000-000022850000}"/>
    <cellStyle name="Normal 3 3 4 6 8" xfId="34092" xr:uid="{00000000-0005-0000-0000-000023850000}"/>
    <cellStyle name="Normal 3 3 4 6 8 2" xfId="34093" xr:uid="{00000000-0005-0000-0000-000024850000}"/>
    <cellStyle name="Normal 3 3 4 6 8 3" xfId="34094" xr:uid="{00000000-0005-0000-0000-000025850000}"/>
    <cellStyle name="Normal 3 3 4 6 9" xfId="34095" xr:uid="{00000000-0005-0000-0000-000026850000}"/>
    <cellStyle name="Normal 3 3 4 6 9 2" xfId="34096" xr:uid="{00000000-0005-0000-0000-000027850000}"/>
    <cellStyle name="Normal 3 3 4 6 9 3" xfId="34097" xr:uid="{00000000-0005-0000-0000-000028850000}"/>
    <cellStyle name="Normal 3 3 4 7" xfId="34098" xr:uid="{00000000-0005-0000-0000-000029850000}"/>
    <cellStyle name="Normal 3 3 4 7 10" xfId="34099" xr:uid="{00000000-0005-0000-0000-00002A850000}"/>
    <cellStyle name="Normal 3 3 4 7 10 2" xfId="34100" xr:uid="{00000000-0005-0000-0000-00002B850000}"/>
    <cellStyle name="Normal 3 3 4 7 10 3" xfId="34101" xr:uid="{00000000-0005-0000-0000-00002C850000}"/>
    <cellStyle name="Normal 3 3 4 7 11" xfId="34102" xr:uid="{00000000-0005-0000-0000-00002D850000}"/>
    <cellStyle name="Normal 3 3 4 7 11 2" xfId="34103" xr:uid="{00000000-0005-0000-0000-00002E850000}"/>
    <cellStyle name="Normal 3 3 4 7 11 3" xfId="34104" xr:uid="{00000000-0005-0000-0000-00002F850000}"/>
    <cellStyle name="Normal 3 3 4 7 12" xfId="34105" xr:uid="{00000000-0005-0000-0000-000030850000}"/>
    <cellStyle name="Normal 3 3 4 7 12 2" xfId="34106" xr:uid="{00000000-0005-0000-0000-000031850000}"/>
    <cellStyle name="Normal 3 3 4 7 12 3" xfId="34107" xr:uid="{00000000-0005-0000-0000-000032850000}"/>
    <cellStyle name="Normal 3 3 4 7 13" xfId="34108" xr:uid="{00000000-0005-0000-0000-000033850000}"/>
    <cellStyle name="Normal 3 3 4 7 13 2" xfId="34109" xr:uid="{00000000-0005-0000-0000-000034850000}"/>
    <cellStyle name="Normal 3 3 4 7 13 3" xfId="34110" xr:uid="{00000000-0005-0000-0000-000035850000}"/>
    <cellStyle name="Normal 3 3 4 7 14" xfId="34111" xr:uid="{00000000-0005-0000-0000-000036850000}"/>
    <cellStyle name="Normal 3 3 4 7 14 2" xfId="34112" xr:uid="{00000000-0005-0000-0000-000037850000}"/>
    <cellStyle name="Normal 3 3 4 7 14 3" xfId="34113" xr:uid="{00000000-0005-0000-0000-000038850000}"/>
    <cellStyle name="Normal 3 3 4 7 15" xfId="34114" xr:uid="{00000000-0005-0000-0000-000039850000}"/>
    <cellStyle name="Normal 3 3 4 7 15 2" xfId="34115" xr:uid="{00000000-0005-0000-0000-00003A850000}"/>
    <cellStyle name="Normal 3 3 4 7 15 3" xfId="34116" xr:uid="{00000000-0005-0000-0000-00003B850000}"/>
    <cellStyle name="Normal 3 3 4 7 16" xfId="34117" xr:uid="{00000000-0005-0000-0000-00003C850000}"/>
    <cellStyle name="Normal 3 3 4 7 17" xfId="34118" xr:uid="{00000000-0005-0000-0000-00003D850000}"/>
    <cellStyle name="Normal 3 3 4 7 2" xfId="34119" xr:uid="{00000000-0005-0000-0000-00003E850000}"/>
    <cellStyle name="Normal 3 3 4 7 2 10" xfId="34120" xr:uid="{00000000-0005-0000-0000-00003F850000}"/>
    <cellStyle name="Normal 3 3 4 7 2 10 2" xfId="34121" xr:uid="{00000000-0005-0000-0000-000040850000}"/>
    <cellStyle name="Normal 3 3 4 7 2 10 3" xfId="34122" xr:uid="{00000000-0005-0000-0000-000041850000}"/>
    <cellStyle name="Normal 3 3 4 7 2 11" xfId="34123" xr:uid="{00000000-0005-0000-0000-000042850000}"/>
    <cellStyle name="Normal 3 3 4 7 2 11 2" xfId="34124" xr:uid="{00000000-0005-0000-0000-000043850000}"/>
    <cellStyle name="Normal 3 3 4 7 2 11 3" xfId="34125" xr:uid="{00000000-0005-0000-0000-000044850000}"/>
    <cellStyle name="Normal 3 3 4 7 2 12" xfId="34126" xr:uid="{00000000-0005-0000-0000-000045850000}"/>
    <cellStyle name="Normal 3 3 4 7 2 12 2" xfId="34127" xr:uid="{00000000-0005-0000-0000-000046850000}"/>
    <cellStyle name="Normal 3 3 4 7 2 12 3" xfId="34128" xr:uid="{00000000-0005-0000-0000-000047850000}"/>
    <cellStyle name="Normal 3 3 4 7 2 13" xfId="34129" xr:uid="{00000000-0005-0000-0000-000048850000}"/>
    <cellStyle name="Normal 3 3 4 7 2 13 2" xfId="34130" xr:uid="{00000000-0005-0000-0000-000049850000}"/>
    <cellStyle name="Normal 3 3 4 7 2 13 3" xfId="34131" xr:uid="{00000000-0005-0000-0000-00004A850000}"/>
    <cellStyle name="Normal 3 3 4 7 2 14" xfId="34132" xr:uid="{00000000-0005-0000-0000-00004B850000}"/>
    <cellStyle name="Normal 3 3 4 7 2 14 2" xfId="34133" xr:uid="{00000000-0005-0000-0000-00004C850000}"/>
    <cellStyle name="Normal 3 3 4 7 2 14 3" xfId="34134" xr:uid="{00000000-0005-0000-0000-00004D850000}"/>
    <cellStyle name="Normal 3 3 4 7 2 15" xfId="34135" xr:uid="{00000000-0005-0000-0000-00004E850000}"/>
    <cellStyle name="Normal 3 3 4 7 2 16" xfId="34136" xr:uid="{00000000-0005-0000-0000-00004F850000}"/>
    <cellStyle name="Normal 3 3 4 7 2 2" xfId="34137" xr:uid="{00000000-0005-0000-0000-000050850000}"/>
    <cellStyle name="Normal 3 3 4 7 2 2 2" xfId="34138" xr:uid="{00000000-0005-0000-0000-000051850000}"/>
    <cellStyle name="Normal 3 3 4 7 2 2 3" xfId="34139" xr:uid="{00000000-0005-0000-0000-000052850000}"/>
    <cellStyle name="Normal 3 3 4 7 2 3" xfId="34140" xr:uid="{00000000-0005-0000-0000-000053850000}"/>
    <cellStyle name="Normal 3 3 4 7 2 3 2" xfId="34141" xr:uid="{00000000-0005-0000-0000-000054850000}"/>
    <cellStyle name="Normal 3 3 4 7 2 3 3" xfId="34142" xr:uid="{00000000-0005-0000-0000-000055850000}"/>
    <cellStyle name="Normal 3 3 4 7 2 4" xfId="34143" xr:uid="{00000000-0005-0000-0000-000056850000}"/>
    <cellStyle name="Normal 3 3 4 7 2 4 2" xfId="34144" xr:uid="{00000000-0005-0000-0000-000057850000}"/>
    <cellStyle name="Normal 3 3 4 7 2 4 3" xfId="34145" xr:uid="{00000000-0005-0000-0000-000058850000}"/>
    <cellStyle name="Normal 3 3 4 7 2 5" xfId="34146" xr:uid="{00000000-0005-0000-0000-000059850000}"/>
    <cellStyle name="Normal 3 3 4 7 2 5 2" xfId="34147" xr:uid="{00000000-0005-0000-0000-00005A850000}"/>
    <cellStyle name="Normal 3 3 4 7 2 5 3" xfId="34148" xr:uid="{00000000-0005-0000-0000-00005B850000}"/>
    <cellStyle name="Normal 3 3 4 7 2 6" xfId="34149" xr:uid="{00000000-0005-0000-0000-00005C850000}"/>
    <cellStyle name="Normal 3 3 4 7 2 6 2" xfId="34150" xr:uid="{00000000-0005-0000-0000-00005D850000}"/>
    <cellStyle name="Normal 3 3 4 7 2 6 3" xfId="34151" xr:uid="{00000000-0005-0000-0000-00005E850000}"/>
    <cellStyle name="Normal 3 3 4 7 2 7" xfId="34152" xr:uid="{00000000-0005-0000-0000-00005F850000}"/>
    <cellStyle name="Normal 3 3 4 7 2 7 2" xfId="34153" xr:uid="{00000000-0005-0000-0000-000060850000}"/>
    <cellStyle name="Normal 3 3 4 7 2 7 3" xfId="34154" xr:uid="{00000000-0005-0000-0000-000061850000}"/>
    <cellStyle name="Normal 3 3 4 7 2 8" xfId="34155" xr:uid="{00000000-0005-0000-0000-000062850000}"/>
    <cellStyle name="Normal 3 3 4 7 2 8 2" xfId="34156" xr:uid="{00000000-0005-0000-0000-000063850000}"/>
    <cellStyle name="Normal 3 3 4 7 2 8 3" xfId="34157" xr:uid="{00000000-0005-0000-0000-000064850000}"/>
    <cellStyle name="Normal 3 3 4 7 2 9" xfId="34158" xr:uid="{00000000-0005-0000-0000-000065850000}"/>
    <cellStyle name="Normal 3 3 4 7 2 9 2" xfId="34159" xr:uid="{00000000-0005-0000-0000-000066850000}"/>
    <cellStyle name="Normal 3 3 4 7 2 9 3" xfId="34160" xr:uid="{00000000-0005-0000-0000-000067850000}"/>
    <cellStyle name="Normal 3 3 4 7 3" xfId="34161" xr:uid="{00000000-0005-0000-0000-000068850000}"/>
    <cellStyle name="Normal 3 3 4 7 3 2" xfId="34162" xr:uid="{00000000-0005-0000-0000-000069850000}"/>
    <cellStyle name="Normal 3 3 4 7 3 3" xfId="34163" xr:uid="{00000000-0005-0000-0000-00006A850000}"/>
    <cellStyle name="Normal 3 3 4 7 4" xfId="34164" xr:uid="{00000000-0005-0000-0000-00006B850000}"/>
    <cellStyle name="Normal 3 3 4 7 4 2" xfId="34165" xr:uid="{00000000-0005-0000-0000-00006C850000}"/>
    <cellStyle name="Normal 3 3 4 7 4 3" xfId="34166" xr:uid="{00000000-0005-0000-0000-00006D850000}"/>
    <cellStyle name="Normal 3 3 4 7 5" xfId="34167" xr:uid="{00000000-0005-0000-0000-00006E850000}"/>
    <cellStyle name="Normal 3 3 4 7 5 2" xfId="34168" xr:uid="{00000000-0005-0000-0000-00006F850000}"/>
    <cellStyle name="Normal 3 3 4 7 5 3" xfId="34169" xr:uid="{00000000-0005-0000-0000-000070850000}"/>
    <cellStyle name="Normal 3 3 4 7 6" xfId="34170" xr:uid="{00000000-0005-0000-0000-000071850000}"/>
    <cellStyle name="Normal 3 3 4 7 6 2" xfId="34171" xr:uid="{00000000-0005-0000-0000-000072850000}"/>
    <cellStyle name="Normal 3 3 4 7 6 3" xfId="34172" xr:uid="{00000000-0005-0000-0000-000073850000}"/>
    <cellStyle name="Normal 3 3 4 7 7" xfId="34173" xr:uid="{00000000-0005-0000-0000-000074850000}"/>
    <cellStyle name="Normal 3 3 4 7 7 2" xfId="34174" xr:uid="{00000000-0005-0000-0000-000075850000}"/>
    <cellStyle name="Normal 3 3 4 7 7 3" xfId="34175" xr:uid="{00000000-0005-0000-0000-000076850000}"/>
    <cellStyle name="Normal 3 3 4 7 8" xfId="34176" xr:uid="{00000000-0005-0000-0000-000077850000}"/>
    <cellStyle name="Normal 3 3 4 7 8 2" xfId="34177" xr:uid="{00000000-0005-0000-0000-000078850000}"/>
    <cellStyle name="Normal 3 3 4 7 8 3" xfId="34178" xr:uid="{00000000-0005-0000-0000-000079850000}"/>
    <cellStyle name="Normal 3 3 4 7 9" xfId="34179" xr:uid="{00000000-0005-0000-0000-00007A850000}"/>
    <cellStyle name="Normal 3 3 4 7 9 2" xfId="34180" xr:uid="{00000000-0005-0000-0000-00007B850000}"/>
    <cellStyle name="Normal 3 3 4 7 9 3" xfId="34181" xr:uid="{00000000-0005-0000-0000-00007C850000}"/>
    <cellStyle name="Normal 3 3 4 8" xfId="34182" xr:uid="{00000000-0005-0000-0000-00007D850000}"/>
    <cellStyle name="Normal 3 3 4 8 10" xfId="34183" xr:uid="{00000000-0005-0000-0000-00007E850000}"/>
    <cellStyle name="Normal 3 3 4 8 10 2" xfId="34184" xr:uid="{00000000-0005-0000-0000-00007F850000}"/>
    <cellStyle name="Normal 3 3 4 8 10 3" xfId="34185" xr:uid="{00000000-0005-0000-0000-000080850000}"/>
    <cellStyle name="Normal 3 3 4 8 11" xfId="34186" xr:uid="{00000000-0005-0000-0000-000081850000}"/>
    <cellStyle name="Normal 3 3 4 8 11 2" xfId="34187" xr:uid="{00000000-0005-0000-0000-000082850000}"/>
    <cellStyle name="Normal 3 3 4 8 11 3" xfId="34188" xr:uid="{00000000-0005-0000-0000-000083850000}"/>
    <cellStyle name="Normal 3 3 4 8 12" xfId="34189" xr:uid="{00000000-0005-0000-0000-000084850000}"/>
    <cellStyle name="Normal 3 3 4 8 12 2" xfId="34190" xr:uid="{00000000-0005-0000-0000-000085850000}"/>
    <cellStyle name="Normal 3 3 4 8 12 3" xfId="34191" xr:uid="{00000000-0005-0000-0000-000086850000}"/>
    <cellStyle name="Normal 3 3 4 8 13" xfId="34192" xr:uid="{00000000-0005-0000-0000-000087850000}"/>
    <cellStyle name="Normal 3 3 4 8 13 2" xfId="34193" xr:uid="{00000000-0005-0000-0000-000088850000}"/>
    <cellStyle name="Normal 3 3 4 8 13 3" xfId="34194" xr:uid="{00000000-0005-0000-0000-000089850000}"/>
    <cellStyle name="Normal 3 3 4 8 14" xfId="34195" xr:uid="{00000000-0005-0000-0000-00008A850000}"/>
    <cellStyle name="Normal 3 3 4 8 14 2" xfId="34196" xr:uid="{00000000-0005-0000-0000-00008B850000}"/>
    <cellStyle name="Normal 3 3 4 8 14 3" xfId="34197" xr:uid="{00000000-0005-0000-0000-00008C850000}"/>
    <cellStyle name="Normal 3 3 4 8 15" xfId="34198" xr:uid="{00000000-0005-0000-0000-00008D850000}"/>
    <cellStyle name="Normal 3 3 4 8 15 2" xfId="34199" xr:uid="{00000000-0005-0000-0000-00008E850000}"/>
    <cellStyle name="Normal 3 3 4 8 15 3" xfId="34200" xr:uid="{00000000-0005-0000-0000-00008F850000}"/>
    <cellStyle name="Normal 3 3 4 8 16" xfId="34201" xr:uid="{00000000-0005-0000-0000-000090850000}"/>
    <cellStyle name="Normal 3 3 4 8 17" xfId="34202" xr:uid="{00000000-0005-0000-0000-000091850000}"/>
    <cellStyle name="Normal 3 3 4 8 2" xfId="34203" xr:uid="{00000000-0005-0000-0000-000092850000}"/>
    <cellStyle name="Normal 3 3 4 8 2 10" xfId="34204" xr:uid="{00000000-0005-0000-0000-000093850000}"/>
    <cellStyle name="Normal 3 3 4 8 2 10 2" xfId="34205" xr:uid="{00000000-0005-0000-0000-000094850000}"/>
    <cellStyle name="Normal 3 3 4 8 2 10 3" xfId="34206" xr:uid="{00000000-0005-0000-0000-000095850000}"/>
    <cellStyle name="Normal 3 3 4 8 2 11" xfId="34207" xr:uid="{00000000-0005-0000-0000-000096850000}"/>
    <cellStyle name="Normal 3 3 4 8 2 11 2" xfId="34208" xr:uid="{00000000-0005-0000-0000-000097850000}"/>
    <cellStyle name="Normal 3 3 4 8 2 11 3" xfId="34209" xr:uid="{00000000-0005-0000-0000-000098850000}"/>
    <cellStyle name="Normal 3 3 4 8 2 12" xfId="34210" xr:uid="{00000000-0005-0000-0000-000099850000}"/>
    <cellStyle name="Normal 3 3 4 8 2 12 2" xfId="34211" xr:uid="{00000000-0005-0000-0000-00009A850000}"/>
    <cellStyle name="Normal 3 3 4 8 2 12 3" xfId="34212" xr:uid="{00000000-0005-0000-0000-00009B850000}"/>
    <cellStyle name="Normal 3 3 4 8 2 13" xfId="34213" xr:uid="{00000000-0005-0000-0000-00009C850000}"/>
    <cellStyle name="Normal 3 3 4 8 2 13 2" xfId="34214" xr:uid="{00000000-0005-0000-0000-00009D850000}"/>
    <cellStyle name="Normal 3 3 4 8 2 13 3" xfId="34215" xr:uid="{00000000-0005-0000-0000-00009E850000}"/>
    <cellStyle name="Normal 3 3 4 8 2 14" xfId="34216" xr:uid="{00000000-0005-0000-0000-00009F850000}"/>
    <cellStyle name="Normal 3 3 4 8 2 14 2" xfId="34217" xr:uid="{00000000-0005-0000-0000-0000A0850000}"/>
    <cellStyle name="Normal 3 3 4 8 2 14 3" xfId="34218" xr:uid="{00000000-0005-0000-0000-0000A1850000}"/>
    <cellStyle name="Normal 3 3 4 8 2 15" xfId="34219" xr:uid="{00000000-0005-0000-0000-0000A2850000}"/>
    <cellStyle name="Normal 3 3 4 8 2 16" xfId="34220" xr:uid="{00000000-0005-0000-0000-0000A3850000}"/>
    <cellStyle name="Normal 3 3 4 8 2 2" xfId="34221" xr:uid="{00000000-0005-0000-0000-0000A4850000}"/>
    <cellStyle name="Normal 3 3 4 8 2 2 2" xfId="34222" xr:uid="{00000000-0005-0000-0000-0000A5850000}"/>
    <cellStyle name="Normal 3 3 4 8 2 2 3" xfId="34223" xr:uid="{00000000-0005-0000-0000-0000A6850000}"/>
    <cellStyle name="Normal 3 3 4 8 2 3" xfId="34224" xr:uid="{00000000-0005-0000-0000-0000A7850000}"/>
    <cellStyle name="Normal 3 3 4 8 2 3 2" xfId="34225" xr:uid="{00000000-0005-0000-0000-0000A8850000}"/>
    <cellStyle name="Normal 3 3 4 8 2 3 3" xfId="34226" xr:uid="{00000000-0005-0000-0000-0000A9850000}"/>
    <cellStyle name="Normal 3 3 4 8 2 4" xfId="34227" xr:uid="{00000000-0005-0000-0000-0000AA850000}"/>
    <cellStyle name="Normal 3 3 4 8 2 4 2" xfId="34228" xr:uid="{00000000-0005-0000-0000-0000AB850000}"/>
    <cellStyle name="Normal 3 3 4 8 2 4 3" xfId="34229" xr:uid="{00000000-0005-0000-0000-0000AC850000}"/>
    <cellStyle name="Normal 3 3 4 8 2 5" xfId="34230" xr:uid="{00000000-0005-0000-0000-0000AD850000}"/>
    <cellStyle name="Normal 3 3 4 8 2 5 2" xfId="34231" xr:uid="{00000000-0005-0000-0000-0000AE850000}"/>
    <cellStyle name="Normal 3 3 4 8 2 5 3" xfId="34232" xr:uid="{00000000-0005-0000-0000-0000AF850000}"/>
    <cellStyle name="Normal 3 3 4 8 2 6" xfId="34233" xr:uid="{00000000-0005-0000-0000-0000B0850000}"/>
    <cellStyle name="Normal 3 3 4 8 2 6 2" xfId="34234" xr:uid="{00000000-0005-0000-0000-0000B1850000}"/>
    <cellStyle name="Normal 3 3 4 8 2 6 3" xfId="34235" xr:uid="{00000000-0005-0000-0000-0000B2850000}"/>
    <cellStyle name="Normal 3 3 4 8 2 7" xfId="34236" xr:uid="{00000000-0005-0000-0000-0000B3850000}"/>
    <cellStyle name="Normal 3 3 4 8 2 7 2" xfId="34237" xr:uid="{00000000-0005-0000-0000-0000B4850000}"/>
    <cellStyle name="Normal 3 3 4 8 2 7 3" xfId="34238" xr:uid="{00000000-0005-0000-0000-0000B5850000}"/>
    <cellStyle name="Normal 3 3 4 8 2 8" xfId="34239" xr:uid="{00000000-0005-0000-0000-0000B6850000}"/>
    <cellStyle name="Normal 3 3 4 8 2 8 2" xfId="34240" xr:uid="{00000000-0005-0000-0000-0000B7850000}"/>
    <cellStyle name="Normal 3 3 4 8 2 8 3" xfId="34241" xr:uid="{00000000-0005-0000-0000-0000B8850000}"/>
    <cellStyle name="Normal 3 3 4 8 2 9" xfId="34242" xr:uid="{00000000-0005-0000-0000-0000B9850000}"/>
    <cellStyle name="Normal 3 3 4 8 2 9 2" xfId="34243" xr:uid="{00000000-0005-0000-0000-0000BA850000}"/>
    <cellStyle name="Normal 3 3 4 8 2 9 3" xfId="34244" xr:uid="{00000000-0005-0000-0000-0000BB850000}"/>
    <cellStyle name="Normal 3 3 4 8 3" xfId="34245" xr:uid="{00000000-0005-0000-0000-0000BC850000}"/>
    <cellStyle name="Normal 3 3 4 8 3 2" xfId="34246" xr:uid="{00000000-0005-0000-0000-0000BD850000}"/>
    <cellStyle name="Normal 3 3 4 8 3 3" xfId="34247" xr:uid="{00000000-0005-0000-0000-0000BE850000}"/>
    <cellStyle name="Normal 3 3 4 8 4" xfId="34248" xr:uid="{00000000-0005-0000-0000-0000BF850000}"/>
    <cellStyle name="Normal 3 3 4 8 4 2" xfId="34249" xr:uid="{00000000-0005-0000-0000-0000C0850000}"/>
    <cellStyle name="Normal 3 3 4 8 4 3" xfId="34250" xr:uid="{00000000-0005-0000-0000-0000C1850000}"/>
    <cellStyle name="Normal 3 3 4 8 5" xfId="34251" xr:uid="{00000000-0005-0000-0000-0000C2850000}"/>
    <cellStyle name="Normal 3 3 4 8 5 2" xfId="34252" xr:uid="{00000000-0005-0000-0000-0000C3850000}"/>
    <cellStyle name="Normal 3 3 4 8 5 3" xfId="34253" xr:uid="{00000000-0005-0000-0000-0000C4850000}"/>
    <cellStyle name="Normal 3 3 4 8 6" xfId="34254" xr:uid="{00000000-0005-0000-0000-0000C5850000}"/>
    <cellStyle name="Normal 3 3 4 8 6 2" xfId="34255" xr:uid="{00000000-0005-0000-0000-0000C6850000}"/>
    <cellStyle name="Normal 3 3 4 8 6 3" xfId="34256" xr:uid="{00000000-0005-0000-0000-0000C7850000}"/>
    <cellStyle name="Normal 3 3 4 8 7" xfId="34257" xr:uid="{00000000-0005-0000-0000-0000C8850000}"/>
    <cellStyle name="Normal 3 3 4 8 7 2" xfId="34258" xr:uid="{00000000-0005-0000-0000-0000C9850000}"/>
    <cellStyle name="Normal 3 3 4 8 7 3" xfId="34259" xr:uid="{00000000-0005-0000-0000-0000CA850000}"/>
    <cellStyle name="Normal 3 3 4 8 8" xfId="34260" xr:uid="{00000000-0005-0000-0000-0000CB850000}"/>
    <cellStyle name="Normal 3 3 4 8 8 2" xfId="34261" xr:uid="{00000000-0005-0000-0000-0000CC850000}"/>
    <cellStyle name="Normal 3 3 4 8 8 3" xfId="34262" xr:uid="{00000000-0005-0000-0000-0000CD850000}"/>
    <cellStyle name="Normal 3 3 4 8 9" xfId="34263" xr:uid="{00000000-0005-0000-0000-0000CE850000}"/>
    <cellStyle name="Normal 3 3 4 8 9 2" xfId="34264" xr:uid="{00000000-0005-0000-0000-0000CF850000}"/>
    <cellStyle name="Normal 3 3 4 8 9 3" xfId="34265" xr:uid="{00000000-0005-0000-0000-0000D0850000}"/>
    <cellStyle name="Normal 3 3 4 9" xfId="34266" xr:uid="{00000000-0005-0000-0000-0000D1850000}"/>
    <cellStyle name="Normal 3 3 4 9 10" xfId="34267" xr:uid="{00000000-0005-0000-0000-0000D2850000}"/>
    <cellStyle name="Normal 3 3 4 9 10 2" xfId="34268" xr:uid="{00000000-0005-0000-0000-0000D3850000}"/>
    <cellStyle name="Normal 3 3 4 9 10 3" xfId="34269" xr:uid="{00000000-0005-0000-0000-0000D4850000}"/>
    <cellStyle name="Normal 3 3 4 9 11" xfId="34270" xr:uid="{00000000-0005-0000-0000-0000D5850000}"/>
    <cellStyle name="Normal 3 3 4 9 11 2" xfId="34271" xr:uid="{00000000-0005-0000-0000-0000D6850000}"/>
    <cellStyle name="Normal 3 3 4 9 11 3" xfId="34272" xr:uid="{00000000-0005-0000-0000-0000D7850000}"/>
    <cellStyle name="Normal 3 3 4 9 12" xfId="34273" xr:uid="{00000000-0005-0000-0000-0000D8850000}"/>
    <cellStyle name="Normal 3 3 4 9 12 2" xfId="34274" xr:uid="{00000000-0005-0000-0000-0000D9850000}"/>
    <cellStyle name="Normal 3 3 4 9 12 3" xfId="34275" xr:uid="{00000000-0005-0000-0000-0000DA850000}"/>
    <cellStyle name="Normal 3 3 4 9 13" xfId="34276" xr:uid="{00000000-0005-0000-0000-0000DB850000}"/>
    <cellStyle name="Normal 3 3 4 9 13 2" xfId="34277" xr:uid="{00000000-0005-0000-0000-0000DC850000}"/>
    <cellStyle name="Normal 3 3 4 9 13 3" xfId="34278" xr:uid="{00000000-0005-0000-0000-0000DD850000}"/>
    <cellStyle name="Normal 3 3 4 9 14" xfId="34279" xr:uid="{00000000-0005-0000-0000-0000DE850000}"/>
    <cellStyle name="Normal 3 3 4 9 14 2" xfId="34280" xr:uid="{00000000-0005-0000-0000-0000DF850000}"/>
    <cellStyle name="Normal 3 3 4 9 14 3" xfId="34281" xr:uid="{00000000-0005-0000-0000-0000E0850000}"/>
    <cellStyle name="Normal 3 3 4 9 15" xfId="34282" xr:uid="{00000000-0005-0000-0000-0000E1850000}"/>
    <cellStyle name="Normal 3 3 4 9 16" xfId="34283" xr:uid="{00000000-0005-0000-0000-0000E2850000}"/>
    <cellStyle name="Normal 3 3 4 9 2" xfId="34284" xr:uid="{00000000-0005-0000-0000-0000E3850000}"/>
    <cellStyle name="Normal 3 3 4 9 2 2" xfId="34285" xr:uid="{00000000-0005-0000-0000-0000E4850000}"/>
    <cellStyle name="Normal 3 3 4 9 2 3" xfId="34286" xr:uid="{00000000-0005-0000-0000-0000E5850000}"/>
    <cellStyle name="Normal 3 3 4 9 3" xfId="34287" xr:uid="{00000000-0005-0000-0000-0000E6850000}"/>
    <cellStyle name="Normal 3 3 4 9 3 2" xfId="34288" xr:uid="{00000000-0005-0000-0000-0000E7850000}"/>
    <cellStyle name="Normal 3 3 4 9 3 3" xfId="34289" xr:uid="{00000000-0005-0000-0000-0000E8850000}"/>
    <cellStyle name="Normal 3 3 4 9 4" xfId="34290" xr:uid="{00000000-0005-0000-0000-0000E9850000}"/>
    <cellStyle name="Normal 3 3 4 9 4 2" xfId="34291" xr:uid="{00000000-0005-0000-0000-0000EA850000}"/>
    <cellStyle name="Normal 3 3 4 9 4 3" xfId="34292" xr:uid="{00000000-0005-0000-0000-0000EB850000}"/>
    <cellStyle name="Normal 3 3 4 9 5" xfId="34293" xr:uid="{00000000-0005-0000-0000-0000EC850000}"/>
    <cellStyle name="Normal 3 3 4 9 5 2" xfId="34294" xr:uid="{00000000-0005-0000-0000-0000ED850000}"/>
    <cellStyle name="Normal 3 3 4 9 5 3" xfId="34295" xr:uid="{00000000-0005-0000-0000-0000EE850000}"/>
    <cellStyle name="Normal 3 3 4 9 6" xfId="34296" xr:uid="{00000000-0005-0000-0000-0000EF850000}"/>
    <cellStyle name="Normal 3 3 4 9 6 2" xfId="34297" xr:uid="{00000000-0005-0000-0000-0000F0850000}"/>
    <cellStyle name="Normal 3 3 4 9 6 3" xfId="34298" xr:uid="{00000000-0005-0000-0000-0000F1850000}"/>
    <cellStyle name="Normal 3 3 4 9 7" xfId="34299" xr:uid="{00000000-0005-0000-0000-0000F2850000}"/>
    <cellStyle name="Normal 3 3 4 9 7 2" xfId="34300" xr:uid="{00000000-0005-0000-0000-0000F3850000}"/>
    <cellStyle name="Normal 3 3 4 9 7 3" xfId="34301" xr:uid="{00000000-0005-0000-0000-0000F4850000}"/>
    <cellStyle name="Normal 3 3 4 9 8" xfId="34302" xr:uid="{00000000-0005-0000-0000-0000F5850000}"/>
    <cellStyle name="Normal 3 3 4 9 8 2" xfId="34303" xr:uid="{00000000-0005-0000-0000-0000F6850000}"/>
    <cellStyle name="Normal 3 3 4 9 8 3" xfId="34304" xr:uid="{00000000-0005-0000-0000-0000F7850000}"/>
    <cellStyle name="Normal 3 3 4 9 9" xfId="34305" xr:uid="{00000000-0005-0000-0000-0000F8850000}"/>
    <cellStyle name="Normal 3 3 4 9 9 2" xfId="34306" xr:uid="{00000000-0005-0000-0000-0000F9850000}"/>
    <cellStyle name="Normal 3 3 4 9 9 3" xfId="34307" xr:uid="{00000000-0005-0000-0000-0000FA850000}"/>
    <cellStyle name="Normal 3 3 5" xfId="34308" xr:uid="{00000000-0005-0000-0000-0000FB850000}"/>
    <cellStyle name="Normal 3 3 5 10" xfId="34309" xr:uid="{00000000-0005-0000-0000-0000FC850000}"/>
    <cellStyle name="Normal 3 3 5 10 10" xfId="34310" xr:uid="{00000000-0005-0000-0000-0000FD850000}"/>
    <cellStyle name="Normal 3 3 5 10 10 2" xfId="34311" xr:uid="{00000000-0005-0000-0000-0000FE850000}"/>
    <cellStyle name="Normal 3 3 5 10 10 3" xfId="34312" xr:uid="{00000000-0005-0000-0000-0000FF850000}"/>
    <cellStyle name="Normal 3 3 5 10 11" xfId="34313" xr:uid="{00000000-0005-0000-0000-000000860000}"/>
    <cellStyle name="Normal 3 3 5 10 11 2" xfId="34314" xr:uid="{00000000-0005-0000-0000-000001860000}"/>
    <cellStyle name="Normal 3 3 5 10 11 3" xfId="34315" xr:uid="{00000000-0005-0000-0000-000002860000}"/>
    <cellStyle name="Normal 3 3 5 10 12" xfId="34316" xr:uid="{00000000-0005-0000-0000-000003860000}"/>
    <cellStyle name="Normal 3 3 5 10 12 2" xfId="34317" xr:uid="{00000000-0005-0000-0000-000004860000}"/>
    <cellStyle name="Normal 3 3 5 10 12 3" xfId="34318" xr:uid="{00000000-0005-0000-0000-000005860000}"/>
    <cellStyle name="Normal 3 3 5 10 13" xfId="34319" xr:uid="{00000000-0005-0000-0000-000006860000}"/>
    <cellStyle name="Normal 3 3 5 10 13 2" xfId="34320" xr:uid="{00000000-0005-0000-0000-000007860000}"/>
    <cellStyle name="Normal 3 3 5 10 13 3" xfId="34321" xr:uid="{00000000-0005-0000-0000-000008860000}"/>
    <cellStyle name="Normal 3 3 5 10 14" xfId="34322" xr:uid="{00000000-0005-0000-0000-000009860000}"/>
    <cellStyle name="Normal 3 3 5 10 14 2" xfId="34323" xr:uid="{00000000-0005-0000-0000-00000A860000}"/>
    <cellStyle name="Normal 3 3 5 10 14 3" xfId="34324" xr:uid="{00000000-0005-0000-0000-00000B860000}"/>
    <cellStyle name="Normal 3 3 5 10 15" xfId="34325" xr:uid="{00000000-0005-0000-0000-00000C860000}"/>
    <cellStyle name="Normal 3 3 5 10 16" xfId="34326" xr:uid="{00000000-0005-0000-0000-00000D860000}"/>
    <cellStyle name="Normal 3 3 5 10 2" xfId="34327" xr:uid="{00000000-0005-0000-0000-00000E860000}"/>
    <cellStyle name="Normal 3 3 5 10 2 2" xfId="34328" xr:uid="{00000000-0005-0000-0000-00000F860000}"/>
    <cellStyle name="Normal 3 3 5 10 2 3" xfId="34329" xr:uid="{00000000-0005-0000-0000-000010860000}"/>
    <cellStyle name="Normal 3 3 5 10 3" xfId="34330" xr:uid="{00000000-0005-0000-0000-000011860000}"/>
    <cellStyle name="Normal 3 3 5 10 3 2" xfId="34331" xr:uid="{00000000-0005-0000-0000-000012860000}"/>
    <cellStyle name="Normal 3 3 5 10 3 3" xfId="34332" xr:uid="{00000000-0005-0000-0000-000013860000}"/>
    <cellStyle name="Normal 3 3 5 10 4" xfId="34333" xr:uid="{00000000-0005-0000-0000-000014860000}"/>
    <cellStyle name="Normal 3 3 5 10 4 2" xfId="34334" xr:uid="{00000000-0005-0000-0000-000015860000}"/>
    <cellStyle name="Normal 3 3 5 10 4 3" xfId="34335" xr:uid="{00000000-0005-0000-0000-000016860000}"/>
    <cellStyle name="Normal 3 3 5 10 5" xfId="34336" xr:uid="{00000000-0005-0000-0000-000017860000}"/>
    <cellStyle name="Normal 3 3 5 10 5 2" xfId="34337" xr:uid="{00000000-0005-0000-0000-000018860000}"/>
    <cellStyle name="Normal 3 3 5 10 5 3" xfId="34338" xr:uid="{00000000-0005-0000-0000-000019860000}"/>
    <cellStyle name="Normal 3 3 5 10 6" xfId="34339" xr:uid="{00000000-0005-0000-0000-00001A860000}"/>
    <cellStyle name="Normal 3 3 5 10 6 2" xfId="34340" xr:uid="{00000000-0005-0000-0000-00001B860000}"/>
    <cellStyle name="Normal 3 3 5 10 6 3" xfId="34341" xr:uid="{00000000-0005-0000-0000-00001C860000}"/>
    <cellStyle name="Normal 3 3 5 10 7" xfId="34342" xr:uid="{00000000-0005-0000-0000-00001D860000}"/>
    <cellStyle name="Normal 3 3 5 10 7 2" xfId="34343" xr:uid="{00000000-0005-0000-0000-00001E860000}"/>
    <cellStyle name="Normal 3 3 5 10 7 3" xfId="34344" xr:uid="{00000000-0005-0000-0000-00001F860000}"/>
    <cellStyle name="Normal 3 3 5 10 8" xfId="34345" xr:uid="{00000000-0005-0000-0000-000020860000}"/>
    <cellStyle name="Normal 3 3 5 10 8 2" xfId="34346" xr:uid="{00000000-0005-0000-0000-000021860000}"/>
    <cellStyle name="Normal 3 3 5 10 8 3" xfId="34347" xr:uid="{00000000-0005-0000-0000-000022860000}"/>
    <cellStyle name="Normal 3 3 5 10 9" xfId="34348" xr:uid="{00000000-0005-0000-0000-000023860000}"/>
    <cellStyle name="Normal 3 3 5 10 9 2" xfId="34349" xr:uid="{00000000-0005-0000-0000-000024860000}"/>
    <cellStyle name="Normal 3 3 5 10 9 3" xfId="34350" xr:uid="{00000000-0005-0000-0000-000025860000}"/>
    <cellStyle name="Normal 3 3 5 11" xfId="34351" xr:uid="{00000000-0005-0000-0000-000026860000}"/>
    <cellStyle name="Normal 3 3 5 11 10" xfId="34352" xr:uid="{00000000-0005-0000-0000-000027860000}"/>
    <cellStyle name="Normal 3 3 5 11 10 2" xfId="34353" xr:uid="{00000000-0005-0000-0000-000028860000}"/>
    <cellStyle name="Normal 3 3 5 11 10 3" xfId="34354" xr:uid="{00000000-0005-0000-0000-000029860000}"/>
    <cellStyle name="Normal 3 3 5 11 11" xfId="34355" xr:uid="{00000000-0005-0000-0000-00002A860000}"/>
    <cellStyle name="Normal 3 3 5 11 11 2" xfId="34356" xr:uid="{00000000-0005-0000-0000-00002B860000}"/>
    <cellStyle name="Normal 3 3 5 11 11 3" xfId="34357" xr:uid="{00000000-0005-0000-0000-00002C860000}"/>
    <cellStyle name="Normal 3 3 5 11 12" xfId="34358" xr:uid="{00000000-0005-0000-0000-00002D860000}"/>
    <cellStyle name="Normal 3 3 5 11 12 2" xfId="34359" xr:uid="{00000000-0005-0000-0000-00002E860000}"/>
    <cellStyle name="Normal 3 3 5 11 12 3" xfId="34360" xr:uid="{00000000-0005-0000-0000-00002F860000}"/>
    <cellStyle name="Normal 3 3 5 11 13" xfId="34361" xr:uid="{00000000-0005-0000-0000-000030860000}"/>
    <cellStyle name="Normal 3 3 5 11 13 2" xfId="34362" xr:uid="{00000000-0005-0000-0000-000031860000}"/>
    <cellStyle name="Normal 3 3 5 11 13 3" xfId="34363" xr:uid="{00000000-0005-0000-0000-000032860000}"/>
    <cellStyle name="Normal 3 3 5 11 14" xfId="34364" xr:uid="{00000000-0005-0000-0000-000033860000}"/>
    <cellStyle name="Normal 3 3 5 11 14 2" xfId="34365" xr:uid="{00000000-0005-0000-0000-000034860000}"/>
    <cellStyle name="Normal 3 3 5 11 14 3" xfId="34366" xr:uid="{00000000-0005-0000-0000-000035860000}"/>
    <cellStyle name="Normal 3 3 5 11 15" xfId="34367" xr:uid="{00000000-0005-0000-0000-000036860000}"/>
    <cellStyle name="Normal 3 3 5 11 16" xfId="34368" xr:uid="{00000000-0005-0000-0000-000037860000}"/>
    <cellStyle name="Normal 3 3 5 11 2" xfId="34369" xr:uid="{00000000-0005-0000-0000-000038860000}"/>
    <cellStyle name="Normal 3 3 5 11 2 2" xfId="34370" xr:uid="{00000000-0005-0000-0000-000039860000}"/>
    <cellStyle name="Normal 3 3 5 11 2 3" xfId="34371" xr:uid="{00000000-0005-0000-0000-00003A860000}"/>
    <cellStyle name="Normal 3 3 5 11 3" xfId="34372" xr:uid="{00000000-0005-0000-0000-00003B860000}"/>
    <cellStyle name="Normal 3 3 5 11 3 2" xfId="34373" xr:uid="{00000000-0005-0000-0000-00003C860000}"/>
    <cellStyle name="Normal 3 3 5 11 3 3" xfId="34374" xr:uid="{00000000-0005-0000-0000-00003D860000}"/>
    <cellStyle name="Normal 3 3 5 11 4" xfId="34375" xr:uid="{00000000-0005-0000-0000-00003E860000}"/>
    <cellStyle name="Normal 3 3 5 11 4 2" xfId="34376" xr:uid="{00000000-0005-0000-0000-00003F860000}"/>
    <cellStyle name="Normal 3 3 5 11 4 3" xfId="34377" xr:uid="{00000000-0005-0000-0000-000040860000}"/>
    <cellStyle name="Normal 3 3 5 11 5" xfId="34378" xr:uid="{00000000-0005-0000-0000-000041860000}"/>
    <cellStyle name="Normal 3 3 5 11 5 2" xfId="34379" xr:uid="{00000000-0005-0000-0000-000042860000}"/>
    <cellStyle name="Normal 3 3 5 11 5 3" xfId="34380" xr:uid="{00000000-0005-0000-0000-000043860000}"/>
    <cellStyle name="Normal 3 3 5 11 6" xfId="34381" xr:uid="{00000000-0005-0000-0000-000044860000}"/>
    <cellStyle name="Normal 3 3 5 11 6 2" xfId="34382" xr:uid="{00000000-0005-0000-0000-000045860000}"/>
    <cellStyle name="Normal 3 3 5 11 6 3" xfId="34383" xr:uid="{00000000-0005-0000-0000-000046860000}"/>
    <cellStyle name="Normal 3 3 5 11 7" xfId="34384" xr:uid="{00000000-0005-0000-0000-000047860000}"/>
    <cellStyle name="Normal 3 3 5 11 7 2" xfId="34385" xr:uid="{00000000-0005-0000-0000-000048860000}"/>
    <cellStyle name="Normal 3 3 5 11 7 3" xfId="34386" xr:uid="{00000000-0005-0000-0000-000049860000}"/>
    <cellStyle name="Normal 3 3 5 11 8" xfId="34387" xr:uid="{00000000-0005-0000-0000-00004A860000}"/>
    <cellStyle name="Normal 3 3 5 11 8 2" xfId="34388" xr:uid="{00000000-0005-0000-0000-00004B860000}"/>
    <cellStyle name="Normal 3 3 5 11 8 3" xfId="34389" xr:uid="{00000000-0005-0000-0000-00004C860000}"/>
    <cellStyle name="Normal 3 3 5 11 9" xfId="34390" xr:uid="{00000000-0005-0000-0000-00004D860000}"/>
    <cellStyle name="Normal 3 3 5 11 9 2" xfId="34391" xr:uid="{00000000-0005-0000-0000-00004E860000}"/>
    <cellStyle name="Normal 3 3 5 11 9 3" xfId="34392" xr:uid="{00000000-0005-0000-0000-00004F860000}"/>
    <cellStyle name="Normal 3 3 5 12" xfId="34393" xr:uid="{00000000-0005-0000-0000-000050860000}"/>
    <cellStyle name="Normal 3 3 5 12 10" xfId="34394" xr:uid="{00000000-0005-0000-0000-000051860000}"/>
    <cellStyle name="Normal 3 3 5 12 10 2" xfId="34395" xr:uid="{00000000-0005-0000-0000-000052860000}"/>
    <cellStyle name="Normal 3 3 5 12 10 3" xfId="34396" xr:uid="{00000000-0005-0000-0000-000053860000}"/>
    <cellStyle name="Normal 3 3 5 12 11" xfId="34397" xr:uid="{00000000-0005-0000-0000-000054860000}"/>
    <cellStyle name="Normal 3 3 5 12 11 2" xfId="34398" xr:uid="{00000000-0005-0000-0000-000055860000}"/>
    <cellStyle name="Normal 3 3 5 12 11 3" xfId="34399" xr:uid="{00000000-0005-0000-0000-000056860000}"/>
    <cellStyle name="Normal 3 3 5 12 12" xfId="34400" xr:uid="{00000000-0005-0000-0000-000057860000}"/>
    <cellStyle name="Normal 3 3 5 12 12 2" xfId="34401" xr:uid="{00000000-0005-0000-0000-000058860000}"/>
    <cellStyle name="Normal 3 3 5 12 12 3" xfId="34402" xr:uid="{00000000-0005-0000-0000-000059860000}"/>
    <cellStyle name="Normal 3 3 5 12 13" xfId="34403" xr:uid="{00000000-0005-0000-0000-00005A860000}"/>
    <cellStyle name="Normal 3 3 5 12 13 2" xfId="34404" xr:uid="{00000000-0005-0000-0000-00005B860000}"/>
    <cellStyle name="Normal 3 3 5 12 13 3" xfId="34405" xr:uid="{00000000-0005-0000-0000-00005C860000}"/>
    <cellStyle name="Normal 3 3 5 12 14" xfId="34406" xr:uid="{00000000-0005-0000-0000-00005D860000}"/>
    <cellStyle name="Normal 3 3 5 12 14 2" xfId="34407" xr:uid="{00000000-0005-0000-0000-00005E860000}"/>
    <cellStyle name="Normal 3 3 5 12 14 3" xfId="34408" xr:uid="{00000000-0005-0000-0000-00005F860000}"/>
    <cellStyle name="Normal 3 3 5 12 15" xfId="34409" xr:uid="{00000000-0005-0000-0000-000060860000}"/>
    <cellStyle name="Normal 3 3 5 12 16" xfId="34410" xr:uid="{00000000-0005-0000-0000-000061860000}"/>
    <cellStyle name="Normal 3 3 5 12 2" xfId="34411" xr:uid="{00000000-0005-0000-0000-000062860000}"/>
    <cellStyle name="Normal 3 3 5 12 2 2" xfId="34412" xr:uid="{00000000-0005-0000-0000-000063860000}"/>
    <cellStyle name="Normal 3 3 5 12 2 3" xfId="34413" xr:uid="{00000000-0005-0000-0000-000064860000}"/>
    <cellStyle name="Normal 3 3 5 12 3" xfId="34414" xr:uid="{00000000-0005-0000-0000-000065860000}"/>
    <cellStyle name="Normal 3 3 5 12 3 2" xfId="34415" xr:uid="{00000000-0005-0000-0000-000066860000}"/>
    <cellStyle name="Normal 3 3 5 12 3 3" xfId="34416" xr:uid="{00000000-0005-0000-0000-000067860000}"/>
    <cellStyle name="Normal 3 3 5 12 4" xfId="34417" xr:uid="{00000000-0005-0000-0000-000068860000}"/>
    <cellStyle name="Normal 3 3 5 12 4 2" xfId="34418" xr:uid="{00000000-0005-0000-0000-000069860000}"/>
    <cellStyle name="Normal 3 3 5 12 4 3" xfId="34419" xr:uid="{00000000-0005-0000-0000-00006A860000}"/>
    <cellStyle name="Normal 3 3 5 12 5" xfId="34420" xr:uid="{00000000-0005-0000-0000-00006B860000}"/>
    <cellStyle name="Normal 3 3 5 12 5 2" xfId="34421" xr:uid="{00000000-0005-0000-0000-00006C860000}"/>
    <cellStyle name="Normal 3 3 5 12 5 3" xfId="34422" xr:uid="{00000000-0005-0000-0000-00006D860000}"/>
    <cellStyle name="Normal 3 3 5 12 6" xfId="34423" xr:uid="{00000000-0005-0000-0000-00006E860000}"/>
    <cellStyle name="Normal 3 3 5 12 6 2" xfId="34424" xr:uid="{00000000-0005-0000-0000-00006F860000}"/>
    <cellStyle name="Normal 3 3 5 12 6 3" xfId="34425" xr:uid="{00000000-0005-0000-0000-000070860000}"/>
    <cellStyle name="Normal 3 3 5 12 7" xfId="34426" xr:uid="{00000000-0005-0000-0000-000071860000}"/>
    <cellStyle name="Normal 3 3 5 12 7 2" xfId="34427" xr:uid="{00000000-0005-0000-0000-000072860000}"/>
    <cellStyle name="Normal 3 3 5 12 7 3" xfId="34428" xr:uid="{00000000-0005-0000-0000-000073860000}"/>
    <cellStyle name="Normal 3 3 5 12 8" xfId="34429" xr:uid="{00000000-0005-0000-0000-000074860000}"/>
    <cellStyle name="Normal 3 3 5 12 8 2" xfId="34430" xr:uid="{00000000-0005-0000-0000-000075860000}"/>
    <cellStyle name="Normal 3 3 5 12 8 3" xfId="34431" xr:uid="{00000000-0005-0000-0000-000076860000}"/>
    <cellStyle name="Normal 3 3 5 12 9" xfId="34432" xr:uid="{00000000-0005-0000-0000-000077860000}"/>
    <cellStyle name="Normal 3 3 5 12 9 2" xfId="34433" xr:uid="{00000000-0005-0000-0000-000078860000}"/>
    <cellStyle name="Normal 3 3 5 12 9 3" xfId="34434" xr:uid="{00000000-0005-0000-0000-000079860000}"/>
    <cellStyle name="Normal 3 3 5 13" xfId="34435" xr:uid="{00000000-0005-0000-0000-00007A860000}"/>
    <cellStyle name="Normal 3 3 5 13 10" xfId="34436" xr:uid="{00000000-0005-0000-0000-00007B860000}"/>
    <cellStyle name="Normal 3 3 5 13 10 2" xfId="34437" xr:uid="{00000000-0005-0000-0000-00007C860000}"/>
    <cellStyle name="Normal 3 3 5 13 10 3" xfId="34438" xr:uid="{00000000-0005-0000-0000-00007D860000}"/>
    <cellStyle name="Normal 3 3 5 13 11" xfId="34439" xr:uid="{00000000-0005-0000-0000-00007E860000}"/>
    <cellStyle name="Normal 3 3 5 13 11 2" xfId="34440" xr:uid="{00000000-0005-0000-0000-00007F860000}"/>
    <cellStyle name="Normal 3 3 5 13 11 3" xfId="34441" xr:uid="{00000000-0005-0000-0000-000080860000}"/>
    <cellStyle name="Normal 3 3 5 13 12" xfId="34442" xr:uid="{00000000-0005-0000-0000-000081860000}"/>
    <cellStyle name="Normal 3 3 5 13 12 2" xfId="34443" xr:uid="{00000000-0005-0000-0000-000082860000}"/>
    <cellStyle name="Normal 3 3 5 13 12 3" xfId="34444" xr:uid="{00000000-0005-0000-0000-000083860000}"/>
    <cellStyle name="Normal 3 3 5 13 13" xfId="34445" xr:uid="{00000000-0005-0000-0000-000084860000}"/>
    <cellStyle name="Normal 3 3 5 13 13 2" xfId="34446" xr:uid="{00000000-0005-0000-0000-000085860000}"/>
    <cellStyle name="Normal 3 3 5 13 13 3" xfId="34447" xr:uid="{00000000-0005-0000-0000-000086860000}"/>
    <cellStyle name="Normal 3 3 5 13 14" xfId="34448" xr:uid="{00000000-0005-0000-0000-000087860000}"/>
    <cellStyle name="Normal 3 3 5 13 14 2" xfId="34449" xr:uid="{00000000-0005-0000-0000-000088860000}"/>
    <cellStyle name="Normal 3 3 5 13 14 3" xfId="34450" xr:uid="{00000000-0005-0000-0000-000089860000}"/>
    <cellStyle name="Normal 3 3 5 13 15" xfId="34451" xr:uid="{00000000-0005-0000-0000-00008A860000}"/>
    <cellStyle name="Normal 3 3 5 13 16" xfId="34452" xr:uid="{00000000-0005-0000-0000-00008B860000}"/>
    <cellStyle name="Normal 3 3 5 13 2" xfId="34453" xr:uid="{00000000-0005-0000-0000-00008C860000}"/>
    <cellStyle name="Normal 3 3 5 13 2 2" xfId="34454" xr:uid="{00000000-0005-0000-0000-00008D860000}"/>
    <cellStyle name="Normal 3 3 5 13 2 3" xfId="34455" xr:uid="{00000000-0005-0000-0000-00008E860000}"/>
    <cellStyle name="Normal 3 3 5 13 3" xfId="34456" xr:uid="{00000000-0005-0000-0000-00008F860000}"/>
    <cellStyle name="Normal 3 3 5 13 3 2" xfId="34457" xr:uid="{00000000-0005-0000-0000-000090860000}"/>
    <cellStyle name="Normal 3 3 5 13 3 3" xfId="34458" xr:uid="{00000000-0005-0000-0000-000091860000}"/>
    <cellStyle name="Normal 3 3 5 13 4" xfId="34459" xr:uid="{00000000-0005-0000-0000-000092860000}"/>
    <cellStyle name="Normal 3 3 5 13 4 2" xfId="34460" xr:uid="{00000000-0005-0000-0000-000093860000}"/>
    <cellStyle name="Normal 3 3 5 13 4 3" xfId="34461" xr:uid="{00000000-0005-0000-0000-000094860000}"/>
    <cellStyle name="Normal 3 3 5 13 5" xfId="34462" xr:uid="{00000000-0005-0000-0000-000095860000}"/>
    <cellStyle name="Normal 3 3 5 13 5 2" xfId="34463" xr:uid="{00000000-0005-0000-0000-000096860000}"/>
    <cellStyle name="Normal 3 3 5 13 5 3" xfId="34464" xr:uid="{00000000-0005-0000-0000-000097860000}"/>
    <cellStyle name="Normal 3 3 5 13 6" xfId="34465" xr:uid="{00000000-0005-0000-0000-000098860000}"/>
    <cellStyle name="Normal 3 3 5 13 6 2" xfId="34466" xr:uid="{00000000-0005-0000-0000-000099860000}"/>
    <cellStyle name="Normal 3 3 5 13 6 3" xfId="34467" xr:uid="{00000000-0005-0000-0000-00009A860000}"/>
    <cellStyle name="Normal 3 3 5 13 7" xfId="34468" xr:uid="{00000000-0005-0000-0000-00009B860000}"/>
    <cellStyle name="Normal 3 3 5 13 7 2" xfId="34469" xr:uid="{00000000-0005-0000-0000-00009C860000}"/>
    <cellStyle name="Normal 3 3 5 13 7 3" xfId="34470" xr:uid="{00000000-0005-0000-0000-00009D860000}"/>
    <cellStyle name="Normal 3 3 5 13 8" xfId="34471" xr:uid="{00000000-0005-0000-0000-00009E860000}"/>
    <cellStyle name="Normal 3 3 5 13 8 2" xfId="34472" xr:uid="{00000000-0005-0000-0000-00009F860000}"/>
    <cellStyle name="Normal 3 3 5 13 8 3" xfId="34473" xr:uid="{00000000-0005-0000-0000-0000A0860000}"/>
    <cellStyle name="Normal 3 3 5 13 9" xfId="34474" xr:uid="{00000000-0005-0000-0000-0000A1860000}"/>
    <cellStyle name="Normal 3 3 5 13 9 2" xfId="34475" xr:uid="{00000000-0005-0000-0000-0000A2860000}"/>
    <cellStyle name="Normal 3 3 5 13 9 3" xfId="34476" xr:uid="{00000000-0005-0000-0000-0000A3860000}"/>
    <cellStyle name="Normal 3 3 5 14" xfId="34477" xr:uid="{00000000-0005-0000-0000-0000A4860000}"/>
    <cellStyle name="Normal 3 3 5 14 10" xfId="34478" xr:uid="{00000000-0005-0000-0000-0000A5860000}"/>
    <cellStyle name="Normal 3 3 5 14 10 2" xfId="34479" xr:uid="{00000000-0005-0000-0000-0000A6860000}"/>
    <cellStyle name="Normal 3 3 5 14 10 3" xfId="34480" xr:uid="{00000000-0005-0000-0000-0000A7860000}"/>
    <cellStyle name="Normal 3 3 5 14 11" xfId="34481" xr:uid="{00000000-0005-0000-0000-0000A8860000}"/>
    <cellStyle name="Normal 3 3 5 14 11 2" xfId="34482" xr:uid="{00000000-0005-0000-0000-0000A9860000}"/>
    <cellStyle name="Normal 3 3 5 14 11 3" xfId="34483" xr:uid="{00000000-0005-0000-0000-0000AA860000}"/>
    <cellStyle name="Normal 3 3 5 14 12" xfId="34484" xr:uid="{00000000-0005-0000-0000-0000AB860000}"/>
    <cellStyle name="Normal 3 3 5 14 12 2" xfId="34485" xr:uid="{00000000-0005-0000-0000-0000AC860000}"/>
    <cellStyle name="Normal 3 3 5 14 12 3" xfId="34486" xr:uid="{00000000-0005-0000-0000-0000AD860000}"/>
    <cellStyle name="Normal 3 3 5 14 13" xfId="34487" xr:uid="{00000000-0005-0000-0000-0000AE860000}"/>
    <cellStyle name="Normal 3 3 5 14 13 2" xfId="34488" xr:uid="{00000000-0005-0000-0000-0000AF860000}"/>
    <cellStyle name="Normal 3 3 5 14 13 3" xfId="34489" xr:uid="{00000000-0005-0000-0000-0000B0860000}"/>
    <cellStyle name="Normal 3 3 5 14 14" xfId="34490" xr:uid="{00000000-0005-0000-0000-0000B1860000}"/>
    <cellStyle name="Normal 3 3 5 14 14 2" xfId="34491" xr:uid="{00000000-0005-0000-0000-0000B2860000}"/>
    <cellStyle name="Normal 3 3 5 14 14 3" xfId="34492" xr:uid="{00000000-0005-0000-0000-0000B3860000}"/>
    <cellStyle name="Normal 3 3 5 14 15" xfId="34493" xr:uid="{00000000-0005-0000-0000-0000B4860000}"/>
    <cellStyle name="Normal 3 3 5 14 16" xfId="34494" xr:uid="{00000000-0005-0000-0000-0000B5860000}"/>
    <cellStyle name="Normal 3 3 5 14 2" xfId="34495" xr:uid="{00000000-0005-0000-0000-0000B6860000}"/>
    <cellStyle name="Normal 3 3 5 14 2 2" xfId="34496" xr:uid="{00000000-0005-0000-0000-0000B7860000}"/>
    <cellStyle name="Normal 3 3 5 14 2 3" xfId="34497" xr:uid="{00000000-0005-0000-0000-0000B8860000}"/>
    <cellStyle name="Normal 3 3 5 14 3" xfId="34498" xr:uid="{00000000-0005-0000-0000-0000B9860000}"/>
    <cellStyle name="Normal 3 3 5 14 3 2" xfId="34499" xr:uid="{00000000-0005-0000-0000-0000BA860000}"/>
    <cellStyle name="Normal 3 3 5 14 3 3" xfId="34500" xr:uid="{00000000-0005-0000-0000-0000BB860000}"/>
    <cellStyle name="Normal 3 3 5 14 4" xfId="34501" xr:uid="{00000000-0005-0000-0000-0000BC860000}"/>
    <cellStyle name="Normal 3 3 5 14 4 2" xfId="34502" xr:uid="{00000000-0005-0000-0000-0000BD860000}"/>
    <cellStyle name="Normal 3 3 5 14 4 3" xfId="34503" xr:uid="{00000000-0005-0000-0000-0000BE860000}"/>
    <cellStyle name="Normal 3 3 5 14 5" xfId="34504" xr:uid="{00000000-0005-0000-0000-0000BF860000}"/>
    <cellStyle name="Normal 3 3 5 14 5 2" xfId="34505" xr:uid="{00000000-0005-0000-0000-0000C0860000}"/>
    <cellStyle name="Normal 3 3 5 14 5 3" xfId="34506" xr:uid="{00000000-0005-0000-0000-0000C1860000}"/>
    <cellStyle name="Normal 3 3 5 14 6" xfId="34507" xr:uid="{00000000-0005-0000-0000-0000C2860000}"/>
    <cellStyle name="Normal 3 3 5 14 6 2" xfId="34508" xr:uid="{00000000-0005-0000-0000-0000C3860000}"/>
    <cellStyle name="Normal 3 3 5 14 6 3" xfId="34509" xr:uid="{00000000-0005-0000-0000-0000C4860000}"/>
    <cellStyle name="Normal 3 3 5 14 7" xfId="34510" xr:uid="{00000000-0005-0000-0000-0000C5860000}"/>
    <cellStyle name="Normal 3 3 5 14 7 2" xfId="34511" xr:uid="{00000000-0005-0000-0000-0000C6860000}"/>
    <cellStyle name="Normal 3 3 5 14 7 3" xfId="34512" xr:uid="{00000000-0005-0000-0000-0000C7860000}"/>
    <cellStyle name="Normal 3 3 5 14 8" xfId="34513" xr:uid="{00000000-0005-0000-0000-0000C8860000}"/>
    <cellStyle name="Normal 3 3 5 14 8 2" xfId="34514" xr:uid="{00000000-0005-0000-0000-0000C9860000}"/>
    <cellStyle name="Normal 3 3 5 14 8 3" xfId="34515" xr:uid="{00000000-0005-0000-0000-0000CA860000}"/>
    <cellStyle name="Normal 3 3 5 14 9" xfId="34516" xr:uid="{00000000-0005-0000-0000-0000CB860000}"/>
    <cellStyle name="Normal 3 3 5 14 9 2" xfId="34517" xr:uid="{00000000-0005-0000-0000-0000CC860000}"/>
    <cellStyle name="Normal 3 3 5 14 9 3" xfId="34518" xr:uid="{00000000-0005-0000-0000-0000CD860000}"/>
    <cellStyle name="Normal 3 3 5 15" xfId="34519" xr:uid="{00000000-0005-0000-0000-0000CE860000}"/>
    <cellStyle name="Normal 3 3 5 15 2" xfId="34520" xr:uid="{00000000-0005-0000-0000-0000CF860000}"/>
    <cellStyle name="Normal 3 3 5 15 3" xfId="34521" xr:uid="{00000000-0005-0000-0000-0000D0860000}"/>
    <cellStyle name="Normal 3 3 5 16" xfId="34522" xr:uid="{00000000-0005-0000-0000-0000D1860000}"/>
    <cellStyle name="Normal 3 3 5 16 2" xfId="34523" xr:uid="{00000000-0005-0000-0000-0000D2860000}"/>
    <cellStyle name="Normal 3 3 5 16 3" xfId="34524" xr:uid="{00000000-0005-0000-0000-0000D3860000}"/>
    <cellStyle name="Normal 3 3 5 17" xfId="34525" xr:uid="{00000000-0005-0000-0000-0000D4860000}"/>
    <cellStyle name="Normal 3 3 5 17 2" xfId="34526" xr:uid="{00000000-0005-0000-0000-0000D5860000}"/>
    <cellStyle name="Normal 3 3 5 17 3" xfId="34527" xr:uid="{00000000-0005-0000-0000-0000D6860000}"/>
    <cellStyle name="Normal 3 3 5 18" xfId="34528" xr:uid="{00000000-0005-0000-0000-0000D7860000}"/>
    <cellStyle name="Normal 3 3 5 18 2" xfId="34529" xr:uid="{00000000-0005-0000-0000-0000D8860000}"/>
    <cellStyle name="Normal 3 3 5 18 3" xfId="34530" xr:uid="{00000000-0005-0000-0000-0000D9860000}"/>
    <cellStyle name="Normal 3 3 5 19" xfId="34531" xr:uid="{00000000-0005-0000-0000-0000DA860000}"/>
    <cellStyle name="Normal 3 3 5 19 2" xfId="34532" xr:uid="{00000000-0005-0000-0000-0000DB860000}"/>
    <cellStyle name="Normal 3 3 5 19 3" xfId="34533" xr:uid="{00000000-0005-0000-0000-0000DC860000}"/>
    <cellStyle name="Normal 3 3 5 2" xfId="34534" xr:uid="{00000000-0005-0000-0000-0000DD860000}"/>
    <cellStyle name="Normal 3 3 5 20" xfId="34535" xr:uid="{00000000-0005-0000-0000-0000DE860000}"/>
    <cellStyle name="Normal 3 3 5 20 2" xfId="34536" xr:uid="{00000000-0005-0000-0000-0000DF860000}"/>
    <cellStyle name="Normal 3 3 5 20 3" xfId="34537" xr:uid="{00000000-0005-0000-0000-0000E0860000}"/>
    <cellStyle name="Normal 3 3 5 21" xfId="34538" xr:uid="{00000000-0005-0000-0000-0000E1860000}"/>
    <cellStyle name="Normal 3 3 5 21 2" xfId="34539" xr:uid="{00000000-0005-0000-0000-0000E2860000}"/>
    <cellStyle name="Normal 3 3 5 21 3" xfId="34540" xr:uid="{00000000-0005-0000-0000-0000E3860000}"/>
    <cellStyle name="Normal 3 3 5 22" xfId="34541" xr:uid="{00000000-0005-0000-0000-0000E4860000}"/>
    <cellStyle name="Normal 3 3 5 22 2" xfId="34542" xr:uid="{00000000-0005-0000-0000-0000E5860000}"/>
    <cellStyle name="Normal 3 3 5 22 3" xfId="34543" xr:uid="{00000000-0005-0000-0000-0000E6860000}"/>
    <cellStyle name="Normal 3 3 5 23" xfId="34544" xr:uid="{00000000-0005-0000-0000-0000E7860000}"/>
    <cellStyle name="Normal 3 3 5 23 2" xfId="34545" xr:uid="{00000000-0005-0000-0000-0000E8860000}"/>
    <cellStyle name="Normal 3 3 5 23 3" xfId="34546" xr:uid="{00000000-0005-0000-0000-0000E9860000}"/>
    <cellStyle name="Normal 3 3 5 24" xfId="34547" xr:uid="{00000000-0005-0000-0000-0000EA860000}"/>
    <cellStyle name="Normal 3 3 5 24 2" xfId="34548" xr:uid="{00000000-0005-0000-0000-0000EB860000}"/>
    <cellStyle name="Normal 3 3 5 24 3" xfId="34549" xr:uid="{00000000-0005-0000-0000-0000EC860000}"/>
    <cellStyle name="Normal 3 3 5 25" xfId="34550" xr:uid="{00000000-0005-0000-0000-0000ED860000}"/>
    <cellStyle name="Normal 3 3 5 25 2" xfId="34551" xr:uid="{00000000-0005-0000-0000-0000EE860000}"/>
    <cellStyle name="Normal 3 3 5 25 3" xfId="34552" xr:uid="{00000000-0005-0000-0000-0000EF860000}"/>
    <cellStyle name="Normal 3 3 5 26" xfId="34553" xr:uid="{00000000-0005-0000-0000-0000F0860000}"/>
    <cellStyle name="Normal 3 3 5 26 2" xfId="34554" xr:uid="{00000000-0005-0000-0000-0000F1860000}"/>
    <cellStyle name="Normal 3 3 5 26 3" xfId="34555" xr:uid="{00000000-0005-0000-0000-0000F2860000}"/>
    <cellStyle name="Normal 3 3 5 27" xfId="34556" xr:uid="{00000000-0005-0000-0000-0000F3860000}"/>
    <cellStyle name="Normal 3 3 5 27 2" xfId="34557" xr:uid="{00000000-0005-0000-0000-0000F4860000}"/>
    <cellStyle name="Normal 3 3 5 27 3" xfId="34558" xr:uid="{00000000-0005-0000-0000-0000F5860000}"/>
    <cellStyle name="Normal 3 3 5 28" xfId="34559" xr:uid="{00000000-0005-0000-0000-0000F6860000}"/>
    <cellStyle name="Normal 3 3 5 29" xfId="34560" xr:uid="{00000000-0005-0000-0000-0000F7860000}"/>
    <cellStyle name="Normal 3 3 5 3" xfId="34561" xr:uid="{00000000-0005-0000-0000-0000F8860000}"/>
    <cellStyle name="Normal 3 3 5 4" xfId="34562" xr:uid="{00000000-0005-0000-0000-0000F9860000}"/>
    <cellStyle name="Normal 3 3 5 5" xfId="34563" xr:uid="{00000000-0005-0000-0000-0000FA860000}"/>
    <cellStyle name="Normal 3 3 5 6" xfId="34564" xr:uid="{00000000-0005-0000-0000-0000FB860000}"/>
    <cellStyle name="Normal 3 3 5 6 10" xfId="34565" xr:uid="{00000000-0005-0000-0000-0000FC860000}"/>
    <cellStyle name="Normal 3 3 5 6 10 2" xfId="34566" xr:uid="{00000000-0005-0000-0000-0000FD860000}"/>
    <cellStyle name="Normal 3 3 5 6 10 3" xfId="34567" xr:uid="{00000000-0005-0000-0000-0000FE860000}"/>
    <cellStyle name="Normal 3 3 5 6 11" xfId="34568" xr:uid="{00000000-0005-0000-0000-0000FF860000}"/>
    <cellStyle name="Normal 3 3 5 6 11 2" xfId="34569" xr:uid="{00000000-0005-0000-0000-000000870000}"/>
    <cellStyle name="Normal 3 3 5 6 11 3" xfId="34570" xr:uid="{00000000-0005-0000-0000-000001870000}"/>
    <cellStyle name="Normal 3 3 5 6 12" xfId="34571" xr:uid="{00000000-0005-0000-0000-000002870000}"/>
    <cellStyle name="Normal 3 3 5 6 12 2" xfId="34572" xr:uid="{00000000-0005-0000-0000-000003870000}"/>
    <cellStyle name="Normal 3 3 5 6 12 3" xfId="34573" xr:uid="{00000000-0005-0000-0000-000004870000}"/>
    <cellStyle name="Normal 3 3 5 6 13" xfId="34574" xr:uid="{00000000-0005-0000-0000-000005870000}"/>
    <cellStyle name="Normal 3 3 5 6 13 2" xfId="34575" xr:uid="{00000000-0005-0000-0000-000006870000}"/>
    <cellStyle name="Normal 3 3 5 6 13 3" xfId="34576" xr:uid="{00000000-0005-0000-0000-000007870000}"/>
    <cellStyle name="Normal 3 3 5 6 14" xfId="34577" xr:uid="{00000000-0005-0000-0000-000008870000}"/>
    <cellStyle name="Normal 3 3 5 6 14 2" xfId="34578" xr:uid="{00000000-0005-0000-0000-000009870000}"/>
    <cellStyle name="Normal 3 3 5 6 14 3" xfId="34579" xr:uid="{00000000-0005-0000-0000-00000A870000}"/>
    <cellStyle name="Normal 3 3 5 6 15" xfId="34580" xr:uid="{00000000-0005-0000-0000-00000B870000}"/>
    <cellStyle name="Normal 3 3 5 6 15 2" xfId="34581" xr:uid="{00000000-0005-0000-0000-00000C870000}"/>
    <cellStyle name="Normal 3 3 5 6 15 3" xfId="34582" xr:uid="{00000000-0005-0000-0000-00000D870000}"/>
    <cellStyle name="Normal 3 3 5 6 16" xfId="34583" xr:uid="{00000000-0005-0000-0000-00000E870000}"/>
    <cellStyle name="Normal 3 3 5 6 17" xfId="34584" xr:uid="{00000000-0005-0000-0000-00000F870000}"/>
    <cellStyle name="Normal 3 3 5 6 2" xfId="34585" xr:uid="{00000000-0005-0000-0000-000010870000}"/>
    <cellStyle name="Normal 3 3 5 6 2 10" xfId="34586" xr:uid="{00000000-0005-0000-0000-000011870000}"/>
    <cellStyle name="Normal 3 3 5 6 2 10 2" xfId="34587" xr:uid="{00000000-0005-0000-0000-000012870000}"/>
    <cellStyle name="Normal 3 3 5 6 2 10 3" xfId="34588" xr:uid="{00000000-0005-0000-0000-000013870000}"/>
    <cellStyle name="Normal 3 3 5 6 2 11" xfId="34589" xr:uid="{00000000-0005-0000-0000-000014870000}"/>
    <cellStyle name="Normal 3 3 5 6 2 11 2" xfId="34590" xr:uid="{00000000-0005-0000-0000-000015870000}"/>
    <cellStyle name="Normal 3 3 5 6 2 11 3" xfId="34591" xr:uid="{00000000-0005-0000-0000-000016870000}"/>
    <cellStyle name="Normal 3 3 5 6 2 12" xfId="34592" xr:uid="{00000000-0005-0000-0000-000017870000}"/>
    <cellStyle name="Normal 3 3 5 6 2 12 2" xfId="34593" xr:uid="{00000000-0005-0000-0000-000018870000}"/>
    <cellStyle name="Normal 3 3 5 6 2 12 3" xfId="34594" xr:uid="{00000000-0005-0000-0000-000019870000}"/>
    <cellStyle name="Normal 3 3 5 6 2 13" xfId="34595" xr:uid="{00000000-0005-0000-0000-00001A870000}"/>
    <cellStyle name="Normal 3 3 5 6 2 13 2" xfId="34596" xr:uid="{00000000-0005-0000-0000-00001B870000}"/>
    <cellStyle name="Normal 3 3 5 6 2 13 3" xfId="34597" xr:uid="{00000000-0005-0000-0000-00001C870000}"/>
    <cellStyle name="Normal 3 3 5 6 2 14" xfId="34598" xr:uid="{00000000-0005-0000-0000-00001D870000}"/>
    <cellStyle name="Normal 3 3 5 6 2 14 2" xfId="34599" xr:uid="{00000000-0005-0000-0000-00001E870000}"/>
    <cellStyle name="Normal 3 3 5 6 2 14 3" xfId="34600" xr:uid="{00000000-0005-0000-0000-00001F870000}"/>
    <cellStyle name="Normal 3 3 5 6 2 15" xfId="34601" xr:uid="{00000000-0005-0000-0000-000020870000}"/>
    <cellStyle name="Normal 3 3 5 6 2 16" xfId="34602" xr:uid="{00000000-0005-0000-0000-000021870000}"/>
    <cellStyle name="Normal 3 3 5 6 2 2" xfId="34603" xr:uid="{00000000-0005-0000-0000-000022870000}"/>
    <cellStyle name="Normal 3 3 5 6 2 2 2" xfId="34604" xr:uid="{00000000-0005-0000-0000-000023870000}"/>
    <cellStyle name="Normal 3 3 5 6 2 2 3" xfId="34605" xr:uid="{00000000-0005-0000-0000-000024870000}"/>
    <cellStyle name="Normal 3 3 5 6 2 3" xfId="34606" xr:uid="{00000000-0005-0000-0000-000025870000}"/>
    <cellStyle name="Normal 3 3 5 6 2 3 2" xfId="34607" xr:uid="{00000000-0005-0000-0000-000026870000}"/>
    <cellStyle name="Normal 3 3 5 6 2 3 3" xfId="34608" xr:uid="{00000000-0005-0000-0000-000027870000}"/>
    <cellStyle name="Normal 3 3 5 6 2 4" xfId="34609" xr:uid="{00000000-0005-0000-0000-000028870000}"/>
    <cellStyle name="Normal 3 3 5 6 2 4 2" xfId="34610" xr:uid="{00000000-0005-0000-0000-000029870000}"/>
    <cellStyle name="Normal 3 3 5 6 2 4 3" xfId="34611" xr:uid="{00000000-0005-0000-0000-00002A870000}"/>
    <cellStyle name="Normal 3 3 5 6 2 5" xfId="34612" xr:uid="{00000000-0005-0000-0000-00002B870000}"/>
    <cellStyle name="Normal 3 3 5 6 2 5 2" xfId="34613" xr:uid="{00000000-0005-0000-0000-00002C870000}"/>
    <cellStyle name="Normal 3 3 5 6 2 5 3" xfId="34614" xr:uid="{00000000-0005-0000-0000-00002D870000}"/>
    <cellStyle name="Normal 3 3 5 6 2 6" xfId="34615" xr:uid="{00000000-0005-0000-0000-00002E870000}"/>
    <cellStyle name="Normal 3 3 5 6 2 6 2" xfId="34616" xr:uid="{00000000-0005-0000-0000-00002F870000}"/>
    <cellStyle name="Normal 3 3 5 6 2 6 3" xfId="34617" xr:uid="{00000000-0005-0000-0000-000030870000}"/>
    <cellStyle name="Normal 3 3 5 6 2 7" xfId="34618" xr:uid="{00000000-0005-0000-0000-000031870000}"/>
    <cellStyle name="Normal 3 3 5 6 2 7 2" xfId="34619" xr:uid="{00000000-0005-0000-0000-000032870000}"/>
    <cellStyle name="Normal 3 3 5 6 2 7 3" xfId="34620" xr:uid="{00000000-0005-0000-0000-000033870000}"/>
    <cellStyle name="Normal 3 3 5 6 2 8" xfId="34621" xr:uid="{00000000-0005-0000-0000-000034870000}"/>
    <cellStyle name="Normal 3 3 5 6 2 8 2" xfId="34622" xr:uid="{00000000-0005-0000-0000-000035870000}"/>
    <cellStyle name="Normal 3 3 5 6 2 8 3" xfId="34623" xr:uid="{00000000-0005-0000-0000-000036870000}"/>
    <cellStyle name="Normal 3 3 5 6 2 9" xfId="34624" xr:uid="{00000000-0005-0000-0000-000037870000}"/>
    <cellStyle name="Normal 3 3 5 6 2 9 2" xfId="34625" xr:uid="{00000000-0005-0000-0000-000038870000}"/>
    <cellStyle name="Normal 3 3 5 6 2 9 3" xfId="34626" xr:uid="{00000000-0005-0000-0000-000039870000}"/>
    <cellStyle name="Normal 3 3 5 6 3" xfId="34627" xr:uid="{00000000-0005-0000-0000-00003A870000}"/>
    <cellStyle name="Normal 3 3 5 6 3 2" xfId="34628" xr:uid="{00000000-0005-0000-0000-00003B870000}"/>
    <cellStyle name="Normal 3 3 5 6 3 3" xfId="34629" xr:uid="{00000000-0005-0000-0000-00003C870000}"/>
    <cellStyle name="Normal 3 3 5 6 4" xfId="34630" xr:uid="{00000000-0005-0000-0000-00003D870000}"/>
    <cellStyle name="Normal 3 3 5 6 4 2" xfId="34631" xr:uid="{00000000-0005-0000-0000-00003E870000}"/>
    <cellStyle name="Normal 3 3 5 6 4 3" xfId="34632" xr:uid="{00000000-0005-0000-0000-00003F870000}"/>
    <cellStyle name="Normal 3 3 5 6 5" xfId="34633" xr:uid="{00000000-0005-0000-0000-000040870000}"/>
    <cellStyle name="Normal 3 3 5 6 5 2" xfId="34634" xr:uid="{00000000-0005-0000-0000-000041870000}"/>
    <cellStyle name="Normal 3 3 5 6 5 3" xfId="34635" xr:uid="{00000000-0005-0000-0000-000042870000}"/>
    <cellStyle name="Normal 3 3 5 6 6" xfId="34636" xr:uid="{00000000-0005-0000-0000-000043870000}"/>
    <cellStyle name="Normal 3 3 5 6 6 2" xfId="34637" xr:uid="{00000000-0005-0000-0000-000044870000}"/>
    <cellStyle name="Normal 3 3 5 6 6 3" xfId="34638" xr:uid="{00000000-0005-0000-0000-000045870000}"/>
    <cellStyle name="Normal 3 3 5 6 7" xfId="34639" xr:uid="{00000000-0005-0000-0000-000046870000}"/>
    <cellStyle name="Normal 3 3 5 6 7 2" xfId="34640" xr:uid="{00000000-0005-0000-0000-000047870000}"/>
    <cellStyle name="Normal 3 3 5 6 7 3" xfId="34641" xr:uid="{00000000-0005-0000-0000-000048870000}"/>
    <cellStyle name="Normal 3 3 5 6 8" xfId="34642" xr:uid="{00000000-0005-0000-0000-000049870000}"/>
    <cellStyle name="Normal 3 3 5 6 8 2" xfId="34643" xr:uid="{00000000-0005-0000-0000-00004A870000}"/>
    <cellStyle name="Normal 3 3 5 6 8 3" xfId="34644" xr:uid="{00000000-0005-0000-0000-00004B870000}"/>
    <cellStyle name="Normal 3 3 5 6 9" xfId="34645" xr:uid="{00000000-0005-0000-0000-00004C870000}"/>
    <cellStyle name="Normal 3 3 5 6 9 2" xfId="34646" xr:uid="{00000000-0005-0000-0000-00004D870000}"/>
    <cellStyle name="Normal 3 3 5 6 9 3" xfId="34647" xr:uid="{00000000-0005-0000-0000-00004E870000}"/>
    <cellStyle name="Normal 3 3 5 7" xfId="34648" xr:uid="{00000000-0005-0000-0000-00004F870000}"/>
    <cellStyle name="Normal 3 3 5 7 10" xfId="34649" xr:uid="{00000000-0005-0000-0000-000050870000}"/>
    <cellStyle name="Normal 3 3 5 7 10 2" xfId="34650" xr:uid="{00000000-0005-0000-0000-000051870000}"/>
    <cellStyle name="Normal 3 3 5 7 10 3" xfId="34651" xr:uid="{00000000-0005-0000-0000-000052870000}"/>
    <cellStyle name="Normal 3 3 5 7 11" xfId="34652" xr:uid="{00000000-0005-0000-0000-000053870000}"/>
    <cellStyle name="Normal 3 3 5 7 11 2" xfId="34653" xr:uid="{00000000-0005-0000-0000-000054870000}"/>
    <cellStyle name="Normal 3 3 5 7 11 3" xfId="34654" xr:uid="{00000000-0005-0000-0000-000055870000}"/>
    <cellStyle name="Normal 3 3 5 7 12" xfId="34655" xr:uid="{00000000-0005-0000-0000-000056870000}"/>
    <cellStyle name="Normal 3 3 5 7 12 2" xfId="34656" xr:uid="{00000000-0005-0000-0000-000057870000}"/>
    <cellStyle name="Normal 3 3 5 7 12 3" xfId="34657" xr:uid="{00000000-0005-0000-0000-000058870000}"/>
    <cellStyle name="Normal 3 3 5 7 13" xfId="34658" xr:uid="{00000000-0005-0000-0000-000059870000}"/>
    <cellStyle name="Normal 3 3 5 7 13 2" xfId="34659" xr:uid="{00000000-0005-0000-0000-00005A870000}"/>
    <cellStyle name="Normal 3 3 5 7 13 3" xfId="34660" xr:uid="{00000000-0005-0000-0000-00005B870000}"/>
    <cellStyle name="Normal 3 3 5 7 14" xfId="34661" xr:uid="{00000000-0005-0000-0000-00005C870000}"/>
    <cellStyle name="Normal 3 3 5 7 14 2" xfId="34662" xr:uid="{00000000-0005-0000-0000-00005D870000}"/>
    <cellStyle name="Normal 3 3 5 7 14 3" xfId="34663" xr:uid="{00000000-0005-0000-0000-00005E870000}"/>
    <cellStyle name="Normal 3 3 5 7 15" xfId="34664" xr:uid="{00000000-0005-0000-0000-00005F870000}"/>
    <cellStyle name="Normal 3 3 5 7 15 2" xfId="34665" xr:uid="{00000000-0005-0000-0000-000060870000}"/>
    <cellStyle name="Normal 3 3 5 7 15 3" xfId="34666" xr:uid="{00000000-0005-0000-0000-000061870000}"/>
    <cellStyle name="Normal 3 3 5 7 16" xfId="34667" xr:uid="{00000000-0005-0000-0000-000062870000}"/>
    <cellStyle name="Normal 3 3 5 7 17" xfId="34668" xr:uid="{00000000-0005-0000-0000-000063870000}"/>
    <cellStyle name="Normal 3 3 5 7 2" xfId="34669" xr:uid="{00000000-0005-0000-0000-000064870000}"/>
    <cellStyle name="Normal 3 3 5 7 2 10" xfId="34670" xr:uid="{00000000-0005-0000-0000-000065870000}"/>
    <cellStyle name="Normal 3 3 5 7 2 10 2" xfId="34671" xr:uid="{00000000-0005-0000-0000-000066870000}"/>
    <cellStyle name="Normal 3 3 5 7 2 10 3" xfId="34672" xr:uid="{00000000-0005-0000-0000-000067870000}"/>
    <cellStyle name="Normal 3 3 5 7 2 11" xfId="34673" xr:uid="{00000000-0005-0000-0000-000068870000}"/>
    <cellStyle name="Normal 3 3 5 7 2 11 2" xfId="34674" xr:uid="{00000000-0005-0000-0000-000069870000}"/>
    <cellStyle name="Normal 3 3 5 7 2 11 3" xfId="34675" xr:uid="{00000000-0005-0000-0000-00006A870000}"/>
    <cellStyle name="Normal 3 3 5 7 2 12" xfId="34676" xr:uid="{00000000-0005-0000-0000-00006B870000}"/>
    <cellStyle name="Normal 3 3 5 7 2 12 2" xfId="34677" xr:uid="{00000000-0005-0000-0000-00006C870000}"/>
    <cellStyle name="Normal 3 3 5 7 2 12 3" xfId="34678" xr:uid="{00000000-0005-0000-0000-00006D870000}"/>
    <cellStyle name="Normal 3 3 5 7 2 13" xfId="34679" xr:uid="{00000000-0005-0000-0000-00006E870000}"/>
    <cellStyle name="Normal 3 3 5 7 2 13 2" xfId="34680" xr:uid="{00000000-0005-0000-0000-00006F870000}"/>
    <cellStyle name="Normal 3 3 5 7 2 13 3" xfId="34681" xr:uid="{00000000-0005-0000-0000-000070870000}"/>
    <cellStyle name="Normal 3 3 5 7 2 14" xfId="34682" xr:uid="{00000000-0005-0000-0000-000071870000}"/>
    <cellStyle name="Normal 3 3 5 7 2 14 2" xfId="34683" xr:uid="{00000000-0005-0000-0000-000072870000}"/>
    <cellStyle name="Normal 3 3 5 7 2 14 3" xfId="34684" xr:uid="{00000000-0005-0000-0000-000073870000}"/>
    <cellStyle name="Normal 3 3 5 7 2 15" xfId="34685" xr:uid="{00000000-0005-0000-0000-000074870000}"/>
    <cellStyle name="Normal 3 3 5 7 2 16" xfId="34686" xr:uid="{00000000-0005-0000-0000-000075870000}"/>
    <cellStyle name="Normal 3 3 5 7 2 2" xfId="34687" xr:uid="{00000000-0005-0000-0000-000076870000}"/>
    <cellStyle name="Normal 3 3 5 7 2 2 2" xfId="34688" xr:uid="{00000000-0005-0000-0000-000077870000}"/>
    <cellStyle name="Normal 3 3 5 7 2 2 3" xfId="34689" xr:uid="{00000000-0005-0000-0000-000078870000}"/>
    <cellStyle name="Normal 3 3 5 7 2 3" xfId="34690" xr:uid="{00000000-0005-0000-0000-000079870000}"/>
    <cellStyle name="Normal 3 3 5 7 2 3 2" xfId="34691" xr:uid="{00000000-0005-0000-0000-00007A870000}"/>
    <cellStyle name="Normal 3 3 5 7 2 3 3" xfId="34692" xr:uid="{00000000-0005-0000-0000-00007B870000}"/>
    <cellStyle name="Normal 3 3 5 7 2 4" xfId="34693" xr:uid="{00000000-0005-0000-0000-00007C870000}"/>
    <cellStyle name="Normal 3 3 5 7 2 4 2" xfId="34694" xr:uid="{00000000-0005-0000-0000-00007D870000}"/>
    <cellStyle name="Normal 3 3 5 7 2 4 3" xfId="34695" xr:uid="{00000000-0005-0000-0000-00007E870000}"/>
    <cellStyle name="Normal 3 3 5 7 2 5" xfId="34696" xr:uid="{00000000-0005-0000-0000-00007F870000}"/>
    <cellStyle name="Normal 3 3 5 7 2 5 2" xfId="34697" xr:uid="{00000000-0005-0000-0000-000080870000}"/>
    <cellStyle name="Normal 3 3 5 7 2 5 3" xfId="34698" xr:uid="{00000000-0005-0000-0000-000081870000}"/>
    <cellStyle name="Normal 3 3 5 7 2 6" xfId="34699" xr:uid="{00000000-0005-0000-0000-000082870000}"/>
    <cellStyle name="Normal 3 3 5 7 2 6 2" xfId="34700" xr:uid="{00000000-0005-0000-0000-000083870000}"/>
    <cellStyle name="Normal 3 3 5 7 2 6 3" xfId="34701" xr:uid="{00000000-0005-0000-0000-000084870000}"/>
    <cellStyle name="Normal 3 3 5 7 2 7" xfId="34702" xr:uid="{00000000-0005-0000-0000-000085870000}"/>
    <cellStyle name="Normal 3 3 5 7 2 7 2" xfId="34703" xr:uid="{00000000-0005-0000-0000-000086870000}"/>
    <cellStyle name="Normal 3 3 5 7 2 7 3" xfId="34704" xr:uid="{00000000-0005-0000-0000-000087870000}"/>
    <cellStyle name="Normal 3 3 5 7 2 8" xfId="34705" xr:uid="{00000000-0005-0000-0000-000088870000}"/>
    <cellStyle name="Normal 3 3 5 7 2 8 2" xfId="34706" xr:uid="{00000000-0005-0000-0000-000089870000}"/>
    <cellStyle name="Normal 3 3 5 7 2 8 3" xfId="34707" xr:uid="{00000000-0005-0000-0000-00008A870000}"/>
    <cellStyle name="Normal 3 3 5 7 2 9" xfId="34708" xr:uid="{00000000-0005-0000-0000-00008B870000}"/>
    <cellStyle name="Normal 3 3 5 7 2 9 2" xfId="34709" xr:uid="{00000000-0005-0000-0000-00008C870000}"/>
    <cellStyle name="Normal 3 3 5 7 2 9 3" xfId="34710" xr:uid="{00000000-0005-0000-0000-00008D870000}"/>
    <cellStyle name="Normal 3 3 5 7 3" xfId="34711" xr:uid="{00000000-0005-0000-0000-00008E870000}"/>
    <cellStyle name="Normal 3 3 5 7 3 2" xfId="34712" xr:uid="{00000000-0005-0000-0000-00008F870000}"/>
    <cellStyle name="Normal 3 3 5 7 3 3" xfId="34713" xr:uid="{00000000-0005-0000-0000-000090870000}"/>
    <cellStyle name="Normal 3 3 5 7 4" xfId="34714" xr:uid="{00000000-0005-0000-0000-000091870000}"/>
    <cellStyle name="Normal 3 3 5 7 4 2" xfId="34715" xr:uid="{00000000-0005-0000-0000-000092870000}"/>
    <cellStyle name="Normal 3 3 5 7 4 3" xfId="34716" xr:uid="{00000000-0005-0000-0000-000093870000}"/>
    <cellStyle name="Normal 3 3 5 7 5" xfId="34717" xr:uid="{00000000-0005-0000-0000-000094870000}"/>
    <cellStyle name="Normal 3 3 5 7 5 2" xfId="34718" xr:uid="{00000000-0005-0000-0000-000095870000}"/>
    <cellStyle name="Normal 3 3 5 7 5 3" xfId="34719" xr:uid="{00000000-0005-0000-0000-000096870000}"/>
    <cellStyle name="Normal 3 3 5 7 6" xfId="34720" xr:uid="{00000000-0005-0000-0000-000097870000}"/>
    <cellStyle name="Normal 3 3 5 7 6 2" xfId="34721" xr:uid="{00000000-0005-0000-0000-000098870000}"/>
    <cellStyle name="Normal 3 3 5 7 6 3" xfId="34722" xr:uid="{00000000-0005-0000-0000-000099870000}"/>
    <cellStyle name="Normal 3 3 5 7 7" xfId="34723" xr:uid="{00000000-0005-0000-0000-00009A870000}"/>
    <cellStyle name="Normal 3 3 5 7 7 2" xfId="34724" xr:uid="{00000000-0005-0000-0000-00009B870000}"/>
    <cellStyle name="Normal 3 3 5 7 7 3" xfId="34725" xr:uid="{00000000-0005-0000-0000-00009C870000}"/>
    <cellStyle name="Normal 3 3 5 7 8" xfId="34726" xr:uid="{00000000-0005-0000-0000-00009D870000}"/>
    <cellStyle name="Normal 3 3 5 7 8 2" xfId="34727" xr:uid="{00000000-0005-0000-0000-00009E870000}"/>
    <cellStyle name="Normal 3 3 5 7 8 3" xfId="34728" xr:uid="{00000000-0005-0000-0000-00009F870000}"/>
    <cellStyle name="Normal 3 3 5 7 9" xfId="34729" xr:uid="{00000000-0005-0000-0000-0000A0870000}"/>
    <cellStyle name="Normal 3 3 5 7 9 2" xfId="34730" xr:uid="{00000000-0005-0000-0000-0000A1870000}"/>
    <cellStyle name="Normal 3 3 5 7 9 3" xfId="34731" xr:uid="{00000000-0005-0000-0000-0000A2870000}"/>
    <cellStyle name="Normal 3 3 5 8" xfId="34732" xr:uid="{00000000-0005-0000-0000-0000A3870000}"/>
    <cellStyle name="Normal 3 3 5 8 10" xfId="34733" xr:uid="{00000000-0005-0000-0000-0000A4870000}"/>
    <cellStyle name="Normal 3 3 5 8 10 2" xfId="34734" xr:uid="{00000000-0005-0000-0000-0000A5870000}"/>
    <cellStyle name="Normal 3 3 5 8 10 3" xfId="34735" xr:uid="{00000000-0005-0000-0000-0000A6870000}"/>
    <cellStyle name="Normal 3 3 5 8 11" xfId="34736" xr:uid="{00000000-0005-0000-0000-0000A7870000}"/>
    <cellStyle name="Normal 3 3 5 8 11 2" xfId="34737" xr:uid="{00000000-0005-0000-0000-0000A8870000}"/>
    <cellStyle name="Normal 3 3 5 8 11 3" xfId="34738" xr:uid="{00000000-0005-0000-0000-0000A9870000}"/>
    <cellStyle name="Normal 3 3 5 8 12" xfId="34739" xr:uid="{00000000-0005-0000-0000-0000AA870000}"/>
    <cellStyle name="Normal 3 3 5 8 12 2" xfId="34740" xr:uid="{00000000-0005-0000-0000-0000AB870000}"/>
    <cellStyle name="Normal 3 3 5 8 12 3" xfId="34741" xr:uid="{00000000-0005-0000-0000-0000AC870000}"/>
    <cellStyle name="Normal 3 3 5 8 13" xfId="34742" xr:uid="{00000000-0005-0000-0000-0000AD870000}"/>
    <cellStyle name="Normal 3 3 5 8 13 2" xfId="34743" xr:uid="{00000000-0005-0000-0000-0000AE870000}"/>
    <cellStyle name="Normal 3 3 5 8 13 3" xfId="34744" xr:uid="{00000000-0005-0000-0000-0000AF870000}"/>
    <cellStyle name="Normal 3 3 5 8 14" xfId="34745" xr:uid="{00000000-0005-0000-0000-0000B0870000}"/>
    <cellStyle name="Normal 3 3 5 8 14 2" xfId="34746" xr:uid="{00000000-0005-0000-0000-0000B1870000}"/>
    <cellStyle name="Normal 3 3 5 8 14 3" xfId="34747" xr:uid="{00000000-0005-0000-0000-0000B2870000}"/>
    <cellStyle name="Normal 3 3 5 8 15" xfId="34748" xr:uid="{00000000-0005-0000-0000-0000B3870000}"/>
    <cellStyle name="Normal 3 3 5 8 15 2" xfId="34749" xr:uid="{00000000-0005-0000-0000-0000B4870000}"/>
    <cellStyle name="Normal 3 3 5 8 15 3" xfId="34750" xr:uid="{00000000-0005-0000-0000-0000B5870000}"/>
    <cellStyle name="Normal 3 3 5 8 16" xfId="34751" xr:uid="{00000000-0005-0000-0000-0000B6870000}"/>
    <cellStyle name="Normal 3 3 5 8 17" xfId="34752" xr:uid="{00000000-0005-0000-0000-0000B7870000}"/>
    <cellStyle name="Normal 3 3 5 8 2" xfId="34753" xr:uid="{00000000-0005-0000-0000-0000B8870000}"/>
    <cellStyle name="Normal 3 3 5 8 2 10" xfId="34754" xr:uid="{00000000-0005-0000-0000-0000B9870000}"/>
    <cellStyle name="Normal 3 3 5 8 2 10 2" xfId="34755" xr:uid="{00000000-0005-0000-0000-0000BA870000}"/>
    <cellStyle name="Normal 3 3 5 8 2 10 3" xfId="34756" xr:uid="{00000000-0005-0000-0000-0000BB870000}"/>
    <cellStyle name="Normal 3 3 5 8 2 11" xfId="34757" xr:uid="{00000000-0005-0000-0000-0000BC870000}"/>
    <cellStyle name="Normal 3 3 5 8 2 11 2" xfId="34758" xr:uid="{00000000-0005-0000-0000-0000BD870000}"/>
    <cellStyle name="Normal 3 3 5 8 2 11 3" xfId="34759" xr:uid="{00000000-0005-0000-0000-0000BE870000}"/>
    <cellStyle name="Normal 3 3 5 8 2 12" xfId="34760" xr:uid="{00000000-0005-0000-0000-0000BF870000}"/>
    <cellStyle name="Normal 3 3 5 8 2 12 2" xfId="34761" xr:uid="{00000000-0005-0000-0000-0000C0870000}"/>
    <cellStyle name="Normal 3 3 5 8 2 12 3" xfId="34762" xr:uid="{00000000-0005-0000-0000-0000C1870000}"/>
    <cellStyle name="Normal 3 3 5 8 2 13" xfId="34763" xr:uid="{00000000-0005-0000-0000-0000C2870000}"/>
    <cellStyle name="Normal 3 3 5 8 2 13 2" xfId="34764" xr:uid="{00000000-0005-0000-0000-0000C3870000}"/>
    <cellStyle name="Normal 3 3 5 8 2 13 3" xfId="34765" xr:uid="{00000000-0005-0000-0000-0000C4870000}"/>
    <cellStyle name="Normal 3 3 5 8 2 14" xfId="34766" xr:uid="{00000000-0005-0000-0000-0000C5870000}"/>
    <cellStyle name="Normal 3 3 5 8 2 14 2" xfId="34767" xr:uid="{00000000-0005-0000-0000-0000C6870000}"/>
    <cellStyle name="Normal 3 3 5 8 2 14 3" xfId="34768" xr:uid="{00000000-0005-0000-0000-0000C7870000}"/>
    <cellStyle name="Normal 3 3 5 8 2 15" xfId="34769" xr:uid="{00000000-0005-0000-0000-0000C8870000}"/>
    <cellStyle name="Normal 3 3 5 8 2 16" xfId="34770" xr:uid="{00000000-0005-0000-0000-0000C9870000}"/>
    <cellStyle name="Normal 3 3 5 8 2 2" xfId="34771" xr:uid="{00000000-0005-0000-0000-0000CA870000}"/>
    <cellStyle name="Normal 3 3 5 8 2 2 2" xfId="34772" xr:uid="{00000000-0005-0000-0000-0000CB870000}"/>
    <cellStyle name="Normal 3 3 5 8 2 2 3" xfId="34773" xr:uid="{00000000-0005-0000-0000-0000CC870000}"/>
    <cellStyle name="Normal 3 3 5 8 2 3" xfId="34774" xr:uid="{00000000-0005-0000-0000-0000CD870000}"/>
    <cellStyle name="Normal 3 3 5 8 2 3 2" xfId="34775" xr:uid="{00000000-0005-0000-0000-0000CE870000}"/>
    <cellStyle name="Normal 3 3 5 8 2 3 3" xfId="34776" xr:uid="{00000000-0005-0000-0000-0000CF870000}"/>
    <cellStyle name="Normal 3 3 5 8 2 4" xfId="34777" xr:uid="{00000000-0005-0000-0000-0000D0870000}"/>
    <cellStyle name="Normal 3 3 5 8 2 4 2" xfId="34778" xr:uid="{00000000-0005-0000-0000-0000D1870000}"/>
    <cellStyle name="Normal 3 3 5 8 2 4 3" xfId="34779" xr:uid="{00000000-0005-0000-0000-0000D2870000}"/>
    <cellStyle name="Normal 3 3 5 8 2 5" xfId="34780" xr:uid="{00000000-0005-0000-0000-0000D3870000}"/>
    <cellStyle name="Normal 3 3 5 8 2 5 2" xfId="34781" xr:uid="{00000000-0005-0000-0000-0000D4870000}"/>
    <cellStyle name="Normal 3 3 5 8 2 5 3" xfId="34782" xr:uid="{00000000-0005-0000-0000-0000D5870000}"/>
    <cellStyle name="Normal 3 3 5 8 2 6" xfId="34783" xr:uid="{00000000-0005-0000-0000-0000D6870000}"/>
    <cellStyle name="Normal 3 3 5 8 2 6 2" xfId="34784" xr:uid="{00000000-0005-0000-0000-0000D7870000}"/>
    <cellStyle name="Normal 3 3 5 8 2 6 3" xfId="34785" xr:uid="{00000000-0005-0000-0000-0000D8870000}"/>
    <cellStyle name="Normal 3 3 5 8 2 7" xfId="34786" xr:uid="{00000000-0005-0000-0000-0000D9870000}"/>
    <cellStyle name="Normal 3 3 5 8 2 7 2" xfId="34787" xr:uid="{00000000-0005-0000-0000-0000DA870000}"/>
    <cellStyle name="Normal 3 3 5 8 2 7 3" xfId="34788" xr:uid="{00000000-0005-0000-0000-0000DB870000}"/>
    <cellStyle name="Normal 3 3 5 8 2 8" xfId="34789" xr:uid="{00000000-0005-0000-0000-0000DC870000}"/>
    <cellStyle name="Normal 3 3 5 8 2 8 2" xfId="34790" xr:uid="{00000000-0005-0000-0000-0000DD870000}"/>
    <cellStyle name="Normal 3 3 5 8 2 8 3" xfId="34791" xr:uid="{00000000-0005-0000-0000-0000DE870000}"/>
    <cellStyle name="Normal 3 3 5 8 2 9" xfId="34792" xr:uid="{00000000-0005-0000-0000-0000DF870000}"/>
    <cellStyle name="Normal 3 3 5 8 2 9 2" xfId="34793" xr:uid="{00000000-0005-0000-0000-0000E0870000}"/>
    <cellStyle name="Normal 3 3 5 8 2 9 3" xfId="34794" xr:uid="{00000000-0005-0000-0000-0000E1870000}"/>
    <cellStyle name="Normal 3 3 5 8 3" xfId="34795" xr:uid="{00000000-0005-0000-0000-0000E2870000}"/>
    <cellStyle name="Normal 3 3 5 8 3 2" xfId="34796" xr:uid="{00000000-0005-0000-0000-0000E3870000}"/>
    <cellStyle name="Normal 3 3 5 8 3 3" xfId="34797" xr:uid="{00000000-0005-0000-0000-0000E4870000}"/>
    <cellStyle name="Normal 3 3 5 8 4" xfId="34798" xr:uid="{00000000-0005-0000-0000-0000E5870000}"/>
    <cellStyle name="Normal 3 3 5 8 4 2" xfId="34799" xr:uid="{00000000-0005-0000-0000-0000E6870000}"/>
    <cellStyle name="Normal 3 3 5 8 4 3" xfId="34800" xr:uid="{00000000-0005-0000-0000-0000E7870000}"/>
    <cellStyle name="Normal 3 3 5 8 5" xfId="34801" xr:uid="{00000000-0005-0000-0000-0000E8870000}"/>
    <cellStyle name="Normal 3 3 5 8 5 2" xfId="34802" xr:uid="{00000000-0005-0000-0000-0000E9870000}"/>
    <cellStyle name="Normal 3 3 5 8 5 3" xfId="34803" xr:uid="{00000000-0005-0000-0000-0000EA870000}"/>
    <cellStyle name="Normal 3 3 5 8 6" xfId="34804" xr:uid="{00000000-0005-0000-0000-0000EB870000}"/>
    <cellStyle name="Normal 3 3 5 8 6 2" xfId="34805" xr:uid="{00000000-0005-0000-0000-0000EC870000}"/>
    <cellStyle name="Normal 3 3 5 8 6 3" xfId="34806" xr:uid="{00000000-0005-0000-0000-0000ED870000}"/>
    <cellStyle name="Normal 3 3 5 8 7" xfId="34807" xr:uid="{00000000-0005-0000-0000-0000EE870000}"/>
    <cellStyle name="Normal 3 3 5 8 7 2" xfId="34808" xr:uid="{00000000-0005-0000-0000-0000EF870000}"/>
    <cellStyle name="Normal 3 3 5 8 7 3" xfId="34809" xr:uid="{00000000-0005-0000-0000-0000F0870000}"/>
    <cellStyle name="Normal 3 3 5 8 8" xfId="34810" xr:uid="{00000000-0005-0000-0000-0000F1870000}"/>
    <cellStyle name="Normal 3 3 5 8 8 2" xfId="34811" xr:uid="{00000000-0005-0000-0000-0000F2870000}"/>
    <cellStyle name="Normal 3 3 5 8 8 3" xfId="34812" xr:uid="{00000000-0005-0000-0000-0000F3870000}"/>
    <cellStyle name="Normal 3 3 5 8 9" xfId="34813" xr:uid="{00000000-0005-0000-0000-0000F4870000}"/>
    <cellStyle name="Normal 3 3 5 8 9 2" xfId="34814" xr:uid="{00000000-0005-0000-0000-0000F5870000}"/>
    <cellStyle name="Normal 3 3 5 8 9 3" xfId="34815" xr:uid="{00000000-0005-0000-0000-0000F6870000}"/>
    <cellStyle name="Normal 3 3 5 9" xfId="34816" xr:uid="{00000000-0005-0000-0000-0000F7870000}"/>
    <cellStyle name="Normal 3 3 5 9 10" xfId="34817" xr:uid="{00000000-0005-0000-0000-0000F8870000}"/>
    <cellStyle name="Normal 3 3 5 9 10 2" xfId="34818" xr:uid="{00000000-0005-0000-0000-0000F9870000}"/>
    <cellStyle name="Normal 3 3 5 9 10 3" xfId="34819" xr:uid="{00000000-0005-0000-0000-0000FA870000}"/>
    <cellStyle name="Normal 3 3 5 9 11" xfId="34820" xr:uid="{00000000-0005-0000-0000-0000FB870000}"/>
    <cellStyle name="Normal 3 3 5 9 11 2" xfId="34821" xr:uid="{00000000-0005-0000-0000-0000FC870000}"/>
    <cellStyle name="Normal 3 3 5 9 11 3" xfId="34822" xr:uid="{00000000-0005-0000-0000-0000FD870000}"/>
    <cellStyle name="Normal 3 3 5 9 12" xfId="34823" xr:uid="{00000000-0005-0000-0000-0000FE870000}"/>
    <cellStyle name="Normal 3 3 5 9 12 2" xfId="34824" xr:uid="{00000000-0005-0000-0000-0000FF870000}"/>
    <cellStyle name="Normal 3 3 5 9 12 3" xfId="34825" xr:uid="{00000000-0005-0000-0000-000000880000}"/>
    <cellStyle name="Normal 3 3 5 9 13" xfId="34826" xr:uid="{00000000-0005-0000-0000-000001880000}"/>
    <cellStyle name="Normal 3 3 5 9 13 2" xfId="34827" xr:uid="{00000000-0005-0000-0000-000002880000}"/>
    <cellStyle name="Normal 3 3 5 9 13 3" xfId="34828" xr:uid="{00000000-0005-0000-0000-000003880000}"/>
    <cellStyle name="Normal 3 3 5 9 14" xfId="34829" xr:uid="{00000000-0005-0000-0000-000004880000}"/>
    <cellStyle name="Normal 3 3 5 9 14 2" xfId="34830" xr:uid="{00000000-0005-0000-0000-000005880000}"/>
    <cellStyle name="Normal 3 3 5 9 14 3" xfId="34831" xr:uid="{00000000-0005-0000-0000-000006880000}"/>
    <cellStyle name="Normal 3 3 5 9 15" xfId="34832" xr:uid="{00000000-0005-0000-0000-000007880000}"/>
    <cellStyle name="Normal 3 3 5 9 16" xfId="34833" xr:uid="{00000000-0005-0000-0000-000008880000}"/>
    <cellStyle name="Normal 3 3 5 9 2" xfId="34834" xr:uid="{00000000-0005-0000-0000-000009880000}"/>
    <cellStyle name="Normal 3 3 5 9 2 2" xfId="34835" xr:uid="{00000000-0005-0000-0000-00000A880000}"/>
    <cellStyle name="Normal 3 3 5 9 2 3" xfId="34836" xr:uid="{00000000-0005-0000-0000-00000B880000}"/>
    <cellStyle name="Normal 3 3 5 9 3" xfId="34837" xr:uid="{00000000-0005-0000-0000-00000C880000}"/>
    <cellStyle name="Normal 3 3 5 9 3 2" xfId="34838" xr:uid="{00000000-0005-0000-0000-00000D880000}"/>
    <cellStyle name="Normal 3 3 5 9 3 3" xfId="34839" xr:uid="{00000000-0005-0000-0000-00000E880000}"/>
    <cellStyle name="Normal 3 3 5 9 4" xfId="34840" xr:uid="{00000000-0005-0000-0000-00000F880000}"/>
    <cellStyle name="Normal 3 3 5 9 4 2" xfId="34841" xr:uid="{00000000-0005-0000-0000-000010880000}"/>
    <cellStyle name="Normal 3 3 5 9 4 3" xfId="34842" xr:uid="{00000000-0005-0000-0000-000011880000}"/>
    <cellStyle name="Normal 3 3 5 9 5" xfId="34843" xr:uid="{00000000-0005-0000-0000-000012880000}"/>
    <cellStyle name="Normal 3 3 5 9 5 2" xfId="34844" xr:uid="{00000000-0005-0000-0000-000013880000}"/>
    <cellStyle name="Normal 3 3 5 9 5 3" xfId="34845" xr:uid="{00000000-0005-0000-0000-000014880000}"/>
    <cellStyle name="Normal 3 3 5 9 6" xfId="34846" xr:uid="{00000000-0005-0000-0000-000015880000}"/>
    <cellStyle name="Normal 3 3 5 9 6 2" xfId="34847" xr:uid="{00000000-0005-0000-0000-000016880000}"/>
    <cellStyle name="Normal 3 3 5 9 6 3" xfId="34848" xr:uid="{00000000-0005-0000-0000-000017880000}"/>
    <cellStyle name="Normal 3 3 5 9 7" xfId="34849" xr:uid="{00000000-0005-0000-0000-000018880000}"/>
    <cellStyle name="Normal 3 3 5 9 7 2" xfId="34850" xr:uid="{00000000-0005-0000-0000-000019880000}"/>
    <cellStyle name="Normal 3 3 5 9 7 3" xfId="34851" xr:uid="{00000000-0005-0000-0000-00001A880000}"/>
    <cellStyle name="Normal 3 3 5 9 8" xfId="34852" xr:uid="{00000000-0005-0000-0000-00001B880000}"/>
    <cellStyle name="Normal 3 3 5 9 8 2" xfId="34853" xr:uid="{00000000-0005-0000-0000-00001C880000}"/>
    <cellStyle name="Normal 3 3 5 9 8 3" xfId="34854" xr:uid="{00000000-0005-0000-0000-00001D880000}"/>
    <cellStyle name="Normal 3 3 5 9 9" xfId="34855" xr:uid="{00000000-0005-0000-0000-00001E880000}"/>
    <cellStyle name="Normal 3 3 5 9 9 2" xfId="34856" xr:uid="{00000000-0005-0000-0000-00001F880000}"/>
    <cellStyle name="Normal 3 3 5 9 9 3" xfId="34857" xr:uid="{00000000-0005-0000-0000-000020880000}"/>
    <cellStyle name="Normal 3 3 6" xfId="34858" xr:uid="{00000000-0005-0000-0000-000021880000}"/>
    <cellStyle name="Normal 3 3 6 10" xfId="34859" xr:uid="{00000000-0005-0000-0000-000022880000}"/>
    <cellStyle name="Normal 3 3 6 10 10" xfId="34860" xr:uid="{00000000-0005-0000-0000-000023880000}"/>
    <cellStyle name="Normal 3 3 6 10 10 2" xfId="34861" xr:uid="{00000000-0005-0000-0000-000024880000}"/>
    <cellStyle name="Normal 3 3 6 10 10 3" xfId="34862" xr:uid="{00000000-0005-0000-0000-000025880000}"/>
    <cellStyle name="Normal 3 3 6 10 11" xfId="34863" xr:uid="{00000000-0005-0000-0000-000026880000}"/>
    <cellStyle name="Normal 3 3 6 10 11 2" xfId="34864" xr:uid="{00000000-0005-0000-0000-000027880000}"/>
    <cellStyle name="Normal 3 3 6 10 11 3" xfId="34865" xr:uid="{00000000-0005-0000-0000-000028880000}"/>
    <cellStyle name="Normal 3 3 6 10 12" xfId="34866" xr:uid="{00000000-0005-0000-0000-000029880000}"/>
    <cellStyle name="Normal 3 3 6 10 12 2" xfId="34867" xr:uid="{00000000-0005-0000-0000-00002A880000}"/>
    <cellStyle name="Normal 3 3 6 10 12 3" xfId="34868" xr:uid="{00000000-0005-0000-0000-00002B880000}"/>
    <cellStyle name="Normal 3 3 6 10 13" xfId="34869" xr:uid="{00000000-0005-0000-0000-00002C880000}"/>
    <cellStyle name="Normal 3 3 6 10 13 2" xfId="34870" xr:uid="{00000000-0005-0000-0000-00002D880000}"/>
    <cellStyle name="Normal 3 3 6 10 13 3" xfId="34871" xr:uid="{00000000-0005-0000-0000-00002E880000}"/>
    <cellStyle name="Normal 3 3 6 10 14" xfId="34872" xr:uid="{00000000-0005-0000-0000-00002F880000}"/>
    <cellStyle name="Normal 3 3 6 10 14 2" xfId="34873" xr:uid="{00000000-0005-0000-0000-000030880000}"/>
    <cellStyle name="Normal 3 3 6 10 14 3" xfId="34874" xr:uid="{00000000-0005-0000-0000-000031880000}"/>
    <cellStyle name="Normal 3 3 6 10 15" xfId="34875" xr:uid="{00000000-0005-0000-0000-000032880000}"/>
    <cellStyle name="Normal 3 3 6 10 16" xfId="34876" xr:uid="{00000000-0005-0000-0000-000033880000}"/>
    <cellStyle name="Normal 3 3 6 10 2" xfId="34877" xr:uid="{00000000-0005-0000-0000-000034880000}"/>
    <cellStyle name="Normal 3 3 6 10 2 2" xfId="34878" xr:uid="{00000000-0005-0000-0000-000035880000}"/>
    <cellStyle name="Normal 3 3 6 10 2 3" xfId="34879" xr:uid="{00000000-0005-0000-0000-000036880000}"/>
    <cellStyle name="Normal 3 3 6 10 3" xfId="34880" xr:uid="{00000000-0005-0000-0000-000037880000}"/>
    <cellStyle name="Normal 3 3 6 10 3 2" xfId="34881" xr:uid="{00000000-0005-0000-0000-000038880000}"/>
    <cellStyle name="Normal 3 3 6 10 3 3" xfId="34882" xr:uid="{00000000-0005-0000-0000-000039880000}"/>
    <cellStyle name="Normal 3 3 6 10 4" xfId="34883" xr:uid="{00000000-0005-0000-0000-00003A880000}"/>
    <cellStyle name="Normal 3 3 6 10 4 2" xfId="34884" xr:uid="{00000000-0005-0000-0000-00003B880000}"/>
    <cellStyle name="Normal 3 3 6 10 4 3" xfId="34885" xr:uid="{00000000-0005-0000-0000-00003C880000}"/>
    <cellStyle name="Normal 3 3 6 10 5" xfId="34886" xr:uid="{00000000-0005-0000-0000-00003D880000}"/>
    <cellStyle name="Normal 3 3 6 10 5 2" xfId="34887" xr:uid="{00000000-0005-0000-0000-00003E880000}"/>
    <cellStyle name="Normal 3 3 6 10 5 3" xfId="34888" xr:uid="{00000000-0005-0000-0000-00003F880000}"/>
    <cellStyle name="Normal 3 3 6 10 6" xfId="34889" xr:uid="{00000000-0005-0000-0000-000040880000}"/>
    <cellStyle name="Normal 3 3 6 10 6 2" xfId="34890" xr:uid="{00000000-0005-0000-0000-000041880000}"/>
    <cellStyle name="Normal 3 3 6 10 6 3" xfId="34891" xr:uid="{00000000-0005-0000-0000-000042880000}"/>
    <cellStyle name="Normal 3 3 6 10 7" xfId="34892" xr:uid="{00000000-0005-0000-0000-000043880000}"/>
    <cellStyle name="Normal 3 3 6 10 7 2" xfId="34893" xr:uid="{00000000-0005-0000-0000-000044880000}"/>
    <cellStyle name="Normal 3 3 6 10 7 3" xfId="34894" xr:uid="{00000000-0005-0000-0000-000045880000}"/>
    <cellStyle name="Normal 3 3 6 10 8" xfId="34895" xr:uid="{00000000-0005-0000-0000-000046880000}"/>
    <cellStyle name="Normal 3 3 6 10 8 2" xfId="34896" xr:uid="{00000000-0005-0000-0000-000047880000}"/>
    <cellStyle name="Normal 3 3 6 10 8 3" xfId="34897" xr:uid="{00000000-0005-0000-0000-000048880000}"/>
    <cellStyle name="Normal 3 3 6 10 9" xfId="34898" xr:uid="{00000000-0005-0000-0000-000049880000}"/>
    <cellStyle name="Normal 3 3 6 10 9 2" xfId="34899" xr:uid="{00000000-0005-0000-0000-00004A880000}"/>
    <cellStyle name="Normal 3 3 6 10 9 3" xfId="34900" xr:uid="{00000000-0005-0000-0000-00004B880000}"/>
    <cellStyle name="Normal 3 3 6 11" xfId="34901" xr:uid="{00000000-0005-0000-0000-00004C880000}"/>
    <cellStyle name="Normal 3 3 6 11 10" xfId="34902" xr:uid="{00000000-0005-0000-0000-00004D880000}"/>
    <cellStyle name="Normal 3 3 6 11 10 2" xfId="34903" xr:uid="{00000000-0005-0000-0000-00004E880000}"/>
    <cellStyle name="Normal 3 3 6 11 10 3" xfId="34904" xr:uid="{00000000-0005-0000-0000-00004F880000}"/>
    <cellStyle name="Normal 3 3 6 11 11" xfId="34905" xr:uid="{00000000-0005-0000-0000-000050880000}"/>
    <cellStyle name="Normal 3 3 6 11 11 2" xfId="34906" xr:uid="{00000000-0005-0000-0000-000051880000}"/>
    <cellStyle name="Normal 3 3 6 11 11 3" xfId="34907" xr:uid="{00000000-0005-0000-0000-000052880000}"/>
    <cellStyle name="Normal 3 3 6 11 12" xfId="34908" xr:uid="{00000000-0005-0000-0000-000053880000}"/>
    <cellStyle name="Normal 3 3 6 11 12 2" xfId="34909" xr:uid="{00000000-0005-0000-0000-000054880000}"/>
    <cellStyle name="Normal 3 3 6 11 12 3" xfId="34910" xr:uid="{00000000-0005-0000-0000-000055880000}"/>
    <cellStyle name="Normal 3 3 6 11 13" xfId="34911" xr:uid="{00000000-0005-0000-0000-000056880000}"/>
    <cellStyle name="Normal 3 3 6 11 13 2" xfId="34912" xr:uid="{00000000-0005-0000-0000-000057880000}"/>
    <cellStyle name="Normal 3 3 6 11 13 3" xfId="34913" xr:uid="{00000000-0005-0000-0000-000058880000}"/>
    <cellStyle name="Normal 3 3 6 11 14" xfId="34914" xr:uid="{00000000-0005-0000-0000-000059880000}"/>
    <cellStyle name="Normal 3 3 6 11 14 2" xfId="34915" xr:uid="{00000000-0005-0000-0000-00005A880000}"/>
    <cellStyle name="Normal 3 3 6 11 14 3" xfId="34916" xr:uid="{00000000-0005-0000-0000-00005B880000}"/>
    <cellStyle name="Normal 3 3 6 11 15" xfId="34917" xr:uid="{00000000-0005-0000-0000-00005C880000}"/>
    <cellStyle name="Normal 3 3 6 11 16" xfId="34918" xr:uid="{00000000-0005-0000-0000-00005D880000}"/>
    <cellStyle name="Normal 3 3 6 11 2" xfId="34919" xr:uid="{00000000-0005-0000-0000-00005E880000}"/>
    <cellStyle name="Normal 3 3 6 11 2 2" xfId="34920" xr:uid="{00000000-0005-0000-0000-00005F880000}"/>
    <cellStyle name="Normal 3 3 6 11 2 3" xfId="34921" xr:uid="{00000000-0005-0000-0000-000060880000}"/>
    <cellStyle name="Normal 3 3 6 11 3" xfId="34922" xr:uid="{00000000-0005-0000-0000-000061880000}"/>
    <cellStyle name="Normal 3 3 6 11 3 2" xfId="34923" xr:uid="{00000000-0005-0000-0000-000062880000}"/>
    <cellStyle name="Normal 3 3 6 11 3 3" xfId="34924" xr:uid="{00000000-0005-0000-0000-000063880000}"/>
    <cellStyle name="Normal 3 3 6 11 4" xfId="34925" xr:uid="{00000000-0005-0000-0000-000064880000}"/>
    <cellStyle name="Normal 3 3 6 11 4 2" xfId="34926" xr:uid="{00000000-0005-0000-0000-000065880000}"/>
    <cellStyle name="Normal 3 3 6 11 4 3" xfId="34927" xr:uid="{00000000-0005-0000-0000-000066880000}"/>
    <cellStyle name="Normal 3 3 6 11 5" xfId="34928" xr:uid="{00000000-0005-0000-0000-000067880000}"/>
    <cellStyle name="Normal 3 3 6 11 5 2" xfId="34929" xr:uid="{00000000-0005-0000-0000-000068880000}"/>
    <cellStyle name="Normal 3 3 6 11 5 3" xfId="34930" xr:uid="{00000000-0005-0000-0000-000069880000}"/>
    <cellStyle name="Normal 3 3 6 11 6" xfId="34931" xr:uid="{00000000-0005-0000-0000-00006A880000}"/>
    <cellStyle name="Normal 3 3 6 11 6 2" xfId="34932" xr:uid="{00000000-0005-0000-0000-00006B880000}"/>
    <cellStyle name="Normal 3 3 6 11 6 3" xfId="34933" xr:uid="{00000000-0005-0000-0000-00006C880000}"/>
    <cellStyle name="Normal 3 3 6 11 7" xfId="34934" xr:uid="{00000000-0005-0000-0000-00006D880000}"/>
    <cellStyle name="Normal 3 3 6 11 7 2" xfId="34935" xr:uid="{00000000-0005-0000-0000-00006E880000}"/>
    <cellStyle name="Normal 3 3 6 11 7 3" xfId="34936" xr:uid="{00000000-0005-0000-0000-00006F880000}"/>
    <cellStyle name="Normal 3 3 6 11 8" xfId="34937" xr:uid="{00000000-0005-0000-0000-000070880000}"/>
    <cellStyle name="Normal 3 3 6 11 8 2" xfId="34938" xr:uid="{00000000-0005-0000-0000-000071880000}"/>
    <cellStyle name="Normal 3 3 6 11 8 3" xfId="34939" xr:uid="{00000000-0005-0000-0000-000072880000}"/>
    <cellStyle name="Normal 3 3 6 11 9" xfId="34940" xr:uid="{00000000-0005-0000-0000-000073880000}"/>
    <cellStyle name="Normal 3 3 6 11 9 2" xfId="34941" xr:uid="{00000000-0005-0000-0000-000074880000}"/>
    <cellStyle name="Normal 3 3 6 11 9 3" xfId="34942" xr:uid="{00000000-0005-0000-0000-000075880000}"/>
    <cellStyle name="Normal 3 3 6 12" xfId="34943" xr:uid="{00000000-0005-0000-0000-000076880000}"/>
    <cellStyle name="Normal 3 3 6 12 10" xfId="34944" xr:uid="{00000000-0005-0000-0000-000077880000}"/>
    <cellStyle name="Normal 3 3 6 12 10 2" xfId="34945" xr:uid="{00000000-0005-0000-0000-000078880000}"/>
    <cellStyle name="Normal 3 3 6 12 10 3" xfId="34946" xr:uid="{00000000-0005-0000-0000-000079880000}"/>
    <cellStyle name="Normal 3 3 6 12 11" xfId="34947" xr:uid="{00000000-0005-0000-0000-00007A880000}"/>
    <cellStyle name="Normal 3 3 6 12 11 2" xfId="34948" xr:uid="{00000000-0005-0000-0000-00007B880000}"/>
    <cellStyle name="Normal 3 3 6 12 11 3" xfId="34949" xr:uid="{00000000-0005-0000-0000-00007C880000}"/>
    <cellStyle name="Normal 3 3 6 12 12" xfId="34950" xr:uid="{00000000-0005-0000-0000-00007D880000}"/>
    <cellStyle name="Normal 3 3 6 12 12 2" xfId="34951" xr:uid="{00000000-0005-0000-0000-00007E880000}"/>
    <cellStyle name="Normal 3 3 6 12 12 3" xfId="34952" xr:uid="{00000000-0005-0000-0000-00007F880000}"/>
    <cellStyle name="Normal 3 3 6 12 13" xfId="34953" xr:uid="{00000000-0005-0000-0000-000080880000}"/>
    <cellStyle name="Normal 3 3 6 12 13 2" xfId="34954" xr:uid="{00000000-0005-0000-0000-000081880000}"/>
    <cellStyle name="Normal 3 3 6 12 13 3" xfId="34955" xr:uid="{00000000-0005-0000-0000-000082880000}"/>
    <cellStyle name="Normal 3 3 6 12 14" xfId="34956" xr:uid="{00000000-0005-0000-0000-000083880000}"/>
    <cellStyle name="Normal 3 3 6 12 14 2" xfId="34957" xr:uid="{00000000-0005-0000-0000-000084880000}"/>
    <cellStyle name="Normal 3 3 6 12 14 3" xfId="34958" xr:uid="{00000000-0005-0000-0000-000085880000}"/>
    <cellStyle name="Normal 3 3 6 12 15" xfId="34959" xr:uid="{00000000-0005-0000-0000-000086880000}"/>
    <cellStyle name="Normal 3 3 6 12 16" xfId="34960" xr:uid="{00000000-0005-0000-0000-000087880000}"/>
    <cellStyle name="Normal 3 3 6 12 2" xfId="34961" xr:uid="{00000000-0005-0000-0000-000088880000}"/>
    <cellStyle name="Normal 3 3 6 12 2 2" xfId="34962" xr:uid="{00000000-0005-0000-0000-000089880000}"/>
    <cellStyle name="Normal 3 3 6 12 2 3" xfId="34963" xr:uid="{00000000-0005-0000-0000-00008A880000}"/>
    <cellStyle name="Normal 3 3 6 12 3" xfId="34964" xr:uid="{00000000-0005-0000-0000-00008B880000}"/>
    <cellStyle name="Normal 3 3 6 12 3 2" xfId="34965" xr:uid="{00000000-0005-0000-0000-00008C880000}"/>
    <cellStyle name="Normal 3 3 6 12 3 3" xfId="34966" xr:uid="{00000000-0005-0000-0000-00008D880000}"/>
    <cellStyle name="Normal 3 3 6 12 4" xfId="34967" xr:uid="{00000000-0005-0000-0000-00008E880000}"/>
    <cellStyle name="Normal 3 3 6 12 4 2" xfId="34968" xr:uid="{00000000-0005-0000-0000-00008F880000}"/>
    <cellStyle name="Normal 3 3 6 12 4 3" xfId="34969" xr:uid="{00000000-0005-0000-0000-000090880000}"/>
    <cellStyle name="Normal 3 3 6 12 5" xfId="34970" xr:uid="{00000000-0005-0000-0000-000091880000}"/>
    <cellStyle name="Normal 3 3 6 12 5 2" xfId="34971" xr:uid="{00000000-0005-0000-0000-000092880000}"/>
    <cellStyle name="Normal 3 3 6 12 5 3" xfId="34972" xr:uid="{00000000-0005-0000-0000-000093880000}"/>
    <cellStyle name="Normal 3 3 6 12 6" xfId="34973" xr:uid="{00000000-0005-0000-0000-000094880000}"/>
    <cellStyle name="Normal 3 3 6 12 6 2" xfId="34974" xr:uid="{00000000-0005-0000-0000-000095880000}"/>
    <cellStyle name="Normal 3 3 6 12 6 3" xfId="34975" xr:uid="{00000000-0005-0000-0000-000096880000}"/>
    <cellStyle name="Normal 3 3 6 12 7" xfId="34976" xr:uid="{00000000-0005-0000-0000-000097880000}"/>
    <cellStyle name="Normal 3 3 6 12 7 2" xfId="34977" xr:uid="{00000000-0005-0000-0000-000098880000}"/>
    <cellStyle name="Normal 3 3 6 12 7 3" xfId="34978" xr:uid="{00000000-0005-0000-0000-000099880000}"/>
    <cellStyle name="Normal 3 3 6 12 8" xfId="34979" xr:uid="{00000000-0005-0000-0000-00009A880000}"/>
    <cellStyle name="Normal 3 3 6 12 8 2" xfId="34980" xr:uid="{00000000-0005-0000-0000-00009B880000}"/>
    <cellStyle name="Normal 3 3 6 12 8 3" xfId="34981" xr:uid="{00000000-0005-0000-0000-00009C880000}"/>
    <cellStyle name="Normal 3 3 6 12 9" xfId="34982" xr:uid="{00000000-0005-0000-0000-00009D880000}"/>
    <cellStyle name="Normal 3 3 6 12 9 2" xfId="34983" xr:uid="{00000000-0005-0000-0000-00009E880000}"/>
    <cellStyle name="Normal 3 3 6 12 9 3" xfId="34984" xr:uid="{00000000-0005-0000-0000-00009F880000}"/>
    <cellStyle name="Normal 3 3 6 13" xfId="34985" xr:uid="{00000000-0005-0000-0000-0000A0880000}"/>
    <cellStyle name="Normal 3 3 6 13 10" xfId="34986" xr:uid="{00000000-0005-0000-0000-0000A1880000}"/>
    <cellStyle name="Normal 3 3 6 13 10 2" xfId="34987" xr:uid="{00000000-0005-0000-0000-0000A2880000}"/>
    <cellStyle name="Normal 3 3 6 13 10 3" xfId="34988" xr:uid="{00000000-0005-0000-0000-0000A3880000}"/>
    <cellStyle name="Normal 3 3 6 13 11" xfId="34989" xr:uid="{00000000-0005-0000-0000-0000A4880000}"/>
    <cellStyle name="Normal 3 3 6 13 11 2" xfId="34990" xr:uid="{00000000-0005-0000-0000-0000A5880000}"/>
    <cellStyle name="Normal 3 3 6 13 11 3" xfId="34991" xr:uid="{00000000-0005-0000-0000-0000A6880000}"/>
    <cellStyle name="Normal 3 3 6 13 12" xfId="34992" xr:uid="{00000000-0005-0000-0000-0000A7880000}"/>
    <cellStyle name="Normal 3 3 6 13 12 2" xfId="34993" xr:uid="{00000000-0005-0000-0000-0000A8880000}"/>
    <cellStyle name="Normal 3 3 6 13 12 3" xfId="34994" xr:uid="{00000000-0005-0000-0000-0000A9880000}"/>
    <cellStyle name="Normal 3 3 6 13 13" xfId="34995" xr:uid="{00000000-0005-0000-0000-0000AA880000}"/>
    <cellStyle name="Normal 3 3 6 13 13 2" xfId="34996" xr:uid="{00000000-0005-0000-0000-0000AB880000}"/>
    <cellStyle name="Normal 3 3 6 13 13 3" xfId="34997" xr:uid="{00000000-0005-0000-0000-0000AC880000}"/>
    <cellStyle name="Normal 3 3 6 13 14" xfId="34998" xr:uid="{00000000-0005-0000-0000-0000AD880000}"/>
    <cellStyle name="Normal 3 3 6 13 14 2" xfId="34999" xr:uid="{00000000-0005-0000-0000-0000AE880000}"/>
    <cellStyle name="Normal 3 3 6 13 14 3" xfId="35000" xr:uid="{00000000-0005-0000-0000-0000AF880000}"/>
    <cellStyle name="Normal 3 3 6 13 15" xfId="35001" xr:uid="{00000000-0005-0000-0000-0000B0880000}"/>
    <cellStyle name="Normal 3 3 6 13 16" xfId="35002" xr:uid="{00000000-0005-0000-0000-0000B1880000}"/>
    <cellStyle name="Normal 3 3 6 13 2" xfId="35003" xr:uid="{00000000-0005-0000-0000-0000B2880000}"/>
    <cellStyle name="Normal 3 3 6 13 2 2" xfId="35004" xr:uid="{00000000-0005-0000-0000-0000B3880000}"/>
    <cellStyle name="Normal 3 3 6 13 2 3" xfId="35005" xr:uid="{00000000-0005-0000-0000-0000B4880000}"/>
    <cellStyle name="Normal 3 3 6 13 3" xfId="35006" xr:uid="{00000000-0005-0000-0000-0000B5880000}"/>
    <cellStyle name="Normal 3 3 6 13 3 2" xfId="35007" xr:uid="{00000000-0005-0000-0000-0000B6880000}"/>
    <cellStyle name="Normal 3 3 6 13 3 3" xfId="35008" xr:uid="{00000000-0005-0000-0000-0000B7880000}"/>
    <cellStyle name="Normal 3 3 6 13 4" xfId="35009" xr:uid="{00000000-0005-0000-0000-0000B8880000}"/>
    <cellStyle name="Normal 3 3 6 13 4 2" xfId="35010" xr:uid="{00000000-0005-0000-0000-0000B9880000}"/>
    <cellStyle name="Normal 3 3 6 13 4 3" xfId="35011" xr:uid="{00000000-0005-0000-0000-0000BA880000}"/>
    <cellStyle name="Normal 3 3 6 13 5" xfId="35012" xr:uid="{00000000-0005-0000-0000-0000BB880000}"/>
    <cellStyle name="Normal 3 3 6 13 5 2" xfId="35013" xr:uid="{00000000-0005-0000-0000-0000BC880000}"/>
    <cellStyle name="Normal 3 3 6 13 5 3" xfId="35014" xr:uid="{00000000-0005-0000-0000-0000BD880000}"/>
    <cellStyle name="Normal 3 3 6 13 6" xfId="35015" xr:uid="{00000000-0005-0000-0000-0000BE880000}"/>
    <cellStyle name="Normal 3 3 6 13 6 2" xfId="35016" xr:uid="{00000000-0005-0000-0000-0000BF880000}"/>
    <cellStyle name="Normal 3 3 6 13 6 3" xfId="35017" xr:uid="{00000000-0005-0000-0000-0000C0880000}"/>
    <cellStyle name="Normal 3 3 6 13 7" xfId="35018" xr:uid="{00000000-0005-0000-0000-0000C1880000}"/>
    <cellStyle name="Normal 3 3 6 13 7 2" xfId="35019" xr:uid="{00000000-0005-0000-0000-0000C2880000}"/>
    <cellStyle name="Normal 3 3 6 13 7 3" xfId="35020" xr:uid="{00000000-0005-0000-0000-0000C3880000}"/>
    <cellStyle name="Normal 3 3 6 13 8" xfId="35021" xr:uid="{00000000-0005-0000-0000-0000C4880000}"/>
    <cellStyle name="Normal 3 3 6 13 8 2" xfId="35022" xr:uid="{00000000-0005-0000-0000-0000C5880000}"/>
    <cellStyle name="Normal 3 3 6 13 8 3" xfId="35023" xr:uid="{00000000-0005-0000-0000-0000C6880000}"/>
    <cellStyle name="Normal 3 3 6 13 9" xfId="35024" xr:uid="{00000000-0005-0000-0000-0000C7880000}"/>
    <cellStyle name="Normal 3 3 6 13 9 2" xfId="35025" xr:uid="{00000000-0005-0000-0000-0000C8880000}"/>
    <cellStyle name="Normal 3 3 6 13 9 3" xfId="35026" xr:uid="{00000000-0005-0000-0000-0000C9880000}"/>
    <cellStyle name="Normal 3 3 6 14" xfId="35027" xr:uid="{00000000-0005-0000-0000-0000CA880000}"/>
    <cellStyle name="Normal 3 3 6 14 10" xfId="35028" xr:uid="{00000000-0005-0000-0000-0000CB880000}"/>
    <cellStyle name="Normal 3 3 6 14 10 2" xfId="35029" xr:uid="{00000000-0005-0000-0000-0000CC880000}"/>
    <cellStyle name="Normal 3 3 6 14 10 3" xfId="35030" xr:uid="{00000000-0005-0000-0000-0000CD880000}"/>
    <cellStyle name="Normal 3 3 6 14 11" xfId="35031" xr:uid="{00000000-0005-0000-0000-0000CE880000}"/>
    <cellStyle name="Normal 3 3 6 14 11 2" xfId="35032" xr:uid="{00000000-0005-0000-0000-0000CF880000}"/>
    <cellStyle name="Normal 3 3 6 14 11 3" xfId="35033" xr:uid="{00000000-0005-0000-0000-0000D0880000}"/>
    <cellStyle name="Normal 3 3 6 14 12" xfId="35034" xr:uid="{00000000-0005-0000-0000-0000D1880000}"/>
    <cellStyle name="Normal 3 3 6 14 12 2" xfId="35035" xr:uid="{00000000-0005-0000-0000-0000D2880000}"/>
    <cellStyle name="Normal 3 3 6 14 12 3" xfId="35036" xr:uid="{00000000-0005-0000-0000-0000D3880000}"/>
    <cellStyle name="Normal 3 3 6 14 13" xfId="35037" xr:uid="{00000000-0005-0000-0000-0000D4880000}"/>
    <cellStyle name="Normal 3 3 6 14 13 2" xfId="35038" xr:uid="{00000000-0005-0000-0000-0000D5880000}"/>
    <cellStyle name="Normal 3 3 6 14 13 3" xfId="35039" xr:uid="{00000000-0005-0000-0000-0000D6880000}"/>
    <cellStyle name="Normal 3 3 6 14 14" xfId="35040" xr:uid="{00000000-0005-0000-0000-0000D7880000}"/>
    <cellStyle name="Normal 3 3 6 14 14 2" xfId="35041" xr:uid="{00000000-0005-0000-0000-0000D8880000}"/>
    <cellStyle name="Normal 3 3 6 14 14 3" xfId="35042" xr:uid="{00000000-0005-0000-0000-0000D9880000}"/>
    <cellStyle name="Normal 3 3 6 14 15" xfId="35043" xr:uid="{00000000-0005-0000-0000-0000DA880000}"/>
    <cellStyle name="Normal 3 3 6 14 16" xfId="35044" xr:uid="{00000000-0005-0000-0000-0000DB880000}"/>
    <cellStyle name="Normal 3 3 6 14 2" xfId="35045" xr:uid="{00000000-0005-0000-0000-0000DC880000}"/>
    <cellStyle name="Normal 3 3 6 14 2 2" xfId="35046" xr:uid="{00000000-0005-0000-0000-0000DD880000}"/>
    <cellStyle name="Normal 3 3 6 14 2 3" xfId="35047" xr:uid="{00000000-0005-0000-0000-0000DE880000}"/>
    <cellStyle name="Normal 3 3 6 14 3" xfId="35048" xr:uid="{00000000-0005-0000-0000-0000DF880000}"/>
    <cellStyle name="Normal 3 3 6 14 3 2" xfId="35049" xr:uid="{00000000-0005-0000-0000-0000E0880000}"/>
    <cellStyle name="Normal 3 3 6 14 3 3" xfId="35050" xr:uid="{00000000-0005-0000-0000-0000E1880000}"/>
    <cellStyle name="Normal 3 3 6 14 4" xfId="35051" xr:uid="{00000000-0005-0000-0000-0000E2880000}"/>
    <cellStyle name="Normal 3 3 6 14 4 2" xfId="35052" xr:uid="{00000000-0005-0000-0000-0000E3880000}"/>
    <cellStyle name="Normal 3 3 6 14 4 3" xfId="35053" xr:uid="{00000000-0005-0000-0000-0000E4880000}"/>
    <cellStyle name="Normal 3 3 6 14 5" xfId="35054" xr:uid="{00000000-0005-0000-0000-0000E5880000}"/>
    <cellStyle name="Normal 3 3 6 14 5 2" xfId="35055" xr:uid="{00000000-0005-0000-0000-0000E6880000}"/>
    <cellStyle name="Normal 3 3 6 14 5 3" xfId="35056" xr:uid="{00000000-0005-0000-0000-0000E7880000}"/>
    <cellStyle name="Normal 3 3 6 14 6" xfId="35057" xr:uid="{00000000-0005-0000-0000-0000E8880000}"/>
    <cellStyle name="Normal 3 3 6 14 6 2" xfId="35058" xr:uid="{00000000-0005-0000-0000-0000E9880000}"/>
    <cellStyle name="Normal 3 3 6 14 6 3" xfId="35059" xr:uid="{00000000-0005-0000-0000-0000EA880000}"/>
    <cellStyle name="Normal 3 3 6 14 7" xfId="35060" xr:uid="{00000000-0005-0000-0000-0000EB880000}"/>
    <cellStyle name="Normal 3 3 6 14 7 2" xfId="35061" xr:uid="{00000000-0005-0000-0000-0000EC880000}"/>
    <cellStyle name="Normal 3 3 6 14 7 3" xfId="35062" xr:uid="{00000000-0005-0000-0000-0000ED880000}"/>
    <cellStyle name="Normal 3 3 6 14 8" xfId="35063" xr:uid="{00000000-0005-0000-0000-0000EE880000}"/>
    <cellStyle name="Normal 3 3 6 14 8 2" xfId="35064" xr:uid="{00000000-0005-0000-0000-0000EF880000}"/>
    <cellStyle name="Normal 3 3 6 14 8 3" xfId="35065" xr:uid="{00000000-0005-0000-0000-0000F0880000}"/>
    <cellStyle name="Normal 3 3 6 14 9" xfId="35066" xr:uid="{00000000-0005-0000-0000-0000F1880000}"/>
    <cellStyle name="Normal 3 3 6 14 9 2" xfId="35067" xr:uid="{00000000-0005-0000-0000-0000F2880000}"/>
    <cellStyle name="Normal 3 3 6 14 9 3" xfId="35068" xr:uid="{00000000-0005-0000-0000-0000F3880000}"/>
    <cellStyle name="Normal 3 3 6 15" xfId="35069" xr:uid="{00000000-0005-0000-0000-0000F4880000}"/>
    <cellStyle name="Normal 3 3 6 15 2" xfId="35070" xr:uid="{00000000-0005-0000-0000-0000F5880000}"/>
    <cellStyle name="Normal 3 3 6 15 3" xfId="35071" xr:uid="{00000000-0005-0000-0000-0000F6880000}"/>
    <cellStyle name="Normal 3 3 6 16" xfId="35072" xr:uid="{00000000-0005-0000-0000-0000F7880000}"/>
    <cellStyle name="Normal 3 3 6 16 2" xfId="35073" xr:uid="{00000000-0005-0000-0000-0000F8880000}"/>
    <cellStyle name="Normal 3 3 6 16 3" xfId="35074" xr:uid="{00000000-0005-0000-0000-0000F9880000}"/>
    <cellStyle name="Normal 3 3 6 17" xfId="35075" xr:uid="{00000000-0005-0000-0000-0000FA880000}"/>
    <cellStyle name="Normal 3 3 6 17 2" xfId="35076" xr:uid="{00000000-0005-0000-0000-0000FB880000}"/>
    <cellStyle name="Normal 3 3 6 17 3" xfId="35077" xr:uid="{00000000-0005-0000-0000-0000FC880000}"/>
    <cellStyle name="Normal 3 3 6 18" xfId="35078" xr:uid="{00000000-0005-0000-0000-0000FD880000}"/>
    <cellStyle name="Normal 3 3 6 18 2" xfId="35079" xr:uid="{00000000-0005-0000-0000-0000FE880000}"/>
    <cellStyle name="Normal 3 3 6 18 3" xfId="35080" xr:uid="{00000000-0005-0000-0000-0000FF880000}"/>
    <cellStyle name="Normal 3 3 6 19" xfId="35081" xr:uid="{00000000-0005-0000-0000-000000890000}"/>
    <cellStyle name="Normal 3 3 6 19 2" xfId="35082" xr:uid="{00000000-0005-0000-0000-000001890000}"/>
    <cellStyle name="Normal 3 3 6 19 3" xfId="35083" xr:uid="{00000000-0005-0000-0000-000002890000}"/>
    <cellStyle name="Normal 3 3 6 2" xfId="35084" xr:uid="{00000000-0005-0000-0000-000003890000}"/>
    <cellStyle name="Normal 3 3 6 20" xfId="35085" xr:uid="{00000000-0005-0000-0000-000004890000}"/>
    <cellStyle name="Normal 3 3 6 20 2" xfId="35086" xr:uid="{00000000-0005-0000-0000-000005890000}"/>
    <cellStyle name="Normal 3 3 6 20 3" xfId="35087" xr:uid="{00000000-0005-0000-0000-000006890000}"/>
    <cellStyle name="Normal 3 3 6 21" xfId="35088" xr:uid="{00000000-0005-0000-0000-000007890000}"/>
    <cellStyle name="Normal 3 3 6 21 2" xfId="35089" xr:uid="{00000000-0005-0000-0000-000008890000}"/>
    <cellStyle name="Normal 3 3 6 21 3" xfId="35090" xr:uid="{00000000-0005-0000-0000-000009890000}"/>
    <cellStyle name="Normal 3 3 6 22" xfId="35091" xr:uid="{00000000-0005-0000-0000-00000A890000}"/>
    <cellStyle name="Normal 3 3 6 22 2" xfId="35092" xr:uid="{00000000-0005-0000-0000-00000B890000}"/>
    <cellStyle name="Normal 3 3 6 22 3" xfId="35093" xr:uid="{00000000-0005-0000-0000-00000C890000}"/>
    <cellStyle name="Normal 3 3 6 23" xfId="35094" xr:uid="{00000000-0005-0000-0000-00000D890000}"/>
    <cellStyle name="Normal 3 3 6 23 2" xfId="35095" xr:uid="{00000000-0005-0000-0000-00000E890000}"/>
    <cellStyle name="Normal 3 3 6 23 3" xfId="35096" xr:uid="{00000000-0005-0000-0000-00000F890000}"/>
    <cellStyle name="Normal 3 3 6 24" xfId="35097" xr:uid="{00000000-0005-0000-0000-000010890000}"/>
    <cellStyle name="Normal 3 3 6 24 2" xfId="35098" xr:uid="{00000000-0005-0000-0000-000011890000}"/>
    <cellStyle name="Normal 3 3 6 24 3" xfId="35099" xr:uid="{00000000-0005-0000-0000-000012890000}"/>
    <cellStyle name="Normal 3 3 6 25" xfId="35100" xr:uid="{00000000-0005-0000-0000-000013890000}"/>
    <cellStyle name="Normal 3 3 6 25 2" xfId="35101" xr:uid="{00000000-0005-0000-0000-000014890000}"/>
    <cellStyle name="Normal 3 3 6 25 3" xfId="35102" xr:uid="{00000000-0005-0000-0000-000015890000}"/>
    <cellStyle name="Normal 3 3 6 26" xfId="35103" xr:uid="{00000000-0005-0000-0000-000016890000}"/>
    <cellStyle name="Normal 3 3 6 26 2" xfId="35104" xr:uid="{00000000-0005-0000-0000-000017890000}"/>
    <cellStyle name="Normal 3 3 6 26 3" xfId="35105" xr:uid="{00000000-0005-0000-0000-000018890000}"/>
    <cellStyle name="Normal 3 3 6 27" xfId="35106" xr:uid="{00000000-0005-0000-0000-000019890000}"/>
    <cellStyle name="Normal 3 3 6 27 2" xfId="35107" xr:uid="{00000000-0005-0000-0000-00001A890000}"/>
    <cellStyle name="Normal 3 3 6 27 3" xfId="35108" xr:uid="{00000000-0005-0000-0000-00001B890000}"/>
    <cellStyle name="Normal 3 3 6 28" xfId="35109" xr:uid="{00000000-0005-0000-0000-00001C890000}"/>
    <cellStyle name="Normal 3 3 6 29" xfId="35110" xr:uid="{00000000-0005-0000-0000-00001D890000}"/>
    <cellStyle name="Normal 3 3 6 3" xfId="35111" xr:uid="{00000000-0005-0000-0000-00001E890000}"/>
    <cellStyle name="Normal 3 3 6 4" xfId="35112" xr:uid="{00000000-0005-0000-0000-00001F890000}"/>
    <cellStyle name="Normal 3 3 6 5" xfId="35113" xr:uid="{00000000-0005-0000-0000-000020890000}"/>
    <cellStyle name="Normal 3 3 6 6" xfId="35114" xr:uid="{00000000-0005-0000-0000-000021890000}"/>
    <cellStyle name="Normal 3 3 6 6 10" xfId="35115" xr:uid="{00000000-0005-0000-0000-000022890000}"/>
    <cellStyle name="Normal 3 3 6 6 10 2" xfId="35116" xr:uid="{00000000-0005-0000-0000-000023890000}"/>
    <cellStyle name="Normal 3 3 6 6 10 3" xfId="35117" xr:uid="{00000000-0005-0000-0000-000024890000}"/>
    <cellStyle name="Normal 3 3 6 6 11" xfId="35118" xr:uid="{00000000-0005-0000-0000-000025890000}"/>
    <cellStyle name="Normal 3 3 6 6 11 2" xfId="35119" xr:uid="{00000000-0005-0000-0000-000026890000}"/>
    <cellStyle name="Normal 3 3 6 6 11 3" xfId="35120" xr:uid="{00000000-0005-0000-0000-000027890000}"/>
    <cellStyle name="Normal 3 3 6 6 12" xfId="35121" xr:uid="{00000000-0005-0000-0000-000028890000}"/>
    <cellStyle name="Normal 3 3 6 6 12 2" xfId="35122" xr:uid="{00000000-0005-0000-0000-000029890000}"/>
    <cellStyle name="Normal 3 3 6 6 12 3" xfId="35123" xr:uid="{00000000-0005-0000-0000-00002A890000}"/>
    <cellStyle name="Normal 3 3 6 6 13" xfId="35124" xr:uid="{00000000-0005-0000-0000-00002B890000}"/>
    <cellStyle name="Normal 3 3 6 6 13 2" xfId="35125" xr:uid="{00000000-0005-0000-0000-00002C890000}"/>
    <cellStyle name="Normal 3 3 6 6 13 3" xfId="35126" xr:uid="{00000000-0005-0000-0000-00002D890000}"/>
    <cellStyle name="Normal 3 3 6 6 14" xfId="35127" xr:uid="{00000000-0005-0000-0000-00002E890000}"/>
    <cellStyle name="Normal 3 3 6 6 14 2" xfId="35128" xr:uid="{00000000-0005-0000-0000-00002F890000}"/>
    <cellStyle name="Normal 3 3 6 6 14 3" xfId="35129" xr:uid="{00000000-0005-0000-0000-000030890000}"/>
    <cellStyle name="Normal 3 3 6 6 15" xfId="35130" xr:uid="{00000000-0005-0000-0000-000031890000}"/>
    <cellStyle name="Normal 3 3 6 6 15 2" xfId="35131" xr:uid="{00000000-0005-0000-0000-000032890000}"/>
    <cellStyle name="Normal 3 3 6 6 15 3" xfId="35132" xr:uid="{00000000-0005-0000-0000-000033890000}"/>
    <cellStyle name="Normal 3 3 6 6 16" xfId="35133" xr:uid="{00000000-0005-0000-0000-000034890000}"/>
    <cellStyle name="Normal 3 3 6 6 17" xfId="35134" xr:uid="{00000000-0005-0000-0000-000035890000}"/>
    <cellStyle name="Normal 3 3 6 6 2" xfId="35135" xr:uid="{00000000-0005-0000-0000-000036890000}"/>
    <cellStyle name="Normal 3 3 6 6 2 10" xfId="35136" xr:uid="{00000000-0005-0000-0000-000037890000}"/>
    <cellStyle name="Normal 3 3 6 6 2 10 2" xfId="35137" xr:uid="{00000000-0005-0000-0000-000038890000}"/>
    <cellStyle name="Normal 3 3 6 6 2 10 3" xfId="35138" xr:uid="{00000000-0005-0000-0000-000039890000}"/>
    <cellStyle name="Normal 3 3 6 6 2 11" xfId="35139" xr:uid="{00000000-0005-0000-0000-00003A890000}"/>
    <cellStyle name="Normal 3 3 6 6 2 11 2" xfId="35140" xr:uid="{00000000-0005-0000-0000-00003B890000}"/>
    <cellStyle name="Normal 3 3 6 6 2 11 3" xfId="35141" xr:uid="{00000000-0005-0000-0000-00003C890000}"/>
    <cellStyle name="Normal 3 3 6 6 2 12" xfId="35142" xr:uid="{00000000-0005-0000-0000-00003D890000}"/>
    <cellStyle name="Normal 3 3 6 6 2 12 2" xfId="35143" xr:uid="{00000000-0005-0000-0000-00003E890000}"/>
    <cellStyle name="Normal 3 3 6 6 2 12 3" xfId="35144" xr:uid="{00000000-0005-0000-0000-00003F890000}"/>
    <cellStyle name="Normal 3 3 6 6 2 13" xfId="35145" xr:uid="{00000000-0005-0000-0000-000040890000}"/>
    <cellStyle name="Normal 3 3 6 6 2 13 2" xfId="35146" xr:uid="{00000000-0005-0000-0000-000041890000}"/>
    <cellStyle name="Normal 3 3 6 6 2 13 3" xfId="35147" xr:uid="{00000000-0005-0000-0000-000042890000}"/>
    <cellStyle name="Normal 3 3 6 6 2 14" xfId="35148" xr:uid="{00000000-0005-0000-0000-000043890000}"/>
    <cellStyle name="Normal 3 3 6 6 2 14 2" xfId="35149" xr:uid="{00000000-0005-0000-0000-000044890000}"/>
    <cellStyle name="Normal 3 3 6 6 2 14 3" xfId="35150" xr:uid="{00000000-0005-0000-0000-000045890000}"/>
    <cellStyle name="Normal 3 3 6 6 2 15" xfId="35151" xr:uid="{00000000-0005-0000-0000-000046890000}"/>
    <cellStyle name="Normal 3 3 6 6 2 16" xfId="35152" xr:uid="{00000000-0005-0000-0000-000047890000}"/>
    <cellStyle name="Normal 3 3 6 6 2 2" xfId="35153" xr:uid="{00000000-0005-0000-0000-000048890000}"/>
    <cellStyle name="Normal 3 3 6 6 2 2 2" xfId="35154" xr:uid="{00000000-0005-0000-0000-000049890000}"/>
    <cellStyle name="Normal 3 3 6 6 2 2 3" xfId="35155" xr:uid="{00000000-0005-0000-0000-00004A890000}"/>
    <cellStyle name="Normal 3 3 6 6 2 3" xfId="35156" xr:uid="{00000000-0005-0000-0000-00004B890000}"/>
    <cellStyle name="Normal 3 3 6 6 2 3 2" xfId="35157" xr:uid="{00000000-0005-0000-0000-00004C890000}"/>
    <cellStyle name="Normal 3 3 6 6 2 3 3" xfId="35158" xr:uid="{00000000-0005-0000-0000-00004D890000}"/>
    <cellStyle name="Normal 3 3 6 6 2 4" xfId="35159" xr:uid="{00000000-0005-0000-0000-00004E890000}"/>
    <cellStyle name="Normal 3 3 6 6 2 4 2" xfId="35160" xr:uid="{00000000-0005-0000-0000-00004F890000}"/>
    <cellStyle name="Normal 3 3 6 6 2 4 3" xfId="35161" xr:uid="{00000000-0005-0000-0000-000050890000}"/>
    <cellStyle name="Normal 3 3 6 6 2 5" xfId="35162" xr:uid="{00000000-0005-0000-0000-000051890000}"/>
    <cellStyle name="Normal 3 3 6 6 2 5 2" xfId="35163" xr:uid="{00000000-0005-0000-0000-000052890000}"/>
    <cellStyle name="Normal 3 3 6 6 2 5 3" xfId="35164" xr:uid="{00000000-0005-0000-0000-000053890000}"/>
    <cellStyle name="Normal 3 3 6 6 2 6" xfId="35165" xr:uid="{00000000-0005-0000-0000-000054890000}"/>
    <cellStyle name="Normal 3 3 6 6 2 6 2" xfId="35166" xr:uid="{00000000-0005-0000-0000-000055890000}"/>
    <cellStyle name="Normal 3 3 6 6 2 6 3" xfId="35167" xr:uid="{00000000-0005-0000-0000-000056890000}"/>
    <cellStyle name="Normal 3 3 6 6 2 7" xfId="35168" xr:uid="{00000000-0005-0000-0000-000057890000}"/>
    <cellStyle name="Normal 3 3 6 6 2 7 2" xfId="35169" xr:uid="{00000000-0005-0000-0000-000058890000}"/>
    <cellStyle name="Normal 3 3 6 6 2 7 3" xfId="35170" xr:uid="{00000000-0005-0000-0000-000059890000}"/>
    <cellStyle name="Normal 3 3 6 6 2 8" xfId="35171" xr:uid="{00000000-0005-0000-0000-00005A890000}"/>
    <cellStyle name="Normal 3 3 6 6 2 8 2" xfId="35172" xr:uid="{00000000-0005-0000-0000-00005B890000}"/>
    <cellStyle name="Normal 3 3 6 6 2 8 3" xfId="35173" xr:uid="{00000000-0005-0000-0000-00005C890000}"/>
    <cellStyle name="Normal 3 3 6 6 2 9" xfId="35174" xr:uid="{00000000-0005-0000-0000-00005D890000}"/>
    <cellStyle name="Normal 3 3 6 6 2 9 2" xfId="35175" xr:uid="{00000000-0005-0000-0000-00005E890000}"/>
    <cellStyle name="Normal 3 3 6 6 2 9 3" xfId="35176" xr:uid="{00000000-0005-0000-0000-00005F890000}"/>
    <cellStyle name="Normal 3 3 6 6 3" xfId="35177" xr:uid="{00000000-0005-0000-0000-000060890000}"/>
    <cellStyle name="Normal 3 3 6 6 3 2" xfId="35178" xr:uid="{00000000-0005-0000-0000-000061890000}"/>
    <cellStyle name="Normal 3 3 6 6 3 3" xfId="35179" xr:uid="{00000000-0005-0000-0000-000062890000}"/>
    <cellStyle name="Normal 3 3 6 6 4" xfId="35180" xr:uid="{00000000-0005-0000-0000-000063890000}"/>
    <cellStyle name="Normal 3 3 6 6 4 2" xfId="35181" xr:uid="{00000000-0005-0000-0000-000064890000}"/>
    <cellStyle name="Normal 3 3 6 6 4 3" xfId="35182" xr:uid="{00000000-0005-0000-0000-000065890000}"/>
    <cellStyle name="Normal 3 3 6 6 5" xfId="35183" xr:uid="{00000000-0005-0000-0000-000066890000}"/>
    <cellStyle name="Normal 3 3 6 6 5 2" xfId="35184" xr:uid="{00000000-0005-0000-0000-000067890000}"/>
    <cellStyle name="Normal 3 3 6 6 5 3" xfId="35185" xr:uid="{00000000-0005-0000-0000-000068890000}"/>
    <cellStyle name="Normal 3 3 6 6 6" xfId="35186" xr:uid="{00000000-0005-0000-0000-000069890000}"/>
    <cellStyle name="Normal 3 3 6 6 6 2" xfId="35187" xr:uid="{00000000-0005-0000-0000-00006A890000}"/>
    <cellStyle name="Normal 3 3 6 6 6 3" xfId="35188" xr:uid="{00000000-0005-0000-0000-00006B890000}"/>
    <cellStyle name="Normal 3 3 6 6 7" xfId="35189" xr:uid="{00000000-0005-0000-0000-00006C890000}"/>
    <cellStyle name="Normal 3 3 6 6 7 2" xfId="35190" xr:uid="{00000000-0005-0000-0000-00006D890000}"/>
    <cellStyle name="Normal 3 3 6 6 7 3" xfId="35191" xr:uid="{00000000-0005-0000-0000-00006E890000}"/>
    <cellStyle name="Normal 3 3 6 6 8" xfId="35192" xr:uid="{00000000-0005-0000-0000-00006F890000}"/>
    <cellStyle name="Normal 3 3 6 6 8 2" xfId="35193" xr:uid="{00000000-0005-0000-0000-000070890000}"/>
    <cellStyle name="Normal 3 3 6 6 8 3" xfId="35194" xr:uid="{00000000-0005-0000-0000-000071890000}"/>
    <cellStyle name="Normal 3 3 6 6 9" xfId="35195" xr:uid="{00000000-0005-0000-0000-000072890000}"/>
    <cellStyle name="Normal 3 3 6 6 9 2" xfId="35196" xr:uid="{00000000-0005-0000-0000-000073890000}"/>
    <cellStyle name="Normal 3 3 6 6 9 3" xfId="35197" xr:uid="{00000000-0005-0000-0000-000074890000}"/>
    <cellStyle name="Normal 3 3 6 7" xfId="35198" xr:uid="{00000000-0005-0000-0000-000075890000}"/>
    <cellStyle name="Normal 3 3 6 7 10" xfId="35199" xr:uid="{00000000-0005-0000-0000-000076890000}"/>
    <cellStyle name="Normal 3 3 6 7 10 2" xfId="35200" xr:uid="{00000000-0005-0000-0000-000077890000}"/>
    <cellStyle name="Normal 3 3 6 7 10 3" xfId="35201" xr:uid="{00000000-0005-0000-0000-000078890000}"/>
    <cellStyle name="Normal 3 3 6 7 11" xfId="35202" xr:uid="{00000000-0005-0000-0000-000079890000}"/>
    <cellStyle name="Normal 3 3 6 7 11 2" xfId="35203" xr:uid="{00000000-0005-0000-0000-00007A890000}"/>
    <cellStyle name="Normal 3 3 6 7 11 3" xfId="35204" xr:uid="{00000000-0005-0000-0000-00007B890000}"/>
    <cellStyle name="Normal 3 3 6 7 12" xfId="35205" xr:uid="{00000000-0005-0000-0000-00007C890000}"/>
    <cellStyle name="Normal 3 3 6 7 12 2" xfId="35206" xr:uid="{00000000-0005-0000-0000-00007D890000}"/>
    <cellStyle name="Normal 3 3 6 7 12 3" xfId="35207" xr:uid="{00000000-0005-0000-0000-00007E890000}"/>
    <cellStyle name="Normal 3 3 6 7 13" xfId="35208" xr:uid="{00000000-0005-0000-0000-00007F890000}"/>
    <cellStyle name="Normal 3 3 6 7 13 2" xfId="35209" xr:uid="{00000000-0005-0000-0000-000080890000}"/>
    <cellStyle name="Normal 3 3 6 7 13 3" xfId="35210" xr:uid="{00000000-0005-0000-0000-000081890000}"/>
    <cellStyle name="Normal 3 3 6 7 14" xfId="35211" xr:uid="{00000000-0005-0000-0000-000082890000}"/>
    <cellStyle name="Normal 3 3 6 7 14 2" xfId="35212" xr:uid="{00000000-0005-0000-0000-000083890000}"/>
    <cellStyle name="Normal 3 3 6 7 14 3" xfId="35213" xr:uid="{00000000-0005-0000-0000-000084890000}"/>
    <cellStyle name="Normal 3 3 6 7 15" xfId="35214" xr:uid="{00000000-0005-0000-0000-000085890000}"/>
    <cellStyle name="Normal 3 3 6 7 15 2" xfId="35215" xr:uid="{00000000-0005-0000-0000-000086890000}"/>
    <cellStyle name="Normal 3 3 6 7 15 3" xfId="35216" xr:uid="{00000000-0005-0000-0000-000087890000}"/>
    <cellStyle name="Normal 3 3 6 7 16" xfId="35217" xr:uid="{00000000-0005-0000-0000-000088890000}"/>
    <cellStyle name="Normal 3 3 6 7 17" xfId="35218" xr:uid="{00000000-0005-0000-0000-000089890000}"/>
    <cellStyle name="Normal 3 3 6 7 2" xfId="35219" xr:uid="{00000000-0005-0000-0000-00008A890000}"/>
    <cellStyle name="Normal 3 3 6 7 2 10" xfId="35220" xr:uid="{00000000-0005-0000-0000-00008B890000}"/>
    <cellStyle name="Normal 3 3 6 7 2 10 2" xfId="35221" xr:uid="{00000000-0005-0000-0000-00008C890000}"/>
    <cellStyle name="Normal 3 3 6 7 2 10 3" xfId="35222" xr:uid="{00000000-0005-0000-0000-00008D890000}"/>
    <cellStyle name="Normal 3 3 6 7 2 11" xfId="35223" xr:uid="{00000000-0005-0000-0000-00008E890000}"/>
    <cellStyle name="Normal 3 3 6 7 2 11 2" xfId="35224" xr:uid="{00000000-0005-0000-0000-00008F890000}"/>
    <cellStyle name="Normal 3 3 6 7 2 11 3" xfId="35225" xr:uid="{00000000-0005-0000-0000-000090890000}"/>
    <cellStyle name="Normal 3 3 6 7 2 12" xfId="35226" xr:uid="{00000000-0005-0000-0000-000091890000}"/>
    <cellStyle name="Normal 3 3 6 7 2 12 2" xfId="35227" xr:uid="{00000000-0005-0000-0000-000092890000}"/>
    <cellStyle name="Normal 3 3 6 7 2 12 3" xfId="35228" xr:uid="{00000000-0005-0000-0000-000093890000}"/>
    <cellStyle name="Normal 3 3 6 7 2 13" xfId="35229" xr:uid="{00000000-0005-0000-0000-000094890000}"/>
    <cellStyle name="Normal 3 3 6 7 2 13 2" xfId="35230" xr:uid="{00000000-0005-0000-0000-000095890000}"/>
    <cellStyle name="Normal 3 3 6 7 2 13 3" xfId="35231" xr:uid="{00000000-0005-0000-0000-000096890000}"/>
    <cellStyle name="Normal 3 3 6 7 2 14" xfId="35232" xr:uid="{00000000-0005-0000-0000-000097890000}"/>
    <cellStyle name="Normal 3 3 6 7 2 14 2" xfId="35233" xr:uid="{00000000-0005-0000-0000-000098890000}"/>
    <cellStyle name="Normal 3 3 6 7 2 14 3" xfId="35234" xr:uid="{00000000-0005-0000-0000-000099890000}"/>
    <cellStyle name="Normal 3 3 6 7 2 15" xfId="35235" xr:uid="{00000000-0005-0000-0000-00009A890000}"/>
    <cellStyle name="Normal 3 3 6 7 2 16" xfId="35236" xr:uid="{00000000-0005-0000-0000-00009B890000}"/>
    <cellStyle name="Normal 3 3 6 7 2 2" xfId="35237" xr:uid="{00000000-0005-0000-0000-00009C890000}"/>
    <cellStyle name="Normal 3 3 6 7 2 2 2" xfId="35238" xr:uid="{00000000-0005-0000-0000-00009D890000}"/>
    <cellStyle name="Normal 3 3 6 7 2 2 3" xfId="35239" xr:uid="{00000000-0005-0000-0000-00009E890000}"/>
    <cellStyle name="Normal 3 3 6 7 2 3" xfId="35240" xr:uid="{00000000-0005-0000-0000-00009F890000}"/>
    <cellStyle name="Normal 3 3 6 7 2 3 2" xfId="35241" xr:uid="{00000000-0005-0000-0000-0000A0890000}"/>
    <cellStyle name="Normal 3 3 6 7 2 3 3" xfId="35242" xr:uid="{00000000-0005-0000-0000-0000A1890000}"/>
    <cellStyle name="Normal 3 3 6 7 2 4" xfId="35243" xr:uid="{00000000-0005-0000-0000-0000A2890000}"/>
    <cellStyle name="Normal 3 3 6 7 2 4 2" xfId="35244" xr:uid="{00000000-0005-0000-0000-0000A3890000}"/>
    <cellStyle name="Normal 3 3 6 7 2 4 3" xfId="35245" xr:uid="{00000000-0005-0000-0000-0000A4890000}"/>
    <cellStyle name="Normal 3 3 6 7 2 5" xfId="35246" xr:uid="{00000000-0005-0000-0000-0000A5890000}"/>
    <cellStyle name="Normal 3 3 6 7 2 5 2" xfId="35247" xr:uid="{00000000-0005-0000-0000-0000A6890000}"/>
    <cellStyle name="Normal 3 3 6 7 2 5 3" xfId="35248" xr:uid="{00000000-0005-0000-0000-0000A7890000}"/>
    <cellStyle name="Normal 3 3 6 7 2 6" xfId="35249" xr:uid="{00000000-0005-0000-0000-0000A8890000}"/>
    <cellStyle name="Normal 3 3 6 7 2 6 2" xfId="35250" xr:uid="{00000000-0005-0000-0000-0000A9890000}"/>
    <cellStyle name="Normal 3 3 6 7 2 6 3" xfId="35251" xr:uid="{00000000-0005-0000-0000-0000AA890000}"/>
    <cellStyle name="Normal 3 3 6 7 2 7" xfId="35252" xr:uid="{00000000-0005-0000-0000-0000AB890000}"/>
    <cellStyle name="Normal 3 3 6 7 2 7 2" xfId="35253" xr:uid="{00000000-0005-0000-0000-0000AC890000}"/>
    <cellStyle name="Normal 3 3 6 7 2 7 3" xfId="35254" xr:uid="{00000000-0005-0000-0000-0000AD890000}"/>
    <cellStyle name="Normal 3 3 6 7 2 8" xfId="35255" xr:uid="{00000000-0005-0000-0000-0000AE890000}"/>
    <cellStyle name="Normal 3 3 6 7 2 8 2" xfId="35256" xr:uid="{00000000-0005-0000-0000-0000AF890000}"/>
    <cellStyle name="Normal 3 3 6 7 2 8 3" xfId="35257" xr:uid="{00000000-0005-0000-0000-0000B0890000}"/>
    <cellStyle name="Normal 3 3 6 7 2 9" xfId="35258" xr:uid="{00000000-0005-0000-0000-0000B1890000}"/>
    <cellStyle name="Normal 3 3 6 7 2 9 2" xfId="35259" xr:uid="{00000000-0005-0000-0000-0000B2890000}"/>
    <cellStyle name="Normal 3 3 6 7 2 9 3" xfId="35260" xr:uid="{00000000-0005-0000-0000-0000B3890000}"/>
    <cellStyle name="Normal 3 3 6 7 3" xfId="35261" xr:uid="{00000000-0005-0000-0000-0000B4890000}"/>
    <cellStyle name="Normal 3 3 6 7 3 2" xfId="35262" xr:uid="{00000000-0005-0000-0000-0000B5890000}"/>
    <cellStyle name="Normal 3 3 6 7 3 3" xfId="35263" xr:uid="{00000000-0005-0000-0000-0000B6890000}"/>
    <cellStyle name="Normal 3 3 6 7 4" xfId="35264" xr:uid="{00000000-0005-0000-0000-0000B7890000}"/>
    <cellStyle name="Normal 3 3 6 7 4 2" xfId="35265" xr:uid="{00000000-0005-0000-0000-0000B8890000}"/>
    <cellStyle name="Normal 3 3 6 7 4 3" xfId="35266" xr:uid="{00000000-0005-0000-0000-0000B9890000}"/>
    <cellStyle name="Normal 3 3 6 7 5" xfId="35267" xr:uid="{00000000-0005-0000-0000-0000BA890000}"/>
    <cellStyle name="Normal 3 3 6 7 5 2" xfId="35268" xr:uid="{00000000-0005-0000-0000-0000BB890000}"/>
    <cellStyle name="Normal 3 3 6 7 5 3" xfId="35269" xr:uid="{00000000-0005-0000-0000-0000BC890000}"/>
    <cellStyle name="Normal 3 3 6 7 6" xfId="35270" xr:uid="{00000000-0005-0000-0000-0000BD890000}"/>
    <cellStyle name="Normal 3 3 6 7 6 2" xfId="35271" xr:uid="{00000000-0005-0000-0000-0000BE890000}"/>
    <cellStyle name="Normal 3 3 6 7 6 3" xfId="35272" xr:uid="{00000000-0005-0000-0000-0000BF890000}"/>
    <cellStyle name="Normal 3 3 6 7 7" xfId="35273" xr:uid="{00000000-0005-0000-0000-0000C0890000}"/>
    <cellStyle name="Normal 3 3 6 7 7 2" xfId="35274" xr:uid="{00000000-0005-0000-0000-0000C1890000}"/>
    <cellStyle name="Normal 3 3 6 7 7 3" xfId="35275" xr:uid="{00000000-0005-0000-0000-0000C2890000}"/>
    <cellStyle name="Normal 3 3 6 7 8" xfId="35276" xr:uid="{00000000-0005-0000-0000-0000C3890000}"/>
    <cellStyle name="Normal 3 3 6 7 8 2" xfId="35277" xr:uid="{00000000-0005-0000-0000-0000C4890000}"/>
    <cellStyle name="Normal 3 3 6 7 8 3" xfId="35278" xr:uid="{00000000-0005-0000-0000-0000C5890000}"/>
    <cellStyle name="Normal 3 3 6 7 9" xfId="35279" xr:uid="{00000000-0005-0000-0000-0000C6890000}"/>
    <cellStyle name="Normal 3 3 6 7 9 2" xfId="35280" xr:uid="{00000000-0005-0000-0000-0000C7890000}"/>
    <cellStyle name="Normal 3 3 6 7 9 3" xfId="35281" xr:uid="{00000000-0005-0000-0000-0000C8890000}"/>
    <cellStyle name="Normal 3 3 6 8" xfId="35282" xr:uid="{00000000-0005-0000-0000-0000C9890000}"/>
    <cellStyle name="Normal 3 3 6 8 10" xfId="35283" xr:uid="{00000000-0005-0000-0000-0000CA890000}"/>
    <cellStyle name="Normal 3 3 6 8 10 2" xfId="35284" xr:uid="{00000000-0005-0000-0000-0000CB890000}"/>
    <cellStyle name="Normal 3 3 6 8 10 3" xfId="35285" xr:uid="{00000000-0005-0000-0000-0000CC890000}"/>
    <cellStyle name="Normal 3 3 6 8 11" xfId="35286" xr:uid="{00000000-0005-0000-0000-0000CD890000}"/>
    <cellStyle name="Normal 3 3 6 8 11 2" xfId="35287" xr:uid="{00000000-0005-0000-0000-0000CE890000}"/>
    <cellStyle name="Normal 3 3 6 8 11 3" xfId="35288" xr:uid="{00000000-0005-0000-0000-0000CF890000}"/>
    <cellStyle name="Normal 3 3 6 8 12" xfId="35289" xr:uid="{00000000-0005-0000-0000-0000D0890000}"/>
    <cellStyle name="Normal 3 3 6 8 12 2" xfId="35290" xr:uid="{00000000-0005-0000-0000-0000D1890000}"/>
    <cellStyle name="Normal 3 3 6 8 12 3" xfId="35291" xr:uid="{00000000-0005-0000-0000-0000D2890000}"/>
    <cellStyle name="Normal 3 3 6 8 13" xfId="35292" xr:uid="{00000000-0005-0000-0000-0000D3890000}"/>
    <cellStyle name="Normal 3 3 6 8 13 2" xfId="35293" xr:uid="{00000000-0005-0000-0000-0000D4890000}"/>
    <cellStyle name="Normal 3 3 6 8 13 3" xfId="35294" xr:uid="{00000000-0005-0000-0000-0000D5890000}"/>
    <cellStyle name="Normal 3 3 6 8 14" xfId="35295" xr:uid="{00000000-0005-0000-0000-0000D6890000}"/>
    <cellStyle name="Normal 3 3 6 8 14 2" xfId="35296" xr:uid="{00000000-0005-0000-0000-0000D7890000}"/>
    <cellStyle name="Normal 3 3 6 8 14 3" xfId="35297" xr:uid="{00000000-0005-0000-0000-0000D8890000}"/>
    <cellStyle name="Normal 3 3 6 8 15" xfId="35298" xr:uid="{00000000-0005-0000-0000-0000D9890000}"/>
    <cellStyle name="Normal 3 3 6 8 15 2" xfId="35299" xr:uid="{00000000-0005-0000-0000-0000DA890000}"/>
    <cellStyle name="Normal 3 3 6 8 15 3" xfId="35300" xr:uid="{00000000-0005-0000-0000-0000DB890000}"/>
    <cellStyle name="Normal 3 3 6 8 16" xfId="35301" xr:uid="{00000000-0005-0000-0000-0000DC890000}"/>
    <cellStyle name="Normal 3 3 6 8 17" xfId="35302" xr:uid="{00000000-0005-0000-0000-0000DD890000}"/>
    <cellStyle name="Normal 3 3 6 8 2" xfId="35303" xr:uid="{00000000-0005-0000-0000-0000DE890000}"/>
    <cellStyle name="Normal 3 3 6 8 2 10" xfId="35304" xr:uid="{00000000-0005-0000-0000-0000DF890000}"/>
    <cellStyle name="Normal 3 3 6 8 2 10 2" xfId="35305" xr:uid="{00000000-0005-0000-0000-0000E0890000}"/>
    <cellStyle name="Normal 3 3 6 8 2 10 3" xfId="35306" xr:uid="{00000000-0005-0000-0000-0000E1890000}"/>
    <cellStyle name="Normal 3 3 6 8 2 11" xfId="35307" xr:uid="{00000000-0005-0000-0000-0000E2890000}"/>
    <cellStyle name="Normal 3 3 6 8 2 11 2" xfId="35308" xr:uid="{00000000-0005-0000-0000-0000E3890000}"/>
    <cellStyle name="Normal 3 3 6 8 2 11 3" xfId="35309" xr:uid="{00000000-0005-0000-0000-0000E4890000}"/>
    <cellStyle name="Normal 3 3 6 8 2 12" xfId="35310" xr:uid="{00000000-0005-0000-0000-0000E5890000}"/>
    <cellStyle name="Normal 3 3 6 8 2 12 2" xfId="35311" xr:uid="{00000000-0005-0000-0000-0000E6890000}"/>
    <cellStyle name="Normal 3 3 6 8 2 12 3" xfId="35312" xr:uid="{00000000-0005-0000-0000-0000E7890000}"/>
    <cellStyle name="Normal 3 3 6 8 2 13" xfId="35313" xr:uid="{00000000-0005-0000-0000-0000E8890000}"/>
    <cellStyle name="Normal 3 3 6 8 2 13 2" xfId="35314" xr:uid="{00000000-0005-0000-0000-0000E9890000}"/>
    <cellStyle name="Normal 3 3 6 8 2 13 3" xfId="35315" xr:uid="{00000000-0005-0000-0000-0000EA890000}"/>
    <cellStyle name="Normal 3 3 6 8 2 14" xfId="35316" xr:uid="{00000000-0005-0000-0000-0000EB890000}"/>
    <cellStyle name="Normal 3 3 6 8 2 14 2" xfId="35317" xr:uid="{00000000-0005-0000-0000-0000EC890000}"/>
    <cellStyle name="Normal 3 3 6 8 2 14 3" xfId="35318" xr:uid="{00000000-0005-0000-0000-0000ED890000}"/>
    <cellStyle name="Normal 3 3 6 8 2 15" xfId="35319" xr:uid="{00000000-0005-0000-0000-0000EE890000}"/>
    <cellStyle name="Normal 3 3 6 8 2 16" xfId="35320" xr:uid="{00000000-0005-0000-0000-0000EF890000}"/>
    <cellStyle name="Normal 3 3 6 8 2 2" xfId="35321" xr:uid="{00000000-0005-0000-0000-0000F0890000}"/>
    <cellStyle name="Normal 3 3 6 8 2 2 2" xfId="35322" xr:uid="{00000000-0005-0000-0000-0000F1890000}"/>
    <cellStyle name="Normal 3 3 6 8 2 2 3" xfId="35323" xr:uid="{00000000-0005-0000-0000-0000F2890000}"/>
    <cellStyle name="Normal 3 3 6 8 2 3" xfId="35324" xr:uid="{00000000-0005-0000-0000-0000F3890000}"/>
    <cellStyle name="Normal 3 3 6 8 2 3 2" xfId="35325" xr:uid="{00000000-0005-0000-0000-0000F4890000}"/>
    <cellStyle name="Normal 3 3 6 8 2 3 3" xfId="35326" xr:uid="{00000000-0005-0000-0000-0000F5890000}"/>
    <cellStyle name="Normal 3 3 6 8 2 4" xfId="35327" xr:uid="{00000000-0005-0000-0000-0000F6890000}"/>
    <cellStyle name="Normal 3 3 6 8 2 4 2" xfId="35328" xr:uid="{00000000-0005-0000-0000-0000F7890000}"/>
    <cellStyle name="Normal 3 3 6 8 2 4 3" xfId="35329" xr:uid="{00000000-0005-0000-0000-0000F8890000}"/>
    <cellStyle name="Normal 3 3 6 8 2 5" xfId="35330" xr:uid="{00000000-0005-0000-0000-0000F9890000}"/>
    <cellStyle name="Normal 3 3 6 8 2 5 2" xfId="35331" xr:uid="{00000000-0005-0000-0000-0000FA890000}"/>
    <cellStyle name="Normal 3 3 6 8 2 5 3" xfId="35332" xr:uid="{00000000-0005-0000-0000-0000FB890000}"/>
    <cellStyle name="Normal 3 3 6 8 2 6" xfId="35333" xr:uid="{00000000-0005-0000-0000-0000FC890000}"/>
    <cellStyle name="Normal 3 3 6 8 2 6 2" xfId="35334" xr:uid="{00000000-0005-0000-0000-0000FD890000}"/>
    <cellStyle name="Normal 3 3 6 8 2 6 3" xfId="35335" xr:uid="{00000000-0005-0000-0000-0000FE890000}"/>
    <cellStyle name="Normal 3 3 6 8 2 7" xfId="35336" xr:uid="{00000000-0005-0000-0000-0000FF890000}"/>
    <cellStyle name="Normal 3 3 6 8 2 7 2" xfId="35337" xr:uid="{00000000-0005-0000-0000-0000008A0000}"/>
    <cellStyle name="Normal 3 3 6 8 2 7 3" xfId="35338" xr:uid="{00000000-0005-0000-0000-0000018A0000}"/>
    <cellStyle name="Normal 3 3 6 8 2 8" xfId="35339" xr:uid="{00000000-0005-0000-0000-0000028A0000}"/>
    <cellStyle name="Normal 3 3 6 8 2 8 2" xfId="35340" xr:uid="{00000000-0005-0000-0000-0000038A0000}"/>
    <cellStyle name="Normal 3 3 6 8 2 8 3" xfId="35341" xr:uid="{00000000-0005-0000-0000-0000048A0000}"/>
    <cellStyle name="Normal 3 3 6 8 2 9" xfId="35342" xr:uid="{00000000-0005-0000-0000-0000058A0000}"/>
    <cellStyle name="Normal 3 3 6 8 2 9 2" xfId="35343" xr:uid="{00000000-0005-0000-0000-0000068A0000}"/>
    <cellStyle name="Normal 3 3 6 8 2 9 3" xfId="35344" xr:uid="{00000000-0005-0000-0000-0000078A0000}"/>
    <cellStyle name="Normal 3 3 6 8 3" xfId="35345" xr:uid="{00000000-0005-0000-0000-0000088A0000}"/>
    <cellStyle name="Normal 3 3 6 8 3 2" xfId="35346" xr:uid="{00000000-0005-0000-0000-0000098A0000}"/>
    <cellStyle name="Normal 3 3 6 8 3 3" xfId="35347" xr:uid="{00000000-0005-0000-0000-00000A8A0000}"/>
    <cellStyle name="Normal 3 3 6 8 4" xfId="35348" xr:uid="{00000000-0005-0000-0000-00000B8A0000}"/>
    <cellStyle name="Normal 3 3 6 8 4 2" xfId="35349" xr:uid="{00000000-0005-0000-0000-00000C8A0000}"/>
    <cellStyle name="Normal 3 3 6 8 4 3" xfId="35350" xr:uid="{00000000-0005-0000-0000-00000D8A0000}"/>
    <cellStyle name="Normal 3 3 6 8 5" xfId="35351" xr:uid="{00000000-0005-0000-0000-00000E8A0000}"/>
    <cellStyle name="Normal 3 3 6 8 5 2" xfId="35352" xr:uid="{00000000-0005-0000-0000-00000F8A0000}"/>
    <cellStyle name="Normal 3 3 6 8 5 3" xfId="35353" xr:uid="{00000000-0005-0000-0000-0000108A0000}"/>
    <cellStyle name="Normal 3 3 6 8 6" xfId="35354" xr:uid="{00000000-0005-0000-0000-0000118A0000}"/>
    <cellStyle name="Normal 3 3 6 8 6 2" xfId="35355" xr:uid="{00000000-0005-0000-0000-0000128A0000}"/>
    <cellStyle name="Normal 3 3 6 8 6 3" xfId="35356" xr:uid="{00000000-0005-0000-0000-0000138A0000}"/>
    <cellStyle name="Normal 3 3 6 8 7" xfId="35357" xr:uid="{00000000-0005-0000-0000-0000148A0000}"/>
    <cellStyle name="Normal 3 3 6 8 7 2" xfId="35358" xr:uid="{00000000-0005-0000-0000-0000158A0000}"/>
    <cellStyle name="Normal 3 3 6 8 7 3" xfId="35359" xr:uid="{00000000-0005-0000-0000-0000168A0000}"/>
    <cellStyle name="Normal 3 3 6 8 8" xfId="35360" xr:uid="{00000000-0005-0000-0000-0000178A0000}"/>
    <cellStyle name="Normal 3 3 6 8 8 2" xfId="35361" xr:uid="{00000000-0005-0000-0000-0000188A0000}"/>
    <cellStyle name="Normal 3 3 6 8 8 3" xfId="35362" xr:uid="{00000000-0005-0000-0000-0000198A0000}"/>
    <cellStyle name="Normal 3 3 6 8 9" xfId="35363" xr:uid="{00000000-0005-0000-0000-00001A8A0000}"/>
    <cellStyle name="Normal 3 3 6 8 9 2" xfId="35364" xr:uid="{00000000-0005-0000-0000-00001B8A0000}"/>
    <cellStyle name="Normal 3 3 6 8 9 3" xfId="35365" xr:uid="{00000000-0005-0000-0000-00001C8A0000}"/>
    <cellStyle name="Normal 3 3 6 9" xfId="35366" xr:uid="{00000000-0005-0000-0000-00001D8A0000}"/>
    <cellStyle name="Normal 3 3 6 9 10" xfId="35367" xr:uid="{00000000-0005-0000-0000-00001E8A0000}"/>
    <cellStyle name="Normal 3 3 6 9 10 2" xfId="35368" xr:uid="{00000000-0005-0000-0000-00001F8A0000}"/>
    <cellStyle name="Normal 3 3 6 9 10 3" xfId="35369" xr:uid="{00000000-0005-0000-0000-0000208A0000}"/>
    <cellStyle name="Normal 3 3 6 9 11" xfId="35370" xr:uid="{00000000-0005-0000-0000-0000218A0000}"/>
    <cellStyle name="Normal 3 3 6 9 11 2" xfId="35371" xr:uid="{00000000-0005-0000-0000-0000228A0000}"/>
    <cellStyle name="Normal 3 3 6 9 11 3" xfId="35372" xr:uid="{00000000-0005-0000-0000-0000238A0000}"/>
    <cellStyle name="Normal 3 3 6 9 12" xfId="35373" xr:uid="{00000000-0005-0000-0000-0000248A0000}"/>
    <cellStyle name="Normal 3 3 6 9 12 2" xfId="35374" xr:uid="{00000000-0005-0000-0000-0000258A0000}"/>
    <cellStyle name="Normal 3 3 6 9 12 3" xfId="35375" xr:uid="{00000000-0005-0000-0000-0000268A0000}"/>
    <cellStyle name="Normal 3 3 6 9 13" xfId="35376" xr:uid="{00000000-0005-0000-0000-0000278A0000}"/>
    <cellStyle name="Normal 3 3 6 9 13 2" xfId="35377" xr:uid="{00000000-0005-0000-0000-0000288A0000}"/>
    <cellStyle name="Normal 3 3 6 9 13 3" xfId="35378" xr:uid="{00000000-0005-0000-0000-0000298A0000}"/>
    <cellStyle name="Normal 3 3 6 9 14" xfId="35379" xr:uid="{00000000-0005-0000-0000-00002A8A0000}"/>
    <cellStyle name="Normal 3 3 6 9 14 2" xfId="35380" xr:uid="{00000000-0005-0000-0000-00002B8A0000}"/>
    <cellStyle name="Normal 3 3 6 9 14 3" xfId="35381" xr:uid="{00000000-0005-0000-0000-00002C8A0000}"/>
    <cellStyle name="Normal 3 3 6 9 15" xfId="35382" xr:uid="{00000000-0005-0000-0000-00002D8A0000}"/>
    <cellStyle name="Normal 3 3 6 9 16" xfId="35383" xr:uid="{00000000-0005-0000-0000-00002E8A0000}"/>
    <cellStyle name="Normal 3 3 6 9 2" xfId="35384" xr:uid="{00000000-0005-0000-0000-00002F8A0000}"/>
    <cellStyle name="Normal 3 3 6 9 2 2" xfId="35385" xr:uid="{00000000-0005-0000-0000-0000308A0000}"/>
    <cellStyle name="Normal 3 3 6 9 2 3" xfId="35386" xr:uid="{00000000-0005-0000-0000-0000318A0000}"/>
    <cellStyle name="Normal 3 3 6 9 3" xfId="35387" xr:uid="{00000000-0005-0000-0000-0000328A0000}"/>
    <cellStyle name="Normal 3 3 6 9 3 2" xfId="35388" xr:uid="{00000000-0005-0000-0000-0000338A0000}"/>
    <cellStyle name="Normal 3 3 6 9 3 3" xfId="35389" xr:uid="{00000000-0005-0000-0000-0000348A0000}"/>
    <cellStyle name="Normal 3 3 6 9 4" xfId="35390" xr:uid="{00000000-0005-0000-0000-0000358A0000}"/>
    <cellStyle name="Normal 3 3 6 9 4 2" xfId="35391" xr:uid="{00000000-0005-0000-0000-0000368A0000}"/>
    <cellStyle name="Normal 3 3 6 9 4 3" xfId="35392" xr:uid="{00000000-0005-0000-0000-0000378A0000}"/>
    <cellStyle name="Normal 3 3 6 9 5" xfId="35393" xr:uid="{00000000-0005-0000-0000-0000388A0000}"/>
    <cellStyle name="Normal 3 3 6 9 5 2" xfId="35394" xr:uid="{00000000-0005-0000-0000-0000398A0000}"/>
    <cellStyle name="Normal 3 3 6 9 5 3" xfId="35395" xr:uid="{00000000-0005-0000-0000-00003A8A0000}"/>
    <cellStyle name="Normal 3 3 6 9 6" xfId="35396" xr:uid="{00000000-0005-0000-0000-00003B8A0000}"/>
    <cellStyle name="Normal 3 3 6 9 6 2" xfId="35397" xr:uid="{00000000-0005-0000-0000-00003C8A0000}"/>
    <cellStyle name="Normal 3 3 6 9 6 3" xfId="35398" xr:uid="{00000000-0005-0000-0000-00003D8A0000}"/>
    <cellStyle name="Normal 3 3 6 9 7" xfId="35399" xr:uid="{00000000-0005-0000-0000-00003E8A0000}"/>
    <cellStyle name="Normal 3 3 6 9 7 2" xfId="35400" xr:uid="{00000000-0005-0000-0000-00003F8A0000}"/>
    <cellStyle name="Normal 3 3 6 9 7 3" xfId="35401" xr:uid="{00000000-0005-0000-0000-0000408A0000}"/>
    <cellStyle name="Normal 3 3 6 9 8" xfId="35402" xr:uid="{00000000-0005-0000-0000-0000418A0000}"/>
    <cellStyle name="Normal 3 3 6 9 8 2" xfId="35403" xr:uid="{00000000-0005-0000-0000-0000428A0000}"/>
    <cellStyle name="Normal 3 3 6 9 8 3" xfId="35404" xr:uid="{00000000-0005-0000-0000-0000438A0000}"/>
    <cellStyle name="Normal 3 3 6 9 9" xfId="35405" xr:uid="{00000000-0005-0000-0000-0000448A0000}"/>
    <cellStyle name="Normal 3 3 6 9 9 2" xfId="35406" xr:uid="{00000000-0005-0000-0000-0000458A0000}"/>
    <cellStyle name="Normal 3 3 6 9 9 3" xfId="35407" xr:uid="{00000000-0005-0000-0000-0000468A0000}"/>
    <cellStyle name="Normal 3 3 7" xfId="35408" xr:uid="{00000000-0005-0000-0000-0000478A0000}"/>
    <cellStyle name="Normal 3 3 7 10" xfId="35409" xr:uid="{00000000-0005-0000-0000-0000488A0000}"/>
    <cellStyle name="Normal 3 3 7 10 10" xfId="35410" xr:uid="{00000000-0005-0000-0000-0000498A0000}"/>
    <cellStyle name="Normal 3 3 7 10 10 2" xfId="35411" xr:uid="{00000000-0005-0000-0000-00004A8A0000}"/>
    <cellStyle name="Normal 3 3 7 10 10 3" xfId="35412" xr:uid="{00000000-0005-0000-0000-00004B8A0000}"/>
    <cellStyle name="Normal 3 3 7 10 11" xfId="35413" xr:uid="{00000000-0005-0000-0000-00004C8A0000}"/>
    <cellStyle name="Normal 3 3 7 10 11 2" xfId="35414" xr:uid="{00000000-0005-0000-0000-00004D8A0000}"/>
    <cellStyle name="Normal 3 3 7 10 11 3" xfId="35415" xr:uid="{00000000-0005-0000-0000-00004E8A0000}"/>
    <cellStyle name="Normal 3 3 7 10 12" xfId="35416" xr:uid="{00000000-0005-0000-0000-00004F8A0000}"/>
    <cellStyle name="Normal 3 3 7 10 12 2" xfId="35417" xr:uid="{00000000-0005-0000-0000-0000508A0000}"/>
    <cellStyle name="Normal 3 3 7 10 12 3" xfId="35418" xr:uid="{00000000-0005-0000-0000-0000518A0000}"/>
    <cellStyle name="Normal 3 3 7 10 13" xfId="35419" xr:uid="{00000000-0005-0000-0000-0000528A0000}"/>
    <cellStyle name="Normal 3 3 7 10 13 2" xfId="35420" xr:uid="{00000000-0005-0000-0000-0000538A0000}"/>
    <cellStyle name="Normal 3 3 7 10 13 3" xfId="35421" xr:uid="{00000000-0005-0000-0000-0000548A0000}"/>
    <cellStyle name="Normal 3 3 7 10 14" xfId="35422" xr:uid="{00000000-0005-0000-0000-0000558A0000}"/>
    <cellStyle name="Normal 3 3 7 10 14 2" xfId="35423" xr:uid="{00000000-0005-0000-0000-0000568A0000}"/>
    <cellStyle name="Normal 3 3 7 10 14 3" xfId="35424" xr:uid="{00000000-0005-0000-0000-0000578A0000}"/>
    <cellStyle name="Normal 3 3 7 10 15" xfId="35425" xr:uid="{00000000-0005-0000-0000-0000588A0000}"/>
    <cellStyle name="Normal 3 3 7 10 16" xfId="35426" xr:uid="{00000000-0005-0000-0000-0000598A0000}"/>
    <cellStyle name="Normal 3 3 7 10 2" xfId="35427" xr:uid="{00000000-0005-0000-0000-00005A8A0000}"/>
    <cellStyle name="Normal 3 3 7 10 2 2" xfId="35428" xr:uid="{00000000-0005-0000-0000-00005B8A0000}"/>
    <cellStyle name="Normal 3 3 7 10 2 3" xfId="35429" xr:uid="{00000000-0005-0000-0000-00005C8A0000}"/>
    <cellStyle name="Normal 3 3 7 10 3" xfId="35430" xr:uid="{00000000-0005-0000-0000-00005D8A0000}"/>
    <cellStyle name="Normal 3 3 7 10 3 2" xfId="35431" xr:uid="{00000000-0005-0000-0000-00005E8A0000}"/>
    <cellStyle name="Normal 3 3 7 10 3 3" xfId="35432" xr:uid="{00000000-0005-0000-0000-00005F8A0000}"/>
    <cellStyle name="Normal 3 3 7 10 4" xfId="35433" xr:uid="{00000000-0005-0000-0000-0000608A0000}"/>
    <cellStyle name="Normal 3 3 7 10 4 2" xfId="35434" xr:uid="{00000000-0005-0000-0000-0000618A0000}"/>
    <cellStyle name="Normal 3 3 7 10 4 3" xfId="35435" xr:uid="{00000000-0005-0000-0000-0000628A0000}"/>
    <cellStyle name="Normal 3 3 7 10 5" xfId="35436" xr:uid="{00000000-0005-0000-0000-0000638A0000}"/>
    <cellStyle name="Normal 3 3 7 10 5 2" xfId="35437" xr:uid="{00000000-0005-0000-0000-0000648A0000}"/>
    <cellStyle name="Normal 3 3 7 10 5 3" xfId="35438" xr:uid="{00000000-0005-0000-0000-0000658A0000}"/>
    <cellStyle name="Normal 3 3 7 10 6" xfId="35439" xr:uid="{00000000-0005-0000-0000-0000668A0000}"/>
    <cellStyle name="Normal 3 3 7 10 6 2" xfId="35440" xr:uid="{00000000-0005-0000-0000-0000678A0000}"/>
    <cellStyle name="Normal 3 3 7 10 6 3" xfId="35441" xr:uid="{00000000-0005-0000-0000-0000688A0000}"/>
    <cellStyle name="Normal 3 3 7 10 7" xfId="35442" xr:uid="{00000000-0005-0000-0000-0000698A0000}"/>
    <cellStyle name="Normal 3 3 7 10 7 2" xfId="35443" xr:uid="{00000000-0005-0000-0000-00006A8A0000}"/>
    <cellStyle name="Normal 3 3 7 10 7 3" xfId="35444" xr:uid="{00000000-0005-0000-0000-00006B8A0000}"/>
    <cellStyle name="Normal 3 3 7 10 8" xfId="35445" xr:uid="{00000000-0005-0000-0000-00006C8A0000}"/>
    <cellStyle name="Normal 3 3 7 10 8 2" xfId="35446" xr:uid="{00000000-0005-0000-0000-00006D8A0000}"/>
    <cellStyle name="Normal 3 3 7 10 8 3" xfId="35447" xr:uid="{00000000-0005-0000-0000-00006E8A0000}"/>
    <cellStyle name="Normal 3 3 7 10 9" xfId="35448" xr:uid="{00000000-0005-0000-0000-00006F8A0000}"/>
    <cellStyle name="Normal 3 3 7 10 9 2" xfId="35449" xr:uid="{00000000-0005-0000-0000-0000708A0000}"/>
    <cellStyle name="Normal 3 3 7 10 9 3" xfId="35450" xr:uid="{00000000-0005-0000-0000-0000718A0000}"/>
    <cellStyle name="Normal 3 3 7 11" xfId="35451" xr:uid="{00000000-0005-0000-0000-0000728A0000}"/>
    <cellStyle name="Normal 3 3 7 11 2" xfId="35452" xr:uid="{00000000-0005-0000-0000-0000738A0000}"/>
    <cellStyle name="Normal 3 3 7 11 3" xfId="35453" xr:uid="{00000000-0005-0000-0000-0000748A0000}"/>
    <cellStyle name="Normal 3 3 7 12" xfId="35454" xr:uid="{00000000-0005-0000-0000-0000758A0000}"/>
    <cellStyle name="Normal 3 3 7 12 2" xfId="35455" xr:uid="{00000000-0005-0000-0000-0000768A0000}"/>
    <cellStyle name="Normal 3 3 7 12 3" xfId="35456" xr:uid="{00000000-0005-0000-0000-0000778A0000}"/>
    <cellStyle name="Normal 3 3 7 13" xfId="35457" xr:uid="{00000000-0005-0000-0000-0000788A0000}"/>
    <cellStyle name="Normal 3 3 7 13 2" xfId="35458" xr:uid="{00000000-0005-0000-0000-0000798A0000}"/>
    <cellStyle name="Normal 3 3 7 13 3" xfId="35459" xr:uid="{00000000-0005-0000-0000-00007A8A0000}"/>
    <cellStyle name="Normal 3 3 7 14" xfId="35460" xr:uid="{00000000-0005-0000-0000-00007B8A0000}"/>
    <cellStyle name="Normal 3 3 7 14 2" xfId="35461" xr:uid="{00000000-0005-0000-0000-00007C8A0000}"/>
    <cellStyle name="Normal 3 3 7 14 3" xfId="35462" xr:uid="{00000000-0005-0000-0000-00007D8A0000}"/>
    <cellStyle name="Normal 3 3 7 15" xfId="35463" xr:uid="{00000000-0005-0000-0000-00007E8A0000}"/>
    <cellStyle name="Normal 3 3 7 15 2" xfId="35464" xr:uid="{00000000-0005-0000-0000-00007F8A0000}"/>
    <cellStyle name="Normal 3 3 7 15 3" xfId="35465" xr:uid="{00000000-0005-0000-0000-0000808A0000}"/>
    <cellStyle name="Normal 3 3 7 16" xfId="35466" xr:uid="{00000000-0005-0000-0000-0000818A0000}"/>
    <cellStyle name="Normal 3 3 7 16 2" xfId="35467" xr:uid="{00000000-0005-0000-0000-0000828A0000}"/>
    <cellStyle name="Normal 3 3 7 16 3" xfId="35468" xr:uid="{00000000-0005-0000-0000-0000838A0000}"/>
    <cellStyle name="Normal 3 3 7 17" xfId="35469" xr:uid="{00000000-0005-0000-0000-0000848A0000}"/>
    <cellStyle name="Normal 3 3 7 17 2" xfId="35470" xr:uid="{00000000-0005-0000-0000-0000858A0000}"/>
    <cellStyle name="Normal 3 3 7 17 3" xfId="35471" xr:uid="{00000000-0005-0000-0000-0000868A0000}"/>
    <cellStyle name="Normal 3 3 7 18" xfId="35472" xr:uid="{00000000-0005-0000-0000-0000878A0000}"/>
    <cellStyle name="Normal 3 3 7 18 2" xfId="35473" xr:uid="{00000000-0005-0000-0000-0000888A0000}"/>
    <cellStyle name="Normal 3 3 7 18 3" xfId="35474" xr:uid="{00000000-0005-0000-0000-0000898A0000}"/>
    <cellStyle name="Normal 3 3 7 19" xfId="35475" xr:uid="{00000000-0005-0000-0000-00008A8A0000}"/>
    <cellStyle name="Normal 3 3 7 19 2" xfId="35476" xr:uid="{00000000-0005-0000-0000-00008B8A0000}"/>
    <cellStyle name="Normal 3 3 7 19 3" xfId="35477" xr:uid="{00000000-0005-0000-0000-00008C8A0000}"/>
    <cellStyle name="Normal 3 3 7 2" xfId="35478" xr:uid="{00000000-0005-0000-0000-00008D8A0000}"/>
    <cellStyle name="Normal 3 3 7 2 10" xfId="35479" xr:uid="{00000000-0005-0000-0000-00008E8A0000}"/>
    <cellStyle name="Normal 3 3 7 2 10 2" xfId="35480" xr:uid="{00000000-0005-0000-0000-00008F8A0000}"/>
    <cellStyle name="Normal 3 3 7 2 10 3" xfId="35481" xr:uid="{00000000-0005-0000-0000-0000908A0000}"/>
    <cellStyle name="Normal 3 3 7 2 11" xfId="35482" xr:uid="{00000000-0005-0000-0000-0000918A0000}"/>
    <cellStyle name="Normal 3 3 7 2 11 2" xfId="35483" xr:uid="{00000000-0005-0000-0000-0000928A0000}"/>
    <cellStyle name="Normal 3 3 7 2 11 3" xfId="35484" xr:uid="{00000000-0005-0000-0000-0000938A0000}"/>
    <cellStyle name="Normal 3 3 7 2 12" xfId="35485" xr:uid="{00000000-0005-0000-0000-0000948A0000}"/>
    <cellStyle name="Normal 3 3 7 2 12 2" xfId="35486" xr:uid="{00000000-0005-0000-0000-0000958A0000}"/>
    <cellStyle name="Normal 3 3 7 2 12 3" xfId="35487" xr:uid="{00000000-0005-0000-0000-0000968A0000}"/>
    <cellStyle name="Normal 3 3 7 2 13" xfId="35488" xr:uid="{00000000-0005-0000-0000-0000978A0000}"/>
    <cellStyle name="Normal 3 3 7 2 13 2" xfId="35489" xr:uid="{00000000-0005-0000-0000-0000988A0000}"/>
    <cellStyle name="Normal 3 3 7 2 13 3" xfId="35490" xr:uid="{00000000-0005-0000-0000-0000998A0000}"/>
    <cellStyle name="Normal 3 3 7 2 14" xfId="35491" xr:uid="{00000000-0005-0000-0000-00009A8A0000}"/>
    <cellStyle name="Normal 3 3 7 2 14 2" xfId="35492" xr:uid="{00000000-0005-0000-0000-00009B8A0000}"/>
    <cellStyle name="Normal 3 3 7 2 14 3" xfId="35493" xr:uid="{00000000-0005-0000-0000-00009C8A0000}"/>
    <cellStyle name="Normal 3 3 7 2 15" xfId="35494" xr:uid="{00000000-0005-0000-0000-00009D8A0000}"/>
    <cellStyle name="Normal 3 3 7 2 15 2" xfId="35495" xr:uid="{00000000-0005-0000-0000-00009E8A0000}"/>
    <cellStyle name="Normal 3 3 7 2 15 3" xfId="35496" xr:uid="{00000000-0005-0000-0000-00009F8A0000}"/>
    <cellStyle name="Normal 3 3 7 2 16" xfId="35497" xr:uid="{00000000-0005-0000-0000-0000A08A0000}"/>
    <cellStyle name="Normal 3 3 7 2 17" xfId="35498" xr:uid="{00000000-0005-0000-0000-0000A18A0000}"/>
    <cellStyle name="Normal 3 3 7 2 2" xfId="35499" xr:uid="{00000000-0005-0000-0000-0000A28A0000}"/>
    <cellStyle name="Normal 3 3 7 2 2 10" xfId="35500" xr:uid="{00000000-0005-0000-0000-0000A38A0000}"/>
    <cellStyle name="Normal 3 3 7 2 2 10 2" xfId="35501" xr:uid="{00000000-0005-0000-0000-0000A48A0000}"/>
    <cellStyle name="Normal 3 3 7 2 2 10 3" xfId="35502" xr:uid="{00000000-0005-0000-0000-0000A58A0000}"/>
    <cellStyle name="Normal 3 3 7 2 2 11" xfId="35503" xr:uid="{00000000-0005-0000-0000-0000A68A0000}"/>
    <cellStyle name="Normal 3 3 7 2 2 11 2" xfId="35504" xr:uid="{00000000-0005-0000-0000-0000A78A0000}"/>
    <cellStyle name="Normal 3 3 7 2 2 11 3" xfId="35505" xr:uid="{00000000-0005-0000-0000-0000A88A0000}"/>
    <cellStyle name="Normal 3 3 7 2 2 12" xfId="35506" xr:uid="{00000000-0005-0000-0000-0000A98A0000}"/>
    <cellStyle name="Normal 3 3 7 2 2 12 2" xfId="35507" xr:uid="{00000000-0005-0000-0000-0000AA8A0000}"/>
    <cellStyle name="Normal 3 3 7 2 2 12 3" xfId="35508" xr:uid="{00000000-0005-0000-0000-0000AB8A0000}"/>
    <cellStyle name="Normal 3 3 7 2 2 13" xfId="35509" xr:uid="{00000000-0005-0000-0000-0000AC8A0000}"/>
    <cellStyle name="Normal 3 3 7 2 2 13 2" xfId="35510" xr:uid="{00000000-0005-0000-0000-0000AD8A0000}"/>
    <cellStyle name="Normal 3 3 7 2 2 13 3" xfId="35511" xr:uid="{00000000-0005-0000-0000-0000AE8A0000}"/>
    <cellStyle name="Normal 3 3 7 2 2 14" xfId="35512" xr:uid="{00000000-0005-0000-0000-0000AF8A0000}"/>
    <cellStyle name="Normal 3 3 7 2 2 14 2" xfId="35513" xr:uid="{00000000-0005-0000-0000-0000B08A0000}"/>
    <cellStyle name="Normal 3 3 7 2 2 14 3" xfId="35514" xr:uid="{00000000-0005-0000-0000-0000B18A0000}"/>
    <cellStyle name="Normal 3 3 7 2 2 15" xfId="35515" xr:uid="{00000000-0005-0000-0000-0000B28A0000}"/>
    <cellStyle name="Normal 3 3 7 2 2 16" xfId="35516" xr:uid="{00000000-0005-0000-0000-0000B38A0000}"/>
    <cellStyle name="Normal 3 3 7 2 2 2" xfId="35517" xr:uid="{00000000-0005-0000-0000-0000B48A0000}"/>
    <cellStyle name="Normal 3 3 7 2 2 2 2" xfId="35518" xr:uid="{00000000-0005-0000-0000-0000B58A0000}"/>
    <cellStyle name="Normal 3 3 7 2 2 2 3" xfId="35519" xr:uid="{00000000-0005-0000-0000-0000B68A0000}"/>
    <cellStyle name="Normal 3 3 7 2 2 3" xfId="35520" xr:uid="{00000000-0005-0000-0000-0000B78A0000}"/>
    <cellStyle name="Normal 3 3 7 2 2 3 2" xfId="35521" xr:uid="{00000000-0005-0000-0000-0000B88A0000}"/>
    <cellStyle name="Normal 3 3 7 2 2 3 3" xfId="35522" xr:uid="{00000000-0005-0000-0000-0000B98A0000}"/>
    <cellStyle name="Normal 3 3 7 2 2 4" xfId="35523" xr:uid="{00000000-0005-0000-0000-0000BA8A0000}"/>
    <cellStyle name="Normal 3 3 7 2 2 4 2" xfId="35524" xr:uid="{00000000-0005-0000-0000-0000BB8A0000}"/>
    <cellStyle name="Normal 3 3 7 2 2 4 3" xfId="35525" xr:uid="{00000000-0005-0000-0000-0000BC8A0000}"/>
    <cellStyle name="Normal 3 3 7 2 2 5" xfId="35526" xr:uid="{00000000-0005-0000-0000-0000BD8A0000}"/>
    <cellStyle name="Normal 3 3 7 2 2 5 2" xfId="35527" xr:uid="{00000000-0005-0000-0000-0000BE8A0000}"/>
    <cellStyle name="Normal 3 3 7 2 2 5 3" xfId="35528" xr:uid="{00000000-0005-0000-0000-0000BF8A0000}"/>
    <cellStyle name="Normal 3 3 7 2 2 6" xfId="35529" xr:uid="{00000000-0005-0000-0000-0000C08A0000}"/>
    <cellStyle name="Normal 3 3 7 2 2 6 2" xfId="35530" xr:uid="{00000000-0005-0000-0000-0000C18A0000}"/>
    <cellStyle name="Normal 3 3 7 2 2 6 3" xfId="35531" xr:uid="{00000000-0005-0000-0000-0000C28A0000}"/>
    <cellStyle name="Normal 3 3 7 2 2 7" xfId="35532" xr:uid="{00000000-0005-0000-0000-0000C38A0000}"/>
    <cellStyle name="Normal 3 3 7 2 2 7 2" xfId="35533" xr:uid="{00000000-0005-0000-0000-0000C48A0000}"/>
    <cellStyle name="Normal 3 3 7 2 2 7 3" xfId="35534" xr:uid="{00000000-0005-0000-0000-0000C58A0000}"/>
    <cellStyle name="Normal 3 3 7 2 2 8" xfId="35535" xr:uid="{00000000-0005-0000-0000-0000C68A0000}"/>
    <cellStyle name="Normal 3 3 7 2 2 8 2" xfId="35536" xr:uid="{00000000-0005-0000-0000-0000C78A0000}"/>
    <cellStyle name="Normal 3 3 7 2 2 8 3" xfId="35537" xr:uid="{00000000-0005-0000-0000-0000C88A0000}"/>
    <cellStyle name="Normal 3 3 7 2 2 9" xfId="35538" xr:uid="{00000000-0005-0000-0000-0000C98A0000}"/>
    <cellStyle name="Normal 3 3 7 2 2 9 2" xfId="35539" xr:uid="{00000000-0005-0000-0000-0000CA8A0000}"/>
    <cellStyle name="Normal 3 3 7 2 2 9 3" xfId="35540" xr:uid="{00000000-0005-0000-0000-0000CB8A0000}"/>
    <cellStyle name="Normal 3 3 7 2 3" xfId="35541" xr:uid="{00000000-0005-0000-0000-0000CC8A0000}"/>
    <cellStyle name="Normal 3 3 7 2 3 2" xfId="35542" xr:uid="{00000000-0005-0000-0000-0000CD8A0000}"/>
    <cellStyle name="Normal 3 3 7 2 3 3" xfId="35543" xr:uid="{00000000-0005-0000-0000-0000CE8A0000}"/>
    <cellStyle name="Normal 3 3 7 2 4" xfId="35544" xr:uid="{00000000-0005-0000-0000-0000CF8A0000}"/>
    <cellStyle name="Normal 3 3 7 2 4 2" xfId="35545" xr:uid="{00000000-0005-0000-0000-0000D08A0000}"/>
    <cellStyle name="Normal 3 3 7 2 4 3" xfId="35546" xr:uid="{00000000-0005-0000-0000-0000D18A0000}"/>
    <cellStyle name="Normal 3 3 7 2 5" xfId="35547" xr:uid="{00000000-0005-0000-0000-0000D28A0000}"/>
    <cellStyle name="Normal 3 3 7 2 5 2" xfId="35548" xr:uid="{00000000-0005-0000-0000-0000D38A0000}"/>
    <cellStyle name="Normal 3 3 7 2 5 3" xfId="35549" xr:uid="{00000000-0005-0000-0000-0000D48A0000}"/>
    <cellStyle name="Normal 3 3 7 2 6" xfId="35550" xr:uid="{00000000-0005-0000-0000-0000D58A0000}"/>
    <cellStyle name="Normal 3 3 7 2 6 2" xfId="35551" xr:uid="{00000000-0005-0000-0000-0000D68A0000}"/>
    <cellStyle name="Normal 3 3 7 2 6 3" xfId="35552" xr:uid="{00000000-0005-0000-0000-0000D78A0000}"/>
    <cellStyle name="Normal 3 3 7 2 7" xfId="35553" xr:uid="{00000000-0005-0000-0000-0000D88A0000}"/>
    <cellStyle name="Normal 3 3 7 2 7 2" xfId="35554" xr:uid="{00000000-0005-0000-0000-0000D98A0000}"/>
    <cellStyle name="Normal 3 3 7 2 7 3" xfId="35555" xr:uid="{00000000-0005-0000-0000-0000DA8A0000}"/>
    <cellStyle name="Normal 3 3 7 2 8" xfId="35556" xr:uid="{00000000-0005-0000-0000-0000DB8A0000}"/>
    <cellStyle name="Normal 3 3 7 2 8 2" xfId="35557" xr:uid="{00000000-0005-0000-0000-0000DC8A0000}"/>
    <cellStyle name="Normal 3 3 7 2 8 3" xfId="35558" xr:uid="{00000000-0005-0000-0000-0000DD8A0000}"/>
    <cellStyle name="Normal 3 3 7 2 9" xfId="35559" xr:uid="{00000000-0005-0000-0000-0000DE8A0000}"/>
    <cellStyle name="Normal 3 3 7 2 9 2" xfId="35560" xr:uid="{00000000-0005-0000-0000-0000DF8A0000}"/>
    <cellStyle name="Normal 3 3 7 2 9 3" xfId="35561" xr:uid="{00000000-0005-0000-0000-0000E08A0000}"/>
    <cellStyle name="Normal 3 3 7 20" xfId="35562" xr:uid="{00000000-0005-0000-0000-0000E18A0000}"/>
    <cellStyle name="Normal 3 3 7 20 2" xfId="35563" xr:uid="{00000000-0005-0000-0000-0000E28A0000}"/>
    <cellStyle name="Normal 3 3 7 20 3" xfId="35564" xr:uid="{00000000-0005-0000-0000-0000E38A0000}"/>
    <cellStyle name="Normal 3 3 7 21" xfId="35565" xr:uid="{00000000-0005-0000-0000-0000E48A0000}"/>
    <cellStyle name="Normal 3 3 7 21 2" xfId="35566" xr:uid="{00000000-0005-0000-0000-0000E58A0000}"/>
    <cellStyle name="Normal 3 3 7 21 3" xfId="35567" xr:uid="{00000000-0005-0000-0000-0000E68A0000}"/>
    <cellStyle name="Normal 3 3 7 22" xfId="35568" xr:uid="{00000000-0005-0000-0000-0000E78A0000}"/>
    <cellStyle name="Normal 3 3 7 22 2" xfId="35569" xr:uid="{00000000-0005-0000-0000-0000E88A0000}"/>
    <cellStyle name="Normal 3 3 7 22 3" xfId="35570" xr:uid="{00000000-0005-0000-0000-0000E98A0000}"/>
    <cellStyle name="Normal 3 3 7 23" xfId="35571" xr:uid="{00000000-0005-0000-0000-0000EA8A0000}"/>
    <cellStyle name="Normal 3 3 7 23 2" xfId="35572" xr:uid="{00000000-0005-0000-0000-0000EB8A0000}"/>
    <cellStyle name="Normal 3 3 7 23 3" xfId="35573" xr:uid="{00000000-0005-0000-0000-0000EC8A0000}"/>
    <cellStyle name="Normal 3 3 7 24" xfId="35574" xr:uid="{00000000-0005-0000-0000-0000ED8A0000}"/>
    <cellStyle name="Normal 3 3 7 25" xfId="35575" xr:uid="{00000000-0005-0000-0000-0000EE8A0000}"/>
    <cellStyle name="Normal 3 3 7 3" xfId="35576" xr:uid="{00000000-0005-0000-0000-0000EF8A0000}"/>
    <cellStyle name="Normal 3 3 7 3 10" xfId="35577" xr:uid="{00000000-0005-0000-0000-0000F08A0000}"/>
    <cellStyle name="Normal 3 3 7 3 10 2" xfId="35578" xr:uid="{00000000-0005-0000-0000-0000F18A0000}"/>
    <cellStyle name="Normal 3 3 7 3 10 3" xfId="35579" xr:uid="{00000000-0005-0000-0000-0000F28A0000}"/>
    <cellStyle name="Normal 3 3 7 3 11" xfId="35580" xr:uid="{00000000-0005-0000-0000-0000F38A0000}"/>
    <cellStyle name="Normal 3 3 7 3 11 2" xfId="35581" xr:uid="{00000000-0005-0000-0000-0000F48A0000}"/>
    <cellStyle name="Normal 3 3 7 3 11 3" xfId="35582" xr:uid="{00000000-0005-0000-0000-0000F58A0000}"/>
    <cellStyle name="Normal 3 3 7 3 12" xfId="35583" xr:uid="{00000000-0005-0000-0000-0000F68A0000}"/>
    <cellStyle name="Normal 3 3 7 3 12 2" xfId="35584" xr:uid="{00000000-0005-0000-0000-0000F78A0000}"/>
    <cellStyle name="Normal 3 3 7 3 12 3" xfId="35585" xr:uid="{00000000-0005-0000-0000-0000F88A0000}"/>
    <cellStyle name="Normal 3 3 7 3 13" xfId="35586" xr:uid="{00000000-0005-0000-0000-0000F98A0000}"/>
    <cellStyle name="Normal 3 3 7 3 13 2" xfId="35587" xr:uid="{00000000-0005-0000-0000-0000FA8A0000}"/>
    <cellStyle name="Normal 3 3 7 3 13 3" xfId="35588" xr:uid="{00000000-0005-0000-0000-0000FB8A0000}"/>
    <cellStyle name="Normal 3 3 7 3 14" xfId="35589" xr:uid="{00000000-0005-0000-0000-0000FC8A0000}"/>
    <cellStyle name="Normal 3 3 7 3 14 2" xfId="35590" xr:uid="{00000000-0005-0000-0000-0000FD8A0000}"/>
    <cellStyle name="Normal 3 3 7 3 14 3" xfId="35591" xr:uid="{00000000-0005-0000-0000-0000FE8A0000}"/>
    <cellStyle name="Normal 3 3 7 3 15" xfId="35592" xr:uid="{00000000-0005-0000-0000-0000FF8A0000}"/>
    <cellStyle name="Normal 3 3 7 3 15 2" xfId="35593" xr:uid="{00000000-0005-0000-0000-0000008B0000}"/>
    <cellStyle name="Normal 3 3 7 3 15 3" xfId="35594" xr:uid="{00000000-0005-0000-0000-0000018B0000}"/>
    <cellStyle name="Normal 3 3 7 3 16" xfId="35595" xr:uid="{00000000-0005-0000-0000-0000028B0000}"/>
    <cellStyle name="Normal 3 3 7 3 17" xfId="35596" xr:uid="{00000000-0005-0000-0000-0000038B0000}"/>
    <cellStyle name="Normal 3 3 7 3 2" xfId="35597" xr:uid="{00000000-0005-0000-0000-0000048B0000}"/>
    <cellStyle name="Normal 3 3 7 3 2 10" xfId="35598" xr:uid="{00000000-0005-0000-0000-0000058B0000}"/>
    <cellStyle name="Normal 3 3 7 3 2 10 2" xfId="35599" xr:uid="{00000000-0005-0000-0000-0000068B0000}"/>
    <cellStyle name="Normal 3 3 7 3 2 10 3" xfId="35600" xr:uid="{00000000-0005-0000-0000-0000078B0000}"/>
    <cellStyle name="Normal 3 3 7 3 2 11" xfId="35601" xr:uid="{00000000-0005-0000-0000-0000088B0000}"/>
    <cellStyle name="Normal 3 3 7 3 2 11 2" xfId="35602" xr:uid="{00000000-0005-0000-0000-0000098B0000}"/>
    <cellStyle name="Normal 3 3 7 3 2 11 3" xfId="35603" xr:uid="{00000000-0005-0000-0000-00000A8B0000}"/>
    <cellStyle name="Normal 3 3 7 3 2 12" xfId="35604" xr:uid="{00000000-0005-0000-0000-00000B8B0000}"/>
    <cellStyle name="Normal 3 3 7 3 2 12 2" xfId="35605" xr:uid="{00000000-0005-0000-0000-00000C8B0000}"/>
    <cellStyle name="Normal 3 3 7 3 2 12 3" xfId="35606" xr:uid="{00000000-0005-0000-0000-00000D8B0000}"/>
    <cellStyle name="Normal 3 3 7 3 2 13" xfId="35607" xr:uid="{00000000-0005-0000-0000-00000E8B0000}"/>
    <cellStyle name="Normal 3 3 7 3 2 13 2" xfId="35608" xr:uid="{00000000-0005-0000-0000-00000F8B0000}"/>
    <cellStyle name="Normal 3 3 7 3 2 13 3" xfId="35609" xr:uid="{00000000-0005-0000-0000-0000108B0000}"/>
    <cellStyle name="Normal 3 3 7 3 2 14" xfId="35610" xr:uid="{00000000-0005-0000-0000-0000118B0000}"/>
    <cellStyle name="Normal 3 3 7 3 2 14 2" xfId="35611" xr:uid="{00000000-0005-0000-0000-0000128B0000}"/>
    <cellStyle name="Normal 3 3 7 3 2 14 3" xfId="35612" xr:uid="{00000000-0005-0000-0000-0000138B0000}"/>
    <cellStyle name="Normal 3 3 7 3 2 15" xfId="35613" xr:uid="{00000000-0005-0000-0000-0000148B0000}"/>
    <cellStyle name="Normal 3 3 7 3 2 16" xfId="35614" xr:uid="{00000000-0005-0000-0000-0000158B0000}"/>
    <cellStyle name="Normal 3 3 7 3 2 2" xfId="35615" xr:uid="{00000000-0005-0000-0000-0000168B0000}"/>
    <cellStyle name="Normal 3 3 7 3 2 2 2" xfId="35616" xr:uid="{00000000-0005-0000-0000-0000178B0000}"/>
    <cellStyle name="Normal 3 3 7 3 2 2 3" xfId="35617" xr:uid="{00000000-0005-0000-0000-0000188B0000}"/>
    <cellStyle name="Normal 3 3 7 3 2 3" xfId="35618" xr:uid="{00000000-0005-0000-0000-0000198B0000}"/>
    <cellStyle name="Normal 3 3 7 3 2 3 2" xfId="35619" xr:uid="{00000000-0005-0000-0000-00001A8B0000}"/>
    <cellStyle name="Normal 3 3 7 3 2 3 3" xfId="35620" xr:uid="{00000000-0005-0000-0000-00001B8B0000}"/>
    <cellStyle name="Normal 3 3 7 3 2 4" xfId="35621" xr:uid="{00000000-0005-0000-0000-00001C8B0000}"/>
    <cellStyle name="Normal 3 3 7 3 2 4 2" xfId="35622" xr:uid="{00000000-0005-0000-0000-00001D8B0000}"/>
    <cellStyle name="Normal 3 3 7 3 2 4 3" xfId="35623" xr:uid="{00000000-0005-0000-0000-00001E8B0000}"/>
    <cellStyle name="Normal 3 3 7 3 2 5" xfId="35624" xr:uid="{00000000-0005-0000-0000-00001F8B0000}"/>
    <cellStyle name="Normal 3 3 7 3 2 5 2" xfId="35625" xr:uid="{00000000-0005-0000-0000-0000208B0000}"/>
    <cellStyle name="Normal 3 3 7 3 2 5 3" xfId="35626" xr:uid="{00000000-0005-0000-0000-0000218B0000}"/>
    <cellStyle name="Normal 3 3 7 3 2 6" xfId="35627" xr:uid="{00000000-0005-0000-0000-0000228B0000}"/>
    <cellStyle name="Normal 3 3 7 3 2 6 2" xfId="35628" xr:uid="{00000000-0005-0000-0000-0000238B0000}"/>
    <cellStyle name="Normal 3 3 7 3 2 6 3" xfId="35629" xr:uid="{00000000-0005-0000-0000-0000248B0000}"/>
    <cellStyle name="Normal 3 3 7 3 2 7" xfId="35630" xr:uid="{00000000-0005-0000-0000-0000258B0000}"/>
    <cellStyle name="Normal 3 3 7 3 2 7 2" xfId="35631" xr:uid="{00000000-0005-0000-0000-0000268B0000}"/>
    <cellStyle name="Normal 3 3 7 3 2 7 3" xfId="35632" xr:uid="{00000000-0005-0000-0000-0000278B0000}"/>
    <cellStyle name="Normal 3 3 7 3 2 8" xfId="35633" xr:uid="{00000000-0005-0000-0000-0000288B0000}"/>
    <cellStyle name="Normal 3 3 7 3 2 8 2" xfId="35634" xr:uid="{00000000-0005-0000-0000-0000298B0000}"/>
    <cellStyle name="Normal 3 3 7 3 2 8 3" xfId="35635" xr:uid="{00000000-0005-0000-0000-00002A8B0000}"/>
    <cellStyle name="Normal 3 3 7 3 2 9" xfId="35636" xr:uid="{00000000-0005-0000-0000-00002B8B0000}"/>
    <cellStyle name="Normal 3 3 7 3 2 9 2" xfId="35637" xr:uid="{00000000-0005-0000-0000-00002C8B0000}"/>
    <cellStyle name="Normal 3 3 7 3 2 9 3" xfId="35638" xr:uid="{00000000-0005-0000-0000-00002D8B0000}"/>
    <cellStyle name="Normal 3 3 7 3 3" xfId="35639" xr:uid="{00000000-0005-0000-0000-00002E8B0000}"/>
    <cellStyle name="Normal 3 3 7 3 3 2" xfId="35640" xr:uid="{00000000-0005-0000-0000-00002F8B0000}"/>
    <cellStyle name="Normal 3 3 7 3 3 3" xfId="35641" xr:uid="{00000000-0005-0000-0000-0000308B0000}"/>
    <cellStyle name="Normal 3 3 7 3 4" xfId="35642" xr:uid="{00000000-0005-0000-0000-0000318B0000}"/>
    <cellStyle name="Normal 3 3 7 3 4 2" xfId="35643" xr:uid="{00000000-0005-0000-0000-0000328B0000}"/>
    <cellStyle name="Normal 3 3 7 3 4 3" xfId="35644" xr:uid="{00000000-0005-0000-0000-0000338B0000}"/>
    <cellStyle name="Normal 3 3 7 3 5" xfId="35645" xr:uid="{00000000-0005-0000-0000-0000348B0000}"/>
    <cellStyle name="Normal 3 3 7 3 5 2" xfId="35646" xr:uid="{00000000-0005-0000-0000-0000358B0000}"/>
    <cellStyle name="Normal 3 3 7 3 5 3" xfId="35647" xr:uid="{00000000-0005-0000-0000-0000368B0000}"/>
    <cellStyle name="Normal 3 3 7 3 6" xfId="35648" xr:uid="{00000000-0005-0000-0000-0000378B0000}"/>
    <cellStyle name="Normal 3 3 7 3 6 2" xfId="35649" xr:uid="{00000000-0005-0000-0000-0000388B0000}"/>
    <cellStyle name="Normal 3 3 7 3 6 3" xfId="35650" xr:uid="{00000000-0005-0000-0000-0000398B0000}"/>
    <cellStyle name="Normal 3 3 7 3 7" xfId="35651" xr:uid="{00000000-0005-0000-0000-00003A8B0000}"/>
    <cellStyle name="Normal 3 3 7 3 7 2" xfId="35652" xr:uid="{00000000-0005-0000-0000-00003B8B0000}"/>
    <cellStyle name="Normal 3 3 7 3 7 3" xfId="35653" xr:uid="{00000000-0005-0000-0000-00003C8B0000}"/>
    <cellStyle name="Normal 3 3 7 3 8" xfId="35654" xr:uid="{00000000-0005-0000-0000-00003D8B0000}"/>
    <cellStyle name="Normal 3 3 7 3 8 2" xfId="35655" xr:uid="{00000000-0005-0000-0000-00003E8B0000}"/>
    <cellStyle name="Normal 3 3 7 3 8 3" xfId="35656" xr:uid="{00000000-0005-0000-0000-00003F8B0000}"/>
    <cellStyle name="Normal 3 3 7 3 9" xfId="35657" xr:uid="{00000000-0005-0000-0000-0000408B0000}"/>
    <cellStyle name="Normal 3 3 7 3 9 2" xfId="35658" xr:uid="{00000000-0005-0000-0000-0000418B0000}"/>
    <cellStyle name="Normal 3 3 7 3 9 3" xfId="35659" xr:uid="{00000000-0005-0000-0000-0000428B0000}"/>
    <cellStyle name="Normal 3 3 7 4" xfId="35660" xr:uid="{00000000-0005-0000-0000-0000438B0000}"/>
    <cellStyle name="Normal 3 3 7 4 10" xfId="35661" xr:uid="{00000000-0005-0000-0000-0000448B0000}"/>
    <cellStyle name="Normal 3 3 7 4 10 2" xfId="35662" xr:uid="{00000000-0005-0000-0000-0000458B0000}"/>
    <cellStyle name="Normal 3 3 7 4 10 3" xfId="35663" xr:uid="{00000000-0005-0000-0000-0000468B0000}"/>
    <cellStyle name="Normal 3 3 7 4 11" xfId="35664" xr:uid="{00000000-0005-0000-0000-0000478B0000}"/>
    <cellStyle name="Normal 3 3 7 4 11 2" xfId="35665" xr:uid="{00000000-0005-0000-0000-0000488B0000}"/>
    <cellStyle name="Normal 3 3 7 4 11 3" xfId="35666" xr:uid="{00000000-0005-0000-0000-0000498B0000}"/>
    <cellStyle name="Normal 3 3 7 4 12" xfId="35667" xr:uid="{00000000-0005-0000-0000-00004A8B0000}"/>
    <cellStyle name="Normal 3 3 7 4 12 2" xfId="35668" xr:uid="{00000000-0005-0000-0000-00004B8B0000}"/>
    <cellStyle name="Normal 3 3 7 4 12 3" xfId="35669" xr:uid="{00000000-0005-0000-0000-00004C8B0000}"/>
    <cellStyle name="Normal 3 3 7 4 13" xfId="35670" xr:uid="{00000000-0005-0000-0000-00004D8B0000}"/>
    <cellStyle name="Normal 3 3 7 4 13 2" xfId="35671" xr:uid="{00000000-0005-0000-0000-00004E8B0000}"/>
    <cellStyle name="Normal 3 3 7 4 13 3" xfId="35672" xr:uid="{00000000-0005-0000-0000-00004F8B0000}"/>
    <cellStyle name="Normal 3 3 7 4 14" xfId="35673" xr:uid="{00000000-0005-0000-0000-0000508B0000}"/>
    <cellStyle name="Normal 3 3 7 4 14 2" xfId="35674" xr:uid="{00000000-0005-0000-0000-0000518B0000}"/>
    <cellStyle name="Normal 3 3 7 4 14 3" xfId="35675" xr:uid="{00000000-0005-0000-0000-0000528B0000}"/>
    <cellStyle name="Normal 3 3 7 4 15" xfId="35676" xr:uid="{00000000-0005-0000-0000-0000538B0000}"/>
    <cellStyle name="Normal 3 3 7 4 15 2" xfId="35677" xr:uid="{00000000-0005-0000-0000-0000548B0000}"/>
    <cellStyle name="Normal 3 3 7 4 15 3" xfId="35678" xr:uid="{00000000-0005-0000-0000-0000558B0000}"/>
    <cellStyle name="Normal 3 3 7 4 16" xfId="35679" xr:uid="{00000000-0005-0000-0000-0000568B0000}"/>
    <cellStyle name="Normal 3 3 7 4 17" xfId="35680" xr:uid="{00000000-0005-0000-0000-0000578B0000}"/>
    <cellStyle name="Normal 3 3 7 4 2" xfId="35681" xr:uid="{00000000-0005-0000-0000-0000588B0000}"/>
    <cellStyle name="Normal 3 3 7 4 2 10" xfId="35682" xr:uid="{00000000-0005-0000-0000-0000598B0000}"/>
    <cellStyle name="Normal 3 3 7 4 2 10 2" xfId="35683" xr:uid="{00000000-0005-0000-0000-00005A8B0000}"/>
    <cellStyle name="Normal 3 3 7 4 2 10 3" xfId="35684" xr:uid="{00000000-0005-0000-0000-00005B8B0000}"/>
    <cellStyle name="Normal 3 3 7 4 2 11" xfId="35685" xr:uid="{00000000-0005-0000-0000-00005C8B0000}"/>
    <cellStyle name="Normal 3 3 7 4 2 11 2" xfId="35686" xr:uid="{00000000-0005-0000-0000-00005D8B0000}"/>
    <cellStyle name="Normal 3 3 7 4 2 11 3" xfId="35687" xr:uid="{00000000-0005-0000-0000-00005E8B0000}"/>
    <cellStyle name="Normal 3 3 7 4 2 12" xfId="35688" xr:uid="{00000000-0005-0000-0000-00005F8B0000}"/>
    <cellStyle name="Normal 3 3 7 4 2 12 2" xfId="35689" xr:uid="{00000000-0005-0000-0000-0000608B0000}"/>
    <cellStyle name="Normal 3 3 7 4 2 12 3" xfId="35690" xr:uid="{00000000-0005-0000-0000-0000618B0000}"/>
    <cellStyle name="Normal 3 3 7 4 2 13" xfId="35691" xr:uid="{00000000-0005-0000-0000-0000628B0000}"/>
    <cellStyle name="Normal 3 3 7 4 2 13 2" xfId="35692" xr:uid="{00000000-0005-0000-0000-0000638B0000}"/>
    <cellStyle name="Normal 3 3 7 4 2 13 3" xfId="35693" xr:uid="{00000000-0005-0000-0000-0000648B0000}"/>
    <cellStyle name="Normal 3 3 7 4 2 14" xfId="35694" xr:uid="{00000000-0005-0000-0000-0000658B0000}"/>
    <cellStyle name="Normal 3 3 7 4 2 14 2" xfId="35695" xr:uid="{00000000-0005-0000-0000-0000668B0000}"/>
    <cellStyle name="Normal 3 3 7 4 2 14 3" xfId="35696" xr:uid="{00000000-0005-0000-0000-0000678B0000}"/>
    <cellStyle name="Normal 3 3 7 4 2 15" xfId="35697" xr:uid="{00000000-0005-0000-0000-0000688B0000}"/>
    <cellStyle name="Normal 3 3 7 4 2 16" xfId="35698" xr:uid="{00000000-0005-0000-0000-0000698B0000}"/>
    <cellStyle name="Normal 3 3 7 4 2 2" xfId="35699" xr:uid="{00000000-0005-0000-0000-00006A8B0000}"/>
    <cellStyle name="Normal 3 3 7 4 2 2 2" xfId="35700" xr:uid="{00000000-0005-0000-0000-00006B8B0000}"/>
    <cellStyle name="Normal 3 3 7 4 2 2 3" xfId="35701" xr:uid="{00000000-0005-0000-0000-00006C8B0000}"/>
    <cellStyle name="Normal 3 3 7 4 2 3" xfId="35702" xr:uid="{00000000-0005-0000-0000-00006D8B0000}"/>
    <cellStyle name="Normal 3 3 7 4 2 3 2" xfId="35703" xr:uid="{00000000-0005-0000-0000-00006E8B0000}"/>
    <cellStyle name="Normal 3 3 7 4 2 3 3" xfId="35704" xr:uid="{00000000-0005-0000-0000-00006F8B0000}"/>
    <cellStyle name="Normal 3 3 7 4 2 4" xfId="35705" xr:uid="{00000000-0005-0000-0000-0000708B0000}"/>
    <cellStyle name="Normal 3 3 7 4 2 4 2" xfId="35706" xr:uid="{00000000-0005-0000-0000-0000718B0000}"/>
    <cellStyle name="Normal 3 3 7 4 2 4 3" xfId="35707" xr:uid="{00000000-0005-0000-0000-0000728B0000}"/>
    <cellStyle name="Normal 3 3 7 4 2 5" xfId="35708" xr:uid="{00000000-0005-0000-0000-0000738B0000}"/>
    <cellStyle name="Normal 3 3 7 4 2 5 2" xfId="35709" xr:uid="{00000000-0005-0000-0000-0000748B0000}"/>
    <cellStyle name="Normal 3 3 7 4 2 5 3" xfId="35710" xr:uid="{00000000-0005-0000-0000-0000758B0000}"/>
    <cellStyle name="Normal 3 3 7 4 2 6" xfId="35711" xr:uid="{00000000-0005-0000-0000-0000768B0000}"/>
    <cellStyle name="Normal 3 3 7 4 2 6 2" xfId="35712" xr:uid="{00000000-0005-0000-0000-0000778B0000}"/>
    <cellStyle name="Normal 3 3 7 4 2 6 3" xfId="35713" xr:uid="{00000000-0005-0000-0000-0000788B0000}"/>
    <cellStyle name="Normal 3 3 7 4 2 7" xfId="35714" xr:uid="{00000000-0005-0000-0000-0000798B0000}"/>
    <cellStyle name="Normal 3 3 7 4 2 7 2" xfId="35715" xr:uid="{00000000-0005-0000-0000-00007A8B0000}"/>
    <cellStyle name="Normal 3 3 7 4 2 7 3" xfId="35716" xr:uid="{00000000-0005-0000-0000-00007B8B0000}"/>
    <cellStyle name="Normal 3 3 7 4 2 8" xfId="35717" xr:uid="{00000000-0005-0000-0000-00007C8B0000}"/>
    <cellStyle name="Normal 3 3 7 4 2 8 2" xfId="35718" xr:uid="{00000000-0005-0000-0000-00007D8B0000}"/>
    <cellStyle name="Normal 3 3 7 4 2 8 3" xfId="35719" xr:uid="{00000000-0005-0000-0000-00007E8B0000}"/>
    <cellStyle name="Normal 3 3 7 4 2 9" xfId="35720" xr:uid="{00000000-0005-0000-0000-00007F8B0000}"/>
    <cellStyle name="Normal 3 3 7 4 2 9 2" xfId="35721" xr:uid="{00000000-0005-0000-0000-0000808B0000}"/>
    <cellStyle name="Normal 3 3 7 4 2 9 3" xfId="35722" xr:uid="{00000000-0005-0000-0000-0000818B0000}"/>
    <cellStyle name="Normal 3 3 7 4 3" xfId="35723" xr:uid="{00000000-0005-0000-0000-0000828B0000}"/>
    <cellStyle name="Normal 3 3 7 4 3 2" xfId="35724" xr:uid="{00000000-0005-0000-0000-0000838B0000}"/>
    <cellStyle name="Normal 3 3 7 4 3 3" xfId="35725" xr:uid="{00000000-0005-0000-0000-0000848B0000}"/>
    <cellStyle name="Normal 3 3 7 4 4" xfId="35726" xr:uid="{00000000-0005-0000-0000-0000858B0000}"/>
    <cellStyle name="Normal 3 3 7 4 4 2" xfId="35727" xr:uid="{00000000-0005-0000-0000-0000868B0000}"/>
    <cellStyle name="Normal 3 3 7 4 4 3" xfId="35728" xr:uid="{00000000-0005-0000-0000-0000878B0000}"/>
    <cellStyle name="Normal 3 3 7 4 5" xfId="35729" xr:uid="{00000000-0005-0000-0000-0000888B0000}"/>
    <cellStyle name="Normal 3 3 7 4 5 2" xfId="35730" xr:uid="{00000000-0005-0000-0000-0000898B0000}"/>
    <cellStyle name="Normal 3 3 7 4 5 3" xfId="35731" xr:uid="{00000000-0005-0000-0000-00008A8B0000}"/>
    <cellStyle name="Normal 3 3 7 4 6" xfId="35732" xr:uid="{00000000-0005-0000-0000-00008B8B0000}"/>
    <cellStyle name="Normal 3 3 7 4 6 2" xfId="35733" xr:uid="{00000000-0005-0000-0000-00008C8B0000}"/>
    <cellStyle name="Normal 3 3 7 4 6 3" xfId="35734" xr:uid="{00000000-0005-0000-0000-00008D8B0000}"/>
    <cellStyle name="Normal 3 3 7 4 7" xfId="35735" xr:uid="{00000000-0005-0000-0000-00008E8B0000}"/>
    <cellStyle name="Normal 3 3 7 4 7 2" xfId="35736" xr:uid="{00000000-0005-0000-0000-00008F8B0000}"/>
    <cellStyle name="Normal 3 3 7 4 7 3" xfId="35737" xr:uid="{00000000-0005-0000-0000-0000908B0000}"/>
    <cellStyle name="Normal 3 3 7 4 8" xfId="35738" xr:uid="{00000000-0005-0000-0000-0000918B0000}"/>
    <cellStyle name="Normal 3 3 7 4 8 2" xfId="35739" xr:uid="{00000000-0005-0000-0000-0000928B0000}"/>
    <cellStyle name="Normal 3 3 7 4 8 3" xfId="35740" xr:uid="{00000000-0005-0000-0000-0000938B0000}"/>
    <cellStyle name="Normal 3 3 7 4 9" xfId="35741" xr:uid="{00000000-0005-0000-0000-0000948B0000}"/>
    <cellStyle name="Normal 3 3 7 4 9 2" xfId="35742" xr:uid="{00000000-0005-0000-0000-0000958B0000}"/>
    <cellStyle name="Normal 3 3 7 4 9 3" xfId="35743" xr:uid="{00000000-0005-0000-0000-0000968B0000}"/>
    <cellStyle name="Normal 3 3 7 5" xfId="35744" xr:uid="{00000000-0005-0000-0000-0000978B0000}"/>
    <cellStyle name="Normal 3 3 7 5 10" xfId="35745" xr:uid="{00000000-0005-0000-0000-0000988B0000}"/>
    <cellStyle name="Normal 3 3 7 5 10 2" xfId="35746" xr:uid="{00000000-0005-0000-0000-0000998B0000}"/>
    <cellStyle name="Normal 3 3 7 5 10 3" xfId="35747" xr:uid="{00000000-0005-0000-0000-00009A8B0000}"/>
    <cellStyle name="Normal 3 3 7 5 11" xfId="35748" xr:uid="{00000000-0005-0000-0000-00009B8B0000}"/>
    <cellStyle name="Normal 3 3 7 5 11 2" xfId="35749" xr:uid="{00000000-0005-0000-0000-00009C8B0000}"/>
    <cellStyle name="Normal 3 3 7 5 11 3" xfId="35750" xr:uid="{00000000-0005-0000-0000-00009D8B0000}"/>
    <cellStyle name="Normal 3 3 7 5 12" xfId="35751" xr:uid="{00000000-0005-0000-0000-00009E8B0000}"/>
    <cellStyle name="Normal 3 3 7 5 12 2" xfId="35752" xr:uid="{00000000-0005-0000-0000-00009F8B0000}"/>
    <cellStyle name="Normal 3 3 7 5 12 3" xfId="35753" xr:uid="{00000000-0005-0000-0000-0000A08B0000}"/>
    <cellStyle name="Normal 3 3 7 5 13" xfId="35754" xr:uid="{00000000-0005-0000-0000-0000A18B0000}"/>
    <cellStyle name="Normal 3 3 7 5 13 2" xfId="35755" xr:uid="{00000000-0005-0000-0000-0000A28B0000}"/>
    <cellStyle name="Normal 3 3 7 5 13 3" xfId="35756" xr:uid="{00000000-0005-0000-0000-0000A38B0000}"/>
    <cellStyle name="Normal 3 3 7 5 14" xfId="35757" xr:uid="{00000000-0005-0000-0000-0000A48B0000}"/>
    <cellStyle name="Normal 3 3 7 5 14 2" xfId="35758" xr:uid="{00000000-0005-0000-0000-0000A58B0000}"/>
    <cellStyle name="Normal 3 3 7 5 14 3" xfId="35759" xr:uid="{00000000-0005-0000-0000-0000A68B0000}"/>
    <cellStyle name="Normal 3 3 7 5 15" xfId="35760" xr:uid="{00000000-0005-0000-0000-0000A78B0000}"/>
    <cellStyle name="Normal 3 3 7 5 16" xfId="35761" xr:uid="{00000000-0005-0000-0000-0000A88B0000}"/>
    <cellStyle name="Normal 3 3 7 5 2" xfId="35762" xr:uid="{00000000-0005-0000-0000-0000A98B0000}"/>
    <cellStyle name="Normal 3 3 7 5 2 2" xfId="35763" xr:uid="{00000000-0005-0000-0000-0000AA8B0000}"/>
    <cellStyle name="Normal 3 3 7 5 2 3" xfId="35764" xr:uid="{00000000-0005-0000-0000-0000AB8B0000}"/>
    <cellStyle name="Normal 3 3 7 5 3" xfId="35765" xr:uid="{00000000-0005-0000-0000-0000AC8B0000}"/>
    <cellStyle name="Normal 3 3 7 5 3 2" xfId="35766" xr:uid="{00000000-0005-0000-0000-0000AD8B0000}"/>
    <cellStyle name="Normal 3 3 7 5 3 3" xfId="35767" xr:uid="{00000000-0005-0000-0000-0000AE8B0000}"/>
    <cellStyle name="Normal 3 3 7 5 4" xfId="35768" xr:uid="{00000000-0005-0000-0000-0000AF8B0000}"/>
    <cellStyle name="Normal 3 3 7 5 4 2" xfId="35769" xr:uid="{00000000-0005-0000-0000-0000B08B0000}"/>
    <cellStyle name="Normal 3 3 7 5 4 3" xfId="35770" xr:uid="{00000000-0005-0000-0000-0000B18B0000}"/>
    <cellStyle name="Normal 3 3 7 5 5" xfId="35771" xr:uid="{00000000-0005-0000-0000-0000B28B0000}"/>
    <cellStyle name="Normal 3 3 7 5 5 2" xfId="35772" xr:uid="{00000000-0005-0000-0000-0000B38B0000}"/>
    <cellStyle name="Normal 3 3 7 5 5 3" xfId="35773" xr:uid="{00000000-0005-0000-0000-0000B48B0000}"/>
    <cellStyle name="Normal 3 3 7 5 6" xfId="35774" xr:uid="{00000000-0005-0000-0000-0000B58B0000}"/>
    <cellStyle name="Normal 3 3 7 5 6 2" xfId="35775" xr:uid="{00000000-0005-0000-0000-0000B68B0000}"/>
    <cellStyle name="Normal 3 3 7 5 6 3" xfId="35776" xr:uid="{00000000-0005-0000-0000-0000B78B0000}"/>
    <cellStyle name="Normal 3 3 7 5 7" xfId="35777" xr:uid="{00000000-0005-0000-0000-0000B88B0000}"/>
    <cellStyle name="Normal 3 3 7 5 7 2" xfId="35778" xr:uid="{00000000-0005-0000-0000-0000B98B0000}"/>
    <cellStyle name="Normal 3 3 7 5 7 3" xfId="35779" xr:uid="{00000000-0005-0000-0000-0000BA8B0000}"/>
    <cellStyle name="Normal 3 3 7 5 8" xfId="35780" xr:uid="{00000000-0005-0000-0000-0000BB8B0000}"/>
    <cellStyle name="Normal 3 3 7 5 8 2" xfId="35781" xr:uid="{00000000-0005-0000-0000-0000BC8B0000}"/>
    <cellStyle name="Normal 3 3 7 5 8 3" xfId="35782" xr:uid="{00000000-0005-0000-0000-0000BD8B0000}"/>
    <cellStyle name="Normal 3 3 7 5 9" xfId="35783" xr:uid="{00000000-0005-0000-0000-0000BE8B0000}"/>
    <cellStyle name="Normal 3 3 7 5 9 2" xfId="35784" xr:uid="{00000000-0005-0000-0000-0000BF8B0000}"/>
    <cellStyle name="Normal 3 3 7 5 9 3" xfId="35785" xr:uid="{00000000-0005-0000-0000-0000C08B0000}"/>
    <cellStyle name="Normal 3 3 7 6" xfId="35786" xr:uid="{00000000-0005-0000-0000-0000C18B0000}"/>
    <cellStyle name="Normal 3 3 7 6 10" xfId="35787" xr:uid="{00000000-0005-0000-0000-0000C28B0000}"/>
    <cellStyle name="Normal 3 3 7 6 10 2" xfId="35788" xr:uid="{00000000-0005-0000-0000-0000C38B0000}"/>
    <cellStyle name="Normal 3 3 7 6 10 3" xfId="35789" xr:uid="{00000000-0005-0000-0000-0000C48B0000}"/>
    <cellStyle name="Normal 3 3 7 6 11" xfId="35790" xr:uid="{00000000-0005-0000-0000-0000C58B0000}"/>
    <cellStyle name="Normal 3 3 7 6 11 2" xfId="35791" xr:uid="{00000000-0005-0000-0000-0000C68B0000}"/>
    <cellStyle name="Normal 3 3 7 6 11 3" xfId="35792" xr:uid="{00000000-0005-0000-0000-0000C78B0000}"/>
    <cellStyle name="Normal 3 3 7 6 12" xfId="35793" xr:uid="{00000000-0005-0000-0000-0000C88B0000}"/>
    <cellStyle name="Normal 3 3 7 6 12 2" xfId="35794" xr:uid="{00000000-0005-0000-0000-0000C98B0000}"/>
    <cellStyle name="Normal 3 3 7 6 12 3" xfId="35795" xr:uid="{00000000-0005-0000-0000-0000CA8B0000}"/>
    <cellStyle name="Normal 3 3 7 6 13" xfId="35796" xr:uid="{00000000-0005-0000-0000-0000CB8B0000}"/>
    <cellStyle name="Normal 3 3 7 6 13 2" xfId="35797" xr:uid="{00000000-0005-0000-0000-0000CC8B0000}"/>
    <cellStyle name="Normal 3 3 7 6 13 3" xfId="35798" xr:uid="{00000000-0005-0000-0000-0000CD8B0000}"/>
    <cellStyle name="Normal 3 3 7 6 14" xfId="35799" xr:uid="{00000000-0005-0000-0000-0000CE8B0000}"/>
    <cellStyle name="Normal 3 3 7 6 14 2" xfId="35800" xr:uid="{00000000-0005-0000-0000-0000CF8B0000}"/>
    <cellStyle name="Normal 3 3 7 6 14 3" xfId="35801" xr:uid="{00000000-0005-0000-0000-0000D08B0000}"/>
    <cellStyle name="Normal 3 3 7 6 15" xfId="35802" xr:uid="{00000000-0005-0000-0000-0000D18B0000}"/>
    <cellStyle name="Normal 3 3 7 6 16" xfId="35803" xr:uid="{00000000-0005-0000-0000-0000D28B0000}"/>
    <cellStyle name="Normal 3 3 7 6 2" xfId="35804" xr:uid="{00000000-0005-0000-0000-0000D38B0000}"/>
    <cellStyle name="Normal 3 3 7 6 2 2" xfId="35805" xr:uid="{00000000-0005-0000-0000-0000D48B0000}"/>
    <cellStyle name="Normal 3 3 7 6 2 3" xfId="35806" xr:uid="{00000000-0005-0000-0000-0000D58B0000}"/>
    <cellStyle name="Normal 3 3 7 6 3" xfId="35807" xr:uid="{00000000-0005-0000-0000-0000D68B0000}"/>
    <cellStyle name="Normal 3 3 7 6 3 2" xfId="35808" xr:uid="{00000000-0005-0000-0000-0000D78B0000}"/>
    <cellStyle name="Normal 3 3 7 6 3 3" xfId="35809" xr:uid="{00000000-0005-0000-0000-0000D88B0000}"/>
    <cellStyle name="Normal 3 3 7 6 4" xfId="35810" xr:uid="{00000000-0005-0000-0000-0000D98B0000}"/>
    <cellStyle name="Normal 3 3 7 6 4 2" xfId="35811" xr:uid="{00000000-0005-0000-0000-0000DA8B0000}"/>
    <cellStyle name="Normal 3 3 7 6 4 3" xfId="35812" xr:uid="{00000000-0005-0000-0000-0000DB8B0000}"/>
    <cellStyle name="Normal 3 3 7 6 5" xfId="35813" xr:uid="{00000000-0005-0000-0000-0000DC8B0000}"/>
    <cellStyle name="Normal 3 3 7 6 5 2" xfId="35814" xr:uid="{00000000-0005-0000-0000-0000DD8B0000}"/>
    <cellStyle name="Normal 3 3 7 6 5 3" xfId="35815" xr:uid="{00000000-0005-0000-0000-0000DE8B0000}"/>
    <cellStyle name="Normal 3 3 7 6 6" xfId="35816" xr:uid="{00000000-0005-0000-0000-0000DF8B0000}"/>
    <cellStyle name="Normal 3 3 7 6 6 2" xfId="35817" xr:uid="{00000000-0005-0000-0000-0000E08B0000}"/>
    <cellStyle name="Normal 3 3 7 6 6 3" xfId="35818" xr:uid="{00000000-0005-0000-0000-0000E18B0000}"/>
    <cellStyle name="Normal 3 3 7 6 7" xfId="35819" xr:uid="{00000000-0005-0000-0000-0000E28B0000}"/>
    <cellStyle name="Normal 3 3 7 6 7 2" xfId="35820" xr:uid="{00000000-0005-0000-0000-0000E38B0000}"/>
    <cellStyle name="Normal 3 3 7 6 7 3" xfId="35821" xr:uid="{00000000-0005-0000-0000-0000E48B0000}"/>
    <cellStyle name="Normal 3 3 7 6 8" xfId="35822" xr:uid="{00000000-0005-0000-0000-0000E58B0000}"/>
    <cellStyle name="Normal 3 3 7 6 8 2" xfId="35823" xr:uid="{00000000-0005-0000-0000-0000E68B0000}"/>
    <cellStyle name="Normal 3 3 7 6 8 3" xfId="35824" xr:uid="{00000000-0005-0000-0000-0000E78B0000}"/>
    <cellStyle name="Normal 3 3 7 6 9" xfId="35825" xr:uid="{00000000-0005-0000-0000-0000E88B0000}"/>
    <cellStyle name="Normal 3 3 7 6 9 2" xfId="35826" xr:uid="{00000000-0005-0000-0000-0000E98B0000}"/>
    <cellStyle name="Normal 3 3 7 6 9 3" xfId="35827" xr:uid="{00000000-0005-0000-0000-0000EA8B0000}"/>
    <cellStyle name="Normal 3 3 7 7" xfId="35828" xr:uid="{00000000-0005-0000-0000-0000EB8B0000}"/>
    <cellStyle name="Normal 3 3 7 7 10" xfId="35829" xr:uid="{00000000-0005-0000-0000-0000EC8B0000}"/>
    <cellStyle name="Normal 3 3 7 7 10 2" xfId="35830" xr:uid="{00000000-0005-0000-0000-0000ED8B0000}"/>
    <cellStyle name="Normal 3 3 7 7 10 3" xfId="35831" xr:uid="{00000000-0005-0000-0000-0000EE8B0000}"/>
    <cellStyle name="Normal 3 3 7 7 11" xfId="35832" xr:uid="{00000000-0005-0000-0000-0000EF8B0000}"/>
    <cellStyle name="Normal 3 3 7 7 11 2" xfId="35833" xr:uid="{00000000-0005-0000-0000-0000F08B0000}"/>
    <cellStyle name="Normal 3 3 7 7 11 3" xfId="35834" xr:uid="{00000000-0005-0000-0000-0000F18B0000}"/>
    <cellStyle name="Normal 3 3 7 7 12" xfId="35835" xr:uid="{00000000-0005-0000-0000-0000F28B0000}"/>
    <cellStyle name="Normal 3 3 7 7 12 2" xfId="35836" xr:uid="{00000000-0005-0000-0000-0000F38B0000}"/>
    <cellStyle name="Normal 3 3 7 7 12 3" xfId="35837" xr:uid="{00000000-0005-0000-0000-0000F48B0000}"/>
    <cellStyle name="Normal 3 3 7 7 13" xfId="35838" xr:uid="{00000000-0005-0000-0000-0000F58B0000}"/>
    <cellStyle name="Normal 3 3 7 7 13 2" xfId="35839" xr:uid="{00000000-0005-0000-0000-0000F68B0000}"/>
    <cellStyle name="Normal 3 3 7 7 13 3" xfId="35840" xr:uid="{00000000-0005-0000-0000-0000F78B0000}"/>
    <cellStyle name="Normal 3 3 7 7 14" xfId="35841" xr:uid="{00000000-0005-0000-0000-0000F88B0000}"/>
    <cellStyle name="Normal 3 3 7 7 14 2" xfId="35842" xr:uid="{00000000-0005-0000-0000-0000F98B0000}"/>
    <cellStyle name="Normal 3 3 7 7 14 3" xfId="35843" xr:uid="{00000000-0005-0000-0000-0000FA8B0000}"/>
    <cellStyle name="Normal 3 3 7 7 15" xfId="35844" xr:uid="{00000000-0005-0000-0000-0000FB8B0000}"/>
    <cellStyle name="Normal 3 3 7 7 16" xfId="35845" xr:uid="{00000000-0005-0000-0000-0000FC8B0000}"/>
    <cellStyle name="Normal 3 3 7 7 2" xfId="35846" xr:uid="{00000000-0005-0000-0000-0000FD8B0000}"/>
    <cellStyle name="Normal 3 3 7 7 2 2" xfId="35847" xr:uid="{00000000-0005-0000-0000-0000FE8B0000}"/>
    <cellStyle name="Normal 3 3 7 7 2 3" xfId="35848" xr:uid="{00000000-0005-0000-0000-0000FF8B0000}"/>
    <cellStyle name="Normal 3 3 7 7 3" xfId="35849" xr:uid="{00000000-0005-0000-0000-0000008C0000}"/>
    <cellStyle name="Normal 3 3 7 7 3 2" xfId="35850" xr:uid="{00000000-0005-0000-0000-0000018C0000}"/>
    <cellStyle name="Normal 3 3 7 7 3 3" xfId="35851" xr:uid="{00000000-0005-0000-0000-0000028C0000}"/>
    <cellStyle name="Normal 3 3 7 7 4" xfId="35852" xr:uid="{00000000-0005-0000-0000-0000038C0000}"/>
    <cellStyle name="Normal 3 3 7 7 4 2" xfId="35853" xr:uid="{00000000-0005-0000-0000-0000048C0000}"/>
    <cellStyle name="Normal 3 3 7 7 4 3" xfId="35854" xr:uid="{00000000-0005-0000-0000-0000058C0000}"/>
    <cellStyle name="Normal 3 3 7 7 5" xfId="35855" xr:uid="{00000000-0005-0000-0000-0000068C0000}"/>
    <cellStyle name="Normal 3 3 7 7 5 2" xfId="35856" xr:uid="{00000000-0005-0000-0000-0000078C0000}"/>
    <cellStyle name="Normal 3 3 7 7 5 3" xfId="35857" xr:uid="{00000000-0005-0000-0000-0000088C0000}"/>
    <cellStyle name="Normal 3 3 7 7 6" xfId="35858" xr:uid="{00000000-0005-0000-0000-0000098C0000}"/>
    <cellStyle name="Normal 3 3 7 7 6 2" xfId="35859" xr:uid="{00000000-0005-0000-0000-00000A8C0000}"/>
    <cellStyle name="Normal 3 3 7 7 6 3" xfId="35860" xr:uid="{00000000-0005-0000-0000-00000B8C0000}"/>
    <cellStyle name="Normal 3 3 7 7 7" xfId="35861" xr:uid="{00000000-0005-0000-0000-00000C8C0000}"/>
    <cellStyle name="Normal 3 3 7 7 7 2" xfId="35862" xr:uid="{00000000-0005-0000-0000-00000D8C0000}"/>
    <cellStyle name="Normal 3 3 7 7 7 3" xfId="35863" xr:uid="{00000000-0005-0000-0000-00000E8C0000}"/>
    <cellStyle name="Normal 3 3 7 7 8" xfId="35864" xr:uid="{00000000-0005-0000-0000-00000F8C0000}"/>
    <cellStyle name="Normal 3 3 7 7 8 2" xfId="35865" xr:uid="{00000000-0005-0000-0000-0000108C0000}"/>
    <cellStyle name="Normal 3 3 7 7 8 3" xfId="35866" xr:uid="{00000000-0005-0000-0000-0000118C0000}"/>
    <cellStyle name="Normal 3 3 7 7 9" xfId="35867" xr:uid="{00000000-0005-0000-0000-0000128C0000}"/>
    <cellStyle name="Normal 3 3 7 7 9 2" xfId="35868" xr:uid="{00000000-0005-0000-0000-0000138C0000}"/>
    <cellStyle name="Normal 3 3 7 7 9 3" xfId="35869" xr:uid="{00000000-0005-0000-0000-0000148C0000}"/>
    <cellStyle name="Normal 3 3 7 8" xfId="35870" xr:uid="{00000000-0005-0000-0000-0000158C0000}"/>
    <cellStyle name="Normal 3 3 7 8 10" xfId="35871" xr:uid="{00000000-0005-0000-0000-0000168C0000}"/>
    <cellStyle name="Normal 3 3 7 8 10 2" xfId="35872" xr:uid="{00000000-0005-0000-0000-0000178C0000}"/>
    <cellStyle name="Normal 3 3 7 8 10 3" xfId="35873" xr:uid="{00000000-0005-0000-0000-0000188C0000}"/>
    <cellStyle name="Normal 3 3 7 8 11" xfId="35874" xr:uid="{00000000-0005-0000-0000-0000198C0000}"/>
    <cellStyle name="Normal 3 3 7 8 11 2" xfId="35875" xr:uid="{00000000-0005-0000-0000-00001A8C0000}"/>
    <cellStyle name="Normal 3 3 7 8 11 3" xfId="35876" xr:uid="{00000000-0005-0000-0000-00001B8C0000}"/>
    <cellStyle name="Normal 3 3 7 8 12" xfId="35877" xr:uid="{00000000-0005-0000-0000-00001C8C0000}"/>
    <cellStyle name="Normal 3 3 7 8 12 2" xfId="35878" xr:uid="{00000000-0005-0000-0000-00001D8C0000}"/>
    <cellStyle name="Normal 3 3 7 8 12 3" xfId="35879" xr:uid="{00000000-0005-0000-0000-00001E8C0000}"/>
    <cellStyle name="Normal 3 3 7 8 13" xfId="35880" xr:uid="{00000000-0005-0000-0000-00001F8C0000}"/>
    <cellStyle name="Normal 3 3 7 8 13 2" xfId="35881" xr:uid="{00000000-0005-0000-0000-0000208C0000}"/>
    <cellStyle name="Normal 3 3 7 8 13 3" xfId="35882" xr:uid="{00000000-0005-0000-0000-0000218C0000}"/>
    <cellStyle name="Normal 3 3 7 8 14" xfId="35883" xr:uid="{00000000-0005-0000-0000-0000228C0000}"/>
    <cellStyle name="Normal 3 3 7 8 14 2" xfId="35884" xr:uid="{00000000-0005-0000-0000-0000238C0000}"/>
    <cellStyle name="Normal 3 3 7 8 14 3" xfId="35885" xr:uid="{00000000-0005-0000-0000-0000248C0000}"/>
    <cellStyle name="Normal 3 3 7 8 15" xfId="35886" xr:uid="{00000000-0005-0000-0000-0000258C0000}"/>
    <cellStyle name="Normal 3 3 7 8 16" xfId="35887" xr:uid="{00000000-0005-0000-0000-0000268C0000}"/>
    <cellStyle name="Normal 3 3 7 8 2" xfId="35888" xr:uid="{00000000-0005-0000-0000-0000278C0000}"/>
    <cellStyle name="Normal 3 3 7 8 2 2" xfId="35889" xr:uid="{00000000-0005-0000-0000-0000288C0000}"/>
    <cellStyle name="Normal 3 3 7 8 2 3" xfId="35890" xr:uid="{00000000-0005-0000-0000-0000298C0000}"/>
    <cellStyle name="Normal 3 3 7 8 3" xfId="35891" xr:uid="{00000000-0005-0000-0000-00002A8C0000}"/>
    <cellStyle name="Normal 3 3 7 8 3 2" xfId="35892" xr:uid="{00000000-0005-0000-0000-00002B8C0000}"/>
    <cellStyle name="Normal 3 3 7 8 3 3" xfId="35893" xr:uid="{00000000-0005-0000-0000-00002C8C0000}"/>
    <cellStyle name="Normal 3 3 7 8 4" xfId="35894" xr:uid="{00000000-0005-0000-0000-00002D8C0000}"/>
    <cellStyle name="Normal 3 3 7 8 4 2" xfId="35895" xr:uid="{00000000-0005-0000-0000-00002E8C0000}"/>
    <cellStyle name="Normal 3 3 7 8 4 3" xfId="35896" xr:uid="{00000000-0005-0000-0000-00002F8C0000}"/>
    <cellStyle name="Normal 3 3 7 8 5" xfId="35897" xr:uid="{00000000-0005-0000-0000-0000308C0000}"/>
    <cellStyle name="Normal 3 3 7 8 5 2" xfId="35898" xr:uid="{00000000-0005-0000-0000-0000318C0000}"/>
    <cellStyle name="Normal 3 3 7 8 5 3" xfId="35899" xr:uid="{00000000-0005-0000-0000-0000328C0000}"/>
    <cellStyle name="Normal 3 3 7 8 6" xfId="35900" xr:uid="{00000000-0005-0000-0000-0000338C0000}"/>
    <cellStyle name="Normal 3 3 7 8 6 2" xfId="35901" xr:uid="{00000000-0005-0000-0000-0000348C0000}"/>
    <cellStyle name="Normal 3 3 7 8 6 3" xfId="35902" xr:uid="{00000000-0005-0000-0000-0000358C0000}"/>
    <cellStyle name="Normal 3 3 7 8 7" xfId="35903" xr:uid="{00000000-0005-0000-0000-0000368C0000}"/>
    <cellStyle name="Normal 3 3 7 8 7 2" xfId="35904" xr:uid="{00000000-0005-0000-0000-0000378C0000}"/>
    <cellStyle name="Normal 3 3 7 8 7 3" xfId="35905" xr:uid="{00000000-0005-0000-0000-0000388C0000}"/>
    <cellStyle name="Normal 3 3 7 8 8" xfId="35906" xr:uid="{00000000-0005-0000-0000-0000398C0000}"/>
    <cellStyle name="Normal 3 3 7 8 8 2" xfId="35907" xr:uid="{00000000-0005-0000-0000-00003A8C0000}"/>
    <cellStyle name="Normal 3 3 7 8 8 3" xfId="35908" xr:uid="{00000000-0005-0000-0000-00003B8C0000}"/>
    <cellStyle name="Normal 3 3 7 8 9" xfId="35909" xr:uid="{00000000-0005-0000-0000-00003C8C0000}"/>
    <cellStyle name="Normal 3 3 7 8 9 2" xfId="35910" xr:uid="{00000000-0005-0000-0000-00003D8C0000}"/>
    <cellStyle name="Normal 3 3 7 8 9 3" xfId="35911" xr:uid="{00000000-0005-0000-0000-00003E8C0000}"/>
    <cellStyle name="Normal 3 3 7 9" xfId="35912" xr:uid="{00000000-0005-0000-0000-00003F8C0000}"/>
    <cellStyle name="Normal 3 3 7 9 10" xfId="35913" xr:uid="{00000000-0005-0000-0000-0000408C0000}"/>
    <cellStyle name="Normal 3 3 7 9 10 2" xfId="35914" xr:uid="{00000000-0005-0000-0000-0000418C0000}"/>
    <cellStyle name="Normal 3 3 7 9 10 3" xfId="35915" xr:uid="{00000000-0005-0000-0000-0000428C0000}"/>
    <cellStyle name="Normal 3 3 7 9 11" xfId="35916" xr:uid="{00000000-0005-0000-0000-0000438C0000}"/>
    <cellStyle name="Normal 3 3 7 9 11 2" xfId="35917" xr:uid="{00000000-0005-0000-0000-0000448C0000}"/>
    <cellStyle name="Normal 3 3 7 9 11 3" xfId="35918" xr:uid="{00000000-0005-0000-0000-0000458C0000}"/>
    <cellStyle name="Normal 3 3 7 9 12" xfId="35919" xr:uid="{00000000-0005-0000-0000-0000468C0000}"/>
    <cellStyle name="Normal 3 3 7 9 12 2" xfId="35920" xr:uid="{00000000-0005-0000-0000-0000478C0000}"/>
    <cellStyle name="Normal 3 3 7 9 12 3" xfId="35921" xr:uid="{00000000-0005-0000-0000-0000488C0000}"/>
    <cellStyle name="Normal 3 3 7 9 13" xfId="35922" xr:uid="{00000000-0005-0000-0000-0000498C0000}"/>
    <cellStyle name="Normal 3 3 7 9 13 2" xfId="35923" xr:uid="{00000000-0005-0000-0000-00004A8C0000}"/>
    <cellStyle name="Normal 3 3 7 9 13 3" xfId="35924" xr:uid="{00000000-0005-0000-0000-00004B8C0000}"/>
    <cellStyle name="Normal 3 3 7 9 14" xfId="35925" xr:uid="{00000000-0005-0000-0000-00004C8C0000}"/>
    <cellStyle name="Normal 3 3 7 9 14 2" xfId="35926" xr:uid="{00000000-0005-0000-0000-00004D8C0000}"/>
    <cellStyle name="Normal 3 3 7 9 14 3" xfId="35927" xr:uid="{00000000-0005-0000-0000-00004E8C0000}"/>
    <cellStyle name="Normal 3 3 7 9 15" xfId="35928" xr:uid="{00000000-0005-0000-0000-00004F8C0000}"/>
    <cellStyle name="Normal 3 3 7 9 16" xfId="35929" xr:uid="{00000000-0005-0000-0000-0000508C0000}"/>
    <cellStyle name="Normal 3 3 7 9 2" xfId="35930" xr:uid="{00000000-0005-0000-0000-0000518C0000}"/>
    <cellStyle name="Normal 3 3 7 9 2 2" xfId="35931" xr:uid="{00000000-0005-0000-0000-0000528C0000}"/>
    <cellStyle name="Normal 3 3 7 9 2 3" xfId="35932" xr:uid="{00000000-0005-0000-0000-0000538C0000}"/>
    <cellStyle name="Normal 3 3 7 9 3" xfId="35933" xr:uid="{00000000-0005-0000-0000-0000548C0000}"/>
    <cellStyle name="Normal 3 3 7 9 3 2" xfId="35934" xr:uid="{00000000-0005-0000-0000-0000558C0000}"/>
    <cellStyle name="Normal 3 3 7 9 3 3" xfId="35935" xr:uid="{00000000-0005-0000-0000-0000568C0000}"/>
    <cellStyle name="Normal 3 3 7 9 4" xfId="35936" xr:uid="{00000000-0005-0000-0000-0000578C0000}"/>
    <cellStyle name="Normal 3 3 7 9 4 2" xfId="35937" xr:uid="{00000000-0005-0000-0000-0000588C0000}"/>
    <cellStyle name="Normal 3 3 7 9 4 3" xfId="35938" xr:uid="{00000000-0005-0000-0000-0000598C0000}"/>
    <cellStyle name="Normal 3 3 7 9 5" xfId="35939" xr:uid="{00000000-0005-0000-0000-00005A8C0000}"/>
    <cellStyle name="Normal 3 3 7 9 5 2" xfId="35940" xr:uid="{00000000-0005-0000-0000-00005B8C0000}"/>
    <cellStyle name="Normal 3 3 7 9 5 3" xfId="35941" xr:uid="{00000000-0005-0000-0000-00005C8C0000}"/>
    <cellStyle name="Normal 3 3 7 9 6" xfId="35942" xr:uid="{00000000-0005-0000-0000-00005D8C0000}"/>
    <cellStyle name="Normal 3 3 7 9 6 2" xfId="35943" xr:uid="{00000000-0005-0000-0000-00005E8C0000}"/>
    <cellStyle name="Normal 3 3 7 9 6 3" xfId="35944" xr:uid="{00000000-0005-0000-0000-00005F8C0000}"/>
    <cellStyle name="Normal 3 3 7 9 7" xfId="35945" xr:uid="{00000000-0005-0000-0000-0000608C0000}"/>
    <cellStyle name="Normal 3 3 7 9 7 2" xfId="35946" xr:uid="{00000000-0005-0000-0000-0000618C0000}"/>
    <cellStyle name="Normal 3 3 7 9 7 3" xfId="35947" xr:uid="{00000000-0005-0000-0000-0000628C0000}"/>
    <cellStyle name="Normal 3 3 7 9 8" xfId="35948" xr:uid="{00000000-0005-0000-0000-0000638C0000}"/>
    <cellStyle name="Normal 3 3 7 9 8 2" xfId="35949" xr:uid="{00000000-0005-0000-0000-0000648C0000}"/>
    <cellStyle name="Normal 3 3 7 9 8 3" xfId="35950" xr:uid="{00000000-0005-0000-0000-0000658C0000}"/>
    <cellStyle name="Normal 3 3 7 9 9" xfId="35951" xr:uid="{00000000-0005-0000-0000-0000668C0000}"/>
    <cellStyle name="Normal 3 3 7 9 9 2" xfId="35952" xr:uid="{00000000-0005-0000-0000-0000678C0000}"/>
    <cellStyle name="Normal 3 3 7 9 9 3" xfId="35953" xr:uid="{00000000-0005-0000-0000-0000688C0000}"/>
    <cellStyle name="Normal 3 3 8" xfId="35954" xr:uid="{00000000-0005-0000-0000-0000698C0000}"/>
    <cellStyle name="Normal 3 3 8 10" xfId="35955" xr:uid="{00000000-0005-0000-0000-00006A8C0000}"/>
    <cellStyle name="Normal 3 3 8 10 10" xfId="35956" xr:uid="{00000000-0005-0000-0000-00006B8C0000}"/>
    <cellStyle name="Normal 3 3 8 10 10 2" xfId="35957" xr:uid="{00000000-0005-0000-0000-00006C8C0000}"/>
    <cellStyle name="Normal 3 3 8 10 10 3" xfId="35958" xr:uid="{00000000-0005-0000-0000-00006D8C0000}"/>
    <cellStyle name="Normal 3 3 8 10 11" xfId="35959" xr:uid="{00000000-0005-0000-0000-00006E8C0000}"/>
    <cellStyle name="Normal 3 3 8 10 11 2" xfId="35960" xr:uid="{00000000-0005-0000-0000-00006F8C0000}"/>
    <cellStyle name="Normal 3 3 8 10 11 3" xfId="35961" xr:uid="{00000000-0005-0000-0000-0000708C0000}"/>
    <cellStyle name="Normal 3 3 8 10 12" xfId="35962" xr:uid="{00000000-0005-0000-0000-0000718C0000}"/>
    <cellStyle name="Normal 3 3 8 10 12 2" xfId="35963" xr:uid="{00000000-0005-0000-0000-0000728C0000}"/>
    <cellStyle name="Normal 3 3 8 10 12 3" xfId="35964" xr:uid="{00000000-0005-0000-0000-0000738C0000}"/>
    <cellStyle name="Normal 3 3 8 10 13" xfId="35965" xr:uid="{00000000-0005-0000-0000-0000748C0000}"/>
    <cellStyle name="Normal 3 3 8 10 13 2" xfId="35966" xr:uid="{00000000-0005-0000-0000-0000758C0000}"/>
    <cellStyle name="Normal 3 3 8 10 13 3" xfId="35967" xr:uid="{00000000-0005-0000-0000-0000768C0000}"/>
    <cellStyle name="Normal 3 3 8 10 14" xfId="35968" xr:uid="{00000000-0005-0000-0000-0000778C0000}"/>
    <cellStyle name="Normal 3 3 8 10 14 2" xfId="35969" xr:uid="{00000000-0005-0000-0000-0000788C0000}"/>
    <cellStyle name="Normal 3 3 8 10 14 3" xfId="35970" xr:uid="{00000000-0005-0000-0000-0000798C0000}"/>
    <cellStyle name="Normal 3 3 8 10 15" xfId="35971" xr:uid="{00000000-0005-0000-0000-00007A8C0000}"/>
    <cellStyle name="Normal 3 3 8 10 16" xfId="35972" xr:uid="{00000000-0005-0000-0000-00007B8C0000}"/>
    <cellStyle name="Normal 3 3 8 10 2" xfId="35973" xr:uid="{00000000-0005-0000-0000-00007C8C0000}"/>
    <cellStyle name="Normal 3 3 8 10 2 2" xfId="35974" xr:uid="{00000000-0005-0000-0000-00007D8C0000}"/>
    <cellStyle name="Normal 3 3 8 10 2 3" xfId="35975" xr:uid="{00000000-0005-0000-0000-00007E8C0000}"/>
    <cellStyle name="Normal 3 3 8 10 3" xfId="35976" xr:uid="{00000000-0005-0000-0000-00007F8C0000}"/>
    <cellStyle name="Normal 3 3 8 10 3 2" xfId="35977" xr:uid="{00000000-0005-0000-0000-0000808C0000}"/>
    <cellStyle name="Normal 3 3 8 10 3 3" xfId="35978" xr:uid="{00000000-0005-0000-0000-0000818C0000}"/>
    <cellStyle name="Normal 3 3 8 10 4" xfId="35979" xr:uid="{00000000-0005-0000-0000-0000828C0000}"/>
    <cellStyle name="Normal 3 3 8 10 4 2" xfId="35980" xr:uid="{00000000-0005-0000-0000-0000838C0000}"/>
    <cellStyle name="Normal 3 3 8 10 4 3" xfId="35981" xr:uid="{00000000-0005-0000-0000-0000848C0000}"/>
    <cellStyle name="Normal 3 3 8 10 5" xfId="35982" xr:uid="{00000000-0005-0000-0000-0000858C0000}"/>
    <cellStyle name="Normal 3 3 8 10 5 2" xfId="35983" xr:uid="{00000000-0005-0000-0000-0000868C0000}"/>
    <cellStyle name="Normal 3 3 8 10 5 3" xfId="35984" xr:uid="{00000000-0005-0000-0000-0000878C0000}"/>
    <cellStyle name="Normal 3 3 8 10 6" xfId="35985" xr:uid="{00000000-0005-0000-0000-0000888C0000}"/>
    <cellStyle name="Normal 3 3 8 10 6 2" xfId="35986" xr:uid="{00000000-0005-0000-0000-0000898C0000}"/>
    <cellStyle name="Normal 3 3 8 10 6 3" xfId="35987" xr:uid="{00000000-0005-0000-0000-00008A8C0000}"/>
    <cellStyle name="Normal 3 3 8 10 7" xfId="35988" xr:uid="{00000000-0005-0000-0000-00008B8C0000}"/>
    <cellStyle name="Normal 3 3 8 10 7 2" xfId="35989" xr:uid="{00000000-0005-0000-0000-00008C8C0000}"/>
    <cellStyle name="Normal 3 3 8 10 7 3" xfId="35990" xr:uid="{00000000-0005-0000-0000-00008D8C0000}"/>
    <cellStyle name="Normal 3 3 8 10 8" xfId="35991" xr:uid="{00000000-0005-0000-0000-00008E8C0000}"/>
    <cellStyle name="Normal 3 3 8 10 8 2" xfId="35992" xr:uid="{00000000-0005-0000-0000-00008F8C0000}"/>
    <cellStyle name="Normal 3 3 8 10 8 3" xfId="35993" xr:uid="{00000000-0005-0000-0000-0000908C0000}"/>
    <cellStyle name="Normal 3 3 8 10 9" xfId="35994" xr:uid="{00000000-0005-0000-0000-0000918C0000}"/>
    <cellStyle name="Normal 3 3 8 10 9 2" xfId="35995" xr:uid="{00000000-0005-0000-0000-0000928C0000}"/>
    <cellStyle name="Normal 3 3 8 10 9 3" xfId="35996" xr:uid="{00000000-0005-0000-0000-0000938C0000}"/>
    <cellStyle name="Normal 3 3 8 11" xfId="35997" xr:uid="{00000000-0005-0000-0000-0000948C0000}"/>
    <cellStyle name="Normal 3 3 8 11 2" xfId="35998" xr:uid="{00000000-0005-0000-0000-0000958C0000}"/>
    <cellStyle name="Normal 3 3 8 11 3" xfId="35999" xr:uid="{00000000-0005-0000-0000-0000968C0000}"/>
    <cellStyle name="Normal 3 3 8 12" xfId="36000" xr:uid="{00000000-0005-0000-0000-0000978C0000}"/>
    <cellStyle name="Normal 3 3 8 12 2" xfId="36001" xr:uid="{00000000-0005-0000-0000-0000988C0000}"/>
    <cellStyle name="Normal 3 3 8 12 3" xfId="36002" xr:uid="{00000000-0005-0000-0000-0000998C0000}"/>
    <cellStyle name="Normal 3 3 8 13" xfId="36003" xr:uid="{00000000-0005-0000-0000-00009A8C0000}"/>
    <cellStyle name="Normal 3 3 8 13 2" xfId="36004" xr:uid="{00000000-0005-0000-0000-00009B8C0000}"/>
    <cellStyle name="Normal 3 3 8 13 3" xfId="36005" xr:uid="{00000000-0005-0000-0000-00009C8C0000}"/>
    <cellStyle name="Normal 3 3 8 14" xfId="36006" xr:uid="{00000000-0005-0000-0000-00009D8C0000}"/>
    <cellStyle name="Normal 3 3 8 14 2" xfId="36007" xr:uid="{00000000-0005-0000-0000-00009E8C0000}"/>
    <cellStyle name="Normal 3 3 8 14 3" xfId="36008" xr:uid="{00000000-0005-0000-0000-00009F8C0000}"/>
    <cellStyle name="Normal 3 3 8 15" xfId="36009" xr:uid="{00000000-0005-0000-0000-0000A08C0000}"/>
    <cellStyle name="Normal 3 3 8 15 2" xfId="36010" xr:uid="{00000000-0005-0000-0000-0000A18C0000}"/>
    <cellStyle name="Normal 3 3 8 15 3" xfId="36011" xr:uid="{00000000-0005-0000-0000-0000A28C0000}"/>
    <cellStyle name="Normal 3 3 8 16" xfId="36012" xr:uid="{00000000-0005-0000-0000-0000A38C0000}"/>
    <cellStyle name="Normal 3 3 8 16 2" xfId="36013" xr:uid="{00000000-0005-0000-0000-0000A48C0000}"/>
    <cellStyle name="Normal 3 3 8 16 3" xfId="36014" xr:uid="{00000000-0005-0000-0000-0000A58C0000}"/>
    <cellStyle name="Normal 3 3 8 17" xfId="36015" xr:uid="{00000000-0005-0000-0000-0000A68C0000}"/>
    <cellStyle name="Normal 3 3 8 17 2" xfId="36016" xr:uid="{00000000-0005-0000-0000-0000A78C0000}"/>
    <cellStyle name="Normal 3 3 8 17 3" xfId="36017" xr:uid="{00000000-0005-0000-0000-0000A88C0000}"/>
    <cellStyle name="Normal 3 3 8 18" xfId="36018" xr:uid="{00000000-0005-0000-0000-0000A98C0000}"/>
    <cellStyle name="Normal 3 3 8 18 2" xfId="36019" xr:uid="{00000000-0005-0000-0000-0000AA8C0000}"/>
    <cellStyle name="Normal 3 3 8 18 3" xfId="36020" xr:uid="{00000000-0005-0000-0000-0000AB8C0000}"/>
    <cellStyle name="Normal 3 3 8 19" xfId="36021" xr:uid="{00000000-0005-0000-0000-0000AC8C0000}"/>
    <cellStyle name="Normal 3 3 8 19 2" xfId="36022" xr:uid="{00000000-0005-0000-0000-0000AD8C0000}"/>
    <cellStyle name="Normal 3 3 8 19 3" xfId="36023" xr:uid="{00000000-0005-0000-0000-0000AE8C0000}"/>
    <cellStyle name="Normal 3 3 8 2" xfId="36024" xr:uid="{00000000-0005-0000-0000-0000AF8C0000}"/>
    <cellStyle name="Normal 3 3 8 2 10" xfId="36025" xr:uid="{00000000-0005-0000-0000-0000B08C0000}"/>
    <cellStyle name="Normal 3 3 8 2 10 2" xfId="36026" xr:uid="{00000000-0005-0000-0000-0000B18C0000}"/>
    <cellStyle name="Normal 3 3 8 2 10 3" xfId="36027" xr:uid="{00000000-0005-0000-0000-0000B28C0000}"/>
    <cellStyle name="Normal 3 3 8 2 11" xfId="36028" xr:uid="{00000000-0005-0000-0000-0000B38C0000}"/>
    <cellStyle name="Normal 3 3 8 2 11 2" xfId="36029" xr:uid="{00000000-0005-0000-0000-0000B48C0000}"/>
    <cellStyle name="Normal 3 3 8 2 11 3" xfId="36030" xr:uid="{00000000-0005-0000-0000-0000B58C0000}"/>
    <cellStyle name="Normal 3 3 8 2 12" xfId="36031" xr:uid="{00000000-0005-0000-0000-0000B68C0000}"/>
    <cellStyle name="Normal 3 3 8 2 12 2" xfId="36032" xr:uid="{00000000-0005-0000-0000-0000B78C0000}"/>
    <cellStyle name="Normal 3 3 8 2 12 3" xfId="36033" xr:uid="{00000000-0005-0000-0000-0000B88C0000}"/>
    <cellStyle name="Normal 3 3 8 2 13" xfId="36034" xr:uid="{00000000-0005-0000-0000-0000B98C0000}"/>
    <cellStyle name="Normal 3 3 8 2 13 2" xfId="36035" xr:uid="{00000000-0005-0000-0000-0000BA8C0000}"/>
    <cellStyle name="Normal 3 3 8 2 13 3" xfId="36036" xr:uid="{00000000-0005-0000-0000-0000BB8C0000}"/>
    <cellStyle name="Normal 3 3 8 2 14" xfId="36037" xr:uid="{00000000-0005-0000-0000-0000BC8C0000}"/>
    <cellStyle name="Normal 3 3 8 2 14 2" xfId="36038" xr:uid="{00000000-0005-0000-0000-0000BD8C0000}"/>
    <cellStyle name="Normal 3 3 8 2 14 3" xfId="36039" xr:uid="{00000000-0005-0000-0000-0000BE8C0000}"/>
    <cellStyle name="Normal 3 3 8 2 15" xfId="36040" xr:uid="{00000000-0005-0000-0000-0000BF8C0000}"/>
    <cellStyle name="Normal 3 3 8 2 15 2" xfId="36041" xr:uid="{00000000-0005-0000-0000-0000C08C0000}"/>
    <cellStyle name="Normal 3 3 8 2 15 3" xfId="36042" xr:uid="{00000000-0005-0000-0000-0000C18C0000}"/>
    <cellStyle name="Normal 3 3 8 2 16" xfId="36043" xr:uid="{00000000-0005-0000-0000-0000C28C0000}"/>
    <cellStyle name="Normal 3 3 8 2 17" xfId="36044" xr:uid="{00000000-0005-0000-0000-0000C38C0000}"/>
    <cellStyle name="Normal 3 3 8 2 2" xfId="36045" xr:uid="{00000000-0005-0000-0000-0000C48C0000}"/>
    <cellStyle name="Normal 3 3 8 2 2 10" xfId="36046" xr:uid="{00000000-0005-0000-0000-0000C58C0000}"/>
    <cellStyle name="Normal 3 3 8 2 2 10 2" xfId="36047" xr:uid="{00000000-0005-0000-0000-0000C68C0000}"/>
    <cellStyle name="Normal 3 3 8 2 2 10 3" xfId="36048" xr:uid="{00000000-0005-0000-0000-0000C78C0000}"/>
    <cellStyle name="Normal 3 3 8 2 2 11" xfId="36049" xr:uid="{00000000-0005-0000-0000-0000C88C0000}"/>
    <cellStyle name="Normal 3 3 8 2 2 11 2" xfId="36050" xr:uid="{00000000-0005-0000-0000-0000C98C0000}"/>
    <cellStyle name="Normal 3 3 8 2 2 11 3" xfId="36051" xr:uid="{00000000-0005-0000-0000-0000CA8C0000}"/>
    <cellStyle name="Normal 3 3 8 2 2 12" xfId="36052" xr:uid="{00000000-0005-0000-0000-0000CB8C0000}"/>
    <cellStyle name="Normal 3 3 8 2 2 12 2" xfId="36053" xr:uid="{00000000-0005-0000-0000-0000CC8C0000}"/>
    <cellStyle name="Normal 3 3 8 2 2 12 3" xfId="36054" xr:uid="{00000000-0005-0000-0000-0000CD8C0000}"/>
    <cellStyle name="Normal 3 3 8 2 2 13" xfId="36055" xr:uid="{00000000-0005-0000-0000-0000CE8C0000}"/>
    <cellStyle name="Normal 3 3 8 2 2 13 2" xfId="36056" xr:uid="{00000000-0005-0000-0000-0000CF8C0000}"/>
    <cellStyle name="Normal 3 3 8 2 2 13 3" xfId="36057" xr:uid="{00000000-0005-0000-0000-0000D08C0000}"/>
    <cellStyle name="Normal 3 3 8 2 2 14" xfId="36058" xr:uid="{00000000-0005-0000-0000-0000D18C0000}"/>
    <cellStyle name="Normal 3 3 8 2 2 14 2" xfId="36059" xr:uid="{00000000-0005-0000-0000-0000D28C0000}"/>
    <cellStyle name="Normal 3 3 8 2 2 14 3" xfId="36060" xr:uid="{00000000-0005-0000-0000-0000D38C0000}"/>
    <cellStyle name="Normal 3 3 8 2 2 15" xfId="36061" xr:uid="{00000000-0005-0000-0000-0000D48C0000}"/>
    <cellStyle name="Normal 3 3 8 2 2 16" xfId="36062" xr:uid="{00000000-0005-0000-0000-0000D58C0000}"/>
    <cellStyle name="Normal 3 3 8 2 2 2" xfId="36063" xr:uid="{00000000-0005-0000-0000-0000D68C0000}"/>
    <cellStyle name="Normal 3 3 8 2 2 2 2" xfId="36064" xr:uid="{00000000-0005-0000-0000-0000D78C0000}"/>
    <cellStyle name="Normal 3 3 8 2 2 2 3" xfId="36065" xr:uid="{00000000-0005-0000-0000-0000D88C0000}"/>
    <cellStyle name="Normal 3 3 8 2 2 3" xfId="36066" xr:uid="{00000000-0005-0000-0000-0000D98C0000}"/>
    <cellStyle name="Normal 3 3 8 2 2 3 2" xfId="36067" xr:uid="{00000000-0005-0000-0000-0000DA8C0000}"/>
    <cellStyle name="Normal 3 3 8 2 2 3 3" xfId="36068" xr:uid="{00000000-0005-0000-0000-0000DB8C0000}"/>
    <cellStyle name="Normal 3 3 8 2 2 4" xfId="36069" xr:uid="{00000000-0005-0000-0000-0000DC8C0000}"/>
    <cellStyle name="Normal 3 3 8 2 2 4 2" xfId="36070" xr:uid="{00000000-0005-0000-0000-0000DD8C0000}"/>
    <cellStyle name="Normal 3 3 8 2 2 4 3" xfId="36071" xr:uid="{00000000-0005-0000-0000-0000DE8C0000}"/>
    <cellStyle name="Normal 3 3 8 2 2 5" xfId="36072" xr:uid="{00000000-0005-0000-0000-0000DF8C0000}"/>
    <cellStyle name="Normal 3 3 8 2 2 5 2" xfId="36073" xr:uid="{00000000-0005-0000-0000-0000E08C0000}"/>
    <cellStyle name="Normal 3 3 8 2 2 5 3" xfId="36074" xr:uid="{00000000-0005-0000-0000-0000E18C0000}"/>
    <cellStyle name="Normal 3 3 8 2 2 6" xfId="36075" xr:uid="{00000000-0005-0000-0000-0000E28C0000}"/>
    <cellStyle name="Normal 3 3 8 2 2 6 2" xfId="36076" xr:uid="{00000000-0005-0000-0000-0000E38C0000}"/>
    <cellStyle name="Normal 3 3 8 2 2 6 3" xfId="36077" xr:uid="{00000000-0005-0000-0000-0000E48C0000}"/>
    <cellStyle name="Normal 3 3 8 2 2 7" xfId="36078" xr:uid="{00000000-0005-0000-0000-0000E58C0000}"/>
    <cellStyle name="Normal 3 3 8 2 2 7 2" xfId="36079" xr:uid="{00000000-0005-0000-0000-0000E68C0000}"/>
    <cellStyle name="Normal 3 3 8 2 2 7 3" xfId="36080" xr:uid="{00000000-0005-0000-0000-0000E78C0000}"/>
    <cellStyle name="Normal 3 3 8 2 2 8" xfId="36081" xr:uid="{00000000-0005-0000-0000-0000E88C0000}"/>
    <cellStyle name="Normal 3 3 8 2 2 8 2" xfId="36082" xr:uid="{00000000-0005-0000-0000-0000E98C0000}"/>
    <cellStyle name="Normal 3 3 8 2 2 8 3" xfId="36083" xr:uid="{00000000-0005-0000-0000-0000EA8C0000}"/>
    <cellStyle name="Normal 3 3 8 2 2 9" xfId="36084" xr:uid="{00000000-0005-0000-0000-0000EB8C0000}"/>
    <cellStyle name="Normal 3 3 8 2 2 9 2" xfId="36085" xr:uid="{00000000-0005-0000-0000-0000EC8C0000}"/>
    <cellStyle name="Normal 3 3 8 2 2 9 3" xfId="36086" xr:uid="{00000000-0005-0000-0000-0000ED8C0000}"/>
    <cellStyle name="Normal 3 3 8 2 3" xfId="36087" xr:uid="{00000000-0005-0000-0000-0000EE8C0000}"/>
    <cellStyle name="Normal 3 3 8 2 3 2" xfId="36088" xr:uid="{00000000-0005-0000-0000-0000EF8C0000}"/>
    <cellStyle name="Normal 3 3 8 2 3 3" xfId="36089" xr:uid="{00000000-0005-0000-0000-0000F08C0000}"/>
    <cellStyle name="Normal 3 3 8 2 4" xfId="36090" xr:uid="{00000000-0005-0000-0000-0000F18C0000}"/>
    <cellStyle name="Normal 3 3 8 2 4 2" xfId="36091" xr:uid="{00000000-0005-0000-0000-0000F28C0000}"/>
    <cellStyle name="Normal 3 3 8 2 4 3" xfId="36092" xr:uid="{00000000-0005-0000-0000-0000F38C0000}"/>
    <cellStyle name="Normal 3 3 8 2 5" xfId="36093" xr:uid="{00000000-0005-0000-0000-0000F48C0000}"/>
    <cellStyle name="Normal 3 3 8 2 5 2" xfId="36094" xr:uid="{00000000-0005-0000-0000-0000F58C0000}"/>
    <cellStyle name="Normal 3 3 8 2 5 3" xfId="36095" xr:uid="{00000000-0005-0000-0000-0000F68C0000}"/>
    <cellStyle name="Normal 3 3 8 2 6" xfId="36096" xr:uid="{00000000-0005-0000-0000-0000F78C0000}"/>
    <cellStyle name="Normal 3 3 8 2 6 2" xfId="36097" xr:uid="{00000000-0005-0000-0000-0000F88C0000}"/>
    <cellStyle name="Normal 3 3 8 2 6 3" xfId="36098" xr:uid="{00000000-0005-0000-0000-0000F98C0000}"/>
    <cellStyle name="Normal 3 3 8 2 7" xfId="36099" xr:uid="{00000000-0005-0000-0000-0000FA8C0000}"/>
    <cellStyle name="Normal 3 3 8 2 7 2" xfId="36100" xr:uid="{00000000-0005-0000-0000-0000FB8C0000}"/>
    <cellStyle name="Normal 3 3 8 2 7 3" xfId="36101" xr:uid="{00000000-0005-0000-0000-0000FC8C0000}"/>
    <cellStyle name="Normal 3 3 8 2 8" xfId="36102" xr:uid="{00000000-0005-0000-0000-0000FD8C0000}"/>
    <cellStyle name="Normal 3 3 8 2 8 2" xfId="36103" xr:uid="{00000000-0005-0000-0000-0000FE8C0000}"/>
    <cellStyle name="Normal 3 3 8 2 8 3" xfId="36104" xr:uid="{00000000-0005-0000-0000-0000FF8C0000}"/>
    <cellStyle name="Normal 3 3 8 2 9" xfId="36105" xr:uid="{00000000-0005-0000-0000-0000008D0000}"/>
    <cellStyle name="Normal 3 3 8 2 9 2" xfId="36106" xr:uid="{00000000-0005-0000-0000-0000018D0000}"/>
    <cellStyle name="Normal 3 3 8 2 9 3" xfId="36107" xr:uid="{00000000-0005-0000-0000-0000028D0000}"/>
    <cellStyle name="Normal 3 3 8 20" xfId="36108" xr:uid="{00000000-0005-0000-0000-0000038D0000}"/>
    <cellStyle name="Normal 3 3 8 20 2" xfId="36109" xr:uid="{00000000-0005-0000-0000-0000048D0000}"/>
    <cellStyle name="Normal 3 3 8 20 3" xfId="36110" xr:uid="{00000000-0005-0000-0000-0000058D0000}"/>
    <cellStyle name="Normal 3 3 8 21" xfId="36111" xr:uid="{00000000-0005-0000-0000-0000068D0000}"/>
    <cellStyle name="Normal 3 3 8 21 2" xfId="36112" xr:uid="{00000000-0005-0000-0000-0000078D0000}"/>
    <cellStyle name="Normal 3 3 8 21 3" xfId="36113" xr:uid="{00000000-0005-0000-0000-0000088D0000}"/>
    <cellStyle name="Normal 3 3 8 22" xfId="36114" xr:uid="{00000000-0005-0000-0000-0000098D0000}"/>
    <cellStyle name="Normal 3 3 8 22 2" xfId="36115" xr:uid="{00000000-0005-0000-0000-00000A8D0000}"/>
    <cellStyle name="Normal 3 3 8 22 3" xfId="36116" xr:uid="{00000000-0005-0000-0000-00000B8D0000}"/>
    <cellStyle name="Normal 3 3 8 23" xfId="36117" xr:uid="{00000000-0005-0000-0000-00000C8D0000}"/>
    <cellStyle name="Normal 3 3 8 23 2" xfId="36118" xr:uid="{00000000-0005-0000-0000-00000D8D0000}"/>
    <cellStyle name="Normal 3 3 8 23 3" xfId="36119" xr:uid="{00000000-0005-0000-0000-00000E8D0000}"/>
    <cellStyle name="Normal 3 3 8 24" xfId="36120" xr:uid="{00000000-0005-0000-0000-00000F8D0000}"/>
    <cellStyle name="Normal 3 3 8 25" xfId="36121" xr:uid="{00000000-0005-0000-0000-0000108D0000}"/>
    <cellStyle name="Normal 3 3 8 3" xfId="36122" xr:uid="{00000000-0005-0000-0000-0000118D0000}"/>
    <cellStyle name="Normal 3 3 8 3 10" xfId="36123" xr:uid="{00000000-0005-0000-0000-0000128D0000}"/>
    <cellStyle name="Normal 3 3 8 3 10 2" xfId="36124" xr:uid="{00000000-0005-0000-0000-0000138D0000}"/>
    <cellStyle name="Normal 3 3 8 3 10 3" xfId="36125" xr:uid="{00000000-0005-0000-0000-0000148D0000}"/>
    <cellStyle name="Normal 3 3 8 3 11" xfId="36126" xr:uid="{00000000-0005-0000-0000-0000158D0000}"/>
    <cellStyle name="Normal 3 3 8 3 11 2" xfId="36127" xr:uid="{00000000-0005-0000-0000-0000168D0000}"/>
    <cellStyle name="Normal 3 3 8 3 11 3" xfId="36128" xr:uid="{00000000-0005-0000-0000-0000178D0000}"/>
    <cellStyle name="Normal 3 3 8 3 12" xfId="36129" xr:uid="{00000000-0005-0000-0000-0000188D0000}"/>
    <cellStyle name="Normal 3 3 8 3 12 2" xfId="36130" xr:uid="{00000000-0005-0000-0000-0000198D0000}"/>
    <cellStyle name="Normal 3 3 8 3 12 3" xfId="36131" xr:uid="{00000000-0005-0000-0000-00001A8D0000}"/>
    <cellStyle name="Normal 3 3 8 3 13" xfId="36132" xr:uid="{00000000-0005-0000-0000-00001B8D0000}"/>
    <cellStyle name="Normal 3 3 8 3 13 2" xfId="36133" xr:uid="{00000000-0005-0000-0000-00001C8D0000}"/>
    <cellStyle name="Normal 3 3 8 3 13 3" xfId="36134" xr:uid="{00000000-0005-0000-0000-00001D8D0000}"/>
    <cellStyle name="Normal 3 3 8 3 14" xfId="36135" xr:uid="{00000000-0005-0000-0000-00001E8D0000}"/>
    <cellStyle name="Normal 3 3 8 3 14 2" xfId="36136" xr:uid="{00000000-0005-0000-0000-00001F8D0000}"/>
    <cellStyle name="Normal 3 3 8 3 14 3" xfId="36137" xr:uid="{00000000-0005-0000-0000-0000208D0000}"/>
    <cellStyle name="Normal 3 3 8 3 15" xfId="36138" xr:uid="{00000000-0005-0000-0000-0000218D0000}"/>
    <cellStyle name="Normal 3 3 8 3 15 2" xfId="36139" xr:uid="{00000000-0005-0000-0000-0000228D0000}"/>
    <cellStyle name="Normal 3 3 8 3 15 3" xfId="36140" xr:uid="{00000000-0005-0000-0000-0000238D0000}"/>
    <cellStyle name="Normal 3 3 8 3 16" xfId="36141" xr:uid="{00000000-0005-0000-0000-0000248D0000}"/>
    <cellStyle name="Normal 3 3 8 3 17" xfId="36142" xr:uid="{00000000-0005-0000-0000-0000258D0000}"/>
    <cellStyle name="Normal 3 3 8 3 2" xfId="36143" xr:uid="{00000000-0005-0000-0000-0000268D0000}"/>
    <cellStyle name="Normal 3 3 8 3 2 10" xfId="36144" xr:uid="{00000000-0005-0000-0000-0000278D0000}"/>
    <cellStyle name="Normal 3 3 8 3 2 10 2" xfId="36145" xr:uid="{00000000-0005-0000-0000-0000288D0000}"/>
    <cellStyle name="Normal 3 3 8 3 2 10 3" xfId="36146" xr:uid="{00000000-0005-0000-0000-0000298D0000}"/>
    <cellStyle name="Normal 3 3 8 3 2 11" xfId="36147" xr:uid="{00000000-0005-0000-0000-00002A8D0000}"/>
    <cellStyle name="Normal 3 3 8 3 2 11 2" xfId="36148" xr:uid="{00000000-0005-0000-0000-00002B8D0000}"/>
    <cellStyle name="Normal 3 3 8 3 2 11 3" xfId="36149" xr:uid="{00000000-0005-0000-0000-00002C8D0000}"/>
    <cellStyle name="Normal 3 3 8 3 2 12" xfId="36150" xr:uid="{00000000-0005-0000-0000-00002D8D0000}"/>
    <cellStyle name="Normal 3 3 8 3 2 12 2" xfId="36151" xr:uid="{00000000-0005-0000-0000-00002E8D0000}"/>
    <cellStyle name="Normal 3 3 8 3 2 12 3" xfId="36152" xr:uid="{00000000-0005-0000-0000-00002F8D0000}"/>
    <cellStyle name="Normal 3 3 8 3 2 13" xfId="36153" xr:uid="{00000000-0005-0000-0000-0000308D0000}"/>
    <cellStyle name="Normal 3 3 8 3 2 13 2" xfId="36154" xr:uid="{00000000-0005-0000-0000-0000318D0000}"/>
    <cellStyle name="Normal 3 3 8 3 2 13 3" xfId="36155" xr:uid="{00000000-0005-0000-0000-0000328D0000}"/>
    <cellStyle name="Normal 3 3 8 3 2 14" xfId="36156" xr:uid="{00000000-0005-0000-0000-0000338D0000}"/>
    <cellStyle name="Normal 3 3 8 3 2 14 2" xfId="36157" xr:uid="{00000000-0005-0000-0000-0000348D0000}"/>
    <cellStyle name="Normal 3 3 8 3 2 14 3" xfId="36158" xr:uid="{00000000-0005-0000-0000-0000358D0000}"/>
    <cellStyle name="Normal 3 3 8 3 2 15" xfId="36159" xr:uid="{00000000-0005-0000-0000-0000368D0000}"/>
    <cellStyle name="Normal 3 3 8 3 2 16" xfId="36160" xr:uid="{00000000-0005-0000-0000-0000378D0000}"/>
    <cellStyle name="Normal 3 3 8 3 2 2" xfId="36161" xr:uid="{00000000-0005-0000-0000-0000388D0000}"/>
    <cellStyle name="Normal 3 3 8 3 2 2 2" xfId="36162" xr:uid="{00000000-0005-0000-0000-0000398D0000}"/>
    <cellStyle name="Normal 3 3 8 3 2 2 3" xfId="36163" xr:uid="{00000000-0005-0000-0000-00003A8D0000}"/>
    <cellStyle name="Normal 3 3 8 3 2 3" xfId="36164" xr:uid="{00000000-0005-0000-0000-00003B8D0000}"/>
    <cellStyle name="Normal 3 3 8 3 2 3 2" xfId="36165" xr:uid="{00000000-0005-0000-0000-00003C8D0000}"/>
    <cellStyle name="Normal 3 3 8 3 2 3 3" xfId="36166" xr:uid="{00000000-0005-0000-0000-00003D8D0000}"/>
    <cellStyle name="Normal 3 3 8 3 2 4" xfId="36167" xr:uid="{00000000-0005-0000-0000-00003E8D0000}"/>
    <cellStyle name="Normal 3 3 8 3 2 4 2" xfId="36168" xr:uid="{00000000-0005-0000-0000-00003F8D0000}"/>
    <cellStyle name="Normal 3 3 8 3 2 4 3" xfId="36169" xr:uid="{00000000-0005-0000-0000-0000408D0000}"/>
    <cellStyle name="Normal 3 3 8 3 2 5" xfId="36170" xr:uid="{00000000-0005-0000-0000-0000418D0000}"/>
    <cellStyle name="Normal 3 3 8 3 2 5 2" xfId="36171" xr:uid="{00000000-0005-0000-0000-0000428D0000}"/>
    <cellStyle name="Normal 3 3 8 3 2 5 3" xfId="36172" xr:uid="{00000000-0005-0000-0000-0000438D0000}"/>
    <cellStyle name="Normal 3 3 8 3 2 6" xfId="36173" xr:uid="{00000000-0005-0000-0000-0000448D0000}"/>
    <cellStyle name="Normal 3 3 8 3 2 6 2" xfId="36174" xr:uid="{00000000-0005-0000-0000-0000458D0000}"/>
    <cellStyle name="Normal 3 3 8 3 2 6 3" xfId="36175" xr:uid="{00000000-0005-0000-0000-0000468D0000}"/>
    <cellStyle name="Normal 3 3 8 3 2 7" xfId="36176" xr:uid="{00000000-0005-0000-0000-0000478D0000}"/>
    <cellStyle name="Normal 3 3 8 3 2 7 2" xfId="36177" xr:uid="{00000000-0005-0000-0000-0000488D0000}"/>
    <cellStyle name="Normal 3 3 8 3 2 7 3" xfId="36178" xr:uid="{00000000-0005-0000-0000-0000498D0000}"/>
    <cellStyle name="Normal 3 3 8 3 2 8" xfId="36179" xr:uid="{00000000-0005-0000-0000-00004A8D0000}"/>
    <cellStyle name="Normal 3 3 8 3 2 8 2" xfId="36180" xr:uid="{00000000-0005-0000-0000-00004B8D0000}"/>
    <cellStyle name="Normal 3 3 8 3 2 8 3" xfId="36181" xr:uid="{00000000-0005-0000-0000-00004C8D0000}"/>
    <cellStyle name="Normal 3 3 8 3 2 9" xfId="36182" xr:uid="{00000000-0005-0000-0000-00004D8D0000}"/>
    <cellStyle name="Normal 3 3 8 3 2 9 2" xfId="36183" xr:uid="{00000000-0005-0000-0000-00004E8D0000}"/>
    <cellStyle name="Normal 3 3 8 3 2 9 3" xfId="36184" xr:uid="{00000000-0005-0000-0000-00004F8D0000}"/>
    <cellStyle name="Normal 3 3 8 3 3" xfId="36185" xr:uid="{00000000-0005-0000-0000-0000508D0000}"/>
    <cellStyle name="Normal 3 3 8 3 3 2" xfId="36186" xr:uid="{00000000-0005-0000-0000-0000518D0000}"/>
    <cellStyle name="Normal 3 3 8 3 3 3" xfId="36187" xr:uid="{00000000-0005-0000-0000-0000528D0000}"/>
    <cellStyle name="Normal 3 3 8 3 4" xfId="36188" xr:uid="{00000000-0005-0000-0000-0000538D0000}"/>
    <cellStyle name="Normal 3 3 8 3 4 2" xfId="36189" xr:uid="{00000000-0005-0000-0000-0000548D0000}"/>
    <cellStyle name="Normal 3 3 8 3 4 3" xfId="36190" xr:uid="{00000000-0005-0000-0000-0000558D0000}"/>
    <cellStyle name="Normal 3 3 8 3 5" xfId="36191" xr:uid="{00000000-0005-0000-0000-0000568D0000}"/>
    <cellStyle name="Normal 3 3 8 3 5 2" xfId="36192" xr:uid="{00000000-0005-0000-0000-0000578D0000}"/>
    <cellStyle name="Normal 3 3 8 3 5 3" xfId="36193" xr:uid="{00000000-0005-0000-0000-0000588D0000}"/>
    <cellStyle name="Normal 3 3 8 3 6" xfId="36194" xr:uid="{00000000-0005-0000-0000-0000598D0000}"/>
    <cellStyle name="Normal 3 3 8 3 6 2" xfId="36195" xr:uid="{00000000-0005-0000-0000-00005A8D0000}"/>
    <cellStyle name="Normal 3 3 8 3 6 3" xfId="36196" xr:uid="{00000000-0005-0000-0000-00005B8D0000}"/>
    <cellStyle name="Normal 3 3 8 3 7" xfId="36197" xr:uid="{00000000-0005-0000-0000-00005C8D0000}"/>
    <cellStyle name="Normal 3 3 8 3 7 2" xfId="36198" xr:uid="{00000000-0005-0000-0000-00005D8D0000}"/>
    <cellStyle name="Normal 3 3 8 3 7 3" xfId="36199" xr:uid="{00000000-0005-0000-0000-00005E8D0000}"/>
    <cellStyle name="Normal 3 3 8 3 8" xfId="36200" xr:uid="{00000000-0005-0000-0000-00005F8D0000}"/>
    <cellStyle name="Normal 3 3 8 3 8 2" xfId="36201" xr:uid="{00000000-0005-0000-0000-0000608D0000}"/>
    <cellStyle name="Normal 3 3 8 3 8 3" xfId="36202" xr:uid="{00000000-0005-0000-0000-0000618D0000}"/>
    <cellStyle name="Normal 3 3 8 3 9" xfId="36203" xr:uid="{00000000-0005-0000-0000-0000628D0000}"/>
    <cellStyle name="Normal 3 3 8 3 9 2" xfId="36204" xr:uid="{00000000-0005-0000-0000-0000638D0000}"/>
    <cellStyle name="Normal 3 3 8 3 9 3" xfId="36205" xr:uid="{00000000-0005-0000-0000-0000648D0000}"/>
    <cellStyle name="Normal 3 3 8 4" xfId="36206" xr:uid="{00000000-0005-0000-0000-0000658D0000}"/>
    <cellStyle name="Normal 3 3 8 4 10" xfId="36207" xr:uid="{00000000-0005-0000-0000-0000668D0000}"/>
    <cellStyle name="Normal 3 3 8 4 10 2" xfId="36208" xr:uid="{00000000-0005-0000-0000-0000678D0000}"/>
    <cellStyle name="Normal 3 3 8 4 10 3" xfId="36209" xr:uid="{00000000-0005-0000-0000-0000688D0000}"/>
    <cellStyle name="Normal 3 3 8 4 11" xfId="36210" xr:uid="{00000000-0005-0000-0000-0000698D0000}"/>
    <cellStyle name="Normal 3 3 8 4 11 2" xfId="36211" xr:uid="{00000000-0005-0000-0000-00006A8D0000}"/>
    <cellStyle name="Normal 3 3 8 4 11 3" xfId="36212" xr:uid="{00000000-0005-0000-0000-00006B8D0000}"/>
    <cellStyle name="Normal 3 3 8 4 12" xfId="36213" xr:uid="{00000000-0005-0000-0000-00006C8D0000}"/>
    <cellStyle name="Normal 3 3 8 4 12 2" xfId="36214" xr:uid="{00000000-0005-0000-0000-00006D8D0000}"/>
    <cellStyle name="Normal 3 3 8 4 12 3" xfId="36215" xr:uid="{00000000-0005-0000-0000-00006E8D0000}"/>
    <cellStyle name="Normal 3 3 8 4 13" xfId="36216" xr:uid="{00000000-0005-0000-0000-00006F8D0000}"/>
    <cellStyle name="Normal 3 3 8 4 13 2" xfId="36217" xr:uid="{00000000-0005-0000-0000-0000708D0000}"/>
    <cellStyle name="Normal 3 3 8 4 13 3" xfId="36218" xr:uid="{00000000-0005-0000-0000-0000718D0000}"/>
    <cellStyle name="Normal 3 3 8 4 14" xfId="36219" xr:uid="{00000000-0005-0000-0000-0000728D0000}"/>
    <cellStyle name="Normal 3 3 8 4 14 2" xfId="36220" xr:uid="{00000000-0005-0000-0000-0000738D0000}"/>
    <cellStyle name="Normal 3 3 8 4 14 3" xfId="36221" xr:uid="{00000000-0005-0000-0000-0000748D0000}"/>
    <cellStyle name="Normal 3 3 8 4 15" xfId="36222" xr:uid="{00000000-0005-0000-0000-0000758D0000}"/>
    <cellStyle name="Normal 3 3 8 4 15 2" xfId="36223" xr:uid="{00000000-0005-0000-0000-0000768D0000}"/>
    <cellStyle name="Normal 3 3 8 4 15 3" xfId="36224" xr:uid="{00000000-0005-0000-0000-0000778D0000}"/>
    <cellStyle name="Normal 3 3 8 4 16" xfId="36225" xr:uid="{00000000-0005-0000-0000-0000788D0000}"/>
    <cellStyle name="Normal 3 3 8 4 17" xfId="36226" xr:uid="{00000000-0005-0000-0000-0000798D0000}"/>
    <cellStyle name="Normal 3 3 8 4 2" xfId="36227" xr:uid="{00000000-0005-0000-0000-00007A8D0000}"/>
    <cellStyle name="Normal 3 3 8 4 2 10" xfId="36228" xr:uid="{00000000-0005-0000-0000-00007B8D0000}"/>
    <cellStyle name="Normal 3 3 8 4 2 10 2" xfId="36229" xr:uid="{00000000-0005-0000-0000-00007C8D0000}"/>
    <cellStyle name="Normal 3 3 8 4 2 10 3" xfId="36230" xr:uid="{00000000-0005-0000-0000-00007D8D0000}"/>
    <cellStyle name="Normal 3 3 8 4 2 11" xfId="36231" xr:uid="{00000000-0005-0000-0000-00007E8D0000}"/>
    <cellStyle name="Normal 3 3 8 4 2 11 2" xfId="36232" xr:uid="{00000000-0005-0000-0000-00007F8D0000}"/>
    <cellStyle name="Normal 3 3 8 4 2 11 3" xfId="36233" xr:uid="{00000000-0005-0000-0000-0000808D0000}"/>
    <cellStyle name="Normal 3 3 8 4 2 12" xfId="36234" xr:uid="{00000000-0005-0000-0000-0000818D0000}"/>
    <cellStyle name="Normal 3 3 8 4 2 12 2" xfId="36235" xr:uid="{00000000-0005-0000-0000-0000828D0000}"/>
    <cellStyle name="Normal 3 3 8 4 2 12 3" xfId="36236" xr:uid="{00000000-0005-0000-0000-0000838D0000}"/>
    <cellStyle name="Normal 3 3 8 4 2 13" xfId="36237" xr:uid="{00000000-0005-0000-0000-0000848D0000}"/>
    <cellStyle name="Normal 3 3 8 4 2 13 2" xfId="36238" xr:uid="{00000000-0005-0000-0000-0000858D0000}"/>
    <cellStyle name="Normal 3 3 8 4 2 13 3" xfId="36239" xr:uid="{00000000-0005-0000-0000-0000868D0000}"/>
    <cellStyle name="Normal 3 3 8 4 2 14" xfId="36240" xr:uid="{00000000-0005-0000-0000-0000878D0000}"/>
    <cellStyle name="Normal 3 3 8 4 2 14 2" xfId="36241" xr:uid="{00000000-0005-0000-0000-0000888D0000}"/>
    <cellStyle name="Normal 3 3 8 4 2 14 3" xfId="36242" xr:uid="{00000000-0005-0000-0000-0000898D0000}"/>
    <cellStyle name="Normal 3 3 8 4 2 15" xfId="36243" xr:uid="{00000000-0005-0000-0000-00008A8D0000}"/>
    <cellStyle name="Normal 3 3 8 4 2 16" xfId="36244" xr:uid="{00000000-0005-0000-0000-00008B8D0000}"/>
    <cellStyle name="Normal 3 3 8 4 2 2" xfId="36245" xr:uid="{00000000-0005-0000-0000-00008C8D0000}"/>
    <cellStyle name="Normal 3 3 8 4 2 2 2" xfId="36246" xr:uid="{00000000-0005-0000-0000-00008D8D0000}"/>
    <cellStyle name="Normal 3 3 8 4 2 2 3" xfId="36247" xr:uid="{00000000-0005-0000-0000-00008E8D0000}"/>
    <cellStyle name="Normal 3 3 8 4 2 3" xfId="36248" xr:uid="{00000000-0005-0000-0000-00008F8D0000}"/>
    <cellStyle name="Normal 3 3 8 4 2 3 2" xfId="36249" xr:uid="{00000000-0005-0000-0000-0000908D0000}"/>
    <cellStyle name="Normal 3 3 8 4 2 3 3" xfId="36250" xr:uid="{00000000-0005-0000-0000-0000918D0000}"/>
    <cellStyle name="Normal 3 3 8 4 2 4" xfId="36251" xr:uid="{00000000-0005-0000-0000-0000928D0000}"/>
    <cellStyle name="Normal 3 3 8 4 2 4 2" xfId="36252" xr:uid="{00000000-0005-0000-0000-0000938D0000}"/>
    <cellStyle name="Normal 3 3 8 4 2 4 3" xfId="36253" xr:uid="{00000000-0005-0000-0000-0000948D0000}"/>
    <cellStyle name="Normal 3 3 8 4 2 5" xfId="36254" xr:uid="{00000000-0005-0000-0000-0000958D0000}"/>
    <cellStyle name="Normal 3 3 8 4 2 5 2" xfId="36255" xr:uid="{00000000-0005-0000-0000-0000968D0000}"/>
    <cellStyle name="Normal 3 3 8 4 2 5 3" xfId="36256" xr:uid="{00000000-0005-0000-0000-0000978D0000}"/>
    <cellStyle name="Normal 3 3 8 4 2 6" xfId="36257" xr:uid="{00000000-0005-0000-0000-0000988D0000}"/>
    <cellStyle name="Normal 3 3 8 4 2 6 2" xfId="36258" xr:uid="{00000000-0005-0000-0000-0000998D0000}"/>
    <cellStyle name="Normal 3 3 8 4 2 6 3" xfId="36259" xr:uid="{00000000-0005-0000-0000-00009A8D0000}"/>
    <cellStyle name="Normal 3 3 8 4 2 7" xfId="36260" xr:uid="{00000000-0005-0000-0000-00009B8D0000}"/>
    <cellStyle name="Normal 3 3 8 4 2 7 2" xfId="36261" xr:uid="{00000000-0005-0000-0000-00009C8D0000}"/>
    <cellStyle name="Normal 3 3 8 4 2 7 3" xfId="36262" xr:uid="{00000000-0005-0000-0000-00009D8D0000}"/>
    <cellStyle name="Normal 3 3 8 4 2 8" xfId="36263" xr:uid="{00000000-0005-0000-0000-00009E8D0000}"/>
    <cellStyle name="Normal 3 3 8 4 2 8 2" xfId="36264" xr:uid="{00000000-0005-0000-0000-00009F8D0000}"/>
    <cellStyle name="Normal 3 3 8 4 2 8 3" xfId="36265" xr:uid="{00000000-0005-0000-0000-0000A08D0000}"/>
    <cellStyle name="Normal 3 3 8 4 2 9" xfId="36266" xr:uid="{00000000-0005-0000-0000-0000A18D0000}"/>
    <cellStyle name="Normal 3 3 8 4 2 9 2" xfId="36267" xr:uid="{00000000-0005-0000-0000-0000A28D0000}"/>
    <cellStyle name="Normal 3 3 8 4 2 9 3" xfId="36268" xr:uid="{00000000-0005-0000-0000-0000A38D0000}"/>
    <cellStyle name="Normal 3 3 8 4 3" xfId="36269" xr:uid="{00000000-0005-0000-0000-0000A48D0000}"/>
    <cellStyle name="Normal 3 3 8 4 3 2" xfId="36270" xr:uid="{00000000-0005-0000-0000-0000A58D0000}"/>
    <cellStyle name="Normal 3 3 8 4 3 3" xfId="36271" xr:uid="{00000000-0005-0000-0000-0000A68D0000}"/>
    <cellStyle name="Normal 3 3 8 4 4" xfId="36272" xr:uid="{00000000-0005-0000-0000-0000A78D0000}"/>
    <cellStyle name="Normal 3 3 8 4 4 2" xfId="36273" xr:uid="{00000000-0005-0000-0000-0000A88D0000}"/>
    <cellStyle name="Normal 3 3 8 4 4 3" xfId="36274" xr:uid="{00000000-0005-0000-0000-0000A98D0000}"/>
    <cellStyle name="Normal 3 3 8 4 5" xfId="36275" xr:uid="{00000000-0005-0000-0000-0000AA8D0000}"/>
    <cellStyle name="Normal 3 3 8 4 5 2" xfId="36276" xr:uid="{00000000-0005-0000-0000-0000AB8D0000}"/>
    <cellStyle name="Normal 3 3 8 4 5 3" xfId="36277" xr:uid="{00000000-0005-0000-0000-0000AC8D0000}"/>
    <cellStyle name="Normal 3 3 8 4 6" xfId="36278" xr:uid="{00000000-0005-0000-0000-0000AD8D0000}"/>
    <cellStyle name="Normal 3 3 8 4 6 2" xfId="36279" xr:uid="{00000000-0005-0000-0000-0000AE8D0000}"/>
    <cellStyle name="Normal 3 3 8 4 6 3" xfId="36280" xr:uid="{00000000-0005-0000-0000-0000AF8D0000}"/>
    <cellStyle name="Normal 3 3 8 4 7" xfId="36281" xr:uid="{00000000-0005-0000-0000-0000B08D0000}"/>
    <cellStyle name="Normal 3 3 8 4 7 2" xfId="36282" xr:uid="{00000000-0005-0000-0000-0000B18D0000}"/>
    <cellStyle name="Normal 3 3 8 4 7 3" xfId="36283" xr:uid="{00000000-0005-0000-0000-0000B28D0000}"/>
    <cellStyle name="Normal 3 3 8 4 8" xfId="36284" xr:uid="{00000000-0005-0000-0000-0000B38D0000}"/>
    <cellStyle name="Normal 3 3 8 4 8 2" xfId="36285" xr:uid="{00000000-0005-0000-0000-0000B48D0000}"/>
    <cellStyle name="Normal 3 3 8 4 8 3" xfId="36286" xr:uid="{00000000-0005-0000-0000-0000B58D0000}"/>
    <cellStyle name="Normal 3 3 8 4 9" xfId="36287" xr:uid="{00000000-0005-0000-0000-0000B68D0000}"/>
    <cellStyle name="Normal 3 3 8 4 9 2" xfId="36288" xr:uid="{00000000-0005-0000-0000-0000B78D0000}"/>
    <cellStyle name="Normal 3 3 8 4 9 3" xfId="36289" xr:uid="{00000000-0005-0000-0000-0000B88D0000}"/>
    <cellStyle name="Normal 3 3 8 5" xfId="36290" xr:uid="{00000000-0005-0000-0000-0000B98D0000}"/>
    <cellStyle name="Normal 3 3 8 5 10" xfId="36291" xr:uid="{00000000-0005-0000-0000-0000BA8D0000}"/>
    <cellStyle name="Normal 3 3 8 5 10 2" xfId="36292" xr:uid="{00000000-0005-0000-0000-0000BB8D0000}"/>
    <cellStyle name="Normal 3 3 8 5 10 3" xfId="36293" xr:uid="{00000000-0005-0000-0000-0000BC8D0000}"/>
    <cellStyle name="Normal 3 3 8 5 11" xfId="36294" xr:uid="{00000000-0005-0000-0000-0000BD8D0000}"/>
    <cellStyle name="Normal 3 3 8 5 11 2" xfId="36295" xr:uid="{00000000-0005-0000-0000-0000BE8D0000}"/>
    <cellStyle name="Normal 3 3 8 5 11 3" xfId="36296" xr:uid="{00000000-0005-0000-0000-0000BF8D0000}"/>
    <cellStyle name="Normal 3 3 8 5 12" xfId="36297" xr:uid="{00000000-0005-0000-0000-0000C08D0000}"/>
    <cellStyle name="Normal 3 3 8 5 12 2" xfId="36298" xr:uid="{00000000-0005-0000-0000-0000C18D0000}"/>
    <cellStyle name="Normal 3 3 8 5 12 3" xfId="36299" xr:uid="{00000000-0005-0000-0000-0000C28D0000}"/>
    <cellStyle name="Normal 3 3 8 5 13" xfId="36300" xr:uid="{00000000-0005-0000-0000-0000C38D0000}"/>
    <cellStyle name="Normal 3 3 8 5 13 2" xfId="36301" xr:uid="{00000000-0005-0000-0000-0000C48D0000}"/>
    <cellStyle name="Normal 3 3 8 5 13 3" xfId="36302" xr:uid="{00000000-0005-0000-0000-0000C58D0000}"/>
    <cellStyle name="Normal 3 3 8 5 14" xfId="36303" xr:uid="{00000000-0005-0000-0000-0000C68D0000}"/>
    <cellStyle name="Normal 3 3 8 5 14 2" xfId="36304" xr:uid="{00000000-0005-0000-0000-0000C78D0000}"/>
    <cellStyle name="Normal 3 3 8 5 14 3" xfId="36305" xr:uid="{00000000-0005-0000-0000-0000C88D0000}"/>
    <cellStyle name="Normal 3 3 8 5 15" xfId="36306" xr:uid="{00000000-0005-0000-0000-0000C98D0000}"/>
    <cellStyle name="Normal 3 3 8 5 16" xfId="36307" xr:uid="{00000000-0005-0000-0000-0000CA8D0000}"/>
    <cellStyle name="Normal 3 3 8 5 2" xfId="36308" xr:uid="{00000000-0005-0000-0000-0000CB8D0000}"/>
    <cellStyle name="Normal 3 3 8 5 2 2" xfId="36309" xr:uid="{00000000-0005-0000-0000-0000CC8D0000}"/>
    <cellStyle name="Normal 3 3 8 5 2 3" xfId="36310" xr:uid="{00000000-0005-0000-0000-0000CD8D0000}"/>
    <cellStyle name="Normal 3 3 8 5 3" xfId="36311" xr:uid="{00000000-0005-0000-0000-0000CE8D0000}"/>
    <cellStyle name="Normal 3 3 8 5 3 2" xfId="36312" xr:uid="{00000000-0005-0000-0000-0000CF8D0000}"/>
    <cellStyle name="Normal 3 3 8 5 3 3" xfId="36313" xr:uid="{00000000-0005-0000-0000-0000D08D0000}"/>
    <cellStyle name="Normal 3 3 8 5 4" xfId="36314" xr:uid="{00000000-0005-0000-0000-0000D18D0000}"/>
    <cellStyle name="Normal 3 3 8 5 4 2" xfId="36315" xr:uid="{00000000-0005-0000-0000-0000D28D0000}"/>
    <cellStyle name="Normal 3 3 8 5 4 3" xfId="36316" xr:uid="{00000000-0005-0000-0000-0000D38D0000}"/>
    <cellStyle name="Normal 3 3 8 5 5" xfId="36317" xr:uid="{00000000-0005-0000-0000-0000D48D0000}"/>
    <cellStyle name="Normal 3 3 8 5 5 2" xfId="36318" xr:uid="{00000000-0005-0000-0000-0000D58D0000}"/>
    <cellStyle name="Normal 3 3 8 5 5 3" xfId="36319" xr:uid="{00000000-0005-0000-0000-0000D68D0000}"/>
    <cellStyle name="Normal 3 3 8 5 6" xfId="36320" xr:uid="{00000000-0005-0000-0000-0000D78D0000}"/>
    <cellStyle name="Normal 3 3 8 5 6 2" xfId="36321" xr:uid="{00000000-0005-0000-0000-0000D88D0000}"/>
    <cellStyle name="Normal 3 3 8 5 6 3" xfId="36322" xr:uid="{00000000-0005-0000-0000-0000D98D0000}"/>
    <cellStyle name="Normal 3 3 8 5 7" xfId="36323" xr:uid="{00000000-0005-0000-0000-0000DA8D0000}"/>
    <cellStyle name="Normal 3 3 8 5 7 2" xfId="36324" xr:uid="{00000000-0005-0000-0000-0000DB8D0000}"/>
    <cellStyle name="Normal 3 3 8 5 7 3" xfId="36325" xr:uid="{00000000-0005-0000-0000-0000DC8D0000}"/>
    <cellStyle name="Normal 3 3 8 5 8" xfId="36326" xr:uid="{00000000-0005-0000-0000-0000DD8D0000}"/>
    <cellStyle name="Normal 3 3 8 5 8 2" xfId="36327" xr:uid="{00000000-0005-0000-0000-0000DE8D0000}"/>
    <cellStyle name="Normal 3 3 8 5 8 3" xfId="36328" xr:uid="{00000000-0005-0000-0000-0000DF8D0000}"/>
    <cellStyle name="Normal 3 3 8 5 9" xfId="36329" xr:uid="{00000000-0005-0000-0000-0000E08D0000}"/>
    <cellStyle name="Normal 3 3 8 5 9 2" xfId="36330" xr:uid="{00000000-0005-0000-0000-0000E18D0000}"/>
    <cellStyle name="Normal 3 3 8 5 9 3" xfId="36331" xr:uid="{00000000-0005-0000-0000-0000E28D0000}"/>
    <cellStyle name="Normal 3 3 8 6" xfId="36332" xr:uid="{00000000-0005-0000-0000-0000E38D0000}"/>
    <cellStyle name="Normal 3 3 8 6 10" xfId="36333" xr:uid="{00000000-0005-0000-0000-0000E48D0000}"/>
    <cellStyle name="Normal 3 3 8 6 10 2" xfId="36334" xr:uid="{00000000-0005-0000-0000-0000E58D0000}"/>
    <cellStyle name="Normal 3 3 8 6 10 3" xfId="36335" xr:uid="{00000000-0005-0000-0000-0000E68D0000}"/>
    <cellStyle name="Normal 3 3 8 6 11" xfId="36336" xr:uid="{00000000-0005-0000-0000-0000E78D0000}"/>
    <cellStyle name="Normal 3 3 8 6 11 2" xfId="36337" xr:uid="{00000000-0005-0000-0000-0000E88D0000}"/>
    <cellStyle name="Normal 3 3 8 6 11 3" xfId="36338" xr:uid="{00000000-0005-0000-0000-0000E98D0000}"/>
    <cellStyle name="Normal 3 3 8 6 12" xfId="36339" xr:uid="{00000000-0005-0000-0000-0000EA8D0000}"/>
    <cellStyle name="Normal 3 3 8 6 12 2" xfId="36340" xr:uid="{00000000-0005-0000-0000-0000EB8D0000}"/>
    <cellStyle name="Normal 3 3 8 6 12 3" xfId="36341" xr:uid="{00000000-0005-0000-0000-0000EC8D0000}"/>
    <cellStyle name="Normal 3 3 8 6 13" xfId="36342" xr:uid="{00000000-0005-0000-0000-0000ED8D0000}"/>
    <cellStyle name="Normal 3 3 8 6 13 2" xfId="36343" xr:uid="{00000000-0005-0000-0000-0000EE8D0000}"/>
    <cellStyle name="Normal 3 3 8 6 13 3" xfId="36344" xr:uid="{00000000-0005-0000-0000-0000EF8D0000}"/>
    <cellStyle name="Normal 3 3 8 6 14" xfId="36345" xr:uid="{00000000-0005-0000-0000-0000F08D0000}"/>
    <cellStyle name="Normal 3 3 8 6 14 2" xfId="36346" xr:uid="{00000000-0005-0000-0000-0000F18D0000}"/>
    <cellStyle name="Normal 3 3 8 6 14 3" xfId="36347" xr:uid="{00000000-0005-0000-0000-0000F28D0000}"/>
    <cellStyle name="Normal 3 3 8 6 15" xfId="36348" xr:uid="{00000000-0005-0000-0000-0000F38D0000}"/>
    <cellStyle name="Normal 3 3 8 6 16" xfId="36349" xr:uid="{00000000-0005-0000-0000-0000F48D0000}"/>
    <cellStyle name="Normal 3 3 8 6 2" xfId="36350" xr:uid="{00000000-0005-0000-0000-0000F58D0000}"/>
    <cellStyle name="Normal 3 3 8 6 2 2" xfId="36351" xr:uid="{00000000-0005-0000-0000-0000F68D0000}"/>
    <cellStyle name="Normal 3 3 8 6 2 3" xfId="36352" xr:uid="{00000000-0005-0000-0000-0000F78D0000}"/>
    <cellStyle name="Normal 3 3 8 6 3" xfId="36353" xr:uid="{00000000-0005-0000-0000-0000F88D0000}"/>
    <cellStyle name="Normal 3 3 8 6 3 2" xfId="36354" xr:uid="{00000000-0005-0000-0000-0000F98D0000}"/>
    <cellStyle name="Normal 3 3 8 6 3 3" xfId="36355" xr:uid="{00000000-0005-0000-0000-0000FA8D0000}"/>
    <cellStyle name="Normal 3 3 8 6 4" xfId="36356" xr:uid="{00000000-0005-0000-0000-0000FB8D0000}"/>
    <cellStyle name="Normal 3 3 8 6 4 2" xfId="36357" xr:uid="{00000000-0005-0000-0000-0000FC8D0000}"/>
    <cellStyle name="Normal 3 3 8 6 4 3" xfId="36358" xr:uid="{00000000-0005-0000-0000-0000FD8D0000}"/>
    <cellStyle name="Normal 3 3 8 6 5" xfId="36359" xr:uid="{00000000-0005-0000-0000-0000FE8D0000}"/>
    <cellStyle name="Normal 3 3 8 6 5 2" xfId="36360" xr:uid="{00000000-0005-0000-0000-0000FF8D0000}"/>
    <cellStyle name="Normal 3 3 8 6 5 3" xfId="36361" xr:uid="{00000000-0005-0000-0000-0000008E0000}"/>
    <cellStyle name="Normal 3 3 8 6 6" xfId="36362" xr:uid="{00000000-0005-0000-0000-0000018E0000}"/>
    <cellStyle name="Normal 3 3 8 6 6 2" xfId="36363" xr:uid="{00000000-0005-0000-0000-0000028E0000}"/>
    <cellStyle name="Normal 3 3 8 6 6 3" xfId="36364" xr:uid="{00000000-0005-0000-0000-0000038E0000}"/>
    <cellStyle name="Normal 3 3 8 6 7" xfId="36365" xr:uid="{00000000-0005-0000-0000-0000048E0000}"/>
    <cellStyle name="Normal 3 3 8 6 7 2" xfId="36366" xr:uid="{00000000-0005-0000-0000-0000058E0000}"/>
    <cellStyle name="Normal 3 3 8 6 7 3" xfId="36367" xr:uid="{00000000-0005-0000-0000-0000068E0000}"/>
    <cellStyle name="Normal 3 3 8 6 8" xfId="36368" xr:uid="{00000000-0005-0000-0000-0000078E0000}"/>
    <cellStyle name="Normal 3 3 8 6 8 2" xfId="36369" xr:uid="{00000000-0005-0000-0000-0000088E0000}"/>
    <cellStyle name="Normal 3 3 8 6 8 3" xfId="36370" xr:uid="{00000000-0005-0000-0000-0000098E0000}"/>
    <cellStyle name="Normal 3 3 8 6 9" xfId="36371" xr:uid="{00000000-0005-0000-0000-00000A8E0000}"/>
    <cellStyle name="Normal 3 3 8 6 9 2" xfId="36372" xr:uid="{00000000-0005-0000-0000-00000B8E0000}"/>
    <cellStyle name="Normal 3 3 8 6 9 3" xfId="36373" xr:uid="{00000000-0005-0000-0000-00000C8E0000}"/>
    <cellStyle name="Normal 3 3 8 7" xfId="36374" xr:uid="{00000000-0005-0000-0000-00000D8E0000}"/>
    <cellStyle name="Normal 3 3 8 7 10" xfId="36375" xr:uid="{00000000-0005-0000-0000-00000E8E0000}"/>
    <cellStyle name="Normal 3 3 8 7 10 2" xfId="36376" xr:uid="{00000000-0005-0000-0000-00000F8E0000}"/>
    <cellStyle name="Normal 3 3 8 7 10 3" xfId="36377" xr:uid="{00000000-0005-0000-0000-0000108E0000}"/>
    <cellStyle name="Normal 3 3 8 7 11" xfId="36378" xr:uid="{00000000-0005-0000-0000-0000118E0000}"/>
    <cellStyle name="Normal 3 3 8 7 11 2" xfId="36379" xr:uid="{00000000-0005-0000-0000-0000128E0000}"/>
    <cellStyle name="Normal 3 3 8 7 11 3" xfId="36380" xr:uid="{00000000-0005-0000-0000-0000138E0000}"/>
    <cellStyle name="Normal 3 3 8 7 12" xfId="36381" xr:uid="{00000000-0005-0000-0000-0000148E0000}"/>
    <cellStyle name="Normal 3 3 8 7 12 2" xfId="36382" xr:uid="{00000000-0005-0000-0000-0000158E0000}"/>
    <cellStyle name="Normal 3 3 8 7 12 3" xfId="36383" xr:uid="{00000000-0005-0000-0000-0000168E0000}"/>
    <cellStyle name="Normal 3 3 8 7 13" xfId="36384" xr:uid="{00000000-0005-0000-0000-0000178E0000}"/>
    <cellStyle name="Normal 3 3 8 7 13 2" xfId="36385" xr:uid="{00000000-0005-0000-0000-0000188E0000}"/>
    <cellStyle name="Normal 3 3 8 7 13 3" xfId="36386" xr:uid="{00000000-0005-0000-0000-0000198E0000}"/>
    <cellStyle name="Normal 3 3 8 7 14" xfId="36387" xr:uid="{00000000-0005-0000-0000-00001A8E0000}"/>
    <cellStyle name="Normal 3 3 8 7 14 2" xfId="36388" xr:uid="{00000000-0005-0000-0000-00001B8E0000}"/>
    <cellStyle name="Normal 3 3 8 7 14 3" xfId="36389" xr:uid="{00000000-0005-0000-0000-00001C8E0000}"/>
    <cellStyle name="Normal 3 3 8 7 15" xfId="36390" xr:uid="{00000000-0005-0000-0000-00001D8E0000}"/>
    <cellStyle name="Normal 3 3 8 7 16" xfId="36391" xr:uid="{00000000-0005-0000-0000-00001E8E0000}"/>
    <cellStyle name="Normal 3 3 8 7 2" xfId="36392" xr:uid="{00000000-0005-0000-0000-00001F8E0000}"/>
    <cellStyle name="Normal 3 3 8 7 2 2" xfId="36393" xr:uid="{00000000-0005-0000-0000-0000208E0000}"/>
    <cellStyle name="Normal 3 3 8 7 2 3" xfId="36394" xr:uid="{00000000-0005-0000-0000-0000218E0000}"/>
    <cellStyle name="Normal 3 3 8 7 3" xfId="36395" xr:uid="{00000000-0005-0000-0000-0000228E0000}"/>
    <cellStyle name="Normal 3 3 8 7 3 2" xfId="36396" xr:uid="{00000000-0005-0000-0000-0000238E0000}"/>
    <cellStyle name="Normal 3 3 8 7 3 3" xfId="36397" xr:uid="{00000000-0005-0000-0000-0000248E0000}"/>
    <cellStyle name="Normal 3 3 8 7 4" xfId="36398" xr:uid="{00000000-0005-0000-0000-0000258E0000}"/>
    <cellStyle name="Normal 3 3 8 7 4 2" xfId="36399" xr:uid="{00000000-0005-0000-0000-0000268E0000}"/>
    <cellStyle name="Normal 3 3 8 7 4 3" xfId="36400" xr:uid="{00000000-0005-0000-0000-0000278E0000}"/>
    <cellStyle name="Normal 3 3 8 7 5" xfId="36401" xr:uid="{00000000-0005-0000-0000-0000288E0000}"/>
    <cellStyle name="Normal 3 3 8 7 5 2" xfId="36402" xr:uid="{00000000-0005-0000-0000-0000298E0000}"/>
    <cellStyle name="Normal 3 3 8 7 5 3" xfId="36403" xr:uid="{00000000-0005-0000-0000-00002A8E0000}"/>
    <cellStyle name="Normal 3 3 8 7 6" xfId="36404" xr:uid="{00000000-0005-0000-0000-00002B8E0000}"/>
    <cellStyle name="Normal 3 3 8 7 6 2" xfId="36405" xr:uid="{00000000-0005-0000-0000-00002C8E0000}"/>
    <cellStyle name="Normal 3 3 8 7 6 3" xfId="36406" xr:uid="{00000000-0005-0000-0000-00002D8E0000}"/>
    <cellStyle name="Normal 3 3 8 7 7" xfId="36407" xr:uid="{00000000-0005-0000-0000-00002E8E0000}"/>
    <cellStyle name="Normal 3 3 8 7 7 2" xfId="36408" xr:uid="{00000000-0005-0000-0000-00002F8E0000}"/>
    <cellStyle name="Normal 3 3 8 7 7 3" xfId="36409" xr:uid="{00000000-0005-0000-0000-0000308E0000}"/>
    <cellStyle name="Normal 3 3 8 7 8" xfId="36410" xr:uid="{00000000-0005-0000-0000-0000318E0000}"/>
    <cellStyle name="Normal 3 3 8 7 8 2" xfId="36411" xr:uid="{00000000-0005-0000-0000-0000328E0000}"/>
    <cellStyle name="Normal 3 3 8 7 8 3" xfId="36412" xr:uid="{00000000-0005-0000-0000-0000338E0000}"/>
    <cellStyle name="Normal 3 3 8 7 9" xfId="36413" xr:uid="{00000000-0005-0000-0000-0000348E0000}"/>
    <cellStyle name="Normal 3 3 8 7 9 2" xfId="36414" xr:uid="{00000000-0005-0000-0000-0000358E0000}"/>
    <cellStyle name="Normal 3 3 8 7 9 3" xfId="36415" xr:uid="{00000000-0005-0000-0000-0000368E0000}"/>
    <cellStyle name="Normal 3 3 8 8" xfId="36416" xr:uid="{00000000-0005-0000-0000-0000378E0000}"/>
    <cellStyle name="Normal 3 3 8 8 10" xfId="36417" xr:uid="{00000000-0005-0000-0000-0000388E0000}"/>
    <cellStyle name="Normal 3 3 8 8 10 2" xfId="36418" xr:uid="{00000000-0005-0000-0000-0000398E0000}"/>
    <cellStyle name="Normal 3 3 8 8 10 3" xfId="36419" xr:uid="{00000000-0005-0000-0000-00003A8E0000}"/>
    <cellStyle name="Normal 3 3 8 8 11" xfId="36420" xr:uid="{00000000-0005-0000-0000-00003B8E0000}"/>
    <cellStyle name="Normal 3 3 8 8 11 2" xfId="36421" xr:uid="{00000000-0005-0000-0000-00003C8E0000}"/>
    <cellStyle name="Normal 3 3 8 8 11 3" xfId="36422" xr:uid="{00000000-0005-0000-0000-00003D8E0000}"/>
    <cellStyle name="Normal 3 3 8 8 12" xfId="36423" xr:uid="{00000000-0005-0000-0000-00003E8E0000}"/>
    <cellStyle name="Normal 3 3 8 8 12 2" xfId="36424" xr:uid="{00000000-0005-0000-0000-00003F8E0000}"/>
    <cellStyle name="Normal 3 3 8 8 12 3" xfId="36425" xr:uid="{00000000-0005-0000-0000-0000408E0000}"/>
    <cellStyle name="Normal 3 3 8 8 13" xfId="36426" xr:uid="{00000000-0005-0000-0000-0000418E0000}"/>
    <cellStyle name="Normal 3 3 8 8 13 2" xfId="36427" xr:uid="{00000000-0005-0000-0000-0000428E0000}"/>
    <cellStyle name="Normal 3 3 8 8 13 3" xfId="36428" xr:uid="{00000000-0005-0000-0000-0000438E0000}"/>
    <cellStyle name="Normal 3 3 8 8 14" xfId="36429" xr:uid="{00000000-0005-0000-0000-0000448E0000}"/>
    <cellStyle name="Normal 3 3 8 8 14 2" xfId="36430" xr:uid="{00000000-0005-0000-0000-0000458E0000}"/>
    <cellStyle name="Normal 3 3 8 8 14 3" xfId="36431" xr:uid="{00000000-0005-0000-0000-0000468E0000}"/>
    <cellStyle name="Normal 3 3 8 8 15" xfId="36432" xr:uid="{00000000-0005-0000-0000-0000478E0000}"/>
    <cellStyle name="Normal 3 3 8 8 16" xfId="36433" xr:uid="{00000000-0005-0000-0000-0000488E0000}"/>
    <cellStyle name="Normal 3 3 8 8 2" xfId="36434" xr:uid="{00000000-0005-0000-0000-0000498E0000}"/>
    <cellStyle name="Normal 3 3 8 8 2 2" xfId="36435" xr:uid="{00000000-0005-0000-0000-00004A8E0000}"/>
    <cellStyle name="Normal 3 3 8 8 2 3" xfId="36436" xr:uid="{00000000-0005-0000-0000-00004B8E0000}"/>
    <cellStyle name="Normal 3 3 8 8 3" xfId="36437" xr:uid="{00000000-0005-0000-0000-00004C8E0000}"/>
    <cellStyle name="Normal 3 3 8 8 3 2" xfId="36438" xr:uid="{00000000-0005-0000-0000-00004D8E0000}"/>
    <cellStyle name="Normal 3 3 8 8 3 3" xfId="36439" xr:uid="{00000000-0005-0000-0000-00004E8E0000}"/>
    <cellStyle name="Normal 3 3 8 8 4" xfId="36440" xr:uid="{00000000-0005-0000-0000-00004F8E0000}"/>
    <cellStyle name="Normal 3 3 8 8 4 2" xfId="36441" xr:uid="{00000000-0005-0000-0000-0000508E0000}"/>
    <cellStyle name="Normal 3 3 8 8 4 3" xfId="36442" xr:uid="{00000000-0005-0000-0000-0000518E0000}"/>
    <cellStyle name="Normal 3 3 8 8 5" xfId="36443" xr:uid="{00000000-0005-0000-0000-0000528E0000}"/>
    <cellStyle name="Normal 3 3 8 8 5 2" xfId="36444" xr:uid="{00000000-0005-0000-0000-0000538E0000}"/>
    <cellStyle name="Normal 3 3 8 8 5 3" xfId="36445" xr:uid="{00000000-0005-0000-0000-0000548E0000}"/>
    <cellStyle name="Normal 3 3 8 8 6" xfId="36446" xr:uid="{00000000-0005-0000-0000-0000558E0000}"/>
    <cellStyle name="Normal 3 3 8 8 6 2" xfId="36447" xr:uid="{00000000-0005-0000-0000-0000568E0000}"/>
    <cellStyle name="Normal 3 3 8 8 6 3" xfId="36448" xr:uid="{00000000-0005-0000-0000-0000578E0000}"/>
    <cellStyle name="Normal 3 3 8 8 7" xfId="36449" xr:uid="{00000000-0005-0000-0000-0000588E0000}"/>
    <cellStyle name="Normal 3 3 8 8 7 2" xfId="36450" xr:uid="{00000000-0005-0000-0000-0000598E0000}"/>
    <cellStyle name="Normal 3 3 8 8 7 3" xfId="36451" xr:uid="{00000000-0005-0000-0000-00005A8E0000}"/>
    <cellStyle name="Normal 3 3 8 8 8" xfId="36452" xr:uid="{00000000-0005-0000-0000-00005B8E0000}"/>
    <cellStyle name="Normal 3 3 8 8 8 2" xfId="36453" xr:uid="{00000000-0005-0000-0000-00005C8E0000}"/>
    <cellStyle name="Normal 3 3 8 8 8 3" xfId="36454" xr:uid="{00000000-0005-0000-0000-00005D8E0000}"/>
    <cellStyle name="Normal 3 3 8 8 9" xfId="36455" xr:uid="{00000000-0005-0000-0000-00005E8E0000}"/>
    <cellStyle name="Normal 3 3 8 8 9 2" xfId="36456" xr:uid="{00000000-0005-0000-0000-00005F8E0000}"/>
    <cellStyle name="Normal 3 3 8 8 9 3" xfId="36457" xr:uid="{00000000-0005-0000-0000-0000608E0000}"/>
    <cellStyle name="Normal 3 3 8 9" xfId="36458" xr:uid="{00000000-0005-0000-0000-0000618E0000}"/>
    <cellStyle name="Normal 3 3 8 9 10" xfId="36459" xr:uid="{00000000-0005-0000-0000-0000628E0000}"/>
    <cellStyle name="Normal 3 3 8 9 10 2" xfId="36460" xr:uid="{00000000-0005-0000-0000-0000638E0000}"/>
    <cellStyle name="Normal 3 3 8 9 10 3" xfId="36461" xr:uid="{00000000-0005-0000-0000-0000648E0000}"/>
    <cellStyle name="Normal 3 3 8 9 11" xfId="36462" xr:uid="{00000000-0005-0000-0000-0000658E0000}"/>
    <cellStyle name="Normal 3 3 8 9 11 2" xfId="36463" xr:uid="{00000000-0005-0000-0000-0000668E0000}"/>
    <cellStyle name="Normal 3 3 8 9 11 3" xfId="36464" xr:uid="{00000000-0005-0000-0000-0000678E0000}"/>
    <cellStyle name="Normal 3 3 8 9 12" xfId="36465" xr:uid="{00000000-0005-0000-0000-0000688E0000}"/>
    <cellStyle name="Normal 3 3 8 9 12 2" xfId="36466" xr:uid="{00000000-0005-0000-0000-0000698E0000}"/>
    <cellStyle name="Normal 3 3 8 9 12 3" xfId="36467" xr:uid="{00000000-0005-0000-0000-00006A8E0000}"/>
    <cellStyle name="Normal 3 3 8 9 13" xfId="36468" xr:uid="{00000000-0005-0000-0000-00006B8E0000}"/>
    <cellStyle name="Normal 3 3 8 9 13 2" xfId="36469" xr:uid="{00000000-0005-0000-0000-00006C8E0000}"/>
    <cellStyle name="Normal 3 3 8 9 13 3" xfId="36470" xr:uid="{00000000-0005-0000-0000-00006D8E0000}"/>
    <cellStyle name="Normal 3 3 8 9 14" xfId="36471" xr:uid="{00000000-0005-0000-0000-00006E8E0000}"/>
    <cellStyle name="Normal 3 3 8 9 14 2" xfId="36472" xr:uid="{00000000-0005-0000-0000-00006F8E0000}"/>
    <cellStyle name="Normal 3 3 8 9 14 3" xfId="36473" xr:uid="{00000000-0005-0000-0000-0000708E0000}"/>
    <cellStyle name="Normal 3 3 8 9 15" xfId="36474" xr:uid="{00000000-0005-0000-0000-0000718E0000}"/>
    <cellStyle name="Normal 3 3 8 9 16" xfId="36475" xr:uid="{00000000-0005-0000-0000-0000728E0000}"/>
    <cellStyle name="Normal 3 3 8 9 2" xfId="36476" xr:uid="{00000000-0005-0000-0000-0000738E0000}"/>
    <cellStyle name="Normal 3 3 8 9 2 2" xfId="36477" xr:uid="{00000000-0005-0000-0000-0000748E0000}"/>
    <cellStyle name="Normal 3 3 8 9 2 3" xfId="36478" xr:uid="{00000000-0005-0000-0000-0000758E0000}"/>
    <cellStyle name="Normal 3 3 8 9 3" xfId="36479" xr:uid="{00000000-0005-0000-0000-0000768E0000}"/>
    <cellStyle name="Normal 3 3 8 9 3 2" xfId="36480" xr:uid="{00000000-0005-0000-0000-0000778E0000}"/>
    <cellStyle name="Normal 3 3 8 9 3 3" xfId="36481" xr:uid="{00000000-0005-0000-0000-0000788E0000}"/>
    <cellStyle name="Normal 3 3 8 9 4" xfId="36482" xr:uid="{00000000-0005-0000-0000-0000798E0000}"/>
    <cellStyle name="Normal 3 3 8 9 4 2" xfId="36483" xr:uid="{00000000-0005-0000-0000-00007A8E0000}"/>
    <cellStyle name="Normal 3 3 8 9 4 3" xfId="36484" xr:uid="{00000000-0005-0000-0000-00007B8E0000}"/>
    <cellStyle name="Normal 3 3 8 9 5" xfId="36485" xr:uid="{00000000-0005-0000-0000-00007C8E0000}"/>
    <cellStyle name="Normal 3 3 8 9 5 2" xfId="36486" xr:uid="{00000000-0005-0000-0000-00007D8E0000}"/>
    <cellStyle name="Normal 3 3 8 9 5 3" xfId="36487" xr:uid="{00000000-0005-0000-0000-00007E8E0000}"/>
    <cellStyle name="Normal 3 3 8 9 6" xfId="36488" xr:uid="{00000000-0005-0000-0000-00007F8E0000}"/>
    <cellStyle name="Normal 3 3 8 9 6 2" xfId="36489" xr:uid="{00000000-0005-0000-0000-0000808E0000}"/>
    <cellStyle name="Normal 3 3 8 9 6 3" xfId="36490" xr:uid="{00000000-0005-0000-0000-0000818E0000}"/>
    <cellStyle name="Normal 3 3 8 9 7" xfId="36491" xr:uid="{00000000-0005-0000-0000-0000828E0000}"/>
    <cellStyle name="Normal 3 3 8 9 7 2" xfId="36492" xr:uid="{00000000-0005-0000-0000-0000838E0000}"/>
    <cellStyle name="Normal 3 3 8 9 7 3" xfId="36493" xr:uid="{00000000-0005-0000-0000-0000848E0000}"/>
    <cellStyle name="Normal 3 3 8 9 8" xfId="36494" xr:uid="{00000000-0005-0000-0000-0000858E0000}"/>
    <cellStyle name="Normal 3 3 8 9 8 2" xfId="36495" xr:uid="{00000000-0005-0000-0000-0000868E0000}"/>
    <cellStyle name="Normal 3 3 8 9 8 3" xfId="36496" xr:uid="{00000000-0005-0000-0000-0000878E0000}"/>
    <cellStyle name="Normal 3 3 8 9 9" xfId="36497" xr:uid="{00000000-0005-0000-0000-0000888E0000}"/>
    <cellStyle name="Normal 3 3 8 9 9 2" xfId="36498" xr:uid="{00000000-0005-0000-0000-0000898E0000}"/>
    <cellStyle name="Normal 3 3 8 9 9 3" xfId="36499" xr:uid="{00000000-0005-0000-0000-00008A8E0000}"/>
    <cellStyle name="Normal 3 3 9" xfId="36500" xr:uid="{00000000-0005-0000-0000-00008B8E0000}"/>
    <cellStyle name="Normal 3 3 9 10" xfId="36501" xr:uid="{00000000-0005-0000-0000-00008C8E0000}"/>
    <cellStyle name="Normal 3 3 9 10 10" xfId="36502" xr:uid="{00000000-0005-0000-0000-00008D8E0000}"/>
    <cellStyle name="Normal 3 3 9 10 10 2" xfId="36503" xr:uid="{00000000-0005-0000-0000-00008E8E0000}"/>
    <cellStyle name="Normal 3 3 9 10 10 3" xfId="36504" xr:uid="{00000000-0005-0000-0000-00008F8E0000}"/>
    <cellStyle name="Normal 3 3 9 10 11" xfId="36505" xr:uid="{00000000-0005-0000-0000-0000908E0000}"/>
    <cellStyle name="Normal 3 3 9 10 11 2" xfId="36506" xr:uid="{00000000-0005-0000-0000-0000918E0000}"/>
    <cellStyle name="Normal 3 3 9 10 11 3" xfId="36507" xr:uid="{00000000-0005-0000-0000-0000928E0000}"/>
    <cellStyle name="Normal 3 3 9 10 12" xfId="36508" xr:uid="{00000000-0005-0000-0000-0000938E0000}"/>
    <cellStyle name="Normal 3 3 9 10 12 2" xfId="36509" xr:uid="{00000000-0005-0000-0000-0000948E0000}"/>
    <cellStyle name="Normal 3 3 9 10 12 3" xfId="36510" xr:uid="{00000000-0005-0000-0000-0000958E0000}"/>
    <cellStyle name="Normal 3 3 9 10 13" xfId="36511" xr:uid="{00000000-0005-0000-0000-0000968E0000}"/>
    <cellStyle name="Normal 3 3 9 10 13 2" xfId="36512" xr:uid="{00000000-0005-0000-0000-0000978E0000}"/>
    <cellStyle name="Normal 3 3 9 10 13 3" xfId="36513" xr:uid="{00000000-0005-0000-0000-0000988E0000}"/>
    <cellStyle name="Normal 3 3 9 10 14" xfId="36514" xr:uid="{00000000-0005-0000-0000-0000998E0000}"/>
    <cellStyle name="Normal 3 3 9 10 14 2" xfId="36515" xr:uid="{00000000-0005-0000-0000-00009A8E0000}"/>
    <cellStyle name="Normal 3 3 9 10 14 3" xfId="36516" xr:uid="{00000000-0005-0000-0000-00009B8E0000}"/>
    <cellStyle name="Normal 3 3 9 10 15" xfId="36517" xr:uid="{00000000-0005-0000-0000-00009C8E0000}"/>
    <cellStyle name="Normal 3 3 9 10 16" xfId="36518" xr:uid="{00000000-0005-0000-0000-00009D8E0000}"/>
    <cellStyle name="Normal 3 3 9 10 2" xfId="36519" xr:uid="{00000000-0005-0000-0000-00009E8E0000}"/>
    <cellStyle name="Normal 3 3 9 10 2 2" xfId="36520" xr:uid="{00000000-0005-0000-0000-00009F8E0000}"/>
    <cellStyle name="Normal 3 3 9 10 2 3" xfId="36521" xr:uid="{00000000-0005-0000-0000-0000A08E0000}"/>
    <cellStyle name="Normal 3 3 9 10 3" xfId="36522" xr:uid="{00000000-0005-0000-0000-0000A18E0000}"/>
    <cellStyle name="Normal 3 3 9 10 3 2" xfId="36523" xr:uid="{00000000-0005-0000-0000-0000A28E0000}"/>
    <cellStyle name="Normal 3 3 9 10 3 3" xfId="36524" xr:uid="{00000000-0005-0000-0000-0000A38E0000}"/>
    <cellStyle name="Normal 3 3 9 10 4" xfId="36525" xr:uid="{00000000-0005-0000-0000-0000A48E0000}"/>
    <cellStyle name="Normal 3 3 9 10 4 2" xfId="36526" xr:uid="{00000000-0005-0000-0000-0000A58E0000}"/>
    <cellStyle name="Normal 3 3 9 10 4 3" xfId="36527" xr:uid="{00000000-0005-0000-0000-0000A68E0000}"/>
    <cellStyle name="Normal 3 3 9 10 5" xfId="36528" xr:uid="{00000000-0005-0000-0000-0000A78E0000}"/>
    <cellStyle name="Normal 3 3 9 10 5 2" xfId="36529" xr:uid="{00000000-0005-0000-0000-0000A88E0000}"/>
    <cellStyle name="Normal 3 3 9 10 5 3" xfId="36530" xr:uid="{00000000-0005-0000-0000-0000A98E0000}"/>
    <cellStyle name="Normal 3 3 9 10 6" xfId="36531" xr:uid="{00000000-0005-0000-0000-0000AA8E0000}"/>
    <cellStyle name="Normal 3 3 9 10 6 2" xfId="36532" xr:uid="{00000000-0005-0000-0000-0000AB8E0000}"/>
    <cellStyle name="Normal 3 3 9 10 6 3" xfId="36533" xr:uid="{00000000-0005-0000-0000-0000AC8E0000}"/>
    <cellStyle name="Normal 3 3 9 10 7" xfId="36534" xr:uid="{00000000-0005-0000-0000-0000AD8E0000}"/>
    <cellStyle name="Normal 3 3 9 10 7 2" xfId="36535" xr:uid="{00000000-0005-0000-0000-0000AE8E0000}"/>
    <cellStyle name="Normal 3 3 9 10 7 3" xfId="36536" xr:uid="{00000000-0005-0000-0000-0000AF8E0000}"/>
    <cellStyle name="Normal 3 3 9 10 8" xfId="36537" xr:uid="{00000000-0005-0000-0000-0000B08E0000}"/>
    <cellStyle name="Normal 3 3 9 10 8 2" xfId="36538" xr:uid="{00000000-0005-0000-0000-0000B18E0000}"/>
    <cellStyle name="Normal 3 3 9 10 8 3" xfId="36539" xr:uid="{00000000-0005-0000-0000-0000B28E0000}"/>
    <cellStyle name="Normal 3 3 9 10 9" xfId="36540" xr:uid="{00000000-0005-0000-0000-0000B38E0000}"/>
    <cellStyle name="Normal 3 3 9 10 9 2" xfId="36541" xr:uid="{00000000-0005-0000-0000-0000B48E0000}"/>
    <cellStyle name="Normal 3 3 9 10 9 3" xfId="36542" xr:uid="{00000000-0005-0000-0000-0000B58E0000}"/>
    <cellStyle name="Normal 3 3 9 11" xfId="36543" xr:uid="{00000000-0005-0000-0000-0000B68E0000}"/>
    <cellStyle name="Normal 3 3 9 11 2" xfId="36544" xr:uid="{00000000-0005-0000-0000-0000B78E0000}"/>
    <cellStyle name="Normal 3 3 9 11 3" xfId="36545" xr:uid="{00000000-0005-0000-0000-0000B88E0000}"/>
    <cellStyle name="Normal 3 3 9 12" xfId="36546" xr:uid="{00000000-0005-0000-0000-0000B98E0000}"/>
    <cellStyle name="Normal 3 3 9 12 2" xfId="36547" xr:uid="{00000000-0005-0000-0000-0000BA8E0000}"/>
    <cellStyle name="Normal 3 3 9 12 3" xfId="36548" xr:uid="{00000000-0005-0000-0000-0000BB8E0000}"/>
    <cellStyle name="Normal 3 3 9 13" xfId="36549" xr:uid="{00000000-0005-0000-0000-0000BC8E0000}"/>
    <cellStyle name="Normal 3 3 9 13 2" xfId="36550" xr:uid="{00000000-0005-0000-0000-0000BD8E0000}"/>
    <cellStyle name="Normal 3 3 9 13 3" xfId="36551" xr:uid="{00000000-0005-0000-0000-0000BE8E0000}"/>
    <cellStyle name="Normal 3 3 9 14" xfId="36552" xr:uid="{00000000-0005-0000-0000-0000BF8E0000}"/>
    <cellStyle name="Normal 3 3 9 14 2" xfId="36553" xr:uid="{00000000-0005-0000-0000-0000C08E0000}"/>
    <cellStyle name="Normal 3 3 9 14 3" xfId="36554" xr:uid="{00000000-0005-0000-0000-0000C18E0000}"/>
    <cellStyle name="Normal 3 3 9 15" xfId="36555" xr:uid="{00000000-0005-0000-0000-0000C28E0000}"/>
    <cellStyle name="Normal 3 3 9 15 2" xfId="36556" xr:uid="{00000000-0005-0000-0000-0000C38E0000}"/>
    <cellStyle name="Normal 3 3 9 15 3" xfId="36557" xr:uid="{00000000-0005-0000-0000-0000C48E0000}"/>
    <cellStyle name="Normal 3 3 9 16" xfId="36558" xr:uid="{00000000-0005-0000-0000-0000C58E0000}"/>
    <cellStyle name="Normal 3 3 9 16 2" xfId="36559" xr:uid="{00000000-0005-0000-0000-0000C68E0000}"/>
    <cellStyle name="Normal 3 3 9 16 3" xfId="36560" xr:uid="{00000000-0005-0000-0000-0000C78E0000}"/>
    <cellStyle name="Normal 3 3 9 17" xfId="36561" xr:uid="{00000000-0005-0000-0000-0000C88E0000}"/>
    <cellStyle name="Normal 3 3 9 17 2" xfId="36562" xr:uid="{00000000-0005-0000-0000-0000C98E0000}"/>
    <cellStyle name="Normal 3 3 9 17 3" xfId="36563" xr:uid="{00000000-0005-0000-0000-0000CA8E0000}"/>
    <cellStyle name="Normal 3 3 9 18" xfId="36564" xr:uid="{00000000-0005-0000-0000-0000CB8E0000}"/>
    <cellStyle name="Normal 3 3 9 18 2" xfId="36565" xr:uid="{00000000-0005-0000-0000-0000CC8E0000}"/>
    <cellStyle name="Normal 3 3 9 18 3" xfId="36566" xr:uid="{00000000-0005-0000-0000-0000CD8E0000}"/>
    <cellStyle name="Normal 3 3 9 19" xfId="36567" xr:uid="{00000000-0005-0000-0000-0000CE8E0000}"/>
    <cellStyle name="Normal 3 3 9 19 2" xfId="36568" xr:uid="{00000000-0005-0000-0000-0000CF8E0000}"/>
    <cellStyle name="Normal 3 3 9 19 3" xfId="36569" xr:uid="{00000000-0005-0000-0000-0000D08E0000}"/>
    <cellStyle name="Normal 3 3 9 2" xfId="36570" xr:uid="{00000000-0005-0000-0000-0000D18E0000}"/>
    <cellStyle name="Normal 3 3 9 2 10" xfId="36571" xr:uid="{00000000-0005-0000-0000-0000D28E0000}"/>
    <cellStyle name="Normal 3 3 9 2 10 2" xfId="36572" xr:uid="{00000000-0005-0000-0000-0000D38E0000}"/>
    <cellStyle name="Normal 3 3 9 2 10 3" xfId="36573" xr:uid="{00000000-0005-0000-0000-0000D48E0000}"/>
    <cellStyle name="Normal 3 3 9 2 11" xfId="36574" xr:uid="{00000000-0005-0000-0000-0000D58E0000}"/>
    <cellStyle name="Normal 3 3 9 2 11 2" xfId="36575" xr:uid="{00000000-0005-0000-0000-0000D68E0000}"/>
    <cellStyle name="Normal 3 3 9 2 11 3" xfId="36576" xr:uid="{00000000-0005-0000-0000-0000D78E0000}"/>
    <cellStyle name="Normal 3 3 9 2 12" xfId="36577" xr:uid="{00000000-0005-0000-0000-0000D88E0000}"/>
    <cellStyle name="Normal 3 3 9 2 12 2" xfId="36578" xr:uid="{00000000-0005-0000-0000-0000D98E0000}"/>
    <cellStyle name="Normal 3 3 9 2 12 3" xfId="36579" xr:uid="{00000000-0005-0000-0000-0000DA8E0000}"/>
    <cellStyle name="Normal 3 3 9 2 13" xfId="36580" xr:uid="{00000000-0005-0000-0000-0000DB8E0000}"/>
    <cellStyle name="Normal 3 3 9 2 13 2" xfId="36581" xr:uid="{00000000-0005-0000-0000-0000DC8E0000}"/>
    <cellStyle name="Normal 3 3 9 2 13 3" xfId="36582" xr:uid="{00000000-0005-0000-0000-0000DD8E0000}"/>
    <cellStyle name="Normal 3 3 9 2 14" xfId="36583" xr:uid="{00000000-0005-0000-0000-0000DE8E0000}"/>
    <cellStyle name="Normal 3 3 9 2 14 2" xfId="36584" xr:uid="{00000000-0005-0000-0000-0000DF8E0000}"/>
    <cellStyle name="Normal 3 3 9 2 14 3" xfId="36585" xr:uid="{00000000-0005-0000-0000-0000E08E0000}"/>
    <cellStyle name="Normal 3 3 9 2 15" xfId="36586" xr:uid="{00000000-0005-0000-0000-0000E18E0000}"/>
    <cellStyle name="Normal 3 3 9 2 15 2" xfId="36587" xr:uid="{00000000-0005-0000-0000-0000E28E0000}"/>
    <cellStyle name="Normal 3 3 9 2 15 3" xfId="36588" xr:uid="{00000000-0005-0000-0000-0000E38E0000}"/>
    <cellStyle name="Normal 3 3 9 2 16" xfId="36589" xr:uid="{00000000-0005-0000-0000-0000E48E0000}"/>
    <cellStyle name="Normal 3 3 9 2 17" xfId="36590" xr:uid="{00000000-0005-0000-0000-0000E58E0000}"/>
    <cellStyle name="Normal 3 3 9 2 2" xfId="36591" xr:uid="{00000000-0005-0000-0000-0000E68E0000}"/>
    <cellStyle name="Normal 3 3 9 2 2 10" xfId="36592" xr:uid="{00000000-0005-0000-0000-0000E78E0000}"/>
    <cellStyle name="Normal 3 3 9 2 2 10 2" xfId="36593" xr:uid="{00000000-0005-0000-0000-0000E88E0000}"/>
    <cellStyle name="Normal 3 3 9 2 2 10 3" xfId="36594" xr:uid="{00000000-0005-0000-0000-0000E98E0000}"/>
    <cellStyle name="Normal 3 3 9 2 2 11" xfId="36595" xr:uid="{00000000-0005-0000-0000-0000EA8E0000}"/>
    <cellStyle name="Normal 3 3 9 2 2 11 2" xfId="36596" xr:uid="{00000000-0005-0000-0000-0000EB8E0000}"/>
    <cellStyle name="Normal 3 3 9 2 2 11 3" xfId="36597" xr:uid="{00000000-0005-0000-0000-0000EC8E0000}"/>
    <cellStyle name="Normal 3 3 9 2 2 12" xfId="36598" xr:uid="{00000000-0005-0000-0000-0000ED8E0000}"/>
    <cellStyle name="Normal 3 3 9 2 2 12 2" xfId="36599" xr:uid="{00000000-0005-0000-0000-0000EE8E0000}"/>
    <cellStyle name="Normal 3 3 9 2 2 12 3" xfId="36600" xr:uid="{00000000-0005-0000-0000-0000EF8E0000}"/>
    <cellStyle name="Normal 3 3 9 2 2 13" xfId="36601" xr:uid="{00000000-0005-0000-0000-0000F08E0000}"/>
    <cellStyle name="Normal 3 3 9 2 2 13 2" xfId="36602" xr:uid="{00000000-0005-0000-0000-0000F18E0000}"/>
    <cellStyle name="Normal 3 3 9 2 2 13 3" xfId="36603" xr:uid="{00000000-0005-0000-0000-0000F28E0000}"/>
    <cellStyle name="Normal 3 3 9 2 2 14" xfId="36604" xr:uid="{00000000-0005-0000-0000-0000F38E0000}"/>
    <cellStyle name="Normal 3 3 9 2 2 14 2" xfId="36605" xr:uid="{00000000-0005-0000-0000-0000F48E0000}"/>
    <cellStyle name="Normal 3 3 9 2 2 14 3" xfId="36606" xr:uid="{00000000-0005-0000-0000-0000F58E0000}"/>
    <cellStyle name="Normal 3 3 9 2 2 15" xfId="36607" xr:uid="{00000000-0005-0000-0000-0000F68E0000}"/>
    <cellStyle name="Normal 3 3 9 2 2 16" xfId="36608" xr:uid="{00000000-0005-0000-0000-0000F78E0000}"/>
    <cellStyle name="Normal 3 3 9 2 2 2" xfId="36609" xr:uid="{00000000-0005-0000-0000-0000F88E0000}"/>
    <cellStyle name="Normal 3 3 9 2 2 2 2" xfId="36610" xr:uid="{00000000-0005-0000-0000-0000F98E0000}"/>
    <cellStyle name="Normal 3 3 9 2 2 2 3" xfId="36611" xr:uid="{00000000-0005-0000-0000-0000FA8E0000}"/>
    <cellStyle name="Normal 3 3 9 2 2 3" xfId="36612" xr:uid="{00000000-0005-0000-0000-0000FB8E0000}"/>
    <cellStyle name="Normal 3 3 9 2 2 3 2" xfId="36613" xr:uid="{00000000-0005-0000-0000-0000FC8E0000}"/>
    <cellStyle name="Normal 3 3 9 2 2 3 3" xfId="36614" xr:uid="{00000000-0005-0000-0000-0000FD8E0000}"/>
    <cellStyle name="Normal 3 3 9 2 2 4" xfId="36615" xr:uid="{00000000-0005-0000-0000-0000FE8E0000}"/>
    <cellStyle name="Normal 3 3 9 2 2 4 2" xfId="36616" xr:uid="{00000000-0005-0000-0000-0000FF8E0000}"/>
    <cellStyle name="Normal 3 3 9 2 2 4 3" xfId="36617" xr:uid="{00000000-0005-0000-0000-0000008F0000}"/>
    <cellStyle name="Normal 3 3 9 2 2 5" xfId="36618" xr:uid="{00000000-0005-0000-0000-0000018F0000}"/>
    <cellStyle name="Normal 3 3 9 2 2 5 2" xfId="36619" xr:uid="{00000000-0005-0000-0000-0000028F0000}"/>
    <cellStyle name="Normal 3 3 9 2 2 5 3" xfId="36620" xr:uid="{00000000-0005-0000-0000-0000038F0000}"/>
    <cellStyle name="Normal 3 3 9 2 2 6" xfId="36621" xr:uid="{00000000-0005-0000-0000-0000048F0000}"/>
    <cellStyle name="Normal 3 3 9 2 2 6 2" xfId="36622" xr:uid="{00000000-0005-0000-0000-0000058F0000}"/>
    <cellStyle name="Normal 3 3 9 2 2 6 3" xfId="36623" xr:uid="{00000000-0005-0000-0000-0000068F0000}"/>
    <cellStyle name="Normal 3 3 9 2 2 7" xfId="36624" xr:uid="{00000000-0005-0000-0000-0000078F0000}"/>
    <cellStyle name="Normal 3 3 9 2 2 7 2" xfId="36625" xr:uid="{00000000-0005-0000-0000-0000088F0000}"/>
    <cellStyle name="Normal 3 3 9 2 2 7 3" xfId="36626" xr:uid="{00000000-0005-0000-0000-0000098F0000}"/>
    <cellStyle name="Normal 3 3 9 2 2 8" xfId="36627" xr:uid="{00000000-0005-0000-0000-00000A8F0000}"/>
    <cellStyle name="Normal 3 3 9 2 2 8 2" xfId="36628" xr:uid="{00000000-0005-0000-0000-00000B8F0000}"/>
    <cellStyle name="Normal 3 3 9 2 2 8 3" xfId="36629" xr:uid="{00000000-0005-0000-0000-00000C8F0000}"/>
    <cellStyle name="Normal 3 3 9 2 2 9" xfId="36630" xr:uid="{00000000-0005-0000-0000-00000D8F0000}"/>
    <cellStyle name="Normal 3 3 9 2 2 9 2" xfId="36631" xr:uid="{00000000-0005-0000-0000-00000E8F0000}"/>
    <cellStyle name="Normal 3 3 9 2 2 9 3" xfId="36632" xr:uid="{00000000-0005-0000-0000-00000F8F0000}"/>
    <cellStyle name="Normal 3 3 9 2 3" xfId="36633" xr:uid="{00000000-0005-0000-0000-0000108F0000}"/>
    <cellStyle name="Normal 3 3 9 2 3 2" xfId="36634" xr:uid="{00000000-0005-0000-0000-0000118F0000}"/>
    <cellStyle name="Normal 3 3 9 2 3 3" xfId="36635" xr:uid="{00000000-0005-0000-0000-0000128F0000}"/>
    <cellStyle name="Normal 3 3 9 2 4" xfId="36636" xr:uid="{00000000-0005-0000-0000-0000138F0000}"/>
    <cellStyle name="Normal 3 3 9 2 4 2" xfId="36637" xr:uid="{00000000-0005-0000-0000-0000148F0000}"/>
    <cellStyle name="Normal 3 3 9 2 4 3" xfId="36638" xr:uid="{00000000-0005-0000-0000-0000158F0000}"/>
    <cellStyle name="Normal 3 3 9 2 5" xfId="36639" xr:uid="{00000000-0005-0000-0000-0000168F0000}"/>
    <cellStyle name="Normal 3 3 9 2 5 2" xfId="36640" xr:uid="{00000000-0005-0000-0000-0000178F0000}"/>
    <cellStyle name="Normal 3 3 9 2 5 3" xfId="36641" xr:uid="{00000000-0005-0000-0000-0000188F0000}"/>
    <cellStyle name="Normal 3 3 9 2 6" xfId="36642" xr:uid="{00000000-0005-0000-0000-0000198F0000}"/>
    <cellStyle name="Normal 3 3 9 2 6 2" xfId="36643" xr:uid="{00000000-0005-0000-0000-00001A8F0000}"/>
    <cellStyle name="Normal 3 3 9 2 6 3" xfId="36644" xr:uid="{00000000-0005-0000-0000-00001B8F0000}"/>
    <cellStyle name="Normal 3 3 9 2 7" xfId="36645" xr:uid="{00000000-0005-0000-0000-00001C8F0000}"/>
    <cellStyle name="Normal 3 3 9 2 7 2" xfId="36646" xr:uid="{00000000-0005-0000-0000-00001D8F0000}"/>
    <cellStyle name="Normal 3 3 9 2 7 3" xfId="36647" xr:uid="{00000000-0005-0000-0000-00001E8F0000}"/>
    <cellStyle name="Normal 3 3 9 2 8" xfId="36648" xr:uid="{00000000-0005-0000-0000-00001F8F0000}"/>
    <cellStyle name="Normal 3 3 9 2 8 2" xfId="36649" xr:uid="{00000000-0005-0000-0000-0000208F0000}"/>
    <cellStyle name="Normal 3 3 9 2 8 3" xfId="36650" xr:uid="{00000000-0005-0000-0000-0000218F0000}"/>
    <cellStyle name="Normal 3 3 9 2 9" xfId="36651" xr:uid="{00000000-0005-0000-0000-0000228F0000}"/>
    <cellStyle name="Normal 3 3 9 2 9 2" xfId="36652" xr:uid="{00000000-0005-0000-0000-0000238F0000}"/>
    <cellStyle name="Normal 3 3 9 2 9 3" xfId="36653" xr:uid="{00000000-0005-0000-0000-0000248F0000}"/>
    <cellStyle name="Normal 3 3 9 20" xfId="36654" xr:uid="{00000000-0005-0000-0000-0000258F0000}"/>
    <cellStyle name="Normal 3 3 9 20 2" xfId="36655" xr:uid="{00000000-0005-0000-0000-0000268F0000}"/>
    <cellStyle name="Normal 3 3 9 20 3" xfId="36656" xr:uid="{00000000-0005-0000-0000-0000278F0000}"/>
    <cellStyle name="Normal 3 3 9 21" xfId="36657" xr:uid="{00000000-0005-0000-0000-0000288F0000}"/>
    <cellStyle name="Normal 3 3 9 21 2" xfId="36658" xr:uid="{00000000-0005-0000-0000-0000298F0000}"/>
    <cellStyle name="Normal 3 3 9 21 3" xfId="36659" xr:uid="{00000000-0005-0000-0000-00002A8F0000}"/>
    <cellStyle name="Normal 3 3 9 22" xfId="36660" xr:uid="{00000000-0005-0000-0000-00002B8F0000}"/>
    <cellStyle name="Normal 3 3 9 22 2" xfId="36661" xr:uid="{00000000-0005-0000-0000-00002C8F0000}"/>
    <cellStyle name="Normal 3 3 9 22 3" xfId="36662" xr:uid="{00000000-0005-0000-0000-00002D8F0000}"/>
    <cellStyle name="Normal 3 3 9 23" xfId="36663" xr:uid="{00000000-0005-0000-0000-00002E8F0000}"/>
    <cellStyle name="Normal 3 3 9 23 2" xfId="36664" xr:uid="{00000000-0005-0000-0000-00002F8F0000}"/>
    <cellStyle name="Normal 3 3 9 23 3" xfId="36665" xr:uid="{00000000-0005-0000-0000-0000308F0000}"/>
    <cellStyle name="Normal 3 3 9 24" xfId="36666" xr:uid="{00000000-0005-0000-0000-0000318F0000}"/>
    <cellStyle name="Normal 3 3 9 25" xfId="36667" xr:uid="{00000000-0005-0000-0000-0000328F0000}"/>
    <cellStyle name="Normal 3 3 9 3" xfId="36668" xr:uid="{00000000-0005-0000-0000-0000338F0000}"/>
    <cellStyle name="Normal 3 3 9 3 10" xfId="36669" xr:uid="{00000000-0005-0000-0000-0000348F0000}"/>
    <cellStyle name="Normal 3 3 9 3 10 2" xfId="36670" xr:uid="{00000000-0005-0000-0000-0000358F0000}"/>
    <cellStyle name="Normal 3 3 9 3 10 3" xfId="36671" xr:uid="{00000000-0005-0000-0000-0000368F0000}"/>
    <cellStyle name="Normal 3 3 9 3 11" xfId="36672" xr:uid="{00000000-0005-0000-0000-0000378F0000}"/>
    <cellStyle name="Normal 3 3 9 3 11 2" xfId="36673" xr:uid="{00000000-0005-0000-0000-0000388F0000}"/>
    <cellStyle name="Normal 3 3 9 3 11 3" xfId="36674" xr:uid="{00000000-0005-0000-0000-0000398F0000}"/>
    <cellStyle name="Normal 3 3 9 3 12" xfId="36675" xr:uid="{00000000-0005-0000-0000-00003A8F0000}"/>
    <cellStyle name="Normal 3 3 9 3 12 2" xfId="36676" xr:uid="{00000000-0005-0000-0000-00003B8F0000}"/>
    <cellStyle name="Normal 3 3 9 3 12 3" xfId="36677" xr:uid="{00000000-0005-0000-0000-00003C8F0000}"/>
    <cellStyle name="Normal 3 3 9 3 13" xfId="36678" xr:uid="{00000000-0005-0000-0000-00003D8F0000}"/>
    <cellStyle name="Normal 3 3 9 3 13 2" xfId="36679" xr:uid="{00000000-0005-0000-0000-00003E8F0000}"/>
    <cellStyle name="Normal 3 3 9 3 13 3" xfId="36680" xr:uid="{00000000-0005-0000-0000-00003F8F0000}"/>
    <cellStyle name="Normal 3 3 9 3 14" xfId="36681" xr:uid="{00000000-0005-0000-0000-0000408F0000}"/>
    <cellStyle name="Normal 3 3 9 3 14 2" xfId="36682" xr:uid="{00000000-0005-0000-0000-0000418F0000}"/>
    <cellStyle name="Normal 3 3 9 3 14 3" xfId="36683" xr:uid="{00000000-0005-0000-0000-0000428F0000}"/>
    <cellStyle name="Normal 3 3 9 3 15" xfId="36684" xr:uid="{00000000-0005-0000-0000-0000438F0000}"/>
    <cellStyle name="Normal 3 3 9 3 15 2" xfId="36685" xr:uid="{00000000-0005-0000-0000-0000448F0000}"/>
    <cellStyle name="Normal 3 3 9 3 15 3" xfId="36686" xr:uid="{00000000-0005-0000-0000-0000458F0000}"/>
    <cellStyle name="Normal 3 3 9 3 16" xfId="36687" xr:uid="{00000000-0005-0000-0000-0000468F0000}"/>
    <cellStyle name="Normal 3 3 9 3 17" xfId="36688" xr:uid="{00000000-0005-0000-0000-0000478F0000}"/>
    <cellStyle name="Normal 3 3 9 3 2" xfId="36689" xr:uid="{00000000-0005-0000-0000-0000488F0000}"/>
    <cellStyle name="Normal 3 3 9 3 2 10" xfId="36690" xr:uid="{00000000-0005-0000-0000-0000498F0000}"/>
    <cellStyle name="Normal 3 3 9 3 2 10 2" xfId="36691" xr:uid="{00000000-0005-0000-0000-00004A8F0000}"/>
    <cellStyle name="Normal 3 3 9 3 2 10 3" xfId="36692" xr:uid="{00000000-0005-0000-0000-00004B8F0000}"/>
    <cellStyle name="Normal 3 3 9 3 2 11" xfId="36693" xr:uid="{00000000-0005-0000-0000-00004C8F0000}"/>
    <cellStyle name="Normal 3 3 9 3 2 11 2" xfId="36694" xr:uid="{00000000-0005-0000-0000-00004D8F0000}"/>
    <cellStyle name="Normal 3 3 9 3 2 11 3" xfId="36695" xr:uid="{00000000-0005-0000-0000-00004E8F0000}"/>
    <cellStyle name="Normal 3 3 9 3 2 12" xfId="36696" xr:uid="{00000000-0005-0000-0000-00004F8F0000}"/>
    <cellStyle name="Normal 3 3 9 3 2 12 2" xfId="36697" xr:uid="{00000000-0005-0000-0000-0000508F0000}"/>
    <cellStyle name="Normal 3 3 9 3 2 12 3" xfId="36698" xr:uid="{00000000-0005-0000-0000-0000518F0000}"/>
    <cellStyle name="Normal 3 3 9 3 2 13" xfId="36699" xr:uid="{00000000-0005-0000-0000-0000528F0000}"/>
    <cellStyle name="Normal 3 3 9 3 2 13 2" xfId="36700" xr:uid="{00000000-0005-0000-0000-0000538F0000}"/>
    <cellStyle name="Normal 3 3 9 3 2 13 3" xfId="36701" xr:uid="{00000000-0005-0000-0000-0000548F0000}"/>
    <cellStyle name="Normal 3 3 9 3 2 14" xfId="36702" xr:uid="{00000000-0005-0000-0000-0000558F0000}"/>
    <cellStyle name="Normal 3 3 9 3 2 14 2" xfId="36703" xr:uid="{00000000-0005-0000-0000-0000568F0000}"/>
    <cellStyle name="Normal 3 3 9 3 2 14 3" xfId="36704" xr:uid="{00000000-0005-0000-0000-0000578F0000}"/>
    <cellStyle name="Normal 3 3 9 3 2 15" xfId="36705" xr:uid="{00000000-0005-0000-0000-0000588F0000}"/>
    <cellStyle name="Normal 3 3 9 3 2 16" xfId="36706" xr:uid="{00000000-0005-0000-0000-0000598F0000}"/>
    <cellStyle name="Normal 3 3 9 3 2 2" xfId="36707" xr:uid="{00000000-0005-0000-0000-00005A8F0000}"/>
    <cellStyle name="Normal 3 3 9 3 2 2 2" xfId="36708" xr:uid="{00000000-0005-0000-0000-00005B8F0000}"/>
    <cellStyle name="Normal 3 3 9 3 2 2 3" xfId="36709" xr:uid="{00000000-0005-0000-0000-00005C8F0000}"/>
    <cellStyle name="Normal 3 3 9 3 2 3" xfId="36710" xr:uid="{00000000-0005-0000-0000-00005D8F0000}"/>
    <cellStyle name="Normal 3 3 9 3 2 3 2" xfId="36711" xr:uid="{00000000-0005-0000-0000-00005E8F0000}"/>
    <cellStyle name="Normal 3 3 9 3 2 3 3" xfId="36712" xr:uid="{00000000-0005-0000-0000-00005F8F0000}"/>
    <cellStyle name="Normal 3 3 9 3 2 4" xfId="36713" xr:uid="{00000000-0005-0000-0000-0000608F0000}"/>
    <cellStyle name="Normal 3 3 9 3 2 4 2" xfId="36714" xr:uid="{00000000-0005-0000-0000-0000618F0000}"/>
    <cellStyle name="Normal 3 3 9 3 2 4 3" xfId="36715" xr:uid="{00000000-0005-0000-0000-0000628F0000}"/>
    <cellStyle name="Normal 3 3 9 3 2 5" xfId="36716" xr:uid="{00000000-0005-0000-0000-0000638F0000}"/>
    <cellStyle name="Normal 3 3 9 3 2 5 2" xfId="36717" xr:uid="{00000000-0005-0000-0000-0000648F0000}"/>
    <cellStyle name="Normal 3 3 9 3 2 5 3" xfId="36718" xr:uid="{00000000-0005-0000-0000-0000658F0000}"/>
    <cellStyle name="Normal 3 3 9 3 2 6" xfId="36719" xr:uid="{00000000-0005-0000-0000-0000668F0000}"/>
    <cellStyle name="Normal 3 3 9 3 2 6 2" xfId="36720" xr:uid="{00000000-0005-0000-0000-0000678F0000}"/>
    <cellStyle name="Normal 3 3 9 3 2 6 3" xfId="36721" xr:uid="{00000000-0005-0000-0000-0000688F0000}"/>
    <cellStyle name="Normal 3 3 9 3 2 7" xfId="36722" xr:uid="{00000000-0005-0000-0000-0000698F0000}"/>
    <cellStyle name="Normal 3 3 9 3 2 7 2" xfId="36723" xr:uid="{00000000-0005-0000-0000-00006A8F0000}"/>
    <cellStyle name="Normal 3 3 9 3 2 7 3" xfId="36724" xr:uid="{00000000-0005-0000-0000-00006B8F0000}"/>
    <cellStyle name="Normal 3 3 9 3 2 8" xfId="36725" xr:uid="{00000000-0005-0000-0000-00006C8F0000}"/>
    <cellStyle name="Normal 3 3 9 3 2 8 2" xfId="36726" xr:uid="{00000000-0005-0000-0000-00006D8F0000}"/>
    <cellStyle name="Normal 3 3 9 3 2 8 3" xfId="36727" xr:uid="{00000000-0005-0000-0000-00006E8F0000}"/>
    <cellStyle name="Normal 3 3 9 3 2 9" xfId="36728" xr:uid="{00000000-0005-0000-0000-00006F8F0000}"/>
    <cellStyle name="Normal 3 3 9 3 2 9 2" xfId="36729" xr:uid="{00000000-0005-0000-0000-0000708F0000}"/>
    <cellStyle name="Normal 3 3 9 3 2 9 3" xfId="36730" xr:uid="{00000000-0005-0000-0000-0000718F0000}"/>
    <cellStyle name="Normal 3 3 9 3 3" xfId="36731" xr:uid="{00000000-0005-0000-0000-0000728F0000}"/>
    <cellStyle name="Normal 3 3 9 3 3 2" xfId="36732" xr:uid="{00000000-0005-0000-0000-0000738F0000}"/>
    <cellStyle name="Normal 3 3 9 3 3 3" xfId="36733" xr:uid="{00000000-0005-0000-0000-0000748F0000}"/>
    <cellStyle name="Normal 3 3 9 3 4" xfId="36734" xr:uid="{00000000-0005-0000-0000-0000758F0000}"/>
    <cellStyle name="Normal 3 3 9 3 4 2" xfId="36735" xr:uid="{00000000-0005-0000-0000-0000768F0000}"/>
    <cellStyle name="Normal 3 3 9 3 4 3" xfId="36736" xr:uid="{00000000-0005-0000-0000-0000778F0000}"/>
    <cellStyle name="Normal 3 3 9 3 5" xfId="36737" xr:uid="{00000000-0005-0000-0000-0000788F0000}"/>
    <cellStyle name="Normal 3 3 9 3 5 2" xfId="36738" xr:uid="{00000000-0005-0000-0000-0000798F0000}"/>
    <cellStyle name="Normal 3 3 9 3 5 3" xfId="36739" xr:uid="{00000000-0005-0000-0000-00007A8F0000}"/>
    <cellStyle name="Normal 3 3 9 3 6" xfId="36740" xr:uid="{00000000-0005-0000-0000-00007B8F0000}"/>
    <cellStyle name="Normal 3 3 9 3 6 2" xfId="36741" xr:uid="{00000000-0005-0000-0000-00007C8F0000}"/>
    <cellStyle name="Normal 3 3 9 3 6 3" xfId="36742" xr:uid="{00000000-0005-0000-0000-00007D8F0000}"/>
    <cellStyle name="Normal 3 3 9 3 7" xfId="36743" xr:uid="{00000000-0005-0000-0000-00007E8F0000}"/>
    <cellStyle name="Normal 3 3 9 3 7 2" xfId="36744" xr:uid="{00000000-0005-0000-0000-00007F8F0000}"/>
    <cellStyle name="Normal 3 3 9 3 7 3" xfId="36745" xr:uid="{00000000-0005-0000-0000-0000808F0000}"/>
    <cellStyle name="Normal 3 3 9 3 8" xfId="36746" xr:uid="{00000000-0005-0000-0000-0000818F0000}"/>
    <cellStyle name="Normal 3 3 9 3 8 2" xfId="36747" xr:uid="{00000000-0005-0000-0000-0000828F0000}"/>
    <cellStyle name="Normal 3 3 9 3 8 3" xfId="36748" xr:uid="{00000000-0005-0000-0000-0000838F0000}"/>
    <cellStyle name="Normal 3 3 9 3 9" xfId="36749" xr:uid="{00000000-0005-0000-0000-0000848F0000}"/>
    <cellStyle name="Normal 3 3 9 3 9 2" xfId="36750" xr:uid="{00000000-0005-0000-0000-0000858F0000}"/>
    <cellStyle name="Normal 3 3 9 3 9 3" xfId="36751" xr:uid="{00000000-0005-0000-0000-0000868F0000}"/>
    <cellStyle name="Normal 3 3 9 4" xfId="36752" xr:uid="{00000000-0005-0000-0000-0000878F0000}"/>
    <cellStyle name="Normal 3 3 9 4 10" xfId="36753" xr:uid="{00000000-0005-0000-0000-0000888F0000}"/>
    <cellStyle name="Normal 3 3 9 4 10 2" xfId="36754" xr:uid="{00000000-0005-0000-0000-0000898F0000}"/>
    <cellStyle name="Normal 3 3 9 4 10 3" xfId="36755" xr:uid="{00000000-0005-0000-0000-00008A8F0000}"/>
    <cellStyle name="Normal 3 3 9 4 11" xfId="36756" xr:uid="{00000000-0005-0000-0000-00008B8F0000}"/>
    <cellStyle name="Normal 3 3 9 4 11 2" xfId="36757" xr:uid="{00000000-0005-0000-0000-00008C8F0000}"/>
    <cellStyle name="Normal 3 3 9 4 11 3" xfId="36758" xr:uid="{00000000-0005-0000-0000-00008D8F0000}"/>
    <cellStyle name="Normal 3 3 9 4 12" xfId="36759" xr:uid="{00000000-0005-0000-0000-00008E8F0000}"/>
    <cellStyle name="Normal 3 3 9 4 12 2" xfId="36760" xr:uid="{00000000-0005-0000-0000-00008F8F0000}"/>
    <cellStyle name="Normal 3 3 9 4 12 3" xfId="36761" xr:uid="{00000000-0005-0000-0000-0000908F0000}"/>
    <cellStyle name="Normal 3 3 9 4 13" xfId="36762" xr:uid="{00000000-0005-0000-0000-0000918F0000}"/>
    <cellStyle name="Normal 3 3 9 4 13 2" xfId="36763" xr:uid="{00000000-0005-0000-0000-0000928F0000}"/>
    <cellStyle name="Normal 3 3 9 4 13 3" xfId="36764" xr:uid="{00000000-0005-0000-0000-0000938F0000}"/>
    <cellStyle name="Normal 3 3 9 4 14" xfId="36765" xr:uid="{00000000-0005-0000-0000-0000948F0000}"/>
    <cellStyle name="Normal 3 3 9 4 14 2" xfId="36766" xr:uid="{00000000-0005-0000-0000-0000958F0000}"/>
    <cellStyle name="Normal 3 3 9 4 14 3" xfId="36767" xr:uid="{00000000-0005-0000-0000-0000968F0000}"/>
    <cellStyle name="Normal 3 3 9 4 15" xfId="36768" xr:uid="{00000000-0005-0000-0000-0000978F0000}"/>
    <cellStyle name="Normal 3 3 9 4 15 2" xfId="36769" xr:uid="{00000000-0005-0000-0000-0000988F0000}"/>
    <cellStyle name="Normal 3 3 9 4 15 3" xfId="36770" xr:uid="{00000000-0005-0000-0000-0000998F0000}"/>
    <cellStyle name="Normal 3 3 9 4 16" xfId="36771" xr:uid="{00000000-0005-0000-0000-00009A8F0000}"/>
    <cellStyle name="Normal 3 3 9 4 17" xfId="36772" xr:uid="{00000000-0005-0000-0000-00009B8F0000}"/>
    <cellStyle name="Normal 3 3 9 4 2" xfId="36773" xr:uid="{00000000-0005-0000-0000-00009C8F0000}"/>
    <cellStyle name="Normal 3 3 9 4 2 10" xfId="36774" xr:uid="{00000000-0005-0000-0000-00009D8F0000}"/>
    <cellStyle name="Normal 3 3 9 4 2 10 2" xfId="36775" xr:uid="{00000000-0005-0000-0000-00009E8F0000}"/>
    <cellStyle name="Normal 3 3 9 4 2 10 3" xfId="36776" xr:uid="{00000000-0005-0000-0000-00009F8F0000}"/>
    <cellStyle name="Normal 3 3 9 4 2 11" xfId="36777" xr:uid="{00000000-0005-0000-0000-0000A08F0000}"/>
    <cellStyle name="Normal 3 3 9 4 2 11 2" xfId="36778" xr:uid="{00000000-0005-0000-0000-0000A18F0000}"/>
    <cellStyle name="Normal 3 3 9 4 2 11 3" xfId="36779" xr:uid="{00000000-0005-0000-0000-0000A28F0000}"/>
    <cellStyle name="Normal 3 3 9 4 2 12" xfId="36780" xr:uid="{00000000-0005-0000-0000-0000A38F0000}"/>
    <cellStyle name="Normal 3 3 9 4 2 12 2" xfId="36781" xr:uid="{00000000-0005-0000-0000-0000A48F0000}"/>
    <cellStyle name="Normal 3 3 9 4 2 12 3" xfId="36782" xr:uid="{00000000-0005-0000-0000-0000A58F0000}"/>
    <cellStyle name="Normal 3 3 9 4 2 13" xfId="36783" xr:uid="{00000000-0005-0000-0000-0000A68F0000}"/>
    <cellStyle name="Normal 3 3 9 4 2 13 2" xfId="36784" xr:uid="{00000000-0005-0000-0000-0000A78F0000}"/>
    <cellStyle name="Normal 3 3 9 4 2 13 3" xfId="36785" xr:uid="{00000000-0005-0000-0000-0000A88F0000}"/>
    <cellStyle name="Normal 3 3 9 4 2 14" xfId="36786" xr:uid="{00000000-0005-0000-0000-0000A98F0000}"/>
    <cellStyle name="Normal 3 3 9 4 2 14 2" xfId="36787" xr:uid="{00000000-0005-0000-0000-0000AA8F0000}"/>
    <cellStyle name="Normal 3 3 9 4 2 14 3" xfId="36788" xr:uid="{00000000-0005-0000-0000-0000AB8F0000}"/>
    <cellStyle name="Normal 3 3 9 4 2 15" xfId="36789" xr:uid="{00000000-0005-0000-0000-0000AC8F0000}"/>
    <cellStyle name="Normal 3 3 9 4 2 16" xfId="36790" xr:uid="{00000000-0005-0000-0000-0000AD8F0000}"/>
    <cellStyle name="Normal 3 3 9 4 2 2" xfId="36791" xr:uid="{00000000-0005-0000-0000-0000AE8F0000}"/>
    <cellStyle name="Normal 3 3 9 4 2 2 2" xfId="36792" xr:uid="{00000000-0005-0000-0000-0000AF8F0000}"/>
    <cellStyle name="Normal 3 3 9 4 2 2 3" xfId="36793" xr:uid="{00000000-0005-0000-0000-0000B08F0000}"/>
    <cellStyle name="Normal 3 3 9 4 2 3" xfId="36794" xr:uid="{00000000-0005-0000-0000-0000B18F0000}"/>
    <cellStyle name="Normal 3 3 9 4 2 3 2" xfId="36795" xr:uid="{00000000-0005-0000-0000-0000B28F0000}"/>
    <cellStyle name="Normal 3 3 9 4 2 3 3" xfId="36796" xr:uid="{00000000-0005-0000-0000-0000B38F0000}"/>
    <cellStyle name="Normal 3 3 9 4 2 4" xfId="36797" xr:uid="{00000000-0005-0000-0000-0000B48F0000}"/>
    <cellStyle name="Normal 3 3 9 4 2 4 2" xfId="36798" xr:uid="{00000000-0005-0000-0000-0000B58F0000}"/>
    <cellStyle name="Normal 3 3 9 4 2 4 3" xfId="36799" xr:uid="{00000000-0005-0000-0000-0000B68F0000}"/>
    <cellStyle name="Normal 3 3 9 4 2 5" xfId="36800" xr:uid="{00000000-0005-0000-0000-0000B78F0000}"/>
    <cellStyle name="Normal 3 3 9 4 2 5 2" xfId="36801" xr:uid="{00000000-0005-0000-0000-0000B88F0000}"/>
    <cellStyle name="Normal 3 3 9 4 2 5 3" xfId="36802" xr:uid="{00000000-0005-0000-0000-0000B98F0000}"/>
    <cellStyle name="Normal 3 3 9 4 2 6" xfId="36803" xr:uid="{00000000-0005-0000-0000-0000BA8F0000}"/>
    <cellStyle name="Normal 3 3 9 4 2 6 2" xfId="36804" xr:uid="{00000000-0005-0000-0000-0000BB8F0000}"/>
    <cellStyle name="Normal 3 3 9 4 2 6 3" xfId="36805" xr:uid="{00000000-0005-0000-0000-0000BC8F0000}"/>
    <cellStyle name="Normal 3 3 9 4 2 7" xfId="36806" xr:uid="{00000000-0005-0000-0000-0000BD8F0000}"/>
    <cellStyle name="Normal 3 3 9 4 2 7 2" xfId="36807" xr:uid="{00000000-0005-0000-0000-0000BE8F0000}"/>
    <cellStyle name="Normal 3 3 9 4 2 7 3" xfId="36808" xr:uid="{00000000-0005-0000-0000-0000BF8F0000}"/>
    <cellStyle name="Normal 3 3 9 4 2 8" xfId="36809" xr:uid="{00000000-0005-0000-0000-0000C08F0000}"/>
    <cellStyle name="Normal 3 3 9 4 2 8 2" xfId="36810" xr:uid="{00000000-0005-0000-0000-0000C18F0000}"/>
    <cellStyle name="Normal 3 3 9 4 2 8 3" xfId="36811" xr:uid="{00000000-0005-0000-0000-0000C28F0000}"/>
    <cellStyle name="Normal 3 3 9 4 2 9" xfId="36812" xr:uid="{00000000-0005-0000-0000-0000C38F0000}"/>
    <cellStyle name="Normal 3 3 9 4 2 9 2" xfId="36813" xr:uid="{00000000-0005-0000-0000-0000C48F0000}"/>
    <cellStyle name="Normal 3 3 9 4 2 9 3" xfId="36814" xr:uid="{00000000-0005-0000-0000-0000C58F0000}"/>
    <cellStyle name="Normal 3 3 9 4 3" xfId="36815" xr:uid="{00000000-0005-0000-0000-0000C68F0000}"/>
    <cellStyle name="Normal 3 3 9 4 3 2" xfId="36816" xr:uid="{00000000-0005-0000-0000-0000C78F0000}"/>
    <cellStyle name="Normal 3 3 9 4 3 3" xfId="36817" xr:uid="{00000000-0005-0000-0000-0000C88F0000}"/>
    <cellStyle name="Normal 3 3 9 4 4" xfId="36818" xr:uid="{00000000-0005-0000-0000-0000C98F0000}"/>
    <cellStyle name="Normal 3 3 9 4 4 2" xfId="36819" xr:uid="{00000000-0005-0000-0000-0000CA8F0000}"/>
    <cellStyle name="Normal 3 3 9 4 4 3" xfId="36820" xr:uid="{00000000-0005-0000-0000-0000CB8F0000}"/>
    <cellStyle name="Normal 3 3 9 4 5" xfId="36821" xr:uid="{00000000-0005-0000-0000-0000CC8F0000}"/>
    <cellStyle name="Normal 3 3 9 4 5 2" xfId="36822" xr:uid="{00000000-0005-0000-0000-0000CD8F0000}"/>
    <cellStyle name="Normal 3 3 9 4 5 3" xfId="36823" xr:uid="{00000000-0005-0000-0000-0000CE8F0000}"/>
    <cellStyle name="Normal 3 3 9 4 6" xfId="36824" xr:uid="{00000000-0005-0000-0000-0000CF8F0000}"/>
    <cellStyle name="Normal 3 3 9 4 6 2" xfId="36825" xr:uid="{00000000-0005-0000-0000-0000D08F0000}"/>
    <cellStyle name="Normal 3 3 9 4 6 3" xfId="36826" xr:uid="{00000000-0005-0000-0000-0000D18F0000}"/>
    <cellStyle name="Normal 3 3 9 4 7" xfId="36827" xr:uid="{00000000-0005-0000-0000-0000D28F0000}"/>
    <cellStyle name="Normal 3 3 9 4 7 2" xfId="36828" xr:uid="{00000000-0005-0000-0000-0000D38F0000}"/>
    <cellStyle name="Normal 3 3 9 4 7 3" xfId="36829" xr:uid="{00000000-0005-0000-0000-0000D48F0000}"/>
    <cellStyle name="Normal 3 3 9 4 8" xfId="36830" xr:uid="{00000000-0005-0000-0000-0000D58F0000}"/>
    <cellStyle name="Normal 3 3 9 4 8 2" xfId="36831" xr:uid="{00000000-0005-0000-0000-0000D68F0000}"/>
    <cellStyle name="Normal 3 3 9 4 8 3" xfId="36832" xr:uid="{00000000-0005-0000-0000-0000D78F0000}"/>
    <cellStyle name="Normal 3 3 9 4 9" xfId="36833" xr:uid="{00000000-0005-0000-0000-0000D88F0000}"/>
    <cellStyle name="Normal 3 3 9 4 9 2" xfId="36834" xr:uid="{00000000-0005-0000-0000-0000D98F0000}"/>
    <cellStyle name="Normal 3 3 9 4 9 3" xfId="36835" xr:uid="{00000000-0005-0000-0000-0000DA8F0000}"/>
    <cellStyle name="Normal 3 3 9 5" xfId="36836" xr:uid="{00000000-0005-0000-0000-0000DB8F0000}"/>
    <cellStyle name="Normal 3 3 9 5 10" xfId="36837" xr:uid="{00000000-0005-0000-0000-0000DC8F0000}"/>
    <cellStyle name="Normal 3 3 9 5 10 2" xfId="36838" xr:uid="{00000000-0005-0000-0000-0000DD8F0000}"/>
    <cellStyle name="Normal 3 3 9 5 10 3" xfId="36839" xr:uid="{00000000-0005-0000-0000-0000DE8F0000}"/>
    <cellStyle name="Normal 3 3 9 5 11" xfId="36840" xr:uid="{00000000-0005-0000-0000-0000DF8F0000}"/>
    <cellStyle name="Normal 3 3 9 5 11 2" xfId="36841" xr:uid="{00000000-0005-0000-0000-0000E08F0000}"/>
    <cellStyle name="Normal 3 3 9 5 11 3" xfId="36842" xr:uid="{00000000-0005-0000-0000-0000E18F0000}"/>
    <cellStyle name="Normal 3 3 9 5 12" xfId="36843" xr:uid="{00000000-0005-0000-0000-0000E28F0000}"/>
    <cellStyle name="Normal 3 3 9 5 12 2" xfId="36844" xr:uid="{00000000-0005-0000-0000-0000E38F0000}"/>
    <cellStyle name="Normal 3 3 9 5 12 3" xfId="36845" xr:uid="{00000000-0005-0000-0000-0000E48F0000}"/>
    <cellStyle name="Normal 3 3 9 5 13" xfId="36846" xr:uid="{00000000-0005-0000-0000-0000E58F0000}"/>
    <cellStyle name="Normal 3 3 9 5 13 2" xfId="36847" xr:uid="{00000000-0005-0000-0000-0000E68F0000}"/>
    <cellStyle name="Normal 3 3 9 5 13 3" xfId="36848" xr:uid="{00000000-0005-0000-0000-0000E78F0000}"/>
    <cellStyle name="Normal 3 3 9 5 14" xfId="36849" xr:uid="{00000000-0005-0000-0000-0000E88F0000}"/>
    <cellStyle name="Normal 3 3 9 5 14 2" xfId="36850" xr:uid="{00000000-0005-0000-0000-0000E98F0000}"/>
    <cellStyle name="Normal 3 3 9 5 14 3" xfId="36851" xr:uid="{00000000-0005-0000-0000-0000EA8F0000}"/>
    <cellStyle name="Normal 3 3 9 5 15" xfId="36852" xr:uid="{00000000-0005-0000-0000-0000EB8F0000}"/>
    <cellStyle name="Normal 3 3 9 5 16" xfId="36853" xr:uid="{00000000-0005-0000-0000-0000EC8F0000}"/>
    <cellStyle name="Normal 3 3 9 5 2" xfId="36854" xr:uid="{00000000-0005-0000-0000-0000ED8F0000}"/>
    <cellStyle name="Normal 3 3 9 5 2 2" xfId="36855" xr:uid="{00000000-0005-0000-0000-0000EE8F0000}"/>
    <cellStyle name="Normal 3 3 9 5 2 3" xfId="36856" xr:uid="{00000000-0005-0000-0000-0000EF8F0000}"/>
    <cellStyle name="Normal 3 3 9 5 3" xfId="36857" xr:uid="{00000000-0005-0000-0000-0000F08F0000}"/>
    <cellStyle name="Normal 3 3 9 5 3 2" xfId="36858" xr:uid="{00000000-0005-0000-0000-0000F18F0000}"/>
    <cellStyle name="Normal 3 3 9 5 3 3" xfId="36859" xr:uid="{00000000-0005-0000-0000-0000F28F0000}"/>
    <cellStyle name="Normal 3 3 9 5 4" xfId="36860" xr:uid="{00000000-0005-0000-0000-0000F38F0000}"/>
    <cellStyle name="Normal 3 3 9 5 4 2" xfId="36861" xr:uid="{00000000-0005-0000-0000-0000F48F0000}"/>
    <cellStyle name="Normal 3 3 9 5 4 3" xfId="36862" xr:uid="{00000000-0005-0000-0000-0000F58F0000}"/>
    <cellStyle name="Normal 3 3 9 5 5" xfId="36863" xr:uid="{00000000-0005-0000-0000-0000F68F0000}"/>
    <cellStyle name="Normal 3 3 9 5 5 2" xfId="36864" xr:uid="{00000000-0005-0000-0000-0000F78F0000}"/>
    <cellStyle name="Normal 3 3 9 5 5 3" xfId="36865" xr:uid="{00000000-0005-0000-0000-0000F88F0000}"/>
    <cellStyle name="Normal 3 3 9 5 6" xfId="36866" xr:uid="{00000000-0005-0000-0000-0000F98F0000}"/>
    <cellStyle name="Normal 3 3 9 5 6 2" xfId="36867" xr:uid="{00000000-0005-0000-0000-0000FA8F0000}"/>
    <cellStyle name="Normal 3 3 9 5 6 3" xfId="36868" xr:uid="{00000000-0005-0000-0000-0000FB8F0000}"/>
    <cellStyle name="Normal 3 3 9 5 7" xfId="36869" xr:uid="{00000000-0005-0000-0000-0000FC8F0000}"/>
    <cellStyle name="Normal 3 3 9 5 7 2" xfId="36870" xr:uid="{00000000-0005-0000-0000-0000FD8F0000}"/>
    <cellStyle name="Normal 3 3 9 5 7 3" xfId="36871" xr:uid="{00000000-0005-0000-0000-0000FE8F0000}"/>
    <cellStyle name="Normal 3 3 9 5 8" xfId="36872" xr:uid="{00000000-0005-0000-0000-0000FF8F0000}"/>
    <cellStyle name="Normal 3 3 9 5 8 2" xfId="36873" xr:uid="{00000000-0005-0000-0000-000000900000}"/>
    <cellStyle name="Normal 3 3 9 5 8 3" xfId="36874" xr:uid="{00000000-0005-0000-0000-000001900000}"/>
    <cellStyle name="Normal 3 3 9 5 9" xfId="36875" xr:uid="{00000000-0005-0000-0000-000002900000}"/>
    <cellStyle name="Normal 3 3 9 5 9 2" xfId="36876" xr:uid="{00000000-0005-0000-0000-000003900000}"/>
    <cellStyle name="Normal 3 3 9 5 9 3" xfId="36877" xr:uid="{00000000-0005-0000-0000-000004900000}"/>
    <cellStyle name="Normal 3 3 9 6" xfId="36878" xr:uid="{00000000-0005-0000-0000-000005900000}"/>
    <cellStyle name="Normal 3 3 9 6 10" xfId="36879" xr:uid="{00000000-0005-0000-0000-000006900000}"/>
    <cellStyle name="Normal 3 3 9 6 10 2" xfId="36880" xr:uid="{00000000-0005-0000-0000-000007900000}"/>
    <cellStyle name="Normal 3 3 9 6 10 3" xfId="36881" xr:uid="{00000000-0005-0000-0000-000008900000}"/>
    <cellStyle name="Normal 3 3 9 6 11" xfId="36882" xr:uid="{00000000-0005-0000-0000-000009900000}"/>
    <cellStyle name="Normal 3 3 9 6 11 2" xfId="36883" xr:uid="{00000000-0005-0000-0000-00000A900000}"/>
    <cellStyle name="Normal 3 3 9 6 11 3" xfId="36884" xr:uid="{00000000-0005-0000-0000-00000B900000}"/>
    <cellStyle name="Normal 3 3 9 6 12" xfId="36885" xr:uid="{00000000-0005-0000-0000-00000C900000}"/>
    <cellStyle name="Normal 3 3 9 6 12 2" xfId="36886" xr:uid="{00000000-0005-0000-0000-00000D900000}"/>
    <cellStyle name="Normal 3 3 9 6 12 3" xfId="36887" xr:uid="{00000000-0005-0000-0000-00000E900000}"/>
    <cellStyle name="Normal 3 3 9 6 13" xfId="36888" xr:uid="{00000000-0005-0000-0000-00000F900000}"/>
    <cellStyle name="Normal 3 3 9 6 13 2" xfId="36889" xr:uid="{00000000-0005-0000-0000-000010900000}"/>
    <cellStyle name="Normal 3 3 9 6 13 3" xfId="36890" xr:uid="{00000000-0005-0000-0000-000011900000}"/>
    <cellStyle name="Normal 3 3 9 6 14" xfId="36891" xr:uid="{00000000-0005-0000-0000-000012900000}"/>
    <cellStyle name="Normal 3 3 9 6 14 2" xfId="36892" xr:uid="{00000000-0005-0000-0000-000013900000}"/>
    <cellStyle name="Normal 3 3 9 6 14 3" xfId="36893" xr:uid="{00000000-0005-0000-0000-000014900000}"/>
    <cellStyle name="Normal 3 3 9 6 15" xfId="36894" xr:uid="{00000000-0005-0000-0000-000015900000}"/>
    <cellStyle name="Normal 3 3 9 6 16" xfId="36895" xr:uid="{00000000-0005-0000-0000-000016900000}"/>
    <cellStyle name="Normal 3 3 9 6 2" xfId="36896" xr:uid="{00000000-0005-0000-0000-000017900000}"/>
    <cellStyle name="Normal 3 3 9 6 2 2" xfId="36897" xr:uid="{00000000-0005-0000-0000-000018900000}"/>
    <cellStyle name="Normal 3 3 9 6 2 3" xfId="36898" xr:uid="{00000000-0005-0000-0000-000019900000}"/>
    <cellStyle name="Normal 3 3 9 6 3" xfId="36899" xr:uid="{00000000-0005-0000-0000-00001A900000}"/>
    <cellStyle name="Normal 3 3 9 6 3 2" xfId="36900" xr:uid="{00000000-0005-0000-0000-00001B900000}"/>
    <cellStyle name="Normal 3 3 9 6 3 3" xfId="36901" xr:uid="{00000000-0005-0000-0000-00001C900000}"/>
    <cellStyle name="Normal 3 3 9 6 4" xfId="36902" xr:uid="{00000000-0005-0000-0000-00001D900000}"/>
    <cellStyle name="Normal 3 3 9 6 4 2" xfId="36903" xr:uid="{00000000-0005-0000-0000-00001E900000}"/>
    <cellStyle name="Normal 3 3 9 6 4 3" xfId="36904" xr:uid="{00000000-0005-0000-0000-00001F900000}"/>
    <cellStyle name="Normal 3 3 9 6 5" xfId="36905" xr:uid="{00000000-0005-0000-0000-000020900000}"/>
    <cellStyle name="Normal 3 3 9 6 5 2" xfId="36906" xr:uid="{00000000-0005-0000-0000-000021900000}"/>
    <cellStyle name="Normal 3 3 9 6 5 3" xfId="36907" xr:uid="{00000000-0005-0000-0000-000022900000}"/>
    <cellStyle name="Normal 3 3 9 6 6" xfId="36908" xr:uid="{00000000-0005-0000-0000-000023900000}"/>
    <cellStyle name="Normal 3 3 9 6 6 2" xfId="36909" xr:uid="{00000000-0005-0000-0000-000024900000}"/>
    <cellStyle name="Normal 3 3 9 6 6 3" xfId="36910" xr:uid="{00000000-0005-0000-0000-000025900000}"/>
    <cellStyle name="Normal 3 3 9 6 7" xfId="36911" xr:uid="{00000000-0005-0000-0000-000026900000}"/>
    <cellStyle name="Normal 3 3 9 6 7 2" xfId="36912" xr:uid="{00000000-0005-0000-0000-000027900000}"/>
    <cellStyle name="Normal 3 3 9 6 7 3" xfId="36913" xr:uid="{00000000-0005-0000-0000-000028900000}"/>
    <cellStyle name="Normal 3 3 9 6 8" xfId="36914" xr:uid="{00000000-0005-0000-0000-000029900000}"/>
    <cellStyle name="Normal 3 3 9 6 8 2" xfId="36915" xr:uid="{00000000-0005-0000-0000-00002A900000}"/>
    <cellStyle name="Normal 3 3 9 6 8 3" xfId="36916" xr:uid="{00000000-0005-0000-0000-00002B900000}"/>
    <cellStyle name="Normal 3 3 9 6 9" xfId="36917" xr:uid="{00000000-0005-0000-0000-00002C900000}"/>
    <cellStyle name="Normal 3 3 9 6 9 2" xfId="36918" xr:uid="{00000000-0005-0000-0000-00002D900000}"/>
    <cellStyle name="Normal 3 3 9 6 9 3" xfId="36919" xr:uid="{00000000-0005-0000-0000-00002E900000}"/>
    <cellStyle name="Normal 3 3 9 7" xfId="36920" xr:uid="{00000000-0005-0000-0000-00002F900000}"/>
    <cellStyle name="Normal 3 3 9 7 10" xfId="36921" xr:uid="{00000000-0005-0000-0000-000030900000}"/>
    <cellStyle name="Normal 3 3 9 7 10 2" xfId="36922" xr:uid="{00000000-0005-0000-0000-000031900000}"/>
    <cellStyle name="Normal 3 3 9 7 10 3" xfId="36923" xr:uid="{00000000-0005-0000-0000-000032900000}"/>
    <cellStyle name="Normal 3 3 9 7 11" xfId="36924" xr:uid="{00000000-0005-0000-0000-000033900000}"/>
    <cellStyle name="Normal 3 3 9 7 11 2" xfId="36925" xr:uid="{00000000-0005-0000-0000-000034900000}"/>
    <cellStyle name="Normal 3 3 9 7 11 3" xfId="36926" xr:uid="{00000000-0005-0000-0000-000035900000}"/>
    <cellStyle name="Normal 3 3 9 7 12" xfId="36927" xr:uid="{00000000-0005-0000-0000-000036900000}"/>
    <cellStyle name="Normal 3 3 9 7 12 2" xfId="36928" xr:uid="{00000000-0005-0000-0000-000037900000}"/>
    <cellStyle name="Normal 3 3 9 7 12 3" xfId="36929" xr:uid="{00000000-0005-0000-0000-000038900000}"/>
    <cellStyle name="Normal 3 3 9 7 13" xfId="36930" xr:uid="{00000000-0005-0000-0000-000039900000}"/>
    <cellStyle name="Normal 3 3 9 7 13 2" xfId="36931" xr:uid="{00000000-0005-0000-0000-00003A900000}"/>
    <cellStyle name="Normal 3 3 9 7 13 3" xfId="36932" xr:uid="{00000000-0005-0000-0000-00003B900000}"/>
    <cellStyle name="Normal 3 3 9 7 14" xfId="36933" xr:uid="{00000000-0005-0000-0000-00003C900000}"/>
    <cellStyle name="Normal 3 3 9 7 14 2" xfId="36934" xr:uid="{00000000-0005-0000-0000-00003D900000}"/>
    <cellStyle name="Normal 3 3 9 7 14 3" xfId="36935" xr:uid="{00000000-0005-0000-0000-00003E900000}"/>
    <cellStyle name="Normal 3 3 9 7 15" xfId="36936" xr:uid="{00000000-0005-0000-0000-00003F900000}"/>
    <cellStyle name="Normal 3 3 9 7 16" xfId="36937" xr:uid="{00000000-0005-0000-0000-000040900000}"/>
    <cellStyle name="Normal 3 3 9 7 2" xfId="36938" xr:uid="{00000000-0005-0000-0000-000041900000}"/>
    <cellStyle name="Normal 3 3 9 7 2 2" xfId="36939" xr:uid="{00000000-0005-0000-0000-000042900000}"/>
    <cellStyle name="Normal 3 3 9 7 2 3" xfId="36940" xr:uid="{00000000-0005-0000-0000-000043900000}"/>
    <cellStyle name="Normal 3 3 9 7 3" xfId="36941" xr:uid="{00000000-0005-0000-0000-000044900000}"/>
    <cellStyle name="Normal 3 3 9 7 3 2" xfId="36942" xr:uid="{00000000-0005-0000-0000-000045900000}"/>
    <cellStyle name="Normal 3 3 9 7 3 3" xfId="36943" xr:uid="{00000000-0005-0000-0000-000046900000}"/>
    <cellStyle name="Normal 3 3 9 7 4" xfId="36944" xr:uid="{00000000-0005-0000-0000-000047900000}"/>
    <cellStyle name="Normal 3 3 9 7 4 2" xfId="36945" xr:uid="{00000000-0005-0000-0000-000048900000}"/>
    <cellStyle name="Normal 3 3 9 7 4 3" xfId="36946" xr:uid="{00000000-0005-0000-0000-000049900000}"/>
    <cellStyle name="Normal 3 3 9 7 5" xfId="36947" xr:uid="{00000000-0005-0000-0000-00004A900000}"/>
    <cellStyle name="Normal 3 3 9 7 5 2" xfId="36948" xr:uid="{00000000-0005-0000-0000-00004B900000}"/>
    <cellStyle name="Normal 3 3 9 7 5 3" xfId="36949" xr:uid="{00000000-0005-0000-0000-00004C900000}"/>
    <cellStyle name="Normal 3 3 9 7 6" xfId="36950" xr:uid="{00000000-0005-0000-0000-00004D900000}"/>
    <cellStyle name="Normal 3 3 9 7 6 2" xfId="36951" xr:uid="{00000000-0005-0000-0000-00004E900000}"/>
    <cellStyle name="Normal 3 3 9 7 6 3" xfId="36952" xr:uid="{00000000-0005-0000-0000-00004F900000}"/>
    <cellStyle name="Normal 3 3 9 7 7" xfId="36953" xr:uid="{00000000-0005-0000-0000-000050900000}"/>
    <cellStyle name="Normal 3 3 9 7 7 2" xfId="36954" xr:uid="{00000000-0005-0000-0000-000051900000}"/>
    <cellStyle name="Normal 3 3 9 7 7 3" xfId="36955" xr:uid="{00000000-0005-0000-0000-000052900000}"/>
    <cellStyle name="Normal 3 3 9 7 8" xfId="36956" xr:uid="{00000000-0005-0000-0000-000053900000}"/>
    <cellStyle name="Normal 3 3 9 7 8 2" xfId="36957" xr:uid="{00000000-0005-0000-0000-000054900000}"/>
    <cellStyle name="Normal 3 3 9 7 8 3" xfId="36958" xr:uid="{00000000-0005-0000-0000-000055900000}"/>
    <cellStyle name="Normal 3 3 9 7 9" xfId="36959" xr:uid="{00000000-0005-0000-0000-000056900000}"/>
    <cellStyle name="Normal 3 3 9 7 9 2" xfId="36960" xr:uid="{00000000-0005-0000-0000-000057900000}"/>
    <cellStyle name="Normal 3 3 9 7 9 3" xfId="36961" xr:uid="{00000000-0005-0000-0000-000058900000}"/>
    <cellStyle name="Normal 3 3 9 8" xfId="36962" xr:uid="{00000000-0005-0000-0000-000059900000}"/>
    <cellStyle name="Normal 3 3 9 8 10" xfId="36963" xr:uid="{00000000-0005-0000-0000-00005A900000}"/>
    <cellStyle name="Normal 3 3 9 8 10 2" xfId="36964" xr:uid="{00000000-0005-0000-0000-00005B900000}"/>
    <cellStyle name="Normal 3 3 9 8 10 3" xfId="36965" xr:uid="{00000000-0005-0000-0000-00005C900000}"/>
    <cellStyle name="Normal 3 3 9 8 11" xfId="36966" xr:uid="{00000000-0005-0000-0000-00005D900000}"/>
    <cellStyle name="Normal 3 3 9 8 11 2" xfId="36967" xr:uid="{00000000-0005-0000-0000-00005E900000}"/>
    <cellStyle name="Normal 3 3 9 8 11 3" xfId="36968" xr:uid="{00000000-0005-0000-0000-00005F900000}"/>
    <cellStyle name="Normal 3 3 9 8 12" xfId="36969" xr:uid="{00000000-0005-0000-0000-000060900000}"/>
    <cellStyle name="Normal 3 3 9 8 12 2" xfId="36970" xr:uid="{00000000-0005-0000-0000-000061900000}"/>
    <cellStyle name="Normal 3 3 9 8 12 3" xfId="36971" xr:uid="{00000000-0005-0000-0000-000062900000}"/>
    <cellStyle name="Normal 3 3 9 8 13" xfId="36972" xr:uid="{00000000-0005-0000-0000-000063900000}"/>
    <cellStyle name="Normal 3 3 9 8 13 2" xfId="36973" xr:uid="{00000000-0005-0000-0000-000064900000}"/>
    <cellStyle name="Normal 3 3 9 8 13 3" xfId="36974" xr:uid="{00000000-0005-0000-0000-000065900000}"/>
    <cellStyle name="Normal 3 3 9 8 14" xfId="36975" xr:uid="{00000000-0005-0000-0000-000066900000}"/>
    <cellStyle name="Normal 3 3 9 8 14 2" xfId="36976" xr:uid="{00000000-0005-0000-0000-000067900000}"/>
    <cellStyle name="Normal 3 3 9 8 14 3" xfId="36977" xr:uid="{00000000-0005-0000-0000-000068900000}"/>
    <cellStyle name="Normal 3 3 9 8 15" xfId="36978" xr:uid="{00000000-0005-0000-0000-000069900000}"/>
    <cellStyle name="Normal 3 3 9 8 16" xfId="36979" xr:uid="{00000000-0005-0000-0000-00006A900000}"/>
    <cellStyle name="Normal 3 3 9 8 2" xfId="36980" xr:uid="{00000000-0005-0000-0000-00006B900000}"/>
    <cellStyle name="Normal 3 3 9 8 2 2" xfId="36981" xr:uid="{00000000-0005-0000-0000-00006C900000}"/>
    <cellStyle name="Normal 3 3 9 8 2 3" xfId="36982" xr:uid="{00000000-0005-0000-0000-00006D900000}"/>
    <cellStyle name="Normal 3 3 9 8 3" xfId="36983" xr:uid="{00000000-0005-0000-0000-00006E900000}"/>
    <cellStyle name="Normal 3 3 9 8 3 2" xfId="36984" xr:uid="{00000000-0005-0000-0000-00006F900000}"/>
    <cellStyle name="Normal 3 3 9 8 3 3" xfId="36985" xr:uid="{00000000-0005-0000-0000-000070900000}"/>
    <cellStyle name="Normal 3 3 9 8 4" xfId="36986" xr:uid="{00000000-0005-0000-0000-000071900000}"/>
    <cellStyle name="Normal 3 3 9 8 4 2" xfId="36987" xr:uid="{00000000-0005-0000-0000-000072900000}"/>
    <cellStyle name="Normal 3 3 9 8 4 3" xfId="36988" xr:uid="{00000000-0005-0000-0000-000073900000}"/>
    <cellStyle name="Normal 3 3 9 8 5" xfId="36989" xr:uid="{00000000-0005-0000-0000-000074900000}"/>
    <cellStyle name="Normal 3 3 9 8 5 2" xfId="36990" xr:uid="{00000000-0005-0000-0000-000075900000}"/>
    <cellStyle name="Normal 3 3 9 8 5 3" xfId="36991" xr:uid="{00000000-0005-0000-0000-000076900000}"/>
    <cellStyle name="Normal 3 3 9 8 6" xfId="36992" xr:uid="{00000000-0005-0000-0000-000077900000}"/>
    <cellStyle name="Normal 3 3 9 8 6 2" xfId="36993" xr:uid="{00000000-0005-0000-0000-000078900000}"/>
    <cellStyle name="Normal 3 3 9 8 6 3" xfId="36994" xr:uid="{00000000-0005-0000-0000-000079900000}"/>
    <cellStyle name="Normal 3 3 9 8 7" xfId="36995" xr:uid="{00000000-0005-0000-0000-00007A900000}"/>
    <cellStyle name="Normal 3 3 9 8 7 2" xfId="36996" xr:uid="{00000000-0005-0000-0000-00007B900000}"/>
    <cellStyle name="Normal 3 3 9 8 7 3" xfId="36997" xr:uid="{00000000-0005-0000-0000-00007C900000}"/>
    <cellStyle name="Normal 3 3 9 8 8" xfId="36998" xr:uid="{00000000-0005-0000-0000-00007D900000}"/>
    <cellStyle name="Normal 3 3 9 8 8 2" xfId="36999" xr:uid="{00000000-0005-0000-0000-00007E900000}"/>
    <cellStyle name="Normal 3 3 9 8 8 3" xfId="37000" xr:uid="{00000000-0005-0000-0000-00007F900000}"/>
    <cellStyle name="Normal 3 3 9 8 9" xfId="37001" xr:uid="{00000000-0005-0000-0000-000080900000}"/>
    <cellStyle name="Normal 3 3 9 8 9 2" xfId="37002" xr:uid="{00000000-0005-0000-0000-000081900000}"/>
    <cellStyle name="Normal 3 3 9 8 9 3" xfId="37003" xr:uid="{00000000-0005-0000-0000-000082900000}"/>
    <cellStyle name="Normal 3 3 9 9" xfId="37004" xr:uid="{00000000-0005-0000-0000-000083900000}"/>
    <cellStyle name="Normal 3 3 9 9 10" xfId="37005" xr:uid="{00000000-0005-0000-0000-000084900000}"/>
    <cellStyle name="Normal 3 3 9 9 10 2" xfId="37006" xr:uid="{00000000-0005-0000-0000-000085900000}"/>
    <cellStyle name="Normal 3 3 9 9 10 3" xfId="37007" xr:uid="{00000000-0005-0000-0000-000086900000}"/>
    <cellStyle name="Normal 3 3 9 9 11" xfId="37008" xr:uid="{00000000-0005-0000-0000-000087900000}"/>
    <cellStyle name="Normal 3 3 9 9 11 2" xfId="37009" xr:uid="{00000000-0005-0000-0000-000088900000}"/>
    <cellStyle name="Normal 3 3 9 9 11 3" xfId="37010" xr:uid="{00000000-0005-0000-0000-000089900000}"/>
    <cellStyle name="Normal 3 3 9 9 12" xfId="37011" xr:uid="{00000000-0005-0000-0000-00008A900000}"/>
    <cellStyle name="Normal 3 3 9 9 12 2" xfId="37012" xr:uid="{00000000-0005-0000-0000-00008B900000}"/>
    <cellStyle name="Normal 3 3 9 9 12 3" xfId="37013" xr:uid="{00000000-0005-0000-0000-00008C900000}"/>
    <cellStyle name="Normal 3 3 9 9 13" xfId="37014" xr:uid="{00000000-0005-0000-0000-00008D900000}"/>
    <cellStyle name="Normal 3 3 9 9 13 2" xfId="37015" xr:uid="{00000000-0005-0000-0000-00008E900000}"/>
    <cellStyle name="Normal 3 3 9 9 13 3" xfId="37016" xr:uid="{00000000-0005-0000-0000-00008F900000}"/>
    <cellStyle name="Normal 3 3 9 9 14" xfId="37017" xr:uid="{00000000-0005-0000-0000-000090900000}"/>
    <cellStyle name="Normal 3 3 9 9 14 2" xfId="37018" xr:uid="{00000000-0005-0000-0000-000091900000}"/>
    <cellStyle name="Normal 3 3 9 9 14 3" xfId="37019" xr:uid="{00000000-0005-0000-0000-000092900000}"/>
    <cellStyle name="Normal 3 3 9 9 15" xfId="37020" xr:uid="{00000000-0005-0000-0000-000093900000}"/>
    <cellStyle name="Normal 3 3 9 9 16" xfId="37021" xr:uid="{00000000-0005-0000-0000-000094900000}"/>
    <cellStyle name="Normal 3 3 9 9 2" xfId="37022" xr:uid="{00000000-0005-0000-0000-000095900000}"/>
    <cellStyle name="Normal 3 3 9 9 2 2" xfId="37023" xr:uid="{00000000-0005-0000-0000-000096900000}"/>
    <cellStyle name="Normal 3 3 9 9 2 3" xfId="37024" xr:uid="{00000000-0005-0000-0000-000097900000}"/>
    <cellStyle name="Normal 3 3 9 9 3" xfId="37025" xr:uid="{00000000-0005-0000-0000-000098900000}"/>
    <cellStyle name="Normal 3 3 9 9 3 2" xfId="37026" xr:uid="{00000000-0005-0000-0000-000099900000}"/>
    <cellStyle name="Normal 3 3 9 9 3 3" xfId="37027" xr:uid="{00000000-0005-0000-0000-00009A900000}"/>
    <cellStyle name="Normal 3 3 9 9 4" xfId="37028" xr:uid="{00000000-0005-0000-0000-00009B900000}"/>
    <cellStyle name="Normal 3 3 9 9 4 2" xfId="37029" xr:uid="{00000000-0005-0000-0000-00009C900000}"/>
    <cellStyle name="Normal 3 3 9 9 4 3" xfId="37030" xr:uid="{00000000-0005-0000-0000-00009D900000}"/>
    <cellStyle name="Normal 3 3 9 9 5" xfId="37031" xr:uid="{00000000-0005-0000-0000-00009E900000}"/>
    <cellStyle name="Normal 3 3 9 9 5 2" xfId="37032" xr:uid="{00000000-0005-0000-0000-00009F900000}"/>
    <cellStyle name="Normal 3 3 9 9 5 3" xfId="37033" xr:uid="{00000000-0005-0000-0000-0000A0900000}"/>
    <cellStyle name="Normal 3 3 9 9 6" xfId="37034" xr:uid="{00000000-0005-0000-0000-0000A1900000}"/>
    <cellStyle name="Normal 3 3 9 9 6 2" xfId="37035" xr:uid="{00000000-0005-0000-0000-0000A2900000}"/>
    <cellStyle name="Normal 3 3 9 9 6 3" xfId="37036" xr:uid="{00000000-0005-0000-0000-0000A3900000}"/>
    <cellStyle name="Normal 3 3 9 9 7" xfId="37037" xr:uid="{00000000-0005-0000-0000-0000A4900000}"/>
    <cellStyle name="Normal 3 3 9 9 7 2" xfId="37038" xr:uid="{00000000-0005-0000-0000-0000A5900000}"/>
    <cellStyle name="Normal 3 3 9 9 7 3" xfId="37039" xr:uid="{00000000-0005-0000-0000-0000A6900000}"/>
    <cellStyle name="Normal 3 3 9 9 8" xfId="37040" xr:uid="{00000000-0005-0000-0000-0000A7900000}"/>
    <cellStyle name="Normal 3 3 9 9 8 2" xfId="37041" xr:uid="{00000000-0005-0000-0000-0000A8900000}"/>
    <cellStyle name="Normal 3 3 9 9 8 3" xfId="37042" xr:uid="{00000000-0005-0000-0000-0000A9900000}"/>
    <cellStyle name="Normal 3 3 9 9 9" xfId="37043" xr:uid="{00000000-0005-0000-0000-0000AA900000}"/>
    <cellStyle name="Normal 3 3 9 9 9 2" xfId="37044" xr:uid="{00000000-0005-0000-0000-0000AB900000}"/>
    <cellStyle name="Normal 3 3 9 9 9 3" xfId="37045" xr:uid="{00000000-0005-0000-0000-0000AC900000}"/>
    <cellStyle name="Normal 3 30" xfId="37046" xr:uid="{00000000-0005-0000-0000-0000AD900000}"/>
    <cellStyle name="Normal 3 31" xfId="37047" xr:uid="{00000000-0005-0000-0000-0000AE900000}"/>
    <cellStyle name="Normal 3 32" xfId="37048" xr:uid="{00000000-0005-0000-0000-0000AF900000}"/>
    <cellStyle name="Normal 3 33" xfId="37049" xr:uid="{00000000-0005-0000-0000-0000B0900000}"/>
    <cellStyle name="Normal 3 34" xfId="37050" xr:uid="{00000000-0005-0000-0000-0000B1900000}"/>
    <cellStyle name="Normal 3 35" xfId="37051" xr:uid="{00000000-0005-0000-0000-0000B2900000}"/>
    <cellStyle name="Normal 3 36" xfId="37052" xr:uid="{00000000-0005-0000-0000-0000B3900000}"/>
    <cellStyle name="Normal 3 36 10" xfId="37053" xr:uid="{00000000-0005-0000-0000-0000B4900000}"/>
    <cellStyle name="Normal 3 36 10 10" xfId="37054" xr:uid="{00000000-0005-0000-0000-0000B5900000}"/>
    <cellStyle name="Normal 3 36 10 10 2" xfId="37055" xr:uid="{00000000-0005-0000-0000-0000B6900000}"/>
    <cellStyle name="Normal 3 36 10 10 3" xfId="37056" xr:uid="{00000000-0005-0000-0000-0000B7900000}"/>
    <cellStyle name="Normal 3 36 10 11" xfId="37057" xr:uid="{00000000-0005-0000-0000-0000B8900000}"/>
    <cellStyle name="Normal 3 36 10 11 2" xfId="37058" xr:uid="{00000000-0005-0000-0000-0000B9900000}"/>
    <cellStyle name="Normal 3 36 10 11 3" xfId="37059" xr:uid="{00000000-0005-0000-0000-0000BA900000}"/>
    <cellStyle name="Normal 3 36 10 12" xfId="37060" xr:uid="{00000000-0005-0000-0000-0000BB900000}"/>
    <cellStyle name="Normal 3 36 10 12 2" xfId="37061" xr:uid="{00000000-0005-0000-0000-0000BC900000}"/>
    <cellStyle name="Normal 3 36 10 12 3" xfId="37062" xr:uid="{00000000-0005-0000-0000-0000BD900000}"/>
    <cellStyle name="Normal 3 36 10 13" xfId="37063" xr:uid="{00000000-0005-0000-0000-0000BE900000}"/>
    <cellStyle name="Normal 3 36 10 13 2" xfId="37064" xr:uid="{00000000-0005-0000-0000-0000BF900000}"/>
    <cellStyle name="Normal 3 36 10 13 3" xfId="37065" xr:uid="{00000000-0005-0000-0000-0000C0900000}"/>
    <cellStyle name="Normal 3 36 10 14" xfId="37066" xr:uid="{00000000-0005-0000-0000-0000C1900000}"/>
    <cellStyle name="Normal 3 36 10 14 2" xfId="37067" xr:uid="{00000000-0005-0000-0000-0000C2900000}"/>
    <cellStyle name="Normal 3 36 10 14 3" xfId="37068" xr:uid="{00000000-0005-0000-0000-0000C3900000}"/>
    <cellStyle name="Normal 3 36 10 15" xfId="37069" xr:uid="{00000000-0005-0000-0000-0000C4900000}"/>
    <cellStyle name="Normal 3 36 10 16" xfId="37070" xr:uid="{00000000-0005-0000-0000-0000C5900000}"/>
    <cellStyle name="Normal 3 36 10 2" xfId="37071" xr:uid="{00000000-0005-0000-0000-0000C6900000}"/>
    <cellStyle name="Normal 3 36 10 2 2" xfId="37072" xr:uid="{00000000-0005-0000-0000-0000C7900000}"/>
    <cellStyle name="Normal 3 36 10 2 3" xfId="37073" xr:uid="{00000000-0005-0000-0000-0000C8900000}"/>
    <cellStyle name="Normal 3 36 10 3" xfId="37074" xr:uid="{00000000-0005-0000-0000-0000C9900000}"/>
    <cellStyle name="Normal 3 36 10 3 2" xfId="37075" xr:uid="{00000000-0005-0000-0000-0000CA900000}"/>
    <cellStyle name="Normal 3 36 10 3 3" xfId="37076" xr:uid="{00000000-0005-0000-0000-0000CB900000}"/>
    <cellStyle name="Normal 3 36 10 4" xfId="37077" xr:uid="{00000000-0005-0000-0000-0000CC900000}"/>
    <cellStyle name="Normal 3 36 10 4 2" xfId="37078" xr:uid="{00000000-0005-0000-0000-0000CD900000}"/>
    <cellStyle name="Normal 3 36 10 4 3" xfId="37079" xr:uid="{00000000-0005-0000-0000-0000CE900000}"/>
    <cellStyle name="Normal 3 36 10 5" xfId="37080" xr:uid="{00000000-0005-0000-0000-0000CF900000}"/>
    <cellStyle name="Normal 3 36 10 5 2" xfId="37081" xr:uid="{00000000-0005-0000-0000-0000D0900000}"/>
    <cellStyle name="Normal 3 36 10 5 3" xfId="37082" xr:uid="{00000000-0005-0000-0000-0000D1900000}"/>
    <cellStyle name="Normal 3 36 10 6" xfId="37083" xr:uid="{00000000-0005-0000-0000-0000D2900000}"/>
    <cellStyle name="Normal 3 36 10 6 2" xfId="37084" xr:uid="{00000000-0005-0000-0000-0000D3900000}"/>
    <cellStyle name="Normal 3 36 10 6 3" xfId="37085" xr:uid="{00000000-0005-0000-0000-0000D4900000}"/>
    <cellStyle name="Normal 3 36 10 7" xfId="37086" xr:uid="{00000000-0005-0000-0000-0000D5900000}"/>
    <cellStyle name="Normal 3 36 10 7 2" xfId="37087" xr:uid="{00000000-0005-0000-0000-0000D6900000}"/>
    <cellStyle name="Normal 3 36 10 7 3" xfId="37088" xr:uid="{00000000-0005-0000-0000-0000D7900000}"/>
    <cellStyle name="Normal 3 36 10 8" xfId="37089" xr:uid="{00000000-0005-0000-0000-0000D8900000}"/>
    <cellStyle name="Normal 3 36 10 8 2" xfId="37090" xr:uid="{00000000-0005-0000-0000-0000D9900000}"/>
    <cellStyle name="Normal 3 36 10 8 3" xfId="37091" xr:uid="{00000000-0005-0000-0000-0000DA900000}"/>
    <cellStyle name="Normal 3 36 10 9" xfId="37092" xr:uid="{00000000-0005-0000-0000-0000DB900000}"/>
    <cellStyle name="Normal 3 36 10 9 2" xfId="37093" xr:uid="{00000000-0005-0000-0000-0000DC900000}"/>
    <cellStyle name="Normal 3 36 10 9 3" xfId="37094" xr:uid="{00000000-0005-0000-0000-0000DD900000}"/>
    <cellStyle name="Normal 3 36 11" xfId="37095" xr:uid="{00000000-0005-0000-0000-0000DE900000}"/>
    <cellStyle name="Normal 3 36 11 2" xfId="37096" xr:uid="{00000000-0005-0000-0000-0000DF900000}"/>
    <cellStyle name="Normal 3 36 11 3" xfId="37097" xr:uid="{00000000-0005-0000-0000-0000E0900000}"/>
    <cellStyle name="Normal 3 36 12" xfId="37098" xr:uid="{00000000-0005-0000-0000-0000E1900000}"/>
    <cellStyle name="Normal 3 36 12 2" xfId="37099" xr:uid="{00000000-0005-0000-0000-0000E2900000}"/>
    <cellStyle name="Normal 3 36 12 3" xfId="37100" xr:uid="{00000000-0005-0000-0000-0000E3900000}"/>
    <cellStyle name="Normal 3 36 13" xfId="37101" xr:uid="{00000000-0005-0000-0000-0000E4900000}"/>
    <cellStyle name="Normal 3 36 13 2" xfId="37102" xr:uid="{00000000-0005-0000-0000-0000E5900000}"/>
    <cellStyle name="Normal 3 36 13 3" xfId="37103" xr:uid="{00000000-0005-0000-0000-0000E6900000}"/>
    <cellStyle name="Normal 3 36 14" xfId="37104" xr:uid="{00000000-0005-0000-0000-0000E7900000}"/>
    <cellStyle name="Normal 3 36 14 2" xfId="37105" xr:uid="{00000000-0005-0000-0000-0000E8900000}"/>
    <cellStyle name="Normal 3 36 14 3" xfId="37106" xr:uid="{00000000-0005-0000-0000-0000E9900000}"/>
    <cellStyle name="Normal 3 36 15" xfId="37107" xr:uid="{00000000-0005-0000-0000-0000EA900000}"/>
    <cellStyle name="Normal 3 36 15 2" xfId="37108" xr:uid="{00000000-0005-0000-0000-0000EB900000}"/>
    <cellStyle name="Normal 3 36 15 3" xfId="37109" xr:uid="{00000000-0005-0000-0000-0000EC900000}"/>
    <cellStyle name="Normal 3 36 16" xfId="37110" xr:uid="{00000000-0005-0000-0000-0000ED900000}"/>
    <cellStyle name="Normal 3 36 16 2" xfId="37111" xr:uid="{00000000-0005-0000-0000-0000EE900000}"/>
    <cellStyle name="Normal 3 36 16 3" xfId="37112" xr:uid="{00000000-0005-0000-0000-0000EF900000}"/>
    <cellStyle name="Normal 3 36 17" xfId="37113" xr:uid="{00000000-0005-0000-0000-0000F0900000}"/>
    <cellStyle name="Normal 3 36 17 2" xfId="37114" xr:uid="{00000000-0005-0000-0000-0000F1900000}"/>
    <cellStyle name="Normal 3 36 17 3" xfId="37115" xr:uid="{00000000-0005-0000-0000-0000F2900000}"/>
    <cellStyle name="Normal 3 36 18" xfId="37116" xr:uid="{00000000-0005-0000-0000-0000F3900000}"/>
    <cellStyle name="Normal 3 36 18 2" xfId="37117" xr:uid="{00000000-0005-0000-0000-0000F4900000}"/>
    <cellStyle name="Normal 3 36 18 3" xfId="37118" xr:uid="{00000000-0005-0000-0000-0000F5900000}"/>
    <cellStyle name="Normal 3 36 19" xfId="37119" xr:uid="{00000000-0005-0000-0000-0000F6900000}"/>
    <cellStyle name="Normal 3 36 19 2" xfId="37120" xr:uid="{00000000-0005-0000-0000-0000F7900000}"/>
    <cellStyle name="Normal 3 36 19 3" xfId="37121" xr:uid="{00000000-0005-0000-0000-0000F8900000}"/>
    <cellStyle name="Normal 3 36 2" xfId="37122" xr:uid="{00000000-0005-0000-0000-0000F9900000}"/>
    <cellStyle name="Normal 3 36 2 10" xfId="37123" xr:uid="{00000000-0005-0000-0000-0000FA900000}"/>
    <cellStyle name="Normal 3 36 2 10 2" xfId="37124" xr:uid="{00000000-0005-0000-0000-0000FB900000}"/>
    <cellStyle name="Normal 3 36 2 10 3" xfId="37125" xr:uid="{00000000-0005-0000-0000-0000FC900000}"/>
    <cellStyle name="Normal 3 36 2 11" xfId="37126" xr:uid="{00000000-0005-0000-0000-0000FD900000}"/>
    <cellStyle name="Normal 3 36 2 11 2" xfId="37127" xr:uid="{00000000-0005-0000-0000-0000FE900000}"/>
    <cellStyle name="Normal 3 36 2 11 3" xfId="37128" xr:uid="{00000000-0005-0000-0000-0000FF900000}"/>
    <cellStyle name="Normal 3 36 2 12" xfId="37129" xr:uid="{00000000-0005-0000-0000-000000910000}"/>
    <cellStyle name="Normal 3 36 2 12 2" xfId="37130" xr:uid="{00000000-0005-0000-0000-000001910000}"/>
    <cellStyle name="Normal 3 36 2 12 3" xfId="37131" xr:uid="{00000000-0005-0000-0000-000002910000}"/>
    <cellStyle name="Normal 3 36 2 13" xfId="37132" xr:uid="{00000000-0005-0000-0000-000003910000}"/>
    <cellStyle name="Normal 3 36 2 13 2" xfId="37133" xr:uid="{00000000-0005-0000-0000-000004910000}"/>
    <cellStyle name="Normal 3 36 2 13 3" xfId="37134" xr:uid="{00000000-0005-0000-0000-000005910000}"/>
    <cellStyle name="Normal 3 36 2 14" xfId="37135" xr:uid="{00000000-0005-0000-0000-000006910000}"/>
    <cellStyle name="Normal 3 36 2 14 2" xfId="37136" xr:uid="{00000000-0005-0000-0000-000007910000}"/>
    <cellStyle name="Normal 3 36 2 14 3" xfId="37137" xr:uid="{00000000-0005-0000-0000-000008910000}"/>
    <cellStyle name="Normal 3 36 2 15" xfId="37138" xr:uid="{00000000-0005-0000-0000-000009910000}"/>
    <cellStyle name="Normal 3 36 2 15 2" xfId="37139" xr:uid="{00000000-0005-0000-0000-00000A910000}"/>
    <cellStyle name="Normal 3 36 2 15 3" xfId="37140" xr:uid="{00000000-0005-0000-0000-00000B910000}"/>
    <cellStyle name="Normal 3 36 2 16" xfId="37141" xr:uid="{00000000-0005-0000-0000-00000C910000}"/>
    <cellStyle name="Normal 3 36 2 17" xfId="37142" xr:uid="{00000000-0005-0000-0000-00000D910000}"/>
    <cellStyle name="Normal 3 36 2 2" xfId="37143" xr:uid="{00000000-0005-0000-0000-00000E910000}"/>
    <cellStyle name="Normal 3 36 2 2 10" xfId="37144" xr:uid="{00000000-0005-0000-0000-00000F910000}"/>
    <cellStyle name="Normal 3 36 2 2 10 2" xfId="37145" xr:uid="{00000000-0005-0000-0000-000010910000}"/>
    <cellStyle name="Normal 3 36 2 2 10 3" xfId="37146" xr:uid="{00000000-0005-0000-0000-000011910000}"/>
    <cellStyle name="Normal 3 36 2 2 11" xfId="37147" xr:uid="{00000000-0005-0000-0000-000012910000}"/>
    <cellStyle name="Normal 3 36 2 2 11 2" xfId="37148" xr:uid="{00000000-0005-0000-0000-000013910000}"/>
    <cellStyle name="Normal 3 36 2 2 11 3" xfId="37149" xr:uid="{00000000-0005-0000-0000-000014910000}"/>
    <cellStyle name="Normal 3 36 2 2 12" xfId="37150" xr:uid="{00000000-0005-0000-0000-000015910000}"/>
    <cellStyle name="Normal 3 36 2 2 12 2" xfId="37151" xr:uid="{00000000-0005-0000-0000-000016910000}"/>
    <cellStyle name="Normal 3 36 2 2 12 3" xfId="37152" xr:uid="{00000000-0005-0000-0000-000017910000}"/>
    <cellStyle name="Normal 3 36 2 2 13" xfId="37153" xr:uid="{00000000-0005-0000-0000-000018910000}"/>
    <cellStyle name="Normal 3 36 2 2 13 2" xfId="37154" xr:uid="{00000000-0005-0000-0000-000019910000}"/>
    <cellStyle name="Normal 3 36 2 2 13 3" xfId="37155" xr:uid="{00000000-0005-0000-0000-00001A910000}"/>
    <cellStyle name="Normal 3 36 2 2 14" xfId="37156" xr:uid="{00000000-0005-0000-0000-00001B910000}"/>
    <cellStyle name="Normal 3 36 2 2 14 2" xfId="37157" xr:uid="{00000000-0005-0000-0000-00001C910000}"/>
    <cellStyle name="Normal 3 36 2 2 14 3" xfId="37158" xr:uid="{00000000-0005-0000-0000-00001D910000}"/>
    <cellStyle name="Normal 3 36 2 2 15" xfId="37159" xr:uid="{00000000-0005-0000-0000-00001E910000}"/>
    <cellStyle name="Normal 3 36 2 2 16" xfId="37160" xr:uid="{00000000-0005-0000-0000-00001F910000}"/>
    <cellStyle name="Normal 3 36 2 2 2" xfId="37161" xr:uid="{00000000-0005-0000-0000-000020910000}"/>
    <cellStyle name="Normal 3 36 2 2 2 2" xfId="37162" xr:uid="{00000000-0005-0000-0000-000021910000}"/>
    <cellStyle name="Normal 3 36 2 2 2 3" xfId="37163" xr:uid="{00000000-0005-0000-0000-000022910000}"/>
    <cellStyle name="Normal 3 36 2 2 3" xfId="37164" xr:uid="{00000000-0005-0000-0000-000023910000}"/>
    <cellStyle name="Normal 3 36 2 2 3 2" xfId="37165" xr:uid="{00000000-0005-0000-0000-000024910000}"/>
    <cellStyle name="Normal 3 36 2 2 3 3" xfId="37166" xr:uid="{00000000-0005-0000-0000-000025910000}"/>
    <cellStyle name="Normal 3 36 2 2 4" xfId="37167" xr:uid="{00000000-0005-0000-0000-000026910000}"/>
    <cellStyle name="Normal 3 36 2 2 4 2" xfId="37168" xr:uid="{00000000-0005-0000-0000-000027910000}"/>
    <cellStyle name="Normal 3 36 2 2 4 3" xfId="37169" xr:uid="{00000000-0005-0000-0000-000028910000}"/>
    <cellStyle name="Normal 3 36 2 2 5" xfId="37170" xr:uid="{00000000-0005-0000-0000-000029910000}"/>
    <cellStyle name="Normal 3 36 2 2 5 2" xfId="37171" xr:uid="{00000000-0005-0000-0000-00002A910000}"/>
    <cellStyle name="Normal 3 36 2 2 5 3" xfId="37172" xr:uid="{00000000-0005-0000-0000-00002B910000}"/>
    <cellStyle name="Normal 3 36 2 2 6" xfId="37173" xr:uid="{00000000-0005-0000-0000-00002C910000}"/>
    <cellStyle name="Normal 3 36 2 2 6 2" xfId="37174" xr:uid="{00000000-0005-0000-0000-00002D910000}"/>
    <cellStyle name="Normal 3 36 2 2 6 3" xfId="37175" xr:uid="{00000000-0005-0000-0000-00002E910000}"/>
    <cellStyle name="Normal 3 36 2 2 7" xfId="37176" xr:uid="{00000000-0005-0000-0000-00002F910000}"/>
    <cellStyle name="Normal 3 36 2 2 7 2" xfId="37177" xr:uid="{00000000-0005-0000-0000-000030910000}"/>
    <cellStyle name="Normal 3 36 2 2 7 3" xfId="37178" xr:uid="{00000000-0005-0000-0000-000031910000}"/>
    <cellStyle name="Normal 3 36 2 2 8" xfId="37179" xr:uid="{00000000-0005-0000-0000-000032910000}"/>
    <cellStyle name="Normal 3 36 2 2 8 2" xfId="37180" xr:uid="{00000000-0005-0000-0000-000033910000}"/>
    <cellStyle name="Normal 3 36 2 2 8 3" xfId="37181" xr:uid="{00000000-0005-0000-0000-000034910000}"/>
    <cellStyle name="Normal 3 36 2 2 9" xfId="37182" xr:uid="{00000000-0005-0000-0000-000035910000}"/>
    <cellStyle name="Normal 3 36 2 2 9 2" xfId="37183" xr:uid="{00000000-0005-0000-0000-000036910000}"/>
    <cellStyle name="Normal 3 36 2 2 9 3" xfId="37184" xr:uid="{00000000-0005-0000-0000-000037910000}"/>
    <cellStyle name="Normal 3 36 2 3" xfId="37185" xr:uid="{00000000-0005-0000-0000-000038910000}"/>
    <cellStyle name="Normal 3 36 2 3 2" xfId="37186" xr:uid="{00000000-0005-0000-0000-000039910000}"/>
    <cellStyle name="Normal 3 36 2 3 3" xfId="37187" xr:uid="{00000000-0005-0000-0000-00003A910000}"/>
    <cellStyle name="Normal 3 36 2 4" xfId="37188" xr:uid="{00000000-0005-0000-0000-00003B910000}"/>
    <cellStyle name="Normal 3 36 2 4 2" xfId="37189" xr:uid="{00000000-0005-0000-0000-00003C910000}"/>
    <cellStyle name="Normal 3 36 2 4 3" xfId="37190" xr:uid="{00000000-0005-0000-0000-00003D910000}"/>
    <cellStyle name="Normal 3 36 2 5" xfId="37191" xr:uid="{00000000-0005-0000-0000-00003E910000}"/>
    <cellStyle name="Normal 3 36 2 5 2" xfId="37192" xr:uid="{00000000-0005-0000-0000-00003F910000}"/>
    <cellStyle name="Normal 3 36 2 5 3" xfId="37193" xr:uid="{00000000-0005-0000-0000-000040910000}"/>
    <cellStyle name="Normal 3 36 2 6" xfId="37194" xr:uid="{00000000-0005-0000-0000-000041910000}"/>
    <cellStyle name="Normal 3 36 2 6 2" xfId="37195" xr:uid="{00000000-0005-0000-0000-000042910000}"/>
    <cellStyle name="Normal 3 36 2 6 3" xfId="37196" xr:uid="{00000000-0005-0000-0000-000043910000}"/>
    <cellStyle name="Normal 3 36 2 7" xfId="37197" xr:uid="{00000000-0005-0000-0000-000044910000}"/>
    <cellStyle name="Normal 3 36 2 7 2" xfId="37198" xr:uid="{00000000-0005-0000-0000-000045910000}"/>
    <cellStyle name="Normal 3 36 2 7 3" xfId="37199" xr:uid="{00000000-0005-0000-0000-000046910000}"/>
    <cellStyle name="Normal 3 36 2 8" xfId="37200" xr:uid="{00000000-0005-0000-0000-000047910000}"/>
    <cellStyle name="Normal 3 36 2 8 2" xfId="37201" xr:uid="{00000000-0005-0000-0000-000048910000}"/>
    <cellStyle name="Normal 3 36 2 8 3" xfId="37202" xr:uid="{00000000-0005-0000-0000-000049910000}"/>
    <cellStyle name="Normal 3 36 2 9" xfId="37203" xr:uid="{00000000-0005-0000-0000-00004A910000}"/>
    <cellStyle name="Normal 3 36 2 9 2" xfId="37204" xr:uid="{00000000-0005-0000-0000-00004B910000}"/>
    <cellStyle name="Normal 3 36 2 9 3" xfId="37205" xr:uid="{00000000-0005-0000-0000-00004C910000}"/>
    <cellStyle name="Normal 3 36 20" xfId="37206" xr:uid="{00000000-0005-0000-0000-00004D910000}"/>
    <cellStyle name="Normal 3 36 20 2" xfId="37207" xr:uid="{00000000-0005-0000-0000-00004E910000}"/>
    <cellStyle name="Normal 3 36 20 3" xfId="37208" xr:uid="{00000000-0005-0000-0000-00004F910000}"/>
    <cellStyle name="Normal 3 36 21" xfId="37209" xr:uid="{00000000-0005-0000-0000-000050910000}"/>
    <cellStyle name="Normal 3 36 21 2" xfId="37210" xr:uid="{00000000-0005-0000-0000-000051910000}"/>
    <cellStyle name="Normal 3 36 21 3" xfId="37211" xr:uid="{00000000-0005-0000-0000-000052910000}"/>
    <cellStyle name="Normal 3 36 22" xfId="37212" xr:uid="{00000000-0005-0000-0000-000053910000}"/>
    <cellStyle name="Normal 3 36 22 2" xfId="37213" xr:uid="{00000000-0005-0000-0000-000054910000}"/>
    <cellStyle name="Normal 3 36 22 3" xfId="37214" xr:uid="{00000000-0005-0000-0000-000055910000}"/>
    <cellStyle name="Normal 3 36 23" xfId="37215" xr:uid="{00000000-0005-0000-0000-000056910000}"/>
    <cellStyle name="Normal 3 36 23 2" xfId="37216" xr:uid="{00000000-0005-0000-0000-000057910000}"/>
    <cellStyle name="Normal 3 36 23 3" xfId="37217" xr:uid="{00000000-0005-0000-0000-000058910000}"/>
    <cellStyle name="Normal 3 36 24" xfId="37218" xr:uid="{00000000-0005-0000-0000-000059910000}"/>
    <cellStyle name="Normal 3 36 25" xfId="37219" xr:uid="{00000000-0005-0000-0000-00005A910000}"/>
    <cellStyle name="Normal 3 36 3" xfId="37220" xr:uid="{00000000-0005-0000-0000-00005B910000}"/>
    <cellStyle name="Normal 3 36 3 10" xfId="37221" xr:uid="{00000000-0005-0000-0000-00005C910000}"/>
    <cellStyle name="Normal 3 36 3 10 2" xfId="37222" xr:uid="{00000000-0005-0000-0000-00005D910000}"/>
    <cellStyle name="Normal 3 36 3 10 3" xfId="37223" xr:uid="{00000000-0005-0000-0000-00005E910000}"/>
    <cellStyle name="Normal 3 36 3 11" xfId="37224" xr:uid="{00000000-0005-0000-0000-00005F910000}"/>
    <cellStyle name="Normal 3 36 3 11 2" xfId="37225" xr:uid="{00000000-0005-0000-0000-000060910000}"/>
    <cellStyle name="Normal 3 36 3 11 3" xfId="37226" xr:uid="{00000000-0005-0000-0000-000061910000}"/>
    <cellStyle name="Normal 3 36 3 12" xfId="37227" xr:uid="{00000000-0005-0000-0000-000062910000}"/>
    <cellStyle name="Normal 3 36 3 12 2" xfId="37228" xr:uid="{00000000-0005-0000-0000-000063910000}"/>
    <cellStyle name="Normal 3 36 3 12 3" xfId="37229" xr:uid="{00000000-0005-0000-0000-000064910000}"/>
    <cellStyle name="Normal 3 36 3 13" xfId="37230" xr:uid="{00000000-0005-0000-0000-000065910000}"/>
    <cellStyle name="Normal 3 36 3 13 2" xfId="37231" xr:uid="{00000000-0005-0000-0000-000066910000}"/>
    <cellStyle name="Normal 3 36 3 13 3" xfId="37232" xr:uid="{00000000-0005-0000-0000-000067910000}"/>
    <cellStyle name="Normal 3 36 3 14" xfId="37233" xr:uid="{00000000-0005-0000-0000-000068910000}"/>
    <cellStyle name="Normal 3 36 3 14 2" xfId="37234" xr:uid="{00000000-0005-0000-0000-000069910000}"/>
    <cellStyle name="Normal 3 36 3 14 3" xfId="37235" xr:uid="{00000000-0005-0000-0000-00006A910000}"/>
    <cellStyle name="Normal 3 36 3 15" xfId="37236" xr:uid="{00000000-0005-0000-0000-00006B910000}"/>
    <cellStyle name="Normal 3 36 3 15 2" xfId="37237" xr:uid="{00000000-0005-0000-0000-00006C910000}"/>
    <cellStyle name="Normal 3 36 3 15 3" xfId="37238" xr:uid="{00000000-0005-0000-0000-00006D910000}"/>
    <cellStyle name="Normal 3 36 3 16" xfId="37239" xr:uid="{00000000-0005-0000-0000-00006E910000}"/>
    <cellStyle name="Normal 3 36 3 17" xfId="37240" xr:uid="{00000000-0005-0000-0000-00006F910000}"/>
    <cellStyle name="Normal 3 36 3 2" xfId="37241" xr:uid="{00000000-0005-0000-0000-000070910000}"/>
    <cellStyle name="Normal 3 36 3 2 10" xfId="37242" xr:uid="{00000000-0005-0000-0000-000071910000}"/>
    <cellStyle name="Normal 3 36 3 2 10 2" xfId="37243" xr:uid="{00000000-0005-0000-0000-000072910000}"/>
    <cellStyle name="Normal 3 36 3 2 10 3" xfId="37244" xr:uid="{00000000-0005-0000-0000-000073910000}"/>
    <cellStyle name="Normal 3 36 3 2 11" xfId="37245" xr:uid="{00000000-0005-0000-0000-000074910000}"/>
    <cellStyle name="Normal 3 36 3 2 11 2" xfId="37246" xr:uid="{00000000-0005-0000-0000-000075910000}"/>
    <cellStyle name="Normal 3 36 3 2 11 3" xfId="37247" xr:uid="{00000000-0005-0000-0000-000076910000}"/>
    <cellStyle name="Normal 3 36 3 2 12" xfId="37248" xr:uid="{00000000-0005-0000-0000-000077910000}"/>
    <cellStyle name="Normal 3 36 3 2 12 2" xfId="37249" xr:uid="{00000000-0005-0000-0000-000078910000}"/>
    <cellStyle name="Normal 3 36 3 2 12 3" xfId="37250" xr:uid="{00000000-0005-0000-0000-000079910000}"/>
    <cellStyle name="Normal 3 36 3 2 13" xfId="37251" xr:uid="{00000000-0005-0000-0000-00007A910000}"/>
    <cellStyle name="Normal 3 36 3 2 13 2" xfId="37252" xr:uid="{00000000-0005-0000-0000-00007B910000}"/>
    <cellStyle name="Normal 3 36 3 2 13 3" xfId="37253" xr:uid="{00000000-0005-0000-0000-00007C910000}"/>
    <cellStyle name="Normal 3 36 3 2 14" xfId="37254" xr:uid="{00000000-0005-0000-0000-00007D910000}"/>
    <cellStyle name="Normal 3 36 3 2 14 2" xfId="37255" xr:uid="{00000000-0005-0000-0000-00007E910000}"/>
    <cellStyle name="Normal 3 36 3 2 14 3" xfId="37256" xr:uid="{00000000-0005-0000-0000-00007F910000}"/>
    <cellStyle name="Normal 3 36 3 2 15" xfId="37257" xr:uid="{00000000-0005-0000-0000-000080910000}"/>
    <cellStyle name="Normal 3 36 3 2 16" xfId="37258" xr:uid="{00000000-0005-0000-0000-000081910000}"/>
    <cellStyle name="Normal 3 36 3 2 2" xfId="37259" xr:uid="{00000000-0005-0000-0000-000082910000}"/>
    <cellStyle name="Normal 3 36 3 2 2 2" xfId="37260" xr:uid="{00000000-0005-0000-0000-000083910000}"/>
    <cellStyle name="Normal 3 36 3 2 2 3" xfId="37261" xr:uid="{00000000-0005-0000-0000-000084910000}"/>
    <cellStyle name="Normal 3 36 3 2 3" xfId="37262" xr:uid="{00000000-0005-0000-0000-000085910000}"/>
    <cellStyle name="Normal 3 36 3 2 3 2" xfId="37263" xr:uid="{00000000-0005-0000-0000-000086910000}"/>
    <cellStyle name="Normal 3 36 3 2 3 3" xfId="37264" xr:uid="{00000000-0005-0000-0000-000087910000}"/>
    <cellStyle name="Normal 3 36 3 2 4" xfId="37265" xr:uid="{00000000-0005-0000-0000-000088910000}"/>
    <cellStyle name="Normal 3 36 3 2 4 2" xfId="37266" xr:uid="{00000000-0005-0000-0000-000089910000}"/>
    <cellStyle name="Normal 3 36 3 2 4 3" xfId="37267" xr:uid="{00000000-0005-0000-0000-00008A910000}"/>
    <cellStyle name="Normal 3 36 3 2 5" xfId="37268" xr:uid="{00000000-0005-0000-0000-00008B910000}"/>
    <cellStyle name="Normal 3 36 3 2 5 2" xfId="37269" xr:uid="{00000000-0005-0000-0000-00008C910000}"/>
    <cellStyle name="Normal 3 36 3 2 5 3" xfId="37270" xr:uid="{00000000-0005-0000-0000-00008D910000}"/>
    <cellStyle name="Normal 3 36 3 2 6" xfId="37271" xr:uid="{00000000-0005-0000-0000-00008E910000}"/>
    <cellStyle name="Normal 3 36 3 2 6 2" xfId="37272" xr:uid="{00000000-0005-0000-0000-00008F910000}"/>
    <cellStyle name="Normal 3 36 3 2 6 3" xfId="37273" xr:uid="{00000000-0005-0000-0000-000090910000}"/>
    <cellStyle name="Normal 3 36 3 2 7" xfId="37274" xr:uid="{00000000-0005-0000-0000-000091910000}"/>
    <cellStyle name="Normal 3 36 3 2 7 2" xfId="37275" xr:uid="{00000000-0005-0000-0000-000092910000}"/>
    <cellStyle name="Normal 3 36 3 2 7 3" xfId="37276" xr:uid="{00000000-0005-0000-0000-000093910000}"/>
    <cellStyle name="Normal 3 36 3 2 8" xfId="37277" xr:uid="{00000000-0005-0000-0000-000094910000}"/>
    <cellStyle name="Normal 3 36 3 2 8 2" xfId="37278" xr:uid="{00000000-0005-0000-0000-000095910000}"/>
    <cellStyle name="Normal 3 36 3 2 8 3" xfId="37279" xr:uid="{00000000-0005-0000-0000-000096910000}"/>
    <cellStyle name="Normal 3 36 3 2 9" xfId="37280" xr:uid="{00000000-0005-0000-0000-000097910000}"/>
    <cellStyle name="Normal 3 36 3 2 9 2" xfId="37281" xr:uid="{00000000-0005-0000-0000-000098910000}"/>
    <cellStyle name="Normal 3 36 3 2 9 3" xfId="37282" xr:uid="{00000000-0005-0000-0000-000099910000}"/>
    <cellStyle name="Normal 3 36 3 3" xfId="37283" xr:uid="{00000000-0005-0000-0000-00009A910000}"/>
    <cellStyle name="Normal 3 36 3 3 2" xfId="37284" xr:uid="{00000000-0005-0000-0000-00009B910000}"/>
    <cellStyle name="Normal 3 36 3 3 3" xfId="37285" xr:uid="{00000000-0005-0000-0000-00009C910000}"/>
    <cellStyle name="Normal 3 36 3 4" xfId="37286" xr:uid="{00000000-0005-0000-0000-00009D910000}"/>
    <cellStyle name="Normal 3 36 3 4 2" xfId="37287" xr:uid="{00000000-0005-0000-0000-00009E910000}"/>
    <cellStyle name="Normal 3 36 3 4 3" xfId="37288" xr:uid="{00000000-0005-0000-0000-00009F910000}"/>
    <cellStyle name="Normal 3 36 3 5" xfId="37289" xr:uid="{00000000-0005-0000-0000-0000A0910000}"/>
    <cellStyle name="Normal 3 36 3 5 2" xfId="37290" xr:uid="{00000000-0005-0000-0000-0000A1910000}"/>
    <cellStyle name="Normal 3 36 3 5 3" xfId="37291" xr:uid="{00000000-0005-0000-0000-0000A2910000}"/>
    <cellStyle name="Normal 3 36 3 6" xfId="37292" xr:uid="{00000000-0005-0000-0000-0000A3910000}"/>
    <cellStyle name="Normal 3 36 3 6 2" xfId="37293" xr:uid="{00000000-0005-0000-0000-0000A4910000}"/>
    <cellStyle name="Normal 3 36 3 6 3" xfId="37294" xr:uid="{00000000-0005-0000-0000-0000A5910000}"/>
    <cellStyle name="Normal 3 36 3 7" xfId="37295" xr:uid="{00000000-0005-0000-0000-0000A6910000}"/>
    <cellStyle name="Normal 3 36 3 7 2" xfId="37296" xr:uid="{00000000-0005-0000-0000-0000A7910000}"/>
    <cellStyle name="Normal 3 36 3 7 3" xfId="37297" xr:uid="{00000000-0005-0000-0000-0000A8910000}"/>
    <cellStyle name="Normal 3 36 3 8" xfId="37298" xr:uid="{00000000-0005-0000-0000-0000A9910000}"/>
    <cellStyle name="Normal 3 36 3 8 2" xfId="37299" xr:uid="{00000000-0005-0000-0000-0000AA910000}"/>
    <cellStyle name="Normal 3 36 3 8 3" xfId="37300" xr:uid="{00000000-0005-0000-0000-0000AB910000}"/>
    <cellStyle name="Normal 3 36 3 9" xfId="37301" xr:uid="{00000000-0005-0000-0000-0000AC910000}"/>
    <cellStyle name="Normal 3 36 3 9 2" xfId="37302" xr:uid="{00000000-0005-0000-0000-0000AD910000}"/>
    <cellStyle name="Normal 3 36 3 9 3" xfId="37303" xr:uid="{00000000-0005-0000-0000-0000AE910000}"/>
    <cellStyle name="Normal 3 36 4" xfId="37304" xr:uid="{00000000-0005-0000-0000-0000AF910000}"/>
    <cellStyle name="Normal 3 36 4 10" xfId="37305" xr:uid="{00000000-0005-0000-0000-0000B0910000}"/>
    <cellStyle name="Normal 3 36 4 10 2" xfId="37306" xr:uid="{00000000-0005-0000-0000-0000B1910000}"/>
    <cellStyle name="Normal 3 36 4 10 3" xfId="37307" xr:uid="{00000000-0005-0000-0000-0000B2910000}"/>
    <cellStyle name="Normal 3 36 4 11" xfId="37308" xr:uid="{00000000-0005-0000-0000-0000B3910000}"/>
    <cellStyle name="Normal 3 36 4 11 2" xfId="37309" xr:uid="{00000000-0005-0000-0000-0000B4910000}"/>
    <cellStyle name="Normal 3 36 4 11 3" xfId="37310" xr:uid="{00000000-0005-0000-0000-0000B5910000}"/>
    <cellStyle name="Normal 3 36 4 12" xfId="37311" xr:uid="{00000000-0005-0000-0000-0000B6910000}"/>
    <cellStyle name="Normal 3 36 4 12 2" xfId="37312" xr:uid="{00000000-0005-0000-0000-0000B7910000}"/>
    <cellStyle name="Normal 3 36 4 12 3" xfId="37313" xr:uid="{00000000-0005-0000-0000-0000B8910000}"/>
    <cellStyle name="Normal 3 36 4 13" xfId="37314" xr:uid="{00000000-0005-0000-0000-0000B9910000}"/>
    <cellStyle name="Normal 3 36 4 13 2" xfId="37315" xr:uid="{00000000-0005-0000-0000-0000BA910000}"/>
    <cellStyle name="Normal 3 36 4 13 3" xfId="37316" xr:uid="{00000000-0005-0000-0000-0000BB910000}"/>
    <cellStyle name="Normal 3 36 4 14" xfId="37317" xr:uid="{00000000-0005-0000-0000-0000BC910000}"/>
    <cellStyle name="Normal 3 36 4 14 2" xfId="37318" xr:uid="{00000000-0005-0000-0000-0000BD910000}"/>
    <cellStyle name="Normal 3 36 4 14 3" xfId="37319" xr:uid="{00000000-0005-0000-0000-0000BE910000}"/>
    <cellStyle name="Normal 3 36 4 15" xfId="37320" xr:uid="{00000000-0005-0000-0000-0000BF910000}"/>
    <cellStyle name="Normal 3 36 4 15 2" xfId="37321" xr:uid="{00000000-0005-0000-0000-0000C0910000}"/>
    <cellStyle name="Normal 3 36 4 15 3" xfId="37322" xr:uid="{00000000-0005-0000-0000-0000C1910000}"/>
    <cellStyle name="Normal 3 36 4 16" xfId="37323" xr:uid="{00000000-0005-0000-0000-0000C2910000}"/>
    <cellStyle name="Normal 3 36 4 17" xfId="37324" xr:uid="{00000000-0005-0000-0000-0000C3910000}"/>
    <cellStyle name="Normal 3 36 4 2" xfId="37325" xr:uid="{00000000-0005-0000-0000-0000C4910000}"/>
    <cellStyle name="Normal 3 36 4 2 10" xfId="37326" xr:uid="{00000000-0005-0000-0000-0000C5910000}"/>
    <cellStyle name="Normal 3 36 4 2 10 2" xfId="37327" xr:uid="{00000000-0005-0000-0000-0000C6910000}"/>
    <cellStyle name="Normal 3 36 4 2 10 3" xfId="37328" xr:uid="{00000000-0005-0000-0000-0000C7910000}"/>
    <cellStyle name="Normal 3 36 4 2 11" xfId="37329" xr:uid="{00000000-0005-0000-0000-0000C8910000}"/>
    <cellStyle name="Normal 3 36 4 2 11 2" xfId="37330" xr:uid="{00000000-0005-0000-0000-0000C9910000}"/>
    <cellStyle name="Normal 3 36 4 2 11 3" xfId="37331" xr:uid="{00000000-0005-0000-0000-0000CA910000}"/>
    <cellStyle name="Normal 3 36 4 2 12" xfId="37332" xr:uid="{00000000-0005-0000-0000-0000CB910000}"/>
    <cellStyle name="Normal 3 36 4 2 12 2" xfId="37333" xr:uid="{00000000-0005-0000-0000-0000CC910000}"/>
    <cellStyle name="Normal 3 36 4 2 12 3" xfId="37334" xr:uid="{00000000-0005-0000-0000-0000CD910000}"/>
    <cellStyle name="Normal 3 36 4 2 13" xfId="37335" xr:uid="{00000000-0005-0000-0000-0000CE910000}"/>
    <cellStyle name="Normal 3 36 4 2 13 2" xfId="37336" xr:uid="{00000000-0005-0000-0000-0000CF910000}"/>
    <cellStyle name="Normal 3 36 4 2 13 3" xfId="37337" xr:uid="{00000000-0005-0000-0000-0000D0910000}"/>
    <cellStyle name="Normal 3 36 4 2 14" xfId="37338" xr:uid="{00000000-0005-0000-0000-0000D1910000}"/>
    <cellStyle name="Normal 3 36 4 2 14 2" xfId="37339" xr:uid="{00000000-0005-0000-0000-0000D2910000}"/>
    <cellStyle name="Normal 3 36 4 2 14 3" xfId="37340" xr:uid="{00000000-0005-0000-0000-0000D3910000}"/>
    <cellStyle name="Normal 3 36 4 2 15" xfId="37341" xr:uid="{00000000-0005-0000-0000-0000D4910000}"/>
    <cellStyle name="Normal 3 36 4 2 16" xfId="37342" xr:uid="{00000000-0005-0000-0000-0000D5910000}"/>
    <cellStyle name="Normal 3 36 4 2 2" xfId="37343" xr:uid="{00000000-0005-0000-0000-0000D6910000}"/>
    <cellStyle name="Normal 3 36 4 2 2 2" xfId="37344" xr:uid="{00000000-0005-0000-0000-0000D7910000}"/>
    <cellStyle name="Normal 3 36 4 2 2 3" xfId="37345" xr:uid="{00000000-0005-0000-0000-0000D8910000}"/>
    <cellStyle name="Normal 3 36 4 2 3" xfId="37346" xr:uid="{00000000-0005-0000-0000-0000D9910000}"/>
    <cellStyle name="Normal 3 36 4 2 3 2" xfId="37347" xr:uid="{00000000-0005-0000-0000-0000DA910000}"/>
    <cellStyle name="Normal 3 36 4 2 3 3" xfId="37348" xr:uid="{00000000-0005-0000-0000-0000DB910000}"/>
    <cellStyle name="Normal 3 36 4 2 4" xfId="37349" xr:uid="{00000000-0005-0000-0000-0000DC910000}"/>
    <cellStyle name="Normal 3 36 4 2 4 2" xfId="37350" xr:uid="{00000000-0005-0000-0000-0000DD910000}"/>
    <cellStyle name="Normal 3 36 4 2 4 3" xfId="37351" xr:uid="{00000000-0005-0000-0000-0000DE910000}"/>
    <cellStyle name="Normal 3 36 4 2 5" xfId="37352" xr:uid="{00000000-0005-0000-0000-0000DF910000}"/>
    <cellStyle name="Normal 3 36 4 2 5 2" xfId="37353" xr:uid="{00000000-0005-0000-0000-0000E0910000}"/>
    <cellStyle name="Normal 3 36 4 2 5 3" xfId="37354" xr:uid="{00000000-0005-0000-0000-0000E1910000}"/>
    <cellStyle name="Normal 3 36 4 2 6" xfId="37355" xr:uid="{00000000-0005-0000-0000-0000E2910000}"/>
    <cellStyle name="Normal 3 36 4 2 6 2" xfId="37356" xr:uid="{00000000-0005-0000-0000-0000E3910000}"/>
    <cellStyle name="Normal 3 36 4 2 6 3" xfId="37357" xr:uid="{00000000-0005-0000-0000-0000E4910000}"/>
    <cellStyle name="Normal 3 36 4 2 7" xfId="37358" xr:uid="{00000000-0005-0000-0000-0000E5910000}"/>
    <cellStyle name="Normal 3 36 4 2 7 2" xfId="37359" xr:uid="{00000000-0005-0000-0000-0000E6910000}"/>
    <cellStyle name="Normal 3 36 4 2 7 3" xfId="37360" xr:uid="{00000000-0005-0000-0000-0000E7910000}"/>
    <cellStyle name="Normal 3 36 4 2 8" xfId="37361" xr:uid="{00000000-0005-0000-0000-0000E8910000}"/>
    <cellStyle name="Normal 3 36 4 2 8 2" xfId="37362" xr:uid="{00000000-0005-0000-0000-0000E9910000}"/>
    <cellStyle name="Normal 3 36 4 2 8 3" xfId="37363" xr:uid="{00000000-0005-0000-0000-0000EA910000}"/>
    <cellStyle name="Normal 3 36 4 2 9" xfId="37364" xr:uid="{00000000-0005-0000-0000-0000EB910000}"/>
    <cellStyle name="Normal 3 36 4 2 9 2" xfId="37365" xr:uid="{00000000-0005-0000-0000-0000EC910000}"/>
    <cellStyle name="Normal 3 36 4 2 9 3" xfId="37366" xr:uid="{00000000-0005-0000-0000-0000ED910000}"/>
    <cellStyle name="Normal 3 36 4 3" xfId="37367" xr:uid="{00000000-0005-0000-0000-0000EE910000}"/>
    <cellStyle name="Normal 3 36 4 3 2" xfId="37368" xr:uid="{00000000-0005-0000-0000-0000EF910000}"/>
    <cellStyle name="Normal 3 36 4 3 3" xfId="37369" xr:uid="{00000000-0005-0000-0000-0000F0910000}"/>
    <cellStyle name="Normal 3 36 4 4" xfId="37370" xr:uid="{00000000-0005-0000-0000-0000F1910000}"/>
    <cellStyle name="Normal 3 36 4 4 2" xfId="37371" xr:uid="{00000000-0005-0000-0000-0000F2910000}"/>
    <cellStyle name="Normal 3 36 4 4 3" xfId="37372" xr:uid="{00000000-0005-0000-0000-0000F3910000}"/>
    <cellStyle name="Normal 3 36 4 5" xfId="37373" xr:uid="{00000000-0005-0000-0000-0000F4910000}"/>
    <cellStyle name="Normal 3 36 4 5 2" xfId="37374" xr:uid="{00000000-0005-0000-0000-0000F5910000}"/>
    <cellStyle name="Normal 3 36 4 5 3" xfId="37375" xr:uid="{00000000-0005-0000-0000-0000F6910000}"/>
    <cellStyle name="Normal 3 36 4 6" xfId="37376" xr:uid="{00000000-0005-0000-0000-0000F7910000}"/>
    <cellStyle name="Normal 3 36 4 6 2" xfId="37377" xr:uid="{00000000-0005-0000-0000-0000F8910000}"/>
    <cellStyle name="Normal 3 36 4 6 3" xfId="37378" xr:uid="{00000000-0005-0000-0000-0000F9910000}"/>
    <cellStyle name="Normal 3 36 4 7" xfId="37379" xr:uid="{00000000-0005-0000-0000-0000FA910000}"/>
    <cellStyle name="Normal 3 36 4 7 2" xfId="37380" xr:uid="{00000000-0005-0000-0000-0000FB910000}"/>
    <cellStyle name="Normal 3 36 4 7 3" xfId="37381" xr:uid="{00000000-0005-0000-0000-0000FC910000}"/>
    <cellStyle name="Normal 3 36 4 8" xfId="37382" xr:uid="{00000000-0005-0000-0000-0000FD910000}"/>
    <cellStyle name="Normal 3 36 4 8 2" xfId="37383" xr:uid="{00000000-0005-0000-0000-0000FE910000}"/>
    <cellStyle name="Normal 3 36 4 8 3" xfId="37384" xr:uid="{00000000-0005-0000-0000-0000FF910000}"/>
    <cellStyle name="Normal 3 36 4 9" xfId="37385" xr:uid="{00000000-0005-0000-0000-000000920000}"/>
    <cellStyle name="Normal 3 36 4 9 2" xfId="37386" xr:uid="{00000000-0005-0000-0000-000001920000}"/>
    <cellStyle name="Normal 3 36 4 9 3" xfId="37387" xr:uid="{00000000-0005-0000-0000-000002920000}"/>
    <cellStyle name="Normal 3 36 5" xfId="37388" xr:uid="{00000000-0005-0000-0000-000003920000}"/>
    <cellStyle name="Normal 3 36 5 10" xfId="37389" xr:uid="{00000000-0005-0000-0000-000004920000}"/>
    <cellStyle name="Normal 3 36 5 10 2" xfId="37390" xr:uid="{00000000-0005-0000-0000-000005920000}"/>
    <cellStyle name="Normal 3 36 5 10 3" xfId="37391" xr:uid="{00000000-0005-0000-0000-000006920000}"/>
    <cellStyle name="Normal 3 36 5 11" xfId="37392" xr:uid="{00000000-0005-0000-0000-000007920000}"/>
    <cellStyle name="Normal 3 36 5 11 2" xfId="37393" xr:uid="{00000000-0005-0000-0000-000008920000}"/>
    <cellStyle name="Normal 3 36 5 11 3" xfId="37394" xr:uid="{00000000-0005-0000-0000-000009920000}"/>
    <cellStyle name="Normal 3 36 5 12" xfId="37395" xr:uid="{00000000-0005-0000-0000-00000A920000}"/>
    <cellStyle name="Normal 3 36 5 12 2" xfId="37396" xr:uid="{00000000-0005-0000-0000-00000B920000}"/>
    <cellStyle name="Normal 3 36 5 12 3" xfId="37397" xr:uid="{00000000-0005-0000-0000-00000C920000}"/>
    <cellStyle name="Normal 3 36 5 13" xfId="37398" xr:uid="{00000000-0005-0000-0000-00000D920000}"/>
    <cellStyle name="Normal 3 36 5 13 2" xfId="37399" xr:uid="{00000000-0005-0000-0000-00000E920000}"/>
    <cellStyle name="Normal 3 36 5 13 3" xfId="37400" xr:uid="{00000000-0005-0000-0000-00000F920000}"/>
    <cellStyle name="Normal 3 36 5 14" xfId="37401" xr:uid="{00000000-0005-0000-0000-000010920000}"/>
    <cellStyle name="Normal 3 36 5 14 2" xfId="37402" xr:uid="{00000000-0005-0000-0000-000011920000}"/>
    <cellStyle name="Normal 3 36 5 14 3" xfId="37403" xr:uid="{00000000-0005-0000-0000-000012920000}"/>
    <cellStyle name="Normal 3 36 5 15" xfId="37404" xr:uid="{00000000-0005-0000-0000-000013920000}"/>
    <cellStyle name="Normal 3 36 5 16" xfId="37405" xr:uid="{00000000-0005-0000-0000-000014920000}"/>
    <cellStyle name="Normal 3 36 5 2" xfId="37406" xr:uid="{00000000-0005-0000-0000-000015920000}"/>
    <cellStyle name="Normal 3 36 5 2 2" xfId="37407" xr:uid="{00000000-0005-0000-0000-000016920000}"/>
    <cellStyle name="Normal 3 36 5 2 3" xfId="37408" xr:uid="{00000000-0005-0000-0000-000017920000}"/>
    <cellStyle name="Normal 3 36 5 3" xfId="37409" xr:uid="{00000000-0005-0000-0000-000018920000}"/>
    <cellStyle name="Normal 3 36 5 3 2" xfId="37410" xr:uid="{00000000-0005-0000-0000-000019920000}"/>
    <cellStyle name="Normal 3 36 5 3 3" xfId="37411" xr:uid="{00000000-0005-0000-0000-00001A920000}"/>
    <cellStyle name="Normal 3 36 5 4" xfId="37412" xr:uid="{00000000-0005-0000-0000-00001B920000}"/>
    <cellStyle name="Normal 3 36 5 4 2" xfId="37413" xr:uid="{00000000-0005-0000-0000-00001C920000}"/>
    <cellStyle name="Normal 3 36 5 4 3" xfId="37414" xr:uid="{00000000-0005-0000-0000-00001D920000}"/>
    <cellStyle name="Normal 3 36 5 5" xfId="37415" xr:uid="{00000000-0005-0000-0000-00001E920000}"/>
    <cellStyle name="Normal 3 36 5 5 2" xfId="37416" xr:uid="{00000000-0005-0000-0000-00001F920000}"/>
    <cellStyle name="Normal 3 36 5 5 3" xfId="37417" xr:uid="{00000000-0005-0000-0000-000020920000}"/>
    <cellStyle name="Normal 3 36 5 6" xfId="37418" xr:uid="{00000000-0005-0000-0000-000021920000}"/>
    <cellStyle name="Normal 3 36 5 6 2" xfId="37419" xr:uid="{00000000-0005-0000-0000-000022920000}"/>
    <cellStyle name="Normal 3 36 5 6 3" xfId="37420" xr:uid="{00000000-0005-0000-0000-000023920000}"/>
    <cellStyle name="Normal 3 36 5 7" xfId="37421" xr:uid="{00000000-0005-0000-0000-000024920000}"/>
    <cellStyle name="Normal 3 36 5 7 2" xfId="37422" xr:uid="{00000000-0005-0000-0000-000025920000}"/>
    <cellStyle name="Normal 3 36 5 7 3" xfId="37423" xr:uid="{00000000-0005-0000-0000-000026920000}"/>
    <cellStyle name="Normal 3 36 5 8" xfId="37424" xr:uid="{00000000-0005-0000-0000-000027920000}"/>
    <cellStyle name="Normal 3 36 5 8 2" xfId="37425" xr:uid="{00000000-0005-0000-0000-000028920000}"/>
    <cellStyle name="Normal 3 36 5 8 3" xfId="37426" xr:uid="{00000000-0005-0000-0000-000029920000}"/>
    <cellStyle name="Normal 3 36 5 9" xfId="37427" xr:uid="{00000000-0005-0000-0000-00002A920000}"/>
    <cellStyle name="Normal 3 36 5 9 2" xfId="37428" xr:uid="{00000000-0005-0000-0000-00002B920000}"/>
    <cellStyle name="Normal 3 36 5 9 3" xfId="37429" xr:uid="{00000000-0005-0000-0000-00002C920000}"/>
    <cellStyle name="Normal 3 36 6" xfId="37430" xr:uid="{00000000-0005-0000-0000-00002D920000}"/>
    <cellStyle name="Normal 3 36 6 10" xfId="37431" xr:uid="{00000000-0005-0000-0000-00002E920000}"/>
    <cellStyle name="Normal 3 36 6 10 2" xfId="37432" xr:uid="{00000000-0005-0000-0000-00002F920000}"/>
    <cellStyle name="Normal 3 36 6 10 3" xfId="37433" xr:uid="{00000000-0005-0000-0000-000030920000}"/>
    <cellStyle name="Normal 3 36 6 11" xfId="37434" xr:uid="{00000000-0005-0000-0000-000031920000}"/>
    <cellStyle name="Normal 3 36 6 11 2" xfId="37435" xr:uid="{00000000-0005-0000-0000-000032920000}"/>
    <cellStyle name="Normal 3 36 6 11 3" xfId="37436" xr:uid="{00000000-0005-0000-0000-000033920000}"/>
    <cellStyle name="Normal 3 36 6 12" xfId="37437" xr:uid="{00000000-0005-0000-0000-000034920000}"/>
    <cellStyle name="Normal 3 36 6 12 2" xfId="37438" xr:uid="{00000000-0005-0000-0000-000035920000}"/>
    <cellStyle name="Normal 3 36 6 12 3" xfId="37439" xr:uid="{00000000-0005-0000-0000-000036920000}"/>
    <cellStyle name="Normal 3 36 6 13" xfId="37440" xr:uid="{00000000-0005-0000-0000-000037920000}"/>
    <cellStyle name="Normal 3 36 6 13 2" xfId="37441" xr:uid="{00000000-0005-0000-0000-000038920000}"/>
    <cellStyle name="Normal 3 36 6 13 3" xfId="37442" xr:uid="{00000000-0005-0000-0000-000039920000}"/>
    <cellStyle name="Normal 3 36 6 14" xfId="37443" xr:uid="{00000000-0005-0000-0000-00003A920000}"/>
    <cellStyle name="Normal 3 36 6 14 2" xfId="37444" xr:uid="{00000000-0005-0000-0000-00003B920000}"/>
    <cellStyle name="Normal 3 36 6 14 3" xfId="37445" xr:uid="{00000000-0005-0000-0000-00003C920000}"/>
    <cellStyle name="Normal 3 36 6 15" xfId="37446" xr:uid="{00000000-0005-0000-0000-00003D920000}"/>
    <cellStyle name="Normal 3 36 6 16" xfId="37447" xr:uid="{00000000-0005-0000-0000-00003E920000}"/>
    <cellStyle name="Normal 3 36 6 2" xfId="37448" xr:uid="{00000000-0005-0000-0000-00003F920000}"/>
    <cellStyle name="Normal 3 36 6 2 2" xfId="37449" xr:uid="{00000000-0005-0000-0000-000040920000}"/>
    <cellStyle name="Normal 3 36 6 2 3" xfId="37450" xr:uid="{00000000-0005-0000-0000-000041920000}"/>
    <cellStyle name="Normal 3 36 6 3" xfId="37451" xr:uid="{00000000-0005-0000-0000-000042920000}"/>
    <cellStyle name="Normal 3 36 6 3 2" xfId="37452" xr:uid="{00000000-0005-0000-0000-000043920000}"/>
    <cellStyle name="Normal 3 36 6 3 3" xfId="37453" xr:uid="{00000000-0005-0000-0000-000044920000}"/>
    <cellStyle name="Normal 3 36 6 4" xfId="37454" xr:uid="{00000000-0005-0000-0000-000045920000}"/>
    <cellStyle name="Normal 3 36 6 4 2" xfId="37455" xr:uid="{00000000-0005-0000-0000-000046920000}"/>
    <cellStyle name="Normal 3 36 6 4 3" xfId="37456" xr:uid="{00000000-0005-0000-0000-000047920000}"/>
    <cellStyle name="Normal 3 36 6 5" xfId="37457" xr:uid="{00000000-0005-0000-0000-000048920000}"/>
    <cellStyle name="Normal 3 36 6 5 2" xfId="37458" xr:uid="{00000000-0005-0000-0000-000049920000}"/>
    <cellStyle name="Normal 3 36 6 5 3" xfId="37459" xr:uid="{00000000-0005-0000-0000-00004A920000}"/>
    <cellStyle name="Normal 3 36 6 6" xfId="37460" xr:uid="{00000000-0005-0000-0000-00004B920000}"/>
    <cellStyle name="Normal 3 36 6 6 2" xfId="37461" xr:uid="{00000000-0005-0000-0000-00004C920000}"/>
    <cellStyle name="Normal 3 36 6 6 3" xfId="37462" xr:uid="{00000000-0005-0000-0000-00004D920000}"/>
    <cellStyle name="Normal 3 36 6 7" xfId="37463" xr:uid="{00000000-0005-0000-0000-00004E920000}"/>
    <cellStyle name="Normal 3 36 6 7 2" xfId="37464" xr:uid="{00000000-0005-0000-0000-00004F920000}"/>
    <cellStyle name="Normal 3 36 6 7 3" xfId="37465" xr:uid="{00000000-0005-0000-0000-000050920000}"/>
    <cellStyle name="Normal 3 36 6 8" xfId="37466" xr:uid="{00000000-0005-0000-0000-000051920000}"/>
    <cellStyle name="Normal 3 36 6 8 2" xfId="37467" xr:uid="{00000000-0005-0000-0000-000052920000}"/>
    <cellStyle name="Normal 3 36 6 8 3" xfId="37468" xr:uid="{00000000-0005-0000-0000-000053920000}"/>
    <cellStyle name="Normal 3 36 6 9" xfId="37469" xr:uid="{00000000-0005-0000-0000-000054920000}"/>
    <cellStyle name="Normal 3 36 6 9 2" xfId="37470" xr:uid="{00000000-0005-0000-0000-000055920000}"/>
    <cellStyle name="Normal 3 36 6 9 3" xfId="37471" xr:uid="{00000000-0005-0000-0000-000056920000}"/>
    <cellStyle name="Normal 3 36 7" xfId="37472" xr:uid="{00000000-0005-0000-0000-000057920000}"/>
    <cellStyle name="Normal 3 36 7 10" xfId="37473" xr:uid="{00000000-0005-0000-0000-000058920000}"/>
    <cellStyle name="Normal 3 36 7 10 2" xfId="37474" xr:uid="{00000000-0005-0000-0000-000059920000}"/>
    <cellStyle name="Normal 3 36 7 10 3" xfId="37475" xr:uid="{00000000-0005-0000-0000-00005A920000}"/>
    <cellStyle name="Normal 3 36 7 11" xfId="37476" xr:uid="{00000000-0005-0000-0000-00005B920000}"/>
    <cellStyle name="Normal 3 36 7 11 2" xfId="37477" xr:uid="{00000000-0005-0000-0000-00005C920000}"/>
    <cellStyle name="Normal 3 36 7 11 3" xfId="37478" xr:uid="{00000000-0005-0000-0000-00005D920000}"/>
    <cellStyle name="Normal 3 36 7 12" xfId="37479" xr:uid="{00000000-0005-0000-0000-00005E920000}"/>
    <cellStyle name="Normal 3 36 7 12 2" xfId="37480" xr:uid="{00000000-0005-0000-0000-00005F920000}"/>
    <cellStyle name="Normal 3 36 7 12 3" xfId="37481" xr:uid="{00000000-0005-0000-0000-000060920000}"/>
    <cellStyle name="Normal 3 36 7 13" xfId="37482" xr:uid="{00000000-0005-0000-0000-000061920000}"/>
    <cellStyle name="Normal 3 36 7 13 2" xfId="37483" xr:uid="{00000000-0005-0000-0000-000062920000}"/>
    <cellStyle name="Normal 3 36 7 13 3" xfId="37484" xr:uid="{00000000-0005-0000-0000-000063920000}"/>
    <cellStyle name="Normal 3 36 7 14" xfId="37485" xr:uid="{00000000-0005-0000-0000-000064920000}"/>
    <cellStyle name="Normal 3 36 7 14 2" xfId="37486" xr:uid="{00000000-0005-0000-0000-000065920000}"/>
    <cellStyle name="Normal 3 36 7 14 3" xfId="37487" xr:uid="{00000000-0005-0000-0000-000066920000}"/>
    <cellStyle name="Normal 3 36 7 15" xfId="37488" xr:uid="{00000000-0005-0000-0000-000067920000}"/>
    <cellStyle name="Normal 3 36 7 16" xfId="37489" xr:uid="{00000000-0005-0000-0000-000068920000}"/>
    <cellStyle name="Normal 3 36 7 2" xfId="37490" xr:uid="{00000000-0005-0000-0000-000069920000}"/>
    <cellStyle name="Normal 3 36 7 2 2" xfId="37491" xr:uid="{00000000-0005-0000-0000-00006A920000}"/>
    <cellStyle name="Normal 3 36 7 2 3" xfId="37492" xr:uid="{00000000-0005-0000-0000-00006B920000}"/>
    <cellStyle name="Normal 3 36 7 3" xfId="37493" xr:uid="{00000000-0005-0000-0000-00006C920000}"/>
    <cellStyle name="Normal 3 36 7 3 2" xfId="37494" xr:uid="{00000000-0005-0000-0000-00006D920000}"/>
    <cellStyle name="Normal 3 36 7 3 3" xfId="37495" xr:uid="{00000000-0005-0000-0000-00006E920000}"/>
    <cellStyle name="Normal 3 36 7 4" xfId="37496" xr:uid="{00000000-0005-0000-0000-00006F920000}"/>
    <cellStyle name="Normal 3 36 7 4 2" xfId="37497" xr:uid="{00000000-0005-0000-0000-000070920000}"/>
    <cellStyle name="Normal 3 36 7 4 3" xfId="37498" xr:uid="{00000000-0005-0000-0000-000071920000}"/>
    <cellStyle name="Normal 3 36 7 5" xfId="37499" xr:uid="{00000000-0005-0000-0000-000072920000}"/>
    <cellStyle name="Normal 3 36 7 5 2" xfId="37500" xr:uid="{00000000-0005-0000-0000-000073920000}"/>
    <cellStyle name="Normal 3 36 7 5 3" xfId="37501" xr:uid="{00000000-0005-0000-0000-000074920000}"/>
    <cellStyle name="Normal 3 36 7 6" xfId="37502" xr:uid="{00000000-0005-0000-0000-000075920000}"/>
    <cellStyle name="Normal 3 36 7 6 2" xfId="37503" xr:uid="{00000000-0005-0000-0000-000076920000}"/>
    <cellStyle name="Normal 3 36 7 6 3" xfId="37504" xr:uid="{00000000-0005-0000-0000-000077920000}"/>
    <cellStyle name="Normal 3 36 7 7" xfId="37505" xr:uid="{00000000-0005-0000-0000-000078920000}"/>
    <cellStyle name="Normal 3 36 7 7 2" xfId="37506" xr:uid="{00000000-0005-0000-0000-000079920000}"/>
    <cellStyle name="Normal 3 36 7 7 3" xfId="37507" xr:uid="{00000000-0005-0000-0000-00007A920000}"/>
    <cellStyle name="Normal 3 36 7 8" xfId="37508" xr:uid="{00000000-0005-0000-0000-00007B920000}"/>
    <cellStyle name="Normal 3 36 7 8 2" xfId="37509" xr:uid="{00000000-0005-0000-0000-00007C920000}"/>
    <cellStyle name="Normal 3 36 7 8 3" xfId="37510" xr:uid="{00000000-0005-0000-0000-00007D920000}"/>
    <cellStyle name="Normal 3 36 7 9" xfId="37511" xr:uid="{00000000-0005-0000-0000-00007E920000}"/>
    <cellStyle name="Normal 3 36 7 9 2" xfId="37512" xr:uid="{00000000-0005-0000-0000-00007F920000}"/>
    <cellStyle name="Normal 3 36 7 9 3" xfId="37513" xr:uid="{00000000-0005-0000-0000-000080920000}"/>
    <cellStyle name="Normal 3 36 8" xfId="37514" xr:uid="{00000000-0005-0000-0000-000081920000}"/>
    <cellStyle name="Normal 3 36 8 10" xfId="37515" xr:uid="{00000000-0005-0000-0000-000082920000}"/>
    <cellStyle name="Normal 3 36 8 10 2" xfId="37516" xr:uid="{00000000-0005-0000-0000-000083920000}"/>
    <cellStyle name="Normal 3 36 8 10 3" xfId="37517" xr:uid="{00000000-0005-0000-0000-000084920000}"/>
    <cellStyle name="Normal 3 36 8 11" xfId="37518" xr:uid="{00000000-0005-0000-0000-000085920000}"/>
    <cellStyle name="Normal 3 36 8 11 2" xfId="37519" xr:uid="{00000000-0005-0000-0000-000086920000}"/>
    <cellStyle name="Normal 3 36 8 11 3" xfId="37520" xr:uid="{00000000-0005-0000-0000-000087920000}"/>
    <cellStyle name="Normal 3 36 8 12" xfId="37521" xr:uid="{00000000-0005-0000-0000-000088920000}"/>
    <cellStyle name="Normal 3 36 8 12 2" xfId="37522" xr:uid="{00000000-0005-0000-0000-000089920000}"/>
    <cellStyle name="Normal 3 36 8 12 3" xfId="37523" xr:uid="{00000000-0005-0000-0000-00008A920000}"/>
    <cellStyle name="Normal 3 36 8 13" xfId="37524" xr:uid="{00000000-0005-0000-0000-00008B920000}"/>
    <cellStyle name="Normal 3 36 8 13 2" xfId="37525" xr:uid="{00000000-0005-0000-0000-00008C920000}"/>
    <cellStyle name="Normal 3 36 8 13 3" xfId="37526" xr:uid="{00000000-0005-0000-0000-00008D920000}"/>
    <cellStyle name="Normal 3 36 8 14" xfId="37527" xr:uid="{00000000-0005-0000-0000-00008E920000}"/>
    <cellStyle name="Normal 3 36 8 14 2" xfId="37528" xr:uid="{00000000-0005-0000-0000-00008F920000}"/>
    <cellStyle name="Normal 3 36 8 14 3" xfId="37529" xr:uid="{00000000-0005-0000-0000-000090920000}"/>
    <cellStyle name="Normal 3 36 8 15" xfId="37530" xr:uid="{00000000-0005-0000-0000-000091920000}"/>
    <cellStyle name="Normal 3 36 8 16" xfId="37531" xr:uid="{00000000-0005-0000-0000-000092920000}"/>
    <cellStyle name="Normal 3 36 8 2" xfId="37532" xr:uid="{00000000-0005-0000-0000-000093920000}"/>
    <cellStyle name="Normal 3 36 8 2 2" xfId="37533" xr:uid="{00000000-0005-0000-0000-000094920000}"/>
    <cellStyle name="Normal 3 36 8 2 3" xfId="37534" xr:uid="{00000000-0005-0000-0000-000095920000}"/>
    <cellStyle name="Normal 3 36 8 3" xfId="37535" xr:uid="{00000000-0005-0000-0000-000096920000}"/>
    <cellStyle name="Normal 3 36 8 3 2" xfId="37536" xr:uid="{00000000-0005-0000-0000-000097920000}"/>
    <cellStyle name="Normal 3 36 8 3 3" xfId="37537" xr:uid="{00000000-0005-0000-0000-000098920000}"/>
    <cellStyle name="Normal 3 36 8 4" xfId="37538" xr:uid="{00000000-0005-0000-0000-000099920000}"/>
    <cellStyle name="Normal 3 36 8 4 2" xfId="37539" xr:uid="{00000000-0005-0000-0000-00009A920000}"/>
    <cellStyle name="Normal 3 36 8 4 3" xfId="37540" xr:uid="{00000000-0005-0000-0000-00009B920000}"/>
    <cellStyle name="Normal 3 36 8 5" xfId="37541" xr:uid="{00000000-0005-0000-0000-00009C920000}"/>
    <cellStyle name="Normal 3 36 8 5 2" xfId="37542" xr:uid="{00000000-0005-0000-0000-00009D920000}"/>
    <cellStyle name="Normal 3 36 8 5 3" xfId="37543" xr:uid="{00000000-0005-0000-0000-00009E920000}"/>
    <cellStyle name="Normal 3 36 8 6" xfId="37544" xr:uid="{00000000-0005-0000-0000-00009F920000}"/>
    <cellStyle name="Normal 3 36 8 6 2" xfId="37545" xr:uid="{00000000-0005-0000-0000-0000A0920000}"/>
    <cellStyle name="Normal 3 36 8 6 3" xfId="37546" xr:uid="{00000000-0005-0000-0000-0000A1920000}"/>
    <cellStyle name="Normal 3 36 8 7" xfId="37547" xr:uid="{00000000-0005-0000-0000-0000A2920000}"/>
    <cellStyle name="Normal 3 36 8 7 2" xfId="37548" xr:uid="{00000000-0005-0000-0000-0000A3920000}"/>
    <cellStyle name="Normal 3 36 8 7 3" xfId="37549" xr:uid="{00000000-0005-0000-0000-0000A4920000}"/>
    <cellStyle name="Normal 3 36 8 8" xfId="37550" xr:uid="{00000000-0005-0000-0000-0000A5920000}"/>
    <cellStyle name="Normal 3 36 8 8 2" xfId="37551" xr:uid="{00000000-0005-0000-0000-0000A6920000}"/>
    <cellStyle name="Normal 3 36 8 8 3" xfId="37552" xr:uid="{00000000-0005-0000-0000-0000A7920000}"/>
    <cellStyle name="Normal 3 36 8 9" xfId="37553" xr:uid="{00000000-0005-0000-0000-0000A8920000}"/>
    <cellStyle name="Normal 3 36 8 9 2" xfId="37554" xr:uid="{00000000-0005-0000-0000-0000A9920000}"/>
    <cellStyle name="Normal 3 36 8 9 3" xfId="37555" xr:uid="{00000000-0005-0000-0000-0000AA920000}"/>
    <cellStyle name="Normal 3 36 9" xfId="37556" xr:uid="{00000000-0005-0000-0000-0000AB920000}"/>
    <cellStyle name="Normal 3 36 9 10" xfId="37557" xr:uid="{00000000-0005-0000-0000-0000AC920000}"/>
    <cellStyle name="Normal 3 36 9 10 2" xfId="37558" xr:uid="{00000000-0005-0000-0000-0000AD920000}"/>
    <cellStyle name="Normal 3 36 9 10 3" xfId="37559" xr:uid="{00000000-0005-0000-0000-0000AE920000}"/>
    <cellStyle name="Normal 3 36 9 11" xfId="37560" xr:uid="{00000000-0005-0000-0000-0000AF920000}"/>
    <cellStyle name="Normal 3 36 9 11 2" xfId="37561" xr:uid="{00000000-0005-0000-0000-0000B0920000}"/>
    <cellStyle name="Normal 3 36 9 11 3" xfId="37562" xr:uid="{00000000-0005-0000-0000-0000B1920000}"/>
    <cellStyle name="Normal 3 36 9 12" xfId="37563" xr:uid="{00000000-0005-0000-0000-0000B2920000}"/>
    <cellStyle name="Normal 3 36 9 12 2" xfId="37564" xr:uid="{00000000-0005-0000-0000-0000B3920000}"/>
    <cellStyle name="Normal 3 36 9 12 3" xfId="37565" xr:uid="{00000000-0005-0000-0000-0000B4920000}"/>
    <cellStyle name="Normal 3 36 9 13" xfId="37566" xr:uid="{00000000-0005-0000-0000-0000B5920000}"/>
    <cellStyle name="Normal 3 36 9 13 2" xfId="37567" xr:uid="{00000000-0005-0000-0000-0000B6920000}"/>
    <cellStyle name="Normal 3 36 9 13 3" xfId="37568" xr:uid="{00000000-0005-0000-0000-0000B7920000}"/>
    <cellStyle name="Normal 3 36 9 14" xfId="37569" xr:uid="{00000000-0005-0000-0000-0000B8920000}"/>
    <cellStyle name="Normal 3 36 9 14 2" xfId="37570" xr:uid="{00000000-0005-0000-0000-0000B9920000}"/>
    <cellStyle name="Normal 3 36 9 14 3" xfId="37571" xr:uid="{00000000-0005-0000-0000-0000BA920000}"/>
    <cellStyle name="Normal 3 36 9 15" xfId="37572" xr:uid="{00000000-0005-0000-0000-0000BB920000}"/>
    <cellStyle name="Normal 3 36 9 16" xfId="37573" xr:uid="{00000000-0005-0000-0000-0000BC920000}"/>
    <cellStyle name="Normal 3 36 9 2" xfId="37574" xr:uid="{00000000-0005-0000-0000-0000BD920000}"/>
    <cellStyle name="Normal 3 36 9 2 2" xfId="37575" xr:uid="{00000000-0005-0000-0000-0000BE920000}"/>
    <cellStyle name="Normal 3 36 9 2 3" xfId="37576" xr:uid="{00000000-0005-0000-0000-0000BF920000}"/>
    <cellStyle name="Normal 3 36 9 3" xfId="37577" xr:uid="{00000000-0005-0000-0000-0000C0920000}"/>
    <cellStyle name="Normal 3 36 9 3 2" xfId="37578" xr:uid="{00000000-0005-0000-0000-0000C1920000}"/>
    <cellStyle name="Normal 3 36 9 3 3" xfId="37579" xr:uid="{00000000-0005-0000-0000-0000C2920000}"/>
    <cellStyle name="Normal 3 36 9 4" xfId="37580" xr:uid="{00000000-0005-0000-0000-0000C3920000}"/>
    <cellStyle name="Normal 3 36 9 4 2" xfId="37581" xr:uid="{00000000-0005-0000-0000-0000C4920000}"/>
    <cellStyle name="Normal 3 36 9 4 3" xfId="37582" xr:uid="{00000000-0005-0000-0000-0000C5920000}"/>
    <cellStyle name="Normal 3 36 9 5" xfId="37583" xr:uid="{00000000-0005-0000-0000-0000C6920000}"/>
    <cellStyle name="Normal 3 36 9 5 2" xfId="37584" xr:uid="{00000000-0005-0000-0000-0000C7920000}"/>
    <cellStyle name="Normal 3 36 9 5 3" xfId="37585" xr:uid="{00000000-0005-0000-0000-0000C8920000}"/>
    <cellStyle name="Normal 3 36 9 6" xfId="37586" xr:uid="{00000000-0005-0000-0000-0000C9920000}"/>
    <cellStyle name="Normal 3 36 9 6 2" xfId="37587" xr:uid="{00000000-0005-0000-0000-0000CA920000}"/>
    <cellStyle name="Normal 3 36 9 6 3" xfId="37588" xr:uid="{00000000-0005-0000-0000-0000CB920000}"/>
    <cellStyle name="Normal 3 36 9 7" xfId="37589" xr:uid="{00000000-0005-0000-0000-0000CC920000}"/>
    <cellStyle name="Normal 3 36 9 7 2" xfId="37590" xr:uid="{00000000-0005-0000-0000-0000CD920000}"/>
    <cellStyle name="Normal 3 36 9 7 3" xfId="37591" xr:uid="{00000000-0005-0000-0000-0000CE920000}"/>
    <cellStyle name="Normal 3 36 9 8" xfId="37592" xr:uid="{00000000-0005-0000-0000-0000CF920000}"/>
    <cellStyle name="Normal 3 36 9 8 2" xfId="37593" xr:uid="{00000000-0005-0000-0000-0000D0920000}"/>
    <cellStyle name="Normal 3 36 9 8 3" xfId="37594" xr:uid="{00000000-0005-0000-0000-0000D1920000}"/>
    <cellStyle name="Normal 3 36 9 9" xfId="37595" xr:uid="{00000000-0005-0000-0000-0000D2920000}"/>
    <cellStyle name="Normal 3 36 9 9 2" xfId="37596" xr:uid="{00000000-0005-0000-0000-0000D3920000}"/>
    <cellStyle name="Normal 3 36 9 9 3" xfId="37597" xr:uid="{00000000-0005-0000-0000-0000D4920000}"/>
    <cellStyle name="Normal 3 37" xfId="37598" xr:uid="{00000000-0005-0000-0000-0000D5920000}"/>
    <cellStyle name="Normal 3 37 10" xfId="37599" xr:uid="{00000000-0005-0000-0000-0000D6920000}"/>
    <cellStyle name="Normal 3 37 10 10" xfId="37600" xr:uid="{00000000-0005-0000-0000-0000D7920000}"/>
    <cellStyle name="Normal 3 37 10 10 2" xfId="37601" xr:uid="{00000000-0005-0000-0000-0000D8920000}"/>
    <cellStyle name="Normal 3 37 10 10 3" xfId="37602" xr:uid="{00000000-0005-0000-0000-0000D9920000}"/>
    <cellStyle name="Normal 3 37 10 11" xfId="37603" xr:uid="{00000000-0005-0000-0000-0000DA920000}"/>
    <cellStyle name="Normal 3 37 10 11 2" xfId="37604" xr:uid="{00000000-0005-0000-0000-0000DB920000}"/>
    <cellStyle name="Normal 3 37 10 11 3" xfId="37605" xr:uid="{00000000-0005-0000-0000-0000DC920000}"/>
    <cellStyle name="Normal 3 37 10 12" xfId="37606" xr:uid="{00000000-0005-0000-0000-0000DD920000}"/>
    <cellStyle name="Normal 3 37 10 12 2" xfId="37607" xr:uid="{00000000-0005-0000-0000-0000DE920000}"/>
    <cellStyle name="Normal 3 37 10 12 3" xfId="37608" xr:uid="{00000000-0005-0000-0000-0000DF920000}"/>
    <cellStyle name="Normal 3 37 10 13" xfId="37609" xr:uid="{00000000-0005-0000-0000-0000E0920000}"/>
    <cellStyle name="Normal 3 37 10 13 2" xfId="37610" xr:uid="{00000000-0005-0000-0000-0000E1920000}"/>
    <cellStyle name="Normal 3 37 10 13 3" xfId="37611" xr:uid="{00000000-0005-0000-0000-0000E2920000}"/>
    <cellStyle name="Normal 3 37 10 14" xfId="37612" xr:uid="{00000000-0005-0000-0000-0000E3920000}"/>
    <cellStyle name="Normal 3 37 10 14 2" xfId="37613" xr:uid="{00000000-0005-0000-0000-0000E4920000}"/>
    <cellStyle name="Normal 3 37 10 14 3" xfId="37614" xr:uid="{00000000-0005-0000-0000-0000E5920000}"/>
    <cellStyle name="Normal 3 37 10 15" xfId="37615" xr:uid="{00000000-0005-0000-0000-0000E6920000}"/>
    <cellStyle name="Normal 3 37 10 16" xfId="37616" xr:uid="{00000000-0005-0000-0000-0000E7920000}"/>
    <cellStyle name="Normal 3 37 10 2" xfId="37617" xr:uid="{00000000-0005-0000-0000-0000E8920000}"/>
    <cellStyle name="Normal 3 37 10 2 2" xfId="37618" xr:uid="{00000000-0005-0000-0000-0000E9920000}"/>
    <cellStyle name="Normal 3 37 10 2 3" xfId="37619" xr:uid="{00000000-0005-0000-0000-0000EA920000}"/>
    <cellStyle name="Normal 3 37 10 3" xfId="37620" xr:uid="{00000000-0005-0000-0000-0000EB920000}"/>
    <cellStyle name="Normal 3 37 10 3 2" xfId="37621" xr:uid="{00000000-0005-0000-0000-0000EC920000}"/>
    <cellStyle name="Normal 3 37 10 3 3" xfId="37622" xr:uid="{00000000-0005-0000-0000-0000ED920000}"/>
    <cellStyle name="Normal 3 37 10 4" xfId="37623" xr:uid="{00000000-0005-0000-0000-0000EE920000}"/>
    <cellStyle name="Normal 3 37 10 4 2" xfId="37624" xr:uid="{00000000-0005-0000-0000-0000EF920000}"/>
    <cellStyle name="Normal 3 37 10 4 3" xfId="37625" xr:uid="{00000000-0005-0000-0000-0000F0920000}"/>
    <cellStyle name="Normal 3 37 10 5" xfId="37626" xr:uid="{00000000-0005-0000-0000-0000F1920000}"/>
    <cellStyle name="Normal 3 37 10 5 2" xfId="37627" xr:uid="{00000000-0005-0000-0000-0000F2920000}"/>
    <cellStyle name="Normal 3 37 10 5 3" xfId="37628" xr:uid="{00000000-0005-0000-0000-0000F3920000}"/>
    <cellStyle name="Normal 3 37 10 6" xfId="37629" xr:uid="{00000000-0005-0000-0000-0000F4920000}"/>
    <cellStyle name="Normal 3 37 10 6 2" xfId="37630" xr:uid="{00000000-0005-0000-0000-0000F5920000}"/>
    <cellStyle name="Normal 3 37 10 6 3" xfId="37631" xr:uid="{00000000-0005-0000-0000-0000F6920000}"/>
    <cellStyle name="Normal 3 37 10 7" xfId="37632" xr:uid="{00000000-0005-0000-0000-0000F7920000}"/>
    <cellStyle name="Normal 3 37 10 7 2" xfId="37633" xr:uid="{00000000-0005-0000-0000-0000F8920000}"/>
    <cellStyle name="Normal 3 37 10 7 3" xfId="37634" xr:uid="{00000000-0005-0000-0000-0000F9920000}"/>
    <cellStyle name="Normal 3 37 10 8" xfId="37635" xr:uid="{00000000-0005-0000-0000-0000FA920000}"/>
    <cellStyle name="Normal 3 37 10 8 2" xfId="37636" xr:uid="{00000000-0005-0000-0000-0000FB920000}"/>
    <cellStyle name="Normal 3 37 10 8 3" xfId="37637" xr:uid="{00000000-0005-0000-0000-0000FC920000}"/>
    <cellStyle name="Normal 3 37 10 9" xfId="37638" xr:uid="{00000000-0005-0000-0000-0000FD920000}"/>
    <cellStyle name="Normal 3 37 10 9 2" xfId="37639" xr:uid="{00000000-0005-0000-0000-0000FE920000}"/>
    <cellStyle name="Normal 3 37 10 9 3" xfId="37640" xr:uid="{00000000-0005-0000-0000-0000FF920000}"/>
    <cellStyle name="Normal 3 37 11" xfId="37641" xr:uid="{00000000-0005-0000-0000-000000930000}"/>
    <cellStyle name="Normal 3 37 11 2" xfId="37642" xr:uid="{00000000-0005-0000-0000-000001930000}"/>
    <cellStyle name="Normal 3 37 11 3" xfId="37643" xr:uid="{00000000-0005-0000-0000-000002930000}"/>
    <cellStyle name="Normal 3 37 12" xfId="37644" xr:uid="{00000000-0005-0000-0000-000003930000}"/>
    <cellStyle name="Normal 3 37 12 2" xfId="37645" xr:uid="{00000000-0005-0000-0000-000004930000}"/>
    <cellStyle name="Normal 3 37 12 3" xfId="37646" xr:uid="{00000000-0005-0000-0000-000005930000}"/>
    <cellStyle name="Normal 3 37 13" xfId="37647" xr:uid="{00000000-0005-0000-0000-000006930000}"/>
    <cellStyle name="Normal 3 37 13 2" xfId="37648" xr:uid="{00000000-0005-0000-0000-000007930000}"/>
    <cellStyle name="Normal 3 37 13 3" xfId="37649" xr:uid="{00000000-0005-0000-0000-000008930000}"/>
    <cellStyle name="Normal 3 37 14" xfId="37650" xr:uid="{00000000-0005-0000-0000-000009930000}"/>
    <cellStyle name="Normal 3 37 14 2" xfId="37651" xr:uid="{00000000-0005-0000-0000-00000A930000}"/>
    <cellStyle name="Normal 3 37 14 3" xfId="37652" xr:uid="{00000000-0005-0000-0000-00000B930000}"/>
    <cellStyle name="Normal 3 37 15" xfId="37653" xr:uid="{00000000-0005-0000-0000-00000C930000}"/>
    <cellStyle name="Normal 3 37 15 2" xfId="37654" xr:uid="{00000000-0005-0000-0000-00000D930000}"/>
    <cellStyle name="Normal 3 37 15 3" xfId="37655" xr:uid="{00000000-0005-0000-0000-00000E930000}"/>
    <cellStyle name="Normal 3 37 16" xfId="37656" xr:uid="{00000000-0005-0000-0000-00000F930000}"/>
    <cellStyle name="Normal 3 37 16 2" xfId="37657" xr:uid="{00000000-0005-0000-0000-000010930000}"/>
    <cellStyle name="Normal 3 37 16 3" xfId="37658" xr:uid="{00000000-0005-0000-0000-000011930000}"/>
    <cellStyle name="Normal 3 37 17" xfId="37659" xr:uid="{00000000-0005-0000-0000-000012930000}"/>
    <cellStyle name="Normal 3 37 17 2" xfId="37660" xr:uid="{00000000-0005-0000-0000-000013930000}"/>
    <cellStyle name="Normal 3 37 17 3" xfId="37661" xr:uid="{00000000-0005-0000-0000-000014930000}"/>
    <cellStyle name="Normal 3 37 18" xfId="37662" xr:uid="{00000000-0005-0000-0000-000015930000}"/>
    <cellStyle name="Normal 3 37 18 2" xfId="37663" xr:uid="{00000000-0005-0000-0000-000016930000}"/>
    <cellStyle name="Normal 3 37 18 3" xfId="37664" xr:uid="{00000000-0005-0000-0000-000017930000}"/>
    <cellStyle name="Normal 3 37 19" xfId="37665" xr:uid="{00000000-0005-0000-0000-000018930000}"/>
    <cellStyle name="Normal 3 37 19 2" xfId="37666" xr:uid="{00000000-0005-0000-0000-000019930000}"/>
    <cellStyle name="Normal 3 37 19 3" xfId="37667" xr:uid="{00000000-0005-0000-0000-00001A930000}"/>
    <cellStyle name="Normal 3 37 2" xfId="37668" xr:uid="{00000000-0005-0000-0000-00001B930000}"/>
    <cellStyle name="Normal 3 37 2 10" xfId="37669" xr:uid="{00000000-0005-0000-0000-00001C930000}"/>
    <cellStyle name="Normal 3 37 2 10 2" xfId="37670" xr:uid="{00000000-0005-0000-0000-00001D930000}"/>
    <cellStyle name="Normal 3 37 2 10 3" xfId="37671" xr:uid="{00000000-0005-0000-0000-00001E930000}"/>
    <cellStyle name="Normal 3 37 2 11" xfId="37672" xr:uid="{00000000-0005-0000-0000-00001F930000}"/>
    <cellStyle name="Normal 3 37 2 11 2" xfId="37673" xr:uid="{00000000-0005-0000-0000-000020930000}"/>
    <cellStyle name="Normal 3 37 2 11 3" xfId="37674" xr:uid="{00000000-0005-0000-0000-000021930000}"/>
    <cellStyle name="Normal 3 37 2 12" xfId="37675" xr:uid="{00000000-0005-0000-0000-000022930000}"/>
    <cellStyle name="Normal 3 37 2 12 2" xfId="37676" xr:uid="{00000000-0005-0000-0000-000023930000}"/>
    <cellStyle name="Normal 3 37 2 12 3" xfId="37677" xr:uid="{00000000-0005-0000-0000-000024930000}"/>
    <cellStyle name="Normal 3 37 2 13" xfId="37678" xr:uid="{00000000-0005-0000-0000-000025930000}"/>
    <cellStyle name="Normal 3 37 2 13 2" xfId="37679" xr:uid="{00000000-0005-0000-0000-000026930000}"/>
    <cellStyle name="Normal 3 37 2 13 3" xfId="37680" xr:uid="{00000000-0005-0000-0000-000027930000}"/>
    <cellStyle name="Normal 3 37 2 14" xfId="37681" xr:uid="{00000000-0005-0000-0000-000028930000}"/>
    <cellStyle name="Normal 3 37 2 14 2" xfId="37682" xr:uid="{00000000-0005-0000-0000-000029930000}"/>
    <cellStyle name="Normal 3 37 2 14 3" xfId="37683" xr:uid="{00000000-0005-0000-0000-00002A930000}"/>
    <cellStyle name="Normal 3 37 2 15" xfId="37684" xr:uid="{00000000-0005-0000-0000-00002B930000}"/>
    <cellStyle name="Normal 3 37 2 15 2" xfId="37685" xr:uid="{00000000-0005-0000-0000-00002C930000}"/>
    <cellStyle name="Normal 3 37 2 15 3" xfId="37686" xr:uid="{00000000-0005-0000-0000-00002D930000}"/>
    <cellStyle name="Normal 3 37 2 16" xfId="37687" xr:uid="{00000000-0005-0000-0000-00002E930000}"/>
    <cellStyle name="Normal 3 37 2 17" xfId="37688" xr:uid="{00000000-0005-0000-0000-00002F930000}"/>
    <cellStyle name="Normal 3 37 2 2" xfId="37689" xr:uid="{00000000-0005-0000-0000-000030930000}"/>
    <cellStyle name="Normal 3 37 2 2 10" xfId="37690" xr:uid="{00000000-0005-0000-0000-000031930000}"/>
    <cellStyle name="Normal 3 37 2 2 10 2" xfId="37691" xr:uid="{00000000-0005-0000-0000-000032930000}"/>
    <cellStyle name="Normal 3 37 2 2 10 3" xfId="37692" xr:uid="{00000000-0005-0000-0000-000033930000}"/>
    <cellStyle name="Normal 3 37 2 2 11" xfId="37693" xr:uid="{00000000-0005-0000-0000-000034930000}"/>
    <cellStyle name="Normal 3 37 2 2 11 2" xfId="37694" xr:uid="{00000000-0005-0000-0000-000035930000}"/>
    <cellStyle name="Normal 3 37 2 2 11 3" xfId="37695" xr:uid="{00000000-0005-0000-0000-000036930000}"/>
    <cellStyle name="Normal 3 37 2 2 12" xfId="37696" xr:uid="{00000000-0005-0000-0000-000037930000}"/>
    <cellStyle name="Normal 3 37 2 2 12 2" xfId="37697" xr:uid="{00000000-0005-0000-0000-000038930000}"/>
    <cellStyle name="Normal 3 37 2 2 12 3" xfId="37698" xr:uid="{00000000-0005-0000-0000-000039930000}"/>
    <cellStyle name="Normal 3 37 2 2 13" xfId="37699" xr:uid="{00000000-0005-0000-0000-00003A930000}"/>
    <cellStyle name="Normal 3 37 2 2 13 2" xfId="37700" xr:uid="{00000000-0005-0000-0000-00003B930000}"/>
    <cellStyle name="Normal 3 37 2 2 13 3" xfId="37701" xr:uid="{00000000-0005-0000-0000-00003C930000}"/>
    <cellStyle name="Normal 3 37 2 2 14" xfId="37702" xr:uid="{00000000-0005-0000-0000-00003D930000}"/>
    <cellStyle name="Normal 3 37 2 2 14 2" xfId="37703" xr:uid="{00000000-0005-0000-0000-00003E930000}"/>
    <cellStyle name="Normal 3 37 2 2 14 3" xfId="37704" xr:uid="{00000000-0005-0000-0000-00003F930000}"/>
    <cellStyle name="Normal 3 37 2 2 15" xfId="37705" xr:uid="{00000000-0005-0000-0000-000040930000}"/>
    <cellStyle name="Normal 3 37 2 2 16" xfId="37706" xr:uid="{00000000-0005-0000-0000-000041930000}"/>
    <cellStyle name="Normal 3 37 2 2 2" xfId="37707" xr:uid="{00000000-0005-0000-0000-000042930000}"/>
    <cellStyle name="Normal 3 37 2 2 2 2" xfId="37708" xr:uid="{00000000-0005-0000-0000-000043930000}"/>
    <cellStyle name="Normal 3 37 2 2 2 3" xfId="37709" xr:uid="{00000000-0005-0000-0000-000044930000}"/>
    <cellStyle name="Normal 3 37 2 2 3" xfId="37710" xr:uid="{00000000-0005-0000-0000-000045930000}"/>
    <cellStyle name="Normal 3 37 2 2 3 2" xfId="37711" xr:uid="{00000000-0005-0000-0000-000046930000}"/>
    <cellStyle name="Normal 3 37 2 2 3 3" xfId="37712" xr:uid="{00000000-0005-0000-0000-000047930000}"/>
    <cellStyle name="Normal 3 37 2 2 4" xfId="37713" xr:uid="{00000000-0005-0000-0000-000048930000}"/>
    <cellStyle name="Normal 3 37 2 2 4 2" xfId="37714" xr:uid="{00000000-0005-0000-0000-000049930000}"/>
    <cellStyle name="Normal 3 37 2 2 4 3" xfId="37715" xr:uid="{00000000-0005-0000-0000-00004A930000}"/>
    <cellStyle name="Normal 3 37 2 2 5" xfId="37716" xr:uid="{00000000-0005-0000-0000-00004B930000}"/>
    <cellStyle name="Normal 3 37 2 2 5 2" xfId="37717" xr:uid="{00000000-0005-0000-0000-00004C930000}"/>
    <cellStyle name="Normal 3 37 2 2 5 3" xfId="37718" xr:uid="{00000000-0005-0000-0000-00004D930000}"/>
    <cellStyle name="Normal 3 37 2 2 6" xfId="37719" xr:uid="{00000000-0005-0000-0000-00004E930000}"/>
    <cellStyle name="Normal 3 37 2 2 6 2" xfId="37720" xr:uid="{00000000-0005-0000-0000-00004F930000}"/>
    <cellStyle name="Normal 3 37 2 2 6 3" xfId="37721" xr:uid="{00000000-0005-0000-0000-000050930000}"/>
    <cellStyle name="Normal 3 37 2 2 7" xfId="37722" xr:uid="{00000000-0005-0000-0000-000051930000}"/>
    <cellStyle name="Normal 3 37 2 2 7 2" xfId="37723" xr:uid="{00000000-0005-0000-0000-000052930000}"/>
    <cellStyle name="Normal 3 37 2 2 7 3" xfId="37724" xr:uid="{00000000-0005-0000-0000-000053930000}"/>
    <cellStyle name="Normal 3 37 2 2 8" xfId="37725" xr:uid="{00000000-0005-0000-0000-000054930000}"/>
    <cellStyle name="Normal 3 37 2 2 8 2" xfId="37726" xr:uid="{00000000-0005-0000-0000-000055930000}"/>
    <cellStyle name="Normal 3 37 2 2 8 3" xfId="37727" xr:uid="{00000000-0005-0000-0000-000056930000}"/>
    <cellStyle name="Normal 3 37 2 2 9" xfId="37728" xr:uid="{00000000-0005-0000-0000-000057930000}"/>
    <cellStyle name="Normal 3 37 2 2 9 2" xfId="37729" xr:uid="{00000000-0005-0000-0000-000058930000}"/>
    <cellStyle name="Normal 3 37 2 2 9 3" xfId="37730" xr:uid="{00000000-0005-0000-0000-000059930000}"/>
    <cellStyle name="Normal 3 37 2 3" xfId="37731" xr:uid="{00000000-0005-0000-0000-00005A930000}"/>
    <cellStyle name="Normal 3 37 2 3 2" xfId="37732" xr:uid="{00000000-0005-0000-0000-00005B930000}"/>
    <cellStyle name="Normal 3 37 2 3 3" xfId="37733" xr:uid="{00000000-0005-0000-0000-00005C930000}"/>
    <cellStyle name="Normal 3 37 2 4" xfId="37734" xr:uid="{00000000-0005-0000-0000-00005D930000}"/>
    <cellStyle name="Normal 3 37 2 4 2" xfId="37735" xr:uid="{00000000-0005-0000-0000-00005E930000}"/>
    <cellStyle name="Normal 3 37 2 4 3" xfId="37736" xr:uid="{00000000-0005-0000-0000-00005F930000}"/>
    <cellStyle name="Normal 3 37 2 5" xfId="37737" xr:uid="{00000000-0005-0000-0000-000060930000}"/>
    <cellStyle name="Normal 3 37 2 5 2" xfId="37738" xr:uid="{00000000-0005-0000-0000-000061930000}"/>
    <cellStyle name="Normal 3 37 2 5 3" xfId="37739" xr:uid="{00000000-0005-0000-0000-000062930000}"/>
    <cellStyle name="Normal 3 37 2 6" xfId="37740" xr:uid="{00000000-0005-0000-0000-000063930000}"/>
    <cellStyle name="Normal 3 37 2 6 2" xfId="37741" xr:uid="{00000000-0005-0000-0000-000064930000}"/>
    <cellStyle name="Normal 3 37 2 6 3" xfId="37742" xr:uid="{00000000-0005-0000-0000-000065930000}"/>
    <cellStyle name="Normal 3 37 2 7" xfId="37743" xr:uid="{00000000-0005-0000-0000-000066930000}"/>
    <cellStyle name="Normal 3 37 2 7 2" xfId="37744" xr:uid="{00000000-0005-0000-0000-000067930000}"/>
    <cellStyle name="Normal 3 37 2 7 3" xfId="37745" xr:uid="{00000000-0005-0000-0000-000068930000}"/>
    <cellStyle name="Normal 3 37 2 8" xfId="37746" xr:uid="{00000000-0005-0000-0000-000069930000}"/>
    <cellStyle name="Normal 3 37 2 8 2" xfId="37747" xr:uid="{00000000-0005-0000-0000-00006A930000}"/>
    <cellStyle name="Normal 3 37 2 8 3" xfId="37748" xr:uid="{00000000-0005-0000-0000-00006B930000}"/>
    <cellStyle name="Normal 3 37 2 9" xfId="37749" xr:uid="{00000000-0005-0000-0000-00006C930000}"/>
    <cellStyle name="Normal 3 37 2 9 2" xfId="37750" xr:uid="{00000000-0005-0000-0000-00006D930000}"/>
    <cellStyle name="Normal 3 37 2 9 3" xfId="37751" xr:uid="{00000000-0005-0000-0000-00006E930000}"/>
    <cellStyle name="Normal 3 37 20" xfId="37752" xr:uid="{00000000-0005-0000-0000-00006F930000}"/>
    <cellStyle name="Normal 3 37 20 2" xfId="37753" xr:uid="{00000000-0005-0000-0000-000070930000}"/>
    <cellStyle name="Normal 3 37 20 3" xfId="37754" xr:uid="{00000000-0005-0000-0000-000071930000}"/>
    <cellStyle name="Normal 3 37 21" xfId="37755" xr:uid="{00000000-0005-0000-0000-000072930000}"/>
    <cellStyle name="Normal 3 37 21 2" xfId="37756" xr:uid="{00000000-0005-0000-0000-000073930000}"/>
    <cellStyle name="Normal 3 37 21 3" xfId="37757" xr:uid="{00000000-0005-0000-0000-000074930000}"/>
    <cellStyle name="Normal 3 37 22" xfId="37758" xr:uid="{00000000-0005-0000-0000-000075930000}"/>
    <cellStyle name="Normal 3 37 22 2" xfId="37759" xr:uid="{00000000-0005-0000-0000-000076930000}"/>
    <cellStyle name="Normal 3 37 22 3" xfId="37760" xr:uid="{00000000-0005-0000-0000-000077930000}"/>
    <cellStyle name="Normal 3 37 23" xfId="37761" xr:uid="{00000000-0005-0000-0000-000078930000}"/>
    <cellStyle name="Normal 3 37 23 2" xfId="37762" xr:uid="{00000000-0005-0000-0000-000079930000}"/>
    <cellStyle name="Normal 3 37 23 3" xfId="37763" xr:uid="{00000000-0005-0000-0000-00007A930000}"/>
    <cellStyle name="Normal 3 37 24" xfId="37764" xr:uid="{00000000-0005-0000-0000-00007B930000}"/>
    <cellStyle name="Normal 3 37 25" xfId="37765" xr:uid="{00000000-0005-0000-0000-00007C930000}"/>
    <cellStyle name="Normal 3 37 3" xfId="37766" xr:uid="{00000000-0005-0000-0000-00007D930000}"/>
    <cellStyle name="Normal 3 37 3 10" xfId="37767" xr:uid="{00000000-0005-0000-0000-00007E930000}"/>
    <cellStyle name="Normal 3 37 3 10 2" xfId="37768" xr:uid="{00000000-0005-0000-0000-00007F930000}"/>
    <cellStyle name="Normal 3 37 3 10 3" xfId="37769" xr:uid="{00000000-0005-0000-0000-000080930000}"/>
    <cellStyle name="Normal 3 37 3 11" xfId="37770" xr:uid="{00000000-0005-0000-0000-000081930000}"/>
    <cellStyle name="Normal 3 37 3 11 2" xfId="37771" xr:uid="{00000000-0005-0000-0000-000082930000}"/>
    <cellStyle name="Normal 3 37 3 11 3" xfId="37772" xr:uid="{00000000-0005-0000-0000-000083930000}"/>
    <cellStyle name="Normal 3 37 3 12" xfId="37773" xr:uid="{00000000-0005-0000-0000-000084930000}"/>
    <cellStyle name="Normal 3 37 3 12 2" xfId="37774" xr:uid="{00000000-0005-0000-0000-000085930000}"/>
    <cellStyle name="Normal 3 37 3 12 3" xfId="37775" xr:uid="{00000000-0005-0000-0000-000086930000}"/>
    <cellStyle name="Normal 3 37 3 13" xfId="37776" xr:uid="{00000000-0005-0000-0000-000087930000}"/>
    <cellStyle name="Normal 3 37 3 13 2" xfId="37777" xr:uid="{00000000-0005-0000-0000-000088930000}"/>
    <cellStyle name="Normal 3 37 3 13 3" xfId="37778" xr:uid="{00000000-0005-0000-0000-000089930000}"/>
    <cellStyle name="Normal 3 37 3 14" xfId="37779" xr:uid="{00000000-0005-0000-0000-00008A930000}"/>
    <cellStyle name="Normal 3 37 3 14 2" xfId="37780" xr:uid="{00000000-0005-0000-0000-00008B930000}"/>
    <cellStyle name="Normal 3 37 3 14 3" xfId="37781" xr:uid="{00000000-0005-0000-0000-00008C930000}"/>
    <cellStyle name="Normal 3 37 3 15" xfId="37782" xr:uid="{00000000-0005-0000-0000-00008D930000}"/>
    <cellStyle name="Normal 3 37 3 15 2" xfId="37783" xr:uid="{00000000-0005-0000-0000-00008E930000}"/>
    <cellStyle name="Normal 3 37 3 15 3" xfId="37784" xr:uid="{00000000-0005-0000-0000-00008F930000}"/>
    <cellStyle name="Normal 3 37 3 16" xfId="37785" xr:uid="{00000000-0005-0000-0000-000090930000}"/>
    <cellStyle name="Normal 3 37 3 17" xfId="37786" xr:uid="{00000000-0005-0000-0000-000091930000}"/>
    <cellStyle name="Normal 3 37 3 2" xfId="37787" xr:uid="{00000000-0005-0000-0000-000092930000}"/>
    <cellStyle name="Normal 3 37 3 2 10" xfId="37788" xr:uid="{00000000-0005-0000-0000-000093930000}"/>
    <cellStyle name="Normal 3 37 3 2 10 2" xfId="37789" xr:uid="{00000000-0005-0000-0000-000094930000}"/>
    <cellStyle name="Normal 3 37 3 2 10 3" xfId="37790" xr:uid="{00000000-0005-0000-0000-000095930000}"/>
    <cellStyle name="Normal 3 37 3 2 11" xfId="37791" xr:uid="{00000000-0005-0000-0000-000096930000}"/>
    <cellStyle name="Normal 3 37 3 2 11 2" xfId="37792" xr:uid="{00000000-0005-0000-0000-000097930000}"/>
    <cellStyle name="Normal 3 37 3 2 11 3" xfId="37793" xr:uid="{00000000-0005-0000-0000-000098930000}"/>
    <cellStyle name="Normal 3 37 3 2 12" xfId="37794" xr:uid="{00000000-0005-0000-0000-000099930000}"/>
    <cellStyle name="Normal 3 37 3 2 12 2" xfId="37795" xr:uid="{00000000-0005-0000-0000-00009A930000}"/>
    <cellStyle name="Normal 3 37 3 2 12 3" xfId="37796" xr:uid="{00000000-0005-0000-0000-00009B930000}"/>
    <cellStyle name="Normal 3 37 3 2 13" xfId="37797" xr:uid="{00000000-0005-0000-0000-00009C930000}"/>
    <cellStyle name="Normal 3 37 3 2 13 2" xfId="37798" xr:uid="{00000000-0005-0000-0000-00009D930000}"/>
    <cellStyle name="Normal 3 37 3 2 13 3" xfId="37799" xr:uid="{00000000-0005-0000-0000-00009E930000}"/>
    <cellStyle name="Normal 3 37 3 2 14" xfId="37800" xr:uid="{00000000-0005-0000-0000-00009F930000}"/>
    <cellStyle name="Normal 3 37 3 2 14 2" xfId="37801" xr:uid="{00000000-0005-0000-0000-0000A0930000}"/>
    <cellStyle name="Normal 3 37 3 2 14 3" xfId="37802" xr:uid="{00000000-0005-0000-0000-0000A1930000}"/>
    <cellStyle name="Normal 3 37 3 2 15" xfId="37803" xr:uid="{00000000-0005-0000-0000-0000A2930000}"/>
    <cellStyle name="Normal 3 37 3 2 16" xfId="37804" xr:uid="{00000000-0005-0000-0000-0000A3930000}"/>
    <cellStyle name="Normal 3 37 3 2 2" xfId="37805" xr:uid="{00000000-0005-0000-0000-0000A4930000}"/>
    <cellStyle name="Normal 3 37 3 2 2 2" xfId="37806" xr:uid="{00000000-0005-0000-0000-0000A5930000}"/>
    <cellStyle name="Normal 3 37 3 2 2 3" xfId="37807" xr:uid="{00000000-0005-0000-0000-0000A6930000}"/>
    <cellStyle name="Normal 3 37 3 2 3" xfId="37808" xr:uid="{00000000-0005-0000-0000-0000A7930000}"/>
    <cellStyle name="Normal 3 37 3 2 3 2" xfId="37809" xr:uid="{00000000-0005-0000-0000-0000A8930000}"/>
    <cellStyle name="Normal 3 37 3 2 3 3" xfId="37810" xr:uid="{00000000-0005-0000-0000-0000A9930000}"/>
    <cellStyle name="Normal 3 37 3 2 4" xfId="37811" xr:uid="{00000000-0005-0000-0000-0000AA930000}"/>
    <cellStyle name="Normal 3 37 3 2 4 2" xfId="37812" xr:uid="{00000000-0005-0000-0000-0000AB930000}"/>
    <cellStyle name="Normal 3 37 3 2 4 3" xfId="37813" xr:uid="{00000000-0005-0000-0000-0000AC930000}"/>
    <cellStyle name="Normal 3 37 3 2 5" xfId="37814" xr:uid="{00000000-0005-0000-0000-0000AD930000}"/>
    <cellStyle name="Normal 3 37 3 2 5 2" xfId="37815" xr:uid="{00000000-0005-0000-0000-0000AE930000}"/>
    <cellStyle name="Normal 3 37 3 2 5 3" xfId="37816" xr:uid="{00000000-0005-0000-0000-0000AF930000}"/>
    <cellStyle name="Normal 3 37 3 2 6" xfId="37817" xr:uid="{00000000-0005-0000-0000-0000B0930000}"/>
    <cellStyle name="Normal 3 37 3 2 6 2" xfId="37818" xr:uid="{00000000-0005-0000-0000-0000B1930000}"/>
    <cellStyle name="Normal 3 37 3 2 6 3" xfId="37819" xr:uid="{00000000-0005-0000-0000-0000B2930000}"/>
    <cellStyle name="Normal 3 37 3 2 7" xfId="37820" xr:uid="{00000000-0005-0000-0000-0000B3930000}"/>
    <cellStyle name="Normal 3 37 3 2 7 2" xfId="37821" xr:uid="{00000000-0005-0000-0000-0000B4930000}"/>
    <cellStyle name="Normal 3 37 3 2 7 3" xfId="37822" xr:uid="{00000000-0005-0000-0000-0000B5930000}"/>
    <cellStyle name="Normal 3 37 3 2 8" xfId="37823" xr:uid="{00000000-0005-0000-0000-0000B6930000}"/>
    <cellStyle name="Normal 3 37 3 2 8 2" xfId="37824" xr:uid="{00000000-0005-0000-0000-0000B7930000}"/>
    <cellStyle name="Normal 3 37 3 2 8 3" xfId="37825" xr:uid="{00000000-0005-0000-0000-0000B8930000}"/>
    <cellStyle name="Normal 3 37 3 2 9" xfId="37826" xr:uid="{00000000-0005-0000-0000-0000B9930000}"/>
    <cellStyle name="Normal 3 37 3 2 9 2" xfId="37827" xr:uid="{00000000-0005-0000-0000-0000BA930000}"/>
    <cellStyle name="Normal 3 37 3 2 9 3" xfId="37828" xr:uid="{00000000-0005-0000-0000-0000BB930000}"/>
    <cellStyle name="Normal 3 37 3 3" xfId="37829" xr:uid="{00000000-0005-0000-0000-0000BC930000}"/>
    <cellStyle name="Normal 3 37 3 3 2" xfId="37830" xr:uid="{00000000-0005-0000-0000-0000BD930000}"/>
    <cellStyle name="Normal 3 37 3 3 3" xfId="37831" xr:uid="{00000000-0005-0000-0000-0000BE930000}"/>
    <cellStyle name="Normal 3 37 3 4" xfId="37832" xr:uid="{00000000-0005-0000-0000-0000BF930000}"/>
    <cellStyle name="Normal 3 37 3 4 2" xfId="37833" xr:uid="{00000000-0005-0000-0000-0000C0930000}"/>
    <cellStyle name="Normal 3 37 3 4 3" xfId="37834" xr:uid="{00000000-0005-0000-0000-0000C1930000}"/>
    <cellStyle name="Normal 3 37 3 5" xfId="37835" xr:uid="{00000000-0005-0000-0000-0000C2930000}"/>
    <cellStyle name="Normal 3 37 3 5 2" xfId="37836" xr:uid="{00000000-0005-0000-0000-0000C3930000}"/>
    <cellStyle name="Normal 3 37 3 5 3" xfId="37837" xr:uid="{00000000-0005-0000-0000-0000C4930000}"/>
    <cellStyle name="Normal 3 37 3 6" xfId="37838" xr:uid="{00000000-0005-0000-0000-0000C5930000}"/>
    <cellStyle name="Normal 3 37 3 6 2" xfId="37839" xr:uid="{00000000-0005-0000-0000-0000C6930000}"/>
    <cellStyle name="Normal 3 37 3 6 3" xfId="37840" xr:uid="{00000000-0005-0000-0000-0000C7930000}"/>
    <cellStyle name="Normal 3 37 3 7" xfId="37841" xr:uid="{00000000-0005-0000-0000-0000C8930000}"/>
    <cellStyle name="Normal 3 37 3 7 2" xfId="37842" xr:uid="{00000000-0005-0000-0000-0000C9930000}"/>
    <cellStyle name="Normal 3 37 3 7 3" xfId="37843" xr:uid="{00000000-0005-0000-0000-0000CA930000}"/>
    <cellStyle name="Normal 3 37 3 8" xfId="37844" xr:uid="{00000000-0005-0000-0000-0000CB930000}"/>
    <cellStyle name="Normal 3 37 3 8 2" xfId="37845" xr:uid="{00000000-0005-0000-0000-0000CC930000}"/>
    <cellStyle name="Normal 3 37 3 8 3" xfId="37846" xr:uid="{00000000-0005-0000-0000-0000CD930000}"/>
    <cellStyle name="Normal 3 37 3 9" xfId="37847" xr:uid="{00000000-0005-0000-0000-0000CE930000}"/>
    <cellStyle name="Normal 3 37 3 9 2" xfId="37848" xr:uid="{00000000-0005-0000-0000-0000CF930000}"/>
    <cellStyle name="Normal 3 37 3 9 3" xfId="37849" xr:uid="{00000000-0005-0000-0000-0000D0930000}"/>
    <cellStyle name="Normal 3 37 4" xfId="37850" xr:uid="{00000000-0005-0000-0000-0000D1930000}"/>
    <cellStyle name="Normal 3 37 4 10" xfId="37851" xr:uid="{00000000-0005-0000-0000-0000D2930000}"/>
    <cellStyle name="Normal 3 37 4 10 2" xfId="37852" xr:uid="{00000000-0005-0000-0000-0000D3930000}"/>
    <cellStyle name="Normal 3 37 4 10 3" xfId="37853" xr:uid="{00000000-0005-0000-0000-0000D4930000}"/>
    <cellStyle name="Normal 3 37 4 11" xfId="37854" xr:uid="{00000000-0005-0000-0000-0000D5930000}"/>
    <cellStyle name="Normal 3 37 4 11 2" xfId="37855" xr:uid="{00000000-0005-0000-0000-0000D6930000}"/>
    <cellStyle name="Normal 3 37 4 11 3" xfId="37856" xr:uid="{00000000-0005-0000-0000-0000D7930000}"/>
    <cellStyle name="Normal 3 37 4 12" xfId="37857" xr:uid="{00000000-0005-0000-0000-0000D8930000}"/>
    <cellStyle name="Normal 3 37 4 12 2" xfId="37858" xr:uid="{00000000-0005-0000-0000-0000D9930000}"/>
    <cellStyle name="Normal 3 37 4 12 3" xfId="37859" xr:uid="{00000000-0005-0000-0000-0000DA930000}"/>
    <cellStyle name="Normal 3 37 4 13" xfId="37860" xr:uid="{00000000-0005-0000-0000-0000DB930000}"/>
    <cellStyle name="Normal 3 37 4 13 2" xfId="37861" xr:uid="{00000000-0005-0000-0000-0000DC930000}"/>
    <cellStyle name="Normal 3 37 4 13 3" xfId="37862" xr:uid="{00000000-0005-0000-0000-0000DD930000}"/>
    <cellStyle name="Normal 3 37 4 14" xfId="37863" xr:uid="{00000000-0005-0000-0000-0000DE930000}"/>
    <cellStyle name="Normal 3 37 4 14 2" xfId="37864" xr:uid="{00000000-0005-0000-0000-0000DF930000}"/>
    <cellStyle name="Normal 3 37 4 14 3" xfId="37865" xr:uid="{00000000-0005-0000-0000-0000E0930000}"/>
    <cellStyle name="Normal 3 37 4 15" xfId="37866" xr:uid="{00000000-0005-0000-0000-0000E1930000}"/>
    <cellStyle name="Normal 3 37 4 15 2" xfId="37867" xr:uid="{00000000-0005-0000-0000-0000E2930000}"/>
    <cellStyle name="Normal 3 37 4 15 3" xfId="37868" xr:uid="{00000000-0005-0000-0000-0000E3930000}"/>
    <cellStyle name="Normal 3 37 4 16" xfId="37869" xr:uid="{00000000-0005-0000-0000-0000E4930000}"/>
    <cellStyle name="Normal 3 37 4 17" xfId="37870" xr:uid="{00000000-0005-0000-0000-0000E5930000}"/>
    <cellStyle name="Normal 3 37 4 2" xfId="37871" xr:uid="{00000000-0005-0000-0000-0000E6930000}"/>
    <cellStyle name="Normal 3 37 4 2 10" xfId="37872" xr:uid="{00000000-0005-0000-0000-0000E7930000}"/>
    <cellStyle name="Normal 3 37 4 2 10 2" xfId="37873" xr:uid="{00000000-0005-0000-0000-0000E8930000}"/>
    <cellStyle name="Normal 3 37 4 2 10 3" xfId="37874" xr:uid="{00000000-0005-0000-0000-0000E9930000}"/>
    <cellStyle name="Normal 3 37 4 2 11" xfId="37875" xr:uid="{00000000-0005-0000-0000-0000EA930000}"/>
    <cellStyle name="Normal 3 37 4 2 11 2" xfId="37876" xr:uid="{00000000-0005-0000-0000-0000EB930000}"/>
    <cellStyle name="Normal 3 37 4 2 11 3" xfId="37877" xr:uid="{00000000-0005-0000-0000-0000EC930000}"/>
    <cellStyle name="Normal 3 37 4 2 12" xfId="37878" xr:uid="{00000000-0005-0000-0000-0000ED930000}"/>
    <cellStyle name="Normal 3 37 4 2 12 2" xfId="37879" xr:uid="{00000000-0005-0000-0000-0000EE930000}"/>
    <cellStyle name="Normal 3 37 4 2 12 3" xfId="37880" xr:uid="{00000000-0005-0000-0000-0000EF930000}"/>
    <cellStyle name="Normal 3 37 4 2 13" xfId="37881" xr:uid="{00000000-0005-0000-0000-0000F0930000}"/>
    <cellStyle name="Normal 3 37 4 2 13 2" xfId="37882" xr:uid="{00000000-0005-0000-0000-0000F1930000}"/>
    <cellStyle name="Normal 3 37 4 2 13 3" xfId="37883" xr:uid="{00000000-0005-0000-0000-0000F2930000}"/>
    <cellStyle name="Normal 3 37 4 2 14" xfId="37884" xr:uid="{00000000-0005-0000-0000-0000F3930000}"/>
    <cellStyle name="Normal 3 37 4 2 14 2" xfId="37885" xr:uid="{00000000-0005-0000-0000-0000F4930000}"/>
    <cellStyle name="Normal 3 37 4 2 14 3" xfId="37886" xr:uid="{00000000-0005-0000-0000-0000F5930000}"/>
    <cellStyle name="Normal 3 37 4 2 15" xfId="37887" xr:uid="{00000000-0005-0000-0000-0000F6930000}"/>
    <cellStyle name="Normal 3 37 4 2 16" xfId="37888" xr:uid="{00000000-0005-0000-0000-0000F7930000}"/>
    <cellStyle name="Normal 3 37 4 2 2" xfId="37889" xr:uid="{00000000-0005-0000-0000-0000F8930000}"/>
    <cellStyle name="Normal 3 37 4 2 2 2" xfId="37890" xr:uid="{00000000-0005-0000-0000-0000F9930000}"/>
    <cellStyle name="Normal 3 37 4 2 2 3" xfId="37891" xr:uid="{00000000-0005-0000-0000-0000FA930000}"/>
    <cellStyle name="Normal 3 37 4 2 3" xfId="37892" xr:uid="{00000000-0005-0000-0000-0000FB930000}"/>
    <cellStyle name="Normal 3 37 4 2 3 2" xfId="37893" xr:uid="{00000000-0005-0000-0000-0000FC930000}"/>
    <cellStyle name="Normal 3 37 4 2 3 3" xfId="37894" xr:uid="{00000000-0005-0000-0000-0000FD930000}"/>
    <cellStyle name="Normal 3 37 4 2 4" xfId="37895" xr:uid="{00000000-0005-0000-0000-0000FE930000}"/>
    <cellStyle name="Normal 3 37 4 2 4 2" xfId="37896" xr:uid="{00000000-0005-0000-0000-0000FF930000}"/>
    <cellStyle name="Normal 3 37 4 2 4 3" xfId="37897" xr:uid="{00000000-0005-0000-0000-000000940000}"/>
    <cellStyle name="Normal 3 37 4 2 5" xfId="37898" xr:uid="{00000000-0005-0000-0000-000001940000}"/>
    <cellStyle name="Normal 3 37 4 2 5 2" xfId="37899" xr:uid="{00000000-0005-0000-0000-000002940000}"/>
    <cellStyle name="Normal 3 37 4 2 5 3" xfId="37900" xr:uid="{00000000-0005-0000-0000-000003940000}"/>
    <cellStyle name="Normal 3 37 4 2 6" xfId="37901" xr:uid="{00000000-0005-0000-0000-000004940000}"/>
    <cellStyle name="Normal 3 37 4 2 6 2" xfId="37902" xr:uid="{00000000-0005-0000-0000-000005940000}"/>
    <cellStyle name="Normal 3 37 4 2 6 3" xfId="37903" xr:uid="{00000000-0005-0000-0000-000006940000}"/>
    <cellStyle name="Normal 3 37 4 2 7" xfId="37904" xr:uid="{00000000-0005-0000-0000-000007940000}"/>
    <cellStyle name="Normal 3 37 4 2 7 2" xfId="37905" xr:uid="{00000000-0005-0000-0000-000008940000}"/>
    <cellStyle name="Normal 3 37 4 2 7 3" xfId="37906" xr:uid="{00000000-0005-0000-0000-000009940000}"/>
    <cellStyle name="Normal 3 37 4 2 8" xfId="37907" xr:uid="{00000000-0005-0000-0000-00000A940000}"/>
    <cellStyle name="Normal 3 37 4 2 8 2" xfId="37908" xr:uid="{00000000-0005-0000-0000-00000B940000}"/>
    <cellStyle name="Normal 3 37 4 2 8 3" xfId="37909" xr:uid="{00000000-0005-0000-0000-00000C940000}"/>
    <cellStyle name="Normal 3 37 4 2 9" xfId="37910" xr:uid="{00000000-0005-0000-0000-00000D940000}"/>
    <cellStyle name="Normal 3 37 4 2 9 2" xfId="37911" xr:uid="{00000000-0005-0000-0000-00000E940000}"/>
    <cellStyle name="Normal 3 37 4 2 9 3" xfId="37912" xr:uid="{00000000-0005-0000-0000-00000F940000}"/>
    <cellStyle name="Normal 3 37 4 3" xfId="37913" xr:uid="{00000000-0005-0000-0000-000010940000}"/>
    <cellStyle name="Normal 3 37 4 3 2" xfId="37914" xr:uid="{00000000-0005-0000-0000-000011940000}"/>
    <cellStyle name="Normal 3 37 4 3 3" xfId="37915" xr:uid="{00000000-0005-0000-0000-000012940000}"/>
    <cellStyle name="Normal 3 37 4 4" xfId="37916" xr:uid="{00000000-0005-0000-0000-000013940000}"/>
    <cellStyle name="Normal 3 37 4 4 2" xfId="37917" xr:uid="{00000000-0005-0000-0000-000014940000}"/>
    <cellStyle name="Normal 3 37 4 4 3" xfId="37918" xr:uid="{00000000-0005-0000-0000-000015940000}"/>
    <cellStyle name="Normal 3 37 4 5" xfId="37919" xr:uid="{00000000-0005-0000-0000-000016940000}"/>
    <cellStyle name="Normal 3 37 4 5 2" xfId="37920" xr:uid="{00000000-0005-0000-0000-000017940000}"/>
    <cellStyle name="Normal 3 37 4 5 3" xfId="37921" xr:uid="{00000000-0005-0000-0000-000018940000}"/>
    <cellStyle name="Normal 3 37 4 6" xfId="37922" xr:uid="{00000000-0005-0000-0000-000019940000}"/>
    <cellStyle name="Normal 3 37 4 6 2" xfId="37923" xr:uid="{00000000-0005-0000-0000-00001A940000}"/>
    <cellStyle name="Normal 3 37 4 6 3" xfId="37924" xr:uid="{00000000-0005-0000-0000-00001B940000}"/>
    <cellStyle name="Normal 3 37 4 7" xfId="37925" xr:uid="{00000000-0005-0000-0000-00001C940000}"/>
    <cellStyle name="Normal 3 37 4 7 2" xfId="37926" xr:uid="{00000000-0005-0000-0000-00001D940000}"/>
    <cellStyle name="Normal 3 37 4 7 3" xfId="37927" xr:uid="{00000000-0005-0000-0000-00001E940000}"/>
    <cellStyle name="Normal 3 37 4 8" xfId="37928" xr:uid="{00000000-0005-0000-0000-00001F940000}"/>
    <cellStyle name="Normal 3 37 4 8 2" xfId="37929" xr:uid="{00000000-0005-0000-0000-000020940000}"/>
    <cellStyle name="Normal 3 37 4 8 3" xfId="37930" xr:uid="{00000000-0005-0000-0000-000021940000}"/>
    <cellStyle name="Normal 3 37 4 9" xfId="37931" xr:uid="{00000000-0005-0000-0000-000022940000}"/>
    <cellStyle name="Normal 3 37 4 9 2" xfId="37932" xr:uid="{00000000-0005-0000-0000-000023940000}"/>
    <cellStyle name="Normal 3 37 4 9 3" xfId="37933" xr:uid="{00000000-0005-0000-0000-000024940000}"/>
    <cellStyle name="Normal 3 37 5" xfId="37934" xr:uid="{00000000-0005-0000-0000-000025940000}"/>
    <cellStyle name="Normal 3 37 5 10" xfId="37935" xr:uid="{00000000-0005-0000-0000-000026940000}"/>
    <cellStyle name="Normal 3 37 5 10 2" xfId="37936" xr:uid="{00000000-0005-0000-0000-000027940000}"/>
    <cellStyle name="Normal 3 37 5 10 3" xfId="37937" xr:uid="{00000000-0005-0000-0000-000028940000}"/>
    <cellStyle name="Normal 3 37 5 11" xfId="37938" xr:uid="{00000000-0005-0000-0000-000029940000}"/>
    <cellStyle name="Normal 3 37 5 11 2" xfId="37939" xr:uid="{00000000-0005-0000-0000-00002A940000}"/>
    <cellStyle name="Normal 3 37 5 11 3" xfId="37940" xr:uid="{00000000-0005-0000-0000-00002B940000}"/>
    <cellStyle name="Normal 3 37 5 12" xfId="37941" xr:uid="{00000000-0005-0000-0000-00002C940000}"/>
    <cellStyle name="Normal 3 37 5 12 2" xfId="37942" xr:uid="{00000000-0005-0000-0000-00002D940000}"/>
    <cellStyle name="Normal 3 37 5 12 3" xfId="37943" xr:uid="{00000000-0005-0000-0000-00002E940000}"/>
    <cellStyle name="Normal 3 37 5 13" xfId="37944" xr:uid="{00000000-0005-0000-0000-00002F940000}"/>
    <cellStyle name="Normal 3 37 5 13 2" xfId="37945" xr:uid="{00000000-0005-0000-0000-000030940000}"/>
    <cellStyle name="Normal 3 37 5 13 3" xfId="37946" xr:uid="{00000000-0005-0000-0000-000031940000}"/>
    <cellStyle name="Normal 3 37 5 14" xfId="37947" xr:uid="{00000000-0005-0000-0000-000032940000}"/>
    <cellStyle name="Normal 3 37 5 14 2" xfId="37948" xr:uid="{00000000-0005-0000-0000-000033940000}"/>
    <cellStyle name="Normal 3 37 5 14 3" xfId="37949" xr:uid="{00000000-0005-0000-0000-000034940000}"/>
    <cellStyle name="Normal 3 37 5 15" xfId="37950" xr:uid="{00000000-0005-0000-0000-000035940000}"/>
    <cellStyle name="Normal 3 37 5 16" xfId="37951" xr:uid="{00000000-0005-0000-0000-000036940000}"/>
    <cellStyle name="Normal 3 37 5 2" xfId="37952" xr:uid="{00000000-0005-0000-0000-000037940000}"/>
    <cellStyle name="Normal 3 37 5 2 2" xfId="37953" xr:uid="{00000000-0005-0000-0000-000038940000}"/>
    <cellStyle name="Normal 3 37 5 2 3" xfId="37954" xr:uid="{00000000-0005-0000-0000-000039940000}"/>
    <cellStyle name="Normal 3 37 5 3" xfId="37955" xr:uid="{00000000-0005-0000-0000-00003A940000}"/>
    <cellStyle name="Normal 3 37 5 3 2" xfId="37956" xr:uid="{00000000-0005-0000-0000-00003B940000}"/>
    <cellStyle name="Normal 3 37 5 3 3" xfId="37957" xr:uid="{00000000-0005-0000-0000-00003C940000}"/>
    <cellStyle name="Normal 3 37 5 4" xfId="37958" xr:uid="{00000000-0005-0000-0000-00003D940000}"/>
    <cellStyle name="Normal 3 37 5 4 2" xfId="37959" xr:uid="{00000000-0005-0000-0000-00003E940000}"/>
    <cellStyle name="Normal 3 37 5 4 3" xfId="37960" xr:uid="{00000000-0005-0000-0000-00003F940000}"/>
    <cellStyle name="Normal 3 37 5 5" xfId="37961" xr:uid="{00000000-0005-0000-0000-000040940000}"/>
    <cellStyle name="Normal 3 37 5 5 2" xfId="37962" xr:uid="{00000000-0005-0000-0000-000041940000}"/>
    <cellStyle name="Normal 3 37 5 5 3" xfId="37963" xr:uid="{00000000-0005-0000-0000-000042940000}"/>
    <cellStyle name="Normal 3 37 5 6" xfId="37964" xr:uid="{00000000-0005-0000-0000-000043940000}"/>
    <cellStyle name="Normal 3 37 5 6 2" xfId="37965" xr:uid="{00000000-0005-0000-0000-000044940000}"/>
    <cellStyle name="Normal 3 37 5 6 3" xfId="37966" xr:uid="{00000000-0005-0000-0000-000045940000}"/>
    <cellStyle name="Normal 3 37 5 7" xfId="37967" xr:uid="{00000000-0005-0000-0000-000046940000}"/>
    <cellStyle name="Normal 3 37 5 7 2" xfId="37968" xr:uid="{00000000-0005-0000-0000-000047940000}"/>
    <cellStyle name="Normal 3 37 5 7 3" xfId="37969" xr:uid="{00000000-0005-0000-0000-000048940000}"/>
    <cellStyle name="Normal 3 37 5 8" xfId="37970" xr:uid="{00000000-0005-0000-0000-000049940000}"/>
    <cellStyle name="Normal 3 37 5 8 2" xfId="37971" xr:uid="{00000000-0005-0000-0000-00004A940000}"/>
    <cellStyle name="Normal 3 37 5 8 3" xfId="37972" xr:uid="{00000000-0005-0000-0000-00004B940000}"/>
    <cellStyle name="Normal 3 37 5 9" xfId="37973" xr:uid="{00000000-0005-0000-0000-00004C940000}"/>
    <cellStyle name="Normal 3 37 5 9 2" xfId="37974" xr:uid="{00000000-0005-0000-0000-00004D940000}"/>
    <cellStyle name="Normal 3 37 5 9 3" xfId="37975" xr:uid="{00000000-0005-0000-0000-00004E940000}"/>
    <cellStyle name="Normal 3 37 6" xfId="37976" xr:uid="{00000000-0005-0000-0000-00004F940000}"/>
    <cellStyle name="Normal 3 37 6 10" xfId="37977" xr:uid="{00000000-0005-0000-0000-000050940000}"/>
    <cellStyle name="Normal 3 37 6 10 2" xfId="37978" xr:uid="{00000000-0005-0000-0000-000051940000}"/>
    <cellStyle name="Normal 3 37 6 10 3" xfId="37979" xr:uid="{00000000-0005-0000-0000-000052940000}"/>
    <cellStyle name="Normal 3 37 6 11" xfId="37980" xr:uid="{00000000-0005-0000-0000-000053940000}"/>
    <cellStyle name="Normal 3 37 6 11 2" xfId="37981" xr:uid="{00000000-0005-0000-0000-000054940000}"/>
    <cellStyle name="Normal 3 37 6 11 3" xfId="37982" xr:uid="{00000000-0005-0000-0000-000055940000}"/>
    <cellStyle name="Normal 3 37 6 12" xfId="37983" xr:uid="{00000000-0005-0000-0000-000056940000}"/>
    <cellStyle name="Normal 3 37 6 12 2" xfId="37984" xr:uid="{00000000-0005-0000-0000-000057940000}"/>
    <cellStyle name="Normal 3 37 6 12 3" xfId="37985" xr:uid="{00000000-0005-0000-0000-000058940000}"/>
    <cellStyle name="Normal 3 37 6 13" xfId="37986" xr:uid="{00000000-0005-0000-0000-000059940000}"/>
    <cellStyle name="Normal 3 37 6 13 2" xfId="37987" xr:uid="{00000000-0005-0000-0000-00005A940000}"/>
    <cellStyle name="Normal 3 37 6 13 3" xfId="37988" xr:uid="{00000000-0005-0000-0000-00005B940000}"/>
    <cellStyle name="Normal 3 37 6 14" xfId="37989" xr:uid="{00000000-0005-0000-0000-00005C940000}"/>
    <cellStyle name="Normal 3 37 6 14 2" xfId="37990" xr:uid="{00000000-0005-0000-0000-00005D940000}"/>
    <cellStyle name="Normal 3 37 6 14 3" xfId="37991" xr:uid="{00000000-0005-0000-0000-00005E940000}"/>
    <cellStyle name="Normal 3 37 6 15" xfId="37992" xr:uid="{00000000-0005-0000-0000-00005F940000}"/>
    <cellStyle name="Normal 3 37 6 16" xfId="37993" xr:uid="{00000000-0005-0000-0000-000060940000}"/>
    <cellStyle name="Normal 3 37 6 2" xfId="37994" xr:uid="{00000000-0005-0000-0000-000061940000}"/>
    <cellStyle name="Normal 3 37 6 2 2" xfId="37995" xr:uid="{00000000-0005-0000-0000-000062940000}"/>
    <cellStyle name="Normal 3 37 6 2 3" xfId="37996" xr:uid="{00000000-0005-0000-0000-000063940000}"/>
    <cellStyle name="Normal 3 37 6 3" xfId="37997" xr:uid="{00000000-0005-0000-0000-000064940000}"/>
    <cellStyle name="Normal 3 37 6 3 2" xfId="37998" xr:uid="{00000000-0005-0000-0000-000065940000}"/>
    <cellStyle name="Normal 3 37 6 3 3" xfId="37999" xr:uid="{00000000-0005-0000-0000-000066940000}"/>
    <cellStyle name="Normal 3 37 6 4" xfId="38000" xr:uid="{00000000-0005-0000-0000-000067940000}"/>
    <cellStyle name="Normal 3 37 6 4 2" xfId="38001" xr:uid="{00000000-0005-0000-0000-000068940000}"/>
    <cellStyle name="Normal 3 37 6 4 3" xfId="38002" xr:uid="{00000000-0005-0000-0000-000069940000}"/>
    <cellStyle name="Normal 3 37 6 5" xfId="38003" xr:uid="{00000000-0005-0000-0000-00006A940000}"/>
    <cellStyle name="Normal 3 37 6 5 2" xfId="38004" xr:uid="{00000000-0005-0000-0000-00006B940000}"/>
    <cellStyle name="Normal 3 37 6 5 3" xfId="38005" xr:uid="{00000000-0005-0000-0000-00006C940000}"/>
    <cellStyle name="Normal 3 37 6 6" xfId="38006" xr:uid="{00000000-0005-0000-0000-00006D940000}"/>
    <cellStyle name="Normal 3 37 6 6 2" xfId="38007" xr:uid="{00000000-0005-0000-0000-00006E940000}"/>
    <cellStyle name="Normal 3 37 6 6 3" xfId="38008" xr:uid="{00000000-0005-0000-0000-00006F940000}"/>
    <cellStyle name="Normal 3 37 6 7" xfId="38009" xr:uid="{00000000-0005-0000-0000-000070940000}"/>
    <cellStyle name="Normal 3 37 6 7 2" xfId="38010" xr:uid="{00000000-0005-0000-0000-000071940000}"/>
    <cellStyle name="Normal 3 37 6 7 3" xfId="38011" xr:uid="{00000000-0005-0000-0000-000072940000}"/>
    <cellStyle name="Normal 3 37 6 8" xfId="38012" xr:uid="{00000000-0005-0000-0000-000073940000}"/>
    <cellStyle name="Normal 3 37 6 8 2" xfId="38013" xr:uid="{00000000-0005-0000-0000-000074940000}"/>
    <cellStyle name="Normal 3 37 6 8 3" xfId="38014" xr:uid="{00000000-0005-0000-0000-000075940000}"/>
    <cellStyle name="Normal 3 37 6 9" xfId="38015" xr:uid="{00000000-0005-0000-0000-000076940000}"/>
    <cellStyle name="Normal 3 37 6 9 2" xfId="38016" xr:uid="{00000000-0005-0000-0000-000077940000}"/>
    <cellStyle name="Normal 3 37 6 9 3" xfId="38017" xr:uid="{00000000-0005-0000-0000-000078940000}"/>
    <cellStyle name="Normal 3 37 7" xfId="38018" xr:uid="{00000000-0005-0000-0000-000079940000}"/>
    <cellStyle name="Normal 3 37 7 10" xfId="38019" xr:uid="{00000000-0005-0000-0000-00007A940000}"/>
    <cellStyle name="Normal 3 37 7 10 2" xfId="38020" xr:uid="{00000000-0005-0000-0000-00007B940000}"/>
    <cellStyle name="Normal 3 37 7 10 3" xfId="38021" xr:uid="{00000000-0005-0000-0000-00007C940000}"/>
    <cellStyle name="Normal 3 37 7 11" xfId="38022" xr:uid="{00000000-0005-0000-0000-00007D940000}"/>
    <cellStyle name="Normal 3 37 7 11 2" xfId="38023" xr:uid="{00000000-0005-0000-0000-00007E940000}"/>
    <cellStyle name="Normal 3 37 7 11 3" xfId="38024" xr:uid="{00000000-0005-0000-0000-00007F940000}"/>
    <cellStyle name="Normal 3 37 7 12" xfId="38025" xr:uid="{00000000-0005-0000-0000-000080940000}"/>
    <cellStyle name="Normal 3 37 7 12 2" xfId="38026" xr:uid="{00000000-0005-0000-0000-000081940000}"/>
    <cellStyle name="Normal 3 37 7 12 3" xfId="38027" xr:uid="{00000000-0005-0000-0000-000082940000}"/>
    <cellStyle name="Normal 3 37 7 13" xfId="38028" xr:uid="{00000000-0005-0000-0000-000083940000}"/>
    <cellStyle name="Normal 3 37 7 13 2" xfId="38029" xr:uid="{00000000-0005-0000-0000-000084940000}"/>
    <cellStyle name="Normal 3 37 7 13 3" xfId="38030" xr:uid="{00000000-0005-0000-0000-000085940000}"/>
    <cellStyle name="Normal 3 37 7 14" xfId="38031" xr:uid="{00000000-0005-0000-0000-000086940000}"/>
    <cellStyle name="Normal 3 37 7 14 2" xfId="38032" xr:uid="{00000000-0005-0000-0000-000087940000}"/>
    <cellStyle name="Normal 3 37 7 14 3" xfId="38033" xr:uid="{00000000-0005-0000-0000-000088940000}"/>
    <cellStyle name="Normal 3 37 7 15" xfId="38034" xr:uid="{00000000-0005-0000-0000-000089940000}"/>
    <cellStyle name="Normal 3 37 7 16" xfId="38035" xr:uid="{00000000-0005-0000-0000-00008A940000}"/>
    <cellStyle name="Normal 3 37 7 2" xfId="38036" xr:uid="{00000000-0005-0000-0000-00008B940000}"/>
    <cellStyle name="Normal 3 37 7 2 2" xfId="38037" xr:uid="{00000000-0005-0000-0000-00008C940000}"/>
    <cellStyle name="Normal 3 37 7 2 3" xfId="38038" xr:uid="{00000000-0005-0000-0000-00008D940000}"/>
    <cellStyle name="Normal 3 37 7 3" xfId="38039" xr:uid="{00000000-0005-0000-0000-00008E940000}"/>
    <cellStyle name="Normal 3 37 7 3 2" xfId="38040" xr:uid="{00000000-0005-0000-0000-00008F940000}"/>
    <cellStyle name="Normal 3 37 7 3 3" xfId="38041" xr:uid="{00000000-0005-0000-0000-000090940000}"/>
    <cellStyle name="Normal 3 37 7 4" xfId="38042" xr:uid="{00000000-0005-0000-0000-000091940000}"/>
    <cellStyle name="Normal 3 37 7 4 2" xfId="38043" xr:uid="{00000000-0005-0000-0000-000092940000}"/>
    <cellStyle name="Normal 3 37 7 4 3" xfId="38044" xr:uid="{00000000-0005-0000-0000-000093940000}"/>
    <cellStyle name="Normal 3 37 7 5" xfId="38045" xr:uid="{00000000-0005-0000-0000-000094940000}"/>
    <cellStyle name="Normal 3 37 7 5 2" xfId="38046" xr:uid="{00000000-0005-0000-0000-000095940000}"/>
    <cellStyle name="Normal 3 37 7 5 3" xfId="38047" xr:uid="{00000000-0005-0000-0000-000096940000}"/>
    <cellStyle name="Normal 3 37 7 6" xfId="38048" xr:uid="{00000000-0005-0000-0000-000097940000}"/>
    <cellStyle name="Normal 3 37 7 6 2" xfId="38049" xr:uid="{00000000-0005-0000-0000-000098940000}"/>
    <cellStyle name="Normal 3 37 7 6 3" xfId="38050" xr:uid="{00000000-0005-0000-0000-000099940000}"/>
    <cellStyle name="Normal 3 37 7 7" xfId="38051" xr:uid="{00000000-0005-0000-0000-00009A940000}"/>
    <cellStyle name="Normal 3 37 7 7 2" xfId="38052" xr:uid="{00000000-0005-0000-0000-00009B940000}"/>
    <cellStyle name="Normal 3 37 7 7 3" xfId="38053" xr:uid="{00000000-0005-0000-0000-00009C940000}"/>
    <cellStyle name="Normal 3 37 7 8" xfId="38054" xr:uid="{00000000-0005-0000-0000-00009D940000}"/>
    <cellStyle name="Normal 3 37 7 8 2" xfId="38055" xr:uid="{00000000-0005-0000-0000-00009E940000}"/>
    <cellStyle name="Normal 3 37 7 8 3" xfId="38056" xr:uid="{00000000-0005-0000-0000-00009F940000}"/>
    <cellStyle name="Normal 3 37 7 9" xfId="38057" xr:uid="{00000000-0005-0000-0000-0000A0940000}"/>
    <cellStyle name="Normal 3 37 7 9 2" xfId="38058" xr:uid="{00000000-0005-0000-0000-0000A1940000}"/>
    <cellStyle name="Normal 3 37 7 9 3" xfId="38059" xr:uid="{00000000-0005-0000-0000-0000A2940000}"/>
    <cellStyle name="Normal 3 37 8" xfId="38060" xr:uid="{00000000-0005-0000-0000-0000A3940000}"/>
    <cellStyle name="Normal 3 37 8 10" xfId="38061" xr:uid="{00000000-0005-0000-0000-0000A4940000}"/>
    <cellStyle name="Normal 3 37 8 10 2" xfId="38062" xr:uid="{00000000-0005-0000-0000-0000A5940000}"/>
    <cellStyle name="Normal 3 37 8 10 3" xfId="38063" xr:uid="{00000000-0005-0000-0000-0000A6940000}"/>
    <cellStyle name="Normal 3 37 8 11" xfId="38064" xr:uid="{00000000-0005-0000-0000-0000A7940000}"/>
    <cellStyle name="Normal 3 37 8 11 2" xfId="38065" xr:uid="{00000000-0005-0000-0000-0000A8940000}"/>
    <cellStyle name="Normal 3 37 8 11 3" xfId="38066" xr:uid="{00000000-0005-0000-0000-0000A9940000}"/>
    <cellStyle name="Normal 3 37 8 12" xfId="38067" xr:uid="{00000000-0005-0000-0000-0000AA940000}"/>
    <cellStyle name="Normal 3 37 8 12 2" xfId="38068" xr:uid="{00000000-0005-0000-0000-0000AB940000}"/>
    <cellStyle name="Normal 3 37 8 12 3" xfId="38069" xr:uid="{00000000-0005-0000-0000-0000AC940000}"/>
    <cellStyle name="Normal 3 37 8 13" xfId="38070" xr:uid="{00000000-0005-0000-0000-0000AD940000}"/>
    <cellStyle name="Normal 3 37 8 13 2" xfId="38071" xr:uid="{00000000-0005-0000-0000-0000AE940000}"/>
    <cellStyle name="Normal 3 37 8 13 3" xfId="38072" xr:uid="{00000000-0005-0000-0000-0000AF940000}"/>
    <cellStyle name="Normal 3 37 8 14" xfId="38073" xr:uid="{00000000-0005-0000-0000-0000B0940000}"/>
    <cellStyle name="Normal 3 37 8 14 2" xfId="38074" xr:uid="{00000000-0005-0000-0000-0000B1940000}"/>
    <cellStyle name="Normal 3 37 8 14 3" xfId="38075" xr:uid="{00000000-0005-0000-0000-0000B2940000}"/>
    <cellStyle name="Normal 3 37 8 15" xfId="38076" xr:uid="{00000000-0005-0000-0000-0000B3940000}"/>
    <cellStyle name="Normal 3 37 8 16" xfId="38077" xr:uid="{00000000-0005-0000-0000-0000B4940000}"/>
    <cellStyle name="Normal 3 37 8 2" xfId="38078" xr:uid="{00000000-0005-0000-0000-0000B5940000}"/>
    <cellStyle name="Normal 3 37 8 2 2" xfId="38079" xr:uid="{00000000-0005-0000-0000-0000B6940000}"/>
    <cellStyle name="Normal 3 37 8 2 3" xfId="38080" xr:uid="{00000000-0005-0000-0000-0000B7940000}"/>
    <cellStyle name="Normal 3 37 8 3" xfId="38081" xr:uid="{00000000-0005-0000-0000-0000B8940000}"/>
    <cellStyle name="Normal 3 37 8 3 2" xfId="38082" xr:uid="{00000000-0005-0000-0000-0000B9940000}"/>
    <cellStyle name="Normal 3 37 8 3 3" xfId="38083" xr:uid="{00000000-0005-0000-0000-0000BA940000}"/>
    <cellStyle name="Normal 3 37 8 4" xfId="38084" xr:uid="{00000000-0005-0000-0000-0000BB940000}"/>
    <cellStyle name="Normal 3 37 8 4 2" xfId="38085" xr:uid="{00000000-0005-0000-0000-0000BC940000}"/>
    <cellStyle name="Normal 3 37 8 4 3" xfId="38086" xr:uid="{00000000-0005-0000-0000-0000BD940000}"/>
    <cellStyle name="Normal 3 37 8 5" xfId="38087" xr:uid="{00000000-0005-0000-0000-0000BE940000}"/>
    <cellStyle name="Normal 3 37 8 5 2" xfId="38088" xr:uid="{00000000-0005-0000-0000-0000BF940000}"/>
    <cellStyle name="Normal 3 37 8 5 3" xfId="38089" xr:uid="{00000000-0005-0000-0000-0000C0940000}"/>
    <cellStyle name="Normal 3 37 8 6" xfId="38090" xr:uid="{00000000-0005-0000-0000-0000C1940000}"/>
    <cellStyle name="Normal 3 37 8 6 2" xfId="38091" xr:uid="{00000000-0005-0000-0000-0000C2940000}"/>
    <cellStyle name="Normal 3 37 8 6 3" xfId="38092" xr:uid="{00000000-0005-0000-0000-0000C3940000}"/>
    <cellStyle name="Normal 3 37 8 7" xfId="38093" xr:uid="{00000000-0005-0000-0000-0000C4940000}"/>
    <cellStyle name="Normal 3 37 8 7 2" xfId="38094" xr:uid="{00000000-0005-0000-0000-0000C5940000}"/>
    <cellStyle name="Normal 3 37 8 7 3" xfId="38095" xr:uid="{00000000-0005-0000-0000-0000C6940000}"/>
    <cellStyle name="Normal 3 37 8 8" xfId="38096" xr:uid="{00000000-0005-0000-0000-0000C7940000}"/>
    <cellStyle name="Normal 3 37 8 8 2" xfId="38097" xr:uid="{00000000-0005-0000-0000-0000C8940000}"/>
    <cellStyle name="Normal 3 37 8 8 3" xfId="38098" xr:uid="{00000000-0005-0000-0000-0000C9940000}"/>
    <cellStyle name="Normal 3 37 8 9" xfId="38099" xr:uid="{00000000-0005-0000-0000-0000CA940000}"/>
    <cellStyle name="Normal 3 37 8 9 2" xfId="38100" xr:uid="{00000000-0005-0000-0000-0000CB940000}"/>
    <cellStyle name="Normal 3 37 8 9 3" xfId="38101" xr:uid="{00000000-0005-0000-0000-0000CC940000}"/>
    <cellStyle name="Normal 3 37 9" xfId="38102" xr:uid="{00000000-0005-0000-0000-0000CD940000}"/>
    <cellStyle name="Normal 3 37 9 10" xfId="38103" xr:uid="{00000000-0005-0000-0000-0000CE940000}"/>
    <cellStyle name="Normal 3 37 9 10 2" xfId="38104" xr:uid="{00000000-0005-0000-0000-0000CF940000}"/>
    <cellStyle name="Normal 3 37 9 10 3" xfId="38105" xr:uid="{00000000-0005-0000-0000-0000D0940000}"/>
    <cellStyle name="Normal 3 37 9 11" xfId="38106" xr:uid="{00000000-0005-0000-0000-0000D1940000}"/>
    <cellStyle name="Normal 3 37 9 11 2" xfId="38107" xr:uid="{00000000-0005-0000-0000-0000D2940000}"/>
    <cellStyle name="Normal 3 37 9 11 3" xfId="38108" xr:uid="{00000000-0005-0000-0000-0000D3940000}"/>
    <cellStyle name="Normal 3 37 9 12" xfId="38109" xr:uid="{00000000-0005-0000-0000-0000D4940000}"/>
    <cellStyle name="Normal 3 37 9 12 2" xfId="38110" xr:uid="{00000000-0005-0000-0000-0000D5940000}"/>
    <cellStyle name="Normal 3 37 9 12 3" xfId="38111" xr:uid="{00000000-0005-0000-0000-0000D6940000}"/>
    <cellStyle name="Normal 3 37 9 13" xfId="38112" xr:uid="{00000000-0005-0000-0000-0000D7940000}"/>
    <cellStyle name="Normal 3 37 9 13 2" xfId="38113" xr:uid="{00000000-0005-0000-0000-0000D8940000}"/>
    <cellStyle name="Normal 3 37 9 13 3" xfId="38114" xr:uid="{00000000-0005-0000-0000-0000D9940000}"/>
    <cellStyle name="Normal 3 37 9 14" xfId="38115" xr:uid="{00000000-0005-0000-0000-0000DA940000}"/>
    <cellStyle name="Normal 3 37 9 14 2" xfId="38116" xr:uid="{00000000-0005-0000-0000-0000DB940000}"/>
    <cellStyle name="Normal 3 37 9 14 3" xfId="38117" xr:uid="{00000000-0005-0000-0000-0000DC940000}"/>
    <cellStyle name="Normal 3 37 9 15" xfId="38118" xr:uid="{00000000-0005-0000-0000-0000DD940000}"/>
    <cellStyle name="Normal 3 37 9 16" xfId="38119" xr:uid="{00000000-0005-0000-0000-0000DE940000}"/>
    <cellStyle name="Normal 3 37 9 2" xfId="38120" xr:uid="{00000000-0005-0000-0000-0000DF940000}"/>
    <cellStyle name="Normal 3 37 9 2 2" xfId="38121" xr:uid="{00000000-0005-0000-0000-0000E0940000}"/>
    <cellStyle name="Normal 3 37 9 2 3" xfId="38122" xr:uid="{00000000-0005-0000-0000-0000E1940000}"/>
    <cellStyle name="Normal 3 37 9 3" xfId="38123" xr:uid="{00000000-0005-0000-0000-0000E2940000}"/>
    <cellStyle name="Normal 3 37 9 3 2" xfId="38124" xr:uid="{00000000-0005-0000-0000-0000E3940000}"/>
    <cellStyle name="Normal 3 37 9 3 3" xfId="38125" xr:uid="{00000000-0005-0000-0000-0000E4940000}"/>
    <cellStyle name="Normal 3 37 9 4" xfId="38126" xr:uid="{00000000-0005-0000-0000-0000E5940000}"/>
    <cellStyle name="Normal 3 37 9 4 2" xfId="38127" xr:uid="{00000000-0005-0000-0000-0000E6940000}"/>
    <cellStyle name="Normal 3 37 9 4 3" xfId="38128" xr:uid="{00000000-0005-0000-0000-0000E7940000}"/>
    <cellStyle name="Normal 3 37 9 5" xfId="38129" xr:uid="{00000000-0005-0000-0000-0000E8940000}"/>
    <cellStyle name="Normal 3 37 9 5 2" xfId="38130" xr:uid="{00000000-0005-0000-0000-0000E9940000}"/>
    <cellStyle name="Normal 3 37 9 5 3" xfId="38131" xr:uid="{00000000-0005-0000-0000-0000EA940000}"/>
    <cellStyle name="Normal 3 37 9 6" xfId="38132" xr:uid="{00000000-0005-0000-0000-0000EB940000}"/>
    <cellStyle name="Normal 3 37 9 6 2" xfId="38133" xr:uid="{00000000-0005-0000-0000-0000EC940000}"/>
    <cellStyle name="Normal 3 37 9 6 3" xfId="38134" xr:uid="{00000000-0005-0000-0000-0000ED940000}"/>
    <cellStyle name="Normal 3 37 9 7" xfId="38135" xr:uid="{00000000-0005-0000-0000-0000EE940000}"/>
    <cellStyle name="Normal 3 37 9 7 2" xfId="38136" xr:uid="{00000000-0005-0000-0000-0000EF940000}"/>
    <cellStyle name="Normal 3 37 9 7 3" xfId="38137" xr:uid="{00000000-0005-0000-0000-0000F0940000}"/>
    <cellStyle name="Normal 3 37 9 8" xfId="38138" xr:uid="{00000000-0005-0000-0000-0000F1940000}"/>
    <cellStyle name="Normal 3 37 9 8 2" xfId="38139" xr:uid="{00000000-0005-0000-0000-0000F2940000}"/>
    <cellStyle name="Normal 3 37 9 8 3" xfId="38140" xr:uid="{00000000-0005-0000-0000-0000F3940000}"/>
    <cellStyle name="Normal 3 37 9 9" xfId="38141" xr:uid="{00000000-0005-0000-0000-0000F4940000}"/>
    <cellStyle name="Normal 3 37 9 9 2" xfId="38142" xr:uid="{00000000-0005-0000-0000-0000F5940000}"/>
    <cellStyle name="Normal 3 37 9 9 3" xfId="38143" xr:uid="{00000000-0005-0000-0000-0000F6940000}"/>
    <cellStyle name="Normal 3 38" xfId="38144" xr:uid="{00000000-0005-0000-0000-0000F7940000}"/>
    <cellStyle name="Normal 3 38 10" xfId="38145" xr:uid="{00000000-0005-0000-0000-0000F8940000}"/>
    <cellStyle name="Normal 3 38 10 10" xfId="38146" xr:uid="{00000000-0005-0000-0000-0000F9940000}"/>
    <cellStyle name="Normal 3 38 10 10 2" xfId="38147" xr:uid="{00000000-0005-0000-0000-0000FA940000}"/>
    <cellStyle name="Normal 3 38 10 10 3" xfId="38148" xr:uid="{00000000-0005-0000-0000-0000FB940000}"/>
    <cellStyle name="Normal 3 38 10 11" xfId="38149" xr:uid="{00000000-0005-0000-0000-0000FC940000}"/>
    <cellStyle name="Normal 3 38 10 11 2" xfId="38150" xr:uid="{00000000-0005-0000-0000-0000FD940000}"/>
    <cellStyle name="Normal 3 38 10 11 3" xfId="38151" xr:uid="{00000000-0005-0000-0000-0000FE940000}"/>
    <cellStyle name="Normal 3 38 10 12" xfId="38152" xr:uid="{00000000-0005-0000-0000-0000FF940000}"/>
    <cellStyle name="Normal 3 38 10 12 2" xfId="38153" xr:uid="{00000000-0005-0000-0000-000000950000}"/>
    <cellStyle name="Normal 3 38 10 12 3" xfId="38154" xr:uid="{00000000-0005-0000-0000-000001950000}"/>
    <cellStyle name="Normal 3 38 10 13" xfId="38155" xr:uid="{00000000-0005-0000-0000-000002950000}"/>
    <cellStyle name="Normal 3 38 10 13 2" xfId="38156" xr:uid="{00000000-0005-0000-0000-000003950000}"/>
    <cellStyle name="Normal 3 38 10 13 3" xfId="38157" xr:uid="{00000000-0005-0000-0000-000004950000}"/>
    <cellStyle name="Normal 3 38 10 14" xfId="38158" xr:uid="{00000000-0005-0000-0000-000005950000}"/>
    <cellStyle name="Normal 3 38 10 14 2" xfId="38159" xr:uid="{00000000-0005-0000-0000-000006950000}"/>
    <cellStyle name="Normal 3 38 10 14 3" xfId="38160" xr:uid="{00000000-0005-0000-0000-000007950000}"/>
    <cellStyle name="Normal 3 38 10 15" xfId="38161" xr:uid="{00000000-0005-0000-0000-000008950000}"/>
    <cellStyle name="Normal 3 38 10 16" xfId="38162" xr:uid="{00000000-0005-0000-0000-000009950000}"/>
    <cellStyle name="Normal 3 38 10 2" xfId="38163" xr:uid="{00000000-0005-0000-0000-00000A950000}"/>
    <cellStyle name="Normal 3 38 10 2 2" xfId="38164" xr:uid="{00000000-0005-0000-0000-00000B950000}"/>
    <cellStyle name="Normal 3 38 10 2 3" xfId="38165" xr:uid="{00000000-0005-0000-0000-00000C950000}"/>
    <cellStyle name="Normal 3 38 10 3" xfId="38166" xr:uid="{00000000-0005-0000-0000-00000D950000}"/>
    <cellStyle name="Normal 3 38 10 3 2" xfId="38167" xr:uid="{00000000-0005-0000-0000-00000E950000}"/>
    <cellStyle name="Normal 3 38 10 3 3" xfId="38168" xr:uid="{00000000-0005-0000-0000-00000F950000}"/>
    <cellStyle name="Normal 3 38 10 4" xfId="38169" xr:uid="{00000000-0005-0000-0000-000010950000}"/>
    <cellStyle name="Normal 3 38 10 4 2" xfId="38170" xr:uid="{00000000-0005-0000-0000-000011950000}"/>
    <cellStyle name="Normal 3 38 10 4 3" xfId="38171" xr:uid="{00000000-0005-0000-0000-000012950000}"/>
    <cellStyle name="Normal 3 38 10 5" xfId="38172" xr:uid="{00000000-0005-0000-0000-000013950000}"/>
    <cellStyle name="Normal 3 38 10 5 2" xfId="38173" xr:uid="{00000000-0005-0000-0000-000014950000}"/>
    <cellStyle name="Normal 3 38 10 5 3" xfId="38174" xr:uid="{00000000-0005-0000-0000-000015950000}"/>
    <cellStyle name="Normal 3 38 10 6" xfId="38175" xr:uid="{00000000-0005-0000-0000-000016950000}"/>
    <cellStyle name="Normal 3 38 10 6 2" xfId="38176" xr:uid="{00000000-0005-0000-0000-000017950000}"/>
    <cellStyle name="Normal 3 38 10 6 3" xfId="38177" xr:uid="{00000000-0005-0000-0000-000018950000}"/>
    <cellStyle name="Normal 3 38 10 7" xfId="38178" xr:uid="{00000000-0005-0000-0000-000019950000}"/>
    <cellStyle name="Normal 3 38 10 7 2" xfId="38179" xr:uid="{00000000-0005-0000-0000-00001A950000}"/>
    <cellStyle name="Normal 3 38 10 7 3" xfId="38180" xr:uid="{00000000-0005-0000-0000-00001B950000}"/>
    <cellStyle name="Normal 3 38 10 8" xfId="38181" xr:uid="{00000000-0005-0000-0000-00001C950000}"/>
    <cellStyle name="Normal 3 38 10 8 2" xfId="38182" xr:uid="{00000000-0005-0000-0000-00001D950000}"/>
    <cellStyle name="Normal 3 38 10 8 3" xfId="38183" xr:uid="{00000000-0005-0000-0000-00001E950000}"/>
    <cellStyle name="Normal 3 38 10 9" xfId="38184" xr:uid="{00000000-0005-0000-0000-00001F950000}"/>
    <cellStyle name="Normal 3 38 10 9 2" xfId="38185" xr:uid="{00000000-0005-0000-0000-000020950000}"/>
    <cellStyle name="Normal 3 38 10 9 3" xfId="38186" xr:uid="{00000000-0005-0000-0000-000021950000}"/>
    <cellStyle name="Normal 3 38 11" xfId="38187" xr:uid="{00000000-0005-0000-0000-000022950000}"/>
    <cellStyle name="Normal 3 38 11 2" xfId="38188" xr:uid="{00000000-0005-0000-0000-000023950000}"/>
    <cellStyle name="Normal 3 38 11 3" xfId="38189" xr:uid="{00000000-0005-0000-0000-000024950000}"/>
    <cellStyle name="Normal 3 38 12" xfId="38190" xr:uid="{00000000-0005-0000-0000-000025950000}"/>
    <cellStyle name="Normal 3 38 12 2" xfId="38191" xr:uid="{00000000-0005-0000-0000-000026950000}"/>
    <cellStyle name="Normal 3 38 12 3" xfId="38192" xr:uid="{00000000-0005-0000-0000-000027950000}"/>
    <cellStyle name="Normal 3 38 13" xfId="38193" xr:uid="{00000000-0005-0000-0000-000028950000}"/>
    <cellStyle name="Normal 3 38 13 2" xfId="38194" xr:uid="{00000000-0005-0000-0000-000029950000}"/>
    <cellStyle name="Normal 3 38 13 3" xfId="38195" xr:uid="{00000000-0005-0000-0000-00002A950000}"/>
    <cellStyle name="Normal 3 38 14" xfId="38196" xr:uid="{00000000-0005-0000-0000-00002B950000}"/>
    <cellStyle name="Normal 3 38 14 2" xfId="38197" xr:uid="{00000000-0005-0000-0000-00002C950000}"/>
    <cellStyle name="Normal 3 38 14 3" xfId="38198" xr:uid="{00000000-0005-0000-0000-00002D950000}"/>
    <cellStyle name="Normal 3 38 15" xfId="38199" xr:uid="{00000000-0005-0000-0000-00002E950000}"/>
    <cellStyle name="Normal 3 38 15 2" xfId="38200" xr:uid="{00000000-0005-0000-0000-00002F950000}"/>
    <cellStyle name="Normal 3 38 15 3" xfId="38201" xr:uid="{00000000-0005-0000-0000-000030950000}"/>
    <cellStyle name="Normal 3 38 16" xfId="38202" xr:uid="{00000000-0005-0000-0000-000031950000}"/>
    <cellStyle name="Normal 3 38 16 2" xfId="38203" xr:uid="{00000000-0005-0000-0000-000032950000}"/>
    <cellStyle name="Normal 3 38 16 3" xfId="38204" xr:uid="{00000000-0005-0000-0000-000033950000}"/>
    <cellStyle name="Normal 3 38 17" xfId="38205" xr:uid="{00000000-0005-0000-0000-000034950000}"/>
    <cellStyle name="Normal 3 38 17 2" xfId="38206" xr:uid="{00000000-0005-0000-0000-000035950000}"/>
    <cellStyle name="Normal 3 38 17 3" xfId="38207" xr:uid="{00000000-0005-0000-0000-000036950000}"/>
    <cellStyle name="Normal 3 38 18" xfId="38208" xr:uid="{00000000-0005-0000-0000-000037950000}"/>
    <cellStyle name="Normal 3 38 18 2" xfId="38209" xr:uid="{00000000-0005-0000-0000-000038950000}"/>
    <cellStyle name="Normal 3 38 18 3" xfId="38210" xr:uid="{00000000-0005-0000-0000-000039950000}"/>
    <cellStyle name="Normal 3 38 19" xfId="38211" xr:uid="{00000000-0005-0000-0000-00003A950000}"/>
    <cellStyle name="Normal 3 38 19 2" xfId="38212" xr:uid="{00000000-0005-0000-0000-00003B950000}"/>
    <cellStyle name="Normal 3 38 19 3" xfId="38213" xr:uid="{00000000-0005-0000-0000-00003C950000}"/>
    <cellStyle name="Normal 3 38 2" xfId="38214" xr:uid="{00000000-0005-0000-0000-00003D950000}"/>
    <cellStyle name="Normal 3 38 2 10" xfId="38215" xr:uid="{00000000-0005-0000-0000-00003E950000}"/>
    <cellStyle name="Normal 3 38 2 10 2" xfId="38216" xr:uid="{00000000-0005-0000-0000-00003F950000}"/>
    <cellStyle name="Normal 3 38 2 10 3" xfId="38217" xr:uid="{00000000-0005-0000-0000-000040950000}"/>
    <cellStyle name="Normal 3 38 2 11" xfId="38218" xr:uid="{00000000-0005-0000-0000-000041950000}"/>
    <cellStyle name="Normal 3 38 2 11 2" xfId="38219" xr:uid="{00000000-0005-0000-0000-000042950000}"/>
    <cellStyle name="Normal 3 38 2 11 3" xfId="38220" xr:uid="{00000000-0005-0000-0000-000043950000}"/>
    <cellStyle name="Normal 3 38 2 12" xfId="38221" xr:uid="{00000000-0005-0000-0000-000044950000}"/>
    <cellStyle name="Normal 3 38 2 12 2" xfId="38222" xr:uid="{00000000-0005-0000-0000-000045950000}"/>
    <cellStyle name="Normal 3 38 2 12 3" xfId="38223" xr:uid="{00000000-0005-0000-0000-000046950000}"/>
    <cellStyle name="Normal 3 38 2 13" xfId="38224" xr:uid="{00000000-0005-0000-0000-000047950000}"/>
    <cellStyle name="Normal 3 38 2 13 2" xfId="38225" xr:uid="{00000000-0005-0000-0000-000048950000}"/>
    <cellStyle name="Normal 3 38 2 13 3" xfId="38226" xr:uid="{00000000-0005-0000-0000-000049950000}"/>
    <cellStyle name="Normal 3 38 2 14" xfId="38227" xr:uid="{00000000-0005-0000-0000-00004A950000}"/>
    <cellStyle name="Normal 3 38 2 14 2" xfId="38228" xr:uid="{00000000-0005-0000-0000-00004B950000}"/>
    <cellStyle name="Normal 3 38 2 14 3" xfId="38229" xr:uid="{00000000-0005-0000-0000-00004C950000}"/>
    <cellStyle name="Normal 3 38 2 15" xfId="38230" xr:uid="{00000000-0005-0000-0000-00004D950000}"/>
    <cellStyle name="Normal 3 38 2 15 2" xfId="38231" xr:uid="{00000000-0005-0000-0000-00004E950000}"/>
    <cellStyle name="Normal 3 38 2 15 3" xfId="38232" xr:uid="{00000000-0005-0000-0000-00004F950000}"/>
    <cellStyle name="Normal 3 38 2 16" xfId="38233" xr:uid="{00000000-0005-0000-0000-000050950000}"/>
    <cellStyle name="Normal 3 38 2 17" xfId="38234" xr:uid="{00000000-0005-0000-0000-000051950000}"/>
    <cellStyle name="Normal 3 38 2 2" xfId="38235" xr:uid="{00000000-0005-0000-0000-000052950000}"/>
    <cellStyle name="Normal 3 38 2 2 10" xfId="38236" xr:uid="{00000000-0005-0000-0000-000053950000}"/>
    <cellStyle name="Normal 3 38 2 2 10 2" xfId="38237" xr:uid="{00000000-0005-0000-0000-000054950000}"/>
    <cellStyle name="Normal 3 38 2 2 10 3" xfId="38238" xr:uid="{00000000-0005-0000-0000-000055950000}"/>
    <cellStyle name="Normal 3 38 2 2 11" xfId="38239" xr:uid="{00000000-0005-0000-0000-000056950000}"/>
    <cellStyle name="Normal 3 38 2 2 11 2" xfId="38240" xr:uid="{00000000-0005-0000-0000-000057950000}"/>
    <cellStyle name="Normal 3 38 2 2 11 3" xfId="38241" xr:uid="{00000000-0005-0000-0000-000058950000}"/>
    <cellStyle name="Normal 3 38 2 2 12" xfId="38242" xr:uid="{00000000-0005-0000-0000-000059950000}"/>
    <cellStyle name="Normal 3 38 2 2 12 2" xfId="38243" xr:uid="{00000000-0005-0000-0000-00005A950000}"/>
    <cellStyle name="Normal 3 38 2 2 12 3" xfId="38244" xr:uid="{00000000-0005-0000-0000-00005B950000}"/>
    <cellStyle name="Normal 3 38 2 2 13" xfId="38245" xr:uid="{00000000-0005-0000-0000-00005C950000}"/>
    <cellStyle name="Normal 3 38 2 2 13 2" xfId="38246" xr:uid="{00000000-0005-0000-0000-00005D950000}"/>
    <cellStyle name="Normal 3 38 2 2 13 3" xfId="38247" xr:uid="{00000000-0005-0000-0000-00005E950000}"/>
    <cellStyle name="Normal 3 38 2 2 14" xfId="38248" xr:uid="{00000000-0005-0000-0000-00005F950000}"/>
    <cellStyle name="Normal 3 38 2 2 14 2" xfId="38249" xr:uid="{00000000-0005-0000-0000-000060950000}"/>
    <cellStyle name="Normal 3 38 2 2 14 3" xfId="38250" xr:uid="{00000000-0005-0000-0000-000061950000}"/>
    <cellStyle name="Normal 3 38 2 2 15" xfId="38251" xr:uid="{00000000-0005-0000-0000-000062950000}"/>
    <cellStyle name="Normal 3 38 2 2 16" xfId="38252" xr:uid="{00000000-0005-0000-0000-000063950000}"/>
    <cellStyle name="Normal 3 38 2 2 2" xfId="38253" xr:uid="{00000000-0005-0000-0000-000064950000}"/>
    <cellStyle name="Normal 3 38 2 2 2 2" xfId="38254" xr:uid="{00000000-0005-0000-0000-000065950000}"/>
    <cellStyle name="Normal 3 38 2 2 2 3" xfId="38255" xr:uid="{00000000-0005-0000-0000-000066950000}"/>
    <cellStyle name="Normal 3 38 2 2 3" xfId="38256" xr:uid="{00000000-0005-0000-0000-000067950000}"/>
    <cellStyle name="Normal 3 38 2 2 3 2" xfId="38257" xr:uid="{00000000-0005-0000-0000-000068950000}"/>
    <cellStyle name="Normal 3 38 2 2 3 3" xfId="38258" xr:uid="{00000000-0005-0000-0000-000069950000}"/>
    <cellStyle name="Normal 3 38 2 2 4" xfId="38259" xr:uid="{00000000-0005-0000-0000-00006A950000}"/>
    <cellStyle name="Normal 3 38 2 2 4 2" xfId="38260" xr:uid="{00000000-0005-0000-0000-00006B950000}"/>
    <cellStyle name="Normal 3 38 2 2 4 3" xfId="38261" xr:uid="{00000000-0005-0000-0000-00006C950000}"/>
    <cellStyle name="Normal 3 38 2 2 5" xfId="38262" xr:uid="{00000000-0005-0000-0000-00006D950000}"/>
    <cellStyle name="Normal 3 38 2 2 5 2" xfId="38263" xr:uid="{00000000-0005-0000-0000-00006E950000}"/>
    <cellStyle name="Normal 3 38 2 2 5 3" xfId="38264" xr:uid="{00000000-0005-0000-0000-00006F950000}"/>
    <cellStyle name="Normal 3 38 2 2 6" xfId="38265" xr:uid="{00000000-0005-0000-0000-000070950000}"/>
    <cellStyle name="Normal 3 38 2 2 6 2" xfId="38266" xr:uid="{00000000-0005-0000-0000-000071950000}"/>
    <cellStyle name="Normal 3 38 2 2 6 3" xfId="38267" xr:uid="{00000000-0005-0000-0000-000072950000}"/>
    <cellStyle name="Normal 3 38 2 2 7" xfId="38268" xr:uid="{00000000-0005-0000-0000-000073950000}"/>
    <cellStyle name="Normal 3 38 2 2 7 2" xfId="38269" xr:uid="{00000000-0005-0000-0000-000074950000}"/>
    <cellStyle name="Normal 3 38 2 2 7 3" xfId="38270" xr:uid="{00000000-0005-0000-0000-000075950000}"/>
    <cellStyle name="Normal 3 38 2 2 8" xfId="38271" xr:uid="{00000000-0005-0000-0000-000076950000}"/>
    <cellStyle name="Normal 3 38 2 2 8 2" xfId="38272" xr:uid="{00000000-0005-0000-0000-000077950000}"/>
    <cellStyle name="Normal 3 38 2 2 8 3" xfId="38273" xr:uid="{00000000-0005-0000-0000-000078950000}"/>
    <cellStyle name="Normal 3 38 2 2 9" xfId="38274" xr:uid="{00000000-0005-0000-0000-000079950000}"/>
    <cellStyle name="Normal 3 38 2 2 9 2" xfId="38275" xr:uid="{00000000-0005-0000-0000-00007A950000}"/>
    <cellStyle name="Normal 3 38 2 2 9 3" xfId="38276" xr:uid="{00000000-0005-0000-0000-00007B950000}"/>
    <cellStyle name="Normal 3 38 2 3" xfId="38277" xr:uid="{00000000-0005-0000-0000-00007C950000}"/>
    <cellStyle name="Normal 3 38 2 3 2" xfId="38278" xr:uid="{00000000-0005-0000-0000-00007D950000}"/>
    <cellStyle name="Normal 3 38 2 3 3" xfId="38279" xr:uid="{00000000-0005-0000-0000-00007E950000}"/>
    <cellStyle name="Normal 3 38 2 4" xfId="38280" xr:uid="{00000000-0005-0000-0000-00007F950000}"/>
    <cellStyle name="Normal 3 38 2 4 2" xfId="38281" xr:uid="{00000000-0005-0000-0000-000080950000}"/>
    <cellStyle name="Normal 3 38 2 4 3" xfId="38282" xr:uid="{00000000-0005-0000-0000-000081950000}"/>
    <cellStyle name="Normal 3 38 2 5" xfId="38283" xr:uid="{00000000-0005-0000-0000-000082950000}"/>
    <cellStyle name="Normal 3 38 2 5 2" xfId="38284" xr:uid="{00000000-0005-0000-0000-000083950000}"/>
    <cellStyle name="Normal 3 38 2 5 3" xfId="38285" xr:uid="{00000000-0005-0000-0000-000084950000}"/>
    <cellStyle name="Normal 3 38 2 6" xfId="38286" xr:uid="{00000000-0005-0000-0000-000085950000}"/>
    <cellStyle name="Normal 3 38 2 6 2" xfId="38287" xr:uid="{00000000-0005-0000-0000-000086950000}"/>
    <cellStyle name="Normal 3 38 2 6 3" xfId="38288" xr:uid="{00000000-0005-0000-0000-000087950000}"/>
    <cellStyle name="Normal 3 38 2 7" xfId="38289" xr:uid="{00000000-0005-0000-0000-000088950000}"/>
    <cellStyle name="Normal 3 38 2 7 2" xfId="38290" xr:uid="{00000000-0005-0000-0000-000089950000}"/>
    <cellStyle name="Normal 3 38 2 7 3" xfId="38291" xr:uid="{00000000-0005-0000-0000-00008A950000}"/>
    <cellStyle name="Normal 3 38 2 8" xfId="38292" xr:uid="{00000000-0005-0000-0000-00008B950000}"/>
    <cellStyle name="Normal 3 38 2 8 2" xfId="38293" xr:uid="{00000000-0005-0000-0000-00008C950000}"/>
    <cellStyle name="Normal 3 38 2 8 3" xfId="38294" xr:uid="{00000000-0005-0000-0000-00008D950000}"/>
    <cellStyle name="Normal 3 38 2 9" xfId="38295" xr:uid="{00000000-0005-0000-0000-00008E950000}"/>
    <cellStyle name="Normal 3 38 2 9 2" xfId="38296" xr:uid="{00000000-0005-0000-0000-00008F950000}"/>
    <cellStyle name="Normal 3 38 2 9 3" xfId="38297" xr:uid="{00000000-0005-0000-0000-000090950000}"/>
    <cellStyle name="Normal 3 38 20" xfId="38298" xr:uid="{00000000-0005-0000-0000-000091950000}"/>
    <cellStyle name="Normal 3 38 20 2" xfId="38299" xr:uid="{00000000-0005-0000-0000-000092950000}"/>
    <cellStyle name="Normal 3 38 20 3" xfId="38300" xr:uid="{00000000-0005-0000-0000-000093950000}"/>
    <cellStyle name="Normal 3 38 21" xfId="38301" xr:uid="{00000000-0005-0000-0000-000094950000}"/>
    <cellStyle name="Normal 3 38 21 2" xfId="38302" xr:uid="{00000000-0005-0000-0000-000095950000}"/>
    <cellStyle name="Normal 3 38 21 3" xfId="38303" xr:uid="{00000000-0005-0000-0000-000096950000}"/>
    <cellStyle name="Normal 3 38 22" xfId="38304" xr:uid="{00000000-0005-0000-0000-000097950000}"/>
    <cellStyle name="Normal 3 38 22 2" xfId="38305" xr:uid="{00000000-0005-0000-0000-000098950000}"/>
    <cellStyle name="Normal 3 38 22 3" xfId="38306" xr:uid="{00000000-0005-0000-0000-000099950000}"/>
    <cellStyle name="Normal 3 38 23" xfId="38307" xr:uid="{00000000-0005-0000-0000-00009A950000}"/>
    <cellStyle name="Normal 3 38 23 2" xfId="38308" xr:uid="{00000000-0005-0000-0000-00009B950000}"/>
    <cellStyle name="Normal 3 38 23 3" xfId="38309" xr:uid="{00000000-0005-0000-0000-00009C950000}"/>
    <cellStyle name="Normal 3 38 24" xfId="38310" xr:uid="{00000000-0005-0000-0000-00009D950000}"/>
    <cellStyle name="Normal 3 38 25" xfId="38311" xr:uid="{00000000-0005-0000-0000-00009E950000}"/>
    <cellStyle name="Normal 3 38 3" xfId="38312" xr:uid="{00000000-0005-0000-0000-00009F950000}"/>
    <cellStyle name="Normal 3 38 3 10" xfId="38313" xr:uid="{00000000-0005-0000-0000-0000A0950000}"/>
    <cellStyle name="Normal 3 38 3 10 2" xfId="38314" xr:uid="{00000000-0005-0000-0000-0000A1950000}"/>
    <cellStyle name="Normal 3 38 3 10 3" xfId="38315" xr:uid="{00000000-0005-0000-0000-0000A2950000}"/>
    <cellStyle name="Normal 3 38 3 11" xfId="38316" xr:uid="{00000000-0005-0000-0000-0000A3950000}"/>
    <cellStyle name="Normal 3 38 3 11 2" xfId="38317" xr:uid="{00000000-0005-0000-0000-0000A4950000}"/>
    <cellStyle name="Normal 3 38 3 11 3" xfId="38318" xr:uid="{00000000-0005-0000-0000-0000A5950000}"/>
    <cellStyle name="Normal 3 38 3 12" xfId="38319" xr:uid="{00000000-0005-0000-0000-0000A6950000}"/>
    <cellStyle name="Normal 3 38 3 12 2" xfId="38320" xr:uid="{00000000-0005-0000-0000-0000A7950000}"/>
    <cellStyle name="Normal 3 38 3 12 3" xfId="38321" xr:uid="{00000000-0005-0000-0000-0000A8950000}"/>
    <cellStyle name="Normal 3 38 3 13" xfId="38322" xr:uid="{00000000-0005-0000-0000-0000A9950000}"/>
    <cellStyle name="Normal 3 38 3 13 2" xfId="38323" xr:uid="{00000000-0005-0000-0000-0000AA950000}"/>
    <cellStyle name="Normal 3 38 3 13 3" xfId="38324" xr:uid="{00000000-0005-0000-0000-0000AB950000}"/>
    <cellStyle name="Normal 3 38 3 14" xfId="38325" xr:uid="{00000000-0005-0000-0000-0000AC950000}"/>
    <cellStyle name="Normal 3 38 3 14 2" xfId="38326" xr:uid="{00000000-0005-0000-0000-0000AD950000}"/>
    <cellStyle name="Normal 3 38 3 14 3" xfId="38327" xr:uid="{00000000-0005-0000-0000-0000AE950000}"/>
    <cellStyle name="Normal 3 38 3 15" xfId="38328" xr:uid="{00000000-0005-0000-0000-0000AF950000}"/>
    <cellStyle name="Normal 3 38 3 15 2" xfId="38329" xr:uid="{00000000-0005-0000-0000-0000B0950000}"/>
    <cellStyle name="Normal 3 38 3 15 3" xfId="38330" xr:uid="{00000000-0005-0000-0000-0000B1950000}"/>
    <cellStyle name="Normal 3 38 3 16" xfId="38331" xr:uid="{00000000-0005-0000-0000-0000B2950000}"/>
    <cellStyle name="Normal 3 38 3 17" xfId="38332" xr:uid="{00000000-0005-0000-0000-0000B3950000}"/>
    <cellStyle name="Normal 3 38 3 2" xfId="38333" xr:uid="{00000000-0005-0000-0000-0000B4950000}"/>
    <cellStyle name="Normal 3 38 3 2 10" xfId="38334" xr:uid="{00000000-0005-0000-0000-0000B5950000}"/>
    <cellStyle name="Normal 3 38 3 2 10 2" xfId="38335" xr:uid="{00000000-0005-0000-0000-0000B6950000}"/>
    <cellStyle name="Normal 3 38 3 2 10 3" xfId="38336" xr:uid="{00000000-0005-0000-0000-0000B7950000}"/>
    <cellStyle name="Normal 3 38 3 2 11" xfId="38337" xr:uid="{00000000-0005-0000-0000-0000B8950000}"/>
    <cellStyle name="Normal 3 38 3 2 11 2" xfId="38338" xr:uid="{00000000-0005-0000-0000-0000B9950000}"/>
    <cellStyle name="Normal 3 38 3 2 11 3" xfId="38339" xr:uid="{00000000-0005-0000-0000-0000BA950000}"/>
    <cellStyle name="Normal 3 38 3 2 12" xfId="38340" xr:uid="{00000000-0005-0000-0000-0000BB950000}"/>
    <cellStyle name="Normal 3 38 3 2 12 2" xfId="38341" xr:uid="{00000000-0005-0000-0000-0000BC950000}"/>
    <cellStyle name="Normal 3 38 3 2 12 3" xfId="38342" xr:uid="{00000000-0005-0000-0000-0000BD950000}"/>
    <cellStyle name="Normal 3 38 3 2 13" xfId="38343" xr:uid="{00000000-0005-0000-0000-0000BE950000}"/>
    <cellStyle name="Normal 3 38 3 2 13 2" xfId="38344" xr:uid="{00000000-0005-0000-0000-0000BF950000}"/>
    <cellStyle name="Normal 3 38 3 2 13 3" xfId="38345" xr:uid="{00000000-0005-0000-0000-0000C0950000}"/>
    <cellStyle name="Normal 3 38 3 2 14" xfId="38346" xr:uid="{00000000-0005-0000-0000-0000C1950000}"/>
    <cellStyle name="Normal 3 38 3 2 14 2" xfId="38347" xr:uid="{00000000-0005-0000-0000-0000C2950000}"/>
    <cellStyle name="Normal 3 38 3 2 14 3" xfId="38348" xr:uid="{00000000-0005-0000-0000-0000C3950000}"/>
    <cellStyle name="Normal 3 38 3 2 15" xfId="38349" xr:uid="{00000000-0005-0000-0000-0000C4950000}"/>
    <cellStyle name="Normal 3 38 3 2 16" xfId="38350" xr:uid="{00000000-0005-0000-0000-0000C5950000}"/>
    <cellStyle name="Normal 3 38 3 2 2" xfId="38351" xr:uid="{00000000-0005-0000-0000-0000C6950000}"/>
    <cellStyle name="Normal 3 38 3 2 2 2" xfId="38352" xr:uid="{00000000-0005-0000-0000-0000C7950000}"/>
    <cellStyle name="Normal 3 38 3 2 2 3" xfId="38353" xr:uid="{00000000-0005-0000-0000-0000C8950000}"/>
    <cellStyle name="Normal 3 38 3 2 3" xfId="38354" xr:uid="{00000000-0005-0000-0000-0000C9950000}"/>
    <cellStyle name="Normal 3 38 3 2 3 2" xfId="38355" xr:uid="{00000000-0005-0000-0000-0000CA950000}"/>
    <cellStyle name="Normal 3 38 3 2 3 3" xfId="38356" xr:uid="{00000000-0005-0000-0000-0000CB950000}"/>
    <cellStyle name="Normal 3 38 3 2 4" xfId="38357" xr:uid="{00000000-0005-0000-0000-0000CC950000}"/>
    <cellStyle name="Normal 3 38 3 2 4 2" xfId="38358" xr:uid="{00000000-0005-0000-0000-0000CD950000}"/>
    <cellStyle name="Normal 3 38 3 2 4 3" xfId="38359" xr:uid="{00000000-0005-0000-0000-0000CE950000}"/>
    <cellStyle name="Normal 3 38 3 2 5" xfId="38360" xr:uid="{00000000-0005-0000-0000-0000CF950000}"/>
    <cellStyle name="Normal 3 38 3 2 5 2" xfId="38361" xr:uid="{00000000-0005-0000-0000-0000D0950000}"/>
    <cellStyle name="Normal 3 38 3 2 5 3" xfId="38362" xr:uid="{00000000-0005-0000-0000-0000D1950000}"/>
    <cellStyle name="Normal 3 38 3 2 6" xfId="38363" xr:uid="{00000000-0005-0000-0000-0000D2950000}"/>
    <cellStyle name="Normal 3 38 3 2 6 2" xfId="38364" xr:uid="{00000000-0005-0000-0000-0000D3950000}"/>
    <cellStyle name="Normal 3 38 3 2 6 3" xfId="38365" xr:uid="{00000000-0005-0000-0000-0000D4950000}"/>
    <cellStyle name="Normal 3 38 3 2 7" xfId="38366" xr:uid="{00000000-0005-0000-0000-0000D5950000}"/>
    <cellStyle name="Normal 3 38 3 2 7 2" xfId="38367" xr:uid="{00000000-0005-0000-0000-0000D6950000}"/>
    <cellStyle name="Normal 3 38 3 2 7 3" xfId="38368" xr:uid="{00000000-0005-0000-0000-0000D7950000}"/>
    <cellStyle name="Normal 3 38 3 2 8" xfId="38369" xr:uid="{00000000-0005-0000-0000-0000D8950000}"/>
    <cellStyle name="Normal 3 38 3 2 8 2" xfId="38370" xr:uid="{00000000-0005-0000-0000-0000D9950000}"/>
    <cellStyle name="Normal 3 38 3 2 8 3" xfId="38371" xr:uid="{00000000-0005-0000-0000-0000DA950000}"/>
    <cellStyle name="Normal 3 38 3 2 9" xfId="38372" xr:uid="{00000000-0005-0000-0000-0000DB950000}"/>
    <cellStyle name="Normal 3 38 3 2 9 2" xfId="38373" xr:uid="{00000000-0005-0000-0000-0000DC950000}"/>
    <cellStyle name="Normal 3 38 3 2 9 3" xfId="38374" xr:uid="{00000000-0005-0000-0000-0000DD950000}"/>
    <cellStyle name="Normal 3 38 3 3" xfId="38375" xr:uid="{00000000-0005-0000-0000-0000DE950000}"/>
    <cellStyle name="Normal 3 38 3 3 2" xfId="38376" xr:uid="{00000000-0005-0000-0000-0000DF950000}"/>
    <cellStyle name="Normal 3 38 3 3 3" xfId="38377" xr:uid="{00000000-0005-0000-0000-0000E0950000}"/>
    <cellStyle name="Normal 3 38 3 4" xfId="38378" xr:uid="{00000000-0005-0000-0000-0000E1950000}"/>
    <cellStyle name="Normal 3 38 3 4 2" xfId="38379" xr:uid="{00000000-0005-0000-0000-0000E2950000}"/>
    <cellStyle name="Normal 3 38 3 4 3" xfId="38380" xr:uid="{00000000-0005-0000-0000-0000E3950000}"/>
    <cellStyle name="Normal 3 38 3 5" xfId="38381" xr:uid="{00000000-0005-0000-0000-0000E4950000}"/>
    <cellStyle name="Normal 3 38 3 5 2" xfId="38382" xr:uid="{00000000-0005-0000-0000-0000E5950000}"/>
    <cellStyle name="Normal 3 38 3 5 3" xfId="38383" xr:uid="{00000000-0005-0000-0000-0000E6950000}"/>
    <cellStyle name="Normal 3 38 3 6" xfId="38384" xr:uid="{00000000-0005-0000-0000-0000E7950000}"/>
    <cellStyle name="Normal 3 38 3 6 2" xfId="38385" xr:uid="{00000000-0005-0000-0000-0000E8950000}"/>
    <cellStyle name="Normal 3 38 3 6 3" xfId="38386" xr:uid="{00000000-0005-0000-0000-0000E9950000}"/>
    <cellStyle name="Normal 3 38 3 7" xfId="38387" xr:uid="{00000000-0005-0000-0000-0000EA950000}"/>
    <cellStyle name="Normal 3 38 3 7 2" xfId="38388" xr:uid="{00000000-0005-0000-0000-0000EB950000}"/>
    <cellStyle name="Normal 3 38 3 7 3" xfId="38389" xr:uid="{00000000-0005-0000-0000-0000EC950000}"/>
    <cellStyle name="Normal 3 38 3 8" xfId="38390" xr:uid="{00000000-0005-0000-0000-0000ED950000}"/>
    <cellStyle name="Normal 3 38 3 8 2" xfId="38391" xr:uid="{00000000-0005-0000-0000-0000EE950000}"/>
    <cellStyle name="Normal 3 38 3 8 3" xfId="38392" xr:uid="{00000000-0005-0000-0000-0000EF950000}"/>
    <cellStyle name="Normal 3 38 3 9" xfId="38393" xr:uid="{00000000-0005-0000-0000-0000F0950000}"/>
    <cellStyle name="Normal 3 38 3 9 2" xfId="38394" xr:uid="{00000000-0005-0000-0000-0000F1950000}"/>
    <cellStyle name="Normal 3 38 3 9 3" xfId="38395" xr:uid="{00000000-0005-0000-0000-0000F2950000}"/>
    <cellStyle name="Normal 3 38 4" xfId="38396" xr:uid="{00000000-0005-0000-0000-0000F3950000}"/>
    <cellStyle name="Normal 3 38 4 10" xfId="38397" xr:uid="{00000000-0005-0000-0000-0000F4950000}"/>
    <cellStyle name="Normal 3 38 4 10 2" xfId="38398" xr:uid="{00000000-0005-0000-0000-0000F5950000}"/>
    <cellStyle name="Normal 3 38 4 10 3" xfId="38399" xr:uid="{00000000-0005-0000-0000-0000F6950000}"/>
    <cellStyle name="Normal 3 38 4 11" xfId="38400" xr:uid="{00000000-0005-0000-0000-0000F7950000}"/>
    <cellStyle name="Normal 3 38 4 11 2" xfId="38401" xr:uid="{00000000-0005-0000-0000-0000F8950000}"/>
    <cellStyle name="Normal 3 38 4 11 3" xfId="38402" xr:uid="{00000000-0005-0000-0000-0000F9950000}"/>
    <cellStyle name="Normal 3 38 4 12" xfId="38403" xr:uid="{00000000-0005-0000-0000-0000FA950000}"/>
    <cellStyle name="Normal 3 38 4 12 2" xfId="38404" xr:uid="{00000000-0005-0000-0000-0000FB950000}"/>
    <cellStyle name="Normal 3 38 4 12 3" xfId="38405" xr:uid="{00000000-0005-0000-0000-0000FC950000}"/>
    <cellStyle name="Normal 3 38 4 13" xfId="38406" xr:uid="{00000000-0005-0000-0000-0000FD950000}"/>
    <cellStyle name="Normal 3 38 4 13 2" xfId="38407" xr:uid="{00000000-0005-0000-0000-0000FE950000}"/>
    <cellStyle name="Normal 3 38 4 13 3" xfId="38408" xr:uid="{00000000-0005-0000-0000-0000FF950000}"/>
    <cellStyle name="Normal 3 38 4 14" xfId="38409" xr:uid="{00000000-0005-0000-0000-000000960000}"/>
    <cellStyle name="Normal 3 38 4 14 2" xfId="38410" xr:uid="{00000000-0005-0000-0000-000001960000}"/>
    <cellStyle name="Normal 3 38 4 14 3" xfId="38411" xr:uid="{00000000-0005-0000-0000-000002960000}"/>
    <cellStyle name="Normal 3 38 4 15" xfId="38412" xr:uid="{00000000-0005-0000-0000-000003960000}"/>
    <cellStyle name="Normal 3 38 4 15 2" xfId="38413" xr:uid="{00000000-0005-0000-0000-000004960000}"/>
    <cellStyle name="Normal 3 38 4 15 3" xfId="38414" xr:uid="{00000000-0005-0000-0000-000005960000}"/>
    <cellStyle name="Normal 3 38 4 16" xfId="38415" xr:uid="{00000000-0005-0000-0000-000006960000}"/>
    <cellStyle name="Normal 3 38 4 17" xfId="38416" xr:uid="{00000000-0005-0000-0000-000007960000}"/>
    <cellStyle name="Normal 3 38 4 2" xfId="38417" xr:uid="{00000000-0005-0000-0000-000008960000}"/>
    <cellStyle name="Normal 3 38 4 2 10" xfId="38418" xr:uid="{00000000-0005-0000-0000-000009960000}"/>
    <cellStyle name="Normal 3 38 4 2 10 2" xfId="38419" xr:uid="{00000000-0005-0000-0000-00000A960000}"/>
    <cellStyle name="Normal 3 38 4 2 10 3" xfId="38420" xr:uid="{00000000-0005-0000-0000-00000B960000}"/>
    <cellStyle name="Normal 3 38 4 2 11" xfId="38421" xr:uid="{00000000-0005-0000-0000-00000C960000}"/>
    <cellStyle name="Normal 3 38 4 2 11 2" xfId="38422" xr:uid="{00000000-0005-0000-0000-00000D960000}"/>
    <cellStyle name="Normal 3 38 4 2 11 3" xfId="38423" xr:uid="{00000000-0005-0000-0000-00000E960000}"/>
    <cellStyle name="Normal 3 38 4 2 12" xfId="38424" xr:uid="{00000000-0005-0000-0000-00000F960000}"/>
    <cellStyle name="Normal 3 38 4 2 12 2" xfId="38425" xr:uid="{00000000-0005-0000-0000-000010960000}"/>
    <cellStyle name="Normal 3 38 4 2 12 3" xfId="38426" xr:uid="{00000000-0005-0000-0000-000011960000}"/>
    <cellStyle name="Normal 3 38 4 2 13" xfId="38427" xr:uid="{00000000-0005-0000-0000-000012960000}"/>
    <cellStyle name="Normal 3 38 4 2 13 2" xfId="38428" xr:uid="{00000000-0005-0000-0000-000013960000}"/>
    <cellStyle name="Normal 3 38 4 2 13 3" xfId="38429" xr:uid="{00000000-0005-0000-0000-000014960000}"/>
    <cellStyle name="Normal 3 38 4 2 14" xfId="38430" xr:uid="{00000000-0005-0000-0000-000015960000}"/>
    <cellStyle name="Normal 3 38 4 2 14 2" xfId="38431" xr:uid="{00000000-0005-0000-0000-000016960000}"/>
    <cellStyle name="Normal 3 38 4 2 14 3" xfId="38432" xr:uid="{00000000-0005-0000-0000-000017960000}"/>
    <cellStyle name="Normal 3 38 4 2 15" xfId="38433" xr:uid="{00000000-0005-0000-0000-000018960000}"/>
    <cellStyle name="Normal 3 38 4 2 16" xfId="38434" xr:uid="{00000000-0005-0000-0000-000019960000}"/>
    <cellStyle name="Normal 3 38 4 2 2" xfId="38435" xr:uid="{00000000-0005-0000-0000-00001A960000}"/>
    <cellStyle name="Normal 3 38 4 2 2 2" xfId="38436" xr:uid="{00000000-0005-0000-0000-00001B960000}"/>
    <cellStyle name="Normal 3 38 4 2 2 3" xfId="38437" xr:uid="{00000000-0005-0000-0000-00001C960000}"/>
    <cellStyle name="Normal 3 38 4 2 3" xfId="38438" xr:uid="{00000000-0005-0000-0000-00001D960000}"/>
    <cellStyle name="Normal 3 38 4 2 3 2" xfId="38439" xr:uid="{00000000-0005-0000-0000-00001E960000}"/>
    <cellStyle name="Normal 3 38 4 2 3 3" xfId="38440" xr:uid="{00000000-0005-0000-0000-00001F960000}"/>
    <cellStyle name="Normal 3 38 4 2 4" xfId="38441" xr:uid="{00000000-0005-0000-0000-000020960000}"/>
    <cellStyle name="Normal 3 38 4 2 4 2" xfId="38442" xr:uid="{00000000-0005-0000-0000-000021960000}"/>
    <cellStyle name="Normal 3 38 4 2 4 3" xfId="38443" xr:uid="{00000000-0005-0000-0000-000022960000}"/>
    <cellStyle name="Normal 3 38 4 2 5" xfId="38444" xr:uid="{00000000-0005-0000-0000-000023960000}"/>
    <cellStyle name="Normal 3 38 4 2 5 2" xfId="38445" xr:uid="{00000000-0005-0000-0000-000024960000}"/>
    <cellStyle name="Normal 3 38 4 2 5 3" xfId="38446" xr:uid="{00000000-0005-0000-0000-000025960000}"/>
    <cellStyle name="Normal 3 38 4 2 6" xfId="38447" xr:uid="{00000000-0005-0000-0000-000026960000}"/>
    <cellStyle name="Normal 3 38 4 2 6 2" xfId="38448" xr:uid="{00000000-0005-0000-0000-000027960000}"/>
    <cellStyle name="Normal 3 38 4 2 6 3" xfId="38449" xr:uid="{00000000-0005-0000-0000-000028960000}"/>
    <cellStyle name="Normal 3 38 4 2 7" xfId="38450" xr:uid="{00000000-0005-0000-0000-000029960000}"/>
    <cellStyle name="Normal 3 38 4 2 7 2" xfId="38451" xr:uid="{00000000-0005-0000-0000-00002A960000}"/>
    <cellStyle name="Normal 3 38 4 2 7 3" xfId="38452" xr:uid="{00000000-0005-0000-0000-00002B960000}"/>
    <cellStyle name="Normal 3 38 4 2 8" xfId="38453" xr:uid="{00000000-0005-0000-0000-00002C960000}"/>
    <cellStyle name="Normal 3 38 4 2 8 2" xfId="38454" xr:uid="{00000000-0005-0000-0000-00002D960000}"/>
    <cellStyle name="Normal 3 38 4 2 8 3" xfId="38455" xr:uid="{00000000-0005-0000-0000-00002E960000}"/>
    <cellStyle name="Normal 3 38 4 2 9" xfId="38456" xr:uid="{00000000-0005-0000-0000-00002F960000}"/>
    <cellStyle name="Normal 3 38 4 2 9 2" xfId="38457" xr:uid="{00000000-0005-0000-0000-000030960000}"/>
    <cellStyle name="Normal 3 38 4 2 9 3" xfId="38458" xr:uid="{00000000-0005-0000-0000-000031960000}"/>
    <cellStyle name="Normal 3 38 4 3" xfId="38459" xr:uid="{00000000-0005-0000-0000-000032960000}"/>
    <cellStyle name="Normal 3 38 4 3 2" xfId="38460" xr:uid="{00000000-0005-0000-0000-000033960000}"/>
    <cellStyle name="Normal 3 38 4 3 3" xfId="38461" xr:uid="{00000000-0005-0000-0000-000034960000}"/>
    <cellStyle name="Normal 3 38 4 4" xfId="38462" xr:uid="{00000000-0005-0000-0000-000035960000}"/>
    <cellStyle name="Normal 3 38 4 4 2" xfId="38463" xr:uid="{00000000-0005-0000-0000-000036960000}"/>
    <cellStyle name="Normal 3 38 4 4 3" xfId="38464" xr:uid="{00000000-0005-0000-0000-000037960000}"/>
    <cellStyle name="Normal 3 38 4 5" xfId="38465" xr:uid="{00000000-0005-0000-0000-000038960000}"/>
    <cellStyle name="Normal 3 38 4 5 2" xfId="38466" xr:uid="{00000000-0005-0000-0000-000039960000}"/>
    <cellStyle name="Normal 3 38 4 5 3" xfId="38467" xr:uid="{00000000-0005-0000-0000-00003A960000}"/>
    <cellStyle name="Normal 3 38 4 6" xfId="38468" xr:uid="{00000000-0005-0000-0000-00003B960000}"/>
    <cellStyle name="Normal 3 38 4 6 2" xfId="38469" xr:uid="{00000000-0005-0000-0000-00003C960000}"/>
    <cellStyle name="Normal 3 38 4 6 3" xfId="38470" xr:uid="{00000000-0005-0000-0000-00003D960000}"/>
    <cellStyle name="Normal 3 38 4 7" xfId="38471" xr:uid="{00000000-0005-0000-0000-00003E960000}"/>
    <cellStyle name="Normal 3 38 4 7 2" xfId="38472" xr:uid="{00000000-0005-0000-0000-00003F960000}"/>
    <cellStyle name="Normal 3 38 4 7 3" xfId="38473" xr:uid="{00000000-0005-0000-0000-000040960000}"/>
    <cellStyle name="Normal 3 38 4 8" xfId="38474" xr:uid="{00000000-0005-0000-0000-000041960000}"/>
    <cellStyle name="Normal 3 38 4 8 2" xfId="38475" xr:uid="{00000000-0005-0000-0000-000042960000}"/>
    <cellStyle name="Normal 3 38 4 8 3" xfId="38476" xr:uid="{00000000-0005-0000-0000-000043960000}"/>
    <cellStyle name="Normal 3 38 4 9" xfId="38477" xr:uid="{00000000-0005-0000-0000-000044960000}"/>
    <cellStyle name="Normal 3 38 4 9 2" xfId="38478" xr:uid="{00000000-0005-0000-0000-000045960000}"/>
    <cellStyle name="Normal 3 38 4 9 3" xfId="38479" xr:uid="{00000000-0005-0000-0000-000046960000}"/>
    <cellStyle name="Normal 3 38 5" xfId="38480" xr:uid="{00000000-0005-0000-0000-000047960000}"/>
    <cellStyle name="Normal 3 38 5 10" xfId="38481" xr:uid="{00000000-0005-0000-0000-000048960000}"/>
    <cellStyle name="Normal 3 38 5 10 2" xfId="38482" xr:uid="{00000000-0005-0000-0000-000049960000}"/>
    <cellStyle name="Normal 3 38 5 10 3" xfId="38483" xr:uid="{00000000-0005-0000-0000-00004A960000}"/>
    <cellStyle name="Normal 3 38 5 11" xfId="38484" xr:uid="{00000000-0005-0000-0000-00004B960000}"/>
    <cellStyle name="Normal 3 38 5 11 2" xfId="38485" xr:uid="{00000000-0005-0000-0000-00004C960000}"/>
    <cellStyle name="Normal 3 38 5 11 3" xfId="38486" xr:uid="{00000000-0005-0000-0000-00004D960000}"/>
    <cellStyle name="Normal 3 38 5 12" xfId="38487" xr:uid="{00000000-0005-0000-0000-00004E960000}"/>
    <cellStyle name="Normal 3 38 5 12 2" xfId="38488" xr:uid="{00000000-0005-0000-0000-00004F960000}"/>
    <cellStyle name="Normal 3 38 5 12 3" xfId="38489" xr:uid="{00000000-0005-0000-0000-000050960000}"/>
    <cellStyle name="Normal 3 38 5 13" xfId="38490" xr:uid="{00000000-0005-0000-0000-000051960000}"/>
    <cellStyle name="Normal 3 38 5 13 2" xfId="38491" xr:uid="{00000000-0005-0000-0000-000052960000}"/>
    <cellStyle name="Normal 3 38 5 13 3" xfId="38492" xr:uid="{00000000-0005-0000-0000-000053960000}"/>
    <cellStyle name="Normal 3 38 5 14" xfId="38493" xr:uid="{00000000-0005-0000-0000-000054960000}"/>
    <cellStyle name="Normal 3 38 5 14 2" xfId="38494" xr:uid="{00000000-0005-0000-0000-000055960000}"/>
    <cellStyle name="Normal 3 38 5 14 3" xfId="38495" xr:uid="{00000000-0005-0000-0000-000056960000}"/>
    <cellStyle name="Normal 3 38 5 15" xfId="38496" xr:uid="{00000000-0005-0000-0000-000057960000}"/>
    <cellStyle name="Normal 3 38 5 16" xfId="38497" xr:uid="{00000000-0005-0000-0000-000058960000}"/>
    <cellStyle name="Normal 3 38 5 2" xfId="38498" xr:uid="{00000000-0005-0000-0000-000059960000}"/>
    <cellStyle name="Normal 3 38 5 2 2" xfId="38499" xr:uid="{00000000-0005-0000-0000-00005A960000}"/>
    <cellStyle name="Normal 3 38 5 2 3" xfId="38500" xr:uid="{00000000-0005-0000-0000-00005B960000}"/>
    <cellStyle name="Normal 3 38 5 3" xfId="38501" xr:uid="{00000000-0005-0000-0000-00005C960000}"/>
    <cellStyle name="Normal 3 38 5 3 2" xfId="38502" xr:uid="{00000000-0005-0000-0000-00005D960000}"/>
    <cellStyle name="Normal 3 38 5 3 3" xfId="38503" xr:uid="{00000000-0005-0000-0000-00005E960000}"/>
    <cellStyle name="Normal 3 38 5 4" xfId="38504" xr:uid="{00000000-0005-0000-0000-00005F960000}"/>
    <cellStyle name="Normal 3 38 5 4 2" xfId="38505" xr:uid="{00000000-0005-0000-0000-000060960000}"/>
    <cellStyle name="Normal 3 38 5 4 3" xfId="38506" xr:uid="{00000000-0005-0000-0000-000061960000}"/>
    <cellStyle name="Normal 3 38 5 5" xfId="38507" xr:uid="{00000000-0005-0000-0000-000062960000}"/>
    <cellStyle name="Normal 3 38 5 5 2" xfId="38508" xr:uid="{00000000-0005-0000-0000-000063960000}"/>
    <cellStyle name="Normal 3 38 5 5 3" xfId="38509" xr:uid="{00000000-0005-0000-0000-000064960000}"/>
    <cellStyle name="Normal 3 38 5 6" xfId="38510" xr:uid="{00000000-0005-0000-0000-000065960000}"/>
    <cellStyle name="Normal 3 38 5 6 2" xfId="38511" xr:uid="{00000000-0005-0000-0000-000066960000}"/>
    <cellStyle name="Normal 3 38 5 6 3" xfId="38512" xr:uid="{00000000-0005-0000-0000-000067960000}"/>
    <cellStyle name="Normal 3 38 5 7" xfId="38513" xr:uid="{00000000-0005-0000-0000-000068960000}"/>
    <cellStyle name="Normal 3 38 5 7 2" xfId="38514" xr:uid="{00000000-0005-0000-0000-000069960000}"/>
    <cellStyle name="Normal 3 38 5 7 3" xfId="38515" xr:uid="{00000000-0005-0000-0000-00006A960000}"/>
    <cellStyle name="Normal 3 38 5 8" xfId="38516" xr:uid="{00000000-0005-0000-0000-00006B960000}"/>
    <cellStyle name="Normal 3 38 5 8 2" xfId="38517" xr:uid="{00000000-0005-0000-0000-00006C960000}"/>
    <cellStyle name="Normal 3 38 5 8 3" xfId="38518" xr:uid="{00000000-0005-0000-0000-00006D960000}"/>
    <cellStyle name="Normal 3 38 5 9" xfId="38519" xr:uid="{00000000-0005-0000-0000-00006E960000}"/>
    <cellStyle name="Normal 3 38 5 9 2" xfId="38520" xr:uid="{00000000-0005-0000-0000-00006F960000}"/>
    <cellStyle name="Normal 3 38 5 9 3" xfId="38521" xr:uid="{00000000-0005-0000-0000-000070960000}"/>
    <cellStyle name="Normal 3 38 6" xfId="38522" xr:uid="{00000000-0005-0000-0000-000071960000}"/>
    <cellStyle name="Normal 3 38 6 10" xfId="38523" xr:uid="{00000000-0005-0000-0000-000072960000}"/>
    <cellStyle name="Normal 3 38 6 10 2" xfId="38524" xr:uid="{00000000-0005-0000-0000-000073960000}"/>
    <cellStyle name="Normal 3 38 6 10 3" xfId="38525" xr:uid="{00000000-0005-0000-0000-000074960000}"/>
    <cellStyle name="Normal 3 38 6 11" xfId="38526" xr:uid="{00000000-0005-0000-0000-000075960000}"/>
    <cellStyle name="Normal 3 38 6 11 2" xfId="38527" xr:uid="{00000000-0005-0000-0000-000076960000}"/>
    <cellStyle name="Normal 3 38 6 11 3" xfId="38528" xr:uid="{00000000-0005-0000-0000-000077960000}"/>
    <cellStyle name="Normal 3 38 6 12" xfId="38529" xr:uid="{00000000-0005-0000-0000-000078960000}"/>
    <cellStyle name="Normal 3 38 6 12 2" xfId="38530" xr:uid="{00000000-0005-0000-0000-000079960000}"/>
    <cellStyle name="Normal 3 38 6 12 3" xfId="38531" xr:uid="{00000000-0005-0000-0000-00007A960000}"/>
    <cellStyle name="Normal 3 38 6 13" xfId="38532" xr:uid="{00000000-0005-0000-0000-00007B960000}"/>
    <cellStyle name="Normal 3 38 6 13 2" xfId="38533" xr:uid="{00000000-0005-0000-0000-00007C960000}"/>
    <cellStyle name="Normal 3 38 6 13 3" xfId="38534" xr:uid="{00000000-0005-0000-0000-00007D960000}"/>
    <cellStyle name="Normal 3 38 6 14" xfId="38535" xr:uid="{00000000-0005-0000-0000-00007E960000}"/>
    <cellStyle name="Normal 3 38 6 14 2" xfId="38536" xr:uid="{00000000-0005-0000-0000-00007F960000}"/>
    <cellStyle name="Normal 3 38 6 14 3" xfId="38537" xr:uid="{00000000-0005-0000-0000-000080960000}"/>
    <cellStyle name="Normal 3 38 6 15" xfId="38538" xr:uid="{00000000-0005-0000-0000-000081960000}"/>
    <cellStyle name="Normal 3 38 6 16" xfId="38539" xr:uid="{00000000-0005-0000-0000-000082960000}"/>
    <cellStyle name="Normal 3 38 6 2" xfId="38540" xr:uid="{00000000-0005-0000-0000-000083960000}"/>
    <cellStyle name="Normal 3 38 6 2 2" xfId="38541" xr:uid="{00000000-0005-0000-0000-000084960000}"/>
    <cellStyle name="Normal 3 38 6 2 3" xfId="38542" xr:uid="{00000000-0005-0000-0000-000085960000}"/>
    <cellStyle name="Normal 3 38 6 3" xfId="38543" xr:uid="{00000000-0005-0000-0000-000086960000}"/>
    <cellStyle name="Normal 3 38 6 3 2" xfId="38544" xr:uid="{00000000-0005-0000-0000-000087960000}"/>
    <cellStyle name="Normal 3 38 6 3 3" xfId="38545" xr:uid="{00000000-0005-0000-0000-000088960000}"/>
    <cellStyle name="Normal 3 38 6 4" xfId="38546" xr:uid="{00000000-0005-0000-0000-000089960000}"/>
    <cellStyle name="Normal 3 38 6 4 2" xfId="38547" xr:uid="{00000000-0005-0000-0000-00008A960000}"/>
    <cellStyle name="Normal 3 38 6 4 3" xfId="38548" xr:uid="{00000000-0005-0000-0000-00008B960000}"/>
    <cellStyle name="Normal 3 38 6 5" xfId="38549" xr:uid="{00000000-0005-0000-0000-00008C960000}"/>
    <cellStyle name="Normal 3 38 6 5 2" xfId="38550" xr:uid="{00000000-0005-0000-0000-00008D960000}"/>
    <cellStyle name="Normal 3 38 6 5 3" xfId="38551" xr:uid="{00000000-0005-0000-0000-00008E960000}"/>
    <cellStyle name="Normal 3 38 6 6" xfId="38552" xr:uid="{00000000-0005-0000-0000-00008F960000}"/>
    <cellStyle name="Normal 3 38 6 6 2" xfId="38553" xr:uid="{00000000-0005-0000-0000-000090960000}"/>
    <cellStyle name="Normal 3 38 6 6 3" xfId="38554" xr:uid="{00000000-0005-0000-0000-000091960000}"/>
    <cellStyle name="Normal 3 38 6 7" xfId="38555" xr:uid="{00000000-0005-0000-0000-000092960000}"/>
    <cellStyle name="Normal 3 38 6 7 2" xfId="38556" xr:uid="{00000000-0005-0000-0000-000093960000}"/>
    <cellStyle name="Normal 3 38 6 7 3" xfId="38557" xr:uid="{00000000-0005-0000-0000-000094960000}"/>
    <cellStyle name="Normal 3 38 6 8" xfId="38558" xr:uid="{00000000-0005-0000-0000-000095960000}"/>
    <cellStyle name="Normal 3 38 6 8 2" xfId="38559" xr:uid="{00000000-0005-0000-0000-000096960000}"/>
    <cellStyle name="Normal 3 38 6 8 3" xfId="38560" xr:uid="{00000000-0005-0000-0000-000097960000}"/>
    <cellStyle name="Normal 3 38 6 9" xfId="38561" xr:uid="{00000000-0005-0000-0000-000098960000}"/>
    <cellStyle name="Normal 3 38 6 9 2" xfId="38562" xr:uid="{00000000-0005-0000-0000-000099960000}"/>
    <cellStyle name="Normal 3 38 6 9 3" xfId="38563" xr:uid="{00000000-0005-0000-0000-00009A960000}"/>
    <cellStyle name="Normal 3 38 7" xfId="38564" xr:uid="{00000000-0005-0000-0000-00009B960000}"/>
    <cellStyle name="Normal 3 38 7 10" xfId="38565" xr:uid="{00000000-0005-0000-0000-00009C960000}"/>
    <cellStyle name="Normal 3 38 7 10 2" xfId="38566" xr:uid="{00000000-0005-0000-0000-00009D960000}"/>
    <cellStyle name="Normal 3 38 7 10 3" xfId="38567" xr:uid="{00000000-0005-0000-0000-00009E960000}"/>
    <cellStyle name="Normal 3 38 7 11" xfId="38568" xr:uid="{00000000-0005-0000-0000-00009F960000}"/>
    <cellStyle name="Normal 3 38 7 11 2" xfId="38569" xr:uid="{00000000-0005-0000-0000-0000A0960000}"/>
    <cellStyle name="Normal 3 38 7 11 3" xfId="38570" xr:uid="{00000000-0005-0000-0000-0000A1960000}"/>
    <cellStyle name="Normal 3 38 7 12" xfId="38571" xr:uid="{00000000-0005-0000-0000-0000A2960000}"/>
    <cellStyle name="Normal 3 38 7 12 2" xfId="38572" xr:uid="{00000000-0005-0000-0000-0000A3960000}"/>
    <cellStyle name="Normal 3 38 7 12 3" xfId="38573" xr:uid="{00000000-0005-0000-0000-0000A4960000}"/>
    <cellStyle name="Normal 3 38 7 13" xfId="38574" xr:uid="{00000000-0005-0000-0000-0000A5960000}"/>
    <cellStyle name="Normal 3 38 7 13 2" xfId="38575" xr:uid="{00000000-0005-0000-0000-0000A6960000}"/>
    <cellStyle name="Normal 3 38 7 13 3" xfId="38576" xr:uid="{00000000-0005-0000-0000-0000A7960000}"/>
    <cellStyle name="Normal 3 38 7 14" xfId="38577" xr:uid="{00000000-0005-0000-0000-0000A8960000}"/>
    <cellStyle name="Normal 3 38 7 14 2" xfId="38578" xr:uid="{00000000-0005-0000-0000-0000A9960000}"/>
    <cellStyle name="Normal 3 38 7 14 3" xfId="38579" xr:uid="{00000000-0005-0000-0000-0000AA960000}"/>
    <cellStyle name="Normal 3 38 7 15" xfId="38580" xr:uid="{00000000-0005-0000-0000-0000AB960000}"/>
    <cellStyle name="Normal 3 38 7 16" xfId="38581" xr:uid="{00000000-0005-0000-0000-0000AC960000}"/>
    <cellStyle name="Normal 3 38 7 2" xfId="38582" xr:uid="{00000000-0005-0000-0000-0000AD960000}"/>
    <cellStyle name="Normal 3 38 7 2 2" xfId="38583" xr:uid="{00000000-0005-0000-0000-0000AE960000}"/>
    <cellStyle name="Normal 3 38 7 2 3" xfId="38584" xr:uid="{00000000-0005-0000-0000-0000AF960000}"/>
    <cellStyle name="Normal 3 38 7 3" xfId="38585" xr:uid="{00000000-0005-0000-0000-0000B0960000}"/>
    <cellStyle name="Normal 3 38 7 3 2" xfId="38586" xr:uid="{00000000-0005-0000-0000-0000B1960000}"/>
    <cellStyle name="Normal 3 38 7 3 3" xfId="38587" xr:uid="{00000000-0005-0000-0000-0000B2960000}"/>
    <cellStyle name="Normal 3 38 7 4" xfId="38588" xr:uid="{00000000-0005-0000-0000-0000B3960000}"/>
    <cellStyle name="Normal 3 38 7 4 2" xfId="38589" xr:uid="{00000000-0005-0000-0000-0000B4960000}"/>
    <cellStyle name="Normal 3 38 7 4 3" xfId="38590" xr:uid="{00000000-0005-0000-0000-0000B5960000}"/>
    <cellStyle name="Normal 3 38 7 5" xfId="38591" xr:uid="{00000000-0005-0000-0000-0000B6960000}"/>
    <cellStyle name="Normal 3 38 7 5 2" xfId="38592" xr:uid="{00000000-0005-0000-0000-0000B7960000}"/>
    <cellStyle name="Normal 3 38 7 5 3" xfId="38593" xr:uid="{00000000-0005-0000-0000-0000B8960000}"/>
    <cellStyle name="Normal 3 38 7 6" xfId="38594" xr:uid="{00000000-0005-0000-0000-0000B9960000}"/>
    <cellStyle name="Normal 3 38 7 6 2" xfId="38595" xr:uid="{00000000-0005-0000-0000-0000BA960000}"/>
    <cellStyle name="Normal 3 38 7 6 3" xfId="38596" xr:uid="{00000000-0005-0000-0000-0000BB960000}"/>
    <cellStyle name="Normal 3 38 7 7" xfId="38597" xr:uid="{00000000-0005-0000-0000-0000BC960000}"/>
    <cellStyle name="Normal 3 38 7 7 2" xfId="38598" xr:uid="{00000000-0005-0000-0000-0000BD960000}"/>
    <cellStyle name="Normal 3 38 7 7 3" xfId="38599" xr:uid="{00000000-0005-0000-0000-0000BE960000}"/>
    <cellStyle name="Normal 3 38 7 8" xfId="38600" xr:uid="{00000000-0005-0000-0000-0000BF960000}"/>
    <cellStyle name="Normal 3 38 7 8 2" xfId="38601" xr:uid="{00000000-0005-0000-0000-0000C0960000}"/>
    <cellStyle name="Normal 3 38 7 8 3" xfId="38602" xr:uid="{00000000-0005-0000-0000-0000C1960000}"/>
    <cellStyle name="Normal 3 38 7 9" xfId="38603" xr:uid="{00000000-0005-0000-0000-0000C2960000}"/>
    <cellStyle name="Normal 3 38 7 9 2" xfId="38604" xr:uid="{00000000-0005-0000-0000-0000C3960000}"/>
    <cellStyle name="Normal 3 38 7 9 3" xfId="38605" xr:uid="{00000000-0005-0000-0000-0000C4960000}"/>
    <cellStyle name="Normal 3 38 8" xfId="38606" xr:uid="{00000000-0005-0000-0000-0000C5960000}"/>
    <cellStyle name="Normal 3 38 8 10" xfId="38607" xr:uid="{00000000-0005-0000-0000-0000C6960000}"/>
    <cellStyle name="Normal 3 38 8 10 2" xfId="38608" xr:uid="{00000000-0005-0000-0000-0000C7960000}"/>
    <cellStyle name="Normal 3 38 8 10 3" xfId="38609" xr:uid="{00000000-0005-0000-0000-0000C8960000}"/>
    <cellStyle name="Normal 3 38 8 11" xfId="38610" xr:uid="{00000000-0005-0000-0000-0000C9960000}"/>
    <cellStyle name="Normal 3 38 8 11 2" xfId="38611" xr:uid="{00000000-0005-0000-0000-0000CA960000}"/>
    <cellStyle name="Normal 3 38 8 11 3" xfId="38612" xr:uid="{00000000-0005-0000-0000-0000CB960000}"/>
    <cellStyle name="Normal 3 38 8 12" xfId="38613" xr:uid="{00000000-0005-0000-0000-0000CC960000}"/>
    <cellStyle name="Normal 3 38 8 12 2" xfId="38614" xr:uid="{00000000-0005-0000-0000-0000CD960000}"/>
    <cellStyle name="Normal 3 38 8 12 3" xfId="38615" xr:uid="{00000000-0005-0000-0000-0000CE960000}"/>
    <cellStyle name="Normal 3 38 8 13" xfId="38616" xr:uid="{00000000-0005-0000-0000-0000CF960000}"/>
    <cellStyle name="Normal 3 38 8 13 2" xfId="38617" xr:uid="{00000000-0005-0000-0000-0000D0960000}"/>
    <cellStyle name="Normal 3 38 8 13 3" xfId="38618" xr:uid="{00000000-0005-0000-0000-0000D1960000}"/>
    <cellStyle name="Normal 3 38 8 14" xfId="38619" xr:uid="{00000000-0005-0000-0000-0000D2960000}"/>
    <cellStyle name="Normal 3 38 8 14 2" xfId="38620" xr:uid="{00000000-0005-0000-0000-0000D3960000}"/>
    <cellStyle name="Normal 3 38 8 14 3" xfId="38621" xr:uid="{00000000-0005-0000-0000-0000D4960000}"/>
    <cellStyle name="Normal 3 38 8 15" xfId="38622" xr:uid="{00000000-0005-0000-0000-0000D5960000}"/>
    <cellStyle name="Normal 3 38 8 16" xfId="38623" xr:uid="{00000000-0005-0000-0000-0000D6960000}"/>
    <cellStyle name="Normal 3 38 8 2" xfId="38624" xr:uid="{00000000-0005-0000-0000-0000D7960000}"/>
    <cellStyle name="Normal 3 38 8 2 2" xfId="38625" xr:uid="{00000000-0005-0000-0000-0000D8960000}"/>
    <cellStyle name="Normal 3 38 8 2 3" xfId="38626" xr:uid="{00000000-0005-0000-0000-0000D9960000}"/>
    <cellStyle name="Normal 3 38 8 3" xfId="38627" xr:uid="{00000000-0005-0000-0000-0000DA960000}"/>
    <cellStyle name="Normal 3 38 8 3 2" xfId="38628" xr:uid="{00000000-0005-0000-0000-0000DB960000}"/>
    <cellStyle name="Normal 3 38 8 3 3" xfId="38629" xr:uid="{00000000-0005-0000-0000-0000DC960000}"/>
    <cellStyle name="Normal 3 38 8 4" xfId="38630" xr:uid="{00000000-0005-0000-0000-0000DD960000}"/>
    <cellStyle name="Normal 3 38 8 4 2" xfId="38631" xr:uid="{00000000-0005-0000-0000-0000DE960000}"/>
    <cellStyle name="Normal 3 38 8 4 3" xfId="38632" xr:uid="{00000000-0005-0000-0000-0000DF960000}"/>
    <cellStyle name="Normal 3 38 8 5" xfId="38633" xr:uid="{00000000-0005-0000-0000-0000E0960000}"/>
    <cellStyle name="Normal 3 38 8 5 2" xfId="38634" xr:uid="{00000000-0005-0000-0000-0000E1960000}"/>
    <cellStyle name="Normal 3 38 8 5 3" xfId="38635" xr:uid="{00000000-0005-0000-0000-0000E2960000}"/>
    <cellStyle name="Normal 3 38 8 6" xfId="38636" xr:uid="{00000000-0005-0000-0000-0000E3960000}"/>
    <cellStyle name="Normal 3 38 8 6 2" xfId="38637" xr:uid="{00000000-0005-0000-0000-0000E4960000}"/>
    <cellStyle name="Normal 3 38 8 6 3" xfId="38638" xr:uid="{00000000-0005-0000-0000-0000E5960000}"/>
    <cellStyle name="Normal 3 38 8 7" xfId="38639" xr:uid="{00000000-0005-0000-0000-0000E6960000}"/>
    <cellStyle name="Normal 3 38 8 7 2" xfId="38640" xr:uid="{00000000-0005-0000-0000-0000E7960000}"/>
    <cellStyle name="Normal 3 38 8 7 3" xfId="38641" xr:uid="{00000000-0005-0000-0000-0000E8960000}"/>
    <cellStyle name="Normal 3 38 8 8" xfId="38642" xr:uid="{00000000-0005-0000-0000-0000E9960000}"/>
    <cellStyle name="Normal 3 38 8 8 2" xfId="38643" xr:uid="{00000000-0005-0000-0000-0000EA960000}"/>
    <cellStyle name="Normal 3 38 8 8 3" xfId="38644" xr:uid="{00000000-0005-0000-0000-0000EB960000}"/>
    <cellStyle name="Normal 3 38 8 9" xfId="38645" xr:uid="{00000000-0005-0000-0000-0000EC960000}"/>
    <cellStyle name="Normal 3 38 8 9 2" xfId="38646" xr:uid="{00000000-0005-0000-0000-0000ED960000}"/>
    <cellStyle name="Normal 3 38 8 9 3" xfId="38647" xr:uid="{00000000-0005-0000-0000-0000EE960000}"/>
    <cellStyle name="Normal 3 38 9" xfId="38648" xr:uid="{00000000-0005-0000-0000-0000EF960000}"/>
    <cellStyle name="Normal 3 38 9 10" xfId="38649" xr:uid="{00000000-0005-0000-0000-0000F0960000}"/>
    <cellStyle name="Normal 3 38 9 10 2" xfId="38650" xr:uid="{00000000-0005-0000-0000-0000F1960000}"/>
    <cellStyle name="Normal 3 38 9 10 3" xfId="38651" xr:uid="{00000000-0005-0000-0000-0000F2960000}"/>
    <cellStyle name="Normal 3 38 9 11" xfId="38652" xr:uid="{00000000-0005-0000-0000-0000F3960000}"/>
    <cellStyle name="Normal 3 38 9 11 2" xfId="38653" xr:uid="{00000000-0005-0000-0000-0000F4960000}"/>
    <cellStyle name="Normal 3 38 9 11 3" xfId="38654" xr:uid="{00000000-0005-0000-0000-0000F5960000}"/>
    <cellStyle name="Normal 3 38 9 12" xfId="38655" xr:uid="{00000000-0005-0000-0000-0000F6960000}"/>
    <cellStyle name="Normal 3 38 9 12 2" xfId="38656" xr:uid="{00000000-0005-0000-0000-0000F7960000}"/>
    <cellStyle name="Normal 3 38 9 12 3" xfId="38657" xr:uid="{00000000-0005-0000-0000-0000F8960000}"/>
    <cellStyle name="Normal 3 38 9 13" xfId="38658" xr:uid="{00000000-0005-0000-0000-0000F9960000}"/>
    <cellStyle name="Normal 3 38 9 13 2" xfId="38659" xr:uid="{00000000-0005-0000-0000-0000FA960000}"/>
    <cellStyle name="Normal 3 38 9 13 3" xfId="38660" xr:uid="{00000000-0005-0000-0000-0000FB960000}"/>
    <cellStyle name="Normal 3 38 9 14" xfId="38661" xr:uid="{00000000-0005-0000-0000-0000FC960000}"/>
    <cellStyle name="Normal 3 38 9 14 2" xfId="38662" xr:uid="{00000000-0005-0000-0000-0000FD960000}"/>
    <cellStyle name="Normal 3 38 9 14 3" xfId="38663" xr:uid="{00000000-0005-0000-0000-0000FE960000}"/>
    <cellStyle name="Normal 3 38 9 15" xfId="38664" xr:uid="{00000000-0005-0000-0000-0000FF960000}"/>
    <cellStyle name="Normal 3 38 9 16" xfId="38665" xr:uid="{00000000-0005-0000-0000-000000970000}"/>
    <cellStyle name="Normal 3 38 9 2" xfId="38666" xr:uid="{00000000-0005-0000-0000-000001970000}"/>
    <cellStyle name="Normal 3 38 9 2 2" xfId="38667" xr:uid="{00000000-0005-0000-0000-000002970000}"/>
    <cellStyle name="Normal 3 38 9 2 3" xfId="38668" xr:uid="{00000000-0005-0000-0000-000003970000}"/>
    <cellStyle name="Normal 3 38 9 3" xfId="38669" xr:uid="{00000000-0005-0000-0000-000004970000}"/>
    <cellStyle name="Normal 3 38 9 3 2" xfId="38670" xr:uid="{00000000-0005-0000-0000-000005970000}"/>
    <cellStyle name="Normal 3 38 9 3 3" xfId="38671" xr:uid="{00000000-0005-0000-0000-000006970000}"/>
    <cellStyle name="Normal 3 38 9 4" xfId="38672" xr:uid="{00000000-0005-0000-0000-000007970000}"/>
    <cellStyle name="Normal 3 38 9 4 2" xfId="38673" xr:uid="{00000000-0005-0000-0000-000008970000}"/>
    <cellStyle name="Normal 3 38 9 4 3" xfId="38674" xr:uid="{00000000-0005-0000-0000-000009970000}"/>
    <cellStyle name="Normal 3 38 9 5" xfId="38675" xr:uid="{00000000-0005-0000-0000-00000A970000}"/>
    <cellStyle name="Normal 3 38 9 5 2" xfId="38676" xr:uid="{00000000-0005-0000-0000-00000B970000}"/>
    <cellStyle name="Normal 3 38 9 5 3" xfId="38677" xr:uid="{00000000-0005-0000-0000-00000C970000}"/>
    <cellStyle name="Normal 3 38 9 6" xfId="38678" xr:uid="{00000000-0005-0000-0000-00000D970000}"/>
    <cellStyle name="Normal 3 38 9 6 2" xfId="38679" xr:uid="{00000000-0005-0000-0000-00000E970000}"/>
    <cellStyle name="Normal 3 38 9 6 3" xfId="38680" xr:uid="{00000000-0005-0000-0000-00000F970000}"/>
    <cellStyle name="Normal 3 38 9 7" xfId="38681" xr:uid="{00000000-0005-0000-0000-000010970000}"/>
    <cellStyle name="Normal 3 38 9 7 2" xfId="38682" xr:uid="{00000000-0005-0000-0000-000011970000}"/>
    <cellStyle name="Normal 3 38 9 7 3" xfId="38683" xr:uid="{00000000-0005-0000-0000-000012970000}"/>
    <cellStyle name="Normal 3 38 9 8" xfId="38684" xr:uid="{00000000-0005-0000-0000-000013970000}"/>
    <cellStyle name="Normal 3 38 9 8 2" xfId="38685" xr:uid="{00000000-0005-0000-0000-000014970000}"/>
    <cellStyle name="Normal 3 38 9 8 3" xfId="38686" xr:uid="{00000000-0005-0000-0000-000015970000}"/>
    <cellStyle name="Normal 3 38 9 9" xfId="38687" xr:uid="{00000000-0005-0000-0000-000016970000}"/>
    <cellStyle name="Normal 3 38 9 9 2" xfId="38688" xr:uid="{00000000-0005-0000-0000-000017970000}"/>
    <cellStyle name="Normal 3 38 9 9 3" xfId="38689" xr:uid="{00000000-0005-0000-0000-000018970000}"/>
    <cellStyle name="Normal 3 39" xfId="38690" xr:uid="{00000000-0005-0000-0000-000019970000}"/>
    <cellStyle name="Normal 3 4" xfId="38691" xr:uid="{00000000-0005-0000-0000-00001A970000}"/>
    <cellStyle name="Normal 3 4 10" xfId="38692" xr:uid="{00000000-0005-0000-0000-00001B970000}"/>
    <cellStyle name="Normal 3 4 10 10" xfId="38693" xr:uid="{00000000-0005-0000-0000-00001C970000}"/>
    <cellStyle name="Normal 3 4 10 10 10" xfId="38694" xr:uid="{00000000-0005-0000-0000-00001D970000}"/>
    <cellStyle name="Normal 3 4 10 10 10 2" xfId="38695" xr:uid="{00000000-0005-0000-0000-00001E970000}"/>
    <cellStyle name="Normal 3 4 10 10 10 3" xfId="38696" xr:uid="{00000000-0005-0000-0000-00001F970000}"/>
    <cellStyle name="Normal 3 4 10 10 11" xfId="38697" xr:uid="{00000000-0005-0000-0000-000020970000}"/>
    <cellStyle name="Normal 3 4 10 10 11 2" xfId="38698" xr:uid="{00000000-0005-0000-0000-000021970000}"/>
    <cellStyle name="Normal 3 4 10 10 11 3" xfId="38699" xr:uid="{00000000-0005-0000-0000-000022970000}"/>
    <cellStyle name="Normal 3 4 10 10 12" xfId="38700" xr:uid="{00000000-0005-0000-0000-000023970000}"/>
    <cellStyle name="Normal 3 4 10 10 12 2" xfId="38701" xr:uid="{00000000-0005-0000-0000-000024970000}"/>
    <cellStyle name="Normal 3 4 10 10 12 3" xfId="38702" xr:uid="{00000000-0005-0000-0000-000025970000}"/>
    <cellStyle name="Normal 3 4 10 10 13" xfId="38703" xr:uid="{00000000-0005-0000-0000-000026970000}"/>
    <cellStyle name="Normal 3 4 10 10 13 2" xfId="38704" xr:uid="{00000000-0005-0000-0000-000027970000}"/>
    <cellStyle name="Normal 3 4 10 10 13 3" xfId="38705" xr:uid="{00000000-0005-0000-0000-000028970000}"/>
    <cellStyle name="Normal 3 4 10 10 14" xfId="38706" xr:uid="{00000000-0005-0000-0000-000029970000}"/>
    <cellStyle name="Normal 3 4 10 10 14 2" xfId="38707" xr:uid="{00000000-0005-0000-0000-00002A970000}"/>
    <cellStyle name="Normal 3 4 10 10 14 3" xfId="38708" xr:uid="{00000000-0005-0000-0000-00002B970000}"/>
    <cellStyle name="Normal 3 4 10 10 15" xfId="38709" xr:uid="{00000000-0005-0000-0000-00002C970000}"/>
    <cellStyle name="Normal 3 4 10 10 16" xfId="38710" xr:uid="{00000000-0005-0000-0000-00002D970000}"/>
    <cellStyle name="Normal 3 4 10 10 2" xfId="38711" xr:uid="{00000000-0005-0000-0000-00002E970000}"/>
    <cellStyle name="Normal 3 4 10 10 2 2" xfId="38712" xr:uid="{00000000-0005-0000-0000-00002F970000}"/>
    <cellStyle name="Normal 3 4 10 10 2 3" xfId="38713" xr:uid="{00000000-0005-0000-0000-000030970000}"/>
    <cellStyle name="Normal 3 4 10 10 3" xfId="38714" xr:uid="{00000000-0005-0000-0000-000031970000}"/>
    <cellStyle name="Normal 3 4 10 10 3 2" xfId="38715" xr:uid="{00000000-0005-0000-0000-000032970000}"/>
    <cellStyle name="Normal 3 4 10 10 3 3" xfId="38716" xr:uid="{00000000-0005-0000-0000-000033970000}"/>
    <cellStyle name="Normal 3 4 10 10 4" xfId="38717" xr:uid="{00000000-0005-0000-0000-000034970000}"/>
    <cellStyle name="Normal 3 4 10 10 4 2" xfId="38718" xr:uid="{00000000-0005-0000-0000-000035970000}"/>
    <cellStyle name="Normal 3 4 10 10 4 3" xfId="38719" xr:uid="{00000000-0005-0000-0000-000036970000}"/>
    <cellStyle name="Normal 3 4 10 10 5" xfId="38720" xr:uid="{00000000-0005-0000-0000-000037970000}"/>
    <cellStyle name="Normal 3 4 10 10 5 2" xfId="38721" xr:uid="{00000000-0005-0000-0000-000038970000}"/>
    <cellStyle name="Normal 3 4 10 10 5 3" xfId="38722" xr:uid="{00000000-0005-0000-0000-000039970000}"/>
    <cellStyle name="Normal 3 4 10 10 6" xfId="38723" xr:uid="{00000000-0005-0000-0000-00003A970000}"/>
    <cellStyle name="Normal 3 4 10 10 6 2" xfId="38724" xr:uid="{00000000-0005-0000-0000-00003B970000}"/>
    <cellStyle name="Normal 3 4 10 10 6 3" xfId="38725" xr:uid="{00000000-0005-0000-0000-00003C970000}"/>
    <cellStyle name="Normal 3 4 10 10 7" xfId="38726" xr:uid="{00000000-0005-0000-0000-00003D970000}"/>
    <cellStyle name="Normal 3 4 10 10 7 2" xfId="38727" xr:uid="{00000000-0005-0000-0000-00003E970000}"/>
    <cellStyle name="Normal 3 4 10 10 7 3" xfId="38728" xr:uid="{00000000-0005-0000-0000-00003F970000}"/>
    <cellStyle name="Normal 3 4 10 10 8" xfId="38729" xr:uid="{00000000-0005-0000-0000-000040970000}"/>
    <cellStyle name="Normal 3 4 10 10 8 2" xfId="38730" xr:uid="{00000000-0005-0000-0000-000041970000}"/>
    <cellStyle name="Normal 3 4 10 10 8 3" xfId="38731" xr:uid="{00000000-0005-0000-0000-000042970000}"/>
    <cellStyle name="Normal 3 4 10 10 9" xfId="38732" xr:uid="{00000000-0005-0000-0000-000043970000}"/>
    <cellStyle name="Normal 3 4 10 10 9 2" xfId="38733" xr:uid="{00000000-0005-0000-0000-000044970000}"/>
    <cellStyle name="Normal 3 4 10 10 9 3" xfId="38734" xr:uid="{00000000-0005-0000-0000-000045970000}"/>
    <cellStyle name="Normal 3 4 10 11" xfId="38735" xr:uid="{00000000-0005-0000-0000-000046970000}"/>
    <cellStyle name="Normal 3 4 10 11 2" xfId="38736" xr:uid="{00000000-0005-0000-0000-000047970000}"/>
    <cellStyle name="Normal 3 4 10 11 3" xfId="38737" xr:uid="{00000000-0005-0000-0000-000048970000}"/>
    <cellStyle name="Normal 3 4 10 12" xfId="38738" xr:uid="{00000000-0005-0000-0000-000049970000}"/>
    <cellStyle name="Normal 3 4 10 12 2" xfId="38739" xr:uid="{00000000-0005-0000-0000-00004A970000}"/>
    <cellStyle name="Normal 3 4 10 12 3" xfId="38740" xr:uid="{00000000-0005-0000-0000-00004B970000}"/>
    <cellStyle name="Normal 3 4 10 13" xfId="38741" xr:uid="{00000000-0005-0000-0000-00004C970000}"/>
    <cellStyle name="Normal 3 4 10 13 2" xfId="38742" xr:uid="{00000000-0005-0000-0000-00004D970000}"/>
    <cellStyle name="Normal 3 4 10 13 3" xfId="38743" xr:uid="{00000000-0005-0000-0000-00004E970000}"/>
    <cellStyle name="Normal 3 4 10 14" xfId="38744" xr:uid="{00000000-0005-0000-0000-00004F970000}"/>
    <cellStyle name="Normal 3 4 10 14 2" xfId="38745" xr:uid="{00000000-0005-0000-0000-000050970000}"/>
    <cellStyle name="Normal 3 4 10 14 3" xfId="38746" xr:uid="{00000000-0005-0000-0000-000051970000}"/>
    <cellStyle name="Normal 3 4 10 15" xfId="38747" xr:uid="{00000000-0005-0000-0000-000052970000}"/>
    <cellStyle name="Normal 3 4 10 15 2" xfId="38748" xr:uid="{00000000-0005-0000-0000-000053970000}"/>
    <cellStyle name="Normal 3 4 10 15 3" xfId="38749" xr:uid="{00000000-0005-0000-0000-000054970000}"/>
    <cellStyle name="Normal 3 4 10 16" xfId="38750" xr:uid="{00000000-0005-0000-0000-000055970000}"/>
    <cellStyle name="Normal 3 4 10 16 2" xfId="38751" xr:uid="{00000000-0005-0000-0000-000056970000}"/>
    <cellStyle name="Normal 3 4 10 16 3" xfId="38752" xr:uid="{00000000-0005-0000-0000-000057970000}"/>
    <cellStyle name="Normal 3 4 10 17" xfId="38753" xr:uid="{00000000-0005-0000-0000-000058970000}"/>
    <cellStyle name="Normal 3 4 10 17 2" xfId="38754" xr:uid="{00000000-0005-0000-0000-000059970000}"/>
    <cellStyle name="Normal 3 4 10 17 3" xfId="38755" xr:uid="{00000000-0005-0000-0000-00005A970000}"/>
    <cellStyle name="Normal 3 4 10 18" xfId="38756" xr:uid="{00000000-0005-0000-0000-00005B970000}"/>
    <cellStyle name="Normal 3 4 10 18 2" xfId="38757" xr:uid="{00000000-0005-0000-0000-00005C970000}"/>
    <cellStyle name="Normal 3 4 10 18 3" xfId="38758" xr:uid="{00000000-0005-0000-0000-00005D970000}"/>
    <cellStyle name="Normal 3 4 10 19" xfId="38759" xr:uid="{00000000-0005-0000-0000-00005E970000}"/>
    <cellStyle name="Normal 3 4 10 19 2" xfId="38760" xr:uid="{00000000-0005-0000-0000-00005F970000}"/>
    <cellStyle name="Normal 3 4 10 19 3" xfId="38761" xr:uid="{00000000-0005-0000-0000-000060970000}"/>
    <cellStyle name="Normal 3 4 10 2" xfId="38762" xr:uid="{00000000-0005-0000-0000-000061970000}"/>
    <cellStyle name="Normal 3 4 10 2 10" xfId="38763" xr:uid="{00000000-0005-0000-0000-000062970000}"/>
    <cellStyle name="Normal 3 4 10 2 10 2" xfId="38764" xr:uid="{00000000-0005-0000-0000-000063970000}"/>
    <cellStyle name="Normal 3 4 10 2 10 3" xfId="38765" xr:uid="{00000000-0005-0000-0000-000064970000}"/>
    <cellStyle name="Normal 3 4 10 2 11" xfId="38766" xr:uid="{00000000-0005-0000-0000-000065970000}"/>
    <cellStyle name="Normal 3 4 10 2 11 2" xfId="38767" xr:uid="{00000000-0005-0000-0000-000066970000}"/>
    <cellStyle name="Normal 3 4 10 2 11 3" xfId="38768" xr:uid="{00000000-0005-0000-0000-000067970000}"/>
    <cellStyle name="Normal 3 4 10 2 12" xfId="38769" xr:uid="{00000000-0005-0000-0000-000068970000}"/>
    <cellStyle name="Normal 3 4 10 2 12 2" xfId="38770" xr:uid="{00000000-0005-0000-0000-000069970000}"/>
    <cellStyle name="Normal 3 4 10 2 12 3" xfId="38771" xr:uid="{00000000-0005-0000-0000-00006A970000}"/>
    <cellStyle name="Normal 3 4 10 2 13" xfId="38772" xr:uid="{00000000-0005-0000-0000-00006B970000}"/>
    <cellStyle name="Normal 3 4 10 2 13 2" xfId="38773" xr:uid="{00000000-0005-0000-0000-00006C970000}"/>
    <cellStyle name="Normal 3 4 10 2 13 3" xfId="38774" xr:uid="{00000000-0005-0000-0000-00006D970000}"/>
    <cellStyle name="Normal 3 4 10 2 14" xfId="38775" xr:uid="{00000000-0005-0000-0000-00006E970000}"/>
    <cellStyle name="Normal 3 4 10 2 14 2" xfId="38776" xr:uid="{00000000-0005-0000-0000-00006F970000}"/>
    <cellStyle name="Normal 3 4 10 2 14 3" xfId="38777" xr:uid="{00000000-0005-0000-0000-000070970000}"/>
    <cellStyle name="Normal 3 4 10 2 15" xfId="38778" xr:uid="{00000000-0005-0000-0000-000071970000}"/>
    <cellStyle name="Normal 3 4 10 2 15 2" xfId="38779" xr:uid="{00000000-0005-0000-0000-000072970000}"/>
    <cellStyle name="Normal 3 4 10 2 15 3" xfId="38780" xr:uid="{00000000-0005-0000-0000-000073970000}"/>
    <cellStyle name="Normal 3 4 10 2 16" xfId="38781" xr:uid="{00000000-0005-0000-0000-000074970000}"/>
    <cellStyle name="Normal 3 4 10 2 17" xfId="38782" xr:uid="{00000000-0005-0000-0000-000075970000}"/>
    <cellStyle name="Normal 3 4 10 2 2" xfId="38783" xr:uid="{00000000-0005-0000-0000-000076970000}"/>
    <cellStyle name="Normal 3 4 10 2 2 10" xfId="38784" xr:uid="{00000000-0005-0000-0000-000077970000}"/>
    <cellStyle name="Normal 3 4 10 2 2 10 2" xfId="38785" xr:uid="{00000000-0005-0000-0000-000078970000}"/>
    <cellStyle name="Normal 3 4 10 2 2 10 3" xfId="38786" xr:uid="{00000000-0005-0000-0000-000079970000}"/>
    <cellStyle name="Normal 3 4 10 2 2 11" xfId="38787" xr:uid="{00000000-0005-0000-0000-00007A970000}"/>
    <cellStyle name="Normal 3 4 10 2 2 11 2" xfId="38788" xr:uid="{00000000-0005-0000-0000-00007B970000}"/>
    <cellStyle name="Normal 3 4 10 2 2 11 3" xfId="38789" xr:uid="{00000000-0005-0000-0000-00007C970000}"/>
    <cellStyle name="Normal 3 4 10 2 2 12" xfId="38790" xr:uid="{00000000-0005-0000-0000-00007D970000}"/>
    <cellStyle name="Normal 3 4 10 2 2 12 2" xfId="38791" xr:uid="{00000000-0005-0000-0000-00007E970000}"/>
    <cellStyle name="Normal 3 4 10 2 2 12 3" xfId="38792" xr:uid="{00000000-0005-0000-0000-00007F970000}"/>
    <cellStyle name="Normal 3 4 10 2 2 13" xfId="38793" xr:uid="{00000000-0005-0000-0000-000080970000}"/>
    <cellStyle name="Normal 3 4 10 2 2 13 2" xfId="38794" xr:uid="{00000000-0005-0000-0000-000081970000}"/>
    <cellStyle name="Normal 3 4 10 2 2 13 3" xfId="38795" xr:uid="{00000000-0005-0000-0000-000082970000}"/>
    <cellStyle name="Normal 3 4 10 2 2 14" xfId="38796" xr:uid="{00000000-0005-0000-0000-000083970000}"/>
    <cellStyle name="Normal 3 4 10 2 2 14 2" xfId="38797" xr:uid="{00000000-0005-0000-0000-000084970000}"/>
    <cellStyle name="Normal 3 4 10 2 2 14 3" xfId="38798" xr:uid="{00000000-0005-0000-0000-000085970000}"/>
    <cellStyle name="Normal 3 4 10 2 2 15" xfId="38799" xr:uid="{00000000-0005-0000-0000-000086970000}"/>
    <cellStyle name="Normal 3 4 10 2 2 16" xfId="38800" xr:uid="{00000000-0005-0000-0000-000087970000}"/>
    <cellStyle name="Normal 3 4 10 2 2 2" xfId="38801" xr:uid="{00000000-0005-0000-0000-000088970000}"/>
    <cellStyle name="Normal 3 4 10 2 2 2 2" xfId="38802" xr:uid="{00000000-0005-0000-0000-000089970000}"/>
    <cellStyle name="Normal 3 4 10 2 2 2 3" xfId="38803" xr:uid="{00000000-0005-0000-0000-00008A970000}"/>
    <cellStyle name="Normal 3 4 10 2 2 3" xfId="38804" xr:uid="{00000000-0005-0000-0000-00008B970000}"/>
    <cellStyle name="Normal 3 4 10 2 2 3 2" xfId="38805" xr:uid="{00000000-0005-0000-0000-00008C970000}"/>
    <cellStyle name="Normal 3 4 10 2 2 3 3" xfId="38806" xr:uid="{00000000-0005-0000-0000-00008D970000}"/>
    <cellStyle name="Normal 3 4 10 2 2 4" xfId="38807" xr:uid="{00000000-0005-0000-0000-00008E970000}"/>
    <cellStyle name="Normal 3 4 10 2 2 4 2" xfId="38808" xr:uid="{00000000-0005-0000-0000-00008F970000}"/>
    <cellStyle name="Normal 3 4 10 2 2 4 3" xfId="38809" xr:uid="{00000000-0005-0000-0000-000090970000}"/>
    <cellStyle name="Normal 3 4 10 2 2 5" xfId="38810" xr:uid="{00000000-0005-0000-0000-000091970000}"/>
    <cellStyle name="Normal 3 4 10 2 2 5 2" xfId="38811" xr:uid="{00000000-0005-0000-0000-000092970000}"/>
    <cellStyle name="Normal 3 4 10 2 2 5 3" xfId="38812" xr:uid="{00000000-0005-0000-0000-000093970000}"/>
    <cellStyle name="Normal 3 4 10 2 2 6" xfId="38813" xr:uid="{00000000-0005-0000-0000-000094970000}"/>
    <cellStyle name="Normal 3 4 10 2 2 6 2" xfId="38814" xr:uid="{00000000-0005-0000-0000-000095970000}"/>
    <cellStyle name="Normal 3 4 10 2 2 6 3" xfId="38815" xr:uid="{00000000-0005-0000-0000-000096970000}"/>
    <cellStyle name="Normal 3 4 10 2 2 7" xfId="38816" xr:uid="{00000000-0005-0000-0000-000097970000}"/>
    <cellStyle name="Normal 3 4 10 2 2 7 2" xfId="38817" xr:uid="{00000000-0005-0000-0000-000098970000}"/>
    <cellStyle name="Normal 3 4 10 2 2 7 3" xfId="38818" xr:uid="{00000000-0005-0000-0000-000099970000}"/>
    <cellStyle name="Normal 3 4 10 2 2 8" xfId="38819" xr:uid="{00000000-0005-0000-0000-00009A970000}"/>
    <cellStyle name="Normal 3 4 10 2 2 8 2" xfId="38820" xr:uid="{00000000-0005-0000-0000-00009B970000}"/>
    <cellStyle name="Normal 3 4 10 2 2 8 3" xfId="38821" xr:uid="{00000000-0005-0000-0000-00009C970000}"/>
    <cellStyle name="Normal 3 4 10 2 2 9" xfId="38822" xr:uid="{00000000-0005-0000-0000-00009D970000}"/>
    <cellStyle name="Normal 3 4 10 2 2 9 2" xfId="38823" xr:uid="{00000000-0005-0000-0000-00009E970000}"/>
    <cellStyle name="Normal 3 4 10 2 2 9 3" xfId="38824" xr:uid="{00000000-0005-0000-0000-00009F970000}"/>
    <cellStyle name="Normal 3 4 10 2 3" xfId="38825" xr:uid="{00000000-0005-0000-0000-0000A0970000}"/>
    <cellStyle name="Normal 3 4 10 2 3 2" xfId="38826" xr:uid="{00000000-0005-0000-0000-0000A1970000}"/>
    <cellStyle name="Normal 3 4 10 2 3 3" xfId="38827" xr:uid="{00000000-0005-0000-0000-0000A2970000}"/>
    <cellStyle name="Normal 3 4 10 2 4" xfId="38828" xr:uid="{00000000-0005-0000-0000-0000A3970000}"/>
    <cellStyle name="Normal 3 4 10 2 4 2" xfId="38829" xr:uid="{00000000-0005-0000-0000-0000A4970000}"/>
    <cellStyle name="Normal 3 4 10 2 4 3" xfId="38830" xr:uid="{00000000-0005-0000-0000-0000A5970000}"/>
    <cellStyle name="Normal 3 4 10 2 5" xfId="38831" xr:uid="{00000000-0005-0000-0000-0000A6970000}"/>
    <cellStyle name="Normal 3 4 10 2 5 2" xfId="38832" xr:uid="{00000000-0005-0000-0000-0000A7970000}"/>
    <cellStyle name="Normal 3 4 10 2 5 3" xfId="38833" xr:uid="{00000000-0005-0000-0000-0000A8970000}"/>
    <cellStyle name="Normal 3 4 10 2 6" xfId="38834" xr:uid="{00000000-0005-0000-0000-0000A9970000}"/>
    <cellStyle name="Normal 3 4 10 2 6 2" xfId="38835" xr:uid="{00000000-0005-0000-0000-0000AA970000}"/>
    <cellStyle name="Normal 3 4 10 2 6 3" xfId="38836" xr:uid="{00000000-0005-0000-0000-0000AB970000}"/>
    <cellStyle name="Normal 3 4 10 2 7" xfId="38837" xr:uid="{00000000-0005-0000-0000-0000AC970000}"/>
    <cellStyle name="Normal 3 4 10 2 7 2" xfId="38838" xr:uid="{00000000-0005-0000-0000-0000AD970000}"/>
    <cellStyle name="Normal 3 4 10 2 7 3" xfId="38839" xr:uid="{00000000-0005-0000-0000-0000AE970000}"/>
    <cellStyle name="Normal 3 4 10 2 8" xfId="38840" xr:uid="{00000000-0005-0000-0000-0000AF970000}"/>
    <cellStyle name="Normal 3 4 10 2 8 2" xfId="38841" xr:uid="{00000000-0005-0000-0000-0000B0970000}"/>
    <cellStyle name="Normal 3 4 10 2 8 3" xfId="38842" xr:uid="{00000000-0005-0000-0000-0000B1970000}"/>
    <cellStyle name="Normal 3 4 10 2 9" xfId="38843" xr:uid="{00000000-0005-0000-0000-0000B2970000}"/>
    <cellStyle name="Normal 3 4 10 2 9 2" xfId="38844" xr:uid="{00000000-0005-0000-0000-0000B3970000}"/>
    <cellStyle name="Normal 3 4 10 2 9 3" xfId="38845" xr:uid="{00000000-0005-0000-0000-0000B4970000}"/>
    <cellStyle name="Normal 3 4 10 20" xfId="38846" xr:uid="{00000000-0005-0000-0000-0000B5970000}"/>
    <cellStyle name="Normal 3 4 10 20 2" xfId="38847" xr:uid="{00000000-0005-0000-0000-0000B6970000}"/>
    <cellStyle name="Normal 3 4 10 20 3" xfId="38848" xr:uid="{00000000-0005-0000-0000-0000B7970000}"/>
    <cellStyle name="Normal 3 4 10 21" xfId="38849" xr:uid="{00000000-0005-0000-0000-0000B8970000}"/>
    <cellStyle name="Normal 3 4 10 21 2" xfId="38850" xr:uid="{00000000-0005-0000-0000-0000B9970000}"/>
    <cellStyle name="Normal 3 4 10 21 3" xfId="38851" xr:uid="{00000000-0005-0000-0000-0000BA970000}"/>
    <cellStyle name="Normal 3 4 10 22" xfId="38852" xr:uid="{00000000-0005-0000-0000-0000BB970000}"/>
    <cellStyle name="Normal 3 4 10 22 2" xfId="38853" xr:uid="{00000000-0005-0000-0000-0000BC970000}"/>
    <cellStyle name="Normal 3 4 10 22 3" xfId="38854" xr:uid="{00000000-0005-0000-0000-0000BD970000}"/>
    <cellStyle name="Normal 3 4 10 23" xfId="38855" xr:uid="{00000000-0005-0000-0000-0000BE970000}"/>
    <cellStyle name="Normal 3 4 10 23 2" xfId="38856" xr:uid="{00000000-0005-0000-0000-0000BF970000}"/>
    <cellStyle name="Normal 3 4 10 23 3" xfId="38857" xr:uid="{00000000-0005-0000-0000-0000C0970000}"/>
    <cellStyle name="Normal 3 4 10 24" xfId="38858" xr:uid="{00000000-0005-0000-0000-0000C1970000}"/>
    <cellStyle name="Normal 3 4 10 25" xfId="38859" xr:uid="{00000000-0005-0000-0000-0000C2970000}"/>
    <cellStyle name="Normal 3 4 10 3" xfId="38860" xr:uid="{00000000-0005-0000-0000-0000C3970000}"/>
    <cellStyle name="Normal 3 4 10 3 10" xfId="38861" xr:uid="{00000000-0005-0000-0000-0000C4970000}"/>
    <cellStyle name="Normal 3 4 10 3 10 2" xfId="38862" xr:uid="{00000000-0005-0000-0000-0000C5970000}"/>
    <cellStyle name="Normal 3 4 10 3 10 3" xfId="38863" xr:uid="{00000000-0005-0000-0000-0000C6970000}"/>
    <cellStyle name="Normal 3 4 10 3 11" xfId="38864" xr:uid="{00000000-0005-0000-0000-0000C7970000}"/>
    <cellStyle name="Normal 3 4 10 3 11 2" xfId="38865" xr:uid="{00000000-0005-0000-0000-0000C8970000}"/>
    <cellStyle name="Normal 3 4 10 3 11 3" xfId="38866" xr:uid="{00000000-0005-0000-0000-0000C9970000}"/>
    <cellStyle name="Normal 3 4 10 3 12" xfId="38867" xr:uid="{00000000-0005-0000-0000-0000CA970000}"/>
    <cellStyle name="Normal 3 4 10 3 12 2" xfId="38868" xr:uid="{00000000-0005-0000-0000-0000CB970000}"/>
    <cellStyle name="Normal 3 4 10 3 12 3" xfId="38869" xr:uid="{00000000-0005-0000-0000-0000CC970000}"/>
    <cellStyle name="Normal 3 4 10 3 13" xfId="38870" xr:uid="{00000000-0005-0000-0000-0000CD970000}"/>
    <cellStyle name="Normal 3 4 10 3 13 2" xfId="38871" xr:uid="{00000000-0005-0000-0000-0000CE970000}"/>
    <cellStyle name="Normal 3 4 10 3 13 3" xfId="38872" xr:uid="{00000000-0005-0000-0000-0000CF970000}"/>
    <cellStyle name="Normal 3 4 10 3 14" xfId="38873" xr:uid="{00000000-0005-0000-0000-0000D0970000}"/>
    <cellStyle name="Normal 3 4 10 3 14 2" xfId="38874" xr:uid="{00000000-0005-0000-0000-0000D1970000}"/>
    <cellStyle name="Normal 3 4 10 3 14 3" xfId="38875" xr:uid="{00000000-0005-0000-0000-0000D2970000}"/>
    <cellStyle name="Normal 3 4 10 3 15" xfId="38876" xr:uid="{00000000-0005-0000-0000-0000D3970000}"/>
    <cellStyle name="Normal 3 4 10 3 15 2" xfId="38877" xr:uid="{00000000-0005-0000-0000-0000D4970000}"/>
    <cellStyle name="Normal 3 4 10 3 15 3" xfId="38878" xr:uid="{00000000-0005-0000-0000-0000D5970000}"/>
    <cellStyle name="Normal 3 4 10 3 16" xfId="38879" xr:uid="{00000000-0005-0000-0000-0000D6970000}"/>
    <cellStyle name="Normal 3 4 10 3 17" xfId="38880" xr:uid="{00000000-0005-0000-0000-0000D7970000}"/>
    <cellStyle name="Normal 3 4 10 3 2" xfId="38881" xr:uid="{00000000-0005-0000-0000-0000D8970000}"/>
    <cellStyle name="Normal 3 4 10 3 2 10" xfId="38882" xr:uid="{00000000-0005-0000-0000-0000D9970000}"/>
    <cellStyle name="Normal 3 4 10 3 2 10 2" xfId="38883" xr:uid="{00000000-0005-0000-0000-0000DA970000}"/>
    <cellStyle name="Normal 3 4 10 3 2 10 3" xfId="38884" xr:uid="{00000000-0005-0000-0000-0000DB970000}"/>
    <cellStyle name="Normal 3 4 10 3 2 11" xfId="38885" xr:uid="{00000000-0005-0000-0000-0000DC970000}"/>
    <cellStyle name="Normal 3 4 10 3 2 11 2" xfId="38886" xr:uid="{00000000-0005-0000-0000-0000DD970000}"/>
    <cellStyle name="Normal 3 4 10 3 2 11 3" xfId="38887" xr:uid="{00000000-0005-0000-0000-0000DE970000}"/>
    <cellStyle name="Normal 3 4 10 3 2 12" xfId="38888" xr:uid="{00000000-0005-0000-0000-0000DF970000}"/>
    <cellStyle name="Normal 3 4 10 3 2 12 2" xfId="38889" xr:uid="{00000000-0005-0000-0000-0000E0970000}"/>
    <cellStyle name="Normal 3 4 10 3 2 12 3" xfId="38890" xr:uid="{00000000-0005-0000-0000-0000E1970000}"/>
    <cellStyle name="Normal 3 4 10 3 2 13" xfId="38891" xr:uid="{00000000-0005-0000-0000-0000E2970000}"/>
    <cellStyle name="Normal 3 4 10 3 2 13 2" xfId="38892" xr:uid="{00000000-0005-0000-0000-0000E3970000}"/>
    <cellStyle name="Normal 3 4 10 3 2 13 3" xfId="38893" xr:uid="{00000000-0005-0000-0000-0000E4970000}"/>
    <cellStyle name="Normal 3 4 10 3 2 14" xfId="38894" xr:uid="{00000000-0005-0000-0000-0000E5970000}"/>
    <cellStyle name="Normal 3 4 10 3 2 14 2" xfId="38895" xr:uid="{00000000-0005-0000-0000-0000E6970000}"/>
    <cellStyle name="Normal 3 4 10 3 2 14 3" xfId="38896" xr:uid="{00000000-0005-0000-0000-0000E7970000}"/>
    <cellStyle name="Normal 3 4 10 3 2 15" xfId="38897" xr:uid="{00000000-0005-0000-0000-0000E8970000}"/>
    <cellStyle name="Normal 3 4 10 3 2 16" xfId="38898" xr:uid="{00000000-0005-0000-0000-0000E9970000}"/>
    <cellStyle name="Normal 3 4 10 3 2 2" xfId="38899" xr:uid="{00000000-0005-0000-0000-0000EA970000}"/>
    <cellStyle name="Normal 3 4 10 3 2 2 2" xfId="38900" xr:uid="{00000000-0005-0000-0000-0000EB970000}"/>
    <cellStyle name="Normal 3 4 10 3 2 2 3" xfId="38901" xr:uid="{00000000-0005-0000-0000-0000EC970000}"/>
    <cellStyle name="Normal 3 4 10 3 2 3" xfId="38902" xr:uid="{00000000-0005-0000-0000-0000ED970000}"/>
    <cellStyle name="Normal 3 4 10 3 2 3 2" xfId="38903" xr:uid="{00000000-0005-0000-0000-0000EE970000}"/>
    <cellStyle name="Normal 3 4 10 3 2 3 3" xfId="38904" xr:uid="{00000000-0005-0000-0000-0000EF970000}"/>
    <cellStyle name="Normal 3 4 10 3 2 4" xfId="38905" xr:uid="{00000000-0005-0000-0000-0000F0970000}"/>
    <cellStyle name="Normal 3 4 10 3 2 4 2" xfId="38906" xr:uid="{00000000-0005-0000-0000-0000F1970000}"/>
    <cellStyle name="Normal 3 4 10 3 2 4 3" xfId="38907" xr:uid="{00000000-0005-0000-0000-0000F2970000}"/>
    <cellStyle name="Normal 3 4 10 3 2 5" xfId="38908" xr:uid="{00000000-0005-0000-0000-0000F3970000}"/>
    <cellStyle name="Normal 3 4 10 3 2 5 2" xfId="38909" xr:uid="{00000000-0005-0000-0000-0000F4970000}"/>
    <cellStyle name="Normal 3 4 10 3 2 5 3" xfId="38910" xr:uid="{00000000-0005-0000-0000-0000F5970000}"/>
    <cellStyle name="Normal 3 4 10 3 2 6" xfId="38911" xr:uid="{00000000-0005-0000-0000-0000F6970000}"/>
    <cellStyle name="Normal 3 4 10 3 2 6 2" xfId="38912" xr:uid="{00000000-0005-0000-0000-0000F7970000}"/>
    <cellStyle name="Normal 3 4 10 3 2 6 3" xfId="38913" xr:uid="{00000000-0005-0000-0000-0000F8970000}"/>
    <cellStyle name="Normal 3 4 10 3 2 7" xfId="38914" xr:uid="{00000000-0005-0000-0000-0000F9970000}"/>
    <cellStyle name="Normal 3 4 10 3 2 7 2" xfId="38915" xr:uid="{00000000-0005-0000-0000-0000FA970000}"/>
    <cellStyle name="Normal 3 4 10 3 2 7 3" xfId="38916" xr:uid="{00000000-0005-0000-0000-0000FB970000}"/>
    <cellStyle name="Normal 3 4 10 3 2 8" xfId="38917" xr:uid="{00000000-0005-0000-0000-0000FC970000}"/>
    <cellStyle name="Normal 3 4 10 3 2 8 2" xfId="38918" xr:uid="{00000000-0005-0000-0000-0000FD970000}"/>
    <cellStyle name="Normal 3 4 10 3 2 8 3" xfId="38919" xr:uid="{00000000-0005-0000-0000-0000FE970000}"/>
    <cellStyle name="Normal 3 4 10 3 2 9" xfId="38920" xr:uid="{00000000-0005-0000-0000-0000FF970000}"/>
    <cellStyle name="Normal 3 4 10 3 2 9 2" xfId="38921" xr:uid="{00000000-0005-0000-0000-000000980000}"/>
    <cellStyle name="Normal 3 4 10 3 2 9 3" xfId="38922" xr:uid="{00000000-0005-0000-0000-000001980000}"/>
    <cellStyle name="Normal 3 4 10 3 3" xfId="38923" xr:uid="{00000000-0005-0000-0000-000002980000}"/>
    <cellStyle name="Normal 3 4 10 3 3 2" xfId="38924" xr:uid="{00000000-0005-0000-0000-000003980000}"/>
    <cellStyle name="Normal 3 4 10 3 3 3" xfId="38925" xr:uid="{00000000-0005-0000-0000-000004980000}"/>
    <cellStyle name="Normal 3 4 10 3 4" xfId="38926" xr:uid="{00000000-0005-0000-0000-000005980000}"/>
    <cellStyle name="Normal 3 4 10 3 4 2" xfId="38927" xr:uid="{00000000-0005-0000-0000-000006980000}"/>
    <cellStyle name="Normal 3 4 10 3 4 3" xfId="38928" xr:uid="{00000000-0005-0000-0000-000007980000}"/>
    <cellStyle name="Normal 3 4 10 3 5" xfId="38929" xr:uid="{00000000-0005-0000-0000-000008980000}"/>
    <cellStyle name="Normal 3 4 10 3 5 2" xfId="38930" xr:uid="{00000000-0005-0000-0000-000009980000}"/>
    <cellStyle name="Normal 3 4 10 3 5 3" xfId="38931" xr:uid="{00000000-0005-0000-0000-00000A980000}"/>
    <cellStyle name="Normal 3 4 10 3 6" xfId="38932" xr:uid="{00000000-0005-0000-0000-00000B980000}"/>
    <cellStyle name="Normal 3 4 10 3 6 2" xfId="38933" xr:uid="{00000000-0005-0000-0000-00000C980000}"/>
    <cellStyle name="Normal 3 4 10 3 6 3" xfId="38934" xr:uid="{00000000-0005-0000-0000-00000D980000}"/>
    <cellStyle name="Normal 3 4 10 3 7" xfId="38935" xr:uid="{00000000-0005-0000-0000-00000E980000}"/>
    <cellStyle name="Normal 3 4 10 3 7 2" xfId="38936" xr:uid="{00000000-0005-0000-0000-00000F980000}"/>
    <cellStyle name="Normal 3 4 10 3 7 3" xfId="38937" xr:uid="{00000000-0005-0000-0000-000010980000}"/>
    <cellStyle name="Normal 3 4 10 3 8" xfId="38938" xr:uid="{00000000-0005-0000-0000-000011980000}"/>
    <cellStyle name="Normal 3 4 10 3 8 2" xfId="38939" xr:uid="{00000000-0005-0000-0000-000012980000}"/>
    <cellStyle name="Normal 3 4 10 3 8 3" xfId="38940" xr:uid="{00000000-0005-0000-0000-000013980000}"/>
    <cellStyle name="Normal 3 4 10 3 9" xfId="38941" xr:uid="{00000000-0005-0000-0000-000014980000}"/>
    <cellStyle name="Normal 3 4 10 3 9 2" xfId="38942" xr:uid="{00000000-0005-0000-0000-000015980000}"/>
    <cellStyle name="Normal 3 4 10 3 9 3" xfId="38943" xr:uid="{00000000-0005-0000-0000-000016980000}"/>
    <cellStyle name="Normal 3 4 10 4" xfId="38944" xr:uid="{00000000-0005-0000-0000-000017980000}"/>
    <cellStyle name="Normal 3 4 10 4 10" xfId="38945" xr:uid="{00000000-0005-0000-0000-000018980000}"/>
    <cellStyle name="Normal 3 4 10 4 10 2" xfId="38946" xr:uid="{00000000-0005-0000-0000-000019980000}"/>
    <cellStyle name="Normal 3 4 10 4 10 3" xfId="38947" xr:uid="{00000000-0005-0000-0000-00001A980000}"/>
    <cellStyle name="Normal 3 4 10 4 11" xfId="38948" xr:uid="{00000000-0005-0000-0000-00001B980000}"/>
    <cellStyle name="Normal 3 4 10 4 11 2" xfId="38949" xr:uid="{00000000-0005-0000-0000-00001C980000}"/>
    <cellStyle name="Normal 3 4 10 4 11 3" xfId="38950" xr:uid="{00000000-0005-0000-0000-00001D980000}"/>
    <cellStyle name="Normal 3 4 10 4 12" xfId="38951" xr:uid="{00000000-0005-0000-0000-00001E980000}"/>
    <cellStyle name="Normal 3 4 10 4 12 2" xfId="38952" xr:uid="{00000000-0005-0000-0000-00001F980000}"/>
    <cellStyle name="Normal 3 4 10 4 12 3" xfId="38953" xr:uid="{00000000-0005-0000-0000-000020980000}"/>
    <cellStyle name="Normal 3 4 10 4 13" xfId="38954" xr:uid="{00000000-0005-0000-0000-000021980000}"/>
    <cellStyle name="Normal 3 4 10 4 13 2" xfId="38955" xr:uid="{00000000-0005-0000-0000-000022980000}"/>
    <cellStyle name="Normal 3 4 10 4 13 3" xfId="38956" xr:uid="{00000000-0005-0000-0000-000023980000}"/>
    <cellStyle name="Normal 3 4 10 4 14" xfId="38957" xr:uid="{00000000-0005-0000-0000-000024980000}"/>
    <cellStyle name="Normal 3 4 10 4 14 2" xfId="38958" xr:uid="{00000000-0005-0000-0000-000025980000}"/>
    <cellStyle name="Normal 3 4 10 4 14 3" xfId="38959" xr:uid="{00000000-0005-0000-0000-000026980000}"/>
    <cellStyle name="Normal 3 4 10 4 15" xfId="38960" xr:uid="{00000000-0005-0000-0000-000027980000}"/>
    <cellStyle name="Normal 3 4 10 4 15 2" xfId="38961" xr:uid="{00000000-0005-0000-0000-000028980000}"/>
    <cellStyle name="Normal 3 4 10 4 15 3" xfId="38962" xr:uid="{00000000-0005-0000-0000-000029980000}"/>
    <cellStyle name="Normal 3 4 10 4 16" xfId="38963" xr:uid="{00000000-0005-0000-0000-00002A980000}"/>
    <cellStyle name="Normal 3 4 10 4 17" xfId="38964" xr:uid="{00000000-0005-0000-0000-00002B980000}"/>
    <cellStyle name="Normal 3 4 10 4 2" xfId="38965" xr:uid="{00000000-0005-0000-0000-00002C980000}"/>
    <cellStyle name="Normal 3 4 10 4 2 10" xfId="38966" xr:uid="{00000000-0005-0000-0000-00002D980000}"/>
    <cellStyle name="Normal 3 4 10 4 2 10 2" xfId="38967" xr:uid="{00000000-0005-0000-0000-00002E980000}"/>
    <cellStyle name="Normal 3 4 10 4 2 10 3" xfId="38968" xr:uid="{00000000-0005-0000-0000-00002F980000}"/>
    <cellStyle name="Normal 3 4 10 4 2 11" xfId="38969" xr:uid="{00000000-0005-0000-0000-000030980000}"/>
    <cellStyle name="Normal 3 4 10 4 2 11 2" xfId="38970" xr:uid="{00000000-0005-0000-0000-000031980000}"/>
    <cellStyle name="Normal 3 4 10 4 2 11 3" xfId="38971" xr:uid="{00000000-0005-0000-0000-000032980000}"/>
    <cellStyle name="Normal 3 4 10 4 2 12" xfId="38972" xr:uid="{00000000-0005-0000-0000-000033980000}"/>
    <cellStyle name="Normal 3 4 10 4 2 12 2" xfId="38973" xr:uid="{00000000-0005-0000-0000-000034980000}"/>
    <cellStyle name="Normal 3 4 10 4 2 12 3" xfId="38974" xr:uid="{00000000-0005-0000-0000-000035980000}"/>
    <cellStyle name="Normal 3 4 10 4 2 13" xfId="38975" xr:uid="{00000000-0005-0000-0000-000036980000}"/>
    <cellStyle name="Normal 3 4 10 4 2 13 2" xfId="38976" xr:uid="{00000000-0005-0000-0000-000037980000}"/>
    <cellStyle name="Normal 3 4 10 4 2 13 3" xfId="38977" xr:uid="{00000000-0005-0000-0000-000038980000}"/>
    <cellStyle name="Normal 3 4 10 4 2 14" xfId="38978" xr:uid="{00000000-0005-0000-0000-000039980000}"/>
    <cellStyle name="Normal 3 4 10 4 2 14 2" xfId="38979" xr:uid="{00000000-0005-0000-0000-00003A980000}"/>
    <cellStyle name="Normal 3 4 10 4 2 14 3" xfId="38980" xr:uid="{00000000-0005-0000-0000-00003B980000}"/>
    <cellStyle name="Normal 3 4 10 4 2 15" xfId="38981" xr:uid="{00000000-0005-0000-0000-00003C980000}"/>
    <cellStyle name="Normal 3 4 10 4 2 16" xfId="38982" xr:uid="{00000000-0005-0000-0000-00003D980000}"/>
    <cellStyle name="Normal 3 4 10 4 2 2" xfId="38983" xr:uid="{00000000-0005-0000-0000-00003E980000}"/>
    <cellStyle name="Normal 3 4 10 4 2 2 2" xfId="38984" xr:uid="{00000000-0005-0000-0000-00003F980000}"/>
    <cellStyle name="Normal 3 4 10 4 2 2 3" xfId="38985" xr:uid="{00000000-0005-0000-0000-000040980000}"/>
    <cellStyle name="Normal 3 4 10 4 2 3" xfId="38986" xr:uid="{00000000-0005-0000-0000-000041980000}"/>
    <cellStyle name="Normal 3 4 10 4 2 3 2" xfId="38987" xr:uid="{00000000-0005-0000-0000-000042980000}"/>
    <cellStyle name="Normal 3 4 10 4 2 3 3" xfId="38988" xr:uid="{00000000-0005-0000-0000-000043980000}"/>
    <cellStyle name="Normal 3 4 10 4 2 4" xfId="38989" xr:uid="{00000000-0005-0000-0000-000044980000}"/>
    <cellStyle name="Normal 3 4 10 4 2 4 2" xfId="38990" xr:uid="{00000000-0005-0000-0000-000045980000}"/>
    <cellStyle name="Normal 3 4 10 4 2 4 3" xfId="38991" xr:uid="{00000000-0005-0000-0000-000046980000}"/>
    <cellStyle name="Normal 3 4 10 4 2 5" xfId="38992" xr:uid="{00000000-0005-0000-0000-000047980000}"/>
    <cellStyle name="Normal 3 4 10 4 2 5 2" xfId="38993" xr:uid="{00000000-0005-0000-0000-000048980000}"/>
    <cellStyle name="Normal 3 4 10 4 2 5 3" xfId="38994" xr:uid="{00000000-0005-0000-0000-000049980000}"/>
    <cellStyle name="Normal 3 4 10 4 2 6" xfId="38995" xr:uid="{00000000-0005-0000-0000-00004A980000}"/>
    <cellStyle name="Normal 3 4 10 4 2 6 2" xfId="38996" xr:uid="{00000000-0005-0000-0000-00004B980000}"/>
    <cellStyle name="Normal 3 4 10 4 2 6 3" xfId="38997" xr:uid="{00000000-0005-0000-0000-00004C980000}"/>
    <cellStyle name="Normal 3 4 10 4 2 7" xfId="38998" xr:uid="{00000000-0005-0000-0000-00004D980000}"/>
    <cellStyle name="Normal 3 4 10 4 2 7 2" xfId="38999" xr:uid="{00000000-0005-0000-0000-00004E980000}"/>
    <cellStyle name="Normal 3 4 10 4 2 7 3" xfId="39000" xr:uid="{00000000-0005-0000-0000-00004F980000}"/>
    <cellStyle name="Normal 3 4 10 4 2 8" xfId="39001" xr:uid="{00000000-0005-0000-0000-000050980000}"/>
    <cellStyle name="Normal 3 4 10 4 2 8 2" xfId="39002" xr:uid="{00000000-0005-0000-0000-000051980000}"/>
    <cellStyle name="Normal 3 4 10 4 2 8 3" xfId="39003" xr:uid="{00000000-0005-0000-0000-000052980000}"/>
    <cellStyle name="Normal 3 4 10 4 2 9" xfId="39004" xr:uid="{00000000-0005-0000-0000-000053980000}"/>
    <cellStyle name="Normal 3 4 10 4 2 9 2" xfId="39005" xr:uid="{00000000-0005-0000-0000-000054980000}"/>
    <cellStyle name="Normal 3 4 10 4 2 9 3" xfId="39006" xr:uid="{00000000-0005-0000-0000-000055980000}"/>
    <cellStyle name="Normal 3 4 10 4 3" xfId="39007" xr:uid="{00000000-0005-0000-0000-000056980000}"/>
    <cellStyle name="Normal 3 4 10 4 3 2" xfId="39008" xr:uid="{00000000-0005-0000-0000-000057980000}"/>
    <cellStyle name="Normal 3 4 10 4 3 3" xfId="39009" xr:uid="{00000000-0005-0000-0000-000058980000}"/>
    <cellStyle name="Normal 3 4 10 4 4" xfId="39010" xr:uid="{00000000-0005-0000-0000-000059980000}"/>
    <cellStyle name="Normal 3 4 10 4 4 2" xfId="39011" xr:uid="{00000000-0005-0000-0000-00005A980000}"/>
    <cellStyle name="Normal 3 4 10 4 4 3" xfId="39012" xr:uid="{00000000-0005-0000-0000-00005B980000}"/>
    <cellStyle name="Normal 3 4 10 4 5" xfId="39013" xr:uid="{00000000-0005-0000-0000-00005C980000}"/>
    <cellStyle name="Normal 3 4 10 4 5 2" xfId="39014" xr:uid="{00000000-0005-0000-0000-00005D980000}"/>
    <cellStyle name="Normal 3 4 10 4 5 3" xfId="39015" xr:uid="{00000000-0005-0000-0000-00005E980000}"/>
    <cellStyle name="Normal 3 4 10 4 6" xfId="39016" xr:uid="{00000000-0005-0000-0000-00005F980000}"/>
    <cellStyle name="Normal 3 4 10 4 6 2" xfId="39017" xr:uid="{00000000-0005-0000-0000-000060980000}"/>
    <cellStyle name="Normal 3 4 10 4 6 3" xfId="39018" xr:uid="{00000000-0005-0000-0000-000061980000}"/>
    <cellStyle name="Normal 3 4 10 4 7" xfId="39019" xr:uid="{00000000-0005-0000-0000-000062980000}"/>
    <cellStyle name="Normal 3 4 10 4 7 2" xfId="39020" xr:uid="{00000000-0005-0000-0000-000063980000}"/>
    <cellStyle name="Normal 3 4 10 4 7 3" xfId="39021" xr:uid="{00000000-0005-0000-0000-000064980000}"/>
    <cellStyle name="Normal 3 4 10 4 8" xfId="39022" xr:uid="{00000000-0005-0000-0000-000065980000}"/>
    <cellStyle name="Normal 3 4 10 4 8 2" xfId="39023" xr:uid="{00000000-0005-0000-0000-000066980000}"/>
    <cellStyle name="Normal 3 4 10 4 8 3" xfId="39024" xr:uid="{00000000-0005-0000-0000-000067980000}"/>
    <cellStyle name="Normal 3 4 10 4 9" xfId="39025" xr:uid="{00000000-0005-0000-0000-000068980000}"/>
    <cellStyle name="Normal 3 4 10 4 9 2" xfId="39026" xr:uid="{00000000-0005-0000-0000-000069980000}"/>
    <cellStyle name="Normal 3 4 10 4 9 3" xfId="39027" xr:uid="{00000000-0005-0000-0000-00006A980000}"/>
    <cellStyle name="Normal 3 4 10 5" xfId="39028" xr:uid="{00000000-0005-0000-0000-00006B980000}"/>
    <cellStyle name="Normal 3 4 10 5 10" xfId="39029" xr:uid="{00000000-0005-0000-0000-00006C980000}"/>
    <cellStyle name="Normal 3 4 10 5 10 2" xfId="39030" xr:uid="{00000000-0005-0000-0000-00006D980000}"/>
    <cellStyle name="Normal 3 4 10 5 10 3" xfId="39031" xr:uid="{00000000-0005-0000-0000-00006E980000}"/>
    <cellStyle name="Normal 3 4 10 5 11" xfId="39032" xr:uid="{00000000-0005-0000-0000-00006F980000}"/>
    <cellStyle name="Normal 3 4 10 5 11 2" xfId="39033" xr:uid="{00000000-0005-0000-0000-000070980000}"/>
    <cellStyle name="Normal 3 4 10 5 11 3" xfId="39034" xr:uid="{00000000-0005-0000-0000-000071980000}"/>
    <cellStyle name="Normal 3 4 10 5 12" xfId="39035" xr:uid="{00000000-0005-0000-0000-000072980000}"/>
    <cellStyle name="Normal 3 4 10 5 12 2" xfId="39036" xr:uid="{00000000-0005-0000-0000-000073980000}"/>
    <cellStyle name="Normal 3 4 10 5 12 3" xfId="39037" xr:uid="{00000000-0005-0000-0000-000074980000}"/>
    <cellStyle name="Normal 3 4 10 5 13" xfId="39038" xr:uid="{00000000-0005-0000-0000-000075980000}"/>
    <cellStyle name="Normal 3 4 10 5 13 2" xfId="39039" xr:uid="{00000000-0005-0000-0000-000076980000}"/>
    <cellStyle name="Normal 3 4 10 5 13 3" xfId="39040" xr:uid="{00000000-0005-0000-0000-000077980000}"/>
    <cellStyle name="Normal 3 4 10 5 14" xfId="39041" xr:uid="{00000000-0005-0000-0000-000078980000}"/>
    <cellStyle name="Normal 3 4 10 5 14 2" xfId="39042" xr:uid="{00000000-0005-0000-0000-000079980000}"/>
    <cellStyle name="Normal 3 4 10 5 14 3" xfId="39043" xr:uid="{00000000-0005-0000-0000-00007A980000}"/>
    <cellStyle name="Normal 3 4 10 5 15" xfId="39044" xr:uid="{00000000-0005-0000-0000-00007B980000}"/>
    <cellStyle name="Normal 3 4 10 5 16" xfId="39045" xr:uid="{00000000-0005-0000-0000-00007C980000}"/>
    <cellStyle name="Normal 3 4 10 5 2" xfId="39046" xr:uid="{00000000-0005-0000-0000-00007D980000}"/>
    <cellStyle name="Normal 3 4 10 5 2 2" xfId="39047" xr:uid="{00000000-0005-0000-0000-00007E980000}"/>
    <cellStyle name="Normal 3 4 10 5 2 3" xfId="39048" xr:uid="{00000000-0005-0000-0000-00007F980000}"/>
    <cellStyle name="Normal 3 4 10 5 3" xfId="39049" xr:uid="{00000000-0005-0000-0000-000080980000}"/>
    <cellStyle name="Normal 3 4 10 5 3 2" xfId="39050" xr:uid="{00000000-0005-0000-0000-000081980000}"/>
    <cellStyle name="Normal 3 4 10 5 3 3" xfId="39051" xr:uid="{00000000-0005-0000-0000-000082980000}"/>
    <cellStyle name="Normal 3 4 10 5 4" xfId="39052" xr:uid="{00000000-0005-0000-0000-000083980000}"/>
    <cellStyle name="Normal 3 4 10 5 4 2" xfId="39053" xr:uid="{00000000-0005-0000-0000-000084980000}"/>
    <cellStyle name="Normal 3 4 10 5 4 3" xfId="39054" xr:uid="{00000000-0005-0000-0000-000085980000}"/>
    <cellStyle name="Normal 3 4 10 5 5" xfId="39055" xr:uid="{00000000-0005-0000-0000-000086980000}"/>
    <cellStyle name="Normal 3 4 10 5 5 2" xfId="39056" xr:uid="{00000000-0005-0000-0000-000087980000}"/>
    <cellStyle name="Normal 3 4 10 5 5 3" xfId="39057" xr:uid="{00000000-0005-0000-0000-000088980000}"/>
    <cellStyle name="Normal 3 4 10 5 6" xfId="39058" xr:uid="{00000000-0005-0000-0000-000089980000}"/>
    <cellStyle name="Normal 3 4 10 5 6 2" xfId="39059" xr:uid="{00000000-0005-0000-0000-00008A980000}"/>
    <cellStyle name="Normal 3 4 10 5 6 3" xfId="39060" xr:uid="{00000000-0005-0000-0000-00008B980000}"/>
    <cellStyle name="Normal 3 4 10 5 7" xfId="39061" xr:uid="{00000000-0005-0000-0000-00008C980000}"/>
    <cellStyle name="Normal 3 4 10 5 7 2" xfId="39062" xr:uid="{00000000-0005-0000-0000-00008D980000}"/>
    <cellStyle name="Normal 3 4 10 5 7 3" xfId="39063" xr:uid="{00000000-0005-0000-0000-00008E980000}"/>
    <cellStyle name="Normal 3 4 10 5 8" xfId="39064" xr:uid="{00000000-0005-0000-0000-00008F980000}"/>
    <cellStyle name="Normal 3 4 10 5 8 2" xfId="39065" xr:uid="{00000000-0005-0000-0000-000090980000}"/>
    <cellStyle name="Normal 3 4 10 5 8 3" xfId="39066" xr:uid="{00000000-0005-0000-0000-000091980000}"/>
    <cellStyle name="Normal 3 4 10 5 9" xfId="39067" xr:uid="{00000000-0005-0000-0000-000092980000}"/>
    <cellStyle name="Normal 3 4 10 5 9 2" xfId="39068" xr:uid="{00000000-0005-0000-0000-000093980000}"/>
    <cellStyle name="Normal 3 4 10 5 9 3" xfId="39069" xr:uid="{00000000-0005-0000-0000-000094980000}"/>
    <cellStyle name="Normal 3 4 10 6" xfId="39070" xr:uid="{00000000-0005-0000-0000-000095980000}"/>
    <cellStyle name="Normal 3 4 10 6 10" xfId="39071" xr:uid="{00000000-0005-0000-0000-000096980000}"/>
    <cellStyle name="Normal 3 4 10 6 10 2" xfId="39072" xr:uid="{00000000-0005-0000-0000-000097980000}"/>
    <cellStyle name="Normal 3 4 10 6 10 3" xfId="39073" xr:uid="{00000000-0005-0000-0000-000098980000}"/>
    <cellStyle name="Normal 3 4 10 6 11" xfId="39074" xr:uid="{00000000-0005-0000-0000-000099980000}"/>
    <cellStyle name="Normal 3 4 10 6 11 2" xfId="39075" xr:uid="{00000000-0005-0000-0000-00009A980000}"/>
    <cellStyle name="Normal 3 4 10 6 11 3" xfId="39076" xr:uid="{00000000-0005-0000-0000-00009B980000}"/>
    <cellStyle name="Normal 3 4 10 6 12" xfId="39077" xr:uid="{00000000-0005-0000-0000-00009C980000}"/>
    <cellStyle name="Normal 3 4 10 6 12 2" xfId="39078" xr:uid="{00000000-0005-0000-0000-00009D980000}"/>
    <cellStyle name="Normal 3 4 10 6 12 3" xfId="39079" xr:uid="{00000000-0005-0000-0000-00009E980000}"/>
    <cellStyle name="Normal 3 4 10 6 13" xfId="39080" xr:uid="{00000000-0005-0000-0000-00009F980000}"/>
    <cellStyle name="Normal 3 4 10 6 13 2" xfId="39081" xr:uid="{00000000-0005-0000-0000-0000A0980000}"/>
    <cellStyle name="Normal 3 4 10 6 13 3" xfId="39082" xr:uid="{00000000-0005-0000-0000-0000A1980000}"/>
    <cellStyle name="Normal 3 4 10 6 14" xfId="39083" xr:uid="{00000000-0005-0000-0000-0000A2980000}"/>
    <cellStyle name="Normal 3 4 10 6 14 2" xfId="39084" xr:uid="{00000000-0005-0000-0000-0000A3980000}"/>
    <cellStyle name="Normal 3 4 10 6 14 3" xfId="39085" xr:uid="{00000000-0005-0000-0000-0000A4980000}"/>
    <cellStyle name="Normal 3 4 10 6 15" xfId="39086" xr:uid="{00000000-0005-0000-0000-0000A5980000}"/>
    <cellStyle name="Normal 3 4 10 6 16" xfId="39087" xr:uid="{00000000-0005-0000-0000-0000A6980000}"/>
    <cellStyle name="Normal 3 4 10 6 2" xfId="39088" xr:uid="{00000000-0005-0000-0000-0000A7980000}"/>
    <cellStyle name="Normal 3 4 10 6 2 2" xfId="39089" xr:uid="{00000000-0005-0000-0000-0000A8980000}"/>
    <cellStyle name="Normal 3 4 10 6 2 3" xfId="39090" xr:uid="{00000000-0005-0000-0000-0000A9980000}"/>
    <cellStyle name="Normal 3 4 10 6 3" xfId="39091" xr:uid="{00000000-0005-0000-0000-0000AA980000}"/>
    <cellStyle name="Normal 3 4 10 6 3 2" xfId="39092" xr:uid="{00000000-0005-0000-0000-0000AB980000}"/>
    <cellStyle name="Normal 3 4 10 6 3 3" xfId="39093" xr:uid="{00000000-0005-0000-0000-0000AC980000}"/>
    <cellStyle name="Normal 3 4 10 6 4" xfId="39094" xr:uid="{00000000-0005-0000-0000-0000AD980000}"/>
    <cellStyle name="Normal 3 4 10 6 4 2" xfId="39095" xr:uid="{00000000-0005-0000-0000-0000AE980000}"/>
    <cellStyle name="Normal 3 4 10 6 4 3" xfId="39096" xr:uid="{00000000-0005-0000-0000-0000AF980000}"/>
    <cellStyle name="Normal 3 4 10 6 5" xfId="39097" xr:uid="{00000000-0005-0000-0000-0000B0980000}"/>
    <cellStyle name="Normal 3 4 10 6 5 2" xfId="39098" xr:uid="{00000000-0005-0000-0000-0000B1980000}"/>
    <cellStyle name="Normal 3 4 10 6 5 3" xfId="39099" xr:uid="{00000000-0005-0000-0000-0000B2980000}"/>
    <cellStyle name="Normal 3 4 10 6 6" xfId="39100" xr:uid="{00000000-0005-0000-0000-0000B3980000}"/>
    <cellStyle name="Normal 3 4 10 6 6 2" xfId="39101" xr:uid="{00000000-0005-0000-0000-0000B4980000}"/>
    <cellStyle name="Normal 3 4 10 6 6 3" xfId="39102" xr:uid="{00000000-0005-0000-0000-0000B5980000}"/>
    <cellStyle name="Normal 3 4 10 6 7" xfId="39103" xr:uid="{00000000-0005-0000-0000-0000B6980000}"/>
    <cellStyle name="Normal 3 4 10 6 7 2" xfId="39104" xr:uid="{00000000-0005-0000-0000-0000B7980000}"/>
    <cellStyle name="Normal 3 4 10 6 7 3" xfId="39105" xr:uid="{00000000-0005-0000-0000-0000B8980000}"/>
    <cellStyle name="Normal 3 4 10 6 8" xfId="39106" xr:uid="{00000000-0005-0000-0000-0000B9980000}"/>
    <cellStyle name="Normal 3 4 10 6 8 2" xfId="39107" xr:uid="{00000000-0005-0000-0000-0000BA980000}"/>
    <cellStyle name="Normal 3 4 10 6 8 3" xfId="39108" xr:uid="{00000000-0005-0000-0000-0000BB980000}"/>
    <cellStyle name="Normal 3 4 10 6 9" xfId="39109" xr:uid="{00000000-0005-0000-0000-0000BC980000}"/>
    <cellStyle name="Normal 3 4 10 6 9 2" xfId="39110" xr:uid="{00000000-0005-0000-0000-0000BD980000}"/>
    <cellStyle name="Normal 3 4 10 6 9 3" xfId="39111" xr:uid="{00000000-0005-0000-0000-0000BE980000}"/>
    <cellStyle name="Normal 3 4 10 7" xfId="39112" xr:uid="{00000000-0005-0000-0000-0000BF980000}"/>
    <cellStyle name="Normal 3 4 10 7 10" xfId="39113" xr:uid="{00000000-0005-0000-0000-0000C0980000}"/>
    <cellStyle name="Normal 3 4 10 7 10 2" xfId="39114" xr:uid="{00000000-0005-0000-0000-0000C1980000}"/>
    <cellStyle name="Normal 3 4 10 7 10 3" xfId="39115" xr:uid="{00000000-0005-0000-0000-0000C2980000}"/>
    <cellStyle name="Normal 3 4 10 7 11" xfId="39116" xr:uid="{00000000-0005-0000-0000-0000C3980000}"/>
    <cellStyle name="Normal 3 4 10 7 11 2" xfId="39117" xr:uid="{00000000-0005-0000-0000-0000C4980000}"/>
    <cellStyle name="Normal 3 4 10 7 11 3" xfId="39118" xr:uid="{00000000-0005-0000-0000-0000C5980000}"/>
    <cellStyle name="Normal 3 4 10 7 12" xfId="39119" xr:uid="{00000000-0005-0000-0000-0000C6980000}"/>
    <cellStyle name="Normal 3 4 10 7 12 2" xfId="39120" xr:uid="{00000000-0005-0000-0000-0000C7980000}"/>
    <cellStyle name="Normal 3 4 10 7 12 3" xfId="39121" xr:uid="{00000000-0005-0000-0000-0000C8980000}"/>
    <cellStyle name="Normal 3 4 10 7 13" xfId="39122" xr:uid="{00000000-0005-0000-0000-0000C9980000}"/>
    <cellStyle name="Normal 3 4 10 7 13 2" xfId="39123" xr:uid="{00000000-0005-0000-0000-0000CA980000}"/>
    <cellStyle name="Normal 3 4 10 7 13 3" xfId="39124" xr:uid="{00000000-0005-0000-0000-0000CB980000}"/>
    <cellStyle name="Normal 3 4 10 7 14" xfId="39125" xr:uid="{00000000-0005-0000-0000-0000CC980000}"/>
    <cellStyle name="Normal 3 4 10 7 14 2" xfId="39126" xr:uid="{00000000-0005-0000-0000-0000CD980000}"/>
    <cellStyle name="Normal 3 4 10 7 14 3" xfId="39127" xr:uid="{00000000-0005-0000-0000-0000CE980000}"/>
    <cellStyle name="Normal 3 4 10 7 15" xfId="39128" xr:uid="{00000000-0005-0000-0000-0000CF980000}"/>
    <cellStyle name="Normal 3 4 10 7 16" xfId="39129" xr:uid="{00000000-0005-0000-0000-0000D0980000}"/>
    <cellStyle name="Normal 3 4 10 7 2" xfId="39130" xr:uid="{00000000-0005-0000-0000-0000D1980000}"/>
    <cellStyle name="Normal 3 4 10 7 2 2" xfId="39131" xr:uid="{00000000-0005-0000-0000-0000D2980000}"/>
    <cellStyle name="Normal 3 4 10 7 2 3" xfId="39132" xr:uid="{00000000-0005-0000-0000-0000D3980000}"/>
    <cellStyle name="Normal 3 4 10 7 3" xfId="39133" xr:uid="{00000000-0005-0000-0000-0000D4980000}"/>
    <cellStyle name="Normal 3 4 10 7 3 2" xfId="39134" xr:uid="{00000000-0005-0000-0000-0000D5980000}"/>
    <cellStyle name="Normal 3 4 10 7 3 3" xfId="39135" xr:uid="{00000000-0005-0000-0000-0000D6980000}"/>
    <cellStyle name="Normal 3 4 10 7 4" xfId="39136" xr:uid="{00000000-0005-0000-0000-0000D7980000}"/>
    <cellStyle name="Normal 3 4 10 7 4 2" xfId="39137" xr:uid="{00000000-0005-0000-0000-0000D8980000}"/>
    <cellStyle name="Normal 3 4 10 7 4 3" xfId="39138" xr:uid="{00000000-0005-0000-0000-0000D9980000}"/>
    <cellStyle name="Normal 3 4 10 7 5" xfId="39139" xr:uid="{00000000-0005-0000-0000-0000DA980000}"/>
    <cellStyle name="Normal 3 4 10 7 5 2" xfId="39140" xr:uid="{00000000-0005-0000-0000-0000DB980000}"/>
    <cellStyle name="Normal 3 4 10 7 5 3" xfId="39141" xr:uid="{00000000-0005-0000-0000-0000DC980000}"/>
    <cellStyle name="Normal 3 4 10 7 6" xfId="39142" xr:uid="{00000000-0005-0000-0000-0000DD980000}"/>
    <cellStyle name="Normal 3 4 10 7 6 2" xfId="39143" xr:uid="{00000000-0005-0000-0000-0000DE980000}"/>
    <cellStyle name="Normal 3 4 10 7 6 3" xfId="39144" xr:uid="{00000000-0005-0000-0000-0000DF980000}"/>
    <cellStyle name="Normal 3 4 10 7 7" xfId="39145" xr:uid="{00000000-0005-0000-0000-0000E0980000}"/>
    <cellStyle name="Normal 3 4 10 7 7 2" xfId="39146" xr:uid="{00000000-0005-0000-0000-0000E1980000}"/>
    <cellStyle name="Normal 3 4 10 7 7 3" xfId="39147" xr:uid="{00000000-0005-0000-0000-0000E2980000}"/>
    <cellStyle name="Normal 3 4 10 7 8" xfId="39148" xr:uid="{00000000-0005-0000-0000-0000E3980000}"/>
    <cellStyle name="Normal 3 4 10 7 8 2" xfId="39149" xr:uid="{00000000-0005-0000-0000-0000E4980000}"/>
    <cellStyle name="Normal 3 4 10 7 8 3" xfId="39150" xr:uid="{00000000-0005-0000-0000-0000E5980000}"/>
    <cellStyle name="Normal 3 4 10 7 9" xfId="39151" xr:uid="{00000000-0005-0000-0000-0000E6980000}"/>
    <cellStyle name="Normal 3 4 10 7 9 2" xfId="39152" xr:uid="{00000000-0005-0000-0000-0000E7980000}"/>
    <cellStyle name="Normal 3 4 10 7 9 3" xfId="39153" xr:uid="{00000000-0005-0000-0000-0000E8980000}"/>
    <cellStyle name="Normal 3 4 10 8" xfId="39154" xr:uid="{00000000-0005-0000-0000-0000E9980000}"/>
    <cellStyle name="Normal 3 4 10 8 10" xfId="39155" xr:uid="{00000000-0005-0000-0000-0000EA980000}"/>
    <cellStyle name="Normal 3 4 10 8 10 2" xfId="39156" xr:uid="{00000000-0005-0000-0000-0000EB980000}"/>
    <cellStyle name="Normal 3 4 10 8 10 3" xfId="39157" xr:uid="{00000000-0005-0000-0000-0000EC980000}"/>
    <cellStyle name="Normal 3 4 10 8 11" xfId="39158" xr:uid="{00000000-0005-0000-0000-0000ED980000}"/>
    <cellStyle name="Normal 3 4 10 8 11 2" xfId="39159" xr:uid="{00000000-0005-0000-0000-0000EE980000}"/>
    <cellStyle name="Normal 3 4 10 8 11 3" xfId="39160" xr:uid="{00000000-0005-0000-0000-0000EF980000}"/>
    <cellStyle name="Normal 3 4 10 8 12" xfId="39161" xr:uid="{00000000-0005-0000-0000-0000F0980000}"/>
    <cellStyle name="Normal 3 4 10 8 12 2" xfId="39162" xr:uid="{00000000-0005-0000-0000-0000F1980000}"/>
    <cellStyle name="Normal 3 4 10 8 12 3" xfId="39163" xr:uid="{00000000-0005-0000-0000-0000F2980000}"/>
    <cellStyle name="Normal 3 4 10 8 13" xfId="39164" xr:uid="{00000000-0005-0000-0000-0000F3980000}"/>
    <cellStyle name="Normal 3 4 10 8 13 2" xfId="39165" xr:uid="{00000000-0005-0000-0000-0000F4980000}"/>
    <cellStyle name="Normal 3 4 10 8 13 3" xfId="39166" xr:uid="{00000000-0005-0000-0000-0000F5980000}"/>
    <cellStyle name="Normal 3 4 10 8 14" xfId="39167" xr:uid="{00000000-0005-0000-0000-0000F6980000}"/>
    <cellStyle name="Normal 3 4 10 8 14 2" xfId="39168" xr:uid="{00000000-0005-0000-0000-0000F7980000}"/>
    <cellStyle name="Normal 3 4 10 8 14 3" xfId="39169" xr:uid="{00000000-0005-0000-0000-0000F8980000}"/>
    <cellStyle name="Normal 3 4 10 8 15" xfId="39170" xr:uid="{00000000-0005-0000-0000-0000F9980000}"/>
    <cellStyle name="Normal 3 4 10 8 16" xfId="39171" xr:uid="{00000000-0005-0000-0000-0000FA980000}"/>
    <cellStyle name="Normal 3 4 10 8 2" xfId="39172" xr:uid="{00000000-0005-0000-0000-0000FB980000}"/>
    <cellStyle name="Normal 3 4 10 8 2 2" xfId="39173" xr:uid="{00000000-0005-0000-0000-0000FC980000}"/>
    <cellStyle name="Normal 3 4 10 8 2 3" xfId="39174" xr:uid="{00000000-0005-0000-0000-0000FD980000}"/>
    <cellStyle name="Normal 3 4 10 8 3" xfId="39175" xr:uid="{00000000-0005-0000-0000-0000FE980000}"/>
    <cellStyle name="Normal 3 4 10 8 3 2" xfId="39176" xr:uid="{00000000-0005-0000-0000-0000FF980000}"/>
    <cellStyle name="Normal 3 4 10 8 3 3" xfId="39177" xr:uid="{00000000-0005-0000-0000-000000990000}"/>
    <cellStyle name="Normal 3 4 10 8 4" xfId="39178" xr:uid="{00000000-0005-0000-0000-000001990000}"/>
    <cellStyle name="Normal 3 4 10 8 4 2" xfId="39179" xr:uid="{00000000-0005-0000-0000-000002990000}"/>
    <cellStyle name="Normal 3 4 10 8 4 3" xfId="39180" xr:uid="{00000000-0005-0000-0000-000003990000}"/>
    <cellStyle name="Normal 3 4 10 8 5" xfId="39181" xr:uid="{00000000-0005-0000-0000-000004990000}"/>
    <cellStyle name="Normal 3 4 10 8 5 2" xfId="39182" xr:uid="{00000000-0005-0000-0000-000005990000}"/>
    <cellStyle name="Normal 3 4 10 8 5 3" xfId="39183" xr:uid="{00000000-0005-0000-0000-000006990000}"/>
    <cellStyle name="Normal 3 4 10 8 6" xfId="39184" xr:uid="{00000000-0005-0000-0000-000007990000}"/>
    <cellStyle name="Normal 3 4 10 8 6 2" xfId="39185" xr:uid="{00000000-0005-0000-0000-000008990000}"/>
    <cellStyle name="Normal 3 4 10 8 6 3" xfId="39186" xr:uid="{00000000-0005-0000-0000-000009990000}"/>
    <cellStyle name="Normal 3 4 10 8 7" xfId="39187" xr:uid="{00000000-0005-0000-0000-00000A990000}"/>
    <cellStyle name="Normal 3 4 10 8 7 2" xfId="39188" xr:uid="{00000000-0005-0000-0000-00000B990000}"/>
    <cellStyle name="Normal 3 4 10 8 7 3" xfId="39189" xr:uid="{00000000-0005-0000-0000-00000C990000}"/>
    <cellStyle name="Normal 3 4 10 8 8" xfId="39190" xr:uid="{00000000-0005-0000-0000-00000D990000}"/>
    <cellStyle name="Normal 3 4 10 8 8 2" xfId="39191" xr:uid="{00000000-0005-0000-0000-00000E990000}"/>
    <cellStyle name="Normal 3 4 10 8 8 3" xfId="39192" xr:uid="{00000000-0005-0000-0000-00000F990000}"/>
    <cellStyle name="Normal 3 4 10 8 9" xfId="39193" xr:uid="{00000000-0005-0000-0000-000010990000}"/>
    <cellStyle name="Normal 3 4 10 8 9 2" xfId="39194" xr:uid="{00000000-0005-0000-0000-000011990000}"/>
    <cellStyle name="Normal 3 4 10 8 9 3" xfId="39195" xr:uid="{00000000-0005-0000-0000-000012990000}"/>
    <cellStyle name="Normal 3 4 10 9" xfId="39196" xr:uid="{00000000-0005-0000-0000-000013990000}"/>
    <cellStyle name="Normal 3 4 10 9 10" xfId="39197" xr:uid="{00000000-0005-0000-0000-000014990000}"/>
    <cellStyle name="Normal 3 4 10 9 10 2" xfId="39198" xr:uid="{00000000-0005-0000-0000-000015990000}"/>
    <cellStyle name="Normal 3 4 10 9 10 3" xfId="39199" xr:uid="{00000000-0005-0000-0000-000016990000}"/>
    <cellStyle name="Normal 3 4 10 9 11" xfId="39200" xr:uid="{00000000-0005-0000-0000-000017990000}"/>
    <cellStyle name="Normal 3 4 10 9 11 2" xfId="39201" xr:uid="{00000000-0005-0000-0000-000018990000}"/>
    <cellStyle name="Normal 3 4 10 9 11 3" xfId="39202" xr:uid="{00000000-0005-0000-0000-000019990000}"/>
    <cellStyle name="Normal 3 4 10 9 12" xfId="39203" xr:uid="{00000000-0005-0000-0000-00001A990000}"/>
    <cellStyle name="Normal 3 4 10 9 12 2" xfId="39204" xr:uid="{00000000-0005-0000-0000-00001B990000}"/>
    <cellStyle name="Normal 3 4 10 9 12 3" xfId="39205" xr:uid="{00000000-0005-0000-0000-00001C990000}"/>
    <cellStyle name="Normal 3 4 10 9 13" xfId="39206" xr:uid="{00000000-0005-0000-0000-00001D990000}"/>
    <cellStyle name="Normal 3 4 10 9 13 2" xfId="39207" xr:uid="{00000000-0005-0000-0000-00001E990000}"/>
    <cellStyle name="Normal 3 4 10 9 13 3" xfId="39208" xr:uid="{00000000-0005-0000-0000-00001F990000}"/>
    <cellStyle name="Normal 3 4 10 9 14" xfId="39209" xr:uid="{00000000-0005-0000-0000-000020990000}"/>
    <cellStyle name="Normal 3 4 10 9 14 2" xfId="39210" xr:uid="{00000000-0005-0000-0000-000021990000}"/>
    <cellStyle name="Normal 3 4 10 9 14 3" xfId="39211" xr:uid="{00000000-0005-0000-0000-000022990000}"/>
    <cellStyle name="Normal 3 4 10 9 15" xfId="39212" xr:uid="{00000000-0005-0000-0000-000023990000}"/>
    <cellStyle name="Normal 3 4 10 9 16" xfId="39213" xr:uid="{00000000-0005-0000-0000-000024990000}"/>
    <cellStyle name="Normal 3 4 10 9 2" xfId="39214" xr:uid="{00000000-0005-0000-0000-000025990000}"/>
    <cellStyle name="Normal 3 4 10 9 2 2" xfId="39215" xr:uid="{00000000-0005-0000-0000-000026990000}"/>
    <cellStyle name="Normal 3 4 10 9 2 3" xfId="39216" xr:uid="{00000000-0005-0000-0000-000027990000}"/>
    <cellStyle name="Normal 3 4 10 9 3" xfId="39217" xr:uid="{00000000-0005-0000-0000-000028990000}"/>
    <cellStyle name="Normal 3 4 10 9 3 2" xfId="39218" xr:uid="{00000000-0005-0000-0000-000029990000}"/>
    <cellStyle name="Normal 3 4 10 9 3 3" xfId="39219" xr:uid="{00000000-0005-0000-0000-00002A990000}"/>
    <cellStyle name="Normal 3 4 10 9 4" xfId="39220" xr:uid="{00000000-0005-0000-0000-00002B990000}"/>
    <cellStyle name="Normal 3 4 10 9 4 2" xfId="39221" xr:uid="{00000000-0005-0000-0000-00002C990000}"/>
    <cellStyle name="Normal 3 4 10 9 4 3" xfId="39222" xr:uid="{00000000-0005-0000-0000-00002D990000}"/>
    <cellStyle name="Normal 3 4 10 9 5" xfId="39223" xr:uid="{00000000-0005-0000-0000-00002E990000}"/>
    <cellStyle name="Normal 3 4 10 9 5 2" xfId="39224" xr:uid="{00000000-0005-0000-0000-00002F990000}"/>
    <cellStyle name="Normal 3 4 10 9 5 3" xfId="39225" xr:uid="{00000000-0005-0000-0000-000030990000}"/>
    <cellStyle name="Normal 3 4 10 9 6" xfId="39226" xr:uid="{00000000-0005-0000-0000-000031990000}"/>
    <cellStyle name="Normal 3 4 10 9 6 2" xfId="39227" xr:uid="{00000000-0005-0000-0000-000032990000}"/>
    <cellStyle name="Normal 3 4 10 9 6 3" xfId="39228" xr:uid="{00000000-0005-0000-0000-000033990000}"/>
    <cellStyle name="Normal 3 4 10 9 7" xfId="39229" xr:uid="{00000000-0005-0000-0000-000034990000}"/>
    <cellStyle name="Normal 3 4 10 9 7 2" xfId="39230" xr:uid="{00000000-0005-0000-0000-000035990000}"/>
    <cellStyle name="Normal 3 4 10 9 7 3" xfId="39231" xr:uid="{00000000-0005-0000-0000-000036990000}"/>
    <cellStyle name="Normal 3 4 10 9 8" xfId="39232" xr:uid="{00000000-0005-0000-0000-000037990000}"/>
    <cellStyle name="Normal 3 4 10 9 8 2" xfId="39233" xr:uid="{00000000-0005-0000-0000-000038990000}"/>
    <cellStyle name="Normal 3 4 10 9 8 3" xfId="39234" xr:uid="{00000000-0005-0000-0000-000039990000}"/>
    <cellStyle name="Normal 3 4 10 9 9" xfId="39235" xr:uid="{00000000-0005-0000-0000-00003A990000}"/>
    <cellStyle name="Normal 3 4 10 9 9 2" xfId="39236" xr:uid="{00000000-0005-0000-0000-00003B990000}"/>
    <cellStyle name="Normal 3 4 10 9 9 3" xfId="39237" xr:uid="{00000000-0005-0000-0000-00003C990000}"/>
    <cellStyle name="Normal 3 4 11" xfId="39238" xr:uid="{00000000-0005-0000-0000-00003D990000}"/>
    <cellStyle name="Normal 3 4 11 10" xfId="39239" xr:uid="{00000000-0005-0000-0000-00003E990000}"/>
    <cellStyle name="Normal 3 4 11 10 10" xfId="39240" xr:uid="{00000000-0005-0000-0000-00003F990000}"/>
    <cellStyle name="Normal 3 4 11 10 10 2" xfId="39241" xr:uid="{00000000-0005-0000-0000-000040990000}"/>
    <cellStyle name="Normal 3 4 11 10 10 3" xfId="39242" xr:uid="{00000000-0005-0000-0000-000041990000}"/>
    <cellStyle name="Normal 3 4 11 10 11" xfId="39243" xr:uid="{00000000-0005-0000-0000-000042990000}"/>
    <cellStyle name="Normal 3 4 11 10 11 2" xfId="39244" xr:uid="{00000000-0005-0000-0000-000043990000}"/>
    <cellStyle name="Normal 3 4 11 10 11 3" xfId="39245" xr:uid="{00000000-0005-0000-0000-000044990000}"/>
    <cellStyle name="Normal 3 4 11 10 12" xfId="39246" xr:uid="{00000000-0005-0000-0000-000045990000}"/>
    <cellStyle name="Normal 3 4 11 10 12 2" xfId="39247" xr:uid="{00000000-0005-0000-0000-000046990000}"/>
    <cellStyle name="Normal 3 4 11 10 12 3" xfId="39248" xr:uid="{00000000-0005-0000-0000-000047990000}"/>
    <cellStyle name="Normal 3 4 11 10 13" xfId="39249" xr:uid="{00000000-0005-0000-0000-000048990000}"/>
    <cellStyle name="Normal 3 4 11 10 13 2" xfId="39250" xr:uid="{00000000-0005-0000-0000-000049990000}"/>
    <cellStyle name="Normal 3 4 11 10 13 3" xfId="39251" xr:uid="{00000000-0005-0000-0000-00004A990000}"/>
    <cellStyle name="Normal 3 4 11 10 14" xfId="39252" xr:uid="{00000000-0005-0000-0000-00004B990000}"/>
    <cellStyle name="Normal 3 4 11 10 14 2" xfId="39253" xr:uid="{00000000-0005-0000-0000-00004C990000}"/>
    <cellStyle name="Normal 3 4 11 10 14 3" xfId="39254" xr:uid="{00000000-0005-0000-0000-00004D990000}"/>
    <cellStyle name="Normal 3 4 11 10 15" xfId="39255" xr:uid="{00000000-0005-0000-0000-00004E990000}"/>
    <cellStyle name="Normal 3 4 11 10 16" xfId="39256" xr:uid="{00000000-0005-0000-0000-00004F990000}"/>
    <cellStyle name="Normal 3 4 11 10 2" xfId="39257" xr:uid="{00000000-0005-0000-0000-000050990000}"/>
    <cellStyle name="Normal 3 4 11 10 2 2" xfId="39258" xr:uid="{00000000-0005-0000-0000-000051990000}"/>
    <cellStyle name="Normal 3 4 11 10 2 3" xfId="39259" xr:uid="{00000000-0005-0000-0000-000052990000}"/>
    <cellStyle name="Normal 3 4 11 10 3" xfId="39260" xr:uid="{00000000-0005-0000-0000-000053990000}"/>
    <cellStyle name="Normal 3 4 11 10 3 2" xfId="39261" xr:uid="{00000000-0005-0000-0000-000054990000}"/>
    <cellStyle name="Normal 3 4 11 10 3 3" xfId="39262" xr:uid="{00000000-0005-0000-0000-000055990000}"/>
    <cellStyle name="Normal 3 4 11 10 4" xfId="39263" xr:uid="{00000000-0005-0000-0000-000056990000}"/>
    <cellStyle name="Normal 3 4 11 10 4 2" xfId="39264" xr:uid="{00000000-0005-0000-0000-000057990000}"/>
    <cellStyle name="Normal 3 4 11 10 4 3" xfId="39265" xr:uid="{00000000-0005-0000-0000-000058990000}"/>
    <cellStyle name="Normal 3 4 11 10 5" xfId="39266" xr:uid="{00000000-0005-0000-0000-000059990000}"/>
    <cellStyle name="Normal 3 4 11 10 5 2" xfId="39267" xr:uid="{00000000-0005-0000-0000-00005A990000}"/>
    <cellStyle name="Normal 3 4 11 10 5 3" xfId="39268" xr:uid="{00000000-0005-0000-0000-00005B990000}"/>
    <cellStyle name="Normal 3 4 11 10 6" xfId="39269" xr:uid="{00000000-0005-0000-0000-00005C990000}"/>
    <cellStyle name="Normal 3 4 11 10 6 2" xfId="39270" xr:uid="{00000000-0005-0000-0000-00005D990000}"/>
    <cellStyle name="Normal 3 4 11 10 6 3" xfId="39271" xr:uid="{00000000-0005-0000-0000-00005E990000}"/>
    <cellStyle name="Normal 3 4 11 10 7" xfId="39272" xr:uid="{00000000-0005-0000-0000-00005F990000}"/>
    <cellStyle name="Normal 3 4 11 10 7 2" xfId="39273" xr:uid="{00000000-0005-0000-0000-000060990000}"/>
    <cellStyle name="Normal 3 4 11 10 7 3" xfId="39274" xr:uid="{00000000-0005-0000-0000-000061990000}"/>
    <cellStyle name="Normal 3 4 11 10 8" xfId="39275" xr:uid="{00000000-0005-0000-0000-000062990000}"/>
    <cellStyle name="Normal 3 4 11 10 8 2" xfId="39276" xr:uid="{00000000-0005-0000-0000-000063990000}"/>
    <cellStyle name="Normal 3 4 11 10 8 3" xfId="39277" xr:uid="{00000000-0005-0000-0000-000064990000}"/>
    <cellStyle name="Normal 3 4 11 10 9" xfId="39278" xr:uid="{00000000-0005-0000-0000-000065990000}"/>
    <cellStyle name="Normal 3 4 11 10 9 2" xfId="39279" xr:uid="{00000000-0005-0000-0000-000066990000}"/>
    <cellStyle name="Normal 3 4 11 10 9 3" xfId="39280" xr:uid="{00000000-0005-0000-0000-000067990000}"/>
    <cellStyle name="Normal 3 4 11 11" xfId="39281" xr:uid="{00000000-0005-0000-0000-000068990000}"/>
    <cellStyle name="Normal 3 4 11 11 2" xfId="39282" xr:uid="{00000000-0005-0000-0000-000069990000}"/>
    <cellStyle name="Normal 3 4 11 11 3" xfId="39283" xr:uid="{00000000-0005-0000-0000-00006A990000}"/>
    <cellStyle name="Normal 3 4 11 12" xfId="39284" xr:uid="{00000000-0005-0000-0000-00006B990000}"/>
    <cellStyle name="Normal 3 4 11 12 2" xfId="39285" xr:uid="{00000000-0005-0000-0000-00006C990000}"/>
    <cellStyle name="Normal 3 4 11 12 3" xfId="39286" xr:uid="{00000000-0005-0000-0000-00006D990000}"/>
    <cellStyle name="Normal 3 4 11 13" xfId="39287" xr:uid="{00000000-0005-0000-0000-00006E990000}"/>
    <cellStyle name="Normal 3 4 11 13 2" xfId="39288" xr:uid="{00000000-0005-0000-0000-00006F990000}"/>
    <cellStyle name="Normal 3 4 11 13 3" xfId="39289" xr:uid="{00000000-0005-0000-0000-000070990000}"/>
    <cellStyle name="Normal 3 4 11 14" xfId="39290" xr:uid="{00000000-0005-0000-0000-000071990000}"/>
    <cellStyle name="Normal 3 4 11 14 2" xfId="39291" xr:uid="{00000000-0005-0000-0000-000072990000}"/>
    <cellStyle name="Normal 3 4 11 14 3" xfId="39292" xr:uid="{00000000-0005-0000-0000-000073990000}"/>
    <cellStyle name="Normal 3 4 11 15" xfId="39293" xr:uid="{00000000-0005-0000-0000-000074990000}"/>
    <cellStyle name="Normal 3 4 11 15 2" xfId="39294" xr:uid="{00000000-0005-0000-0000-000075990000}"/>
    <cellStyle name="Normal 3 4 11 15 3" xfId="39295" xr:uid="{00000000-0005-0000-0000-000076990000}"/>
    <cellStyle name="Normal 3 4 11 16" xfId="39296" xr:uid="{00000000-0005-0000-0000-000077990000}"/>
    <cellStyle name="Normal 3 4 11 16 2" xfId="39297" xr:uid="{00000000-0005-0000-0000-000078990000}"/>
    <cellStyle name="Normal 3 4 11 16 3" xfId="39298" xr:uid="{00000000-0005-0000-0000-000079990000}"/>
    <cellStyle name="Normal 3 4 11 17" xfId="39299" xr:uid="{00000000-0005-0000-0000-00007A990000}"/>
    <cellStyle name="Normal 3 4 11 17 2" xfId="39300" xr:uid="{00000000-0005-0000-0000-00007B990000}"/>
    <cellStyle name="Normal 3 4 11 17 3" xfId="39301" xr:uid="{00000000-0005-0000-0000-00007C990000}"/>
    <cellStyle name="Normal 3 4 11 18" xfId="39302" xr:uid="{00000000-0005-0000-0000-00007D990000}"/>
    <cellStyle name="Normal 3 4 11 18 2" xfId="39303" xr:uid="{00000000-0005-0000-0000-00007E990000}"/>
    <cellStyle name="Normal 3 4 11 18 3" xfId="39304" xr:uid="{00000000-0005-0000-0000-00007F990000}"/>
    <cellStyle name="Normal 3 4 11 19" xfId="39305" xr:uid="{00000000-0005-0000-0000-000080990000}"/>
    <cellStyle name="Normal 3 4 11 19 2" xfId="39306" xr:uid="{00000000-0005-0000-0000-000081990000}"/>
    <cellStyle name="Normal 3 4 11 19 3" xfId="39307" xr:uid="{00000000-0005-0000-0000-000082990000}"/>
    <cellStyle name="Normal 3 4 11 2" xfId="39308" xr:uid="{00000000-0005-0000-0000-000083990000}"/>
    <cellStyle name="Normal 3 4 11 2 10" xfId="39309" xr:uid="{00000000-0005-0000-0000-000084990000}"/>
    <cellStyle name="Normal 3 4 11 2 10 2" xfId="39310" xr:uid="{00000000-0005-0000-0000-000085990000}"/>
    <cellStyle name="Normal 3 4 11 2 10 3" xfId="39311" xr:uid="{00000000-0005-0000-0000-000086990000}"/>
    <cellStyle name="Normal 3 4 11 2 11" xfId="39312" xr:uid="{00000000-0005-0000-0000-000087990000}"/>
    <cellStyle name="Normal 3 4 11 2 11 2" xfId="39313" xr:uid="{00000000-0005-0000-0000-000088990000}"/>
    <cellStyle name="Normal 3 4 11 2 11 3" xfId="39314" xr:uid="{00000000-0005-0000-0000-000089990000}"/>
    <cellStyle name="Normal 3 4 11 2 12" xfId="39315" xr:uid="{00000000-0005-0000-0000-00008A990000}"/>
    <cellStyle name="Normal 3 4 11 2 12 2" xfId="39316" xr:uid="{00000000-0005-0000-0000-00008B990000}"/>
    <cellStyle name="Normal 3 4 11 2 12 3" xfId="39317" xr:uid="{00000000-0005-0000-0000-00008C990000}"/>
    <cellStyle name="Normal 3 4 11 2 13" xfId="39318" xr:uid="{00000000-0005-0000-0000-00008D990000}"/>
    <cellStyle name="Normal 3 4 11 2 13 2" xfId="39319" xr:uid="{00000000-0005-0000-0000-00008E990000}"/>
    <cellStyle name="Normal 3 4 11 2 13 3" xfId="39320" xr:uid="{00000000-0005-0000-0000-00008F990000}"/>
    <cellStyle name="Normal 3 4 11 2 14" xfId="39321" xr:uid="{00000000-0005-0000-0000-000090990000}"/>
    <cellStyle name="Normal 3 4 11 2 14 2" xfId="39322" xr:uid="{00000000-0005-0000-0000-000091990000}"/>
    <cellStyle name="Normal 3 4 11 2 14 3" xfId="39323" xr:uid="{00000000-0005-0000-0000-000092990000}"/>
    <cellStyle name="Normal 3 4 11 2 15" xfId="39324" xr:uid="{00000000-0005-0000-0000-000093990000}"/>
    <cellStyle name="Normal 3 4 11 2 15 2" xfId="39325" xr:uid="{00000000-0005-0000-0000-000094990000}"/>
    <cellStyle name="Normal 3 4 11 2 15 3" xfId="39326" xr:uid="{00000000-0005-0000-0000-000095990000}"/>
    <cellStyle name="Normal 3 4 11 2 16" xfId="39327" xr:uid="{00000000-0005-0000-0000-000096990000}"/>
    <cellStyle name="Normal 3 4 11 2 17" xfId="39328" xr:uid="{00000000-0005-0000-0000-000097990000}"/>
    <cellStyle name="Normal 3 4 11 2 2" xfId="39329" xr:uid="{00000000-0005-0000-0000-000098990000}"/>
    <cellStyle name="Normal 3 4 11 2 2 10" xfId="39330" xr:uid="{00000000-0005-0000-0000-000099990000}"/>
    <cellStyle name="Normal 3 4 11 2 2 10 2" xfId="39331" xr:uid="{00000000-0005-0000-0000-00009A990000}"/>
    <cellStyle name="Normal 3 4 11 2 2 10 3" xfId="39332" xr:uid="{00000000-0005-0000-0000-00009B990000}"/>
    <cellStyle name="Normal 3 4 11 2 2 11" xfId="39333" xr:uid="{00000000-0005-0000-0000-00009C990000}"/>
    <cellStyle name="Normal 3 4 11 2 2 11 2" xfId="39334" xr:uid="{00000000-0005-0000-0000-00009D990000}"/>
    <cellStyle name="Normal 3 4 11 2 2 11 3" xfId="39335" xr:uid="{00000000-0005-0000-0000-00009E990000}"/>
    <cellStyle name="Normal 3 4 11 2 2 12" xfId="39336" xr:uid="{00000000-0005-0000-0000-00009F990000}"/>
    <cellStyle name="Normal 3 4 11 2 2 12 2" xfId="39337" xr:uid="{00000000-0005-0000-0000-0000A0990000}"/>
    <cellStyle name="Normal 3 4 11 2 2 12 3" xfId="39338" xr:uid="{00000000-0005-0000-0000-0000A1990000}"/>
    <cellStyle name="Normal 3 4 11 2 2 13" xfId="39339" xr:uid="{00000000-0005-0000-0000-0000A2990000}"/>
    <cellStyle name="Normal 3 4 11 2 2 13 2" xfId="39340" xr:uid="{00000000-0005-0000-0000-0000A3990000}"/>
    <cellStyle name="Normal 3 4 11 2 2 13 3" xfId="39341" xr:uid="{00000000-0005-0000-0000-0000A4990000}"/>
    <cellStyle name="Normal 3 4 11 2 2 14" xfId="39342" xr:uid="{00000000-0005-0000-0000-0000A5990000}"/>
    <cellStyle name="Normal 3 4 11 2 2 14 2" xfId="39343" xr:uid="{00000000-0005-0000-0000-0000A6990000}"/>
    <cellStyle name="Normal 3 4 11 2 2 14 3" xfId="39344" xr:uid="{00000000-0005-0000-0000-0000A7990000}"/>
    <cellStyle name="Normal 3 4 11 2 2 15" xfId="39345" xr:uid="{00000000-0005-0000-0000-0000A8990000}"/>
    <cellStyle name="Normal 3 4 11 2 2 16" xfId="39346" xr:uid="{00000000-0005-0000-0000-0000A9990000}"/>
    <cellStyle name="Normal 3 4 11 2 2 2" xfId="39347" xr:uid="{00000000-0005-0000-0000-0000AA990000}"/>
    <cellStyle name="Normal 3 4 11 2 2 2 2" xfId="39348" xr:uid="{00000000-0005-0000-0000-0000AB990000}"/>
    <cellStyle name="Normal 3 4 11 2 2 2 3" xfId="39349" xr:uid="{00000000-0005-0000-0000-0000AC990000}"/>
    <cellStyle name="Normal 3 4 11 2 2 3" xfId="39350" xr:uid="{00000000-0005-0000-0000-0000AD990000}"/>
    <cellStyle name="Normal 3 4 11 2 2 3 2" xfId="39351" xr:uid="{00000000-0005-0000-0000-0000AE990000}"/>
    <cellStyle name="Normal 3 4 11 2 2 3 3" xfId="39352" xr:uid="{00000000-0005-0000-0000-0000AF990000}"/>
    <cellStyle name="Normal 3 4 11 2 2 4" xfId="39353" xr:uid="{00000000-0005-0000-0000-0000B0990000}"/>
    <cellStyle name="Normal 3 4 11 2 2 4 2" xfId="39354" xr:uid="{00000000-0005-0000-0000-0000B1990000}"/>
    <cellStyle name="Normal 3 4 11 2 2 4 3" xfId="39355" xr:uid="{00000000-0005-0000-0000-0000B2990000}"/>
    <cellStyle name="Normal 3 4 11 2 2 5" xfId="39356" xr:uid="{00000000-0005-0000-0000-0000B3990000}"/>
    <cellStyle name="Normal 3 4 11 2 2 5 2" xfId="39357" xr:uid="{00000000-0005-0000-0000-0000B4990000}"/>
    <cellStyle name="Normal 3 4 11 2 2 5 3" xfId="39358" xr:uid="{00000000-0005-0000-0000-0000B5990000}"/>
    <cellStyle name="Normal 3 4 11 2 2 6" xfId="39359" xr:uid="{00000000-0005-0000-0000-0000B6990000}"/>
    <cellStyle name="Normal 3 4 11 2 2 6 2" xfId="39360" xr:uid="{00000000-0005-0000-0000-0000B7990000}"/>
    <cellStyle name="Normal 3 4 11 2 2 6 3" xfId="39361" xr:uid="{00000000-0005-0000-0000-0000B8990000}"/>
    <cellStyle name="Normal 3 4 11 2 2 7" xfId="39362" xr:uid="{00000000-0005-0000-0000-0000B9990000}"/>
    <cellStyle name="Normal 3 4 11 2 2 7 2" xfId="39363" xr:uid="{00000000-0005-0000-0000-0000BA990000}"/>
    <cellStyle name="Normal 3 4 11 2 2 7 3" xfId="39364" xr:uid="{00000000-0005-0000-0000-0000BB990000}"/>
    <cellStyle name="Normal 3 4 11 2 2 8" xfId="39365" xr:uid="{00000000-0005-0000-0000-0000BC990000}"/>
    <cellStyle name="Normal 3 4 11 2 2 8 2" xfId="39366" xr:uid="{00000000-0005-0000-0000-0000BD990000}"/>
    <cellStyle name="Normal 3 4 11 2 2 8 3" xfId="39367" xr:uid="{00000000-0005-0000-0000-0000BE990000}"/>
    <cellStyle name="Normal 3 4 11 2 2 9" xfId="39368" xr:uid="{00000000-0005-0000-0000-0000BF990000}"/>
    <cellStyle name="Normal 3 4 11 2 2 9 2" xfId="39369" xr:uid="{00000000-0005-0000-0000-0000C0990000}"/>
    <cellStyle name="Normal 3 4 11 2 2 9 3" xfId="39370" xr:uid="{00000000-0005-0000-0000-0000C1990000}"/>
    <cellStyle name="Normal 3 4 11 2 3" xfId="39371" xr:uid="{00000000-0005-0000-0000-0000C2990000}"/>
    <cellStyle name="Normal 3 4 11 2 3 2" xfId="39372" xr:uid="{00000000-0005-0000-0000-0000C3990000}"/>
    <cellStyle name="Normal 3 4 11 2 3 3" xfId="39373" xr:uid="{00000000-0005-0000-0000-0000C4990000}"/>
    <cellStyle name="Normal 3 4 11 2 4" xfId="39374" xr:uid="{00000000-0005-0000-0000-0000C5990000}"/>
    <cellStyle name="Normal 3 4 11 2 4 2" xfId="39375" xr:uid="{00000000-0005-0000-0000-0000C6990000}"/>
    <cellStyle name="Normal 3 4 11 2 4 3" xfId="39376" xr:uid="{00000000-0005-0000-0000-0000C7990000}"/>
    <cellStyle name="Normal 3 4 11 2 5" xfId="39377" xr:uid="{00000000-0005-0000-0000-0000C8990000}"/>
    <cellStyle name="Normal 3 4 11 2 5 2" xfId="39378" xr:uid="{00000000-0005-0000-0000-0000C9990000}"/>
    <cellStyle name="Normal 3 4 11 2 5 3" xfId="39379" xr:uid="{00000000-0005-0000-0000-0000CA990000}"/>
    <cellStyle name="Normal 3 4 11 2 6" xfId="39380" xr:uid="{00000000-0005-0000-0000-0000CB990000}"/>
    <cellStyle name="Normal 3 4 11 2 6 2" xfId="39381" xr:uid="{00000000-0005-0000-0000-0000CC990000}"/>
    <cellStyle name="Normal 3 4 11 2 6 3" xfId="39382" xr:uid="{00000000-0005-0000-0000-0000CD990000}"/>
    <cellStyle name="Normal 3 4 11 2 7" xfId="39383" xr:uid="{00000000-0005-0000-0000-0000CE990000}"/>
    <cellStyle name="Normal 3 4 11 2 7 2" xfId="39384" xr:uid="{00000000-0005-0000-0000-0000CF990000}"/>
    <cellStyle name="Normal 3 4 11 2 7 3" xfId="39385" xr:uid="{00000000-0005-0000-0000-0000D0990000}"/>
    <cellStyle name="Normal 3 4 11 2 8" xfId="39386" xr:uid="{00000000-0005-0000-0000-0000D1990000}"/>
    <cellStyle name="Normal 3 4 11 2 8 2" xfId="39387" xr:uid="{00000000-0005-0000-0000-0000D2990000}"/>
    <cellStyle name="Normal 3 4 11 2 8 3" xfId="39388" xr:uid="{00000000-0005-0000-0000-0000D3990000}"/>
    <cellStyle name="Normal 3 4 11 2 9" xfId="39389" xr:uid="{00000000-0005-0000-0000-0000D4990000}"/>
    <cellStyle name="Normal 3 4 11 2 9 2" xfId="39390" xr:uid="{00000000-0005-0000-0000-0000D5990000}"/>
    <cellStyle name="Normal 3 4 11 2 9 3" xfId="39391" xr:uid="{00000000-0005-0000-0000-0000D6990000}"/>
    <cellStyle name="Normal 3 4 11 20" xfId="39392" xr:uid="{00000000-0005-0000-0000-0000D7990000}"/>
    <cellStyle name="Normal 3 4 11 20 2" xfId="39393" xr:uid="{00000000-0005-0000-0000-0000D8990000}"/>
    <cellStyle name="Normal 3 4 11 20 3" xfId="39394" xr:uid="{00000000-0005-0000-0000-0000D9990000}"/>
    <cellStyle name="Normal 3 4 11 21" xfId="39395" xr:uid="{00000000-0005-0000-0000-0000DA990000}"/>
    <cellStyle name="Normal 3 4 11 21 2" xfId="39396" xr:uid="{00000000-0005-0000-0000-0000DB990000}"/>
    <cellStyle name="Normal 3 4 11 21 3" xfId="39397" xr:uid="{00000000-0005-0000-0000-0000DC990000}"/>
    <cellStyle name="Normal 3 4 11 22" xfId="39398" xr:uid="{00000000-0005-0000-0000-0000DD990000}"/>
    <cellStyle name="Normal 3 4 11 22 2" xfId="39399" xr:uid="{00000000-0005-0000-0000-0000DE990000}"/>
    <cellStyle name="Normal 3 4 11 22 3" xfId="39400" xr:uid="{00000000-0005-0000-0000-0000DF990000}"/>
    <cellStyle name="Normal 3 4 11 23" xfId="39401" xr:uid="{00000000-0005-0000-0000-0000E0990000}"/>
    <cellStyle name="Normal 3 4 11 23 2" xfId="39402" xr:uid="{00000000-0005-0000-0000-0000E1990000}"/>
    <cellStyle name="Normal 3 4 11 23 3" xfId="39403" xr:uid="{00000000-0005-0000-0000-0000E2990000}"/>
    <cellStyle name="Normal 3 4 11 24" xfId="39404" xr:uid="{00000000-0005-0000-0000-0000E3990000}"/>
    <cellStyle name="Normal 3 4 11 25" xfId="39405" xr:uid="{00000000-0005-0000-0000-0000E4990000}"/>
    <cellStyle name="Normal 3 4 11 3" xfId="39406" xr:uid="{00000000-0005-0000-0000-0000E5990000}"/>
    <cellStyle name="Normal 3 4 11 3 10" xfId="39407" xr:uid="{00000000-0005-0000-0000-0000E6990000}"/>
    <cellStyle name="Normal 3 4 11 3 10 2" xfId="39408" xr:uid="{00000000-0005-0000-0000-0000E7990000}"/>
    <cellStyle name="Normal 3 4 11 3 10 3" xfId="39409" xr:uid="{00000000-0005-0000-0000-0000E8990000}"/>
    <cellStyle name="Normal 3 4 11 3 11" xfId="39410" xr:uid="{00000000-0005-0000-0000-0000E9990000}"/>
    <cellStyle name="Normal 3 4 11 3 11 2" xfId="39411" xr:uid="{00000000-0005-0000-0000-0000EA990000}"/>
    <cellStyle name="Normal 3 4 11 3 11 3" xfId="39412" xr:uid="{00000000-0005-0000-0000-0000EB990000}"/>
    <cellStyle name="Normal 3 4 11 3 12" xfId="39413" xr:uid="{00000000-0005-0000-0000-0000EC990000}"/>
    <cellStyle name="Normal 3 4 11 3 12 2" xfId="39414" xr:uid="{00000000-0005-0000-0000-0000ED990000}"/>
    <cellStyle name="Normal 3 4 11 3 12 3" xfId="39415" xr:uid="{00000000-0005-0000-0000-0000EE990000}"/>
    <cellStyle name="Normal 3 4 11 3 13" xfId="39416" xr:uid="{00000000-0005-0000-0000-0000EF990000}"/>
    <cellStyle name="Normal 3 4 11 3 13 2" xfId="39417" xr:uid="{00000000-0005-0000-0000-0000F0990000}"/>
    <cellStyle name="Normal 3 4 11 3 13 3" xfId="39418" xr:uid="{00000000-0005-0000-0000-0000F1990000}"/>
    <cellStyle name="Normal 3 4 11 3 14" xfId="39419" xr:uid="{00000000-0005-0000-0000-0000F2990000}"/>
    <cellStyle name="Normal 3 4 11 3 14 2" xfId="39420" xr:uid="{00000000-0005-0000-0000-0000F3990000}"/>
    <cellStyle name="Normal 3 4 11 3 14 3" xfId="39421" xr:uid="{00000000-0005-0000-0000-0000F4990000}"/>
    <cellStyle name="Normal 3 4 11 3 15" xfId="39422" xr:uid="{00000000-0005-0000-0000-0000F5990000}"/>
    <cellStyle name="Normal 3 4 11 3 15 2" xfId="39423" xr:uid="{00000000-0005-0000-0000-0000F6990000}"/>
    <cellStyle name="Normal 3 4 11 3 15 3" xfId="39424" xr:uid="{00000000-0005-0000-0000-0000F7990000}"/>
    <cellStyle name="Normal 3 4 11 3 16" xfId="39425" xr:uid="{00000000-0005-0000-0000-0000F8990000}"/>
    <cellStyle name="Normal 3 4 11 3 17" xfId="39426" xr:uid="{00000000-0005-0000-0000-0000F9990000}"/>
    <cellStyle name="Normal 3 4 11 3 2" xfId="39427" xr:uid="{00000000-0005-0000-0000-0000FA990000}"/>
    <cellStyle name="Normal 3 4 11 3 2 10" xfId="39428" xr:uid="{00000000-0005-0000-0000-0000FB990000}"/>
    <cellStyle name="Normal 3 4 11 3 2 10 2" xfId="39429" xr:uid="{00000000-0005-0000-0000-0000FC990000}"/>
    <cellStyle name="Normal 3 4 11 3 2 10 3" xfId="39430" xr:uid="{00000000-0005-0000-0000-0000FD990000}"/>
    <cellStyle name="Normal 3 4 11 3 2 11" xfId="39431" xr:uid="{00000000-0005-0000-0000-0000FE990000}"/>
    <cellStyle name="Normal 3 4 11 3 2 11 2" xfId="39432" xr:uid="{00000000-0005-0000-0000-0000FF990000}"/>
    <cellStyle name="Normal 3 4 11 3 2 11 3" xfId="39433" xr:uid="{00000000-0005-0000-0000-0000009A0000}"/>
    <cellStyle name="Normal 3 4 11 3 2 12" xfId="39434" xr:uid="{00000000-0005-0000-0000-0000019A0000}"/>
    <cellStyle name="Normal 3 4 11 3 2 12 2" xfId="39435" xr:uid="{00000000-0005-0000-0000-0000029A0000}"/>
    <cellStyle name="Normal 3 4 11 3 2 12 3" xfId="39436" xr:uid="{00000000-0005-0000-0000-0000039A0000}"/>
    <cellStyle name="Normal 3 4 11 3 2 13" xfId="39437" xr:uid="{00000000-0005-0000-0000-0000049A0000}"/>
    <cellStyle name="Normal 3 4 11 3 2 13 2" xfId="39438" xr:uid="{00000000-0005-0000-0000-0000059A0000}"/>
    <cellStyle name="Normal 3 4 11 3 2 13 3" xfId="39439" xr:uid="{00000000-0005-0000-0000-0000069A0000}"/>
    <cellStyle name="Normal 3 4 11 3 2 14" xfId="39440" xr:uid="{00000000-0005-0000-0000-0000079A0000}"/>
    <cellStyle name="Normal 3 4 11 3 2 14 2" xfId="39441" xr:uid="{00000000-0005-0000-0000-0000089A0000}"/>
    <cellStyle name="Normal 3 4 11 3 2 14 3" xfId="39442" xr:uid="{00000000-0005-0000-0000-0000099A0000}"/>
    <cellStyle name="Normal 3 4 11 3 2 15" xfId="39443" xr:uid="{00000000-0005-0000-0000-00000A9A0000}"/>
    <cellStyle name="Normal 3 4 11 3 2 16" xfId="39444" xr:uid="{00000000-0005-0000-0000-00000B9A0000}"/>
    <cellStyle name="Normal 3 4 11 3 2 2" xfId="39445" xr:uid="{00000000-0005-0000-0000-00000C9A0000}"/>
    <cellStyle name="Normal 3 4 11 3 2 2 2" xfId="39446" xr:uid="{00000000-0005-0000-0000-00000D9A0000}"/>
    <cellStyle name="Normal 3 4 11 3 2 2 3" xfId="39447" xr:uid="{00000000-0005-0000-0000-00000E9A0000}"/>
    <cellStyle name="Normal 3 4 11 3 2 3" xfId="39448" xr:uid="{00000000-0005-0000-0000-00000F9A0000}"/>
    <cellStyle name="Normal 3 4 11 3 2 3 2" xfId="39449" xr:uid="{00000000-0005-0000-0000-0000109A0000}"/>
    <cellStyle name="Normal 3 4 11 3 2 3 3" xfId="39450" xr:uid="{00000000-0005-0000-0000-0000119A0000}"/>
    <cellStyle name="Normal 3 4 11 3 2 4" xfId="39451" xr:uid="{00000000-0005-0000-0000-0000129A0000}"/>
    <cellStyle name="Normal 3 4 11 3 2 4 2" xfId="39452" xr:uid="{00000000-0005-0000-0000-0000139A0000}"/>
    <cellStyle name="Normal 3 4 11 3 2 4 3" xfId="39453" xr:uid="{00000000-0005-0000-0000-0000149A0000}"/>
    <cellStyle name="Normal 3 4 11 3 2 5" xfId="39454" xr:uid="{00000000-0005-0000-0000-0000159A0000}"/>
    <cellStyle name="Normal 3 4 11 3 2 5 2" xfId="39455" xr:uid="{00000000-0005-0000-0000-0000169A0000}"/>
    <cellStyle name="Normal 3 4 11 3 2 5 3" xfId="39456" xr:uid="{00000000-0005-0000-0000-0000179A0000}"/>
    <cellStyle name="Normal 3 4 11 3 2 6" xfId="39457" xr:uid="{00000000-0005-0000-0000-0000189A0000}"/>
    <cellStyle name="Normal 3 4 11 3 2 6 2" xfId="39458" xr:uid="{00000000-0005-0000-0000-0000199A0000}"/>
    <cellStyle name="Normal 3 4 11 3 2 6 3" xfId="39459" xr:uid="{00000000-0005-0000-0000-00001A9A0000}"/>
    <cellStyle name="Normal 3 4 11 3 2 7" xfId="39460" xr:uid="{00000000-0005-0000-0000-00001B9A0000}"/>
    <cellStyle name="Normal 3 4 11 3 2 7 2" xfId="39461" xr:uid="{00000000-0005-0000-0000-00001C9A0000}"/>
    <cellStyle name="Normal 3 4 11 3 2 7 3" xfId="39462" xr:uid="{00000000-0005-0000-0000-00001D9A0000}"/>
    <cellStyle name="Normal 3 4 11 3 2 8" xfId="39463" xr:uid="{00000000-0005-0000-0000-00001E9A0000}"/>
    <cellStyle name="Normal 3 4 11 3 2 8 2" xfId="39464" xr:uid="{00000000-0005-0000-0000-00001F9A0000}"/>
    <cellStyle name="Normal 3 4 11 3 2 8 3" xfId="39465" xr:uid="{00000000-0005-0000-0000-0000209A0000}"/>
    <cellStyle name="Normal 3 4 11 3 2 9" xfId="39466" xr:uid="{00000000-0005-0000-0000-0000219A0000}"/>
    <cellStyle name="Normal 3 4 11 3 2 9 2" xfId="39467" xr:uid="{00000000-0005-0000-0000-0000229A0000}"/>
    <cellStyle name="Normal 3 4 11 3 2 9 3" xfId="39468" xr:uid="{00000000-0005-0000-0000-0000239A0000}"/>
    <cellStyle name="Normal 3 4 11 3 3" xfId="39469" xr:uid="{00000000-0005-0000-0000-0000249A0000}"/>
    <cellStyle name="Normal 3 4 11 3 3 2" xfId="39470" xr:uid="{00000000-0005-0000-0000-0000259A0000}"/>
    <cellStyle name="Normal 3 4 11 3 3 3" xfId="39471" xr:uid="{00000000-0005-0000-0000-0000269A0000}"/>
    <cellStyle name="Normal 3 4 11 3 4" xfId="39472" xr:uid="{00000000-0005-0000-0000-0000279A0000}"/>
    <cellStyle name="Normal 3 4 11 3 4 2" xfId="39473" xr:uid="{00000000-0005-0000-0000-0000289A0000}"/>
    <cellStyle name="Normal 3 4 11 3 4 3" xfId="39474" xr:uid="{00000000-0005-0000-0000-0000299A0000}"/>
    <cellStyle name="Normal 3 4 11 3 5" xfId="39475" xr:uid="{00000000-0005-0000-0000-00002A9A0000}"/>
    <cellStyle name="Normal 3 4 11 3 5 2" xfId="39476" xr:uid="{00000000-0005-0000-0000-00002B9A0000}"/>
    <cellStyle name="Normal 3 4 11 3 5 3" xfId="39477" xr:uid="{00000000-0005-0000-0000-00002C9A0000}"/>
    <cellStyle name="Normal 3 4 11 3 6" xfId="39478" xr:uid="{00000000-0005-0000-0000-00002D9A0000}"/>
    <cellStyle name="Normal 3 4 11 3 6 2" xfId="39479" xr:uid="{00000000-0005-0000-0000-00002E9A0000}"/>
    <cellStyle name="Normal 3 4 11 3 6 3" xfId="39480" xr:uid="{00000000-0005-0000-0000-00002F9A0000}"/>
    <cellStyle name="Normal 3 4 11 3 7" xfId="39481" xr:uid="{00000000-0005-0000-0000-0000309A0000}"/>
    <cellStyle name="Normal 3 4 11 3 7 2" xfId="39482" xr:uid="{00000000-0005-0000-0000-0000319A0000}"/>
    <cellStyle name="Normal 3 4 11 3 7 3" xfId="39483" xr:uid="{00000000-0005-0000-0000-0000329A0000}"/>
    <cellStyle name="Normal 3 4 11 3 8" xfId="39484" xr:uid="{00000000-0005-0000-0000-0000339A0000}"/>
    <cellStyle name="Normal 3 4 11 3 8 2" xfId="39485" xr:uid="{00000000-0005-0000-0000-0000349A0000}"/>
    <cellStyle name="Normal 3 4 11 3 8 3" xfId="39486" xr:uid="{00000000-0005-0000-0000-0000359A0000}"/>
    <cellStyle name="Normal 3 4 11 3 9" xfId="39487" xr:uid="{00000000-0005-0000-0000-0000369A0000}"/>
    <cellStyle name="Normal 3 4 11 3 9 2" xfId="39488" xr:uid="{00000000-0005-0000-0000-0000379A0000}"/>
    <cellStyle name="Normal 3 4 11 3 9 3" xfId="39489" xr:uid="{00000000-0005-0000-0000-0000389A0000}"/>
    <cellStyle name="Normal 3 4 11 4" xfId="39490" xr:uid="{00000000-0005-0000-0000-0000399A0000}"/>
    <cellStyle name="Normal 3 4 11 4 10" xfId="39491" xr:uid="{00000000-0005-0000-0000-00003A9A0000}"/>
    <cellStyle name="Normal 3 4 11 4 10 2" xfId="39492" xr:uid="{00000000-0005-0000-0000-00003B9A0000}"/>
    <cellStyle name="Normal 3 4 11 4 10 3" xfId="39493" xr:uid="{00000000-0005-0000-0000-00003C9A0000}"/>
    <cellStyle name="Normal 3 4 11 4 11" xfId="39494" xr:uid="{00000000-0005-0000-0000-00003D9A0000}"/>
    <cellStyle name="Normal 3 4 11 4 11 2" xfId="39495" xr:uid="{00000000-0005-0000-0000-00003E9A0000}"/>
    <cellStyle name="Normal 3 4 11 4 11 3" xfId="39496" xr:uid="{00000000-0005-0000-0000-00003F9A0000}"/>
    <cellStyle name="Normal 3 4 11 4 12" xfId="39497" xr:uid="{00000000-0005-0000-0000-0000409A0000}"/>
    <cellStyle name="Normal 3 4 11 4 12 2" xfId="39498" xr:uid="{00000000-0005-0000-0000-0000419A0000}"/>
    <cellStyle name="Normal 3 4 11 4 12 3" xfId="39499" xr:uid="{00000000-0005-0000-0000-0000429A0000}"/>
    <cellStyle name="Normal 3 4 11 4 13" xfId="39500" xr:uid="{00000000-0005-0000-0000-0000439A0000}"/>
    <cellStyle name="Normal 3 4 11 4 13 2" xfId="39501" xr:uid="{00000000-0005-0000-0000-0000449A0000}"/>
    <cellStyle name="Normal 3 4 11 4 13 3" xfId="39502" xr:uid="{00000000-0005-0000-0000-0000459A0000}"/>
    <cellStyle name="Normal 3 4 11 4 14" xfId="39503" xr:uid="{00000000-0005-0000-0000-0000469A0000}"/>
    <cellStyle name="Normal 3 4 11 4 14 2" xfId="39504" xr:uid="{00000000-0005-0000-0000-0000479A0000}"/>
    <cellStyle name="Normal 3 4 11 4 14 3" xfId="39505" xr:uid="{00000000-0005-0000-0000-0000489A0000}"/>
    <cellStyle name="Normal 3 4 11 4 15" xfId="39506" xr:uid="{00000000-0005-0000-0000-0000499A0000}"/>
    <cellStyle name="Normal 3 4 11 4 15 2" xfId="39507" xr:uid="{00000000-0005-0000-0000-00004A9A0000}"/>
    <cellStyle name="Normal 3 4 11 4 15 3" xfId="39508" xr:uid="{00000000-0005-0000-0000-00004B9A0000}"/>
    <cellStyle name="Normal 3 4 11 4 16" xfId="39509" xr:uid="{00000000-0005-0000-0000-00004C9A0000}"/>
    <cellStyle name="Normal 3 4 11 4 17" xfId="39510" xr:uid="{00000000-0005-0000-0000-00004D9A0000}"/>
    <cellStyle name="Normal 3 4 11 4 2" xfId="39511" xr:uid="{00000000-0005-0000-0000-00004E9A0000}"/>
    <cellStyle name="Normal 3 4 11 4 2 10" xfId="39512" xr:uid="{00000000-0005-0000-0000-00004F9A0000}"/>
    <cellStyle name="Normal 3 4 11 4 2 10 2" xfId="39513" xr:uid="{00000000-0005-0000-0000-0000509A0000}"/>
    <cellStyle name="Normal 3 4 11 4 2 10 3" xfId="39514" xr:uid="{00000000-0005-0000-0000-0000519A0000}"/>
    <cellStyle name="Normal 3 4 11 4 2 11" xfId="39515" xr:uid="{00000000-0005-0000-0000-0000529A0000}"/>
    <cellStyle name="Normal 3 4 11 4 2 11 2" xfId="39516" xr:uid="{00000000-0005-0000-0000-0000539A0000}"/>
    <cellStyle name="Normal 3 4 11 4 2 11 3" xfId="39517" xr:uid="{00000000-0005-0000-0000-0000549A0000}"/>
    <cellStyle name="Normal 3 4 11 4 2 12" xfId="39518" xr:uid="{00000000-0005-0000-0000-0000559A0000}"/>
    <cellStyle name="Normal 3 4 11 4 2 12 2" xfId="39519" xr:uid="{00000000-0005-0000-0000-0000569A0000}"/>
    <cellStyle name="Normal 3 4 11 4 2 12 3" xfId="39520" xr:uid="{00000000-0005-0000-0000-0000579A0000}"/>
    <cellStyle name="Normal 3 4 11 4 2 13" xfId="39521" xr:uid="{00000000-0005-0000-0000-0000589A0000}"/>
    <cellStyle name="Normal 3 4 11 4 2 13 2" xfId="39522" xr:uid="{00000000-0005-0000-0000-0000599A0000}"/>
    <cellStyle name="Normal 3 4 11 4 2 13 3" xfId="39523" xr:uid="{00000000-0005-0000-0000-00005A9A0000}"/>
    <cellStyle name="Normal 3 4 11 4 2 14" xfId="39524" xr:uid="{00000000-0005-0000-0000-00005B9A0000}"/>
    <cellStyle name="Normal 3 4 11 4 2 14 2" xfId="39525" xr:uid="{00000000-0005-0000-0000-00005C9A0000}"/>
    <cellStyle name="Normal 3 4 11 4 2 14 3" xfId="39526" xr:uid="{00000000-0005-0000-0000-00005D9A0000}"/>
    <cellStyle name="Normal 3 4 11 4 2 15" xfId="39527" xr:uid="{00000000-0005-0000-0000-00005E9A0000}"/>
    <cellStyle name="Normal 3 4 11 4 2 16" xfId="39528" xr:uid="{00000000-0005-0000-0000-00005F9A0000}"/>
    <cellStyle name="Normal 3 4 11 4 2 2" xfId="39529" xr:uid="{00000000-0005-0000-0000-0000609A0000}"/>
    <cellStyle name="Normal 3 4 11 4 2 2 2" xfId="39530" xr:uid="{00000000-0005-0000-0000-0000619A0000}"/>
    <cellStyle name="Normal 3 4 11 4 2 2 3" xfId="39531" xr:uid="{00000000-0005-0000-0000-0000629A0000}"/>
    <cellStyle name="Normal 3 4 11 4 2 3" xfId="39532" xr:uid="{00000000-0005-0000-0000-0000639A0000}"/>
    <cellStyle name="Normal 3 4 11 4 2 3 2" xfId="39533" xr:uid="{00000000-0005-0000-0000-0000649A0000}"/>
    <cellStyle name="Normal 3 4 11 4 2 3 3" xfId="39534" xr:uid="{00000000-0005-0000-0000-0000659A0000}"/>
    <cellStyle name="Normal 3 4 11 4 2 4" xfId="39535" xr:uid="{00000000-0005-0000-0000-0000669A0000}"/>
    <cellStyle name="Normal 3 4 11 4 2 4 2" xfId="39536" xr:uid="{00000000-0005-0000-0000-0000679A0000}"/>
    <cellStyle name="Normal 3 4 11 4 2 4 3" xfId="39537" xr:uid="{00000000-0005-0000-0000-0000689A0000}"/>
    <cellStyle name="Normal 3 4 11 4 2 5" xfId="39538" xr:uid="{00000000-0005-0000-0000-0000699A0000}"/>
    <cellStyle name="Normal 3 4 11 4 2 5 2" xfId="39539" xr:uid="{00000000-0005-0000-0000-00006A9A0000}"/>
    <cellStyle name="Normal 3 4 11 4 2 5 3" xfId="39540" xr:uid="{00000000-0005-0000-0000-00006B9A0000}"/>
    <cellStyle name="Normal 3 4 11 4 2 6" xfId="39541" xr:uid="{00000000-0005-0000-0000-00006C9A0000}"/>
    <cellStyle name="Normal 3 4 11 4 2 6 2" xfId="39542" xr:uid="{00000000-0005-0000-0000-00006D9A0000}"/>
    <cellStyle name="Normal 3 4 11 4 2 6 3" xfId="39543" xr:uid="{00000000-0005-0000-0000-00006E9A0000}"/>
    <cellStyle name="Normal 3 4 11 4 2 7" xfId="39544" xr:uid="{00000000-0005-0000-0000-00006F9A0000}"/>
    <cellStyle name="Normal 3 4 11 4 2 7 2" xfId="39545" xr:uid="{00000000-0005-0000-0000-0000709A0000}"/>
    <cellStyle name="Normal 3 4 11 4 2 7 3" xfId="39546" xr:uid="{00000000-0005-0000-0000-0000719A0000}"/>
    <cellStyle name="Normal 3 4 11 4 2 8" xfId="39547" xr:uid="{00000000-0005-0000-0000-0000729A0000}"/>
    <cellStyle name="Normal 3 4 11 4 2 8 2" xfId="39548" xr:uid="{00000000-0005-0000-0000-0000739A0000}"/>
    <cellStyle name="Normal 3 4 11 4 2 8 3" xfId="39549" xr:uid="{00000000-0005-0000-0000-0000749A0000}"/>
    <cellStyle name="Normal 3 4 11 4 2 9" xfId="39550" xr:uid="{00000000-0005-0000-0000-0000759A0000}"/>
    <cellStyle name="Normal 3 4 11 4 2 9 2" xfId="39551" xr:uid="{00000000-0005-0000-0000-0000769A0000}"/>
    <cellStyle name="Normal 3 4 11 4 2 9 3" xfId="39552" xr:uid="{00000000-0005-0000-0000-0000779A0000}"/>
    <cellStyle name="Normal 3 4 11 4 3" xfId="39553" xr:uid="{00000000-0005-0000-0000-0000789A0000}"/>
    <cellStyle name="Normal 3 4 11 4 3 2" xfId="39554" xr:uid="{00000000-0005-0000-0000-0000799A0000}"/>
    <cellStyle name="Normal 3 4 11 4 3 3" xfId="39555" xr:uid="{00000000-0005-0000-0000-00007A9A0000}"/>
    <cellStyle name="Normal 3 4 11 4 4" xfId="39556" xr:uid="{00000000-0005-0000-0000-00007B9A0000}"/>
    <cellStyle name="Normal 3 4 11 4 4 2" xfId="39557" xr:uid="{00000000-0005-0000-0000-00007C9A0000}"/>
    <cellStyle name="Normal 3 4 11 4 4 3" xfId="39558" xr:uid="{00000000-0005-0000-0000-00007D9A0000}"/>
    <cellStyle name="Normal 3 4 11 4 5" xfId="39559" xr:uid="{00000000-0005-0000-0000-00007E9A0000}"/>
    <cellStyle name="Normal 3 4 11 4 5 2" xfId="39560" xr:uid="{00000000-0005-0000-0000-00007F9A0000}"/>
    <cellStyle name="Normal 3 4 11 4 5 3" xfId="39561" xr:uid="{00000000-0005-0000-0000-0000809A0000}"/>
    <cellStyle name="Normal 3 4 11 4 6" xfId="39562" xr:uid="{00000000-0005-0000-0000-0000819A0000}"/>
    <cellStyle name="Normal 3 4 11 4 6 2" xfId="39563" xr:uid="{00000000-0005-0000-0000-0000829A0000}"/>
    <cellStyle name="Normal 3 4 11 4 6 3" xfId="39564" xr:uid="{00000000-0005-0000-0000-0000839A0000}"/>
    <cellStyle name="Normal 3 4 11 4 7" xfId="39565" xr:uid="{00000000-0005-0000-0000-0000849A0000}"/>
    <cellStyle name="Normal 3 4 11 4 7 2" xfId="39566" xr:uid="{00000000-0005-0000-0000-0000859A0000}"/>
    <cellStyle name="Normal 3 4 11 4 7 3" xfId="39567" xr:uid="{00000000-0005-0000-0000-0000869A0000}"/>
    <cellStyle name="Normal 3 4 11 4 8" xfId="39568" xr:uid="{00000000-0005-0000-0000-0000879A0000}"/>
    <cellStyle name="Normal 3 4 11 4 8 2" xfId="39569" xr:uid="{00000000-0005-0000-0000-0000889A0000}"/>
    <cellStyle name="Normal 3 4 11 4 8 3" xfId="39570" xr:uid="{00000000-0005-0000-0000-0000899A0000}"/>
    <cellStyle name="Normal 3 4 11 4 9" xfId="39571" xr:uid="{00000000-0005-0000-0000-00008A9A0000}"/>
    <cellStyle name="Normal 3 4 11 4 9 2" xfId="39572" xr:uid="{00000000-0005-0000-0000-00008B9A0000}"/>
    <cellStyle name="Normal 3 4 11 4 9 3" xfId="39573" xr:uid="{00000000-0005-0000-0000-00008C9A0000}"/>
    <cellStyle name="Normal 3 4 11 5" xfId="39574" xr:uid="{00000000-0005-0000-0000-00008D9A0000}"/>
    <cellStyle name="Normal 3 4 11 5 10" xfId="39575" xr:uid="{00000000-0005-0000-0000-00008E9A0000}"/>
    <cellStyle name="Normal 3 4 11 5 10 2" xfId="39576" xr:uid="{00000000-0005-0000-0000-00008F9A0000}"/>
    <cellStyle name="Normal 3 4 11 5 10 3" xfId="39577" xr:uid="{00000000-0005-0000-0000-0000909A0000}"/>
    <cellStyle name="Normal 3 4 11 5 11" xfId="39578" xr:uid="{00000000-0005-0000-0000-0000919A0000}"/>
    <cellStyle name="Normal 3 4 11 5 11 2" xfId="39579" xr:uid="{00000000-0005-0000-0000-0000929A0000}"/>
    <cellStyle name="Normal 3 4 11 5 11 3" xfId="39580" xr:uid="{00000000-0005-0000-0000-0000939A0000}"/>
    <cellStyle name="Normal 3 4 11 5 12" xfId="39581" xr:uid="{00000000-0005-0000-0000-0000949A0000}"/>
    <cellStyle name="Normal 3 4 11 5 12 2" xfId="39582" xr:uid="{00000000-0005-0000-0000-0000959A0000}"/>
    <cellStyle name="Normal 3 4 11 5 12 3" xfId="39583" xr:uid="{00000000-0005-0000-0000-0000969A0000}"/>
    <cellStyle name="Normal 3 4 11 5 13" xfId="39584" xr:uid="{00000000-0005-0000-0000-0000979A0000}"/>
    <cellStyle name="Normal 3 4 11 5 13 2" xfId="39585" xr:uid="{00000000-0005-0000-0000-0000989A0000}"/>
    <cellStyle name="Normal 3 4 11 5 13 3" xfId="39586" xr:uid="{00000000-0005-0000-0000-0000999A0000}"/>
    <cellStyle name="Normal 3 4 11 5 14" xfId="39587" xr:uid="{00000000-0005-0000-0000-00009A9A0000}"/>
    <cellStyle name="Normal 3 4 11 5 14 2" xfId="39588" xr:uid="{00000000-0005-0000-0000-00009B9A0000}"/>
    <cellStyle name="Normal 3 4 11 5 14 3" xfId="39589" xr:uid="{00000000-0005-0000-0000-00009C9A0000}"/>
    <cellStyle name="Normal 3 4 11 5 15" xfId="39590" xr:uid="{00000000-0005-0000-0000-00009D9A0000}"/>
    <cellStyle name="Normal 3 4 11 5 16" xfId="39591" xr:uid="{00000000-0005-0000-0000-00009E9A0000}"/>
    <cellStyle name="Normal 3 4 11 5 2" xfId="39592" xr:uid="{00000000-0005-0000-0000-00009F9A0000}"/>
    <cellStyle name="Normal 3 4 11 5 2 2" xfId="39593" xr:uid="{00000000-0005-0000-0000-0000A09A0000}"/>
    <cellStyle name="Normal 3 4 11 5 2 3" xfId="39594" xr:uid="{00000000-0005-0000-0000-0000A19A0000}"/>
    <cellStyle name="Normal 3 4 11 5 3" xfId="39595" xr:uid="{00000000-0005-0000-0000-0000A29A0000}"/>
    <cellStyle name="Normal 3 4 11 5 3 2" xfId="39596" xr:uid="{00000000-0005-0000-0000-0000A39A0000}"/>
    <cellStyle name="Normal 3 4 11 5 3 3" xfId="39597" xr:uid="{00000000-0005-0000-0000-0000A49A0000}"/>
    <cellStyle name="Normal 3 4 11 5 4" xfId="39598" xr:uid="{00000000-0005-0000-0000-0000A59A0000}"/>
    <cellStyle name="Normal 3 4 11 5 4 2" xfId="39599" xr:uid="{00000000-0005-0000-0000-0000A69A0000}"/>
    <cellStyle name="Normal 3 4 11 5 4 3" xfId="39600" xr:uid="{00000000-0005-0000-0000-0000A79A0000}"/>
    <cellStyle name="Normal 3 4 11 5 5" xfId="39601" xr:uid="{00000000-0005-0000-0000-0000A89A0000}"/>
    <cellStyle name="Normal 3 4 11 5 5 2" xfId="39602" xr:uid="{00000000-0005-0000-0000-0000A99A0000}"/>
    <cellStyle name="Normal 3 4 11 5 5 3" xfId="39603" xr:uid="{00000000-0005-0000-0000-0000AA9A0000}"/>
    <cellStyle name="Normal 3 4 11 5 6" xfId="39604" xr:uid="{00000000-0005-0000-0000-0000AB9A0000}"/>
    <cellStyle name="Normal 3 4 11 5 6 2" xfId="39605" xr:uid="{00000000-0005-0000-0000-0000AC9A0000}"/>
    <cellStyle name="Normal 3 4 11 5 6 3" xfId="39606" xr:uid="{00000000-0005-0000-0000-0000AD9A0000}"/>
    <cellStyle name="Normal 3 4 11 5 7" xfId="39607" xr:uid="{00000000-0005-0000-0000-0000AE9A0000}"/>
    <cellStyle name="Normal 3 4 11 5 7 2" xfId="39608" xr:uid="{00000000-0005-0000-0000-0000AF9A0000}"/>
    <cellStyle name="Normal 3 4 11 5 7 3" xfId="39609" xr:uid="{00000000-0005-0000-0000-0000B09A0000}"/>
    <cellStyle name="Normal 3 4 11 5 8" xfId="39610" xr:uid="{00000000-0005-0000-0000-0000B19A0000}"/>
    <cellStyle name="Normal 3 4 11 5 8 2" xfId="39611" xr:uid="{00000000-0005-0000-0000-0000B29A0000}"/>
    <cellStyle name="Normal 3 4 11 5 8 3" xfId="39612" xr:uid="{00000000-0005-0000-0000-0000B39A0000}"/>
    <cellStyle name="Normal 3 4 11 5 9" xfId="39613" xr:uid="{00000000-0005-0000-0000-0000B49A0000}"/>
    <cellStyle name="Normal 3 4 11 5 9 2" xfId="39614" xr:uid="{00000000-0005-0000-0000-0000B59A0000}"/>
    <cellStyle name="Normal 3 4 11 5 9 3" xfId="39615" xr:uid="{00000000-0005-0000-0000-0000B69A0000}"/>
    <cellStyle name="Normal 3 4 11 6" xfId="39616" xr:uid="{00000000-0005-0000-0000-0000B79A0000}"/>
    <cellStyle name="Normal 3 4 11 6 10" xfId="39617" xr:uid="{00000000-0005-0000-0000-0000B89A0000}"/>
    <cellStyle name="Normal 3 4 11 6 10 2" xfId="39618" xr:uid="{00000000-0005-0000-0000-0000B99A0000}"/>
    <cellStyle name="Normal 3 4 11 6 10 3" xfId="39619" xr:uid="{00000000-0005-0000-0000-0000BA9A0000}"/>
    <cellStyle name="Normal 3 4 11 6 11" xfId="39620" xr:uid="{00000000-0005-0000-0000-0000BB9A0000}"/>
    <cellStyle name="Normal 3 4 11 6 11 2" xfId="39621" xr:uid="{00000000-0005-0000-0000-0000BC9A0000}"/>
    <cellStyle name="Normal 3 4 11 6 11 3" xfId="39622" xr:uid="{00000000-0005-0000-0000-0000BD9A0000}"/>
    <cellStyle name="Normal 3 4 11 6 12" xfId="39623" xr:uid="{00000000-0005-0000-0000-0000BE9A0000}"/>
    <cellStyle name="Normal 3 4 11 6 12 2" xfId="39624" xr:uid="{00000000-0005-0000-0000-0000BF9A0000}"/>
    <cellStyle name="Normal 3 4 11 6 12 3" xfId="39625" xr:uid="{00000000-0005-0000-0000-0000C09A0000}"/>
    <cellStyle name="Normal 3 4 11 6 13" xfId="39626" xr:uid="{00000000-0005-0000-0000-0000C19A0000}"/>
    <cellStyle name="Normal 3 4 11 6 13 2" xfId="39627" xr:uid="{00000000-0005-0000-0000-0000C29A0000}"/>
    <cellStyle name="Normal 3 4 11 6 13 3" xfId="39628" xr:uid="{00000000-0005-0000-0000-0000C39A0000}"/>
    <cellStyle name="Normal 3 4 11 6 14" xfId="39629" xr:uid="{00000000-0005-0000-0000-0000C49A0000}"/>
    <cellStyle name="Normal 3 4 11 6 14 2" xfId="39630" xr:uid="{00000000-0005-0000-0000-0000C59A0000}"/>
    <cellStyle name="Normal 3 4 11 6 14 3" xfId="39631" xr:uid="{00000000-0005-0000-0000-0000C69A0000}"/>
    <cellStyle name="Normal 3 4 11 6 15" xfId="39632" xr:uid="{00000000-0005-0000-0000-0000C79A0000}"/>
    <cellStyle name="Normal 3 4 11 6 16" xfId="39633" xr:uid="{00000000-0005-0000-0000-0000C89A0000}"/>
    <cellStyle name="Normal 3 4 11 6 2" xfId="39634" xr:uid="{00000000-0005-0000-0000-0000C99A0000}"/>
    <cellStyle name="Normal 3 4 11 6 2 2" xfId="39635" xr:uid="{00000000-0005-0000-0000-0000CA9A0000}"/>
    <cellStyle name="Normal 3 4 11 6 2 3" xfId="39636" xr:uid="{00000000-0005-0000-0000-0000CB9A0000}"/>
    <cellStyle name="Normal 3 4 11 6 3" xfId="39637" xr:uid="{00000000-0005-0000-0000-0000CC9A0000}"/>
    <cellStyle name="Normal 3 4 11 6 3 2" xfId="39638" xr:uid="{00000000-0005-0000-0000-0000CD9A0000}"/>
    <cellStyle name="Normal 3 4 11 6 3 3" xfId="39639" xr:uid="{00000000-0005-0000-0000-0000CE9A0000}"/>
    <cellStyle name="Normal 3 4 11 6 4" xfId="39640" xr:uid="{00000000-0005-0000-0000-0000CF9A0000}"/>
    <cellStyle name="Normal 3 4 11 6 4 2" xfId="39641" xr:uid="{00000000-0005-0000-0000-0000D09A0000}"/>
    <cellStyle name="Normal 3 4 11 6 4 3" xfId="39642" xr:uid="{00000000-0005-0000-0000-0000D19A0000}"/>
    <cellStyle name="Normal 3 4 11 6 5" xfId="39643" xr:uid="{00000000-0005-0000-0000-0000D29A0000}"/>
    <cellStyle name="Normal 3 4 11 6 5 2" xfId="39644" xr:uid="{00000000-0005-0000-0000-0000D39A0000}"/>
    <cellStyle name="Normal 3 4 11 6 5 3" xfId="39645" xr:uid="{00000000-0005-0000-0000-0000D49A0000}"/>
    <cellStyle name="Normal 3 4 11 6 6" xfId="39646" xr:uid="{00000000-0005-0000-0000-0000D59A0000}"/>
    <cellStyle name="Normal 3 4 11 6 6 2" xfId="39647" xr:uid="{00000000-0005-0000-0000-0000D69A0000}"/>
    <cellStyle name="Normal 3 4 11 6 6 3" xfId="39648" xr:uid="{00000000-0005-0000-0000-0000D79A0000}"/>
    <cellStyle name="Normal 3 4 11 6 7" xfId="39649" xr:uid="{00000000-0005-0000-0000-0000D89A0000}"/>
    <cellStyle name="Normal 3 4 11 6 7 2" xfId="39650" xr:uid="{00000000-0005-0000-0000-0000D99A0000}"/>
    <cellStyle name="Normal 3 4 11 6 7 3" xfId="39651" xr:uid="{00000000-0005-0000-0000-0000DA9A0000}"/>
    <cellStyle name="Normal 3 4 11 6 8" xfId="39652" xr:uid="{00000000-0005-0000-0000-0000DB9A0000}"/>
    <cellStyle name="Normal 3 4 11 6 8 2" xfId="39653" xr:uid="{00000000-0005-0000-0000-0000DC9A0000}"/>
    <cellStyle name="Normal 3 4 11 6 8 3" xfId="39654" xr:uid="{00000000-0005-0000-0000-0000DD9A0000}"/>
    <cellStyle name="Normal 3 4 11 6 9" xfId="39655" xr:uid="{00000000-0005-0000-0000-0000DE9A0000}"/>
    <cellStyle name="Normal 3 4 11 6 9 2" xfId="39656" xr:uid="{00000000-0005-0000-0000-0000DF9A0000}"/>
    <cellStyle name="Normal 3 4 11 6 9 3" xfId="39657" xr:uid="{00000000-0005-0000-0000-0000E09A0000}"/>
    <cellStyle name="Normal 3 4 11 7" xfId="39658" xr:uid="{00000000-0005-0000-0000-0000E19A0000}"/>
    <cellStyle name="Normal 3 4 11 7 10" xfId="39659" xr:uid="{00000000-0005-0000-0000-0000E29A0000}"/>
    <cellStyle name="Normal 3 4 11 7 10 2" xfId="39660" xr:uid="{00000000-0005-0000-0000-0000E39A0000}"/>
    <cellStyle name="Normal 3 4 11 7 10 3" xfId="39661" xr:uid="{00000000-0005-0000-0000-0000E49A0000}"/>
    <cellStyle name="Normal 3 4 11 7 11" xfId="39662" xr:uid="{00000000-0005-0000-0000-0000E59A0000}"/>
    <cellStyle name="Normal 3 4 11 7 11 2" xfId="39663" xr:uid="{00000000-0005-0000-0000-0000E69A0000}"/>
    <cellStyle name="Normal 3 4 11 7 11 3" xfId="39664" xr:uid="{00000000-0005-0000-0000-0000E79A0000}"/>
    <cellStyle name="Normal 3 4 11 7 12" xfId="39665" xr:uid="{00000000-0005-0000-0000-0000E89A0000}"/>
    <cellStyle name="Normal 3 4 11 7 12 2" xfId="39666" xr:uid="{00000000-0005-0000-0000-0000E99A0000}"/>
    <cellStyle name="Normal 3 4 11 7 12 3" xfId="39667" xr:uid="{00000000-0005-0000-0000-0000EA9A0000}"/>
    <cellStyle name="Normal 3 4 11 7 13" xfId="39668" xr:uid="{00000000-0005-0000-0000-0000EB9A0000}"/>
    <cellStyle name="Normal 3 4 11 7 13 2" xfId="39669" xr:uid="{00000000-0005-0000-0000-0000EC9A0000}"/>
    <cellStyle name="Normal 3 4 11 7 13 3" xfId="39670" xr:uid="{00000000-0005-0000-0000-0000ED9A0000}"/>
    <cellStyle name="Normal 3 4 11 7 14" xfId="39671" xr:uid="{00000000-0005-0000-0000-0000EE9A0000}"/>
    <cellStyle name="Normal 3 4 11 7 14 2" xfId="39672" xr:uid="{00000000-0005-0000-0000-0000EF9A0000}"/>
    <cellStyle name="Normal 3 4 11 7 14 3" xfId="39673" xr:uid="{00000000-0005-0000-0000-0000F09A0000}"/>
    <cellStyle name="Normal 3 4 11 7 15" xfId="39674" xr:uid="{00000000-0005-0000-0000-0000F19A0000}"/>
    <cellStyle name="Normal 3 4 11 7 16" xfId="39675" xr:uid="{00000000-0005-0000-0000-0000F29A0000}"/>
    <cellStyle name="Normal 3 4 11 7 2" xfId="39676" xr:uid="{00000000-0005-0000-0000-0000F39A0000}"/>
    <cellStyle name="Normal 3 4 11 7 2 2" xfId="39677" xr:uid="{00000000-0005-0000-0000-0000F49A0000}"/>
    <cellStyle name="Normal 3 4 11 7 2 3" xfId="39678" xr:uid="{00000000-0005-0000-0000-0000F59A0000}"/>
    <cellStyle name="Normal 3 4 11 7 3" xfId="39679" xr:uid="{00000000-0005-0000-0000-0000F69A0000}"/>
    <cellStyle name="Normal 3 4 11 7 3 2" xfId="39680" xr:uid="{00000000-0005-0000-0000-0000F79A0000}"/>
    <cellStyle name="Normal 3 4 11 7 3 3" xfId="39681" xr:uid="{00000000-0005-0000-0000-0000F89A0000}"/>
    <cellStyle name="Normal 3 4 11 7 4" xfId="39682" xr:uid="{00000000-0005-0000-0000-0000F99A0000}"/>
    <cellStyle name="Normal 3 4 11 7 4 2" xfId="39683" xr:uid="{00000000-0005-0000-0000-0000FA9A0000}"/>
    <cellStyle name="Normal 3 4 11 7 4 3" xfId="39684" xr:uid="{00000000-0005-0000-0000-0000FB9A0000}"/>
    <cellStyle name="Normal 3 4 11 7 5" xfId="39685" xr:uid="{00000000-0005-0000-0000-0000FC9A0000}"/>
    <cellStyle name="Normal 3 4 11 7 5 2" xfId="39686" xr:uid="{00000000-0005-0000-0000-0000FD9A0000}"/>
    <cellStyle name="Normal 3 4 11 7 5 3" xfId="39687" xr:uid="{00000000-0005-0000-0000-0000FE9A0000}"/>
    <cellStyle name="Normal 3 4 11 7 6" xfId="39688" xr:uid="{00000000-0005-0000-0000-0000FF9A0000}"/>
    <cellStyle name="Normal 3 4 11 7 6 2" xfId="39689" xr:uid="{00000000-0005-0000-0000-0000009B0000}"/>
    <cellStyle name="Normal 3 4 11 7 6 3" xfId="39690" xr:uid="{00000000-0005-0000-0000-0000019B0000}"/>
    <cellStyle name="Normal 3 4 11 7 7" xfId="39691" xr:uid="{00000000-0005-0000-0000-0000029B0000}"/>
    <cellStyle name="Normal 3 4 11 7 7 2" xfId="39692" xr:uid="{00000000-0005-0000-0000-0000039B0000}"/>
    <cellStyle name="Normal 3 4 11 7 7 3" xfId="39693" xr:uid="{00000000-0005-0000-0000-0000049B0000}"/>
    <cellStyle name="Normal 3 4 11 7 8" xfId="39694" xr:uid="{00000000-0005-0000-0000-0000059B0000}"/>
    <cellStyle name="Normal 3 4 11 7 8 2" xfId="39695" xr:uid="{00000000-0005-0000-0000-0000069B0000}"/>
    <cellStyle name="Normal 3 4 11 7 8 3" xfId="39696" xr:uid="{00000000-0005-0000-0000-0000079B0000}"/>
    <cellStyle name="Normal 3 4 11 7 9" xfId="39697" xr:uid="{00000000-0005-0000-0000-0000089B0000}"/>
    <cellStyle name="Normal 3 4 11 7 9 2" xfId="39698" xr:uid="{00000000-0005-0000-0000-0000099B0000}"/>
    <cellStyle name="Normal 3 4 11 7 9 3" xfId="39699" xr:uid="{00000000-0005-0000-0000-00000A9B0000}"/>
    <cellStyle name="Normal 3 4 11 8" xfId="39700" xr:uid="{00000000-0005-0000-0000-00000B9B0000}"/>
    <cellStyle name="Normal 3 4 11 8 10" xfId="39701" xr:uid="{00000000-0005-0000-0000-00000C9B0000}"/>
    <cellStyle name="Normal 3 4 11 8 10 2" xfId="39702" xr:uid="{00000000-0005-0000-0000-00000D9B0000}"/>
    <cellStyle name="Normal 3 4 11 8 10 3" xfId="39703" xr:uid="{00000000-0005-0000-0000-00000E9B0000}"/>
    <cellStyle name="Normal 3 4 11 8 11" xfId="39704" xr:uid="{00000000-0005-0000-0000-00000F9B0000}"/>
    <cellStyle name="Normal 3 4 11 8 11 2" xfId="39705" xr:uid="{00000000-0005-0000-0000-0000109B0000}"/>
    <cellStyle name="Normal 3 4 11 8 11 3" xfId="39706" xr:uid="{00000000-0005-0000-0000-0000119B0000}"/>
    <cellStyle name="Normal 3 4 11 8 12" xfId="39707" xr:uid="{00000000-0005-0000-0000-0000129B0000}"/>
    <cellStyle name="Normal 3 4 11 8 12 2" xfId="39708" xr:uid="{00000000-0005-0000-0000-0000139B0000}"/>
    <cellStyle name="Normal 3 4 11 8 12 3" xfId="39709" xr:uid="{00000000-0005-0000-0000-0000149B0000}"/>
    <cellStyle name="Normal 3 4 11 8 13" xfId="39710" xr:uid="{00000000-0005-0000-0000-0000159B0000}"/>
    <cellStyle name="Normal 3 4 11 8 13 2" xfId="39711" xr:uid="{00000000-0005-0000-0000-0000169B0000}"/>
    <cellStyle name="Normal 3 4 11 8 13 3" xfId="39712" xr:uid="{00000000-0005-0000-0000-0000179B0000}"/>
    <cellStyle name="Normal 3 4 11 8 14" xfId="39713" xr:uid="{00000000-0005-0000-0000-0000189B0000}"/>
    <cellStyle name="Normal 3 4 11 8 14 2" xfId="39714" xr:uid="{00000000-0005-0000-0000-0000199B0000}"/>
    <cellStyle name="Normal 3 4 11 8 14 3" xfId="39715" xr:uid="{00000000-0005-0000-0000-00001A9B0000}"/>
    <cellStyle name="Normal 3 4 11 8 15" xfId="39716" xr:uid="{00000000-0005-0000-0000-00001B9B0000}"/>
    <cellStyle name="Normal 3 4 11 8 16" xfId="39717" xr:uid="{00000000-0005-0000-0000-00001C9B0000}"/>
    <cellStyle name="Normal 3 4 11 8 2" xfId="39718" xr:uid="{00000000-0005-0000-0000-00001D9B0000}"/>
    <cellStyle name="Normal 3 4 11 8 2 2" xfId="39719" xr:uid="{00000000-0005-0000-0000-00001E9B0000}"/>
    <cellStyle name="Normal 3 4 11 8 2 3" xfId="39720" xr:uid="{00000000-0005-0000-0000-00001F9B0000}"/>
    <cellStyle name="Normal 3 4 11 8 3" xfId="39721" xr:uid="{00000000-0005-0000-0000-0000209B0000}"/>
    <cellStyle name="Normal 3 4 11 8 3 2" xfId="39722" xr:uid="{00000000-0005-0000-0000-0000219B0000}"/>
    <cellStyle name="Normal 3 4 11 8 3 3" xfId="39723" xr:uid="{00000000-0005-0000-0000-0000229B0000}"/>
    <cellStyle name="Normal 3 4 11 8 4" xfId="39724" xr:uid="{00000000-0005-0000-0000-0000239B0000}"/>
    <cellStyle name="Normal 3 4 11 8 4 2" xfId="39725" xr:uid="{00000000-0005-0000-0000-0000249B0000}"/>
    <cellStyle name="Normal 3 4 11 8 4 3" xfId="39726" xr:uid="{00000000-0005-0000-0000-0000259B0000}"/>
    <cellStyle name="Normal 3 4 11 8 5" xfId="39727" xr:uid="{00000000-0005-0000-0000-0000269B0000}"/>
    <cellStyle name="Normal 3 4 11 8 5 2" xfId="39728" xr:uid="{00000000-0005-0000-0000-0000279B0000}"/>
    <cellStyle name="Normal 3 4 11 8 5 3" xfId="39729" xr:uid="{00000000-0005-0000-0000-0000289B0000}"/>
    <cellStyle name="Normal 3 4 11 8 6" xfId="39730" xr:uid="{00000000-0005-0000-0000-0000299B0000}"/>
    <cellStyle name="Normal 3 4 11 8 6 2" xfId="39731" xr:uid="{00000000-0005-0000-0000-00002A9B0000}"/>
    <cellStyle name="Normal 3 4 11 8 6 3" xfId="39732" xr:uid="{00000000-0005-0000-0000-00002B9B0000}"/>
    <cellStyle name="Normal 3 4 11 8 7" xfId="39733" xr:uid="{00000000-0005-0000-0000-00002C9B0000}"/>
    <cellStyle name="Normal 3 4 11 8 7 2" xfId="39734" xr:uid="{00000000-0005-0000-0000-00002D9B0000}"/>
    <cellStyle name="Normal 3 4 11 8 7 3" xfId="39735" xr:uid="{00000000-0005-0000-0000-00002E9B0000}"/>
    <cellStyle name="Normal 3 4 11 8 8" xfId="39736" xr:uid="{00000000-0005-0000-0000-00002F9B0000}"/>
    <cellStyle name="Normal 3 4 11 8 8 2" xfId="39737" xr:uid="{00000000-0005-0000-0000-0000309B0000}"/>
    <cellStyle name="Normal 3 4 11 8 8 3" xfId="39738" xr:uid="{00000000-0005-0000-0000-0000319B0000}"/>
    <cellStyle name="Normal 3 4 11 8 9" xfId="39739" xr:uid="{00000000-0005-0000-0000-0000329B0000}"/>
    <cellStyle name="Normal 3 4 11 8 9 2" xfId="39740" xr:uid="{00000000-0005-0000-0000-0000339B0000}"/>
    <cellStyle name="Normal 3 4 11 8 9 3" xfId="39741" xr:uid="{00000000-0005-0000-0000-0000349B0000}"/>
    <cellStyle name="Normal 3 4 11 9" xfId="39742" xr:uid="{00000000-0005-0000-0000-0000359B0000}"/>
    <cellStyle name="Normal 3 4 11 9 10" xfId="39743" xr:uid="{00000000-0005-0000-0000-0000369B0000}"/>
    <cellStyle name="Normal 3 4 11 9 10 2" xfId="39744" xr:uid="{00000000-0005-0000-0000-0000379B0000}"/>
    <cellStyle name="Normal 3 4 11 9 10 3" xfId="39745" xr:uid="{00000000-0005-0000-0000-0000389B0000}"/>
    <cellStyle name="Normal 3 4 11 9 11" xfId="39746" xr:uid="{00000000-0005-0000-0000-0000399B0000}"/>
    <cellStyle name="Normal 3 4 11 9 11 2" xfId="39747" xr:uid="{00000000-0005-0000-0000-00003A9B0000}"/>
    <cellStyle name="Normal 3 4 11 9 11 3" xfId="39748" xr:uid="{00000000-0005-0000-0000-00003B9B0000}"/>
    <cellStyle name="Normal 3 4 11 9 12" xfId="39749" xr:uid="{00000000-0005-0000-0000-00003C9B0000}"/>
    <cellStyle name="Normal 3 4 11 9 12 2" xfId="39750" xr:uid="{00000000-0005-0000-0000-00003D9B0000}"/>
    <cellStyle name="Normal 3 4 11 9 12 3" xfId="39751" xr:uid="{00000000-0005-0000-0000-00003E9B0000}"/>
    <cellStyle name="Normal 3 4 11 9 13" xfId="39752" xr:uid="{00000000-0005-0000-0000-00003F9B0000}"/>
    <cellStyle name="Normal 3 4 11 9 13 2" xfId="39753" xr:uid="{00000000-0005-0000-0000-0000409B0000}"/>
    <cellStyle name="Normal 3 4 11 9 13 3" xfId="39754" xr:uid="{00000000-0005-0000-0000-0000419B0000}"/>
    <cellStyle name="Normal 3 4 11 9 14" xfId="39755" xr:uid="{00000000-0005-0000-0000-0000429B0000}"/>
    <cellStyle name="Normal 3 4 11 9 14 2" xfId="39756" xr:uid="{00000000-0005-0000-0000-0000439B0000}"/>
    <cellStyle name="Normal 3 4 11 9 14 3" xfId="39757" xr:uid="{00000000-0005-0000-0000-0000449B0000}"/>
    <cellStyle name="Normal 3 4 11 9 15" xfId="39758" xr:uid="{00000000-0005-0000-0000-0000459B0000}"/>
    <cellStyle name="Normal 3 4 11 9 16" xfId="39759" xr:uid="{00000000-0005-0000-0000-0000469B0000}"/>
    <cellStyle name="Normal 3 4 11 9 2" xfId="39760" xr:uid="{00000000-0005-0000-0000-0000479B0000}"/>
    <cellStyle name="Normal 3 4 11 9 2 2" xfId="39761" xr:uid="{00000000-0005-0000-0000-0000489B0000}"/>
    <cellStyle name="Normal 3 4 11 9 2 3" xfId="39762" xr:uid="{00000000-0005-0000-0000-0000499B0000}"/>
    <cellStyle name="Normal 3 4 11 9 3" xfId="39763" xr:uid="{00000000-0005-0000-0000-00004A9B0000}"/>
    <cellStyle name="Normal 3 4 11 9 3 2" xfId="39764" xr:uid="{00000000-0005-0000-0000-00004B9B0000}"/>
    <cellStyle name="Normal 3 4 11 9 3 3" xfId="39765" xr:uid="{00000000-0005-0000-0000-00004C9B0000}"/>
    <cellStyle name="Normal 3 4 11 9 4" xfId="39766" xr:uid="{00000000-0005-0000-0000-00004D9B0000}"/>
    <cellStyle name="Normal 3 4 11 9 4 2" xfId="39767" xr:uid="{00000000-0005-0000-0000-00004E9B0000}"/>
    <cellStyle name="Normal 3 4 11 9 4 3" xfId="39768" xr:uid="{00000000-0005-0000-0000-00004F9B0000}"/>
    <cellStyle name="Normal 3 4 11 9 5" xfId="39769" xr:uid="{00000000-0005-0000-0000-0000509B0000}"/>
    <cellStyle name="Normal 3 4 11 9 5 2" xfId="39770" xr:uid="{00000000-0005-0000-0000-0000519B0000}"/>
    <cellStyle name="Normal 3 4 11 9 5 3" xfId="39771" xr:uid="{00000000-0005-0000-0000-0000529B0000}"/>
    <cellStyle name="Normal 3 4 11 9 6" xfId="39772" xr:uid="{00000000-0005-0000-0000-0000539B0000}"/>
    <cellStyle name="Normal 3 4 11 9 6 2" xfId="39773" xr:uid="{00000000-0005-0000-0000-0000549B0000}"/>
    <cellStyle name="Normal 3 4 11 9 6 3" xfId="39774" xr:uid="{00000000-0005-0000-0000-0000559B0000}"/>
    <cellStyle name="Normal 3 4 11 9 7" xfId="39775" xr:uid="{00000000-0005-0000-0000-0000569B0000}"/>
    <cellStyle name="Normal 3 4 11 9 7 2" xfId="39776" xr:uid="{00000000-0005-0000-0000-0000579B0000}"/>
    <cellStyle name="Normal 3 4 11 9 7 3" xfId="39777" xr:uid="{00000000-0005-0000-0000-0000589B0000}"/>
    <cellStyle name="Normal 3 4 11 9 8" xfId="39778" xr:uid="{00000000-0005-0000-0000-0000599B0000}"/>
    <cellStyle name="Normal 3 4 11 9 8 2" xfId="39779" xr:uid="{00000000-0005-0000-0000-00005A9B0000}"/>
    <cellStyle name="Normal 3 4 11 9 8 3" xfId="39780" xr:uid="{00000000-0005-0000-0000-00005B9B0000}"/>
    <cellStyle name="Normal 3 4 11 9 9" xfId="39781" xr:uid="{00000000-0005-0000-0000-00005C9B0000}"/>
    <cellStyle name="Normal 3 4 11 9 9 2" xfId="39782" xr:uid="{00000000-0005-0000-0000-00005D9B0000}"/>
    <cellStyle name="Normal 3 4 11 9 9 3" xfId="39783" xr:uid="{00000000-0005-0000-0000-00005E9B0000}"/>
    <cellStyle name="Normal 3 4 12" xfId="39784" xr:uid="{00000000-0005-0000-0000-00005F9B0000}"/>
    <cellStyle name="Normal 3 4 12 10" xfId="39785" xr:uid="{00000000-0005-0000-0000-0000609B0000}"/>
    <cellStyle name="Normal 3 4 12 10 10" xfId="39786" xr:uid="{00000000-0005-0000-0000-0000619B0000}"/>
    <cellStyle name="Normal 3 4 12 10 10 2" xfId="39787" xr:uid="{00000000-0005-0000-0000-0000629B0000}"/>
    <cellStyle name="Normal 3 4 12 10 10 3" xfId="39788" xr:uid="{00000000-0005-0000-0000-0000639B0000}"/>
    <cellStyle name="Normal 3 4 12 10 11" xfId="39789" xr:uid="{00000000-0005-0000-0000-0000649B0000}"/>
    <cellStyle name="Normal 3 4 12 10 11 2" xfId="39790" xr:uid="{00000000-0005-0000-0000-0000659B0000}"/>
    <cellStyle name="Normal 3 4 12 10 11 3" xfId="39791" xr:uid="{00000000-0005-0000-0000-0000669B0000}"/>
    <cellStyle name="Normal 3 4 12 10 12" xfId="39792" xr:uid="{00000000-0005-0000-0000-0000679B0000}"/>
    <cellStyle name="Normal 3 4 12 10 12 2" xfId="39793" xr:uid="{00000000-0005-0000-0000-0000689B0000}"/>
    <cellStyle name="Normal 3 4 12 10 12 3" xfId="39794" xr:uid="{00000000-0005-0000-0000-0000699B0000}"/>
    <cellStyle name="Normal 3 4 12 10 13" xfId="39795" xr:uid="{00000000-0005-0000-0000-00006A9B0000}"/>
    <cellStyle name="Normal 3 4 12 10 13 2" xfId="39796" xr:uid="{00000000-0005-0000-0000-00006B9B0000}"/>
    <cellStyle name="Normal 3 4 12 10 13 3" xfId="39797" xr:uid="{00000000-0005-0000-0000-00006C9B0000}"/>
    <cellStyle name="Normal 3 4 12 10 14" xfId="39798" xr:uid="{00000000-0005-0000-0000-00006D9B0000}"/>
    <cellStyle name="Normal 3 4 12 10 14 2" xfId="39799" xr:uid="{00000000-0005-0000-0000-00006E9B0000}"/>
    <cellStyle name="Normal 3 4 12 10 14 3" xfId="39800" xr:uid="{00000000-0005-0000-0000-00006F9B0000}"/>
    <cellStyle name="Normal 3 4 12 10 15" xfId="39801" xr:uid="{00000000-0005-0000-0000-0000709B0000}"/>
    <cellStyle name="Normal 3 4 12 10 16" xfId="39802" xr:uid="{00000000-0005-0000-0000-0000719B0000}"/>
    <cellStyle name="Normal 3 4 12 10 2" xfId="39803" xr:uid="{00000000-0005-0000-0000-0000729B0000}"/>
    <cellStyle name="Normal 3 4 12 10 2 2" xfId="39804" xr:uid="{00000000-0005-0000-0000-0000739B0000}"/>
    <cellStyle name="Normal 3 4 12 10 2 3" xfId="39805" xr:uid="{00000000-0005-0000-0000-0000749B0000}"/>
    <cellStyle name="Normal 3 4 12 10 3" xfId="39806" xr:uid="{00000000-0005-0000-0000-0000759B0000}"/>
    <cellStyle name="Normal 3 4 12 10 3 2" xfId="39807" xr:uid="{00000000-0005-0000-0000-0000769B0000}"/>
    <cellStyle name="Normal 3 4 12 10 3 3" xfId="39808" xr:uid="{00000000-0005-0000-0000-0000779B0000}"/>
    <cellStyle name="Normal 3 4 12 10 4" xfId="39809" xr:uid="{00000000-0005-0000-0000-0000789B0000}"/>
    <cellStyle name="Normal 3 4 12 10 4 2" xfId="39810" xr:uid="{00000000-0005-0000-0000-0000799B0000}"/>
    <cellStyle name="Normal 3 4 12 10 4 3" xfId="39811" xr:uid="{00000000-0005-0000-0000-00007A9B0000}"/>
    <cellStyle name="Normal 3 4 12 10 5" xfId="39812" xr:uid="{00000000-0005-0000-0000-00007B9B0000}"/>
    <cellStyle name="Normal 3 4 12 10 5 2" xfId="39813" xr:uid="{00000000-0005-0000-0000-00007C9B0000}"/>
    <cellStyle name="Normal 3 4 12 10 5 3" xfId="39814" xr:uid="{00000000-0005-0000-0000-00007D9B0000}"/>
    <cellStyle name="Normal 3 4 12 10 6" xfId="39815" xr:uid="{00000000-0005-0000-0000-00007E9B0000}"/>
    <cellStyle name="Normal 3 4 12 10 6 2" xfId="39816" xr:uid="{00000000-0005-0000-0000-00007F9B0000}"/>
    <cellStyle name="Normal 3 4 12 10 6 3" xfId="39817" xr:uid="{00000000-0005-0000-0000-0000809B0000}"/>
    <cellStyle name="Normal 3 4 12 10 7" xfId="39818" xr:uid="{00000000-0005-0000-0000-0000819B0000}"/>
    <cellStyle name="Normal 3 4 12 10 7 2" xfId="39819" xr:uid="{00000000-0005-0000-0000-0000829B0000}"/>
    <cellStyle name="Normal 3 4 12 10 7 3" xfId="39820" xr:uid="{00000000-0005-0000-0000-0000839B0000}"/>
    <cellStyle name="Normal 3 4 12 10 8" xfId="39821" xr:uid="{00000000-0005-0000-0000-0000849B0000}"/>
    <cellStyle name="Normal 3 4 12 10 8 2" xfId="39822" xr:uid="{00000000-0005-0000-0000-0000859B0000}"/>
    <cellStyle name="Normal 3 4 12 10 8 3" xfId="39823" xr:uid="{00000000-0005-0000-0000-0000869B0000}"/>
    <cellStyle name="Normal 3 4 12 10 9" xfId="39824" xr:uid="{00000000-0005-0000-0000-0000879B0000}"/>
    <cellStyle name="Normal 3 4 12 10 9 2" xfId="39825" xr:uid="{00000000-0005-0000-0000-0000889B0000}"/>
    <cellStyle name="Normal 3 4 12 10 9 3" xfId="39826" xr:uid="{00000000-0005-0000-0000-0000899B0000}"/>
    <cellStyle name="Normal 3 4 12 11" xfId="39827" xr:uid="{00000000-0005-0000-0000-00008A9B0000}"/>
    <cellStyle name="Normal 3 4 12 11 2" xfId="39828" xr:uid="{00000000-0005-0000-0000-00008B9B0000}"/>
    <cellStyle name="Normal 3 4 12 11 3" xfId="39829" xr:uid="{00000000-0005-0000-0000-00008C9B0000}"/>
    <cellStyle name="Normal 3 4 12 12" xfId="39830" xr:uid="{00000000-0005-0000-0000-00008D9B0000}"/>
    <cellStyle name="Normal 3 4 12 12 2" xfId="39831" xr:uid="{00000000-0005-0000-0000-00008E9B0000}"/>
    <cellStyle name="Normal 3 4 12 12 3" xfId="39832" xr:uid="{00000000-0005-0000-0000-00008F9B0000}"/>
    <cellStyle name="Normal 3 4 12 13" xfId="39833" xr:uid="{00000000-0005-0000-0000-0000909B0000}"/>
    <cellStyle name="Normal 3 4 12 13 2" xfId="39834" xr:uid="{00000000-0005-0000-0000-0000919B0000}"/>
    <cellStyle name="Normal 3 4 12 13 3" xfId="39835" xr:uid="{00000000-0005-0000-0000-0000929B0000}"/>
    <cellStyle name="Normal 3 4 12 14" xfId="39836" xr:uid="{00000000-0005-0000-0000-0000939B0000}"/>
    <cellStyle name="Normal 3 4 12 14 2" xfId="39837" xr:uid="{00000000-0005-0000-0000-0000949B0000}"/>
    <cellStyle name="Normal 3 4 12 14 3" xfId="39838" xr:uid="{00000000-0005-0000-0000-0000959B0000}"/>
    <cellStyle name="Normal 3 4 12 15" xfId="39839" xr:uid="{00000000-0005-0000-0000-0000969B0000}"/>
    <cellStyle name="Normal 3 4 12 15 2" xfId="39840" xr:uid="{00000000-0005-0000-0000-0000979B0000}"/>
    <cellStyle name="Normal 3 4 12 15 3" xfId="39841" xr:uid="{00000000-0005-0000-0000-0000989B0000}"/>
    <cellStyle name="Normal 3 4 12 16" xfId="39842" xr:uid="{00000000-0005-0000-0000-0000999B0000}"/>
    <cellStyle name="Normal 3 4 12 16 2" xfId="39843" xr:uid="{00000000-0005-0000-0000-00009A9B0000}"/>
    <cellStyle name="Normal 3 4 12 16 3" xfId="39844" xr:uid="{00000000-0005-0000-0000-00009B9B0000}"/>
    <cellStyle name="Normal 3 4 12 17" xfId="39845" xr:uid="{00000000-0005-0000-0000-00009C9B0000}"/>
    <cellStyle name="Normal 3 4 12 17 2" xfId="39846" xr:uid="{00000000-0005-0000-0000-00009D9B0000}"/>
    <cellStyle name="Normal 3 4 12 17 3" xfId="39847" xr:uid="{00000000-0005-0000-0000-00009E9B0000}"/>
    <cellStyle name="Normal 3 4 12 18" xfId="39848" xr:uid="{00000000-0005-0000-0000-00009F9B0000}"/>
    <cellStyle name="Normal 3 4 12 18 2" xfId="39849" xr:uid="{00000000-0005-0000-0000-0000A09B0000}"/>
    <cellStyle name="Normal 3 4 12 18 3" xfId="39850" xr:uid="{00000000-0005-0000-0000-0000A19B0000}"/>
    <cellStyle name="Normal 3 4 12 19" xfId="39851" xr:uid="{00000000-0005-0000-0000-0000A29B0000}"/>
    <cellStyle name="Normal 3 4 12 19 2" xfId="39852" xr:uid="{00000000-0005-0000-0000-0000A39B0000}"/>
    <cellStyle name="Normal 3 4 12 19 3" xfId="39853" xr:uid="{00000000-0005-0000-0000-0000A49B0000}"/>
    <cellStyle name="Normal 3 4 12 2" xfId="39854" xr:uid="{00000000-0005-0000-0000-0000A59B0000}"/>
    <cellStyle name="Normal 3 4 12 2 10" xfId="39855" xr:uid="{00000000-0005-0000-0000-0000A69B0000}"/>
    <cellStyle name="Normal 3 4 12 2 10 2" xfId="39856" xr:uid="{00000000-0005-0000-0000-0000A79B0000}"/>
    <cellStyle name="Normal 3 4 12 2 10 3" xfId="39857" xr:uid="{00000000-0005-0000-0000-0000A89B0000}"/>
    <cellStyle name="Normal 3 4 12 2 11" xfId="39858" xr:uid="{00000000-0005-0000-0000-0000A99B0000}"/>
    <cellStyle name="Normal 3 4 12 2 11 2" xfId="39859" xr:uid="{00000000-0005-0000-0000-0000AA9B0000}"/>
    <cellStyle name="Normal 3 4 12 2 11 3" xfId="39860" xr:uid="{00000000-0005-0000-0000-0000AB9B0000}"/>
    <cellStyle name="Normal 3 4 12 2 12" xfId="39861" xr:uid="{00000000-0005-0000-0000-0000AC9B0000}"/>
    <cellStyle name="Normal 3 4 12 2 12 2" xfId="39862" xr:uid="{00000000-0005-0000-0000-0000AD9B0000}"/>
    <cellStyle name="Normal 3 4 12 2 12 3" xfId="39863" xr:uid="{00000000-0005-0000-0000-0000AE9B0000}"/>
    <cellStyle name="Normal 3 4 12 2 13" xfId="39864" xr:uid="{00000000-0005-0000-0000-0000AF9B0000}"/>
    <cellStyle name="Normal 3 4 12 2 13 2" xfId="39865" xr:uid="{00000000-0005-0000-0000-0000B09B0000}"/>
    <cellStyle name="Normal 3 4 12 2 13 3" xfId="39866" xr:uid="{00000000-0005-0000-0000-0000B19B0000}"/>
    <cellStyle name="Normal 3 4 12 2 14" xfId="39867" xr:uid="{00000000-0005-0000-0000-0000B29B0000}"/>
    <cellStyle name="Normal 3 4 12 2 14 2" xfId="39868" xr:uid="{00000000-0005-0000-0000-0000B39B0000}"/>
    <cellStyle name="Normal 3 4 12 2 14 3" xfId="39869" xr:uid="{00000000-0005-0000-0000-0000B49B0000}"/>
    <cellStyle name="Normal 3 4 12 2 15" xfId="39870" xr:uid="{00000000-0005-0000-0000-0000B59B0000}"/>
    <cellStyle name="Normal 3 4 12 2 15 2" xfId="39871" xr:uid="{00000000-0005-0000-0000-0000B69B0000}"/>
    <cellStyle name="Normal 3 4 12 2 15 3" xfId="39872" xr:uid="{00000000-0005-0000-0000-0000B79B0000}"/>
    <cellStyle name="Normal 3 4 12 2 16" xfId="39873" xr:uid="{00000000-0005-0000-0000-0000B89B0000}"/>
    <cellStyle name="Normal 3 4 12 2 17" xfId="39874" xr:uid="{00000000-0005-0000-0000-0000B99B0000}"/>
    <cellStyle name="Normal 3 4 12 2 2" xfId="39875" xr:uid="{00000000-0005-0000-0000-0000BA9B0000}"/>
    <cellStyle name="Normal 3 4 12 2 2 10" xfId="39876" xr:uid="{00000000-0005-0000-0000-0000BB9B0000}"/>
    <cellStyle name="Normal 3 4 12 2 2 10 2" xfId="39877" xr:uid="{00000000-0005-0000-0000-0000BC9B0000}"/>
    <cellStyle name="Normal 3 4 12 2 2 10 3" xfId="39878" xr:uid="{00000000-0005-0000-0000-0000BD9B0000}"/>
    <cellStyle name="Normal 3 4 12 2 2 11" xfId="39879" xr:uid="{00000000-0005-0000-0000-0000BE9B0000}"/>
    <cellStyle name="Normal 3 4 12 2 2 11 2" xfId="39880" xr:uid="{00000000-0005-0000-0000-0000BF9B0000}"/>
    <cellStyle name="Normal 3 4 12 2 2 11 3" xfId="39881" xr:uid="{00000000-0005-0000-0000-0000C09B0000}"/>
    <cellStyle name="Normal 3 4 12 2 2 12" xfId="39882" xr:uid="{00000000-0005-0000-0000-0000C19B0000}"/>
    <cellStyle name="Normal 3 4 12 2 2 12 2" xfId="39883" xr:uid="{00000000-0005-0000-0000-0000C29B0000}"/>
    <cellStyle name="Normal 3 4 12 2 2 12 3" xfId="39884" xr:uid="{00000000-0005-0000-0000-0000C39B0000}"/>
    <cellStyle name="Normal 3 4 12 2 2 13" xfId="39885" xr:uid="{00000000-0005-0000-0000-0000C49B0000}"/>
    <cellStyle name="Normal 3 4 12 2 2 13 2" xfId="39886" xr:uid="{00000000-0005-0000-0000-0000C59B0000}"/>
    <cellStyle name="Normal 3 4 12 2 2 13 3" xfId="39887" xr:uid="{00000000-0005-0000-0000-0000C69B0000}"/>
    <cellStyle name="Normal 3 4 12 2 2 14" xfId="39888" xr:uid="{00000000-0005-0000-0000-0000C79B0000}"/>
    <cellStyle name="Normal 3 4 12 2 2 14 2" xfId="39889" xr:uid="{00000000-0005-0000-0000-0000C89B0000}"/>
    <cellStyle name="Normal 3 4 12 2 2 14 3" xfId="39890" xr:uid="{00000000-0005-0000-0000-0000C99B0000}"/>
    <cellStyle name="Normal 3 4 12 2 2 15" xfId="39891" xr:uid="{00000000-0005-0000-0000-0000CA9B0000}"/>
    <cellStyle name="Normal 3 4 12 2 2 16" xfId="39892" xr:uid="{00000000-0005-0000-0000-0000CB9B0000}"/>
    <cellStyle name="Normal 3 4 12 2 2 2" xfId="39893" xr:uid="{00000000-0005-0000-0000-0000CC9B0000}"/>
    <cellStyle name="Normal 3 4 12 2 2 2 2" xfId="39894" xr:uid="{00000000-0005-0000-0000-0000CD9B0000}"/>
    <cellStyle name="Normal 3 4 12 2 2 2 3" xfId="39895" xr:uid="{00000000-0005-0000-0000-0000CE9B0000}"/>
    <cellStyle name="Normal 3 4 12 2 2 3" xfId="39896" xr:uid="{00000000-0005-0000-0000-0000CF9B0000}"/>
    <cellStyle name="Normal 3 4 12 2 2 3 2" xfId="39897" xr:uid="{00000000-0005-0000-0000-0000D09B0000}"/>
    <cellStyle name="Normal 3 4 12 2 2 3 3" xfId="39898" xr:uid="{00000000-0005-0000-0000-0000D19B0000}"/>
    <cellStyle name="Normal 3 4 12 2 2 4" xfId="39899" xr:uid="{00000000-0005-0000-0000-0000D29B0000}"/>
    <cellStyle name="Normal 3 4 12 2 2 4 2" xfId="39900" xr:uid="{00000000-0005-0000-0000-0000D39B0000}"/>
    <cellStyle name="Normal 3 4 12 2 2 4 3" xfId="39901" xr:uid="{00000000-0005-0000-0000-0000D49B0000}"/>
    <cellStyle name="Normal 3 4 12 2 2 5" xfId="39902" xr:uid="{00000000-0005-0000-0000-0000D59B0000}"/>
    <cellStyle name="Normal 3 4 12 2 2 5 2" xfId="39903" xr:uid="{00000000-0005-0000-0000-0000D69B0000}"/>
    <cellStyle name="Normal 3 4 12 2 2 5 3" xfId="39904" xr:uid="{00000000-0005-0000-0000-0000D79B0000}"/>
    <cellStyle name="Normal 3 4 12 2 2 6" xfId="39905" xr:uid="{00000000-0005-0000-0000-0000D89B0000}"/>
    <cellStyle name="Normal 3 4 12 2 2 6 2" xfId="39906" xr:uid="{00000000-0005-0000-0000-0000D99B0000}"/>
    <cellStyle name="Normal 3 4 12 2 2 6 3" xfId="39907" xr:uid="{00000000-0005-0000-0000-0000DA9B0000}"/>
    <cellStyle name="Normal 3 4 12 2 2 7" xfId="39908" xr:uid="{00000000-0005-0000-0000-0000DB9B0000}"/>
    <cellStyle name="Normal 3 4 12 2 2 7 2" xfId="39909" xr:uid="{00000000-0005-0000-0000-0000DC9B0000}"/>
    <cellStyle name="Normal 3 4 12 2 2 7 3" xfId="39910" xr:uid="{00000000-0005-0000-0000-0000DD9B0000}"/>
    <cellStyle name="Normal 3 4 12 2 2 8" xfId="39911" xr:uid="{00000000-0005-0000-0000-0000DE9B0000}"/>
    <cellStyle name="Normal 3 4 12 2 2 8 2" xfId="39912" xr:uid="{00000000-0005-0000-0000-0000DF9B0000}"/>
    <cellStyle name="Normal 3 4 12 2 2 8 3" xfId="39913" xr:uid="{00000000-0005-0000-0000-0000E09B0000}"/>
    <cellStyle name="Normal 3 4 12 2 2 9" xfId="39914" xr:uid="{00000000-0005-0000-0000-0000E19B0000}"/>
    <cellStyle name="Normal 3 4 12 2 2 9 2" xfId="39915" xr:uid="{00000000-0005-0000-0000-0000E29B0000}"/>
    <cellStyle name="Normal 3 4 12 2 2 9 3" xfId="39916" xr:uid="{00000000-0005-0000-0000-0000E39B0000}"/>
    <cellStyle name="Normal 3 4 12 2 3" xfId="39917" xr:uid="{00000000-0005-0000-0000-0000E49B0000}"/>
    <cellStyle name="Normal 3 4 12 2 3 2" xfId="39918" xr:uid="{00000000-0005-0000-0000-0000E59B0000}"/>
    <cellStyle name="Normal 3 4 12 2 3 3" xfId="39919" xr:uid="{00000000-0005-0000-0000-0000E69B0000}"/>
    <cellStyle name="Normal 3 4 12 2 4" xfId="39920" xr:uid="{00000000-0005-0000-0000-0000E79B0000}"/>
    <cellStyle name="Normal 3 4 12 2 4 2" xfId="39921" xr:uid="{00000000-0005-0000-0000-0000E89B0000}"/>
    <cellStyle name="Normal 3 4 12 2 4 3" xfId="39922" xr:uid="{00000000-0005-0000-0000-0000E99B0000}"/>
    <cellStyle name="Normal 3 4 12 2 5" xfId="39923" xr:uid="{00000000-0005-0000-0000-0000EA9B0000}"/>
    <cellStyle name="Normal 3 4 12 2 5 2" xfId="39924" xr:uid="{00000000-0005-0000-0000-0000EB9B0000}"/>
    <cellStyle name="Normal 3 4 12 2 5 3" xfId="39925" xr:uid="{00000000-0005-0000-0000-0000EC9B0000}"/>
    <cellStyle name="Normal 3 4 12 2 6" xfId="39926" xr:uid="{00000000-0005-0000-0000-0000ED9B0000}"/>
    <cellStyle name="Normal 3 4 12 2 6 2" xfId="39927" xr:uid="{00000000-0005-0000-0000-0000EE9B0000}"/>
    <cellStyle name="Normal 3 4 12 2 6 3" xfId="39928" xr:uid="{00000000-0005-0000-0000-0000EF9B0000}"/>
    <cellStyle name="Normal 3 4 12 2 7" xfId="39929" xr:uid="{00000000-0005-0000-0000-0000F09B0000}"/>
    <cellStyle name="Normal 3 4 12 2 7 2" xfId="39930" xr:uid="{00000000-0005-0000-0000-0000F19B0000}"/>
    <cellStyle name="Normal 3 4 12 2 7 3" xfId="39931" xr:uid="{00000000-0005-0000-0000-0000F29B0000}"/>
    <cellStyle name="Normal 3 4 12 2 8" xfId="39932" xr:uid="{00000000-0005-0000-0000-0000F39B0000}"/>
    <cellStyle name="Normal 3 4 12 2 8 2" xfId="39933" xr:uid="{00000000-0005-0000-0000-0000F49B0000}"/>
    <cellStyle name="Normal 3 4 12 2 8 3" xfId="39934" xr:uid="{00000000-0005-0000-0000-0000F59B0000}"/>
    <cellStyle name="Normal 3 4 12 2 9" xfId="39935" xr:uid="{00000000-0005-0000-0000-0000F69B0000}"/>
    <cellStyle name="Normal 3 4 12 2 9 2" xfId="39936" xr:uid="{00000000-0005-0000-0000-0000F79B0000}"/>
    <cellStyle name="Normal 3 4 12 2 9 3" xfId="39937" xr:uid="{00000000-0005-0000-0000-0000F89B0000}"/>
    <cellStyle name="Normal 3 4 12 20" xfId="39938" xr:uid="{00000000-0005-0000-0000-0000F99B0000}"/>
    <cellStyle name="Normal 3 4 12 20 2" xfId="39939" xr:uid="{00000000-0005-0000-0000-0000FA9B0000}"/>
    <cellStyle name="Normal 3 4 12 20 3" xfId="39940" xr:uid="{00000000-0005-0000-0000-0000FB9B0000}"/>
    <cellStyle name="Normal 3 4 12 21" xfId="39941" xr:uid="{00000000-0005-0000-0000-0000FC9B0000}"/>
    <cellStyle name="Normal 3 4 12 21 2" xfId="39942" xr:uid="{00000000-0005-0000-0000-0000FD9B0000}"/>
    <cellStyle name="Normal 3 4 12 21 3" xfId="39943" xr:uid="{00000000-0005-0000-0000-0000FE9B0000}"/>
    <cellStyle name="Normal 3 4 12 22" xfId="39944" xr:uid="{00000000-0005-0000-0000-0000FF9B0000}"/>
    <cellStyle name="Normal 3 4 12 22 2" xfId="39945" xr:uid="{00000000-0005-0000-0000-0000009C0000}"/>
    <cellStyle name="Normal 3 4 12 22 3" xfId="39946" xr:uid="{00000000-0005-0000-0000-0000019C0000}"/>
    <cellStyle name="Normal 3 4 12 23" xfId="39947" xr:uid="{00000000-0005-0000-0000-0000029C0000}"/>
    <cellStyle name="Normal 3 4 12 23 2" xfId="39948" xr:uid="{00000000-0005-0000-0000-0000039C0000}"/>
    <cellStyle name="Normal 3 4 12 23 3" xfId="39949" xr:uid="{00000000-0005-0000-0000-0000049C0000}"/>
    <cellStyle name="Normal 3 4 12 24" xfId="39950" xr:uid="{00000000-0005-0000-0000-0000059C0000}"/>
    <cellStyle name="Normal 3 4 12 25" xfId="39951" xr:uid="{00000000-0005-0000-0000-0000069C0000}"/>
    <cellStyle name="Normal 3 4 12 3" xfId="39952" xr:uid="{00000000-0005-0000-0000-0000079C0000}"/>
    <cellStyle name="Normal 3 4 12 3 10" xfId="39953" xr:uid="{00000000-0005-0000-0000-0000089C0000}"/>
    <cellStyle name="Normal 3 4 12 3 10 2" xfId="39954" xr:uid="{00000000-0005-0000-0000-0000099C0000}"/>
    <cellStyle name="Normal 3 4 12 3 10 3" xfId="39955" xr:uid="{00000000-0005-0000-0000-00000A9C0000}"/>
    <cellStyle name="Normal 3 4 12 3 11" xfId="39956" xr:uid="{00000000-0005-0000-0000-00000B9C0000}"/>
    <cellStyle name="Normal 3 4 12 3 11 2" xfId="39957" xr:uid="{00000000-0005-0000-0000-00000C9C0000}"/>
    <cellStyle name="Normal 3 4 12 3 11 3" xfId="39958" xr:uid="{00000000-0005-0000-0000-00000D9C0000}"/>
    <cellStyle name="Normal 3 4 12 3 12" xfId="39959" xr:uid="{00000000-0005-0000-0000-00000E9C0000}"/>
    <cellStyle name="Normal 3 4 12 3 12 2" xfId="39960" xr:uid="{00000000-0005-0000-0000-00000F9C0000}"/>
    <cellStyle name="Normal 3 4 12 3 12 3" xfId="39961" xr:uid="{00000000-0005-0000-0000-0000109C0000}"/>
    <cellStyle name="Normal 3 4 12 3 13" xfId="39962" xr:uid="{00000000-0005-0000-0000-0000119C0000}"/>
    <cellStyle name="Normal 3 4 12 3 13 2" xfId="39963" xr:uid="{00000000-0005-0000-0000-0000129C0000}"/>
    <cellStyle name="Normal 3 4 12 3 13 3" xfId="39964" xr:uid="{00000000-0005-0000-0000-0000139C0000}"/>
    <cellStyle name="Normal 3 4 12 3 14" xfId="39965" xr:uid="{00000000-0005-0000-0000-0000149C0000}"/>
    <cellStyle name="Normal 3 4 12 3 14 2" xfId="39966" xr:uid="{00000000-0005-0000-0000-0000159C0000}"/>
    <cellStyle name="Normal 3 4 12 3 14 3" xfId="39967" xr:uid="{00000000-0005-0000-0000-0000169C0000}"/>
    <cellStyle name="Normal 3 4 12 3 15" xfId="39968" xr:uid="{00000000-0005-0000-0000-0000179C0000}"/>
    <cellStyle name="Normal 3 4 12 3 15 2" xfId="39969" xr:uid="{00000000-0005-0000-0000-0000189C0000}"/>
    <cellStyle name="Normal 3 4 12 3 15 3" xfId="39970" xr:uid="{00000000-0005-0000-0000-0000199C0000}"/>
    <cellStyle name="Normal 3 4 12 3 16" xfId="39971" xr:uid="{00000000-0005-0000-0000-00001A9C0000}"/>
    <cellStyle name="Normal 3 4 12 3 17" xfId="39972" xr:uid="{00000000-0005-0000-0000-00001B9C0000}"/>
    <cellStyle name="Normal 3 4 12 3 2" xfId="39973" xr:uid="{00000000-0005-0000-0000-00001C9C0000}"/>
    <cellStyle name="Normal 3 4 12 3 2 10" xfId="39974" xr:uid="{00000000-0005-0000-0000-00001D9C0000}"/>
    <cellStyle name="Normal 3 4 12 3 2 10 2" xfId="39975" xr:uid="{00000000-0005-0000-0000-00001E9C0000}"/>
    <cellStyle name="Normal 3 4 12 3 2 10 3" xfId="39976" xr:uid="{00000000-0005-0000-0000-00001F9C0000}"/>
    <cellStyle name="Normal 3 4 12 3 2 11" xfId="39977" xr:uid="{00000000-0005-0000-0000-0000209C0000}"/>
    <cellStyle name="Normal 3 4 12 3 2 11 2" xfId="39978" xr:uid="{00000000-0005-0000-0000-0000219C0000}"/>
    <cellStyle name="Normal 3 4 12 3 2 11 3" xfId="39979" xr:uid="{00000000-0005-0000-0000-0000229C0000}"/>
    <cellStyle name="Normal 3 4 12 3 2 12" xfId="39980" xr:uid="{00000000-0005-0000-0000-0000239C0000}"/>
    <cellStyle name="Normal 3 4 12 3 2 12 2" xfId="39981" xr:uid="{00000000-0005-0000-0000-0000249C0000}"/>
    <cellStyle name="Normal 3 4 12 3 2 12 3" xfId="39982" xr:uid="{00000000-0005-0000-0000-0000259C0000}"/>
    <cellStyle name="Normal 3 4 12 3 2 13" xfId="39983" xr:uid="{00000000-0005-0000-0000-0000269C0000}"/>
    <cellStyle name="Normal 3 4 12 3 2 13 2" xfId="39984" xr:uid="{00000000-0005-0000-0000-0000279C0000}"/>
    <cellStyle name="Normal 3 4 12 3 2 13 3" xfId="39985" xr:uid="{00000000-0005-0000-0000-0000289C0000}"/>
    <cellStyle name="Normal 3 4 12 3 2 14" xfId="39986" xr:uid="{00000000-0005-0000-0000-0000299C0000}"/>
    <cellStyle name="Normal 3 4 12 3 2 14 2" xfId="39987" xr:uid="{00000000-0005-0000-0000-00002A9C0000}"/>
    <cellStyle name="Normal 3 4 12 3 2 14 3" xfId="39988" xr:uid="{00000000-0005-0000-0000-00002B9C0000}"/>
    <cellStyle name="Normal 3 4 12 3 2 15" xfId="39989" xr:uid="{00000000-0005-0000-0000-00002C9C0000}"/>
    <cellStyle name="Normal 3 4 12 3 2 16" xfId="39990" xr:uid="{00000000-0005-0000-0000-00002D9C0000}"/>
    <cellStyle name="Normal 3 4 12 3 2 2" xfId="39991" xr:uid="{00000000-0005-0000-0000-00002E9C0000}"/>
    <cellStyle name="Normal 3 4 12 3 2 2 2" xfId="39992" xr:uid="{00000000-0005-0000-0000-00002F9C0000}"/>
    <cellStyle name="Normal 3 4 12 3 2 2 3" xfId="39993" xr:uid="{00000000-0005-0000-0000-0000309C0000}"/>
    <cellStyle name="Normal 3 4 12 3 2 3" xfId="39994" xr:uid="{00000000-0005-0000-0000-0000319C0000}"/>
    <cellStyle name="Normal 3 4 12 3 2 3 2" xfId="39995" xr:uid="{00000000-0005-0000-0000-0000329C0000}"/>
    <cellStyle name="Normal 3 4 12 3 2 3 3" xfId="39996" xr:uid="{00000000-0005-0000-0000-0000339C0000}"/>
    <cellStyle name="Normal 3 4 12 3 2 4" xfId="39997" xr:uid="{00000000-0005-0000-0000-0000349C0000}"/>
    <cellStyle name="Normal 3 4 12 3 2 4 2" xfId="39998" xr:uid="{00000000-0005-0000-0000-0000359C0000}"/>
    <cellStyle name="Normal 3 4 12 3 2 4 3" xfId="39999" xr:uid="{00000000-0005-0000-0000-0000369C0000}"/>
    <cellStyle name="Normal 3 4 12 3 2 5" xfId="40000" xr:uid="{00000000-0005-0000-0000-0000379C0000}"/>
    <cellStyle name="Normal 3 4 12 3 2 5 2" xfId="40001" xr:uid="{00000000-0005-0000-0000-0000389C0000}"/>
    <cellStyle name="Normal 3 4 12 3 2 5 3" xfId="40002" xr:uid="{00000000-0005-0000-0000-0000399C0000}"/>
    <cellStyle name="Normal 3 4 12 3 2 6" xfId="40003" xr:uid="{00000000-0005-0000-0000-00003A9C0000}"/>
    <cellStyle name="Normal 3 4 12 3 2 6 2" xfId="40004" xr:uid="{00000000-0005-0000-0000-00003B9C0000}"/>
    <cellStyle name="Normal 3 4 12 3 2 6 3" xfId="40005" xr:uid="{00000000-0005-0000-0000-00003C9C0000}"/>
    <cellStyle name="Normal 3 4 12 3 2 7" xfId="40006" xr:uid="{00000000-0005-0000-0000-00003D9C0000}"/>
    <cellStyle name="Normal 3 4 12 3 2 7 2" xfId="40007" xr:uid="{00000000-0005-0000-0000-00003E9C0000}"/>
    <cellStyle name="Normal 3 4 12 3 2 7 3" xfId="40008" xr:uid="{00000000-0005-0000-0000-00003F9C0000}"/>
    <cellStyle name="Normal 3 4 12 3 2 8" xfId="40009" xr:uid="{00000000-0005-0000-0000-0000409C0000}"/>
    <cellStyle name="Normal 3 4 12 3 2 8 2" xfId="40010" xr:uid="{00000000-0005-0000-0000-0000419C0000}"/>
    <cellStyle name="Normal 3 4 12 3 2 8 3" xfId="40011" xr:uid="{00000000-0005-0000-0000-0000429C0000}"/>
    <cellStyle name="Normal 3 4 12 3 2 9" xfId="40012" xr:uid="{00000000-0005-0000-0000-0000439C0000}"/>
    <cellStyle name="Normal 3 4 12 3 2 9 2" xfId="40013" xr:uid="{00000000-0005-0000-0000-0000449C0000}"/>
    <cellStyle name="Normal 3 4 12 3 2 9 3" xfId="40014" xr:uid="{00000000-0005-0000-0000-0000459C0000}"/>
    <cellStyle name="Normal 3 4 12 3 3" xfId="40015" xr:uid="{00000000-0005-0000-0000-0000469C0000}"/>
    <cellStyle name="Normal 3 4 12 3 3 2" xfId="40016" xr:uid="{00000000-0005-0000-0000-0000479C0000}"/>
    <cellStyle name="Normal 3 4 12 3 3 3" xfId="40017" xr:uid="{00000000-0005-0000-0000-0000489C0000}"/>
    <cellStyle name="Normal 3 4 12 3 4" xfId="40018" xr:uid="{00000000-0005-0000-0000-0000499C0000}"/>
    <cellStyle name="Normal 3 4 12 3 4 2" xfId="40019" xr:uid="{00000000-0005-0000-0000-00004A9C0000}"/>
    <cellStyle name="Normal 3 4 12 3 4 3" xfId="40020" xr:uid="{00000000-0005-0000-0000-00004B9C0000}"/>
    <cellStyle name="Normal 3 4 12 3 5" xfId="40021" xr:uid="{00000000-0005-0000-0000-00004C9C0000}"/>
    <cellStyle name="Normal 3 4 12 3 5 2" xfId="40022" xr:uid="{00000000-0005-0000-0000-00004D9C0000}"/>
    <cellStyle name="Normal 3 4 12 3 5 3" xfId="40023" xr:uid="{00000000-0005-0000-0000-00004E9C0000}"/>
    <cellStyle name="Normal 3 4 12 3 6" xfId="40024" xr:uid="{00000000-0005-0000-0000-00004F9C0000}"/>
    <cellStyle name="Normal 3 4 12 3 6 2" xfId="40025" xr:uid="{00000000-0005-0000-0000-0000509C0000}"/>
    <cellStyle name="Normal 3 4 12 3 6 3" xfId="40026" xr:uid="{00000000-0005-0000-0000-0000519C0000}"/>
    <cellStyle name="Normal 3 4 12 3 7" xfId="40027" xr:uid="{00000000-0005-0000-0000-0000529C0000}"/>
    <cellStyle name="Normal 3 4 12 3 7 2" xfId="40028" xr:uid="{00000000-0005-0000-0000-0000539C0000}"/>
    <cellStyle name="Normal 3 4 12 3 7 3" xfId="40029" xr:uid="{00000000-0005-0000-0000-0000549C0000}"/>
    <cellStyle name="Normal 3 4 12 3 8" xfId="40030" xr:uid="{00000000-0005-0000-0000-0000559C0000}"/>
    <cellStyle name="Normal 3 4 12 3 8 2" xfId="40031" xr:uid="{00000000-0005-0000-0000-0000569C0000}"/>
    <cellStyle name="Normal 3 4 12 3 8 3" xfId="40032" xr:uid="{00000000-0005-0000-0000-0000579C0000}"/>
    <cellStyle name="Normal 3 4 12 3 9" xfId="40033" xr:uid="{00000000-0005-0000-0000-0000589C0000}"/>
    <cellStyle name="Normal 3 4 12 3 9 2" xfId="40034" xr:uid="{00000000-0005-0000-0000-0000599C0000}"/>
    <cellStyle name="Normal 3 4 12 3 9 3" xfId="40035" xr:uid="{00000000-0005-0000-0000-00005A9C0000}"/>
    <cellStyle name="Normal 3 4 12 4" xfId="40036" xr:uid="{00000000-0005-0000-0000-00005B9C0000}"/>
    <cellStyle name="Normal 3 4 12 4 10" xfId="40037" xr:uid="{00000000-0005-0000-0000-00005C9C0000}"/>
    <cellStyle name="Normal 3 4 12 4 10 2" xfId="40038" xr:uid="{00000000-0005-0000-0000-00005D9C0000}"/>
    <cellStyle name="Normal 3 4 12 4 10 3" xfId="40039" xr:uid="{00000000-0005-0000-0000-00005E9C0000}"/>
    <cellStyle name="Normal 3 4 12 4 11" xfId="40040" xr:uid="{00000000-0005-0000-0000-00005F9C0000}"/>
    <cellStyle name="Normal 3 4 12 4 11 2" xfId="40041" xr:uid="{00000000-0005-0000-0000-0000609C0000}"/>
    <cellStyle name="Normal 3 4 12 4 11 3" xfId="40042" xr:uid="{00000000-0005-0000-0000-0000619C0000}"/>
    <cellStyle name="Normal 3 4 12 4 12" xfId="40043" xr:uid="{00000000-0005-0000-0000-0000629C0000}"/>
    <cellStyle name="Normal 3 4 12 4 12 2" xfId="40044" xr:uid="{00000000-0005-0000-0000-0000639C0000}"/>
    <cellStyle name="Normal 3 4 12 4 12 3" xfId="40045" xr:uid="{00000000-0005-0000-0000-0000649C0000}"/>
    <cellStyle name="Normal 3 4 12 4 13" xfId="40046" xr:uid="{00000000-0005-0000-0000-0000659C0000}"/>
    <cellStyle name="Normal 3 4 12 4 13 2" xfId="40047" xr:uid="{00000000-0005-0000-0000-0000669C0000}"/>
    <cellStyle name="Normal 3 4 12 4 13 3" xfId="40048" xr:uid="{00000000-0005-0000-0000-0000679C0000}"/>
    <cellStyle name="Normal 3 4 12 4 14" xfId="40049" xr:uid="{00000000-0005-0000-0000-0000689C0000}"/>
    <cellStyle name="Normal 3 4 12 4 14 2" xfId="40050" xr:uid="{00000000-0005-0000-0000-0000699C0000}"/>
    <cellStyle name="Normal 3 4 12 4 14 3" xfId="40051" xr:uid="{00000000-0005-0000-0000-00006A9C0000}"/>
    <cellStyle name="Normal 3 4 12 4 15" xfId="40052" xr:uid="{00000000-0005-0000-0000-00006B9C0000}"/>
    <cellStyle name="Normal 3 4 12 4 15 2" xfId="40053" xr:uid="{00000000-0005-0000-0000-00006C9C0000}"/>
    <cellStyle name="Normal 3 4 12 4 15 3" xfId="40054" xr:uid="{00000000-0005-0000-0000-00006D9C0000}"/>
    <cellStyle name="Normal 3 4 12 4 16" xfId="40055" xr:uid="{00000000-0005-0000-0000-00006E9C0000}"/>
    <cellStyle name="Normal 3 4 12 4 17" xfId="40056" xr:uid="{00000000-0005-0000-0000-00006F9C0000}"/>
    <cellStyle name="Normal 3 4 12 4 2" xfId="40057" xr:uid="{00000000-0005-0000-0000-0000709C0000}"/>
    <cellStyle name="Normal 3 4 12 4 2 10" xfId="40058" xr:uid="{00000000-0005-0000-0000-0000719C0000}"/>
    <cellStyle name="Normal 3 4 12 4 2 10 2" xfId="40059" xr:uid="{00000000-0005-0000-0000-0000729C0000}"/>
    <cellStyle name="Normal 3 4 12 4 2 10 3" xfId="40060" xr:uid="{00000000-0005-0000-0000-0000739C0000}"/>
    <cellStyle name="Normal 3 4 12 4 2 11" xfId="40061" xr:uid="{00000000-0005-0000-0000-0000749C0000}"/>
    <cellStyle name="Normal 3 4 12 4 2 11 2" xfId="40062" xr:uid="{00000000-0005-0000-0000-0000759C0000}"/>
    <cellStyle name="Normal 3 4 12 4 2 11 3" xfId="40063" xr:uid="{00000000-0005-0000-0000-0000769C0000}"/>
    <cellStyle name="Normal 3 4 12 4 2 12" xfId="40064" xr:uid="{00000000-0005-0000-0000-0000779C0000}"/>
    <cellStyle name="Normal 3 4 12 4 2 12 2" xfId="40065" xr:uid="{00000000-0005-0000-0000-0000789C0000}"/>
    <cellStyle name="Normal 3 4 12 4 2 12 3" xfId="40066" xr:uid="{00000000-0005-0000-0000-0000799C0000}"/>
    <cellStyle name="Normal 3 4 12 4 2 13" xfId="40067" xr:uid="{00000000-0005-0000-0000-00007A9C0000}"/>
    <cellStyle name="Normal 3 4 12 4 2 13 2" xfId="40068" xr:uid="{00000000-0005-0000-0000-00007B9C0000}"/>
    <cellStyle name="Normal 3 4 12 4 2 13 3" xfId="40069" xr:uid="{00000000-0005-0000-0000-00007C9C0000}"/>
    <cellStyle name="Normal 3 4 12 4 2 14" xfId="40070" xr:uid="{00000000-0005-0000-0000-00007D9C0000}"/>
    <cellStyle name="Normal 3 4 12 4 2 14 2" xfId="40071" xr:uid="{00000000-0005-0000-0000-00007E9C0000}"/>
    <cellStyle name="Normal 3 4 12 4 2 14 3" xfId="40072" xr:uid="{00000000-0005-0000-0000-00007F9C0000}"/>
    <cellStyle name="Normal 3 4 12 4 2 15" xfId="40073" xr:uid="{00000000-0005-0000-0000-0000809C0000}"/>
    <cellStyle name="Normal 3 4 12 4 2 16" xfId="40074" xr:uid="{00000000-0005-0000-0000-0000819C0000}"/>
    <cellStyle name="Normal 3 4 12 4 2 2" xfId="40075" xr:uid="{00000000-0005-0000-0000-0000829C0000}"/>
    <cellStyle name="Normal 3 4 12 4 2 2 2" xfId="40076" xr:uid="{00000000-0005-0000-0000-0000839C0000}"/>
    <cellStyle name="Normal 3 4 12 4 2 2 3" xfId="40077" xr:uid="{00000000-0005-0000-0000-0000849C0000}"/>
    <cellStyle name="Normal 3 4 12 4 2 3" xfId="40078" xr:uid="{00000000-0005-0000-0000-0000859C0000}"/>
    <cellStyle name="Normal 3 4 12 4 2 3 2" xfId="40079" xr:uid="{00000000-0005-0000-0000-0000869C0000}"/>
    <cellStyle name="Normal 3 4 12 4 2 3 3" xfId="40080" xr:uid="{00000000-0005-0000-0000-0000879C0000}"/>
    <cellStyle name="Normal 3 4 12 4 2 4" xfId="40081" xr:uid="{00000000-0005-0000-0000-0000889C0000}"/>
    <cellStyle name="Normal 3 4 12 4 2 4 2" xfId="40082" xr:uid="{00000000-0005-0000-0000-0000899C0000}"/>
    <cellStyle name="Normal 3 4 12 4 2 4 3" xfId="40083" xr:uid="{00000000-0005-0000-0000-00008A9C0000}"/>
    <cellStyle name="Normal 3 4 12 4 2 5" xfId="40084" xr:uid="{00000000-0005-0000-0000-00008B9C0000}"/>
    <cellStyle name="Normal 3 4 12 4 2 5 2" xfId="40085" xr:uid="{00000000-0005-0000-0000-00008C9C0000}"/>
    <cellStyle name="Normal 3 4 12 4 2 5 3" xfId="40086" xr:uid="{00000000-0005-0000-0000-00008D9C0000}"/>
    <cellStyle name="Normal 3 4 12 4 2 6" xfId="40087" xr:uid="{00000000-0005-0000-0000-00008E9C0000}"/>
    <cellStyle name="Normal 3 4 12 4 2 6 2" xfId="40088" xr:uid="{00000000-0005-0000-0000-00008F9C0000}"/>
    <cellStyle name="Normal 3 4 12 4 2 6 3" xfId="40089" xr:uid="{00000000-0005-0000-0000-0000909C0000}"/>
    <cellStyle name="Normal 3 4 12 4 2 7" xfId="40090" xr:uid="{00000000-0005-0000-0000-0000919C0000}"/>
    <cellStyle name="Normal 3 4 12 4 2 7 2" xfId="40091" xr:uid="{00000000-0005-0000-0000-0000929C0000}"/>
    <cellStyle name="Normal 3 4 12 4 2 7 3" xfId="40092" xr:uid="{00000000-0005-0000-0000-0000939C0000}"/>
    <cellStyle name="Normal 3 4 12 4 2 8" xfId="40093" xr:uid="{00000000-0005-0000-0000-0000949C0000}"/>
    <cellStyle name="Normal 3 4 12 4 2 8 2" xfId="40094" xr:uid="{00000000-0005-0000-0000-0000959C0000}"/>
    <cellStyle name="Normal 3 4 12 4 2 8 3" xfId="40095" xr:uid="{00000000-0005-0000-0000-0000969C0000}"/>
    <cellStyle name="Normal 3 4 12 4 2 9" xfId="40096" xr:uid="{00000000-0005-0000-0000-0000979C0000}"/>
    <cellStyle name="Normal 3 4 12 4 2 9 2" xfId="40097" xr:uid="{00000000-0005-0000-0000-0000989C0000}"/>
    <cellStyle name="Normal 3 4 12 4 2 9 3" xfId="40098" xr:uid="{00000000-0005-0000-0000-0000999C0000}"/>
    <cellStyle name="Normal 3 4 12 4 3" xfId="40099" xr:uid="{00000000-0005-0000-0000-00009A9C0000}"/>
    <cellStyle name="Normal 3 4 12 4 3 2" xfId="40100" xr:uid="{00000000-0005-0000-0000-00009B9C0000}"/>
    <cellStyle name="Normal 3 4 12 4 3 3" xfId="40101" xr:uid="{00000000-0005-0000-0000-00009C9C0000}"/>
    <cellStyle name="Normal 3 4 12 4 4" xfId="40102" xr:uid="{00000000-0005-0000-0000-00009D9C0000}"/>
    <cellStyle name="Normal 3 4 12 4 4 2" xfId="40103" xr:uid="{00000000-0005-0000-0000-00009E9C0000}"/>
    <cellStyle name="Normal 3 4 12 4 4 3" xfId="40104" xr:uid="{00000000-0005-0000-0000-00009F9C0000}"/>
    <cellStyle name="Normal 3 4 12 4 5" xfId="40105" xr:uid="{00000000-0005-0000-0000-0000A09C0000}"/>
    <cellStyle name="Normal 3 4 12 4 5 2" xfId="40106" xr:uid="{00000000-0005-0000-0000-0000A19C0000}"/>
    <cellStyle name="Normal 3 4 12 4 5 3" xfId="40107" xr:uid="{00000000-0005-0000-0000-0000A29C0000}"/>
    <cellStyle name="Normal 3 4 12 4 6" xfId="40108" xr:uid="{00000000-0005-0000-0000-0000A39C0000}"/>
    <cellStyle name="Normal 3 4 12 4 6 2" xfId="40109" xr:uid="{00000000-0005-0000-0000-0000A49C0000}"/>
    <cellStyle name="Normal 3 4 12 4 6 3" xfId="40110" xr:uid="{00000000-0005-0000-0000-0000A59C0000}"/>
    <cellStyle name="Normal 3 4 12 4 7" xfId="40111" xr:uid="{00000000-0005-0000-0000-0000A69C0000}"/>
    <cellStyle name="Normal 3 4 12 4 7 2" xfId="40112" xr:uid="{00000000-0005-0000-0000-0000A79C0000}"/>
    <cellStyle name="Normal 3 4 12 4 7 3" xfId="40113" xr:uid="{00000000-0005-0000-0000-0000A89C0000}"/>
    <cellStyle name="Normal 3 4 12 4 8" xfId="40114" xr:uid="{00000000-0005-0000-0000-0000A99C0000}"/>
    <cellStyle name="Normal 3 4 12 4 8 2" xfId="40115" xr:uid="{00000000-0005-0000-0000-0000AA9C0000}"/>
    <cellStyle name="Normal 3 4 12 4 8 3" xfId="40116" xr:uid="{00000000-0005-0000-0000-0000AB9C0000}"/>
    <cellStyle name="Normal 3 4 12 4 9" xfId="40117" xr:uid="{00000000-0005-0000-0000-0000AC9C0000}"/>
    <cellStyle name="Normal 3 4 12 4 9 2" xfId="40118" xr:uid="{00000000-0005-0000-0000-0000AD9C0000}"/>
    <cellStyle name="Normal 3 4 12 4 9 3" xfId="40119" xr:uid="{00000000-0005-0000-0000-0000AE9C0000}"/>
    <cellStyle name="Normal 3 4 12 5" xfId="40120" xr:uid="{00000000-0005-0000-0000-0000AF9C0000}"/>
    <cellStyle name="Normal 3 4 12 5 10" xfId="40121" xr:uid="{00000000-0005-0000-0000-0000B09C0000}"/>
    <cellStyle name="Normal 3 4 12 5 10 2" xfId="40122" xr:uid="{00000000-0005-0000-0000-0000B19C0000}"/>
    <cellStyle name="Normal 3 4 12 5 10 3" xfId="40123" xr:uid="{00000000-0005-0000-0000-0000B29C0000}"/>
    <cellStyle name="Normal 3 4 12 5 11" xfId="40124" xr:uid="{00000000-0005-0000-0000-0000B39C0000}"/>
    <cellStyle name="Normal 3 4 12 5 11 2" xfId="40125" xr:uid="{00000000-0005-0000-0000-0000B49C0000}"/>
    <cellStyle name="Normal 3 4 12 5 11 3" xfId="40126" xr:uid="{00000000-0005-0000-0000-0000B59C0000}"/>
    <cellStyle name="Normal 3 4 12 5 12" xfId="40127" xr:uid="{00000000-0005-0000-0000-0000B69C0000}"/>
    <cellStyle name="Normal 3 4 12 5 12 2" xfId="40128" xr:uid="{00000000-0005-0000-0000-0000B79C0000}"/>
    <cellStyle name="Normal 3 4 12 5 12 3" xfId="40129" xr:uid="{00000000-0005-0000-0000-0000B89C0000}"/>
    <cellStyle name="Normal 3 4 12 5 13" xfId="40130" xr:uid="{00000000-0005-0000-0000-0000B99C0000}"/>
    <cellStyle name="Normal 3 4 12 5 13 2" xfId="40131" xr:uid="{00000000-0005-0000-0000-0000BA9C0000}"/>
    <cellStyle name="Normal 3 4 12 5 13 3" xfId="40132" xr:uid="{00000000-0005-0000-0000-0000BB9C0000}"/>
    <cellStyle name="Normal 3 4 12 5 14" xfId="40133" xr:uid="{00000000-0005-0000-0000-0000BC9C0000}"/>
    <cellStyle name="Normal 3 4 12 5 14 2" xfId="40134" xr:uid="{00000000-0005-0000-0000-0000BD9C0000}"/>
    <cellStyle name="Normal 3 4 12 5 14 3" xfId="40135" xr:uid="{00000000-0005-0000-0000-0000BE9C0000}"/>
    <cellStyle name="Normal 3 4 12 5 15" xfId="40136" xr:uid="{00000000-0005-0000-0000-0000BF9C0000}"/>
    <cellStyle name="Normal 3 4 12 5 16" xfId="40137" xr:uid="{00000000-0005-0000-0000-0000C09C0000}"/>
    <cellStyle name="Normal 3 4 12 5 2" xfId="40138" xr:uid="{00000000-0005-0000-0000-0000C19C0000}"/>
    <cellStyle name="Normal 3 4 12 5 2 2" xfId="40139" xr:uid="{00000000-0005-0000-0000-0000C29C0000}"/>
    <cellStyle name="Normal 3 4 12 5 2 3" xfId="40140" xr:uid="{00000000-0005-0000-0000-0000C39C0000}"/>
    <cellStyle name="Normal 3 4 12 5 3" xfId="40141" xr:uid="{00000000-0005-0000-0000-0000C49C0000}"/>
    <cellStyle name="Normal 3 4 12 5 3 2" xfId="40142" xr:uid="{00000000-0005-0000-0000-0000C59C0000}"/>
    <cellStyle name="Normal 3 4 12 5 3 3" xfId="40143" xr:uid="{00000000-0005-0000-0000-0000C69C0000}"/>
    <cellStyle name="Normal 3 4 12 5 4" xfId="40144" xr:uid="{00000000-0005-0000-0000-0000C79C0000}"/>
    <cellStyle name="Normal 3 4 12 5 4 2" xfId="40145" xr:uid="{00000000-0005-0000-0000-0000C89C0000}"/>
    <cellStyle name="Normal 3 4 12 5 4 3" xfId="40146" xr:uid="{00000000-0005-0000-0000-0000C99C0000}"/>
    <cellStyle name="Normal 3 4 12 5 5" xfId="40147" xr:uid="{00000000-0005-0000-0000-0000CA9C0000}"/>
    <cellStyle name="Normal 3 4 12 5 5 2" xfId="40148" xr:uid="{00000000-0005-0000-0000-0000CB9C0000}"/>
    <cellStyle name="Normal 3 4 12 5 5 3" xfId="40149" xr:uid="{00000000-0005-0000-0000-0000CC9C0000}"/>
    <cellStyle name="Normal 3 4 12 5 6" xfId="40150" xr:uid="{00000000-0005-0000-0000-0000CD9C0000}"/>
    <cellStyle name="Normal 3 4 12 5 6 2" xfId="40151" xr:uid="{00000000-0005-0000-0000-0000CE9C0000}"/>
    <cellStyle name="Normal 3 4 12 5 6 3" xfId="40152" xr:uid="{00000000-0005-0000-0000-0000CF9C0000}"/>
    <cellStyle name="Normal 3 4 12 5 7" xfId="40153" xr:uid="{00000000-0005-0000-0000-0000D09C0000}"/>
    <cellStyle name="Normal 3 4 12 5 7 2" xfId="40154" xr:uid="{00000000-0005-0000-0000-0000D19C0000}"/>
    <cellStyle name="Normal 3 4 12 5 7 3" xfId="40155" xr:uid="{00000000-0005-0000-0000-0000D29C0000}"/>
    <cellStyle name="Normal 3 4 12 5 8" xfId="40156" xr:uid="{00000000-0005-0000-0000-0000D39C0000}"/>
    <cellStyle name="Normal 3 4 12 5 8 2" xfId="40157" xr:uid="{00000000-0005-0000-0000-0000D49C0000}"/>
    <cellStyle name="Normal 3 4 12 5 8 3" xfId="40158" xr:uid="{00000000-0005-0000-0000-0000D59C0000}"/>
    <cellStyle name="Normal 3 4 12 5 9" xfId="40159" xr:uid="{00000000-0005-0000-0000-0000D69C0000}"/>
    <cellStyle name="Normal 3 4 12 5 9 2" xfId="40160" xr:uid="{00000000-0005-0000-0000-0000D79C0000}"/>
    <cellStyle name="Normal 3 4 12 5 9 3" xfId="40161" xr:uid="{00000000-0005-0000-0000-0000D89C0000}"/>
    <cellStyle name="Normal 3 4 12 6" xfId="40162" xr:uid="{00000000-0005-0000-0000-0000D99C0000}"/>
    <cellStyle name="Normal 3 4 12 6 10" xfId="40163" xr:uid="{00000000-0005-0000-0000-0000DA9C0000}"/>
    <cellStyle name="Normal 3 4 12 6 10 2" xfId="40164" xr:uid="{00000000-0005-0000-0000-0000DB9C0000}"/>
    <cellStyle name="Normal 3 4 12 6 10 3" xfId="40165" xr:uid="{00000000-0005-0000-0000-0000DC9C0000}"/>
    <cellStyle name="Normal 3 4 12 6 11" xfId="40166" xr:uid="{00000000-0005-0000-0000-0000DD9C0000}"/>
    <cellStyle name="Normal 3 4 12 6 11 2" xfId="40167" xr:uid="{00000000-0005-0000-0000-0000DE9C0000}"/>
    <cellStyle name="Normal 3 4 12 6 11 3" xfId="40168" xr:uid="{00000000-0005-0000-0000-0000DF9C0000}"/>
    <cellStyle name="Normal 3 4 12 6 12" xfId="40169" xr:uid="{00000000-0005-0000-0000-0000E09C0000}"/>
    <cellStyle name="Normal 3 4 12 6 12 2" xfId="40170" xr:uid="{00000000-0005-0000-0000-0000E19C0000}"/>
    <cellStyle name="Normal 3 4 12 6 12 3" xfId="40171" xr:uid="{00000000-0005-0000-0000-0000E29C0000}"/>
    <cellStyle name="Normal 3 4 12 6 13" xfId="40172" xr:uid="{00000000-0005-0000-0000-0000E39C0000}"/>
    <cellStyle name="Normal 3 4 12 6 13 2" xfId="40173" xr:uid="{00000000-0005-0000-0000-0000E49C0000}"/>
    <cellStyle name="Normal 3 4 12 6 13 3" xfId="40174" xr:uid="{00000000-0005-0000-0000-0000E59C0000}"/>
    <cellStyle name="Normal 3 4 12 6 14" xfId="40175" xr:uid="{00000000-0005-0000-0000-0000E69C0000}"/>
    <cellStyle name="Normal 3 4 12 6 14 2" xfId="40176" xr:uid="{00000000-0005-0000-0000-0000E79C0000}"/>
    <cellStyle name="Normal 3 4 12 6 14 3" xfId="40177" xr:uid="{00000000-0005-0000-0000-0000E89C0000}"/>
    <cellStyle name="Normal 3 4 12 6 15" xfId="40178" xr:uid="{00000000-0005-0000-0000-0000E99C0000}"/>
    <cellStyle name="Normal 3 4 12 6 16" xfId="40179" xr:uid="{00000000-0005-0000-0000-0000EA9C0000}"/>
    <cellStyle name="Normal 3 4 12 6 2" xfId="40180" xr:uid="{00000000-0005-0000-0000-0000EB9C0000}"/>
    <cellStyle name="Normal 3 4 12 6 2 2" xfId="40181" xr:uid="{00000000-0005-0000-0000-0000EC9C0000}"/>
    <cellStyle name="Normal 3 4 12 6 2 3" xfId="40182" xr:uid="{00000000-0005-0000-0000-0000ED9C0000}"/>
    <cellStyle name="Normal 3 4 12 6 3" xfId="40183" xr:uid="{00000000-0005-0000-0000-0000EE9C0000}"/>
    <cellStyle name="Normal 3 4 12 6 3 2" xfId="40184" xr:uid="{00000000-0005-0000-0000-0000EF9C0000}"/>
    <cellStyle name="Normal 3 4 12 6 3 3" xfId="40185" xr:uid="{00000000-0005-0000-0000-0000F09C0000}"/>
    <cellStyle name="Normal 3 4 12 6 4" xfId="40186" xr:uid="{00000000-0005-0000-0000-0000F19C0000}"/>
    <cellStyle name="Normal 3 4 12 6 4 2" xfId="40187" xr:uid="{00000000-0005-0000-0000-0000F29C0000}"/>
    <cellStyle name="Normal 3 4 12 6 4 3" xfId="40188" xr:uid="{00000000-0005-0000-0000-0000F39C0000}"/>
    <cellStyle name="Normal 3 4 12 6 5" xfId="40189" xr:uid="{00000000-0005-0000-0000-0000F49C0000}"/>
    <cellStyle name="Normal 3 4 12 6 5 2" xfId="40190" xr:uid="{00000000-0005-0000-0000-0000F59C0000}"/>
    <cellStyle name="Normal 3 4 12 6 5 3" xfId="40191" xr:uid="{00000000-0005-0000-0000-0000F69C0000}"/>
    <cellStyle name="Normal 3 4 12 6 6" xfId="40192" xr:uid="{00000000-0005-0000-0000-0000F79C0000}"/>
    <cellStyle name="Normal 3 4 12 6 6 2" xfId="40193" xr:uid="{00000000-0005-0000-0000-0000F89C0000}"/>
    <cellStyle name="Normal 3 4 12 6 6 3" xfId="40194" xr:uid="{00000000-0005-0000-0000-0000F99C0000}"/>
    <cellStyle name="Normal 3 4 12 6 7" xfId="40195" xr:uid="{00000000-0005-0000-0000-0000FA9C0000}"/>
    <cellStyle name="Normal 3 4 12 6 7 2" xfId="40196" xr:uid="{00000000-0005-0000-0000-0000FB9C0000}"/>
    <cellStyle name="Normal 3 4 12 6 7 3" xfId="40197" xr:uid="{00000000-0005-0000-0000-0000FC9C0000}"/>
    <cellStyle name="Normal 3 4 12 6 8" xfId="40198" xr:uid="{00000000-0005-0000-0000-0000FD9C0000}"/>
    <cellStyle name="Normal 3 4 12 6 8 2" xfId="40199" xr:uid="{00000000-0005-0000-0000-0000FE9C0000}"/>
    <cellStyle name="Normal 3 4 12 6 8 3" xfId="40200" xr:uid="{00000000-0005-0000-0000-0000FF9C0000}"/>
    <cellStyle name="Normal 3 4 12 6 9" xfId="40201" xr:uid="{00000000-0005-0000-0000-0000009D0000}"/>
    <cellStyle name="Normal 3 4 12 6 9 2" xfId="40202" xr:uid="{00000000-0005-0000-0000-0000019D0000}"/>
    <cellStyle name="Normal 3 4 12 6 9 3" xfId="40203" xr:uid="{00000000-0005-0000-0000-0000029D0000}"/>
    <cellStyle name="Normal 3 4 12 7" xfId="40204" xr:uid="{00000000-0005-0000-0000-0000039D0000}"/>
    <cellStyle name="Normal 3 4 12 7 10" xfId="40205" xr:uid="{00000000-0005-0000-0000-0000049D0000}"/>
    <cellStyle name="Normal 3 4 12 7 10 2" xfId="40206" xr:uid="{00000000-0005-0000-0000-0000059D0000}"/>
    <cellStyle name="Normal 3 4 12 7 10 3" xfId="40207" xr:uid="{00000000-0005-0000-0000-0000069D0000}"/>
    <cellStyle name="Normal 3 4 12 7 11" xfId="40208" xr:uid="{00000000-0005-0000-0000-0000079D0000}"/>
    <cellStyle name="Normal 3 4 12 7 11 2" xfId="40209" xr:uid="{00000000-0005-0000-0000-0000089D0000}"/>
    <cellStyle name="Normal 3 4 12 7 11 3" xfId="40210" xr:uid="{00000000-0005-0000-0000-0000099D0000}"/>
    <cellStyle name="Normal 3 4 12 7 12" xfId="40211" xr:uid="{00000000-0005-0000-0000-00000A9D0000}"/>
    <cellStyle name="Normal 3 4 12 7 12 2" xfId="40212" xr:uid="{00000000-0005-0000-0000-00000B9D0000}"/>
    <cellStyle name="Normal 3 4 12 7 12 3" xfId="40213" xr:uid="{00000000-0005-0000-0000-00000C9D0000}"/>
    <cellStyle name="Normal 3 4 12 7 13" xfId="40214" xr:uid="{00000000-0005-0000-0000-00000D9D0000}"/>
    <cellStyle name="Normal 3 4 12 7 13 2" xfId="40215" xr:uid="{00000000-0005-0000-0000-00000E9D0000}"/>
    <cellStyle name="Normal 3 4 12 7 13 3" xfId="40216" xr:uid="{00000000-0005-0000-0000-00000F9D0000}"/>
    <cellStyle name="Normal 3 4 12 7 14" xfId="40217" xr:uid="{00000000-0005-0000-0000-0000109D0000}"/>
    <cellStyle name="Normal 3 4 12 7 14 2" xfId="40218" xr:uid="{00000000-0005-0000-0000-0000119D0000}"/>
    <cellStyle name="Normal 3 4 12 7 14 3" xfId="40219" xr:uid="{00000000-0005-0000-0000-0000129D0000}"/>
    <cellStyle name="Normal 3 4 12 7 15" xfId="40220" xr:uid="{00000000-0005-0000-0000-0000139D0000}"/>
    <cellStyle name="Normal 3 4 12 7 16" xfId="40221" xr:uid="{00000000-0005-0000-0000-0000149D0000}"/>
    <cellStyle name="Normal 3 4 12 7 2" xfId="40222" xr:uid="{00000000-0005-0000-0000-0000159D0000}"/>
    <cellStyle name="Normal 3 4 12 7 2 2" xfId="40223" xr:uid="{00000000-0005-0000-0000-0000169D0000}"/>
    <cellStyle name="Normal 3 4 12 7 2 3" xfId="40224" xr:uid="{00000000-0005-0000-0000-0000179D0000}"/>
    <cellStyle name="Normal 3 4 12 7 3" xfId="40225" xr:uid="{00000000-0005-0000-0000-0000189D0000}"/>
    <cellStyle name="Normal 3 4 12 7 3 2" xfId="40226" xr:uid="{00000000-0005-0000-0000-0000199D0000}"/>
    <cellStyle name="Normal 3 4 12 7 3 3" xfId="40227" xr:uid="{00000000-0005-0000-0000-00001A9D0000}"/>
    <cellStyle name="Normal 3 4 12 7 4" xfId="40228" xr:uid="{00000000-0005-0000-0000-00001B9D0000}"/>
    <cellStyle name="Normal 3 4 12 7 4 2" xfId="40229" xr:uid="{00000000-0005-0000-0000-00001C9D0000}"/>
    <cellStyle name="Normal 3 4 12 7 4 3" xfId="40230" xr:uid="{00000000-0005-0000-0000-00001D9D0000}"/>
    <cellStyle name="Normal 3 4 12 7 5" xfId="40231" xr:uid="{00000000-0005-0000-0000-00001E9D0000}"/>
    <cellStyle name="Normal 3 4 12 7 5 2" xfId="40232" xr:uid="{00000000-0005-0000-0000-00001F9D0000}"/>
    <cellStyle name="Normal 3 4 12 7 5 3" xfId="40233" xr:uid="{00000000-0005-0000-0000-0000209D0000}"/>
    <cellStyle name="Normal 3 4 12 7 6" xfId="40234" xr:uid="{00000000-0005-0000-0000-0000219D0000}"/>
    <cellStyle name="Normal 3 4 12 7 6 2" xfId="40235" xr:uid="{00000000-0005-0000-0000-0000229D0000}"/>
    <cellStyle name="Normal 3 4 12 7 6 3" xfId="40236" xr:uid="{00000000-0005-0000-0000-0000239D0000}"/>
    <cellStyle name="Normal 3 4 12 7 7" xfId="40237" xr:uid="{00000000-0005-0000-0000-0000249D0000}"/>
    <cellStyle name="Normal 3 4 12 7 7 2" xfId="40238" xr:uid="{00000000-0005-0000-0000-0000259D0000}"/>
    <cellStyle name="Normal 3 4 12 7 7 3" xfId="40239" xr:uid="{00000000-0005-0000-0000-0000269D0000}"/>
    <cellStyle name="Normal 3 4 12 7 8" xfId="40240" xr:uid="{00000000-0005-0000-0000-0000279D0000}"/>
    <cellStyle name="Normal 3 4 12 7 8 2" xfId="40241" xr:uid="{00000000-0005-0000-0000-0000289D0000}"/>
    <cellStyle name="Normal 3 4 12 7 8 3" xfId="40242" xr:uid="{00000000-0005-0000-0000-0000299D0000}"/>
    <cellStyle name="Normal 3 4 12 7 9" xfId="40243" xr:uid="{00000000-0005-0000-0000-00002A9D0000}"/>
    <cellStyle name="Normal 3 4 12 7 9 2" xfId="40244" xr:uid="{00000000-0005-0000-0000-00002B9D0000}"/>
    <cellStyle name="Normal 3 4 12 7 9 3" xfId="40245" xr:uid="{00000000-0005-0000-0000-00002C9D0000}"/>
    <cellStyle name="Normal 3 4 12 8" xfId="40246" xr:uid="{00000000-0005-0000-0000-00002D9D0000}"/>
    <cellStyle name="Normal 3 4 12 8 10" xfId="40247" xr:uid="{00000000-0005-0000-0000-00002E9D0000}"/>
    <cellStyle name="Normal 3 4 12 8 10 2" xfId="40248" xr:uid="{00000000-0005-0000-0000-00002F9D0000}"/>
    <cellStyle name="Normal 3 4 12 8 10 3" xfId="40249" xr:uid="{00000000-0005-0000-0000-0000309D0000}"/>
    <cellStyle name="Normal 3 4 12 8 11" xfId="40250" xr:uid="{00000000-0005-0000-0000-0000319D0000}"/>
    <cellStyle name="Normal 3 4 12 8 11 2" xfId="40251" xr:uid="{00000000-0005-0000-0000-0000329D0000}"/>
    <cellStyle name="Normal 3 4 12 8 11 3" xfId="40252" xr:uid="{00000000-0005-0000-0000-0000339D0000}"/>
    <cellStyle name="Normal 3 4 12 8 12" xfId="40253" xr:uid="{00000000-0005-0000-0000-0000349D0000}"/>
    <cellStyle name="Normal 3 4 12 8 12 2" xfId="40254" xr:uid="{00000000-0005-0000-0000-0000359D0000}"/>
    <cellStyle name="Normal 3 4 12 8 12 3" xfId="40255" xr:uid="{00000000-0005-0000-0000-0000369D0000}"/>
    <cellStyle name="Normal 3 4 12 8 13" xfId="40256" xr:uid="{00000000-0005-0000-0000-0000379D0000}"/>
    <cellStyle name="Normal 3 4 12 8 13 2" xfId="40257" xr:uid="{00000000-0005-0000-0000-0000389D0000}"/>
    <cellStyle name="Normal 3 4 12 8 13 3" xfId="40258" xr:uid="{00000000-0005-0000-0000-0000399D0000}"/>
    <cellStyle name="Normal 3 4 12 8 14" xfId="40259" xr:uid="{00000000-0005-0000-0000-00003A9D0000}"/>
    <cellStyle name="Normal 3 4 12 8 14 2" xfId="40260" xr:uid="{00000000-0005-0000-0000-00003B9D0000}"/>
    <cellStyle name="Normal 3 4 12 8 14 3" xfId="40261" xr:uid="{00000000-0005-0000-0000-00003C9D0000}"/>
    <cellStyle name="Normal 3 4 12 8 15" xfId="40262" xr:uid="{00000000-0005-0000-0000-00003D9D0000}"/>
    <cellStyle name="Normal 3 4 12 8 16" xfId="40263" xr:uid="{00000000-0005-0000-0000-00003E9D0000}"/>
    <cellStyle name="Normal 3 4 12 8 2" xfId="40264" xr:uid="{00000000-0005-0000-0000-00003F9D0000}"/>
    <cellStyle name="Normal 3 4 12 8 2 2" xfId="40265" xr:uid="{00000000-0005-0000-0000-0000409D0000}"/>
    <cellStyle name="Normal 3 4 12 8 2 3" xfId="40266" xr:uid="{00000000-0005-0000-0000-0000419D0000}"/>
    <cellStyle name="Normal 3 4 12 8 3" xfId="40267" xr:uid="{00000000-0005-0000-0000-0000429D0000}"/>
    <cellStyle name="Normal 3 4 12 8 3 2" xfId="40268" xr:uid="{00000000-0005-0000-0000-0000439D0000}"/>
    <cellStyle name="Normal 3 4 12 8 3 3" xfId="40269" xr:uid="{00000000-0005-0000-0000-0000449D0000}"/>
    <cellStyle name="Normal 3 4 12 8 4" xfId="40270" xr:uid="{00000000-0005-0000-0000-0000459D0000}"/>
    <cellStyle name="Normal 3 4 12 8 4 2" xfId="40271" xr:uid="{00000000-0005-0000-0000-0000469D0000}"/>
    <cellStyle name="Normal 3 4 12 8 4 3" xfId="40272" xr:uid="{00000000-0005-0000-0000-0000479D0000}"/>
    <cellStyle name="Normal 3 4 12 8 5" xfId="40273" xr:uid="{00000000-0005-0000-0000-0000489D0000}"/>
    <cellStyle name="Normal 3 4 12 8 5 2" xfId="40274" xr:uid="{00000000-0005-0000-0000-0000499D0000}"/>
    <cellStyle name="Normal 3 4 12 8 5 3" xfId="40275" xr:uid="{00000000-0005-0000-0000-00004A9D0000}"/>
    <cellStyle name="Normal 3 4 12 8 6" xfId="40276" xr:uid="{00000000-0005-0000-0000-00004B9D0000}"/>
    <cellStyle name="Normal 3 4 12 8 6 2" xfId="40277" xr:uid="{00000000-0005-0000-0000-00004C9D0000}"/>
    <cellStyle name="Normal 3 4 12 8 6 3" xfId="40278" xr:uid="{00000000-0005-0000-0000-00004D9D0000}"/>
    <cellStyle name="Normal 3 4 12 8 7" xfId="40279" xr:uid="{00000000-0005-0000-0000-00004E9D0000}"/>
    <cellStyle name="Normal 3 4 12 8 7 2" xfId="40280" xr:uid="{00000000-0005-0000-0000-00004F9D0000}"/>
    <cellStyle name="Normal 3 4 12 8 7 3" xfId="40281" xr:uid="{00000000-0005-0000-0000-0000509D0000}"/>
    <cellStyle name="Normal 3 4 12 8 8" xfId="40282" xr:uid="{00000000-0005-0000-0000-0000519D0000}"/>
    <cellStyle name="Normal 3 4 12 8 8 2" xfId="40283" xr:uid="{00000000-0005-0000-0000-0000529D0000}"/>
    <cellStyle name="Normal 3 4 12 8 8 3" xfId="40284" xr:uid="{00000000-0005-0000-0000-0000539D0000}"/>
    <cellStyle name="Normal 3 4 12 8 9" xfId="40285" xr:uid="{00000000-0005-0000-0000-0000549D0000}"/>
    <cellStyle name="Normal 3 4 12 8 9 2" xfId="40286" xr:uid="{00000000-0005-0000-0000-0000559D0000}"/>
    <cellStyle name="Normal 3 4 12 8 9 3" xfId="40287" xr:uid="{00000000-0005-0000-0000-0000569D0000}"/>
    <cellStyle name="Normal 3 4 12 9" xfId="40288" xr:uid="{00000000-0005-0000-0000-0000579D0000}"/>
    <cellStyle name="Normal 3 4 12 9 10" xfId="40289" xr:uid="{00000000-0005-0000-0000-0000589D0000}"/>
    <cellStyle name="Normal 3 4 12 9 10 2" xfId="40290" xr:uid="{00000000-0005-0000-0000-0000599D0000}"/>
    <cellStyle name="Normal 3 4 12 9 10 3" xfId="40291" xr:uid="{00000000-0005-0000-0000-00005A9D0000}"/>
    <cellStyle name="Normal 3 4 12 9 11" xfId="40292" xr:uid="{00000000-0005-0000-0000-00005B9D0000}"/>
    <cellStyle name="Normal 3 4 12 9 11 2" xfId="40293" xr:uid="{00000000-0005-0000-0000-00005C9D0000}"/>
    <cellStyle name="Normal 3 4 12 9 11 3" xfId="40294" xr:uid="{00000000-0005-0000-0000-00005D9D0000}"/>
    <cellStyle name="Normal 3 4 12 9 12" xfId="40295" xr:uid="{00000000-0005-0000-0000-00005E9D0000}"/>
    <cellStyle name="Normal 3 4 12 9 12 2" xfId="40296" xr:uid="{00000000-0005-0000-0000-00005F9D0000}"/>
    <cellStyle name="Normal 3 4 12 9 12 3" xfId="40297" xr:uid="{00000000-0005-0000-0000-0000609D0000}"/>
    <cellStyle name="Normal 3 4 12 9 13" xfId="40298" xr:uid="{00000000-0005-0000-0000-0000619D0000}"/>
    <cellStyle name="Normal 3 4 12 9 13 2" xfId="40299" xr:uid="{00000000-0005-0000-0000-0000629D0000}"/>
    <cellStyle name="Normal 3 4 12 9 13 3" xfId="40300" xr:uid="{00000000-0005-0000-0000-0000639D0000}"/>
    <cellStyle name="Normal 3 4 12 9 14" xfId="40301" xr:uid="{00000000-0005-0000-0000-0000649D0000}"/>
    <cellStyle name="Normal 3 4 12 9 14 2" xfId="40302" xr:uid="{00000000-0005-0000-0000-0000659D0000}"/>
    <cellStyle name="Normal 3 4 12 9 14 3" xfId="40303" xr:uid="{00000000-0005-0000-0000-0000669D0000}"/>
    <cellStyle name="Normal 3 4 12 9 15" xfId="40304" xr:uid="{00000000-0005-0000-0000-0000679D0000}"/>
    <cellStyle name="Normal 3 4 12 9 16" xfId="40305" xr:uid="{00000000-0005-0000-0000-0000689D0000}"/>
    <cellStyle name="Normal 3 4 12 9 2" xfId="40306" xr:uid="{00000000-0005-0000-0000-0000699D0000}"/>
    <cellStyle name="Normal 3 4 12 9 2 2" xfId="40307" xr:uid="{00000000-0005-0000-0000-00006A9D0000}"/>
    <cellStyle name="Normal 3 4 12 9 2 3" xfId="40308" xr:uid="{00000000-0005-0000-0000-00006B9D0000}"/>
    <cellStyle name="Normal 3 4 12 9 3" xfId="40309" xr:uid="{00000000-0005-0000-0000-00006C9D0000}"/>
    <cellStyle name="Normal 3 4 12 9 3 2" xfId="40310" xr:uid="{00000000-0005-0000-0000-00006D9D0000}"/>
    <cellStyle name="Normal 3 4 12 9 3 3" xfId="40311" xr:uid="{00000000-0005-0000-0000-00006E9D0000}"/>
    <cellStyle name="Normal 3 4 12 9 4" xfId="40312" xr:uid="{00000000-0005-0000-0000-00006F9D0000}"/>
    <cellStyle name="Normal 3 4 12 9 4 2" xfId="40313" xr:uid="{00000000-0005-0000-0000-0000709D0000}"/>
    <cellStyle name="Normal 3 4 12 9 4 3" xfId="40314" xr:uid="{00000000-0005-0000-0000-0000719D0000}"/>
    <cellStyle name="Normal 3 4 12 9 5" xfId="40315" xr:uid="{00000000-0005-0000-0000-0000729D0000}"/>
    <cellStyle name="Normal 3 4 12 9 5 2" xfId="40316" xr:uid="{00000000-0005-0000-0000-0000739D0000}"/>
    <cellStyle name="Normal 3 4 12 9 5 3" xfId="40317" xr:uid="{00000000-0005-0000-0000-0000749D0000}"/>
    <cellStyle name="Normal 3 4 12 9 6" xfId="40318" xr:uid="{00000000-0005-0000-0000-0000759D0000}"/>
    <cellStyle name="Normal 3 4 12 9 6 2" xfId="40319" xr:uid="{00000000-0005-0000-0000-0000769D0000}"/>
    <cellStyle name="Normal 3 4 12 9 6 3" xfId="40320" xr:uid="{00000000-0005-0000-0000-0000779D0000}"/>
    <cellStyle name="Normal 3 4 12 9 7" xfId="40321" xr:uid="{00000000-0005-0000-0000-0000789D0000}"/>
    <cellStyle name="Normal 3 4 12 9 7 2" xfId="40322" xr:uid="{00000000-0005-0000-0000-0000799D0000}"/>
    <cellStyle name="Normal 3 4 12 9 7 3" xfId="40323" xr:uid="{00000000-0005-0000-0000-00007A9D0000}"/>
    <cellStyle name="Normal 3 4 12 9 8" xfId="40324" xr:uid="{00000000-0005-0000-0000-00007B9D0000}"/>
    <cellStyle name="Normal 3 4 12 9 8 2" xfId="40325" xr:uid="{00000000-0005-0000-0000-00007C9D0000}"/>
    <cellStyle name="Normal 3 4 12 9 8 3" xfId="40326" xr:uid="{00000000-0005-0000-0000-00007D9D0000}"/>
    <cellStyle name="Normal 3 4 12 9 9" xfId="40327" xr:uid="{00000000-0005-0000-0000-00007E9D0000}"/>
    <cellStyle name="Normal 3 4 12 9 9 2" xfId="40328" xr:uid="{00000000-0005-0000-0000-00007F9D0000}"/>
    <cellStyle name="Normal 3 4 12 9 9 3" xfId="40329" xr:uid="{00000000-0005-0000-0000-0000809D0000}"/>
    <cellStyle name="Normal 3 4 13" xfId="40330" xr:uid="{00000000-0005-0000-0000-0000819D0000}"/>
    <cellStyle name="Normal 3 4 13 10" xfId="40331" xr:uid="{00000000-0005-0000-0000-0000829D0000}"/>
    <cellStyle name="Normal 3 4 13 10 2" xfId="40332" xr:uid="{00000000-0005-0000-0000-0000839D0000}"/>
    <cellStyle name="Normal 3 4 13 10 3" xfId="40333" xr:uid="{00000000-0005-0000-0000-0000849D0000}"/>
    <cellStyle name="Normal 3 4 13 11" xfId="40334" xr:uid="{00000000-0005-0000-0000-0000859D0000}"/>
    <cellStyle name="Normal 3 4 13 11 2" xfId="40335" xr:uid="{00000000-0005-0000-0000-0000869D0000}"/>
    <cellStyle name="Normal 3 4 13 11 3" xfId="40336" xr:uid="{00000000-0005-0000-0000-0000879D0000}"/>
    <cellStyle name="Normal 3 4 13 12" xfId="40337" xr:uid="{00000000-0005-0000-0000-0000889D0000}"/>
    <cellStyle name="Normal 3 4 13 12 2" xfId="40338" xr:uid="{00000000-0005-0000-0000-0000899D0000}"/>
    <cellStyle name="Normal 3 4 13 12 3" xfId="40339" xr:uid="{00000000-0005-0000-0000-00008A9D0000}"/>
    <cellStyle name="Normal 3 4 13 13" xfId="40340" xr:uid="{00000000-0005-0000-0000-00008B9D0000}"/>
    <cellStyle name="Normal 3 4 13 13 2" xfId="40341" xr:uid="{00000000-0005-0000-0000-00008C9D0000}"/>
    <cellStyle name="Normal 3 4 13 13 3" xfId="40342" xr:uid="{00000000-0005-0000-0000-00008D9D0000}"/>
    <cellStyle name="Normal 3 4 13 14" xfId="40343" xr:uid="{00000000-0005-0000-0000-00008E9D0000}"/>
    <cellStyle name="Normal 3 4 13 14 2" xfId="40344" xr:uid="{00000000-0005-0000-0000-00008F9D0000}"/>
    <cellStyle name="Normal 3 4 13 14 3" xfId="40345" xr:uid="{00000000-0005-0000-0000-0000909D0000}"/>
    <cellStyle name="Normal 3 4 13 15" xfId="40346" xr:uid="{00000000-0005-0000-0000-0000919D0000}"/>
    <cellStyle name="Normal 3 4 13 15 2" xfId="40347" xr:uid="{00000000-0005-0000-0000-0000929D0000}"/>
    <cellStyle name="Normal 3 4 13 15 3" xfId="40348" xr:uid="{00000000-0005-0000-0000-0000939D0000}"/>
    <cellStyle name="Normal 3 4 13 16" xfId="40349" xr:uid="{00000000-0005-0000-0000-0000949D0000}"/>
    <cellStyle name="Normal 3 4 13 17" xfId="40350" xr:uid="{00000000-0005-0000-0000-0000959D0000}"/>
    <cellStyle name="Normal 3 4 13 2" xfId="40351" xr:uid="{00000000-0005-0000-0000-0000969D0000}"/>
    <cellStyle name="Normal 3 4 13 2 10" xfId="40352" xr:uid="{00000000-0005-0000-0000-0000979D0000}"/>
    <cellStyle name="Normal 3 4 13 2 10 2" xfId="40353" xr:uid="{00000000-0005-0000-0000-0000989D0000}"/>
    <cellStyle name="Normal 3 4 13 2 10 3" xfId="40354" xr:uid="{00000000-0005-0000-0000-0000999D0000}"/>
    <cellStyle name="Normal 3 4 13 2 11" xfId="40355" xr:uid="{00000000-0005-0000-0000-00009A9D0000}"/>
    <cellStyle name="Normal 3 4 13 2 11 2" xfId="40356" xr:uid="{00000000-0005-0000-0000-00009B9D0000}"/>
    <cellStyle name="Normal 3 4 13 2 11 3" xfId="40357" xr:uid="{00000000-0005-0000-0000-00009C9D0000}"/>
    <cellStyle name="Normal 3 4 13 2 12" xfId="40358" xr:uid="{00000000-0005-0000-0000-00009D9D0000}"/>
    <cellStyle name="Normal 3 4 13 2 12 2" xfId="40359" xr:uid="{00000000-0005-0000-0000-00009E9D0000}"/>
    <cellStyle name="Normal 3 4 13 2 12 3" xfId="40360" xr:uid="{00000000-0005-0000-0000-00009F9D0000}"/>
    <cellStyle name="Normal 3 4 13 2 13" xfId="40361" xr:uid="{00000000-0005-0000-0000-0000A09D0000}"/>
    <cellStyle name="Normal 3 4 13 2 13 2" xfId="40362" xr:uid="{00000000-0005-0000-0000-0000A19D0000}"/>
    <cellStyle name="Normal 3 4 13 2 13 3" xfId="40363" xr:uid="{00000000-0005-0000-0000-0000A29D0000}"/>
    <cellStyle name="Normal 3 4 13 2 14" xfId="40364" xr:uid="{00000000-0005-0000-0000-0000A39D0000}"/>
    <cellStyle name="Normal 3 4 13 2 14 2" xfId="40365" xr:uid="{00000000-0005-0000-0000-0000A49D0000}"/>
    <cellStyle name="Normal 3 4 13 2 14 3" xfId="40366" xr:uid="{00000000-0005-0000-0000-0000A59D0000}"/>
    <cellStyle name="Normal 3 4 13 2 15" xfId="40367" xr:uid="{00000000-0005-0000-0000-0000A69D0000}"/>
    <cellStyle name="Normal 3 4 13 2 16" xfId="40368" xr:uid="{00000000-0005-0000-0000-0000A79D0000}"/>
    <cellStyle name="Normal 3 4 13 2 2" xfId="40369" xr:uid="{00000000-0005-0000-0000-0000A89D0000}"/>
    <cellStyle name="Normal 3 4 13 2 2 2" xfId="40370" xr:uid="{00000000-0005-0000-0000-0000A99D0000}"/>
    <cellStyle name="Normal 3 4 13 2 2 3" xfId="40371" xr:uid="{00000000-0005-0000-0000-0000AA9D0000}"/>
    <cellStyle name="Normal 3 4 13 2 3" xfId="40372" xr:uid="{00000000-0005-0000-0000-0000AB9D0000}"/>
    <cellStyle name="Normal 3 4 13 2 3 2" xfId="40373" xr:uid="{00000000-0005-0000-0000-0000AC9D0000}"/>
    <cellStyle name="Normal 3 4 13 2 3 3" xfId="40374" xr:uid="{00000000-0005-0000-0000-0000AD9D0000}"/>
    <cellStyle name="Normal 3 4 13 2 4" xfId="40375" xr:uid="{00000000-0005-0000-0000-0000AE9D0000}"/>
    <cellStyle name="Normal 3 4 13 2 4 2" xfId="40376" xr:uid="{00000000-0005-0000-0000-0000AF9D0000}"/>
    <cellStyle name="Normal 3 4 13 2 4 3" xfId="40377" xr:uid="{00000000-0005-0000-0000-0000B09D0000}"/>
    <cellStyle name="Normal 3 4 13 2 5" xfId="40378" xr:uid="{00000000-0005-0000-0000-0000B19D0000}"/>
    <cellStyle name="Normal 3 4 13 2 5 2" xfId="40379" xr:uid="{00000000-0005-0000-0000-0000B29D0000}"/>
    <cellStyle name="Normal 3 4 13 2 5 3" xfId="40380" xr:uid="{00000000-0005-0000-0000-0000B39D0000}"/>
    <cellStyle name="Normal 3 4 13 2 6" xfId="40381" xr:uid="{00000000-0005-0000-0000-0000B49D0000}"/>
    <cellStyle name="Normal 3 4 13 2 6 2" xfId="40382" xr:uid="{00000000-0005-0000-0000-0000B59D0000}"/>
    <cellStyle name="Normal 3 4 13 2 6 3" xfId="40383" xr:uid="{00000000-0005-0000-0000-0000B69D0000}"/>
    <cellStyle name="Normal 3 4 13 2 7" xfId="40384" xr:uid="{00000000-0005-0000-0000-0000B79D0000}"/>
    <cellStyle name="Normal 3 4 13 2 7 2" xfId="40385" xr:uid="{00000000-0005-0000-0000-0000B89D0000}"/>
    <cellStyle name="Normal 3 4 13 2 7 3" xfId="40386" xr:uid="{00000000-0005-0000-0000-0000B99D0000}"/>
    <cellStyle name="Normal 3 4 13 2 8" xfId="40387" xr:uid="{00000000-0005-0000-0000-0000BA9D0000}"/>
    <cellStyle name="Normal 3 4 13 2 8 2" xfId="40388" xr:uid="{00000000-0005-0000-0000-0000BB9D0000}"/>
    <cellStyle name="Normal 3 4 13 2 8 3" xfId="40389" xr:uid="{00000000-0005-0000-0000-0000BC9D0000}"/>
    <cellStyle name="Normal 3 4 13 2 9" xfId="40390" xr:uid="{00000000-0005-0000-0000-0000BD9D0000}"/>
    <cellStyle name="Normal 3 4 13 2 9 2" xfId="40391" xr:uid="{00000000-0005-0000-0000-0000BE9D0000}"/>
    <cellStyle name="Normal 3 4 13 2 9 3" xfId="40392" xr:uid="{00000000-0005-0000-0000-0000BF9D0000}"/>
    <cellStyle name="Normal 3 4 13 3" xfId="40393" xr:uid="{00000000-0005-0000-0000-0000C09D0000}"/>
    <cellStyle name="Normal 3 4 13 3 2" xfId="40394" xr:uid="{00000000-0005-0000-0000-0000C19D0000}"/>
    <cellStyle name="Normal 3 4 13 3 3" xfId="40395" xr:uid="{00000000-0005-0000-0000-0000C29D0000}"/>
    <cellStyle name="Normal 3 4 13 4" xfId="40396" xr:uid="{00000000-0005-0000-0000-0000C39D0000}"/>
    <cellStyle name="Normal 3 4 13 4 2" xfId="40397" xr:uid="{00000000-0005-0000-0000-0000C49D0000}"/>
    <cellStyle name="Normal 3 4 13 4 3" xfId="40398" xr:uid="{00000000-0005-0000-0000-0000C59D0000}"/>
    <cellStyle name="Normal 3 4 13 5" xfId="40399" xr:uid="{00000000-0005-0000-0000-0000C69D0000}"/>
    <cellStyle name="Normal 3 4 13 5 2" xfId="40400" xr:uid="{00000000-0005-0000-0000-0000C79D0000}"/>
    <cellStyle name="Normal 3 4 13 5 3" xfId="40401" xr:uid="{00000000-0005-0000-0000-0000C89D0000}"/>
    <cellStyle name="Normal 3 4 13 6" xfId="40402" xr:uid="{00000000-0005-0000-0000-0000C99D0000}"/>
    <cellStyle name="Normal 3 4 13 6 2" xfId="40403" xr:uid="{00000000-0005-0000-0000-0000CA9D0000}"/>
    <cellStyle name="Normal 3 4 13 6 3" xfId="40404" xr:uid="{00000000-0005-0000-0000-0000CB9D0000}"/>
    <cellStyle name="Normal 3 4 13 7" xfId="40405" xr:uid="{00000000-0005-0000-0000-0000CC9D0000}"/>
    <cellStyle name="Normal 3 4 13 7 2" xfId="40406" xr:uid="{00000000-0005-0000-0000-0000CD9D0000}"/>
    <cellStyle name="Normal 3 4 13 7 3" xfId="40407" xr:uid="{00000000-0005-0000-0000-0000CE9D0000}"/>
    <cellStyle name="Normal 3 4 13 8" xfId="40408" xr:uid="{00000000-0005-0000-0000-0000CF9D0000}"/>
    <cellStyle name="Normal 3 4 13 8 2" xfId="40409" xr:uid="{00000000-0005-0000-0000-0000D09D0000}"/>
    <cellStyle name="Normal 3 4 13 8 3" xfId="40410" xr:uid="{00000000-0005-0000-0000-0000D19D0000}"/>
    <cellStyle name="Normal 3 4 13 9" xfId="40411" xr:uid="{00000000-0005-0000-0000-0000D29D0000}"/>
    <cellStyle name="Normal 3 4 13 9 2" xfId="40412" xr:uid="{00000000-0005-0000-0000-0000D39D0000}"/>
    <cellStyle name="Normal 3 4 13 9 3" xfId="40413" xr:uid="{00000000-0005-0000-0000-0000D49D0000}"/>
    <cellStyle name="Normal 3 4 14" xfId="40414" xr:uid="{00000000-0005-0000-0000-0000D59D0000}"/>
    <cellStyle name="Normal 3 4 14 10" xfId="40415" xr:uid="{00000000-0005-0000-0000-0000D69D0000}"/>
    <cellStyle name="Normal 3 4 14 10 2" xfId="40416" xr:uid="{00000000-0005-0000-0000-0000D79D0000}"/>
    <cellStyle name="Normal 3 4 14 10 3" xfId="40417" xr:uid="{00000000-0005-0000-0000-0000D89D0000}"/>
    <cellStyle name="Normal 3 4 14 11" xfId="40418" xr:uid="{00000000-0005-0000-0000-0000D99D0000}"/>
    <cellStyle name="Normal 3 4 14 11 2" xfId="40419" xr:uid="{00000000-0005-0000-0000-0000DA9D0000}"/>
    <cellStyle name="Normal 3 4 14 11 3" xfId="40420" xr:uid="{00000000-0005-0000-0000-0000DB9D0000}"/>
    <cellStyle name="Normal 3 4 14 12" xfId="40421" xr:uid="{00000000-0005-0000-0000-0000DC9D0000}"/>
    <cellStyle name="Normal 3 4 14 12 2" xfId="40422" xr:uid="{00000000-0005-0000-0000-0000DD9D0000}"/>
    <cellStyle name="Normal 3 4 14 12 3" xfId="40423" xr:uid="{00000000-0005-0000-0000-0000DE9D0000}"/>
    <cellStyle name="Normal 3 4 14 13" xfId="40424" xr:uid="{00000000-0005-0000-0000-0000DF9D0000}"/>
    <cellStyle name="Normal 3 4 14 13 2" xfId="40425" xr:uid="{00000000-0005-0000-0000-0000E09D0000}"/>
    <cellStyle name="Normal 3 4 14 13 3" xfId="40426" xr:uid="{00000000-0005-0000-0000-0000E19D0000}"/>
    <cellStyle name="Normal 3 4 14 14" xfId="40427" xr:uid="{00000000-0005-0000-0000-0000E29D0000}"/>
    <cellStyle name="Normal 3 4 14 14 2" xfId="40428" xr:uid="{00000000-0005-0000-0000-0000E39D0000}"/>
    <cellStyle name="Normal 3 4 14 14 3" xfId="40429" xr:uid="{00000000-0005-0000-0000-0000E49D0000}"/>
    <cellStyle name="Normal 3 4 14 15" xfId="40430" xr:uid="{00000000-0005-0000-0000-0000E59D0000}"/>
    <cellStyle name="Normal 3 4 14 15 2" xfId="40431" xr:uid="{00000000-0005-0000-0000-0000E69D0000}"/>
    <cellStyle name="Normal 3 4 14 15 3" xfId="40432" xr:uid="{00000000-0005-0000-0000-0000E79D0000}"/>
    <cellStyle name="Normal 3 4 14 16" xfId="40433" xr:uid="{00000000-0005-0000-0000-0000E89D0000}"/>
    <cellStyle name="Normal 3 4 14 17" xfId="40434" xr:uid="{00000000-0005-0000-0000-0000E99D0000}"/>
    <cellStyle name="Normal 3 4 14 2" xfId="40435" xr:uid="{00000000-0005-0000-0000-0000EA9D0000}"/>
    <cellStyle name="Normal 3 4 14 2 10" xfId="40436" xr:uid="{00000000-0005-0000-0000-0000EB9D0000}"/>
    <cellStyle name="Normal 3 4 14 2 10 2" xfId="40437" xr:uid="{00000000-0005-0000-0000-0000EC9D0000}"/>
    <cellStyle name="Normal 3 4 14 2 10 3" xfId="40438" xr:uid="{00000000-0005-0000-0000-0000ED9D0000}"/>
    <cellStyle name="Normal 3 4 14 2 11" xfId="40439" xr:uid="{00000000-0005-0000-0000-0000EE9D0000}"/>
    <cellStyle name="Normal 3 4 14 2 11 2" xfId="40440" xr:uid="{00000000-0005-0000-0000-0000EF9D0000}"/>
    <cellStyle name="Normal 3 4 14 2 11 3" xfId="40441" xr:uid="{00000000-0005-0000-0000-0000F09D0000}"/>
    <cellStyle name="Normal 3 4 14 2 12" xfId="40442" xr:uid="{00000000-0005-0000-0000-0000F19D0000}"/>
    <cellStyle name="Normal 3 4 14 2 12 2" xfId="40443" xr:uid="{00000000-0005-0000-0000-0000F29D0000}"/>
    <cellStyle name="Normal 3 4 14 2 12 3" xfId="40444" xr:uid="{00000000-0005-0000-0000-0000F39D0000}"/>
    <cellStyle name="Normal 3 4 14 2 13" xfId="40445" xr:uid="{00000000-0005-0000-0000-0000F49D0000}"/>
    <cellStyle name="Normal 3 4 14 2 13 2" xfId="40446" xr:uid="{00000000-0005-0000-0000-0000F59D0000}"/>
    <cellStyle name="Normal 3 4 14 2 13 3" xfId="40447" xr:uid="{00000000-0005-0000-0000-0000F69D0000}"/>
    <cellStyle name="Normal 3 4 14 2 14" xfId="40448" xr:uid="{00000000-0005-0000-0000-0000F79D0000}"/>
    <cellStyle name="Normal 3 4 14 2 14 2" xfId="40449" xr:uid="{00000000-0005-0000-0000-0000F89D0000}"/>
    <cellStyle name="Normal 3 4 14 2 14 3" xfId="40450" xr:uid="{00000000-0005-0000-0000-0000F99D0000}"/>
    <cellStyle name="Normal 3 4 14 2 15" xfId="40451" xr:uid="{00000000-0005-0000-0000-0000FA9D0000}"/>
    <cellStyle name="Normal 3 4 14 2 16" xfId="40452" xr:uid="{00000000-0005-0000-0000-0000FB9D0000}"/>
    <cellStyle name="Normal 3 4 14 2 2" xfId="40453" xr:uid="{00000000-0005-0000-0000-0000FC9D0000}"/>
    <cellStyle name="Normal 3 4 14 2 2 2" xfId="40454" xr:uid="{00000000-0005-0000-0000-0000FD9D0000}"/>
    <cellStyle name="Normal 3 4 14 2 2 3" xfId="40455" xr:uid="{00000000-0005-0000-0000-0000FE9D0000}"/>
    <cellStyle name="Normal 3 4 14 2 3" xfId="40456" xr:uid="{00000000-0005-0000-0000-0000FF9D0000}"/>
    <cellStyle name="Normal 3 4 14 2 3 2" xfId="40457" xr:uid="{00000000-0005-0000-0000-0000009E0000}"/>
    <cellStyle name="Normal 3 4 14 2 3 3" xfId="40458" xr:uid="{00000000-0005-0000-0000-0000019E0000}"/>
    <cellStyle name="Normal 3 4 14 2 4" xfId="40459" xr:uid="{00000000-0005-0000-0000-0000029E0000}"/>
    <cellStyle name="Normal 3 4 14 2 4 2" xfId="40460" xr:uid="{00000000-0005-0000-0000-0000039E0000}"/>
    <cellStyle name="Normal 3 4 14 2 4 3" xfId="40461" xr:uid="{00000000-0005-0000-0000-0000049E0000}"/>
    <cellStyle name="Normal 3 4 14 2 5" xfId="40462" xr:uid="{00000000-0005-0000-0000-0000059E0000}"/>
    <cellStyle name="Normal 3 4 14 2 5 2" xfId="40463" xr:uid="{00000000-0005-0000-0000-0000069E0000}"/>
    <cellStyle name="Normal 3 4 14 2 5 3" xfId="40464" xr:uid="{00000000-0005-0000-0000-0000079E0000}"/>
    <cellStyle name="Normal 3 4 14 2 6" xfId="40465" xr:uid="{00000000-0005-0000-0000-0000089E0000}"/>
    <cellStyle name="Normal 3 4 14 2 6 2" xfId="40466" xr:uid="{00000000-0005-0000-0000-0000099E0000}"/>
    <cellStyle name="Normal 3 4 14 2 6 3" xfId="40467" xr:uid="{00000000-0005-0000-0000-00000A9E0000}"/>
    <cellStyle name="Normal 3 4 14 2 7" xfId="40468" xr:uid="{00000000-0005-0000-0000-00000B9E0000}"/>
    <cellStyle name="Normal 3 4 14 2 7 2" xfId="40469" xr:uid="{00000000-0005-0000-0000-00000C9E0000}"/>
    <cellStyle name="Normal 3 4 14 2 7 3" xfId="40470" xr:uid="{00000000-0005-0000-0000-00000D9E0000}"/>
    <cellStyle name="Normal 3 4 14 2 8" xfId="40471" xr:uid="{00000000-0005-0000-0000-00000E9E0000}"/>
    <cellStyle name="Normal 3 4 14 2 8 2" xfId="40472" xr:uid="{00000000-0005-0000-0000-00000F9E0000}"/>
    <cellStyle name="Normal 3 4 14 2 8 3" xfId="40473" xr:uid="{00000000-0005-0000-0000-0000109E0000}"/>
    <cellStyle name="Normal 3 4 14 2 9" xfId="40474" xr:uid="{00000000-0005-0000-0000-0000119E0000}"/>
    <cellStyle name="Normal 3 4 14 2 9 2" xfId="40475" xr:uid="{00000000-0005-0000-0000-0000129E0000}"/>
    <cellStyle name="Normal 3 4 14 2 9 3" xfId="40476" xr:uid="{00000000-0005-0000-0000-0000139E0000}"/>
    <cellStyle name="Normal 3 4 14 3" xfId="40477" xr:uid="{00000000-0005-0000-0000-0000149E0000}"/>
    <cellStyle name="Normal 3 4 14 3 2" xfId="40478" xr:uid="{00000000-0005-0000-0000-0000159E0000}"/>
    <cellStyle name="Normal 3 4 14 3 3" xfId="40479" xr:uid="{00000000-0005-0000-0000-0000169E0000}"/>
    <cellStyle name="Normal 3 4 14 4" xfId="40480" xr:uid="{00000000-0005-0000-0000-0000179E0000}"/>
    <cellStyle name="Normal 3 4 14 4 2" xfId="40481" xr:uid="{00000000-0005-0000-0000-0000189E0000}"/>
    <cellStyle name="Normal 3 4 14 4 3" xfId="40482" xr:uid="{00000000-0005-0000-0000-0000199E0000}"/>
    <cellStyle name="Normal 3 4 14 5" xfId="40483" xr:uid="{00000000-0005-0000-0000-00001A9E0000}"/>
    <cellStyle name="Normal 3 4 14 5 2" xfId="40484" xr:uid="{00000000-0005-0000-0000-00001B9E0000}"/>
    <cellStyle name="Normal 3 4 14 5 3" xfId="40485" xr:uid="{00000000-0005-0000-0000-00001C9E0000}"/>
    <cellStyle name="Normal 3 4 14 6" xfId="40486" xr:uid="{00000000-0005-0000-0000-00001D9E0000}"/>
    <cellStyle name="Normal 3 4 14 6 2" xfId="40487" xr:uid="{00000000-0005-0000-0000-00001E9E0000}"/>
    <cellStyle name="Normal 3 4 14 6 3" xfId="40488" xr:uid="{00000000-0005-0000-0000-00001F9E0000}"/>
    <cellStyle name="Normal 3 4 14 7" xfId="40489" xr:uid="{00000000-0005-0000-0000-0000209E0000}"/>
    <cellStyle name="Normal 3 4 14 7 2" xfId="40490" xr:uid="{00000000-0005-0000-0000-0000219E0000}"/>
    <cellStyle name="Normal 3 4 14 7 3" xfId="40491" xr:uid="{00000000-0005-0000-0000-0000229E0000}"/>
    <cellStyle name="Normal 3 4 14 8" xfId="40492" xr:uid="{00000000-0005-0000-0000-0000239E0000}"/>
    <cellStyle name="Normal 3 4 14 8 2" xfId="40493" xr:uid="{00000000-0005-0000-0000-0000249E0000}"/>
    <cellStyle name="Normal 3 4 14 8 3" xfId="40494" xr:uid="{00000000-0005-0000-0000-0000259E0000}"/>
    <cellStyle name="Normal 3 4 14 9" xfId="40495" xr:uid="{00000000-0005-0000-0000-0000269E0000}"/>
    <cellStyle name="Normal 3 4 14 9 2" xfId="40496" xr:uid="{00000000-0005-0000-0000-0000279E0000}"/>
    <cellStyle name="Normal 3 4 14 9 3" xfId="40497" xr:uid="{00000000-0005-0000-0000-0000289E0000}"/>
    <cellStyle name="Normal 3 4 15" xfId="40498" xr:uid="{00000000-0005-0000-0000-0000299E0000}"/>
    <cellStyle name="Normal 3 4 15 10" xfId="40499" xr:uid="{00000000-0005-0000-0000-00002A9E0000}"/>
    <cellStyle name="Normal 3 4 15 10 2" xfId="40500" xr:uid="{00000000-0005-0000-0000-00002B9E0000}"/>
    <cellStyle name="Normal 3 4 15 10 3" xfId="40501" xr:uid="{00000000-0005-0000-0000-00002C9E0000}"/>
    <cellStyle name="Normal 3 4 15 11" xfId="40502" xr:uid="{00000000-0005-0000-0000-00002D9E0000}"/>
    <cellStyle name="Normal 3 4 15 11 2" xfId="40503" xr:uid="{00000000-0005-0000-0000-00002E9E0000}"/>
    <cellStyle name="Normal 3 4 15 11 3" xfId="40504" xr:uid="{00000000-0005-0000-0000-00002F9E0000}"/>
    <cellStyle name="Normal 3 4 15 12" xfId="40505" xr:uid="{00000000-0005-0000-0000-0000309E0000}"/>
    <cellStyle name="Normal 3 4 15 12 2" xfId="40506" xr:uid="{00000000-0005-0000-0000-0000319E0000}"/>
    <cellStyle name="Normal 3 4 15 12 3" xfId="40507" xr:uid="{00000000-0005-0000-0000-0000329E0000}"/>
    <cellStyle name="Normal 3 4 15 13" xfId="40508" xr:uid="{00000000-0005-0000-0000-0000339E0000}"/>
    <cellStyle name="Normal 3 4 15 13 2" xfId="40509" xr:uid="{00000000-0005-0000-0000-0000349E0000}"/>
    <cellStyle name="Normal 3 4 15 13 3" xfId="40510" xr:uid="{00000000-0005-0000-0000-0000359E0000}"/>
    <cellStyle name="Normal 3 4 15 14" xfId="40511" xr:uid="{00000000-0005-0000-0000-0000369E0000}"/>
    <cellStyle name="Normal 3 4 15 14 2" xfId="40512" xr:uid="{00000000-0005-0000-0000-0000379E0000}"/>
    <cellStyle name="Normal 3 4 15 14 3" xfId="40513" xr:uid="{00000000-0005-0000-0000-0000389E0000}"/>
    <cellStyle name="Normal 3 4 15 15" xfId="40514" xr:uid="{00000000-0005-0000-0000-0000399E0000}"/>
    <cellStyle name="Normal 3 4 15 15 2" xfId="40515" xr:uid="{00000000-0005-0000-0000-00003A9E0000}"/>
    <cellStyle name="Normal 3 4 15 15 3" xfId="40516" xr:uid="{00000000-0005-0000-0000-00003B9E0000}"/>
    <cellStyle name="Normal 3 4 15 16" xfId="40517" xr:uid="{00000000-0005-0000-0000-00003C9E0000}"/>
    <cellStyle name="Normal 3 4 15 17" xfId="40518" xr:uid="{00000000-0005-0000-0000-00003D9E0000}"/>
    <cellStyle name="Normal 3 4 15 2" xfId="40519" xr:uid="{00000000-0005-0000-0000-00003E9E0000}"/>
    <cellStyle name="Normal 3 4 15 2 10" xfId="40520" xr:uid="{00000000-0005-0000-0000-00003F9E0000}"/>
    <cellStyle name="Normal 3 4 15 2 10 2" xfId="40521" xr:uid="{00000000-0005-0000-0000-0000409E0000}"/>
    <cellStyle name="Normal 3 4 15 2 10 3" xfId="40522" xr:uid="{00000000-0005-0000-0000-0000419E0000}"/>
    <cellStyle name="Normal 3 4 15 2 11" xfId="40523" xr:uid="{00000000-0005-0000-0000-0000429E0000}"/>
    <cellStyle name="Normal 3 4 15 2 11 2" xfId="40524" xr:uid="{00000000-0005-0000-0000-0000439E0000}"/>
    <cellStyle name="Normal 3 4 15 2 11 3" xfId="40525" xr:uid="{00000000-0005-0000-0000-0000449E0000}"/>
    <cellStyle name="Normal 3 4 15 2 12" xfId="40526" xr:uid="{00000000-0005-0000-0000-0000459E0000}"/>
    <cellStyle name="Normal 3 4 15 2 12 2" xfId="40527" xr:uid="{00000000-0005-0000-0000-0000469E0000}"/>
    <cellStyle name="Normal 3 4 15 2 12 3" xfId="40528" xr:uid="{00000000-0005-0000-0000-0000479E0000}"/>
    <cellStyle name="Normal 3 4 15 2 13" xfId="40529" xr:uid="{00000000-0005-0000-0000-0000489E0000}"/>
    <cellStyle name="Normal 3 4 15 2 13 2" xfId="40530" xr:uid="{00000000-0005-0000-0000-0000499E0000}"/>
    <cellStyle name="Normal 3 4 15 2 13 3" xfId="40531" xr:uid="{00000000-0005-0000-0000-00004A9E0000}"/>
    <cellStyle name="Normal 3 4 15 2 14" xfId="40532" xr:uid="{00000000-0005-0000-0000-00004B9E0000}"/>
    <cellStyle name="Normal 3 4 15 2 14 2" xfId="40533" xr:uid="{00000000-0005-0000-0000-00004C9E0000}"/>
    <cellStyle name="Normal 3 4 15 2 14 3" xfId="40534" xr:uid="{00000000-0005-0000-0000-00004D9E0000}"/>
    <cellStyle name="Normal 3 4 15 2 15" xfId="40535" xr:uid="{00000000-0005-0000-0000-00004E9E0000}"/>
    <cellStyle name="Normal 3 4 15 2 16" xfId="40536" xr:uid="{00000000-0005-0000-0000-00004F9E0000}"/>
    <cellStyle name="Normal 3 4 15 2 2" xfId="40537" xr:uid="{00000000-0005-0000-0000-0000509E0000}"/>
    <cellStyle name="Normal 3 4 15 2 2 2" xfId="40538" xr:uid="{00000000-0005-0000-0000-0000519E0000}"/>
    <cellStyle name="Normal 3 4 15 2 2 3" xfId="40539" xr:uid="{00000000-0005-0000-0000-0000529E0000}"/>
    <cellStyle name="Normal 3 4 15 2 3" xfId="40540" xr:uid="{00000000-0005-0000-0000-0000539E0000}"/>
    <cellStyle name="Normal 3 4 15 2 3 2" xfId="40541" xr:uid="{00000000-0005-0000-0000-0000549E0000}"/>
    <cellStyle name="Normal 3 4 15 2 3 3" xfId="40542" xr:uid="{00000000-0005-0000-0000-0000559E0000}"/>
    <cellStyle name="Normal 3 4 15 2 4" xfId="40543" xr:uid="{00000000-0005-0000-0000-0000569E0000}"/>
    <cellStyle name="Normal 3 4 15 2 4 2" xfId="40544" xr:uid="{00000000-0005-0000-0000-0000579E0000}"/>
    <cellStyle name="Normal 3 4 15 2 4 3" xfId="40545" xr:uid="{00000000-0005-0000-0000-0000589E0000}"/>
    <cellStyle name="Normal 3 4 15 2 5" xfId="40546" xr:uid="{00000000-0005-0000-0000-0000599E0000}"/>
    <cellStyle name="Normal 3 4 15 2 5 2" xfId="40547" xr:uid="{00000000-0005-0000-0000-00005A9E0000}"/>
    <cellStyle name="Normal 3 4 15 2 5 3" xfId="40548" xr:uid="{00000000-0005-0000-0000-00005B9E0000}"/>
    <cellStyle name="Normal 3 4 15 2 6" xfId="40549" xr:uid="{00000000-0005-0000-0000-00005C9E0000}"/>
    <cellStyle name="Normal 3 4 15 2 6 2" xfId="40550" xr:uid="{00000000-0005-0000-0000-00005D9E0000}"/>
    <cellStyle name="Normal 3 4 15 2 6 3" xfId="40551" xr:uid="{00000000-0005-0000-0000-00005E9E0000}"/>
    <cellStyle name="Normal 3 4 15 2 7" xfId="40552" xr:uid="{00000000-0005-0000-0000-00005F9E0000}"/>
    <cellStyle name="Normal 3 4 15 2 7 2" xfId="40553" xr:uid="{00000000-0005-0000-0000-0000609E0000}"/>
    <cellStyle name="Normal 3 4 15 2 7 3" xfId="40554" xr:uid="{00000000-0005-0000-0000-0000619E0000}"/>
    <cellStyle name="Normal 3 4 15 2 8" xfId="40555" xr:uid="{00000000-0005-0000-0000-0000629E0000}"/>
    <cellStyle name="Normal 3 4 15 2 8 2" xfId="40556" xr:uid="{00000000-0005-0000-0000-0000639E0000}"/>
    <cellStyle name="Normal 3 4 15 2 8 3" xfId="40557" xr:uid="{00000000-0005-0000-0000-0000649E0000}"/>
    <cellStyle name="Normal 3 4 15 2 9" xfId="40558" xr:uid="{00000000-0005-0000-0000-0000659E0000}"/>
    <cellStyle name="Normal 3 4 15 2 9 2" xfId="40559" xr:uid="{00000000-0005-0000-0000-0000669E0000}"/>
    <cellStyle name="Normal 3 4 15 2 9 3" xfId="40560" xr:uid="{00000000-0005-0000-0000-0000679E0000}"/>
    <cellStyle name="Normal 3 4 15 3" xfId="40561" xr:uid="{00000000-0005-0000-0000-0000689E0000}"/>
    <cellStyle name="Normal 3 4 15 3 2" xfId="40562" xr:uid="{00000000-0005-0000-0000-0000699E0000}"/>
    <cellStyle name="Normal 3 4 15 3 3" xfId="40563" xr:uid="{00000000-0005-0000-0000-00006A9E0000}"/>
    <cellStyle name="Normal 3 4 15 4" xfId="40564" xr:uid="{00000000-0005-0000-0000-00006B9E0000}"/>
    <cellStyle name="Normal 3 4 15 4 2" xfId="40565" xr:uid="{00000000-0005-0000-0000-00006C9E0000}"/>
    <cellStyle name="Normal 3 4 15 4 3" xfId="40566" xr:uid="{00000000-0005-0000-0000-00006D9E0000}"/>
    <cellStyle name="Normal 3 4 15 5" xfId="40567" xr:uid="{00000000-0005-0000-0000-00006E9E0000}"/>
    <cellStyle name="Normal 3 4 15 5 2" xfId="40568" xr:uid="{00000000-0005-0000-0000-00006F9E0000}"/>
    <cellStyle name="Normal 3 4 15 5 3" xfId="40569" xr:uid="{00000000-0005-0000-0000-0000709E0000}"/>
    <cellStyle name="Normal 3 4 15 6" xfId="40570" xr:uid="{00000000-0005-0000-0000-0000719E0000}"/>
    <cellStyle name="Normal 3 4 15 6 2" xfId="40571" xr:uid="{00000000-0005-0000-0000-0000729E0000}"/>
    <cellStyle name="Normal 3 4 15 6 3" xfId="40572" xr:uid="{00000000-0005-0000-0000-0000739E0000}"/>
    <cellStyle name="Normal 3 4 15 7" xfId="40573" xr:uid="{00000000-0005-0000-0000-0000749E0000}"/>
    <cellStyle name="Normal 3 4 15 7 2" xfId="40574" xr:uid="{00000000-0005-0000-0000-0000759E0000}"/>
    <cellStyle name="Normal 3 4 15 7 3" xfId="40575" xr:uid="{00000000-0005-0000-0000-0000769E0000}"/>
    <cellStyle name="Normal 3 4 15 8" xfId="40576" xr:uid="{00000000-0005-0000-0000-0000779E0000}"/>
    <cellStyle name="Normal 3 4 15 8 2" xfId="40577" xr:uid="{00000000-0005-0000-0000-0000789E0000}"/>
    <cellStyle name="Normal 3 4 15 8 3" xfId="40578" xr:uid="{00000000-0005-0000-0000-0000799E0000}"/>
    <cellStyle name="Normal 3 4 15 9" xfId="40579" xr:uid="{00000000-0005-0000-0000-00007A9E0000}"/>
    <cellStyle name="Normal 3 4 15 9 2" xfId="40580" xr:uid="{00000000-0005-0000-0000-00007B9E0000}"/>
    <cellStyle name="Normal 3 4 15 9 3" xfId="40581" xr:uid="{00000000-0005-0000-0000-00007C9E0000}"/>
    <cellStyle name="Normal 3 4 16" xfId="40582" xr:uid="{00000000-0005-0000-0000-00007D9E0000}"/>
    <cellStyle name="Normal 3 4 16 10" xfId="40583" xr:uid="{00000000-0005-0000-0000-00007E9E0000}"/>
    <cellStyle name="Normal 3 4 16 10 2" xfId="40584" xr:uid="{00000000-0005-0000-0000-00007F9E0000}"/>
    <cellStyle name="Normal 3 4 16 10 3" xfId="40585" xr:uid="{00000000-0005-0000-0000-0000809E0000}"/>
    <cellStyle name="Normal 3 4 16 11" xfId="40586" xr:uid="{00000000-0005-0000-0000-0000819E0000}"/>
    <cellStyle name="Normal 3 4 16 11 2" xfId="40587" xr:uid="{00000000-0005-0000-0000-0000829E0000}"/>
    <cellStyle name="Normal 3 4 16 11 3" xfId="40588" xr:uid="{00000000-0005-0000-0000-0000839E0000}"/>
    <cellStyle name="Normal 3 4 16 12" xfId="40589" xr:uid="{00000000-0005-0000-0000-0000849E0000}"/>
    <cellStyle name="Normal 3 4 16 12 2" xfId="40590" xr:uid="{00000000-0005-0000-0000-0000859E0000}"/>
    <cellStyle name="Normal 3 4 16 12 3" xfId="40591" xr:uid="{00000000-0005-0000-0000-0000869E0000}"/>
    <cellStyle name="Normal 3 4 16 13" xfId="40592" xr:uid="{00000000-0005-0000-0000-0000879E0000}"/>
    <cellStyle name="Normal 3 4 16 13 2" xfId="40593" xr:uid="{00000000-0005-0000-0000-0000889E0000}"/>
    <cellStyle name="Normal 3 4 16 13 3" xfId="40594" xr:uid="{00000000-0005-0000-0000-0000899E0000}"/>
    <cellStyle name="Normal 3 4 16 14" xfId="40595" xr:uid="{00000000-0005-0000-0000-00008A9E0000}"/>
    <cellStyle name="Normal 3 4 16 14 2" xfId="40596" xr:uid="{00000000-0005-0000-0000-00008B9E0000}"/>
    <cellStyle name="Normal 3 4 16 14 3" xfId="40597" xr:uid="{00000000-0005-0000-0000-00008C9E0000}"/>
    <cellStyle name="Normal 3 4 16 15" xfId="40598" xr:uid="{00000000-0005-0000-0000-00008D9E0000}"/>
    <cellStyle name="Normal 3 4 16 16" xfId="40599" xr:uid="{00000000-0005-0000-0000-00008E9E0000}"/>
    <cellStyle name="Normal 3 4 16 2" xfId="40600" xr:uid="{00000000-0005-0000-0000-00008F9E0000}"/>
    <cellStyle name="Normal 3 4 16 2 2" xfId="40601" xr:uid="{00000000-0005-0000-0000-0000909E0000}"/>
    <cellStyle name="Normal 3 4 16 2 3" xfId="40602" xr:uid="{00000000-0005-0000-0000-0000919E0000}"/>
    <cellStyle name="Normal 3 4 16 3" xfId="40603" xr:uid="{00000000-0005-0000-0000-0000929E0000}"/>
    <cellStyle name="Normal 3 4 16 3 2" xfId="40604" xr:uid="{00000000-0005-0000-0000-0000939E0000}"/>
    <cellStyle name="Normal 3 4 16 3 3" xfId="40605" xr:uid="{00000000-0005-0000-0000-0000949E0000}"/>
    <cellStyle name="Normal 3 4 16 4" xfId="40606" xr:uid="{00000000-0005-0000-0000-0000959E0000}"/>
    <cellStyle name="Normal 3 4 16 4 2" xfId="40607" xr:uid="{00000000-0005-0000-0000-0000969E0000}"/>
    <cellStyle name="Normal 3 4 16 4 3" xfId="40608" xr:uid="{00000000-0005-0000-0000-0000979E0000}"/>
    <cellStyle name="Normal 3 4 16 5" xfId="40609" xr:uid="{00000000-0005-0000-0000-0000989E0000}"/>
    <cellStyle name="Normal 3 4 16 5 2" xfId="40610" xr:uid="{00000000-0005-0000-0000-0000999E0000}"/>
    <cellStyle name="Normal 3 4 16 5 3" xfId="40611" xr:uid="{00000000-0005-0000-0000-00009A9E0000}"/>
    <cellStyle name="Normal 3 4 16 6" xfId="40612" xr:uid="{00000000-0005-0000-0000-00009B9E0000}"/>
    <cellStyle name="Normal 3 4 16 6 2" xfId="40613" xr:uid="{00000000-0005-0000-0000-00009C9E0000}"/>
    <cellStyle name="Normal 3 4 16 6 3" xfId="40614" xr:uid="{00000000-0005-0000-0000-00009D9E0000}"/>
    <cellStyle name="Normal 3 4 16 7" xfId="40615" xr:uid="{00000000-0005-0000-0000-00009E9E0000}"/>
    <cellStyle name="Normal 3 4 16 7 2" xfId="40616" xr:uid="{00000000-0005-0000-0000-00009F9E0000}"/>
    <cellStyle name="Normal 3 4 16 7 3" xfId="40617" xr:uid="{00000000-0005-0000-0000-0000A09E0000}"/>
    <cellStyle name="Normal 3 4 16 8" xfId="40618" xr:uid="{00000000-0005-0000-0000-0000A19E0000}"/>
    <cellStyle name="Normal 3 4 16 8 2" xfId="40619" xr:uid="{00000000-0005-0000-0000-0000A29E0000}"/>
    <cellStyle name="Normal 3 4 16 8 3" xfId="40620" xr:uid="{00000000-0005-0000-0000-0000A39E0000}"/>
    <cellStyle name="Normal 3 4 16 9" xfId="40621" xr:uid="{00000000-0005-0000-0000-0000A49E0000}"/>
    <cellStyle name="Normal 3 4 16 9 2" xfId="40622" xr:uid="{00000000-0005-0000-0000-0000A59E0000}"/>
    <cellStyle name="Normal 3 4 16 9 3" xfId="40623" xr:uid="{00000000-0005-0000-0000-0000A69E0000}"/>
    <cellStyle name="Normal 3 4 17" xfId="40624" xr:uid="{00000000-0005-0000-0000-0000A79E0000}"/>
    <cellStyle name="Normal 3 4 17 10" xfId="40625" xr:uid="{00000000-0005-0000-0000-0000A89E0000}"/>
    <cellStyle name="Normal 3 4 17 10 2" xfId="40626" xr:uid="{00000000-0005-0000-0000-0000A99E0000}"/>
    <cellStyle name="Normal 3 4 17 10 3" xfId="40627" xr:uid="{00000000-0005-0000-0000-0000AA9E0000}"/>
    <cellStyle name="Normal 3 4 17 11" xfId="40628" xr:uid="{00000000-0005-0000-0000-0000AB9E0000}"/>
    <cellStyle name="Normal 3 4 17 11 2" xfId="40629" xr:uid="{00000000-0005-0000-0000-0000AC9E0000}"/>
    <cellStyle name="Normal 3 4 17 11 3" xfId="40630" xr:uid="{00000000-0005-0000-0000-0000AD9E0000}"/>
    <cellStyle name="Normal 3 4 17 12" xfId="40631" xr:uid="{00000000-0005-0000-0000-0000AE9E0000}"/>
    <cellStyle name="Normal 3 4 17 12 2" xfId="40632" xr:uid="{00000000-0005-0000-0000-0000AF9E0000}"/>
    <cellStyle name="Normal 3 4 17 12 3" xfId="40633" xr:uid="{00000000-0005-0000-0000-0000B09E0000}"/>
    <cellStyle name="Normal 3 4 17 13" xfId="40634" xr:uid="{00000000-0005-0000-0000-0000B19E0000}"/>
    <cellStyle name="Normal 3 4 17 13 2" xfId="40635" xr:uid="{00000000-0005-0000-0000-0000B29E0000}"/>
    <cellStyle name="Normal 3 4 17 13 3" xfId="40636" xr:uid="{00000000-0005-0000-0000-0000B39E0000}"/>
    <cellStyle name="Normal 3 4 17 14" xfId="40637" xr:uid="{00000000-0005-0000-0000-0000B49E0000}"/>
    <cellStyle name="Normal 3 4 17 14 2" xfId="40638" xr:uid="{00000000-0005-0000-0000-0000B59E0000}"/>
    <cellStyle name="Normal 3 4 17 14 3" xfId="40639" xr:uid="{00000000-0005-0000-0000-0000B69E0000}"/>
    <cellStyle name="Normal 3 4 17 15" xfId="40640" xr:uid="{00000000-0005-0000-0000-0000B79E0000}"/>
    <cellStyle name="Normal 3 4 17 16" xfId="40641" xr:uid="{00000000-0005-0000-0000-0000B89E0000}"/>
    <cellStyle name="Normal 3 4 17 2" xfId="40642" xr:uid="{00000000-0005-0000-0000-0000B99E0000}"/>
    <cellStyle name="Normal 3 4 17 2 2" xfId="40643" xr:uid="{00000000-0005-0000-0000-0000BA9E0000}"/>
    <cellStyle name="Normal 3 4 17 2 3" xfId="40644" xr:uid="{00000000-0005-0000-0000-0000BB9E0000}"/>
    <cellStyle name="Normal 3 4 17 3" xfId="40645" xr:uid="{00000000-0005-0000-0000-0000BC9E0000}"/>
    <cellStyle name="Normal 3 4 17 3 2" xfId="40646" xr:uid="{00000000-0005-0000-0000-0000BD9E0000}"/>
    <cellStyle name="Normal 3 4 17 3 3" xfId="40647" xr:uid="{00000000-0005-0000-0000-0000BE9E0000}"/>
    <cellStyle name="Normal 3 4 17 4" xfId="40648" xr:uid="{00000000-0005-0000-0000-0000BF9E0000}"/>
    <cellStyle name="Normal 3 4 17 4 2" xfId="40649" xr:uid="{00000000-0005-0000-0000-0000C09E0000}"/>
    <cellStyle name="Normal 3 4 17 4 3" xfId="40650" xr:uid="{00000000-0005-0000-0000-0000C19E0000}"/>
    <cellStyle name="Normal 3 4 17 5" xfId="40651" xr:uid="{00000000-0005-0000-0000-0000C29E0000}"/>
    <cellStyle name="Normal 3 4 17 5 2" xfId="40652" xr:uid="{00000000-0005-0000-0000-0000C39E0000}"/>
    <cellStyle name="Normal 3 4 17 5 3" xfId="40653" xr:uid="{00000000-0005-0000-0000-0000C49E0000}"/>
    <cellStyle name="Normal 3 4 17 6" xfId="40654" xr:uid="{00000000-0005-0000-0000-0000C59E0000}"/>
    <cellStyle name="Normal 3 4 17 6 2" xfId="40655" xr:uid="{00000000-0005-0000-0000-0000C69E0000}"/>
    <cellStyle name="Normal 3 4 17 6 3" xfId="40656" xr:uid="{00000000-0005-0000-0000-0000C79E0000}"/>
    <cellStyle name="Normal 3 4 17 7" xfId="40657" xr:uid="{00000000-0005-0000-0000-0000C89E0000}"/>
    <cellStyle name="Normal 3 4 17 7 2" xfId="40658" xr:uid="{00000000-0005-0000-0000-0000C99E0000}"/>
    <cellStyle name="Normal 3 4 17 7 3" xfId="40659" xr:uid="{00000000-0005-0000-0000-0000CA9E0000}"/>
    <cellStyle name="Normal 3 4 17 8" xfId="40660" xr:uid="{00000000-0005-0000-0000-0000CB9E0000}"/>
    <cellStyle name="Normal 3 4 17 8 2" xfId="40661" xr:uid="{00000000-0005-0000-0000-0000CC9E0000}"/>
    <cellStyle name="Normal 3 4 17 8 3" xfId="40662" xr:uid="{00000000-0005-0000-0000-0000CD9E0000}"/>
    <cellStyle name="Normal 3 4 17 9" xfId="40663" xr:uid="{00000000-0005-0000-0000-0000CE9E0000}"/>
    <cellStyle name="Normal 3 4 17 9 2" xfId="40664" xr:uid="{00000000-0005-0000-0000-0000CF9E0000}"/>
    <cellStyle name="Normal 3 4 17 9 3" xfId="40665" xr:uid="{00000000-0005-0000-0000-0000D09E0000}"/>
    <cellStyle name="Normal 3 4 18" xfId="40666" xr:uid="{00000000-0005-0000-0000-0000D19E0000}"/>
    <cellStyle name="Normal 3 4 18 10" xfId="40667" xr:uid="{00000000-0005-0000-0000-0000D29E0000}"/>
    <cellStyle name="Normal 3 4 18 10 2" xfId="40668" xr:uid="{00000000-0005-0000-0000-0000D39E0000}"/>
    <cellStyle name="Normal 3 4 18 10 3" xfId="40669" xr:uid="{00000000-0005-0000-0000-0000D49E0000}"/>
    <cellStyle name="Normal 3 4 18 11" xfId="40670" xr:uid="{00000000-0005-0000-0000-0000D59E0000}"/>
    <cellStyle name="Normal 3 4 18 11 2" xfId="40671" xr:uid="{00000000-0005-0000-0000-0000D69E0000}"/>
    <cellStyle name="Normal 3 4 18 11 3" xfId="40672" xr:uid="{00000000-0005-0000-0000-0000D79E0000}"/>
    <cellStyle name="Normal 3 4 18 12" xfId="40673" xr:uid="{00000000-0005-0000-0000-0000D89E0000}"/>
    <cellStyle name="Normal 3 4 18 12 2" xfId="40674" xr:uid="{00000000-0005-0000-0000-0000D99E0000}"/>
    <cellStyle name="Normal 3 4 18 12 3" xfId="40675" xr:uid="{00000000-0005-0000-0000-0000DA9E0000}"/>
    <cellStyle name="Normal 3 4 18 13" xfId="40676" xr:uid="{00000000-0005-0000-0000-0000DB9E0000}"/>
    <cellStyle name="Normal 3 4 18 13 2" xfId="40677" xr:uid="{00000000-0005-0000-0000-0000DC9E0000}"/>
    <cellStyle name="Normal 3 4 18 13 3" xfId="40678" xr:uid="{00000000-0005-0000-0000-0000DD9E0000}"/>
    <cellStyle name="Normal 3 4 18 14" xfId="40679" xr:uid="{00000000-0005-0000-0000-0000DE9E0000}"/>
    <cellStyle name="Normal 3 4 18 14 2" xfId="40680" xr:uid="{00000000-0005-0000-0000-0000DF9E0000}"/>
    <cellStyle name="Normal 3 4 18 14 3" xfId="40681" xr:uid="{00000000-0005-0000-0000-0000E09E0000}"/>
    <cellStyle name="Normal 3 4 18 15" xfId="40682" xr:uid="{00000000-0005-0000-0000-0000E19E0000}"/>
    <cellStyle name="Normal 3 4 18 16" xfId="40683" xr:uid="{00000000-0005-0000-0000-0000E29E0000}"/>
    <cellStyle name="Normal 3 4 18 2" xfId="40684" xr:uid="{00000000-0005-0000-0000-0000E39E0000}"/>
    <cellStyle name="Normal 3 4 18 2 2" xfId="40685" xr:uid="{00000000-0005-0000-0000-0000E49E0000}"/>
    <cellStyle name="Normal 3 4 18 2 3" xfId="40686" xr:uid="{00000000-0005-0000-0000-0000E59E0000}"/>
    <cellStyle name="Normal 3 4 18 3" xfId="40687" xr:uid="{00000000-0005-0000-0000-0000E69E0000}"/>
    <cellStyle name="Normal 3 4 18 3 2" xfId="40688" xr:uid="{00000000-0005-0000-0000-0000E79E0000}"/>
    <cellStyle name="Normal 3 4 18 3 3" xfId="40689" xr:uid="{00000000-0005-0000-0000-0000E89E0000}"/>
    <cellStyle name="Normal 3 4 18 4" xfId="40690" xr:uid="{00000000-0005-0000-0000-0000E99E0000}"/>
    <cellStyle name="Normal 3 4 18 4 2" xfId="40691" xr:uid="{00000000-0005-0000-0000-0000EA9E0000}"/>
    <cellStyle name="Normal 3 4 18 4 3" xfId="40692" xr:uid="{00000000-0005-0000-0000-0000EB9E0000}"/>
    <cellStyle name="Normal 3 4 18 5" xfId="40693" xr:uid="{00000000-0005-0000-0000-0000EC9E0000}"/>
    <cellStyle name="Normal 3 4 18 5 2" xfId="40694" xr:uid="{00000000-0005-0000-0000-0000ED9E0000}"/>
    <cellStyle name="Normal 3 4 18 5 3" xfId="40695" xr:uid="{00000000-0005-0000-0000-0000EE9E0000}"/>
    <cellStyle name="Normal 3 4 18 6" xfId="40696" xr:uid="{00000000-0005-0000-0000-0000EF9E0000}"/>
    <cellStyle name="Normal 3 4 18 6 2" xfId="40697" xr:uid="{00000000-0005-0000-0000-0000F09E0000}"/>
    <cellStyle name="Normal 3 4 18 6 3" xfId="40698" xr:uid="{00000000-0005-0000-0000-0000F19E0000}"/>
    <cellStyle name="Normal 3 4 18 7" xfId="40699" xr:uid="{00000000-0005-0000-0000-0000F29E0000}"/>
    <cellStyle name="Normal 3 4 18 7 2" xfId="40700" xr:uid="{00000000-0005-0000-0000-0000F39E0000}"/>
    <cellStyle name="Normal 3 4 18 7 3" xfId="40701" xr:uid="{00000000-0005-0000-0000-0000F49E0000}"/>
    <cellStyle name="Normal 3 4 18 8" xfId="40702" xr:uid="{00000000-0005-0000-0000-0000F59E0000}"/>
    <cellStyle name="Normal 3 4 18 8 2" xfId="40703" xr:uid="{00000000-0005-0000-0000-0000F69E0000}"/>
    <cellStyle name="Normal 3 4 18 8 3" xfId="40704" xr:uid="{00000000-0005-0000-0000-0000F79E0000}"/>
    <cellStyle name="Normal 3 4 18 9" xfId="40705" xr:uid="{00000000-0005-0000-0000-0000F89E0000}"/>
    <cellStyle name="Normal 3 4 18 9 2" xfId="40706" xr:uid="{00000000-0005-0000-0000-0000F99E0000}"/>
    <cellStyle name="Normal 3 4 18 9 3" xfId="40707" xr:uid="{00000000-0005-0000-0000-0000FA9E0000}"/>
    <cellStyle name="Normal 3 4 19" xfId="40708" xr:uid="{00000000-0005-0000-0000-0000FB9E0000}"/>
    <cellStyle name="Normal 3 4 19 10" xfId="40709" xr:uid="{00000000-0005-0000-0000-0000FC9E0000}"/>
    <cellStyle name="Normal 3 4 19 10 2" xfId="40710" xr:uid="{00000000-0005-0000-0000-0000FD9E0000}"/>
    <cellStyle name="Normal 3 4 19 10 3" xfId="40711" xr:uid="{00000000-0005-0000-0000-0000FE9E0000}"/>
    <cellStyle name="Normal 3 4 19 11" xfId="40712" xr:uid="{00000000-0005-0000-0000-0000FF9E0000}"/>
    <cellStyle name="Normal 3 4 19 11 2" xfId="40713" xr:uid="{00000000-0005-0000-0000-0000009F0000}"/>
    <cellStyle name="Normal 3 4 19 11 3" xfId="40714" xr:uid="{00000000-0005-0000-0000-0000019F0000}"/>
    <cellStyle name="Normal 3 4 19 12" xfId="40715" xr:uid="{00000000-0005-0000-0000-0000029F0000}"/>
    <cellStyle name="Normal 3 4 19 12 2" xfId="40716" xr:uid="{00000000-0005-0000-0000-0000039F0000}"/>
    <cellStyle name="Normal 3 4 19 12 3" xfId="40717" xr:uid="{00000000-0005-0000-0000-0000049F0000}"/>
    <cellStyle name="Normal 3 4 19 13" xfId="40718" xr:uid="{00000000-0005-0000-0000-0000059F0000}"/>
    <cellStyle name="Normal 3 4 19 13 2" xfId="40719" xr:uid="{00000000-0005-0000-0000-0000069F0000}"/>
    <cellStyle name="Normal 3 4 19 13 3" xfId="40720" xr:uid="{00000000-0005-0000-0000-0000079F0000}"/>
    <cellStyle name="Normal 3 4 19 14" xfId="40721" xr:uid="{00000000-0005-0000-0000-0000089F0000}"/>
    <cellStyle name="Normal 3 4 19 14 2" xfId="40722" xr:uid="{00000000-0005-0000-0000-0000099F0000}"/>
    <cellStyle name="Normal 3 4 19 14 3" xfId="40723" xr:uid="{00000000-0005-0000-0000-00000A9F0000}"/>
    <cellStyle name="Normal 3 4 19 15" xfId="40724" xr:uid="{00000000-0005-0000-0000-00000B9F0000}"/>
    <cellStyle name="Normal 3 4 19 16" xfId="40725" xr:uid="{00000000-0005-0000-0000-00000C9F0000}"/>
    <cellStyle name="Normal 3 4 19 2" xfId="40726" xr:uid="{00000000-0005-0000-0000-00000D9F0000}"/>
    <cellStyle name="Normal 3 4 19 2 2" xfId="40727" xr:uid="{00000000-0005-0000-0000-00000E9F0000}"/>
    <cellStyle name="Normal 3 4 19 2 3" xfId="40728" xr:uid="{00000000-0005-0000-0000-00000F9F0000}"/>
    <cellStyle name="Normal 3 4 19 3" xfId="40729" xr:uid="{00000000-0005-0000-0000-0000109F0000}"/>
    <cellStyle name="Normal 3 4 19 3 2" xfId="40730" xr:uid="{00000000-0005-0000-0000-0000119F0000}"/>
    <cellStyle name="Normal 3 4 19 3 3" xfId="40731" xr:uid="{00000000-0005-0000-0000-0000129F0000}"/>
    <cellStyle name="Normal 3 4 19 4" xfId="40732" xr:uid="{00000000-0005-0000-0000-0000139F0000}"/>
    <cellStyle name="Normal 3 4 19 4 2" xfId="40733" xr:uid="{00000000-0005-0000-0000-0000149F0000}"/>
    <cellStyle name="Normal 3 4 19 4 3" xfId="40734" xr:uid="{00000000-0005-0000-0000-0000159F0000}"/>
    <cellStyle name="Normal 3 4 19 5" xfId="40735" xr:uid="{00000000-0005-0000-0000-0000169F0000}"/>
    <cellStyle name="Normal 3 4 19 5 2" xfId="40736" xr:uid="{00000000-0005-0000-0000-0000179F0000}"/>
    <cellStyle name="Normal 3 4 19 5 3" xfId="40737" xr:uid="{00000000-0005-0000-0000-0000189F0000}"/>
    <cellStyle name="Normal 3 4 19 6" xfId="40738" xr:uid="{00000000-0005-0000-0000-0000199F0000}"/>
    <cellStyle name="Normal 3 4 19 6 2" xfId="40739" xr:uid="{00000000-0005-0000-0000-00001A9F0000}"/>
    <cellStyle name="Normal 3 4 19 6 3" xfId="40740" xr:uid="{00000000-0005-0000-0000-00001B9F0000}"/>
    <cellStyle name="Normal 3 4 19 7" xfId="40741" xr:uid="{00000000-0005-0000-0000-00001C9F0000}"/>
    <cellStyle name="Normal 3 4 19 7 2" xfId="40742" xr:uid="{00000000-0005-0000-0000-00001D9F0000}"/>
    <cellStyle name="Normal 3 4 19 7 3" xfId="40743" xr:uid="{00000000-0005-0000-0000-00001E9F0000}"/>
    <cellStyle name="Normal 3 4 19 8" xfId="40744" xr:uid="{00000000-0005-0000-0000-00001F9F0000}"/>
    <cellStyle name="Normal 3 4 19 8 2" xfId="40745" xr:uid="{00000000-0005-0000-0000-0000209F0000}"/>
    <cellStyle name="Normal 3 4 19 8 3" xfId="40746" xr:uid="{00000000-0005-0000-0000-0000219F0000}"/>
    <cellStyle name="Normal 3 4 19 9" xfId="40747" xr:uid="{00000000-0005-0000-0000-0000229F0000}"/>
    <cellStyle name="Normal 3 4 19 9 2" xfId="40748" xr:uid="{00000000-0005-0000-0000-0000239F0000}"/>
    <cellStyle name="Normal 3 4 19 9 3" xfId="40749" xr:uid="{00000000-0005-0000-0000-0000249F0000}"/>
    <cellStyle name="Normal 3 4 2" xfId="40750" xr:uid="{00000000-0005-0000-0000-0000259F0000}"/>
    <cellStyle name="Normal 3 4 2 10" xfId="40751" xr:uid="{00000000-0005-0000-0000-0000269F0000}"/>
    <cellStyle name="Normal 3 4 2 10 10" xfId="40752" xr:uid="{00000000-0005-0000-0000-0000279F0000}"/>
    <cellStyle name="Normal 3 4 2 10 10 2" xfId="40753" xr:uid="{00000000-0005-0000-0000-0000289F0000}"/>
    <cellStyle name="Normal 3 4 2 10 10 3" xfId="40754" xr:uid="{00000000-0005-0000-0000-0000299F0000}"/>
    <cellStyle name="Normal 3 4 2 10 11" xfId="40755" xr:uid="{00000000-0005-0000-0000-00002A9F0000}"/>
    <cellStyle name="Normal 3 4 2 10 11 2" xfId="40756" xr:uid="{00000000-0005-0000-0000-00002B9F0000}"/>
    <cellStyle name="Normal 3 4 2 10 11 3" xfId="40757" xr:uid="{00000000-0005-0000-0000-00002C9F0000}"/>
    <cellStyle name="Normal 3 4 2 10 12" xfId="40758" xr:uid="{00000000-0005-0000-0000-00002D9F0000}"/>
    <cellStyle name="Normal 3 4 2 10 12 2" xfId="40759" xr:uid="{00000000-0005-0000-0000-00002E9F0000}"/>
    <cellStyle name="Normal 3 4 2 10 12 3" xfId="40760" xr:uid="{00000000-0005-0000-0000-00002F9F0000}"/>
    <cellStyle name="Normal 3 4 2 10 13" xfId="40761" xr:uid="{00000000-0005-0000-0000-0000309F0000}"/>
    <cellStyle name="Normal 3 4 2 10 13 2" xfId="40762" xr:uid="{00000000-0005-0000-0000-0000319F0000}"/>
    <cellStyle name="Normal 3 4 2 10 13 3" xfId="40763" xr:uid="{00000000-0005-0000-0000-0000329F0000}"/>
    <cellStyle name="Normal 3 4 2 10 14" xfId="40764" xr:uid="{00000000-0005-0000-0000-0000339F0000}"/>
    <cellStyle name="Normal 3 4 2 10 14 2" xfId="40765" xr:uid="{00000000-0005-0000-0000-0000349F0000}"/>
    <cellStyle name="Normal 3 4 2 10 14 3" xfId="40766" xr:uid="{00000000-0005-0000-0000-0000359F0000}"/>
    <cellStyle name="Normal 3 4 2 10 15" xfId="40767" xr:uid="{00000000-0005-0000-0000-0000369F0000}"/>
    <cellStyle name="Normal 3 4 2 10 16" xfId="40768" xr:uid="{00000000-0005-0000-0000-0000379F0000}"/>
    <cellStyle name="Normal 3 4 2 10 2" xfId="40769" xr:uid="{00000000-0005-0000-0000-0000389F0000}"/>
    <cellStyle name="Normal 3 4 2 10 2 2" xfId="40770" xr:uid="{00000000-0005-0000-0000-0000399F0000}"/>
    <cellStyle name="Normal 3 4 2 10 2 3" xfId="40771" xr:uid="{00000000-0005-0000-0000-00003A9F0000}"/>
    <cellStyle name="Normal 3 4 2 10 3" xfId="40772" xr:uid="{00000000-0005-0000-0000-00003B9F0000}"/>
    <cellStyle name="Normal 3 4 2 10 3 2" xfId="40773" xr:uid="{00000000-0005-0000-0000-00003C9F0000}"/>
    <cellStyle name="Normal 3 4 2 10 3 3" xfId="40774" xr:uid="{00000000-0005-0000-0000-00003D9F0000}"/>
    <cellStyle name="Normal 3 4 2 10 4" xfId="40775" xr:uid="{00000000-0005-0000-0000-00003E9F0000}"/>
    <cellStyle name="Normal 3 4 2 10 4 2" xfId="40776" xr:uid="{00000000-0005-0000-0000-00003F9F0000}"/>
    <cellStyle name="Normal 3 4 2 10 4 3" xfId="40777" xr:uid="{00000000-0005-0000-0000-0000409F0000}"/>
    <cellStyle name="Normal 3 4 2 10 5" xfId="40778" xr:uid="{00000000-0005-0000-0000-0000419F0000}"/>
    <cellStyle name="Normal 3 4 2 10 5 2" xfId="40779" xr:uid="{00000000-0005-0000-0000-0000429F0000}"/>
    <cellStyle name="Normal 3 4 2 10 5 3" xfId="40780" xr:uid="{00000000-0005-0000-0000-0000439F0000}"/>
    <cellStyle name="Normal 3 4 2 10 6" xfId="40781" xr:uid="{00000000-0005-0000-0000-0000449F0000}"/>
    <cellStyle name="Normal 3 4 2 10 6 2" xfId="40782" xr:uid="{00000000-0005-0000-0000-0000459F0000}"/>
    <cellStyle name="Normal 3 4 2 10 6 3" xfId="40783" xr:uid="{00000000-0005-0000-0000-0000469F0000}"/>
    <cellStyle name="Normal 3 4 2 10 7" xfId="40784" xr:uid="{00000000-0005-0000-0000-0000479F0000}"/>
    <cellStyle name="Normal 3 4 2 10 7 2" xfId="40785" xr:uid="{00000000-0005-0000-0000-0000489F0000}"/>
    <cellStyle name="Normal 3 4 2 10 7 3" xfId="40786" xr:uid="{00000000-0005-0000-0000-0000499F0000}"/>
    <cellStyle name="Normal 3 4 2 10 8" xfId="40787" xr:uid="{00000000-0005-0000-0000-00004A9F0000}"/>
    <cellStyle name="Normal 3 4 2 10 8 2" xfId="40788" xr:uid="{00000000-0005-0000-0000-00004B9F0000}"/>
    <cellStyle name="Normal 3 4 2 10 8 3" xfId="40789" xr:uid="{00000000-0005-0000-0000-00004C9F0000}"/>
    <cellStyle name="Normal 3 4 2 10 9" xfId="40790" xr:uid="{00000000-0005-0000-0000-00004D9F0000}"/>
    <cellStyle name="Normal 3 4 2 10 9 2" xfId="40791" xr:uid="{00000000-0005-0000-0000-00004E9F0000}"/>
    <cellStyle name="Normal 3 4 2 10 9 3" xfId="40792" xr:uid="{00000000-0005-0000-0000-00004F9F0000}"/>
    <cellStyle name="Normal 3 4 2 11" xfId="40793" xr:uid="{00000000-0005-0000-0000-0000509F0000}"/>
    <cellStyle name="Normal 3 4 2 11 10" xfId="40794" xr:uid="{00000000-0005-0000-0000-0000519F0000}"/>
    <cellStyle name="Normal 3 4 2 11 10 2" xfId="40795" xr:uid="{00000000-0005-0000-0000-0000529F0000}"/>
    <cellStyle name="Normal 3 4 2 11 10 3" xfId="40796" xr:uid="{00000000-0005-0000-0000-0000539F0000}"/>
    <cellStyle name="Normal 3 4 2 11 11" xfId="40797" xr:uid="{00000000-0005-0000-0000-0000549F0000}"/>
    <cellStyle name="Normal 3 4 2 11 11 2" xfId="40798" xr:uid="{00000000-0005-0000-0000-0000559F0000}"/>
    <cellStyle name="Normal 3 4 2 11 11 3" xfId="40799" xr:uid="{00000000-0005-0000-0000-0000569F0000}"/>
    <cellStyle name="Normal 3 4 2 11 12" xfId="40800" xr:uid="{00000000-0005-0000-0000-0000579F0000}"/>
    <cellStyle name="Normal 3 4 2 11 12 2" xfId="40801" xr:uid="{00000000-0005-0000-0000-0000589F0000}"/>
    <cellStyle name="Normal 3 4 2 11 12 3" xfId="40802" xr:uid="{00000000-0005-0000-0000-0000599F0000}"/>
    <cellStyle name="Normal 3 4 2 11 13" xfId="40803" xr:uid="{00000000-0005-0000-0000-00005A9F0000}"/>
    <cellStyle name="Normal 3 4 2 11 13 2" xfId="40804" xr:uid="{00000000-0005-0000-0000-00005B9F0000}"/>
    <cellStyle name="Normal 3 4 2 11 13 3" xfId="40805" xr:uid="{00000000-0005-0000-0000-00005C9F0000}"/>
    <cellStyle name="Normal 3 4 2 11 14" xfId="40806" xr:uid="{00000000-0005-0000-0000-00005D9F0000}"/>
    <cellStyle name="Normal 3 4 2 11 14 2" xfId="40807" xr:uid="{00000000-0005-0000-0000-00005E9F0000}"/>
    <cellStyle name="Normal 3 4 2 11 14 3" xfId="40808" xr:uid="{00000000-0005-0000-0000-00005F9F0000}"/>
    <cellStyle name="Normal 3 4 2 11 15" xfId="40809" xr:uid="{00000000-0005-0000-0000-0000609F0000}"/>
    <cellStyle name="Normal 3 4 2 11 16" xfId="40810" xr:uid="{00000000-0005-0000-0000-0000619F0000}"/>
    <cellStyle name="Normal 3 4 2 11 2" xfId="40811" xr:uid="{00000000-0005-0000-0000-0000629F0000}"/>
    <cellStyle name="Normal 3 4 2 11 2 2" xfId="40812" xr:uid="{00000000-0005-0000-0000-0000639F0000}"/>
    <cellStyle name="Normal 3 4 2 11 2 3" xfId="40813" xr:uid="{00000000-0005-0000-0000-0000649F0000}"/>
    <cellStyle name="Normal 3 4 2 11 3" xfId="40814" xr:uid="{00000000-0005-0000-0000-0000659F0000}"/>
    <cellStyle name="Normal 3 4 2 11 3 2" xfId="40815" xr:uid="{00000000-0005-0000-0000-0000669F0000}"/>
    <cellStyle name="Normal 3 4 2 11 3 3" xfId="40816" xr:uid="{00000000-0005-0000-0000-0000679F0000}"/>
    <cellStyle name="Normal 3 4 2 11 4" xfId="40817" xr:uid="{00000000-0005-0000-0000-0000689F0000}"/>
    <cellStyle name="Normal 3 4 2 11 4 2" xfId="40818" xr:uid="{00000000-0005-0000-0000-0000699F0000}"/>
    <cellStyle name="Normal 3 4 2 11 4 3" xfId="40819" xr:uid="{00000000-0005-0000-0000-00006A9F0000}"/>
    <cellStyle name="Normal 3 4 2 11 5" xfId="40820" xr:uid="{00000000-0005-0000-0000-00006B9F0000}"/>
    <cellStyle name="Normal 3 4 2 11 5 2" xfId="40821" xr:uid="{00000000-0005-0000-0000-00006C9F0000}"/>
    <cellStyle name="Normal 3 4 2 11 5 3" xfId="40822" xr:uid="{00000000-0005-0000-0000-00006D9F0000}"/>
    <cellStyle name="Normal 3 4 2 11 6" xfId="40823" xr:uid="{00000000-0005-0000-0000-00006E9F0000}"/>
    <cellStyle name="Normal 3 4 2 11 6 2" xfId="40824" xr:uid="{00000000-0005-0000-0000-00006F9F0000}"/>
    <cellStyle name="Normal 3 4 2 11 6 3" xfId="40825" xr:uid="{00000000-0005-0000-0000-0000709F0000}"/>
    <cellStyle name="Normal 3 4 2 11 7" xfId="40826" xr:uid="{00000000-0005-0000-0000-0000719F0000}"/>
    <cellStyle name="Normal 3 4 2 11 7 2" xfId="40827" xr:uid="{00000000-0005-0000-0000-0000729F0000}"/>
    <cellStyle name="Normal 3 4 2 11 7 3" xfId="40828" xr:uid="{00000000-0005-0000-0000-0000739F0000}"/>
    <cellStyle name="Normal 3 4 2 11 8" xfId="40829" xr:uid="{00000000-0005-0000-0000-0000749F0000}"/>
    <cellStyle name="Normal 3 4 2 11 8 2" xfId="40830" xr:uid="{00000000-0005-0000-0000-0000759F0000}"/>
    <cellStyle name="Normal 3 4 2 11 8 3" xfId="40831" xr:uid="{00000000-0005-0000-0000-0000769F0000}"/>
    <cellStyle name="Normal 3 4 2 11 9" xfId="40832" xr:uid="{00000000-0005-0000-0000-0000779F0000}"/>
    <cellStyle name="Normal 3 4 2 11 9 2" xfId="40833" xr:uid="{00000000-0005-0000-0000-0000789F0000}"/>
    <cellStyle name="Normal 3 4 2 11 9 3" xfId="40834" xr:uid="{00000000-0005-0000-0000-0000799F0000}"/>
    <cellStyle name="Normal 3 4 2 12" xfId="40835" xr:uid="{00000000-0005-0000-0000-00007A9F0000}"/>
    <cellStyle name="Normal 3 4 2 12 10" xfId="40836" xr:uid="{00000000-0005-0000-0000-00007B9F0000}"/>
    <cellStyle name="Normal 3 4 2 12 10 2" xfId="40837" xr:uid="{00000000-0005-0000-0000-00007C9F0000}"/>
    <cellStyle name="Normal 3 4 2 12 10 3" xfId="40838" xr:uid="{00000000-0005-0000-0000-00007D9F0000}"/>
    <cellStyle name="Normal 3 4 2 12 11" xfId="40839" xr:uid="{00000000-0005-0000-0000-00007E9F0000}"/>
    <cellStyle name="Normal 3 4 2 12 11 2" xfId="40840" xr:uid="{00000000-0005-0000-0000-00007F9F0000}"/>
    <cellStyle name="Normal 3 4 2 12 11 3" xfId="40841" xr:uid="{00000000-0005-0000-0000-0000809F0000}"/>
    <cellStyle name="Normal 3 4 2 12 12" xfId="40842" xr:uid="{00000000-0005-0000-0000-0000819F0000}"/>
    <cellStyle name="Normal 3 4 2 12 12 2" xfId="40843" xr:uid="{00000000-0005-0000-0000-0000829F0000}"/>
    <cellStyle name="Normal 3 4 2 12 12 3" xfId="40844" xr:uid="{00000000-0005-0000-0000-0000839F0000}"/>
    <cellStyle name="Normal 3 4 2 12 13" xfId="40845" xr:uid="{00000000-0005-0000-0000-0000849F0000}"/>
    <cellStyle name="Normal 3 4 2 12 13 2" xfId="40846" xr:uid="{00000000-0005-0000-0000-0000859F0000}"/>
    <cellStyle name="Normal 3 4 2 12 13 3" xfId="40847" xr:uid="{00000000-0005-0000-0000-0000869F0000}"/>
    <cellStyle name="Normal 3 4 2 12 14" xfId="40848" xr:uid="{00000000-0005-0000-0000-0000879F0000}"/>
    <cellStyle name="Normal 3 4 2 12 14 2" xfId="40849" xr:uid="{00000000-0005-0000-0000-0000889F0000}"/>
    <cellStyle name="Normal 3 4 2 12 14 3" xfId="40850" xr:uid="{00000000-0005-0000-0000-0000899F0000}"/>
    <cellStyle name="Normal 3 4 2 12 15" xfId="40851" xr:uid="{00000000-0005-0000-0000-00008A9F0000}"/>
    <cellStyle name="Normal 3 4 2 12 16" xfId="40852" xr:uid="{00000000-0005-0000-0000-00008B9F0000}"/>
    <cellStyle name="Normal 3 4 2 12 2" xfId="40853" xr:uid="{00000000-0005-0000-0000-00008C9F0000}"/>
    <cellStyle name="Normal 3 4 2 12 2 2" xfId="40854" xr:uid="{00000000-0005-0000-0000-00008D9F0000}"/>
    <cellStyle name="Normal 3 4 2 12 2 3" xfId="40855" xr:uid="{00000000-0005-0000-0000-00008E9F0000}"/>
    <cellStyle name="Normal 3 4 2 12 3" xfId="40856" xr:uid="{00000000-0005-0000-0000-00008F9F0000}"/>
    <cellStyle name="Normal 3 4 2 12 3 2" xfId="40857" xr:uid="{00000000-0005-0000-0000-0000909F0000}"/>
    <cellStyle name="Normal 3 4 2 12 3 3" xfId="40858" xr:uid="{00000000-0005-0000-0000-0000919F0000}"/>
    <cellStyle name="Normal 3 4 2 12 4" xfId="40859" xr:uid="{00000000-0005-0000-0000-0000929F0000}"/>
    <cellStyle name="Normal 3 4 2 12 4 2" xfId="40860" xr:uid="{00000000-0005-0000-0000-0000939F0000}"/>
    <cellStyle name="Normal 3 4 2 12 4 3" xfId="40861" xr:uid="{00000000-0005-0000-0000-0000949F0000}"/>
    <cellStyle name="Normal 3 4 2 12 5" xfId="40862" xr:uid="{00000000-0005-0000-0000-0000959F0000}"/>
    <cellStyle name="Normal 3 4 2 12 5 2" xfId="40863" xr:uid="{00000000-0005-0000-0000-0000969F0000}"/>
    <cellStyle name="Normal 3 4 2 12 5 3" xfId="40864" xr:uid="{00000000-0005-0000-0000-0000979F0000}"/>
    <cellStyle name="Normal 3 4 2 12 6" xfId="40865" xr:uid="{00000000-0005-0000-0000-0000989F0000}"/>
    <cellStyle name="Normal 3 4 2 12 6 2" xfId="40866" xr:uid="{00000000-0005-0000-0000-0000999F0000}"/>
    <cellStyle name="Normal 3 4 2 12 6 3" xfId="40867" xr:uid="{00000000-0005-0000-0000-00009A9F0000}"/>
    <cellStyle name="Normal 3 4 2 12 7" xfId="40868" xr:uid="{00000000-0005-0000-0000-00009B9F0000}"/>
    <cellStyle name="Normal 3 4 2 12 7 2" xfId="40869" xr:uid="{00000000-0005-0000-0000-00009C9F0000}"/>
    <cellStyle name="Normal 3 4 2 12 7 3" xfId="40870" xr:uid="{00000000-0005-0000-0000-00009D9F0000}"/>
    <cellStyle name="Normal 3 4 2 12 8" xfId="40871" xr:uid="{00000000-0005-0000-0000-00009E9F0000}"/>
    <cellStyle name="Normal 3 4 2 12 8 2" xfId="40872" xr:uid="{00000000-0005-0000-0000-00009F9F0000}"/>
    <cellStyle name="Normal 3 4 2 12 8 3" xfId="40873" xr:uid="{00000000-0005-0000-0000-0000A09F0000}"/>
    <cellStyle name="Normal 3 4 2 12 9" xfId="40874" xr:uid="{00000000-0005-0000-0000-0000A19F0000}"/>
    <cellStyle name="Normal 3 4 2 12 9 2" xfId="40875" xr:uid="{00000000-0005-0000-0000-0000A29F0000}"/>
    <cellStyle name="Normal 3 4 2 12 9 3" xfId="40876" xr:uid="{00000000-0005-0000-0000-0000A39F0000}"/>
    <cellStyle name="Normal 3 4 2 13" xfId="40877" xr:uid="{00000000-0005-0000-0000-0000A49F0000}"/>
    <cellStyle name="Normal 3 4 2 13 10" xfId="40878" xr:uid="{00000000-0005-0000-0000-0000A59F0000}"/>
    <cellStyle name="Normal 3 4 2 13 10 2" xfId="40879" xr:uid="{00000000-0005-0000-0000-0000A69F0000}"/>
    <cellStyle name="Normal 3 4 2 13 10 3" xfId="40880" xr:uid="{00000000-0005-0000-0000-0000A79F0000}"/>
    <cellStyle name="Normal 3 4 2 13 11" xfId="40881" xr:uid="{00000000-0005-0000-0000-0000A89F0000}"/>
    <cellStyle name="Normal 3 4 2 13 11 2" xfId="40882" xr:uid="{00000000-0005-0000-0000-0000A99F0000}"/>
    <cellStyle name="Normal 3 4 2 13 11 3" xfId="40883" xr:uid="{00000000-0005-0000-0000-0000AA9F0000}"/>
    <cellStyle name="Normal 3 4 2 13 12" xfId="40884" xr:uid="{00000000-0005-0000-0000-0000AB9F0000}"/>
    <cellStyle name="Normal 3 4 2 13 12 2" xfId="40885" xr:uid="{00000000-0005-0000-0000-0000AC9F0000}"/>
    <cellStyle name="Normal 3 4 2 13 12 3" xfId="40886" xr:uid="{00000000-0005-0000-0000-0000AD9F0000}"/>
    <cellStyle name="Normal 3 4 2 13 13" xfId="40887" xr:uid="{00000000-0005-0000-0000-0000AE9F0000}"/>
    <cellStyle name="Normal 3 4 2 13 13 2" xfId="40888" xr:uid="{00000000-0005-0000-0000-0000AF9F0000}"/>
    <cellStyle name="Normal 3 4 2 13 13 3" xfId="40889" xr:uid="{00000000-0005-0000-0000-0000B09F0000}"/>
    <cellStyle name="Normal 3 4 2 13 14" xfId="40890" xr:uid="{00000000-0005-0000-0000-0000B19F0000}"/>
    <cellStyle name="Normal 3 4 2 13 14 2" xfId="40891" xr:uid="{00000000-0005-0000-0000-0000B29F0000}"/>
    <cellStyle name="Normal 3 4 2 13 14 3" xfId="40892" xr:uid="{00000000-0005-0000-0000-0000B39F0000}"/>
    <cellStyle name="Normal 3 4 2 13 15" xfId="40893" xr:uid="{00000000-0005-0000-0000-0000B49F0000}"/>
    <cellStyle name="Normal 3 4 2 13 16" xfId="40894" xr:uid="{00000000-0005-0000-0000-0000B59F0000}"/>
    <cellStyle name="Normal 3 4 2 13 2" xfId="40895" xr:uid="{00000000-0005-0000-0000-0000B69F0000}"/>
    <cellStyle name="Normal 3 4 2 13 2 2" xfId="40896" xr:uid="{00000000-0005-0000-0000-0000B79F0000}"/>
    <cellStyle name="Normal 3 4 2 13 2 3" xfId="40897" xr:uid="{00000000-0005-0000-0000-0000B89F0000}"/>
    <cellStyle name="Normal 3 4 2 13 3" xfId="40898" xr:uid="{00000000-0005-0000-0000-0000B99F0000}"/>
    <cellStyle name="Normal 3 4 2 13 3 2" xfId="40899" xr:uid="{00000000-0005-0000-0000-0000BA9F0000}"/>
    <cellStyle name="Normal 3 4 2 13 3 3" xfId="40900" xr:uid="{00000000-0005-0000-0000-0000BB9F0000}"/>
    <cellStyle name="Normal 3 4 2 13 4" xfId="40901" xr:uid="{00000000-0005-0000-0000-0000BC9F0000}"/>
    <cellStyle name="Normal 3 4 2 13 4 2" xfId="40902" xr:uid="{00000000-0005-0000-0000-0000BD9F0000}"/>
    <cellStyle name="Normal 3 4 2 13 4 3" xfId="40903" xr:uid="{00000000-0005-0000-0000-0000BE9F0000}"/>
    <cellStyle name="Normal 3 4 2 13 5" xfId="40904" xr:uid="{00000000-0005-0000-0000-0000BF9F0000}"/>
    <cellStyle name="Normal 3 4 2 13 5 2" xfId="40905" xr:uid="{00000000-0005-0000-0000-0000C09F0000}"/>
    <cellStyle name="Normal 3 4 2 13 5 3" xfId="40906" xr:uid="{00000000-0005-0000-0000-0000C19F0000}"/>
    <cellStyle name="Normal 3 4 2 13 6" xfId="40907" xr:uid="{00000000-0005-0000-0000-0000C29F0000}"/>
    <cellStyle name="Normal 3 4 2 13 6 2" xfId="40908" xr:uid="{00000000-0005-0000-0000-0000C39F0000}"/>
    <cellStyle name="Normal 3 4 2 13 6 3" xfId="40909" xr:uid="{00000000-0005-0000-0000-0000C49F0000}"/>
    <cellStyle name="Normal 3 4 2 13 7" xfId="40910" xr:uid="{00000000-0005-0000-0000-0000C59F0000}"/>
    <cellStyle name="Normal 3 4 2 13 7 2" xfId="40911" xr:uid="{00000000-0005-0000-0000-0000C69F0000}"/>
    <cellStyle name="Normal 3 4 2 13 7 3" xfId="40912" xr:uid="{00000000-0005-0000-0000-0000C79F0000}"/>
    <cellStyle name="Normal 3 4 2 13 8" xfId="40913" xr:uid="{00000000-0005-0000-0000-0000C89F0000}"/>
    <cellStyle name="Normal 3 4 2 13 8 2" xfId="40914" xr:uid="{00000000-0005-0000-0000-0000C99F0000}"/>
    <cellStyle name="Normal 3 4 2 13 8 3" xfId="40915" xr:uid="{00000000-0005-0000-0000-0000CA9F0000}"/>
    <cellStyle name="Normal 3 4 2 13 9" xfId="40916" xr:uid="{00000000-0005-0000-0000-0000CB9F0000}"/>
    <cellStyle name="Normal 3 4 2 13 9 2" xfId="40917" xr:uid="{00000000-0005-0000-0000-0000CC9F0000}"/>
    <cellStyle name="Normal 3 4 2 13 9 3" xfId="40918" xr:uid="{00000000-0005-0000-0000-0000CD9F0000}"/>
    <cellStyle name="Normal 3 4 2 14" xfId="40919" xr:uid="{00000000-0005-0000-0000-0000CE9F0000}"/>
    <cellStyle name="Normal 3 4 2 14 10" xfId="40920" xr:uid="{00000000-0005-0000-0000-0000CF9F0000}"/>
    <cellStyle name="Normal 3 4 2 14 10 2" xfId="40921" xr:uid="{00000000-0005-0000-0000-0000D09F0000}"/>
    <cellStyle name="Normal 3 4 2 14 10 3" xfId="40922" xr:uid="{00000000-0005-0000-0000-0000D19F0000}"/>
    <cellStyle name="Normal 3 4 2 14 11" xfId="40923" xr:uid="{00000000-0005-0000-0000-0000D29F0000}"/>
    <cellStyle name="Normal 3 4 2 14 11 2" xfId="40924" xr:uid="{00000000-0005-0000-0000-0000D39F0000}"/>
    <cellStyle name="Normal 3 4 2 14 11 3" xfId="40925" xr:uid="{00000000-0005-0000-0000-0000D49F0000}"/>
    <cellStyle name="Normal 3 4 2 14 12" xfId="40926" xr:uid="{00000000-0005-0000-0000-0000D59F0000}"/>
    <cellStyle name="Normal 3 4 2 14 12 2" xfId="40927" xr:uid="{00000000-0005-0000-0000-0000D69F0000}"/>
    <cellStyle name="Normal 3 4 2 14 12 3" xfId="40928" xr:uid="{00000000-0005-0000-0000-0000D79F0000}"/>
    <cellStyle name="Normal 3 4 2 14 13" xfId="40929" xr:uid="{00000000-0005-0000-0000-0000D89F0000}"/>
    <cellStyle name="Normal 3 4 2 14 13 2" xfId="40930" xr:uid="{00000000-0005-0000-0000-0000D99F0000}"/>
    <cellStyle name="Normal 3 4 2 14 13 3" xfId="40931" xr:uid="{00000000-0005-0000-0000-0000DA9F0000}"/>
    <cellStyle name="Normal 3 4 2 14 14" xfId="40932" xr:uid="{00000000-0005-0000-0000-0000DB9F0000}"/>
    <cellStyle name="Normal 3 4 2 14 14 2" xfId="40933" xr:uid="{00000000-0005-0000-0000-0000DC9F0000}"/>
    <cellStyle name="Normal 3 4 2 14 14 3" xfId="40934" xr:uid="{00000000-0005-0000-0000-0000DD9F0000}"/>
    <cellStyle name="Normal 3 4 2 14 15" xfId="40935" xr:uid="{00000000-0005-0000-0000-0000DE9F0000}"/>
    <cellStyle name="Normal 3 4 2 14 16" xfId="40936" xr:uid="{00000000-0005-0000-0000-0000DF9F0000}"/>
    <cellStyle name="Normal 3 4 2 14 2" xfId="40937" xr:uid="{00000000-0005-0000-0000-0000E09F0000}"/>
    <cellStyle name="Normal 3 4 2 14 2 2" xfId="40938" xr:uid="{00000000-0005-0000-0000-0000E19F0000}"/>
    <cellStyle name="Normal 3 4 2 14 2 3" xfId="40939" xr:uid="{00000000-0005-0000-0000-0000E29F0000}"/>
    <cellStyle name="Normal 3 4 2 14 3" xfId="40940" xr:uid="{00000000-0005-0000-0000-0000E39F0000}"/>
    <cellStyle name="Normal 3 4 2 14 3 2" xfId="40941" xr:uid="{00000000-0005-0000-0000-0000E49F0000}"/>
    <cellStyle name="Normal 3 4 2 14 3 3" xfId="40942" xr:uid="{00000000-0005-0000-0000-0000E59F0000}"/>
    <cellStyle name="Normal 3 4 2 14 4" xfId="40943" xr:uid="{00000000-0005-0000-0000-0000E69F0000}"/>
    <cellStyle name="Normal 3 4 2 14 4 2" xfId="40944" xr:uid="{00000000-0005-0000-0000-0000E79F0000}"/>
    <cellStyle name="Normal 3 4 2 14 4 3" xfId="40945" xr:uid="{00000000-0005-0000-0000-0000E89F0000}"/>
    <cellStyle name="Normal 3 4 2 14 5" xfId="40946" xr:uid="{00000000-0005-0000-0000-0000E99F0000}"/>
    <cellStyle name="Normal 3 4 2 14 5 2" xfId="40947" xr:uid="{00000000-0005-0000-0000-0000EA9F0000}"/>
    <cellStyle name="Normal 3 4 2 14 5 3" xfId="40948" xr:uid="{00000000-0005-0000-0000-0000EB9F0000}"/>
    <cellStyle name="Normal 3 4 2 14 6" xfId="40949" xr:uid="{00000000-0005-0000-0000-0000EC9F0000}"/>
    <cellStyle name="Normal 3 4 2 14 6 2" xfId="40950" xr:uid="{00000000-0005-0000-0000-0000ED9F0000}"/>
    <cellStyle name="Normal 3 4 2 14 6 3" xfId="40951" xr:uid="{00000000-0005-0000-0000-0000EE9F0000}"/>
    <cellStyle name="Normal 3 4 2 14 7" xfId="40952" xr:uid="{00000000-0005-0000-0000-0000EF9F0000}"/>
    <cellStyle name="Normal 3 4 2 14 7 2" xfId="40953" xr:uid="{00000000-0005-0000-0000-0000F09F0000}"/>
    <cellStyle name="Normal 3 4 2 14 7 3" xfId="40954" xr:uid="{00000000-0005-0000-0000-0000F19F0000}"/>
    <cellStyle name="Normal 3 4 2 14 8" xfId="40955" xr:uid="{00000000-0005-0000-0000-0000F29F0000}"/>
    <cellStyle name="Normal 3 4 2 14 8 2" xfId="40956" xr:uid="{00000000-0005-0000-0000-0000F39F0000}"/>
    <cellStyle name="Normal 3 4 2 14 8 3" xfId="40957" xr:uid="{00000000-0005-0000-0000-0000F49F0000}"/>
    <cellStyle name="Normal 3 4 2 14 9" xfId="40958" xr:uid="{00000000-0005-0000-0000-0000F59F0000}"/>
    <cellStyle name="Normal 3 4 2 14 9 2" xfId="40959" xr:uid="{00000000-0005-0000-0000-0000F69F0000}"/>
    <cellStyle name="Normal 3 4 2 14 9 3" xfId="40960" xr:uid="{00000000-0005-0000-0000-0000F79F0000}"/>
    <cellStyle name="Normal 3 4 2 15" xfId="40961" xr:uid="{00000000-0005-0000-0000-0000F89F0000}"/>
    <cellStyle name="Normal 3 4 2 16" xfId="40962" xr:uid="{00000000-0005-0000-0000-0000F99F0000}"/>
    <cellStyle name="Normal 3 4 2 17" xfId="40963" xr:uid="{00000000-0005-0000-0000-0000FA9F0000}"/>
    <cellStyle name="Normal 3 4 2 17 10" xfId="40964" xr:uid="{00000000-0005-0000-0000-0000FB9F0000}"/>
    <cellStyle name="Normal 3 4 2 17 10 2" xfId="40965" xr:uid="{00000000-0005-0000-0000-0000FC9F0000}"/>
    <cellStyle name="Normal 3 4 2 17 10 3" xfId="40966" xr:uid="{00000000-0005-0000-0000-0000FD9F0000}"/>
    <cellStyle name="Normal 3 4 2 17 11" xfId="40967" xr:uid="{00000000-0005-0000-0000-0000FE9F0000}"/>
    <cellStyle name="Normal 3 4 2 17 11 2" xfId="40968" xr:uid="{00000000-0005-0000-0000-0000FF9F0000}"/>
    <cellStyle name="Normal 3 4 2 17 11 3" xfId="40969" xr:uid="{00000000-0005-0000-0000-000000A00000}"/>
    <cellStyle name="Normal 3 4 2 17 12" xfId="40970" xr:uid="{00000000-0005-0000-0000-000001A00000}"/>
    <cellStyle name="Normal 3 4 2 17 12 2" xfId="40971" xr:uid="{00000000-0005-0000-0000-000002A00000}"/>
    <cellStyle name="Normal 3 4 2 17 12 3" xfId="40972" xr:uid="{00000000-0005-0000-0000-000003A00000}"/>
    <cellStyle name="Normal 3 4 2 17 13" xfId="40973" xr:uid="{00000000-0005-0000-0000-000004A00000}"/>
    <cellStyle name="Normal 3 4 2 17 13 2" xfId="40974" xr:uid="{00000000-0005-0000-0000-000005A00000}"/>
    <cellStyle name="Normal 3 4 2 17 13 3" xfId="40975" xr:uid="{00000000-0005-0000-0000-000006A00000}"/>
    <cellStyle name="Normal 3 4 2 17 14" xfId="40976" xr:uid="{00000000-0005-0000-0000-000007A00000}"/>
    <cellStyle name="Normal 3 4 2 17 14 2" xfId="40977" xr:uid="{00000000-0005-0000-0000-000008A00000}"/>
    <cellStyle name="Normal 3 4 2 17 14 3" xfId="40978" xr:uid="{00000000-0005-0000-0000-000009A00000}"/>
    <cellStyle name="Normal 3 4 2 17 15" xfId="40979" xr:uid="{00000000-0005-0000-0000-00000AA00000}"/>
    <cellStyle name="Normal 3 4 2 17 16" xfId="40980" xr:uid="{00000000-0005-0000-0000-00000BA00000}"/>
    <cellStyle name="Normal 3 4 2 17 2" xfId="40981" xr:uid="{00000000-0005-0000-0000-00000CA00000}"/>
    <cellStyle name="Normal 3 4 2 17 2 2" xfId="40982" xr:uid="{00000000-0005-0000-0000-00000DA00000}"/>
    <cellStyle name="Normal 3 4 2 17 2 3" xfId="40983" xr:uid="{00000000-0005-0000-0000-00000EA00000}"/>
    <cellStyle name="Normal 3 4 2 17 3" xfId="40984" xr:uid="{00000000-0005-0000-0000-00000FA00000}"/>
    <cellStyle name="Normal 3 4 2 17 3 2" xfId="40985" xr:uid="{00000000-0005-0000-0000-000010A00000}"/>
    <cellStyle name="Normal 3 4 2 17 3 3" xfId="40986" xr:uid="{00000000-0005-0000-0000-000011A00000}"/>
    <cellStyle name="Normal 3 4 2 17 4" xfId="40987" xr:uid="{00000000-0005-0000-0000-000012A00000}"/>
    <cellStyle name="Normal 3 4 2 17 4 2" xfId="40988" xr:uid="{00000000-0005-0000-0000-000013A00000}"/>
    <cellStyle name="Normal 3 4 2 17 4 3" xfId="40989" xr:uid="{00000000-0005-0000-0000-000014A00000}"/>
    <cellStyle name="Normal 3 4 2 17 5" xfId="40990" xr:uid="{00000000-0005-0000-0000-000015A00000}"/>
    <cellStyle name="Normal 3 4 2 17 5 2" xfId="40991" xr:uid="{00000000-0005-0000-0000-000016A00000}"/>
    <cellStyle name="Normal 3 4 2 17 5 3" xfId="40992" xr:uid="{00000000-0005-0000-0000-000017A00000}"/>
    <cellStyle name="Normal 3 4 2 17 6" xfId="40993" xr:uid="{00000000-0005-0000-0000-000018A00000}"/>
    <cellStyle name="Normal 3 4 2 17 6 2" xfId="40994" xr:uid="{00000000-0005-0000-0000-000019A00000}"/>
    <cellStyle name="Normal 3 4 2 17 6 3" xfId="40995" xr:uid="{00000000-0005-0000-0000-00001AA00000}"/>
    <cellStyle name="Normal 3 4 2 17 7" xfId="40996" xr:uid="{00000000-0005-0000-0000-00001BA00000}"/>
    <cellStyle name="Normal 3 4 2 17 7 2" xfId="40997" xr:uid="{00000000-0005-0000-0000-00001CA00000}"/>
    <cellStyle name="Normal 3 4 2 17 7 3" xfId="40998" xr:uid="{00000000-0005-0000-0000-00001DA00000}"/>
    <cellStyle name="Normal 3 4 2 17 8" xfId="40999" xr:uid="{00000000-0005-0000-0000-00001EA00000}"/>
    <cellStyle name="Normal 3 4 2 17 8 2" xfId="41000" xr:uid="{00000000-0005-0000-0000-00001FA00000}"/>
    <cellStyle name="Normal 3 4 2 17 8 3" xfId="41001" xr:uid="{00000000-0005-0000-0000-000020A00000}"/>
    <cellStyle name="Normal 3 4 2 17 9" xfId="41002" xr:uid="{00000000-0005-0000-0000-000021A00000}"/>
    <cellStyle name="Normal 3 4 2 17 9 2" xfId="41003" xr:uid="{00000000-0005-0000-0000-000022A00000}"/>
    <cellStyle name="Normal 3 4 2 17 9 3" xfId="41004" xr:uid="{00000000-0005-0000-0000-000023A00000}"/>
    <cellStyle name="Normal 3 4 2 18" xfId="41005" xr:uid="{00000000-0005-0000-0000-000024A00000}"/>
    <cellStyle name="Normal 3 4 2 18 10" xfId="41006" xr:uid="{00000000-0005-0000-0000-000025A00000}"/>
    <cellStyle name="Normal 3 4 2 18 10 2" xfId="41007" xr:uid="{00000000-0005-0000-0000-000026A00000}"/>
    <cellStyle name="Normal 3 4 2 18 10 3" xfId="41008" xr:uid="{00000000-0005-0000-0000-000027A00000}"/>
    <cellStyle name="Normal 3 4 2 18 11" xfId="41009" xr:uid="{00000000-0005-0000-0000-000028A00000}"/>
    <cellStyle name="Normal 3 4 2 18 11 2" xfId="41010" xr:uid="{00000000-0005-0000-0000-000029A00000}"/>
    <cellStyle name="Normal 3 4 2 18 11 3" xfId="41011" xr:uid="{00000000-0005-0000-0000-00002AA00000}"/>
    <cellStyle name="Normal 3 4 2 18 12" xfId="41012" xr:uid="{00000000-0005-0000-0000-00002BA00000}"/>
    <cellStyle name="Normal 3 4 2 18 12 2" xfId="41013" xr:uid="{00000000-0005-0000-0000-00002CA00000}"/>
    <cellStyle name="Normal 3 4 2 18 12 3" xfId="41014" xr:uid="{00000000-0005-0000-0000-00002DA00000}"/>
    <cellStyle name="Normal 3 4 2 18 13" xfId="41015" xr:uid="{00000000-0005-0000-0000-00002EA00000}"/>
    <cellStyle name="Normal 3 4 2 18 13 2" xfId="41016" xr:uid="{00000000-0005-0000-0000-00002FA00000}"/>
    <cellStyle name="Normal 3 4 2 18 13 3" xfId="41017" xr:uid="{00000000-0005-0000-0000-000030A00000}"/>
    <cellStyle name="Normal 3 4 2 18 14" xfId="41018" xr:uid="{00000000-0005-0000-0000-000031A00000}"/>
    <cellStyle name="Normal 3 4 2 18 14 2" xfId="41019" xr:uid="{00000000-0005-0000-0000-000032A00000}"/>
    <cellStyle name="Normal 3 4 2 18 14 3" xfId="41020" xr:uid="{00000000-0005-0000-0000-000033A00000}"/>
    <cellStyle name="Normal 3 4 2 18 15" xfId="41021" xr:uid="{00000000-0005-0000-0000-000034A00000}"/>
    <cellStyle name="Normal 3 4 2 18 16" xfId="41022" xr:uid="{00000000-0005-0000-0000-000035A00000}"/>
    <cellStyle name="Normal 3 4 2 18 2" xfId="41023" xr:uid="{00000000-0005-0000-0000-000036A00000}"/>
    <cellStyle name="Normal 3 4 2 18 2 2" xfId="41024" xr:uid="{00000000-0005-0000-0000-000037A00000}"/>
    <cellStyle name="Normal 3 4 2 18 2 3" xfId="41025" xr:uid="{00000000-0005-0000-0000-000038A00000}"/>
    <cellStyle name="Normal 3 4 2 18 3" xfId="41026" xr:uid="{00000000-0005-0000-0000-000039A00000}"/>
    <cellStyle name="Normal 3 4 2 18 3 2" xfId="41027" xr:uid="{00000000-0005-0000-0000-00003AA00000}"/>
    <cellStyle name="Normal 3 4 2 18 3 3" xfId="41028" xr:uid="{00000000-0005-0000-0000-00003BA00000}"/>
    <cellStyle name="Normal 3 4 2 18 4" xfId="41029" xr:uid="{00000000-0005-0000-0000-00003CA00000}"/>
    <cellStyle name="Normal 3 4 2 18 4 2" xfId="41030" xr:uid="{00000000-0005-0000-0000-00003DA00000}"/>
    <cellStyle name="Normal 3 4 2 18 4 3" xfId="41031" xr:uid="{00000000-0005-0000-0000-00003EA00000}"/>
    <cellStyle name="Normal 3 4 2 18 5" xfId="41032" xr:uid="{00000000-0005-0000-0000-00003FA00000}"/>
    <cellStyle name="Normal 3 4 2 18 5 2" xfId="41033" xr:uid="{00000000-0005-0000-0000-000040A00000}"/>
    <cellStyle name="Normal 3 4 2 18 5 3" xfId="41034" xr:uid="{00000000-0005-0000-0000-000041A00000}"/>
    <cellStyle name="Normal 3 4 2 18 6" xfId="41035" xr:uid="{00000000-0005-0000-0000-000042A00000}"/>
    <cellStyle name="Normal 3 4 2 18 6 2" xfId="41036" xr:uid="{00000000-0005-0000-0000-000043A00000}"/>
    <cellStyle name="Normal 3 4 2 18 6 3" xfId="41037" xr:uid="{00000000-0005-0000-0000-000044A00000}"/>
    <cellStyle name="Normal 3 4 2 18 7" xfId="41038" xr:uid="{00000000-0005-0000-0000-000045A00000}"/>
    <cellStyle name="Normal 3 4 2 18 7 2" xfId="41039" xr:uid="{00000000-0005-0000-0000-000046A00000}"/>
    <cellStyle name="Normal 3 4 2 18 7 3" xfId="41040" xr:uid="{00000000-0005-0000-0000-000047A00000}"/>
    <cellStyle name="Normal 3 4 2 18 8" xfId="41041" xr:uid="{00000000-0005-0000-0000-000048A00000}"/>
    <cellStyle name="Normal 3 4 2 18 8 2" xfId="41042" xr:uid="{00000000-0005-0000-0000-000049A00000}"/>
    <cellStyle name="Normal 3 4 2 18 8 3" xfId="41043" xr:uid="{00000000-0005-0000-0000-00004AA00000}"/>
    <cellStyle name="Normal 3 4 2 18 9" xfId="41044" xr:uid="{00000000-0005-0000-0000-00004BA00000}"/>
    <cellStyle name="Normal 3 4 2 18 9 2" xfId="41045" xr:uid="{00000000-0005-0000-0000-00004CA00000}"/>
    <cellStyle name="Normal 3 4 2 18 9 3" xfId="41046" xr:uid="{00000000-0005-0000-0000-00004DA00000}"/>
    <cellStyle name="Normal 3 4 2 2" xfId="41047" xr:uid="{00000000-0005-0000-0000-00004EA00000}"/>
    <cellStyle name="Normal 3 4 2 2 10" xfId="41048" xr:uid="{00000000-0005-0000-0000-00004FA00000}"/>
    <cellStyle name="Normal 3 4 2 2 10 2" xfId="41049" xr:uid="{00000000-0005-0000-0000-000050A00000}"/>
    <cellStyle name="Normal 3 4 2 2 10 3" xfId="41050" xr:uid="{00000000-0005-0000-0000-000051A00000}"/>
    <cellStyle name="Normal 3 4 2 2 11" xfId="41051" xr:uid="{00000000-0005-0000-0000-000052A00000}"/>
    <cellStyle name="Normal 3 4 2 2 11 2" xfId="41052" xr:uid="{00000000-0005-0000-0000-000053A00000}"/>
    <cellStyle name="Normal 3 4 2 2 11 3" xfId="41053" xr:uid="{00000000-0005-0000-0000-000054A00000}"/>
    <cellStyle name="Normal 3 4 2 2 12" xfId="41054" xr:uid="{00000000-0005-0000-0000-000055A00000}"/>
    <cellStyle name="Normal 3 4 2 2 12 2" xfId="41055" xr:uid="{00000000-0005-0000-0000-000056A00000}"/>
    <cellStyle name="Normal 3 4 2 2 12 3" xfId="41056" xr:uid="{00000000-0005-0000-0000-000057A00000}"/>
    <cellStyle name="Normal 3 4 2 2 13" xfId="41057" xr:uid="{00000000-0005-0000-0000-000058A00000}"/>
    <cellStyle name="Normal 3 4 2 2 13 2" xfId="41058" xr:uid="{00000000-0005-0000-0000-000059A00000}"/>
    <cellStyle name="Normal 3 4 2 2 13 3" xfId="41059" xr:uid="{00000000-0005-0000-0000-00005AA00000}"/>
    <cellStyle name="Normal 3 4 2 2 14" xfId="41060" xr:uid="{00000000-0005-0000-0000-00005BA00000}"/>
    <cellStyle name="Normal 3 4 2 2 14 2" xfId="41061" xr:uid="{00000000-0005-0000-0000-00005CA00000}"/>
    <cellStyle name="Normal 3 4 2 2 14 3" xfId="41062" xr:uid="{00000000-0005-0000-0000-00005DA00000}"/>
    <cellStyle name="Normal 3 4 2 2 15" xfId="41063" xr:uid="{00000000-0005-0000-0000-00005EA00000}"/>
    <cellStyle name="Normal 3 4 2 2 15 2" xfId="41064" xr:uid="{00000000-0005-0000-0000-00005FA00000}"/>
    <cellStyle name="Normal 3 4 2 2 15 3" xfId="41065" xr:uid="{00000000-0005-0000-0000-000060A00000}"/>
    <cellStyle name="Normal 3 4 2 2 16" xfId="41066" xr:uid="{00000000-0005-0000-0000-000061A00000}"/>
    <cellStyle name="Normal 3 4 2 2 16 2" xfId="41067" xr:uid="{00000000-0005-0000-0000-000062A00000}"/>
    <cellStyle name="Normal 3 4 2 2 16 3" xfId="41068" xr:uid="{00000000-0005-0000-0000-000063A00000}"/>
    <cellStyle name="Normal 3 4 2 2 17" xfId="41069" xr:uid="{00000000-0005-0000-0000-000064A00000}"/>
    <cellStyle name="Normal 3 4 2 2 17 2" xfId="41070" xr:uid="{00000000-0005-0000-0000-000065A00000}"/>
    <cellStyle name="Normal 3 4 2 2 17 3" xfId="41071" xr:uid="{00000000-0005-0000-0000-000066A00000}"/>
    <cellStyle name="Normal 3 4 2 2 18" xfId="41072" xr:uid="{00000000-0005-0000-0000-000067A00000}"/>
    <cellStyle name="Normal 3 4 2 2 19" xfId="41073" xr:uid="{00000000-0005-0000-0000-000068A00000}"/>
    <cellStyle name="Normal 3 4 2 2 2" xfId="41074" xr:uid="{00000000-0005-0000-0000-000069A00000}"/>
    <cellStyle name="Normal 3 4 2 2 3" xfId="41075" xr:uid="{00000000-0005-0000-0000-00006AA00000}"/>
    <cellStyle name="Normal 3 4 2 2 4" xfId="41076" xr:uid="{00000000-0005-0000-0000-00006BA00000}"/>
    <cellStyle name="Normal 3 4 2 2 5" xfId="41077" xr:uid="{00000000-0005-0000-0000-00006CA00000}"/>
    <cellStyle name="Normal 3 4 2 2 5 2" xfId="41078" xr:uid="{00000000-0005-0000-0000-00006DA00000}"/>
    <cellStyle name="Normal 3 4 2 2 5 3" xfId="41079" xr:uid="{00000000-0005-0000-0000-00006EA00000}"/>
    <cellStyle name="Normal 3 4 2 2 6" xfId="41080" xr:uid="{00000000-0005-0000-0000-00006FA00000}"/>
    <cellStyle name="Normal 3 4 2 2 6 2" xfId="41081" xr:uid="{00000000-0005-0000-0000-000070A00000}"/>
    <cellStyle name="Normal 3 4 2 2 6 3" xfId="41082" xr:uid="{00000000-0005-0000-0000-000071A00000}"/>
    <cellStyle name="Normal 3 4 2 2 7" xfId="41083" xr:uid="{00000000-0005-0000-0000-000072A00000}"/>
    <cellStyle name="Normal 3 4 2 2 7 2" xfId="41084" xr:uid="{00000000-0005-0000-0000-000073A00000}"/>
    <cellStyle name="Normal 3 4 2 2 7 3" xfId="41085" xr:uid="{00000000-0005-0000-0000-000074A00000}"/>
    <cellStyle name="Normal 3 4 2 2 8" xfId="41086" xr:uid="{00000000-0005-0000-0000-000075A00000}"/>
    <cellStyle name="Normal 3 4 2 2 8 2" xfId="41087" xr:uid="{00000000-0005-0000-0000-000076A00000}"/>
    <cellStyle name="Normal 3 4 2 2 8 3" xfId="41088" xr:uid="{00000000-0005-0000-0000-000077A00000}"/>
    <cellStyle name="Normal 3 4 2 2 9" xfId="41089" xr:uid="{00000000-0005-0000-0000-000078A00000}"/>
    <cellStyle name="Normal 3 4 2 2 9 2" xfId="41090" xr:uid="{00000000-0005-0000-0000-000079A00000}"/>
    <cellStyle name="Normal 3 4 2 2 9 3" xfId="41091" xr:uid="{00000000-0005-0000-0000-00007AA00000}"/>
    <cellStyle name="Normal 3 4 2 3" xfId="41092" xr:uid="{00000000-0005-0000-0000-00007BA00000}"/>
    <cellStyle name="Normal 3 4 2 4" xfId="41093" xr:uid="{00000000-0005-0000-0000-00007CA00000}"/>
    <cellStyle name="Normal 3 4 2 5" xfId="41094" xr:uid="{00000000-0005-0000-0000-00007DA00000}"/>
    <cellStyle name="Normal 3 4 2 6" xfId="41095" xr:uid="{00000000-0005-0000-0000-00007EA00000}"/>
    <cellStyle name="Normal 3 4 2 6 10" xfId="41096" xr:uid="{00000000-0005-0000-0000-00007FA00000}"/>
    <cellStyle name="Normal 3 4 2 6 10 2" xfId="41097" xr:uid="{00000000-0005-0000-0000-000080A00000}"/>
    <cellStyle name="Normal 3 4 2 6 10 3" xfId="41098" xr:uid="{00000000-0005-0000-0000-000081A00000}"/>
    <cellStyle name="Normal 3 4 2 6 11" xfId="41099" xr:uid="{00000000-0005-0000-0000-000082A00000}"/>
    <cellStyle name="Normal 3 4 2 6 11 2" xfId="41100" xr:uid="{00000000-0005-0000-0000-000083A00000}"/>
    <cellStyle name="Normal 3 4 2 6 11 3" xfId="41101" xr:uid="{00000000-0005-0000-0000-000084A00000}"/>
    <cellStyle name="Normal 3 4 2 6 12" xfId="41102" xr:uid="{00000000-0005-0000-0000-000085A00000}"/>
    <cellStyle name="Normal 3 4 2 6 12 2" xfId="41103" xr:uid="{00000000-0005-0000-0000-000086A00000}"/>
    <cellStyle name="Normal 3 4 2 6 12 3" xfId="41104" xr:uid="{00000000-0005-0000-0000-000087A00000}"/>
    <cellStyle name="Normal 3 4 2 6 13" xfId="41105" xr:uid="{00000000-0005-0000-0000-000088A00000}"/>
    <cellStyle name="Normal 3 4 2 6 13 2" xfId="41106" xr:uid="{00000000-0005-0000-0000-000089A00000}"/>
    <cellStyle name="Normal 3 4 2 6 13 3" xfId="41107" xr:uid="{00000000-0005-0000-0000-00008AA00000}"/>
    <cellStyle name="Normal 3 4 2 6 14" xfId="41108" xr:uid="{00000000-0005-0000-0000-00008BA00000}"/>
    <cellStyle name="Normal 3 4 2 6 14 2" xfId="41109" xr:uid="{00000000-0005-0000-0000-00008CA00000}"/>
    <cellStyle name="Normal 3 4 2 6 14 3" xfId="41110" xr:uid="{00000000-0005-0000-0000-00008DA00000}"/>
    <cellStyle name="Normal 3 4 2 6 15" xfId="41111" xr:uid="{00000000-0005-0000-0000-00008EA00000}"/>
    <cellStyle name="Normal 3 4 2 6 15 2" xfId="41112" xr:uid="{00000000-0005-0000-0000-00008FA00000}"/>
    <cellStyle name="Normal 3 4 2 6 15 3" xfId="41113" xr:uid="{00000000-0005-0000-0000-000090A00000}"/>
    <cellStyle name="Normal 3 4 2 6 16" xfId="41114" xr:uid="{00000000-0005-0000-0000-000091A00000}"/>
    <cellStyle name="Normal 3 4 2 6 17" xfId="41115" xr:uid="{00000000-0005-0000-0000-000092A00000}"/>
    <cellStyle name="Normal 3 4 2 6 2" xfId="41116" xr:uid="{00000000-0005-0000-0000-000093A00000}"/>
    <cellStyle name="Normal 3 4 2 6 2 10" xfId="41117" xr:uid="{00000000-0005-0000-0000-000094A00000}"/>
    <cellStyle name="Normal 3 4 2 6 2 10 2" xfId="41118" xr:uid="{00000000-0005-0000-0000-000095A00000}"/>
    <cellStyle name="Normal 3 4 2 6 2 10 3" xfId="41119" xr:uid="{00000000-0005-0000-0000-000096A00000}"/>
    <cellStyle name="Normal 3 4 2 6 2 11" xfId="41120" xr:uid="{00000000-0005-0000-0000-000097A00000}"/>
    <cellStyle name="Normal 3 4 2 6 2 11 2" xfId="41121" xr:uid="{00000000-0005-0000-0000-000098A00000}"/>
    <cellStyle name="Normal 3 4 2 6 2 11 3" xfId="41122" xr:uid="{00000000-0005-0000-0000-000099A00000}"/>
    <cellStyle name="Normal 3 4 2 6 2 12" xfId="41123" xr:uid="{00000000-0005-0000-0000-00009AA00000}"/>
    <cellStyle name="Normal 3 4 2 6 2 12 2" xfId="41124" xr:uid="{00000000-0005-0000-0000-00009BA00000}"/>
    <cellStyle name="Normal 3 4 2 6 2 12 3" xfId="41125" xr:uid="{00000000-0005-0000-0000-00009CA00000}"/>
    <cellStyle name="Normal 3 4 2 6 2 13" xfId="41126" xr:uid="{00000000-0005-0000-0000-00009DA00000}"/>
    <cellStyle name="Normal 3 4 2 6 2 13 2" xfId="41127" xr:uid="{00000000-0005-0000-0000-00009EA00000}"/>
    <cellStyle name="Normal 3 4 2 6 2 13 3" xfId="41128" xr:uid="{00000000-0005-0000-0000-00009FA00000}"/>
    <cellStyle name="Normal 3 4 2 6 2 14" xfId="41129" xr:uid="{00000000-0005-0000-0000-0000A0A00000}"/>
    <cellStyle name="Normal 3 4 2 6 2 14 2" xfId="41130" xr:uid="{00000000-0005-0000-0000-0000A1A00000}"/>
    <cellStyle name="Normal 3 4 2 6 2 14 3" xfId="41131" xr:uid="{00000000-0005-0000-0000-0000A2A00000}"/>
    <cellStyle name="Normal 3 4 2 6 2 15" xfId="41132" xr:uid="{00000000-0005-0000-0000-0000A3A00000}"/>
    <cellStyle name="Normal 3 4 2 6 2 16" xfId="41133" xr:uid="{00000000-0005-0000-0000-0000A4A00000}"/>
    <cellStyle name="Normal 3 4 2 6 2 2" xfId="41134" xr:uid="{00000000-0005-0000-0000-0000A5A00000}"/>
    <cellStyle name="Normal 3 4 2 6 2 2 2" xfId="41135" xr:uid="{00000000-0005-0000-0000-0000A6A00000}"/>
    <cellStyle name="Normal 3 4 2 6 2 2 3" xfId="41136" xr:uid="{00000000-0005-0000-0000-0000A7A00000}"/>
    <cellStyle name="Normal 3 4 2 6 2 3" xfId="41137" xr:uid="{00000000-0005-0000-0000-0000A8A00000}"/>
    <cellStyle name="Normal 3 4 2 6 2 3 2" xfId="41138" xr:uid="{00000000-0005-0000-0000-0000A9A00000}"/>
    <cellStyle name="Normal 3 4 2 6 2 3 3" xfId="41139" xr:uid="{00000000-0005-0000-0000-0000AAA00000}"/>
    <cellStyle name="Normal 3 4 2 6 2 4" xfId="41140" xr:uid="{00000000-0005-0000-0000-0000ABA00000}"/>
    <cellStyle name="Normal 3 4 2 6 2 4 2" xfId="41141" xr:uid="{00000000-0005-0000-0000-0000ACA00000}"/>
    <cellStyle name="Normal 3 4 2 6 2 4 3" xfId="41142" xr:uid="{00000000-0005-0000-0000-0000ADA00000}"/>
    <cellStyle name="Normal 3 4 2 6 2 5" xfId="41143" xr:uid="{00000000-0005-0000-0000-0000AEA00000}"/>
    <cellStyle name="Normal 3 4 2 6 2 5 2" xfId="41144" xr:uid="{00000000-0005-0000-0000-0000AFA00000}"/>
    <cellStyle name="Normal 3 4 2 6 2 5 3" xfId="41145" xr:uid="{00000000-0005-0000-0000-0000B0A00000}"/>
    <cellStyle name="Normal 3 4 2 6 2 6" xfId="41146" xr:uid="{00000000-0005-0000-0000-0000B1A00000}"/>
    <cellStyle name="Normal 3 4 2 6 2 6 2" xfId="41147" xr:uid="{00000000-0005-0000-0000-0000B2A00000}"/>
    <cellStyle name="Normal 3 4 2 6 2 6 3" xfId="41148" xr:uid="{00000000-0005-0000-0000-0000B3A00000}"/>
    <cellStyle name="Normal 3 4 2 6 2 7" xfId="41149" xr:uid="{00000000-0005-0000-0000-0000B4A00000}"/>
    <cellStyle name="Normal 3 4 2 6 2 7 2" xfId="41150" xr:uid="{00000000-0005-0000-0000-0000B5A00000}"/>
    <cellStyle name="Normal 3 4 2 6 2 7 3" xfId="41151" xr:uid="{00000000-0005-0000-0000-0000B6A00000}"/>
    <cellStyle name="Normal 3 4 2 6 2 8" xfId="41152" xr:uid="{00000000-0005-0000-0000-0000B7A00000}"/>
    <cellStyle name="Normal 3 4 2 6 2 8 2" xfId="41153" xr:uid="{00000000-0005-0000-0000-0000B8A00000}"/>
    <cellStyle name="Normal 3 4 2 6 2 8 3" xfId="41154" xr:uid="{00000000-0005-0000-0000-0000B9A00000}"/>
    <cellStyle name="Normal 3 4 2 6 2 9" xfId="41155" xr:uid="{00000000-0005-0000-0000-0000BAA00000}"/>
    <cellStyle name="Normal 3 4 2 6 2 9 2" xfId="41156" xr:uid="{00000000-0005-0000-0000-0000BBA00000}"/>
    <cellStyle name="Normal 3 4 2 6 2 9 3" xfId="41157" xr:uid="{00000000-0005-0000-0000-0000BCA00000}"/>
    <cellStyle name="Normal 3 4 2 6 3" xfId="41158" xr:uid="{00000000-0005-0000-0000-0000BDA00000}"/>
    <cellStyle name="Normal 3 4 2 6 3 2" xfId="41159" xr:uid="{00000000-0005-0000-0000-0000BEA00000}"/>
    <cellStyle name="Normal 3 4 2 6 3 3" xfId="41160" xr:uid="{00000000-0005-0000-0000-0000BFA00000}"/>
    <cellStyle name="Normal 3 4 2 6 4" xfId="41161" xr:uid="{00000000-0005-0000-0000-0000C0A00000}"/>
    <cellStyle name="Normal 3 4 2 6 4 2" xfId="41162" xr:uid="{00000000-0005-0000-0000-0000C1A00000}"/>
    <cellStyle name="Normal 3 4 2 6 4 3" xfId="41163" xr:uid="{00000000-0005-0000-0000-0000C2A00000}"/>
    <cellStyle name="Normal 3 4 2 6 5" xfId="41164" xr:uid="{00000000-0005-0000-0000-0000C3A00000}"/>
    <cellStyle name="Normal 3 4 2 6 5 2" xfId="41165" xr:uid="{00000000-0005-0000-0000-0000C4A00000}"/>
    <cellStyle name="Normal 3 4 2 6 5 3" xfId="41166" xr:uid="{00000000-0005-0000-0000-0000C5A00000}"/>
    <cellStyle name="Normal 3 4 2 6 6" xfId="41167" xr:uid="{00000000-0005-0000-0000-0000C6A00000}"/>
    <cellStyle name="Normal 3 4 2 6 6 2" xfId="41168" xr:uid="{00000000-0005-0000-0000-0000C7A00000}"/>
    <cellStyle name="Normal 3 4 2 6 6 3" xfId="41169" xr:uid="{00000000-0005-0000-0000-0000C8A00000}"/>
    <cellStyle name="Normal 3 4 2 6 7" xfId="41170" xr:uid="{00000000-0005-0000-0000-0000C9A00000}"/>
    <cellStyle name="Normal 3 4 2 6 7 2" xfId="41171" xr:uid="{00000000-0005-0000-0000-0000CAA00000}"/>
    <cellStyle name="Normal 3 4 2 6 7 3" xfId="41172" xr:uid="{00000000-0005-0000-0000-0000CBA00000}"/>
    <cellStyle name="Normal 3 4 2 6 8" xfId="41173" xr:uid="{00000000-0005-0000-0000-0000CCA00000}"/>
    <cellStyle name="Normal 3 4 2 6 8 2" xfId="41174" xr:uid="{00000000-0005-0000-0000-0000CDA00000}"/>
    <cellStyle name="Normal 3 4 2 6 8 3" xfId="41175" xr:uid="{00000000-0005-0000-0000-0000CEA00000}"/>
    <cellStyle name="Normal 3 4 2 6 9" xfId="41176" xr:uid="{00000000-0005-0000-0000-0000CFA00000}"/>
    <cellStyle name="Normal 3 4 2 6 9 2" xfId="41177" xr:uid="{00000000-0005-0000-0000-0000D0A00000}"/>
    <cellStyle name="Normal 3 4 2 6 9 3" xfId="41178" xr:uid="{00000000-0005-0000-0000-0000D1A00000}"/>
    <cellStyle name="Normal 3 4 2 7" xfId="41179" xr:uid="{00000000-0005-0000-0000-0000D2A00000}"/>
    <cellStyle name="Normal 3 4 2 7 10" xfId="41180" xr:uid="{00000000-0005-0000-0000-0000D3A00000}"/>
    <cellStyle name="Normal 3 4 2 7 10 2" xfId="41181" xr:uid="{00000000-0005-0000-0000-0000D4A00000}"/>
    <cellStyle name="Normal 3 4 2 7 10 3" xfId="41182" xr:uid="{00000000-0005-0000-0000-0000D5A00000}"/>
    <cellStyle name="Normal 3 4 2 7 11" xfId="41183" xr:uid="{00000000-0005-0000-0000-0000D6A00000}"/>
    <cellStyle name="Normal 3 4 2 7 11 2" xfId="41184" xr:uid="{00000000-0005-0000-0000-0000D7A00000}"/>
    <cellStyle name="Normal 3 4 2 7 11 3" xfId="41185" xr:uid="{00000000-0005-0000-0000-0000D8A00000}"/>
    <cellStyle name="Normal 3 4 2 7 12" xfId="41186" xr:uid="{00000000-0005-0000-0000-0000D9A00000}"/>
    <cellStyle name="Normal 3 4 2 7 12 2" xfId="41187" xr:uid="{00000000-0005-0000-0000-0000DAA00000}"/>
    <cellStyle name="Normal 3 4 2 7 12 3" xfId="41188" xr:uid="{00000000-0005-0000-0000-0000DBA00000}"/>
    <cellStyle name="Normal 3 4 2 7 13" xfId="41189" xr:uid="{00000000-0005-0000-0000-0000DCA00000}"/>
    <cellStyle name="Normal 3 4 2 7 13 2" xfId="41190" xr:uid="{00000000-0005-0000-0000-0000DDA00000}"/>
    <cellStyle name="Normal 3 4 2 7 13 3" xfId="41191" xr:uid="{00000000-0005-0000-0000-0000DEA00000}"/>
    <cellStyle name="Normal 3 4 2 7 14" xfId="41192" xr:uid="{00000000-0005-0000-0000-0000DFA00000}"/>
    <cellStyle name="Normal 3 4 2 7 14 2" xfId="41193" xr:uid="{00000000-0005-0000-0000-0000E0A00000}"/>
    <cellStyle name="Normal 3 4 2 7 14 3" xfId="41194" xr:uid="{00000000-0005-0000-0000-0000E1A00000}"/>
    <cellStyle name="Normal 3 4 2 7 15" xfId="41195" xr:uid="{00000000-0005-0000-0000-0000E2A00000}"/>
    <cellStyle name="Normal 3 4 2 7 15 2" xfId="41196" xr:uid="{00000000-0005-0000-0000-0000E3A00000}"/>
    <cellStyle name="Normal 3 4 2 7 15 3" xfId="41197" xr:uid="{00000000-0005-0000-0000-0000E4A00000}"/>
    <cellStyle name="Normal 3 4 2 7 16" xfId="41198" xr:uid="{00000000-0005-0000-0000-0000E5A00000}"/>
    <cellStyle name="Normal 3 4 2 7 17" xfId="41199" xr:uid="{00000000-0005-0000-0000-0000E6A00000}"/>
    <cellStyle name="Normal 3 4 2 7 2" xfId="41200" xr:uid="{00000000-0005-0000-0000-0000E7A00000}"/>
    <cellStyle name="Normal 3 4 2 7 2 10" xfId="41201" xr:uid="{00000000-0005-0000-0000-0000E8A00000}"/>
    <cellStyle name="Normal 3 4 2 7 2 10 2" xfId="41202" xr:uid="{00000000-0005-0000-0000-0000E9A00000}"/>
    <cellStyle name="Normal 3 4 2 7 2 10 3" xfId="41203" xr:uid="{00000000-0005-0000-0000-0000EAA00000}"/>
    <cellStyle name="Normal 3 4 2 7 2 11" xfId="41204" xr:uid="{00000000-0005-0000-0000-0000EBA00000}"/>
    <cellStyle name="Normal 3 4 2 7 2 11 2" xfId="41205" xr:uid="{00000000-0005-0000-0000-0000ECA00000}"/>
    <cellStyle name="Normal 3 4 2 7 2 11 3" xfId="41206" xr:uid="{00000000-0005-0000-0000-0000EDA00000}"/>
    <cellStyle name="Normal 3 4 2 7 2 12" xfId="41207" xr:uid="{00000000-0005-0000-0000-0000EEA00000}"/>
    <cellStyle name="Normal 3 4 2 7 2 12 2" xfId="41208" xr:uid="{00000000-0005-0000-0000-0000EFA00000}"/>
    <cellStyle name="Normal 3 4 2 7 2 12 3" xfId="41209" xr:uid="{00000000-0005-0000-0000-0000F0A00000}"/>
    <cellStyle name="Normal 3 4 2 7 2 13" xfId="41210" xr:uid="{00000000-0005-0000-0000-0000F1A00000}"/>
    <cellStyle name="Normal 3 4 2 7 2 13 2" xfId="41211" xr:uid="{00000000-0005-0000-0000-0000F2A00000}"/>
    <cellStyle name="Normal 3 4 2 7 2 13 3" xfId="41212" xr:uid="{00000000-0005-0000-0000-0000F3A00000}"/>
    <cellStyle name="Normal 3 4 2 7 2 14" xfId="41213" xr:uid="{00000000-0005-0000-0000-0000F4A00000}"/>
    <cellStyle name="Normal 3 4 2 7 2 14 2" xfId="41214" xr:uid="{00000000-0005-0000-0000-0000F5A00000}"/>
    <cellStyle name="Normal 3 4 2 7 2 14 3" xfId="41215" xr:uid="{00000000-0005-0000-0000-0000F6A00000}"/>
    <cellStyle name="Normal 3 4 2 7 2 15" xfId="41216" xr:uid="{00000000-0005-0000-0000-0000F7A00000}"/>
    <cellStyle name="Normal 3 4 2 7 2 16" xfId="41217" xr:uid="{00000000-0005-0000-0000-0000F8A00000}"/>
    <cellStyle name="Normal 3 4 2 7 2 2" xfId="41218" xr:uid="{00000000-0005-0000-0000-0000F9A00000}"/>
    <cellStyle name="Normal 3 4 2 7 2 2 2" xfId="41219" xr:uid="{00000000-0005-0000-0000-0000FAA00000}"/>
    <cellStyle name="Normal 3 4 2 7 2 2 3" xfId="41220" xr:uid="{00000000-0005-0000-0000-0000FBA00000}"/>
    <cellStyle name="Normal 3 4 2 7 2 3" xfId="41221" xr:uid="{00000000-0005-0000-0000-0000FCA00000}"/>
    <cellStyle name="Normal 3 4 2 7 2 3 2" xfId="41222" xr:uid="{00000000-0005-0000-0000-0000FDA00000}"/>
    <cellStyle name="Normal 3 4 2 7 2 3 3" xfId="41223" xr:uid="{00000000-0005-0000-0000-0000FEA00000}"/>
    <cellStyle name="Normal 3 4 2 7 2 4" xfId="41224" xr:uid="{00000000-0005-0000-0000-0000FFA00000}"/>
    <cellStyle name="Normal 3 4 2 7 2 4 2" xfId="41225" xr:uid="{00000000-0005-0000-0000-000000A10000}"/>
    <cellStyle name="Normal 3 4 2 7 2 4 3" xfId="41226" xr:uid="{00000000-0005-0000-0000-000001A10000}"/>
    <cellStyle name="Normal 3 4 2 7 2 5" xfId="41227" xr:uid="{00000000-0005-0000-0000-000002A10000}"/>
    <cellStyle name="Normal 3 4 2 7 2 5 2" xfId="41228" xr:uid="{00000000-0005-0000-0000-000003A10000}"/>
    <cellStyle name="Normal 3 4 2 7 2 5 3" xfId="41229" xr:uid="{00000000-0005-0000-0000-000004A10000}"/>
    <cellStyle name="Normal 3 4 2 7 2 6" xfId="41230" xr:uid="{00000000-0005-0000-0000-000005A10000}"/>
    <cellStyle name="Normal 3 4 2 7 2 6 2" xfId="41231" xr:uid="{00000000-0005-0000-0000-000006A10000}"/>
    <cellStyle name="Normal 3 4 2 7 2 6 3" xfId="41232" xr:uid="{00000000-0005-0000-0000-000007A10000}"/>
    <cellStyle name="Normal 3 4 2 7 2 7" xfId="41233" xr:uid="{00000000-0005-0000-0000-000008A10000}"/>
    <cellStyle name="Normal 3 4 2 7 2 7 2" xfId="41234" xr:uid="{00000000-0005-0000-0000-000009A10000}"/>
    <cellStyle name="Normal 3 4 2 7 2 7 3" xfId="41235" xr:uid="{00000000-0005-0000-0000-00000AA10000}"/>
    <cellStyle name="Normal 3 4 2 7 2 8" xfId="41236" xr:uid="{00000000-0005-0000-0000-00000BA10000}"/>
    <cellStyle name="Normal 3 4 2 7 2 8 2" xfId="41237" xr:uid="{00000000-0005-0000-0000-00000CA10000}"/>
    <cellStyle name="Normal 3 4 2 7 2 8 3" xfId="41238" xr:uid="{00000000-0005-0000-0000-00000DA10000}"/>
    <cellStyle name="Normal 3 4 2 7 2 9" xfId="41239" xr:uid="{00000000-0005-0000-0000-00000EA10000}"/>
    <cellStyle name="Normal 3 4 2 7 2 9 2" xfId="41240" xr:uid="{00000000-0005-0000-0000-00000FA10000}"/>
    <cellStyle name="Normal 3 4 2 7 2 9 3" xfId="41241" xr:uid="{00000000-0005-0000-0000-000010A10000}"/>
    <cellStyle name="Normal 3 4 2 7 3" xfId="41242" xr:uid="{00000000-0005-0000-0000-000011A10000}"/>
    <cellStyle name="Normal 3 4 2 7 3 2" xfId="41243" xr:uid="{00000000-0005-0000-0000-000012A10000}"/>
    <cellStyle name="Normal 3 4 2 7 3 3" xfId="41244" xr:uid="{00000000-0005-0000-0000-000013A10000}"/>
    <cellStyle name="Normal 3 4 2 7 4" xfId="41245" xr:uid="{00000000-0005-0000-0000-000014A10000}"/>
    <cellStyle name="Normal 3 4 2 7 4 2" xfId="41246" xr:uid="{00000000-0005-0000-0000-000015A10000}"/>
    <cellStyle name="Normal 3 4 2 7 4 3" xfId="41247" xr:uid="{00000000-0005-0000-0000-000016A10000}"/>
    <cellStyle name="Normal 3 4 2 7 5" xfId="41248" xr:uid="{00000000-0005-0000-0000-000017A10000}"/>
    <cellStyle name="Normal 3 4 2 7 5 2" xfId="41249" xr:uid="{00000000-0005-0000-0000-000018A10000}"/>
    <cellStyle name="Normal 3 4 2 7 5 3" xfId="41250" xr:uid="{00000000-0005-0000-0000-000019A10000}"/>
    <cellStyle name="Normal 3 4 2 7 6" xfId="41251" xr:uid="{00000000-0005-0000-0000-00001AA10000}"/>
    <cellStyle name="Normal 3 4 2 7 6 2" xfId="41252" xr:uid="{00000000-0005-0000-0000-00001BA10000}"/>
    <cellStyle name="Normal 3 4 2 7 6 3" xfId="41253" xr:uid="{00000000-0005-0000-0000-00001CA10000}"/>
    <cellStyle name="Normal 3 4 2 7 7" xfId="41254" xr:uid="{00000000-0005-0000-0000-00001DA10000}"/>
    <cellStyle name="Normal 3 4 2 7 7 2" xfId="41255" xr:uid="{00000000-0005-0000-0000-00001EA10000}"/>
    <cellStyle name="Normal 3 4 2 7 7 3" xfId="41256" xr:uid="{00000000-0005-0000-0000-00001FA10000}"/>
    <cellStyle name="Normal 3 4 2 7 8" xfId="41257" xr:uid="{00000000-0005-0000-0000-000020A10000}"/>
    <cellStyle name="Normal 3 4 2 7 8 2" xfId="41258" xr:uid="{00000000-0005-0000-0000-000021A10000}"/>
    <cellStyle name="Normal 3 4 2 7 8 3" xfId="41259" xr:uid="{00000000-0005-0000-0000-000022A10000}"/>
    <cellStyle name="Normal 3 4 2 7 9" xfId="41260" xr:uid="{00000000-0005-0000-0000-000023A10000}"/>
    <cellStyle name="Normal 3 4 2 7 9 2" xfId="41261" xr:uid="{00000000-0005-0000-0000-000024A10000}"/>
    <cellStyle name="Normal 3 4 2 7 9 3" xfId="41262" xr:uid="{00000000-0005-0000-0000-000025A10000}"/>
    <cellStyle name="Normal 3 4 2 8" xfId="41263" xr:uid="{00000000-0005-0000-0000-000026A10000}"/>
    <cellStyle name="Normal 3 4 2 8 10" xfId="41264" xr:uid="{00000000-0005-0000-0000-000027A10000}"/>
    <cellStyle name="Normal 3 4 2 8 10 2" xfId="41265" xr:uid="{00000000-0005-0000-0000-000028A10000}"/>
    <cellStyle name="Normal 3 4 2 8 10 3" xfId="41266" xr:uid="{00000000-0005-0000-0000-000029A10000}"/>
    <cellStyle name="Normal 3 4 2 8 11" xfId="41267" xr:uid="{00000000-0005-0000-0000-00002AA10000}"/>
    <cellStyle name="Normal 3 4 2 8 11 2" xfId="41268" xr:uid="{00000000-0005-0000-0000-00002BA10000}"/>
    <cellStyle name="Normal 3 4 2 8 11 3" xfId="41269" xr:uid="{00000000-0005-0000-0000-00002CA10000}"/>
    <cellStyle name="Normal 3 4 2 8 12" xfId="41270" xr:uid="{00000000-0005-0000-0000-00002DA10000}"/>
    <cellStyle name="Normal 3 4 2 8 12 2" xfId="41271" xr:uid="{00000000-0005-0000-0000-00002EA10000}"/>
    <cellStyle name="Normal 3 4 2 8 12 3" xfId="41272" xr:uid="{00000000-0005-0000-0000-00002FA10000}"/>
    <cellStyle name="Normal 3 4 2 8 13" xfId="41273" xr:uid="{00000000-0005-0000-0000-000030A10000}"/>
    <cellStyle name="Normal 3 4 2 8 13 2" xfId="41274" xr:uid="{00000000-0005-0000-0000-000031A10000}"/>
    <cellStyle name="Normal 3 4 2 8 13 3" xfId="41275" xr:uid="{00000000-0005-0000-0000-000032A10000}"/>
    <cellStyle name="Normal 3 4 2 8 14" xfId="41276" xr:uid="{00000000-0005-0000-0000-000033A10000}"/>
    <cellStyle name="Normal 3 4 2 8 14 2" xfId="41277" xr:uid="{00000000-0005-0000-0000-000034A10000}"/>
    <cellStyle name="Normal 3 4 2 8 14 3" xfId="41278" xr:uid="{00000000-0005-0000-0000-000035A10000}"/>
    <cellStyle name="Normal 3 4 2 8 15" xfId="41279" xr:uid="{00000000-0005-0000-0000-000036A10000}"/>
    <cellStyle name="Normal 3 4 2 8 15 2" xfId="41280" xr:uid="{00000000-0005-0000-0000-000037A10000}"/>
    <cellStyle name="Normal 3 4 2 8 15 3" xfId="41281" xr:uid="{00000000-0005-0000-0000-000038A10000}"/>
    <cellStyle name="Normal 3 4 2 8 16" xfId="41282" xr:uid="{00000000-0005-0000-0000-000039A10000}"/>
    <cellStyle name="Normal 3 4 2 8 17" xfId="41283" xr:uid="{00000000-0005-0000-0000-00003AA10000}"/>
    <cellStyle name="Normal 3 4 2 8 2" xfId="41284" xr:uid="{00000000-0005-0000-0000-00003BA10000}"/>
    <cellStyle name="Normal 3 4 2 8 2 10" xfId="41285" xr:uid="{00000000-0005-0000-0000-00003CA10000}"/>
    <cellStyle name="Normal 3 4 2 8 2 10 2" xfId="41286" xr:uid="{00000000-0005-0000-0000-00003DA10000}"/>
    <cellStyle name="Normal 3 4 2 8 2 10 3" xfId="41287" xr:uid="{00000000-0005-0000-0000-00003EA10000}"/>
    <cellStyle name="Normal 3 4 2 8 2 11" xfId="41288" xr:uid="{00000000-0005-0000-0000-00003FA10000}"/>
    <cellStyle name="Normal 3 4 2 8 2 11 2" xfId="41289" xr:uid="{00000000-0005-0000-0000-000040A10000}"/>
    <cellStyle name="Normal 3 4 2 8 2 11 3" xfId="41290" xr:uid="{00000000-0005-0000-0000-000041A10000}"/>
    <cellStyle name="Normal 3 4 2 8 2 12" xfId="41291" xr:uid="{00000000-0005-0000-0000-000042A10000}"/>
    <cellStyle name="Normal 3 4 2 8 2 12 2" xfId="41292" xr:uid="{00000000-0005-0000-0000-000043A10000}"/>
    <cellStyle name="Normal 3 4 2 8 2 12 3" xfId="41293" xr:uid="{00000000-0005-0000-0000-000044A10000}"/>
    <cellStyle name="Normal 3 4 2 8 2 13" xfId="41294" xr:uid="{00000000-0005-0000-0000-000045A10000}"/>
    <cellStyle name="Normal 3 4 2 8 2 13 2" xfId="41295" xr:uid="{00000000-0005-0000-0000-000046A10000}"/>
    <cellStyle name="Normal 3 4 2 8 2 13 3" xfId="41296" xr:uid="{00000000-0005-0000-0000-000047A10000}"/>
    <cellStyle name="Normal 3 4 2 8 2 14" xfId="41297" xr:uid="{00000000-0005-0000-0000-000048A10000}"/>
    <cellStyle name="Normal 3 4 2 8 2 14 2" xfId="41298" xr:uid="{00000000-0005-0000-0000-000049A10000}"/>
    <cellStyle name="Normal 3 4 2 8 2 14 3" xfId="41299" xr:uid="{00000000-0005-0000-0000-00004AA10000}"/>
    <cellStyle name="Normal 3 4 2 8 2 15" xfId="41300" xr:uid="{00000000-0005-0000-0000-00004BA10000}"/>
    <cellStyle name="Normal 3 4 2 8 2 16" xfId="41301" xr:uid="{00000000-0005-0000-0000-00004CA10000}"/>
    <cellStyle name="Normal 3 4 2 8 2 2" xfId="41302" xr:uid="{00000000-0005-0000-0000-00004DA10000}"/>
    <cellStyle name="Normal 3 4 2 8 2 2 2" xfId="41303" xr:uid="{00000000-0005-0000-0000-00004EA10000}"/>
    <cellStyle name="Normal 3 4 2 8 2 2 3" xfId="41304" xr:uid="{00000000-0005-0000-0000-00004FA10000}"/>
    <cellStyle name="Normal 3 4 2 8 2 3" xfId="41305" xr:uid="{00000000-0005-0000-0000-000050A10000}"/>
    <cellStyle name="Normal 3 4 2 8 2 3 2" xfId="41306" xr:uid="{00000000-0005-0000-0000-000051A10000}"/>
    <cellStyle name="Normal 3 4 2 8 2 3 3" xfId="41307" xr:uid="{00000000-0005-0000-0000-000052A10000}"/>
    <cellStyle name="Normal 3 4 2 8 2 4" xfId="41308" xr:uid="{00000000-0005-0000-0000-000053A10000}"/>
    <cellStyle name="Normal 3 4 2 8 2 4 2" xfId="41309" xr:uid="{00000000-0005-0000-0000-000054A10000}"/>
    <cellStyle name="Normal 3 4 2 8 2 4 3" xfId="41310" xr:uid="{00000000-0005-0000-0000-000055A10000}"/>
    <cellStyle name="Normal 3 4 2 8 2 5" xfId="41311" xr:uid="{00000000-0005-0000-0000-000056A10000}"/>
    <cellStyle name="Normal 3 4 2 8 2 5 2" xfId="41312" xr:uid="{00000000-0005-0000-0000-000057A10000}"/>
    <cellStyle name="Normal 3 4 2 8 2 5 3" xfId="41313" xr:uid="{00000000-0005-0000-0000-000058A10000}"/>
    <cellStyle name="Normal 3 4 2 8 2 6" xfId="41314" xr:uid="{00000000-0005-0000-0000-000059A10000}"/>
    <cellStyle name="Normal 3 4 2 8 2 6 2" xfId="41315" xr:uid="{00000000-0005-0000-0000-00005AA10000}"/>
    <cellStyle name="Normal 3 4 2 8 2 6 3" xfId="41316" xr:uid="{00000000-0005-0000-0000-00005BA10000}"/>
    <cellStyle name="Normal 3 4 2 8 2 7" xfId="41317" xr:uid="{00000000-0005-0000-0000-00005CA10000}"/>
    <cellStyle name="Normal 3 4 2 8 2 7 2" xfId="41318" xr:uid="{00000000-0005-0000-0000-00005DA10000}"/>
    <cellStyle name="Normal 3 4 2 8 2 7 3" xfId="41319" xr:uid="{00000000-0005-0000-0000-00005EA10000}"/>
    <cellStyle name="Normal 3 4 2 8 2 8" xfId="41320" xr:uid="{00000000-0005-0000-0000-00005FA10000}"/>
    <cellStyle name="Normal 3 4 2 8 2 8 2" xfId="41321" xr:uid="{00000000-0005-0000-0000-000060A10000}"/>
    <cellStyle name="Normal 3 4 2 8 2 8 3" xfId="41322" xr:uid="{00000000-0005-0000-0000-000061A10000}"/>
    <cellStyle name="Normal 3 4 2 8 2 9" xfId="41323" xr:uid="{00000000-0005-0000-0000-000062A10000}"/>
    <cellStyle name="Normal 3 4 2 8 2 9 2" xfId="41324" xr:uid="{00000000-0005-0000-0000-000063A10000}"/>
    <cellStyle name="Normal 3 4 2 8 2 9 3" xfId="41325" xr:uid="{00000000-0005-0000-0000-000064A10000}"/>
    <cellStyle name="Normal 3 4 2 8 3" xfId="41326" xr:uid="{00000000-0005-0000-0000-000065A10000}"/>
    <cellStyle name="Normal 3 4 2 8 3 2" xfId="41327" xr:uid="{00000000-0005-0000-0000-000066A10000}"/>
    <cellStyle name="Normal 3 4 2 8 3 3" xfId="41328" xr:uid="{00000000-0005-0000-0000-000067A10000}"/>
    <cellStyle name="Normal 3 4 2 8 4" xfId="41329" xr:uid="{00000000-0005-0000-0000-000068A10000}"/>
    <cellStyle name="Normal 3 4 2 8 4 2" xfId="41330" xr:uid="{00000000-0005-0000-0000-000069A10000}"/>
    <cellStyle name="Normal 3 4 2 8 4 3" xfId="41331" xr:uid="{00000000-0005-0000-0000-00006AA10000}"/>
    <cellStyle name="Normal 3 4 2 8 5" xfId="41332" xr:uid="{00000000-0005-0000-0000-00006BA10000}"/>
    <cellStyle name="Normal 3 4 2 8 5 2" xfId="41333" xr:uid="{00000000-0005-0000-0000-00006CA10000}"/>
    <cellStyle name="Normal 3 4 2 8 5 3" xfId="41334" xr:uid="{00000000-0005-0000-0000-00006DA10000}"/>
    <cellStyle name="Normal 3 4 2 8 6" xfId="41335" xr:uid="{00000000-0005-0000-0000-00006EA10000}"/>
    <cellStyle name="Normal 3 4 2 8 6 2" xfId="41336" xr:uid="{00000000-0005-0000-0000-00006FA10000}"/>
    <cellStyle name="Normal 3 4 2 8 6 3" xfId="41337" xr:uid="{00000000-0005-0000-0000-000070A10000}"/>
    <cellStyle name="Normal 3 4 2 8 7" xfId="41338" xr:uid="{00000000-0005-0000-0000-000071A10000}"/>
    <cellStyle name="Normal 3 4 2 8 7 2" xfId="41339" xr:uid="{00000000-0005-0000-0000-000072A10000}"/>
    <cellStyle name="Normal 3 4 2 8 7 3" xfId="41340" xr:uid="{00000000-0005-0000-0000-000073A10000}"/>
    <cellStyle name="Normal 3 4 2 8 8" xfId="41341" xr:uid="{00000000-0005-0000-0000-000074A10000}"/>
    <cellStyle name="Normal 3 4 2 8 8 2" xfId="41342" xr:uid="{00000000-0005-0000-0000-000075A10000}"/>
    <cellStyle name="Normal 3 4 2 8 8 3" xfId="41343" xr:uid="{00000000-0005-0000-0000-000076A10000}"/>
    <cellStyle name="Normal 3 4 2 8 9" xfId="41344" xr:uid="{00000000-0005-0000-0000-000077A10000}"/>
    <cellStyle name="Normal 3 4 2 8 9 2" xfId="41345" xr:uid="{00000000-0005-0000-0000-000078A10000}"/>
    <cellStyle name="Normal 3 4 2 8 9 3" xfId="41346" xr:uid="{00000000-0005-0000-0000-000079A10000}"/>
    <cellStyle name="Normal 3 4 2 9" xfId="41347" xr:uid="{00000000-0005-0000-0000-00007AA10000}"/>
    <cellStyle name="Normal 3 4 2 9 10" xfId="41348" xr:uid="{00000000-0005-0000-0000-00007BA10000}"/>
    <cellStyle name="Normal 3 4 2 9 10 2" xfId="41349" xr:uid="{00000000-0005-0000-0000-00007CA10000}"/>
    <cellStyle name="Normal 3 4 2 9 10 3" xfId="41350" xr:uid="{00000000-0005-0000-0000-00007DA10000}"/>
    <cellStyle name="Normal 3 4 2 9 11" xfId="41351" xr:uid="{00000000-0005-0000-0000-00007EA10000}"/>
    <cellStyle name="Normal 3 4 2 9 11 2" xfId="41352" xr:uid="{00000000-0005-0000-0000-00007FA10000}"/>
    <cellStyle name="Normal 3 4 2 9 11 3" xfId="41353" xr:uid="{00000000-0005-0000-0000-000080A10000}"/>
    <cellStyle name="Normal 3 4 2 9 12" xfId="41354" xr:uid="{00000000-0005-0000-0000-000081A10000}"/>
    <cellStyle name="Normal 3 4 2 9 12 2" xfId="41355" xr:uid="{00000000-0005-0000-0000-000082A10000}"/>
    <cellStyle name="Normal 3 4 2 9 12 3" xfId="41356" xr:uid="{00000000-0005-0000-0000-000083A10000}"/>
    <cellStyle name="Normal 3 4 2 9 13" xfId="41357" xr:uid="{00000000-0005-0000-0000-000084A10000}"/>
    <cellStyle name="Normal 3 4 2 9 13 2" xfId="41358" xr:uid="{00000000-0005-0000-0000-000085A10000}"/>
    <cellStyle name="Normal 3 4 2 9 13 3" xfId="41359" xr:uid="{00000000-0005-0000-0000-000086A10000}"/>
    <cellStyle name="Normal 3 4 2 9 14" xfId="41360" xr:uid="{00000000-0005-0000-0000-000087A10000}"/>
    <cellStyle name="Normal 3 4 2 9 14 2" xfId="41361" xr:uid="{00000000-0005-0000-0000-000088A10000}"/>
    <cellStyle name="Normal 3 4 2 9 14 3" xfId="41362" xr:uid="{00000000-0005-0000-0000-000089A10000}"/>
    <cellStyle name="Normal 3 4 2 9 15" xfId="41363" xr:uid="{00000000-0005-0000-0000-00008AA10000}"/>
    <cellStyle name="Normal 3 4 2 9 16" xfId="41364" xr:uid="{00000000-0005-0000-0000-00008BA10000}"/>
    <cellStyle name="Normal 3 4 2 9 2" xfId="41365" xr:uid="{00000000-0005-0000-0000-00008CA10000}"/>
    <cellStyle name="Normal 3 4 2 9 2 2" xfId="41366" xr:uid="{00000000-0005-0000-0000-00008DA10000}"/>
    <cellStyle name="Normal 3 4 2 9 2 3" xfId="41367" xr:uid="{00000000-0005-0000-0000-00008EA10000}"/>
    <cellStyle name="Normal 3 4 2 9 3" xfId="41368" xr:uid="{00000000-0005-0000-0000-00008FA10000}"/>
    <cellStyle name="Normal 3 4 2 9 3 2" xfId="41369" xr:uid="{00000000-0005-0000-0000-000090A10000}"/>
    <cellStyle name="Normal 3 4 2 9 3 3" xfId="41370" xr:uid="{00000000-0005-0000-0000-000091A10000}"/>
    <cellStyle name="Normal 3 4 2 9 4" xfId="41371" xr:uid="{00000000-0005-0000-0000-000092A10000}"/>
    <cellStyle name="Normal 3 4 2 9 4 2" xfId="41372" xr:uid="{00000000-0005-0000-0000-000093A10000}"/>
    <cellStyle name="Normal 3 4 2 9 4 3" xfId="41373" xr:uid="{00000000-0005-0000-0000-000094A10000}"/>
    <cellStyle name="Normal 3 4 2 9 5" xfId="41374" xr:uid="{00000000-0005-0000-0000-000095A10000}"/>
    <cellStyle name="Normal 3 4 2 9 5 2" xfId="41375" xr:uid="{00000000-0005-0000-0000-000096A10000}"/>
    <cellStyle name="Normal 3 4 2 9 5 3" xfId="41376" xr:uid="{00000000-0005-0000-0000-000097A10000}"/>
    <cellStyle name="Normal 3 4 2 9 6" xfId="41377" xr:uid="{00000000-0005-0000-0000-000098A10000}"/>
    <cellStyle name="Normal 3 4 2 9 6 2" xfId="41378" xr:uid="{00000000-0005-0000-0000-000099A10000}"/>
    <cellStyle name="Normal 3 4 2 9 6 3" xfId="41379" xr:uid="{00000000-0005-0000-0000-00009AA10000}"/>
    <cellStyle name="Normal 3 4 2 9 7" xfId="41380" xr:uid="{00000000-0005-0000-0000-00009BA10000}"/>
    <cellStyle name="Normal 3 4 2 9 7 2" xfId="41381" xr:uid="{00000000-0005-0000-0000-00009CA10000}"/>
    <cellStyle name="Normal 3 4 2 9 7 3" xfId="41382" xr:uid="{00000000-0005-0000-0000-00009DA10000}"/>
    <cellStyle name="Normal 3 4 2 9 8" xfId="41383" xr:uid="{00000000-0005-0000-0000-00009EA10000}"/>
    <cellStyle name="Normal 3 4 2 9 8 2" xfId="41384" xr:uid="{00000000-0005-0000-0000-00009FA10000}"/>
    <cellStyle name="Normal 3 4 2 9 8 3" xfId="41385" xr:uid="{00000000-0005-0000-0000-0000A0A10000}"/>
    <cellStyle name="Normal 3 4 2 9 9" xfId="41386" xr:uid="{00000000-0005-0000-0000-0000A1A10000}"/>
    <cellStyle name="Normal 3 4 2 9 9 2" xfId="41387" xr:uid="{00000000-0005-0000-0000-0000A2A10000}"/>
    <cellStyle name="Normal 3 4 2 9 9 3" xfId="41388" xr:uid="{00000000-0005-0000-0000-0000A3A10000}"/>
    <cellStyle name="Normal 3 4 20" xfId="41389" xr:uid="{00000000-0005-0000-0000-0000A4A10000}"/>
    <cellStyle name="Normal 3 4 20 10" xfId="41390" xr:uid="{00000000-0005-0000-0000-0000A5A10000}"/>
    <cellStyle name="Normal 3 4 20 10 2" xfId="41391" xr:uid="{00000000-0005-0000-0000-0000A6A10000}"/>
    <cellStyle name="Normal 3 4 20 10 3" xfId="41392" xr:uid="{00000000-0005-0000-0000-0000A7A10000}"/>
    <cellStyle name="Normal 3 4 20 11" xfId="41393" xr:uid="{00000000-0005-0000-0000-0000A8A10000}"/>
    <cellStyle name="Normal 3 4 20 11 2" xfId="41394" xr:uid="{00000000-0005-0000-0000-0000A9A10000}"/>
    <cellStyle name="Normal 3 4 20 11 3" xfId="41395" xr:uid="{00000000-0005-0000-0000-0000AAA10000}"/>
    <cellStyle name="Normal 3 4 20 12" xfId="41396" xr:uid="{00000000-0005-0000-0000-0000ABA10000}"/>
    <cellStyle name="Normal 3 4 20 12 2" xfId="41397" xr:uid="{00000000-0005-0000-0000-0000ACA10000}"/>
    <cellStyle name="Normal 3 4 20 12 3" xfId="41398" xr:uid="{00000000-0005-0000-0000-0000ADA10000}"/>
    <cellStyle name="Normal 3 4 20 13" xfId="41399" xr:uid="{00000000-0005-0000-0000-0000AEA10000}"/>
    <cellStyle name="Normal 3 4 20 13 2" xfId="41400" xr:uid="{00000000-0005-0000-0000-0000AFA10000}"/>
    <cellStyle name="Normal 3 4 20 13 3" xfId="41401" xr:uid="{00000000-0005-0000-0000-0000B0A10000}"/>
    <cellStyle name="Normal 3 4 20 14" xfId="41402" xr:uid="{00000000-0005-0000-0000-0000B1A10000}"/>
    <cellStyle name="Normal 3 4 20 14 2" xfId="41403" xr:uid="{00000000-0005-0000-0000-0000B2A10000}"/>
    <cellStyle name="Normal 3 4 20 14 3" xfId="41404" xr:uid="{00000000-0005-0000-0000-0000B3A10000}"/>
    <cellStyle name="Normal 3 4 20 15" xfId="41405" xr:uid="{00000000-0005-0000-0000-0000B4A10000}"/>
    <cellStyle name="Normal 3 4 20 16" xfId="41406" xr:uid="{00000000-0005-0000-0000-0000B5A10000}"/>
    <cellStyle name="Normal 3 4 20 2" xfId="41407" xr:uid="{00000000-0005-0000-0000-0000B6A10000}"/>
    <cellStyle name="Normal 3 4 20 2 2" xfId="41408" xr:uid="{00000000-0005-0000-0000-0000B7A10000}"/>
    <cellStyle name="Normal 3 4 20 2 3" xfId="41409" xr:uid="{00000000-0005-0000-0000-0000B8A10000}"/>
    <cellStyle name="Normal 3 4 20 3" xfId="41410" xr:uid="{00000000-0005-0000-0000-0000B9A10000}"/>
    <cellStyle name="Normal 3 4 20 3 2" xfId="41411" xr:uid="{00000000-0005-0000-0000-0000BAA10000}"/>
    <cellStyle name="Normal 3 4 20 3 3" xfId="41412" xr:uid="{00000000-0005-0000-0000-0000BBA10000}"/>
    <cellStyle name="Normal 3 4 20 4" xfId="41413" xr:uid="{00000000-0005-0000-0000-0000BCA10000}"/>
    <cellStyle name="Normal 3 4 20 4 2" xfId="41414" xr:uid="{00000000-0005-0000-0000-0000BDA10000}"/>
    <cellStyle name="Normal 3 4 20 4 3" xfId="41415" xr:uid="{00000000-0005-0000-0000-0000BEA10000}"/>
    <cellStyle name="Normal 3 4 20 5" xfId="41416" xr:uid="{00000000-0005-0000-0000-0000BFA10000}"/>
    <cellStyle name="Normal 3 4 20 5 2" xfId="41417" xr:uid="{00000000-0005-0000-0000-0000C0A10000}"/>
    <cellStyle name="Normal 3 4 20 5 3" xfId="41418" xr:uid="{00000000-0005-0000-0000-0000C1A10000}"/>
    <cellStyle name="Normal 3 4 20 6" xfId="41419" xr:uid="{00000000-0005-0000-0000-0000C2A10000}"/>
    <cellStyle name="Normal 3 4 20 6 2" xfId="41420" xr:uid="{00000000-0005-0000-0000-0000C3A10000}"/>
    <cellStyle name="Normal 3 4 20 6 3" xfId="41421" xr:uid="{00000000-0005-0000-0000-0000C4A10000}"/>
    <cellStyle name="Normal 3 4 20 7" xfId="41422" xr:uid="{00000000-0005-0000-0000-0000C5A10000}"/>
    <cellStyle name="Normal 3 4 20 7 2" xfId="41423" xr:uid="{00000000-0005-0000-0000-0000C6A10000}"/>
    <cellStyle name="Normal 3 4 20 7 3" xfId="41424" xr:uid="{00000000-0005-0000-0000-0000C7A10000}"/>
    <cellStyle name="Normal 3 4 20 8" xfId="41425" xr:uid="{00000000-0005-0000-0000-0000C8A10000}"/>
    <cellStyle name="Normal 3 4 20 8 2" xfId="41426" xr:uid="{00000000-0005-0000-0000-0000C9A10000}"/>
    <cellStyle name="Normal 3 4 20 8 3" xfId="41427" xr:uid="{00000000-0005-0000-0000-0000CAA10000}"/>
    <cellStyle name="Normal 3 4 20 9" xfId="41428" xr:uid="{00000000-0005-0000-0000-0000CBA10000}"/>
    <cellStyle name="Normal 3 4 20 9 2" xfId="41429" xr:uid="{00000000-0005-0000-0000-0000CCA10000}"/>
    <cellStyle name="Normal 3 4 20 9 3" xfId="41430" xr:uid="{00000000-0005-0000-0000-0000CDA10000}"/>
    <cellStyle name="Normal 3 4 21" xfId="41431" xr:uid="{00000000-0005-0000-0000-0000CEA10000}"/>
    <cellStyle name="Normal 3 4 21 10" xfId="41432" xr:uid="{00000000-0005-0000-0000-0000CFA10000}"/>
    <cellStyle name="Normal 3 4 21 10 2" xfId="41433" xr:uid="{00000000-0005-0000-0000-0000D0A10000}"/>
    <cellStyle name="Normal 3 4 21 10 3" xfId="41434" xr:uid="{00000000-0005-0000-0000-0000D1A10000}"/>
    <cellStyle name="Normal 3 4 21 11" xfId="41435" xr:uid="{00000000-0005-0000-0000-0000D2A10000}"/>
    <cellStyle name="Normal 3 4 21 11 2" xfId="41436" xr:uid="{00000000-0005-0000-0000-0000D3A10000}"/>
    <cellStyle name="Normal 3 4 21 11 3" xfId="41437" xr:uid="{00000000-0005-0000-0000-0000D4A10000}"/>
    <cellStyle name="Normal 3 4 21 12" xfId="41438" xr:uid="{00000000-0005-0000-0000-0000D5A10000}"/>
    <cellStyle name="Normal 3 4 21 12 2" xfId="41439" xr:uid="{00000000-0005-0000-0000-0000D6A10000}"/>
    <cellStyle name="Normal 3 4 21 12 3" xfId="41440" xr:uid="{00000000-0005-0000-0000-0000D7A10000}"/>
    <cellStyle name="Normal 3 4 21 13" xfId="41441" xr:uid="{00000000-0005-0000-0000-0000D8A10000}"/>
    <cellStyle name="Normal 3 4 21 13 2" xfId="41442" xr:uid="{00000000-0005-0000-0000-0000D9A10000}"/>
    <cellStyle name="Normal 3 4 21 13 3" xfId="41443" xr:uid="{00000000-0005-0000-0000-0000DAA10000}"/>
    <cellStyle name="Normal 3 4 21 14" xfId="41444" xr:uid="{00000000-0005-0000-0000-0000DBA10000}"/>
    <cellStyle name="Normal 3 4 21 14 2" xfId="41445" xr:uid="{00000000-0005-0000-0000-0000DCA10000}"/>
    <cellStyle name="Normal 3 4 21 14 3" xfId="41446" xr:uid="{00000000-0005-0000-0000-0000DDA10000}"/>
    <cellStyle name="Normal 3 4 21 15" xfId="41447" xr:uid="{00000000-0005-0000-0000-0000DEA10000}"/>
    <cellStyle name="Normal 3 4 21 16" xfId="41448" xr:uid="{00000000-0005-0000-0000-0000DFA10000}"/>
    <cellStyle name="Normal 3 4 21 2" xfId="41449" xr:uid="{00000000-0005-0000-0000-0000E0A10000}"/>
    <cellStyle name="Normal 3 4 21 2 2" xfId="41450" xr:uid="{00000000-0005-0000-0000-0000E1A10000}"/>
    <cellStyle name="Normal 3 4 21 2 3" xfId="41451" xr:uid="{00000000-0005-0000-0000-0000E2A10000}"/>
    <cellStyle name="Normal 3 4 21 3" xfId="41452" xr:uid="{00000000-0005-0000-0000-0000E3A10000}"/>
    <cellStyle name="Normal 3 4 21 3 2" xfId="41453" xr:uid="{00000000-0005-0000-0000-0000E4A10000}"/>
    <cellStyle name="Normal 3 4 21 3 3" xfId="41454" xr:uid="{00000000-0005-0000-0000-0000E5A10000}"/>
    <cellStyle name="Normal 3 4 21 4" xfId="41455" xr:uid="{00000000-0005-0000-0000-0000E6A10000}"/>
    <cellStyle name="Normal 3 4 21 4 2" xfId="41456" xr:uid="{00000000-0005-0000-0000-0000E7A10000}"/>
    <cellStyle name="Normal 3 4 21 4 3" xfId="41457" xr:uid="{00000000-0005-0000-0000-0000E8A10000}"/>
    <cellStyle name="Normal 3 4 21 5" xfId="41458" xr:uid="{00000000-0005-0000-0000-0000E9A10000}"/>
    <cellStyle name="Normal 3 4 21 5 2" xfId="41459" xr:uid="{00000000-0005-0000-0000-0000EAA10000}"/>
    <cellStyle name="Normal 3 4 21 5 3" xfId="41460" xr:uid="{00000000-0005-0000-0000-0000EBA10000}"/>
    <cellStyle name="Normal 3 4 21 6" xfId="41461" xr:uid="{00000000-0005-0000-0000-0000ECA10000}"/>
    <cellStyle name="Normal 3 4 21 6 2" xfId="41462" xr:uid="{00000000-0005-0000-0000-0000EDA10000}"/>
    <cellStyle name="Normal 3 4 21 6 3" xfId="41463" xr:uid="{00000000-0005-0000-0000-0000EEA10000}"/>
    <cellStyle name="Normal 3 4 21 7" xfId="41464" xr:uid="{00000000-0005-0000-0000-0000EFA10000}"/>
    <cellStyle name="Normal 3 4 21 7 2" xfId="41465" xr:uid="{00000000-0005-0000-0000-0000F0A10000}"/>
    <cellStyle name="Normal 3 4 21 7 3" xfId="41466" xr:uid="{00000000-0005-0000-0000-0000F1A10000}"/>
    <cellStyle name="Normal 3 4 21 8" xfId="41467" xr:uid="{00000000-0005-0000-0000-0000F2A10000}"/>
    <cellStyle name="Normal 3 4 21 8 2" xfId="41468" xr:uid="{00000000-0005-0000-0000-0000F3A10000}"/>
    <cellStyle name="Normal 3 4 21 8 3" xfId="41469" xr:uid="{00000000-0005-0000-0000-0000F4A10000}"/>
    <cellStyle name="Normal 3 4 21 9" xfId="41470" xr:uid="{00000000-0005-0000-0000-0000F5A10000}"/>
    <cellStyle name="Normal 3 4 21 9 2" xfId="41471" xr:uid="{00000000-0005-0000-0000-0000F6A10000}"/>
    <cellStyle name="Normal 3 4 21 9 3" xfId="41472" xr:uid="{00000000-0005-0000-0000-0000F7A10000}"/>
    <cellStyle name="Normal 3 4 22" xfId="41473" xr:uid="{00000000-0005-0000-0000-0000F8A10000}"/>
    <cellStyle name="Normal 3 4 23" xfId="41474" xr:uid="{00000000-0005-0000-0000-0000F9A10000}"/>
    <cellStyle name="Normal 3 4 24" xfId="41475" xr:uid="{00000000-0005-0000-0000-0000FAA10000}"/>
    <cellStyle name="Normal 3 4 24 10" xfId="41476" xr:uid="{00000000-0005-0000-0000-0000FBA10000}"/>
    <cellStyle name="Normal 3 4 24 10 2" xfId="41477" xr:uid="{00000000-0005-0000-0000-0000FCA10000}"/>
    <cellStyle name="Normal 3 4 24 10 3" xfId="41478" xr:uid="{00000000-0005-0000-0000-0000FDA10000}"/>
    <cellStyle name="Normal 3 4 24 11" xfId="41479" xr:uid="{00000000-0005-0000-0000-0000FEA10000}"/>
    <cellStyle name="Normal 3 4 24 11 2" xfId="41480" xr:uid="{00000000-0005-0000-0000-0000FFA10000}"/>
    <cellStyle name="Normal 3 4 24 11 3" xfId="41481" xr:uid="{00000000-0005-0000-0000-000000A20000}"/>
    <cellStyle name="Normal 3 4 24 12" xfId="41482" xr:uid="{00000000-0005-0000-0000-000001A20000}"/>
    <cellStyle name="Normal 3 4 24 12 2" xfId="41483" xr:uid="{00000000-0005-0000-0000-000002A20000}"/>
    <cellStyle name="Normal 3 4 24 12 3" xfId="41484" xr:uid="{00000000-0005-0000-0000-000003A20000}"/>
    <cellStyle name="Normal 3 4 24 13" xfId="41485" xr:uid="{00000000-0005-0000-0000-000004A20000}"/>
    <cellStyle name="Normal 3 4 24 13 2" xfId="41486" xr:uid="{00000000-0005-0000-0000-000005A20000}"/>
    <cellStyle name="Normal 3 4 24 13 3" xfId="41487" xr:uid="{00000000-0005-0000-0000-000006A20000}"/>
    <cellStyle name="Normal 3 4 24 14" xfId="41488" xr:uid="{00000000-0005-0000-0000-000007A20000}"/>
    <cellStyle name="Normal 3 4 24 14 2" xfId="41489" xr:uid="{00000000-0005-0000-0000-000008A20000}"/>
    <cellStyle name="Normal 3 4 24 14 3" xfId="41490" xr:uid="{00000000-0005-0000-0000-000009A20000}"/>
    <cellStyle name="Normal 3 4 24 15" xfId="41491" xr:uid="{00000000-0005-0000-0000-00000AA20000}"/>
    <cellStyle name="Normal 3 4 24 16" xfId="41492" xr:uid="{00000000-0005-0000-0000-00000BA20000}"/>
    <cellStyle name="Normal 3 4 24 2" xfId="41493" xr:uid="{00000000-0005-0000-0000-00000CA20000}"/>
    <cellStyle name="Normal 3 4 24 2 2" xfId="41494" xr:uid="{00000000-0005-0000-0000-00000DA20000}"/>
    <cellStyle name="Normal 3 4 24 2 3" xfId="41495" xr:uid="{00000000-0005-0000-0000-00000EA20000}"/>
    <cellStyle name="Normal 3 4 24 3" xfId="41496" xr:uid="{00000000-0005-0000-0000-00000FA20000}"/>
    <cellStyle name="Normal 3 4 24 3 2" xfId="41497" xr:uid="{00000000-0005-0000-0000-000010A20000}"/>
    <cellStyle name="Normal 3 4 24 3 3" xfId="41498" xr:uid="{00000000-0005-0000-0000-000011A20000}"/>
    <cellStyle name="Normal 3 4 24 4" xfId="41499" xr:uid="{00000000-0005-0000-0000-000012A20000}"/>
    <cellStyle name="Normal 3 4 24 4 2" xfId="41500" xr:uid="{00000000-0005-0000-0000-000013A20000}"/>
    <cellStyle name="Normal 3 4 24 4 3" xfId="41501" xr:uid="{00000000-0005-0000-0000-000014A20000}"/>
    <cellStyle name="Normal 3 4 24 5" xfId="41502" xr:uid="{00000000-0005-0000-0000-000015A20000}"/>
    <cellStyle name="Normal 3 4 24 5 2" xfId="41503" xr:uid="{00000000-0005-0000-0000-000016A20000}"/>
    <cellStyle name="Normal 3 4 24 5 3" xfId="41504" xr:uid="{00000000-0005-0000-0000-000017A20000}"/>
    <cellStyle name="Normal 3 4 24 6" xfId="41505" xr:uid="{00000000-0005-0000-0000-000018A20000}"/>
    <cellStyle name="Normal 3 4 24 6 2" xfId="41506" xr:uid="{00000000-0005-0000-0000-000019A20000}"/>
    <cellStyle name="Normal 3 4 24 6 3" xfId="41507" xr:uid="{00000000-0005-0000-0000-00001AA20000}"/>
    <cellStyle name="Normal 3 4 24 7" xfId="41508" xr:uid="{00000000-0005-0000-0000-00001BA20000}"/>
    <cellStyle name="Normal 3 4 24 7 2" xfId="41509" xr:uid="{00000000-0005-0000-0000-00001CA20000}"/>
    <cellStyle name="Normal 3 4 24 7 3" xfId="41510" xr:uid="{00000000-0005-0000-0000-00001DA20000}"/>
    <cellStyle name="Normal 3 4 24 8" xfId="41511" xr:uid="{00000000-0005-0000-0000-00001EA20000}"/>
    <cellStyle name="Normal 3 4 24 8 2" xfId="41512" xr:uid="{00000000-0005-0000-0000-00001FA20000}"/>
    <cellStyle name="Normal 3 4 24 8 3" xfId="41513" xr:uid="{00000000-0005-0000-0000-000020A20000}"/>
    <cellStyle name="Normal 3 4 24 9" xfId="41514" xr:uid="{00000000-0005-0000-0000-000021A20000}"/>
    <cellStyle name="Normal 3 4 24 9 2" xfId="41515" xr:uid="{00000000-0005-0000-0000-000022A20000}"/>
    <cellStyle name="Normal 3 4 24 9 3" xfId="41516" xr:uid="{00000000-0005-0000-0000-000023A20000}"/>
    <cellStyle name="Normal 3 4 25" xfId="41517" xr:uid="{00000000-0005-0000-0000-000024A20000}"/>
    <cellStyle name="Normal 3 4 25 10" xfId="41518" xr:uid="{00000000-0005-0000-0000-000025A20000}"/>
    <cellStyle name="Normal 3 4 25 10 2" xfId="41519" xr:uid="{00000000-0005-0000-0000-000026A20000}"/>
    <cellStyle name="Normal 3 4 25 10 3" xfId="41520" xr:uid="{00000000-0005-0000-0000-000027A20000}"/>
    <cellStyle name="Normal 3 4 25 11" xfId="41521" xr:uid="{00000000-0005-0000-0000-000028A20000}"/>
    <cellStyle name="Normal 3 4 25 11 2" xfId="41522" xr:uid="{00000000-0005-0000-0000-000029A20000}"/>
    <cellStyle name="Normal 3 4 25 11 3" xfId="41523" xr:uid="{00000000-0005-0000-0000-00002AA20000}"/>
    <cellStyle name="Normal 3 4 25 12" xfId="41524" xr:uid="{00000000-0005-0000-0000-00002BA20000}"/>
    <cellStyle name="Normal 3 4 25 12 2" xfId="41525" xr:uid="{00000000-0005-0000-0000-00002CA20000}"/>
    <cellStyle name="Normal 3 4 25 12 3" xfId="41526" xr:uid="{00000000-0005-0000-0000-00002DA20000}"/>
    <cellStyle name="Normal 3 4 25 13" xfId="41527" xr:uid="{00000000-0005-0000-0000-00002EA20000}"/>
    <cellStyle name="Normal 3 4 25 13 2" xfId="41528" xr:uid="{00000000-0005-0000-0000-00002FA20000}"/>
    <cellStyle name="Normal 3 4 25 13 3" xfId="41529" xr:uid="{00000000-0005-0000-0000-000030A20000}"/>
    <cellStyle name="Normal 3 4 25 14" xfId="41530" xr:uid="{00000000-0005-0000-0000-000031A20000}"/>
    <cellStyle name="Normal 3 4 25 14 2" xfId="41531" xr:uid="{00000000-0005-0000-0000-000032A20000}"/>
    <cellStyle name="Normal 3 4 25 14 3" xfId="41532" xr:uid="{00000000-0005-0000-0000-000033A20000}"/>
    <cellStyle name="Normal 3 4 25 15" xfId="41533" xr:uid="{00000000-0005-0000-0000-000034A20000}"/>
    <cellStyle name="Normal 3 4 25 16" xfId="41534" xr:uid="{00000000-0005-0000-0000-000035A20000}"/>
    <cellStyle name="Normal 3 4 25 2" xfId="41535" xr:uid="{00000000-0005-0000-0000-000036A20000}"/>
    <cellStyle name="Normal 3 4 25 2 2" xfId="41536" xr:uid="{00000000-0005-0000-0000-000037A20000}"/>
    <cellStyle name="Normal 3 4 25 2 3" xfId="41537" xr:uid="{00000000-0005-0000-0000-000038A20000}"/>
    <cellStyle name="Normal 3 4 25 3" xfId="41538" xr:uid="{00000000-0005-0000-0000-000039A20000}"/>
    <cellStyle name="Normal 3 4 25 3 2" xfId="41539" xr:uid="{00000000-0005-0000-0000-00003AA20000}"/>
    <cellStyle name="Normal 3 4 25 3 3" xfId="41540" xr:uid="{00000000-0005-0000-0000-00003BA20000}"/>
    <cellStyle name="Normal 3 4 25 4" xfId="41541" xr:uid="{00000000-0005-0000-0000-00003CA20000}"/>
    <cellStyle name="Normal 3 4 25 4 2" xfId="41542" xr:uid="{00000000-0005-0000-0000-00003DA20000}"/>
    <cellStyle name="Normal 3 4 25 4 3" xfId="41543" xr:uid="{00000000-0005-0000-0000-00003EA20000}"/>
    <cellStyle name="Normal 3 4 25 5" xfId="41544" xr:uid="{00000000-0005-0000-0000-00003FA20000}"/>
    <cellStyle name="Normal 3 4 25 5 2" xfId="41545" xr:uid="{00000000-0005-0000-0000-000040A20000}"/>
    <cellStyle name="Normal 3 4 25 5 3" xfId="41546" xr:uid="{00000000-0005-0000-0000-000041A20000}"/>
    <cellStyle name="Normal 3 4 25 6" xfId="41547" xr:uid="{00000000-0005-0000-0000-000042A20000}"/>
    <cellStyle name="Normal 3 4 25 6 2" xfId="41548" xr:uid="{00000000-0005-0000-0000-000043A20000}"/>
    <cellStyle name="Normal 3 4 25 6 3" xfId="41549" xr:uid="{00000000-0005-0000-0000-000044A20000}"/>
    <cellStyle name="Normal 3 4 25 7" xfId="41550" xr:uid="{00000000-0005-0000-0000-000045A20000}"/>
    <cellStyle name="Normal 3 4 25 7 2" xfId="41551" xr:uid="{00000000-0005-0000-0000-000046A20000}"/>
    <cellStyle name="Normal 3 4 25 7 3" xfId="41552" xr:uid="{00000000-0005-0000-0000-000047A20000}"/>
    <cellStyle name="Normal 3 4 25 8" xfId="41553" xr:uid="{00000000-0005-0000-0000-000048A20000}"/>
    <cellStyle name="Normal 3 4 25 8 2" xfId="41554" xr:uid="{00000000-0005-0000-0000-000049A20000}"/>
    <cellStyle name="Normal 3 4 25 8 3" xfId="41555" xr:uid="{00000000-0005-0000-0000-00004AA20000}"/>
    <cellStyle name="Normal 3 4 25 9" xfId="41556" xr:uid="{00000000-0005-0000-0000-00004BA20000}"/>
    <cellStyle name="Normal 3 4 25 9 2" xfId="41557" xr:uid="{00000000-0005-0000-0000-00004CA20000}"/>
    <cellStyle name="Normal 3 4 25 9 3" xfId="41558" xr:uid="{00000000-0005-0000-0000-00004DA20000}"/>
    <cellStyle name="Normal 3 4 3" xfId="41559" xr:uid="{00000000-0005-0000-0000-00004EA20000}"/>
    <cellStyle name="Normal 3 4 3 10" xfId="41560" xr:uid="{00000000-0005-0000-0000-00004FA20000}"/>
    <cellStyle name="Normal 3 4 3 10 10" xfId="41561" xr:uid="{00000000-0005-0000-0000-000050A20000}"/>
    <cellStyle name="Normal 3 4 3 10 10 2" xfId="41562" xr:uid="{00000000-0005-0000-0000-000051A20000}"/>
    <cellStyle name="Normal 3 4 3 10 10 3" xfId="41563" xr:uid="{00000000-0005-0000-0000-000052A20000}"/>
    <cellStyle name="Normal 3 4 3 10 11" xfId="41564" xr:uid="{00000000-0005-0000-0000-000053A20000}"/>
    <cellStyle name="Normal 3 4 3 10 11 2" xfId="41565" xr:uid="{00000000-0005-0000-0000-000054A20000}"/>
    <cellStyle name="Normal 3 4 3 10 11 3" xfId="41566" xr:uid="{00000000-0005-0000-0000-000055A20000}"/>
    <cellStyle name="Normal 3 4 3 10 12" xfId="41567" xr:uid="{00000000-0005-0000-0000-000056A20000}"/>
    <cellStyle name="Normal 3 4 3 10 12 2" xfId="41568" xr:uid="{00000000-0005-0000-0000-000057A20000}"/>
    <cellStyle name="Normal 3 4 3 10 12 3" xfId="41569" xr:uid="{00000000-0005-0000-0000-000058A20000}"/>
    <cellStyle name="Normal 3 4 3 10 13" xfId="41570" xr:uid="{00000000-0005-0000-0000-000059A20000}"/>
    <cellStyle name="Normal 3 4 3 10 13 2" xfId="41571" xr:uid="{00000000-0005-0000-0000-00005AA20000}"/>
    <cellStyle name="Normal 3 4 3 10 13 3" xfId="41572" xr:uid="{00000000-0005-0000-0000-00005BA20000}"/>
    <cellStyle name="Normal 3 4 3 10 14" xfId="41573" xr:uid="{00000000-0005-0000-0000-00005CA20000}"/>
    <cellStyle name="Normal 3 4 3 10 14 2" xfId="41574" xr:uid="{00000000-0005-0000-0000-00005DA20000}"/>
    <cellStyle name="Normal 3 4 3 10 14 3" xfId="41575" xr:uid="{00000000-0005-0000-0000-00005EA20000}"/>
    <cellStyle name="Normal 3 4 3 10 15" xfId="41576" xr:uid="{00000000-0005-0000-0000-00005FA20000}"/>
    <cellStyle name="Normal 3 4 3 10 16" xfId="41577" xr:uid="{00000000-0005-0000-0000-000060A20000}"/>
    <cellStyle name="Normal 3 4 3 10 2" xfId="41578" xr:uid="{00000000-0005-0000-0000-000061A20000}"/>
    <cellStyle name="Normal 3 4 3 10 2 2" xfId="41579" xr:uid="{00000000-0005-0000-0000-000062A20000}"/>
    <cellStyle name="Normal 3 4 3 10 2 3" xfId="41580" xr:uid="{00000000-0005-0000-0000-000063A20000}"/>
    <cellStyle name="Normal 3 4 3 10 3" xfId="41581" xr:uid="{00000000-0005-0000-0000-000064A20000}"/>
    <cellStyle name="Normal 3 4 3 10 3 2" xfId="41582" xr:uid="{00000000-0005-0000-0000-000065A20000}"/>
    <cellStyle name="Normal 3 4 3 10 3 3" xfId="41583" xr:uid="{00000000-0005-0000-0000-000066A20000}"/>
    <cellStyle name="Normal 3 4 3 10 4" xfId="41584" xr:uid="{00000000-0005-0000-0000-000067A20000}"/>
    <cellStyle name="Normal 3 4 3 10 4 2" xfId="41585" xr:uid="{00000000-0005-0000-0000-000068A20000}"/>
    <cellStyle name="Normal 3 4 3 10 4 3" xfId="41586" xr:uid="{00000000-0005-0000-0000-000069A20000}"/>
    <cellStyle name="Normal 3 4 3 10 5" xfId="41587" xr:uid="{00000000-0005-0000-0000-00006AA20000}"/>
    <cellStyle name="Normal 3 4 3 10 5 2" xfId="41588" xr:uid="{00000000-0005-0000-0000-00006BA20000}"/>
    <cellStyle name="Normal 3 4 3 10 5 3" xfId="41589" xr:uid="{00000000-0005-0000-0000-00006CA20000}"/>
    <cellStyle name="Normal 3 4 3 10 6" xfId="41590" xr:uid="{00000000-0005-0000-0000-00006DA20000}"/>
    <cellStyle name="Normal 3 4 3 10 6 2" xfId="41591" xr:uid="{00000000-0005-0000-0000-00006EA20000}"/>
    <cellStyle name="Normal 3 4 3 10 6 3" xfId="41592" xr:uid="{00000000-0005-0000-0000-00006FA20000}"/>
    <cellStyle name="Normal 3 4 3 10 7" xfId="41593" xr:uid="{00000000-0005-0000-0000-000070A20000}"/>
    <cellStyle name="Normal 3 4 3 10 7 2" xfId="41594" xr:uid="{00000000-0005-0000-0000-000071A20000}"/>
    <cellStyle name="Normal 3 4 3 10 7 3" xfId="41595" xr:uid="{00000000-0005-0000-0000-000072A20000}"/>
    <cellStyle name="Normal 3 4 3 10 8" xfId="41596" xr:uid="{00000000-0005-0000-0000-000073A20000}"/>
    <cellStyle name="Normal 3 4 3 10 8 2" xfId="41597" xr:uid="{00000000-0005-0000-0000-000074A20000}"/>
    <cellStyle name="Normal 3 4 3 10 8 3" xfId="41598" xr:uid="{00000000-0005-0000-0000-000075A20000}"/>
    <cellStyle name="Normal 3 4 3 10 9" xfId="41599" xr:uid="{00000000-0005-0000-0000-000076A20000}"/>
    <cellStyle name="Normal 3 4 3 10 9 2" xfId="41600" xr:uid="{00000000-0005-0000-0000-000077A20000}"/>
    <cellStyle name="Normal 3 4 3 10 9 3" xfId="41601" xr:uid="{00000000-0005-0000-0000-000078A20000}"/>
    <cellStyle name="Normal 3 4 3 11" xfId="41602" xr:uid="{00000000-0005-0000-0000-000079A20000}"/>
    <cellStyle name="Normal 3 4 3 11 10" xfId="41603" xr:uid="{00000000-0005-0000-0000-00007AA20000}"/>
    <cellStyle name="Normal 3 4 3 11 10 2" xfId="41604" xr:uid="{00000000-0005-0000-0000-00007BA20000}"/>
    <cellStyle name="Normal 3 4 3 11 10 3" xfId="41605" xr:uid="{00000000-0005-0000-0000-00007CA20000}"/>
    <cellStyle name="Normal 3 4 3 11 11" xfId="41606" xr:uid="{00000000-0005-0000-0000-00007DA20000}"/>
    <cellStyle name="Normal 3 4 3 11 11 2" xfId="41607" xr:uid="{00000000-0005-0000-0000-00007EA20000}"/>
    <cellStyle name="Normal 3 4 3 11 11 3" xfId="41608" xr:uid="{00000000-0005-0000-0000-00007FA20000}"/>
    <cellStyle name="Normal 3 4 3 11 12" xfId="41609" xr:uid="{00000000-0005-0000-0000-000080A20000}"/>
    <cellStyle name="Normal 3 4 3 11 12 2" xfId="41610" xr:uid="{00000000-0005-0000-0000-000081A20000}"/>
    <cellStyle name="Normal 3 4 3 11 12 3" xfId="41611" xr:uid="{00000000-0005-0000-0000-000082A20000}"/>
    <cellStyle name="Normal 3 4 3 11 13" xfId="41612" xr:uid="{00000000-0005-0000-0000-000083A20000}"/>
    <cellStyle name="Normal 3 4 3 11 13 2" xfId="41613" xr:uid="{00000000-0005-0000-0000-000084A20000}"/>
    <cellStyle name="Normal 3 4 3 11 13 3" xfId="41614" xr:uid="{00000000-0005-0000-0000-000085A20000}"/>
    <cellStyle name="Normal 3 4 3 11 14" xfId="41615" xr:uid="{00000000-0005-0000-0000-000086A20000}"/>
    <cellStyle name="Normal 3 4 3 11 14 2" xfId="41616" xr:uid="{00000000-0005-0000-0000-000087A20000}"/>
    <cellStyle name="Normal 3 4 3 11 14 3" xfId="41617" xr:uid="{00000000-0005-0000-0000-000088A20000}"/>
    <cellStyle name="Normal 3 4 3 11 15" xfId="41618" xr:uid="{00000000-0005-0000-0000-000089A20000}"/>
    <cellStyle name="Normal 3 4 3 11 16" xfId="41619" xr:uid="{00000000-0005-0000-0000-00008AA20000}"/>
    <cellStyle name="Normal 3 4 3 11 2" xfId="41620" xr:uid="{00000000-0005-0000-0000-00008BA20000}"/>
    <cellStyle name="Normal 3 4 3 11 2 2" xfId="41621" xr:uid="{00000000-0005-0000-0000-00008CA20000}"/>
    <cellStyle name="Normal 3 4 3 11 2 3" xfId="41622" xr:uid="{00000000-0005-0000-0000-00008DA20000}"/>
    <cellStyle name="Normal 3 4 3 11 3" xfId="41623" xr:uid="{00000000-0005-0000-0000-00008EA20000}"/>
    <cellStyle name="Normal 3 4 3 11 3 2" xfId="41624" xr:uid="{00000000-0005-0000-0000-00008FA20000}"/>
    <cellStyle name="Normal 3 4 3 11 3 3" xfId="41625" xr:uid="{00000000-0005-0000-0000-000090A20000}"/>
    <cellStyle name="Normal 3 4 3 11 4" xfId="41626" xr:uid="{00000000-0005-0000-0000-000091A20000}"/>
    <cellStyle name="Normal 3 4 3 11 4 2" xfId="41627" xr:uid="{00000000-0005-0000-0000-000092A20000}"/>
    <cellStyle name="Normal 3 4 3 11 4 3" xfId="41628" xr:uid="{00000000-0005-0000-0000-000093A20000}"/>
    <cellStyle name="Normal 3 4 3 11 5" xfId="41629" xr:uid="{00000000-0005-0000-0000-000094A20000}"/>
    <cellStyle name="Normal 3 4 3 11 5 2" xfId="41630" xr:uid="{00000000-0005-0000-0000-000095A20000}"/>
    <cellStyle name="Normal 3 4 3 11 5 3" xfId="41631" xr:uid="{00000000-0005-0000-0000-000096A20000}"/>
    <cellStyle name="Normal 3 4 3 11 6" xfId="41632" xr:uid="{00000000-0005-0000-0000-000097A20000}"/>
    <cellStyle name="Normal 3 4 3 11 6 2" xfId="41633" xr:uid="{00000000-0005-0000-0000-000098A20000}"/>
    <cellStyle name="Normal 3 4 3 11 6 3" xfId="41634" xr:uid="{00000000-0005-0000-0000-000099A20000}"/>
    <cellStyle name="Normal 3 4 3 11 7" xfId="41635" xr:uid="{00000000-0005-0000-0000-00009AA20000}"/>
    <cellStyle name="Normal 3 4 3 11 7 2" xfId="41636" xr:uid="{00000000-0005-0000-0000-00009BA20000}"/>
    <cellStyle name="Normal 3 4 3 11 7 3" xfId="41637" xr:uid="{00000000-0005-0000-0000-00009CA20000}"/>
    <cellStyle name="Normal 3 4 3 11 8" xfId="41638" xr:uid="{00000000-0005-0000-0000-00009DA20000}"/>
    <cellStyle name="Normal 3 4 3 11 8 2" xfId="41639" xr:uid="{00000000-0005-0000-0000-00009EA20000}"/>
    <cellStyle name="Normal 3 4 3 11 8 3" xfId="41640" xr:uid="{00000000-0005-0000-0000-00009FA20000}"/>
    <cellStyle name="Normal 3 4 3 11 9" xfId="41641" xr:uid="{00000000-0005-0000-0000-0000A0A20000}"/>
    <cellStyle name="Normal 3 4 3 11 9 2" xfId="41642" xr:uid="{00000000-0005-0000-0000-0000A1A20000}"/>
    <cellStyle name="Normal 3 4 3 11 9 3" xfId="41643" xr:uid="{00000000-0005-0000-0000-0000A2A20000}"/>
    <cellStyle name="Normal 3 4 3 12" xfId="41644" xr:uid="{00000000-0005-0000-0000-0000A3A20000}"/>
    <cellStyle name="Normal 3 4 3 12 10" xfId="41645" xr:uid="{00000000-0005-0000-0000-0000A4A20000}"/>
    <cellStyle name="Normal 3 4 3 12 10 2" xfId="41646" xr:uid="{00000000-0005-0000-0000-0000A5A20000}"/>
    <cellStyle name="Normal 3 4 3 12 10 3" xfId="41647" xr:uid="{00000000-0005-0000-0000-0000A6A20000}"/>
    <cellStyle name="Normal 3 4 3 12 11" xfId="41648" xr:uid="{00000000-0005-0000-0000-0000A7A20000}"/>
    <cellStyle name="Normal 3 4 3 12 11 2" xfId="41649" xr:uid="{00000000-0005-0000-0000-0000A8A20000}"/>
    <cellStyle name="Normal 3 4 3 12 11 3" xfId="41650" xr:uid="{00000000-0005-0000-0000-0000A9A20000}"/>
    <cellStyle name="Normal 3 4 3 12 12" xfId="41651" xr:uid="{00000000-0005-0000-0000-0000AAA20000}"/>
    <cellStyle name="Normal 3 4 3 12 12 2" xfId="41652" xr:uid="{00000000-0005-0000-0000-0000ABA20000}"/>
    <cellStyle name="Normal 3 4 3 12 12 3" xfId="41653" xr:uid="{00000000-0005-0000-0000-0000ACA20000}"/>
    <cellStyle name="Normal 3 4 3 12 13" xfId="41654" xr:uid="{00000000-0005-0000-0000-0000ADA20000}"/>
    <cellStyle name="Normal 3 4 3 12 13 2" xfId="41655" xr:uid="{00000000-0005-0000-0000-0000AEA20000}"/>
    <cellStyle name="Normal 3 4 3 12 13 3" xfId="41656" xr:uid="{00000000-0005-0000-0000-0000AFA20000}"/>
    <cellStyle name="Normal 3 4 3 12 14" xfId="41657" xr:uid="{00000000-0005-0000-0000-0000B0A20000}"/>
    <cellStyle name="Normal 3 4 3 12 14 2" xfId="41658" xr:uid="{00000000-0005-0000-0000-0000B1A20000}"/>
    <cellStyle name="Normal 3 4 3 12 14 3" xfId="41659" xr:uid="{00000000-0005-0000-0000-0000B2A20000}"/>
    <cellStyle name="Normal 3 4 3 12 15" xfId="41660" xr:uid="{00000000-0005-0000-0000-0000B3A20000}"/>
    <cellStyle name="Normal 3 4 3 12 16" xfId="41661" xr:uid="{00000000-0005-0000-0000-0000B4A20000}"/>
    <cellStyle name="Normal 3 4 3 12 2" xfId="41662" xr:uid="{00000000-0005-0000-0000-0000B5A20000}"/>
    <cellStyle name="Normal 3 4 3 12 2 2" xfId="41663" xr:uid="{00000000-0005-0000-0000-0000B6A20000}"/>
    <cellStyle name="Normal 3 4 3 12 2 3" xfId="41664" xr:uid="{00000000-0005-0000-0000-0000B7A20000}"/>
    <cellStyle name="Normal 3 4 3 12 3" xfId="41665" xr:uid="{00000000-0005-0000-0000-0000B8A20000}"/>
    <cellStyle name="Normal 3 4 3 12 3 2" xfId="41666" xr:uid="{00000000-0005-0000-0000-0000B9A20000}"/>
    <cellStyle name="Normal 3 4 3 12 3 3" xfId="41667" xr:uid="{00000000-0005-0000-0000-0000BAA20000}"/>
    <cellStyle name="Normal 3 4 3 12 4" xfId="41668" xr:uid="{00000000-0005-0000-0000-0000BBA20000}"/>
    <cellStyle name="Normal 3 4 3 12 4 2" xfId="41669" xr:uid="{00000000-0005-0000-0000-0000BCA20000}"/>
    <cellStyle name="Normal 3 4 3 12 4 3" xfId="41670" xr:uid="{00000000-0005-0000-0000-0000BDA20000}"/>
    <cellStyle name="Normal 3 4 3 12 5" xfId="41671" xr:uid="{00000000-0005-0000-0000-0000BEA20000}"/>
    <cellStyle name="Normal 3 4 3 12 5 2" xfId="41672" xr:uid="{00000000-0005-0000-0000-0000BFA20000}"/>
    <cellStyle name="Normal 3 4 3 12 5 3" xfId="41673" xr:uid="{00000000-0005-0000-0000-0000C0A20000}"/>
    <cellStyle name="Normal 3 4 3 12 6" xfId="41674" xr:uid="{00000000-0005-0000-0000-0000C1A20000}"/>
    <cellStyle name="Normal 3 4 3 12 6 2" xfId="41675" xr:uid="{00000000-0005-0000-0000-0000C2A20000}"/>
    <cellStyle name="Normal 3 4 3 12 6 3" xfId="41676" xr:uid="{00000000-0005-0000-0000-0000C3A20000}"/>
    <cellStyle name="Normal 3 4 3 12 7" xfId="41677" xr:uid="{00000000-0005-0000-0000-0000C4A20000}"/>
    <cellStyle name="Normal 3 4 3 12 7 2" xfId="41678" xr:uid="{00000000-0005-0000-0000-0000C5A20000}"/>
    <cellStyle name="Normal 3 4 3 12 7 3" xfId="41679" xr:uid="{00000000-0005-0000-0000-0000C6A20000}"/>
    <cellStyle name="Normal 3 4 3 12 8" xfId="41680" xr:uid="{00000000-0005-0000-0000-0000C7A20000}"/>
    <cellStyle name="Normal 3 4 3 12 8 2" xfId="41681" xr:uid="{00000000-0005-0000-0000-0000C8A20000}"/>
    <cellStyle name="Normal 3 4 3 12 8 3" xfId="41682" xr:uid="{00000000-0005-0000-0000-0000C9A20000}"/>
    <cellStyle name="Normal 3 4 3 12 9" xfId="41683" xr:uid="{00000000-0005-0000-0000-0000CAA20000}"/>
    <cellStyle name="Normal 3 4 3 12 9 2" xfId="41684" xr:uid="{00000000-0005-0000-0000-0000CBA20000}"/>
    <cellStyle name="Normal 3 4 3 12 9 3" xfId="41685" xr:uid="{00000000-0005-0000-0000-0000CCA20000}"/>
    <cellStyle name="Normal 3 4 3 13" xfId="41686" xr:uid="{00000000-0005-0000-0000-0000CDA20000}"/>
    <cellStyle name="Normal 3 4 3 13 10" xfId="41687" xr:uid="{00000000-0005-0000-0000-0000CEA20000}"/>
    <cellStyle name="Normal 3 4 3 13 10 2" xfId="41688" xr:uid="{00000000-0005-0000-0000-0000CFA20000}"/>
    <cellStyle name="Normal 3 4 3 13 10 3" xfId="41689" xr:uid="{00000000-0005-0000-0000-0000D0A20000}"/>
    <cellStyle name="Normal 3 4 3 13 11" xfId="41690" xr:uid="{00000000-0005-0000-0000-0000D1A20000}"/>
    <cellStyle name="Normal 3 4 3 13 11 2" xfId="41691" xr:uid="{00000000-0005-0000-0000-0000D2A20000}"/>
    <cellStyle name="Normal 3 4 3 13 11 3" xfId="41692" xr:uid="{00000000-0005-0000-0000-0000D3A20000}"/>
    <cellStyle name="Normal 3 4 3 13 12" xfId="41693" xr:uid="{00000000-0005-0000-0000-0000D4A20000}"/>
    <cellStyle name="Normal 3 4 3 13 12 2" xfId="41694" xr:uid="{00000000-0005-0000-0000-0000D5A20000}"/>
    <cellStyle name="Normal 3 4 3 13 12 3" xfId="41695" xr:uid="{00000000-0005-0000-0000-0000D6A20000}"/>
    <cellStyle name="Normal 3 4 3 13 13" xfId="41696" xr:uid="{00000000-0005-0000-0000-0000D7A20000}"/>
    <cellStyle name="Normal 3 4 3 13 13 2" xfId="41697" xr:uid="{00000000-0005-0000-0000-0000D8A20000}"/>
    <cellStyle name="Normal 3 4 3 13 13 3" xfId="41698" xr:uid="{00000000-0005-0000-0000-0000D9A20000}"/>
    <cellStyle name="Normal 3 4 3 13 14" xfId="41699" xr:uid="{00000000-0005-0000-0000-0000DAA20000}"/>
    <cellStyle name="Normal 3 4 3 13 14 2" xfId="41700" xr:uid="{00000000-0005-0000-0000-0000DBA20000}"/>
    <cellStyle name="Normal 3 4 3 13 14 3" xfId="41701" xr:uid="{00000000-0005-0000-0000-0000DCA20000}"/>
    <cellStyle name="Normal 3 4 3 13 15" xfId="41702" xr:uid="{00000000-0005-0000-0000-0000DDA20000}"/>
    <cellStyle name="Normal 3 4 3 13 16" xfId="41703" xr:uid="{00000000-0005-0000-0000-0000DEA20000}"/>
    <cellStyle name="Normal 3 4 3 13 2" xfId="41704" xr:uid="{00000000-0005-0000-0000-0000DFA20000}"/>
    <cellStyle name="Normal 3 4 3 13 2 2" xfId="41705" xr:uid="{00000000-0005-0000-0000-0000E0A20000}"/>
    <cellStyle name="Normal 3 4 3 13 2 3" xfId="41706" xr:uid="{00000000-0005-0000-0000-0000E1A20000}"/>
    <cellStyle name="Normal 3 4 3 13 3" xfId="41707" xr:uid="{00000000-0005-0000-0000-0000E2A20000}"/>
    <cellStyle name="Normal 3 4 3 13 3 2" xfId="41708" xr:uid="{00000000-0005-0000-0000-0000E3A20000}"/>
    <cellStyle name="Normal 3 4 3 13 3 3" xfId="41709" xr:uid="{00000000-0005-0000-0000-0000E4A20000}"/>
    <cellStyle name="Normal 3 4 3 13 4" xfId="41710" xr:uid="{00000000-0005-0000-0000-0000E5A20000}"/>
    <cellStyle name="Normal 3 4 3 13 4 2" xfId="41711" xr:uid="{00000000-0005-0000-0000-0000E6A20000}"/>
    <cellStyle name="Normal 3 4 3 13 4 3" xfId="41712" xr:uid="{00000000-0005-0000-0000-0000E7A20000}"/>
    <cellStyle name="Normal 3 4 3 13 5" xfId="41713" xr:uid="{00000000-0005-0000-0000-0000E8A20000}"/>
    <cellStyle name="Normal 3 4 3 13 5 2" xfId="41714" xr:uid="{00000000-0005-0000-0000-0000E9A20000}"/>
    <cellStyle name="Normal 3 4 3 13 5 3" xfId="41715" xr:uid="{00000000-0005-0000-0000-0000EAA20000}"/>
    <cellStyle name="Normal 3 4 3 13 6" xfId="41716" xr:uid="{00000000-0005-0000-0000-0000EBA20000}"/>
    <cellStyle name="Normal 3 4 3 13 6 2" xfId="41717" xr:uid="{00000000-0005-0000-0000-0000ECA20000}"/>
    <cellStyle name="Normal 3 4 3 13 6 3" xfId="41718" xr:uid="{00000000-0005-0000-0000-0000EDA20000}"/>
    <cellStyle name="Normal 3 4 3 13 7" xfId="41719" xr:uid="{00000000-0005-0000-0000-0000EEA20000}"/>
    <cellStyle name="Normal 3 4 3 13 7 2" xfId="41720" xr:uid="{00000000-0005-0000-0000-0000EFA20000}"/>
    <cellStyle name="Normal 3 4 3 13 7 3" xfId="41721" xr:uid="{00000000-0005-0000-0000-0000F0A20000}"/>
    <cellStyle name="Normal 3 4 3 13 8" xfId="41722" xr:uid="{00000000-0005-0000-0000-0000F1A20000}"/>
    <cellStyle name="Normal 3 4 3 13 8 2" xfId="41723" xr:uid="{00000000-0005-0000-0000-0000F2A20000}"/>
    <cellStyle name="Normal 3 4 3 13 8 3" xfId="41724" xr:uid="{00000000-0005-0000-0000-0000F3A20000}"/>
    <cellStyle name="Normal 3 4 3 13 9" xfId="41725" xr:uid="{00000000-0005-0000-0000-0000F4A20000}"/>
    <cellStyle name="Normal 3 4 3 13 9 2" xfId="41726" xr:uid="{00000000-0005-0000-0000-0000F5A20000}"/>
    <cellStyle name="Normal 3 4 3 13 9 3" xfId="41727" xr:uid="{00000000-0005-0000-0000-0000F6A20000}"/>
    <cellStyle name="Normal 3 4 3 14" xfId="41728" xr:uid="{00000000-0005-0000-0000-0000F7A20000}"/>
    <cellStyle name="Normal 3 4 3 14 10" xfId="41729" xr:uid="{00000000-0005-0000-0000-0000F8A20000}"/>
    <cellStyle name="Normal 3 4 3 14 10 2" xfId="41730" xr:uid="{00000000-0005-0000-0000-0000F9A20000}"/>
    <cellStyle name="Normal 3 4 3 14 10 3" xfId="41731" xr:uid="{00000000-0005-0000-0000-0000FAA20000}"/>
    <cellStyle name="Normal 3 4 3 14 11" xfId="41732" xr:uid="{00000000-0005-0000-0000-0000FBA20000}"/>
    <cellStyle name="Normal 3 4 3 14 11 2" xfId="41733" xr:uid="{00000000-0005-0000-0000-0000FCA20000}"/>
    <cellStyle name="Normal 3 4 3 14 11 3" xfId="41734" xr:uid="{00000000-0005-0000-0000-0000FDA20000}"/>
    <cellStyle name="Normal 3 4 3 14 12" xfId="41735" xr:uid="{00000000-0005-0000-0000-0000FEA20000}"/>
    <cellStyle name="Normal 3 4 3 14 12 2" xfId="41736" xr:uid="{00000000-0005-0000-0000-0000FFA20000}"/>
    <cellStyle name="Normal 3 4 3 14 12 3" xfId="41737" xr:uid="{00000000-0005-0000-0000-000000A30000}"/>
    <cellStyle name="Normal 3 4 3 14 13" xfId="41738" xr:uid="{00000000-0005-0000-0000-000001A30000}"/>
    <cellStyle name="Normal 3 4 3 14 13 2" xfId="41739" xr:uid="{00000000-0005-0000-0000-000002A30000}"/>
    <cellStyle name="Normal 3 4 3 14 13 3" xfId="41740" xr:uid="{00000000-0005-0000-0000-000003A30000}"/>
    <cellStyle name="Normal 3 4 3 14 14" xfId="41741" xr:uid="{00000000-0005-0000-0000-000004A30000}"/>
    <cellStyle name="Normal 3 4 3 14 14 2" xfId="41742" xr:uid="{00000000-0005-0000-0000-000005A30000}"/>
    <cellStyle name="Normal 3 4 3 14 14 3" xfId="41743" xr:uid="{00000000-0005-0000-0000-000006A30000}"/>
    <cellStyle name="Normal 3 4 3 14 15" xfId="41744" xr:uid="{00000000-0005-0000-0000-000007A30000}"/>
    <cellStyle name="Normal 3 4 3 14 16" xfId="41745" xr:uid="{00000000-0005-0000-0000-000008A30000}"/>
    <cellStyle name="Normal 3 4 3 14 2" xfId="41746" xr:uid="{00000000-0005-0000-0000-000009A30000}"/>
    <cellStyle name="Normal 3 4 3 14 2 2" xfId="41747" xr:uid="{00000000-0005-0000-0000-00000AA30000}"/>
    <cellStyle name="Normal 3 4 3 14 2 3" xfId="41748" xr:uid="{00000000-0005-0000-0000-00000BA30000}"/>
    <cellStyle name="Normal 3 4 3 14 3" xfId="41749" xr:uid="{00000000-0005-0000-0000-00000CA30000}"/>
    <cellStyle name="Normal 3 4 3 14 3 2" xfId="41750" xr:uid="{00000000-0005-0000-0000-00000DA30000}"/>
    <cellStyle name="Normal 3 4 3 14 3 3" xfId="41751" xr:uid="{00000000-0005-0000-0000-00000EA30000}"/>
    <cellStyle name="Normal 3 4 3 14 4" xfId="41752" xr:uid="{00000000-0005-0000-0000-00000FA30000}"/>
    <cellStyle name="Normal 3 4 3 14 4 2" xfId="41753" xr:uid="{00000000-0005-0000-0000-000010A30000}"/>
    <cellStyle name="Normal 3 4 3 14 4 3" xfId="41754" xr:uid="{00000000-0005-0000-0000-000011A30000}"/>
    <cellStyle name="Normal 3 4 3 14 5" xfId="41755" xr:uid="{00000000-0005-0000-0000-000012A30000}"/>
    <cellStyle name="Normal 3 4 3 14 5 2" xfId="41756" xr:uid="{00000000-0005-0000-0000-000013A30000}"/>
    <cellStyle name="Normal 3 4 3 14 5 3" xfId="41757" xr:uid="{00000000-0005-0000-0000-000014A30000}"/>
    <cellStyle name="Normal 3 4 3 14 6" xfId="41758" xr:uid="{00000000-0005-0000-0000-000015A30000}"/>
    <cellStyle name="Normal 3 4 3 14 6 2" xfId="41759" xr:uid="{00000000-0005-0000-0000-000016A30000}"/>
    <cellStyle name="Normal 3 4 3 14 6 3" xfId="41760" xr:uid="{00000000-0005-0000-0000-000017A30000}"/>
    <cellStyle name="Normal 3 4 3 14 7" xfId="41761" xr:uid="{00000000-0005-0000-0000-000018A30000}"/>
    <cellStyle name="Normal 3 4 3 14 7 2" xfId="41762" xr:uid="{00000000-0005-0000-0000-000019A30000}"/>
    <cellStyle name="Normal 3 4 3 14 7 3" xfId="41763" xr:uid="{00000000-0005-0000-0000-00001AA30000}"/>
    <cellStyle name="Normal 3 4 3 14 8" xfId="41764" xr:uid="{00000000-0005-0000-0000-00001BA30000}"/>
    <cellStyle name="Normal 3 4 3 14 8 2" xfId="41765" xr:uid="{00000000-0005-0000-0000-00001CA30000}"/>
    <cellStyle name="Normal 3 4 3 14 8 3" xfId="41766" xr:uid="{00000000-0005-0000-0000-00001DA30000}"/>
    <cellStyle name="Normal 3 4 3 14 9" xfId="41767" xr:uid="{00000000-0005-0000-0000-00001EA30000}"/>
    <cellStyle name="Normal 3 4 3 14 9 2" xfId="41768" xr:uid="{00000000-0005-0000-0000-00001FA30000}"/>
    <cellStyle name="Normal 3 4 3 14 9 3" xfId="41769" xr:uid="{00000000-0005-0000-0000-000020A30000}"/>
    <cellStyle name="Normal 3 4 3 15" xfId="41770" xr:uid="{00000000-0005-0000-0000-000021A30000}"/>
    <cellStyle name="Normal 3 4 3 15 2" xfId="41771" xr:uid="{00000000-0005-0000-0000-000022A30000}"/>
    <cellStyle name="Normal 3 4 3 15 3" xfId="41772" xr:uid="{00000000-0005-0000-0000-000023A30000}"/>
    <cellStyle name="Normal 3 4 3 16" xfId="41773" xr:uid="{00000000-0005-0000-0000-000024A30000}"/>
    <cellStyle name="Normal 3 4 3 16 2" xfId="41774" xr:uid="{00000000-0005-0000-0000-000025A30000}"/>
    <cellStyle name="Normal 3 4 3 16 3" xfId="41775" xr:uid="{00000000-0005-0000-0000-000026A30000}"/>
    <cellStyle name="Normal 3 4 3 17" xfId="41776" xr:uid="{00000000-0005-0000-0000-000027A30000}"/>
    <cellStyle name="Normal 3 4 3 17 2" xfId="41777" xr:uid="{00000000-0005-0000-0000-000028A30000}"/>
    <cellStyle name="Normal 3 4 3 17 3" xfId="41778" xr:uid="{00000000-0005-0000-0000-000029A30000}"/>
    <cellStyle name="Normal 3 4 3 18" xfId="41779" xr:uid="{00000000-0005-0000-0000-00002AA30000}"/>
    <cellStyle name="Normal 3 4 3 18 2" xfId="41780" xr:uid="{00000000-0005-0000-0000-00002BA30000}"/>
    <cellStyle name="Normal 3 4 3 18 3" xfId="41781" xr:uid="{00000000-0005-0000-0000-00002CA30000}"/>
    <cellStyle name="Normal 3 4 3 19" xfId="41782" xr:uid="{00000000-0005-0000-0000-00002DA30000}"/>
    <cellStyle name="Normal 3 4 3 19 2" xfId="41783" xr:uid="{00000000-0005-0000-0000-00002EA30000}"/>
    <cellStyle name="Normal 3 4 3 19 3" xfId="41784" xr:uid="{00000000-0005-0000-0000-00002FA30000}"/>
    <cellStyle name="Normal 3 4 3 2" xfId="41785" xr:uid="{00000000-0005-0000-0000-000030A30000}"/>
    <cellStyle name="Normal 3 4 3 20" xfId="41786" xr:uid="{00000000-0005-0000-0000-000031A30000}"/>
    <cellStyle name="Normal 3 4 3 20 2" xfId="41787" xr:uid="{00000000-0005-0000-0000-000032A30000}"/>
    <cellStyle name="Normal 3 4 3 20 3" xfId="41788" xr:uid="{00000000-0005-0000-0000-000033A30000}"/>
    <cellStyle name="Normal 3 4 3 21" xfId="41789" xr:uid="{00000000-0005-0000-0000-000034A30000}"/>
    <cellStyle name="Normal 3 4 3 21 2" xfId="41790" xr:uid="{00000000-0005-0000-0000-000035A30000}"/>
    <cellStyle name="Normal 3 4 3 21 3" xfId="41791" xr:uid="{00000000-0005-0000-0000-000036A30000}"/>
    <cellStyle name="Normal 3 4 3 22" xfId="41792" xr:uid="{00000000-0005-0000-0000-000037A30000}"/>
    <cellStyle name="Normal 3 4 3 22 2" xfId="41793" xr:uid="{00000000-0005-0000-0000-000038A30000}"/>
    <cellStyle name="Normal 3 4 3 22 3" xfId="41794" xr:uid="{00000000-0005-0000-0000-000039A30000}"/>
    <cellStyle name="Normal 3 4 3 23" xfId="41795" xr:uid="{00000000-0005-0000-0000-00003AA30000}"/>
    <cellStyle name="Normal 3 4 3 23 2" xfId="41796" xr:uid="{00000000-0005-0000-0000-00003BA30000}"/>
    <cellStyle name="Normal 3 4 3 23 3" xfId="41797" xr:uid="{00000000-0005-0000-0000-00003CA30000}"/>
    <cellStyle name="Normal 3 4 3 24" xfId="41798" xr:uid="{00000000-0005-0000-0000-00003DA30000}"/>
    <cellStyle name="Normal 3 4 3 24 2" xfId="41799" xr:uid="{00000000-0005-0000-0000-00003EA30000}"/>
    <cellStyle name="Normal 3 4 3 24 3" xfId="41800" xr:uid="{00000000-0005-0000-0000-00003FA30000}"/>
    <cellStyle name="Normal 3 4 3 25" xfId="41801" xr:uid="{00000000-0005-0000-0000-000040A30000}"/>
    <cellStyle name="Normal 3 4 3 25 2" xfId="41802" xr:uid="{00000000-0005-0000-0000-000041A30000}"/>
    <cellStyle name="Normal 3 4 3 25 3" xfId="41803" xr:uid="{00000000-0005-0000-0000-000042A30000}"/>
    <cellStyle name="Normal 3 4 3 26" xfId="41804" xr:uid="{00000000-0005-0000-0000-000043A30000}"/>
    <cellStyle name="Normal 3 4 3 26 2" xfId="41805" xr:uid="{00000000-0005-0000-0000-000044A30000}"/>
    <cellStyle name="Normal 3 4 3 26 3" xfId="41806" xr:uid="{00000000-0005-0000-0000-000045A30000}"/>
    <cellStyle name="Normal 3 4 3 27" xfId="41807" xr:uid="{00000000-0005-0000-0000-000046A30000}"/>
    <cellStyle name="Normal 3 4 3 27 2" xfId="41808" xr:uid="{00000000-0005-0000-0000-000047A30000}"/>
    <cellStyle name="Normal 3 4 3 27 3" xfId="41809" xr:uid="{00000000-0005-0000-0000-000048A30000}"/>
    <cellStyle name="Normal 3 4 3 28" xfId="41810" xr:uid="{00000000-0005-0000-0000-000049A30000}"/>
    <cellStyle name="Normal 3 4 3 29" xfId="41811" xr:uid="{00000000-0005-0000-0000-00004AA30000}"/>
    <cellStyle name="Normal 3 4 3 3" xfId="41812" xr:uid="{00000000-0005-0000-0000-00004BA30000}"/>
    <cellStyle name="Normal 3 4 3 4" xfId="41813" xr:uid="{00000000-0005-0000-0000-00004CA30000}"/>
    <cellStyle name="Normal 3 4 3 5" xfId="41814" xr:uid="{00000000-0005-0000-0000-00004DA30000}"/>
    <cellStyle name="Normal 3 4 3 6" xfId="41815" xr:uid="{00000000-0005-0000-0000-00004EA30000}"/>
    <cellStyle name="Normal 3 4 3 6 10" xfId="41816" xr:uid="{00000000-0005-0000-0000-00004FA30000}"/>
    <cellStyle name="Normal 3 4 3 6 10 2" xfId="41817" xr:uid="{00000000-0005-0000-0000-000050A30000}"/>
    <cellStyle name="Normal 3 4 3 6 10 3" xfId="41818" xr:uid="{00000000-0005-0000-0000-000051A30000}"/>
    <cellStyle name="Normal 3 4 3 6 11" xfId="41819" xr:uid="{00000000-0005-0000-0000-000052A30000}"/>
    <cellStyle name="Normal 3 4 3 6 11 2" xfId="41820" xr:uid="{00000000-0005-0000-0000-000053A30000}"/>
    <cellStyle name="Normal 3 4 3 6 11 3" xfId="41821" xr:uid="{00000000-0005-0000-0000-000054A30000}"/>
    <cellStyle name="Normal 3 4 3 6 12" xfId="41822" xr:uid="{00000000-0005-0000-0000-000055A30000}"/>
    <cellStyle name="Normal 3 4 3 6 12 2" xfId="41823" xr:uid="{00000000-0005-0000-0000-000056A30000}"/>
    <cellStyle name="Normal 3 4 3 6 12 3" xfId="41824" xr:uid="{00000000-0005-0000-0000-000057A30000}"/>
    <cellStyle name="Normal 3 4 3 6 13" xfId="41825" xr:uid="{00000000-0005-0000-0000-000058A30000}"/>
    <cellStyle name="Normal 3 4 3 6 13 2" xfId="41826" xr:uid="{00000000-0005-0000-0000-000059A30000}"/>
    <cellStyle name="Normal 3 4 3 6 13 3" xfId="41827" xr:uid="{00000000-0005-0000-0000-00005AA30000}"/>
    <cellStyle name="Normal 3 4 3 6 14" xfId="41828" xr:uid="{00000000-0005-0000-0000-00005BA30000}"/>
    <cellStyle name="Normal 3 4 3 6 14 2" xfId="41829" xr:uid="{00000000-0005-0000-0000-00005CA30000}"/>
    <cellStyle name="Normal 3 4 3 6 14 3" xfId="41830" xr:uid="{00000000-0005-0000-0000-00005DA30000}"/>
    <cellStyle name="Normal 3 4 3 6 15" xfId="41831" xr:uid="{00000000-0005-0000-0000-00005EA30000}"/>
    <cellStyle name="Normal 3 4 3 6 15 2" xfId="41832" xr:uid="{00000000-0005-0000-0000-00005FA30000}"/>
    <cellStyle name="Normal 3 4 3 6 15 3" xfId="41833" xr:uid="{00000000-0005-0000-0000-000060A30000}"/>
    <cellStyle name="Normal 3 4 3 6 16" xfId="41834" xr:uid="{00000000-0005-0000-0000-000061A30000}"/>
    <cellStyle name="Normal 3 4 3 6 17" xfId="41835" xr:uid="{00000000-0005-0000-0000-000062A30000}"/>
    <cellStyle name="Normal 3 4 3 6 2" xfId="41836" xr:uid="{00000000-0005-0000-0000-000063A30000}"/>
    <cellStyle name="Normal 3 4 3 6 2 10" xfId="41837" xr:uid="{00000000-0005-0000-0000-000064A30000}"/>
    <cellStyle name="Normal 3 4 3 6 2 10 2" xfId="41838" xr:uid="{00000000-0005-0000-0000-000065A30000}"/>
    <cellStyle name="Normal 3 4 3 6 2 10 3" xfId="41839" xr:uid="{00000000-0005-0000-0000-000066A30000}"/>
    <cellStyle name="Normal 3 4 3 6 2 11" xfId="41840" xr:uid="{00000000-0005-0000-0000-000067A30000}"/>
    <cellStyle name="Normal 3 4 3 6 2 11 2" xfId="41841" xr:uid="{00000000-0005-0000-0000-000068A30000}"/>
    <cellStyle name="Normal 3 4 3 6 2 11 3" xfId="41842" xr:uid="{00000000-0005-0000-0000-000069A30000}"/>
    <cellStyle name="Normal 3 4 3 6 2 12" xfId="41843" xr:uid="{00000000-0005-0000-0000-00006AA30000}"/>
    <cellStyle name="Normal 3 4 3 6 2 12 2" xfId="41844" xr:uid="{00000000-0005-0000-0000-00006BA30000}"/>
    <cellStyle name="Normal 3 4 3 6 2 12 3" xfId="41845" xr:uid="{00000000-0005-0000-0000-00006CA30000}"/>
    <cellStyle name="Normal 3 4 3 6 2 13" xfId="41846" xr:uid="{00000000-0005-0000-0000-00006DA30000}"/>
    <cellStyle name="Normal 3 4 3 6 2 13 2" xfId="41847" xr:uid="{00000000-0005-0000-0000-00006EA30000}"/>
    <cellStyle name="Normal 3 4 3 6 2 13 3" xfId="41848" xr:uid="{00000000-0005-0000-0000-00006FA30000}"/>
    <cellStyle name="Normal 3 4 3 6 2 14" xfId="41849" xr:uid="{00000000-0005-0000-0000-000070A30000}"/>
    <cellStyle name="Normal 3 4 3 6 2 14 2" xfId="41850" xr:uid="{00000000-0005-0000-0000-000071A30000}"/>
    <cellStyle name="Normal 3 4 3 6 2 14 3" xfId="41851" xr:uid="{00000000-0005-0000-0000-000072A30000}"/>
    <cellStyle name="Normal 3 4 3 6 2 15" xfId="41852" xr:uid="{00000000-0005-0000-0000-000073A30000}"/>
    <cellStyle name="Normal 3 4 3 6 2 16" xfId="41853" xr:uid="{00000000-0005-0000-0000-000074A30000}"/>
    <cellStyle name="Normal 3 4 3 6 2 2" xfId="41854" xr:uid="{00000000-0005-0000-0000-000075A30000}"/>
    <cellStyle name="Normal 3 4 3 6 2 2 2" xfId="41855" xr:uid="{00000000-0005-0000-0000-000076A30000}"/>
    <cellStyle name="Normal 3 4 3 6 2 2 3" xfId="41856" xr:uid="{00000000-0005-0000-0000-000077A30000}"/>
    <cellStyle name="Normal 3 4 3 6 2 3" xfId="41857" xr:uid="{00000000-0005-0000-0000-000078A30000}"/>
    <cellStyle name="Normal 3 4 3 6 2 3 2" xfId="41858" xr:uid="{00000000-0005-0000-0000-000079A30000}"/>
    <cellStyle name="Normal 3 4 3 6 2 3 3" xfId="41859" xr:uid="{00000000-0005-0000-0000-00007AA30000}"/>
    <cellStyle name="Normal 3 4 3 6 2 4" xfId="41860" xr:uid="{00000000-0005-0000-0000-00007BA30000}"/>
    <cellStyle name="Normal 3 4 3 6 2 4 2" xfId="41861" xr:uid="{00000000-0005-0000-0000-00007CA30000}"/>
    <cellStyle name="Normal 3 4 3 6 2 4 3" xfId="41862" xr:uid="{00000000-0005-0000-0000-00007DA30000}"/>
    <cellStyle name="Normal 3 4 3 6 2 5" xfId="41863" xr:uid="{00000000-0005-0000-0000-00007EA30000}"/>
    <cellStyle name="Normal 3 4 3 6 2 5 2" xfId="41864" xr:uid="{00000000-0005-0000-0000-00007FA30000}"/>
    <cellStyle name="Normal 3 4 3 6 2 5 3" xfId="41865" xr:uid="{00000000-0005-0000-0000-000080A30000}"/>
    <cellStyle name="Normal 3 4 3 6 2 6" xfId="41866" xr:uid="{00000000-0005-0000-0000-000081A30000}"/>
    <cellStyle name="Normal 3 4 3 6 2 6 2" xfId="41867" xr:uid="{00000000-0005-0000-0000-000082A30000}"/>
    <cellStyle name="Normal 3 4 3 6 2 6 3" xfId="41868" xr:uid="{00000000-0005-0000-0000-000083A30000}"/>
    <cellStyle name="Normal 3 4 3 6 2 7" xfId="41869" xr:uid="{00000000-0005-0000-0000-000084A30000}"/>
    <cellStyle name="Normal 3 4 3 6 2 7 2" xfId="41870" xr:uid="{00000000-0005-0000-0000-000085A30000}"/>
    <cellStyle name="Normal 3 4 3 6 2 7 3" xfId="41871" xr:uid="{00000000-0005-0000-0000-000086A30000}"/>
    <cellStyle name="Normal 3 4 3 6 2 8" xfId="41872" xr:uid="{00000000-0005-0000-0000-000087A30000}"/>
    <cellStyle name="Normal 3 4 3 6 2 8 2" xfId="41873" xr:uid="{00000000-0005-0000-0000-000088A30000}"/>
    <cellStyle name="Normal 3 4 3 6 2 8 3" xfId="41874" xr:uid="{00000000-0005-0000-0000-000089A30000}"/>
    <cellStyle name="Normal 3 4 3 6 2 9" xfId="41875" xr:uid="{00000000-0005-0000-0000-00008AA30000}"/>
    <cellStyle name="Normal 3 4 3 6 2 9 2" xfId="41876" xr:uid="{00000000-0005-0000-0000-00008BA30000}"/>
    <cellStyle name="Normal 3 4 3 6 2 9 3" xfId="41877" xr:uid="{00000000-0005-0000-0000-00008CA30000}"/>
    <cellStyle name="Normal 3 4 3 6 3" xfId="41878" xr:uid="{00000000-0005-0000-0000-00008DA30000}"/>
    <cellStyle name="Normal 3 4 3 6 3 2" xfId="41879" xr:uid="{00000000-0005-0000-0000-00008EA30000}"/>
    <cellStyle name="Normal 3 4 3 6 3 3" xfId="41880" xr:uid="{00000000-0005-0000-0000-00008FA30000}"/>
    <cellStyle name="Normal 3 4 3 6 4" xfId="41881" xr:uid="{00000000-0005-0000-0000-000090A30000}"/>
    <cellStyle name="Normal 3 4 3 6 4 2" xfId="41882" xr:uid="{00000000-0005-0000-0000-000091A30000}"/>
    <cellStyle name="Normal 3 4 3 6 4 3" xfId="41883" xr:uid="{00000000-0005-0000-0000-000092A30000}"/>
    <cellStyle name="Normal 3 4 3 6 5" xfId="41884" xr:uid="{00000000-0005-0000-0000-000093A30000}"/>
    <cellStyle name="Normal 3 4 3 6 5 2" xfId="41885" xr:uid="{00000000-0005-0000-0000-000094A30000}"/>
    <cellStyle name="Normal 3 4 3 6 5 3" xfId="41886" xr:uid="{00000000-0005-0000-0000-000095A30000}"/>
    <cellStyle name="Normal 3 4 3 6 6" xfId="41887" xr:uid="{00000000-0005-0000-0000-000096A30000}"/>
    <cellStyle name="Normal 3 4 3 6 6 2" xfId="41888" xr:uid="{00000000-0005-0000-0000-000097A30000}"/>
    <cellStyle name="Normal 3 4 3 6 6 3" xfId="41889" xr:uid="{00000000-0005-0000-0000-000098A30000}"/>
    <cellStyle name="Normal 3 4 3 6 7" xfId="41890" xr:uid="{00000000-0005-0000-0000-000099A30000}"/>
    <cellStyle name="Normal 3 4 3 6 7 2" xfId="41891" xr:uid="{00000000-0005-0000-0000-00009AA30000}"/>
    <cellStyle name="Normal 3 4 3 6 7 3" xfId="41892" xr:uid="{00000000-0005-0000-0000-00009BA30000}"/>
    <cellStyle name="Normal 3 4 3 6 8" xfId="41893" xr:uid="{00000000-0005-0000-0000-00009CA30000}"/>
    <cellStyle name="Normal 3 4 3 6 8 2" xfId="41894" xr:uid="{00000000-0005-0000-0000-00009DA30000}"/>
    <cellStyle name="Normal 3 4 3 6 8 3" xfId="41895" xr:uid="{00000000-0005-0000-0000-00009EA30000}"/>
    <cellStyle name="Normal 3 4 3 6 9" xfId="41896" xr:uid="{00000000-0005-0000-0000-00009FA30000}"/>
    <cellStyle name="Normal 3 4 3 6 9 2" xfId="41897" xr:uid="{00000000-0005-0000-0000-0000A0A30000}"/>
    <cellStyle name="Normal 3 4 3 6 9 3" xfId="41898" xr:uid="{00000000-0005-0000-0000-0000A1A30000}"/>
    <cellStyle name="Normal 3 4 3 7" xfId="41899" xr:uid="{00000000-0005-0000-0000-0000A2A30000}"/>
    <cellStyle name="Normal 3 4 3 7 10" xfId="41900" xr:uid="{00000000-0005-0000-0000-0000A3A30000}"/>
    <cellStyle name="Normal 3 4 3 7 10 2" xfId="41901" xr:uid="{00000000-0005-0000-0000-0000A4A30000}"/>
    <cellStyle name="Normal 3 4 3 7 10 3" xfId="41902" xr:uid="{00000000-0005-0000-0000-0000A5A30000}"/>
    <cellStyle name="Normal 3 4 3 7 11" xfId="41903" xr:uid="{00000000-0005-0000-0000-0000A6A30000}"/>
    <cellStyle name="Normal 3 4 3 7 11 2" xfId="41904" xr:uid="{00000000-0005-0000-0000-0000A7A30000}"/>
    <cellStyle name="Normal 3 4 3 7 11 3" xfId="41905" xr:uid="{00000000-0005-0000-0000-0000A8A30000}"/>
    <cellStyle name="Normal 3 4 3 7 12" xfId="41906" xr:uid="{00000000-0005-0000-0000-0000A9A30000}"/>
    <cellStyle name="Normal 3 4 3 7 12 2" xfId="41907" xr:uid="{00000000-0005-0000-0000-0000AAA30000}"/>
    <cellStyle name="Normal 3 4 3 7 12 3" xfId="41908" xr:uid="{00000000-0005-0000-0000-0000ABA30000}"/>
    <cellStyle name="Normal 3 4 3 7 13" xfId="41909" xr:uid="{00000000-0005-0000-0000-0000ACA30000}"/>
    <cellStyle name="Normal 3 4 3 7 13 2" xfId="41910" xr:uid="{00000000-0005-0000-0000-0000ADA30000}"/>
    <cellStyle name="Normal 3 4 3 7 13 3" xfId="41911" xr:uid="{00000000-0005-0000-0000-0000AEA30000}"/>
    <cellStyle name="Normal 3 4 3 7 14" xfId="41912" xr:uid="{00000000-0005-0000-0000-0000AFA30000}"/>
    <cellStyle name="Normal 3 4 3 7 14 2" xfId="41913" xr:uid="{00000000-0005-0000-0000-0000B0A30000}"/>
    <cellStyle name="Normal 3 4 3 7 14 3" xfId="41914" xr:uid="{00000000-0005-0000-0000-0000B1A30000}"/>
    <cellStyle name="Normal 3 4 3 7 15" xfId="41915" xr:uid="{00000000-0005-0000-0000-0000B2A30000}"/>
    <cellStyle name="Normal 3 4 3 7 15 2" xfId="41916" xr:uid="{00000000-0005-0000-0000-0000B3A30000}"/>
    <cellStyle name="Normal 3 4 3 7 15 3" xfId="41917" xr:uid="{00000000-0005-0000-0000-0000B4A30000}"/>
    <cellStyle name="Normal 3 4 3 7 16" xfId="41918" xr:uid="{00000000-0005-0000-0000-0000B5A30000}"/>
    <cellStyle name="Normal 3 4 3 7 17" xfId="41919" xr:uid="{00000000-0005-0000-0000-0000B6A30000}"/>
    <cellStyle name="Normal 3 4 3 7 2" xfId="41920" xr:uid="{00000000-0005-0000-0000-0000B7A30000}"/>
    <cellStyle name="Normal 3 4 3 7 2 10" xfId="41921" xr:uid="{00000000-0005-0000-0000-0000B8A30000}"/>
    <cellStyle name="Normal 3 4 3 7 2 10 2" xfId="41922" xr:uid="{00000000-0005-0000-0000-0000B9A30000}"/>
    <cellStyle name="Normal 3 4 3 7 2 10 3" xfId="41923" xr:uid="{00000000-0005-0000-0000-0000BAA30000}"/>
    <cellStyle name="Normal 3 4 3 7 2 11" xfId="41924" xr:uid="{00000000-0005-0000-0000-0000BBA30000}"/>
    <cellStyle name="Normal 3 4 3 7 2 11 2" xfId="41925" xr:uid="{00000000-0005-0000-0000-0000BCA30000}"/>
    <cellStyle name="Normal 3 4 3 7 2 11 3" xfId="41926" xr:uid="{00000000-0005-0000-0000-0000BDA30000}"/>
    <cellStyle name="Normal 3 4 3 7 2 12" xfId="41927" xr:uid="{00000000-0005-0000-0000-0000BEA30000}"/>
    <cellStyle name="Normal 3 4 3 7 2 12 2" xfId="41928" xr:uid="{00000000-0005-0000-0000-0000BFA30000}"/>
    <cellStyle name="Normal 3 4 3 7 2 12 3" xfId="41929" xr:uid="{00000000-0005-0000-0000-0000C0A30000}"/>
    <cellStyle name="Normal 3 4 3 7 2 13" xfId="41930" xr:uid="{00000000-0005-0000-0000-0000C1A30000}"/>
    <cellStyle name="Normal 3 4 3 7 2 13 2" xfId="41931" xr:uid="{00000000-0005-0000-0000-0000C2A30000}"/>
    <cellStyle name="Normal 3 4 3 7 2 13 3" xfId="41932" xr:uid="{00000000-0005-0000-0000-0000C3A30000}"/>
    <cellStyle name="Normal 3 4 3 7 2 14" xfId="41933" xr:uid="{00000000-0005-0000-0000-0000C4A30000}"/>
    <cellStyle name="Normal 3 4 3 7 2 14 2" xfId="41934" xr:uid="{00000000-0005-0000-0000-0000C5A30000}"/>
    <cellStyle name="Normal 3 4 3 7 2 14 3" xfId="41935" xr:uid="{00000000-0005-0000-0000-0000C6A30000}"/>
    <cellStyle name="Normal 3 4 3 7 2 15" xfId="41936" xr:uid="{00000000-0005-0000-0000-0000C7A30000}"/>
    <cellStyle name="Normal 3 4 3 7 2 16" xfId="41937" xr:uid="{00000000-0005-0000-0000-0000C8A30000}"/>
    <cellStyle name="Normal 3 4 3 7 2 2" xfId="41938" xr:uid="{00000000-0005-0000-0000-0000C9A30000}"/>
    <cellStyle name="Normal 3 4 3 7 2 2 2" xfId="41939" xr:uid="{00000000-0005-0000-0000-0000CAA30000}"/>
    <cellStyle name="Normal 3 4 3 7 2 2 3" xfId="41940" xr:uid="{00000000-0005-0000-0000-0000CBA30000}"/>
    <cellStyle name="Normal 3 4 3 7 2 3" xfId="41941" xr:uid="{00000000-0005-0000-0000-0000CCA30000}"/>
    <cellStyle name="Normal 3 4 3 7 2 3 2" xfId="41942" xr:uid="{00000000-0005-0000-0000-0000CDA30000}"/>
    <cellStyle name="Normal 3 4 3 7 2 3 3" xfId="41943" xr:uid="{00000000-0005-0000-0000-0000CEA30000}"/>
    <cellStyle name="Normal 3 4 3 7 2 4" xfId="41944" xr:uid="{00000000-0005-0000-0000-0000CFA30000}"/>
    <cellStyle name="Normal 3 4 3 7 2 4 2" xfId="41945" xr:uid="{00000000-0005-0000-0000-0000D0A30000}"/>
    <cellStyle name="Normal 3 4 3 7 2 4 3" xfId="41946" xr:uid="{00000000-0005-0000-0000-0000D1A30000}"/>
    <cellStyle name="Normal 3 4 3 7 2 5" xfId="41947" xr:uid="{00000000-0005-0000-0000-0000D2A30000}"/>
    <cellStyle name="Normal 3 4 3 7 2 5 2" xfId="41948" xr:uid="{00000000-0005-0000-0000-0000D3A30000}"/>
    <cellStyle name="Normal 3 4 3 7 2 5 3" xfId="41949" xr:uid="{00000000-0005-0000-0000-0000D4A30000}"/>
    <cellStyle name="Normal 3 4 3 7 2 6" xfId="41950" xr:uid="{00000000-0005-0000-0000-0000D5A30000}"/>
    <cellStyle name="Normal 3 4 3 7 2 6 2" xfId="41951" xr:uid="{00000000-0005-0000-0000-0000D6A30000}"/>
    <cellStyle name="Normal 3 4 3 7 2 6 3" xfId="41952" xr:uid="{00000000-0005-0000-0000-0000D7A30000}"/>
    <cellStyle name="Normal 3 4 3 7 2 7" xfId="41953" xr:uid="{00000000-0005-0000-0000-0000D8A30000}"/>
    <cellStyle name="Normal 3 4 3 7 2 7 2" xfId="41954" xr:uid="{00000000-0005-0000-0000-0000D9A30000}"/>
    <cellStyle name="Normal 3 4 3 7 2 7 3" xfId="41955" xr:uid="{00000000-0005-0000-0000-0000DAA30000}"/>
    <cellStyle name="Normal 3 4 3 7 2 8" xfId="41956" xr:uid="{00000000-0005-0000-0000-0000DBA30000}"/>
    <cellStyle name="Normal 3 4 3 7 2 8 2" xfId="41957" xr:uid="{00000000-0005-0000-0000-0000DCA30000}"/>
    <cellStyle name="Normal 3 4 3 7 2 8 3" xfId="41958" xr:uid="{00000000-0005-0000-0000-0000DDA30000}"/>
    <cellStyle name="Normal 3 4 3 7 2 9" xfId="41959" xr:uid="{00000000-0005-0000-0000-0000DEA30000}"/>
    <cellStyle name="Normal 3 4 3 7 2 9 2" xfId="41960" xr:uid="{00000000-0005-0000-0000-0000DFA30000}"/>
    <cellStyle name="Normal 3 4 3 7 2 9 3" xfId="41961" xr:uid="{00000000-0005-0000-0000-0000E0A30000}"/>
    <cellStyle name="Normal 3 4 3 7 3" xfId="41962" xr:uid="{00000000-0005-0000-0000-0000E1A30000}"/>
    <cellStyle name="Normal 3 4 3 7 3 2" xfId="41963" xr:uid="{00000000-0005-0000-0000-0000E2A30000}"/>
    <cellStyle name="Normal 3 4 3 7 3 3" xfId="41964" xr:uid="{00000000-0005-0000-0000-0000E3A30000}"/>
    <cellStyle name="Normal 3 4 3 7 4" xfId="41965" xr:uid="{00000000-0005-0000-0000-0000E4A30000}"/>
    <cellStyle name="Normal 3 4 3 7 4 2" xfId="41966" xr:uid="{00000000-0005-0000-0000-0000E5A30000}"/>
    <cellStyle name="Normal 3 4 3 7 4 3" xfId="41967" xr:uid="{00000000-0005-0000-0000-0000E6A30000}"/>
    <cellStyle name="Normal 3 4 3 7 5" xfId="41968" xr:uid="{00000000-0005-0000-0000-0000E7A30000}"/>
    <cellStyle name="Normal 3 4 3 7 5 2" xfId="41969" xr:uid="{00000000-0005-0000-0000-0000E8A30000}"/>
    <cellStyle name="Normal 3 4 3 7 5 3" xfId="41970" xr:uid="{00000000-0005-0000-0000-0000E9A30000}"/>
    <cellStyle name="Normal 3 4 3 7 6" xfId="41971" xr:uid="{00000000-0005-0000-0000-0000EAA30000}"/>
    <cellStyle name="Normal 3 4 3 7 6 2" xfId="41972" xr:uid="{00000000-0005-0000-0000-0000EBA30000}"/>
    <cellStyle name="Normal 3 4 3 7 6 3" xfId="41973" xr:uid="{00000000-0005-0000-0000-0000ECA30000}"/>
    <cellStyle name="Normal 3 4 3 7 7" xfId="41974" xr:uid="{00000000-0005-0000-0000-0000EDA30000}"/>
    <cellStyle name="Normal 3 4 3 7 7 2" xfId="41975" xr:uid="{00000000-0005-0000-0000-0000EEA30000}"/>
    <cellStyle name="Normal 3 4 3 7 7 3" xfId="41976" xr:uid="{00000000-0005-0000-0000-0000EFA30000}"/>
    <cellStyle name="Normal 3 4 3 7 8" xfId="41977" xr:uid="{00000000-0005-0000-0000-0000F0A30000}"/>
    <cellStyle name="Normal 3 4 3 7 8 2" xfId="41978" xr:uid="{00000000-0005-0000-0000-0000F1A30000}"/>
    <cellStyle name="Normal 3 4 3 7 8 3" xfId="41979" xr:uid="{00000000-0005-0000-0000-0000F2A30000}"/>
    <cellStyle name="Normal 3 4 3 7 9" xfId="41980" xr:uid="{00000000-0005-0000-0000-0000F3A30000}"/>
    <cellStyle name="Normal 3 4 3 7 9 2" xfId="41981" xr:uid="{00000000-0005-0000-0000-0000F4A30000}"/>
    <cellStyle name="Normal 3 4 3 7 9 3" xfId="41982" xr:uid="{00000000-0005-0000-0000-0000F5A30000}"/>
    <cellStyle name="Normal 3 4 3 8" xfId="41983" xr:uid="{00000000-0005-0000-0000-0000F6A30000}"/>
    <cellStyle name="Normal 3 4 3 8 10" xfId="41984" xr:uid="{00000000-0005-0000-0000-0000F7A30000}"/>
    <cellStyle name="Normal 3 4 3 8 10 2" xfId="41985" xr:uid="{00000000-0005-0000-0000-0000F8A30000}"/>
    <cellStyle name="Normal 3 4 3 8 10 3" xfId="41986" xr:uid="{00000000-0005-0000-0000-0000F9A30000}"/>
    <cellStyle name="Normal 3 4 3 8 11" xfId="41987" xr:uid="{00000000-0005-0000-0000-0000FAA30000}"/>
    <cellStyle name="Normal 3 4 3 8 11 2" xfId="41988" xr:uid="{00000000-0005-0000-0000-0000FBA30000}"/>
    <cellStyle name="Normal 3 4 3 8 11 3" xfId="41989" xr:uid="{00000000-0005-0000-0000-0000FCA30000}"/>
    <cellStyle name="Normal 3 4 3 8 12" xfId="41990" xr:uid="{00000000-0005-0000-0000-0000FDA30000}"/>
    <cellStyle name="Normal 3 4 3 8 12 2" xfId="41991" xr:uid="{00000000-0005-0000-0000-0000FEA30000}"/>
    <cellStyle name="Normal 3 4 3 8 12 3" xfId="41992" xr:uid="{00000000-0005-0000-0000-0000FFA30000}"/>
    <cellStyle name="Normal 3 4 3 8 13" xfId="41993" xr:uid="{00000000-0005-0000-0000-000000A40000}"/>
    <cellStyle name="Normal 3 4 3 8 13 2" xfId="41994" xr:uid="{00000000-0005-0000-0000-000001A40000}"/>
    <cellStyle name="Normal 3 4 3 8 13 3" xfId="41995" xr:uid="{00000000-0005-0000-0000-000002A40000}"/>
    <cellStyle name="Normal 3 4 3 8 14" xfId="41996" xr:uid="{00000000-0005-0000-0000-000003A40000}"/>
    <cellStyle name="Normal 3 4 3 8 14 2" xfId="41997" xr:uid="{00000000-0005-0000-0000-000004A40000}"/>
    <cellStyle name="Normal 3 4 3 8 14 3" xfId="41998" xr:uid="{00000000-0005-0000-0000-000005A40000}"/>
    <cellStyle name="Normal 3 4 3 8 15" xfId="41999" xr:uid="{00000000-0005-0000-0000-000006A40000}"/>
    <cellStyle name="Normal 3 4 3 8 15 2" xfId="42000" xr:uid="{00000000-0005-0000-0000-000007A40000}"/>
    <cellStyle name="Normal 3 4 3 8 15 3" xfId="42001" xr:uid="{00000000-0005-0000-0000-000008A40000}"/>
    <cellStyle name="Normal 3 4 3 8 16" xfId="42002" xr:uid="{00000000-0005-0000-0000-000009A40000}"/>
    <cellStyle name="Normal 3 4 3 8 17" xfId="42003" xr:uid="{00000000-0005-0000-0000-00000AA40000}"/>
    <cellStyle name="Normal 3 4 3 8 2" xfId="42004" xr:uid="{00000000-0005-0000-0000-00000BA40000}"/>
    <cellStyle name="Normal 3 4 3 8 2 10" xfId="42005" xr:uid="{00000000-0005-0000-0000-00000CA40000}"/>
    <cellStyle name="Normal 3 4 3 8 2 10 2" xfId="42006" xr:uid="{00000000-0005-0000-0000-00000DA40000}"/>
    <cellStyle name="Normal 3 4 3 8 2 10 3" xfId="42007" xr:uid="{00000000-0005-0000-0000-00000EA40000}"/>
    <cellStyle name="Normal 3 4 3 8 2 11" xfId="42008" xr:uid="{00000000-0005-0000-0000-00000FA40000}"/>
    <cellStyle name="Normal 3 4 3 8 2 11 2" xfId="42009" xr:uid="{00000000-0005-0000-0000-000010A40000}"/>
    <cellStyle name="Normal 3 4 3 8 2 11 3" xfId="42010" xr:uid="{00000000-0005-0000-0000-000011A40000}"/>
    <cellStyle name="Normal 3 4 3 8 2 12" xfId="42011" xr:uid="{00000000-0005-0000-0000-000012A40000}"/>
    <cellStyle name="Normal 3 4 3 8 2 12 2" xfId="42012" xr:uid="{00000000-0005-0000-0000-000013A40000}"/>
    <cellStyle name="Normal 3 4 3 8 2 12 3" xfId="42013" xr:uid="{00000000-0005-0000-0000-000014A40000}"/>
    <cellStyle name="Normal 3 4 3 8 2 13" xfId="42014" xr:uid="{00000000-0005-0000-0000-000015A40000}"/>
    <cellStyle name="Normal 3 4 3 8 2 13 2" xfId="42015" xr:uid="{00000000-0005-0000-0000-000016A40000}"/>
    <cellStyle name="Normal 3 4 3 8 2 13 3" xfId="42016" xr:uid="{00000000-0005-0000-0000-000017A40000}"/>
    <cellStyle name="Normal 3 4 3 8 2 14" xfId="42017" xr:uid="{00000000-0005-0000-0000-000018A40000}"/>
    <cellStyle name="Normal 3 4 3 8 2 14 2" xfId="42018" xr:uid="{00000000-0005-0000-0000-000019A40000}"/>
    <cellStyle name="Normal 3 4 3 8 2 14 3" xfId="42019" xr:uid="{00000000-0005-0000-0000-00001AA40000}"/>
    <cellStyle name="Normal 3 4 3 8 2 15" xfId="42020" xr:uid="{00000000-0005-0000-0000-00001BA40000}"/>
    <cellStyle name="Normal 3 4 3 8 2 16" xfId="42021" xr:uid="{00000000-0005-0000-0000-00001CA40000}"/>
    <cellStyle name="Normal 3 4 3 8 2 2" xfId="42022" xr:uid="{00000000-0005-0000-0000-00001DA40000}"/>
    <cellStyle name="Normal 3 4 3 8 2 2 2" xfId="42023" xr:uid="{00000000-0005-0000-0000-00001EA40000}"/>
    <cellStyle name="Normal 3 4 3 8 2 2 3" xfId="42024" xr:uid="{00000000-0005-0000-0000-00001FA40000}"/>
    <cellStyle name="Normal 3 4 3 8 2 3" xfId="42025" xr:uid="{00000000-0005-0000-0000-000020A40000}"/>
    <cellStyle name="Normal 3 4 3 8 2 3 2" xfId="42026" xr:uid="{00000000-0005-0000-0000-000021A40000}"/>
    <cellStyle name="Normal 3 4 3 8 2 3 3" xfId="42027" xr:uid="{00000000-0005-0000-0000-000022A40000}"/>
    <cellStyle name="Normal 3 4 3 8 2 4" xfId="42028" xr:uid="{00000000-0005-0000-0000-000023A40000}"/>
    <cellStyle name="Normal 3 4 3 8 2 4 2" xfId="42029" xr:uid="{00000000-0005-0000-0000-000024A40000}"/>
    <cellStyle name="Normal 3 4 3 8 2 4 3" xfId="42030" xr:uid="{00000000-0005-0000-0000-000025A40000}"/>
    <cellStyle name="Normal 3 4 3 8 2 5" xfId="42031" xr:uid="{00000000-0005-0000-0000-000026A40000}"/>
    <cellStyle name="Normal 3 4 3 8 2 5 2" xfId="42032" xr:uid="{00000000-0005-0000-0000-000027A40000}"/>
    <cellStyle name="Normal 3 4 3 8 2 5 3" xfId="42033" xr:uid="{00000000-0005-0000-0000-000028A40000}"/>
    <cellStyle name="Normal 3 4 3 8 2 6" xfId="42034" xr:uid="{00000000-0005-0000-0000-000029A40000}"/>
    <cellStyle name="Normal 3 4 3 8 2 6 2" xfId="42035" xr:uid="{00000000-0005-0000-0000-00002AA40000}"/>
    <cellStyle name="Normal 3 4 3 8 2 6 3" xfId="42036" xr:uid="{00000000-0005-0000-0000-00002BA40000}"/>
    <cellStyle name="Normal 3 4 3 8 2 7" xfId="42037" xr:uid="{00000000-0005-0000-0000-00002CA40000}"/>
    <cellStyle name="Normal 3 4 3 8 2 7 2" xfId="42038" xr:uid="{00000000-0005-0000-0000-00002DA40000}"/>
    <cellStyle name="Normal 3 4 3 8 2 7 3" xfId="42039" xr:uid="{00000000-0005-0000-0000-00002EA40000}"/>
    <cellStyle name="Normal 3 4 3 8 2 8" xfId="42040" xr:uid="{00000000-0005-0000-0000-00002FA40000}"/>
    <cellStyle name="Normal 3 4 3 8 2 8 2" xfId="42041" xr:uid="{00000000-0005-0000-0000-000030A40000}"/>
    <cellStyle name="Normal 3 4 3 8 2 8 3" xfId="42042" xr:uid="{00000000-0005-0000-0000-000031A40000}"/>
    <cellStyle name="Normal 3 4 3 8 2 9" xfId="42043" xr:uid="{00000000-0005-0000-0000-000032A40000}"/>
    <cellStyle name="Normal 3 4 3 8 2 9 2" xfId="42044" xr:uid="{00000000-0005-0000-0000-000033A40000}"/>
    <cellStyle name="Normal 3 4 3 8 2 9 3" xfId="42045" xr:uid="{00000000-0005-0000-0000-000034A40000}"/>
    <cellStyle name="Normal 3 4 3 8 3" xfId="42046" xr:uid="{00000000-0005-0000-0000-000035A40000}"/>
    <cellStyle name="Normal 3 4 3 8 3 2" xfId="42047" xr:uid="{00000000-0005-0000-0000-000036A40000}"/>
    <cellStyle name="Normal 3 4 3 8 3 3" xfId="42048" xr:uid="{00000000-0005-0000-0000-000037A40000}"/>
    <cellStyle name="Normal 3 4 3 8 4" xfId="42049" xr:uid="{00000000-0005-0000-0000-000038A40000}"/>
    <cellStyle name="Normal 3 4 3 8 4 2" xfId="42050" xr:uid="{00000000-0005-0000-0000-000039A40000}"/>
    <cellStyle name="Normal 3 4 3 8 4 3" xfId="42051" xr:uid="{00000000-0005-0000-0000-00003AA40000}"/>
    <cellStyle name="Normal 3 4 3 8 5" xfId="42052" xr:uid="{00000000-0005-0000-0000-00003BA40000}"/>
    <cellStyle name="Normal 3 4 3 8 5 2" xfId="42053" xr:uid="{00000000-0005-0000-0000-00003CA40000}"/>
    <cellStyle name="Normal 3 4 3 8 5 3" xfId="42054" xr:uid="{00000000-0005-0000-0000-00003DA40000}"/>
    <cellStyle name="Normal 3 4 3 8 6" xfId="42055" xr:uid="{00000000-0005-0000-0000-00003EA40000}"/>
    <cellStyle name="Normal 3 4 3 8 6 2" xfId="42056" xr:uid="{00000000-0005-0000-0000-00003FA40000}"/>
    <cellStyle name="Normal 3 4 3 8 6 3" xfId="42057" xr:uid="{00000000-0005-0000-0000-000040A40000}"/>
    <cellStyle name="Normal 3 4 3 8 7" xfId="42058" xr:uid="{00000000-0005-0000-0000-000041A40000}"/>
    <cellStyle name="Normal 3 4 3 8 7 2" xfId="42059" xr:uid="{00000000-0005-0000-0000-000042A40000}"/>
    <cellStyle name="Normal 3 4 3 8 7 3" xfId="42060" xr:uid="{00000000-0005-0000-0000-000043A40000}"/>
    <cellStyle name="Normal 3 4 3 8 8" xfId="42061" xr:uid="{00000000-0005-0000-0000-000044A40000}"/>
    <cellStyle name="Normal 3 4 3 8 8 2" xfId="42062" xr:uid="{00000000-0005-0000-0000-000045A40000}"/>
    <cellStyle name="Normal 3 4 3 8 8 3" xfId="42063" xr:uid="{00000000-0005-0000-0000-000046A40000}"/>
    <cellStyle name="Normal 3 4 3 8 9" xfId="42064" xr:uid="{00000000-0005-0000-0000-000047A40000}"/>
    <cellStyle name="Normal 3 4 3 8 9 2" xfId="42065" xr:uid="{00000000-0005-0000-0000-000048A40000}"/>
    <cellStyle name="Normal 3 4 3 8 9 3" xfId="42066" xr:uid="{00000000-0005-0000-0000-000049A40000}"/>
    <cellStyle name="Normal 3 4 3 9" xfId="42067" xr:uid="{00000000-0005-0000-0000-00004AA40000}"/>
    <cellStyle name="Normal 3 4 3 9 10" xfId="42068" xr:uid="{00000000-0005-0000-0000-00004BA40000}"/>
    <cellStyle name="Normal 3 4 3 9 10 2" xfId="42069" xr:uid="{00000000-0005-0000-0000-00004CA40000}"/>
    <cellStyle name="Normal 3 4 3 9 10 3" xfId="42070" xr:uid="{00000000-0005-0000-0000-00004DA40000}"/>
    <cellStyle name="Normal 3 4 3 9 11" xfId="42071" xr:uid="{00000000-0005-0000-0000-00004EA40000}"/>
    <cellStyle name="Normal 3 4 3 9 11 2" xfId="42072" xr:uid="{00000000-0005-0000-0000-00004FA40000}"/>
    <cellStyle name="Normal 3 4 3 9 11 3" xfId="42073" xr:uid="{00000000-0005-0000-0000-000050A40000}"/>
    <cellStyle name="Normal 3 4 3 9 12" xfId="42074" xr:uid="{00000000-0005-0000-0000-000051A40000}"/>
    <cellStyle name="Normal 3 4 3 9 12 2" xfId="42075" xr:uid="{00000000-0005-0000-0000-000052A40000}"/>
    <cellStyle name="Normal 3 4 3 9 12 3" xfId="42076" xr:uid="{00000000-0005-0000-0000-000053A40000}"/>
    <cellStyle name="Normal 3 4 3 9 13" xfId="42077" xr:uid="{00000000-0005-0000-0000-000054A40000}"/>
    <cellStyle name="Normal 3 4 3 9 13 2" xfId="42078" xr:uid="{00000000-0005-0000-0000-000055A40000}"/>
    <cellStyle name="Normal 3 4 3 9 13 3" xfId="42079" xr:uid="{00000000-0005-0000-0000-000056A40000}"/>
    <cellStyle name="Normal 3 4 3 9 14" xfId="42080" xr:uid="{00000000-0005-0000-0000-000057A40000}"/>
    <cellStyle name="Normal 3 4 3 9 14 2" xfId="42081" xr:uid="{00000000-0005-0000-0000-000058A40000}"/>
    <cellStyle name="Normal 3 4 3 9 14 3" xfId="42082" xr:uid="{00000000-0005-0000-0000-000059A40000}"/>
    <cellStyle name="Normal 3 4 3 9 15" xfId="42083" xr:uid="{00000000-0005-0000-0000-00005AA40000}"/>
    <cellStyle name="Normal 3 4 3 9 16" xfId="42084" xr:uid="{00000000-0005-0000-0000-00005BA40000}"/>
    <cellStyle name="Normal 3 4 3 9 2" xfId="42085" xr:uid="{00000000-0005-0000-0000-00005CA40000}"/>
    <cellStyle name="Normal 3 4 3 9 2 2" xfId="42086" xr:uid="{00000000-0005-0000-0000-00005DA40000}"/>
    <cellStyle name="Normal 3 4 3 9 2 3" xfId="42087" xr:uid="{00000000-0005-0000-0000-00005EA40000}"/>
    <cellStyle name="Normal 3 4 3 9 3" xfId="42088" xr:uid="{00000000-0005-0000-0000-00005FA40000}"/>
    <cellStyle name="Normal 3 4 3 9 3 2" xfId="42089" xr:uid="{00000000-0005-0000-0000-000060A40000}"/>
    <cellStyle name="Normal 3 4 3 9 3 3" xfId="42090" xr:uid="{00000000-0005-0000-0000-000061A40000}"/>
    <cellStyle name="Normal 3 4 3 9 4" xfId="42091" xr:uid="{00000000-0005-0000-0000-000062A40000}"/>
    <cellStyle name="Normal 3 4 3 9 4 2" xfId="42092" xr:uid="{00000000-0005-0000-0000-000063A40000}"/>
    <cellStyle name="Normal 3 4 3 9 4 3" xfId="42093" xr:uid="{00000000-0005-0000-0000-000064A40000}"/>
    <cellStyle name="Normal 3 4 3 9 5" xfId="42094" xr:uid="{00000000-0005-0000-0000-000065A40000}"/>
    <cellStyle name="Normal 3 4 3 9 5 2" xfId="42095" xr:uid="{00000000-0005-0000-0000-000066A40000}"/>
    <cellStyle name="Normal 3 4 3 9 5 3" xfId="42096" xr:uid="{00000000-0005-0000-0000-000067A40000}"/>
    <cellStyle name="Normal 3 4 3 9 6" xfId="42097" xr:uid="{00000000-0005-0000-0000-000068A40000}"/>
    <cellStyle name="Normal 3 4 3 9 6 2" xfId="42098" xr:uid="{00000000-0005-0000-0000-000069A40000}"/>
    <cellStyle name="Normal 3 4 3 9 6 3" xfId="42099" xr:uid="{00000000-0005-0000-0000-00006AA40000}"/>
    <cellStyle name="Normal 3 4 3 9 7" xfId="42100" xr:uid="{00000000-0005-0000-0000-00006BA40000}"/>
    <cellStyle name="Normal 3 4 3 9 7 2" xfId="42101" xr:uid="{00000000-0005-0000-0000-00006CA40000}"/>
    <cellStyle name="Normal 3 4 3 9 7 3" xfId="42102" xr:uid="{00000000-0005-0000-0000-00006DA40000}"/>
    <cellStyle name="Normal 3 4 3 9 8" xfId="42103" xr:uid="{00000000-0005-0000-0000-00006EA40000}"/>
    <cellStyle name="Normal 3 4 3 9 8 2" xfId="42104" xr:uid="{00000000-0005-0000-0000-00006FA40000}"/>
    <cellStyle name="Normal 3 4 3 9 8 3" xfId="42105" xr:uid="{00000000-0005-0000-0000-000070A40000}"/>
    <cellStyle name="Normal 3 4 3 9 9" xfId="42106" xr:uid="{00000000-0005-0000-0000-000071A40000}"/>
    <cellStyle name="Normal 3 4 3 9 9 2" xfId="42107" xr:uid="{00000000-0005-0000-0000-000072A40000}"/>
    <cellStyle name="Normal 3 4 3 9 9 3" xfId="42108" xr:uid="{00000000-0005-0000-0000-000073A40000}"/>
    <cellStyle name="Normal 3 4 4" xfId="42109" xr:uid="{00000000-0005-0000-0000-000074A40000}"/>
    <cellStyle name="Normal 3 4 4 10" xfId="42110" xr:uid="{00000000-0005-0000-0000-000075A40000}"/>
    <cellStyle name="Normal 3 4 4 10 10" xfId="42111" xr:uid="{00000000-0005-0000-0000-000076A40000}"/>
    <cellStyle name="Normal 3 4 4 10 10 2" xfId="42112" xr:uid="{00000000-0005-0000-0000-000077A40000}"/>
    <cellStyle name="Normal 3 4 4 10 10 3" xfId="42113" xr:uid="{00000000-0005-0000-0000-000078A40000}"/>
    <cellStyle name="Normal 3 4 4 10 11" xfId="42114" xr:uid="{00000000-0005-0000-0000-000079A40000}"/>
    <cellStyle name="Normal 3 4 4 10 11 2" xfId="42115" xr:uid="{00000000-0005-0000-0000-00007AA40000}"/>
    <cellStyle name="Normal 3 4 4 10 11 3" xfId="42116" xr:uid="{00000000-0005-0000-0000-00007BA40000}"/>
    <cellStyle name="Normal 3 4 4 10 12" xfId="42117" xr:uid="{00000000-0005-0000-0000-00007CA40000}"/>
    <cellStyle name="Normal 3 4 4 10 12 2" xfId="42118" xr:uid="{00000000-0005-0000-0000-00007DA40000}"/>
    <cellStyle name="Normal 3 4 4 10 12 3" xfId="42119" xr:uid="{00000000-0005-0000-0000-00007EA40000}"/>
    <cellStyle name="Normal 3 4 4 10 13" xfId="42120" xr:uid="{00000000-0005-0000-0000-00007FA40000}"/>
    <cellStyle name="Normal 3 4 4 10 13 2" xfId="42121" xr:uid="{00000000-0005-0000-0000-000080A40000}"/>
    <cellStyle name="Normal 3 4 4 10 13 3" xfId="42122" xr:uid="{00000000-0005-0000-0000-000081A40000}"/>
    <cellStyle name="Normal 3 4 4 10 14" xfId="42123" xr:uid="{00000000-0005-0000-0000-000082A40000}"/>
    <cellStyle name="Normal 3 4 4 10 14 2" xfId="42124" xr:uid="{00000000-0005-0000-0000-000083A40000}"/>
    <cellStyle name="Normal 3 4 4 10 14 3" xfId="42125" xr:uid="{00000000-0005-0000-0000-000084A40000}"/>
    <cellStyle name="Normal 3 4 4 10 15" xfId="42126" xr:uid="{00000000-0005-0000-0000-000085A40000}"/>
    <cellStyle name="Normal 3 4 4 10 16" xfId="42127" xr:uid="{00000000-0005-0000-0000-000086A40000}"/>
    <cellStyle name="Normal 3 4 4 10 2" xfId="42128" xr:uid="{00000000-0005-0000-0000-000087A40000}"/>
    <cellStyle name="Normal 3 4 4 10 2 2" xfId="42129" xr:uid="{00000000-0005-0000-0000-000088A40000}"/>
    <cellStyle name="Normal 3 4 4 10 2 3" xfId="42130" xr:uid="{00000000-0005-0000-0000-000089A40000}"/>
    <cellStyle name="Normal 3 4 4 10 3" xfId="42131" xr:uid="{00000000-0005-0000-0000-00008AA40000}"/>
    <cellStyle name="Normal 3 4 4 10 3 2" xfId="42132" xr:uid="{00000000-0005-0000-0000-00008BA40000}"/>
    <cellStyle name="Normal 3 4 4 10 3 3" xfId="42133" xr:uid="{00000000-0005-0000-0000-00008CA40000}"/>
    <cellStyle name="Normal 3 4 4 10 4" xfId="42134" xr:uid="{00000000-0005-0000-0000-00008DA40000}"/>
    <cellStyle name="Normal 3 4 4 10 4 2" xfId="42135" xr:uid="{00000000-0005-0000-0000-00008EA40000}"/>
    <cellStyle name="Normal 3 4 4 10 4 3" xfId="42136" xr:uid="{00000000-0005-0000-0000-00008FA40000}"/>
    <cellStyle name="Normal 3 4 4 10 5" xfId="42137" xr:uid="{00000000-0005-0000-0000-000090A40000}"/>
    <cellStyle name="Normal 3 4 4 10 5 2" xfId="42138" xr:uid="{00000000-0005-0000-0000-000091A40000}"/>
    <cellStyle name="Normal 3 4 4 10 5 3" xfId="42139" xr:uid="{00000000-0005-0000-0000-000092A40000}"/>
    <cellStyle name="Normal 3 4 4 10 6" xfId="42140" xr:uid="{00000000-0005-0000-0000-000093A40000}"/>
    <cellStyle name="Normal 3 4 4 10 6 2" xfId="42141" xr:uid="{00000000-0005-0000-0000-000094A40000}"/>
    <cellStyle name="Normal 3 4 4 10 6 3" xfId="42142" xr:uid="{00000000-0005-0000-0000-000095A40000}"/>
    <cellStyle name="Normal 3 4 4 10 7" xfId="42143" xr:uid="{00000000-0005-0000-0000-000096A40000}"/>
    <cellStyle name="Normal 3 4 4 10 7 2" xfId="42144" xr:uid="{00000000-0005-0000-0000-000097A40000}"/>
    <cellStyle name="Normal 3 4 4 10 7 3" xfId="42145" xr:uid="{00000000-0005-0000-0000-000098A40000}"/>
    <cellStyle name="Normal 3 4 4 10 8" xfId="42146" xr:uid="{00000000-0005-0000-0000-000099A40000}"/>
    <cellStyle name="Normal 3 4 4 10 8 2" xfId="42147" xr:uid="{00000000-0005-0000-0000-00009AA40000}"/>
    <cellStyle name="Normal 3 4 4 10 8 3" xfId="42148" xr:uid="{00000000-0005-0000-0000-00009BA40000}"/>
    <cellStyle name="Normal 3 4 4 10 9" xfId="42149" xr:uid="{00000000-0005-0000-0000-00009CA40000}"/>
    <cellStyle name="Normal 3 4 4 10 9 2" xfId="42150" xr:uid="{00000000-0005-0000-0000-00009DA40000}"/>
    <cellStyle name="Normal 3 4 4 10 9 3" xfId="42151" xr:uid="{00000000-0005-0000-0000-00009EA40000}"/>
    <cellStyle name="Normal 3 4 4 11" xfId="42152" xr:uid="{00000000-0005-0000-0000-00009FA40000}"/>
    <cellStyle name="Normal 3 4 4 11 10" xfId="42153" xr:uid="{00000000-0005-0000-0000-0000A0A40000}"/>
    <cellStyle name="Normal 3 4 4 11 10 2" xfId="42154" xr:uid="{00000000-0005-0000-0000-0000A1A40000}"/>
    <cellStyle name="Normal 3 4 4 11 10 3" xfId="42155" xr:uid="{00000000-0005-0000-0000-0000A2A40000}"/>
    <cellStyle name="Normal 3 4 4 11 11" xfId="42156" xr:uid="{00000000-0005-0000-0000-0000A3A40000}"/>
    <cellStyle name="Normal 3 4 4 11 11 2" xfId="42157" xr:uid="{00000000-0005-0000-0000-0000A4A40000}"/>
    <cellStyle name="Normal 3 4 4 11 11 3" xfId="42158" xr:uid="{00000000-0005-0000-0000-0000A5A40000}"/>
    <cellStyle name="Normal 3 4 4 11 12" xfId="42159" xr:uid="{00000000-0005-0000-0000-0000A6A40000}"/>
    <cellStyle name="Normal 3 4 4 11 12 2" xfId="42160" xr:uid="{00000000-0005-0000-0000-0000A7A40000}"/>
    <cellStyle name="Normal 3 4 4 11 12 3" xfId="42161" xr:uid="{00000000-0005-0000-0000-0000A8A40000}"/>
    <cellStyle name="Normal 3 4 4 11 13" xfId="42162" xr:uid="{00000000-0005-0000-0000-0000A9A40000}"/>
    <cellStyle name="Normal 3 4 4 11 13 2" xfId="42163" xr:uid="{00000000-0005-0000-0000-0000AAA40000}"/>
    <cellStyle name="Normal 3 4 4 11 13 3" xfId="42164" xr:uid="{00000000-0005-0000-0000-0000ABA40000}"/>
    <cellStyle name="Normal 3 4 4 11 14" xfId="42165" xr:uid="{00000000-0005-0000-0000-0000ACA40000}"/>
    <cellStyle name="Normal 3 4 4 11 14 2" xfId="42166" xr:uid="{00000000-0005-0000-0000-0000ADA40000}"/>
    <cellStyle name="Normal 3 4 4 11 14 3" xfId="42167" xr:uid="{00000000-0005-0000-0000-0000AEA40000}"/>
    <cellStyle name="Normal 3 4 4 11 15" xfId="42168" xr:uid="{00000000-0005-0000-0000-0000AFA40000}"/>
    <cellStyle name="Normal 3 4 4 11 16" xfId="42169" xr:uid="{00000000-0005-0000-0000-0000B0A40000}"/>
    <cellStyle name="Normal 3 4 4 11 2" xfId="42170" xr:uid="{00000000-0005-0000-0000-0000B1A40000}"/>
    <cellStyle name="Normal 3 4 4 11 2 2" xfId="42171" xr:uid="{00000000-0005-0000-0000-0000B2A40000}"/>
    <cellStyle name="Normal 3 4 4 11 2 3" xfId="42172" xr:uid="{00000000-0005-0000-0000-0000B3A40000}"/>
    <cellStyle name="Normal 3 4 4 11 3" xfId="42173" xr:uid="{00000000-0005-0000-0000-0000B4A40000}"/>
    <cellStyle name="Normal 3 4 4 11 3 2" xfId="42174" xr:uid="{00000000-0005-0000-0000-0000B5A40000}"/>
    <cellStyle name="Normal 3 4 4 11 3 3" xfId="42175" xr:uid="{00000000-0005-0000-0000-0000B6A40000}"/>
    <cellStyle name="Normal 3 4 4 11 4" xfId="42176" xr:uid="{00000000-0005-0000-0000-0000B7A40000}"/>
    <cellStyle name="Normal 3 4 4 11 4 2" xfId="42177" xr:uid="{00000000-0005-0000-0000-0000B8A40000}"/>
    <cellStyle name="Normal 3 4 4 11 4 3" xfId="42178" xr:uid="{00000000-0005-0000-0000-0000B9A40000}"/>
    <cellStyle name="Normal 3 4 4 11 5" xfId="42179" xr:uid="{00000000-0005-0000-0000-0000BAA40000}"/>
    <cellStyle name="Normal 3 4 4 11 5 2" xfId="42180" xr:uid="{00000000-0005-0000-0000-0000BBA40000}"/>
    <cellStyle name="Normal 3 4 4 11 5 3" xfId="42181" xr:uid="{00000000-0005-0000-0000-0000BCA40000}"/>
    <cellStyle name="Normal 3 4 4 11 6" xfId="42182" xr:uid="{00000000-0005-0000-0000-0000BDA40000}"/>
    <cellStyle name="Normal 3 4 4 11 6 2" xfId="42183" xr:uid="{00000000-0005-0000-0000-0000BEA40000}"/>
    <cellStyle name="Normal 3 4 4 11 6 3" xfId="42184" xr:uid="{00000000-0005-0000-0000-0000BFA40000}"/>
    <cellStyle name="Normal 3 4 4 11 7" xfId="42185" xr:uid="{00000000-0005-0000-0000-0000C0A40000}"/>
    <cellStyle name="Normal 3 4 4 11 7 2" xfId="42186" xr:uid="{00000000-0005-0000-0000-0000C1A40000}"/>
    <cellStyle name="Normal 3 4 4 11 7 3" xfId="42187" xr:uid="{00000000-0005-0000-0000-0000C2A40000}"/>
    <cellStyle name="Normal 3 4 4 11 8" xfId="42188" xr:uid="{00000000-0005-0000-0000-0000C3A40000}"/>
    <cellStyle name="Normal 3 4 4 11 8 2" xfId="42189" xr:uid="{00000000-0005-0000-0000-0000C4A40000}"/>
    <cellStyle name="Normal 3 4 4 11 8 3" xfId="42190" xr:uid="{00000000-0005-0000-0000-0000C5A40000}"/>
    <cellStyle name="Normal 3 4 4 11 9" xfId="42191" xr:uid="{00000000-0005-0000-0000-0000C6A40000}"/>
    <cellStyle name="Normal 3 4 4 11 9 2" xfId="42192" xr:uid="{00000000-0005-0000-0000-0000C7A40000}"/>
    <cellStyle name="Normal 3 4 4 11 9 3" xfId="42193" xr:uid="{00000000-0005-0000-0000-0000C8A40000}"/>
    <cellStyle name="Normal 3 4 4 12" xfId="42194" xr:uid="{00000000-0005-0000-0000-0000C9A40000}"/>
    <cellStyle name="Normal 3 4 4 12 10" xfId="42195" xr:uid="{00000000-0005-0000-0000-0000CAA40000}"/>
    <cellStyle name="Normal 3 4 4 12 10 2" xfId="42196" xr:uid="{00000000-0005-0000-0000-0000CBA40000}"/>
    <cellStyle name="Normal 3 4 4 12 10 3" xfId="42197" xr:uid="{00000000-0005-0000-0000-0000CCA40000}"/>
    <cellStyle name="Normal 3 4 4 12 11" xfId="42198" xr:uid="{00000000-0005-0000-0000-0000CDA40000}"/>
    <cellStyle name="Normal 3 4 4 12 11 2" xfId="42199" xr:uid="{00000000-0005-0000-0000-0000CEA40000}"/>
    <cellStyle name="Normal 3 4 4 12 11 3" xfId="42200" xr:uid="{00000000-0005-0000-0000-0000CFA40000}"/>
    <cellStyle name="Normal 3 4 4 12 12" xfId="42201" xr:uid="{00000000-0005-0000-0000-0000D0A40000}"/>
    <cellStyle name="Normal 3 4 4 12 12 2" xfId="42202" xr:uid="{00000000-0005-0000-0000-0000D1A40000}"/>
    <cellStyle name="Normal 3 4 4 12 12 3" xfId="42203" xr:uid="{00000000-0005-0000-0000-0000D2A40000}"/>
    <cellStyle name="Normal 3 4 4 12 13" xfId="42204" xr:uid="{00000000-0005-0000-0000-0000D3A40000}"/>
    <cellStyle name="Normal 3 4 4 12 13 2" xfId="42205" xr:uid="{00000000-0005-0000-0000-0000D4A40000}"/>
    <cellStyle name="Normal 3 4 4 12 13 3" xfId="42206" xr:uid="{00000000-0005-0000-0000-0000D5A40000}"/>
    <cellStyle name="Normal 3 4 4 12 14" xfId="42207" xr:uid="{00000000-0005-0000-0000-0000D6A40000}"/>
    <cellStyle name="Normal 3 4 4 12 14 2" xfId="42208" xr:uid="{00000000-0005-0000-0000-0000D7A40000}"/>
    <cellStyle name="Normal 3 4 4 12 14 3" xfId="42209" xr:uid="{00000000-0005-0000-0000-0000D8A40000}"/>
    <cellStyle name="Normal 3 4 4 12 15" xfId="42210" xr:uid="{00000000-0005-0000-0000-0000D9A40000}"/>
    <cellStyle name="Normal 3 4 4 12 16" xfId="42211" xr:uid="{00000000-0005-0000-0000-0000DAA40000}"/>
    <cellStyle name="Normal 3 4 4 12 2" xfId="42212" xr:uid="{00000000-0005-0000-0000-0000DBA40000}"/>
    <cellStyle name="Normal 3 4 4 12 2 2" xfId="42213" xr:uid="{00000000-0005-0000-0000-0000DCA40000}"/>
    <cellStyle name="Normal 3 4 4 12 2 3" xfId="42214" xr:uid="{00000000-0005-0000-0000-0000DDA40000}"/>
    <cellStyle name="Normal 3 4 4 12 3" xfId="42215" xr:uid="{00000000-0005-0000-0000-0000DEA40000}"/>
    <cellStyle name="Normal 3 4 4 12 3 2" xfId="42216" xr:uid="{00000000-0005-0000-0000-0000DFA40000}"/>
    <cellStyle name="Normal 3 4 4 12 3 3" xfId="42217" xr:uid="{00000000-0005-0000-0000-0000E0A40000}"/>
    <cellStyle name="Normal 3 4 4 12 4" xfId="42218" xr:uid="{00000000-0005-0000-0000-0000E1A40000}"/>
    <cellStyle name="Normal 3 4 4 12 4 2" xfId="42219" xr:uid="{00000000-0005-0000-0000-0000E2A40000}"/>
    <cellStyle name="Normal 3 4 4 12 4 3" xfId="42220" xr:uid="{00000000-0005-0000-0000-0000E3A40000}"/>
    <cellStyle name="Normal 3 4 4 12 5" xfId="42221" xr:uid="{00000000-0005-0000-0000-0000E4A40000}"/>
    <cellStyle name="Normal 3 4 4 12 5 2" xfId="42222" xr:uid="{00000000-0005-0000-0000-0000E5A40000}"/>
    <cellStyle name="Normal 3 4 4 12 5 3" xfId="42223" xr:uid="{00000000-0005-0000-0000-0000E6A40000}"/>
    <cellStyle name="Normal 3 4 4 12 6" xfId="42224" xr:uid="{00000000-0005-0000-0000-0000E7A40000}"/>
    <cellStyle name="Normal 3 4 4 12 6 2" xfId="42225" xr:uid="{00000000-0005-0000-0000-0000E8A40000}"/>
    <cellStyle name="Normal 3 4 4 12 6 3" xfId="42226" xr:uid="{00000000-0005-0000-0000-0000E9A40000}"/>
    <cellStyle name="Normal 3 4 4 12 7" xfId="42227" xr:uid="{00000000-0005-0000-0000-0000EAA40000}"/>
    <cellStyle name="Normal 3 4 4 12 7 2" xfId="42228" xr:uid="{00000000-0005-0000-0000-0000EBA40000}"/>
    <cellStyle name="Normal 3 4 4 12 7 3" xfId="42229" xr:uid="{00000000-0005-0000-0000-0000ECA40000}"/>
    <cellStyle name="Normal 3 4 4 12 8" xfId="42230" xr:uid="{00000000-0005-0000-0000-0000EDA40000}"/>
    <cellStyle name="Normal 3 4 4 12 8 2" xfId="42231" xr:uid="{00000000-0005-0000-0000-0000EEA40000}"/>
    <cellStyle name="Normal 3 4 4 12 8 3" xfId="42232" xr:uid="{00000000-0005-0000-0000-0000EFA40000}"/>
    <cellStyle name="Normal 3 4 4 12 9" xfId="42233" xr:uid="{00000000-0005-0000-0000-0000F0A40000}"/>
    <cellStyle name="Normal 3 4 4 12 9 2" xfId="42234" xr:uid="{00000000-0005-0000-0000-0000F1A40000}"/>
    <cellStyle name="Normal 3 4 4 12 9 3" xfId="42235" xr:uid="{00000000-0005-0000-0000-0000F2A40000}"/>
    <cellStyle name="Normal 3 4 4 13" xfId="42236" xr:uid="{00000000-0005-0000-0000-0000F3A40000}"/>
    <cellStyle name="Normal 3 4 4 13 10" xfId="42237" xr:uid="{00000000-0005-0000-0000-0000F4A40000}"/>
    <cellStyle name="Normal 3 4 4 13 10 2" xfId="42238" xr:uid="{00000000-0005-0000-0000-0000F5A40000}"/>
    <cellStyle name="Normal 3 4 4 13 10 3" xfId="42239" xr:uid="{00000000-0005-0000-0000-0000F6A40000}"/>
    <cellStyle name="Normal 3 4 4 13 11" xfId="42240" xr:uid="{00000000-0005-0000-0000-0000F7A40000}"/>
    <cellStyle name="Normal 3 4 4 13 11 2" xfId="42241" xr:uid="{00000000-0005-0000-0000-0000F8A40000}"/>
    <cellStyle name="Normal 3 4 4 13 11 3" xfId="42242" xr:uid="{00000000-0005-0000-0000-0000F9A40000}"/>
    <cellStyle name="Normal 3 4 4 13 12" xfId="42243" xr:uid="{00000000-0005-0000-0000-0000FAA40000}"/>
    <cellStyle name="Normal 3 4 4 13 12 2" xfId="42244" xr:uid="{00000000-0005-0000-0000-0000FBA40000}"/>
    <cellStyle name="Normal 3 4 4 13 12 3" xfId="42245" xr:uid="{00000000-0005-0000-0000-0000FCA40000}"/>
    <cellStyle name="Normal 3 4 4 13 13" xfId="42246" xr:uid="{00000000-0005-0000-0000-0000FDA40000}"/>
    <cellStyle name="Normal 3 4 4 13 13 2" xfId="42247" xr:uid="{00000000-0005-0000-0000-0000FEA40000}"/>
    <cellStyle name="Normal 3 4 4 13 13 3" xfId="42248" xr:uid="{00000000-0005-0000-0000-0000FFA40000}"/>
    <cellStyle name="Normal 3 4 4 13 14" xfId="42249" xr:uid="{00000000-0005-0000-0000-000000A50000}"/>
    <cellStyle name="Normal 3 4 4 13 14 2" xfId="42250" xr:uid="{00000000-0005-0000-0000-000001A50000}"/>
    <cellStyle name="Normal 3 4 4 13 14 3" xfId="42251" xr:uid="{00000000-0005-0000-0000-000002A50000}"/>
    <cellStyle name="Normal 3 4 4 13 15" xfId="42252" xr:uid="{00000000-0005-0000-0000-000003A50000}"/>
    <cellStyle name="Normal 3 4 4 13 16" xfId="42253" xr:uid="{00000000-0005-0000-0000-000004A50000}"/>
    <cellStyle name="Normal 3 4 4 13 2" xfId="42254" xr:uid="{00000000-0005-0000-0000-000005A50000}"/>
    <cellStyle name="Normal 3 4 4 13 2 2" xfId="42255" xr:uid="{00000000-0005-0000-0000-000006A50000}"/>
    <cellStyle name="Normal 3 4 4 13 2 3" xfId="42256" xr:uid="{00000000-0005-0000-0000-000007A50000}"/>
    <cellStyle name="Normal 3 4 4 13 3" xfId="42257" xr:uid="{00000000-0005-0000-0000-000008A50000}"/>
    <cellStyle name="Normal 3 4 4 13 3 2" xfId="42258" xr:uid="{00000000-0005-0000-0000-000009A50000}"/>
    <cellStyle name="Normal 3 4 4 13 3 3" xfId="42259" xr:uid="{00000000-0005-0000-0000-00000AA50000}"/>
    <cellStyle name="Normal 3 4 4 13 4" xfId="42260" xr:uid="{00000000-0005-0000-0000-00000BA50000}"/>
    <cellStyle name="Normal 3 4 4 13 4 2" xfId="42261" xr:uid="{00000000-0005-0000-0000-00000CA50000}"/>
    <cellStyle name="Normal 3 4 4 13 4 3" xfId="42262" xr:uid="{00000000-0005-0000-0000-00000DA50000}"/>
    <cellStyle name="Normal 3 4 4 13 5" xfId="42263" xr:uid="{00000000-0005-0000-0000-00000EA50000}"/>
    <cellStyle name="Normal 3 4 4 13 5 2" xfId="42264" xr:uid="{00000000-0005-0000-0000-00000FA50000}"/>
    <cellStyle name="Normal 3 4 4 13 5 3" xfId="42265" xr:uid="{00000000-0005-0000-0000-000010A50000}"/>
    <cellStyle name="Normal 3 4 4 13 6" xfId="42266" xr:uid="{00000000-0005-0000-0000-000011A50000}"/>
    <cellStyle name="Normal 3 4 4 13 6 2" xfId="42267" xr:uid="{00000000-0005-0000-0000-000012A50000}"/>
    <cellStyle name="Normal 3 4 4 13 6 3" xfId="42268" xr:uid="{00000000-0005-0000-0000-000013A50000}"/>
    <cellStyle name="Normal 3 4 4 13 7" xfId="42269" xr:uid="{00000000-0005-0000-0000-000014A50000}"/>
    <cellStyle name="Normal 3 4 4 13 7 2" xfId="42270" xr:uid="{00000000-0005-0000-0000-000015A50000}"/>
    <cellStyle name="Normal 3 4 4 13 7 3" xfId="42271" xr:uid="{00000000-0005-0000-0000-000016A50000}"/>
    <cellStyle name="Normal 3 4 4 13 8" xfId="42272" xr:uid="{00000000-0005-0000-0000-000017A50000}"/>
    <cellStyle name="Normal 3 4 4 13 8 2" xfId="42273" xr:uid="{00000000-0005-0000-0000-000018A50000}"/>
    <cellStyle name="Normal 3 4 4 13 8 3" xfId="42274" xr:uid="{00000000-0005-0000-0000-000019A50000}"/>
    <cellStyle name="Normal 3 4 4 13 9" xfId="42275" xr:uid="{00000000-0005-0000-0000-00001AA50000}"/>
    <cellStyle name="Normal 3 4 4 13 9 2" xfId="42276" xr:uid="{00000000-0005-0000-0000-00001BA50000}"/>
    <cellStyle name="Normal 3 4 4 13 9 3" xfId="42277" xr:uid="{00000000-0005-0000-0000-00001CA50000}"/>
    <cellStyle name="Normal 3 4 4 14" xfId="42278" xr:uid="{00000000-0005-0000-0000-00001DA50000}"/>
    <cellStyle name="Normal 3 4 4 14 10" xfId="42279" xr:uid="{00000000-0005-0000-0000-00001EA50000}"/>
    <cellStyle name="Normal 3 4 4 14 10 2" xfId="42280" xr:uid="{00000000-0005-0000-0000-00001FA50000}"/>
    <cellStyle name="Normal 3 4 4 14 10 3" xfId="42281" xr:uid="{00000000-0005-0000-0000-000020A50000}"/>
    <cellStyle name="Normal 3 4 4 14 11" xfId="42282" xr:uid="{00000000-0005-0000-0000-000021A50000}"/>
    <cellStyle name="Normal 3 4 4 14 11 2" xfId="42283" xr:uid="{00000000-0005-0000-0000-000022A50000}"/>
    <cellStyle name="Normal 3 4 4 14 11 3" xfId="42284" xr:uid="{00000000-0005-0000-0000-000023A50000}"/>
    <cellStyle name="Normal 3 4 4 14 12" xfId="42285" xr:uid="{00000000-0005-0000-0000-000024A50000}"/>
    <cellStyle name="Normal 3 4 4 14 12 2" xfId="42286" xr:uid="{00000000-0005-0000-0000-000025A50000}"/>
    <cellStyle name="Normal 3 4 4 14 12 3" xfId="42287" xr:uid="{00000000-0005-0000-0000-000026A50000}"/>
    <cellStyle name="Normal 3 4 4 14 13" xfId="42288" xr:uid="{00000000-0005-0000-0000-000027A50000}"/>
    <cellStyle name="Normal 3 4 4 14 13 2" xfId="42289" xr:uid="{00000000-0005-0000-0000-000028A50000}"/>
    <cellStyle name="Normal 3 4 4 14 13 3" xfId="42290" xr:uid="{00000000-0005-0000-0000-000029A50000}"/>
    <cellStyle name="Normal 3 4 4 14 14" xfId="42291" xr:uid="{00000000-0005-0000-0000-00002AA50000}"/>
    <cellStyle name="Normal 3 4 4 14 14 2" xfId="42292" xr:uid="{00000000-0005-0000-0000-00002BA50000}"/>
    <cellStyle name="Normal 3 4 4 14 14 3" xfId="42293" xr:uid="{00000000-0005-0000-0000-00002CA50000}"/>
    <cellStyle name="Normal 3 4 4 14 15" xfId="42294" xr:uid="{00000000-0005-0000-0000-00002DA50000}"/>
    <cellStyle name="Normal 3 4 4 14 16" xfId="42295" xr:uid="{00000000-0005-0000-0000-00002EA50000}"/>
    <cellStyle name="Normal 3 4 4 14 2" xfId="42296" xr:uid="{00000000-0005-0000-0000-00002FA50000}"/>
    <cellStyle name="Normal 3 4 4 14 2 2" xfId="42297" xr:uid="{00000000-0005-0000-0000-000030A50000}"/>
    <cellStyle name="Normal 3 4 4 14 2 3" xfId="42298" xr:uid="{00000000-0005-0000-0000-000031A50000}"/>
    <cellStyle name="Normal 3 4 4 14 3" xfId="42299" xr:uid="{00000000-0005-0000-0000-000032A50000}"/>
    <cellStyle name="Normal 3 4 4 14 3 2" xfId="42300" xr:uid="{00000000-0005-0000-0000-000033A50000}"/>
    <cellStyle name="Normal 3 4 4 14 3 3" xfId="42301" xr:uid="{00000000-0005-0000-0000-000034A50000}"/>
    <cellStyle name="Normal 3 4 4 14 4" xfId="42302" xr:uid="{00000000-0005-0000-0000-000035A50000}"/>
    <cellStyle name="Normal 3 4 4 14 4 2" xfId="42303" xr:uid="{00000000-0005-0000-0000-000036A50000}"/>
    <cellStyle name="Normal 3 4 4 14 4 3" xfId="42304" xr:uid="{00000000-0005-0000-0000-000037A50000}"/>
    <cellStyle name="Normal 3 4 4 14 5" xfId="42305" xr:uid="{00000000-0005-0000-0000-000038A50000}"/>
    <cellStyle name="Normal 3 4 4 14 5 2" xfId="42306" xr:uid="{00000000-0005-0000-0000-000039A50000}"/>
    <cellStyle name="Normal 3 4 4 14 5 3" xfId="42307" xr:uid="{00000000-0005-0000-0000-00003AA50000}"/>
    <cellStyle name="Normal 3 4 4 14 6" xfId="42308" xr:uid="{00000000-0005-0000-0000-00003BA50000}"/>
    <cellStyle name="Normal 3 4 4 14 6 2" xfId="42309" xr:uid="{00000000-0005-0000-0000-00003CA50000}"/>
    <cellStyle name="Normal 3 4 4 14 6 3" xfId="42310" xr:uid="{00000000-0005-0000-0000-00003DA50000}"/>
    <cellStyle name="Normal 3 4 4 14 7" xfId="42311" xr:uid="{00000000-0005-0000-0000-00003EA50000}"/>
    <cellStyle name="Normal 3 4 4 14 7 2" xfId="42312" xr:uid="{00000000-0005-0000-0000-00003FA50000}"/>
    <cellStyle name="Normal 3 4 4 14 7 3" xfId="42313" xr:uid="{00000000-0005-0000-0000-000040A50000}"/>
    <cellStyle name="Normal 3 4 4 14 8" xfId="42314" xr:uid="{00000000-0005-0000-0000-000041A50000}"/>
    <cellStyle name="Normal 3 4 4 14 8 2" xfId="42315" xr:uid="{00000000-0005-0000-0000-000042A50000}"/>
    <cellStyle name="Normal 3 4 4 14 8 3" xfId="42316" xr:uid="{00000000-0005-0000-0000-000043A50000}"/>
    <cellStyle name="Normal 3 4 4 14 9" xfId="42317" xr:uid="{00000000-0005-0000-0000-000044A50000}"/>
    <cellStyle name="Normal 3 4 4 14 9 2" xfId="42318" xr:uid="{00000000-0005-0000-0000-000045A50000}"/>
    <cellStyle name="Normal 3 4 4 14 9 3" xfId="42319" xr:uid="{00000000-0005-0000-0000-000046A50000}"/>
    <cellStyle name="Normal 3 4 4 15" xfId="42320" xr:uid="{00000000-0005-0000-0000-000047A50000}"/>
    <cellStyle name="Normal 3 4 4 15 2" xfId="42321" xr:uid="{00000000-0005-0000-0000-000048A50000}"/>
    <cellStyle name="Normal 3 4 4 15 3" xfId="42322" xr:uid="{00000000-0005-0000-0000-000049A50000}"/>
    <cellStyle name="Normal 3 4 4 16" xfId="42323" xr:uid="{00000000-0005-0000-0000-00004AA50000}"/>
    <cellStyle name="Normal 3 4 4 16 2" xfId="42324" xr:uid="{00000000-0005-0000-0000-00004BA50000}"/>
    <cellStyle name="Normal 3 4 4 16 3" xfId="42325" xr:uid="{00000000-0005-0000-0000-00004CA50000}"/>
    <cellStyle name="Normal 3 4 4 17" xfId="42326" xr:uid="{00000000-0005-0000-0000-00004DA50000}"/>
    <cellStyle name="Normal 3 4 4 17 2" xfId="42327" xr:uid="{00000000-0005-0000-0000-00004EA50000}"/>
    <cellStyle name="Normal 3 4 4 17 3" xfId="42328" xr:uid="{00000000-0005-0000-0000-00004FA50000}"/>
    <cellStyle name="Normal 3 4 4 18" xfId="42329" xr:uid="{00000000-0005-0000-0000-000050A50000}"/>
    <cellStyle name="Normal 3 4 4 18 2" xfId="42330" xr:uid="{00000000-0005-0000-0000-000051A50000}"/>
    <cellStyle name="Normal 3 4 4 18 3" xfId="42331" xr:uid="{00000000-0005-0000-0000-000052A50000}"/>
    <cellStyle name="Normal 3 4 4 19" xfId="42332" xr:uid="{00000000-0005-0000-0000-000053A50000}"/>
    <cellStyle name="Normal 3 4 4 19 2" xfId="42333" xr:uid="{00000000-0005-0000-0000-000054A50000}"/>
    <cellStyle name="Normal 3 4 4 19 3" xfId="42334" xr:uid="{00000000-0005-0000-0000-000055A50000}"/>
    <cellStyle name="Normal 3 4 4 2" xfId="42335" xr:uid="{00000000-0005-0000-0000-000056A50000}"/>
    <cellStyle name="Normal 3 4 4 20" xfId="42336" xr:uid="{00000000-0005-0000-0000-000057A50000}"/>
    <cellStyle name="Normal 3 4 4 20 2" xfId="42337" xr:uid="{00000000-0005-0000-0000-000058A50000}"/>
    <cellStyle name="Normal 3 4 4 20 3" xfId="42338" xr:uid="{00000000-0005-0000-0000-000059A50000}"/>
    <cellStyle name="Normal 3 4 4 21" xfId="42339" xr:uid="{00000000-0005-0000-0000-00005AA50000}"/>
    <cellStyle name="Normal 3 4 4 21 2" xfId="42340" xr:uid="{00000000-0005-0000-0000-00005BA50000}"/>
    <cellStyle name="Normal 3 4 4 21 3" xfId="42341" xr:uid="{00000000-0005-0000-0000-00005CA50000}"/>
    <cellStyle name="Normal 3 4 4 22" xfId="42342" xr:uid="{00000000-0005-0000-0000-00005DA50000}"/>
    <cellStyle name="Normal 3 4 4 22 2" xfId="42343" xr:uid="{00000000-0005-0000-0000-00005EA50000}"/>
    <cellStyle name="Normal 3 4 4 22 3" xfId="42344" xr:uid="{00000000-0005-0000-0000-00005FA50000}"/>
    <cellStyle name="Normal 3 4 4 23" xfId="42345" xr:uid="{00000000-0005-0000-0000-000060A50000}"/>
    <cellStyle name="Normal 3 4 4 23 2" xfId="42346" xr:uid="{00000000-0005-0000-0000-000061A50000}"/>
    <cellStyle name="Normal 3 4 4 23 3" xfId="42347" xr:uid="{00000000-0005-0000-0000-000062A50000}"/>
    <cellStyle name="Normal 3 4 4 24" xfId="42348" xr:uid="{00000000-0005-0000-0000-000063A50000}"/>
    <cellStyle name="Normal 3 4 4 24 2" xfId="42349" xr:uid="{00000000-0005-0000-0000-000064A50000}"/>
    <cellStyle name="Normal 3 4 4 24 3" xfId="42350" xr:uid="{00000000-0005-0000-0000-000065A50000}"/>
    <cellStyle name="Normal 3 4 4 25" xfId="42351" xr:uid="{00000000-0005-0000-0000-000066A50000}"/>
    <cellStyle name="Normal 3 4 4 25 2" xfId="42352" xr:uid="{00000000-0005-0000-0000-000067A50000}"/>
    <cellStyle name="Normal 3 4 4 25 3" xfId="42353" xr:uid="{00000000-0005-0000-0000-000068A50000}"/>
    <cellStyle name="Normal 3 4 4 26" xfId="42354" xr:uid="{00000000-0005-0000-0000-000069A50000}"/>
    <cellStyle name="Normal 3 4 4 26 2" xfId="42355" xr:uid="{00000000-0005-0000-0000-00006AA50000}"/>
    <cellStyle name="Normal 3 4 4 26 3" xfId="42356" xr:uid="{00000000-0005-0000-0000-00006BA50000}"/>
    <cellStyle name="Normal 3 4 4 27" xfId="42357" xr:uid="{00000000-0005-0000-0000-00006CA50000}"/>
    <cellStyle name="Normal 3 4 4 27 2" xfId="42358" xr:uid="{00000000-0005-0000-0000-00006DA50000}"/>
    <cellStyle name="Normal 3 4 4 27 3" xfId="42359" xr:uid="{00000000-0005-0000-0000-00006EA50000}"/>
    <cellStyle name="Normal 3 4 4 28" xfId="42360" xr:uid="{00000000-0005-0000-0000-00006FA50000}"/>
    <cellStyle name="Normal 3 4 4 29" xfId="42361" xr:uid="{00000000-0005-0000-0000-000070A50000}"/>
    <cellStyle name="Normal 3 4 4 3" xfId="42362" xr:uid="{00000000-0005-0000-0000-000071A50000}"/>
    <cellStyle name="Normal 3 4 4 4" xfId="42363" xr:uid="{00000000-0005-0000-0000-000072A50000}"/>
    <cellStyle name="Normal 3 4 4 5" xfId="42364" xr:uid="{00000000-0005-0000-0000-000073A50000}"/>
    <cellStyle name="Normal 3 4 4 6" xfId="42365" xr:uid="{00000000-0005-0000-0000-000074A50000}"/>
    <cellStyle name="Normal 3 4 4 6 10" xfId="42366" xr:uid="{00000000-0005-0000-0000-000075A50000}"/>
    <cellStyle name="Normal 3 4 4 6 10 2" xfId="42367" xr:uid="{00000000-0005-0000-0000-000076A50000}"/>
    <cellStyle name="Normal 3 4 4 6 10 3" xfId="42368" xr:uid="{00000000-0005-0000-0000-000077A50000}"/>
    <cellStyle name="Normal 3 4 4 6 11" xfId="42369" xr:uid="{00000000-0005-0000-0000-000078A50000}"/>
    <cellStyle name="Normal 3 4 4 6 11 2" xfId="42370" xr:uid="{00000000-0005-0000-0000-000079A50000}"/>
    <cellStyle name="Normal 3 4 4 6 11 3" xfId="42371" xr:uid="{00000000-0005-0000-0000-00007AA50000}"/>
    <cellStyle name="Normal 3 4 4 6 12" xfId="42372" xr:uid="{00000000-0005-0000-0000-00007BA50000}"/>
    <cellStyle name="Normal 3 4 4 6 12 2" xfId="42373" xr:uid="{00000000-0005-0000-0000-00007CA50000}"/>
    <cellStyle name="Normal 3 4 4 6 12 3" xfId="42374" xr:uid="{00000000-0005-0000-0000-00007DA50000}"/>
    <cellStyle name="Normal 3 4 4 6 13" xfId="42375" xr:uid="{00000000-0005-0000-0000-00007EA50000}"/>
    <cellStyle name="Normal 3 4 4 6 13 2" xfId="42376" xr:uid="{00000000-0005-0000-0000-00007FA50000}"/>
    <cellStyle name="Normal 3 4 4 6 13 3" xfId="42377" xr:uid="{00000000-0005-0000-0000-000080A50000}"/>
    <cellStyle name="Normal 3 4 4 6 14" xfId="42378" xr:uid="{00000000-0005-0000-0000-000081A50000}"/>
    <cellStyle name="Normal 3 4 4 6 14 2" xfId="42379" xr:uid="{00000000-0005-0000-0000-000082A50000}"/>
    <cellStyle name="Normal 3 4 4 6 14 3" xfId="42380" xr:uid="{00000000-0005-0000-0000-000083A50000}"/>
    <cellStyle name="Normal 3 4 4 6 15" xfId="42381" xr:uid="{00000000-0005-0000-0000-000084A50000}"/>
    <cellStyle name="Normal 3 4 4 6 15 2" xfId="42382" xr:uid="{00000000-0005-0000-0000-000085A50000}"/>
    <cellStyle name="Normal 3 4 4 6 15 3" xfId="42383" xr:uid="{00000000-0005-0000-0000-000086A50000}"/>
    <cellStyle name="Normal 3 4 4 6 16" xfId="42384" xr:uid="{00000000-0005-0000-0000-000087A50000}"/>
    <cellStyle name="Normal 3 4 4 6 17" xfId="42385" xr:uid="{00000000-0005-0000-0000-000088A50000}"/>
    <cellStyle name="Normal 3 4 4 6 2" xfId="42386" xr:uid="{00000000-0005-0000-0000-000089A50000}"/>
    <cellStyle name="Normal 3 4 4 6 2 10" xfId="42387" xr:uid="{00000000-0005-0000-0000-00008AA50000}"/>
    <cellStyle name="Normal 3 4 4 6 2 10 2" xfId="42388" xr:uid="{00000000-0005-0000-0000-00008BA50000}"/>
    <cellStyle name="Normal 3 4 4 6 2 10 3" xfId="42389" xr:uid="{00000000-0005-0000-0000-00008CA50000}"/>
    <cellStyle name="Normal 3 4 4 6 2 11" xfId="42390" xr:uid="{00000000-0005-0000-0000-00008DA50000}"/>
    <cellStyle name="Normal 3 4 4 6 2 11 2" xfId="42391" xr:uid="{00000000-0005-0000-0000-00008EA50000}"/>
    <cellStyle name="Normal 3 4 4 6 2 11 3" xfId="42392" xr:uid="{00000000-0005-0000-0000-00008FA50000}"/>
    <cellStyle name="Normal 3 4 4 6 2 12" xfId="42393" xr:uid="{00000000-0005-0000-0000-000090A50000}"/>
    <cellStyle name="Normal 3 4 4 6 2 12 2" xfId="42394" xr:uid="{00000000-0005-0000-0000-000091A50000}"/>
    <cellStyle name="Normal 3 4 4 6 2 12 3" xfId="42395" xr:uid="{00000000-0005-0000-0000-000092A50000}"/>
    <cellStyle name="Normal 3 4 4 6 2 13" xfId="42396" xr:uid="{00000000-0005-0000-0000-000093A50000}"/>
    <cellStyle name="Normal 3 4 4 6 2 13 2" xfId="42397" xr:uid="{00000000-0005-0000-0000-000094A50000}"/>
    <cellStyle name="Normal 3 4 4 6 2 13 3" xfId="42398" xr:uid="{00000000-0005-0000-0000-000095A50000}"/>
    <cellStyle name="Normal 3 4 4 6 2 14" xfId="42399" xr:uid="{00000000-0005-0000-0000-000096A50000}"/>
    <cellStyle name="Normal 3 4 4 6 2 14 2" xfId="42400" xr:uid="{00000000-0005-0000-0000-000097A50000}"/>
    <cellStyle name="Normal 3 4 4 6 2 14 3" xfId="42401" xr:uid="{00000000-0005-0000-0000-000098A50000}"/>
    <cellStyle name="Normal 3 4 4 6 2 15" xfId="42402" xr:uid="{00000000-0005-0000-0000-000099A50000}"/>
    <cellStyle name="Normal 3 4 4 6 2 16" xfId="42403" xr:uid="{00000000-0005-0000-0000-00009AA50000}"/>
    <cellStyle name="Normal 3 4 4 6 2 2" xfId="42404" xr:uid="{00000000-0005-0000-0000-00009BA50000}"/>
    <cellStyle name="Normal 3 4 4 6 2 2 2" xfId="42405" xr:uid="{00000000-0005-0000-0000-00009CA50000}"/>
    <cellStyle name="Normal 3 4 4 6 2 2 3" xfId="42406" xr:uid="{00000000-0005-0000-0000-00009DA50000}"/>
    <cellStyle name="Normal 3 4 4 6 2 3" xfId="42407" xr:uid="{00000000-0005-0000-0000-00009EA50000}"/>
    <cellStyle name="Normal 3 4 4 6 2 3 2" xfId="42408" xr:uid="{00000000-0005-0000-0000-00009FA50000}"/>
    <cellStyle name="Normal 3 4 4 6 2 3 3" xfId="42409" xr:uid="{00000000-0005-0000-0000-0000A0A50000}"/>
    <cellStyle name="Normal 3 4 4 6 2 4" xfId="42410" xr:uid="{00000000-0005-0000-0000-0000A1A50000}"/>
    <cellStyle name="Normal 3 4 4 6 2 4 2" xfId="42411" xr:uid="{00000000-0005-0000-0000-0000A2A50000}"/>
    <cellStyle name="Normal 3 4 4 6 2 4 3" xfId="42412" xr:uid="{00000000-0005-0000-0000-0000A3A50000}"/>
    <cellStyle name="Normal 3 4 4 6 2 5" xfId="42413" xr:uid="{00000000-0005-0000-0000-0000A4A50000}"/>
    <cellStyle name="Normal 3 4 4 6 2 5 2" xfId="42414" xr:uid="{00000000-0005-0000-0000-0000A5A50000}"/>
    <cellStyle name="Normal 3 4 4 6 2 5 3" xfId="42415" xr:uid="{00000000-0005-0000-0000-0000A6A50000}"/>
    <cellStyle name="Normal 3 4 4 6 2 6" xfId="42416" xr:uid="{00000000-0005-0000-0000-0000A7A50000}"/>
    <cellStyle name="Normal 3 4 4 6 2 6 2" xfId="42417" xr:uid="{00000000-0005-0000-0000-0000A8A50000}"/>
    <cellStyle name="Normal 3 4 4 6 2 6 3" xfId="42418" xr:uid="{00000000-0005-0000-0000-0000A9A50000}"/>
    <cellStyle name="Normal 3 4 4 6 2 7" xfId="42419" xr:uid="{00000000-0005-0000-0000-0000AAA50000}"/>
    <cellStyle name="Normal 3 4 4 6 2 7 2" xfId="42420" xr:uid="{00000000-0005-0000-0000-0000ABA50000}"/>
    <cellStyle name="Normal 3 4 4 6 2 7 3" xfId="42421" xr:uid="{00000000-0005-0000-0000-0000ACA50000}"/>
    <cellStyle name="Normal 3 4 4 6 2 8" xfId="42422" xr:uid="{00000000-0005-0000-0000-0000ADA50000}"/>
    <cellStyle name="Normal 3 4 4 6 2 8 2" xfId="42423" xr:uid="{00000000-0005-0000-0000-0000AEA50000}"/>
    <cellStyle name="Normal 3 4 4 6 2 8 3" xfId="42424" xr:uid="{00000000-0005-0000-0000-0000AFA50000}"/>
    <cellStyle name="Normal 3 4 4 6 2 9" xfId="42425" xr:uid="{00000000-0005-0000-0000-0000B0A50000}"/>
    <cellStyle name="Normal 3 4 4 6 2 9 2" xfId="42426" xr:uid="{00000000-0005-0000-0000-0000B1A50000}"/>
    <cellStyle name="Normal 3 4 4 6 2 9 3" xfId="42427" xr:uid="{00000000-0005-0000-0000-0000B2A50000}"/>
    <cellStyle name="Normal 3 4 4 6 3" xfId="42428" xr:uid="{00000000-0005-0000-0000-0000B3A50000}"/>
    <cellStyle name="Normal 3 4 4 6 3 2" xfId="42429" xr:uid="{00000000-0005-0000-0000-0000B4A50000}"/>
    <cellStyle name="Normal 3 4 4 6 3 3" xfId="42430" xr:uid="{00000000-0005-0000-0000-0000B5A50000}"/>
    <cellStyle name="Normal 3 4 4 6 4" xfId="42431" xr:uid="{00000000-0005-0000-0000-0000B6A50000}"/>
    <cellStyle name="Normal 3 4 4 6 4 2" xfId="42432" xr:uid="{00000000-0005-0000-0000-0000B7A50000}"/>
    <cellStyle name="Normal 3 4 4 6 4 3" xfId="42433" xr:uid="{00000000-0005-0000-0000-0000B8A50000}"/>
    <cellStyle name="Normal 3 4 4 6 5" xfId="42434" xr:uid="{00000000-0005-0000-0000-0000B9A50000}"/>
    <cellStyle name="Normal 3 4 4 6 5 2" xfId="42435" xr:uid="{00000000-0005-0000-0000-0000BAA50000}"/>
    <cellStyle name="Normal 3 4 4 6 5 3" xfId="42436" xr:uid="{00000000-0005-0000-0000-0000BBA50000}"/>
    <cellStyle name="Normal 3 4 4 6 6" xfId="42437" xr:uid="{00000000-0005-0000-0000-0000BCA50000}"/>
    <cellStyle name="Normal 3 4 4 6 6 2" xfId="42438" xr:uid="{00000000-0005-0000-0000-0000BDA50000}"/>
    <cellStyle name="Normal 3 4 4 6 6 3" xfId="42439" xr:uid="{00000000-0005-0000-0000-0000BEA50000}"/>
    <cellStyle name="Normal 3 4 4 6 7" xfId="42440" xr:uid="{00000000-0005-0000-0000-0000BFA50000}"/>
    <cellStyle name="Normal 3 4 4 6 7 2" xfId="42441" xr:uid="{00000000-0005-0000-0000-0000C0A50000}"/>
    <cellStyle name="Normal 3 4 4 6 7 3" xfId="42442" xr:uid="{00000000-0005-0000-0000-0000C1A50000}"/>
    <cellStyle name="Normal 3 4 4 6 8" xfId="42443" xr:uid="{00000000-0005-0000-0000-0000C2A50000}"/>
    <cellStyle name="Normal 3 4 4 6 8 2" xfId="42444" xr:uid="{00000000-0005-0000-0000-0000C3A50000}"/>
    <cellStyle name="Normal 3 4 4 6 8 3" xfId="42445" xr:uid="{00000000-0005-0000-0000-0000C4A50000}"/>
    <cellStyle name="Normal 3 4 4 6 9" xfId="42446" xr:uid="{00000000-0005-0000-0000-0000C5A50000}"/>
    <cellStyle name="Normal 3 4 4 6 9 2" xfId="42447" xr:uid="{00000000-0005-0000-0000-0000C6A50000}"/>
    <cellStyle name="Normal 3 4 4 6 9 3" xfId="42448" xr:uid="{00000000-0005-0000-0000-0000C7A50000}"/>
    <cellStyle name="Normal 3 4 4 7" xfId="42449" xr:uid="{00000000-0005-0000-0000-0000C8A50000}"/>
    <cellStyle name="Normal 3 4 4 7 10" xfId="42450" xr:uid="{00000000-0005-0000-0000-0000C9A50000}"/>
    <cellStyle name="Normal 3 4 4 7 10 2" xfId="42451" xr:uid="{00000000-0005-0000-0000-0000CAA50000}"/>
    <cellStyle name="Normal 3 4 4 7 10 3" xfId="42452" xr:uid="{00000000-0005-0000-0000-0000CBA50000}"/>
    <cellStyle name="Normal 3 4 4 7 11" xfId="42453" xr:uid="{00000000-0005-0000-0000-0000CCA50000}"/>
    <cellStyle name="Normal 3 4 4 7 11 2" xfId="42454" xr:uid="{00000000-0005-0000-0000-0000CDA50000}"/>
    <cellStyle name="Normal 3 4 4 7 11 3" xfId="42455" xr:uid="{00000000-0005-0000-0000-0000CEA50000}"/>
    <cellStyle name="Normal 3 4 4 7 12" xfId="42456" xr:uid="{00000000-0005-0000-0000-0000CFA50000}"/>
    <cellStyle name="Normal 3 4 4 7 12 2" xfId="42457" xr:uid="{00000000-0005-0000-0000-0000D0A50000}"/>
    <cellStyle name="Normal 3 4 4 7 12 3" xfId="42458" xr:uid="{00000000-0005-0000-0000-0000D1A50000}"/>
    <cellStyle name="Normal 3 4 4 7 13" xfId="42459" xr:uid="{00000000-0005-0000-0000-0000D2A50000}"/>
    <cellStyle name="Normal 3 4 4 7 13 2" xfId="42460" xr:uid="{00000000-0005-0000-0000-0000D3A50000}"/>
    <cellStyle name="Normal 3 4 4 7 13 3" xfId="42461" xr:uid="{00000000-0005-0000-0000-0000D4A50000}"/>
    <cellStyle name="Normal 3 4 4 7 14" xfId="42462" xr:uid="{00000000-0005-0000-0000-0000D5A50000}"/>
    <cellStyle name="Normal 3 4 4 7 14 2" xfId="42463" xr:uid="{00000000-0005-0000-0000-0000D6A50000}"/>
    <cellStyle name="Normal 3 4 4 7 14 3" xfId="42464" xr:uid="{00000000-0005-0000-0000-0000D7A50000}"/>
    <cellStyle name="Normal 3 4 4 7 15" xfId="42465" xr:uid="{00000000-0005-0000-0000-0000D8A50000}"/>
    <cellStyle name="Normal 3 4 4 7 15 2" xfId="42466" xr:uid="{00000000-0005-0000-0000-0000D9A50000}"/>
    <cellStyle name="Normal 3 4 4 7 15 3" xfId="42467" xr:uid="{00000000-0005-0000-0000-0000DAA50000}"/>
    <cellStyle name="Normal 3 4 4 7 16" xfId="42468" xr:uid="{00000000-0005-0000-0000-0000DBA50000}"/>
    <cellStyle name="Normal 3 4 4 7 17" xfId="42469" xr:uid="{00000000-0005-0000-0000-0000DCA50000}"/>
    <cellStyle name="Normal 3 4 4 7 2" xfId="42470" xr:uid="{00000000-0005-0000-0000-0000DDA50000}"/>
    <cellStyle name="Normal 3 4 4 7 2 10" xfId="42471" xr:uid="{00000000-0005-0000-0000-0000DEA50000}"/>
    <cellStyle name="Normal 3 4 4 7 2 10 2" xfId="42472" xr:uid="{00000000-0005-0000-0000-0000DFA50000}"/>
    <cellStyle name="Normal 3 4 4 7 2 10 3" xfId="42473" xr:uid="{00000000-0005-0000-0000-0000E0A50000}"/>
    <cellStyle name="Normal 3 4 4 7 2 11" xfId="42474" xr:uid="{00000000-0005-0000-0000-0000E1A50000}"/>
    <cellStyle name="Normal 3 4 4 7 2 11 2" xfId="42475" xr:uid="{00000000-0005-0000-0000-0000E2A50000}"/>
    <cellStyle name="Normal 3 4 4 7 2 11 3" xfId="42476" xr:uid="{00000000-0005-0000-0000-0000E3A50000}"/>
    <cellStyle name="Normal 3 4 4 7 2 12" xfId="42477" xr:uid="{00000000-0005-0000-0000-0000E4A50000}"/>
    <cellStyle name="Normal 3 4 4 7 2 12 2" xfId="42478" xr:uid="{00000000-0005-0000-0000-0000E5A50000}"/>
    <cellStyle name="Normal 3 4 4 7 2 12 3" xfId="42479" xr:uid="{00000000-0005-0000-0000-0000E6A50000}"/>
    <cellStyle name="Normal 3 4 4 7 2 13" xfId="42480" xr:uid="{00000000-0005-0000-0000-0000E7A50000}"/>
    <cellStyle name="Normal 3 4 4 7 2 13 2" xfId="42481" xr:uid="{00000000-0005-0000-0000-0000E8A50000}"/>
    <cellStyle name="Normal 3 4 4 7 2 13 3" xfId="42482" xr:uid="{00000000-0005-0000-0000-0000E9A50000}"/>
    <cellStyle name="Normal 3 4 4 7 2 14" xfId="42483" xr:uid="{00000000-0005-0000-0000-0000EAA50000}"/>
    <cellStyle name="Normal 3 4 4 7 2 14 2" xfId="42484" xr:uid="{00000000-0005-0000-0000-0000EBA50000}"/>
    <cellStyle name="Normal 3 4 4 7 2 14 3" xfId="42485" xr:uid="{00000000-0005-0000-0000-0000ECA50000}"/>
    <cellStyle name="Normal 3 4 4 7 2 15" xfId="42486" xr:uid="{00000000-0005-0000-0000-0000EDA50000}"/>
    <cellStyle name="Normal 3 4 4 7 2 16" xfId="42487" xr:uid="{00000000-0005-0000-0000-0000EEA50000}"/>
    <cellStyle name="Normal 3 4 4 7 2 2" xfId="42488" xr:uid="{00000000-0005-0000-0000-0000EFA50000}"/>
    <cellStyle name="Normal 3 4 4 7 2 2 2" xfId="42489" xr:uid="{00000000-0005-0000-0000-0000F0A50000}"/>
    <cellStyle name="Normal 3 4 4 7 2 2 3" xfId="42490" xr:uid="{00000000-0005-0000-0000-0000F1A50000}"/>
    <cellStyle name="Normal 3 4 4 7 2 3" xfId="42491" xr:uid="{00000000-0005-0000-0000-0000F2A50000}"/>
    <cellStyle name="Normal 3 4 4 7 2 3 2" xfId="42492" xr:uid="{00000000-0005-0000-0000-0000F3A50000}"/>
    <cellStyle name="Normal 3 4 4 7 2 3 3" xfId="42493" xr:uid="{00000000-0005-0000-0000-0000F4A50000}"/>
    <cellStyle name="Normal 3 4 4 7 2 4" xfId="42494" xr:uid="{00000000-0005-0000-0000-0000F5A50000}"/>
    <cellStyle name="Normal 3 4 4 7 2 4 2" xfId="42495" xr:uid="{00000000-0005-0000-0000-0000F6A50000}"/>
    <cellStyle name="Normal 3 4 4 7 2 4 3" xfId="42496" xr:uid="{00000000-0005-0000-0000-0000F7A50000}"/>
    <cellStyle name="Normal 3 4 4 7 2 5" xfId="42497" xr:uid="{00000000-0005-0000-0000-0000F8A50000}"/>
    <cellStyle name="Normal 3 4 4 7 2 5 2" xfId="42498" xr:uid="{00000000-0005-0000-0000-0000F9A50000}"/>
    <cellStyle name="Normal 3 4 4 7 2 5 3" xfId="42499" xr:uid="{00000000-0005-0000-0000-0000FAA50000}"/>
    <cellStyle name="Normal 3 4 4 7 2 6" xfId="42500" xr:uid="{00000000-0005-0000-0000-0000FBA50000}"/>
    <cellStyle name="Normal 3 4 4 7 2 6 2" xfId="42501" xr:uid="{00000000-0005-0000-0000-0000FCA50000}"/>
    <cellStyle name="Normal 3 4 4 7 2 6 3" xfId="42502" xr:uid="{00000000-0005-0000-0000-0000FDA50000}"/>
    <cellStyle name="Normal 3 4 4 7 2 7" xfId="42503" xr:uid="{00000000-0005-0000-0000-0000FEA50000}"/>
    <cellStyle name="Normal 3 4 4 7 2 7 2" xfId="42504" xr:uid="{00000000-0005-0000-0000-0000FFA50000}"/>
    <cellStyle name="Normal 3 4 4 7 2 7 3" xfId="42505" xr:uid="{00000000-0005-0000-0000-000000A60000}"/>
    <cellStyle name="Normal 3 4 4 7 2 8" xfId="42506" xr:uid="{00000000-0005-0000-0000-000001A60000}"/>
    <cellStyle name="Normal 3 4 4 7 2 8 2" xfId="42507" xr:uid="{00000000-0005-0000-0000-000002A60000}"/>
    <cellStyle name="Normal 3 4 4 7 2 8 3" xfId="42508" xr:uid="{00000000-0005-0000-0000-000003A60000}"/>
    <cellStyle name="Normal 3 4 4 7 2 9" xfId="42509" xr:uid="{00000000-0005-0000-0000-000004A60000}"/>
    <cellStyle name="Normal 3 4 4 7 2 9 2" xfId="42510" xr:uid="{00000000-0005-0000-0000-000005A60000}"/>
    <cellStyle name="Normal 3 4 4 7 2 9 3" xfId="42511" xr:uid="{00000000-0005-0000-0000-000006A60000}"/>
    <cellStyle name="Normal 3 4 4 7 3" xfId="42512" xr:uid="{00000000-0005-0000-0000-000007A60000}"/>
    <cellStyle name="Normal 3 4 4 7 3 2" xfId="42513" xr:uid="{00000000-0005-0000-0000-000008A60000}"/>
    <cellStyle name="Normal 3 4 4 7 3 3" xfId="42514" xr:uid="{00000000-0005-0000-0000-000009A60000}"/>
    <cellStyle name="Normal 3 4 4 7 4" xfId="42515" xr:uid="{00000000-0005-0000-0000-00000AA60000}"/>
    <cellStyle name="Normal 3 4 4 7 4 2" xfId="42516" xr:uid="{00000000-0005-0000-0000-00000BA60000}"/>
    <cellStyle name="Normal 3 4 4 7 4 3" xfId="42517" xr:uid="{00000000-0005-0000-0000-00000CA60000}"/>
    <cellStyle name="Normal 3 4 4 7 5" xfId="42518" xr:uid="{00000000-0005-0000-0000-00000DA60000}"/>
    <cellStyle name="Normal 3 4 4 7 5 2" xfId="42519" xr:uid="{00000000-0005-0000-0000-00000EA60000}"/>
    <cellStyle name="Normal 3 4 4 7 5 3" xfId="42520" xr:uid="{00000000-0005-0000-0000-00000FA60000}"/>
    <cellStyle name="Normal 3 4 4 7 6" xfId="42521" xr:uid="{00000000-0005-0000-0000-000010A60000}"/>
    <cellStyle name="Normal 3 4 4 7 6 2" xfId="42522" xr:uid="{00000000-0005-0000-0000-000011A60000}"/>
    <cellStyle name="Normal 3 4 4 7 6 3" xfId="42523" xr:uid="{00000000-0005-0000-0000-000012A60000}"/>
    <cellStyle name="Normal 3 4 4 7 7" xfId="42524" xr:uid="{00000000-0005-0000-0000-000013A60000}"/>
    <cellStyle name="Normal 3 4 4 7 7 2" xfId="42525" xr:uid="{00000000-0005-0000-0000-000014A60000}"/>
    <cellStyle name="Normal 3 4 4 7 7 3" xfId="42526" xr:uid="{00000000-0005-0000-0000-000015A60000}"/>
    <cellStyle name="Normal 3 4 4 7 8" xfId="42527" xr:uid="{00000000-0005-0000-0000-000016A60000}"/>
    <cellStyle name="Normal 3 4 4 7 8 2" xfId="42528" xr:uid="{00000000-0005-0000-0000-000017A60000}"/>
    <cellStyle name="Normal 3 4 4 7 8 3" xfId="42529" xr:uid="{00000000-0005-0000-0000-000018A60000}"/>
    <cellStyle name="Normal 3 4 4 7 9" xfId="42530" xr:uid="{00000000-0005-0000-0000-000019A60000}"/>
    <cellStyle name="Normal 3 4 4 7 9 2" xfId="42531" xr:uid="{00000000-0005-0000-0000-00001AA60000}"/>
    <cellStyle name="Normal 3 4 4 7 9 3" xfId="42532" xr:uid="{00000000-0005-0000-0000-00001BA60000}"/>
    <cellStyle name="Normal 3 4 4 8" xfId="42533" xr:uid="{00000000-0005-0000-0000-00001CA60000}"/>
    <cellStyle name="Normal 3 4 4 8 10" xfId="42534" xr:uid="{00000000-0005-0000-0000-00001DA60000}"/>
    <cellStyle name="Normal 3 4 4 8 10 2" xfId="42535" xr:uid="{00000000-0005-0000-0000-00001EA60000}"/>
    <cellStyle name="Normal 3 4 4 8 10 3" xfId="42536" xr:uid="{00000000-0005-0000-0000-00001FA60000}"/>
    <cellStyle name="Normal 3 4 4 8 11" xfId="42537" xr:uid="{00000000-0005-0000-0000-000020A60000}"/>
    <cellStyle name="Normal 3 4 4 8 11 2" xfId="42538" xr:uid="{00000000-0005-0000-0000-000021A60000}"/>
    <cellStyle name="Normal 3 4 4 8 11 3" xfId="42539" xr:uid="{00000000-0005-0000-0000-000022A60000}"/>
    <cellStyle name="Normal 3 4 4 8 12" xfId="42540" xr:uid="{00000000-0005-0000-0000-000023A60000}"/>
    <cellStyle name="Normal 3 4 4 8 12 2" xfId="42541" xr:uid="{00000000-0005-0000-0000-000024A60000}"/>
    <cellStyle name="Normal 3 4 4 8 12 3" xfId="42542" xr:uid="{00000000-0005-0000-0000-000025A60000}"/>
    <cellStyle name="Normal 3 4 4 8 13" xfId="42543" xr:uid="{00000000-0005-0000-0000-000026A60000}"/>
    <cellStyle name="Normal 3 4 4 8 13 2" xfId="42544" xr:uid="{00000000-0005-0000-0000-000027A60000}"/>
    <cellStyle name="Normal 3 4 4 8 13 3" xfId="42545" xr:uid="{00000000-0005-0000-0000-000028A60000}"/>
    <cellStyle name="Normal 3 4 4 8 14" xfId="42546" xr:uid="{00000000-0005-0000-0000-000029A60000}"/>
    <cellStyle name="Normal 3 4 4 8 14 2" xfId="42547" xr:uid="{00000000-0005-0000-0000-00002AA60000}"/>
    <cellStyle name="Normal 3 4 4 8 14 3" xfId="42548" xr:uid="{00000000-0005-0000-0000-00002BA60000}"/>
    <cellStyle name="Normal 3 4 4 8 15" xfId="42549" xr:uid="{00000000-0005-0000-0000-00002CA60000}"/>
    <cellStyle name="Normal 3 4 4 8 15 2" xfId="42550" xr:uid="{00000000-0005-0000-0000-00002DA60000}"/>
    <cellStyle name="Normal 3 4 4 8 15 3" xfId="42551" xr:uid="{00000000-0005-0000-0000-00002EA60000}"/>
    <cellStyle name="Normal 3 4 4 8 16" xfId="42552" xr:uid="{00000000-0005-0000-0000-00002FA60000}"/>
    <cellStyle name="Normal 3 4 4 8 17" xfId="42553" xr:uid="{00000000-0005-0000-0000-000030A60000}"/>
    <cellStyle name="Normal 3 4 4 8 2" xfId="42554" xr:uid="{00000000-0005-0000-0000-000031A60000}"/>
    <cellStyle name="Normal 3 4 4 8 2 10" xfId="42555" xr:uid="{00000000-0005-0000-0000-000032A60000}"/>
    <cellStyle name="Normal 3 4 4 8 2 10 2" xfId="42556" xr:uid="{00000000-0005-0000-0000-000033A60000}"/>
    <cellStyle name="Normal 3 4 4 8 2 10 3" xfId="42557" xr:uid="{00000000-0005-0000-0000-000034A60000}"/>
    <cellStyle name="Normal 3 4 4 8 2 11" xfId="42558" xr:uid="{00000000-0005-0000-0000-000035A60000}"/>
    <cellStyle name="Normal 3 4 4 8 2 11 2" xfId="42559" xr:uid="{00000000-0005-0000-0000-000036A60000}"/>
    <cellStyle name="Normal 3 4 4 8 2 11 3" xfId="42560" xr:uid="{00000000-0005-0000-0000-000037A60000}"/>
    <cellStyle name="Normal 3 4 4 8 2 12" xfId="42561" xr:uid="{00000000-0005-0000-0000-000038A60000}"/>
    <cellStyle name="Normal 3 4 4 8 2 12 2" xfId="42562" xr:uid="{00000000-0005-0000-0000-000039A60000}"/>
    <cellStyle name="Normal 3 4 4 8 2 12 3" xfId="42563" xr:uid="{00000000-0005-0000-0000-00003AA60000}"/>
    <cellStyle name="Normal 3 4 4 8 2 13" xfId="42564" xr:uid="{00000000-0005-0000-0000-00003BA60000}"/>
    <cellStyle name="Normal 3 4 4 8 2 13 2" xfId="42565" xr:uid="{00000000-0005-0000-0000-00003CA60000}"/>
    <cellStyle name="Normal 3 4 4 8 2 13 3" xfId="42566" xr:uid="{00000000-0005-0000-0000-00003DA60000}"/>
    <cellStyle name="Normal 3 4 4 8 2 14" xfId="42567" xr:uid="{00000000-0005-0000-0000-00003EA60000}"/>
    <cellStyle name="Normal 3 4 4 8 2 14 2" xfId="42568" xr:uid="{00000000-0005-0000-0000-00003FA60000}"/>
    <cellStyle name="Normal 3 4 4 8 2 14 3" xfId="42569" xr:uid="{00000000-0005-0000-0000-000040A60000}"/>
    <cellStyle name="Normal 3 4 4 8 2 15" xfId="42570" xr:uid="{00000000-0005-0000-0000-000041A60000}"/>
    <cellStyle name="Normal 3 4 4 8 2 16" xfId="42571" xr:uid="{00000000-0005-0000-0000-000042A60000}"/>
    <cellStyle name="Normal 3 4 4 8 2 2" xfId="42572" xr:uid="{00000000-0005-0000-0000-000043A60000}"/>
    <cellStyle name="Normal 3 4 4 8 2 2 2" xfId="42573" xr:uid="{00000000-0005-0000-0000-000044A60000}"/>
    <cellStyle name="Normal 3 4 4 8 2 2 3" xfId="42574" xr:uid="{00000000-0005-0000-0000-000045A60000}"/>
    <cellStyle name="Normal 3 4 4 8 2 3" xfId="42575" xr:uid="{00000000-0005-0000-0000-000046A60000}"/>
    <cellStyle name="Normal 3 4 4 8 2 3 2" xfId="42576" xr:uid="{00000000-0005-0000-0000-000047A60000}"/>
    <cellStyle name="Normal 3 4 4 8 2 3 3" xfId="42577" xr:uid="{00000000-0005-0000-0000-000048A60000}"/>
    <cellStyle name="Normal 3 4 4 8 2 4" xfId="42578" xr:uid="{00000000-0005-0000-0000-000049A60000}"/>
    <cellStyle name="Normal 3 4 4 8 2 4 2" xfId="42579" xr:uid="{00000000-0005-0000-0000-00004AA60000}"/>
    <cellStyle name="Normal 3 4 4 8 2 4 3" xfId="42580" xr:uid="{00000000-0005-0000-0000-00004BA60000}"/>
    <cellStyle name="Normal 3 4 4 8 2 5" xfId="42581" xr:uid="{00000000-0005-0000-0000-00004CA60000}"/>
    <cellStyle name="Normal 3 4 4 8 2 5 2" xfId="42582" xr:uid="{00000000-0005-0000-0000-00004DA60000}"/>
    <cellStyle name="Normal 3 4 4 8 2 5 3" xfId="42583" xr:uid="{00000000-0005-0000-0000-00004EA60000}"/>
    <cellStyle name="Normal 3 4 4 8 2 6" xfId="42584" xr:uid="{00000000-0005-0000-0000-00004FA60000}"/>
    <cellStyle name="Normal 3 4 4 8 2 6 2" xfId="42585" xr:uid="{00000000-0005-0000-0000-000050A60000}"/>
    <cellStyle name="Normal 3 4 4 8 2 6 3" xfId="42586" xr:uid="{00000000-0005-0000-0000-000051A60000}"/>
    <cellStyle name="Normal 3 4 4 8 2 7" xfId="42587" xr:uid="{00000000-0005-0000-0000-000052A60000}"/>
    <cellStyle name="Normal 3 4 4 8 2 7 2" xfId="42588" xr:uid="{00000000-0005-0000-0000-000053A60000}"/>
    <cellStyle name="Normal 3 4 4 8 2 7 3" xfId="42589" xr:uid="{00000000-0005-0000-0000-000054A60000}"/>
    <cellStyle name="Normal 3 4 4 8 2 8" xfId="42590" xr:uid="{00000000-0005-0000-0000-000055A60000}"/>
    <cellStyle name="Normal 3 4 4 8 2 8 2" xfId="42591" xr:uid="{00000000-0005-0000-0000-000056A60000}"/>
    <cellStyle name="Normal 3 4 4 8 2 8 3" xfId="42592" xr:uid="{00000000-0005-0000-0000-000057A60000}"/>
    <cellStyle name="Normal 3 4 4 8 2 9" xfId="42593" xr:uid="{00000000-0005-0000-0000-000058A60000}"/>
    <cellStyle name="Normal 3 4 4 8 2 9 2" xfId="42594" xr:uid="{00000000-0005-0000-0000-000059A60000}"/>
    <cellStyle name="Normal 3 4 4 8 2 9 3" xfId="42595" xr:uid="{00000000-0005-0000-0000-00005AA60000}"/>
    <cellStyle name="Normal 3 4 4 8 3" xfId="42596" xr:uid="{00000000-0005-0000-0000-00005BA60000}"/>
    <cellStyle name="Normal 3 4 4 8 3 2" xfId="42597" xr:uid="{00000000-0005-0000-0000-00005CA60000}"/>
    <cellStyle name="Normal 3 4 4 8 3 3" xfId="42598" xr:uid="{00000000-0005-0000-0000-00005DA60000}"/>
    <cellStyle name="Normal 3 4 4 8 4" xfId="42599" xr:uid="{00000000-0005-0000-0000-00005EA60000}"/>
    <cellStyle name="Normal 3 4 4 8 4 2" xfId="42600" xr:uid="{00000000-0005-0000-0000-00005FA60000}"/>
    <cellStyle name="Normal 3 4 4 8 4 3" xfId="42601" xr:uid="{00000000-0005-0000-0000-000060A60000}"/>
    <cellStyle name="Normal 3 4 4 8 5" xfId="42602" xr:uid="{00000000-0005-0000-0000-000061A60000}"/>
    <cellStyle name="Normal 3 4 4 8 5 2" xfId="42603" xr:uid="{00000000-0005-0000-0000-000062A60000}"/>
    <cellStyle name="Normal 3 4 4 8 5 3" xfId="42604" xr:uid="{00000000-0005-0000-0000-000063A60000}"/>
    <cellStyle name="Normal 3 4 4 8 6" xfId="42605" xr:uid="{00000000-0005-0000-0000-000064A60000}"/>
    <cellStyle name="Normal 3 4 4 8 6 2" xfId="42606" xr:uid="{00000000-0005-0000-0000-000065A60000}"/>
    <cellStyle name="Normal 3 4 4 8 6 3" xfId="42607" xr:uid="{00000000-0005-0000-0000-000066A60000}"/>
    <cellStyle name="Normal 3 4 4 8 7" xfId="42608" xr:uid="{00000000-0005-0000-0000-000067A60000}"/>
    <cellStyle name="Normal 3 4 4 8 7 2" xfId="42609" xr:uid="{00000000-0005-0000-0000-000068A60000}"/>
    <cellStyle name="Normal 3 4 4 8 7 3" xfId="42610" xr:uid="{00000000-0005-0000-0000-000069A60000}"/>
    <cellStyle name="Normal 3 4 4 8 8" xfId="42611" xr:uid="{00000000-0005-0000-0000-00006AA60000}"/>
    <cellStyle name="Normal 3 4 4 8 8 2" xfId="42612" xr:uid="{00000000-0005-0000-0000-00006BA60000}"/>
    <cellStyle name="Normal 3 4 4 8 8 3" xfId="42613" xr:uid="{00000000-0005-0000-0000-00006CA60000}"/>
    <cellStyle name="Normal 3 4 4 8 9" xfId="42614" xr:uid="{00000000-0005-0000-0000-00006DA60000}"/>
    <cellStyle name="Normal 3 4 4 8 9 2" xfId="42615" xr:uid="{00000000-0005-0000-0000-00006EA60000}"/>
    <cellStyle name="Normal 3 4 4 8 9 3" xfId="42616" xr:uid="{00000000-0005-0000-0000-00006FA60000}"/>
    <cellStyle name="Normal 3 4 4 9" xfId="42617" xr:uid="{00000000-0005-0000-0000-000070A60000}"/>
    <cellStyle name="Normal 3 4 4 9 10" xfId="42618" xr:uid="{00000000-0005-0000-0000-000071A60000}"/>
    <cellStyle name="Normal 3 4 4 9 10 2" xfId="42619" xr:uid="{00000000-0005-0000-0000-000072A60000}"/>
    <cellStyle name="Normal 3 4 4 9 10 3" xfId="42620" xr:uid="{00000000-0005-0000-0000-000073A60000}"/>
    <cellStyle name="Normal 3 4 4 9 11" xfId="42621" xr:uid="{00000000-0005-0000-0000-000074A60000}"/>
    <cellStyle name="Normal 3 4 4 9 11 2" xfId="42622" xr:uid="{00000000-0005-0000-0000-000075A60000}"/>
    <cellStyle name="Normal 3 4 4 9 11 3" xfId="42623" xr:uid="{00000000-0005-0000-0000-000076A60000}"/>
    <cellStyle name="Normal 3 4 4 9 12" xfId="42624" xr:uid="{00000000-0005-0000-0000-000077A60000}"/>
    <cellStyle name="Normal 3 4 4 9 12 2" xfId="42625" xr:uid="{00000000-0005-0000-0000-000078A60000}"/>
    <cellStyle name="Normal 3 4 4 9 12 3" xfId="42626" xr:uid="{00000000-0005-0000-0000-000079A60000}"/>
    <cellStyle name="Normal 3 4 4 9 13" xfId="42627" xr:uid="{00000000-0005-0000-0000-00007AA60000}"/>
    <cellStyle name="Normal 3 4 4 9 13 2" xfId="42628" xr:uid="{00000000-0005-0000-0000-00007BA60000}"/>
    <cellStyle name="Normal 3 4 4 9 13 3" xfId="42629" xr:uid="{00000000-0005-0000-0000-00007CA60000}"/>
    <cellStyle name="Normal 3 4 4 9 14" xfId="42630" xr:uid="{00000000-0005-0000-0000-00007DA60000}"/>
    <cellStyle name="Normal 3 4 4 9 14 2" xfId="42631" xr:uid="{00000000-0005-0000-0000-00007EA60000}"/>
    <cellStyle name="Normal 3 4 4 9 14 3" xfId="42632" xr:uid="{00000000-0005-0000-0000-00007FA60000}"/>
    <cellStyle name="Normal 3 4 4 9 15" xfId="42633" xr:uid="{00000000-0005-0000-0000-000080A60000}"/>
    <cellStyle name="Normal 3 4 4 9 16" xfId="42634" xr:uid="{00000000-0005-0000-0000-000081A60000}"/>
    <cellStyle name="Normal 3 4 4 9 2" xfId="42635" xr:uid="{00000000-0005-0000-0000-000082A60000}"/>
    <cellStyle name="Normal 3 4 4 9 2 2" xfId="42636" xr:uid="{00000000-0005-0000-0000-000083A60000}"/>
    <cellStyle name="Normal 3 4 4 9 2 3" xfId="42637" xr:uid="{00000000-0005-0000-0000-000084A60000}"/>
    <cellStyle name="Normal 3 4 4 9 3" xfId="42638" xr:uid="{00000000-0005-0000-0000-000085A60000}"/>
    <cellStyle name="Normal 3 4 4 9 3 2" xfId="42639" xr:uid="{00000000-0005-0000-0000-000086A60000}"/>
    <cellStyle name="Normal 3 4 4 9 3 3" xfId="42640" xr:uid="{00000000-0005-0000-0000-000087A60000}"/>
    <cellStyle name="Normal 3 4 4 9 4" xfId="42641" xr:uid="{00000000-0005-0000-0000-000088A60000}"/>
    <cellStyle name="Normal 3 4 4 9 4 2" xfId="42642" xr:uid="{00000000-0005-0000-0000-000089A60000}"/>
    <cellStyle name="Normal 3 4 4 9 4 3" xfId="42643" xr:uid="{00000000-0005-0000-0000-00008AA60000}"/>
    <cellStyle name="Normal 3 4 4 9 5" xfId="42644" xr:uid="{00000000-0005-0000-0000-00008BA60000}"/>
    <cellStyle name="Normal 3 4 4 9 5 2" xfId="42645" xr:uid="{00000000-0005-0000-0000-00008CA60000}"/>
    <cellStyle name="Normal 3 4 4 9 5 3" xfId="42646" xr:uid="{00000000-0005-0000-0000-00008DA60000}"/>
    <cellStyle name="Normal 3 4 4 9 6" xfId="42647" xr:uid="{00000000-0005-0000-0000-00008EA60000}"/>
    <cellStyle name="Normal 3 4 4 9 6 2" xfId="42648" xr:uid="{00000000-0005-0000-0000-00008FA60000}"/>
    <cellStyle name="Normal 3 4 4 9 6 3" xfId="42649" xr:uid="{00000000-0005-0000-0000-000090A60000}"/>
    <cellStyle name="Normal 3 4 4 9 7" xfId="42650" xr:uid="{00000000-0005-0000-0000-000091A60000}"/>
    <cellStyle name="Normal 3 4 4 9 7 2" xfId="42651" xr:uid="{00000000-0005-0000-0000-000092A60000}"/>
    <cellStyle name="Normal 3 4 4 9 7 3" xfId="42652" xr:uid="{00000000-0005-0000-0000-000093A60000}"/>
    <cellStyle name="Normal 3 4 4 9 8" xfId="42653" xr:uid="{00000000-0005-0000-0000-000094A60000}"/>
    <cellStyle name="Normal 3 4 4 9 8 2" xfId="42654" xr:uid="{00000000-0005-0000-0000-000095A60000}"/>
    <cellStyle name="Normal 3 4 4 9 8 3" xfId="42655" xr:uid="{00000000-0005-0000-0000-000096A60000}"/>
    <cellStyle name="Normal 3 4 4 9 9" xfId="42656" xr:uid="{00000000-0005-0000-0000-000097A60000}"/>
    <cellStyle name="Normal 3 4 4 9 9 2" xfId="42657" xr:uid="{00000000-0005-0000-0000-000098A60000}"/>
    <cellStyle name="Normal 3 4 4 9 9 3" xfId="42658" xr:uid="{00000000-0005-0000-0000-000099A60000}"/>
    <cellStyle name="Normal 3 4 5" xfId="42659" xr:uid="{00000000-0005-0000-0000-00009AA60000}"/>
    <cellStyle name="Normal 3 4 5 10" xfId="42660" xr:uid="{00000000-0005-0000-0000-00009BA60000}"/>
    <cellStyle name="Normal 3 4 5 10 10" xfId="42661" xr:uid="{00000000-0005-0000-0000-00009CA60000}"/>
    <cellStyle name="Normal 3 4 5 10 10 2" xfId="42662" xr:uid="{00000000-0005-0000-0000-00009DA60000}"/>
    <cellStyle name="Normal 3 4 5 10 10 3" xfId="42663" xr:uid="{00000000-0005-0000-0000-00009EA60000}"/>
    <cellStyle name="Normal 3 4 5 10 11" xfId="42664" xr:uid="{00000000-0005-0000-0000-00009FA60000}"/>
    <cellStyle name="Normal 3 4 5 10 11 2" xfId="42665" xr:uid="{00000000-0005-0000-0000-0000A0A60000}"/>
    <cellStyle name="Normal 3 4 5 10 11 3" xfId="42666" xr:uid="{00000000-0005-0000-0000-0000A1A60000}"/>
    <cellStyle name="Normal 3 4 5 10 12" xfId="42667" xr:uid="{00000000-0005-0000-0000-0000A2A60000}"/>
    <cellStyle name="Normal 3 4 5 10 12 2" xfId="42668" xr:uid="{00000000-0005-0000-0000-0000A3A60000}"/>
    <cellStyle name="Normal 3 4 5 10 12 3" xfId="42669" xr:uid="{00000000-0005-0000-0000-0000A4A60000}"/>
    <cellStyle name="Normal 3 4 5 10 13" xfId="42670" xr:uid="{00000000-0005-0000-0000-0000A5A60000}"/>
    <cellStyle name="Normal 3 4 5 10 13 2" xfId="42671" xr:uid="{00000000-0005-0000-0000-0000A6A60000}"/>
    <cellStyle name="Normal 3 4 5 10 13 3" xfId="42672" xr:uid="{00000000-0005-0000-0000-0000A7A60000}"/>
    <cellStyle name="Normal 3 4 5 10 14" xfId="42673" xr:uid="{00000000-0005-0000-0000-0000A8A60000}"/>
    <cellStyle name="Normal 3 4 5 10 14 2" xfId="42674" xr:uid="{00000000-0005-0000-0000-0000A9A60000}"/>
    <cellStyle name="Normal 3 4 5 10 14 3" xfId="42675" xr:uid="{00000000-0005-0000-0000-0000AAA60000}"/>
    <cellStyle name="Normal 3 4 5 10 15" xfId="42676" xr:uid="{00000000-0005-0000-0000-0000ABA60000}"/>
    <cellStyle name="Normal 3 4 5 10 16" xfId="42677" xr:uid="{00000000-0005-0000-0000-0000ACA60000}"/>
    <cellStyle name="Normal 3 4 5 10 2" xfId="42678" xr:uid="{00000000-0005-0000-0000-0000ADA60000}"/>
    <cellStyle name="Normal 3 4 5 10 2 2" xfId="42679" xr:uid="{00000000-0005-0000-0000-0000AEA60000}"/>
    <cellStyle name="Normal 3 4 5 10 2 3" xfId="42680" xr:uid="{00000000-0005-0000-0000-0000AFA60000}"/>
    <cellStyle name="Normal 3 4 5 10 3" xfId="42681" xr:uid="{00000000-0005-0000-0000-0000B0A60000}"/>
    <cellStyle name="Normal 3 4 5 10 3 2" xfId="42682" xr:uid="{00000000-0005-0000-0000-0000B1A60000}"/>
    <cellStyle name="Normal 3 4 5 10 3 3" xfId="42683" xr:uid="{00000000-0005-0000-0000-0000B2A60000}"/>
    <cellStyle name="Normal 3 4 5 10 4" xfId="42684" xr:uid="{00000000-0005-0000-0000-0000B3A60000}"/>
    <cellStyle name="Normal 3 4 5 10 4 2" xfId="42685" xr:uid="{00000000-0005-0000-0000-0000B4A60000}"/>
    <cellStyle name="Normal 3 4 5 10 4 3" xfId="42686" xr:uid="{00000000-0005-0000-0000-0000B5A60000}"/>
    <cellStyle name="Normal 3 4 5 10 5" xfId="42687" xr:uid="{00000000-0005-0000-0000-0000B6A60000}"/>
    <cellStyle name="Normal 3 4 5 10 5 2" xfId="42688" xr:uid="{00000000-0005-0000-0000-0000B7A60000}"/>
    <cellStyle name="Normal 3 4 5 10 5 3" xfId="42689" xr:uid="{00000000-0005-0000-0000-0000B8A60000}"/>
    <cellStyle name="Normal 3 4 5 10 6" xfId="42690" xr:uid="{00000000-0005-0000-0000-0000B9A60000}"/>
    <cellStyle name="Normal 3 4 5 10 6 2" xfId="42691" xr:uid="{00000000-0005-0000-0000-0000BAA60000}"/>
    <cellStyle name="Normal 3 4 5 10 6 3" xfId="42692" xr:uid="{00000000-0005-0000-0000-0000BBA60000}"/>
    <cellStyle name="Normal 3 4 5 10 7" xfId="42693" xr:uid="{00000000-0005-0000-0000-0000BCA60000}"/>
    <cellStyle name="Normal 3 4 5 10 7 2" xfId="42694" xr:uid="{00000000-0005-0000-0000-0000BDA60000}"/>
    <cellStyle name="Normal 3 4 5 10 7 3" xfId="42695" xr:uid="{00000000-0005-0000-0000-0000BEA60000}"/>
    <cellStyle name="Normal 3 4 5 10 8" xfId="42696" xr:uid="{00000000-0005-0000-0000-0000BFA60000}"/>
    <cellStyle name="Normal 3 4 5 10 8 2" xfId="42697" xr:uid="{00000000-0005-0000-0000-0000C0A60000}"/>
    <cellStyle name="Normal 3 4 5 10 8 3" xfId="42698" xr:uid="{00000000-0005-0000-0000-0000C1A60000}"/>
    <cellStyle name="Normal 3 4 5 10 9" xfId="42699" xr:uid="{00000000-0005-0000-0000-0000C2A60000}"/>
    <cellStyle name="Normal 3 4 5 10 9 2" xfId="42700" xr:uid="{00000000-0005-0000-0000-0000C3A60000}"/>
    <cellStyle name="Normal 3 4 5 10 9 3" xfId="42701" xr:uid="{00000000-0005-0000-0000-0000C4A60000}"/>
    <cellStyle name="Normal 3 4 5 11" xfId="42702" xr:uid="{00000000-0005-0000-0000-0000C5A60000}"/>
    <cellStyle name="Normal 3 4 5 11 10" xfId="42703" xr:uid="{00000000-0005-0000-0000-0000C6A60000}"/>
    <cellStyle name="Normal 3 4 5 11 10 2" xfId="42704" xr:uid="{00000000-0005-0000-0000-0000C7A60000}"/>
    <cellStyle name="Normal 3 4 5 11 10 3" xfId="42705" xr:uid="{00000000-0005-0000-0000-0000C8A60000}"/>
    <cellStyle name="Normal 3 4 5 11 11" xfId="42706" xr:uid="{00000000-0005-0000-0000-0000C9A60000}"/>
    <cellStyle name="Normal 3 4 5 11 11 2" xfId="42707" xr:uid="{00000000-0005-0000-0000-0000CAA60000}"/>
    <cellStyle name="Normal 3 4 5 11 11 3" xfId="42708" xr:uid="{00000000-0005-0000-0000-0000CBA60000}"/>
    <cellStyle name="Normal 3 4 5 11 12" xfId="42709" xr:uid="{00000000-0005-0000-0000-0000CCA60000}"/>
    <cellStyle name="Normal 3 4 5 11 12 2" xfId="42710" xr:uid="{00000000-0005-0000-0000-0000CDA60000}"/>
    <cellStyle name="Normal 3 4 5 11 12 3" xfId="42711" xr:uid="{00000000-0005-0000-0000-0000CEA60000}"/>
    <cellStyle name="Normal 3 4 5 11 13" xfId="42712" xr:uid="{00000000-0005-0000-0000-0000CFA60000}"/>
    <cellStyle name="Normal 3 4 5 11 13 2" xfId="42713" xr:uid="{00000000-0005-0000-0000-0000D0A60000}"/>
    <cellStyle name="Normal 3 4 5 11 13 3" xfId="42714" xr:uid="{00000000-0005-0000-0000-0000D1A60000}"/>
    <cellStyle name="Normal 3 4 5 11 14" xfId="42715" xr:uid="{00000000-0005-0000-0000-0000D2A60000}"/>
    <cellStyle name="Normal 3 4 5 11 14 2" xfId="42716" xr:uid="{00000000-0005-0000-0000-0000D3A60000}"/>
    <cellStyle name="Normal 3 4 5 11 14 3" xfId="42717" xr:uid="{00000000-0005-0000-0000-0000D4A60000}"/>
    <cellStyle name="Normal 3 4 5 11 15" xfId="42718" xr:uid="{00000000-0005-0000-0000-0000D5A60000}"/>
    <cellStyle name="Normal 3 4 5 11 16" xfId="42719" xr:uid="{00000000-0005-0000-0000-0000D6A60000}"/>
    <cellStyle name="Normal 3 4 5 11 2" xfId="42720" xr:uid="{00000000-0005-0000-0000-0000D7A60000}"/>
    <cellStyle name="Normal 3 4 5 11 2 2" xfId="42721" xr:uid="{00000000-0005-0000-0000-0000D8A60000}"/>
    <cellStyle name="Normal 3 4 5 11 2 3" xfId="42722" xr:uid="{00000000-0005-0000-0000-0000D9A60000}"/>
    <cellStyle name="Normal 3 4 5 11 3" xfId="42723" xr:uid="{00000000-0005-0000-0000-0000DAA60000}"/>
    <cellStyle name="Normal 3 4 5 11 3 2" xfId="42724" xr:uid="{00000000-0005-0000-0000-0000DBA60000}"/>
    <cellStyle name="Normal 3 4 5 11 3 3" xfId="42725" xr:uid="{00000000-0005-0000-0000-0000DCA60000}"/>
    <cellStyle name="Normal 3 4 5 11 4" xfId="42726" xr:uid="{00000000-0005-0000-0000-0000DDA60000}"/>
    <cellStyle name="Normal 3 4 5 11 4 2" xfId="42727" xr:uid="{00000000-0005-0000-0000-0000DEA60000}"/>
    <cellStyle name="Normal 3 4 5 11 4 3" xfId="42728" xr:uid="{00000000-0005-0000-0000-0000DFA60000}"/>
    <cellStyle name="Normal 3 4 5 11 5" xfId="42729" xr:uid="{00000000-0005-0000-0000-0000E0A60000}"/>
    <cellStyle name="Normal 3 4 5 11 5 2" xfId="42730" xr:uid="{00000000-0005-0000-0000-0000E1A60000}"/>
    <cellStyle name="Normal 3 4 5 11 5 3" xfId="42731" xr:uid="{00000000-0005-0000-0000-0000E2A60000}"/>
    <cellStyle name="Normal 3 4 5 11 6" xfId="42732" xr:uid="{00000000-0005-0000-0000-0000E3A60000}"/>
    <cellStyle name="Normal 3 4 5 11 6 2" xfId="42733" xr:uid="{00000000-0005-0000-0000-0000E4A60000}"/>
    <cellStyle name="Normal 3 4 5 11 6 3" xfId="42734" xr:uid="{00000000-0005-0000-0000-0000E5A60000}"/>
    <cellStyle name="Normal 3 4 5 11 7" xfId="42735" xr:uid="{00000000-0005-0000-0000-0000E6A60000}"/>
    <cellStyle name="Normal 3 4 5 11 7 2" xfId="42736" xr:uid="{00000000-0005-0000-0000-0000E7A60000}"/>
    <cellStyle name="Normal 3 4 5 11 7 3" xfId="42737" xr:uid="{00000000-0005-0000-0000-0000E8A60000}"/>
    <cellStyle name="Normal 3 4 5 11 8" xfId="42738" xr:uid="{00000000-0005-0000-0000-0000E9A60000}"/>
    <cellStyle name="Normal 3 4 5 11 8 2" xfId="42739" xr:uid="{00000000-0005-0000-0000-0000EAA60000}"/>
    <cellStyle name="Normal 3 4 5 11 8 3" xfId="42740" xr:uid="{00000000-0005-0000-0000-0000EBA60000}"/>
    <cellStyle name="Normal 3 4 5 11 9" xfId="42741" xr:uid="{00000000-0005-0000-0000-0000ECA60000}"/>
    <cellStyle name="Normal 3 4 5 11 9 2" xfId="42742" xr:uid="{00000000-0005-0000-0000-0000EDA60000}"/>
    <cellStyle name="Normal 3 4 5 11 9 3" xfId="42743" xr:uid="{00000000-0005-0000-0000-0000EEA60000}"/>
    <cellStyle name="Normal 3 4 5 12" xfId="42744" xr:uid="{00000000-0005-0000-0000-0000EFA60000}"/>
    <cellStyle name="Normal 3 4 5 12 10" xfId="42745" xr:uid="{00000000-0005-0000-0000-0000F0A60000}"/>
    <cellStyle name="Normal 3 4 5 12 10 2" xfId="42746" xr:uid="{00000000-0005-0000-0000-0000F1A60000}"/>
    <cellStyle name="Normal 3 4 5 12 10 3" xfId="42747" xr:uid="{00000000-0005-0000-0000-0000F2A60000}"/>
    <cellStyle name="Normal 3 4 5 12 11" xfId="42748" xr:uid="{00000000-0005-0000-0000-0000F3A60000}"/>
    <cellStyle name="Normal 3 4 5 12 11 2" xfId="42749" xr:uid="{00000000-0005-0000-0000-0000F4A60000}"/>
    <cellStyle name="Normal 3 4 5 12 11 3" xfId="42750" xr:uid="{00000000-0005-0000-0000-0000F5A60000}"/>
    <cellStyle name="Normal 3 4 5 12 12" xfId="42751" xr:uid="{00000000-0005-0000-0000-0000F6A60000}"/>
    <cellStyle name="Normal 3 4 5 12 12 2" xfId="42752" xr:uid="{00000000-0005-0000-0000-0000F7A60000}"/>
    <cellStyle name="Normal 3 4 5 12 12 3" xfId="42753" xr:uid="{00000000-0005-0000-0000-0000F8A60000}"/>
    <cellStyle name="Normal 3 4 5 12 13" xfId="42754" xr:uid="{00000000-0005-0000-0000-0000F9A60000}"/>
    <cellStyle name="Normal 3 4 5 12 13 2" xfId="42755" xr:uid="{00000000-0005-0000-0000-0000FAA60000}"/>
    <cellStyle name="Normal 3 4 5 12 13 3" xfId="42756" xr:uid="{00000000-0005-0000-0000-0000FBA60000}"/>
    <cellStyle name="Normal 3 4 5 12 14" xfId="42757" xr:uid="{00000000-0005-0000-0000-0000FCA60000}"/>
    <cellStyle name="Normal 3 4 5 12 14 2" xfId="42758" xr:uid="{00000000-0005-0000-0000-0000FDA60000}"/>
    <cellStyle name="Normal 3 4 5 12 14 3" xfId="42759" xr:uid="{00000000-0005-0000-0000-0000FEA60000}"/>
    <cellStyle name="Normal 3 4 5 12 15" xfId="42760" xr:uid="{00000000-0005-0000-0000-0000FFA60000}"/>
    <cellStyle name="Normal 3 4 5 12 16" xfId="42761" xr:uid="{00000000-0005-0000-0000-000000A70000}"/>
    <cellStyle name="Normal 3 4 5 12 2" xfId="42762" xr:uid="{00000000-0005-0000-0000-000001A70000}"/>
    <cellStyle name="Normal 3 4 5 12 2 2" xfId="42763" xr:uid="{00000000-0005-0000-0000-000002A70000}"/>
    <cellStyle name="Normal 3 4 5 12 2 3" xfId="42764" xr:uid="{00000000-0005-0000-0000-000003A70000}"/>
    <cellStyle name="Normal 3 4 5 12 3" xfId="42765" xr:uid="{00000000-0005-0000-0000-000004A70000}"/>
    <cellStyle name="Normal 3 4 5 12 3 2" xfId="42766" xr:uid="{00000000-0005-0000-0000-000005A70000}"/>
    <cellStyle name="Normal 3 4 5 12 3 3" xfId="42767" xr:uid="{00000000-0005-0000-0000-000006A70000}"/>
    <cellStyle name="Normal 3 4 5 12 4" xfId="42768" xr:uid="{00000000-0005-0000-0000-000007A70000}"/>
    <cellStyle name="Normal 3 4 5 12 4 2" xfId="42769" xr:uid="{00000000-0005-0000-0000-000008A70000}"/>
    <cellStyle name="Normal 3 4 5 12 4 3" xfId="42770" xr:uid="{00000000-0005-0000-0000-000009A70000}"/>
    <cellStyle name="Normal 3 4 5 12 5" xfId="42771" xr:uid="{00000000-0005-0000-0000-00000AA70000}"/>
    <cellStyle name="Normal 3 4 5 12 5 2" xfId="42772" xr:uid="{00000000-0005-0000-0000-00000BA70000}"/>
    <cellStyle name="Normal 3 4 5 12 5 3" xfId="42773" xr:uid="{00000000-0005-0000-0000-00000CA70000}"/>
    <cellStyle name="Normal 3 4 5 12 6" xfId="42774" xr:uid="{00000000-0005-0000-0000-00000DA70000}"/>
    <cellStyle name="Normal 3 4 5 12 6 2" xfId="42775" xr:uid="{00000000-0005-0000-0000-00000EA70000}"/>
    <cellStyle name="Normal 3 4 5 12 6 3" xfId="42776" xr:uid="{00000000-0005-0000-0000-00000FA70000}"/>
    <cellStyle name="Normal 3 4 5 12 7" xfId="42777" xr:uid="{00000000-0005-0000-0000-000010A70000}"/>
    <cellStyle name="Normal 3 4 5 12 7 2" xfId="42778" xr:uid="{00000000-0005-0000-0000-000011A70000}"/>
    <cellStyle name="Normal 3 4 5 12 7 3" xfId="42779" xr:uid="{00000000-0005-0000-0000-000012A70000}"/>
    <cellStyle name="Normal 3 4 5 12 8" xfId="42780" xr:uid="{00000000-0005-0000-0000-000013A70000}"/>
    <cellStyle name="Normal 3 4 5 12 8 2" xfId="42781" xr:uid="{00000000-0005-0000-0000-000014A70000}"/>
    <cellStyle name="Normal 3 4 5 12 8 3" xfId="42782" xr:uid="{00000000-0005-0000-0000-000015A70000}"/>
    <cellStyle name="Normal 3 4 5 12 9" xfId="42783" xr:uid="{00000000-0005-0000-0000-000016A70000}"/>
    <cellStyle name="Normal 3 4 5 12 9 2" xfId="42784" xr:uid="{00000000-0005-0000-0000-000017A70000}"/>
    <cellStyle name="Normal 3 4 5 12 9 3" xfId="42785" xr:uid="{00000000-0005-0000-0000-000018A70000}"/>
    <cellStyle name="Normal 3 4 5 13" xfId="42786" xr:uid="{00000000-0005-0000-0000-000019A70000}"/>
    <cellStyle name="Normal 3 4 5 13 10" xfId="42787" xr:uid="{00000000-0005-0000-0000-00001AA70000}"/>
    <cellStyle name="Normal 3 4 5 13 10 2" xfId="42788" xr:uid="{00000000-0005-0000-0000-00001BA70000}"/>
    <cellStyle name="Normal 3 4 5 13 10 3" xfId="42789" xr:uid="{00000000-0005-0000-0000-00001CA70000}"/>
    <cellStyle name="Normal 3 4 5 13 11" xfId="42790" xr:uid="{00000000-0005-0000-0000-00001DA70000}"/>
    <cellStyle name="Normal 3 4 5 13 11 2" xfId="42791" xr:uid="{00000000-0005-0000-0000-00001EA70000}"/>
    <cellStyle name="Normal 3 4 5 13 11 3" xfId="42792" xr:uid="{00000000-0005-0000-0000-00001FA70000}"/>
    <cellStyle name="Normal 3 4 5 13 12" xfId="42793" xr:uid="{00000000-0005-0000-0000-000020A70000}"/>
    <cellStyle name="Normal 3 4 5 13 12 2" xfId="42794" xr:uid="{00000000-0005-0000-0000-000021A70000}"/>
    <cellStyle name="Normal 3 4 5 13 12 3" xfId="42795" xr:uid="{00000000-0005-0000-0000-000022A70000}"/>
    <cellStyle name="Normal 3 4 5 13 13" xfId="42796" xr:uid="{00000000-0005-0000-0000-000023A70000}"/>
    <cellStyle name="Normal 3 4 5 13 13 2" xfId="42797" xr:uid="{00000000-0005-0000-0000-000024A70000}"/>
    <cellStyle name="Normal 3 4 5 13 13 3" xfId="42798" xr:uid="{00000000-0005-0000-0000-000025A70000}"/>
    <cellStyle name="Normal 3 4 5 13 14" xfId="42799" xr:uid="{00000000-0005-0000-0000-000026A70000}"/>
    <cellStyle name="Normal 3 4 5 13 14 2" xfId="42800" xr:uid="{00000000-0005-0000-0000-000027A70000}"/>
    <cellStyle name="Normal 3 4 5 13 14 3" xfId="42801" xr:uid="{00000000-0005-0000-0000-000028A70000}"/>
    <cellStyle name="Normal 3 4 5 13 15" xfId="42802" xr:uid="{00000000-0005-0000-0000-000029A70000}"/>
    <cellStyle name="Normal 3 4 5 13 16" xfId="42803" xr:uid="{00000000-0005-0000-0000-00002AA70000}"/>
    <cellStyle name="Normal 3 4 5 13 2" xfId="42804" xr:uid="{00000000-0005-0000-0000-00002BA70000}"/>
    <cellStyle name="Normal 3 4 5 13 2 2" xfId="42805" xr:uid="{00000000-0005-0000-0000-00002CA70000}"/>
    <cellStyle name="Normal 3 4 5 13 2 3" xfId="42806" xr:uid="{00000000-0005-0000-0000-00002DA70000}"/>
    <cellStyle name="Normal 3 4 5 13 3" xfId="42807" xr:uid="{00000000-0005-0000-0000-00002EA70000}"/>
    <cellStyle name="Normal 3 4 5 13 3 2" xfId="42808" xr:uid="{00000000-0005-0000-0000-00002FA70000}"/>
    <cellStyle name="Normal 3 4 5 13 3 3" xfId="42809" xr:uid="{00000000-0005-0000-0000-000030A70000}"/>
    <cellStyle name="Normal 3 4 5 13 4" xfId="42810" xr:uid="{00000000-0005-0000-0000-000031A70000}"/>
    <cellStyle name="Normal 3 4 5 13 4 2" xfId="42811" xr:uid="{00000000-0005-0000-0000-000032A70000}"/>
    <cellStyle name="Normal 3 4 5 13 4 3" xfId="42812" xr:uid="{00000000-0005-0000-0000-000033A70000}"/>
    <cellStyle name="Normal 3 4 5 13 5" xfId="42813" xr:uid="{00000000-0005-0000-0000-000034A70000}"/>
    <cellStyle name="Normal 3 4 5 13 5 2" xfId="42814" xr:uid="{00000000-0005-0000-0000-000035A70000}"/>
    <cellStyle name="Normal 3 4 5 13 5 3" xfId="42815" xr:uid="{00000000-0005-0000-0000-000036A70000}"/>
    <cellStyle name="Normal 3 4 5 13 6" xfId="42816" xr:uid="{00000000-0005-0000-0000-000037A70000}"/>
    <cellStyle name="Normal 3 4 5 13 6 2" xfId="42817" xr:uid="{00000000-0005-0000-0000-000038A70000}"/>
    <cellStyle name="Normal 3 4 5 13 6 3" xfId="42818" xr:uid="{00000000-0005-0000-0000-000039A70000}"/>
    <cellStyle name="Normal 3 4 5 13 7" xfId="42819" xr:uid="{00000000-0005-0000-0000-00003AA70000}"/>
    <cellStyle name="Normal 3 4 5 13 7 2" xfId="42820" xr:uid="{00000000-0005-0000-0000-00003BA70000}"/>
    <cellStyle name="Normal 3 4 5 13 7 3" xfId="42821" xr:uid="{00000000-0005-0000-0000-00003CA70000}"/>
    <cellStyle name="Normal 3 4 5 13 8" xfId="42822" xr:uid="{00000000-0005-0000-0000-00003DA70000}"/>
    <cellStyle name="Normal 3 4 5 13 8 2" xfId="42823" xr:uid="{00000000-0005-0000-0000-00003EA70000}"/>
    <cellStyle name="Normal 3 4 5 13 8 3" xfId="42824" xr:uid="{00000000-0005-0000-0000-00003FA70000}"/>
    <cellStyle name="Normal 3 4 5 13 9" xfId="42825" xr:uid="{00000000-0005-0000-0000-000040A70000}"/>
    <cellStyle name="Normal 3 4 5 13 9 2" xfId="42826" xr:uid="{00000000-0005-0000-0000-000041A70000}"/>
    <cellStyle name="Normal 3 4 5 13 9 3" xfId="42827" xr:uid="{00000000-0005-0000-0000-000042A70000}"/>
    <cellStyle name="Normal 3 4 5 14" xfId="42828" xr:uid="{00000000-0005-0000-0000-000043A70000}"/>
    <cellStyle name="Normal 3 4 5 14 10" xfId="42829" xr:uid="{00000000-0005-0000-0000-000044A70000}"/>
    <cellStyle name="Normal 3 4 5 14 10 2" xfId="42830" xr:uid="{00000000-0005-0000-0000-000045A70000}"/>
    <cellStyle name="Normal 3 4 5 14 10 3" xfId="42831" xr:uid="{00000000-0005-0000-0000-000046A70000}"/>
    <cellStyle name="Normal 3 4 5 14 11" xfId="42832" xr:uid="{00000000-0005-0000-0000-000047A70000}"/>
    <cellStyle name="Normal 3 4 5 14 11 2" xfId="42833" xr:uid="{00000000-0005-0000-0000-000048A70000}"/>
    <cellStyle name="Normal 3 4 5 14 11 3" xfId="42834" xr:uid="{00000000-0005-0000-0000-000049A70000}"/>
    <cellStyle name="Normal 3 4 5 14 12" xfId="42835" xr:uid="{00000000-0005-0000-0000-00004AA70000}"/>
    <cellStyle name="Normal 3 4 5 14 12 2" xfId="42836" xr:uid="{00000000-0005-0000-0000-00004BA70000}"/>
    <cellStyle name="Normal 3 4 5 14 12 3" xfId="42837" xr:uid="{00000000-0005-0000-0000-00004CA70000}"/>
    <cellStyle name="Normal 3 4 5 14 13" xfId="42838" xr:uid="{00000000-0005-0000-0000-00004DA70000}"/>
    <cellStyle name="Normal 3 4 5 14 13 2" xfId="42839" xr:uid="{00000000-0005-0000-0000-00004EA70000}"/>
    <cellStyle name="Normal 3 4 5 14 13 3" xfId="42840" xr:uid="{00000000-0005-0000-0000-00004FA70000}"/>
    <cellStyle name="Normal 3 4 5 14 14" xfId="42841" xr:uid="{00000000-0005-0000-0000-000050A70000}"/>
    <cellStyle name="Normal 3 4 5 14 14 2" xfId="42842" xr:uid="{00000000-0005-0000-0000-000051A70000}"/>
    <cellStyle name="Normal 3 4 5 14 14 3" xfId="42843" xr:uid="{00000000-0005-0000-0000-000052A70000}"/>
    <cellStyle name="Normal 3 4 5 14 15" xfId="42844" xr:uid="{00000000-0005-0000-0000-000053A70000}"/>
    <cellStyle name="Normal 3 4 5 14 16" xfId="42845" xr:uid="{00000000-0005-0000-0000-000054A70000}"/>
    <cellStyle name="Normal 3 4 5 14 2" xfId="42846" xr:uid="{00000000-0005-0000-0000-000055A70000}"/>
    <cellStyle name="Normal 3 4 5 14 2 2" xfId="42847" xr:uid="{00000000-0005-0000-0000-000056A70000}"/>
    <cellStyle name="Normal 3 4 5 14 2 3" xfId="42848" xr:uid="{00000000-0005-0000-0000-000057A70000}"/>
    <cellStyle name="Normal 3 4 5 14 3" xfId="42849" xr:uid="{00000000-0005-0000-0000-000058A70000}"/>
    <cellStyle name="Normal 3 4 5 14 3 2" xfId="42850" xr:uid="{00000000-0005-0000-0000-000059A70000}"/>
    <cellStyle name="Normal 3 4 5 14 3 3" xfId="42851" xr:uid="{00000000-0005-0000-0000-00005AA70000}"/>
    <cellStyle name="Normal 3 4 5 14 4" xfId="42852" xr:uid="{00000000-0005-0000-0000-00005BA70000}"/>
    <cellStyle name="Normal 3 4 5 14 4 2" xfId="42853" xr:uid="{00000000-0005-0000-0000-00005CA70000}"/>
    <cellStyle name="Normal 3 4 5 14 4 3" xfId="42854" xr:uid="{00000000-0005-0000-0000-00005DA70000}"/>
    <cellStyle name="Normal 3 4 5 14 5" xfId="42855" xr:uid="{00000000-0005-0000-0000-00005EA70000}"/>
    <cellStyle name="Normal 3 4 5 14 5 2" xfId="42856" xr:uid="{00000000-0005-0000-0000-00005FA70000}"/>
    <cellStyle name="Normal 3 4 5 14 5 3" xfId="42857" xr:uid="{00000000-0005-0000-0000-000060A70000}"/>
    <cellStyle name="Normal 3 4 5 14 6" xfId="42858" xr:uid="{00000000-0005-0000-0000-000061A70000}"/>
    <cellStyle name="Normal 3 4 5 14 6 2" xfId="42859" xr:uid="{00000000-0005-0000-0000-000062A70000}"/>
    <cellStyle name="Normal 3 4 5 14 6 3" xfId="42860" xr:uid="{00000000-0005-0000-0000-000063A70000}"/>
    <cellStyle name="Normal 3 4 5 14 7" xfId="42861" xr:uid="{00000000-0005-0000-0000-000064A70000}"/>
    <cellStyle name="Normal 3 4 5 14 7 2" xfId="42862" xr:uid="{00000000-0005-0000-0000-000065A70000}"/>
    <cellStyle name="Normal 3 4 5 14 7 3" xfId="42863" xr:uid="{00000000-0005-0000-0000-000066A70000}"/>
    <cellStyle name="Normal 3 4 5 14 8" xfId="42864" xr:uid="{00000000-0005-0000-0000-000067A70000}"/>
    <cellStyle name="Normal 3 4 5 14 8 2" xfId="42865" xr:uid="{00000000-0005-0000-0000-000068A70000}"/>
    <cellStyle name="Normal 3 4 5 14 8 3" xfId="42866" xr:uid="{00000000-0005-0000-0000-000069A70000}"/>
    <cellStyle name="Normal 3 4 5 14 9" xfId="42867" xr:uid="{00000000-0005-0000-0000-00006AA70000}"/>
    <cellStyle name="Normal 3 4 5 14 9 2" xfId="42868" xr:uid="{00000000-0005-0000-0000-00006BA70000}"/>
    <cellStyle name="Normal 3 4 5 14 9 3" xfId="42869" xr:uid="{00000000-0005-0000-0000-00006CA70000}"/>
    <cellStyle name="Normal 3 4 5 15" xfId="42870" xr:uid="{00000000-0005-0000-0000-00006DA70000}"/>
    <cellStyle name="Normal 3 4 5 15 2" xfId="42871" xr:uid="{00000000-0005-0000-0000-00006EA70000}"/>
    <cellStyle name="Normal 3 4 5 15 3" xfId="42872" xr:uid="{00000000-0005-0000-0000-00006FA70000}"/>
    <cellStyle name="Normal 3 4 5 16" xfId="42873" xr:uid="{00000000-0005-0000-0000-000070A70000}"/>
    <cellStyle name="Normal 3 4 5 16 2" xfId="42874" xr:uid="{00000000-0005-0000-0000-000071A70000}"/>
    <cellStyle name="Normal 3 4 5 16 3" xfId="42875" xr:uid="{00000000-0005-0000-0000-000072A70000}"/>
    <cellStyle name="Normal 3 4 5 17" xfId="42876" xr:uid="{00000000-0005-0000-0000-000073A70000}"/>
    <cellStyle name="Normal 3 4 5 17 2" xfId="42877" xr:uid="{00000000-0005-0000-0000-000074A70000}"/>
    <cellStyle name="Normal 3 4 5 17 3" xfId="42878" xr:uid="{00000000-0005-0000-0000-000075A70000}"/>
    <cellStyle name="Normal 3 4 5 18" xfId="42879" xr:uid="{00000000-0005-0000-0000-000076A70000}"/>
    <cellStyle name="Normal 3 4 5 18 2" xfId="42880" xr:uid="{00000000-0005-0000-0000-000077A70000}"/>
    <cellStyle name="Normal 3 4 5 18 3" xfId="42881" xr:uid="{00000000-0005-0000-0000-000078A70000}"/>
    <cellStyle name="Normal 3 4 5 19" xfId="42882" xr:uid="{00000000-0005-0000-0000-000079A70000}"/>
    <cellStyle name="Normal 3 4 5 19 2" xfId="42883" xr:uid="{00000000-0005-0000-0000-00007AA70000}"/>
    <cellStyle name="Normal 3 4 5 19 3" xfId="42884" xr:uid="{00000000-0005-0000-0000-00007BA70000}"/>
    <cellStyle name="Normal 3 4 5 2" xfId="42885" xr:uid="{00000000-0005-0000-0000-00007CA70000}"/>
    <cellStyle name="Normal 3 4 5 20" xfId="42886" xr:uid="{00000000-0005-0000-0000-00007DA70000}"/>
    <cellStyle name="Normal 3 4 5 20 2" xfId="42887" xr:uid="{00000000-0005-0000-0000-00007EA70000}"/>
    <cellStyle name="Normal 3 4 5 20 3" xfId="42888" xr:uid="{00000000-0005-0000-0000-00007FA70000}"/>
    <cellStyle name="Normal 3 4 5 21" xfId="42889" xr:uid="{00000000-0005-0000-0000-000080A70000}"/>
    <cellStyle name="Normal 3 4 5 21 2" xfId="42890" xr:uid="{00000000-0005-0000-0000-000081A70000}"/>
    <cellStyle name="Normal 3 4 5 21 3" xfId="42891" xr:uid="{00000000-0005-0000-0000-000082A70000}"/>
    <cellStyle name="Normal 3 4 5 22" xfId="42892" xr:uid="{00000000-0005-0000-0000-000083A70000}"/>
    <cellStyle name="Normal 3 4 5 22 2" xfId="42893" xr:uid="{00000000-0005-0000-0000-000084A70000}"/>
    <cellStyle name="Normal 3 4 5 22 3" xfId="42894" xr:uid="{00000000-0005-0000-0000-000085A70000}"/>
    <cellStyle name="Normal 3 4 5 23" xfId="42895" xr:uid="{00000000-0005-0000-0000-000086A70000}"/>
    <cellStyle name="Normal 3 4 5 23 2" xfId="42896" xr:uid="{00000000-0005-0000-0000-000087A70000}"/>
    <cellStyle name="Normal 3 4 5 23 3" xfId="42897" xr:uid="{00000000-0005-0000-0000-000088A70000}"/>
    <cellStyle name="Normal 3 4 5 24" xfId="42898" xr:uid="{00000000-0005-0000-0000-000089A70000}"/>
    <cellStyle name="Normal 3 4 5 24 2" xfId="42899" xr:uid="{00000000-0005-0000-0000-00008AA70000}"/>
    <cellStyle name="Normal 3 4 5 24 3" xfId="42900" xr:uid="{00000000-0005-0000-0000-00008BA70000}"/>
    <cellStyle name="Normal 3 4 5 25" xfId="42901" xr:uid="{00000000-0005-0000-0000-00008CA70000}"/>
    <cellStyle name="Normal 3 4 5 25 2" xfId="42902" xr:uid="{00000000-0005-0000-0000-00008DA70000}"/>
    <cellStyle name="Normal 3 4 5 25 3" xfId="42903" xr:uid="{00000000-0005-0000-0000-00008EA70000}"/>
    <cellStyle name="Normal 3 4 5 26" xfId="42904" xr:uid="{00000000-0005-0000-0000-00008FA70000}"/>
    <cellStyle name="Normal 3 4 5 26 2" xfId="42905" xr:uid="{00000000-0005-0000-0000-000090A70000}"/>
    <cellStyle name="Normal 3 4 5 26 3" xfId="42906" xr:uid="{00000000-0005-0000-0000-000091A70000}"/>
    <cellStyle name="Normal 3 4 5 27" xfId="42907" xr:uid="{00000000-0005-0000-0000-000092A70000}"/>
    <cellStyle name="Normal 3 4 5 27 2" xfId="42908" xr:uid="{00000000-0005-0000-0000-000093A70000}"/>
    <cellStyle name="Normal 3 4 5 27 3" xfId="42909" xr:uid="{00000000-0005-0000-0000-000094A70000}"/>
    <cellStyle name="Normal 3 4 5 28" xfId="42910" xr:uid="{00000000-0005-0000-0000-000095A70000}"/>
    <cellStyle name="Normal 3 4 5 29" xfId="42911" xr:uid="{00000000-0005-0000-0000-000096A70000}"/>
    <cellStyle name="Normal 3 4 5 3" xfId="42912" xr:uid="{00000000-0005-0000-0000-000097A70000}"/>
    <cellStyle name="Normal 3 4 5 4" xfId="42913" xr:uid="{00000000-0005-0000-0000-000098A70000}"/>
    <cellStyle name="Normal 3 4 5 5" xfId="42914" xr:uid="{00000000-0005-0000-0000-000099A70000}"/>
    <cellStyle name="Normal 3 4 5 6" xfId="42915" xr:uid="{00000000-0005-0000-0000-00009AA70000}"/>
    <cellStyle name="Normal 3 4 5 6 10" xfId="42916" xr:uid="{00000000-0005-0000-0000-00009BA70000}"/>
    <cellStyle name="Normal 3 4 5 6 10 2" xfId="42917" xr:uid="{00000000-0005-0000-0000-00009CA70000}"/>
    <cellStyle name="Normal 3 4 5 6 10 3" xfId="42918" xr:uid="{00000000-0005-0000-0000-00009DA70000}"/>
    <cellStyle name="Normal 3 4 5 6 11" xfId="42919" xr:uid="{00000000-0005-0000-0000-00009EA70000}"/>
    <cellStyle name="Normal 3 4 5 6 11 2" xfId="42920" xr:uid="{00000000-0005-0000-0000-00009FA70000}"/>
    <cellStyle name="Normal 3 4 5 6 11 3" xfId="42921" xr:uid="{00000000-0005-0000-0000-0000A0A70000}"/>
    <cellStyle name="Normal 3 4 5 6 12" xfId="42922" xr:uid="{00000000-0005-0000-0000-0000A1A70000}"/>
    <cellStyle name="Normal 3 4 5 6 12 2" xfId="42923" xr:uid="{00000000-0005-0000-0000-0000A2A70000}"/>
    <cellStyle name="Normal 3 4 5 6 12 3" xfId="42924" xr:uid="{00000000-0005-0000-0000-0000A3A70000}"/>
    <cellStyle name="Normal 3 4 5 6 13" xfId="42925" xr:uid="{00000000-0005-0000-0000-0000A4A70000}"/>
    <cellStyle name="Normal 3 4 5 6 13 2" xfId="42926" xr:uid="{00000000-0005-0000-0000-0000A5A70000}"/>
    <cellStyle name="Normal 3 4 5 6 13 3" xfId="42927" xr:uid="{00000000-0005-0000-0000-0000A6A70000}"/>
    <cellStyle name="Normal 3 4 5 6 14" xfId="42928" xr:uid="{00000000-0005-0000-0000-0000A7A70000}"/>
    <cellStyle name="Normal 3 4 5 6 14 2" xfId="42929" xr:uid="{00000000-0005-0000-0000-0000A8A70000}"/>
    <cellStyle name="Normal 3 4 5 6 14 3" xfId="42930" xr:uid="{00000000-0005-0000-0000-0000A9A70000}"/>
    <cellStyle name="Normal 3 4 5 6 15" xfId="42931" xr:uid="{00000000-0005-0000-0000-0000AAA70000}"/>
    <cellStyle name="Normal 3 4 5 6 15 2" xfId="42932" xr:uid="{00000000-0005-0000-0000-0000ABA70000}"/>
    <cellStyle name="Normal 3 4 5 6 15 3" xfId="42933" xr:uid="{00000000-0005-0000-0000-0000ACA70000}"/>
    <cellStyle name="Normal 3 4 5 6 16" xfId="42934" xr:uid="{00000000-0005-0000-0000-0000ADA70000}"/>
    <cellStyle name="Normal 3 4 5 6 17" xfId="42935" xr:uid="{00000000-0005-0000-0000-0000AEA70000}"/>
    <cellStyle name="Normal 3 4 5 6 2" xfId="42936" xr:uid="{00000000-0005-0000-0000-0000AFA70000}"/>
    <cellStyle name="Normal 3 4 5 6 2 10" xfId="42937" xr:uid="{00000000-0005-0000-0000-0000B0A70000}"/>
    <cellStyle name="Normal 3 4 5 6 2 10 2" xfId="42938" xr:uid="{00000000-0005-0000-0000-0000B1A70000}"/>
    <cellStyle name="Normal 3 4 5 6 2 10 3" xfId="42939" xr:uid="{00000000-0005-0000-0000-0000B2A70000}"/>
    <cellStyle name="Normal 3 4 5 6 2 11" xfId="42940" xr:uid="{00000000-0005-0000-0000-0000B3A70000}"/>
    <cellStyle name="Normal 3 4 5 6 2 11 2" xfId="42941" xr:uid="{00000000-0005-0000-0000-0000B4A70000}"/>
    <cellStyle name="Normal 3 4 5 6 2 11 3" xfId="42942" xr:uid="{00000000-0005-0000-0000-0000B5A70000}"/>
    <cellStyle name="Normal 3 4 5 6 2 12" xfId="42943" xr:uid="{00000000-0005-0000-0000-0000B6A70000}"/>
    <cellStyle name="Normal 3 4 5 6 2 12 2" xfId="42944" xr:uid="{00000000-0005-0000-0000-0000B7A70000}"/>
    <cellStyle name="Normal 3 4 5 6 2 12 3" xfId="42945" xr:uid="{00000000-0005-0000-0000-0000B8A70000}"/>
    <cellStyle name="Normal 3 4 5 6 2 13" xfId="42946" xr:uid="{00000000-0005-0000-0000-0000B9A70000}"/>
    <cellStyle name="Normal 3 4 5 6 2 13 2" xfId="42947" xr:uid="{00000000-0005-0000-0000-0000BAA70000}"/>
    <cellStyle name="Normal 3 4 5 6 2 13 3" xfId="42948" xr:uid="{00000000-0005-0000-0000-0000BBA70000}"/>
    <cellStyle name="Normal 3 4 5 6 2 14" xfId="42949" xr:uid="{00000000-0005-0000-0000-0000BCA70000}"/>
    <cellStyle name="Normal 3 4 5 6 2 14 2" xfId="42950" xr:uid="{00000000-0005-0000-0000-0000BDA70000}"/>
    <cellStyle name="Normal 3 4 5 6 2 14 3" xfId="42951" xr:uid="{00000000-0005-0000-0000-0000BEA70000}"/>
    <cellStyle name="Normal 3 4 5 6 2 15" xfId="42952" xr:uid="{00000000-0005-0000-0000-0000BFA70000}"/>
    <cellStyle name="Normal 3 4 5 6 2 16" xfId="42953" xr:uid="{00000000-0005-0000-0000-0000C0A70000}"/>
    <cellStyle name="Normal 3 4 5 6 2 2" xfId="42954" xr:uid="{00000000-0005-0000-0000-0000C1A70000}"/>
    <cellStyle name="Normal 3 4 5 6 2 2 2" xfId="42955" xr:uid="{00000000-0005-0000-0000-0000C2A70000}"/>
    <cellStyle name="Normal 3 4 5 6 2 2 3" xfId="42956" xr:uid="{00000000-0005-0000-0000-0000C3A70000}"/>
    <cellStyle name="Normal 3 4 5 6 2 3" xfId="42957" xr:uid="{00000000-0005-0000-0000-0000C4A70000}"/>
    <cellStyle name="Normal 3 4 5 6 2 3 2" xfId="42958" xr:uid="{00000000-0005-0000-0000-0000C5A70000}"/>
    <cellStyle name="Normal 3 4 5 6 2 3 3" xfId="42959" xr:uid="{00000000-0005-0000-0000-0000C6A70000}"/>
    <cellStyle name="Normal 3 4 5 6 2 4" xfId="42960" xr:uid="{00000000-0005-0000-0000-0000C7A70000}"/>
    <cellStyle name="Normal 3 4 5 6 2 4 2" xfId="42961" xr:uid="{00000000-0005-0000-0000-0000C8A70000}"/>
    <cellStyle name="Normal 3 4 5 6 2 4 3" xfId="42962" xr:uid="{00000000-0005-0000-0000-0000C9A70000}"/>
    <cellStyle name="Normal 3 4 5 6 2 5" xfId="42963" xr:uid="{00000000-0005-0000-0000-0000CAA70000}"/>
    <cellStyle name="Normal 3 4 5 6 2 5 2" xfId="42964" xr:uid="{00000000-0005-0000-0000-0000CBA70000}"/>
    <cellStyle name="Normal 3 4 5 6 2 5 3" xfId="42965" xr:uid="{00000000-0005-0000-0000-0000CCA70000}"/>
    <cellStyle name="Normal 3 4 5 6 2 6" xfId="42966" xr:uid="{00000000-0005-0000-0000-0000CDA70000}"/>
    <cellStyle name="Normal 3 4 5 6 2 6 2" xfId="42967" xr:uid="{00000000-0005-0000-0000-0000CEA70000}"/>
    <cellStyle name="Normal 3 4 5 6 2 6 3" xfId="42968" xr:uid="{00000000-0005-0000-0000-0000CFA70000}"/>
    <cellStyle name="Normal 3 4 5 6 2 7" xfId="42969" xr:uid="{00000000-0005-0000-0000-0000D0A70000}"/>
    <cellStyle name="Normal 3 4 5 6 2 7 2" xfId="42970" xr:uid="{00000000-0005-0000-0000-0000D1A70000}"/>
    <cellStyle name="Normal 3 4 5 6 2 7 3" xfId="42971" xr:uid="{00000000-0005-0000-0000-0000D2A70000}"/>
    <cellStyle name="Normal 3 4 5 6 2 8" xfId="42972" xr:uid="{00000000-0005-0000-0000-0000D3A70000}"/>
    <cellStyle name="Normal 3 4 5 6 2 8 2" xfId="42973" xr:uid="{00000000-0005-0000-0000-0000D4A70000}"/>
    <cellStyle name="Normal 3 4 5 6 2 8 3" xfId="42974" xr:uid="{00000000-0005-0000-0000-0000D5A70000}"/>
    <cellStyle name="Normal 3 4 5 6 2 9" xfId="42975" xr:uid="{00000000-0005-0000-0000-0000D6A70000}"/>
    <cellStyle name="Normal 3 4 5 6 2 9 2" xfId="42976" xr:uid="{00000000-0005-0000-0000-0000D7A70000}"/>
    <cellStyle name="Normal 3 4 5 6 2 9 3" xfId="42977" xr:uid="{00000000-0005-0000-0000-0000D8A70000}"/>
    <cellStyle name="Normal 3 4 5 6 3" xfId="42978" xr:uid="{00000000-0005-0000-0000-0000D9A70000}"/>
    <cellStyle name="Normal 3 4 5 6 3 2" xfId="42979" xr:uid="{00000000-0005-0000-0000-0000DAA70000}"/>
    <cellStyle name="Normal 3 4 5 6 3 3" xfId="42980" xr:uid="{00000000-0005-0000-0000-0000DBA70000}"/>
    <cellStyle name="Normal 3 4 5 6 4" xfId="42981" xr:uid="{00000000-0005-0000-0000-0000DCA70000}"/>
    <cellStyle name="Normal 3 4 5 6 4 2" xfId="42982" xr:uid="{00000000-0005-0000-0000-0000DDA70000}"/>
    <cellStyle name="Normal 3 4 5 6 4 3" xfId="42983" xr:uid="{00000000-0005-0000-0000-0000DEA70000}"/>
    <cellStyle name="Normal 3 4 5 6 5" xfId="42984" xr:uid="{00000000-0005-0000-0000-0000DFA70000}"/>
    <cellStyle name="Normal 3 4 5 6 5 2" xfId="42985" xr:uid="{00000000-0005-0000-0000-0000E0A70000}"/>
    <cellStyle name="Normal 3 4 5 6 5 3" xfId="42986" xr:uid="{00000000-0005-0000-0000-0000E1A70000}"/>
    <cellStyle name="Normal 3 4 5 6 6" xfId="42987" xr:uid="{00000000-0005-0000-0000-0000E2A70000}"/>
    <cellStyle name="Normal 3 4 5 6 6 2" xfId="42988" xr:uid="{00000000-0005-0000-0000-0000E3A70000}"/>
    <cellStyle name="Normal 3 4 5 6 6 3" xfId="42989" xr:uid="{00000000-0005-0000-0000-0000E4A70000}"/>
    <cellStyle name="Normal 3 4 5 6 7" xfId="42990" xr:uid="{00000000-0005-0000-0000-0000E5A70000}"/>
    <cellStyle name="Normal 3 4 5 6 7 2" xfId="42991" xr:uid="{00000000-0005-0000-0000-0000E6A70000}"/>
    <cellStyle name="Normal 3 4 5 6 7 3" xfId="42992" xr:uid="{00000000-0005-0000-0000-0000E7A70000}"/>
    <cellStyle name="Normal 3 4 5 6 8" xfId="42993" xr:uid="{00000000-0005-0000-0000-0000E8A70000}"/>
    <cellStyle name="Normal 3 4 5 6 8 2" xfId="42994" xr:uid="{00000000-0005-0000-0000-0000E9A70000}"/>
    <cellStyle name="Normal 3 4 5 6 8 3" xfId="42995" xr:uid="{00000000-0005-0000-0000-0000EAA70000}"/>
    <cellStyle name="Normal 3 4 5 6 9" xfId="42996" xr:uid="{00000000-0005-0000-0000-0000EBA70000}"/>
    <cellStyle name="Normal 3 4 5 6 9 2" xfId="42997" xr:uid="{00000000-0005-0000-0000-0000ECA70000}"/>
    <cellStyle name="Normal 3 4 5 6 9 3" xfId="42998" xr:uid="{00000000-0005-0000-0000-0000EDA70000}"/>
    <cellStyle name="Normal 3 4 5 7" xfId="42999" xr:uid="{00000000-0005-0000-0000-0000EEA70000}"/>
    <cellStyle name="Normal 3 4 5 7 10" xfId="43000" xr:uid="{00000000-0005-0000-0000-0000EFA70000}"/>
    <cellStyle name="Normal 3 4 5 7 10 2" xfId="43001" xr:uid="{00000000-0005-0000-0000-0000F0A70000}"/>
    <cellStyle name="Normal 3 4 5 7 10 3" xfId="43002" xr:uid="{00000000-0005-0000-0000-0000F1A70000}"/>
    <cellStyle name="Normal 3 4 5 7 11" xfId="43003" xr:uid="{00000000-0005-0000-0000-0000F2A70000}"/>
    <cellStyle name="Normal 3 4 5 7 11 2" xfId="43004" xr:uid="{00000000-0005-0000-0000-0000F3A70000}"/>
    <cellStyle name="Normal 3 4 5 7 11 3" xfId="43005" xr:uid="{00000000-0005-0000-0000-0000F4A70000}"/>
    <cellStyle name="Normal 3 4 5 7 12" xfId="43006" xr:uid="{00000000-0005-0000-0000-0000F5A70000}"/>
    <cellStyle name="Normal 3 4 5 7 12 2" xfId="43007" xr:uid="{00000000-0005-0000-0000-0000F6A70000}"/>
    <cellStyle name="Normal 3 4 5 7 12 3" xfId="43008" xr:uid="{00000000-0005-0000-0000-0000F7A70000}"/>
    <cellStyle name="Normal 3 4 5 7 13" xfId="43009" xr:uid="{00000000-0005-0000-0000-0000F8A70000}"/>
    <cellStyle name="Normal 3 4 5 7 13 2" xfId="43010" xr:uid="{00000000-0005-0000-0000-0000F9A70000}"/>
    <cellStyle name="Normal 3 4 5 7 13 3" xfId="43011" xr:uid="{00000000-0005-0000-0000-0000FAA70000}"/>
    <cellStyle name="Normal 3 4 5 7 14" xfId="43012" xr:uid="{00000000-0005-0000-0000-0000FBA70000}"/>
    <cellStyle name="Normal 3 4 5 7 14 2" xfId="43013" xr:uid="{00000000-0005-0000-0000-0000FCA70000}"/>
    <cellStyle name="Normal 3 4 5 7 14 3" xfId="43014" xr:uid="{00000000-0005-0000-0000-0000FDA70000}"/>
    <cellStyle name="Normal 3 4 5 7 15" xfId="43015" xr:uid="{00000000-0005-0000-0000-0000FEA70000}"/>
    <cellStyle name="Normal 3 4 5 7 15 2" xfId="43016" xr:uid="{00000000-0005-0000-0000-0000FFA70000}"/>
    <cellStyle name="Normal 3 4 5 7 15 3" xfId="43017" xr:uid="{00000000-0005-0000-0000-000000A80000}"/>
    <cellStyle name="Normal 3 4 5 7 16" xfId="43018" xr:uid="{00000000-0005-0000-0000-000001A80000}"/>
    <cellStyle name="Normal 3 4 5 7 17" xfId="43019" xr:uid="{00000000-0005-0000-0000-000002A80000}"/>
    <cellStyle name="Normal 3 4 5 7 2" xfId="43020" xr:uid="{00000000-0005-0000-0000-000003A80000}"/>
    <cellStyle name="Normal 3 4 5 7 2 10" xfId="43021" xr:uid="{00000000-0005-0000-0000-000004A80000}"/>
    <cellStyle name="Normal 3 4 5 7 2 10 2" xfId="43022" xr:uid="{00000000-0005-0000-0000-000005A80000}"/>
    <cellStyle name="Normal 3 4 5 7 2 10 3" xfId="43023" xr:uid="{00000000-0005-0000-0000-000006A80000}"/>
    <cellStyle name="Normal 3 4 5 7 2 11" xfId="43024" xr:uid="{00000000-0005-0000-0000-000007A80000}"/>
    <cellStyle name="Normal 3 4 5 7 2 11 2" xfId="43025" xr:uid="{00000000-0005-0000-0000-000008A80000}"/>
    <cellStyle name="Normal 3 4 5 7 2 11 3" xfId="43026" xr:uid="{00000000-0005-0000-0000-000009A80000}"/>
    <cellStyle name="Normal 3 4 5 7 2 12" xfId="43027" xr:uid="{00000000-0005-0000-0000-00000AA80000}"/>
    <cellStyle name="Normal 3 4 5 7 2 12 2" xfId="43028" xr:uid="{00000000-0005-0000-0000-00000BA80000}"/>
    <cellStyle name="Normal 3 4 5 7 2 12 3" xfId="43029" xr:uid="{00000000-0005-0000-0000-00000CA80000}"/>
    <cellStyle name="Normal 3 4 5 7 2 13" xfId="43030" xr:uid="{00000000-0005-0000-0000-00000DA80000}"/>
    <cellStyle name="Normal 3 4 5 7 2 13 2" xfId="43031" xr:uid="{00000000-0005-0000-0000-00000EA80000}"/>
    <cellStyle name="Normal 3 4 5 7 2 13 3" xfId="43032" xr:uid="{00000000-0005-0000-0000-00000FA80000}"/>
    <cellStyle name="Normal 3 4 5 7 2 14" xfId="43033" xr:uid="{00000000-0005-0000-0000-000010A80000}"/>
    <cellStyle name="Normal 3 4 5 7 2 14 2" xfId="43034" xr:uid="{00000000-0005-0000-0000-000011A80000}"/>
    <cellStyle name="Normal 3 4 5 7 2 14 3" xfId="43035" xr:uid="{00000000-0005-0000-0000-000012A80000}"/>
    <cellStyle name="Normal 3 4 5 7 2 15" xfId="43036" xr:uid="{00000000-0005-0000-0000-000013A80000}"/>
    <cellStyle name="Normal 3 4 5 7 2 16" xfId="43037" xr:uid="{00000000-0005-0000-0000-000014A80000}"/>
    <cellStyle name="Normal 3 4 5 7 2 2" xfId="43038" xr:uid="{00000000-0005-0000-0000-000015A80000}"/>
    <cellStyle name="Normal 3 4 5 7 2 2 2" xfId="43039" xr:uid="{00000000-0005-0000-0000-000016A80000}"/>
    <cellStyle name="Normal 3 4 5 7 2 2 3" xfId="43040" xr:uid="{00000000-0005-0000-0000-000017A80000}"/>
    <cellStyle name="Normal 3 4 5 7 2 3" xfId="43041" xr:uid="{00000000-0005-0000-0000-000018A80000}"/>
    <cellStyle name="Normal 3 4 5 7 2 3 2" xfId="43042" xr:uid="{00000000-0005-0000-0000-000019A80000}"/>
    <cellStyle name="Normal 3 4 5 7 2 3 3" xfId="43043" xr:uid="{00000000-0005-0000-0000-00001AA80000}"/>
    <cellStyle name="Normal 3 4 5 7 2 4" xfId="43044" xr:uid="{00000000-0005-0000-0000-00001BA80000}"/>
    <cellStyle name="Normal 3 4 5 7 2 4 2" xfId="43045" xr:uid="{00000000-0005-0000-0000-00001CA80000}"/>
    <cellStyle name="Normal 3 4 5 7 2 4 3" xfId="43046" xr:uid="{00000000-0005-0000-0000-00001DA80000}"/>
    <cellStyle name="Normal 3 4 5 7 2 5" xfId="43047" xr:uid="{00000000-0005-0000-0000-00001EA80000}"/>
    <cellStyle name="Normal 3 4 5 7 2 5 2" xfId="43048" xr:uid="{00000000-0005-0000-0000-00001FA80000}"/>
    <cellStyle name="Normal 3 4 5 7 2 5 3" xfId="43049" xr:uid="{00000000-0005-0000-0000-000020A80000}"/>
    <cellStyle name="Normal 3 4 5 7 2 6" xfId="43050" xr:uid="{00000000-0005-0000-0000-000021A80000}"/>
    <cellStyle name="Normal 3 4 5 7 2 6 2" xfId="43051" xr:uid="{00000000-0005-0000-0000-000022A80000}"/>
    <cellStyle name="Normal 3 4 5 7 2 6 3" xfId="43052" xr:uid="{00000000-0005-0000-0000-000023A80000}"/>
    <cellStyle name="Normal 3 4 5 7 2 7" xfId="43053" xr:uid="{00000000-0005-0000-0000-000024A80000}"/>
    <cellStyle name="Normal 3 4 5 7 2 7 2" xfId="43054" xr:uid="{00000000-0005-0000-0000-000025A80000}"/>
    <cellStyle name="Normal 3 4 5 7 2 7 3" xfId="43055" xr:uid="{00000000-0005-0000-0000-000026A80000}"/>
    <cellStyle name="Normal 3 4 5 7 2 8" xfId="43056" xr:uid="{00000000-0005-0000-0000-000027A80000}"/>
    <cellStyle name="Normal 3 4 5 7 2 8 2" xfId="43057" xr:uid="{00000000-0005-0000-0000-000028A80000}"/>
    <cellStyle name="Normal 3 4 5 7 2 8 3" xfId="43058" xr:uid="{00000000-0005-0000-0000-000029A80000}"/>
    <cellStyle name="Normal 3 4 5 7 2 9" xfId="43059" xr:uid="{00000000-0005-0000-0000-00002AA80000}"/>
    <cellStyle name="Normal 3 4 5 7 2 9 2" xfId="43060" xr:uid="{00000000-0005-0000-0000-00002BA80000}"/>
    <cellStyle name="Normal 3 4 5 7 2 9 3" xfId="43061" xr:uid="{00000000-0005-0000-0000-00002CA80000}"/>
    <cellStyle name="Normal 3 4 5 7 3" xfId="43062" xr:uid="{00000000-0005-0000-0000-00002DA80000}"/>
    <cellStyle name="Normal 3 4 5 7 3 2" xfId="43063" xr:uid="{00000000-0005-0000-0000-00002EA80000}"/>
    <cellStyle name="Normal 3 4 5 7 3 3" xfId="43064" xr:uid="{00000000-0005-0000-0000-00002FA80000}"/>
    <cellStyle name="Normal 3 4 5 7 4" xfId="43065" xr:uid="{00000000-0005-0000-0000-000030A80000}"/>
    <cellStyle name="Normal 3 4 5 7 4 2" xfId="43066" xr:uid="{00000000-0005-0000-0000-000031A80000}"/>
    <cellStyle name="Normal 3 4 5 7 4 3" xfId="43067" xr:uid="{00000000-0005-0000-0000-000032A80000}"/>
    <cellStyle name="Normal 3 4 5 7 5" xfId="43068" xr:uid="{00000000-0005-0000-0000-000033A80000}"/>
    <cellStyle name="Normal 3 4 5 7 5 2" xfId="43069" xr:uid="{00000000-0005-0000-0000-000034A80000}"/>
    <cellStyle name="Normal 3 4 5 7 5 3" xfId="43070" xr:uid="{00000000-0005-0000-0000-000035A80000}"/>
    <cellStyle name="Normal 3 4 5 7 6" xfId="43071" xr:uid="{00000000-0005-0000-0000-000036A80000}"/>
    <cellStyle name="Normal 3 4 5 7 6 2" xfId="43072" xr:uid="{00000000-0005-0000-0000-000037A80000}"/>
    <cellStyle name="Normal 3 4 5 7 6 3" xfId="43073" xr:uid="{00000000-0005-0000-0000-000038A80000}"/>
    <cellStyle name="Normal 3 4 5 7 7" xfId="43074" xr:uid="{00000000-0005-0000-0000-000039A80000}"/>
    <cellStyle name="Normal 3 4 5 7 7 2" xfId="43075" xr:uid="{00000000-0005-0000-0000-00003AA80000}"/>
    <cellStyle name="Normal 3 4 5 7 7 3" xfId="43076" xr:uid="{00000000-0005-0000-0000-00003BA80000}"/>
    <cellStyle name="Normal 3 4 5 7 8" xfId="43077" xr:uid="{00000000-0005-0000-0000-00003CA80000}"/>
    <cellStyle name="Normal 3 4 5 7 8 2" xfId="43078" xr:uid="{00000000-0005-0000-0000-00003DA80000}"/>
    <cellStyle name="Normal 3 4 5 7 8 3" xfId="43079" xr:uid="{00000000-0005-0000-0000-00003EA80000}"/>
    <cellStyle name="Normal 3 4 5 7 9" xfId="43080" xr:uid="{00000000-0005-0000-0000-00003FA80000}"/>
    <cellStyle name="Normal 3 4 5 7 9 2" xfId="43081" xr:uid="{00000000-0005-0000-0000-000040A80000}"/>
    <cellStyle name="Normal 3 4 5 7 9 3" xfId="43082" xr:uid="{00000000-0005-0000-0000-000041A80000}"/>
    <cellStyle name="Normal 3 4 5 8" xfId="43083" xr:uid="{00000000-0005-0000-0000-000042A80000}"/>
    <cellStyle name="Normal 3 4 5 8 10" xfId="43084" xr:uid="{00000000-0005-0000-0000-000043A80000}"/>
    <cellStyle name="Normal 3 4 5 8 10 2" xfId="43085" xr:uid="{00000000-0005-0000-0000-000044A80000}"/>
    <cellStyle name="Normal 3 4 5 8 10 3" xfId="43086" xr:uid="{00000000-0005-0000-0000-000045A80000}"/>
    <cellStyle name="Normal 3 4 5 8 11" xfId="43087" xr:uid="{00000000-0005-0000-0000-000046A80000}"/>
    <cellStyle name="Normal 3 4 5 8 11 2" xfId="43088" xr:uid="{00000000-0005-0000-0000-000047A80000}"/>
    <cellStyle name="Normal 3 4 5 8 11 3" xfId="43089" xr:uid="{00000000-0005-0000-0000-000048A80000}"/>
    <cellStyle name="Normal 3 4 5 8 12" xfId="43090" xr:uid="{00000000-0005-0000-0000-000049A80000}"/>
    <cellStyle name="Normal 3 4 5 8 12 2" xfId="43091" xr:uid="{00000000-0005-0000-0000-00004AA80000}"/>
    <cellStyle name="Normal 3 4 5 8 12 3" xfId="43092" xr:uid="{00000000-0005-0000-0000-00004BA80000}"/>
    <cellStyle name="Normal 3 4 5 8 13" xfId="43093" xr:uid="{00000000-0005-0000-0000-00004CA80000}"/>
    <cellStyle name="Normal 3 4 5 8 13 2" xfId="43094" xr:uid="{00000000-0005-0000-0000-00004DA80000}"/>
    <cellStyle name="Normal 3 4 5 8 13 3" xfId="43095" xr:uid="{00000000-0005-0000-0000-00004EA80000}"/>
    <cellStyle name="Normal 3 4 5 8 14" xfId="43096" xr:uid="{00000000-0005-0000-0000-00004FA80000}"/>
    <cellStyle name="Normal 3 4 5 8 14 2" xfId="43097" xr:uid="{00000000-0005-0000-0000-000050A80000}"/>
    <cellStyle name="Normal 3 4 5 8 14 3" xfId="43098" xr:uid="{00000000-0005-0000-0000-000051A80000}"/>
    <cellStyle name="Normal 3 4 5 8 15" xfId="43099" xr:uid="{00000000-0005-0000-0000-000052A80000}"/>
    <cellStyle name="Normal 3 4 5 8 15 2" xfId="43100" xr:uid="{00000000-0005-0000-0000-000053A80000}"/>
    <cellStyle name="Normal 3 4 5 8 15 3" xfId="43101" xr:uid="{00000000-0005-0000-0000-000054A80000}"/>
    <cellStyle name="Normal 3 4 5 8 16" xfId="43102" xr:uid="{00000000-0005-0000-0000-000055A80000}"/>
    <cellStyle name="Normal 3 4 5 8 17" xfId="43103" xr:uid="{00000000-0005-0000-0000-000056A80000}"/>
    <cellStyle name="Normal 3 4 5 8 2" xfId="43104" xr:uid="{00000000-0005-0000-0000-000057A80000}"/>
    <cellStyle name="Normal 3 4 5 8 2 10" xfId="43105" xr:uid="{00000000-0005-0000-0000-000058A80000}"/>
    <cellStyle name="Normal 3 4 5 8 2 10 2" xfId="43106" xr:uid="{00000000-0005-0000-0000-000059A80000}"/>
    <cellStyle name="Normal 3 4 5 8 2 10 3" xfId="43107" xr:uid="{00000000-0005-0000-0000-00005AA80000}"/>
    <cellStyle name="Normal 3 4 5 8 2 11" xfId="43108" xr:uid="{00000000-0005-0000-0000-00005BA80000}"/>
    <cellStyle name="Normal 3 4 5 8 2 11 2" xfId="43109" xr:uid="{00000000-0005-0000-0000-00005CA80000}"/>
    <cellStyle name="Normal 3 4 5 8 2 11 3" xfId="43110" xr:uid="{00000000-0005-0000-0000-00005DA80000}"/>
    <cellStyle name="Normal 3 4 5 8 2 12" xfId="43111" xr:uid="{00000000-0005-0000-0000-00005EA80000}"/>
    <cellStyle name="Normal 3 4 5 8 2 12 2" xfId="43112" xr:uid="{00000000-0005-0000-0000-00005FA80000}"/>
    <cellStyle name="Normal 3 4 5 8 2 12 3" xfId="43113" xr:uid="{00000000-0005-0000-0000-000060A80000}"/>
    <cellStyle name="Normal 3 4 5 8 2 13" xfId="43114" xr:uid="{00000000-0005-0000-0000-000061A80000}"/>
    <cellStyle name="Normal 3 4 5 8 2 13 2" xfId="43115" xr:uid="{00000000-0005-0000-0000-000062A80000}"/>
    <cellStyle name="Normal 3 4 5 8 2 13 3" xfId="43116" xr:uid="{00000000-0005-0000-0000-000063A80000}"/>
    <cellStyle name="Normal 3 4 5 8 2 14" xfId="43117" xr:uid="{00000000-0005-0000-0000-000064A80000}"/>
    <cellStyle name="Normal 3 4 5 8 2 14 2" xfId="43118" xr:uid="{00000000-0005-0000-0000-000065A80000}"/>
    <cellStyle name="Normal 3 4 5 8 2 14 3" xfId="43119" xr:uid="{00000000-0005-0000-0000-000066A80000}"/>
    <cellStyle name="Normal 3 4 5 8 2 15" xfId="43120" xr:uid="{00000000-0005-0000-0000-000067A80000}"/>
    <cellStyle name="Normal 3 4 5 8 2 16" xfId="43121" xr:uid="{00000000-0005-0000-0000-000068A80000}"/>
    <cellStyle name="Normal 3 4 5 8 2 2" xfId="43122" xr:uid="{00000000-0005-0000-0000-000069A80000}"/>
    <cellStyle name="Normal 3 4 5 8 2 2 2" xfId="43123" xr:uid="{00000000-0005-0000-0000-00006AA80000}"/>
    <cellStyle name="Normal 3 4 5 8 2 2 3" xfId="43124" xr:uid="{00000000-0005-0000-0000-00006BA80000}"/>
    <cellStyle name="Normal 3 4 5 8 2 3" xfId="43125" xr:uid="{00000000-0005-0000-0000-00006CA80000}"/>
    <cellStyle name="Normal 3 4 5 8 2 3 2" xfId="43126" xr:uid="{00000000-0005-0000-0000-00006DA80000}"/>
    <cellStyle name="Normal 3 4 5 8 2 3 3" xfId="43127" xr:uid="{00000000-0005-0000-0000-00006EA80000}"/>
    <cellStyle name="Normal 3 4 5 8 2 4" xfId="43128" xr:uid="{00000000-0005-0000-0000-00006FA80000}"/>
    <cellStyle name="Normal 3 4 5 8 2 4 2" xfId="43129" xr:uid="{00000000-0005-0000-0000-000070A80000}"/>
    <cellStyle name="Normal 3 4 5 8 2 4 3" xfId="43130" xr:uid="{00000000-0005-0000-0000-000071A80000}"/>
    <cellStyle name="Normal 3 4 5 8 2 5" xfId="43131" xr:uid="{00000000-0005-0000-0000-000072A80000}"/>
    <cellStyle name="Normal 3 4 5 8 2 5 2" xfId="43132" xr:uid="{00000000-0005-0000-0000-000073A80000}"/>
    <cellStyle name="Normal 3 4 5 8 2 5 3" xfId="43133" xr:uid="{00000000-0005-0000-0000-000074A80000}"/>
    <cellStyle name="Normal 3 4 5 8 2 6" xfId="43134" xr:uid="{00000000-0005-0000-0000-000075A80000}"/>
    <cellStyle name="Normal 3 4 5 8 2 6 2" xfId="43135" xr:uid="{00000000-0005-0000-0000-000076A80000}"/>
    <cellStyle name="Normal 3 4 5 8 2 6 3" xfId="43136" xr:uid="{00000000-0005-0000-0000-000077A80000}"/>
    <cellStyle name="Normal 3 4 5 8 2 7" xfId="43137" xr:uid="{00000000-0005-0000-0000-000078A80000}"/>
    <cellStyle name="Normal 3 4 5 8 2 7 2" xfId="43138" xr:uid="{00000000-0005-0000-0000-000079A80000}"/>
    <cellStyle name="Normal 3 4 5 8 2 7 3" xfId="43139" xr:uid="{00000000-0005-0000-0000-00007AA80000}"/>
    <cellStyle name="Normal 3 4 5 8 2 8" xfId="43140" xr:uid="{00000000-0005-0000-0000-00007BA80000}"/>
    <cellStyle name="Normal 3 4 5 8 2 8 2" xfId="43141" xr:uid="{00000000-0005-0000-0000-00007CA80000}"/>
    <cellStyle name="Normal 3 4 5 8 2 8 3" xfId="43142" xr:uid="{00000000-0005-0000-0000-00007DA80000}"/>
    <cellStyle name="Normal 3 4 5 8 2 9" xfId="43143" xr:uid="{00000000-0005-0000-0000-00007EA80000}"/>
    <cellStyle name="Normal 3 4 5 8 2 9 2" xfId="43144" xr:uid="{00000000-0005-0000-0000-00007FA80000}"/>
    <cellStyle name="Normal 3 4 5 8 2 9 3" xfId="43145" xr:uid="{00000000-0005-0000-0000-000080A80000}"/>
    <cellStyle name="Normal 3 4 5 8 3" xfId="43146" xr:uid="{00000000-0005-0000-0000-000081A80000}"/>
    <cellStyle name="Normal 3 4 5 8 3 2" xfId="43147" xr:uid="{00000000-0005-0000-0000-000082A80000}"/>
    <cellStyle name="Normal 3 4 5 8 3 3" xfId="43148" xr:uid="{00000000-0005-0000-0000-000083A80000}"/>
    <cellStyle name="Normal 3 4 5 8 4" xfId="43149" xr:uid="{00000000-0005-0000-0000-000084A80000}"/>
    <cellStyle name="Normal 3 4 5 8 4 2" xfId="43150" xr:uid="{00000000-0005-0000-0000-000085A80000}"/>
    <cellStyle name="Normal 3 4 5 8 4 3" xfId="43151" xr:uid="{00000000-0005-0000-0000-000086A80000}"/>
    <cellStyle name="Normal 3 4 5 8 5" xfId="43152" xr:uid="{00000000-0005-0000-0000-000087A80000}"/>
    <cellStyle name="Normal 3 4 5 8 5 2" xfId="43153" xr:uid="{00000000-0005-0000-0000-000088A80000}"/>
    <cellStyle name="Normal 3 4 5 8 5 3" xfId="43154" xr:uid="{00000000-0005-0000-0000-000089A80000}"/>
    <cellStyle name="Normal 3 4 5 8 6" xfId="43155" xr:uid="{00000000-0005-0000-0000-00008AA80000}"/>
    <cellStyle name="Normal 3 4 5 8 6 2" xfId="43156" xr:uid="{00000000-0005-0000-0000-00008BA80000}"/>
    <cellStyle name="Normal 3 4 5 8 6 3" xfId="43157" xr:uid="{00000000-0005-0000-0000-00008CA80000}"/>
    <cellStyle name="Normal 3 4 5 8 7" xfId="43158" xr:uid="{00000000-0005-0000-0000-00008DA80000}"/>
    <cellStyle name="Normal 3 4 5 8 7 2" xfId="43159" xr:uid="{00000000-0005-0000-0000-00008EA80000}"/>
    <cellStyle name="Normal 3 4 5 8 7 3" xfId="43160" xr:uid="{00000000-0005-0000-0000-00008FA80000}"/>
    <cellStyle name="Normal 3 4 5 8 8" xfId="43161" xr:uid="{00000000-0005-0000-0000-000090A80000}"/>
    <cellStyle name="Normal 3 4 5 8 8 2" xfId="43162" xr:uid="{00000000-0005-0000-0000-000091A80000}"/>
    <cellStyle name="Normal 3 4 5 8 8 3" xfId="43163" xr:uid="{00000000-0005-0000-0000-000092A80000}"/>
    <cellStyle name="Normal 3 4 5 8 9" xfId="43164" xr:uid="{00000000-0005-0000-0000-000093A80000}"/>
    <cellStyle name="Normal 3 4 5 8 9 2" xfId="43165" xr:uid="{00000000-0005-0000-0000-000094A80000}"/>
    <cellStyle name="Normal 3 4 5 8 9 3" xfId="43166" xr:uid="{00000000-0005-0000-0000-000095A80000}"/>
    <cellStyle name="Normal 3 4 5 9" xfId="43167" xr:uid="{00000000-0005-0000-0000-000096A80000}"/>
    <cellStyle name="Normal 3 4 5 9 10" xfId="43168" xr:uid="{00000000-0005-0000-0000-000097A80000}"/>
    <cellStyle name="Normal 3 4 5 9 10 2" xfId="43169" xr:uid="{00000000-0005-0000-0000-000098A80000}"/>
    <cellStyle name="Normal 3 4 5 9 10 3" xfId="43170" xr:uid="{00000000-0005-0000-0000-000099A80000}"/>
    <cellStyle name="Normal 3 4 5 9 11" xfId="43171" xr:uid="{00000000-0005-0000-0000-00009AA80000}"/>
    <cellStyle name="Normal 3 4 5 9 11 2" xfId="43172" xr:uid="{00000000-0005-0000-0000-00009BA80000}"/>
    <cellStyle name="Normal 3 4 5 9 11 3" xfId="43173" xr:uid="{00000000-0005-0000-0000-00009CA80000}"/>
    <cellStyle name="Normal 3 4 5 9 12" xfId="43174" xr:uid="{00000000-0005-0000-0000-00009DA80000}"/>
    <cellStyle name="Normal 3 4 5 9 12 2" xfId="43175" xr:uid="{00000000-0005-0000-0000-00009EA80000}"/>
    <cellStyle name="Normal 3 4 5 9 12 3" xfId="43176" xr:uid="{00000000-0005-0000-0000-00009FA80000}"/>
    <cellStyle name="Normal 3 4 5 9 13" xfId="43177" xr:uid="{00000000-0005-0000-0000-0000A0A80000}"/>
    <cellStyle name="Normal 3 4 5 9 13 2" xfId="43178" xr:uid="{00000000-0005-0000-0000-0000A1A80000}"/>
    <cellStyle name="Normal 3 4 5 9 13 3" xfId="43179" xr:uid="{00000000-0005-0000-0000-0000A2A80000}"/>
    <cellStyle name="Normal 3 4 5 9 14" xfId="43180" xr:uid="{00000000-0005-0000-0000-0000A3A80000}"/>
    <cellStyle name="Normal 3 4 5 9 14 2" xfId="43181" xr:uid="{00000000-0005-0000-0000-0000A4A80000}"/>
    <cellStyle name="Normal 3 4 5 9 14 3" xfId="43182" xr:uid="{00000000-0005-0000-0000-0000A5A80000}"/>
    <cellStyle name="Normal 3 4 5 9 15" xfId="43183" xr:uid="{00000000-0005-0000-0000-0000A6A80000}"/>
    <cellStyle name="Normal 3 4 5 9 16" xfId="43184" xr:uid="{00000000-0005-0000-0000-0000A7A80000}"/>
    <cellStyle name="Normal 3 4 5 9 2" xfId="43185" xr:uid="{00000000-0005-0000-0000-0000A8A80000}"/>
    <cellStyle name="Normal 3 4 5 9 2 2" xfId="43186" xr:uid="{00000000-0005-0000-0000-0000A9A80000}"/>
    <cellStyle name="Normal 3 4 5 9 2 3" xfId="43187" xr:uid="{00000000-0005-0000-0000-0000AAA80000}"/>
    <cellStyle name="Normal 3 4 5 9 3" xfId="43188" xr:uid="{00000000-0005-0000-0000-0000ABA80000}"/>
    <cellStyle name="Normal 3 4 5 9 3 2" xfId="43189" xr:uid="{00000000-0005-0000-0000-0000ACA80000}"/>
    <cellStyle name="Normal 3 4 5 9 3 3" xfId="43190" xr:uid="{00000000-0005-0000-0000-0000ADA80000}"/>
    <cellStyle name="Normal 3 4 5 9 4" xfId="43191" xr:uid="{00000000-0005-0000-0000-0000AEA80000}"/>
    <cellStyle name="Normal 3 4 5 9 4 2" xfId="43192" xr:uid="{00000000-0005-0000-0000-0000AFA80000}"/>
    <cellStyle name="Normal 3 4 5 9 4 3" xfId="43193" xr:uid="{00000000-0005-0000-0000-0000B0A80000}"/>
    <cellStyle name="Normal 3 4 5 9 5" xfId="43194" xr:uid="{00000000-0005-0000-0000-0000B1A80000}"/>
    <cellStyle name="Normal 3 4 5 9 5 2" xfId="43195" xr:uid="{00000000-0005-0000-0000-0000B2A80000}"/>
    <cellStyle name="Normal 3 4 5 9 5 3" xfId="43196" xr:uid="{00000000-0005-0000-0000-0000B3A80000}"/>
    <cellStyle name="Normal 3 4 5 9 6" xfId="43197" xr:uid="{00000000-0005-0000-0000-0000B4A80000}"/>
    <cellStyle name="Normal 3 4 5 9 6 2" xfId="43198" xr:uid="{00000000-0005-0000-0000-0000B5A80000}"/>
    <cellStyle name="Normal 3 4 5 9 6 3" xfId="43199" xr:uid="{00000000-0005-0000-0000-0000B6A80000}"/>
    <cellStyle name="Normal 3 4 5 9 7" xfId="43200" xr:uid="{00000000-0005-0000-0000-0000B7A80000}"/>
    <cellStyle name="Normal 3 4 5 9 7 2" xfId="43201" xr:uid="{00000000-0005-0000-0000-0000B8A80000}"/>
    <cellStyle name="Normal 3 4 5 9 7 3" xfId="43202" xr:uid="{00000000-0005-0000-0000-0000B9A80000}"/>
    <cellStyle name="Normal 3 4 5 9 8" xfId="43203" xr:uid="{00000000-0005-0000-0000-0000BAA80000}"/>
    <cellStyle name="Normal 3 4 5 9 8 2" xfId="43204" xr:uid="{00000000-0005-0000-0000-0000BBA80000}"/>
    <cellStyle name="Normal 3 4 5 9 8 3" xfId="43205" xr:uid="{00000000-0005-0000-0000-0000BCA80000}"/>
    <cellStyle name="Normal 3 4 5 9 9" xfId="43206" xr:uid="{00000000-0005-0000-0000-0000BDA80000}"/>
    <cellStyle name="Normal 3 4 5 9 9 2" xfId="43207" xr:uid="{00000000-0005-0000-0000-0000BEA80000}"/>
    <cellStyle name="Normal 3 4 5 9 9 3" xfId="43208" xr:uid="{00000000-0005-0000-0000-0000BFA80000}"/>
    <cellStyle name="Normal 3 4 6" xfId="43209" xr:uid="{00000000-0005-0000-0000-0000C0A80000}"/>
    <cellStyle name="Normal 3 4 6 10" xfId="43210" xr:uid="{00000000-0005-0000-0000-0000C1A80000}"/>
    <cellStyle name="Normal 3 4 6 10 10" xfId="43211" xr:uid="{00000000-0005-0000-0000-0000C2A80000}"/>
    <cellStyle name="Normal 3 4 6 10 10 2" xfId="43212" xr:uid="{00000000-0005-0000-0000-0000C3A80000}"/>
    <cellStyle name="Normal 3 4 6 10 10 3" xfId="43213" xr:uid="{00000000-0005-0000-0000-0000C4A80000}"/>
    <cellStyle name="Normal 3 4 6 10 11" xfId="43214" xr:uid="{00000000-0005-0000-0000-0000C5A80000}"/>
    <cellStyle name="Normal 3 4 6 10 11 2" xfId="43215" xr:uid="{00000000-0005-0000-0000-0000C6A80000}"/>
    <cellStyle name="Normal 3 4 6 10 11 3" xfId="43216" xr:uid="{00000000-0005-0000-0000-0000C7A80000}"/>
    <cellStyle name="Normal 3 4 6 10 12" xfId="43217" xr:uid="{00000000-0005-0000-0000-0000C8A80000}"/>
    <cellStyle name="Normal 3 4 6 10 12 2" xfId="43218" xr:uid="{00000000-0005-0000-0000-0000C9A80000}"/>
    <cellStyle name="Normal 3 4 6 10 12 3" xfId="43219" xr:uid="{00000000-0005-0000-0000-0000CAA80000}"/>
    <cellStyle name="Normal 3 4 6 10 13" xfId="43220" xr:uid="{00000000-0005-0000-0000-0000CBA80000}"/>
    <cellStyle name="Normal 3 4 6 10 13 2" xfId="43221" xr:uid="{00000000-0005-0000-0000-0000CCA80000}"/>
    <cellStyle name="Normal 3 4 6 10 13 3" xfId="43222" xr:uid="{00000000-0005-0000-0000-0000CDA80000}"/>
    <cellStyle name="Normal 3 4 6 10 14" xfId="43223" xr:uid="{00000000-0005-0000-0000-0000CEA80000}"/>
    <cellStyle name="Normal 3 4 6 10 14 2" xfId="43224" xr:uid="{00000000-0005-0000-0000-0000CFA80000}"/>
    <cellStyle name="Normal 3 4 6 10 14 3" xfId="43225" xr:uid="{00000000-0005-0000-0000-0000D0A80000}"/>
    <cellStyle name="Normal 3 4 6 10 15" xfId="43226" xr:uid="{00000000-0005-0000-0000-0000D1A80000}"/>
    <cellStyle name="Normal 3 4 6 10 16" xfId="43227" xr:uid="{00000000-0005-0000-0000-0000D2A80000}"/>
    <cellStyle name="Normal 3 4 6 10 2" xfId="43228" xr:uid="{00000000-0005-0000-0000-0000D3A80000}"/>
    <cellStyle name="Normal 3 4 6 10 2 2" xfId="43229" xr:uid="{00000000-0005-0000-0000-0000D4A80000}"/>
    <cellStyle name="Normal 3 4 6 10 2 3" xfId="43230" xr:uid="{00000000-0005-0000-0000-0000D5A80000}"/>
    <cellStyle name="Normal 3 4 6 10 3" xfId="43231" xr:uid="{00000000-0005-0000-0000-0000D6A80000}"/>
    <cellStyle name="Normal 3 4 6 10 3 2" xfId="43232" xr:uid="{00000000-0005-0000-0000-0000D7A80000}"/>
    <cellStyle name="Normal 3 4 6 10 3 3" xfId="43233" xr:uid="{00000000-0005-0000-0000-0000D8A80000}"/>
    <cellStyle name="Normal 3 4 6 10 4" xfId="43234" xr:uid="{00000000-0005-0000-0000-0000D9A80000}"/>
    <cellStyle name="Normal 3 4 6 10 4 2" xfId="43235" xr:uid="{00000000-0005-0000-0000-0000DAA80000}"/>
    <cellStyle name="Normal 3 4 6 10 4 3" xfId="43236" xr:uid="{00000000-0005-0000-0000-0000DBA80000}"/>
    <cellStyle name="Normal 3 4 6 10 5" xfId="43237" xr:uid="{00000000-0005-0000-0000-0000DCA80000}"/>
    <cellStyle name="Normal 3 4 6 10 5 2" xfId="43238" xr:uid="{00000000-0005-0000-0000-0000DDA80000}"/>
    <cellStyle name="Normal 3 4 6 10 5 3" xfId="43239" xr:uid="{00000000-0005-0000-0000-0000DEA80000}"/>
    <cellStyle name="Normal 3 4 6 10 6" xfId="43240" xr:uid="{00000000-0005-0000-0000-0000DFA80000}"/>
    <cellStyle name="Normal 3 4 6 10 6 2" xfId="43241" xr:uid="{00000000-0005-0000-0000-0000E0A80000}"/>
    <cellStyle name="Normal 3 4 6 10 6 3" xfId="43242" xr:uid="{00000000-0005-0000-0000-0000E1A80000}"/>
    <cellStyle name="Normal 3 4 6 10 7" xfId="43243" xr:uid="{00000000-0005-0000-0000-0000E2A80000}"/>
    <cellStyle name="Normal 3 4 6 10 7 2" xfId="43244" xr:uid="{00000000-0005-0000-0000-0000E3A80000}"/>
    <cellStyle name="Normal 3 4 6 10 7 3" xfId="43245" xr:uid="{00000000-0005-0000-0000-0000E4A80000}"/>
    <cellStyle name="Normal 3 4 6 10 8" xfId="43246" xr:uid="{00000000-0005-0000-0000-0000E5A80000}"/>
    <cellStyle name="Normal 3 4 6 10 8 2" xfId="43247" xr:uid="{00000000-0005-0000-0000-0000E6A80000}"/>
    <cellStyle name="Normal 3 4 6 10 8 3" xfId="43248" xr:uid="{00000000-0005-0000-0000-0000E7A80000}"/>
    <cellStyle name="Normal 3 4 6 10 9" xfId="43249" xr:uid="{00000000-0005-0000-0000-0000E8A80000}"/>
    <cellStyle name="Normal 3 4 6 10 9 2" xfId="43250" xr:uid="{00000000-0005-0000-0000-0000E9A80000}"/>
    <cellStyle name="Normal 3 4 6 10 9 3" xfId="43251" xr:uid="{00000000-0005-0000-0000-0000EAA80000}"/>
    <cellStyle name="Normal 3 4 6 11" xfId="43252" xr:uid="{00000000-0005-0000-0000-0000EBA80000}"/>
    <cellStyle name="Normal 3 4 6 11 10" xfId="43253" xr:uid="{00000000-0005-0000-0000-0000ECA80000}"/>
    <cellStyle name="Normal 3 4 6 11 10 2" xfId="43254" xr:uid="{00000000-0005-0000-0000-0000EDA80000}"/>
    <cellStyle name="Normal 3 4 6 11 10 3" xfId="43255" xr:uid="{00000000-0005-0000-0000-0000EEA80000}"/>
    <cellStyle name="Normal 3 4 6 11 11" xfId="43256" xr:uid="{00000000-0005-0000-0000-0000EFA80000}"/>
    <cellStyle name="Normal 3 4 6 11 11 2" xfId="43257" xr:uid="{00000000-0005-0000-0000-0000F0A80000}"/>
    <cellStyle name="Normal 3 4 6 11 11 3" xfId="43258" xr:uid="{00000000-0005-0000-0000-0000F1A80000}"/>
    <cellStyle name="Normal 3 4 6 11 12" xfId="43259" xr:uid="{00000000-0005-0000-0000-0000F2A80000}"/>
    <cellStyle name="Normal 3 4 6 11 12 2" xfId="43260" xr:uid="{00000000-0005-0000-0000-0000F3A80000}"/>
    <cellStyle name="Normal 3 4 6 11 12 3" xfId="43261" xr:uid="{00000000-0005-0000-0000-0000F4A80000}"/>
    <cellStyle name="Normal 3 4 6 11 13" xfId="43262" xr:uid="{00000000-0005-0000-0000-0000F5A80000}"/>
    <cellStyle name="Normal 3 4 6 11 13 2" xfId="43263" xr:uid="{00000000-0005-0000-0000-0000F6A80000}"/>
    <cellStyle name="Normal 3 4 6 11 13 3" xfId="43264" xr:uid="{00000000-0005-0000-0000-0000F7A80000}"/>
    <cellStyle name="Normal 3 4 6 11 14" xfId="43265" xr:uid="{00000000-0005-0000-0000-0000F8A80000}"/>
    <cellStyle name="Normal 3 4 6 11 14 2" xfId="43266" xr:uid="{00000000-0005-0000-0000-0000F9A80000}"/>
    <cellStyle name="Normal 3 4 6 11 14 3" xfId="43267" xr:uid="{00000000-0005-0000-0000-0000FAA80000}"/>
    <cellStyle name="Normal 3 4 6 11 15" xfId="43268" xr:uid="{00000000-0005-0000-0000-0000FBA80000}"/>
    <cellStyle name="Normal 3 4 6 11 16" xfId="43269" xr:uid="{00000000-0005-0000-0000-0000FCA80000}"/>
    <cellStyle name="Normal 3 4 6 11 2" xfId="43270" xr:uid="{00000000-0005-0000-0000-0000FDA80000}"/>
    <cellStyle name="Normal 3 4 6 11 2 2" xfId="43271" xr:uid="{00000000-0005-0000-0000-0000FEA80000}"/>
    <cellStyle name="Normal 3 4 6 11 2 3" xfId="43272" xr:uid="{00000000-0005-0000-0000-0000FFA80000}"/>
    <cellStyle name="Normal 3 4 6 11 3" xfId="43273" xr:uid="{00000000-0005-0000-0000-000000A90000}"/>
    <cellStyle name="Normal 3 4 6 11 3 2" xfId="43274" xr:uid="{00000000-0005-0000-0000-000001A90000}"/>
    <cellStyle name="Normal 3 4 6 11 3 3" xfId="43275" xr:uid="{00000000-0005-0000-0000-000002A90000}"/>
    <cellStyle name="Normal 3 4 6 11 4" xfId="43276" xr:uid="{00000000-0005-0000-0000-000003A90000}"/>
    <cellStyle name="Normal 3 4 6 11 4 2" xfId="43277" xr:uid="{00000000-0005-0000-0000-000004A90000}"/>
    <cellStyle name="Normal 3 4 6 11 4 3" xfId="43278" xr:uid="{00000000-0005-0000-0000-000005A90000}"/>
    <cellStyle name="Normal 3 4 6 11 5" xfId="43279" xr:uid="{00000000-0005-0000-0000-000006A90000}"/>
    <cellStyle name="Normal 3 4 6 11 5 2" xfId="43280" xr:uid="{00000000-0005-0000-0000-000007A90000}"/>
    <cellStyle name="Normal 3 4 6 11 5 3" xfId="43281" xr:uid="{00000000-0005-0000-0000-000008A90000}"/>
    <cellStyle name="Normal 3 4 6 11 6" xfId="43282" xr:uid="{00000000-0005-0000-0000-000009A90000}"/>
    <cellStyle name="Normal 3 4 6 11 6 2" xfId="43283" xr:uid="{00000000-0005-0000-0000-00000AA90000}"/>
    <cellStyle name="Normal 3 4 6 11 6 3" xfId="43284" xr:uid="{00000000-0005-0000-0000-00000BA90000}"/>
    <cellStyle name="Normal 3 4 6 11 7" xfId="43285" xr:uid="{00000000-0005-0000-0000-00000CA90000}"/>
    <cellStyle name="Normal 3 4 6 11 7 2" xfId="43286" xr:uid="{00000000-0005-0000-0000-00000DA90000}"/>
    <cellStyle name="Normal 3 4 6 11 7 3" xfId="43287" xr:uid="{00000000-0005-0000-0000-00000EA90000}"/>
    <cellStyle name="Normal 3 4 6 11 8" xfId="43288" xr:uid="{00000000-0005-0000-0000-00000FA90000}"/>
    <cellStyle name="Normal 3 4 6 11 8 2" xfId="43289" xr:uid="{00000000-0005-0000-0000-000010A90000}"/>
    <cellStyle name="Normal 3 4 6 11 8 3" xfId="43290" xr:uid="{00000000-0005-0000-0000-000011A90000}"/>
    <cellStyle name="Normal 3 4 6 11 9" xfId="43291" xr:uid="{00000000-0005-0000-0000-000012A90000}"/>
    <cellStyle name="Normal 3 4 6 11 9 2" xfId="43292" xr:uid="{00000000-0005-0000-0000-000013A90000}"/>
    <cellStyle name="Normal 3 4 6 11 9 3" xfId="43293" xr:uid="{00000000-0005-0000-0000-000014A90000}"/>
    <cellStyle name="Normal 3 4 6 12" xfId="43294" xr:uid="{00000000-0005-0000-0000-000015A90000}"/>
    <cellStyle name="Normal 3 4 6 12 10" xfId="43295" xr:uid="{00000000-0005-0000-0000-000016A90000}"/>
    <cellStyle name="Normal 3 4 6 12 10 2" xfId="43296" xr:uid="{00000000-0005-0000-0000-000017A90000}"/>
    <cellStyle name="Normal 3 4 6 12 10 3" xfId="43297" xr:uid="{00000000-0005-0000-0000-000018A90000}"/>
    <cellStyle name="Normal 3 4 6 12 11" xfId="43298" xr:uid="{00000000-0005-0000-0000-000019A90000}"/>
    <cellStyle name="Normal 3 4 6 12 11 2" xfId="43299" xr:uid="{00000000-0005-0000-0000-00001AA90000}"/>
    <cellStyle name="Normal 3 4 6 12 11 3" xfId="43300" xr:uid="{00000000-0005-0000-0000-00001BA90000}"/>
    <cellStyle name="Normal 3 4 6 12 12" xfId="43301" xr:uid="{00000000-0005-0000-0000-00001CA90000}"/>
    <cellStyle name="Normal 3 4 6 12 12 2" xfId="43302" xr:uid="{00000000-0005-0000-0000-00001DA90000}"/>
    <cellStyle name="Normal 3 4 6 12 12 3" xfId="43303" xr:uid="{00000000-0005-0000-0000-00001EA90000}"/>
    <cellStyle name="Normal 3 4 6 12 13" xfId="43304" xr:uid="{00000000-0005-0000-0000-00001FA90000}"/>
    <cellStyle name="Normal 3 4 6 12 13 2" xfId="43305" xr:uid="{00000000-0005-0000-0000-000020A90000}"/>
    <cellStyle name="Normal 3 4 6 12 13 3" xfId="43306" xr:uid="{00000000-0005-0000-0000-000021A90000}"/>
    <cellStyle name="Normal 3 4 6 12 14" xfId="43307" xr:uid="{00000000-0005-0000-0000-000022A90000}"/>
    <cellStyle name="Normal 3 4 6 12 14 2" xfId="43308" xr:uid="{00000000-0005-0000-0000-000023A90000}"/>
    <cellStyle name="Normal 3 4 6 12 14 3" xfId="43309" xr:uid="{00000000-0005-0000-0000-000024A90000}"/>
    <cellStyle name="Normal 3 4 6 12 15" xfId="43310" xr:uid="{00000000-0005-0000-0000-000025A90000}"/>
    <cellStyle name="Normal 3 4 6 12 16" xfId="43311" xr:uid="{00000000-0005-0000-0000-000026A90000}"/>
    <cellStyle name="Normal 3 4 6 12 2" xfId="43312" xr:uid="{00000000-0005-0000-0000-000027A90000}"/>
    <cellStyle name="Normal 3 4 6 12 2 2" xfId="43313" xr:uid="{00000000-0005-0000-0000-000028A90000}"/>
    <cellStyle name="Normal 3 4 6 12 2 3" xfId="43314" xr:uid="{00000000-0005-0000-0000-000029A90000}"/>
    <cellStyle name="Normal 3 4 6 12 3" xfId="43315" xr:uid="{00000000-0005-0000-0000-00002AA90000}"/>
    <cellStyle name="Normal 3 4 6 12 3 2" xfId="43316" xr:uid="{00000000-0005-0000-0000-00002BA90000}"/>
    <cellStyle name="Normal 3 4 6 12 3 3" xfId="43317" xr:uid="{00000000-0005-0000-0000-00002CA90000}"/>
    <cellStyle name="Normal 3 4 6 12 4" xfId="43318" xr:uid="{00000000-0005-0000-0000-00002DA90000}"/>
    <cellStyle name="Normal 3 4 6 12 4 2" xfId="43319" xr:uid="{00000000-0005-0000-0000-00002EA90000}"/>
    <cellStyle name="Normal 3 4 6 12 4 3" xfId="43320" xr:uid="{00000000-0005-0000-0000-00002FA90000}"/>
    <cellStyle name="Normal 3 4 6 12 5" xfId="43321" xr:uid="{00000000-0005-0000-0000-000030A90000}"/>
    <cellStyle name="Normal 3 4 6 12 5 2" xfId="43322" xr:uid="{00000000-0005-0000-0000-000031A90000}"/>
    <cellStyle name="Normal 3 4 6 12 5 3" xfId="43323" xr:uid="{00000000-0005-0000-0000-000032A90000}"/>
    <cellStyle name="Normal 3 4 6 12 6" xfId="43324" xr:uid="{00000000-0005-0000-0000-000033A90000}"/>
    <cellStyle name="Normal 3 4 6 12 6 2" xfId="43325" xr:uid="{00000000-0005-0000-0000-000034A90000}"/>
    <cellStyle name="Normal 3 4 6 12 6 3" xfId="43326" xr:uid="{00000000-0005-0000-0000-000035A90000}"/>
    <cellStyle name="Normal 3 4 6 12 7" xfId="43327" xr:uid="{00000000-0005-0000-0000-000036A90000}"/>
    <cellStyle name="Normal 3 4 6 12 7 2" xfId="43328" xr:uid="{00000000-0005-0000-0000-000037A90000}"/>
    <cellStyle name="Normal 3 4 6 12 7 3" xfId="43329" xr:uid="{00000000-0005-0000-0000-000038A90000}"/>
    <cellStyle name="Normal 3 4 6 12 8" xfId="43330" xr:uid="{00000000-0005-0000-0000-000039A90000}"/>
    <cellStyle name="Normal 3 4 6 12 8 2" xfId="43331" xr:uid="{00000000-0005-0000-0000-00003AA90000}"/>
    <cellStyle name="Normal 3 4 6 12 8 3" xfId="43332" xr:uid="{00000000-0005-0000-0000-00003BA90000}"/>
    <cellStyle name="Normal 3 4 6 12 9" xfId="43333" xr:uid="{00000000-0005-0000-0000-00003CA90000}"/>
    <cellStyle name="Normal 3 4 6 12 9 2" xfId="43334" xr:uid="{00000000-0005-0000-0000-00003DA90000}"/>
    <cellStyle name="Normal 3 4 6 12 9 3" xfId="43335" xr:uid="{00000000-0005-0000-0000-00003EA90000}"/>
    <cellStyle name="Normal 3 4 6 13" xfId="43336" xr:uid="{00000000-0005-0000-0000-00003FA90000}"/>
    <cellStyle name="Normal 3 4 6 13 10" xfId="43337" xr:uid="{00000000-0005-0000-0000-000040A90000}"/>
    <cellStyle name="Normal 3 4 6 13 10 2" xfId="43338" xr:uid="{00000000-0005-0000-0000-000041A90000}"/>
    <cellStyle name="Normal 3 4 6 13 10 3" xfId="43339" xr:uid="{00000000-0005-0000-0000-000042A90000}"/>
    <cellStyle name="Normal 3 4 6 13 11" xfId="43340" xr:uid="{00000000-0005-0000-0000-000043A90000}"/>
    <cellStyle name="Normal 3 4 6 13 11 2" xfId="43341" xr:uid="{00000000-0005-0000-0000-000044A90000}"/>
    <cellStyle name="Normal 3 4 6 13 11 3" xfId="43342" xr:uid="{00000000-0005-0000-0000-000045A90000}"/>
    <cellStyle name="Normal 3 4 6 13 12" xfId="43343" xr:uid="{00000000-0005-0000-0000-000046A90000}"/>
    <cellStyle name="Normal 3 4 6 13 12 2" xfId="43344" xr:uid="{00000000-0005-0000-0000-000047A90000}"/>
    <cellStyle name="Normal 3 4 6 13 12 3" xfId="43345" xr:uid="{00000000-0005-0000-0000-000048A90000}"/>
    <cellStyle name="Normal 3 4 6 13 13" xfId="43346" xr:uid="{00000000-0005-0000-0000-000049A90000}"/>
    <cellStyle name="Normal 3 4 6 13 13 2" xfId="43347" xr:uid="{00000000-0005-0000-0000-00004AA90000}"/>
    <cellStyle name="Normal 3 4 6 13 13 3" xfId="43348" xr:uid="{00000000-0005-0000-0000-00004BA90000}"/>
    <cellStyle name="Normal 3 4 6 13 14" xfId="43349" xr:uid="{00000000-0005-0000-0000-00004CA90000}"/>
    <cellStyle name="Normal 3 4 6 13 14 2" xfId="43350" xr:uid="{00000000-0005-0000-0000-00004DA90000}"/>
    <cellStyle name="Normal 3 4 6 13 14 3" xfId="43351" xr:uid="{00000000-0005-0000-0000-00004EA90000}"/>
    <cellStyle name="Normal 3 4 6 13 15" xfId="43352" xr:uid="{00000000-0005-0000-0000-00004FA90000}"/>
    <cellStyle name="Normal 3 4 6 13 16" xfId="43353" xr:uid="{00000000-0005-0000-0000-000050A90000}"/>
    <cellStyle name="Normal 3 4 6 13 2" xfId="43354" xr:uid="{00000000-0005-0000-0000-000051A90000}"/>
    <cellStyle name="Normal 3 4 6 13 2 2" xfId="43355" xr:uid="{00000000-0005-0000-0000-000052A90000}"/>
    <cellStyle name="Normal 3 4 6 13 2 3" xfId="43356" xr:uid="{00000000-0005-0000-0000-000053A90000}"/>
    <cellStyle name="Normal 3 4 6 13 3" xfId="43357" xr:uid="{00000000-0005-0000-0000-000054A90000}"/>
    <cellStyle name="Normal 3 4 6 13 3 2" xfId="43358" xr:uid="{00000000-0005-0000-0000-000055A90000}"/>
    <cellStyle name="Normal 3 4 6 13 3 3" xfId="43359" xr:uid="{00000000-0005-0000-0000-000056A90000}"/>
    <cellStyle name="Normal 3 4 6 13 4" xfId="43360" xr:uid="{00000000-0005-0000-0000-000057A90000}"/>
    <cellStyle name="Normal 3 4 6 13 4 2" xfId="43361" xr:uid="{00000000-0005-0000-0000-000058A90000}"/>
    <cellStyle name="Normal 3 4 6 13 4 3" xfId="43362" xr:uid="{00000000-0005-0000-0000-000059A90000}"/>
    <cellStyle name="Normal 3 4 6 13 5" xfId="43363" xr:uid="{00000000-0005-0000-0000-00005AA90000}"/>
    <cellStyle name="Normal 3 4 6 13 5 2" xfId="43364" xr:uid="{00000000-0005-0000-0000-00005BA90000}"/>
    <cellStyle name="Normal 3 4 6 13 5 3" xfId="43365" xr:uid="{00000000-0005-0000-0000-00005CA90000}"/>
    <cellStyle name="Normal 3 4 6 13 6" xfId="43366" xr:uid="{00000000-0005-0000-0000-00005DA90000}"/>
    <cellStyle name="Normal 3 4 6 13 6 2" xfId="43367" xr:uid="{00000000-0005-0000-0000-00005EA90000}"/>
    <cellStyle name="Normal 3 4 6 13 6 3" xfId="43368" xr:uid="{00000000-0005-0000-0000-00005FA90000}"/>
    <cellStyle name="Normal 3 4 6 13 7" xfId="43369" xr:uid="{00000000-0005-0000-0000-000060A90000}"/>
    <cellStyle name="Normal 3 4 6 13 7 2" xfId="43370" xr:uid="{00000000-0005-0000-0000-000061A90000}"/>
    <cellStyle name="Normal 3 4 6 13 7 3" xfId="43371" xr:uid="{00000000-0005-0000-0000-000062A90000}"/>
    <cellStyle name="Normal 3 4 6 13 8" xfId="43372" xr:uid="{00000000-0005-0000-0000-000063A90000}"/>
    <cellStyle name="Normal 3 4 6 13 8 2" xfId="43373" xr:uid="{00000000-0005-0000-0000-000064A90000}"/>
    <cellStyle name="Normal 3 4 6 13 8 3" xfId="43374" xr:uid="{00000000-0005-0000-0000-000065A90000}"/>
    <cellStyle name="Normal 3 4 6 13 9" xfId="43375" xr:uid="{00000000-0005-0000-0000-000066A90000}"/>
    <cellStyle name="Normal 3 4 6 13 9 2" xfId="43376" xr:uid="{00000000-0005-0000-0000-000067A90000}"/>
    <cellStyle name="Normal 3 4 6 13 9 3" xfId="43377" xr:uid="{00000000-0005-0000-0000-000068A90000}"/>
    <cellStyle name="Normal 3 4 6 14" xfId="43378" xr:uid="{00000000-0005-0000-0000-000069A90000}"/>
    <cellStyle name="Normal 3 4 6 14 10" xfId="43379" xr:uid="{00000000-0005-0000-0000-00006AA90000}"/>
    <cellStyle name="Normal 3 4 6 14 10 2" xfId="43380" xr:uid="{00000000-0005-0000-0000-00006BA90000}"/>
    <cellStyle name="Normal 3 4 6 14 10 3" xfId="43381" xr:uid="{00000000-0005-0000-0000-00006CA90000}"/>
    <cellStyle name="Normal 3 4 6 14 11" xfId="43382" xr:uid="{00000000-0005-0000-0000-00006DA90000}"/>
    <cellStyle name="Normal 3 4 6 14 11 2" xfId="43383" xr:uid="{00000000-0005-0000-0000-00006EA90000}"/>
    <cellStyle name="Normal 3 4 6 14 11 3" xfId="43384" xr:uid="{00000000-0005-0000-0000-00006FA90000}"/>
    <cellStyle name="Normal 3 4 6 14 12" xfId="43385" xr:uid="{00000000-0005-0000-0000-000070A90000}"/>
    <cellStyle name="Normal 3 4 6 14 12 2" xfId="43386" xr:uid="{00000000-0005-0000-0000-000071A90000}"/>
    <cellStyle name="Normal 3 4 6 14 12 3" xfId="43387" xr:uid="{00000000-0005-0000-0000-000072A90000}"/>
    <cellStyle name="Normal 3 4 6 14 13" xfId="43388" xr:uid="{00000000-0005-0000-0000-000073A90000}"/>
    <cellStyle name="Normal 3 4 6 14 13 2" xfId="43389" xr:uid="{00000000-0005-0000-0000-000074A90000}"/>
    <cellStyle name="Normal 3 4 6 14 13 3" xfId="43390" xr:uid="{00000000-0005-0000-0000-000075A90000}"/>
    <cellStyle name="Normal 3 4 6 14 14" xfId="43391" xr:uid="{00000000-0005-0000-0000-000076A90000}"/>
    <cellStyle name="Normal 3 4 6 14 14 2" xfId="43392" xr:uid="{00000000-0005-0000-0000-000077A90000}"/>
    <cellStyle name="Normal 3 4 6 14 14 3" xfId="43393" xr:uid="{00000000-0005-0000-0000-000078A90000}"/>
    <cellStyle name="Normal 3 4 6 14 15" xfId="43394" xr:uid="{00000000-0005-0000-0000-000079A90000}"/>
    <cellStyle name="Normal 3 4 6 14 16" xfId="43395" xr:uid="{00000000-0005-0000-0000-00007AA90000}"/>
    <cellStyle name="Normal 3 4 6 14 2" xfId="43396" xr:uid="{00000000-0005-0000-0000-00007BA90000}"/>
    <cellStyle name="Normal 3 4 6 14 2 2" xfId="43397" xr:uid="{00000000-0005-0000-0000-00007CA90000}"/>
    <cellStyle name="Normal 3 4 6 14 2 3" xfId="43398" xr:uid="{00000000-0005-0000-0000-00007DA90000}"/>
    <cellStyle name="Normal 3 4 6 14 3" xfId="43399" xr:uid="{00000000-0005-0000-0000-00007EA90000}"/>
    <cellStyle name="Normal 3 4 6 14 3 2" xfId="43400" xr:uid="{00000000-0005-0000-0000-00007FA90000}"/>
    <cellStyle name="Normal 3 4 6 14 3 3" xfId="43401" xr:uid="{00000000-0005-0000-0000-000080A90000}"/>
    <cellStyle name="Normal 3 4 6 14 4" xfId="43402" xr:uid="{00000000-0005-0000-0000-000081A90000}"/>
    <cellStyle name="Normal 3 4 6 14 4 2" xfId="43403" xr:uid="{00000000-0005-0000-0000-000082A90000}"/>
    <cellStyle name="Normal 3 4 6 14 4 3" xfId="43404" xr:uid="{00000000-0005-0000-0000-000083A90000}"/>
    <cellStyle name="Normal 3 4 6 14 5" xfId="43405" xr:uid="{00000000-0005-0000-0000-000084A90000}"/>
    <cellStyle name="Normal 3 4 6 14 5 2" xfId="43406" xr:uid="{00000000-0005-0000-0000-000085A90000}"/>
    <cellStyle name="Normal 3 4 6 14 5 3" xfId="43407" xr:uid="{00000000-0005-0000-0000-000086A90000}"/>
    <cellStyle name="Normal 3 4 6 14 6" xfId="43408" xr:uid="{00000000-0005-0000-0000-000087A90000}"/>
    <cellStyle name="Normal 3 4 6 14 6 2" xfId="43409" xr:uid="{00000000-0005-0000-0000-000088A90000}"/>
    <cellStyle name="Normal 3 4 6 14 6 3" xfId="43410" xr:uid="{00000000-0005-0000-0000-000089A90000}"/>
    <cellStyle name="Normal 3 4 6 14 7" xfId="43411" xr:uid="{00000000-0005-0000-0000-00008AA90000}"/>
    <cellStyle name="Normal 3 4 6 14 7 2" xfId="43412" xr:uid="{00000000-0005-0000-0000-00008BA90000}"/>
    <cellStyle name="Normal 3 4 6 14 7 3" xfId="43413" xr:uid="{00000000-0005-0000-0000-00008CA90000}"/>
    <cellStyle name="Normal 3 4 6 14 8" xfId="43414" xr:uid="{00000000-0005-0000-0000-00008DA90000}"/>
    <cellStyle name="Normal 3 4 6 14 8 2" xfId="43415" xr:uid="{00000000-0005-0000-0000-00008EA90000}"/>
    <cellStyle name="Normal 3 4 6 14 8 3" xfId="43416" xr:uid="{00000000-0005-0000-0000-00008FA90000}"/>
    <cellStyle name="Normal 3 4 6 14 9" xfId="43417" xr:uid="{00000000-0005-0000-0000-000090A90000}"/>
    <cellStyle name="Normal 3 4 6 14 9 2" xfId="43418" xr:uid="{00000000-0005-0000-0000-000091A90000}"/>
    <cellStyle name="Normal 3 4 6 14 9 3" xfId="43419" xr:uid="{00000000-0005-0000-0000-000092A90000}"/>
    <cellStyle name="Normal 3 4 6 15" xfId="43420" xr:uid="{00000000-0005-0000-0000-000093A90000}"/>
    <cellStyle name="Normal 3 4 6 15 2" xfId="43421" xr:uid="{00000000-0005-0000-0000-000094A90000}"/>
    <cellStyle name="Normal 3 4 6 15 3" xfId="43422" xr:uid="{00000000-0005-0000-0000-000095A90000}"/>
    <cellStyle name="Normal 3 4 6 16" xfId="43423" xr:uid="{00000000-0005-0000-0000-000096A90000}"/>
    <cellStyle name="Normal 3 4 6 16 2" xfId="43424" xr:uid="{00000000-0005-0000-0000-000097A90000}"/>
    <cellStyle name="Normal 3 4 6 16 3" xfId="43425" xr:uid="{00000000-0005-0000-0000-000098A90000}"/>
    <cellStyle name="Normal 3 4 6 17" xfId="43426" xr:uid="{00000000-0005-0000-0000-000099A90000}"/>
    <cellStyle name="Normal 3 4 6 17 2" xfId="43427" xr:uid="{00000000-0005-0000-0000-00009AA90000}"/>
    <cellStyle name="Normal 3 4 6 17 3" xfId="43428" xr:uid="{00000000-0005-0000-0000-00009BA90000}"/>
    <cellStyle name="Normal 3 4 6 18" xfId="43429" xr:uid="{00000000-0005-0000-0000-00009CA90000}"/>
    <cellStyle name="Normal 3 4 6 18 2" xfId="43430" xr:uid="{00000000-0005-0000-0000-00009DA90000}"/>
    <cellStyle name="Normal 3 4 6 18 3" xfId="43431" xr:uid="{00000000-0005-0000-0000-00009EA90000}"/>
    <cellStyle name="Normal 3 4 6 19" xfId="43432" xr:uid="{00000000-0005-0000-0000-00009FA90000}"/>
    <cellStyle name="Normal 3 4 6 19 2" xfId="43433" xr:uid="{00000000-0005-0000-0000-0000A0A90000}"/>
    <cellStyle name="Normal 3 4 6 19 3" xfId="43434" xr:uid="{00000000-0005-0000-0000-0000A1A90000}"/>
    <cellStyle name="Normal 3 4 6 2" xfId="43435" xr:uid="{00000000-0005-0000-0000-0000A2A90000}"/>
    <cellStyle name="Normal 3 4 6 20" xfId="43436" xr:uid="{00000000-0005-0000-0000-0000A3A90000}"/>
    <cellStyle name="Normal 3 4 6 20 2" xfId="43437" xr:uid="{00000000-0005-0000-0000-0000A4A90000}"/>
    <cellStyle name="Normal 3 4 6 20 3" xfId="43438" xr:uid="{00000000-0005-0000-0000-0000A5A90000}"/>
    <cellStyle name="Normal 3 4 6 21" xfId="43439" xr:uid="{00000000-0005-0000-0000-0000A6A90000}"/>
    <cellStyle name="Normal 3 4 6 21 2" xfId="43440" xr:uid="{00000000-0005-0000-0000-0000A7A90000}"/>
    <cellStyle name="Normal 3 4 6 21 3" xfId="43441" xr:uid="{00000000-0005-0000-0000-0000A8A90000}"/>
    <cellStyle name="Normal 3 4 6 22" xfId="43442" xr:uid="{00000000-0005-0000-0000-0000A9A90000}"/>
    <cellStyle name="Normal 3 4 6 22 2" xfId="43443" xr:uid="{00000000-0005-0000-0000-0000AAA90000}"/>
    <cellStyle name="Normal 3 4 6 22 3" xfId="43444" xr:uid="{00000000-0005-0000-0000-0000ABA90000}"/>
    <cellStyle name="Normal 3 4 6 23" xfId="43445" xr:uid="{00000000-0005-0000-0000-0000ACA90000}"/>
    <cellStyle name="Normal 3 4 6 23 2" xfId="43446" xr:uid="{00000000-0005-0000-0000-0000ADA90000}"/>
    <cellStyle name="Normal 3 4 6 23 3" xfId="43447" xr:uid="{00000000-0005-0000-0000-0000AEA90000}"/>
    <cellStyle name="Normal 3 4 6 24" xfId="43448" xr:uid="{00000000-0005-0000-0000-0000AFA90000}"/>
    <cellStyle name="Normal 3 4 6 24 2" xfId="43449" xr:uid="{00000000-0005-0000-0000-0000B0A90000}"/>
    <cellStyle name="Normal 3 4 6 24 3" xfId="43450" xr:uid="{00000000-0005-0000-0000-0000B1A90000}"/>
    <cellStyle name="Normal 3 4 6 25" xfId="43451" xr:uid="{00000000-0005-0000-0000-0000B2A90000}"/>
    <cellStyle name="Normal 3 4 6 25 2" xfId="43452" xr:uid="{00000000-0005-0000-0000-0000B3A90000}"/>
    <cellStyle name="Normal 3 4 6 25 3" xfId="43453" xr:uid="{00000000-0005-0000-0000-0000B4A90000}"/>
    <cellStyle name="Normal 3 4 6 26" xfId="43454" xr:uid="{00000000-0005-0000-0000-0000B5A90000}"/>
    <cellStyle name="Normal 3 4 6 26 2" xfId="43455" xr:uid="{00000000-0005-0000-0000-0000B6A90000}"/>
    <cellStyle name="Normal 3 4 6 26 3" xfId="43456" xr:uid="{00000000-0005-0000-0000-0000B7A90000}"/>
    <cellStyle name="Normal 3 4 6 27" xfId="43457" xr:uid="{00000000-0005-0000-0000-0000B8A90000}"/>
    <cellStyle name="Normal 3 4 6 27 2" xfId="43458" xr:uid="{00000000-0005-0000-0000-0000B9A90000}"/>
    <cellStyle name="Normal 3 4 6 27 3" xfId="43459" xr:uid="{00000000-0005-0000-0000-0000BAA90000}"/>
    <cellStyle name="Normal 3 4 6 28" xfId="43460" xr:uid="{00000000-0005-0000-0000-0000BBA90000}"/>
    <cellStyle name="Normal 3 4 6 29" xfId="43461" xr:uid="{00000000-0005-0000-0000-0000BCA90000}"/>
    <cellStyle name="Normal 3 4 6 3" xfId="43462" xr:uid="{00000000-0005-0000-0000-0000BDA90000}"/>
    <cellStyle name="Normal 3 4 6 4" xfId="43463" xr:uid="{00000000-0005-0000-0000-0000BEA90000}"/>
    <cellStyle name="Normal 3 4 6 5" xfId="43464" xr:uid="{00000000-0005-0000-0000-0000BFA90000}"/>
    <cellStyle name="Normal 3 4 6 6" xfId="43465" xr:uid="{00000000-0005-0000-0000-0000C0A90000}"/>
    <cellStyle name="Normal 3 4 6 6 10" xfId="43466" xr:uid="{00000000-0005-0000-0000-0000C1A90000}"/>
    <cellStyle name="Normal 3 4 6 6 10 2" xfId="43467" xr:uid="{00000000-0005-0000-0000-0000C2A90000}"/>
    <cellStyle name="Normal 3 4 6 6 10 3" xfId="43468" xr:uid="{00000000-0005-0000-0000-0000C3A90000}"/>
    <cellStyle name="Normal 3 4 6 6 11" xfId="43469" xr:uid="{00000000-0005-0000-0000-0000C4A90000}"/>
    <cellStyle name="Normal 3 4 6 6 11 2" xfId="43470" xr:uid="{00000000-0005-0000-0000-0000C5A90000}"/>
    <cellStyle name="Normal 3 4 6 6 11 3" xfId="43471" xr:uid="{00000000-0005-0000-0000-0000C6A90000}"/>
    <cellStyle name="Normal 3 4 6 6 12" xfId="43472" xr:uid="{00000000-0005-0000-0000-0000C7A90000}"/>
    <cellStyle name="Normal 3 4 6 6 12 2" xfId="43473" xr:uid="{00000000-0005-0000-0000-0000C8A90000}"/>
    <cellStyle name="Normal 3 4 6 6 12 3" xfId="43474" xr:uid="{00000000-0005-0000-0000-0000C9A90000}"/>
    <cellStyle name="Normal 3 4 6 6 13" xfId="43475" xr:uid="{00000000-0005-0000-0000-0000CAA90000}"/>
    <cellStyle name="Normal 3 4 6 6 13 2" xfId="43476" xr:uid="{00000000-0005-0000-0000-0000CBA90000}"/>
    <cellStyle name="Normal 3 4 6 6 13 3" xfId="43477" xr:uid="{00000000-0005-0000-0000-0000CCA90000}"/>
    <cellStyle name="Normal 3 4 6 6 14" xfId="43478" xr:uid="{00000000-0005-0000-0000-0000CDA90000}"/>
    <cellStyle name="Normal 3 4 6 6 14 2" xfId="43479" xr:uid="{00000000-0005-0000-0000-0000CEA90000}"/>
    <cellStyle name="Normal 3 4 6 6 14 3" xfId="43480" xr:uid="{00000000-0005-0000-0000-0000CFA90000}"/>
    <cellStyle name="Normal 3 4 6 6 15" xfId="43481" xr:uid="{00000000-0005-0000-0000-0000D0A90000}"/>
    <cellStyle name="Normal 3 4 6 6 15 2" xfId="43482" xr:uid="{00000000-0005-0000-0000-0000D1A90000}"/>
    <cellStyle name="Normal 3 4 6 6 15 3" xfId="43483" xr:uid="{00000000-0005-0000-0000-0000D2A90000}"/>
    <cellStyle name="Normal 3 4 6 6 16" xfId="43484" xr:uid="{00000000-0005-0000-0000-0000D3A90000}"/>
    <cellStyle name="Normal 3 4 6 6 17" xfId="43485" xr:uid="{00000000-0005-0000-0000-0000D4A90000}"/>
    <cellStyle name="Normal 3 4 6 6 2" xfId="43486" xr:uid="{00000000-0005-0000-0000-0000D5A90000}"/>
    <cellStyle name="Normal 3 4 6 6 2 10" xfId="43487" xr:uid="{00000000-0005-0000-0000-0000D6A90000}"/>
    <cellStyle name="Normal 3 4 6 6 2 10 2" xfId="43488" xr:uid="{00000000-0005-0000-0000-0000D7A90000}"/>
    <cellStyle name="Normal 3 4 6 6 2 10 3" xfId="43489" xr:uid="{00000000-0005-0000-0000-0000D8A90000}"/>
    <cellStyle name="Normal 3 4 6 6 2 11" xfId="43490" xr:uid="{00000000-0005-0000-0000-0000D9A90000}"/>
    <cellStyle name="Normal 3 4 6 6 2 11 2" xfId="43491" xr:uid="{00000000-0005-0000-0000-0000DAA90000}"/>
    <cellStyle name="Normal 3 4 6 6 2 11 3" xfId="43492" xr:uid="{00000000-0005-0000-0000-0000DBA90000}"/>
    <cellStyle name="Normal 3 4 6 6 2 12" xfId="43493" xr:uid="{00000000-0005-0000-0000-0000DCA90000}"/>
    <cellStyle name="Normal 3 4 6 6 2 12 2" xfId="43494" xr:uid="{00000000-0005-0000-0000-0000DDA90000}"/>
    <cellStyle name="Normal 3 4 6 6 2 12 3" xfId="43495" xr:uid="{00000000-0005-0000-0000-0000DEA90000}"/>
    <cellStyle name="Normal 3 4 6 6 2 13" xfId="43496" xr:uid="{00000000-0005-0000-0000-0000DFA90000}"/>
    <cellStyle name="Normal 3 4 6 6 2 13 2" xfId="43497" xr:uid="{00000000-0005-0000-0000-0000E0A90000}"/>
    <cellStyle name="Normal 3 4 6 6 2 13 3" xfId="43498" xr:uid="{00000000-0005-0000-0000-0000E1A90000}"/>
    <cellStyle name="Normal 3 4 6 6 2 14" xfId="43499" xr:uid="{00000000-0005-0000-0000-0000E2A90000}"/>
    <cellStyle name="Normal 3 4 6 6 2 14 2" xfId="43500" xr:uid="{00000000-0005-0000-0000-0000E3A90000}"/>
    <cellStyle name="Normal 3 4 6 6 2 14 3" xfId="43501" xr:uid="{00000000-0005-0000-0000-0000E4A90000}"/>
    <cellStyle name="Normal 3 4 6 6 2 15" xfId="43502" xr:uid="{00000000-0005-0000-0000-0000E5A90000}"/>
    <cellStyle name="Normal 3 4 6 6 2 16" xfId="43503" xr:uid="{00000000-0005-0000-0000-0000E6A90000}"/>
    <cellStyle name="Normal 3 4 6 6 2 2" xfId="43504" xr:uid="{00000000-0005-0000-0000-0000E7A90000}"/>
    <cellStyle name="Normal 3 4 6 6 2 2 2" xfId="43505" xr:uid="{00000000-0005-0000-0000-0000E8A90000}"/>
    <cellStyle name="Normal 3 4 6 6 2 2 3" xfId="43506" xr:uid="{00000000-0005-0000-0000-0000E9A90000}"/>
    <cellStyle name="Normal 3 4 6 6 2 3" xfId="43507" xr:uid="{00000000-0005-0000-0000-0000EAA90000}"/>
    <cellStyle name="Normal 3 4 6 6 2 3 2" xfId="43508" xr:uid="{00000000-0005-0000-0000-0000EBA90000}"/>
    <cellStyle name="Normal 3 4 6 6 2 3 3" xfId="43509" xr:uid="{00000000-0005-0000-0000-0000ECA90000}"/>
    <cellStyle name="Normal 3 4 6 6 2 4" xfId="43510" xr:uid="{00000000-0005-0000-0000-0000EDA90000}"/>
    <cellStyle name="Normal 3 4 6 6 2 4 2" xfId="43511" xr:uid="{00000000-0005-0000-0000-0000EEA90000}"/>
    <cellStyle name="Normal 3 4 6 6 2 4 3" xfId="43512" xr:uid="{00000000-0005-0000-0000-0000EFA90000}"/>
    <cellStyle name="Normal 3 4 6 6 2 5" xfId="43513" xr:uid="{00000000-0005-0000-0000-0000F0A90000}"/>
    <cellStyle name="Normal 3 4 6 6 2 5 2" xfId="43514" xr:uid="{00000000-0005-0000-0000-0000F1A90000}"/>
    <cellStyle name="Normal 3 4 6 6 2 5 3" xfId="43515" xr:uid="{00000000-0005-0000-0000-0000F2A90000}"/>
    <cellStyle name="Normal 3 4 6 6 2 6" xfId="43516" xr:uid="{00000000-0005-0000-0000-0000F3A90000}"/>
    <cellStyle name="Normal 3 4 6 6 2 6 2" xfId="43517" xr:uid="{00000000-0005-0000-0000-0000F4A90000}"/>
    <cellStyle name="Normal 3 4 6 6 2 6 3" xfId="43518" xr:uid="{00000000-0005-0000-0000-0000F5A90000}"/>
    <cellStyle name="Normal 3 4 6 6 2 7" xfId="43519" xr:uid="{00000000-0005-0000-0000-0000F6A90000}"/>
    <cellStyle name="Normal 3 4 6 6 2 7 2" xfId="43520" xr:uid="{00000000-0005-0000-0000-0000F7A90000}"/>
    <cellStyle name="Normal 3 4 6 6 2 7 3" xfId="43521" xr:uid="{00000000-0005-0000-0000-0000F8A90000}"/>
    <cellStyle name="Normal 3 4 6 6 2 8" xfId="43522" xr:uid="{00000000-0005-0000-0000-0000F9A90000}"/>
    <cellStyle name="Normal 3 4 6 6 2 8 2" xfId="43523" xr:uid="{00000000-0005-0000-0000-0000FAA90000}"/>
    <cellStyle name="Normal 3 4 6 6 2 8 3" xfId="43524" xr:uid="{00000000-0005-0000-0000-0000FBA90000}"/>
    <cellStyle name="Normal 3 4 6 6 2 9" xfId="43525" xr:uid="{00000000-0005-0000-0000-0000FCA90000}"/>
    <cellStyle name="Normal 3 4 6 6 2 9 2" xfId="43526" xr:uid="{00000000-0005-0000-0000-0000FDA90000}"/>
    <cellStyle name="Normal 3 4 6 6 2 9 3" xfId="43527" xr:uid="{00000000-0005-0000-0000-0000FEA90000}"/>
    <cellStyle name="Normal 3 4 6 6 3" xfId="43528" xr:uid="{00000000-0005-0000-0000-0000FFA90000}"/>
    <cellStyle name="Normal 3 4 6 6 3 2" xfId="43529" xr:uid="{00000000-0005-0000-0000-000000AA0000}"/>
    <cellStyle name="Normal 3 4 6 6 3 3" xfId="43530" xr:uid="{00000000-0005-0000-0000-000001AA0000}"/>
    <cellStyle name="Normal 3 4 6 6 4" xfId="43531" xr:uid="{00000000-0005-0000-0000-000002AA0000}"/>
    <cellStyle name="Normal 3 4 6 6 4 2" xfId="43532" xr:uid="{00000000-0005-0000-0000-000003AA0000}"/>
    <cellStyle name="Normal 3 4 6 6 4 3" xfId="43533" xr:uid="{00000000-0005-0000-0000-000004AA0000}"/>
    <cellStyle name="Normal 3 4 6 6 5" xfId="43534" xr:uid="{00000000-0005-0000-0000-000005AA0000}"/>
    <cellStyle name="Normal 3 4 6 6 5 2" xfId="43535" xr:uid="{00000000-0005-0000-0000-000006AA0000}"/>
    <cellStyle name="Normal 3 4 6 6 5 3" xfId="43536" xr:uid="{00000000-0005-0000-0000-000007AA0000}"/>
    <cellStyle name="Normal 3 4 6 6 6" xfId="43537" xr:uid="{00000000-0005-0000-0000-000008AA0000}"/>
    <cellStyle name="Normal 3 4 6 6 6 2" xfId="43538" xr:uid="{00000000-0005-0000-0000-000009AA0000}"/>
    <cellStyle name="Normal 3 4 6 6 6 3" xfId="43539" xr:uid="{00000000-0005-0000-0000-00000AAA0000}"/>
    <cellStyle name="Normal 3 4 6 6 7" xfId="43540" xr:uid="{00000000-0005-0000-0000-00000BAA0000}"/>
    <cellStyle name="Normal 3 4 6 6 7 2" xfId="43541" xr:uid="{00000000-0005-0000-0000-00000CAA0000}"/>
    <cellStyle name="Normal 3 4 6 6 7 3" xfId="43542" xr:uid="{00000000-0005-0000-0000-00000DAA0000}"/>
    <cellStyle name="Normal 3 4 6 6 8" xfId="43543" xr:uid="{00000000-0005-0000-0000-00000EAA0000}"/>
    <cellStyle name="Normal 3 4 6 6 8 2" xfId="43544" xr:uid="{00000000-0005-0000-0000-00000FAA0000}"/>
    <cellStyle name="Normal 3 4 6 6 8 3" xfId="43545" xr:uid="{00000000-0005-0000-0000-000010AA0000}"/>
    <cellStyle name="Normal 3 4 6 6 9" xfId="43546" xr:uid="{00000000-0005-0000-0000-000011AA0000}"/>
    <cellStyle name="Normal 3 4 6 6 9 2" xfId="43547" xr:uid="{00000000-0005-0000-0000-000012AA0000}"/>
    <cellStyle name="Normal 3 4 6 6 9 3" xfId="43548" xr:uid="{00000000-0005-0000-0000-000013AA0000}"/>
    <cellStyle name="Normal 3 4 6 7" xfId="43549" xr:uid="{00000000-0005-0000-0000-000014AA0000}"/>
    <cellStyle name="Normal 3 4 6 7 10" xfId="43550" xr:uid="{00000000-0005-0000-0000-000015AA0000}"/>
    <cellStyle name="Normal 3 4 6 7 10 2" xfId="43551" xr:uid="{00000000-0005-0000-0000-000016AA0000}"/>
    <cellStyle name="Normal 3 4 6 7 10 3" xfId="43552" xr:uid="{00000000-0005-0000-0000-000017AA0000}"/>
    <cellStyle name="Normal 3 4 6 7 11" xfId="43553" xr:uid="{00000000-0005-0000-0000-000018AA0000}"/>
    <cellStyle name="Normal 3 4 6 7 11 2" xfId="43554" xr:uid="{00000000-0005-0000-0000-000019AA0000}"/>
    <cellStyle name="Normal 3 4 6 7 11 3" xfId="43555" xr:uid="{00000000-0005-0000-0000-00001AAA0000}"/>
    <cellStyle name="Normal 3 4 6 7 12" xfId="43556" xr:uid="{00000000-0005-0000-0000-00001BAA0000}"/>
    <cellStyle name="Normal 3 4 6 7 12 2" xfId="43557" xr:uid="{00000000-0005-0000-0000-00001CAA0000}"/>
    <cellStyle name="Normal 3 4 6 7 12 3" xfId="43558" xr:uid="{00000000-0005-0000-0000-00001DAA0000}"/>
    <cellStyle name="Normal 3 4 6 7 13" xfId="43559" xr:uid="{00000000-0005-0000-0000-00001EAA0000}"/>
    <cellStyle name="Normal 3 4 6 7 13 2" xfId="43560" xr:uid="{00000000-0005-0000-0000-00001FAA0000}"/>
    <cellStyle name="Normal 3 4 6 7 13 3" xfId="43561" xr:uid="{00000000-0005-0000-0000-000020AA0000}"/>
    <cellStyle name="Normal 3 4 6 7 14" xfId="43562" xr:uid="{00000000-0005-0000-0000-000021AA0000}"/>
    <cellStyle name="Normal 3 4 6 7 14 2" xfId="43563" xr:uid="{00000000-0005-0000-0000-000022AA0000}"/>
    <cellStyle name="Normal 3 4 6 7 14 3" xfId="43564" xr:uid="{00000000-0005-0000-0000-000023AA0000}"/>
    <cellStyle name="Normal 3 4 6 7 15" xfId="43565" xr:uid="{00000000-0005-0000-0000-000024AA0000}"/>
    <cellStyle name="Normal 3 4 6 7 15 2" xfId="43566" xr:uid="{00000000-0005-0000-0000-000025AA0000}"/>
    <cellStyle name="Normal 3 4 6 7 15 3" xfId="43567" xr:uid="{00000000-0005-0000-0000-000026AA0000}"/>
    <cellStyle name="Normal 3 4 6 7 16" xfId="43568" xr:uid="{00000000-0005-0000-0000-000027AA0000}"/>
    <cellStyle name="Normal 3 4 6 7 17" xfId="43569" xr:uid="{00000000-0005-0000-0000-000028AA0000}"/>
    <cellStyle name="Normal 3 4 6 7 2" xfId="43570" xr:uid="{00000000-0005-0000-0000-000029AA0000}"/>
    <cellStyle name="Normal 3 4 6 7 2 10" xfId="43571" xr:uid="{00000000-0005-0000-0000-00002AAA0000}"/>
    <cellStyle name="Normal 3 4 6 7 2 10 2" xfId="43572" xr:uid="{00000000-0005-0000-0000-00002BAA0000}"/>
    <cellStyle name="Normal 3 4 6 7 2 10 3" xfId="43573" xr:uid="{00000000-0005-0000-0000-00002CAA0000}"/>
    <cellStyle name="Normal 3 4 6 7 2 11" xfId="43574" xr:uid="{00000000-0005-0000-0000-00002DAA0000}"/>
    <cellStyle name="Normal 3 4 6 7 2 11 2" xfId="43575" xr:uid="{00000000-0005-0000-0000-00002EAA0000}"/>
    <cellStyle name="Normal 3 4 6 7 2 11 3" xfId="43576" xr:uid="{00000000-0005-0000-0000-00002FAA0000}"/>
    <cellStyle name="Normal 3 4 6 7 2 12" xfId="43577" xr:uid="{00000000-0005-0000-0000-000030AA0000}"/>
    <cellStyle name="Normal 3 4 6 7 2 12 2" xfId="43578" xr:uid="{00000000-0005-0000-0000-000031AA0000}"/>
    <cellStyle name="Normal 3 4 6 7 2 12 3" xfId="43579" xr:uid="{00000000-0005-0000-0000-000032AA0000}"/>
    <cellStyle name="Normal 3 4 6 7 2 13" xfId="43580" xr:uid="{00000000-0005-0000-0000-000033AA0000}"/>
    <cellStyle name="Normal 3 4 6 7 2 13 2" xfId="43581" xr:uid="{00000000-0005-0000-0000-000034AA0000}"/>
    <cellStyle name="Normal 3 4 6 7 2 13 3" xfId="43582" xr:uid="{00000000-0005-0000-0000-000035AA0000}"/>
    <cellStyle name="Normal 3 4 6 7 2 14" xfId="43583" xr:uid="{00000000-0005-0000-0000-000036AA0000}"/>
    <cellStyle name="Normal 3 4 6 7 2 14 2" xfId="43584" xr:uid="{00000000-0005-0000-0000-000037AA0000}"/>
    <cellStyle name="Normal 3 4 6 7 2 14 3" xfId="43585" xr:uid="{00000000-0005-0000-0000-000038AA0000}"/>
    <cellStyle name="Normal 3 4 6 7 2 15" xfId="43586" xr:uid="{00000000-0005-0000-0000-000039AA0000}"/>
    <cellStyle name="Normal 3 4 6 7 2 16" xfId="43587" xr:uid="{00000000-0005-0000-0000-00003AAA0000}"/>
    <cellStyle name="Normal 3 4 6 7 2 2" xfId="43588" xr:uid="{00000000-0005-0000-0000-00003BAA0000}"/>
    <cellStyle name="Normal 3 4 6 7 2 2 2" xfId="43589" xr:uid="{00000000-0005-0000-0000-00003CAA0000}"/>
    <cellStyle name="Normal 3 4 6 7 2 2 3" xfId="43590" xr:uid="{00000000-0005-0000-0000-00003DAA0000}"/>
    <cellStyle name="Normal 3 4 6 7 2 3" xfId="43591" xr:uid="{00000000-0005-0000-0000-00003EAA0000}"/>
    <cellStyle name="Normal 3 4 6 7 2 3 2" xfId="43592" xr:uid="{00000000-0005-0000-0000-00003FAA0000}"/>
    <cellStyle name="Normal 3 4 6 7 2 3 3" xfId="43593" xr:uid="{00000000-0005-0000-0000-000040AA0000}"/>
    <cellStyle name="Normal 3 4 6 7 2 4" xfId="43594" xr:uid="{00000000-0005-0000-0000-000041AA0000}"/>
    <cellStyle name="Normal 3 4 6 7 2 4 2" xfId="43595" xr:uid="{00000000-0005-0000-0000-000042AA0000}"/>
    <cellStyle name="Normal 3 4 6 7 2 4 3" xfId="43596" xr:uid="{00000000-0005-0000-0000-000043AA0000}"/>
    <cellStyle name="Normal 3 4 6 7 2 5" xfId="43597" xr:uid="{00000000-0005-0000-0000-000044AA0000}"/>
    <cellStyle name="Normal 3 4 6 7 2 5 2" xfId="43598" xr:uid="{00000000-0005-0000-0000-000045AA0000}"/>
    <cellStyle name="Normal 3 4 6 7 2 5 3" xfId="43599" xr:uid="{00000000-0005-0000-0000-000046AA0000}"/>
    <cellStyle name="Normal 3 4 6 7 2 6" xfId="43600" xr:uid="{00000000-0005-0000-0000-000047AA0000}"/>
    <cellStyle name="Normal 3 4 6 7 2 6 2" xfId="43601" xr:uid="{00000000-0005-0000-0000-000048AA0000}"/>
    <cellStyle name="Normal 3 4 6 7 2 6 3" xfId="43602" xr:uid="{00000000-0005-0000-0000-000049AA0000}"/>
    <cellStyle name="Normal 3 4 6 7 2 7" xfId="43603" xr:uid="{00000000-0005-0000-0000-00004AAA0000}"/>
    <cellStyle name="Normal 3 4 6 7 2 7 2" xfId="43604" xr:uid="{00000000-0005-0000-0000-00004BAA0000}"/>
    <cellStyle name="Normal 3 4 6 7 2 7 3" xfId="43605" xr:uid="{00000000-0005-0000-0000-00004CAA0000}"/>
    <cellStyle name="Normal 3 4 6 7 2 8" xfId="43606" xr:uid="{00000000-0005-0000-0000-00004DAA0000}"/>
    <cellStyle name="Normal 3 4 6 7 2 8 2" xfId="43607" xr:uid="{00000000-0005-0000-0000-00004EAA0000}"/>
    <cellStyle name="Normal 3 4 6 7 2 8 3" xfId="43608" xr:uid="{00000000-0005-0000-0000-00004FAA0000}"/>
    <cellStyle name="Normal 3 4 6 7 2 9" xfId="43609" xr:uid="{00000000-0005-0000-0000-000050AA0000}"/>
    <cellStyle name="Normal 3 4 6 7 2 9 2" xfId="43610" xr:uid="{00000000-0005-0000-0000-000051AA0000}"/>
    <cellStyle name="Normal 3 4 6 7 2 9 3" xfId="43611" xr:uid="{00000000-0005-0000-0000-000052AA0000}"/>
    <cellStyle name="Normal 3 4 6 7 3" xfId="43612" xr:uid="{00000000-0005-0000-0000-000053AA0000}"/>
    <cellStyle name="Normal 3 4 6 7 3 2" xfId="43613" xr:uid="{00000000-0005-0000-0000-000054AA0000}"/>
    <cellStyle name="Normal 3 4 6 7 3 3" xfId="43614" xr:uid="{00000000-0005-0000-0000-000055AA0000}"/>
    <cellStyle name="Normal 3 4 6 7 4" xfId="43615" xr:uid="{00000000-0005-0000-0000-000056AA0000}"/>
    <cellStyle name="Normal 3 4 6 7 4 2" xfId="43616" xr:uid="{00000000-0005-0000-0000-000057AA0000}"/>
    <cellStyle name="Normal 3 4 6 7 4 3" xfId="43617" xr:uid="{00000000-0005-0000-0000-000058AA0000}"/>
    <cellStyle name="Normal 3 4 6 7 5" xfId="43618" xr:uid="{00000000-0005-0000-0000-000059AA0000}"/>
    <cellStyle name="Normal 3 4 6 7 5 2" xfId="43619" xr:uid="{00000000-0005-0000-0000-00005AAA0000}"/>
    <cellStyle name="Normal 3 4 6 7 5 3" xfId="43620" xr:uid="{00000000-0005-0000-0000-00005BAA0000}"/>
    <cellStyle name="Normal 3 4 6 7 6" xfId="43621" xr:uid="{00000000-0005-0000-0000-00005CAA0000}"/>
    <cellStyle name="Normal 3 4 6 7 6 2" xfId="43622" xr:uid="{00000000-0005-0000-0000-00005DAA0000}"/>
    <cellStyle name="Normal 3 4 6 7 6 3" xfId="43623" xr:uid="{00000000-0005-0000-0000-00005EAA0000}"/>
    <cellStyle name="Normal 3 4 6 7 7" xfId="43624" xr:uid="{00000000-0005-0000-0000-00005FAA0000}"/>
    <cellStyle name="Normal 3 4 6 7 7 2" xfId="43625" xr:uid="{00000000-0005-0000-0000-000060AA0000}"/>
    <cellStyle name="Normal 3 4 6 7 7 3" xfId="43626" xr:uid="{00000000-0005-0000-0000-000061AA0000}"/>
    <cellStyle name="Normal 3 4 6 7 8" xfId="43627" xr:uid="{00000000-0005-0000-0000-000062AA0000}"/>
    <cellStyle name="Normal 3 4 6 7 8 2" xfId="43628" xr:uid="{00000000-0005-0000-0000-000063AA0000}"/>
    <cellStyle name="Normal 3 4 6 7 8 3" xfId="43629" xr:uid="{00000000-0005-0000-0000-000064AA0000}"/>
    <cellStyle name="Normal 3 4 6 7 9" xfId="43630" xr:uid="{00000000-0005-0000-0000-000065AA0000}"/>
    <cellStyle name="Normal 3 4 6 7 9 2" xfId="43631" xr:uid="{00000000-0005-0000-0000-000066AA0000}"/>
    <cellStyle name="Normal 3 4 6 7 9 3" xfId="43632" xr:uid="{00000000-0005-0000-0000-000067AA0000}"/>
    <cellStyle name="Normal 3 4 6 8" xfId="43633" xr:uid="{00000000-0005-0000-0000-000068AA0000}"/>
    <cellStyle name="Normal 3 4 6 8 10" xfId="43634" xr:uid="{00000000-0005-0000-0000-000069AA0000}"/>
    <cellStyle name="Normal 3 4 6 8 10 2" xfId="43635" xr:uid="{00000000-0005-0000-0000-00006AAA0000}"/>
    <cellStyle name="Normal 3 4 6 8 10 3" xfId="43636" xr:uid="{00000000-0005-0000-0000-00006BAA0000}"/>
    <cellStyle name="Normal 3 4 6 8 11" xfId="43637" xr:uid="{00000000-0005-0000-0000-00006CAA0000}"/>
    <cellStyle name="Normal 3 4 6 8 11 2" xfId="43638" xr:uid="{00000000-0005-0000-0000-00006DAA0000}"/>
    <cellStyle name="Normal 3 4 6 8 11 3" xfId="43639" xr:uid="{00000000-0005-0000-0000-00006EAA0000}"/>
    <cellStyle name="Normal 3 4 6 8 12" xfId="43640" xr:uid="{00000000-0005-0000-0000-00006FAA0000}"/>
    <cellStyle name="Normal 3 4 6 8 12 2" xfId="43641" xr:uid="{00000000-0005-0000-0000-000070AA0000}"/>
    <cellStyle name="Normal 3 4 6 8 12 3" xfId="43642" xr:uid="{00000000-0005-0000-0000-000071AA0000}"/>
    <cellStyle name="Normal 3 4 6 8 13" xfId="43643" xr:uid="{00000000-0005-0000-0000-000072AA0000}"/>
    <cellStyle name="Normal 3 4 6 8 13 2" xfId="43644" xr:uid="{00000000-0005-0000-0000-000073AA0000}"/>
    <cellStyle name="Normal 3 4 6 8 13 3" xfId="43645" xr:uid="{00000000-0005-0000-0000-000074AA0000}"/>
    <cellStyle name="Normal 3 4 6 8 14" xfId="43646" xr:uid="{00000000-0005-0000-0000-000075AA0000}"/>
    <cellStyle name="Normal 3 4 6 8 14 2" xfId="43647" xr:uid="{00000000-0005-0000-0000-000076AA0000}"/>
    <cellStyle name="Normal 3 4 6 8 14 3" xfId="43648" xr:uid="{00000000-0005-0000-0000-000077AA0000}"/>
    <cellStyle name="Normal 3 4 6 8 15" xfId="43649" xr:uid="{00000000-0005-0000-0000-000078AA0000}"/>
    <cellStyle name="Normal 3 4 6 8 15 2" xfId="43650" xr:uid="{00000000-0005-0000-0000-000079AA0000}"/>
    <cellStyle name="Normal 3 4 6 8 15 3" xfId="43651" xr:uid="{00000000-0005-0000-0000-00007AAA0000}"/>
    <cellStyle name="Normal 3 4 6 8 16" xfId="43652" xr:uid="{00000000-0005-0000-0000-00007BAA0000}"/>
    <cellStyle name="Normal 3 4 6 8 17" xfId="43653" xr:uid="{00000000-0005-0000-0000-00007CAA0000}"/>
    <cellStyle name="Normal 3 4 6 8 2" xfId="43654" xr:uid="{00000000-0005-0000-0000-00007DAA0000}"/>
    <cellStyle name="Normal 3 4 6 8 2 10" xfId="43655" xr:uid="{00000000-0005-0000-0000-00007EAA0000}"/>
    <cellStyle name="Normal 3 4 6 8 2 10 2" xfId="43656" xr:uid="{00000000-0005-0000-0000-00007FAA0000}"/>
    <cellStyle name="Normal 3 4 6 8 2 10 3" xfId="43657" xr:uid="{00000000-0005-0000-0000-000080AA0000}"/>
    <cellStyle name="Normal 3 4 6 8 2 11" xfId="43658" xr:uid="{00000000-0005-0000-0000-000081AA0000}"/>
    <cellStyle name="Normal 3 4 6 8 2 11 2" xfId="43659" xr:uid="{00000000-0005-0000-0000-000082AA0000}"/>
    <cellStyle name="Normal 3 4 6 8 2 11 3" xfId="43660" xr:uid="{00000000-0005-0000-0000-000083AA0000}"/>
    <cellStyle name="Normal 3 4 6 8 2 12" xfId="43661" xr:uid="{00000000-0005-0000-0000-000084AA0000}"/>
    <cellStyle name="Normal 3 4 6 8 2 12 2" xfId="43662" xr:uid="{00000000-0005-0000-0000-000085AA0000}"/>
    <cellStyle name="Normal 3 4 6 8 2 12 3" xfId="43663" xr:uid="{00000000-0005-0000-0000-000086AA0000}"/>
    <cellStyle name="Normal 3 4 6 8 2 13" xfId="43664" xr:uid="{00000000-0005-0000-0000-000087AA0000}"/>
    <cellStyle name="Normal 3 4 6 8 2 13 2" xfId="43665" xr:uid="{00000000-0005-0000-0000-000088AA0000}"/>
    <cellStyle name="Normal 3 4 6 8 2 13 3" xfId="43666" xr:uid="{00000000-0005-0000-0000-000089AA0000}"/>
    <cellStyle name="Normal 3 4 6 8 2 14" xfId="43667" xr:uid="{00000000-0005-0000-0000-00008AAA0000}"/>
    <cellStyle name="Normal 3 4 6 8 2 14 2" xfId="43668" xr:uid="{00000000-0005-0000-0000-00008BAA0000}"/>
    <cellStyle name="Normal 3 4 6 8 2 14 3" xfId="43669" xr:uid="{00000000-0005-0000-0000-00008CAA0000}"/>
    <cellStyle name="Normal 3 4 6 8 2 15" xfId="43670" xr:uid="{00000000-0005-0000-0000-00008DAA0000}"/>
    <cellStyle name="Normal 3 4 6 8 2 16" xfId="43671" xr:uid="{00000000-0005-0000-0000-00008EAA0000}"/>
    <cellStyle name="Normal 3 4 6 8 2 2" xfId="43672" xr:uid="{00000000-0005-0000-0000-00008FAA0000}"/>
    <cellStyle name="Normal 3 4 6 8 2 2 2" xfId="43673" xr:uid="{00000000-0005-0000-0000-000090AA0000}"/>
    <cellStyle name="Normal 3 4 6 8 2 2 3" xfId="43674" xr:uid="{00000000-0005-0000-0000-000091AA0000}"/>
    <cellStyle name="Normal 3 4 6 8 2 3" xfId="43675" xr:uid="{00000000-0005-0000-0000-000092AA0000}"/>
    <cellStyle name="Normal 3 4 6 8 2 3 2" xfId="43676" xr:uid="{00000000-0005-0000-0000-000093AA0000}"/>
    <cellStyle name="Normal 3 4 6 8 2 3 3" xfId="43677" xr:uid="{00000000-0005-0000-0000-000094AA0000}"/>
    <cellStyle name="Normal 3 4 6 8 2 4" xfId="43678" xr:uid="{00000000-0005-0000-0000-000095AA0000}"/>
    <cellStyle name="Normal 3 4 6 8 2 4 2" xfId="43679" xr:uid="{00000000-0005-0000-0000-000096AA0000}"/>
    <cellStyle name="Normal 3 4 6 8 2 4 3" xfId="43680" xr:uid="{00000000-0005-0000-0000-000097AA0000}"/>
    <cellStyle name="Normal 3 4 6 8 2 5" xfId="43681" xr:uid="{00000000-0005-0000-0000-000098AA0000}"/>
    <cellStyle name="Normal 3 4 6 8 2 5 2" xfId="43682" xr:uid="{00000000-0005-0000-0000-000099AA0000}"/>
    <cellStyle name="Normal 3 4 6 8 2 5 3" xfId="43683" xr:uid="{00000000-0005-0000-0000-00009AAA0000}"/>
    <cellStyle name="Normal 3 4 6 8 2 6" xfId="43684" xr:uid="{00000000-0005-0000-0000-00009BAA0000}"/>
    <cellStyle name="Normal 3 4 6 8 2 6 2" xfId="43685" xr:uid="{00000000-0005-0000-0000-00009CAA0000}"/>
    <cellStyle name="Normal 3 4 6 8 2 6 3" xfId="43686" xr:uid="{00000000-0005-0000-0000-00009DAA0000}"/>
    <cellStyle name="Normal 3 4 6 8 2 7" xfId="43687" xr:uid="{00000000-0005-0000-0000-00009EAA0000}"/>
    <cellStyle name="Normal 3 4 6 8 2 7 2" xfId="43688" xr:uid="{00000000-0005-0000-0000-00009FAA0000}"/>
    <cellStyle name="Normal 3 4 6 8 2 7 3" xfId="43689" xr:uid="{00000000-0005-0000-0000-0000A0AA0000}"/>
    <cellStyle name="Normal 3 4 6 8 2 8" xfId="43690" xr:uid="{00000000-0005-0000-0000-0000A1AA0000}"/>
    <cellStyle name="Normal 3 4 6 8 2 8 2" xfId="43691" xr:uid="{00000000-0005-0000-0000-0000A2AA0000}"/>
    <cellStyle name="Normal 3 4 6 8 2 8 3" xfId="43692" xr:uid="{00000000-0005-0000-0000-0000A3AA0000}"/>
    <cellStyle name="Normal 3 4 6 8 2 9" xfId="43693" xr:uid="{00000000-0005-0000-0000-0000A4AA0000}"/>
    <cellStyle name="Normal 3 4 6 8 2 9 2" xfId="43694" xr:uid="{00000000-0005-0000-0000-0000A5AA0000}"/>
    <cellStyle name="Normal 3 4 6 8 2 9 3" xfId="43695" xr:uid="{00000000-0005-0000-0000-0000A6AA0000}"/>
    <cellStyle name="Normal 3 4 6 8 3" xfId="43696" xr:uid="{00000000-0005-0000-0000-0000A7AA0000}"/>
    <cellStyle name="Normal 3 4 6 8 3 2" xfId="43697" xr:uid="{00000000-0005-0000-0000-0000A8AA0000}"/>
    <cellStyle name="Normal 3 4 6 8 3 3" xfId="43698" xr:uid="{00000000-0005-0000-0000-0000A9AA0000}"/>
    <cellStyle name="Normal 3 4 6 8 4" xfId="43699" xr:uid="{00000000-0005-0000-0000-0000AAAA0000}"/>
    <cellStyle name="Normal 3 4 6 8 4 2" xfId="43700" xr:uid="{00000000-0005-0000-0000-0000ABAA0000}"/>
    <cellStyle name="Normal 3 4 6 8 4 3" xfId="43701" xr:uid="{00000000-0005-0000-0000-0000ACAA0000}"/>
    <cellStyle name="Normal 3 4 6 8 5" xfId="43702" xr:uid="{00000000-0005-0000-0000-0000ADAA0000}"/>
    <cellStyle name="Normal 3 4 6 8 5 2" xfId="43703" xr:uid="{00000000-0005-0000-0000-0000AEAA0000}"/>
    <cellStyle name="Normal 3 4 6 8 5 3" xfId="43704" xr:uid="{00000000-0005-0000-0000-0000AFAA0000}"/>
    <cellStyle name="Normal 3 4 6 8 6" xfId="43705" xr:uid="{00000000-0005-0000-0000-0000B0AA0000}"/>
    <cellStyle name="Normal 3 4 6 8 6 2" xfId="43706" xr:uid="{00000000-0005-0000-0000-0000B1AA0000}"/>
    <cellStyle name="Normal 3 4 6 8 6 3" xfId="43707" xr:uid="{00000000-0005-0000-0000-0000B2AA0000}"/>
    <cellStyle name="Normal 3 4 6 8 7" xfId="43708" xr:uid="{00000000-0005-0000-0000-0000B3AA0000}"/>
    <cellStyle name="Normal 3 4 6 8 7 2" xfId="43709" xr:uid="{00000000-0005-0000-0000-0000B4AA0000}"/>
    <cellStyle name="Normal 3 4 6 8 7 3" xfId="43710" xr:uid="{00000000-0005-0000-0000-0000B5AA0000}"/>
    <cellStyle name="Normal 3 4 6 8 8" xfId="43711" xr:uid="{00000000-0005-0000-0000-0000B6AA0000}"/>
    <cellStyle name="Normal 3 4 6 8 8 2" xfId="43712" xr:uid="{00000000-0005-0000-0000-0000B7AA0000}"/>
    <cellStyle name="Normal 3 4 6 8 8 3" xfId="43713" xr:uid="{00000000-0005-0000-0000-0000B8AA0000}"/>
    <cellStyle name="Normal 3 4 6 8 9" xfId="43714" xr:uid="{00000000-0005-0000-0000-0000B9AA0000}"/>
    <cellStyle name="Normal 3 4 6 8 9 2" xfId="43715" xr:uid="{00000000-0005-0000-0000-0000BAAA0000}"/>
    <cellStyle name="Normal 3 4 6 8 9 3" xfId="43716" xr:uid="{00000000-0005-0000-0000-0000BBAA0000}"/>
    <cellStyle name="Normal 3 4 6 9" xfId="43717" xr:uid="{00000000-0005-0000-0000-0000BCAA0000}"/>
    <cellStyle name="Normal 3 4 6 9 10" xfId="43718" xr:uid="{00000000-0005-0000-0000-0000BDAA0000}"/>
    <cellStyle name="Normal 3 4 6 9 10 2" xfId="43719" xr:uid="{00000000-0005-0000-0000-0000BEAA0000}"/>
    <cellStyle name="Normal 3 4 6 9 10 3" xfId="43720" xr:uid="{00000000-0005-0000-0000-0000BFAA0000}"/>
    <cellStyle name="Normal 3 4 6 9 11" xfId="43721" xr:uid="{00000000-0005-0000-0000-0000C0AA0000}"/>
    <cellStyle name="Normal 3 4 6 9 11 2" xfId="43722" xr:uid="{00000000-0005-0000-0000-0000C1AA0000}"/>
    <cellStyle name="Normal 3 4 6 9 11 3" xfId="43723" xr:uid="{00000000-0005-0000-0000-0000C2AA0000}"/>
    <cellStyle name="Normal 3 4 6 9 12" xfId="43724" xr:uid="{00000000-0005-0000-0000-0000C3AA0000}"/>
    <cellStyle name="Normal 3 4 6 9 12 2" xfId="43725" xr:uid="{00000000-0005-0000-0000-0000C4AA0000}"/>
    <cellStyle name="Normal 3 4 6 9 12 3" xfId="43726" xr:uid="{00000000-0005-0000-0000-0000C5AA0000}"/>
    <cellStyle name="Normal 3 4 6 9 13" xfId="43727" xr:uid="{00000000-0005-0000-0000-0000C6AA0000}"/>
    <cellStyle name="Normal 3 4 6 9 13 2" xfId="43728" xr:uid="{00000000-0005-0000-0000-0000C7AA0000}"/>
    <cellStyle name="Normal 3 4 6 9 13 3" xfId="43729" xr:uid="{00000000-0005-0000-0000-0000C8AA0000}"/>
    <cellStyle name="Normal 3 4 6 9 14" xfId="43730" xr:uid="{00000000-0005-0000-0000-0000C9AA0000}"/>
    <cellStyle name="Normal 3 4 6 9 14 2" xfId="43731" xr:uid="{00000000-0005-0000-0000-0000CAAA0000}"/>
    <cellStyle name="Normal 3 4 6 9 14 3" xfId="43732" xr:uid="{00000000-0005-0000-0000-0000CBAA0000}"/>
    <cellStyle name="Normal 3 4 6 9 15" xfId="43733" xr:uid="{00000000-0005-0000-0000-0000CCAA0000}"/>
    <cellStyle name="Normal 3 4 6 9 16" xfId="43734" xr:uid="{00000000-0005-0000-0000-0000CDAA0000}"/>
    <cellStyle name="Normal 3 4 6 9 2" xfId="43735" xr:uid="{00000000-0005-0000-0000-0000CEAA0000}"/>
    <cellStyle name="Normal 3 4 6 9 2 2" xfId="43736" xr:uid="{00000000-0005-0000-0000-0000CFAA0000}"/>
    <cellStyle name="Normal 3 4 6 9 2 3" xfId="43737" xr:uid="{00000000-0005-0000-0000-0000D0AA0000}"/>
    <cellStyle name="Normal 3 4 6 9 3" xfId="43738" xr:uid="{00000000-0005-0000-0000-0000D1AA0000}"/>
    <cellStyle name="Normal 3 4 6 9 3 2" xfId="43739" xr:uid="{00000000-0005-0000-0000-0000D2AA0000}"/>
    <cellStyle name="Normal 3 4 6 9 3 3" xfId="43740" xr:uid="{00000000-0005-0000-0000-0000D3AA0000}"/>
    <cellStyle name="Normal 3 4 6 9 4" xfId="43741" xr:uid="{00000000-0005-0000-0000-0000D4AA0000}"/>
    <cellStyle name="Normal 3 4 6 9 4 2" xfId="43742" xr:uid="{00000000-0005-0000-0000-0000D5AA0000}"/>
    <cellStyle name="Normal 3 4 6 9 4 3" xfId="43743" xr:uid="{00000000-0005-0000-0000-0000D6AA0000}"/>
    <cellStyle name="Normal 3 4 6 9 5" xfId="43744" xr:uid="{00000000-0005-0000-0000-0000D7AA0000}"/>
    <cellStyle name="Normal 3 4 6 9 5 2" xfId="43745" xr:uid="{00000000-0005-0000-0000-0000D8AA0000}"/>
    <cellStyle name="Normal 3 4 6 9 5 3" xfId="43746" xr:uid="{00000000-0005-0000-0000-0000D9AA0000}"/>
    <cellStyle name="Normal 3 4 6 9 6" xfId="43747" xr:uid="{00000000-0005-0000-0000-0000DAAA0000}"/>
    <cellStyle name="Normal 3 4 6 9 6 2" xfId="43748" xr:uid="{00000000-0005-0000-0000-0000DBAA0000}"/>
    <cellStyle name="Normal 3 4 6 9 6 3" xfId="43749" xr:uid="{00000000-0005-0000-0000-0000DCAA0000}"/>
    <cellStyle name="Normal 3 4 6 9 7" xfId="43750" xr:uid="{00000000-0005-0000-0000-0000DDAA0000}"/>
    <cellStyle name="Normal 3 4 6 9 7 2" xfId="43751" xr:uid="{00000000-0005-0000-0000-0000DEAA0000}"/>
    <cellStyle name="Normal 3 4 6 9 7 3" xfId="43752" xr:uid="{00000000-0005-0000-0000-0000DFAA0000}"/>
    <cellStyle name="Normal 3 4 6 9 8" xfId="43753" xr:uid="{00000000-0005-0000-0000-0000E0AA0000}"/>
    <cellStyle name="Normal 3 4 6 9 8 2" xfId="43754" xr:uid="{00000000-0005-0000-0000-0000E1AA0000}"/>
    <cellStyle name="Normal 3 4 6 9 8 3" xfId="43755" xr:uid="{00000000-0005-0000-0000-0000E2AA0000}"/>
    <cellStyle name="Normal 3 4 6 9 9" xfId="43756" xr:uid="{00000000-0005-0000-0000-0000E3AA0000}"/>
    <cellStyle name="Normal 3 4 6 9 9 2" xfId="43757" xr:uid="{00000000-0005-0000-0000-0000E4AA0000}"/>
    <cellStyle name="Normal 3 4 6 9 9 3" xfId="43758" xr:uid="{00000000-0005-0000-0000-0000E5AA0000}"/>
    <cellStyle name="Normal 3 4 7" xfId="43759" xr:uid="{00000000-0005-0000-0000-0000E6AA0000}"/>
    <cellStyle name="Normal 3 4 7 10" xfId="43760" xr:uid="{00000000-0005-0000-0000-0000E7AA0000}"/>
    <cellStyle name="Normal 3 4 7 10 10" xfId="43761" xr:uid="{00000000-0005-0000-0000-0000E8AA0000}"/>
    <cellStyle name="Normal 3 4 7 10 10 2" xfId="43762" xr:uid="{00000000-0005-0000-0000-0000E9AA0000}"/>
    <cellStyle name="Normal 3 4 7 10 10 3" xfId="43763" xr:uid="{00000000-0005-0000-0000-0000EAAA0000}"/>
    <cellStyle name="Normal 3 4 7 10 11" xfId="43764" xr:uid="{00000000-0005-0000-0000-0000EBAA0000}"/>
    <cellStyle name="Normal 3 4 7 10 11 2" xfId="43765" xr:uid="{00000000-0005-0000-0000-0000ECAA0000}"/>
    <cellStyle name="Normal 3 4 7 10 11 3" xfId="43766" xr:uid="{00000000-0005-0000-0000-0000EDAA0000}"/>
    <cellStyle name="Normal 3 4 7 10 12" xfId="43767" xr:uid="{00000000-0005-0000-0000-0000EEAA0000}"/>
    <cellStyle name="Normal 3 4 7 10 12 2" xfId="43768" xr:uid="{00000000-0005-0000-0000-0000EFAA0000}"/>
    <cellStyle name="Normal 3 4 7 10 12 3" xfId="43769" xr:uid="{00000000-0005-0000-0000-0000F0AA0000}"/>
    <cellStyle name="Normal 3 4 7 10 13" xfId="43770" xr:uid="{00000000-0005-0000-0000-0000F1AA0000}"/>
    <cellStyle name="Normal 3 4 7 10 13 2" xfId="43771" xr:uid="{00000000-0005-0000-0000-0000F2AA0000}"/>
    <cellStyle name="Normal 3 4 7 10 13 3" xfId="43772" xr:uid="{00000000-0005-0000-0000-0000F3AA0000}"/>
    <cellStyle name="Normal 3 4 7 10 14" xfId="43773" xr:uid="{00000000-0005-0000-0000-0000F4AA0000}"/>
    <cellStyle name="Normal 3 4 7 10 14 2" xfId="43774" xr:uid="{00000000-0005-0000-0000-0000F5AA0000}"/>
    <cellStyle name="Normal 3 4 7 10 14 3" xfId="43775" xr:uid="{00000000-0005-0000-0000-0000F6AA0000}"/>
    <cellStyle name="Normal 3 4 7 10 15" xfId="43776" xr:uid="{00000000-0005-0000-0000-0000F7AA0000}"/>
    <cellStyle name="Normal 3 4 7 10 16" xfId="43777" xr:uid="{00000000-0005-0000-0000-0000F8AA0000}"/>
    <cellStyle name="Normal 3 4 7 10 2" xfId="43778" xr:uid="{00000000-0005-0000-0000-0000F9AA0000}"/>
    <cellStyle name="Normal 3 4 7 10 2 2" xfId="43779" xr:uid="{00000000-0005-0000-0000-0000FAAA0000}"/>
    <cellStyle name="Normal 3 4 7 10 2 3" xfId="43780" xr:uid="{00000000-0005-0000-0000-0000FBAA0000}"/>
    <cellStyle name="Normal 3 4 7 10 3" xfId="43781" xr:uid="{00000000-0005-0000-0000-0000FCAA0000}"/>
    <cellStyle name="Normal 3 4 7 10 3 2" xfId="43782" xr:uid="{00000000-0005-0000-0000-0000FDAA0000}"/>
    <cellStyle name="Normal 3 4 7 10 3 3" xfId="43783" xr:uid="{00000000-0005-0000-0000-0000FEAA0000}"/>
    <cellStyle name="Normal 3 4 7 10 4" xfId="43784" xr:uid="{00000000-0005-0000-0000-0000FFAA0000}"/>
    <cellStyle name="Normal 3 4 7 10 4 2" xfId="43785" xr:uid="{00000000-0005-0000-0000-000000AB0000}"/>
    <cellStyle name="Normal 3 4 7 10 4 3" xfId="43786" xr:uid="{00000000-0005-0000-0000-000001AB0000}"/>
    <cellStyle name="Normal 3 4 7 10 5" xfId="43787" xr:uid="{00000000-0005-0000-0000-000002AB0000}"/>
    <cellStyle name="Normal 3 4 7 10 5 2" xfId="43788" xr:uid="{00000000-0005-0000-0000-000003AB0000}"/>
    <cellStyle name="Normal 3 4 7 10 5 3" xfId="43789" xr:uid="{00000000-0005-0000-0000-000004AB0000}"/>
    <cellStyle name="Normal 3 4 7 10 6" xfId="43790" xr:uid="{00000000-0005-0000-0000-000005AB0000}"/>
    <cellStyle name="Normal 3 4 7 10 6 2" xfId="43791" xr:uid="{00000000-0005-0000-0000-000006AB0000}"/>
    <cellStyle name="Normal 3 4 7 10 6 3" xfId="43792" xr:uid="{00000000-0005-0000-0000-000007AB0000}"/>
    <cellStyle name="Normal 3 4 7 10 7" xfId="43793" xr:uid="{00000000-0005-0000-0000-000008AB0000}"/>
    <cellStyle name="Normal 3 4 7 10 7 2" xfId="43794" xr:uid="{00000000-0005-0000-0000-000009AB0000}"/>
    <cellStyle name="Normal 3 4 7 10 7 3" xfId="43795" xr:uid="{00000000-0005-0000-0000-00000AAB0000}"/>
    <cellStyle name="Normal 3 4 7 10 8" xfId="43796" xr:uid="{00000000-0005-0000-0000-00000BAB0000}"/>
    <cellStyle name="Normal 3 4 7 10 8 2" xfId="43797" xr:uid="{00000000-0005-0000-0000-00000CAB0000}"/>
    <cellStyle name="Normal 3 4 7 10 8 3" xfId="43798" xr:uid="{00000000-0005-0000-0000-00000DAB0000}"/>
    <cellStyle name="Normal 3 4 7 10 9" xfId="43799" xr:uid="{00000000-0005-0000-0000-00000EAB0000}"/>
    <cellStyle name="Normal 3 4 7 10 9 2" xfId="43800" xr:uid="{00000000-0005-0000-0000-00000FAB0000}"/>
    <cellStyle name="Normal 3 4 7 10 9 3" xfId="43801" xr:uid="{00000000-0005-0000-0000-000010AB0000}"/>
    <cellStyle name="Normal 3 4 7 11" xfId="43802" xr:uid="{00000000-0005-0000-0000-000011AB0000}"/>
    <cellStyle name="Normal 3 4 7 11 2" xfId="43803" xr:uid="{00000000-0005-0000-0000-000012AB0000}"/>
    <cellStyle name="Normal 3 4 7 11 3" xfId="43804" xr:uid="{00000000-0005-0000-0000-000013AB0000}"/>
    <cellStyle name="Normal 3 4 7 12" xfId="43805" xr:uid="{00000000-0005-0000-0000-000014AB0000}"/>
    <cellStyle name="Normal 3 4 7 12 2" xfId="43806" xr:uid="{00000000-0005-0000-0000-000015AB0000}"/>
    <cellStyle name="Normal 3 4 7 12 3" xfId="43807" xr:uid="{00000000-0005-0000-0000-000016AB0000}"/>
    <cellStyle name="Normal 3 4 7 13" xfId="43808" xr:uid="{00000000-0005-0000-0000-000017AB0000}"/>
    <cellStyle name="Normal 3 4 7 13 2" xfId="43809" xr:uid="{00000000-0005-0000-0000-000018AB0000}"/>
    <cellStyle name="Normal 3 4 7 13 3" xfId="43810" xr:uid="{00000000-0005-0000-0000-000019AB0000}"/>
    <cellStyle name="Normal 3 4 7 14" xfId="43811" xr:uid="{00000000-0005-0000-0000-00001AAB0000}"/>
    <cellStyle name="Normal 3 4 7 14 2" xfId="43812" xr:uid="{00000000-0005-0000-0000-00001BAB0000}"/>
    <cellStyle name="Normal 3 4 7 14 3" xfId="43813" xr:uid="{00000000-0005-0000-0000-00001CAB0000}"/>
    <cellStyle name="Normal 3 4 7 15" xfId="43814" xr:uid="{00000000-0005-0000-0000-00001DAB0000}"/>
    <cellStyle name="Normal 3 4 7 15 2" xfId="43815" xr:uid="{00000000-0005-0000-0000-00001EAB0000}"/>
    <cellStyle name="Normal 3 4 7 15 3" xfId="43816" xr:uid="{00000000-0005-0000-0000-00001FAB0000}"/>
    <cellStyle name="Normal 3 4 7 16" xfId="43817" xr:uid="{00000000-0005-0000-0000-000020AB0000}"/>
    <cellStyle name="Normal 3 4 7 16 2" xfId="43818" xr:uid="{00000000-0005-0000-0000-000021AB0000}"/>
    <cellStyle name="Normal 3 4 7 16 3" xfId="43819" xr:uid="{00000000-0005-0000-0000-000022AB0000}"/>
    <cellStyle name="Normal 3 4 7 17" xfId="43820" xr:uid="{00000000-0005-0000-0000-000023AB0000}"/>
    <cellStyle name="Normal 3 4 7 17 2" xfId="43821" xr:uid="{00000000-0005-0000-0000-000024AB0000}"/>
    <cellStyle name="Normal 3 4 7 17 3" xfId="43822" xr:uid="{00000000-0005-0000-0000-000025AB0000}"/>
    <cellStyle name="Normal 3 4 7 18" xfId="43823" xr:uid="{00000000-0005-0000-0000-000026AB0000}"/>
    <cellStyle name="Normal 3 4 7 18 2" xfId="43824" xr:uid="{00000000-0005-0000-0000-000027AB0000}"/>
    <cellStyle name="Normal 3 4 7 18 3" xfId="43825" xr:uid="{00000000-0005-0000-0000-000028AB0000}"/>
    <cellStyle name="Normal 3 4 7 19" xfId="43826" xr:uid="{00000000-0005-0000-0000-000029AB0000}"/>
    <cellStyle name="Normal 3 4 7 19 2" xfId="43827" xr:uid="{00000000-0005-0000-0000-00002AAB0000}"/>
    <cellStyle name="Normal 3 4 7 19 3" xfId="43828" xr:uid="{00000000-0005-0000-0000-00002BAB0000}"/>
    <cellStyle name="Normal 3 4 7 2" xfId="43829" xr:uid="{00000000-0005-0000-0000-00002CAB0000}"/>
    <cellStyle name="Normal 3 4 7 2 10" xfId="43830" xr:uid="{00000000-0005-0000-0000-00002DAB0000}"/>
    <cellStyle name="Normal 3 4 7 2 10 2" xfId="43831" xr:uid="{00000000-0005-0000-0000-00002EAB0000}"/>
    <cellStyle name="Normal 3 4 7 2 10 3" xfId="43832" xr:uid="{00000000-0005-0000-0000-00002FAB0000}"/>
    <cellStyle name="Normal 3 4 7 2 11" xfId="43833" xr:uid="{00000000-0005-0000-0000-000030AB0000}"/>
    <cellStyle name="Normal 3 4 7 2 11 2" xfId="43834" xr:uid="{00000000-0005-0000-0000-000031AB0000}"/>
    <cellStyle name="Normal 3 4 7 2 11 3" xfId="43835" xr:uid="{00000000-0005-0000-0000-000032AB0000}"/>
    <cellStyle name="Normal 3 4 7 2 12" xfId="43836" xr:uid="{00000000-0005-0000-0000-000033AB0000}"/>
    <cellStyle name="Normal 3 4 7 2 12 2" xfId="43837" xr:uid="{00000000-0005-0000-0000-000034AB0000}"/>
    <cellStyle name="Normal 3 4 7 2 12 3" xfId="43838" xr:uid="{00000000-0005-0000-0000-000035AB0000}"/>
    <cellStyle name="Normal 3 4 7 2 13" xfId="43839" xr:uid="{00000000-0005-0000-0000-000036AB0000}"/>
    <cellStyle name="Normal 3 4 7 2 13 2" xfId="43840" xr:uid="{00000000-0005-0000-0000-000037AB0000}"/>
    <cellStyle name="Normal 3 4 7 2 13 3" xfId="43841" xr:uid="{00000000-0005-0000-0000-000038AB0000}"/>
    <cellStyle name="Normal 3 4 7 2 14" xfId="43842" xr:uid="{00000000-0005-0000-0000-000039AB0000}"/>
    <cellStyle name="Normal 3 4 7 2 14 2" xfId="43843" xr:uid="{00000000-0005-0000-0000-00003AAB0000}"/>
    <cellStyle name="Normal 3 4 7 2 14 3" xfId="43844" xr:uid="{00000000-0005-0000-0000-00003BAB0000}"/>
    <cellStyle name="Normal 3 4 7 2 15" xfId="43845" xr:uid="{00000000-0005-0000-0000-00003CAB0000}"/>
    <cellStyle name="Normal 3 4 7 2 15 2" xfId="43846" xr:uid="{00000000-0005-0000-0000-00003DAB0000}"/>
    <cellStyle name="Normal 3 4 7 2 15 3" xfId="43847" xr:uid="{00000000-0005-0000-0000-00003EAB0000}"/>
    <cellStyle name="Normal 3 4 7 2 16" xfId="43848" xr:uid="{00000000-0005-0000-0000-00003FAB0000}"/>
    <cellStyle name="Normal 3 4 7 2 17" xfId="43849" xr:uid="{00000000-0005-0000-0000-000040AB0000}"/>
    <cellStyle name="Normal 3 4 7 2 2" xfId="43850" xr:uid="{00000000-0005-0000-0000-000041AB0000}"/>
    <cellStyle name="Normal 3 4 7 2 2 10" xfId="43851" xr:uid="{00000000-0005-0000-0000-000042AB0000}"/>
    <cellStyle name="Normal 3 4 7 2 2 10 2" xfId="43852" xr:uid="{00000000-0005-0000-0000-000043AB0000}"/>
    <cellStyle name="Normal 3 4 7 2 2 10 3" xfId="43853" xr:uid="{00000000-0005-0000-0000-000044AB0000}"/>
    <cellStyle name="Normal 3 4 7 2 2 11" xfId="43854" xr:uid="{00000000-0005-0000-0000-000045AB0000}"/>
    <cellStyle name="Normal 3 4 7 2 2 11 2" xfId="43855" xr:uid="{00000000-0005-0000-0000-000046AB0000}"/>
    <cellStyle name="Normal 3 4 7 2 2 11 3" xfId="43856" xr:uid="{00000000-0005-0000-0000-000047AB0000}"/>
    <cellStyle name="Normal 3 4 7 2 2 12" xfId="43857" xr:uid="{00000000-0005-0000-0000-000048AB0000}"/>
    <cellStyle name="Normal 3 4 7 2 2 12 2" xfId="43858" xr:uid="{00000000-0005-0000-0000-000049AB0000}"/>
    <cellStyle name="Normal 3 4 7 2 2 12 3" xfId="43859" xr:uid="{00000000-0005-0000-0000-00004AAB0000}"/>
    <cellStyle name="Normal 3 4 7 2 2 13" xfId="43860" xr:uid="{00000000-0005-0000-0000-00004BAB0000}"/>
    <cellStyle name="Normal 3 4 7 2 2 13 2" xfId="43861" xr:uid="{00000000-0005-0000-0000-00004CAB0000}"/>
    <cellStyle name="Normal 3 4 7 2 2 13 3" xfId="43862" xr:uid="{00000000-0005-0000-0000-00004DAB0000}"/>
    <cellStyle name="Normal 3 4 7 2 2 14" xfId="43863" xr:uid="{00000000-0005-0000-0000-00004EAB0000}"/>
    <cellStyle name="Normal 3 4 7 2 2 14 2" xfId="43864" xr:uid="{00000000-0005-0000-0000-00004FAB0000}"/>
    <cellStyle name="Normal 3 4 7 2 2 14 3" xfId="43865" xr:uid="{00000000-0005-0000-0000-000050AB0000}"/>
    <cellStyle name="Normal 3 4 7 2 2 15" xfId="43866" xr:uid="{00000000-0005-0000-0000-000051AB0000}"/>
    <cellStyle name="Normal 3 4 7 2 2 16" xfId="43867" xr:uid="{00000000-0005-0000-0000-000052AB0000}"/>
    <cellStyle name="Normal 3 4 7 2 2 2" xfId="43868" xr:uid="{00000000-0005-0000-0000-000053AB0000}"/>
    <cellStyle name="Normal 3 4 7 2 2 2 2" xfId="43869" xr:uid="{00000000-0005-0000-0000-000054AB0000}"/>
    <cellStyle name="Normal 3 4 7 2 2 2 3" xfId="43870" xr:uid="{00000000-0005-0000-0000-000055AB0000}"/>
    <cellStyle name="Normal 3 4 7 2 2 3" xfId="43871" xr:uid="{00000000-0005-0000-0000-000056AB0000}"/>
    <cellStyle name="Normal 3 4 7 2 2 3 2" xfId="43872" xr:uid="{00000000-0005-0000-0000-000057AB0000}"/>
    <cellStyle name="Normal 3 4 7 2 2 3 3" xfId="43873" xr:uid="{00000000-0005-0000-0000-000058AB0000}"/>
    <cellStyle name="Normal 3 4 7 2 2 4" xfId="43874" xr:uid="{00000000-0005-0000-0000-000059AB0000}"/>
    <cellStyle name="Normal 3 4 7 2 2 4 2" xfId="43875" xr:uid="{00000000-0005-0000-0000-00005AAB0000}"/>
    <cellStyle name="Normal 3 4 7 2 2 4 3" xfId="43876" xr:uid="{00000000-0005-0000-0000-00005BAB0000}"/>
    <cellStyle name="Normal 3 4 7 2 2 5" xfId="43877" xr:uid="{00000000-0005-0000-0000-00005CAB0000}"/>
    <cellStyle name="Normal 3 4 7 2 2 5 2" xfId="43878" xr:uid="{00000000-0005-0000-0000-00005DAB0000}"/>
    <cellStyle name="Normal 3 4 7 2 2 5 3" xfId="43879" xr:uid="{00000000-0005-0000-0000-00005EAB0000}"/>
    <cellStyle name="Normal 3 4 7 2 2 6" xfId="43880" xr:uid="{00000000-0005-0000-0000-00005FAB0000}"/>
    <cellStyle name="Normal 3 4 7 2 2 6 2" xfId="43881" xr:uid="{00000000-0005-0000-0000-000060AB0000}"/>
    <cellStyle name="Normal 3 4 7 2 2 6 3" xfId="43882" xr:uid="{00000000-0005-0000-0000-000061AB0000}"/>
    <cellStyle name="Normal 3 4 7 2 2 7" xfId="43883" xr:uid="{00000000-0005-0000-0000-000062AB0000}"/>
    <cellStyle name="Normal 3 4 7 2 2 7 2" xfId="43884" xr:uid="{00000000-0005-0000-0000-000063AB0000}"/>
    <cellStyle name="Normal 3 4 7 2 2 7 3" xfId="43885" xr:uid="{00000000-0005-0000-0000-000064AB0000}"/>
    <cellStyle name="Normal 3 4 7 2 2 8" xfId="43886" xr:uid="{00000000-0005-0000-0000-000065AB0000}"/>
    <cellStyle name="Normal 3 4 7 2 2 8 2" xfId="43887" xr:uid="{00000000-0005-0000-0000-000066AB0000}"/>
    <cellStyle name="Normal 3 4 7 2 2 8 3" xfId="43888" xr:uid="{00000000-0005-0000-0000-000067AB0000}"/>
    <cellStyle name="Normal 3 4 7 2 2 9" xfId="43889" xr:uid="{00000000-0005-0000-0000-000068AB0000}"/>
    <cellStyle name="Normal 3 4 7 2 2 9 2" xfId="43890" xr:uid="{00000000-0005-0000-0000-000069AB0000}"/>
    <cellStyle name="Normal 3 4 7 2 2 9 3" xfId="43891" xr:uid="{00000000-0005-0000-0000-00006AAB0000}"/>
    <cellStyle name="Normal 3 4 7 2 3" xfId="43892" xr:uid="{00000000-0005-0000-0000-00006BAB0000}"/>
    <cellStyle name="Normal 3 4 7 2 3 2" xfId="43893" xr:uid="{00000000-0005-0000-0000-00006CAB0000}"/>
    <cellStyle name="Normal 3 4 7 2 3 3" xfId="43894" xr:uid="{00000000-0005-0000-0000-00006DAB0000}"/>
    <cellStyle name="Normal 3 4 7 2 4" xfId="43895" xr:uid="{00000000-0005-0000-0000-00006EAB0000}"/>
    <cellStyle name="Normal 3 4 7 2 4 2" xfId="43896" xr:uid="{00000000-0005-0000-0000-00006FAB0000}"/>
    <cellStyle name="Normal 3 4 7 2 4 3" xfId="43897" xr:uid="{00000000-0005-0000-0000-000070AB0000}"/>
    <cellStyle name="Normal 3 4 7 2 5" xfId="43898" xr:uid="{00000000-0005-0000-0000-000071AB0000}"/>
    <cellStyle name="Normal 3 4 7 2 5 2" xfId="43899" xr:uid="{00000000-0005-0000-0000-000072AB0000}"/>
    <cellStyle name="Normal 3 4 7 2 5 3" xfId="43900" xr:uid="{00000000-0005-0000-0000-000073AB0000}"/>
    <cellStyle name="Normal 3 4 7 2 6" xfId="43901" xr:uid="{00000000-0005-0000-0000-000074AB0000}"/>
    <cellStyle name="Normal 3 4 7 2 6 2" xfId="43902" xr:uid="{00000000-0005-0000-0000-000075AB0000}"/>
    <cellStyle name="Normal 3 4 7 2 6 3" xfId="43903" xr:uid="{00000000-0005-0000-0000-000076AB0000}"/>
    <cellStyle name="Normal 3 4 7 2 7" xfId="43904" xr:uid="{00000000-0005-0000-0000-000077AB0000}"/>
    <cellStyle name="Normal 3 4 7 2 7 2" xfId="43905" xr:uid="{00000000-0005-0000-0000-000078AB0000}"/>
    <cellStyle name="Normal 3 4 7 2 7 3" xfId="43906" xr:uid="{00000000-0005-0000-0000-000079AB0000}"/>
    <cellStyle name="Normal 3 4 7 2 8" xfId="43907" xr:uid="{00000000-0005-0000-0000-00007AAB0000}"/>
    <cellStyle name="Normal 3 4 7 2 8 2" xfId="43908" xr:uid="{00000000-0005-0000-0000-00007BAB0000}"/>
    <cellStyle name="Normal 3 4 7 2 8 3" xfId="43909" xr:uid="{00000000-0005-0000-0000-00007CAB0000}"/>
    <cellStyle name="Normal 3 4 7 2 9" xfId="43910" xr:uid="{00000000-0005-0000-0000-00007DAB0000}"/>
    <cellStyle name="Normal 3 4 7 2 9 2" xfId="43911" xr:uid="{00000000-0005-0000-0000-00007EAB0000}"/>
    <cellStyle name="Normal 3 4 7 2 9 3" xfId="43912" xr:uid="{00000000-0005-0000-0000-00007FAB0000}"/>
    <cellStyle name="Normal 3 4 7 20" xfId="43913" xr:uid="{00000000-0005-0000-0000-000080AB0000}"/>
    <cellStyle name="Normal 3 4 7 20 2" xfId="43914" xr:uid="{00000000-0005-0000-0000-000081AB0000}"/>
    <cellStyle name="Normal 3 4 7 20 3" xfId="43915" xr:uid="{00000000-0005-0000-0000-000082AB0000}"/>
    <cellStyle name="Normal 3 4 7 21" xfId="43916" xr:uid="{00000000-0005-0000-0000-000083AB0000}"/>
    <cellStyle name="Normal 3 4 7 21 2" xfId="43917" xr:uid="{00000000-0005-0000-0000-000084AB0000}"/>
    <cellStyle name="Normal 3 4 7 21 3" xfId="43918" xr:uid="{00000000-0005-0000-0000-000085AB0000}"/>
    <cellStyle name="Normal 3 4 7 22" xfId="43919" xr:uid="{00000000-0005-0000-0000-000086AB0000}"/>
    <cellStyle name="Normal 3 4 7 22 2" xfId="43920" xr:uid="{00000000-0005-0000-0000-000087AB0000}"/>
    <cellStyle name="Normal 3 4 7 22 3" xfId="43921" xr:uid="{00000000-0005-0000-0000-000088AB0000}"/>
    <cellStyle name="Normal 3 4 7 23" xfId="43922" xr:uid="{00000000-0005-0000-0000-000089AB0000}"/>
    <cellStyle name="Normal 3 4 7 23 2" xfId="43923" xr:uid="{00000000-0005-0000-0000-00008AAB0000}"/>
    <cellStyle name="Normal 3 4 7 23 3" xfId="43924" xr:uid="{00000000-0005-0000-0000-00008BAB0000}"/>
    <cellStyle name="Normal 3 4 7 24" xfId="43925" xr:uid="{00000000-0005-0000-0000-00008CAB0000}"/>
    <cellStyle name="Normal 3 4 7 25" xfId="43926" xr:uid="{00000000-0005-0000-0000-00008DAB0000}"/>
    <cellStyle name="Normal 3 4 7 3" xfId="43927" xr:uid="{00000000-0005-0000-0000-00008EAB0000}"/>
    <cellStyle name="Normal 3 4 7 3 10" xfId="43928" xr:uid="{00000000-0005-0000-0000-00008FAB0000}"/>
    <cellStyle name="Normal 3 4 7 3 10 2" xfId="43929" xr:uid="{00000000-0005-0000-0000-000090AB0000}"/>
    <cellStyle name="Normal 3 4 7 3 10 3" xfId="43930" xr:uid="{00000000-0005-0000-0000-000091AB0000}"/>
    <cellStyle name="Normal 3 4 7 3 11" xfId="43931" xr:uid="{00000000-0005-0000-0000-000092AB0000}"/>
    <cellStyle name="Normal 3 4 7 3 11 2" xfId="43932" xr:uid="{00000000-0005-0000-0000-000093AB0000}"/>
    <cellStyle name="Normal 3 4 7 3 11 3" xfId="43933" xr:uid="{00000000-0005-0000-0000-000094AB0000}"/>
    <cellStyle name="Normal 3 4 7 3 12" xfId="43934" xr:uid="{00000000-0005-0000-0000-000095AB0000}"/>
    <cellStyle name="Normal 3 4 7 3 12 2" xfId="43935" xr:uid="{00000000-0005-0000-0000-000096AB0000}"/>
    <cellStyle name="Normal 3 4 7 3 12 3" xfId="43936" xr:uid="{00000000-0005-0000-0000-000097AB0000}"/>
    <cellStyle name="Normal 3 4 7 3 13" xfId="43937" xr:uid="{00000000-0005-0000-0000-000098AB0000}"/>
    <cellStyle name="Normal 3 4 7 3 13 2" xfId="43938" xr:uid="{00000000-0005-0000-0000-000099AB0000}"/>
    <cellStyle name="Normal 3 4 7 3 13 3" xfId="43939" xr:uid="{00000000-0005-0000-0000-00009AAB0000}"/>
    <cellStyle name="Normal 3 4 7 3 14" xfId="43940" xr:uid="{00000000-0005-0000-0000-00009BAB0000}"/>
    <cellStyle name="Normal 3 4 7 3 14 2" xfId="43941" xr:uid="{00000000-0005-0000-0000-00009CAB0000}"/>
    <cellStyle name="Normal 3 4 7 3 14 3" xfId="43942" xr:uid="{00000000-0005-0000-0000-00009DAB0000}"/>
    <cellStyle name="Normal 3 4 7 3 15" xfId="43943" xr:uid="{00000000-0005-0000-0000-00009EAB0000}"/>
    <cellStyle name="Normal 3 4 7 3 15 2" xfId="43944" xr:uid="{00000000-0005-0000-0000-00009FAB0000}"/>
    <cellStyle name="Normal 3 4 7 3 15 3" xfId="43945" xr:uid="{00000000-0005-0000-0000-0000A0AB0000}"/>
    <cellStyle name="Normal 3 4 7 3 16" xfId="43946" xr:uid="{00000000-0005-0000-0000-0000A1AB0000}"/>
    <cellStyle name="Normal 3 4 7 3 17" xfId="43947" xr:uid="{00000000-0005-0000-0000-0000A2AB0000}"/>
    <cellStyle name="Normal 3 4 7 3 2" xfId="43948" xr:uid="{00000000-0005-0000-0000-0000A3AB0000}"/>
    <cellStyle name="Normal 3 4 7 3 2 10" xfId="43949" xr:uid="{00000000-0005-0000-0000-0000A4AB0000}"/>
    <cellStyle name="Normal 3 4 7 3 2 10 2" xfId="43950" xr:uid="{00000000-0005-0000-0000-0000A5AB0000}"/>
    <cellStyle name="Normal 3 4 7 3 2 10 3" xfId="43951" xr:uid="{00000000-0005-0000-0000-0000A6AB0000}"/>
    <cellStyle name="Normal 3 4 7 3 2 11" xfId="43952" xr:uid="{00000000-0005-0000-0000-0000A7AB0000}"/>
    <cellStyle name="Normal 3 4 7 3 2 11 2" xfId="43953" xr:uid="{00000000-0005-0000-0000-0000A8AB0000}"/>
    <cellStyle name="Normal 3 4 7 3 2 11 3" xfId="43954" xr:uid="{00000000-0005-0000-0000-0000A9AB0000}"/>
    <cellStyle name="Normal 3 4 7 3 2 12" xfId="43955" xr:uid="{00000000-0005-0000-0000-0000AAAB0000}"/>
    <cellStyle name="Normal 3 4 7 3 2 12 2" xfId="43956" xr:uid="{00000000-0005-0000-0000-0000ABAB0000}"/>
    <cellStyle name="Normal 3 4 7 3 2 12 3" xfId="43957" xr:uid="{00000000-0005-0000-0000-0000ACAB0000}"/>
    <cellStyle name="Normal 3 4 7 3 2 13" xfId="43958" xr:uid="{00000000-0005-0000-0000-0000ADAB0000}"/>
    <cellStyle name="Normal 3 4 7 3 2 13 2" xfId="43959" xr:uid="{00000000-0005-0000-0000-0000AEAB0000}"/>
    <cellStyle name="Normal 3 4 7 3 2 13 3" xfId="43960" xr:uid="{00000000-0005-0000-0000-0000AFAB0000}"/>
    <cellStyle name="Normal 3 4 7 3 2 14" xfId="43961" xr:uid="{00000000-0005-0000-0000-0000B0AB0000}"/>
    <cellStyle name="Normal 3 4 7 3 2 14 2" xfId="43962" xr:uid="{00000000-0005-0000-0000-0000B1AB0000}"/>
    <cellStyle name="Normal 3 4 7 3 2 14 3" xfId="43963" xr:uid="{00000000-0005-0000-0000-0000B2AB0000}"/>
    <cellStyle name="Normal 3 4 7 3 2 15" xfId="43964" xr:uid="{00000000-0005-0000-0000-0000B3AB0000}"/>
    <cellStyle name="Normal 3 4 7 3 2 16" xfId="43965" xr:uid="{00000000-0005-0000-0000-0000B4AB0000}"/>
    <cellStyle name="Normal 3 4 7 3 2 2" xfId="43966" xr:uid="{00000000-0005-0000-0000-0000B5AB0000}"/>
    <cellStyle name="Normal 3 4 7 3 2 2 2" xfId="43967" xr:uid="{00000000-0005-0000-0000-0000B6AB0000}"/>
    <cellStyle name="Normal 3 4 7 3 2 2 3" xfId="43968" xr:uid="{00000000-0005-0000-0000-0000B7AB0000}"/>
    <cellStyle name="Normal 3 4 7 3 2 3" xfId="43969" xr:uid="{00000000-0005-0000-0000-0000B8AB0000}"/>
    <cellStyle name="Normal 3 4 7 3 2 3 2" xfId="43970" xr:uid="{00000000-0005-0000-0000-0000B9AB0000}"/>
    <cellStyle name="Normal 3 4 7 3 2 3 3" xfId="43971" xr:uid="{00000000-0005-0000-0000-0000BAAB0000}"/>
    <cellStyle name="Normal 3 4 7 3 2 4" xfId="43972" xr:uid="{00000000-0005-0000-0000-0000BBAB0000}"/>
    <cellStyle name="Normal 3 4 7 3 2 4 2" xfId="43973" xr:uid="{00000000-0005-0000-0000-0000BCAB0000}"/>
    <cellStyle name="Normal 3 4 7 3 2 4 3" xfId="43974" xr:uid="{00000000-0005-0000-0000-0000BDAB0000}"/>
    <cellStyle name="Normal 3 4 7 3 2 5" xfId="43975" xr:uid="{00000000-0005-0000-0000-0000BEAB0000}"/>
    <cellStyle name="Normal 3 4 7 3 2 5 2" xfId="43976" xr:uid="{00000000-0005-0000-0000-0000BFAB0000}"/>
    <cellStyle name="Normal 3 4 7 3 2 5 3" xfId="43977" xr:uid="{00000000-0005-0000-0000-0000C0AB0000}"/>
    <cellStyle name="Normal 3 4 7 3 2 6" xfId="43978" xr:uid="{00000000-0005-0000-0000-0000C1AB0000}"/>
    <cellStyle name="Normal 3 4 7 3 2 6 2" xfId="43979" xr:uid="{00000000-0005-0000-0000-0000C2AB0000}"/>
    <cellStyle name="Normal 3 4 7 3 2 6 3" xfId="43980" xr:uid="{00000000-0005-0000-0000-0000C3AB0000}"/>
    <cellStyle name="Normal 3 4 7 3 2 7" xfId="43981" xr:uid="{00000000-0005-0000-0000-0000C4AB0000}"/>
    <cellStyle name="Normal 3 4 7 3 2 7 2" xfId="43982" xr:uid="{00000000-0005-0000-0000-0000C5AB0000}"/>
    <cellStyle name="Normal 3 4 7 3 2 7 3" xfId="43983" xr:uid="{00000000-0005-0000-0000-0000C6AB0000}"/>
    <cellStyle name="Normal 3 4 7 3 2 8" xfId="43984" xr:uid="{00000000-0005-0000-0000-0000C7AB0000}"/>
    <cellStyle name="Normal 3 4 7 3 2 8 2" xfId="43985" xr:uid="{00000000-0005-0000-0000-0000C8AB0000}"/>
    <cellStyle name="Normal 3 4 7 3 2 8 3" xfId="43986" xr:uid="{00000000-0005-0000-0000-0000C9AB0000}"/>
    <cellStyle name="Normal 3 4 7 3 2 9" xfId="43987" xr:uid="{00000000-0005-0000-0000-0000CAAB0000}"/>
    <cellStyle name="Normal 3 4 7 3 2 9 2" xfId="43988" xr:uid="{00000000-0005-0000-0000-0000CBAB0000}"/>
    <cellStyle name="Normal 3 4 7 3 2 9 3" xfId="43989" xr:uid="{00000000-0005-0000-0000-0000CCAB0000}"/>
    <cellStyle name="Normal 3 4 7 3 3" xfId="43990" xr:uid="{00000000-0005-0000-0000-0000CDAB0000}"/>
    <cellStyle name="Normal 3 4 7 3 3 2" xfId="43991" xr:uid="{00000000-0005-0000-0000-0000CEAB0000}"/>
    <cellStyle name="Normal 3 4 7 3 3 3" xfId="43992" xr:uid="{00000000-0005-0000-0000-0000CFAB0000}"/>
    <cellStyle name="Normal 3 4 7 3 4" xfId="43993" xr:uid="{00000000-0005-0000-0000-0000D0AB0000}"/>
    <cellStyle name="Normal 3 4 7 3 4 2" xfId="43994" xr:uid="{00000000-0005-0000-0000-0000D1AB0000}"/>
    <cellStyle name="Normal 3 4 7 3 4 3" xfId="43995" xr:uid="{00000000-0005-0000-0000-0000D2AB0000}"/>
    <cellStyle name="Normal 3 4 7 3 5" xfId="43996" xr:uid="{00000000-0005-0000-0000-0000D3AB0000}"/>
    <cellStyle name="Normal 3 4 7 3 5 2" xfId="43997" xr:uid="{00000000-0005-0000-0000-0000D4AB0000}"/>
    <cellStyle name="Normal 3 4 7 3 5 3" xfId="43998" xr:uid="{00000000-0005-0000-0000-0000D5AB0000}"/>
    <cellStyle name="Normal 3 4 7 3 6" xfId="43999" xr:uid="{00000000-0005-0000-0000-0000D6AB0000}"/>
    <cellStyle name="Normal 3 4 7 3 6 2" xfId="44000" xr:uid="{00000000-0005-0000-0000-0000D7AB0000}"/>
    <cellStyle name="Normal 3 4 7 3 6 3" xfId="44001" xr:uid="{00000000-0005-0000-0000-0000D8AB0000}"/>
    <cellStyle name="Normal 3 4 7 3 7" xfId="44002" xr:uid="{00000000-0005-0000-0000-0000D9AB0000}"/>
    <cellStyle name="Normal 3 4 7 3 7 2" xfId="44003" xr:uid="{00000000-0005-0000-0000-0000DAAB0000}"/>
    <cellStyle name="Normal 3 4 7 3 7 3" xfId="44004" xr:uid="{00000000-0005-0000-0000-0000DBAB0000}"/>
    <cellStyle name="Normal 3 4 7 3 8" xfId="44005" xr:uid="{00000000-0005-0000-0000-0000DCAB0000}"/>
    <cellStyle name="Normal 3 4 7 3 8 2" xfId="44006" xr:uid="{00000000-0005-0000-0000-0000DDAB0000}"/>
    <cellStyle name="Normal 3 4 7 3 8 3" xfId="44007" xr:uid="{00000000-0005-0000-0000-0000DEAB0000}"/>
    <cellStyle name="Normal 3 4 7 3 9" xfId="44008" xr:uid="{00000000-0005-0000-0000-0000DFAB0000}"/>
    <cellStyle name="Normal 3 4 7 3 9 2" xfId="44009" xr:uid="{00000000-0005-0000-0000-0000E0AB0000}"/>
    <cellStyle name="Normal 3 4 7 3 9 3" xfId="44010" xr:uid="{00000000-0005-0000-0000-0000E1AB0000}"/>
    <cellStyle name="Normal 3 4 7 4" xfId="44011" xr:uid="{00000000-0005-0000-0000-0000E2AB0000}"/>
    <cellStyle name="Normal 3 4 7 4 10" xfId="44012" xr:uid="{00000000-0005-0000-0000-0000E3AB0000}"/>
    <cellStyle name="Normal 3 4 7 4 10 2" xfId="44013" xr:uid="{00000000-0005-0000-0000-0000E4AB0000}"/>
    <cellStyle name="Normal 3 4 7 4 10 3" xfId="44014" xr:uid="{00000000-0005-0000-0000-0000E5AB0000}"/>
    <cellStyle name="Normal 3 4 7 4 11" xfId="44015" xr:uid="{00000000-0005-0000-0000-0000E6AB0000}"/>
    <cellStyle name="Normal 3 4 7 4 11 2" xfId="44016" xr:uid="{00000000-0005-0000-0000-0000E7AB0000}"/>
    <cellStyle name="Normal 3 4 7 4 11 3" xfId="44017" xr:uid="{00000000-0005-0000-0000-0000E8AB0000}"/>
    <cellStyle name="Normal 3 4 7 4 12" xfId="44018" xr:uid="{00000000-0005-0000-0000-0000E9AB0000}"/>
    <cellStyle name="Normal 3 4 7 4 12 2" xfId="44019" xr:uid="{00000000-0005-0000-0000-0000EAAB0000}"/>
    <cellStyle name="Normal 3 4 7 4 12 3" xfId="44020" xr:uid="{00000000-0005-0000-0000-0000EBAB0000}"/>
    <cellStyle name="Normal 3 4 7 4 13" xfId="44021" xr:uid="{00000000-0005-0000-0000-0000ECAB0000}"/>
    <cellStyle name="Normal 3 4 7 4 13 2" xfId="44022" xr:uid="{00000000-0005-0000-0000-0000EDAB0000}"/>
    <cellStyle name="Normal 3 4 7 4 13 3" xfId="44023" xr:uid="{00000000-0005-0000-0000-0000EEAB0000}"/>
    <cellStyle name="Normal 3 4 7 4 14" xfId="44024" xr:uid="{00000000-0005-0000-0000-0000EFAB0000}"/>
    <cellStyle name="Normal 3 4 7 4 14 2" xfId="44025" xr:uid="{00000000-0005-0000-0000-0000F0AB0000}"/>
    <cellStyle name="Normal 3 4 7 4 14 3" xfId="44026" xr:uid="{00000000-0005-0000-0000-0000F1AB0000}"/>
    <cellStyle name="Normal 3 4 7 4 15" xfId="44027" xr:uid="{00000000-0005-0000-0000-0000F2AB0000}"/>
    <cellStyle name="Normal 3 4 7 4 15 2" xfId="44028" xr:uid="{00000000-0005-0000-0000-0000F3AB0000}"/>
    <cellStyle name="Normal 3 4 7 4 15 3" xfId="44029" xr:uid="{00000000-0005-0000-0000-0000F4AB0000}"/>
    <cellStyle name="Normal 3 4 7 4 16" xfId="44030" xr:uid="{00000000-0005-0000-0000-0000F5AB0000}"/>
    <cellStyle name="Normal 3 4 7 4 17" xfId="44031" xr:uid="{00000000-0005-0000-0000-0000F6AB0000}"/>
    <cellStyle name="Normal 3 4 7 4 2" xfId="44032" xr:uid="{00000000-0005-0000-0000-0000F7AB0000}"/>
    <cellStyle name="Normal 3 4 7 4 2 10" xfId="44033" xr:uid="{00000000-0005-0000-0000-0000F8AB0000}"/>
    <cellStyle name="Normal 3 4 7 4 2 10 2" xfId="44034" xr:uid="{00000000-0005-0000-0000-0000F9AB0000}"/>
    <cellStyle name="Normal 3 4 7 4 2 10 3" xfId="44035" xr:uid="{00000000-0005-0000-0000-0000FAAB0000}"/>
    <cellStyle name="Normal 3 4 7 4 2 11" xfId="44036" xr:uid="{00000000-0005-0000-0000-0000FBAB0000}"/>
    <cellStyle name="Normal 3 4 7 4 2 11 2" xfId="44037" xr:uid="{00000000-0005-0000-0000-0000FCAB0000}"/>
    <cellStyle name="Normal 3 4 7 4 2 11 3" xfId="44038" xr:uid="{00000000-0005-0000-0000-0000FDAB0000}"/>
    <cellStyle name="Normal 3 4 7 4 2 12" xfId="44039" xr:uid="{00000000-0005-0000-0000-0000FEAB0000}"/>
    <cellStyle name="Normal 3 4 7 4 2 12 2" xfId="44040" xr:uid="{00000000-0005-0000-0000-0000FFAB0000}"/>
    <cellStyle name="Normal 3 4 7 4 2 12 3" xfId="44041" xr:uid="{00000000-0005-0000-0000-000000AC0000}"/>
    <cellStyle name="Normal 3 4 7 4 2 13" xfId="44042" xr:uid="{00000000-0005-0000-0000-000001AC0000}"/>
    <cellStyle name="Normal 3 4 7 4 2 13 2" xfId="44043" xr:uid="{00000000-0005-0000-0000-000002AC0000}"/>
    <cellStyle name="Normal 3 4 7 4 2 13 3" xfId="44044" xr:uid="{00000000-0005-0000-0000-000003AC0000}"/>
    <cellStyle name="Normal 3 4 7 4 2 14" xfId="44045" xr:uid="{00000000-0005-0000-0000-000004AC0000}"/>
    <cellStyle name="Normal 3 4 7 4 2 14 2" xfId="44046" xr:uid="{00000000-0005-0000-0000-000005AC0000}"/>
    <cellStyle name="Normal 3 4 7 4 2 14 3" xfId="44047" xr:uid="{00000000-0005-0000-0000-000006AC0000}"/>
    <cellStyle name="Normal 3 4 7 4 2 15" xfId="44048" xr:uid="{00000000-0005-0000-0000-000007AC0000}"/>
    <cellStyle name="Normal 3 4 7 4 2 16" xfId="44049" xr:uid="{00000000-0005-0000-0000-000008AC0000}"/>
    <cellStyle name="Normal 3 4 7 4 2 2" xfId="44050" xr:uid="{00000000-0005-0000-0000-000009AC0000}"/>
    <cellStyle name="Normal 3 4 7 4 2 2 2" xfId="44051" xr:uid="{00000000-0005-0000-0000-00000AAC0000}"/>
    <cellStyle name="Normal 3 4 7 4 2 2 3" xfId="44052" xr:uid="{00000000-0005-0000-0000-00000BAC0000}"/>
    <cellStyle name="Normal 3 4 7 4 2 3" xfId="44053" xr:uid="{00000000-0005-0000-0000-00000CAC0000}"/>
    <cellStyle name="Normal 3 4 7 4 2 3 2" xfId="44054" xr:uid="{00000000-0005-0000-0000-00000DAC0000}"/>
    <cellStyle name="Normal 3 4 7 4 2 3 3" xfId="44055" xr:uid="{00000000-0005-0000-0000-00000EAC0000}"/>
    <cellStyle name="Normal 3 4 7 4 2 4" xfId="44056" xr:uid="{00000000-0005-0000-0000-00000FAC0000}"/>
    <cellStyle name="Normal 3 4 7 4 2 4 2" xfId="44057" xr:uid="{00000000-0005-0000-0000-000010AC0000}"/>
    <cellStyle name="Normal 3 4 7 4 2 4 3" xfId="44058" xr:uid="{00000000-0005-0000-0000-000011AC0000}"/>
    <cellStyle name="Normal 3 4 7 4 2 5" xfId="44059" xr:uid="{00000000-0005-0000-0000-000012AC0000}"/>
    <cellStyle name="Normal 3 4 7 4 2 5 2" xfId="44060" xr:uid="{00000000-0005-0000-0000-000013AC0000}"/>
    <cellStyle name="Normal 3 4 7 4 2 5 3" xfId="44061" xr:uid="{00000000-0005-0000-0000-000014AC0000}"/>
    <cellStyle name="Normal 3 4 7 4 2 6" xfId="44062" xr:uid="{00000000-0005-0000-0000-000015AC0000}"/>
    <cellStyle name="Normal 3 4 7 4 2 6 2" xfId="44063" xr:uid="{00000000-0005-0000-0000-000016AC0000}"/>
    <cellStyle name="Normal 3 4 7 4 2 6 3" xfId="44064" xr:uid="{00000000-0005-0000-0000-000017AC0000}"/>
    <cellStyle name="Normal 3 4 7 4 2 7" xfId="44065" xr:uid="{00000000-0005-0000-0000-000018AC0000}"/>
    <cellStyle name="Normal 3 4 7 4 2 7 2" xfId="44066" xr:uid="{00000000-0005-0000-0000-000019AC0000}"/>
    <cellStyle name="Normal 3 4 7 4 2 7 3" xfId="44067" xr:uid="{00000000-0005-0000-0000-00001AAC0000}"/>
    <cellStyle name="Normal 3 4 7 4 2 8" xfId="44068" xr:uid="{00000000-0005-0000-0000-00001BAC0000}"/>
    <cellStyle name="Normal 3 4 7 4 2 8 2" xfId="44069" xr:uid="{00000000-0005-0000-0000-00001CAC0000}"/>
    <cellStyle name="Normal 3 4 7 4 2 8 3" xfId="44070" xr:uid="{00000000-0005-0000-0000-00001DAC0000}"/>
    <cellStyle name="Normal 3 4 7 4 2 9" xfId="44071" xr:uid="{00000000-0005-0000-0000-00001EAC0000}"/>
    <cellStyle name="Normal 3 4 7 4 2 9 2" xfId="44072" xr:uid="{00000000-0005-0000-0000-00001FAC0000}"/>
    <cellStyle name="Normal 3 4 7 4 2 9 3" xfId="44073" xr:uid="{00000000-0005-0000-0000-000020AC0000}"/>
    <cellStyle name="Normal 3 4 7 4 3" xfId="44074" xr:uid="{00000000-0005-0000-0000-000021AC0000}"/>
    <cellStyle name="Normal 3 4 7 4 3 2" xfId="44075" xr:uid="{00000000-0005-0000-0000-000022AC0000}"/>
    <cellStyle name="Normal 3 4 7 4 3 3" xfId="44076" xr:uid="{00000000-0005-0000-0000-000023AC0000}"/>
    <cellStyle name="Normal 3 4 7 4 4" xfId="44077" xr:uid="{00000000-0005-0000-0000-000024AC0000}"/>
    <cellStyle name="Normal 3 4 7 4 4 2" xfId="44078" xr:uid="{00000000-0005-0000-0000-000025AC0000}"/>
    <cellStyle name="Normal 3 4 7 4 4 3" xfId="44079" xr:uid="{00000000-0005-0000-0000-000026AC0000}"/>
    <cellStyle name="Normal 3 4 7 4 5" xfId="44080" xr:uid="{00000000-0005-0000-0000-000027AC0000}"/>
    <cellStyle name="Normal 3 4 7 4 5 2" xfId="44081" xr:uid="{00000000-0005-0000-0000-000028AC0000}"/>
    <cellStyle name="Normal 3 4 7 4 5 3" xfId="44082" xr:uid="{00000000-0005-0000-0000-000029AC0000}"/>
    <cellStyle name="Normal 3 4 7 4 6" xfId="44083" xr:uid="{00000000-0005-0000-0000-00002AAC0000}"/>
    <cellStyle name="Normal 3 4 7 4 6 2" xfId="44084" xr:uid="{00000000-0005-0000-0000-00002BAC0000}"/>
    <cellStyle name="Normal 3 4 7 4 6 3" xfId="44085" xr:uid="{00000000-0005-0000-0000-00002CAC0000}"/>
    <cellStyle name="Normal 3 4 7 4 7" xfId="44086" xr:uid="{00000000-0005-0000-0000-00002DAC0000}"/>
    <cellStyle name="Normal 3 4 7 4 7 2" xfId="44087" xr:uid="{00000000-0005-0000-0000-00002EAC0000}"/>
    <cellStyle name="Normal 3 4 7 4 7 3" xfId="44088" xr:uid="{00000000-0005-0000-0000-00002FAC0000}"/>
    <cellStyle name="Normal 3 4 7 4 8" xfId="44089" xr:uid="{00000000-0005-0000-0000-000030AC0000}"/>
    <cellStyle name="Normal 3 4 7 4 8 2" xfId="44090" xr:uid="{00000000-0005-0000-0000-000031AC0000}"/>
    <cellStyle name="Normal 3 4 7 4 8 3" xfId="44091" xr:uid="{00000000-0005-0000-0000-000032AC0000}"/>
    <cellStyle name="Normal 3 4 7 4 9" xfId="44092" xr:uid="{00000000-0005-0000-0000-000033AC0000}"/>
    <cellStyle name="Normal 3 4 7 4 9 2" xfId="44093" xr:uid="{00000000-0005-0000-0000-000034AC0000}"/>
    <cellStyle name="Normal 3 4 7 4 9 3" xfId="44094" xr:uid="{00000000-0005-0000-0000-000035AC0000}"/>
    <cellStyle name="Normal 3 4 7 5" xfId="44095" xr:uid="{00000000-0005-0000-0000-000036AC0000}"/>
    <cellStyle name="Normal 3 4 7 5 10" xfId="44096" xr:uid="{00000000-0005-0000-0000-000037AC0000}"/>
    <cellStyle name="Normal 3 4 7 5 10 2" xfId="44097" xr:uid="{00000000-0005-0000-0000-000038AC0000}"/>
    <cellStyle name="Normal 3 4 7 5 10 3" xfId="44098" xr:uid="{00000000-0005-0000-0000-000039AC0000}"/>
    <cellStyle name="Normal 3 4 7 5 11" xfId="44099" xr:uid="{00000000-0005-0000-0000-00003AAC0000}"/>
    <cellStyle name="Normal 3 4 7 5 11 2" xfId="44100" xr:uid="{00000000-0005-0000-0000-00003BAC0000}"/>
    <cellStyle name="Normal 3 4 7 5 11 3" xfId="44101" xr:uid="{00000000-0005-0000-0000-00003CAC0000}"/>
    <cellStyle name="Normal 3 4 7 5 12" xfId="44102" xr:uid="{00000000-0005-0000-0000-00003DAC0000}"/>
    <cellStyle name="Normal 3 4 7 5 12 2" xfId="44103" xr:uid="{00000000-0005-0000-0000-00003EAC0000}"/>
    <cellStyle name="Normal 3 4 7 5 12 3" xfId="44104" xr:uid="{00000000-0005-0000-0000-00003FAC0000}"/>
    <cellStyle name="Normal 3 4 7 5 13" xfId="44105" xr:uid="{00000000-0005-0000-0000-000040AC0000}"/>
    <cellStyle name="Normal 3 4 7 5 13 2" xfId="44106" xr:uid="{00000000-0005-0000-0000-000041AC0000}"/>
    <cellStyle name="Normal 3 4 7 5 13 3" xfId="44107" xr:uid="{00000000-0005-0000-0000-000042AC0000}"/>
    <cellStyle name="Normal 3 4 7 5 14" xfId="44108" xr:uid="{00000000-0005-0000-0000-000043AC0000}"/>
    <cellStyle name="Normal 3 4 7 5 14 2" xfId="44109" xr:uid="{00000000-0005-0000-0000-000044AC0000}"/>
    <cellStyle name="Normal 3 4 7 5 14 3" xfId="44110" xr:uid="{00000000-0005-0000-0000-000045AC0000}"/>
    <cellStyle name="Normal 3 4 7 5 15" xfId="44111" xr:uid="{00000000-0005-0000-0000-000046AC0000}"/>
    <cellStyle name="Normal 3 4 7 5 16" xfId="44112" xr:uid="{00000000-0005-0000-0000-000047AC0000}"/>
    <cellStyle name="Normal 3 4 7 5 2" xfId="44113" xr:uid="{00000000-0005-0000-0000-000048AC0000}"/>
    <cellStyle name="Normal 3 4 7 5 2 2" xfId="44114" xr:uid="{00000000-0005-0000-0000-000049AC0000}"/>
    <cellStyle name="Normal 3 4 7 5 2 3" xfId="44115" xr:uid="{00000000-0005-0000-0000-00004AAC0000}"/>
    <cellStyle name="Normal 3 4 7 5 3" xfId="44116" xr:uid="{00000000-0005-0000-0000-00004BAC0000}"/>
    <cellStyle name="Normal 3 4 7 5 3 2" xfId="44117" xr:uid="{00000000-0005-0000-0000-00004CAC0000}"/>
    <cellStyle name="Normal 3 4 7 5 3 3" xfId="44118" xr:uid="{00000000-0005-0000-0000-00004DAC0000}"/>
    <cellStyle name="Normal 3 4 7 5 4" xfId="44119" xr:uid="{00000000-0005-0000-0000-00004EAC0000}"/>
    <cellStyle name="Normal 3 4 7 5 4 2" xfId="44120" xr:uid="{00000000-0005-0000-0000-00004FAC0000}"/>
    <cellStyle name="Normal 3 4 7 5 4 3" xfId="44121" xr:uid="{00000000-0005-0000-0000-000050AC0000}"/>
    <cellStyle name="Normal 3 4 7 5 5" xfId="44122" xr:uid="{00000000-0005-0000-0000-000051AC0000}"/>
    <cellStyle name="Normal 3 4 7 5 5 2" xfId="44123" xr:uid="{00000000-0005-0000-0000-000052AC0000}"/>
    <cellStyle name="Normal 3 4 7 5 5 3" xfId="44124" xr:uid="{00000000-0005-0000-0000-000053AC0000}"/>
    <cellStyle name="Normal 3 4 7 5 6" xfId="44125" xr:uid="{00000000-0005-0000-0000-000054AC0000}"/>
    <cellStyle name="Normal 3 4 7 5 6 2" xfId="44126" xr:uid="{00000000-0005-0000-0000-000055AC0000}"/>
    <cellStyle name="Normal 3 4 7 5 6 3" xfId="44127" xr:uid="{00000000-0005-0000-0000-000056AC0000}"/>
    <cellStyle name="Normal 3 4 7 5 7" xfId="44128" xr:uid="{00000000-0005-0000-0000-000057AC0000}"/>
    <cellStyle name="Normal 3 4 7 5 7 2" xfId="44129" xr:uid="{00000000-0005-0000-0000-000058AC0000}"/>
    <cellStyle name="Normal 3 4 7 5 7 3" xfId="44130" xr:uid="{00000000-0005-0000-0000-000059AC0000}"/>
    <cellStyle name="Normal 3 4 7 5 8" xfId="44131" xr:uid="{00000000-0005-0000-0000-00005AAC0000}"/>
    <cellStyle name="Normal 3 4 7 5 8 2" xfId="44132" xr:uid="{00000000-0005-0000-0000-00005BAC0000}"/>
    <cellStyle name="Normal 3 4 7 5 8 3" xfId="44133" xr:uid="{00000000-0005-0000-0000-00005CAC0000}"/>
    <cellStyle name="Normal 3 4 7 5 9" xfId="44134" xr:uid="{00000000-0005-0000-0000-00005DAC0000}"/>
    <cellStyle name="Normal 3 4 7 5 9 2" xfId="44135" xr:uid="{00000000-0005-0000-0000-00005EAC0000}"/>
    <cellStyle name="Normal 3 4 7 5 9 3" xfId="44136" xr:uid="{00000000-0005-0000-0000-00005FAC0000}"/>
    <cellStyle name="Normal 3 4 7 6" xfId="44137" xr:uid="{00000000-0005-0000-0000-000060AC0000}"/>
    <cellStyle name="Normal 3 4 7 6 10" xfId="44138" xr:uid="{00000000-0005-0000-0000-000061AC0000}"/>
    <cellStyle name="Normal 3 4 7 6 10 2" xfId="44139" xr:uid="{00000000-0005-0000-0000-000062AC0000}"/>
    <cellStyle name="Normal 3 4 7 6 10 3" xfId="44140" xr:uid="{00000000-0005-0000-0000-000063AC0000}"/>
    <cellStyle name="Normal 3 4 7 6 11" xfId="44141" xr:uid="{00000000-0005-0000-0000-000064AC0000}"/>
    <cellStyle name="Normal 3 4 7 6 11 2" xfId="44142" xr:uid="{00000000-0005-0000-0000-000065AC0000}"/>
    <cellStyle name="Normal 3 4 7 6 11 3" xfId="44143" xr:uid="{00000000-0005-0000-0000-000066AC0000}"/>
    <cellStyle name="Normal 3 4 7 6 12" xfId="44144" xr:uid="{00000000-0005-0000-0000-000067AC0000}"/>
    <cellStyle name="Normal 3 4 7 6 12 2" xfId="44145" xr:uid="{00000000-0005-0000-0000-000068AC0000}"/>
    <cellStyle name="Normal 3 4 7 6 12 3" xfId="44146" xr:uid="{00000000-0005-0000-0000-000069AC0000}"/>
    <cellStyle name="Normal 3 4 7 6 13" xfId="44147" xr:uid="{00000000-0005-0000-0000-00006AAC0000}"/>
    <cellStyle name="Normal 3 4 7 6 13 2" xfId="44148" xr:uid="{00000000-0005-0000-0000-00006BAC0000}"/>
    <cellStyle name="Normal 3 4 7 6 13 3" xfId="44149" xr:uid="{00000000-0005-0000-0000-00006CAC0000}"/>
    <cellStyle name="Normal 3 4 7 6 14" xfId="44150" xr:uid="{00000000-0005-0000-0000-00006DAC0000}"/>
    <cellStyle name="Normal 3 4 7 6 14 2" xfId="44151" xr:uid="{00000000-0005-0000-0000-00006EAC0000}"/>
    <cellStyle name="Normal 3 4 7 6 14 3" xfId="44152" xr:uid="{00000000-0005-0000-0000-00006FAC0000}"/>
    <cellStyle name="Normal 3 4 7 6 15" xfId="44153" xr:uid="{00000000-0005-0000-0000-000070AC0000}"/>
    <cellStyle name="Normal 3 4 7 6 16" xfId="44154" xr:uid="{00000000-0005-0000-0000-000071AC0000}"/>
    <cellStyle name="Normal 3 4 7 6 2" xfId="44155" xr:uid="{00000000-0005-0000-0000-000072AC0000}"/>
    <cellStyle name="Normal 3 4 7 6 2 2" xfId="44156" xr:uid="{00000000-0005-0000-0000-000073AC0000}"/>
    <cellStyle name="Normal 3 4 7 6 2 3" xfId="44157" xr:uid="{00000000-0005-0000-0000-000074AC0000}"/>
    <cellStyle name="Normal 3 4 7 6 3" xfId="44158" xr:uid="{00000000-0005-0000-0000-000075AC0000}"/>
    <cellStyle name="Normal 3 4 7 6 3 2" xfId="44159" xr:uid="{00000000-0005-0000-0000-000076AC0000}"/>
    <cellStyle name="Normal 3 4 7 6 3 3" xfId="44160" xr:uid="{00000000-0005-0000-0000-000077AC0000}"/>
    <cellStyle name="Normal 3 4 7 6 4" xfId="44161" xr:uid="{00000000-0005-0000-0000-000078AC0000}"/>
    <cellStyle name="Normal 3 4 7 6 4 2" xfId="44162" xr:uid="{00000000-0005-0000-0000-000079AC0000}"/>
    <cellStyle name="Normal 3 4 7 6 4 3" xfId="44163" xr:uid="{00000000-0005-0000-0000-00007AAC0000}"/>
    <cellStyle name="Normal 3 4 7 6 5" xfId="44164" xr:uid="{00000000-0005-0000-0000-00007BAC0000}"/>
    <cellStyle name="Normal 3 4 7 6 5 2" xfId="44165" xr:uid="{00000000-0005-0000-0000-00007CAC0000}"/>
    <cellStyle name="Normal 3 4 7 6 5 3" xfId="44166" xr:uid="{00000000-0005-0000-0000-00007DAC0000}"/>
    <cellStyle name="Normal 3 4 7 6 6" xfId="44167" xr:uid="{00000000-0005-0000-0000-00007EAC0000}"/>
    <cellStyle name="Normal 3 4 7 6 6 2" xfId="44168" xr:uid="{00000000-0005-0000-0000-00007FAC0000}"/>
    <cellStyle name="Normal 3 4 7 6 6 3" xfId="44169" xr:uid="{00000000-0005-0000-0000-000080AC0000}"/>
    <cellStyle name="Normal 3 4 7 6 7" xfId="44170" xr:uid="{00000000-0005-0000-0000-000081AC0000}"/>
    <cellStyle name="Normal 3 4 7 6 7 2" xfId="44171" xr:uid="{00000000-0005-0000-0000-000082AC0000}"/>
    <cellStyle name="Normal 3 4 7 6 7 3" xfId="44172" xr:uid="{00000000-0005-0000-0000-000083AC0000}"/>
    <cellStyle name="Normal 3 4 7 6 8" xfId="44173" xr:uid="{00000000-0005-0000-0000-000084AC0000}"/>
    <cellStyle name="Normal 3 4 7 6 8 2" xfId="44174" xr:uid="{00000000-0005-0000-0000-000085AC0000}"/>
    <cellStyle name="Normal 3 4 7 6 8 3" xfId="44175" xr:uid="{00000000-0005-0000-0000-000086AC0000}"/>
    <cellStyle name="Normal 3 4 7 6 9" xfId="44176" xr:uid="{00000000-0005-0000-0000-000087AC0000}"/>
    <cellStyle name="Normal 3 4 7 6 9 2" xfId="44177" xr:uid="{00000000-0005-0000-0000-000088AC0000}"/>
    <cellStyle name="Normal 3 4 7 6 9 3" xfId="44178" xr:uid="{00000000-0005-0000-0000-000089AC0000}"/>
    <cellStyle name="Normal 3 4 7 7" xfId="44179" xr:uid="{00000000-0005-0000-0000-00008AAC0000}"/>
    <cellStyle name="Normal 3 4 7 7 10" xfId="44180" xr:uid="{00000000-0005-0000-0000-00008BAC0000}"/>
    <cellStyle name="Normal 3 4 7 7 10 2" xfId="44181" xr:uid="{00000000-0005-0000-0000-00008CAC0000}"/>
    <cellStyle name="Normal 3 4 7 7 10 3" xfId="44182" xr:uid="{00000000-0005-0000-0000-00008DAC0000}"/>
    <cellStyle name="Normal 3 4 7 7 11" xfId="44183" xr:uid="{00000000-0005-0000-0000-00008EAC0000}"/>
    <cellStyle name="Normal 3 4 7 7 11 2" xfId="44184" xr:uid="{00000000-0005-0000-0000-00008FAC0000}"/>
    <cellStyle name="Normal 3 4 7 7 11 3" xfId="44185" xr:uid="{00000000-0005-0000-0000-000090AC0000}"/>
    <cellStyle name="Normal 3 4 7 7 12" xfId="44186" xr:uid="{00000000-0005-0000-0000-000091AC0000}"/>
    <cellStyle name="Normal 3 4 7 7 12 2" xfId="44187" xr:uid="{00000000-0005-0000-0000-000092AC0000}"/>
    <cellStyle name="Normal 3 4 7 7 12 3" xfId="44188" xr:uid="{00000000-0005-0000-0000-000093AC0000}"/>
    <cellStyle name="Normal 3 4 7 7 13" xfId="44189" xr:uid="{00000000-0005-0000-0000-000094AC0000}"/>
    <cellStyle name="Normal 3 4 7 7 13 2" xfId="44190" xr:uid="{00000000-0005-0000-0000-000095AC0000}"/>
    <cellStyle name="Normal 3 4 7 7 13 3" xfId="44191" xr:uid="{00000000-0005-0000-0000-000096AC0000}"/>
    <cellStyle name="Normal 3 4 7 7 14" xfId="44192" xr:uid="{00000000-0005-0000-0000-000097AC0000}"/>
    <cellStyle name="Normal 3 4 7 7 14 2" xfId="44193" xr:uid="{00000000-0005-0000-0000-000098AC0000}"/>
    <cellStyle name="Normal 3 4 7 7 14 3" xfId="44194" xr:uid="{00000000-0005-0000-0000-000099AC0000}"/>
    <cellStyle name="Normal 3 4 7 7 15" xfId="44195" xr:uid="{00000000-0005-0000-0000-00009AAC0000}"/>
    <cellStyle name="Normal 3 4 7 7 16" xfId="44196" xr:uid="{00000000-0005-0000-0000-00009BAC0000}"/>
    <cellStyle name="Normal 3 4 7 7 2" xfId="44197" xr:uid="{00000000-0005-0000-0000-00009CAC0000}"/>
    <cellStyle name="Normal 3 4 7 7 2 2" xfId="44198" xr:uid="{00000000-0005-0000-0000-00009DAC0000}"/>
    <cellStyle name="Normal 3 4 7 7 2 3" xfId="44199" xr:uid="{00000000-0005-0000-0000-00009EAC0000}"/>
    <cellStyle name="Normal 3 4 7 7 3" xfId="44200" xr:uid="{00000000-0005-0000-0000-00009FAC0000}"/>
    <cellStyle name="Normal 3 4 7 7 3 2" xfId="44201" xr:uid="{00000000-0005-0000-0000-0000A0AC0000}"/>
    <cellStyle name="Normal 3 4 7 7 3 3" xfId="44202" xr:uid="{00000000-0005-0000-0000-0000A1AC0000}"/>
    <cellStyle name="Normal 3 4 7 7 4" xfId="44203" xr:uid="{00000000-0005-0000-0000-0000A2AC0000}"/>
    <cellStyle name="Normal 3 4 7 7 4 2" xfId="44204" xr:uid="{00000000-0005-0000-0000-0000A3AC0000}"/>
    <cellStyle name="Normal 3 4 7 7 4 3" xfId="44205" xr:uid="{00000000-0005-0000-0000-0000A4AC0000}"/>
    <cellStyle name="Normal 3 4 7 7 5" xfId="44206" xr:uid="{00000000-0005-0000-0000-0000A5AC0000}"/>
    <cellStyle name="Normal 3 4 7 7 5 2" xfId="44207" xr:uid="{00000000-0005-0000-0000-0000A6AC0000}"/>
    <cellStyle name="Normal 3 4 7 7 5 3" xfId="44208" xr:uid="{00000000-0005-0000-0000-0000A7AC0000}"/>
    <cellStyle name="Normal 3 4 7 7 6" xfId="44209" xr:uid="{00000000-0005-0000-0000-0000A8AC0000}"/>
    <cellStyle name="Normal 3 4 7 7 6 2" xfId="44210" xr:uid="{00000000-0005-0000-0000-0000A9AC0000}"/>
    <cellStyle name="Normal 3 4 7 7 6 3" xfId="44211" xr:uid="{00000000-0005-0000-0000-0000AAAC0000}"/>
    <cellStyle name="Normal 3 4 7 7 7" xfId="44212" xr:uid="{00000000-0005-0000-0000-0000ABAC0000}"/>
    <cellStyle name="Normal 3 4 7 7 7 2" xfId="44213" xr:uid="{00000000-0005-0000-0000-0000ACAC0000}"/>
    <cellStyle name="Normal 3 4 7 7 7 3" xfId="44214" xr:uid="{00000000-0005-0000-0000-0000ADAC0000}"/>
    <cellStyle name="Normal 3 4 7 7 8" xfId="44215" xr:uid="{00000000-0005-0000-0000-0000AEAC0000}"/>
    <cellStyle name="Normal 3 4 7 7 8 2" xfId="44216" xr:uid="{00000000-0005-0000-0000-0000AFAC0000}"/>
    <cellStyle name="Normal 3 4 7 7 8 3" xfId="44217" xr:uid="{00000000-0005-0000-0000-0000B0AC0000}"/>
    <cellStyle name="Normal 3 4 7 7 9" xfId="44218" xr:uid="{00000000-0005-0000-0000-0000B1AC0000}"/>
    <cellStyle name="Normal 3 4 7 7 9 2" xfId="44219" xr:uid="{00000000-0005-0000-0000-0000B2AC0000}"/>
    <cellStyle name="Normal 3 4 7 7 9 3" xfId="44220" xr:uid="{00000000-0005-0000-0000-0000B3AC0000}"/>
    <cellStyle name="Normal 3 4 7 8" xfId="44221" xr:uid="{00000000-0005-0000-0000-0000B4AC0000}"/>
    <cellStyle name="Normal 3 4 7 8 10" xfId="44222" xr:uid="{00000000-0005-0000-0000-0000B5AC0000}"/>
    <cellStyle name="Normal 3 4 7 8 10 2" xfId="44223" xr:uid="{00000000-0005-0000-0000-0000B6AC0000}"/>
    <cellStyle name="Normal 3 4 7 8 10 3" xfId="44224" xr:uid="{00000000-0005-0000-0000-0000B7AC0000}"/>
    <cellStyle name="Normal 3 4 7 8 11" xfId="44225" xr:uid="{00000000-0005-0000-0000-0000B8AC0000}"/>
    <cellStyle name="Normal 3 4 7 8 11 2" xfId="44226" xr:uid="{00000000-0005-0000-0000-0000B9AC0000}"/>
    <cellStyle name="Normal 3 4 7 8 11 3" xfId="44227" xr:uid="{00000000-0005-0000-0000-0000BAAC0000}"/>
    <cellStyle name="Normal 3 4 7 8 12" xfId="44228" xr:uid="{00000000-0005-0000-0000-0000BBAC0000}"/>
    <cellStyle name="Normal 3 4 7 8 12 2" xfId="44229" xr:uid="{00000000-0005-0000-0000-0000BCAC0000}"/>
    <cellStyle name="Normal 3 4 7 8 12 3" xfId="44230" xr:uid="{00000000-0005-0000-0000-0000BDAC0000}"/>
    <cellStyle name="Normal 3 4 7 8 13" xfId="44231" xr:uid="{00000000-0005-0000-0000-0000BEAC0000}"/>
    <cellStyle name="Normal 3 4 7 8 13 2" xfId="44232" xr:uid="{00000000-0005-0000-0000-0000BFAC0000}"/>
    <cellStyle name="Normal 3 4 7 8 13 3" xfId="44233" xr:uid="{00000000-0005-0000-0000-0000C0AC0000}"/>
    <cellStyle name="Normal 3 4 7 8 14" xfId="44234" xr:uid="{00000000-0005-0000-0000-0000C1AC0000}"/>
    <cellStyle name="Normal 3 4 7 8 14 2" xfId="44235" xr:uid="{00000000-0005-0000-0000-0000C2AC0000}"/>
    <cellStyle name="Normal 3 4 7 8 14 3" xfId="44236" xr:uid="{00000000-0005-0000-0000-0000C3AC0000}"/>
    <cellStyle name="Normal 3 4 7 8 15" xfId="44237" xr:uid="{00000000-0005-0000-0000-0000C4AC0000}"/>
    <cellStyle name="Normal 3 4 7 8 16" xfId="44238" xr:uid="{00000000-0005-0000-0000-0000C5AC0000}"/>
    <cellStyle name="Normal 3 4 7 8 2" xfId="44239" xr:uid="{00000000-0005-0000-0000-0000C6AC0000}"/>
    <cellStyle name="Normal 3 4 7 8 2 2" xfId="44240" xr:uid="{00000000-0005-0000-0000-0000C7AC0000}"/>
    <cellStyle name="Normal 3 4 7 8 2 3" xfId="44241" xr:uid="{00000000-0005-0000-0000-0000C8AC0000}"/>
    <cellStyle name="Normal 3 4 7 8 3" xfId="44242" xr:uid="{00000000-0005-0000-0000-0000C9AC0000}"/>
    <cellStyle name="Normal 3 4 7 8 3 2" xfId="44243" xr:uid="{00000000-0005-0000-0000-0000CAAC0000}"/>
    <cellStyle name="Normal 3 4 7 8 3 3" xfId="44244" xr:uid="{00000000-0005-0000-0000-0000CBAC0000}"/>
    <cellStyle name="Normal 3 4 7 8 4" xfId="44245" xr:uid="{00000000-0005-0000-0000-0000CCAC0000}"/>
    <cellStyle name="Normal 3 4 7 8 4 2" xfId="44246" xr:uid="{00000000-0005-0000-0000-0000CDAC0000}"/>
    <cellStyle name="Normal 3 4 7 8 4 3" xfId="44247" xr:uid="{00000000-0005-0000-0000-0000CEAC0000}"/>
    <cellStyle name="Normal 3 4 7 8 5" xfId="44248" xr:uid="{00000000-0005-0000-0000-0000CFAC0000}"/>
    <cellStyle name="Normal 3 4 7 8 5 2" xfId="44249" xr:uid="{00000000-0005-0000-0000-0000D0AC0000}"/>
    <cellStyle name="Normal 3 4 7 8 5 3" xfId="44250" xr:uid="{00000000-0005-0000-0000-0000D1AC0000}"/>
    <cellStyle name="Normal 3 4 7 8 6" xfId="44251" xr:uid="{00000000-0005-0000-0000-0000D2AC0000}"/>
    <cellStyle name="Normal 3 4 7 8 6 2" xfId="44252" xr:uid="{00000000-0005-0000-0000-0000D3AC0000}"/>
    <cellStyle name="Normal 3 4 7 8 6 3" xfId="44253" xr:uid="{00000000-0005-0000-0000-0000D4AC0000}"/>
    <cellStyle name="Normal 3 4 7 8 7" xfId="44254" xr:uid="{00000000-0005-0000-0000-0000D5AC0000}"/>
    <cellStyle name="Normal 3 4 7 8 7 2" xfId="44255" xr:uid="{00000000-0005-0000-0000-0000D6AC0000}"/>
    <cellStyle name="Normal 3 4 7 8 7 3" xfId="44256" xr:uid="{00000000-0005-0000-0000-0000D7AC0000}"/>
    <cellStyle name="Normal 3 4 7 8 8" xfId="44257" xr:uid="{00000000-0005-0000-0000-0000D8AC0000}"/>
    <cellStyle name="Normal 3 4 7 8 8 2" xfId="44258" xr:uid="{00000000-0005-0000-0000-0000D9AC0000}"/>
    <cellStyle name="Normal 3 4 7 8 8 3" xfId="44259" xr:uid="{00000000-0005-0000-0000-0000DAAC0000}"/>
    <cellStyle name="Normal 3 4 7 8 9" xfId="44260" xr:uid="{00000000-0005-0000-0000-0000DBAC0000}"/>
    <cellStyle name="Normal 3 4 7 8 9 2" xfId="44261" xr:uid="{00000000-0005-0000-0000-0000DCAC0000}"/>
    <cellStyle name="Normal 3 4 7 8 9 3" xfId="44262" xr:uid="{00000000-0005-0000-0000-0000DDAC0000}"/>
    <cellStyle name="Normal 3 4 7 9" xfId="44263" xr:uid="{00000000-0005-0000-0000-0000DEAC0000}"/>
    <cellStyle name="Normal 3 4 7 9 10" xfId="44264" xr:uid="{00000000-0005-0000-0000-0000DFAC0000}"/>
    <cellStyle name="Normal 3 4 7 9 10 2" xfId="44265" xr:uid="{00000000-0005-0000-0000-0000E0AC0000}"/>
    <cellStyle name="Normal 3 4 7 9 10 3" xfId="44266" xr:uid="{00000000-0005-0000-0000-0000E1AC0000}"/>
    <cellStyle name="Normal 3 4 7 9 11" xfId="44267" xr:uid="{00000000-0005-0000-0000-0000E2AC0000}"/>
    <cellStyle name="Normal 3 4 7 9 11 2" xfId="44268" xr:uid="{00000000-0005-0000-0000-0000E3AC0000}"/>
    <cellStyle name="Normal 3 4 7 9 11 3" xfId="44269" xr:uid="{00000000-0005-0000-0000-0000E4AC0000}"/>
    <cellStyle name="Normal 3 4 7 9 12" xfId="44270" xr:uid="{00000000-0005-0000-0000-0000E5AC0000}"/>
    <cellStyle name="Normal 3 4 7 9 12 2" xfId="44271" xr:uid="{00000000-0005-0000-0000-0000E6AC0000}"/>
    <cellStyle name="Normal 3 4 7 9 12 3" xfId="44272" xr:uid="{00000000-0005-0000-0000-0000E7AC0000}"/>
    <cellStyle name="Normal 3 4 7 9 13" xfId="44273" xr:uid="{00000000-0005-0000-0000-0000E8AC0000}"/>
    <cellStyle name="Normal 3 4 7 9 13 2" xfId="44274" xr:uid="{00000000-0005-0000-0000-0000E9AC0000}"/>
    <cellStyle name="Normal 3 4 7 9 13 3" xfId="44275" xr:uid="{00000000-0005-0000-0000-0000EAAC0000}"/>
    <cellStyle name="Normal 3 4 7 9 14" xfId="44276" xr:uid="{00000000-0005-0000-0000-0000EBAC0000}"/>
    <cellStyle name="Normal 3 4 7 9 14 2" xfId="44277" xr:uid="{00000000-0005-0000-0000-0000ECAC0000}"/>
    <cellStyle name="Normal 3 4 7 9 14 3" xfId="44278" xr:uid="{00000000-0005-0000-0000-0000EDAC0000}"/>
    <cellStyle name="Normal 3 4 7 9 15" xfId="44279" xr:uid="{00000000-0005-0000-0000-0000EEAC0000}"/>
    <cellStyle name="Normal 3 4 7 9 16" xfId="44280" xr:uid="{00000000-0005-0000-0000-0000EFAC0000}"/>
    <cellStyle name="Normal 3 4 7 9 2" xfId="44281" xr:uid="{00000000-0005-0000-0000-0000F0AC0000}"/>
    <cellStyle name="Normal 3 4 7 9 2 2" xfId="44282" xr:uid="{00000000-0005-0000-0000-0000F1AC0000}"/>
    <cellStyle name="Normal 3 4 7 9 2 3" xfId="44283" xr:uid="{00000000-0005-0000-0000-0000F2AC0000}"/>
    <cellStyle name="Normal 3 4 7 9 3" xfId="44284" xr:uid="{00000000-0005-0000-0000-0000F3AC0000}"/>
    <cellStyle name="Normal 3 4 7 9 3 2" xfId="44285" xr:uid="{00000000-0005-0000-0000-0000F4AC0000}"/>
    <cellStyle name="Normal 3 4 7 9 3 3" xfId="44286" xr:uid="{00000000-0005-0000-0000-0000F5AC0000}"/>
    <cellStyle name="Normal 3 4 7 9 4" xfId="44287" xr:uid="{00000000-0005-0000-0000-0000F6AC0000}"/>
    <cellStyle name="Normal 3 4 7 9 4 2" xfId="44288" xr:uid="{00000000-0005-0000-0000-0000F7AC0000}"/>
    <cellStyle name="Normal 3 4 7 9 4 3" xfId="44289" xr:uid="{00000000-0005-0000-0000-0000F8AC0000}"/>
    <cellStyle name="Normal 3 4 7 9 5" xfId="44290" xr:uid="{00000000-0005-0000-0000-0000F9AC0000}"/>
    <cellStyle name="Normal 3 4 7 9 5 2" xfId="44291" xr:uid="{00000000-0005-0000-0000-0000FAAC0000}"/>
    <cellStyle name="Normal 3 4 7 9 5 3" xfId="44292" xr:uid="{00000000-0005-0000-0000-0000FBAC0000}"/>
    <cellStyle name="Normal 3 4 7 9 6" xfId="44293" xr:uid="{00000000-0005-0000-0000-0000FCAC0000}"/>
    <cellStyle name="Normal 3 4 7 9 6 2" xfId="44294" xr:uid="{00000000-0005-0000-0000-0000FDAC0000}"/>
    <cellStyle name="Normal 3 4 7 9 6 3" xfId="44295" xr:uid="{00000000-0005-0000-0000-0000FEAC0000}"/>
    <cellStyle name="Normal 3 4 7 9 7" xfId="44296" xr:uid="{00000000-0005-0000-0000-0000FFAC0000}"/>
    <cellStyle name="Normal 3 4 7 9 7 2" xfId="44297" xr:uid="{00000000-0005-0000-0000-000000AD0000}"/>
    <cellStyle name="Normal 3 4 7 9 7 3" xfId="44298" xr:uid="{00000000-0005-0000-0000-000001AD0000}"/>
    <cellStyle name="Normal 3 4 7 9 8" xfId="44299" xr:uid="{00000000-0005-0000-0000-000002AD0000}"/>
    <cellStyle name="Normal 3 4 7 9 8 2" xfId="44300" xr:uid="{00000000-0005-0000-0000-000003AD0000}"/>
    <cellStyle name="Normal 3 4 7 9 8 3" xfId="44301" xr:uid="{00000000-0005-0000-0000-000004AD0000}"/>
    <cellStyle name="Normal 3 4 7 9 9" xfId="44302" xr:uid="{00000000-0005-0000-0000-000005AD0000}"/>
    <cellStyle name="Normal 3 4 7 9 9 2" xfId="44303" xr:uid="{00000000-0005-0000-0000-000006AD0000}"/>
    <cellStyle name="Normal 3 4 7 9 9 3" xfId="44304" xr:uid="{00000000-0005-0000-0000-000007AD0000}"/>
    <cellStyle name="Normal 3 4 8" xfId="44305" xr:uid="{00000000-0005-0000-0000-000008AD0000}"/>
    <cellStyle name="Normal 3 4 8 10" xfId="44306" xr:uid="{00000000-0005-0000-0000-000009AD0000}"/>
    <cellStyle name="Normal 3 4 8 10 10" xfId="44307" xr:uid="{00000000-0005-0000-0000-00000AAD0000}"/>
    <cellStyle name="Normal 3 4 8 10 10 2" xfId="44308" xr:uid="{00000000-0005-0000-0000-00000BAD0000}"/>
    <cellStyle name="Normal 3 4 8 10 10 3" xfId="44309" xr:uid="{00000000-0005-0000-0000-00000CAD0000}"/>
    <cellStyle name="Normal 3 4 8 10 11" xfId="44310" xr:uid="{00000000-0005-0000-0000-00000DAD0000}"/>
    <cellStyle name="Normal 3 4 8 10 11 2" xfId="44311" xr:uid="{00000000-0005-0000-0000-00000EAD0000}"/>
    <cellStyle name="Normal 3 4 8 10 11 3" xfId="44312" xr:uid="{00000000-0005-0000-0000-00000FAD0000}"/>
    <cellStyle name="Normal 3 4 8 10 12" xfId="44313" xr:uid="{00000000-0005-0000-0000-000010AD0000}"/>
    <cellStyle name="Normal 3 4 8 10 12 2" xfId="44314" xr:uid="{00000000-0005-0000-0000-000011AD0000}"/>
    <cellStyle name="Normal 3 4 8 10 12 3" xfId="44315" xr:uid="{00000000-0005-0000-0000-000012AD0000}"/>
    <cellStyle name="Normal 3 4 8 10 13" xfId="44316" xr:uid="{00000000-0005-0000-0000-000013AD0000}"/>
    <cellStyle name="Normal 3 4 8 10 13 2" xfId="44317" xr:uid="{00000000-0005-0000-0000-000014AD0000}"/>
    <cellStyle name="Normal 3 4 8 10 13 3" xfId="44318" xr:uid="{00000000-0005-0000-0000-000015AD0000}"/>
    <cellStyle name="Normal 3 4 8 10 14" xfId="44319" xr:uid="{00000000-0005-0000-0000-000016AD0000}"/>
    <cellStyle name="Normal 3 4 8 10 14 2" xfId="44320" xr:uid="{00000000-0005-0000-0000-000017AD0000}"/>
    <cellStyle name="Normal 3 4 8 10 14 3" xfId="44321" xr:uid="{00000000-0005-0000-0000-000018AD0000}"/>
    <cellStyle name="Normal 3 4 8 10 15" xfId="44322" xr:uid="{00000000-0005-0000-0000-000019AD0000}"/>
    <cellStyle name="Normal 3 4 8 10 16" xfId="44323" xr:uid="{00000000-0005-0000-0000-00001AAD0000}"/>
    <cellStyle name="Normal 3 4 8 10 2" xfId="44324" xr:uid="{00000000-0005-0000-0000-00001BAD0000}"/>
    <cellStyle name="Normal 3 4 8 10 2 2" xfId="44325" xr:uid="{00000000-0005-0000-0000-00001CAD0000}"/>
    <cellStyle name="Normal 3 4 8 10 2 3" xfId="44326" xr:uid="{00000000-0005-0000-0000-00001DAD0000}"/>
    <cellStyle name="Normal 3 4 8 10 3" xfId="44327" xr:uid="{00000000-0005-0000-0000-00001EAD0000}"/>
    <cellStyle name="Normal 3 4 8 10 3 2" xfId="44328" xr:uid="{00000000-0005-0000-0000-00001FAD0000}"/>
    <cellStyle name="Normal 3 4 8 10 3 3" xfId="44329" xr:uid="{00000000-0005-0000-0000-000020AD0000}"/>
    <cellStyle name="Normal 3 4 8 10 4" xfId="44330" xr:uid="{00000000-0005-0000-0000-000021AD0000}"/>
    <cellStyle name="Normal 3 4 8 10 4 2" xfId="44331" xr:uid="{00000000-0005-0000-0000-000022AD0000}"/>
    <cellStyle name="Normal 3 4 8 10 4 3" xfId="44332" xr:uid="{00000000-0005-0000-0000-000023AD0000}"/>
    <cellStyle name="Normal 3 4 8 10 5" xfId="44333" xr:uid="{00000000-0005-0000-0000-000024AD0000}"/>
    <cellStyle name="Normal 3 4 8 10 5 2" xfId="44334" xr:uid="{00000000-0005-0000-0000-000025AD0000}"/>
    <cellStyle name="Normal 3 4 8 10 5 3" xfId="44335" xr:uid="{00000000-0005-0000-0000-000026AD0000}"/>
    <cellStyle name="Normal 3 4 8 10 6" xfId="44336" xr:uid="{00000000-0005-0000-0000-000027AD0000}"/>
    <cellStyle name="Normal 3 4 8 10 6 2" xfId="44337" xr:uid="{00000000-0005-0000-0000-000028AD0000}"/>
    <cellStyle name="Normal 3 4 8 10 6 3" xfId="44338" xr:uid="{00000000-0005-0000-0000-000029AD0000}"/>
    <cellStyle name="Normal 3 4 8 10 7" xfId="44339" xr:uid="{00000000-0005-0000-0000-00002AAD0000}"/>
    <cellStyle name="Normal 3 4 8 10 7 2" xfId="44340" xr:uid="{00000000-0005-0000-0000-00002BAD0000}"/>
    <cellStyle name="Normal 3 4 8 10 7 3" xfId="44341" xr:uid="{00000000-0005-0000-0000-00002CAD0000}"/>
    <cellStyle name="Normal 3 4 8 10 8" xfId="44342" xr:uid="{00000000-0005-0000-0000-00002DAD0000}"/>
    <cellStyle name="Normal 3 4 8 10 8 2" xfId="44343" xr:uid="{00000000-0005-0000-0000-00002EAD0000}"/>
    <cellStyle name="Normal 3 4 8 10 8 3" xfId="44344" xr:uid="{00000000-0005-0000-0000-00002FAD0000}"/>
    <cellStyle name="Normal 3 4 8 10 9" xfId="44345" xr:uid="{00000000-0005-0000-0000-000030AD0000}"/>
    <cellStyle name="Normal 3 4 8 10 9 2" xfId="44346" xr:uid="{00000000-0005-0000-0000-000031AD0000}"/>
    <cellStyle name="Normal 3 4 8 10 9 3" xfId="44347" xr:uid="{00000000-0005-0000-0000-000032AD0000}"/>
    <cellStyle name="Normal 3 4 8 11" xfId="44348" xr:uid="{00000000-0005-0000-0000-000033AD0000}"/>
    <cellStyle name="Normal 3 4 8 11 2" xfId="44349" xr:uid="{00000000-0005-0000-0000-000034AD0000}"/>
    <cellStyle name="Normal 3 4 8 11 3" xfId="44350" xr:uid="{00000000-0005-0000-0000-000035AD0000}"/>
    <cellStyle name="Normal 3 4 8 12" xfId="44351" xr:uid="{00000000-0005-0000-0000-000036AD0000}"/>
    <cellStyle name="Normal 3 4 8 12 2" xfId="44352" xr:uid="{00000000-0005-0000-0000-000037AD0000}"/>
    <cellStyle name="Normal 3 4 8 12 3" xfId="44353" xr:uid="{00000000-0005-0000-0000-000038AD0000}"/>
    <cellStyle name="Normal 3 4 8 13" xfId="44354" xr:uid="{00000000-0005-0000-0000-000039AD0000}"/>
    <cellStyle name="Normal 3 4 8 13 2" xfId="44355" xr:uid="{00000000-0005-0000-0000-00003AAD0000}"/>
    <cellStyle name="Normal 3 4 8 13 3" xfId="44356" xr:uid="{00000000-0005-0000-0000-00003BAD0000}"/>
    <cellStyle name="Normal 3 4 8 14" xfId="44357" xr:uid="{00000000-0005-0000-0000-00003CAD0000}"/>
    <cellStyle name="Normal 3 4 8 14 2" xfId="44358" xr:uid="{00000000-0005-0000-0000-00003DAD0000}"/>
    <cellStyle name="Normal 3 4 8 14 3" xfId="44359" xr:uid="{00000000-0005-0000-0000-00003EAD0000}"/>
    <cellStyle name="Normal 3 4 8 15" xfId="44360" xr:uid="{00000000-0005-0000-0000-00003FAD0000}"/>
    <cellStyle name="Normal 3 4 8 15 2" xfId="44361" xr:uid="{00000000-0005-0000-0000-000040AD0000}"/>
    <cellStyle name="Normal 3 4 8 15 3" xfId="44362" xr:uid="{00000000-0005-0000-0000-000041AD0000}"/>
    <cellStyle name="Normal 3 4 8 16" xfId="44363" xr:uid="{00000000-0005-0000-0000-000042AD0000}"/>
    <cellStyle name="Normal 3 4 8 16 2" xfId="44364" xr:uid="{00000000-0005-0000-0000-000043AD0000}"/>
    <cellStyle name="Normal 3 4 8 16 3" xfId="44365" xr:uid="{00000000-0005-0000-0000-000044AD0000}"/>
    <cellStyle name="Normal 3 4 8 17" xfId="44366" xr:uid="{00000000-0005-0000-0000-000045AD0000}"/>
    <cellStyle name="Normal 3 4 8 17 2" xfId="44367" xr:uid="{00000000-0005-0000-0000-000046AD0000}"/>
    <cellStyle name="Normal 3 4 8 17 3" xfId="44368" xr:uid="{00000000-0005-0000-0000-000047AD0000}"/>
    <cellStyle name="Normal 3 4 8 18" xfId="44369" xr:uid="{00000000-0005-0000-0000-000048AD0000}"/>
    <cellStyle name="Normal 3 4 8 18 2" xfId="44370" xr:uid="{00000000-0005-0000-0000-000049AD0000}"/>
    <cellStyle name="Normal 3 4 8 18 3" xfId="44371" xr:uid="{00000000-0005-0000-0000-00004AAD0000}"/>
    <cellStyle name="Normal 3 4 8 19" xfId="44372" xr:uid="{00000000-0005-0000-0000-00004BAD0000}"/>
    <cellStyle name="Normal 3 4 8 19 2" xfId="44373" xr:uid="{00000000-0005-0000-0000-00004CAD0000}"/>
    <cellStyle name="Normal 3 4 8 19 3" xfId="44374" xr:uid="{00000000-0005-0000-0000-00004DAD0000}"/>
    <cellStyle name="Normal 3 4 8 2" xfId="44375" xr:uid="{00000000-0005-0000-0000-00004EAD0000}"/>
    <cellStyle name="Normal 3 4 8 2 10" xfId="44376" xr:uid="{00000000-0005-0000-0000-00004FAD0000}"/>
    <cellStyle name="Normal 3 4 8 2 10 2" xfId="44377" xr:uid="{00000000-0005-0000-0000-000050AD0000}"/>
    <cellStyle name="Normal 3 4 8 2 10 3" xfId="44378" xr:uid="{00000000-0005-0000-0000-000051AD0000}"/>
    <cellStyle name="Normal 3 4 8 2 11" xfId="44379" xr:uid="{00000000-0005-0000-0000-000052AD0000}"/>
    <cellStyle name="Normal 3 4 8 2 11 2" xfId="44380" xr:uid="{00000000-0005-0000-0000-000053AD0000}"/>
    <cellStyle name="Normal 3 4 8 2 11 3" xfId="44381" xr:uid="{00000000-0005-0000-0000-000054AD0000}"/>
    <cellStyle name="Normal 3 4 8 2 12" xfId="44382" xr:uid="{00000000-0005-0000-0000-000055AD0000}"/>
    <cellStyle name="Normal 3 4 8 2 12 2" xfId="44383" xr:uid="{00000000-0005-0000-0000-000056AD0000}"/>
    <cellStyle name="Normal 3 4 8 2 12 3" xfId="44384" xr:uid="{00000000-0005-0000-0000-000057AD0000}"/>
    <cellStyle name="Normal 3 4 8 2 13" xfId="44385" xr:uid="{00000000-0005-0000-0000-000058AD0000}"/>
    <cellStyle name="Normal 3 4 8 2 13 2" xfId="44386" xr:uid="{00000000-0005-0000-0000-000059AD0000}"/>
    <cellStyle name="Normal 3 4 8 2 13 3" xfId="44387" xr:uid="{00000000-0005-0000-0000-00005AAD0000}"/>
    <cellStyle name="Normal 3 4 8 2 14" xfId="44388" xr:uid="{00000000-0005-0000-0000-00005BAD0000}"/>
    <cellStyle name="Normal 3 4 8 2 14 2" xfId="44389" xr:uid="{00000000-0005-0000-0000-00005CAD0000}"/>
    <cellStyle name="Normal 3 4 8 2 14 3" xfId="44390" xr:uid="{00000000-0005-0000-0000-00005DAD0000}"/>
    <cellStyle name="Normal 3 4 8 2 15" xfId="44391" xr:uid="{00000000-0005-0000-0000-00005EAD0000}"/>
    <cellStyle name="Normal 3 4 8 2 15 2" xfId="44392" xr:uid="{00000000-0005-0000-0000-00005FAD0000}"/>
    <cellStyle name="Normal 3 4 8 2 15 3" xfId="44393" xr:uid="{00000000-0005-0000-0000-000060AD0000}"/>
    <cellStyle name="Normal 3 4 8 2 16" xfId="44394" xr:uid="{00000000-0005-0000-0000-000061AD0000}"/>
    <cellStyle name="Normal 3 4 8 2 17" xfId="44395" xr:uid="{00000000-0005-0000-0000-000062AD0000}"/>
    <cellStyle name="Normal 3 4 8 2 2" xfId="44396" xr:uid="{00000000-0005-0000-0000-000063AD0000}"/>
    <cellStyle name="Normal 3 4 8 2 2 10" xfId="44397" xr:uid="{00000000-0005-0000-0000-000064AD0000}"/>
    <cellStyle name="Normal 3 4 8 2 2 10 2" xfId="44398" xr:uid="{00000000-0005-0000-0000-000065AD0000}"/>
    <cellStyle name="Normal 3 4 8 2 2 10 3" xfId="44399" xr:uid="{00000000-0005-0000-0000-000066AD0000}"/>
    <cellStyle name="Normal 3 4 8 2 2 11" xfId="44400" xr:uid="{00000000-0005-0000-0000-000067AD0000}"/>
    <cellStyle name="Normal 3 4 8 2 2 11 2" xfId="44401" xr:uid="{00000000-0005-0000-0000-000068AD0000}"/>
    <cellStyle name="Normal 3 4 8 2 2 11 3" xfId="44402" xr:uid="{00000000-0005-0000-0000-000069AD0000}"/>
    <cellStyle name="Normal 3 4 8 2 2 12" xfId="44403" xr:uid="{00000000-0005-0000-0000-00006AAD0000}"/>
    <cellStyle name="Normal 3 4 8 2 2 12 2" xfId="44404" xr:uid="{00000000-0005-0000-0000-00006BAD0000}"/>
    <cellStyle name="Normal 3 4 8 2 2 12 3" xfId="44405" xr:uid="{00000000-0005-0000-0000-00006CAD0000}"/>
    <cellStyle name="Normal 3 4 8 2 2 13" xfId="44406" xr:uid="{00000000-0005-0000-0000-00006DAD0000}"/>
    <cellStyle name="Normal 3 4 8 2 2 13 2" xfId="44407" xr:uid="{00000000-0005-0000-0000-00006EAD0000}"/>
    <cellStyle name="Normal 3 4 8 2 2 13 3" xfId="44408" xr:uid="{00000000-0005-0000-0000-00006FAD0000}"/>
    <cellStyle name="Normal 3 4 8 2 2 14" xfId="44409" xr:uid="{00000000-0005-0000-0000-000070AD0000}"/>
    <cellStyle name="Normal 3 4 8 2 2 14 2" xfId="44410" xr:uid="{00000000-0005-0000-0000-000071AD0000}"/>
    <cellStyle name="Normal 3 4 8 2 2 14 3" xfId="44411" xr:uid="{00000000-0005-0000-0000-000072AD0000}"/>
    <cellStyle name="Normal 3 4 8 2 2 15" xfId="44412" xr:uid="{00000000-0005-0000-0000-000073AD0000}"/>
    <cellStyle name="Normal 3 4 8 2 2 16" xfId="44413" xr:uid="{00000000-0005-0000-0000-000074AD0000}"/>
    <cellStyle name="Normal 3 4 8 2 2 2" xfId="44414" xr:uid="{00000000-0005-0000-0000-000075AD0000}"/>
    <cellStyle name="Normal 3 4 8 2 2 2 2" xfId="44415" xr:uid="{00000000-0005-0000-0000-000076AD0000}"/>
    <cellStyle name="Normal 3 4 8 2 2 2 3" xfId="44416" xr:uid="{00000000-0005-0000-0000-000077AD0000}"/>
    <cellStyle name="Normal 3 4 8 2 2 3" xfId="44417" xr:uid="{00000000-0005-0000-0000-000078AD0000}"/>
    <cellStyle name="Normal 3 4 8 2 2 3 2" xfId="44418" xr:uid="{00000000-0005-0000-0000-000079AD0000}"/>
    <cellStyle name="Normal 3 4 8 2 2 3 3" xfId="44419" xr:uid="{00000000-0005-0000-0000-00007AAD0000}"/>
    <cellStyle name="Normal 3 4 8 2 2 4" xfId="44420" xr:uid="{00000000-0005-0000-0000-00007BAD0000}"/>
    <cellStyle name="Normal 3 4 8 2 2 4 2" xfId="44421" xr:uid="{00000000-0005-0000-0000-00007CAD0000}"/>
    <cellStyle name="Normal 3 4 8 2 2 4 3" xfId="44422" xr:uid="{00000000-0005-0000-0000-00007DAD0000}"/>
    <cellStyle name="Normal 3 4 8 2 2 5" xfId="44423" xr:uid="{00000000-0005-0000-0000-00007EAD0000}"/>
    <cellStyle name="Normal 3 4 8 2 2 5 2" xfId="44424" xr:uid="{00000000-0005-0000-0000-00007FAD0000}"/>
    <cellStyle name="Normal 3 4 8 2 2 5 3" xfId="44425" xr:uid="{00000000-0005-0000-0000-000080AD0000}"/>
    <cellStyle name="Normal 3 4 8 2 2 6" xfId="44426" xr:uid="{00000000-0005-0000-0000-000081AD0000}"/>
    <cellStyle name="Normal 3 4 8 2 2 6 2" xfId="44427" xr:uid="{00000000-0005-0000-0000-000082AD0000}"/>
    <cellStyle name="Normal 3 4 8 2 2 6 3" xfId="44428" xr:uid="{00000000-0005-0000-0000-000083AD0000}"/>
    <cellStyle name="Normal 3 4 8 2 2 7" xfId="44429" xr:uid="{00000000-0005-0000-0000-000084AD0000}"/>
    <cellStyle name="Normal 3 4 8 2 2 7 2" xfId="44430" xr:uid="{00000000-0005-0000-0000-000085AD0000}"/>
    <cellStyle name="Normal 3 4 8 2 2 7 3" xfId="44431" xr:uid="{00000000-0005-0000-0000-000086AD0000}"/>
    <cellStyle name="Normal 3 4 8 2 2 8" xfId="44432" xr:uid="{00000000-0005-0000-0000-000087AD0000}"/>
    <cellStyle name="Normal 3 4 8 2 2 8 2" xfId="44433" xr:uid="{00000000-0005-0000-0000-000088AD0000}"/>
    <cellStyle name="Normal 3 4 8 2 2 8 3" xfId="44434" xr:uid="{00000000-0005-0000-0000-000089AD0000}"/>
    <cellStyle name="Normal 3 4 8 2 2 9" xfId="44435" xr:uid="{00000000-0005-0000-0000-00008AAD0000}"/>
    <cellStyle name="Normal 3 4 8 2 2 9 2" xfId="44436" xr:uid="{00000000-0005-0000-0000-00008BAD0000}"/>
    <cellStyle name="Normal 3 4 8 2 2 9 3" xfId="44437" xr:uid="{00000000-0005-0000-0000-00008CAD0000}"/>
    <cellStyle name="Normal 3 4 8 2 3" xfId="44438" xr:uid="{00000000-0005-0000-0000-00008DAD0000}"/>
    <cellStyle name="Normal 3 4 8 2 3 2" xfId="44439" xr:uid="{00000000-0005-0000-0000-00008EAD0000}"/>
    <cellStyle name="Normal 3 4 8 2 3 3" xfId="44440" xr:uid="{00000000-0005-0000-0000-00008FAD0000}"/>
    <cellStyle name="Normal 3 4 8 2 4" xfId="44441" xr:uid="{00000000-0005-0000-0000-000090AD0000}"/>
    <cellStyle name="Normal 3 4 8 2 4 2" xfId="44442" xr:uid="{00000000-0005-0000-0000-000091AD0000}"/>
    <cellStyle name="Normal 3 4 8 2 4 3" xfId="44443" xr:uid="{00000000-0005-0000-0000-000092AD0000}"/>
    <cellStyle name="Normal 3 4 8 2 5" xfId="44444" xr:uid="{00000000-0005-0000-0000-000093AD0000}"/>
    <cellStyle name="Normal 3 4 8 2 5 2" xfId="44445" xr:uid="{00000000-0005-0000-0000-000094AD0000}"/>
    <cellStyle name="Normal 3 4 8 2 5 3" xfId="44446" xr:uid="{00000000-0005-0000-0000-000095AD0000}"/>
    <cellStyle name="Normal 3 4 8 2 6" xfId="44447" xr:uid="{00000000-0005-0000-0000-000096AD0000}"/>
    <cellStyle name="Normal 3 4 8 2 6 2" xfId="44448" xr:uid="{00000000-0005-0000-0000-000097AD0000}"/>
    <cellStyle name="Normal 3 4 8 2 6 3" xfId="44449" xr:uid="{00000000-0005-0000-0000-000098AD0000}"/>
    <cellStyle name="Normal 3 4 8 2 7" xfId="44450" xr:uid="{00000000-0005-0000-0000-000099AD0000}"/>
    <cellStyle name="Normal 3 4 8 2 7 2" xfId="44451" xr:uid="{00000000-0005-0000-0000-00009AAD0000}"/>
    <cellStyle name="Normal 3 4 8 2 7 3" xfId="44452" xr:uid="{00000000-0005-0000-0000-00009BAD0000}"/>
    <cellStyle name="Normal 3 4 8 2 8" xfId="44453" xr:uid="{00000000-0005-0000-0000-00009CAD0000}"/>
    <cellStyle name="Normal 3 4 8 2 8 2" xfId="44454" xr:uid="{00000000-0005-0000-0000-00009DAD0000}"/>
    <cellStyle name="Normal 3 4 8 2 8 3" xfId="44455" xr:uid="{00000000-0005-0000-0000-00009EAD0000}"/>
    <cellStyle name="Normal 3 4 8 2 9" xfId="44456" xr:uid="{00000000-0005-0000-0000-00009FAD0000}"/>
    <cellStyle name="Normal 3 4 8 2 9 2" xfId="44457" xr:uid="{00000000-0005-0000-0000-0000A0AD0000}"/>
    <cellStyle name="Normal 3 4 8 2 9 3" xfId="44458" xr:uid="{00000000-0005-0000-0000-0000A1AD0000}"/>
    <cellStyle name="Normal 3 4 8 20" xfId="44459" xr:uid="{00000000-0005-0000-0000-0000A2AD0000}"/>
    <cellStyle name="Normal 3 4 8 20 2" xfId="44460" xr:uid="{00000000-0005-0000-0000-0000A3AD0000}"/>
    <cellStyle name="Normal 3 4 8 20 3" xfId="44461" xr:uid="{00000000-0005-0000-0000-0000A4AD0000}"/>
    <cellStyle name="Normal 3 4 8 21" xfId="44462" xr:uid="{00000000-0005-0000-0000-0000A5AD0000}"/>
    <cellStyle name="Normal 3 4 8 21 2" xfId="44463" xr:uid="{00000000-0005-0000-0000-0000A6AD0000}"/>
    <cellStyle name="Normal 3 4 8 21 3" xfId="44464" xr:uid="{00000000-0005-0000-0000-0000A7AD0000}"/>
    <cellStyle name="Normal 3 4 8 22" xfId="44465" xr:uid="{00000000-0005-0000-0000-0000A8AD0000}"/>
    <cellStyle name="Normal 3 4 8 22 2" xfId="44466" xr:uid="{00000000-0005-0000-0000-0000A9AD0000}"/>
    <cellStyle name="Normal 3 4 8 22 3" xfId="44467" xr:uid="{00000000-0005-0000-0000-0000AAAD0000}"/>
    <cellStyle name="Normal 3 4 8 23" xfId="44468" xr:uid="{00000000-0005-0000-0000-0000ABAD0000}"/>
    <cellStyle name="Normal 3 4 8 23 2" xfId="44469" xr:uid="{00000000-0005-0000-0000-0000ACAD0000}"/>
    <cellStyle name="Normal 3 4 8 23 3" xfId="44470" xr:uid="{00000000-0005-0000-0000-0000ADAD0000}"/>
    <cellStyle name="Normal 3 4 8 24" xfId="44471" xr:uid="{00000000-0005-0000-0000-0000AEAD0000}"/>
    <cellStyle name="Normal 3 4 8 25" xfId="44472" xr:uid="{00000000-0005-0000-0000-0000AFAD0000}"/>
    <cellStyle name="Normal 3 4 8 3" xfId="44473" xr:uid="{00000000-0005-0000-0000-0000B0AD0000}"/>
    <cellStyle name="Normal 3 4 8 3 10" xfId="44474" xr:uid="{00000000-0005-0000-0000-0000B1AD0000}"/>
    <cellStyle name="Normal 3 4 8 3 10 2" xfId="44475" xr:uid="{00000000-0005-0000-0000-0000B2AD0000}"/>
    <cellStyle name="Normal 3 4 8 3 10 3" xfId="44476" xr:uid="{00000000-0005-0000-0000-0000B3AD0000}"/>
    <cellStyle name="Normal 3 4 8 3 11" xfId="44477" xr:uid="{00000000-0005-0000-0000-0000B4AD0000}"/>
    <cellStyle name="Normal 3 4 8 3 11 2" xfId="44478" xr:uid="{00000000-0005-0000-0000-0000B5AD0000}"/>
    <cellStyle name="Normal 3 4 8 3 11 3" xfId="44479" xr:uid="{00000000-0005-0000-0000-0000B6AD0000}"/>
    <cellStyle name="Normal 3 4 8 3 12" xfId="44480" xr:uid="{00000000-0005-0000-0000-0000B7AD0000}"/>
    <cellStyle name="Normal 3 4 8 3 12 2" xfId="44481" xr:uid="{00000000-0005-0000-0000-0000B8AD0000}"/>
    <cellStyle name="Normal 3 4 8 3 12 3" xfId="44482" xr:uid="{00000000-0005-0000-0000-0000B9AD0000}"/>
    <cellStyle name="Normal 3 4 8 3 13" xfId="44483" xr:uid="{00000000-0005-0000-0000-0000BAAD0000}"/>
    <cellStyle name="Normal 3 4 8 3 13 2" xfId="44484" xr:uid="{00000000-0005-0000-0000-0000BBAD0000}"/>
    <cellStyle name="Normal 3 4 8 3 13 3" xfId="44485" xr:uid="{00000000-0005-0000-0000-0000BCAD0000}"/>
    <cellStyle name="Normal 3 4 8 3 14" xfId="44486" xr:uid="{00000000-0005-0000-0000-0000BDAD0000}"/>
    <cellStyle name="Normal 3 4 8 3 14 2" xfId="44487" xr:uid="{00000000-0005-0000-0000-0000BEAD0000}"/>
    <cellStyle name="Normal 3 4 8 3 14 3" xfId="44488" xr:uid="{00000000-0005-0000-0000-0000BFAD0000}"/>
    <cellStyle name="Normal 3 4 8 3 15" xfId="44489" xr:uid="{00000000-0005-0000-0000-0000C0AD0000}"/>
    <cellStyle name="Normal 3 4 8 3 15 2" xfId="44490" xr:uid="{00000000-0005-0000-0000-0000C1AD0000}"/>
    <cellStyle name="Normal 3 4 8 3 15 3" xfId="44491" xr:uid="{00000000-0005-0000-0000-0000C2AD0000}"/>
    <cellStyle name="Normal 3 4 8 3 16" xfId="44492" xr:uid="{00000000-0005-0000-0000-0000C3AD0000}"/>
    <cellStyle name="Normal 3 4 8 3 17" xfId="44493" xr:uid="{00000000-0005-0000-0000-0000C4AD0000}"/>
    <cellStyle name="Normal 3 4 8 3 2" xfId="44494" xr:uid="{00000000-0005-0000-0000-0000C5AD0000}"/>
    <cellStyle name="Normal 3 4 8 3 2 10" xfId="44495" xr:uid="{00000000-0005-0000-0000-0000C6AD0000}"/>
    <cellStyle name="Normal 3 4 8 3 2 10 2" xfId="44496" xr:uid="{00000000-0005-0000-0000-0000C7AD0000}"/>
    <cellStyle name="Normal 3 4 8 3 2 10 3" xfId="44497" xr:uid="{00000000-0005-0000-0000-0000C8AD0000}"/>
    <cellStyle name="Normal 3 4 8 3 2 11" xfId="44498" xr:uid="{00000000-0005-0000-0000-0000C9AD0000}"/>
    <cellStyle name="Normal 3 4 8 3 2 11 2" xfId="44499" xr:uid="{00000000-0005-0000-0000-0000CAAD0000}"/>
    <cellStyle name="Normal 3 4 8 3 2 11 3" xfId="44500" xr:uid="{00000000-0005-0000-0000-0000CBAD0000}"/>
    <cellStyle name="Normal 3 4 8 3 2 12" xfId="44501" xr:uid="{00000000-0005-0000-0000-0000CCAD0000}"/>
    <cellStyle name="Normal 3 4 8 3 2 12 2" xfId="44502" xr:uid="{00000000-0005-0000-0000-0000CDAD0000}"/>
    <cellStyle name="Normal 3 4 8 3 2 12 3" xfId="44503" xr:uid="{00000000-0005-0000-0000-0000CEAD0000}"/>
    <cellStyle name="Normal 3 4 8 3 2 13" xfId="44504" xr:uid="{00000000-0005-0000-0000-0000CFAD0000}"/>
    <cellStyle name="Normal 3 4 8 3 2 13 2" xfId="44505" xr:uid="{00000000-0005-0000-0000-0000D0AD0000}"/>
    <cellStyle name="Normal 3 4 8 3 2 13 3" xfId="44506" xr:uid="{00000000-0005-0000-0000-0000D1AD0000}"/>
    <cellStyle name="Normal 3 4 8 3 2 14" xfId="44507" xr:uid="{00000000-0005-0000-0000-0000D2AD0000}"/>
    <cellStyle name="Normal 3 4 8 3 2 14 2" xfId="44508" xr:uid="{00000000-0005-0000-0000-0000D3AD0000}"/>
    <cellStyle name="Normal 3 4 8 3 2 14 3" xfId="44509" xr:uid="{00000000-0005-0000-0000-0000D4AD0000}"/>
    <cellStyle name="Normal 3 4 8 3 2 15" xfId="44510" xr:uid="{00000000-0005-0000-0000-0000D5AD0000}"/>
    <cellStyle name="Normal 3 4 8 3 2 16" xfId="44511" xr:uid="{00000000-0005-0000-0000-0000D6AD0000}"/>
    <cellStyle name="Normal 3 4 8 3 2 2" xfId="44512" xr:uid="{00000000-0005-0000-0000-0000D7AD0000}"/>
    <cellStyle name="Normal 3 4 8 3 2 2 2" xfId="44513" xr:uid="{00000000-0005-0000-0000-0000D8AD0000}"/>
    <cellStyle name="Normal 3 4 8 3 2 2 3" xfId="44514" xr:uid="{00000000-0005-0000-0000-0000D9AD0000}"/>
    <cellStyle name="Normal 3 4 8 3 2 3" xfId="44515" xr:uid="{00000000-0005-0000-0000-0000DAAD0000}"/>
    <cellStyle name="Normal 3 4 8 3 2 3 2" xfId="44516" xr:uid="{00000000-0005-0000-0000-0000DBAD0000}"/>
    <cellStyle name="Normal 3 4 8 3 2 3 3" xfId="44517" xr:uid="{00000000-0005-0000-0000-0000DCAD0000}"/>
    <cellStyle name="Normal 3 4 8 3 2 4" xfId="44518" xr:uid="{00000000-0005-0000-0000-0000DDAD0000}"/>
    <cellStyle name="Normal 3 4 8 3 2 4 2" xfId="44519" xr:uid="{00000000-0005-0000-0000-0000DEAD0000}"/>
    <cellStyle name="Normal 3 4 8 3 2 4 3" xfId="44520" xr:uid="{00000000-0005-0000-0000-0000DFAD0000}"/>
    <cellStyle name="Normal 3 4 8 3 2 5" xfId="44521" xr:uid="{00000000-0005-0000-0000-0000E0AD0000}"/>
    <cellStyle name="Normal 3 4 8 3 2 5 2" xfId="44522" xr:uid="{00000000-0005-0000-0000-0000E1AD0000}"/>
    <cellStyle name="Normal 3 4 8 3 2 5 3" xfId="44523" xr:uid="{00000000-0005-0000-0000-0000E2AD0000}"/>
    <cellStyle name="Normal 3 4 8 3 2 6" xfId="44524" xr:uid="{00000000-0005-0000-0000-0000E3AD0000}"/>
    <cellStyle name="Normal 3 4 8 3 2 6 2" xfId="44525" xr:uid="{00000000-0005-0000-0000-0000E4AD0000}"/>
    <cellStyle name="Normal 3 4 8 3 2 6 3" xfId="44526" xr:uid="{00000000-0005-0000-0000-0000E5AD0000}"/>
    <cellStyle name="Normal 3 4 8 3 2 7" xfId="44527" xr:uid="{00000000-0005-0000-0000-0000E6AD0000}"/>
    <cellStyle name="Normal 3 4 8 3 2 7 2" xfId="44528" xr:uid="{00000000-0005-0000-0000-0000E7AD0000}"/>
    <cellStyle name="Normal 3 4 8 3 2 7 3" xfId="44529" xr:uid="{00000000-0005-0000-0000-0000E8AD0000}"/>
    <cellStyle name="Normal 3 4 8 3 2 8" xfId="44530" xr:uid="{00000000-0005-0000-0000-0000E9AD0000}"/>
    <cellStyle name="Normal 3 4 8 3 2 8 2" xfId="44531" xr:uid="{00000000-0005-0000-0000-0000EAAD0000}"/>
    <cellStyle name="Normal 3 4 8 3 2 8 3" xfId="44532" xr:uid="{00000000-0005-0000-0000-0000EBAD0000}"/>
    <cellStyle name="Normal 3 4 8 3 2 9" xfId="44533" xr:uid="{00000000-0005-0000-0000-0000ECAD0000}"/>
    <cellStyle name="Normal 3 4 8 3 2 9 2" xfId="44534" xr:uid="{00000000-0005-0000-0000-0000EDAD0000}"/>
    <cellStyle name="Normal 3 4 8 3 2 9 3" xfId="44535" xr:uid="{00000000-0005-0000-0000-0000EEAD0000}"/>
    <cellStyle name="Normal 3 4 8 3 3" xfId="44536" xr:uid="{00000000-0005-0000-0000-0000EFAD0000}"/>
    <cellStyle name="Normal 3 4 8 3 3 2" xfId="44537" xr:uid="{00000000-0005-0000-0000-0000F0AD0000}"/>
    <cellStyle name="Normal 3 4 8 3 3 3" xfId="44538" xr:uid="{00000000-0005-0000-0000-0000F1AD0000}"/>
    <cellStyle name="Normal 3 4 8 3 4" xfId="44539" xr:uid="{00000000-0005-0000-0000-0000F2AD0000}"/>
    <cellStyle name="Normal 3 4 8 3 4 2" xfId="44540" xr:uid="{00000000-0005-0000-0000-0000F3AD0000}"/>
    <cellStyle name="Normal 3 4 8 3 4 3" xfId="44541" xr:uid="{00000000-0005-0000-0000-0000F4AD0000}"/>
    <cellStyle name="Normal 3 4 8 3 5" xfId="44542" xr:uid="{00000000-0005-0000-0000-0000F5AD0000}"/>
    <cellStyle name="Normal 3 4 8 3 5 2" xfId="44543" xr:uid="{00000000-0005-0000-0000-0000F6AD0000}"/>
    <cellStyle name="Normal 3 4 8 3 5 3" xfId="44544" xr:uid="{00000000-0005-0000-0000-0000F7AD0000}"/>
    <cellStyle name="Normal 3 4 8 3 6" xfId="44545" xr:uid="{00000000-0005-0000-0000-0000F8AD0000}"/>
    <cellStyle name="Normal 3 4 8 3 6 2" xfId="44546" xr:uid="{00000000-0005-0000-0000-0000F9AD0000}"/>
    <cellStyle name="Normal 3 4 8 3 6 3" xfId="44547" xr:uid="{00000000-0005-0000-0000-0000FAAD0000}"/>
    <cellStyle name="Normal 3 4 8 3 7" xfId="44548" xr:uid="{00000000-0005-0000-0000-0000FBAD0000}"/>
    <cellStyle name="Normal 3 4 8 3 7 2" xfId="44549" xr:uid="{00000000-0005-0000-0000-0000FCAD0000}"/>
    <cellStyle name="Normal 3 4 8 3 7 3" xfId="44550" xr:uid="{00000000-0005-0000-0000-0000FDAD0000}"/>
    <cellStyle name="Normal 3 4 8 3 8" xfId="44551" xr:uid="{00000000-0005-0000-0000-0000FEAD0000}"/>
    <cellStyle name="Normal 3 4 8 3 8 2" xfId="44552" xr:uid="{00000000-0005-0000-0000-0000FFAD0000}"/>
    <cellStyle name="Normal 3 4 8 3 8 3" xfId="44553" xr:uid="{00000000-0005-0000-0000-000000AE0000}"/>
    <cellStyle name="Normal 3 4 8 3 9" xfId="44554" xr:uid="{00000000-0005-0000-0000-000001AE0000}"/>
    <cellStyle name="Normal 3 4 8 3 9 2" xfId="44555" xr:uid="{00000000-0005-0000-0000-000002AE0000}"/>
    <cellStyle name="Normal 3 4 8 3 9 3" xfId="44556" xr:uid="{00000000-0005-0000-0000-000003AE0000}"/>
    <cellStyle name="Normal 3 4 8 4" xfId="44557" xr:uid="{00000000-0005-0000-0000-000004AE0000}"/>
    <cellStyle name="Normal 3 4 8 4 10" xfId="44558" xr:uid="{00000000-0005-0000-0000-000005AE0000}"/>
    <cellStyle name="Normal 3 4 8 4 10 2" xfId="44559" xr:uid="{00000000-0005-0000-0000-000006AE0000}"/>
    <cellStyle name="Normal 3 4 8 4 10 3" xfId="44560" xr:uid="{00000000-0005-0000-0000-000007AE0000}"/>
    <cellStyle name="Normal 3 4 8 4 11" xfId="44561" xr:uid="{00000000-0005-0000-0000-000008AE0000}"/>
    <cellStyle name="Normal 3 4 8 4 11 2" xfId="44562" xr:uid="{00000000-0005-0000-0000-000009AE0000}"/>
    <cellStyle name="Normal 3 4 8 4 11 3" xfId="44563" xr:uid="{00000000-0005-0000-0000-00000AAE0000}"/>
    <cellStyle name="Normal 3 4 8 4 12" xfId="44564" xr:uid="{00000000-0005-0000-0000-00000BAE0000}"/>
    <cellStyle name="Normal 3 4 8 4 12 2" xfId="44565" xr:uid="{00000000-0005-0000-0000-00000CAE0000}"/>
    <cellStyle name="Normal 3 4 8 4 12 3" xfId="44566" xr:uid="{00000000-0005-0000-0000-00000DAE0000}"/>
    <cellStyle name="Normal 3 4 8 4 13" xfId="44567" xr:uid="{00000000-0005-0000-0000-00000EAE0000}"/>
    <cellStyle name="Normal 3 4 8 4 13 2" xfId="44568" xr:uid="{00000000-0005-0000-0000-00000FAE0000}"/>
    <cellStyle name="Normal 3 4 8 4 13 3" xfId="44569" xr:uid="{00000000-0005-0000-0000-000010AE0000}"/>
    <cellStyle name="Normal 3 4 8 4 14" xfId="44570" xr:uid="{00000000-0005-0000-0000-000011AE0000}"/>
    <cellStyle name="Normal 3 4 8 4 14 2" xfId="44571" xr:uid="{00000000-0005-0000-0000-000012AE0000}"/>
    <cellStyle name="Normal 3 4 8 4 14 3" xfId="44572" xr:uid="{00000000-0005-0000-0000-000013AE0000}"/>
    <cellStyle name="Normal 3 4 8 4 15" xfId="44573" xr:uid="{00000000-0005-0000-0000-000014AE0000}"/>
    <cellStyle name="Normal 3 4 8 4 15 2" xfId="44574" xr:uid="{00000000-0005-0000-0000-000015AE0000}"/>
    <cellStyle name="Normal 3 4 8 4 15 3" xfId="44575" xr:uid="{00000000-0005-0000-0000-000016AE0000}"/>
    <cellStyle name="Normal 3 4 8 4 16" xfId="44576" xr:uid="{00000000-0005-0000-0000-000017AE0000}"/>
    <cellStyle name="Normal 3 4 8 4 17" xfId="44577" xr:uid="{00000000-0005-0000-0000-000018AE0000}"/>
    <cellStyle name="Normal 3 4 8 4 2" xfId="44578" xr:uid="{00000000-0005-0000-0000-000019AE0000}"/>
    <cellStyle name="Normal 3 4 8 4 2 10" xfId="44579" xr:uid="{00000000-0005-0000-0000-00001AAE0000}"/>
    <cellStyle name="Normal 3 4 8 4 2 10 2" xfId="44580" xr:uid="{00000000-0005-0000-0000-00001BAE0000}"/>
    <cellStyle name="Normal 3 4 8 4 2 10 3" xfId="44581" xr:uid="{00000000-0005-0000-0000-00001CAE0000}"/>
    <cellStyle name="Normal 3 4 8 4 2 11" xfId="44582" xr:uid="{00000000-0005-0000-0000-00001DAE0000}"/>
    <cellStyle name="Normal 3 4 8 4 2 11 2" xfId="44583" xr:uid="{00000000-0005-0000-0000-00001EAE0000}"/>
    <cellStyle name="Normal 3 4 8 4 2 11 3" xfId="44584" xr:uid="{00000000-0005-0000-0000-00001FAE0000}"/>
    <cellStyle name="Normal 3 4 8 4 2 12" xfId="44585" xr:uid="{00000000-0005-0000-0000-000020AE0000}"/>
    <cellStyle name="Normal 3 4 8 4 2 12 2" xfId="44586" xr:uid="{00000000-0005-0000-0000-000021AE0000}"/>
    <cellStyle name="Normal 3 4 8 4 2 12 3" xfId="44587" xr:uid="{00000000-0005-0000-0000-000022AE0000}"/>
    <cellStyle name="Normal 3 4 8 4 2 13" xfId="44588" xr:uid="{00000000-0005-0000-0000-000023AE0000}"/>
    <cellStyle name="Normal 3 4 8 4 2 13 2" xfId="44589" xr:uid="{00000000-0005-0000-0000-000024AE0000}"/>
    <cellStyle name="Normal 3 4 8 4 2 13 3" xfId="44590" xr:uid="{00000000-0005-0000-0000-000025AE0000}"/>
    <cellStyle name="Normal 3 4 8 4 2 14" xfId="44591" xr:uid="{00000000-0005-0000-0000-000026AE0000}"/>
    <cellStyle name="Normal 3 4 8 4 2 14 2" xfId="44592" xr:uid="{00000000-0005-0000-0000-000027AE0000}"/>
    <cellStyle name="Normal 3 4 8 4 2 14 3" xfId="44593" xr:uid="{00000000-0005-0000-0000-000028AE0000}"/>
    <cellStyle name="Normal 3 4 8 4 2 15" xfId="44594" xr:uid="{00000000-0005-0000-0000-000029AE0000}"/>
    <cellStyle name="Normal 3 4 8 4 2 16" xfId="44595" xr:uid="{00000000-0005-0000-0000-00002AAE0000}"/>
    <cellStyle name="Normal 3 4 8 4 2 2" xfId="44596" xr:uid="{00000000-0005-0000-0000-00002BAE0000}"/>
    <cellStyle name="Normal 3 4 8 4 2 2 2" xfId="44597" xr:uid="{00000000-0005-0000-0000-00002CAE0000}"/>
    <cellStyle name="Normal 3 4 8 4 2 2 3" xfId="44598" xr:uid="{00000000-0005-0000-0000-00002DAE0000}"/>
    <cellStyle name="Normal 3 4 8 4 2 3" xfId="44599" xr:uid="{00000000-0005-0000-0000-00002EAE0000}"/>
    <cellStyle name="Normal 3 4 8 4 2 3 2" xfId="44600" xr:uid="{00000000-0005-0000-0000-00002FAE0000}"/>
    <cellStyle name="Normal 3 4 8 4 2 3 3" xfId="44601" xr:uid="{00000000-0005-0000-0000-000030AE0000}"/>
    <cellStyle name="Normal 3 4 8 4 2 4" xfId="44602" xr:uid="{00000000-0005-0000-0000-000031AE0000}"/>
    <cellStyle name="Normal 3 4 8 4 2 4 2" xfId="44603" xr:uid="{00000000-0005-0000-0000-000032AE0000}"/>
    <cellStyle name="Normal 3 4 8 4 2 4 3" xfId="44604" xr:uid="{00000000-0005-0000-0000-000033AE0000}"/>
    <cellStyle name="Normal 3 4 8 4 2 5" xfId="44605" xr:uid="{00000000-0005-0000-0000-000034AE0000}"/>
    <cellStyle name="Normal 3 4 8 4 2 5 2" xfId="44606" xr:uid="{00000000-0005-0000-0000-000035AE0000}"/>
    <cellStyle name="Normal 3 4 8 4 2 5 3" xfId="44607" xr:uid="{00000000-0005-0000-0000-000036AE0000}"/>
    <cellStyle name="Normal 3 4 8 4 2 6" xfId="44608" xr:uid="{00000000-0005-0000-0000-000037AE0000}"/>
    <cellStyle name="Normal 3 4 8 4 2 6 2" xfId="44609" xr:uid="{00000000-0005-0000-0000-000038AE0000}"/>
    <cellStyle name="Normal 3 4 8 4 2 6 3" xfId="44610" xr:uid="{00000000-0005-0000-0000-000039AE0000}"/>
    <cellStyle name="Normal 3 4 8 4 2 7" xfId="44611" xr:uid="{00000000-0005-0000-0000-00003AAE0000}"/>
    <cellStyle name="Normal 3 4 8 4 2 7 2" xfId="44612" xr:uid="{00000000-0005-0000-0000-00003BAE0000}"/>
    <cellStyle name="Normal 3 4 8 4 2 7 3" xfId="44613" xr:uid="{00000000-0005-0000-0000-00003CAE0000}"/>
    <cellStyle name="Normal 3 4 8 4 2 8" xfId="44614" xr:uid="{00000000-0005-0000-0000-00003DAE0000}"/>
    <cellStyle name="Normal 3 4 8 4 2 8 2" xfId="44615" xr:uid="{00000000-0005-0000-0000-00003EAE0000}"/>
    <cellStyle name="Normal 3 4 8 4 2 8 3" xfId="44616" xr:uid="{00000000-0005-0000-0000-00003FAE0000}"/>
    <cellStyle name="Normal 3 4 8 4 2 9" xfId="44617" xr:uid="{00000000-0005-0000-0000-000040AE0000}"/>
    <cellStyle name="Normal 3 4 8 4 2 9 2" xfId="44618" xr:uid="{00000000-0005-0000-0000-000041AE0000}"/>
    <cellStyle name="Normal 3 4 8 4 2 9 3" xfId="44619" xr:uid="{00000000-0005-0000-0000-000042AE0000}"/>
    <cellStyle name="Normal 3 4 8 4 3" xfId="44620" xr:uid="{00000000-0005-0000-0000-000043AE0000}"/>
    <cellStyle name="Normal 3 4 8 4 3 2" xfId="44621" xr:uid="{00000000-0005-0000-0000-000044AE0000}"/>
    <cellStyle name="Normal 3 4 8 4 3 3" xfId="44622" xr:uid="{00000000-0005-0000-0000-000045AE0000}"/>
    <cellStyle name="Normal 3 4 8 4 4" xfId="44623" xr:uid="{00000000-0005-0000-0000-000046AE0000}"/>
    <cellStyle name="Normal 3 4 8 4 4 2" xfId="44624" xr:uid="{00000000-0005-0000-0000-000047AE0000}"/>
    <cellStyle name="Normal 3 4 8 4 4 3" xfId="44625" xr:uid="{00000000-0005-0000-0000-000048AE0000}"/>
    <cellStyle name="Normal 3 4 8 4 5" xfId="44626" xr:uid="{00000000-0005-0000-0000-000049AE0000}"/>
    <cellStyle name="Normal 3 4 8 4 5 2" xfId="44627" xr:uid="{00000000-0005-0000-0000-00004AAE0000}"/>
    <cellStyle name="Normal 3 4 8 4 5 3" xfId="44628" xr:uid="{00000000-0005-0000-0000-00004BAE0000}"/>
    <cellStyle name="Normal 3 4 8 4 6" xfId="44629" xr:uid="{00000000-0005-0000-0000-00004CAE0000}"/>
    <cellStyle name="Normal 3 4 8 4 6 2" xfId="44630" xr:uid="{00000000-0005-0000-0000-00004DAE0000}"/>
    <cellStyle name="Normal 3 4 8 4 6 3" xfId="44631" xr:uid="{00000000-0005-0000-0000-00004EAE0000}"/>
    <cellStyle name="Normal 3 4 8 4 7" xfId="44632" xr:uid="{00000000-0005-0000-0000-00004FAE0000}"/>
    <cellStyle name="Normal 3 4 8 4 7 2" xfId="44633" xr:uid="{00000000-0005-0000-0000-000050AE0000}"/>
    <cellStyle name="Normal 3 4 8 4 7 3" xfId="44634" xr:uid="{00000000-0005-0000-0000-000051AE0000}"/>
    <cellStyle name="Normal 3 4 8 4 8" xfId="44635" xr:uid="{00000000-0005-0000-0000-000052AE0000}"/>
    <cellStyle name="Normal 3 4 8 4 8 2" xfId="44636" xr:uid="{00000000-0005-0000-0000-000053AE0000}"/>
    <cellStyle name="Normal 3 4 8 4 8 3" xfId="44637" xr:uid="{00000000-0005-0000-0000-000054AE0000}"/>
    <cellStyle name="Normal 3 4 8 4 9" xfId="44638" xr:uid="{00000000-0005-0000-0000-000055AE0000}"/>
    <cellStyle name="Normal 3 4 8 4 9 2" xfId="44639" xr:uid="{00000000-0005-0000-0000-000056AE0000}"/>
    <cellStyle name="Normal 3 4 8 4 9 3" xfId="44640" xr:uid="{00000000-0005-0000-0000-000057AE0000}"/>
    <cellStyle name="Normal 3 4 8 5" xfId="44641" xr:uid="{00000000-0005-0000-0000-000058AE0000}"/>
    <cellStyle name="Normal 3 4 8 5 10" xfId="44642" xr:uid="{00000000-0005-0000-0000-000059AE0000}"/>
    <cellStyle name="Normal 3 4 8 5 10 2" xfId="44643" xr:uid="{00000000-0005-0000-0000-00005AAE0000}"/>
    <cellStyle name="Normal 3 4 8 5 10 3" xfId="44644" xr:uid="{00000000-0005-0000-0000-00005BAE0000}"/>
    <cellStyle name="Normal 3 4 8 5 11" xfId="44645" xr:uid="{00000000-0005-0000-0000-00005CAE0000}"/>
    <cellStyle name="Normal 3 4 8 5 11 2" xfId="44646" xr:uid="{00000000-0005-0000-0000-00005DAE0000}"/>
    <cellStyle name="Normal 3 4 8 5 11 3" xfId="44647" xr:uid="{00000000-0005-0000-0000-00005EAE0000}"/>
    <cellStyle name="Normal 3 4 8 5 12" xfId="44648" xr:uid="{00000000-0005-0000-0000-00005FAE0000}"/>
    <cellStyle name="Normal 3 4 8 5 12 2" xfId="44649" xr:uid="{00000000-0005-0000-0000-000060AE0000}"/>
    <cellStyle name="Normal 3 4 8 5 12 3" xfId="44650" xr:uid="{00000000-0005-0000-0000-000061AE0000}"/>
    <cellStyle name="Normal 3 4 8 5 13" xfId="44651" xr:uid="{00000000-0005-0000-0000-000062AE0000}"/>
    <cellStyle name="Normal 3 4 8 5 13 2" xfId="44652" xr:uid="{00000000-0005-0000-0000-000063AE0000}"/>
    <cellStyle name="Normal 3 4 8 5 13 3" xfId="44653" xr:uid="{00000000-0005-0000-0000-000064AE0000}"/>
    <cellStyle name="Normal 3 4 8 5 14" xfId="44654" xr:uid="{00000000-0005-0000-0000-000065AE0000}"/>
    <cellStyle name="Normal 3 4 8 5 14 2" xfId="44655" xr:uid="{00000000-0005-0000-0000-000066AE0000}"/>
    <cellStyle name="Normal 3 4 8 5 14 3" xfId="44656" xr:uid="{00000000-0005-0000-0000-000067AE0000}"/>
    <cellStyle name="Normal 3 4 8 5 15" xfId="44657" xr:uid="{00000000-0005-0000-0000-000068AE0000}"/>
    <cellStyle name="Normal 3 4 8 5 16" xfId="44658" xr:uid="{00000000-0005-0000-0000-000069AE0000}"/>
    <cellStyle name="Normal 3 4 8 5 2" xfId="44659" xr:uid="{00000000-0005-0000-0000-00006AAE0000}"/>
    <cellStyle name="Normal 3 4 8 5 2 2" xfId="44660" xr:uid="{00000000-0005-0000-0000-00006BAE0000}"/>
    <cellStyle name="Normal 3 4 8 5 2 3" xfId="44661" xr:uid="{00000000-0005-0000-0000-00006CAE0000}"/>
    <cellStyle name="Normal 3 4 8 5 3" xfId="44662" xr:uid="{00000000-0005-0000-0000-00006DAE0000}"/>
    <cellStyle name="Normal 3 4 8 5 3 2" xfId="44663" xr:uid="{00000000-0005-0000-0000-00006EAE0000}"/>
    <cellStyle name="Normal 3 4 8 5 3 3" xfId="44664" xr:uid="{00000000-0005-0000-0000-00006FAE0000}"/>
    <cellStyle name="Normal 3 4 8 5 4" xfId="44665" xr:uid="{00000000-0005-0000-0000-000070AE0000}"/>
    <cellStyle name="Normal 3 4 8 5 4 2" xfId="44666" xr:uid="{00000000-0005-0000-0000-000071AE0000}"/>
    <cellStyle name="Normal 3 4 8 5 4 3" xfId="44667" xr:uid="{00000000-0005-0000-0000-000072AE0000}"/>
    <cellStyle name="Normal 3 4 8 5 5" xfId="44668" xr:uid="{00000000-0005-0000-0000-000073AE0000}"/>
    <cellStyle name="Normal 3 4 8 5 5 2" xfId="44669" xr:uid="{00000000-0005-0000-0000-000074AE0000}"/>
    <cellStyle name="Normal 3 4 8 5 5 3" xfId="44670" xr:uid="{00000000-0005-0000-0000-000075AE0000}"/>
    <cellStyle name="Normal 3 4 8 5 6" xfId="44671" xr:uid="{00000000-0005-0000-0000-000076AE0000}"/>
    <cellStyle name="Normal 3 4 8 5 6 2" xfId="44672" xr:uid="{00000000-0005-0000-0000-000077AE0000}"/>
    <cellStyle name="Normal 3 4 8 5 6 3" xfId="44673" xr:uid="{00000000-0005-0000-0000-000078AE0000}"/>
    <cellStyle name="Normal 3 4 8 5 7" xfId="44674" xr:uid="{00000000-0005-0000-0000-000079AE0000}"/>
    <cellStyle name="Normal 3 4 8 5 7 2" xfId="44675" xr:uid="{00000000-0005-0000-0000-00007AAE0000}"/>
    <cellStyle name="Normal 3 4 8 5 7 3" xfId="44676" xr:uid="{00000000-0005-0000-0000-00007BAE0000}"/>
    <cellStyle name="Normal 3 4 8 5 8" xfId="44677" xr:uid="{00000000-0005-0000-0000-00007CAE0000}"/>
    <cellStyle name="Normal 3 4 8 5 8 2" xfId="44678" xr:uid="{00000000-0005-0000-0000-00007DAE0000}"/>
    <cellStyle name="Normal 3 4 8 5 8 3" xfId="44679" xr:uid="{00000000-0005-0000-0000-00007EAE0000}"/>
    <cellStyle name="Normal 3 4 8 5 9" xfId="44680" xr:uid="{00000000-0005-0000-0000-00007FAE0000}"/>
    <cellStyle name="Normal 3 4 8 5 9 2" xfId="44681" xr:uid="{00000000-0005-0000-0000-000080AE0000}"/>
    <cellStyle name="Normal 3 4 8 5 9 3" xfId="44682" xr:uid="{00000000-0005-0000-0000-000081AE0000}"/>
    <cellStyle name="Normal 3 4 8 6" xfId="44683" xr:uid="{00000000-0005-0000-0000-000082AE0000}"/>
    <cellStyle name="Normal 3 4 8 6 10" xfId="44684" xr:uid="{00000000-0005-0000-0000-000083AE0000}"/>
    <cellStyle name="Normal 3 4 8 6 10 2" xfId="44685" xr:uid="{00000000-0005-0000-0000-000084AE0000}"/>
    <cellStyle name="Normal 3 4 8 6 10 3" xfId="44686" xr:uid="{00000000-0005-0000-0000-000085AE0000}"/>
    <cellStyle name="Normal 3 4 8 6 11" xfId="44687" xr:uid="{00000000-0005-0000-0000-000086AE0000}"/>
    <cellStyle name="Normal 3 4 8 6 11 2" xfId="44688" xr:uid="{00000000-0005-0000-0000-000087AE0000}"/>
    <cellStyle name="Normal 3 4 8 6 11 3" xfId="44689" xr:uid="{00000000-0005-0000-0000-000088AE0000}"/>
    <cellStyle name="Normal 3 4 8 6 12" xfId="44690" xr:uid="{00000000-0005-0000-0000-000089AE0000}"/>
    <cellStyle name="Normal 3 4 8 6 12 2" xfId="44691" xr:uid="{00000000-0005-0000-0000-00008AAE0000}"/>
    <cellStyle name="Normal 3 4 8 6 12 3" xfId="44692" xr:uid="{00000000-0005-0000-0000-00008BAE0000}"/>
    <cellStyle name="Normal 3 4 8 6 13" xfId="44693" xr:uid="{00000000-0005-0000-0000-00008CAE0000}"/>
    <cellStyle name="Normal 3 4 8 6 13 2" xfId="44694" xr:uid="{00000000-0005-0000-0000-00008DAE0000}"/>
    <cellStyle name="Normal 3 4 8 6 13 3" xfId="44695" xr:uid="{00000000-0005-0000-0000-00008EAE0000}"/>
    <cellStyle name="Normal 3 4 8 6 14" xfId="44696" xr:uid="{00000000-0005-0000-0000-00008FAE0000}"/>
    <cellStyle name="Normal 3 4 8 6 14 2" xfId="44697" xr:uid="{00000000-0005-0000-0000-000090AE0000}"/>
    <cellStyle name="Normal 3 4 8 6 14 3" xfId="44698" xr:uid="{00000000-0005-0000-0000-000091AE0000}"/>
    <cellStyle name="Normal 3 4 8 6 15" xfId="44699" xr:uid="{00000000-0005-0000-0000-000092AE0000}"/>
    <cellStyle name="Normal 3 4 8 6 16" xfId="44700" xr:uid="{00000000-0005-0000-0000-000093AE0000}"/>
    <cellStyle name="Normal 3 4 8 6 2" xfId="44701" xr:uid="{00000000-0005-0000-0000-000094AE0000}"/>
    <cellStyle name="Normal 3 4 8 6 2 2" xfId="44702" xr:uid="{00000000-0005-0000-0000-000095AE0000}"/>
    <cellStyle name="Normal 3 4 8 6 2 3" xfId="44703" xr:uid="{00000000-0005-0000-0000-000096AE0000}"/>
    <cellStyle name="Normal 3 4 8 6 3" xfId="44704" xr:uid="{00000000-0005-0000-0000-000097AE0000}"/>
    <cellStyle name="Normal 3 4 8 6 3 2" xfId="44705" xr:uid="{00000000-0005-0000-0000-000098AE0000}"/>
    <cellStyle name="Normal 3 4 8 6 3 3" xfId="44706" xr:uid="{00000000-0005-0000-0000-000099AE0000}"/>
    <cellStyle name="Normal 3 4 8 6 4" xfId="44707" xr:uid="{00000000-0005-0000-0000-00009AAE0000}"/>
    <cellStyle name="Normal 3 4 8 6 4 2" xfId="44708" xr:uid="{00000000-0005-0000-0000-00009BAE0000}"/>
    <cellStyle name="Normal 3 4 8 6 4 3" xfId="44709" xr:uid="{00000000-0005-0000-0000-00009CAE0000}"/>
    <cellStyle name="Normal 3 4 8 6 5" xfId="44710" xr:uid="{00000000-0005-0000-0000-00009DAE0000}"/>
    <cellStyle name="Normal 3 4 8 6 5 2" xfId="44711" xr:uid="{00000000-0005-0000-0000-00009EAE0000}"/>
    <cellStyle name="Normal 3 4 8 6 5 3" xfId="44712" xr:uid="{00000000-0005-0000-0000-00009FAE0000}"/>
    <cellStyle name="Normal 3 4 8 6 6" xfId="44713" xr:uid="{00000000-0005-0000-0000-0000A0AE0000}"/>
    <cellStyle name="Normal 3 4 8 6 6 2" xfId="44714" xr:uid="{00000000-0005-0000-0000-0000A1AE0000}"/>
    <cellStyle name="Normal 3 4 8 6 6 3" xfId="44715" xr:uid="{00000000-0005-0000-0000-0000A2AE0000}"/>
    <cellStyle name="Normal 3 4 8 6 7" xfId="44716" xr:uid="{00000000-0005-0000-0000-0000A3AE0000}"/>
    <cellStyle name="Normal 3 4 8 6 7 2" xfId="44717" xr:uid="{00000000-0005-0000-0000-0000A4AE0000}"/>
    <cellStyle name="Normal 3 4 8 6 7 3" xfId="44718" xr:uid="{00000000-0005-0000-0000-0000A5AE0000}"/>
    <cellStyle name="Normal 3 4 8 6 8" xfId="44719" xr:uid="{00000000-0005-0000-0000-0000A6AE0000}"/>
    <cellStyle name="Normal 3 4 8 6 8 2" xfId="44720" xr:uid="{00000000-0005-0000-0000-0000A7AE0000}"/>
    <cellStyle name="Normal 3 4 8 6 8 3" xfId="44721" xr:uid="{00000000-0005-0000-0000-0000A8AE0000}"/>
    <cellStyle name="Normal 3 4 8 6 9" xfId="44722" xr:uid="{00000000-0005-0000-0000-0000A9AE0000}"/>
    <cellStyle name="Normal 3 4 8 6 9 2" xfId="44723" xr:uid="{00000000-0005-0000-0000-0000AAAE0000}"/>
    <cellStyle name="Normal 3 4 8 6 9 3" xfId="44724" xr:uid="{00000000-0005-0000-0000-0000ABAE0000}"/>
    <cellStyle name="Normal 3 4 8 7" xfId="44725" xr:uid="{00000000-0005-0000-0000-0000ACAE0000}"/>
    <cellStyle name="Normal 3 4 8 7 10" xfId="44726" xr:uid="{00000000-0005-0000-0000-0000ADAE0000}"/>
    <cellStyle name="Normal 3 4 8 7 10 2" xfId="44727" xr:uid="{00000000-0005-0000-0000-0000AEAE0000}"/>
    <cellStyle name="Normal 3 4 8 7 10 3" xfId="44728" xr:uid="{00000000-0005-0000-0000-0000AFAE0000}"/>
    <cellStyle name="Normal 3 4 8 7 11" xfId="44729" xr:uid="{00000000-0005-0000-0000-0000B0AE0000}"/>
    <cellStyle name="Normal 3 4 8 7 11 2" xfId="44730" xr:uid="{00000000-0005-0000-0000-0000B1AE0000}"/>
    <cellStyle name="Normal 3 4 8 7 11 3" xfId="44731" xr:uid="{00000000-0005-0000-0000-0000B2AE0000}"/>
    <cellStyle name="Normal 3 4 8 7 12" xfId="44732" xr:uid="{00000000-0005-0000-0000-0000B3AE0000}"/>
    <cellStyle name="Normal 3 4 8 7 12 2" xfId="44733" xr:uid="{00000000-0005-0000-0000-0000B4AE0000}"/>
    <cellStyle name="Normal 3 4 8 7 12 3" xfId="44734" xr:uid="{00000000-0005-0000-0000-0000B5AE0000}"/>
    <cellStyle name="Normal 3 4 8 7 13" xfId="44735" xr:uid="{00000000-0005-0000-0000-0000B6AE0000}"/>
    <cellStyle name="Normal 3 4 8 7 13 2" xfId="44736" xr:uid="{00000000-0005-0000-0000-0000B7AE0000}"/>
    <cellStyle name="Normal 3 4 8 7 13 3" xfId="44737" xr:uid="{00000000-0005-0000-0000-0000B8AE0000}"/>
    <cellStyle name="Normal 3 4 8 7 14" xfId="44738" xr:uid="{00000000-0005-0000-0000-0000B9AE0000}"/>
    <cellStyle name="Normal 3 4 8 7 14 2" xfId="44739" xr:uid="{00000000-0005-0000-0000-0000BAAE0000}"/>
    <cellStyle name="Normal 3 4 8 7 14 3" xfId="44740" xr:uid="{00000000-0005-0000-0000-0000BBAE0000}"/>
    <cellStyle name="Normal 3 4 8 7 15" xfId="44741" xr:uid="{00000000-0005-0000-0000-0000BCAE0000}"/>
    <cellStyle name="Normal 3 4 8 7 16" xfId="44742" xr:uid="{00000000-0005-0000-0000-0000BDAE0000}"/>
    <cellStyle name="Normal 3 4 8 7 2" xfId="44743" xr:uid="{00000000-0005-0000-0000-0000BEAE0000}"/>
    <cellStyle name="Normal 3 4 8 7 2 2" xfId="44744" xr:uid="{00000000-0005-0000-0000-0000BFAE0000}"/>
    <cellStyle name="Normal 3 4 8 7 2 3" xfId="44745" xr:uid="{00000000-0005-0000-0000-0000C0AE0000}"/>
    <cellStyle name="Normal 3 4 8 7 3" xfId="44746" xr:uid="{00000000-0005-0000-0000-0000C1AE0000}"/>
    <cellStyle name="Normal 3 4 8 7 3 2" xfId="44747" xr:uid="{00000000-0005-0000-0000-0000C2AE0000}"/>
    <cellStyle name="Normal 3 4 8 7 3 3" xfId="44748" xr:uid="{00000000-0005-0000-0000-0000C3AE0000}"/>
    <cellStyle name="Normal 3 4 8 7 4" xfId="44749" xr:uid="{00000000-0005-0000-0000-0000C4AE0000}"/>
    <cellStyle name="Normal 3 4 8 7 4 2" xfId="44750" xr:uid="{00000000-0005-0000-0000-0000C5AE0000}"/>
    <cellStyle name="Normal 3 4 8 7 4 3" xfId="44751" xr:uid="{00000000-0005-0000-0000-0000C6AE0000}"/>
    <cellStyle name="Normal 3 4 8 7 5" xfId="44752" xr:uid="{00000000-0005-0000-0000-0000C7AE0000}"/>
    <cellStyle name="Normal 3 4 8 7 5 2" xfId="44753" xr:uid="{00000000-0005-0000-0000-0000C8AE0000}"/>
    <cellStyle name="Normal 3 4 8 7 5 3" xfId="44754" xr:uid="{00000000-0005-0000-0000-0000C9AE0000}"/>
    <cellStyle name="Normal 3 4 8 7 6" xfId="44755" xr:uid="{00000000-0005-0000-0000-0000CAAE0000}"/>
    <cellStyle name="Normal 3 4 8 7 6 2" xfId="44756" xr:uid="{00000000-0005-0000-0000-0000CBAE0000}"/>
    <cellStyle name="Normal 3 4 8 7 6 3" xfId="44757" xr:uid="{00000000-0005-0000-0000-0000CCAE0000}"/>
    <cellStyle name="Normal 3 4 8 7 7" xfId="44758" xr:uid="{00000000-0005-0000-0000-0000CDAE0000}"/>
    <cellStyle name="Normal 3 4 8 7 7 2" xfId="44759" xr:uid="{00000000-0005-0000-0000-0000CEAE0000}"/>
    <cellStyle name="Normal 3 4 8 7 7 3" xfId="44760" xr:uid="{00000000-0005-0000-0000-0000CFAE0000}"/>
    <cellStyle name="Normal 3 4 8 7 8" xfId="44761" xr:uid="{00000000-0005-0000-0000-0000D0AE0000}"/>
    <cellStyle name="Normal 3 4 8 7 8 2" xfId="44762" xr:uid="{00000000-0005-0000-0000-0000D1AE0000}"/>
    <cellStyle name="Normal 3 4 8 7 8 3" xfId="44763" xr:uid="{00000000-0005-0000-0000-0000D2AE0000}"/>
    <cellStyle name="Normal 3 4 8 7 9" xfId="44764" xr:uid="{00000000-0005-0000-0000-0000D3AE0000}"/>
    <cellStyle name="Normal 3 4 8 7 9 2" xfId="44765" xr:uid="{00000000-0005-0000-0000-0000D4AE0000}"/>
    <cellStyle name="Normal 3 4 8 7 9 3" xfId="44766" xr:uid="{00000000-0005-0000-0000-0000D5AE0000}"/>
    <cellStyle name="Normal 3 4 8 8" xfId="44767" xr:uid="{00000000-0005-0000-0000-0000D6AE0000}"/>
    <cellStyle name="Normal 3 4 8 8 10" xfId="44768" xr:uid="{00000000-0005-0000-0000-0000D7AE0000}"/>
    <cellStyle name="Normal 3 4 8 8 10 2" xfId="44769" xr:uid="{00000000-0005-0000-0000-0000D8AE0000}"/>
    <cellStyle name="Normal 3 4 8 8 10 3" xfId="44770" xr:uid="{00000000-0005-0000-0000-0000D9AE0000}"/>
    <cellStyle name="Normal 3 4 8 8 11" xfId="44771" xr:uid="{00000000-0005-0000-0000-0000DAAE0000}"/>
    <cellStyle name="Normal 3 4 8 8 11 2" xfId="44772" xr:uid="{00000000-0005-0000-0000-0000DBAE0000}"/>
    <cellStyle name="Normal 3 4 8 8 11 3" xfId="44773" xr:uid="{00000000-0005-0000-0000-0000DCAE0000}"/>
    <cellStyle name="Normal 3 4 8 8 12" xfId="44774" xr:uid="{00000000-0005-0000-0000-0000DDAE0000}"/>
    <cellStyle name="Normal 3 4 8 8 12 2" xfId="44775" xr:uid="{00000000-0005-0000-0000-0000DEAE0000}"/>
    <cellStyle name="Normal 3 4 8 8 12 3" xfId="44776" xr:uid="{00000000-0005-0000-0000-0000DFAE0000}"/>
    <cellStyle name="Normal 3 4 8 8 13" xfId="44777" xr:uid="{00000000-0005-0000-0000-0000E0AE0000}"/>
    <cellStyle name="Normal 3 4 8 8 13 2" xfId="44778" xr:uid="{00000000-0005-0000-0000-0000E1AE0000}"/>
    <cellStyle name="Normal 3 4 8 8 13 3" xfId="44779" xr:uid="{00000000-0005-0000-0000-0000E2AE0000}"/>
    <cellStyle name="Normal 3 4 8 8 14" xfId="44780" xr:uid="{00000000-0005-0000-0000-0000E3AE0000}"/>
    <cellStyle name="Normal 3 4 8 8 14 2" xfId="44781" xr:uid="{00000000-0005-0000-0000-0000E4AE0000}"/>
    <cellStyle name="Normal 3 4 8 8 14 3" xfId="44782" xr:uid="{00000000-0005-0000-0000-0000E5AE0000}"/>
    <cellStyle name="Normal 3 4 8 8 15" xfId="44783" xr:uid="{00000000-0005-0000-0000-0000E6AE0000}"/>
    <cellStyle name="Normal 3 4 8 8 16" xfId="44784" xr:uid="{00000000-0005-0000-0000-0000E7AE0000}"/>
    <cellStyle name="Normal 3 4 8 8 2" xfId="44785" xr:uid="{00000000-0005-0000-0000-0000E8AE0000}"/>
    <cellStyle name="Normal 3 4 8 8 2 2" xfId="44786" xr:uid="{00000000-0005-0000-0000-0000E9AE0000}"/>
    <cellStyle name="Normal 3 4 8 8 2 3" xfId="44787" xr:uid="{00000000-0005-0000-0000-0000EAAE0000}"/>
    <cellStyle name="Normal 3 4 8 8 3" xfId="44788" xr:uid="{00000000-0005-0000-0000-0000EBAE0000}"/>
    <cellStyle name="Normal 3 4 8 8 3 2" xfId="44789" xr:uid="{00000000-0005-0000-0000-0000ECAE0000}"/>
    <cellStyle name="Normal 3 4 8 8 3 3" xfId="44790" xr:uid="{00000000-0005-0000-0000-0000EDAE0000}"/>
    <cellStyle name="Normal 3 4 8 8 4" xfId="44791" xr:uid="{00000000-0005-0000-0000-0000EEAE0000}"/>
    <cellStyle name="Normal 3 4 8 8 4 2" xfId="44792" xr:uid="{00000000-0005-0000-0000-0000EFAE0000}"/>
    <cellStyle name="Normal 3 4 8 8 4 3" xfId="44793" xr:uid="{00000000-0005-0000-0000-0000F0AE0000}"/>
    <cellStyle name="Normal 3 4 8 8 5" xfId="44794" xr:uid="{00000000-0005-0000-0000-0000F1AE0000}"/>
    <cellStyle name="Normal 3 4 8 8 5 2" xfId="44795" xr:uid="{00000000-0005-0000-0000-0000F2AE0000}"/>
    <cellStyle name="Normal 3 4 8 8 5 3" xfId="44796" xr:uid="{00000000-0005-0000-0000-0000F3AE0000}"/>
    <cellStyle name="Normal 3 4 8 8 6" xfId="44797" xr:uid="{00000000-0005-0000-0000-0000F4AE0000}"/>
    <cellStyle name="Normal 3 4 8 8 6 2" xfId="44798" xr:uid="{00000000-0005-0000-0000-0000F5AE0000}"/>
    <cellStyle name="Normal 3 4 8 8 6 3" xfId="44799" xr:uid="{00000000-0005-0000-0000-0000F6AE0000}"/>
    <cellStyle name="Normal 3 4 8 8 7" xfId="44800" xr:uid="{00000000-0005-0000-0000-0000F7AE0000}"/>
    <cellStyle name="Normal 3 4 8 8 7 2" xfId="44801" xr:uid="{00000000-0005-0000-0000-0000F8AE0000}"/>
    <cellStyle name="Normal 3 4 8 8 7 3" xfId="44802" xr:uid="{00000000-0005-0000-0000-0000F9AE0000}"/>
    <cellStyle name="Normal 3 4 8 8 8" xfId="44803" xr:uid="{00000000-0005-0000-0000-0000FAAE0000}"/>
    <cellStyle name="Normal 3 4 8 8 8 2" xfId="44804" xr:uid="{00000000-0005-0000-0000-0000FBAE0000}"/>
    <cellStyle name="Normal 3 4 8 8 8 3" xfId="44805" xr:uid="{00000000-0005-0000-0000-0000FCAE0000}"/>
    <cellStyle name="Normal 3 4 8 8 9" xfId="44806" xr:uid="{00000000-0005-0000-0000-0000FDAE0000}"/>
    <cellStyle name="Normal 3 4 8 8 9 2" xfId="44807" xr:uid="{00000000-0005-0000-0000-0000FEAE0000}"/>
    <cellStyle name="Normal 3 4 8 8 9 3" xfId="44808" xr:uid="{00000000-0005-0000-0000-0000FFAE0000}"/>
    <cellStyle name="Normal 3 4 8 9" xfId="44809" xr:uid="{00000000-0005-0000-0000-000000AF0000}"/>
    <cellStyle name="Normal 3 4 8 9 10" xfId="44810" xr:uid="{00000000-0005-0000-0000-000001AF0000}"/>
    <cellStyle name="Normal 3 4 8 9 10 2" xfId="44811" xr:uid="{00000000-0005-0000-0000-000002AF0000}"/>
    <cellStyle name="Normal 3 4 8 9 10 3" xfId="44812" xr:uid="{00000000-0005-0000-0000-000003AF0000}"/>
    <cellStyle name="Normal 3 4 8 9 11" xfId="44813" xr:uid="{00000000-0005-0000-0000-000004AF0000}"/>
    <cellStyle name="Normal 3 4 8 9 11 2" xfId="44814" xr:uid="{00000000-0005-0000-0000-000005AF0000}"/>
    <cellStyle name="Normal 3 4 8 9 11 3" xfId="44815" xr:uid="{00000000-0005-0000-0000-000006AF0000}"/>
    <cellStyle name="Normal 3 4 8 9 12" xfId="44816" xr:uid="{00000000-0005-0000-0000-000007AF0000}"/>
    <cellStyle name="Normal 3 4 8 9 12 2" xfId="44817" xr:uid="{00000000-0005-0000-0000-000008AF0000}"/>
    <cellStyle name="Normal 3 4 8 9 12 3" xfId="44818" xr:uid="{00000000-0005-0000-0000-000009AF0000}"/>
    <cellStyle name="Normal 3 4 8 9 13" xfId="44819" xr:uid="{00000000-0005-0000-0000-00000AAF0000}"/>
    <cellStyle name="Normal 3 4 8 9 13 2" xfId="44820" xr:uid="{00000000-0005-0000-0000-00000BAF0000}"/>
    <cellStyle name="Normal 3 4 8 9 13 3" xfId="44821" xr:uid="{00000000-0005-0000-0000-00000CAF0000}"/>
    <cellStyle name="Normal 3 4 8 9 14" xfId="44822" xr:uid="{00000000-0005-0000-0000-00000DAF0000}"/>
    <cellStyle name="Normal 3 4 8 9 14 2" xfId="44823" xr:uid="{00000000-0005-0000-0000-00000EAF0000}"/>
    <cellStyle name="Normal 3 4 8 9 14 3" xfId="44824" xr:uid="{00000000-0005-0000-0000-00000FAF0000}"/>
    <cellStyle name="Normal 3 4 8 9 15" xfId="44825" xr:uid="{00000000-0005-0000-0000-000010AF0000}"/>
    <cellStyle name="Normal 3 4 8 9 16" xfId="44826" xr:uid="{00000000-0005-0000-0000-000011AF0000}"/>
    <cellStyle name="Normal 3 4 8 9 2" xfId="44827" xr:uid="{00000000-0005-0000-0000-000012AF0000}"/>
    <cellStyle name="Normal 3 4 8 9 2 2" xfId="44828" xr:uid="{00000000-0005-0000-0000-000013AF0000}"/>
    <cellStyle name="Normal 3 4 8 9 2 3" xfId="44829" xr:uid="{00000000-0005-0000-0000-000014AF0000}"/>
    <cellStyle name="Normal 3 4 8 9 3" xfId="44830" xr:uid="{00000000-0005-0000-0000-000015AF0000}"/>
    <cellStyle name="Normal 3 4 8 9 3 2" xfId="44831" xr:uid="{00000000-0005-0000-0000-000016AF0000}"/>
    <cellStyle name="Normal 3 4 8 9 3 3" xfId="44832" xr:uid="{00000000-0005-0000-0000-000017AF0000}"/>
    <cellStyle name="Normal 3 4 8 9 4" xfId="44833" xr:uid="{00000000-0005-0000-0000-000018AF0000}"/>
    <cellStyle name="Normal 3 4 8 9 4 2" xfId="44834" xr:uid="{00000000-0005-0000-0000-000019AF0000}"/>
    <cellStyle name="Normal 3 4 8 9 4 3" xfId="44835" xr:uid="{00000000-0005-0000-0000-00001AAF0000}"/>
    <cellStyle name="Normal 3 4 8 9 5" xfId="44836" xr:uid="{00000000-0005-0000-0000-00001BAF0000}"/>
    <cellStyle name="Normal 3 4 8 9 5 2" xfId="44837" xr:uid="{00000000-0005-0000-0000-00001CAF0000}"/>
    <cellStyle name="Normal 3 4 8 9 5 3" xfId="44838" xr:uid="{00000000-0005-0000-0000-00001DAF0000}"/>
    <cellStyle name="Normal 3 4 8 9 6" xfId="44839" xr:uid="{00000000-0005-0000-0000-00001EAF0000}"/>
    <cellStyle name="Normal 3 4 8 9 6 2" xfId="44840" xr:uid="{00000000-0005-0000-0000-00001FAF0000}"/>
    <cellStyle name="Normal 3 4 8 9 6 3" xfId="44841" xr:uid="{00000000-0005-0000-0000-000020AF0000}"/>
    <cellStyle name="Normal 3 4 8 9 7" xfId="44842" xr:uid="{00000000-0005-0000-0000-000021AF0000}"/>
    <cellStyle name="Normal 3 4 8 9 7 2" xfId="44843" xr:uid="{00000000-0005-0000-0000-000022AF0000}"/>
    <cellStyle name="Normal 3 4 8 9 7 3" xfId="44844" xr:uid="{00000000-0005-0000-0000-000023AF0000}"/>
    <cellStyle name="Normal 3 4 8 9 8" xfId="44845" xr:uid="{00000000-0005-0000-0000-000024AF0000}"/>
    <cellStyle name="Normal 3 4 8 9 8 2" xfId="44846" xr:uid="{00000000-0005-0000-0000-000025AF0000}"/>
    <cellStyle name="Normal 3 4 8 9 8 3" xfId="44847" xr:uid="{00000000-0005-0000-0000-000026AF0000}"/>
    <cellStyle name="Normal 3 4 8 9 9" xfId="44848" xr:uid="{00000000-0005-0000-0000-000027AF0000}"/>
    <cellStyle name="Normal 3 4 8 9 9 2" xfId="44849" xr:uid="{00000000-0005-0000-0000-000028AF0000}"/>
    <cellStyle name="Normal 3 4 8 9 9 3" xfId="44850" xr:uid="{00000000-0005-0000-0000-000029AF0000}"/>
    <cellStyle name="Normal 3 4 9" xfId="44851" xr:uid="{00000000-0005-0000-0000-00002AAF0000}"/>
    <cellStyle name="Normal 3 4 9 10" xfId="44852" xr:uid="{00000000-0005-0000-0000-00002BAF0000}"/>
    <cellStyle name="Normal 3 4 9 10 10" xfId="44853" xr:uid="{00000000-0005-0000-0000-00002CAF0000}"/>
    <cellStyle name="Normal 3 4 9 10 10 2" xfId="44854" xr:uid="{00000000-0005-0000-0000-00002DAF0000}"/>
    <cellStyle name="Normal 3 4 9 10 10 3" xfId="44855" xr:uid="{00000000-0005-0000-0000-00002EAF0000}"/>
    <cellStyle name="Normal 3 4 9 10 11" xfId="44856" xr:uid="{00000000-0005-0000-0000-00002FAF0000}"/>
    <cellStyle name="Normal 3 4 9 10 11 2" xfId="44857" xr:uid="{00000000-0005-0000-0000-000030AF0000}"/>
    <cellStyle name="Normal 3 4 9 10 11 3" xfId="44858" xr:uid="{00000000-0005-0000-0000-000031AF0000}"/>
    <cellStyle name="Normal 3 4 9 10 12" xfId="44859" xr:uid="{00000000-0005-0000-0000-000032AF0000}"/>
    <cellStyle name="Normal 3 4 9 10 12 2" xfId="44860" xr:uid="{00000000-0005-0000-0000-000033AF0000}"/>
    <cellStyle name="Normal 3 4 9 10 12 3" xfId="44861" xr:uid="{00000000-0005-0000-0000-000034AF0000}"/>
    <cellStyle name="Normal 3 4 9 10 13" xfId="44862" xr:uid="{00000000-0005-0000-0000-000035AF0000}"/>
    <cellStyle name="Normal 3 4 9 10 13 2" xfId="44863" xr:uid="{00000000-0005-0000-0000-000036AF0000}"/>
    <cellStyle name="Normal 3 4 9 10 13 3" xfId="44864" xr:uid="{00000000-0005-0000-0000-000037AF0000}"/>
    <cellStyle name="Normal 3 4 9 10 14" xfId="44865" xr:uid="{00000000-0005-0000-0000-000038AF0000}"/>
    <cellStyle name="Normal 3 4 9 10 14 2" xfId="44866" xr:uid="{00000000-0005-0000-0000-000039AF0000}"/>
    <cellStyle name="Normal 3 4 9 10 14 3" xfId="44867" xr:uid="{00000000-0005-0000-0000-00003AAF0000}"/>
    <cellStyle name="Normal 3 4 9 10 15" xfId="44868" xr:uid="{00000000-0005-0000-0000-00003BAF0000}"/>
    <cellStyle name="Normal 3 4 9 10 16" xfId="44869" xr:uid="{00000000-0005-0000-0000-00003CAF0000}"/>
    <cellStyle name="Normal 3 4 9 10 2" xfId="44870" xr:uid="{00000000-0005-0000-0000-00003DAF0000}"/>
    <cellStyle name="Normal 3 4 9 10 2 2" xfId="44871" xr:uid="{00000000-0005-0000-0000-00003EAF0000}"/>
    <cellStyle name="Normal 3 4 9 10 2 3" xfId="44872" xr:uid="{00000000-0005-0000-0000-00003FAF0000}"/>
    <cellStyle name="Normal 3 4 9 10 3" xfId="44873" xr:uid="{00000000-0005-0000-0000-000040AF0000}"/>
    <cellStyle name="Normal 3 4 9 10 3 2" xfId="44874" xr:uid="{00000000-0005-0000-0000-000041AF0000}"/>
    <cellStyle name="Normal 3 4 9 10 3 3" xfId="44875" xr:uid="{00000000-0005-0000-0000-000042AF0000}"/>
    <cellStyle name="Normal 3 4 9 10 4" xfId="44876" xr:uid="{00000000-0005-0000-0000-000043AF0000}"/>
    <cellStyle name="Normal 3 4 9 10 4 2" xfId="44877" xr:uid="{00000000-0005-0000-0000-000044AF0000}"/>
    <cellStyle name="Normal 3 4 9 10 4 3" xfId="44878" xr:uid="{00000000-0005-0000-0000-000045AF0000}"/>
    <cellStyle name="Normal 3 4 9 10 5" xfId="44879" xr:uid="{00000000-0005-0000-0000-000046AF0000}"/>
    <cellStyle name="Normal 3 4 9 10 5 2" xfId="44880" xr:uid="{00000000-0005-0000-0000-000047AF0000}"/>
    <cellStyle name="Normal 3 4 9 10 5 3" xfId="44881" xr:uid="{00000000-0005-0000-0000-000048AF0000}"/>
    <cellStyle name="Normal 3 4 9 10 6" xfId="44882" xr:uid="{00000000-0005-0000-0000-000049AF0000}"/>
    <cellStyle name="Normal 3 4 9 10 6 2" xfId="44883" xr:uid="{00000000-0005-0000-0000-00004AAF0000}"/>
    <cellStyle name="Normal 3 4 9 10 6 3" xfId="44884" xr:uid="{00000000-0005-0000-0000-00004BAF0000}"/>
    <cellStyle name="Normal 3 4 9 10 7" xfId="44885" xr:uid="{00000000-0005-0000-0000-00004CAF0000}"/>
    <cellStyle name="Normal 3 4 9 10 7 2" xfId="44886" xr:uid="{00000000-0005-0000-0000-00004DAF0000}"/>
    <cellStyle name="Normal 3 4 9 10 7 3" xfId="44887" xr:uid="{00000000-0005-0000-0000-00004EAF0000}"/>
    <cellStyle name="Normal 3 4 9 10 8" xfId="44888" xr:uid="{00000000-0005-0000-0000-00004FAF0000}"/>
    <cellStyle name="Normal 3 4 9 10 8 2" xfId="44889" xr:uid="{00000000-0005-0000-0000-000050AF0000}"/>
    <cellStyle name="Normal 3 4 9 10 8 3" xfId="44890" xr:uid="{00000000-0005-0000-0000-000051AF0000}"/>
    <cellStyle name="Normal 3 4 9 10 9" xfId="44891" xr:uid="{00000000-0005-0000-0000-000052AF0000}"/>
    <cellStyle name="Normal 3 4 9 10 9 2" xfId="44892" xr:uid="{00000000-0005-0000-0000-000053AF0000}"/>
    <cellStyle name="Normal 3 4 9 10 9 3" xfId="44893" xr:uid="{00000000-0005-0000-0000-000054AF0000}"/>
    <cellStyle name="Normal 3 4 9 11" xfId="44894" xr:uid="{00000000-0005-0000-0000-000055AF0000}"/>
    <cellStyle name="Normal 3 4 9 11 2" xfId="44895" xr:uid="{00000000-0005-0000-0000-000056AF0000}"/>
    <cellStyle name="Normal 3 4 9 11 3" xfId="44896" xr:uid="{00000000-0005-0000-0000-000057AF0000}"/>
    <cellStyle name="Normal 3 4 9 12" xfId="44897" xr:uid="{00000000-0005-0000-0000-000058AF0000}"/>
    <cellStyle name="Normal 3 4 9 12 2" xfId="44898" xr:uid="{00000000-0005-0000-0000-000059AF0000}"/>
    <cellStyle name="Normal 3 4 9 12 3" xfId="44899" xr:uid="{00000000-0005-0000-0000-00005AAF0000}"/>
    <cellStyle name="Normal 3 4 9 13" xfId="44900" xr:uid="{00000000-0005-0000-0000-00005BAF0000}"/>
    <cellStyle name="Normal 3 4 9 13 2" xfId="44901" xr:uid="{00000000-0005-0000-0000-00005CAF0000}"/>
    <cellStyle name="Normal 3 4 9 13 3" xfId="44902" xr:uid="{00000000-0005-0000-0000-00005DAF0000}"/>
    <cellStyle name="Normal 3 4 9 14" xfId="44903" xr:uid="{00000000-0005-0000-0000-00005EAF0000}"/>
    <cellStyle name="Normal 3 4 9 14 2" xfId="44904" xr:uid="{00000000-0005-0000-0000-00005FAF0000}"/>
    <cellStyle name="Normal 3 4 9 14 3" xfId="44905" xr:uid="{00000000-0005-0000-0000-000060AF0000}"/>
    <cellStyle name="Normal 3 4 9 15" xfId="44906" xr:uid="{00000000-0005-0000-0000-000061AF0000}"/>
    <cellStyle name="Normal 3 4 9 15 2" xfId="44907" xr:uid="{00000000-0005-0000-0000-000062AF0000}"/>
    <cellStyle name="Normal 3 4 9 15 3" xfId="44908" xr:uid="{00000000-0005-0000-0000-000063AF0000}"/>
    <cellStyle name="Normal 3 4 9 16" xfId="44909" xr:uid="{00000000-0005-0000-0000-000064AF0000}"/>
    <cellStyle name="Normal 3 4 9 16 2" xfId="44910" xr:uid="{00000000-0005-0000-0000-000065AF0000}"/>
    <cellStyle name="Normal 3 4 9 16 3" xfId="44911" xr:uid="{00000000-0005-0000-0000-000066AF0000}"/>
    <cellStyle name="Normal 3 4 9 17" xfId="44912" xr:uid="{00000000-0005-0000-0000-000067AF0000}"/>
    <cellStyle name="Normal 3 4 9 17 2" xfId="44913" xr:uid="{00000000-0005-0000-0000-000068AF0000}"/>
    <cellStyle name="Normal 3 4 9 17 3" xfId="44914" xr:uid="{00000000-0005-0000-0000-000069AF0000}"/>
    <cellStyle name="Normal 3 4 9 18" xfId="44915" xr:uid="{00000000-0005-0000-0000-00006AAF0000}"/>
    <cellStyle name="Normal 3 4 9 18 2" xfId="44916" xr:uid="{00000000-0005-0000-0000-00006BAF0000}"/>
    <cellStyle name="Normal 3 4 9 18 3" xfId="44917" xr:uid="{00000000-0005-0000-0000-00006CAF0000}"/>
    <cellStyle name="Normal 3 4 9 19" xfId="44918" xr:uid="{00000000-0005-0000-0000-00006DAF0000}"/>
    <cellStyle name="Normal 3 4 9 19 2" xfId="44919" xr:uid="{00000000-0005-0000-0000-00006EAF0000}"/>
    <cellStyle name="Normal 3 4 9 19 3" xfId="44920" xr:uid="{00000000-0005-0000-0000-00006FAF0000}"/>
    <cellStyle name="Normal 3 4 9 2" xfId="44921" xr:uid="{00000000-0005-0000-0000-000070AF0000}"/>
    <cellStyle name="Normal 3 4 9 2 10" xfId="44922" xr:uid="{00000000-0005-0000-0000-000071AF0000}"/>
    <cellStyle name="Normal 3 4 9 2 10 2" xfId="44923" xr:uid="{00000000-0005-0000-0000-000072AF0000}"/>
    <cellStyle name="Normal 3 4 9 2 10 3" xfId="44924" xr:uid="{00000000-0005-0000-0000-000073AF0000}"/>
    <cellStyle name="Normal 3 4 9 2 11" xfId="44925" xr:uid="{00000000-0005-0000-0000-000074AF0000}"/>
    <cellStyle name="Normal 3 4 9 2 11 2" xfId="44926" xr:uid="{00000000-0005-0000-0000-000075AF0000}"/>
    <cellStyle name="Normal 3 4 9 2 11 3" xfId="44927" xr:uid="{00000000-0005-0000-0000-000076AF0000}"/>
    <cellStyle name="Normal 3 4 9 2 12" xfId="44928" xr:uid="{00000000-0005-0000-0000-000077AF0000}"/>
    <cellStyle name="Normal 3 4 9 2 12 2" xfId="44929" xr:uid="{00000000-0005-0000-0000-000078AF0000}"/>
    <cellStyle name="Normal 3 4 9 2 12 3" xfId="44930" xr:uid="{00000000-0005-0000-0000-000079AF0000}"/>
    <cellStyle name="Normal 3 4 9 2 13" xfId="44931" xr:uid="{00000000-0005-0000-0000-00007AAF0000}"/>
    <cellStyle name="Normal 3 4 9 2 13 2" xfId="44932" xr:uid="{00000000-0005-0000-0000-00007BAF0000}"/>
    <cellStyle name="Normal 3 4 9 2 13 3" xfId="44933" xr:uid="{00000000-0005-0000-0000-00007CAF0000}"/>
    <cellStyle name="Normal 3 4 9 2 14" xfId="44934" xr:uid="{00000000-0005-0000-0000-00007DAF0000}"/>
    <cellStyle name="Normal 3 4 9 2 14 2" xfId="44935" xr:uid="{00000000-0005-0000-0000-00007EAF0000}"/>
    <cellStyle name="Normal 3 4 9 2 14 3" xfId="44936" xr:uid="{00000000-0005-0000-0000-00007FAF0000}"/>
    <cellStyle name="Normal 3 4 9 2 15" xfId="44937" xr:uid="{00000000-0005-0000-0000-000080AF0000}"/>
    <cellStyle name="Normal 3 4 9 2 15 2" xfId="44938" xr:uid="{00000000-0005-0000-0000-000081AF0000}"/>
    <cellStyle name="Normal 3 4 9 2 15 3" xfId="44939" xr:uid="{00000000-0005-0000-0000-000082AF0000}"/>
    <cellStyle name="Normal 3 4 9 2 16" xfId="44940" xr:uid="{00000000-0005-0000-0000-000083AF0000}"/>
    <cellStyle name="Normal 3 4 9 2 17" xfId="44941" xr:uid="{00000000-0005-0000-0000-000084AF0000}"/>
    <cellStyle name="Normal 3 4 9 2 2" xfId="44942" xr:uid="{00000000-0005-0000-0000-000085AF0000}"/>
    <cellStyle name="Normal 3 4 9 2 2 10" xfId="44943" xr:uid="{00000000-0005-0000-0000-000086AF0000}"/>
    <cellStyle name="Normal 3 4 9 2 2 10 2" xfId="44944" xr:uid="{00000000-0005-0000-0000-000087AF0000}"/>
    <cellStyle name="Normal 3 4 9 2 2 10 3" xfId="44945" xr:uid="{00000000-0005-0000-0000-000088AF0000}"/>
    <cellStyle name="Normal 3 4 9 2 2 11" xfId="44946" xr:uid="{00000000-0005-0000-0000-000089AF0000}"/>
    <cellStyle name="Normal 3 4 9 2 2 11 2" xfId="44947" xr:uid="{00000000-0005-0000-0000-00008AAF0000}"/>
    <cellStyle name="Normal 3 4 9 2 2 11 3" xfId="44948" xr:uid="{00000000-0005-0000-0000-00008BAF0000}"/>
    <cellStyle name="Normal 3 4 9 2 2 12" xfId="44949" xr:uid="{00000000-0005-0000-0000-00008CAF0000}"/>
    <cellStyle name="Normal 3 4 9 2 2 12 2" xfId="44950" xr:uid="{00000000-0005-0000-0000-00008DAF0000}"/>
    <cellStyle name="Normal 3 4 9 2 2 12 3" xfId="44951" xr:uid="{00000000-0005-0000-0000-00008EAF0000}"/>
    <cellStyle name="Normal 3 4 9 2 2 13" xfId="44952" xr:uid="{00000000-0005-0000-0000-00008FAF0000}"/>
    <cellStyle name="Normal 3 4 9 2 2 13 2" xfId="44953" xr:uid="{00000000-0005-0000-0000-000090AF0000}"/>
    <cellStyle name="Normal 3 4 9 2 2 13 3" xfId="44954" xr:uid="{00000000-0005-0000-0000-000091AF0000}"/>
    <cellStyle name="Normal 3 4 9 2 2 14" xfId="44955" xr:uid="{00000000-0005-0000-0000-000092AF0000}"/>
    <cellStyle name="Normal 3 4 9 2 2 14 2" xfId="44956" xr:uid="{00000000-0005-0000-0000-000093AF0000}"/>
    <cellStyle name="Normal 3 4 9 2 2 14 3" xfId="44957" xr:uid="{00000000-0005-0000-0000-000094AF0000}"/>
    <cellStyle name="Normal 3 4 9 2 2 15" xfId="44958" xr:uid="{00000000-0005-0000-0000-000095AF0000}"/>
    <cellStyle name="Normal 3 4 9 2 2 16" xfId="44959" xr:uid="{00000000-0005-0000-0000-000096AF0000}"/>
    <cellStyle name="Normal 3 4 9 2 2 2" xfId="44960" xr:uid="{00000000-0005-0000-0000-000097AF0000}"/>
    <cellStyle name="Normal 3 4 9 2 2 2 2" xfId="44961" xr:uid="{00000000-0005-0000-0000-000098AF0000}"/>
    <cellStyle name="Normal 3 4 9 2 2 2 3" xfId="44962" xr:uid="{00000000-0005-0000-0000-000099AF0000}"/>
    <cellStyle name="Normal 3 4 9 2 2 3" xfId="44963" xr:uid="{00000000-0005-0000-0000-00009AAF0000}"/>
    <cellStyle name="Normal 3 4 9 2 2 3 2" xfId="44964" xr:uid="{00000000-0005-0000-0000-00009BAF0000}"/>
    <cellStyle name="Normal 3 4 9 2 2 3 3" xfId="44965" xr:uid="{00000000-0005-0000-0000-00009CAF0000}"/>
    <cellStyle name="Normal 3 4 9 2 2 4" xfId="44966" xr:uid="{00000000-0005-0000-0000-00009DAF0000}"/>
    <cellStyle name="Normal 3 4 9 2 2 4 2" xfId="44967" xr:uid="{00000000-0005-0000-0000-00009EAF0000}"/>
    <cellStyle name="Normal 3 4 9 2 2 4 3" xfId="44968" xr:uid="{00000000-0005-0000-0000-00009FAF0000}"/>
    <cellStyle name="Normal 3 4 9 2 2 5" xfId="44969" xr:uid="{00000000-0005-0000-0000-0000A0AF0000}"/>
    <cellStyle name="Normal 3 4 9 2 2 5 2" xfId="44970" xr:uid="{00000000-0005-0000-0000-0000A1AF0000}"/>
    <cellStyle name="Normal 3 4 9 2 2 5 3" xfId="44971" xr:uid="{00000000-0005-0000-0000-0000A2AF0000}"/>
    <cellStyle name="Normal 3 4 9 2 2 6" xfId="44972" xr:uid="{00000000-0005-0000-0000-0000A3AF0000}"/>
    <cellStyle name="Normal 3 4 9 2 2 6 2" xfId="44973" xr:uid="{00000000-0005-0000-0000-0000A4AF0000}"/>
    <cellStyle name="Normal 3 4 9 2 2 6 3" xfId="44974" xr:uid="{00000000-0005-0000-0000-0000A5AF0000}"/>
    <cellStyle name="Normal 3 4 9 2 2 7" xfId="44975" xr:uid="{00000000-0005-0000-0000-0000A6AF0000}"/>
    <cellStyle name="Normal 3 4 9 2 2 7 2" xfId="44976" xr:uid="{00000000-0005-0000-0000-0000A7AF0000}"/>
    <cellStyle name="Normal 3 4 9 2 2 7 3" xfId="44977" xr:uid="{00000000-0005-0000-0000-0000A8AF0000}"/>
    <cellStyle name="Normal 3 4 9 2 2 8" xfId="44978" xr:uid="{00000000-0005-0000-0000-0000A9AF0000}"/>
    <cellStyle name="Normal 3 4 9 2 2 8 2" xfId="44979" xr:uid="{00000000-0005-0000-0000-0000AAAF0000}"/>
    <cellStyle name="Normal 3 4 9 2 2 8 3" xfId="44980" xr:uid="{00000000-0005-0000-0000-0000ABAF0000}"/>
    <cellStyle name="Normal 3 4 9 2 2 9" xfId="44981" xr:uid="{00000000-0005-0000-0000-0000ACAF0000}"/>
    <cellStyle name="Normal 3 4 9 2 2 9 2" xfId="44982" xr:uid="{00000000-0005-0000-0000-0000ADAF0000}"/>
    <cellStyle name="Normal 3 4 9 2 2 9 3" xfId="44983" xr:uid="{00000000-0005-0000-0000-0000AEAF0000}"/>
    <cellStyle name="Normal 3 4 9 2 3" xfId="44984" xr:uid="{00000000-0005-0000-0000-0000AFAF0000}"/>
    <cellStyle name="Normal 3 4 9 2 3 2" xfId="44985" xr:uid="{00000000-0005-0000-0000-0000B0AF0000}"/>
    <cellStyle name="Normal 3 4 9 2 3 3" xfId="44986" xr:uid="{00000000-0005-0000-0000-0000B1AF0000}"/>
    <cellStyle name="Normal 3 4 9 2 4" xfId="44987" xr:uid="{00000000-0005-0000-0000-0000B2AF0000}"/>
    <cellStyle name="Normal 3 4 9 2 4 2" xfId="44988" xr:uid="{00000000-0005-0000-0000-0000B3AF0000}"/>
    <cellStyle name="Normal 3 4 9 2 4 3" xfId="44989" xr:uid="{00000000-0005-0000-0000-0000B4AF0000}"/>
    <cellStyle name="Normal 3 4 9 2 5" xfId="44990" xr:uid="{00000000-0005-0000-0000-0000B5AF0000}"/>
    <cellStyle name="Normal 3 4 9 2 5 2" xfId="44991" xr:uid="{00000000-0005-0000-0000-0000B6AF0000}"/>
    <cellStyle name="Normal 3 4 9 2 5 3" xfId="44992" xr:uid="{00000000-0005-0000-0000-0000B7AF0000}"/>
    <cellStyle name="Normal 3 4 9 2 6" xfId="44993" xr:uid="{00000000-0005-0000-0000-0000B8AF0000}"/>
    <cellStyle name="Normal 3 4 9 2 6 2" xfId="44994" xr:uid="{00000000-0005-0000-0000-0000B9AF0000}"/>
    <cellStyle name="Normal 3 4 9 2 6 3" xfId="44995" xr:uid="{00000000-0005-0000-0000-0000BAAF0000}"/>
    <cellStyle name="Normal 3 4 9 2 7" xfId="44996" xr:uid="{00000000-0005-0000-0000-0000BBAF0000}"/>
    <cellStyle name="Normal 3 4 9 2 7 2" xfId="44997" xr:uid="{00000000-0005-0000-0000-0000BCAF0000}"/>
    <cellStyle name="Normal 3 4 9 2 7 3" xfId="44998" xr:uid="{00000000-0005-0000-0000-0000BDAF0000}"/>
    <cellStyle name="Normal 3 4 9 2 8" xfId="44999" xr:uid="{00000000-0005-0000-0000-0000BEAF0000}"/>
    <cellStyle name="Normal 3 4 9 2 8 2" xfId="45000" xr:uid="{00000000-0005-0000-0000-0000BFAF0000}"/>
    <cellStyle name="Normal 3 4 9 2 8 3" xfId="45001" xr:uid="{00000000-0005-0000-0000-0000C0AF0000}"/>
    <cellStyle name="Normal 3 4 9 2 9" xfId="45002" xr:uid="{00000000-0005-0000-0000-0000C1AF0000}"/>
    <cellStyle name="Normal 3 4 9 2 9 2" xfId="45003" xr:uid="{00000000-0005-0000-0000-0000C2AF0000}"/>
    <cellStyle name="Normal 3 4 9 2 9 3" xfId="45004" xr:uid="{00000000-0005-0000-0000-0000C3AF0000}"/>
    <cellStyle name="Normal 3 4 9 20" xfId="45005" xr:uid="{00000000-0005-0000-0000-0000C4AF0000}"/>
    <cellStyle name="Normal 3 4 9 20 2" xfId="45006" xr:uid="{00000000-0005-0000-0000-0000C5AF0000}"/>
    <cellStyle name="Normal 3 4 9 20 3" xfId="45007" xr:uid="{00000000-0005-0000-0000-0000C6AF0000}"/>
    <cellStyle name="Normal 3 4 9 21" xfId="45008" xr:uid="{00000000-0005-0000-0000-0000C7AF0000}"/>
    <cellStyle name="Normal 3 4 9 21 2" xfId="45009" xr:uid="{00000000-0005-0000-0000-0000C8AF0000}"/>
    <cellStyle name="Normal 3 4 9 21 3" xfId="45010" xr:uid="{00000000-0005-0000-0000-0000C9AF0000}"/>
    <cellStyle name="Normal 3 4 9 22" xfId="45011" xr:uid="{00000000-0005-0000-0000-0000CAAF0000}"/>
    <cellStyle name="Normal 3 4 9 22 2" xfId="45012" xr:uid="{00000000-0005-0000-0000-0000CBAF0000}"/>
    <cellStyle name="Normal 3 4 9 22 3" xfId="45013" xr:uid="{00000000-0005-0000-0000-0000CCAF0000}"/>
    <cellStyle name="Normal 3 4 9 23" xfId="45014" xr:uid="{00000000-0005-0000-0000-0000CDAF0000}"/>
    <cellStyle name="Normal 3 4 9 23 2" xfId="45015" xr:uid="{00000000-0005-0000-0000-0000CEAF0000}"/>
    <cellStyle name="Normal 3 4 9 23 3" xfId="45016" xr:uid="{00000000-0005-0000-0000-0000CFAF0000}"/>
    <cellStyle name="Normal 3 4 9 24" xfId="45017" xr:uid="{00000000-0005-0000-0000-0000D0AF0000}"/>
    <cellStyle name="Normal 3 4 9 25" xfId="45018" xr:uid="{00000000-0005-0000-0000-0000D1AF0000}"/>
    <cellStyle name="Normal 3 4 9 3" xfId="45019" xr:uid="{00000000-0005-0000-0000-0000D2AF0000}"/>
    <cellStyle name="Normal 3 4 9 3 10" xfId="45020" xr:uid="{00000000-0005-0000-0000-0000D3AF0000}"/>
    <cellStyle name="Normal 3 4 9 3 10 2" xfId="45021" xr:uid="{00000000-0005-0000-0000-0000D4AF0000}"/>
    <cellStyle name="Normal 3 4 9 3 10 3" xfId="45022" xr:uid="{00000000-0005-0000-0000-0000D5AF0000}"/>
    <cellStyle name="Normal 3 4 9 3 11" xfId="45023" xr:uid="{00000000-0005-0000-0000-0000D6AF0000}"/>
    <cellStyle name="Normal 3 4 9 3 11 2" xfId="45024" xr:uid="{00000000-0005-0000-0000-0000D7AF0000}"/>
    <cellStyle name="Normal 3 4 9 3 11 3" xfId="45025" xr:uid="{00000000-0005-0000-0000-0000D8AF0000}"/>
    <cellStyle name="Normal 3 4 9 3 12" xfId="45026" xr:uid="{00000000-0005-0000-0000-0000D9AF0000}"/>
    <cellStyle name="Normal 3 4 9 3 12 2" xfId="45027" xr:uid="{00000000-0005-0000-0000-0000DAAF0000}"/>
    <cellStyle name="Normal 3 4 9 3 12 3" xfId="45028" xr:uid="{00000000-0005-0000-0000-0000DBAF0000}"/>
    <cellStyle name="Normal 3 4 9 3 13" xfId="45029" xr:uid="{00000000-0005-0000-0000-0000DCAF0000}"/>
    <cellStyle name="Normal 3 4 9 3 13 2" xfId="45030" xr:uid="{00000000-0005-0000-0000-0000DDAF0000}"/>
    <cellStyle name="Normal 3 4 9 3 13 3" xfId="45031" xr:uid="{00000000-0005-0000-0000-0000DEAF0000}"/>
    <cellStyle name="Normal 3 4 9 3 14" xfId="45032" xr:uid="{00000000-0005-0000-0000-0000DFAF0000}"/>
    <cellStyle name="Normal 3 4 9 3 14 2" xfId="45033" xr:uid="{00000000-0005-0000-0000-0000E0AF0000}"/>
    <cellStyle name="Normal 3 4 9 3 14 3" xfId="45034" xr:uid="{00000000-0005-0000-0000-0000E1AF0000}"/>
    <cellStyle name="Normal 3 4 9 3 15" xfId="45035" xr:uid="{00000000-0005-0000-0000-0000E2AF0000}"/>
    <cellStyle name="Normal 3 4 9 3 15 2" xfId="45036" xr:uid="{00000000-0005-0000-0000-0000E3AF0000}"/>
    <cellStyle name="Normal 3 4 9 3 15 3" xfId="45037" xr:uid="{00000000-0005-0000-0000-0000E4AF0000}"/>
    <cellStyle name="Normal 3 4 9 3 16" xfId="45038" xr:uid="{00000000-0005-0000-0000-0000E5AF0000}"/>
    <cellStyle name="Normal 3 4 9 3 17" xfId="45039" xr:uid="{00000000-0005-0000-0000-0000E6AF0000}"/>
    <cellStyle name="Normal 3 4 9 3 2" xfId="45040" xr:uid="{00000000-0005-0000-0000-0000E7AF0000}"/>
    <cellStyle name="Normal 3 4 9 3 2 10" xfId="45041" xr:uid="{00000000-0005-0000-0000-0000E8AF0000}"/>
    <cellStyle name="Normal 3 4 9 3 2 10 2" xfId="45042" xr:uid="{00000000-0005-0000-0000-0000E9AF0000}"/>
    <cellStyle name="Normal 3 4 9 3 2 10 3" xfId="45043" xr:uid="{00000000-0005-0000-0000-0000EAAF0000}"/>
    <cellStyle name="Normal 3 4 9 3 2 11" xfId="45044" xr:uid="{00000000-0005-0000-0000-0000EBAF0000}"/>
    <cellStyle name="Normal 3 4 9 3 2 11 2" xfId="45045" xr:uid="{00000000-0005-0000-0000-0000ECAF0000}"/>
    <cellStyle name="Normal 3 4 9 3 2 11 3" xfId="45046" xr:uid="{00000000-0005-0000-0000-0000EDAF0000}"/>
    <cellStyle name="Normal 3 4 9 3 2 12" xfId="45047" xr:uid="{00000000-0005-0000-0000-0000EEAF0000}"/>
    <cellStyle name="Normal 3 4 9 3 2 12 2" xfId="45048" xr:uid="{00000000-0005-0000-0000-0000EFAF0000}"/>
    <cellStyle name="Normal 3 4 9 3 2 12 3" xfId="45049" xr:uid="{00000000-0005-0000-0000-0000F0AF0000}"/>
    <cellStyle name="Normal 3 4 9 3 2 13" xfId="45050" xr:uid="{00000000-0005-0000-0000-0000F1AF0000}"/>
    <cellStyle name="Normal 3 4 9 3 2 13 2" xfId="45051" xr:uid="{00000000-0005-0000-0000-0000F2AF0000}"/>
    <cellStyle name="Normal 3 4 9 3 2 13 3" xfId="45052" xr:uid="{00000000-0005-0000-0000-0000F3AF0000}"/>
    <cellStyle name="Normal 3 4 9 3 2 14" xfId="45053" xr:uid="{00000000-0005-0000-0000-0000F4AF0000}"/>
    <cellStyle name="Normal 3 4 9 3 2 14 2" xfId="45054" xr:uid="{00000000-0005-0000-0000-0000F5AF0000}"/>
    <cellStyle name="Normal 3 4 9 3 2 14 3" xfId="45055" xr:uid="{00000000-0005-0000-0000-0000F6AF0000}"/>
    <cellStyle name="Normal 3 4 9 3 2 15" xfId="45056" xr:uid="{00000000-0005-0000-0000-0000F7AF0000}"/>
    <cellStyle name="Normal 3 4 9 3 2 16" xfId="45057" xr:uid="{00000000-0005-0000-0000-0000F8AF0000}"/>
    <cellStyle name="Normal 3 4 9 3 2 2" xfId="45058" xr:uid="{00000000-0005-0000-0000-0000F9AF0000}"/>
    <cellStyle name="Normal 3 4 9 3 2 2 2" xfId="45059" xr:uid="{00000000-0005-0000-0000-0000FAAF0000}"/>
    <cellStyle name="Normal 3 4 9 3 2 2 3" xfId="45060" xr:uid="{00000000-0005-0000-0000-0000FBAF0000}"/>
    <cellStyle name="Normal 3 4 9 3 2 3" xfId="45061" xr:uid="{00000000-0005-0000-0000-0000FCAF0000}"/>
    <cellStyle name="Normal 3 4 9 3 2 3 2" xfId="45062" xr:uid="{00000000-0005-0000-0000-0000FDAF0000}"/>
    <cellStyle name="Normal 3 4 9 3 2 3 3" xfId="45063" xr:uid="{00000000-0005-0000-0000-0000FEAF0000}"/>
    <cellStyle name="Normal 3 4 9 3 2 4" xfId="45064" xr:uid="{00000000-0005-0000-0000-0000FFAF0000}"/>
    <cellStyle name="Normal 3 4 9 3 2 4 2" xfId="45065" xr:uid="{00000000-0005-0000-0000-000000B00000}"/>
    <cellStyle name="Normal 3 4 9 3 2 4 3" xfId="45066" xr:uid="{00000000-0005-0000-0000-000001B00000}"/>
    <cellStyle name="Normal 3 4 9 3 2 5" xfId="45067" xr:uid="{00000000-0005-0000-0000-000002B00000}"/>
    <cellStyle name="Normal 3 4 9 3 2 5 2" xfId="45068" xr:uid="{00000000-0005-0000-0000-000003B00000}"/>
    <cellStyle name="Normal 3 4 9 3 2 5 3" xfId="45069" xr:uid="{00000000-0005-0000-0000-000004B00000}"/>
    <cellStyle name="Normal 3 4 9 3 2 6" xfId="45070" xr:uid="{00000000-0005-0000-0000-000005B00000}"/>
    <cellStyle name="Normal 3 4 9 3 2 6 2" xfId="45071" xr:uid="{00000000-0005-0000-0000-000006B00000}"/>
    <cellStyle name="Normal 3 4 9 3 2 6 3" xfId="45072" xr:uid="{00000000-0005-0000-0000-000007B00000}"/>
    <cellStyle name="Normal 3 4 9 3 2 7" xfId="45073" xr:uid="{00000000-0005-0000-0000-000008B00000}"/>
    <cellStyle name="Normal 3 4 9 3 2 7 2" xfId="45074" xr:uid="{00000000-0005-0000-0000-000009B00000}"/>
    <cellStyle name="Normal 3 4 9 3 2 7 3" xfId="45075" xr:uid="{00000000-0005-0000-0000-00000AB00000}"/>
    <cellStyle name="Normal 3 4 9 3 2 8" xfId="45076" xr:uid="{00000000-0005-0000-0000-00000BB00000}"/>
    <cellStyle name="Normal 3 4 9 3 2 8 2" xfId="45077" xr:uid="{00000000-0005-0000-0000-00000CB00000}"/>
    <cellStyle name="Normal 3 4 9 3 2 8 3" xfId="45078" xr:uid="{00000000-0005-0000-0000-00000DB00000}"/>
    <cellStyle name="Normal 3 4 9 3 2 9" xfId="45079" xr:uid="{00000000-0005-0000-0000-00000EB00000}"/>
    <cellStyle name="Normal 3 4 9 3 2 9 2" xfId="45080" xr:uid="{00000000-0005-0000-0000-00000FB00000}"/>
    <cellStyle name="Normal 3 4 9 3 2 9 3" xfId="45081" xr:uid="{00000000-0005-0000-0000-000010B00000}"/>
    <cellStyle name="Normal 3 4 9 3 3" xfId="45082" xr:uid="{00000000-0005-0000-0000-000011B00000}"/>
    <cellStyle name="Normal 3 4 9 3 3 2" xfId="45083" xr:uid="{00000000-0005-0000-0000-000012B00000}"/>
    <cellStyle name="Normal 3 4 9 3 3 3" xfId="45084" xr:uid="{00000000-0005-0000-0000-000013B00000}"/>
    <cellStyle name="Normal 3 4 9 3 4" xfId="45085" xr:uid="{00000000-0005-0000-0000-000014B00000}"/>
    <cellStyle name="Normal 3 4 9 3 4 2" xfId="45086" xr:uid="{00000000-0005-0000-0000-000015B00000}"/>
    <cellStyle name="Normal 3 4 9 3 4 3" xfId="45087" xr:uid="{00000000-0005-0000-0000-000016B00000}"/>
    <cellStyle name="Normal 3 4 9 3 5" xfId="45088" xr:uid="{00000000-0005-0000-0000-000017B00000}"/>
    <cellStyle name="Normal 3 4 9 3 5 2" xfId="45089" xr:uid="{00000000-0005-0000-0000-000018B00000}"/>
    <cellStyle name="Normal 3 4 9 3 5 3" xfId="45090" xr:uid="{00000000-0005-0000-0000-000019B00000}"/>
    <cellStyle name="Normal 3 4 9 3 6" xfId="45091" xr:uid="{00000000-0005-0000-0000-00001AB00000}"/>
    <cellStyle name="Normal 3 4 9 3 6 2" xfId="45092" xr:uid="{00000000-0005-0000-0000-00001BB00000}"/>
    <cellStyle name="Normal 3 4 9 3 6 3" xfId="45093" xr:uid="{00000000-0005-0000-0000-00001CB00000}"/>
    <cellStyle name="Normal 3 4 9 3 7" xfId="45094" xr:uid="{00000000-0005-0000-0000-00001DB00000}"/>
    <cellStyle name="Normal 3 4 9 3 7 2" xfId="45095" xr:uid="{00000000-0005-0000-0000-00001EB00000}"/>
    <cellStyle name="Normal 3 4 9 3 7 3" xfId="45096" xr:uid="{00000000-0005-0000-0000-00001FB00000}"/>
    <cellStyle name="Normal 3 4 9 3 8" xfId="45097" xr:uid="{00000000-0005-0000-0000-000020B00000}"/>
    <cellStyle name="Normal 3 4 9 3 8 2" xfId="45098" xr:uid="{00000000-0005-0000-0000-000021B00000}"/>
    <cellStyle name="Normal 3 4 9 3 8 3" xfId="45099" xr:uid="{00000000-0005-0000-0000-000022B00000}"/>
    <cellStyle name="Normal 3 4 9 3 9" xfId="45100" xr:uid="{00000000-0005-0000-0000-000023B00000}"/>
    <cellStyle name="Normal 3 4 9 3 9 2" xfId="45101" xr:uid="{00000000-0005-0000-0000-000024B00000}"/>
    <cellStyle name="Normal 3 4 9 3 9 3" xfId="45102" xr:uid="{00000000-0005-0000-0000-000025B00000}"/>
    <cellStyle name="Normal 3 4 9 4" xfId="45103" xr:uid="{00000000-0005-0000-0000-000026B00000}"/>
    <cellStyle name="Normal 3 4 9 4 10" xfId="45104" xr:uid="{00000000-0005-0000-0000-000027B00000}"/>
    <cellStyle name="Normal 3 4 9 4 10 2" xfId="45105" xr:uid="{00000000-0005-0000-0000-000028B00000}"/>
    <cellStyle name="Normal 3 4 9 4 10 3" xfId="45106" xr:uid="{00000000-0005-0000-0000-000029B00000}"/>
    <cellStyle name="Normal 3 4 9 4 11" xfId="45107" xr:uid="{00000000-0005-0000-0000-00002AB00000}"/>
    <cellStyle name="Normal 3 4 9 4 11 2" xfId="45108" xr:uid="{00000000-0005-0000-0000-00002BB00000}"/>
    <cellStyle name="Normal 3 4 9 4 11 3" xfId="45109" xr:uid="{00000000-0005-0000-0000-00002CB00000}"/>
    <cellStyle name="Normal 3 4 9 4 12" xfId="45110" xr:uid="{00000000-0005-0000-0000-00002DB00000}"/>
    <cellStyle name="Normal 3 4 9 4 12 2" xfId="45111" xr:uid="{00000000-0005-0000-0000-00002EB00000}"/>
    <cellStyle name="Normal 3 4 9 4 12 3" xfId="45112" xr:uid="{00000000-0005-0000-0000-00002FB00000}"/>
    <cellStyle name="Normal 3 4 9 4 13" xfId="45113" xr:uid="{00000000-0005-0000-0000-000030B00000}"/>
    <cellStyle name="Normal 3 4 9 4 13 2" xfId="45114" xr:uid="{00000000-0005-0000-0000-000031B00000}"/>
    <cellStyle name="Normal 3 4 9 4 13 3" xfId="45115" xr:uid="{00000000-0005-0000-0000-000032B00000}"/>
    <cellStyle name="Normal 3 4 9 4 14" xfId="45116" xr:uid="{00000000-0005-0000-0000-000033B00000}"/>
    <cellStyle name="Normal 3 4 9 4 14 2" xfId="45117" xr:uid="{00000000-0005-0000-0000-000034B00000}"/>
    <cellStyle name="Normal 3 4 9 4 14 3" xfId="45118" xr:uid="{00000000-0005-0000-0000-000035B00000}"/>
    <cellStyle name="Normal 3 4 9 4 15" xfId="45119" xr:uid="{00000000-0005-0000-0000-000036B00000}"/>
    <cellStyle name="Normal 3 4 9 4 15 2" xfId="45120" xr:uid="{00000000-0005-0000-0000-000037B00000}"/>
    <cellStyle name="Normal 3 4 9 4 15 3" xfId="45121" xr:uid="{00000000-0005-0000-0000-000038B00000}"/>
    <cellStyle name="Normal 3 4 9 4 16" xfId="45122" xr:uid="{00000000-0005-0000-0000-000039B00000}"/>
    <cellStyle name="Normal 3 4 9 4 17" xfId="45123" xr:uid="{00000000-0005-0000-0000-00003AB00000}"/>
    <cellStyle name="Normal 3 4 9 4 2" xfId="45124" xr:uid="{00000000-0005-0000-0000-00003BB00000}"/>
    <cellStyle name="Normal 3 4 9 4 2 10" xfId="45125" xr:uid="{00000000-0005-0000-0000-00003CB00000}"/>
    <cellStyle name="Normal 3 4 9 4 2 10 2" xfId="45126" xr:uid="{00000000-0005-0000-0000-00003DB00000}"/>
    <cellStyle name="Normal 3 4 9 4 2 10 3" xfId="45127" xr:uid="{00000000-0005-0000-0000-00003EB00000}"/>
    <cellStyle name="Normal 3 4 9 4 2 11" xfId="45128" xr:uid="{00000000-0005-0000-0000-00003FB00000}"/>
    <cellStyle name="Normal 3 4 9 4 2 11 2" xfId="45129" xr:uid="{00000000-0005-0000-0000-000040B00000}"/>
    <cellStyle name="Normal 3 4 9 4 2 11 3" xfId="45130" xr:uid="{00000000-0005-0000-0000-000041B00000}"/>
    <cellStyle name="Normal 3 4 9 4 2 12" xfId="45131" xr:uid="{00000000-0005-0000-0000-000042B00000}"/>
    <cellStyle name="Normal 3 4 9 4 2 12 2" xfId="45132" xr:uid="{00000000-0005-0000-0000-000043B00000}"/>
    <cellStyle name="Normal 3 4 9 4 2 12 3" xfId="45133" xr:uid="{00000000-0005-0000-0000-000044B00000}"/>
    <cellStyle name="Normal 3 4 9 4 2 13" xfId="45134" xr:uid="{00000000-0005-0000-0000-000045B00000}"/>
    <cellStyle name="Normal 3 4 9 4 2 13 2" xfId="45135" xr:uid="{00000000-0005-0000-0000-000046B00000}"/>
    <cellStyle name="Normal 3 4 9 4 2 13 3" xfId="45136" xr:uid="{00000000-0005-0000-0000-000047B00000}"/>
    <cellStyle name="Normal 3 4 9 4 2 14" xfId="45137" xr:uid="{00000000-0005-0000-0000-000048B00000}"/>
    <cellStyle name="Normal 3 4 9 4 2 14 2" xfId="45138" xr:uid="{00000000-0005-0000-0000-000049B00000}"/>
    <cellStyle name="Normal 3 4 9 4 2 14 3" xfId="45139" xr:uid="{00000000-0005-0000-0000-00004AB00000}"/>
    <cellStyle name="Normal 3 4 9 4 2 15" xfId="45140" xr:uid="{00000000-0005-0000-0000-00004BB00000}"/>
    <cellStyle name="Normal 3 4 9 4 2 16" xfId="45141" xr:uid="{00000000-0005-0000-0000-00004CB00000}"/>
    <cellStyle name="Normal 3 4 9 4 2 2" xfId="45142" xr:uid="{00000000-0005-0000-0000-00004DB00000}"/>
    <cellStyle name="Normal 3 4 9 4 2 2 2" xfId="45143" xr:uid="{00000000-0005-0000-0000-00004EB00000}"/>
    <cellStyle name="Normal 3 4 9 4 2 2 3" xfId="45144" xr:uid="{00000000-0005-0000-0000-00004FB00000}"/>
    <cellStyle name="Normal 3 4 9 4 2 3" xfId="45145" xr:uid="{00000000-0005-0000-0000-000050B00000}"/>
    <cellStyle name="Normal 3 4 9 4 2 3 2" xfId="45146" xr:uid="{00000000-0005-0000-0000-000051B00000}"/>
    <cellStyle name="Normal 3 4 9 4 2 3 3" xfId="45147" xr:uid="{00000000-0005-0000-0000-000052B00000}"/>
    <cellStyle name="Normal 3 4 9 4 2 4" xfId="45148" xr:uid="{00000000-0005-0000-0000-000053B00000}"/>
    <cellStyle name="Normal 3 4 9 4 2 4 2" xfId="45149" xr:uid="{00000000-0005-0000-0000-000054B00000}"/>
    <cellStyle name="Normal 3 4 9 4 2 4 3" xfId="45150" xr:uid="{00000000-0005-0000-0000-000055B00000}"/>
    <cellStyle name="Normal 3 4 9 4 2 5" xfId="45151" xr:uid="{00000000-0005-0000-0000-000056B00000}"/>
    <cellStyle name="Normal 3 4 9 4 2 5 2" xfId="45152" xr:uid="{00000000-0005-0000-0000-000057B00000}"/>
    <cellStyle name="Normal 3 4 9 4 2 5 3" xfId="45153" xr:uid="{00000000-0005-0000-0000-000058B00000}"/>
    <cellStyle name="Normal 3 4 9 4 2 6" xfId="45154" xr:uid="{00000000-0005-0000-0000-000059B00000}"/>
    <cellStyle name="Normal 3 4 9 4 2 6 2" xfId="45155" xr:uid="{00000000-0005-0000-0000-00005AB00000}"/>
    <cellStyle name="Normal 3 4 9 4 2 6 3" xfId="45156" xr:uid="{00000000-0005-0000-0000-00005BB00000}"/>
    <cellStyle name="Normal 3 4 9 4 2 7" xfId="45157" xr:uid="{00000000-0005-0000-0000-00005CB00000}"/>
    <cellStyle name="Normal 3 4 9 4 2 7 2" xfId="45158" xr:uid="{00000000-0005-0000-0000-00005DB00000}"/>
    <cellStyle name="Normal 3 4 9 4 2 7 3" xfId="45159" xr:uid="{00000000-0005-0000-0000-00005EB00000}"/>
    <cellStyle name="Normal 3 4 9 4 2 8" xfId="45160" xr:uid="{00000000-0005-0000-0000-00005FB00000}"/>
    <cellStyle name="Normal 3 4 9 4 2 8 2" xfId="45161" xr:uid="{00000000-0005-0000-0000-000060B00000}"/>
    <cellStyle name="Normal 3 4 9 4 2 8 3" xfId="45162" xr:uid="{00000000-0005-0000-0000-000061B00000}"/>
    <cellStyle name="Normal 3 4 9 4 2 9" xfId="45163" xr:uid="{00000000-0005-0000-0000-000062B00000}"/>
    <cellStyle name="Normal 3 4 9 4 2 9 2" xfId="45164" xr:uid="{00000000-0005-0000-0000-000063B00000}"/>
    <cellStyle name="Normal 3 4 9 4 2 9 3" xfId="45165" xr:uid="{00000000-0005-0000-0000-000064B00000}"/>
    <cellStyle name="Normal 3 4 9 4 3" xfId="45166" xr:uid="{00000000-0005-0000-0000-000065B00000}"/>
    <cellStyle name="Normal 3 4 9 4 3 2" xfId="45167" xr:uid="{00000000-0005-0000-0000-000066B00000}"/>
    <cellStyle name="Normal 3 4 9 4 3 3" xfId="45168" xr:uid="{00000000-0005-0000-0000-000067B00000}"/>
    <cellStyle name="Normal 3 4 9 4 4" xfId="45169" xr:uid="{00000000-0005-0000-0000-000068B00000}"/>
    <cellStyle name="Normal 3 4 9 4 4 2" xfId="45170" xr:uid="{00000000-0005-0000-0000-000069B00000}"/>
    <cellStyle name="Normal 3 4 9 4 4 3" xfId="45171" xr:uid="{00000000-0005-0000-0000-00006AB00000}"/>
    <cellStyle name="Normal 3 4 9 4 5" xfId="45172" xr:uid="{00000000-0005-0000-0000-00006BB00000}"/>
    <cellStyle name="Normal 3 4 9 4 5 2" xfId="45173" xr:uid="{00000000-0005-0000-0000-00006CB00000}"/>
    <cellStyle name="Normal 3 4 9 4 5 3" xfId="45174" xr:uid="{00000000-0005-0000-0000-00006DB00000}"/>
    <cellStyle name="Normal 3 4 9 4 6" xfId="45175" xr:uid="{00000000-0005-0000-0000-00006EB00000}"/>
    <cellStyle name="Normal 3 4 9 4 6 2" xfId="45176" xr:uid="{00000000-0005-0000-0000-00006FB00000}"/>
    <cellStyle name="Normal 3 4 9 4 6 3" xfId="45177" xr:uid="{00000000-0005-0000-0000-000070B00000}"/>
    <cellStyle name="Normal 3 4 9 4 7" xfId="45178" xr:uid="{00000000-0005-0000-0000-000071B00000}"/>
    <cellStyle name="Normal 3 4 9 4 7 2" xfId="45179" xr:uid="{00000000-0005-0000-0000-000072B00000}"/>
    <cellStyle name="Normal 3 4 9 4 7 3" xfId="45180" xr:uid="{00000000-0005-0000-0000-000073B00000}"/>
    <cellStyle name="Normal 3 4 9 4 8" xfId="45181" xr:uid="{00000000-0005-0000-0000-000074B00000}"/>
    <cellStyle name="Normal 3 4 9 4 8 2" xfId="45182" xr:uid="{00000000-0005-0000-0000-000075B00000}"/>
    <cellStyle name="Normal 3 4 9 4 8 3" xfId="45183" xr:uid="{00000000-0005-0000-0000-000076B00000}"/>
    <cellStyle name="Normal 3 4 9 4 9" xfId="45184" xr:uid="{00000000-0005-0000-0000-000077B00000}"/>
    <cellStyle name="Normal 3 4 9 4 9 2" xfId="45185" xr:uid="{00000000-0005-0000-0000-000078B00000}"/>
    <cellStyle name="Normal 3 4 9 4 9 3" xfId="45186" xr:uid="{00000000-0005-0000-0000-000079B00000}"/>
    <cellStyle name="Normal 3 4 9 5" xfId="45187" xr:uid="{00000000-0005-0000-0000-00007AB00000}"/>
    <cellStyle name="Normal 3 4 9 5 10" xfId="45188" xr:uid="{00000000-0005-0000-0000-00007BB00000}"/>
    <cellStyle name="Normal 3 4 9 5 10 2" xfId="45189" xr:uid="{00000000-0005-0000-0000-00007CB00000}"/>
    <cellStyle name="Normal 3 4 9 5 10 3" xfId="45190" xr:uid="{00000000-0005-0000-0000-00007DB00000}"/>
    <cellStyle name="Normal 3 4 9 5 11" xfId="45191" xr:uid="{00000000-0005-0000-0000-00007EB00000}"/>
    <cellStyle name="Normal 3 4 9 5 11 2" xfId="45192" xr:uid="{00000000-0005-0000-0000-00007FB00000}"/>
    <cellStyle name="Normal 3 4 9 5 11 3" xfId="45193" xr:uid="{00000000-0005-0000-0000-000080B00000}"/>
    <cellStyle name="Normal 3 4 9 5 12" xfId="45194" xr:uid="{00000000-0005-0000-0000-000081B00000}"/>
    <cellStyle name="Normal 3 4 9 5 12 2" xfId="45195" xr:uid="{00000000-0005-0000-0000-000082B00000}"/>
    <cellStyle name="Normal 3 4 9 5 12 3" xfId="45196" xr:uid="{00000000-0005-0000-0000-000083B00000}"/>
    <cellStyle name="Normal 3 4 9 5 13" xfId="45197" xr:uid="{00000000-0005-0000-0000-000084B00000}"/>
    <cellStyle name="Normal 3 4 9 5 13 2" xfId="45198" xr:uid="{00000000-0005-0000-0000-000085B00000}"/>
    <cellStyle name="Normal 3 4 9 5 13 3" xfId="45199" xr:uid="{00000000-0005-0000-0000-000086B00000}"/>
    <cellStyle name="Normal 3 4 9 5 14" xfId="45200" xr:uid="{00000000-0005-0000-0000-000087B00000}"/>
    <cellStyle name="Normal 3 4 9 5 14 2" xfId="45201" xr:uid="{00000000-0005-0000-0000-000088B00000}"/>
    <cellStyle name="Normal 3 4 9 5 14 3" xfId="45202" xr:uid="{00000000-0005-0000-0000-000089B00000}"/>
    <cellStyle name="Normal 3 4 9 5 15" xfId="45203" xr:uid="{00000000-0005-0000-0000-00008AB00000}"/>
    <cellStyle name="Normal 3 4 9 5 16" xfId="45204" xr:uid="{00000000-0005-0000-0000-00008BB00000}"/>
    <cellStyle name="Normal 3 4 9 5 2" xfId="45205" xr:uid="{00000000-0005-0000-0000-00008CB00000}"/>
    <cellStyle name="Normal 3 4 9 5 2 2" xfId="45206" xr:uid="{00000000-0005-0000-0000-00008DB00000}"/>
    <cellStyle name="Normal 3 4 9 5 2 3" xfId="45207" xr:uid="{00000000-0005-0000-0000-00008EB00000}"/>
    <cellStyle name="Normal 3 4 9 5 3" xfId="45208" xr:uid="{00000000-0005-0000-0000-00008FB00000}"/>
    <cellStyle name="Normal 3 4 9 5 3 2" xfId="45209" xr:uid="{00000000-0005-0000-0000-000090B00000}"/>
    <cellStyle name="Normal 3 4 9 5 3 3" xfId="45210" xr:uid="{00000000-0005-0000-0000-000091B00000}"/>
    <cellStyle name="Normal 3 4 9 5 4" xfId="45211" xr:uid="{00000000-0005-0000-0000-000092B00000}"/>
    <cellStyle name="Normal 3 4 9 5 4 2" xfId="45212" xr:uid="{00000000-0005-0000-0000-000093B00000}"/>
    <cellStyle name="Normal 3 4 9 5 4 3" xfId="45213" xr:uid="{00000000-0005-0000-0000-000094B00000}"/>
    <cellStyle name="Normal 3 4 9 5 5" xfId="45214" xr:uid="{00000000-0005-0000-0000-000095B00000}"/>
    <cellStyle name="Normal 3 4 9 5 5 2" xfId="45215" xr:uid="{00000000-0005-0000-0000-000096B00000}"/>
    <cellStyle name="Normal 3 4 9 5 5 3" xfId="45216" xr:uid="{00000000-0005-0000-0000-000097B00000}"/>
    <cellStyle name="Normal 3 4 9 5 6" xfId="45217" xr:uid="{00000000-0005-0000-0000-000098B00000}"/>
    <cellStyle name="Normal 3 4 9 5 6 2" xfId="45218" xr:uid="{00000000-0005-0000-0000-000099B00000}"/>
    <cellStyle name="Normal 3 4 9 5 6 3" xfId="45219" xr:uid="{00000000-0005-0000-0000-00009AB00000}"/>
    <cellStyle name="Normal 3 4 9 5 7" xfId="45220" xr:uid="{00000000-0005-0000-0000-00009BB00000}"/>
    <cellStyle name="Normal 3 4 9 5 7 2" xfId="45221" xr:uid="{00000000-0005-0000-0000-00009CB00000}"/>
    <cellStyle name="Normal 3 4 9 5 7 3" xfId="45222" xr:uid="{00000000-0005-0000-0000-00009DB00000}"/>
    <cellStyle name="Normal 3 4 9 5 8" xfId="45223" xr:uid="{00000000-0005-0000-0000-00009EB00000}"/>
    <cellStyle name="Normal 3 4 9 5 8 2" xfId="45224" xr:uid="{00000000-0005-0000-0000-00009FB00000}"/>
    <cellStyle name="Normal 3 4 9 5 8 3" xfId="45225" xr:uid="{00000000-0005-0000-0000-0000A0B00000}"/>
    <cellStyle name="Normal 3 4 9 5 9" xfId="45226" xr:uid="{00000000-0005-0000-0000-0000A1B00000}"/>
    <cellStyle name="Normal 3 4 9 5 9 2" xfId="45227" xr:uid="{00000000-0005-0000-0000-0000A2B00000}"/>
    <cellStyle name="Normal 3 4 9 5 9 3" xfId="45228" xr:uid="{00000000-0005-0000-0000-0000A3B00000}"/>
    <cellStyle name="Normal 3 4 9 6" xfId="45229" xr:uid="{00000000-0005-0000-0000-0000A4B00000}"/>
    <cellStyle name="Normal 3 4 9 6 10" xfId="45230" xr:uid="{00000000-0005-0000-0000-0000A5B00000}"/>
    <cellStyle name="Normal 3 4 9 6 10 2" xfId="45231" xr:uid="{00000000-0005-0000-0000-0000A6B00000}"/>
    <cellStyle name="Normal 3 4 9 6 10 3" xfId="45232" xr:uid="{00000000-0005-0000-0000-0000A7B00000}"/>
    <cellStyle name="Normal 3 4 9 6 11" xfId="45233" xr:uid="{00000000-0005-0000-0000-0000A8B00000}"/>
    <cellStyle name="Normal 3 4 9 6 11 2" xfId="45234" xr:uid="{00000000-0005-0000-0000-0000A9B00000}"/>
    <cellStyle name="Normal 3 4 9 6 11 3" xfId="45235" xr:uid="{00000000-0005-0000-0000-0000AAB00000}"/>
    <cellStyle name="Normal 3 4 9 6 12" xfId="45236" xr:uid="{00000000-0005-0000-0000-0000ABB00000}"/>
    <cellStyle name="Normal 3 4 9 6 12 2" xfId="45237" xr:uid="{00000000-0005-0000-0000-0000ACB00000}"/>
    <cellStyle name="Normal 3 4 9 6 12 3" xfId="45238" xr:uid="{00000000-0005-0000-0000-0000ADB00000}"/>
    <cellStyle name="Normal 3 4 9 6 13" xfId="45239" xr:uid="{00000000-0005-0000-0000-0000AEB00000}"/>
    <cellStyle name="Normal 3 4 9 6 13 2" xfId="45240" xr:uid="{00000000-0005-0000-0000-0000AFB00000}"/>
    <cellStyle name="Normal 3 4 9 6 13 3" xfId="45241" xr:uid="{00000000-0005-0000-0000-0000B0B00000}"/>
    <cellStyle name="Normal 3 4 9 6 14" xfId="45242" xr:uid="{00000000-0005-0000-0000-0000B1B00000}"/>
    <cellStyle name="Normal 3 4 9 6 14 2" xfId="45243" xr:uid="{00000000-0005-0000-0000-0000B2B00000}"/>
    <cellStyle name="Normal 3 4 9 6 14 3" xfId="45244" xr:uid="{00000000-0005-0000-0000-0000B3B00000}"/>
    <cellStyle name="Normal 3 4 9 6 15" xfId="45245" xr:uid="{00000000-0005-0000-0000-0000B4B00000}"/>
    <cellStyle name="Normal 3 4 9 6 16" xfId="45246" xr:uid="{00000000-0005-0000-0000-0000B5B00000}"/>
    <cellStyle name="Normal 3 4 9 6 2" xfId="45247" xr:uid="{00000000-0005-0000-0000-0000B6B00000}"/>
    <cellStyle name="Normal 3 4 9 6 2 2" xfId="45248" xr:uid="{00000000-0005-0000-0000-0000B7B00000}"/>
    <cellStyle name="Normal 3 4 9 6 2 3" xfId="45249" xr:uid="{00000000-0005-0000-0000-0000B8B00000}"/>
    <cellStyle name="Normal 3 4 9 6 3" xfId="45250" xr:uid="{00000000-0005-0000-0000-0000B9B00000}"/>
    <cellStyle name="Normal 3 4 9 6 3 2" xfId="45251" xr:uid="{00000000-0005-0000-0000-0000BAB00000}"/>
    <cellStyle name="Normal 3 4 9 6 3 3" xfId="45252" xr:uid="{00000000-0005-0000-0000-0000BBB00000}"/>
    <cellStyle name="Normal 3 4 9 6 4" xfId="45253" xr:uid="{00000000-0005-0000-0000-0000BCB00000}"/>
    <cellStyle name="Normal 3 4 9 6 4 2" xfId="45254" xr:uid="{00000000-0005-0000-0000-0000BDB00000}"/>
    <cellStyle name="Normal 3 4 9 6 4 3" xfId="45255" xr:uid="{00000000-0005-0000-0000-0000BEB00000}"/>
    <cellStyle name="Normal 3 4 9 6 5" xfId="45256" xr:uid="{00000000-0005-0000-0000-0000BFB00000}"/>
    <cellStyle name="Normal 3 4 9 6 5 2" xfId="45257" xr:uid="{00000000-0005-0000-0000-0000C0B00000}"/>
    <cellStyle name="Normal 3 4 9 6 5 3" xfId="45258" xr:uid="{00000000-0005-0000-0000-0000C1B00000}"/>
    <cellStyle name="Normal 3 4 9 6 6" xfId="45259" xr:uid="{00000000-0005-0000-0000-0000C2B00000}"/>
    <cellStyle name="Normal 3 4 9 6 6 2" xfId="45260" xr:uid="{00000000-0005-0000-0000-0000C3B00000}"/>
    <cellStyle name="Normal 3 4 9 6 6 3" xfId="45261" xr:uid="{00000000-0005-0000-0000-0000C4B00000}"/>
    <cellStyle name="Normal 3 4 9 6 7" xfId="45262" xr:uid="{00000000-0005-0000-0000-0000C5B00000}"/>
    <cellStyle name="Normal 3 4 9 6 7 2" xfId="45263" xr:uid="{00000000-0005-0000-0000-0000C6B00000}"/>
    <cellStyle name="Normal 3 4 9 6 7 3" xfId="45264" xr:uid="{00000000-0005-0000-0000-0000C7B00000}"/>
    <cellStyle name="Normal 3 4 9 6 8" xfId="45265" xr:uid="{00000000-0005-0000-0000-0000C8B00000}"/>
    <cellStyle name="Normal 3 4 9 6 8 2" xfId="45266" xr:uid="{00000000-0005-0000-0000-0000C9B00000}"/>
    <cellStyle name="Normal 3 4 9 6 8 3" xfId="45267" xr:uid="{00000000-0005-0000-0000-0000CAB00000}"/>
    <cellStyle name="Normal 3 4 9 6 9" xfId="45268" xr:uid="{00000000-0005-0000-0000-0000CBB00000}"/>
    <cellStyle name="Normal 3 4 9 6 9 2" xfId="45269" xr:uid="{00000000-0005-0000-0000-0000CCB00000}"/>
    <cellStyle name="Normal 3 4 9 6 9 3" xfId="45270" xr:uid="{00000000-0005-0000-0000-0000CDB00000}"/>
    <cellStyle name="Normal 3 4 9 7" xfId="45271" xr:uid="{00000000-0005-0000-0000-0000CEB00000}"/>
    <cellStyle name="Normal 3 4 9 7 10" xfId="45272" xr:uid="{00000000-0005-0000-0000-0000CFB00000}"/>
    <cellStyle name="Normal 3 4 9 7 10 2" xfId="45273" xr:uid="{00000000-0005-0000-0000-0000D0B00000}"/>
    <cellStyle name="Normal 3 4 9 7 10 3" xfId="45274" xr:uid="{00000000-0005-0000-0000-0000D1B00000}"/>
    <cellStyle name="Normal 3 4 9 7 11" xfId="45275" xr:uid="{00000000-0005-0000-0000-0000D2B00000}"/>
    <cellStyle name="Normal 3 4 9 7 11 2" xfId="45276" xr:uid="{00000000-0005-0000-0000-0000D3B00000}"/>
    <cellStyle name="Normal 3 4 9 7 11 3" xfId="45277" xr:uid="{00000000-0005-0000-0000-0000D4B00000}"/>
    <cellStyle name="Normal 3 4 9 7 12" xfId="45278" xr:uid="{00000000-0005-0000-0000-0000D5B00000}"/>
    <cellStyle name="Normal 3 4 9 7 12 2" xfId="45279" xr:uid="{00000000-0005-0000-0000-0000D6B00000}"/>
    <cellStyle name="Normal 3 4 9 7 12 3" xfId="45280" xr:uid="{00000000-0005-0000-0000-0000D7B00000}"/>
    <cellStyle name="Normal 3 4 9 7 13" xfId="45281" xr:uid="{00000000-0005-0000-0000-0000D8B00000}"/>
    <cellStyle name="Normal 3 4 9 7 13 2" xfId="45282" xr:uid="{00000000-0005-0000-0000-0000D9B00000}"/>
    <cellStyle name="Normal 3 4 9 7 13 3" xfId="45283" xr:uid="{00000000-0005-0000-0000-0000DAB00000}"/>
    <cellStyle name="Normal 3 4 9 7 14" xfId="45284" xr:uid="{00000000-0005-0000-0000-0000DBB00000}"/>
    <cellStyle name="Normal 3 4 9 7 14 2" xfId="45285" xr:uid="{00000000-0005-0000-0000-0000DCB00000}"/>
    <cellStyle name="Normal 3 4 9 7 14 3" xfId="45286" xr:uid="{00000000-0005-0000-0000-0000DDB00000}"/>
    <cellStyle name="Normal 3 4 9 7 15" xfId="45287" xr:uid="{00000000-0005-0000-0000-0000DEB00000}"/>
    <cellStyle name="Normal 3 4 9 7 16" xfId="45288" xr:uid="{00000000-0005-0000-0000-0000DFB00000}"/>
    <cellStyle name="Normal 3 4 9 7 2" xfId="45289" xr:uid="{00000000-0005-0000-0000-0000E0B00000}"/>
    <cellStyle name="Normal 3 4 9 7 2 2" xfId="45290" xr:uid="{00000000-0005-0000-0000-0000E1B00000}"/>
    <cellStyle name="Normal 3 4 9 7 2 3" xfId="45291" xr:uid="{00000000-0005-0000-0000-0000E2B00000}"/>
    <cellStyle name="Normal 3 4 9 7 3" xfId="45292" xr:uid="{00000000-0005-0000-0000-0000E3B00000}"/>
    <cellStyle name="Normal 3 4 9 7 3 2" xfId="45293" xr:uid="{00000000-0005-0000-0000-0000E4B00000}"/>
    <cellStyle name="Normal 3 4 9 7 3 3" xfId="45294" xr:uid="{00000000-0005-0000-0000-0000E5B00000}"/>
    <cellStyle name="Normal 3 4 9 7 4" xfId="45295" xr:uid="{00000000-0005-0000-0000-0000E6B00000}"/>
    <cellStyle name="Normal 3 4 9 7 4 2" xfId="45296" xr:uid="{00000000-0005-0000-0000-0000E7B00000}"/>
    <cellStyle name="Normal 3 4 9 7 4 3" xfId="45297" xr:uid="{00000000-0005-0000-0000-0000E8B00000}"/>
    <cellStyle name="Normal 3 4 9 7 5" xfId="45298" xr:uid="{00000000-0005-0000-0000-0000E9B00000}"/>
    <cellStyle name="Normal 3 4 9 7 5 2" xfId="45299" xr:uid="{00000000-0005-0000-0000-0000EAB00000}"/>
    <cellStyle name="Normal 3 4 9 7 5 3" xfId="45300" xr:uid="{00000000-0005-0000-0000-0000EBB00000}"/>
    <cellStyle name="Normal 3 4 9 7 6" xfId="45301" xr:uid="{00000000-0005-0000-0000-0000ECB00000}"/>
    <cellStyle name="Normal 3 4 9 7 6 2" xfId="45302" xr:uid="{00000000-0005-0000-0000-0000EDB00000}"/>
    <cellStyle name="Normal 3 4 9 7 6 3" xfId="45303" xr:uid="{00000000-0005-0000-0000-0000EEB00000}"/>
    <cellStyle name="Normal 3 4 9 7 7" xfId="45304" xr:uid="{00000000-0005-0000-0000-0000EFB00000}"/>
    <cellStyle name="Normal 3 4 9 7 7 2" xfId="45305" xr:uid="{00000000-0005-0000-0000-0000F0B00000}"/>
    <cellStyle name="Normal 3 4 9 7 7 3" xfId="45306" xr:uid="{00000000-0005-0000-0000-0000F1B00000}"/>
    <cellStyle name="Normal 3 4 9 7 8" xfId="45307" xr:uid="{00000000-0005-0000-0000-0000F2B00000}"/>
    <cellStyle name="Normal 3 4 9 7 8 2" xfId="45308" xr:uid="{00000000-0005-0000-0000-0000F3B00000}"/>
    <cellStyle name="Normal 3 4 9 7 8 3" xfId="45309" xr:uid="{00000000-0005-0000-0000-0000F4B00000}"/>
    <cellStyle name="Normal 3 4 9 7 9" xfId="45310" xr:uid="{00000000-0005-0000-0000-0000F5B00000}"/>
    <cellStyle name="Normal 3 4 9 7 9 2" xfId="45311" xr:uid="{00000000-0005-0000-0000-0000F6B00000}"/>
    <cellStyle name="Normal 3 4 9 7 9 3" xfId="45312" xr:uid="{00000000-0005-0000-0000-0000F7B00000}"/>
    <cellStyle name="Normal 3 4 9 8" xfId="45313" xr:uid="{00000000-0005-0000-0000-0000F8B00000}"/>
    <cellStyle name="Normal 3 4 9 8 10" xfId="45314" xr:uid="{00000000-0005-0000-0000-0000F9B00000}"/>
    <cellStyle name="Normal 3 4 9 8 10 2" xfId="45315" xr:uid="{00000000-0005-0000-0000-0000FAB00000}"/>
    <cellStyle name="Normal 3 4 9 8 10 3" xfId="45316" xr:uid="{00000000-0005-0000-0000-0000FBB00000}"/>
    <cellStyle name="Normal 3 4 9 8 11" xfId="45317" xr:uid="{00000000-0005-0000-0000-0000FCB00000}"/>
    <cellStyle name="Normal 3 4 9 8 11 2" xfId="45318" xr:uid="{00000000-0005-0000-0000-0000FDB00000}"/>
    <cellStyle name="Normal 3 4 9 8 11 3" xfId="45319" xr:uid="{00000000-0005-0000-0000-0000FEB00000}"/>
    <cellStyle name="Normal 3 4 9 8 12" xfId="45320" xr:uid="{00000000-0005-0000-0000-0000FFB00000}"/>
    <cellStyle name="Normal 3 4 9 8 12 2" xfId="45321" xr:uid="{00000000-0005-0000-0000-000000B10000}"/>
    <cellStyle name="Normal 3 4 9 8 12 3" xfId="45322" xr:uid="{00000000-0005-0000-0000-000001B10000}"/>
    <cellStyle name="Normal 3 4 9 8 13" xfId="45323" xr:uid="{00000000-0005-0000-0000-000002B10000}"/>
    <cellStyle name="Normal 3 4 9 8 13 2" xfId="45324" xr:uid="{00000000-0005-0000-0000-000003B10000}"/>
    <cellStyle name="Normal 3 4 9 8 13 3" xfId="45325" xr:uid="{00000000-0005-0000-0000-000004B10000}"/>
    <cellStyle name="Normal 3 4 9 8 14" xfId="45326" xr:uid="{00000000-0005-0000-0000-000005B10000}"/>
    <cellStyle name="Normal 3 4 9 8 14 2" xfId="45327" xr:uid="{00000000-0005-0000-0000-000006B10000}"/>
    <cellStyle name="Normal 3 4 9 8 14 3" xfId="45328" xr:uid="{00000000-0005-0000-0000-000007B10000}"/>
    <cellStyle name="Normal 3 4 9 8 15" xfId="45329" xr:uid="{00000000-0005-0000-0000-000008B10000}"/>
    <cellStyle name="Normal 3 4 9 8 16" xfId="45330" xr:uid="{00000000-0005-0000-0000-000009B10000}"/>
    <cellStyle name="Normal 3 4 9 8 2" xfId="45331" xr:uid="{00000000-0005-0000-0000-00000AB10000}"/>
    <cellStyle name="Normal 3 4 9 8 2 2" xfId="45332" xr:uid="{00000000-0005-0000-0000-00000BB10000}"/>
    <cellStyle name="Normal 3 4 9 8 2 3" xfId="45333" xr:uid="{00000000-0005-0000-0000-00000CB10000}"/>
    <cellStyle name="Normal 3 4 9 8 3" xfId="45334" xr:uid="{00000000-0005-0000-0000-00000DB10000}"/>
    <cellStyle name="Normal 3 4 9 8 3 2" xfId="45335" xr:uid="{00000000-0005-0000-0000-00000EB10000}"/>
    <cellStyle name="Normal 3 4 9 8 3 3" xfId="45336" xr:uid="{00000000-0005-0000-0000-00000FB10000}"/>
    <cellStyle name="Normal 3 4 9 8 4" xfId="45337" xr:uid="{00000000-0005-0000-0000-000010B10000}"/>
    <cellStyle name="Normal 3 4 9 8 4 2" xfId="45338" xr:uid="{00000000-0005-0000-0000-000011B10000}"/>
    <cellStyle name="Normal 3 4 9 8 4 3" xfId="45339" xr:uid="{00000000-0005-0000-0000-000012B10000}"/>
    <cellStyle name="Normal 3 4 9 8 5" xfId="45340" xr:uid="{00000000-0005-0000-0000-000013B10000}"/>
    <cellStyle name="Normal 3 4 9 8 5 2" xfId="45341" xr:uid="{00000000-0005-0000-0000-000014B10000}"/>
    <cellStyle name="Normal 3 4 9 8 5 3" xfId="45342" xr:uid="{00000000-0005-0000-0000-000015B10000}"/>
    <cellStyle name="Normal 3 4 9 8 6" xfId="45343" xr:uid="{00000000-0005-0000-0000-000016B10000}"/>
    <cellStyle name="Normal 3 4 9 8 6 2" xfId="45344" xr:uid="{00000000-0005-0000-0000-000017B10000}"/>
    <cellStyle name="Normal 3 4 9 8 6 3" xfId="45345" xr:uid="{00000000-0005-0000-0000-000018B10000}"/>
    <cellStyle name="Normal 3 4 9 8 7" xfId="45346" xr:uid="{00000000-0005-0000-0000-000019B10000}"/>
    <cellStyle name="Normal 3 4 9 8 7 2" xfId="45347" xr:uid="{00000000-0005-0000-0000-00001AB10000}"/>
    <cellStyle name="Normal 3 4 9 8 7 3" xfId="45348" xr:uid="{00000000-0005-0000-0000-00001BB10000}"/>
    <cellStyle name="Normal 3 4 9 8 8" xfId="45349" xr:uid="{00000000-0005-0000-0000-00001CB10000}"/>
    <cellStyle name="Normal 3 4 9 8 8 2" xfId="45350" xr:uid="{00000000-0005-0000-0000-00001DB10000}"/>
    <cellStyle name="Normal 3 4 9 8 8 3" xfId="45351" xr:uid="{00000000-0005-0000-0000-00001EB10000}"/>
    <cellStyle name="Normal 3 4 9 8 9" xfId="45352" xr:uid="{00000000-0005-0000-0000-00001FB10000}"/>
    <cellStyle name="Normal 3 4 9 8 9 2" xfId="45353" xr:uid="{00000000-0005-0000-0000-000020B10000}"/>
    <cellStyle name="Normal 3 4 9 8 9 3" xfId="45354" xr:uid="{00000000-0005-0000-0000-000021B10000}"/>
    <cellStyle name="Normal 3 4 9 9" xfId="45355" xr:uid="{00000000-0005-0000-0000-000022B10000}"/>
    <cellStyle name="Normal 3 4 9 9 10" xfId="45356" xr:uid="{00000000-0005-0000-0000-000023B10000}"/>
    <cellStyle name="Normal 3 4 9 9 10 2" xfId="45357" xr:uid="{00000000-0005-0000-0000-000024B10000}"/>
    <cellStyle name="Normal 3 4 9 9 10 3" xfId="45358" xr:uid="{00000000-0005-0000-0000-000025B10000}"/>
    <cellStyle name="Normal 3 4 9 9 11" xfId="45359" xr:uid="{00000000-0005-0000-0000-000026B10000}"/>
    <cellStyle name="Normal 3 4 9 9 11 2" xfId="45360" xr:uid="{00000000-0005-0000-0000-000027B10000}"/>
    <cellStyle name="Normal 3 4 9 9 11 3" xfId="45361" xr:uid="{00000000-0005-0000-0000-000028B10000}"/>
    <cellStyle name="Normal 3 4 9 9 12" xfId="45362" xr:uid="{00000000-0005-0000-0000-000029B10000}"/>
    <cellStyle name="Normal 3 4 9 9 12 2" xfId="45363" xr:uid="{00000000-0005-0000-0000-00002AB10000}"/>
    <cellStyle name="Normal 3 4 9 9 12 3" xfId="45364" xr:uid="{00000000-0005-0000-0000-00002BB10000}"/>
    <cellStyle name="Normal 3 4 9 9 13" xfId="45365" xr:uid="{00000000-0005-0000-0000-00002CB10000}"/>
    <cellStyle name="Normal 3 4 9 9 13 2" xfId="45366" xr:uid="{00000000-0005-0000-0000-00002DB10000}"/>
    <cellStyle name="Normal 3 4 9 9 13 3" xfId="45367" xr:uid="{00000000-0005-0000-0000-00002EB10000}"/>
    <cellStyle name="Normal 3 4 9 9 14" xfId="45368" xr:uid="{00000000-0005-0000-0000-00002FB10000}"/>
    <cellStyle name="Normal 3 4 9 9 14 2" xfId="45369" xr:uid="{00000000-0005-0000-0000-000030B10000}"/>
    <cellStyle name="Normal 3 4 9 9 14 3" xfId="45370" xr:uid="{00000000-0005-0000-0000-000031B10000}"/>
    <cellStyle name="Normal 3 4 9 9 15" xfId="45371" xr:uid="{00000000-0005-0000-0000-000032B10000}"/>
    <cellStyle name="Normal 3 4 9 9 16" xfId="45372" xr:uid="{00000000-0005-0000-0000-000033B10000}"/>
    <cellStyle name="Normal 3 4 9 9 2" xfId="45373" xr:uid="{00000000-0005-0000-0000-000034B10000}"/>
    <cellStyle name="Normal 3 4 9 9 2 2" xfId="45374" xr:uid="{00000000-0005-0000-0000-000035B10000}"/>
    <cellStyle name="Normal 3 4 9 9 2 3" xfId="45375" xr:uid="{00000000-0005-0000-0000-000036B10000}"/>
    <cellStyle name="Normal 3 4 9 9 3" xfId="45376" xr:uid="{00000000-0005-0000-0000-000037B10000}"/>
    <cellStyle name="Normal 3 4 9 9 3 2" xfId="45377" xr:uid="{00000000-0005-0000-0000-000038B10000}"/>
    <cellStyle name="Normal 3 4 9 9 3 3" xfId="45378" xr:uid="{00000000-0005-0000-0000-000039B10000}"/>
    <cellStyle name="Normal 3 4 9 9 4" xfId="45379" xr:uid="{00000000-0005-0000-0000-00003AB10000}"/>
    <cellStyle name="Normal 3 4 9 9 4 2" xfId="45380" xr:uid="{00000000-0005-0000-0000-00003BB10000}"/>
    <cellStyle name="Normal 3 4 9 9 4 3" xfId="45381" xr:uid="{00000000-0005-0000-0000-00003CB10000}"/>
    <cellStyle name="Normal 3 4 9 9 5" xfId="45382" xr:uid="{00000000-0005-0000-0000-00003DB10000}"/>
    <cellStyle name="Normal 3 4 9 9 5 2" xfId="45383" xr:uid="{00000000-0005-0000-0000-00003EB10000}"/>
    <cellStyle name="Normal 3 4 9 9 5 3" xfId="45384" xr:uid="{00000000-0005-0000-0000-00003FB10000}"/>
    <cellStyle name="Normal 3 4 9 9 6" xfId="45385" xr:uid="{00000000-0005-0000-0000-000040B10000}"/>
    <cellStyle name="Normal 3 4 9 9 6 2" xfId="45386" xr:uid="{00000000-0005-0000-0000-000041B10000}"/>
    <cellStyle name="Normal 3 4 9 9 6 3" xfId="45387" xr:uid="{00000000-0005-0000-0000-000042B10000}"/>
    <cellStyle name="Normal 3 4 9 9 7" xfId="45388" xr:uid="{00000000-0005-0000-0000-000043B10000}"/>
    <cellStyle name="Normal 3 4 9 9 7 2" xfId="45389" xr:uid="{00000000-0005-0000-0000-000044B10000}"/>
    <cellStyle name="Normal 3 4 9 9 7 3" xfId="45390" xr:uid="{00000000-0005-0000-0000-000045B10000}"/>
    <cellStyle name="Normal 3 4 9 9 8" xfId="45391" xr:uid="{00000000-0005-0000-0000-000046B10000}"/>
    <cellStyle name="Normal 3 4 9 9 8 2" xfId="45392" xr:uid="{00000000-0005-0000-0000-000047B10000}"/>
    <cellStyle name="Normal 3 4 9 9 8 3" xfId="45393" xr:uid="{00000000-0005-0000-0000-000048B10000}"/>
    <cellStyle name="Normal 3 4 9 9 9" xfId="45394" xr:uid="{00000000-0005-0000-0000-000049B10000}"/>
    <cellStyle name="Normal 3 4 9 9 9 2" xfId="45395" xr:uid="{00000000-0005-0000-0000-00004AB10000}"/>
    <cellStyle name="Normal 3 4 9 9 9 3" xfId="45396" xr:uid="{00000000-0005-0000-0000-00004BB10000}"/>
    <cellStyle name="Normal 3 40" xfId="45397" xr:uid="{00000000-0005-0000-0000-00004CB10000}"/>
    <cellStyle name="Normal 3 40 10" xfId="45398" xr:uid="{00000000-0005-0000-0000-00004DB10000}"/>
    <cellStyle name="Normal 3 40 10 2" xfId="45399" xr:uid="{00000000-0005-0000-0000-00004EB10000}"/>
    <cellStyle name="Normal 3 40 10 3" xfId="45400" xr:uid="{00000000-0005-0000-0000-00004FB10000}"/>
    <cellStyle name="Normal 3 40 11" xfId="45401" xr:uid="{00000000-0005-0000-0000-000050B10000}"/>
    <cellStyle name="Normal 3 40 11 2" xfId="45402" xr:uid="{00000000-0005-0000-0000-000051B10000}"/>
    <cellStyle name="Normal 3 40 11 3" xfId="45403" xr:uid="{00000000-0005-0000-0000-000052B10000}"/>
    <cellStyle name="Normal 3 40 12" xfId="45404" xr:uid="{00000000-0005-0000-0000-000053B10000}"/>
    <cellStyle name="Normal 3 40 12 2" xfId="45405" xr:uid="{00000000-0005-0000-0000-000054B10000}"/>
    <cellStyle name="Normal 3 40 12 3" xfId="45406" xr:uid="{00000000-0005-0000-0000-000055B10000}"/>
    <cellStyle name="Normal 3 40 13" xfId="45407" xr:uid="{00000000-0005-0000-0000-000056B10000}"/>
    <cellStyle name="Normal 3 40 13 2" xfId="45408" xr:uid="{00000000-0005-0000-0000-000057B10000}"/>
    <cellStyle name="Normal 3 40 13 3" xfId="45409" xr:uid="{00000000-0005-0000-0000-000058B10000}"/>
    <cellStyle name="Normal 3 40 14" xfId="45410" xr:uid="{00000000-0005-0000-0000-000059B10000}"/>
    <cellStyle name="Normal 3 40 14 2" xfId="45411" xr:uid="{00000000-0005-0000-0000-00005AB10000}"/>
    <cellStyle name="Normal 3 40 14 3" xfId="45412" xr:uid="{00000000-0005-0000-0000-00005BB10000}"/>
    <cellStyle name="Normal 3 40 15" xfId="45413" xr:uid="{00000000-0005-0000-0000-00005CB10000}"/>
    <cellStyle name="Normal 3 40 16" xfId="45414" xr:uid="{00000000-0005-0000-0000-00005DB10000}"/>
    <cellStyle name="Normal 3 40 2" xfId="45415" xr:uid="{00000000-0005-0000-0000-00005EB10000}"/>
    <cellStyle name="Normal 3 40 2 2" xfId="45416" xr:uid="{00000000-0005-0000-0000-00005FB10000}"/>
    <cellStyle name="Normal 3 40 2 3" xfId="45417" xr:uid="{00000000-0005-0000-0000-000060B10000}"/>
    <cellStyle name="Normal 3 40 3" xfId="45418" xr:uid="{00000000-0005-0000-0000-000061B10000}"/>
    <cellStyle name="Normal 3 40 3 2" xfId="45419" xr:uid="{00000000-0005-0000-0000-000062B10000}"/>
    <cellStyle name="Normal 3 40 3 3" xfId="45420" xr:uid="{00000000-0005-0000-0000-000063B10000}"/>
    <cellStyle name="Normal 3 40 4" xfId="45421" xr:uid="{00000000-0005-0000-0000-000064B10000}"/>
    <cellStyle name="Normal 3 40 4 2" xfId="45422" xr:uid="{00000000-0005-0000-0000-000065B10000}"/>
    <cellStyle name="Normal 3 40 4 3" xfId="45423" xr:uid="{00000000-0005-0000-0000-000066B10000}"/>
    <cellStyle name="Normal 3 40 5" xfId="45424" xr:uid="{00000000-0005-0000-0000-000067B10000}"/>
    <cellStyle name="Normal 3 40 5 2" xfId="45425" xr:uid="{00000000-0005-0000-0000-000068B10000}"/>
    <cellStyle name="Normal 3 40 5 3" xfId="45426" xr:uid="{00000000-0005-0000-0000-000069B10000}"/>
    <cellStyle name="Normal 3 40 6" xfId="45427" xr:uid="{00000000-0005-0000-0000-00006AB10000}"/>
    <cellStyle name="Normal 3 40 6 2" xfId="45428" xr:uid="{00000000-0005-0000-0000-00006BB10000}"/>
    <cellStyle name="Normal 3 40 6 3" xfId="45429" xr:uid="{00000000-0005-0000-0000-00006CB10000}"/>
    <cellStyle name="Normal 3 40 7" xfId="45430" xr:uid="{00000000-0005-0000-0000-00006DB10000}"/>
    <cellStyle name="Normal 3 40 7 2" xfId="45431" xr:uid="{00000000-0005-0000-0000-00006EB10000}"/>
    <cellStyle name="Normal 3 40 7 3" xfId="45432" xr:uid="{00000000-0005-0000-0000-00006FB10000}"/>
    <cellStyle name="Normal 3 40 8" xfId="45433" xr:uid="{00000000-0005-0000-0000-000070B10000}"/>
    <cellStyle name="Normal 3 40 8 2" xfId="45434" xr:uid="{00000000-0005-0000-0000-000071B10000}"/>
    <cellStyle name="Normal 3 40 8 3" xfId="45435" xr:uid="{00000000-0005-0000-0000-000072B10000}"/>
    <cellStyle name="Normal 3 40 9" xfId="45436" xr:uid="{00000000-0005-0000-0000-000073B10000}"/>
    <cellStyle name="Normal 3 40 9 2" xfId="45437" xr:uid="{00000000-0005-0000-0000-000074B10000}"/>
    <cellStyle name="Normal 3 40 9 3" xfId="45438" xr:uid="{00000000-0005-0000-0000-000075B10000}"/>
    <cellStyle name="Normal 3 41" xfId="45439" xr:uid="{00000000-0005-0000-0000-000076B10000}"/>
    <cellStyle name="Normal 3 41 2" xfId="45440" xr:uid="{00000000-0005-0000-0000-000077B10000}"/>
    <cellStyle name="Normal 3 41 3" xfId="45441" xr:uid="{00000000-0005-0000-0000-000078B10000}"/>
    <cellStyle name="Normal 3 42" xfId="45442" xr:uid="{00000000-0005-0000-0000-000079B10000}"/>
    <cellStyle name="Normal 3 42 2" xfId="45443" xr:uid="{00000000-0005-0000-0000-00007AB10000}"/>
    <cellStyle name="Normal 3 42 3" xfId="45444" xr:uid="{00000000-0005-0000-0000-00007BB10000}"/>
    <cellStyle name="Normal 3 43" xfId="45445" xr:uid="{00000000-0005-0000-0000-00007CB10000}"/>
    <cellStyle name="Normal 3 43 2" xfId="45446" xr:uid="{00000000-0005-0000-0000-00007DB10000}"/>
    <cellStyle name="Normal 3 43 3" xfId="45447" xr:uid="{00000000-0005-0000-0000-00007EB10000}"/>
    <cellStyle name="Normal 3 44" xfId="45448" xr:uid="{00000000-0005-0000-0000-00007FB10000}"/>
    <cellStyle name="Normal 3 44 2" xfId="45449" xr:uid="{00000000-0005-0000-0000-000080B10000}"/>
    <cellStyle name="Normal 3 44 3" xfId="45450" xr:uid="{00000000-0005-0000-0000-000081B10000}"/>
    <cellStyle name="Normal 3 45" xfId="45451" xr:uid="{00000000-0005-0000-0000-000082B10000}"/>
    <cellStyle name="Normal 3 45 2" xfId="45452" xr:uid="{00000000-0005-0000-0000-000083B10000}"/>
    <cellStyle name="Normal 3 45 3" xfId="45453" xr:uid="{00000000-0005-0000-0000-000084B10000}"/>
    <cellStyle name="Normal 3 46" xfId="45454" xr:uid="{00000000-0005-0000-0000-000085B10000}"/>
    <cellStyle name="Normal 3 46 2" xfId="45455" xr:uid="{00000000-0005-0000-0000-000086B10000}"/>
    <cellStyle name="Normal 3 46 3" xfId="45456" xr:uid="{00000000-0005-0000-0000-000087B10000}"/>
    <cellStyle name="Normal 3 47" xfId="45457" xr:uid="{00000000-0005-0000-0000-000088B10000}"/>
    <cellStyle name="Normal 3 47 2" xfId="45458" xr:uid="{00000000-0005-0000-0000-000089B10000}"/>
    <cellStyle name="Normal 3 47 3" xfId="45459" xr:uid="{00000000-0005-0000-0000-00008AB10000}"/>
    <cellStyle name="Normal 3 48" xfId="45460" xr:uid="{00000000-0005-0000-0000-00008BB10000}"/>
    <cellStyle name="Normal 3 48 2" xfId="45461" xr:uid="{00000000-0005-0000-0000-00008CB10000}"/>
    <cellStyle name="Normal 3 48 3" xfId="45462" xr:uid="{00000000-0005-0000-0000-00008DB10000}"/>
    <cellStyle name="Normal 3 49" xfId="45463" xr:uid="{00000000-0005-0000-0000-00008EB10000}"/>
    <cellStyle name="Normal 3 49 2" xfId="45464" xr:uid="{00000000-0005-0000-0000-00008FB10000}"/>
    <cellStyle name="Normal 3 49 3" xfId="45465" xr:uid="{00000000-0005-0000-0000-000090B10000}"/>
    <cellStyle name="Normal 3 5" xfId="45466" xr:uid="{00000000-0005-0000-0000-000091B10000}"/>
    <cellStyle name="Normal 3 5 10" xfId="45467" xr:uid="{00000000-0005-0000-0000-000092B10000}"/>
    <cellStyle name="Normal 3 5 10 10" xfId="45468" xr:uid="{00000000-0005-0000-0000-000093B10000}"/>
    <cellStyle name="Normal 3 5 10 10 2" xfId="45469" xr:uid="{00000000-0005-0000-0000-000094B10000}"/>
    <cellStyle name="Normal 3 5 10 10 3" xfId="45470" xr:uid="{00000000-0005-0000-0000-000095B10000}"/>
    <cellStyle name="Normal 3 5 10 11" xfId="45471" xr:uid="{00000000-0005-0000-0000-000096B10000}"/>
    <cellStyle name="Normal 3 5 10 11 2" xfId="45472" xr:uid="{00000000-0005-0000-0000-000097B10000}"/>
    <cellStyle name="Normal 3 5 10 11 3" xfId="45473" xr:uid="{00000000-0005-0000-0000-000098B10000}"/>
    <cellStyle name="Normal 3 5 10 12" xfId="45474" xr:uid="{00000000-0005-0000-0000-000099B10000}"/>
    <cellStyle name="Normal 3 5 10 12 2" xfId="45475" xr:uid="{00000000-0005-0000-0000-00009AB10000}"/>
    <cellStyle name="Normal 3 5 10 12 3" xfId="45476" xr:uid="{00000000-0005-0000-0000-00009BB10000}"/>
    <cellStyle name="Normal 3 5 10 13" xfId="45477" xr:uid="{00000000-0005-0000-0000-00009CB10000}"/>
    <cellStyle name="Normal 3 5 10 13 2" xfId="45478" xr:uid="{00000000-0005-0000-0000-00009DB10000}"/>
    <cellStyle name="Normal 3 5 10 13 3" xfId="45479" xr:uid="{00000000-0005-0000-0000-00009EB10000}"/>
    <cellStyle name="Normal 3 5 10 14" xfId="45480" xr:uid="{00000000-0005-0000-0000-00009FB10000}"/>
    <cellStyle name="Normal 3 5 10 14 2" xfId="45481" xr:uid="{00000000-0005-0000-0000-0000A0B10000}"/>
    <cellStyle name="Normal 3 5 10 14 3" xfId="45482" xr:uid="{00000000-0005-0000-0000-0000A1B10000}"/>
    <cellStyle name="Normal 3 5 10 15" xfId="45483" xr:uid="{00000000-0005-0000-0000-0000A2B10000}"/>
    <cellStyle name="Normal 3 5 10 16" xfId="45484" xr:uid="{00000000-0005-0000-0000-0000A3B10000}"/>
    <cellStyle name="Normal 3 5 10 2" xfId="45485" xr:uid="{00000000-0005-0000-0000-0000A4B10000}"/>
    <cellStyle name="Normal 3 5 10 2 2" xfId="45486" xr:uid="{00000000-0005-0000-0000-0000A5B10000}"/>
    <cellStyle name="Normal 3 5 10 2 3" xfId="45487" xr:uid="{00000000-0005-0000-0000-0000A6B10000}"/>
    <cellStyle name="Normal 3 5 10 3" xfId="45488" xr:uid="{00000000-0005-0000-0000-0000A7B10000}"/>
    <cellStyle name="Normal 3 5 10 3 2" xfId="45489" xr:uid="{00000000-0005-0000-0000-0000A8B10000}"/>
    <cellStyle name="Normal 3 5 10 3 3" xfId="45490" xr:uid="{00000000-0005-0000-0000-0000A9B10000}"/>
    <cellStyle name="Normal 3 5 10 4" xfId="45491" xr:uid="{00000000-0005-0000-0000-0000AAB10000}"/>
    <cellStyle name="Normal 3 5 10 4 2" xfId="45492" xr:uid="{00000000-0005-0000-0000-0000ABB10000}"/>
    <cellStyle name="Normal 3 5 10 4 3" xfId="45493" xr:uid="{00000000-0005-0000-0000-0000ACB10000}"/>
    <cellStyle name="Normal 3 5 10 5" xfId="45494" xr:uid="{00000000-0005-0000-0000-0000ADB10000}"/>
    <cellStyle name="Normal 3 5 10 5 2" xfId="45495" xr:uid="{00000000-0005-0000-0000-0000AEB10000}"/>
    <cellStyle name="Normal 3 5 10 5 3" xfId="45496" xr:uid="{00000000-0005-0000-0000-0000AFB10000}"/>
    <cellStyle name="Normal 3 5 10 6" xfId="45497" xr:uid="{00000000-0005-0000-0000-0000B0B10000}"/>
    <cellStyle name="Normal 3 5 10 6 2" xfId="45498" xr:uid="{00000000-0005-0000-0000-0000B1B10000}"/>
    <cellStyle name="Normal 3 5 10 6 3" xfId="45499" xr:uid="{00000000-0005-0000-0000-0000B2B10000}"/>
    <cellStyle name="Normal 3 5 10 7" xfId="45500" xr:uid="{00000000-0005-0000-0000-0000B3B10000}"/>
    <cellStyle name="Normal 3 5 10 7 2" xfId="45501" xr:uid="{00000000-0005-0000-0000-0000B4B10000}"/>
    <cellStyle name="Normal 3 5 10 7 3" xfId="45502" xr:uid="{00000000-0005-0000-0000-0000B5B10000}"/>
    <cellStyle name="Normal 3 5 10 8" xfId="45503" xr:uid="{00000000-0005-0000-0000-0000B6B10000}"/>
    <cellStyle name="Normal 3 5 10 8 2" xfId="45504" xr:uid="{00000000-0005-0000-0000-0000B7B10000}"/>
    <cellStyle name="Normal 3 5 10 8 3" xfId="45505" xr:uid="{00000000-0005-0000-0000-0000B8B10000}"/>
    <cellStyle name="Normal 3 5 10 9" xfId="45506" xr:uid="{00000000-0005-0000-0000-0000B9B10000}"/>
    <cellStyle name="Normal 3 5 10 9 2" xfId="45507" xr:uid="{00000000-0005-0000-0000-0000BAB10000}"/>
    <cellStyle name="Normal 3 5 10 9 3" xfId="45508" xr:uid="{00000000-0005-0000-0000-0000BBB10000}"/>
    <cellStyle name="Normal 3 5 11" xfId="45509" xr:uid="{00000000-0005-0000-0000-0000BCB10000}"/>
    <cellStyle name="Normal 3 5 11 10" xfId="45510" xr:uid="{00000000-0005-0000-0000-0000BDB10000}"/>
    <cellStyle name="Normal 3 5 11 10 2" xfId="45511" xr:uid="{00000000-0005-0000-0000-0000BEB10000}"/>
    <cellStyle name="Normal 3 5 11 10 3" xfId="45512" xr:uid="{00000000-0005-0000-0000-0000BFB10000}"/>
    <cellStyle name="Normal 3 5 11 11" xfId="45513" xr:uid="{00000000-0005-0000-0000-0000C0B10000}"/>
    <cellStyle name="Normal 3 5 11 11 2" xfId="45514" xr:uid="{00000000-0005-0000-0000-0000C1B10000}"/>
    <cellStyle name="Normal 3 5 11 11 3" xfId="45515" xr:uid="{00000000-0005-0000-0000-0000C2B10000}"/>
    <cellStyle name="Normal 3 5 11 12" xfId="45516" xr:uid="{00000000-0005-0000-0000-0000C3B10000}"/>
    <cellStyle name="Normal 3 5 11 12 2" xfId="45517" xr:uid="{00000000-0005-0000-0000-0000C4B10000}"/>
    <cellStyle name="Normal 3 5 11 12 3" xfId="45518" xr:uid="{00000000-0005-0000-0000-0000C5B10000}"/>
    <cellStyle name="Normal 3 5 11 13" xfId="45519" xr:uid="{00000000-0005-0000-0000-0000C6B10000}"/>
    <cellStyle name="Normal 3 5 11 13 2" xfId="45520" xr:uid="{00000000-0005-0000-0000-0000C7B10000}"/>
    <cellStyle name="Normal 3 5 11 13 3" xfId="45521" xr:uid="{00000000-0005-0000-0000-0000C8B10000}"/>
    <cellStyle name="Normal 3 5 11 14" xfId="45522" xr:uid="{00000000-0005-0000-0000-0000C9B10000}"/>
    <cellStyle name="Normal 3 5 11 14 2" xfId="45523" xr:uid="{00000000-0005-0000-0000-0000CAB10000}"/>
    <cellStyle name="Normal 3 5 11 14 3" xfId="45524" xr:uid="{00000000-0005-0000-0000-0000CBB10000}"/>
    <cellStyle name="Normal 3 5 11 15" xfId="45525" xr:uid="{00000000-0005-0000-0000-0000CCB10000}"/>
    <cellStyle name="Normal 3 5 11 16" xfId="45526" xr:uid="{00000000-0005-0000-0000-0000CDB10000}"/>
    <cellStyle name="Normal 3 5 11 2" xfId="45527" xr:uid="{00000000-0005-0000-0000-0000CEB10000}"/>
    <cellStyle name="Normal 3 5 11 2 2" xfId="45528" xr:uid="{00000000-0005-0000-0000-0000CFB10000}"/>
    <cellStyle name="Normal 3 5 11 2 3" xfId="45529" xr:uid="{00000000-0005-0000-0000-0000D0B10000}"/>
    <cellStyle name="Normal 3 5 11 3" xfId="45530" xr:uid="{00000000-0005-0000-0000-0000D1B10000}"/>
    <cellStyle name="Normal 3 5 11 3 2" xfId="45531" xr:uid="{00000000-0005-0000-0000-0000D2B10000}"/>
    <cellStyle name="Normal 3 5 11 3 3" xfId="45532" xr:uid="{00000000-0005-0000-0000-0000D3B10000}"/>
    <cellStyle name="Normal 3 5 11 4" xfId="45533" xr:uid="{00000000-0005-0000-0000-0000D4B10000}"/>
    <cellStyle name="Normal 3 5 11 4 2" xfId="45534" xr:uid="{00000000-0005-0000-0000-0000D5B10000}"/>
    <cellStyle name="Normal 3 5 11 4 3" xfId="45535" xr:uid="{00000000-0005-0000-0000-0000D6B10000}"/>
    <cellStyle name="Normal 3 5 11 5" xfId="45536" xr:uid="{00000000-0005-0000-0000-0000D7B10000}"/>
    <cellStyle name="Normal 3 5 11 5 2" xfId="45537" xr:uid="{00000000-0005-0000-0000-0000D8B10000}"/>
    <cellStyle name="Normal 3 5 11 5 3" xfId="45538" xr:uid="{00000000-0005-0000-0000-0000D9B10000}"/>
    <cellStyle name="Normal 3 5 11 6" xfId="45539" xr:uid="{00000000-0005-0000-0000-0000DAB10000}"/>
    <cellStyle name="Normal 3 5 11 6 2" xfId="45540" xr:uid="{00000000-0005-0000-0000-0000DBB10000}"/>
    <cellStyle name="Normal 3 5 11 6 3" xfId="45541" xr:uid="{00000000-0005-0000-0000-0000DCB10000}"/>
    <cellStyle name="Normal 3 5 11 7" xfId="45542" xr:uid="{00000000-0005-0000-0000-0000DDB10000}"/>
    <cellStyle name="Normal 3 5 11 7 2" xfId="45543" xr:uid="{00000000-0005-0000-0000-0000DEB10000}"/>
    <cellStyle name="Normal 3 5 11 7 3" xfId="45544" xr:uid="{00000000-0005-0000-0000-0000DFB10000}"/>
    <cellStyle name="Normal 3 5 11 8" xfId="45545" xr:uid="{00000000-0005-0000-0000-0000E0B10000}"/>
    <cellStyle name="Normal 3 5 11 8 2" xfId="45546" xr:uid="{00000000-0005-0000-0000-0000E1B10000}"/>
    <cellStyle name="Normal 3 5 11 8 3" xfId="45547" xr:uid="{00000000-0005-0000-0000-0000E2B10000}"/>
    <cellStyle name="Normal 3 5 11 9" xfId="45548" xr:uid="{00000000-0005-0000-0000-0000E3B10000}"/>
    <cellStyle name="Normal 3 5 11 9 2" xfId="45549" xr:uid="{00000000-0005-0000-0000-0000E4B10000}"/>
    <cellStyle name="Normal 3 5 11 9 3" xfId="45550" xr:uid="{00000000-0005-0000-0000-0000E5B10000}"/>
    <cellStyle name="Normal 3 5 12" xfId="45551" xr:uid="{00000000-0005-0000-0000-0000E6B10000}"/>
    <cellStyle name="Normal 3 5 12 10" xfId="45552" xr:uid="{00000000-0005-0000-0000-0000E7B10000}"/>
    <cellStyle name="Normal 3 5 12 10 2" xfId="45553" xr:uid="{00000000-0005-0000-0000-0000E8B10000}"/>
    <cellStyle name="Normal 3 5 12 10 3" xfId="45554" xr:uid="{00000000-0005-0000-0000-0000E9B10000}"/>
    <cellStyle name="Normal 3 5 12 11" xfId="45555" xr:uid="{00000000-0005-0000-0000-0000EAB10000}"/>
    <cellStyle name="Normal 3 5 12 11 2" xfId="45556" xr:uid="{00000000-0005-0000-0000-0000EBB10000}"/>
    <cellStyle name="Normal 3 5 12 11 3" xfId="45557" xr:uid="{00000000-0005-0000-0000-0000ECB10000}"/>
    <cellStyle name="Normal 3 5 12 12" xfId="45558" xr:uid="{00000000-0005-0000-0000-0000EDB10000}"/>
    <cellStyle name="Normal 3 5 12 12 2" xfId="45559" xr:uid="{00000000-0005-0000-0000-0000EEB10000}"/>
    <cellStyle name="Normal 3 5 12 12 3" xfId="45560" xr:uid="{00000000-0005-0000-0000-0000EFB10000}"/>
    <cellStyle name="Normal 3 5 12 13" xfId="45561" xr:uid="{00000000-0005-0000-0000-0000F0B10000}"/>
    <cellStyle name="Normal 3 5 12 13 2" xfId="45562" xr:uid="{00000000-0005-0000-0000-0000F1B10000}"/>
    <cellStyle name="Normal 3 5 12 13 3" xfId="45563" xr:uid="{00000000-0005-0000-0000-0000F2B10000}"/>
    <cellStyle name="Normal 3 5 12 14" xfId="45564" xr:uid="{00000000-0005-0000-0000-0000F3B10000}"/>
    <cellStyle name="Normal 3 5 12 14 2" xfId="45565" xr:uid="{00000000-0005-0000-0000-0000F4B10000}"/>
    <cellStyle name="Normal 3 5 12 14 3" xfId="45566" xr:uid="{00000000-0005-0000-0000-0000F5B10000}"/>
    <cellStyle name="Normal 3 5 12 15" xfId="45567" xr:uid="{00000000-0005-0000-0000-0000F6B10000}"/>
    <cellStyle name="Normal 3 5 12 16" xfId="45568" xr:uid="{00000000-0005-0000-0000-0000F7B10000}"/>
    <cellStyle name="Normal 3 5 12 2" xfId="45569" xr:uid="{00000000-0005-0000-0000-0000F8B10000}"/>
    <cellStyle name="Normal 3 5 12 2 2" xfId="45570" xr:uid="{00000000-0005-0000-0000-0000F9B10000}"/>
    <cellStyle name="Normal 3 5 12 2 3" xfId="45571" xr:uid="{00000000-0005-0000-0000-0000FAB10000}"/>
    <cellStyle name="Normal 3 5 12 3" xfId="45572" xr:uid="{00000000-0005-0000-0000-0000FBB10000}"/>
    <cellStyle name="Normal 3 5 12 3 2" xfId="45573" xr:uid="{00000000-0005-0000-0000-0000FCB10000}"/>
    <cellStyle name="Normal 3 5 12 3 3" xfId="45574" xr:uid="{00000000-0005-0000-0000-0000FDB10000}"/>
    <cellStyle name="Normal 3 5 12 4" xfId="45575" xr:uid="{00000000-0005-0000-0000-0000FEB10000}"/>
    <cellStyle name="Normal 3 5 12 4 2" xfId="45576" xr:uid="{00000000-0005-0000-0000-0000FFB10000}"/>
    <cellStyle name="Normal 3 5 12 4 3" xfId="45577" xr:uid="{00000000-0005-0000-0000-000000B20000}"/>
    <cellStyle name="Normal 3 5 12 5" xfId="45578" xr:uid="{00000000-0005-0000-0000-000001B20000}"/>
    <cellStyle name="Normal 3 5 12 5 2" xfId="45579" xr:uid="{00000000-0005-0000-0000-000002B20000}"/>
    <cellStyle name="Normal 3 5 12 5 3" xfId="45580" xr:uid="{00000000-0005-0000-0000-000003B20000}"/>
    <cellStyle name="Normal 3 5 12 6" xfId="45581" xr:uid="{00000000-0005-0000-0000-000004B20000}"/>
    <cellStyle name="Normal 3 5 12 6 2" xfId="45582" xr:uid="{00000000-0005-0000-0000-000005B20000}"/>
    <cellStyle name="Normal 3 5 12 6 3" xfId="45583" xr:uid="{00000000-0005-0000-0000-000006B20000}"/>
    <cellStyle name="Normal 3 5 12 7" xfId="45584" xr:uid="{00000000-0005-0000-0000-000007B20000}"/>
    <cellStyle name="Normal 3 5 12 7 2" xfId="45585" xr:uid="{00000000-0005-0000-0000-000008B20000}"/>
    <cellStyle name="Normal 3 5 12 7 3" xfId="45586" xr:uid="{00000000-0005-0000-0000-000009B20000}"/>
    <cellStyle name="Normal 3 5 12 8" xfId="45587" xr:uid="{00000000-0005-0000-0000-00000AB20000}"/>
    <cellStyle name="Normal 3 5 12 8 2" xfId="45588" xr:uid="{00000000-0005-0000-0000-00000BB20000}"/>
    <cellStyle name="Normal 3 5 12 8 3" xfId="45589" xr:uid="{00000000-0005-0000-0000-00000CB20000}"/>
    <cellStyle name="Normal 3 5 12 9" xfId="45590" xr:uid="{00000000-0005-0000-0000-00000DB20000}"/>
    <cellStyle name="Normal 3 5 12 9 2" xfId="45591" xr:uid="{00000000-0005-0000-0000-00000EB20000}"/>
    <cellStyle name="Normal 3 5 12 9 3" xfId="45592" xr:uid="{00000000-0005-0000-0000-00000FB20000}"/>
    <cellStyle name="Normal 3 5 13" xfId="45593" xr:uid="{00000000-0005-0000-0000-000010B20000}"/>
    <cellStyle name="Normal 3 5 13 10" xfId="45594" xr:uid="{00000000-0005-0000-0000-000011B20000}"/>
    <cellStyle name="Normal 3 5 13 10 2" xfId="45595" xr:uid="{00000000-0005-0000-0000-000012B20000}"/>
    <cellStyle name="Normal 3 5 13 10 3" xfId="45596" xr:uid="{00000000-0005-0000-0000-000013B20000}"/>
    <cellStyle name="Normal 3 5 13 11" xfId="45597" xr:uid="{00000000-0005-0000-0000-000014B20000}"/>
    <cellStyle name="Normal 3 5 13 11 2" xfId="45598" xr:uid="{00000000-0005-0000-0000-000015B20000}"/>
    <cellStyle name="Normal 3 5 13 11 3" xfId="45599" xr:uid="{00000000-0005-0000-0000-000016B20000}"/>
    <cellStyle name="Normal 3 5 13 12" xfId="45600" xr:uid="{00000000-0005-0000-0000-000017B20000}"/>
    <cellStyle name="Normal 3 5 13 12 2" xfId="45601" xr:uid="{00000000-0005-0000-0000-000018B20000}"/>
    <cellStyle name="Normal 3 5 13 12 3" xfId="45602" xr:uid="{00000000-0005-0000-0000-000019B20000}"/>
    <cellStyle name="Normal 3 5 13 13" xfId="45603" xr:uid="{00000000-0005-0000-0000-00001AB20000}"/>
    <cellStyle name="Normal 3 5 13 13 2" xfId="45604" xr:uid="{00000000-0005-0000-0000-00001BB20000}"/>
    <cellStyle name="Normal 3 5 13 13 3" xfId="45605" xr:uid="{00000000-0005-0000-0000-00001CB20000}"/>
    <cellStyle name="Normal 3 5 13 14" xfId="45606" xr:uid="{00000000-0005-0000-0000-00001DB20000}"/>
    <cellStyle name="Normal 3 5 13 14 2" xfId="45607" xr:uid="{00000000-0005-0000-0000-00001EB20000}"/>
    <cellStyle name="Normal 3 5 13 14 3" xfId="45608" xr:uid="{00000000-0005-0000-0000-00001FB20000}"/>
    <cellStyle name="Normal 3 5 13 15" xfId="45609" xr:uid="{00000000-0005-0000-0000-000020B20000}"/>
    <cellStyle name="Normal 3 5 13 16" xfId="45610" xr:uid="{00000000-0005-0000-0000-000021B20000}"/>
    <cellStyle name="Normal 3 5 13 2" xfId="45611" xr:uid="{00000000-0005-0000-0000-000022B20000}"/>
    <cellStyle name="Normal 3 5 13 2 2" xfId="45612" xr:uid="{00000000-0005-0000-0000-000023B20000}"/>
    <cellStyle name="Normal 3 5 13 2 3" xfId="45613" xr:uid="{00000000-0005-0000-0000-000024B20000}"/>
    <cellStyle name="Normal 3 5 13 3" xfId="45614" xr:uid="{00000000-0005-0000-0000-000025B20000}"/>
    <cellStyle name="Normal 3 5 13 3 2" xfId="45615" xr:uid="{00000000-0005-0000-0000-000026B20000}"/>
    <cellStyle name="Normal 3 5 13 3 3" xfId="45616" xr:uid="{00000000-0005-0000-0000-000027B20000}"/>
    <cellStyle name="Normal 3 5 13 4" xfId="45617" xr:uid="{00000000-0005-0000-0000-000028B20000}"/>
    <cellStyle name="Normal 3 5 13 4 2" xfId="45618" xr:uid="{00000000-0005-0000-0000-000029B20000}"/>
    <cellStyle name="Normal 3 5 13 4 3" xfId="45619" xr:uid="{00000000-0005-0000-0000-00002AB20000}"/>
    <cellStyle name="Normal 3 5 13 5" xfId="45620" xr:uid="{00000000-0005-0000-0000-00002BB20000}"/>
    <cellStyle name="Normal 3 5 13 5 2" xfId="45621" xr:uid="{00000000-0005-0000-0000-00002CB20000}"/>
    <cellStyle name="Normal 3 5 13 5 3" xfId="45622" xr:uid="{00000000-0005-0000-0000-00002DB20000}"/>
    <cellStyle name="Normal 3 5 13 6" xfId="45623" xr:uid="{00000000-0005-0000-0000-00002EB20000}"/>
    <cellStyle name="Normal 3 5 13 6 2" xfId="45624" xr:uid="{00000000-0005-0000-0000-00002FB20000}"/>
    <cellStyle name="Normal 3 5 13 6 3" xfId="45625" xr:uid="{00000000-0005-0000-0000-000030B20000}"/>
    <cellStyle name="Normal 3 5 13 7" xfId="45626" xr:uid="{00000000-0005-0000-0000-000031B20000}"/>
    <cellStyle name="Normal 3 5 13 7 2" xfId="45627" xr:uid="{00000000-0005-0000-0000-000032B20000}"/>
    <cellStyle name="Normal 3 5 13 7 3" xfId="45628" xr:uid="{00000000-0005-0000-0000-000033B20000}"/>
    <cellStyle name="Normal 3 5 13 8" xfId="45629" xr:uid="{00000000-0005-0000-0000-000034B20000}"/>
    <cellStyle name="Normal 3 5 13 8 2" xfId="45630" xr:uid="{00000000-0005-0000-0000-000035B20000}"/>
    <cellStyle name="Normal 3 5 13 8 3" xfId="45631" xr:uid="{00000000-0005-0000-0000-000036B20000}"/>
    <cellStyle name="Normal 3 5 13 9" xfId="45632" xr:uid="{00000000-0005-0000-0000-000037B20000}"/>
    <cellStyle name="Normal 3 5 13 9 2" xfId="45633" xr:uid="{00000000-0005-0000-0000-000038B20000}"/>
    <cellStyle name="Normal 3 5 13 9 3" xfId="45634" xr:uid="{00000000-0005-0000-0000-000039B20000}"/>
    <cellStyle name="Normal 3 5 14" xfId="45635" xr:uid="{00000000-0005-0000-0000-00003AB20000}"/>
    <cellStyle name="Normal 3 5 14 10" xfId="45636" xr:uid="{00000000-0005-0000-0000-00003BB20000}"/>
    <cellStyle name="Normal 3 5 14 10 2" xfId="45637" xr:uid="{00000000-0005-0000-0000-00003CB20000}"/>
    <cellStyle name="Normal 3 5 14 10 3" xfId="45638" xr:uid="{00000000-0005-0000-0000-00003DB20000}"/>
    <cellStyle name="Normal 3 5 14 11" xfId="45639" xr:uid="{00000000-0005-0000-0000-00003EB20000}"/>
    <cellStyle name="Normal 3 5 14 11 2" xfId="45640" xr:uid="{00000000-0005-0000-0000-00003FB20000}"/>
    <cellStyle name="Normal 3 5 14 11 3" xfId="45641" xr:uid="{00000000-0005-0000-0000-000040B20000}"/>
    <cellStyle name="Normal 3 5 14 12" xfId="45642" xr:uid="{00000000-0005-0000-0000-000041B20000}"/>
    <cellStyle name="Normal 3 5 14 12 2" xfId="45643" xr:uid="{00000000-0005-0000-0000-000042B20000}"/>
    <cellStyle name="Normal 3 5 14 12 3" xfId="45644" xr:uid="{00000000-0005-0000-0000-000043B20000}"/>
    <cellStyle name="Normal 3 5 14 13" xfId="45645" xr:uid="{00000000-0005-0000-0000-000044B20000}"/>
    <cellStyle name="Normal 3 5 14 13 2" xfId="45646" xr:uid="{00000000-0005-0000-0000-000045B20000}"/>
    <cellStyle name="Normal 3 5 14 13 3" xfId="45647" xr:uid="{00000000-0005-0000-0000-000046B20000}"/>
    <cellStyle name="Normal 3 5 14 14" xfId="45648" xr:uid="{00000000-0005-0000-0000-000047B20000}"/>
    <cellStyle name="Normal 3 5 14 14 2" xfId="45649" xr:uid="{00000000-0005-0000-0000-000048B20000}"/>
    <cellStyle name="Normal 3 5 14 14 3" xfId="45650" xr:uid="{00000000-0005-0000-0000-000049B20000}"/>
    <cellStyle name="Normal 3 5 14 15" xfId="45651" xr:uid="{00000000-0005-0000-0000-00004AB20000}"/>
    <cellStyle name="Normal 3 5 14 16" xfId="45652" xr:uid="{00000000-0005-0000-0000-00004BB20000}"/>
    <cellStyle name="Normal 3 5 14 2" xfId="45653" xr:uid="{00000000-0005-0000-0000-00004CB20000}"/>
    <cellStyle name="Normal 3 5 14 2 2" xfId="45654" xr:uid="{00000000-0005-0000-0000-00004DB20000}"/>
    <cellStyle name="Normal 3 5 14 2 3" xfId="45655" xr:uid="{00000000-0005-0000-0000-00004EB20000}"/>
    <cellStyle name="Normal 3 5 14 3" xfId="45656" xr:uid="{00000000-0005-0000-0000-00004FB20000}"/>
    <cellStyle name="Normal 3 5 14 3 2" xfId="45657" xr:uid="{00000000-0005-0000-0000-000050B20000}"/>
    <cellStyle name="Normal 3 5 14 3 3" xfId="45658" xr:uid="{00000000-0005-0000-0000-000051B20000}"/>
    <cellStyle name="Normal 3 5 14 4" xfId="45659" xr:uid="{00000000-0005-0000-0000-000052B20000}"/>
    <cellStyle name="Normal 3 5 14 4 2" xfId="45660" xr:uid="{00000000-0005-0000-0000-000053B20000}"/>
    <cellStyle name="Normal 3 5 14 4 3" xfId="45661" xr:uid="{00000000-0005-0000-0000-000054B20000}"/>
    <cellStyle name="Normal 3 5 14 5" xfId="45662" xr:uid="{00000000-0005-0000-0000-000055B20000}"/>
    <cellStyle name="Normal 3 5 14 5 2" xfId="45663" xr:uid="{00000000-0005-0000-0000-000056B20000}"/>
    <cellStyle name="Normal 3 5 14 5 3" xfId="45664" xr:uid="{00000000-0005-0000-0000-000057B20000}"/>
    <cellStyle name="Normal 3 5 14 6" xfId="45665" xr:uid="{00000000-0005-0000-0000-000058B20000}"/>
    <cellStyle name="Normal 3 5 14 6 2" xfId="45666" xr:uid="{00000000-0005-0000-0000-000059B20000}"/>
    <cellStyle name="Normal 3 5 14 6 3" xfId="45667" xr:uid="{00000000-0005-0000-0000-00005AB20000}"/>
    <cellStyle name="Normal 3 5 14 7" xfId="45668" xr:uid="{00000000-0005-0000-0000-00005BB20000}"/>
    <cellStyle name="Normal 3 5 14 7 2" xfId="45669" xr:uid="{00000000-0005-0000-0000-00005CB20000}"/>
    <cellStyle name="Normal 3 5 14 7 3" xfId="45670" xr:uid="{00000000-0005-0000-0000-00005DB20000}"/>
    <cellStyle name="Normal 3 5 14 8" xfId="45671" xr:uid="{00000000-0005-0000-0000-00005EB20000}"/>
    <cellStyle name="Normal 3 5 14 8 2" xfId="45672" xr:uid="{00000000-0005-0000-0000-00005FB20000}"/>
    <cellStyle name="Normal 3 5 14 8 3" xfId="45673" xr:uid="{00000000-0005-0000-0000-000060B20000}"/>
    <cellStyle name="Normal 3 5 14 9" xfId="45674" xr:uid="{00000000-0005-0000-0000-000061B20000}"/>
    <cellStyle name="Normal 3 5 14 9 2" xfId="45675" xr:uid="{00000000-0005-0000-0000-000062B20000}"/>
    <cellStyle name="Normal 3 5 14 9 3" xfId="45676" xr:uid="{00000000-0005-0000-0000-000063B20000}"/>
    <cellStyle name="Normal 3 5 15" xfId="45677" xr:uid="{00000000-0005-0000-0000-000064B20000}"/>
    <cellStyle name="Normal 3 5 16" xfId="45678" xr:uid="{00000000-0005-0000-0000-000065B20000}"/>
    <cellStyle name="Normal 3 5 17" xfId="45679" xr:uid="{00000000-0005-0000-0000-000066B20000}"/>
    <cellStyle name="Normal 3 5 17 10" xfId="45680" xr:uid="{00000000-0005-0000-0000-000067B20000}"/>
    <cellStyle name="Normal 3 5 17 10 2" xfId="45681" xr:uid="{00000000-0005-0000-0000-000068B20000}"/>
    <cellStyle name="Normal 3 5 17 10 3" xfId="45682" xr:uid="{00000000-0005-0000-0000-000069B20000}"/>
    <cellStyle name="Normal 3 5 17 11" xfId="45683" xr:uid="{00000000-0005-0000-0000-00006AB20000}"/>
    <cellStyle name="Normal 3 5 17 11 2" xfId="45684" xr:uid="{00000000-0005-0000-0000-00006BB20000}"/>
    <cellStyle name="Normal 3 5 17 11 3" xfId="45685" xr:uid="{00000000-0005-0000-0000-00006CB20000}"/>
    <cellStyle name="Normal 3 5 17 12" xfId="45686" xr:uid="{00000000-0005-0000-0000-00006DB20000}"/>
    <cellStyle name="Normal 3 5 17 12 2" xfId="45687" xr:uid="{00000000-0005-0000-0000-00006EB20000}"/>
    <cellStyle name="Normal 3 5 17 12 3" xfId="45688" xr:uid="{00000000-0005-0000-0000-00006FB20000}"/>
    <cellStyle name="Normal 3 5 17 13" xfId="45689" xr:uid="{00000000-0005-0000-0000-000070B20000}"/>
    <cellStyle name="Normal 3 5 17 13 2" xfId="45690" xr:uid="{00000000-0005-0000-0000-000071B20000}"/>
    <cellStyle name="Normal 3 5 17 13 3" xfId="45691" xr:uid="{00000000-0005-0000-0000-000072B20000}"/>
    <cellStyle name="Normal 3 5 17 14" xfId="45692" xr:uid="{00000000-0005-0000-0000-000073B20000}"/>
    <cellStyle name="Normal 3 5 17 14 2" xfId="45693" xr:uid="{00000000-0005-0000-0000-000074B20000}"/>
    <cellStyle name="Normal 3 5 17 14 3" xfId="45694" xr:uid="{00000000-0005-0000-0000-000075B20000}"/>
    <cellStyle name="Normal 3 5 17 15" xfId="45695" xr:uid="{00000000-0005-0000-0000-000076B20000}"/>
    <cellStyle name="Normal 3 5 17 16" xfId="45696" xr:uid="{00000000-0005-0000-0000-000077B20000}"/>
    <cellStyle name="Normal 3 5 17 2" xfId="45697" xr:uid="{00000000-0005-0000-0000-000078B20000}"/>
    <cellStyle name="Normal 3 5 17 2 2" xfId="45698" xr:uid="{00000000-0005-0000-0000-000079B20000}"/>
    <cellStyle name="Normal 3 5 17 2 3" xfId="45699" xr:uid="{00000000-0005-0000-0000-00007AB20000}"/>
    <cellStyle name="Normal 3 5 17 3" xfId="45700" xr:uid="{00000000-0005-0000-0000-00007BB20000}"/>
    <cellStyle name="Normal 3 5 17 3 2" xfId="45701" xr:uid="{00000000-0005-0000-0000-00007CB20000}"/>
    <cellStyle name="Normal 3 5 17 3 3" xfId="45702" xr:uid="{00000000-0005-0000-0000-00007DB20000}"/>
    <cellStyle name="Normal 3 5 17 4" xfId="45703" xr:uid="{00000000-0005-0000-0000-00007EB20000}"/>
    <cellStyle name="Normal 3 5 17 4 2" xfId="45704" xr:uid="{00000000-0005-0000-0000-00007FB20000}"/>
    <cellStyle name="Normal 3 5 17 4 3" xfId="45705" xr:uid="{00000000-0005-0000-0000-000080B20000}"/>
    <cellStyle name="Normal 3 5 17 5" xfId="45706" xr:uid="{00000000-0005-0000-0000-000081B20000}"/>
    <cellStyle name="Normal 3 5 17 5 2" xfId="45707" xr:uid="{00000000-0005-0000-0000-000082B20000}"/>
    <cellStyle name="Normal 3 5 17 5 3" xfId="45708" xr:uid="{00000000-0005-0000-0000-000083B20000}"/>
    <cellStyle name="Normal 3 5 17 6" xfId="45709" xr:uid="{00000000-0005-0000-0000-000084B20000}"/>
    <cellStyle name="Normal 3 5 17 6 2" xfId="45710" xr:uid="{00000000-0005-0000-0000-000085B20000}"/>
    <cellStyle name="Normal 3 5 17 6 3" xfId="45711" xr:uid="{00000000-0005-0000-0000-000086B20000}"/>
    <cellStyle name="Normal 3 5 17 7" xfId="45712" xr:uid="{00000000-0005-0000-0000-000087B20000}"/>
    <cellStyle name="Normal 3 5 17 7 2" xfId="45713" xr:uid="{00000000-0005-0000-0000-000088B20000}"/>
    <cellStyle name="Normal 3 5 17 7 3" xfId="45714" xr:uid="{00000000-0005-0000-0000-000089B20000}"/>
    <cellStyle name="Normal 3 5 17 8" xfId="45715" xr:uid="{00000000-0005-0000-0000-00008AB20000}"/>
    <cellStyle name="Normal 3 5 17 8 2" xfId="45716" xr:uid="{00000000-0005-0000-0000-00008BB20000}"/>
    <cellStyle name="Normal 3 5 17 8 3" xfId="45717" xr:uid="{00000000-0005-0000-0000-00008CB20000}"/>
    <cellStyle name="Normal 3 5 17 9" xfId="45718" xr:uid="{00000000-0005-0000-0000-00008DB20000}"/>
    <cellStyle name="Normal 3 5 17 9 2" xfId="45719" xr:uid="{00000000-0005-0000-0000-00008EB20000}"/>
    <cellStyle name="Normal 3 5 17 9 3" xfId="45720" xr:uid="{00000000-0005-0000-0000-00008FB20000}"/>
    <cellStyle name="Normal 3 5 18" xfId="45721" xr:uid="{00000000-0005-0000-0000-000090B20000}"/>
    <cellStyle name="Normal 3 5 18 10" xfId="45722" xr:uid="{00000000-0005-0000-0000-000091B20000}"/>
    <cellStyle name="Normal 3 5 18 10 2" xfId="45723" xr:uid="{00000000-0005-0000-0000-000092B20000}"/>
    <cellStyle name="Normal 3 5 18 10 3" xfId="45724" xr:uid="{00000000-0005-0000-0000-000093B20000}"/>
    <cellStyle name="Normal 3 5 18 11" xfId="45725" xr:uid="{00000000-0005-0000-0000-000094B20000}"/>
    <cellStyle name="Normal 3 5 18 11 2" xfId="45726" xr:uid="{00000000-0005-0000-0000-000095B20000}"/>
    <cellStyle name="Normal 3 5 18 11 3" xfId="45727" xr:uid="{00000000-0005-0000-0000-000096B20000}"/>
    <cellStyle name="Normal 3 5 18 12" xfId="45728" xr:uid="{00000000-0005-0000-0000-000097B20000}"/>
    <cellStyle name="Normal 3 5 18 12 2" xfId="45729" xr:uid="{00000000-0005-0000-0000-000098B20000}"/>
    <cellStyle name="Normal 3 5 18 12 3" xfId="45730" xr:uid="{00000000-0005-0000-0000-000099B20000}"/>
    <cellStyle name="Normal 3 5 18 13" xfId="45731" xr:uid="{00000000-0005-0000-0000-00009AB20000}"/>
    <cellStyle name="Normal 3 5 18 13 2" xfId="45732" xr:uid="{00000000-0005-0000-0000-00009BB20000}"/>
    <cellStyle name="Normal 3 5 18 13 3" xfId="45733" xr:uid="{00000000-0005-0000-0000-00009CB20000}"/>
    <cellStyle name="Normal 3 5 18 14" xfId="45734" xr:uid="{00000000-0005-0000-0000-00009DB20000}"/>
    <cellStyle name="Normal 3 5 18 14 2" xfId="45735" xr:uid="{00000000-0005-0000-0000-00009EB20000}"/>
    <cellStyle name="Normal 3 5 18 14 3" xfId="45736" xr:uid="{00000000-0005-0000-0000-00009FB20000}"/>
    <cellStyle name="Normal 3 5 18 15" xfId="45737" xr:uid="{00000000-0005-0000-0000-0000A0B20000}"/>
    <cellStyle name="Normal 3 5 18 16" xfId="45738" xr:uid="{00000000-0005-0000-0000-0000A1B20000}"/>
    <cellStyle name="Normal 3 5 18 2" xfId="45739" xr:uid="{00000000-0005-0000-0000-0000A2B20000}"/>
    <cellStyle name="Normal 3 5 18 2 2" xfId="45740" xr:uid="{00000000-0005-0000-0000-0000A3B20000}"/>
    <cellStyle name="Normal 3 5 18 2 3" xfId="45741" xr:uid="{00000000-0005-0000-0000-0000A4B20000}"/>
    <cellStyle name="Normal 3 5 18 3" xfId="45742" xr:uid="{00000000-0005-0000-0000-0000A5B20000}"/>
    <cellStyle name="Normal 3 5 18 3 2" xfId="45743" xr:uid="{00000000-0005-0000-0000-0000A6B20000}"/>
    <cellStyle name="Normal 3 5 18 3 3" xfId="45744" xr:uid="{00000000-0005-0000-0000-0000A7B20000}"/>
    <cellStyle name="Normal 3 5 18 4" xfId="45745" xr:uid="{00000000-0005-0000-0000-0000A8B20000}"/>
    <cellStyle name="Normal 3 5 18 4 2" xfId="45746" xr:uid="{00000000-0005-0000-0000-0000A9B20000}"/>
    <cellStyle name="Normal 3 5 18 4 3" xfId="45747" xr:uid="{00000000-0005-0000-0000-0000AAB20000}"/>
    <cellStyle name="Normal 3 5 18 5" xfId="45748" xr:uid="{00000000-0005-0000-0000-0000ABB20000}"/>
    <cellStyle name="Normal 3 5 18 5 2" xfId="45749" xr:uid="{00000000-0005-0000-0000-0000ACB20000}"/>
    <cellStyle name="Normal 3 5 18 5 3" xfId="45750" xr:uid="{00000000-0005-0000-0000-0000ADB20000}"/>
    <cellStyle name="Normal 3 5 18 6" xfId="45751" xr:uid="{00000000-0005-0000-0000-0000AEB20000}"/>
    <cellStyle name="Normal 3 5 18 6 2" xfId="45752" xr:uid="{00000000-0005-0000-0000-0000AFB20000}"/>
    <cellStyle name="Normal 3 5 18 6 3" xfId="45753" xr:uid="{00000000-0005-0000-0000-0000B0B20000}"/>
    <cellStyle name="Normal 3 5 18 7" xfId="45754" xr:uid="{00000000-0005-0000-0000-0000B1B20000}"/>
    <cellStyle name="Normal 3 5 18 7 2" xfId="45755" xr:uid="{00000000-0005-0000-0000-0000B2B20000}"/>
    <cellStyle name="Normal 3 5 18 7 3" xfId="45756" xr:uid="{00000000-0005-0000-0000-0000B3B20000}"/>
    <cellStyle name="Normal 3 5 18 8" xfId="45757" xr:uid="{00000000-0005-0000-0000-0000B4B20000}"/>
    <cellStyle name="Normal 3 5 18 8 2" xfId="45758" xr:uid="{00000000-0005-0000-0000-0000B5B20000}"/>
    <cellStyle name="Normal 3 5 18 8 3" xfId="45759" xr:uid="{00000000-0005-0000-0000-0000B6B20000}"/>
    <cellStyle name="Normal 3 5 18 9" xfId="45760" xr:uid="{00000000-0005-0000-0000-0000B7B20000}"/>
    <cellStyle name="Normal 3 5 18 9 2" xfId="45761" xr:uid="{00000000-0005-0000-0000-0000B8B20000}"/>
    <cellStyle name="Normal 3 5 18 9 3" xfId="45762" xr:uid="{00000000-0005-0000-0000-0000B9B20000}"/>
    <cellStyle name="Normal 3 5 2" xfId="45763" xr:uid="{00000000-0005-0000-0000-0000BAB20000}"/>
    <cellStyle name="Normal 3 5 3" xfId="45764" xr:uid="{00000000-0005-0000-0000-0000BBB20000}"/>
    <cellStyle name="Normal 3 5 3 10" xfId="45765" xr:uid="{00000000-0005-0000-0000-0000BCB20000}"/>
    <cellStyle name="Normal 3 5 3 10 2" xfId="45766" xr:uid="{00000000-0005-0000-0000-0000BDB20000}"/>
    <cellStyle name="Normal 3 5 3 10 3" xfId="45767" xr:uid="{00000000-0005-0000-0000-0000BEB20000}"/>
    <cellStyle name="Normal 3 5 3 11" xfId="45768" xr:uid="{00000000-0005-0000-0000-0000BFB20000}"/>
    <cellStyle name="Normal 3 5 3 11 2" xfId="45769" xr:uid="{00000000-0005-0000-0000-0000C0B20000}"/>
    <cellStyle name="Normal 3 5 3 11 3" xfId="45770" xr:uid="{00000000-0005-0000-0000-0000C1B20000}"/>
    <cellStyle name="Normal 3 5 3 12" xfId="45771" xr:uid="{00000000-0005-0000-0000-0000C2B20000}"/>
    <cellStyle name="Normal 3 5 3 12 2" xfId="45772" xr:uid="{00000000-0005-0000-0000-0000C3B20000}"/>
    <cellStyle name="Normal 3 5 3 12 3" xfId="45773" xr:uid="{00000000-0005-0000-0000-0000C4B20000}"/>
    <cellStyle name="Normal 3 5 3 13" xfId="45774" xr:uid="{00000000-0005-0000-0000-0000C5B20000}"/>
    <cellStyle name="Normal 3 5 3 13 2" xfId="45775" xr:uid="{00000000-0005-0000-0000-0000C6B20000}"/>
    <cellStyle name="Normal 3 5 3 13 3" xfId="45776" xr:uid="{00000000-0005-0000-0000-0000C7B20000}"/>
    <cellStyle name="Normal 3 5 3 14" xfId="45777" xr:uid="{00000000-0005-0000-0000-0000C8B20000}"/>
    <cellStyle name="Normal 3 5 3 14 2" xfId="45778" xr:uid="{00000000-0005-0000-0000-0000C9B20000}"/>
    <cellStyle name="Normal 3 5 3 14 3" xfId="45779" xr:uid="{00000000-0005-0000-0000-0000CAB20000}"/>
    <cellStyle name="Normal 3 5 3 15" xfId="45780" xr:uid="{00000000-0005-0000-0000-0000CBB20000}"/>
    <cellStyle name="Normal 3 5 3 15 2" xfId="45781" xr:uid="{00000000-0005-0000-0000-0000CCB20000}"/>
    <cellStyle name="Normal 3 5 3 15 3" xfId="45782" xr:uid="{00000000-0005-0000-0000-0000CDB20000}"/>
    <cellStyle name="Normal 3 5 3 16" xfId="45783" xr:uid="{00000000-0005-0000-0000-0000CEB20000}"/>
    <cellStyle name="Normal 3 5 3 16 2" xfId="45784" xr:uid="{00000000-0005-0000-0000-0000CFB20000}"/>
    <cellStyle name="Normal 3 5 3 16 3" xfId="45785" xr:uid="{00000000-0005-0000-0000-0000D0B20000}"/>
    <cellStyle name="Normal 3 5 3 17" xfId="45786" xr:uid="{00000000-0005-0000-0000-0000D1B20000}"/>
    <cellStyle name="Normal 3 5 3 17 2" xfId="45787" xr:uid="{00000000-0005-0000-0000-0000D2B20000}"/>
    <cellStyle name="Normal 3 5 3 17 3" xfId="45788" xr:uid="{00000000-0005-0000-0000-0000D3B20000}"/>
    <cellStyle name="Normal 3 5 3 18" xfId="45789" xr:uid="{00000000-0005-0000-0000-0000D4B20000}"/>
    <cellStyle name="Normal 3 5 3 19" xfId="45790" xr:uid="{00000000-0005-0000-0000-0000D5B20000}"/>
    <cellStyle name="Normal 3 5 3 2" xfId="45791" xr:uid="{00000000-0005-0000-0000-0000D6B20000}"/>
    <cellStyle name="Normal 3 5 3 3" xfId="45792" xr:uid="{00000000-0005-0000-0000-0000D7B20000}"/>
    <cellStyle name="Normal 3 5 3 4" xfId="45793" xr:uid="{00000000-0005-0000-0000-0000D8B20000}"/>
    <cellStyle name="Normal 3 5 3 5" xfId="45794" xr:uid="{00000000-0005-0000-0000-0000D9B20000}"/>
    <cellStyle name="Normal 3 5 3 5 2" xfId="45795" xr:uid="{00000000-0005-0000-0000-0000DAB20000}"/>
    <cellStyle name="Normal 3 5 3 5 3" xfId="45796" xr:uid="{00000000-0005-0000-0000-0000DBB20000}"/>
    <cellStyle name="Normal 3 5 3 6" xfId="45797" xr:uid="{00000000-0005-0000-0000-0000DCB20000}"/>
    <cellStyle name="Normal 3 5 3 6 2" xfId="45798" xr:uid="{00000000-0005-0000-0000-0000DDB20000}"/>
    <cellStyle name="Normal 3 5 3 6 3" xfId="45799" xr:uid="{00000000-0005-0000-0000-0000DEB20000}"/>
    <cellStyle name="Normal 3 5 3 7" xfId="45800" xr:uid="{00000000-0005-0000-0000-0000DFB20000}"/>
    <cellStyle name="Normal 3 5 3 7 2" xfId="45801" xr:uid="{00000000-0005-0000-0000-0000E0B20000}"/>
    <cellStyle name="Normal 3 5 3 7 3" xfId="45802" xr:uid="{00000000-0005-0000-0000-0000E1B20000}"/>
    <cellStyle name="Normal 3 5 3 8" xfId="45803" xr:uid="{00000000-0005-0000-0000-0000E2B20000}"/>
    <cellStyle name="Normal 3 5 3 8 2" xfId="45804" xr:uid="{00000000-0005-0000-0000-0000E3B20000}"/>
    <cellStyle name="Normal 3 5 3 8 3" xfId="45805" xr:uid="{00000000-0005-0000-0000-0000E4B20000}"/>
    <cellStyle name="Normal 3 5 3 9" xfId="45806" xr:uid="{00000000-0005-0000-0000-0000E5B20000}"/>
    <cellStyle name="Normal 3 5 3 9 2" xfId="45807" xr:uid="{00000000-0005-0000-0000-0000E6B20000}"/>
    <cellStyle name="Normal 3 5 3 9 3" xfId="45808" xr:uid="{00000000-0005-0000-0000-0000E7B20000}"/>
    <cellStyle name="Normal 3 5 4" xfId="45809" xr:uid="{00000000-0005-0000-0000-0000E8B20000}"/>
    <cellStyle name="Normal 3 5 5" xfId="45810" xr:uid="{00000000-0005-0000-0000-0000E9B20000}"/>
    <cellStyle name="Normal 3 5 6" xfId="45811" xr:uid="{00000000-0005-0000-0000-0000EAB20000}"/>
    <cellStyle name="Normal 3 5 6 10" xfId="45812" xr:uid="{00000000-0005-0000-0000-0000EBB20000}"/>
    <cellStyle name="Normal 3 5 6 10 2" xfId="45813" xr:uid="{00000000-0005-0000-0000-0000ECB20000}"/>
    <cellStyle name="Normal 3 5 6 10 3" xfId="45814" xr:uid="{00000000-0005-0000-0000-0000EDB20000}"/>
    <cellStyle name="Normal 3 5 6 11" xfId="45815" xr:uid="{00000000-0005-0000-0000-0000EEB20000}"/>
    <cellStyle name="Normal 3 5 6 11 2" xfId="45816" xr:uid="{00000000-0005-0000-0000-0000EFB20000}"/>
    <cellStyle name="Normal 3 5 6 11 3" xfId="45817" xr:uid="{00000000-0005-0000-0000-0000F0B20000}"/>
    <cellStyle name="Normal 3 5 6 12" xfId="45818" xr:uid="{00000000-0005-0000-0000-0000F1B20000}"/>
    <cellStyle name="Normal 3 5 6 12 2" xfId="45819" xr:uid="{00000000-0005-0000-0000-0000F2B20000}"/>
    <cellStyle name="Normal 3 5 6 12 3" xfId="45820" xr:uid="{00000000-0005-0000-0000-0000F3B20000}"/>
    <cellStyle name="Normal 3 5 6 13" xfId="45821" xr:uid="{00000000-0005-0000-0000-0000F4B20000}"/>
    <cellStyle name="Normal 3 5 6 13 2" xfId="45822" xr:uid="{00000000-0005-0000-0000-0000F5B20000}"/>
    <cellStyle name="Normal 3 5 6 13 3" xfId="45823" xr:uid="{00000000-0005-0000-0000-0000F6B20000}"/>
    <cellStyle name="Normal 3 5 6 14" xfId="45824" xr:uid="{00000000-0005-0000-0000-0000F7B20000}"/>
    <cellStyle name="Normal 3 5 6 14 2" xfId="45825" xr:uid="{00000000-0005-0000-0000-0000F8B20000}"/>
    <cellStyle name="Normal 3 5 6 14 3" xfId="45826" xr:uid="{00000000-0005-0000-0000-0000F9B20000}"/>
    <cellStyle name="Normal 3 5 6 15" xfId="45827" xr:uid="{00000000-0005-0000-0000-0000FAB20000}"/>
    <cellStyle name="Normal 3 5 6 15 2" xfId="45828" xr:uid="{00000000-0005-0000-0000-0000FBB20000}"/>
    <cellStyle name="Normal 3 5 6 15 3" xfId="45829" xr:uid="{00000000-0005-0000-0000-0000FCB20000}"/>
    <cellStyle name="Normal 3 5 6 16" xfId="45830" xr:uid="{00000000-0005-0000-0000-0000FDB20000}"/>
    <cellStyle name="Normal 3 5 6 17" xfId="45831" xr:uid="{00000000-0005-0000-0000-0000FEB20000}"/>
    <cellStyle name="Normal 3 5 6 2" xfId="45832" xr:uid="{00000000-0005-0000-0000-0000FFB20000}"/>
    <cellStyle name="Normal 3 5 6 2 10" xfId="45833" xr:uid="{00000000-0005-0000-0000-000000B30000}"/>
    <cellStyle name="Normal 3 5 6 2 10 2" xfId="45834" xr:uid="{00000000-0005-0000-0000-000001B30000}"/>
    <cellStyle name="Normal 3 5 6 2 10 3" xfId="45835" xr:uid="{00000000-0005-0000-0000-000002B30000}"/>
    <cellStyle name="Normal 3 5 6 2 11" xfId="45836" xr:uid="{00000000-0005-0000-0000-000003B30000}"/>
    <cellStyle name="Normal 3 5 6 2 11 2" xfId="45837" xr:uid="{00000000-0005-0000-0000-000004B30000}"/>
    <cellStyle name="Normal 3 5 6 2 11 3" xfId="45838" xr:uid="{00000000-0005-0000-0000-000005B30000}"/>
    <cellStyle name="Normal 3 5 6 2 12" xfId="45839" xr:uid="{00000000-0005-0000-0000-000006B30000}"/>
    <cellStyle name="Normal 3 5 6 2 12 2" xfId="45840" xr:uid="{00000000-0005-0000-0000-000007B30000}"/>
    <cellStyle name="Normal 3 5 6 2 12 3" xfId="45841" xr:uid="{00000000-0005-0000-0000-000008B30000}"/>
    <cellStyle name="Normal 3 5 6 2 13" xfId="45842" xr:uid="{00000000-0005-0000-0000-000009B30000}"/>
    <cellStyle name="Normal 3 5 6 2 13 2" xfId="45843" xr:uid="{00000000-0005-0000-0000-00000AB30000}"/>
    <cellStyle name="Normal 3 5 6 2 13 3" xfId="45844" xr:uid="{00000000-0005-0000-0000-00000BB30000}"/>
    <cellStyle name="Normal 3 5 6 2 14" xfId="45845" xr:uid="{00000000-0005-0000-0000-00000CB30000}"/>
    <cellStyle name="Normal 3 5 6 2 14 2" xfId="45846" xr:uid="{00000000-0005-0000-0000-00000DB30000}"/>
    <cellStyle name="Normal 3 5 6 2 14 3" xfId="45847" xr:uid="{00000000-0005-0000-0000-00000EB30000}"/>
    <cellStyle name="Normal 3 5 6 2 15" xfId="45848" xr:uid="{00000000-0005-0000-0000-00000FB30000}"/>
    <cellStyle name="Normal 3 5 6 2 16" xfId="45849" xr:uid="{00000000-0005-0000-0000-000010B30000}"/>
    <cellStyle name="Normal 3 5 6 2 2" xfId="45850" xr:uid="{00000000-0005-0000-0000-000011B30000}"/>
    <cellStyle name="Normal 3 5 6 2 2 2" xfId="45851" xr:uid="{00000000-0005-0000-0000-000012B30000}"/>
    <cellStyle name="Normal 3 5 6 2 2 3" xfId="45852" xr:uid="{00000000-0005-0000-0000-000013B30000}"/>
    <cellStyle name="Normal 3 5 6 2 3" xfId="45853" xr:uid="{00000000-0005-0000-0000-000014B30000}"/>
    <cellStyle name="Normal 3 5 6 2 3 2" xfId="45854" xr:uid="{00000000-0005-0000-0000-000015B30000}"/>
    <cellStyle name="Normal 3 5 6 2 3 3" xfId="45855" xr:uid="{00000000-0005-0000-0000-000016B30000}"/>
    <cellStyle name="Normal 3 5 6 2 4" xfId="45856" xr:uid="{00000000-0005-0000-0000-000017B30000}"/>
    <cellStyle name="Normal 3 5 6 2 4 2" xfId="45857" xr:uid="{00000000-0005-0000-0000-000018B30000}"/>
    <cellStyle name="Normal 3 5 6 2 4 3" xfId="45858" xr:uid="{00000000-0005-0000-0000-000019B30000}"/>
    <cellStyle name="Normal 3 5 6 2 5" xfId="45859" xr:uid="{00000000-0005-0000-0000-00001AB30000}"/>
    <cellStyle name="Normal 3 5 6 2 5 2" xfId="45860" xr:uid="{00000000-0005-0000-0000-00001BB30000}"/>
    <cellStyle name="Normal 3 5 6 2 5 3" xfId="45861" xr:uid="{00000000-0005-0000-0000-00001CB30000}"/>
    <cellStyle name="Normal 3 5 6 2 6" xfId="45862" xr:uid="{00000000-0005-0000-0000-00001DB30000}"/>
    <cellStyle name="Normal 3 5 6 2 6 2" xfId="45863" xr:uid="{00000000-0005-0000-0000-00001EB30000}"/>
    <cellStyle name="Normal 3 5 6 2 6 3" xfId="45864" xr:uid="{00000000-0005-0000-0000-00001FB30000}"/>
    <cellStyle name="Normal 3 5 6 2 7" xfId="45865" xr:uid="{00000000-0005-0000-0000-000020B30000}"/>
    <cellStyle name="Normal 3 5 6 2 7 2" xfId="45866" xr:uid="{00000000-0005-0000-0000-000021B30000}"/>
    <cellStyle name="Normal 3 5 6 2 7 3" xfId="45867" xr:uid="{00000000-0005-0000-0000-000022B30000}"/>
    <cellStyle name="Normal 3 5 6 2 8" xfId="45868" xr:uid="{00000000-0005-0000-0000-000023B30000}"/>
    <cellStyle name="Normal 3 5 6 2 8 2" xfId="45869" xr:uid="{00000000-0005-0000-0000-000024B30000}"/>
    <cellStyle name="Normal 3 5 6 2 8 3" xfId="45870" xr:uid="{00000000-0005-0000-0000-000025B30000}"/>
    <cellStyle name="Normal 3 5 6 2 9" xfId="45871" xr:uid="{00000000-0005-0000-0000-000026B30000}"/>
    <cellStyle name="Normal 3 5 6 2 9 2" xfId="45872" xr:uid="{00000000-0005-0000-0000-000027B30000}"/>
    <cellStyle name="Normal 3 5 6 2 9 3" xfId="45873" xr:uid="{00000000-0005-0000-0000-000028B30000}"/>
    <cellStyle name="Normal 3 5 6 3" xfId="45874" xr:uid="{00000000-0005-0000-0000-000029B30000}"/>
    <cellStyle name="Normal 3 5 6 3 2" xfId="45875" xr:uid="{00000000-0005-0000-0000-00002AB30000}"/>
    <cellStyle name="Normal 3 5 6 3 3" xfId="45876" xr:uid="{00000000-0005-0000-0000-00002BB30000}"/>
    <cellStyle name="Normal 3 5 6 4" xfId="45877" xr:uid="{00000000-0005-0000-0000-00002CB30000}"/>
    <cellStyle name="Normal 3 5 6 4 2" xfId="45878" xr:uid="{00000000-0005-0000-0000-00002DB30000}"/>
    <cellStyle name="Normal 3 5 6 4 3" xfId="45879" xr:uid="{00000000-0005-0000-0000-00002EB30000}"/>
    <cellStyle name="Normal 3 5 6 5" xfId="45880" xr:uid="{00000000-0005-0000-0000-00002FB30000}"/>
    <cellStyle name="Normal 3 5 6 5 2" xfId="45881" xr:uid="{00000000-0005-0000-0000-000030B30000}"/>
    <cellStyle name="Normal 3 5 6 5 3" xfId="45882" xr:uid="{00000000-0005-0000-0000-000031B30000}"/>
    <cellStyle name="Normal 3 5 6 6" xfId="45883" xr:uid="{00000000-0005-0000-0000-000032B30000}"/>
    <cellStyle name="Normal 3 5 6 6 2" xfId="45884" xr:uid="{00000000-0005-0000-0000-000033B30000}"/>
    <cellStyle name="Normal 3 5 6 6 3" xfId="45885" xr:uid="{00000000-0005-0000-0000-000034B30000}"/>
    <cellStyle name="Normal 3 5 6 7" xfId="45886" xr:uid="{00000000-0005-0000-0000-000035B30000}"/>
    <cellStyle name="Normal 3 5 6 7 2" xfId="45887" xr:uid="{00000000-0005-0000-0000-000036B30000}"/>
    <cellStyle name="Normal 3 5 6 7 3" xfId="45888" xr:uid="{00000000-0005-0000-0000-000037B30000}"/>
    <cellStyle name="Normal 3 5 6 8" xfId="45889" xr:uid="{00000000-0005-0000-0000-000038B30000}"/>
    <cellStyle name="Normal 3 5 6 8 2" xfId="45890" xr:uid="{00000000-0005-0000-0000-000039B30000}"/>
    <cellStyle name="Normal 3 5 6 8 3" xfId="45891" xr:uid="{00000000-0005-0000-0000-00003AB30000}"/>
    <cellStyle name="Normal 3 5 6 9" xfId="45892" xr:uid="{00000000-0005-0000-0000-00003BB30000}"/>
    <cellStyle name="Normal 3 5 6 9 2" xfId="45893" xr:uid="{00000000-0005-0000-0000-00003CB30000}"/>
    <cellStyle name="Normal 3 5 6 9 3" xfId="45894" xr:uid="{00000000-0005-0000-0000-00003DB30000}"/>
    <cellStyle name="Normal 3 5 7" xfId="45895" xr:uid="{00000000-0005-0000-0000-00003EB30000}"/>
    <cellStyle name="Normal 3 5 7 10" xfId="45896" xr:uid="{00000000-0005-0000-0000-00003FB30000}"/>
    <cellStyle name="Normal 3 5 7 10 2" xfId="45897" xr:uid="{00000000-0005-0000-0000-000040B30000}"/>
    <cellStyle name="Normal 3 5 7 10 3" xfId="45898" xr:uid="{00000000-0005-0000-0000-000041B30000}"/>
    <cellStyle name="Normal 3 5 7 11" xfId="45899" xr:uid="{00000000-0005-0000-0000-000042B30000}"/>
    <cellStyle name="Normal 3 5 7 11 2" xfId="45900" xr:uid="{00000000-0005-0000-0000-000043B30000}"/>
    <cellStyle name="Normal 3 5 7 11 3" xfId="45901" xr:uid="{00000000-0005-0000-0000-000044B30000}"/>
    <cellStyle name="Normal 3 5 7 12" xfId="45902" xr:uid="{00000000-0005-0000-0000-000045B30000}"/>
    <cellStyle name="Normal 3 5 7 12 2" xfId="45903" xr:uid="{00000000-0005-0000-0000-000046B30000}"/>
    <cellStyle name="Normal 3 5 7 12 3" xfId="45904" xr:uid="{00000000-0005-0000-0000-000047B30000}"/>
    <cellStyle name="Normal 3 5 7 13" xfId="45905" xr:uid="{00000000-0005-0000-0000-000048B30000}"/>
    <cellStyle name="Normal 3 5 7 13 2" xfId="45906" xr:uid="{00000000-0005-0000-0000-000049B30000}"/>
    <cellStyle name="Normal 3 5 7 13 3" xfId="45907" xr:uid="{00000000-0005-0000-0000-00004AB30000}"/>
    <cellStyle name="Normal 3 5 7 14" xfId="45908" xr:uid="{00000000-0005-0000-0000-00004BB30000}"/>
    <cellStyle name="Normal 3 5 7 14 2" xfId="45909" xr:uid="{00000000-0005-0000-0000-00004CB30000}"/>
    <cellStyle name="Normal 3 5 7 14 3" xfId="45910" xr:uid="{00000000-0005-0000-0000-00004DB30000}"/>
    <cellStyle name="Normal 3 5 7 15" xfId="45911" xr:uid="{00000000-0005-0000-0000-00004EB30000}"/>
    <cellStyle name="Normal 3 5 7 15 2" xfId="45912" xr:uid="{00000000-0005-0000-0000-00004FB30000}"/>
    <cellStyle name="Normal 3 5 7 15 3" xfId="45913" xr:uid="{00000000-0005-0000-0000-000050B30000}"/>
    <cellStyle name="Normal 3 5 7 16" xfId="45914" xr:uid="{00000000-0005-0000-0000-000051B30000}"/>
    <cellStyle name="Normal 3 5 7 17" xfId="45915" xr:uid="{00000000-0005-0000-0000-000052B30000}"/>
    <cellStyle name="Normal 3 5 7 2" xfId="45916" xr:uid="{00000000-0005-0000-0000-000053B30000}"/>
    <cellStyle name="Normal 3 5 7 2 10" xfId="45917" xr:uid="{00000000-0005-0000-0000-000054B30000}"/>
    <cellStyle name="Normal 3 5 7 2 10 2" xfId="45918" xr:uid="{00000000-0005-0000-0000-000055B30000}"/>
    <cellStyle name="Normal 3 5 7 2 10 3" xfId="45919" xr:uid="{00000000-0005-0000-0000-000056B30000}"/>
    <cellStyle name="Normal 3 5 7 2 11" xfId="45920" xr:uid="{00000000-0005-0000-0000-000057B30000}"/>
    <cellStyle name="Normal 3 5 7 2 11 2" xfId="45921" xr:uid="{00000000-0005-0000-0000-000058B30000}"/>
    <cellStyle name="Normal 3 5 7 2 11 3" xfId="45922" xr:uid="{00000000-0005-0000-0000-000059B30000}"/>
    <cellStyle name="Normal 3 5 7 2 12" xfId="45923" xr:uid="{00000000-0005-0000-0000-00005AB30000}"/>
    <cellStyle name="Normal 3 5 7 2 12 2" xfId="45924" xr:uid="{00000000-0005-0000-0000-00005BB30000}"/>
    <cellStyle name="Normal 3 5 7 2 12 3" xfId="45925" xr:uid="{00000000-0005-0000-0000-00005CB30000}"/>
    <cellStyle name="Normal 3 5 7 2 13" xfId="45926" xr:uid="{00000000-0005-0000-0000-00005DB30000}"/>
    <cellStyle name="Normal 3 5 7 2 13 2" xfId="45927" xr:uid="{00000000-0005-0000-0000-00005EB30000}"/>
    <cellStyle name="Normal 3 5 7 2 13 3" xfId="45928" xr:uid="{00000000-0005-0000-0000-00005FB30000}"/>
    <cellStyle name="Normal 3 5 7 2 14" xfId="45929" xr:uid="{00000000-0005-0000-0000-000060B30000}"/>
    <cellStyle name="Normal 3 5 7 2 14 2" xfId="45930" xr:uid="{00000000-0005-0000-0000-000061B30000}"/>
    <cellStyle name="Normal 3 5 7 2 14 3" xfId="45931" xr:uid="{00000000-0005-0000-0000-000062B30000}"/>
    <cellStyle name="Normal 3 5 7 2 15" xfId="45932" xr:uid="{00000000-0005-0000-0000-000063B30000}"/>
    <cellStyle name="Normal 3 5 7 2 16" xfId="45933" xr:uid="{00000000-0005-0000-0000-000064B30000}"/>
    <cellStyle name="Normal 3 5 7 2 2" xfId="45934" xr:uid="{00000000-0005-0000-0000-000065B30000}"/>
    <cellStyle name="Normal 3 5 7 2 2 2" xfId="45935" xr:uid="{00000000-0005-0000-0000-000066B30000}"/>
    <cellStyle name="Normal 3 5 7 2 2 3" xfId="45936" xr:uid="{00000000-0005-0000-0000-000067B30000}"/>
    <cellStyle name="Normal 3 5 7 2 3" xfId="45937" xr:uid="{00000000-0005-0000-0000-000068B30000}"/>
    <cellStyle name="Normal 3 5 7 2 3 2" xfId="45938" xr:uid="{00000000-0005-0000-0000-000069B30000}"/>
    <cellStyle name="Normal 3 5 7 2 3 3" xfId="45939" xr:uid="{00000000-0005-0000-0000-00006AB30000}"/>
    <cellStyle name="Normal 3 5 7 2 4" xfId="45940" xr:uid="{00000000-0005-0000-0000-00006BB30000}"/>
    <cellStyle name="Normal 3 5 7 2 4 2" xfId="45941" xr:uid="{00000000-0005-0000-0000-00006CB30000}"/>
    <cellStyle name="Normal 3 5 7 2 4 3" xfId="45942" xr:uid="{00000000-0005-0000-0000-00006DB30000}"/>
    <cellStyle name="Normal 3 5 7 2 5" xfId="45943" xr:uid="{00000000-0005-0000-0000-00006EB30000}"/>
    <cellStyle name="Normal 3 5 7 2 5 2" xfId="45944" xr:uid="{00000000-0005-0000-0000-00006FB30000}"/>
    <cellStyle name="Normal 3 5 7 2 5 3" xfId="45945" xr:uid="{00000000-0005-0000-0000-000070B30000}"/>
    <cellStyle name="Normal 3 5 7 2 6" xfId="45946" xr:uid="{00000000-0005-0000-0000-000071B30000}"/>
    <cellStyle name="Normal 3 5 7 2 6 2" xfId="45947" xr:uid="{00000000-0005-0000-0000-000072B30000}"/>
    <cellStyle name="Normal 3 5 7 2 6 3" xfId="45948" xr:uid="{00000000-0005-0000-0000-000073B30000}"/>
    <cellStyle name="Normal 3 5 7 2 7" xfId="45949" xr:uid="{00000000-0005-0000-0000-000074B30000}"/>
    <cellStyle name="Normal 3 5 7 2 7 2" xfId="45950" xr:uid="{00000000-0005-0000-0000-000075B30000}"/>
    <cellStyle name="Normal 3 5 7 2 7 3" xfId="45951" xr:uid="{00000000-0005-0000-0000-000076B30000}"/>
    <cellStyle name="Normal 3 5 7 2 8" xfId="45952" xr:uid="{00000000-0005-0000-0000-000077B30000}"/>
    <cellStyle name="Normal 3 5 7 2 8 2" xfId="45953" xr:uid="{00000000-0005-0000-0000-000078B30000}"/>
    <cellStyle name="Normal 3 5 7 2 8 3" xfId="45954" xr:uid="{00000000-0005-0000-0000-000079B30000}"/>
    <cellStyle name="Normal 3 5 7 2 9" xfId="45955" xr:uid="{00000000-0005-0000-0000-00007AB30000}"/>
    <cellStyle name="Normal 3 5 7 2 9 2" xfId="45956" xr:uid="{00000000-0005-0000-0000-00007BB30000}"/>
    <cellStyle name="Normal 3 5 7 2 9 3" xfId="45957" xr:uid="{00000000-0005-0000-0000-00007CB30000}"/>
    <cellStyle name="Normal 3 5 7 3" xfId="45958" xr:uid="{00000000-0005-0000-0000-00007DB30000}"/>
    <cellStyle name="Normal 3 5 7 3 2" xfId="45959" xr:uid="{00000000-0005-0000-0000-00007EB30000}"/>
    <cellStyle name="Normal 3 5 7 3 3" xfId="45960" xr:uid="{00000000-0005-0000-0000-00007FB30000}"/>
    <cellStyle name="Normal 3 5 7 4" xfId="45961" xr:uid="{00000000-0005-0000-0000-000080B30000}"/>
    <cellStyle name="Normal 3 5 7 4 2" xfId="45962" xr:uid="{00000000-0005-0000-0000-000081B30000}"/>
    <cellStyle name="Normal 3 5 7 4 3" xfId="45963" xr:uid="{00000000-0005-0000-0000-000082B30000}"/>
    <cellStyle name="Normal 3 5 7 5" xfId="45964" xr:uid="{00000000-0005-0000-0000-000083B30000}"/>
    <cellStyle name="Normal 3 5 7 5 2" xfId="45965" xr:uid="{00000000-0005-0000-0000-000084B30000}"/>
    <cellStyle name="Normal 3 5 7 5 3" xfId="45966" xr:uid="{00000000-0005-0000-0000-000085B30000}"/>
    <cellStyle name="Normal 3 5 7 6" xfId="45967" xr:uid="{00000000-0005-0000-0000-000086B30000}"/>
    <cellStyle name="Normal 3 5 7 6 2" xfId="45968" xr:uid="{00000000-0005-0000-0000-000087B30000}"/>
    <cellStyle name="Normal 3 5 7 6 3" xfId="45969" xr:uid="{00000000-0005-0000-0000-000088B30000}"/>
    <cellStyle name="Normal 3 5 7 7" xfId="45970" xr:uid="{00000000-0005-0000-0000-000089B30000}"/>
    <cellStyle name="Normal 3 5 7 7 2" xfId="45971" xr:uid="{00000000-0005-0000-0000-00008AB30000}"/>
    <cellStyle name="Normal 3 5 7 7 3" xfId="45972" xr:uid="{00000000-0005-0000-0000-00008BB30000}"/>
    <cellStyle name="Normal 3 5 7 8" xfId="45973" xr:uid="{00000000-0005-0000-0000-00008CB30000}"/>
    <cellStyle name="Normal 3 5 7 8 2" xfId="45974" xr:uid="{00000000-0005-0000-0000-00008DB30000}"/>
    <cellStyle name="Normal 3 5 7 8 3" xfId="45975" xr:uid="{00000000-0005-0000-0000-00008EB30000}"/>
    <cellStyle name="Normal 3 5 7 9" xfId="45976" xr:uid="{00000000-0005-0000-0000-00008FB30000}"/>
    <cellStyle name="Normal 3 5 7 9 2" xfId="45977" xr:uid="{00000000-0005-0000-0000-000090B30000}"/>
    <cellStyle name="Normal 3 5 7 9 3" xfId="45978" xr:uid="{00000000-0005-0000-0000-000091B30000}"/>
    <cellStyle name="Normal 3 5 8" xfId="45979" xr:uid="{00000000-0005-0000-0000-000092B30000}"/>
    <cellStyle name="Normal 3 5 8 10" xfId="45980" xr:uid="{00000000-0005-0000-0000-000093B30000}"/>
    <cellStyle name="Normal 3 5 8 10 2" xfId="45981" xr:uid="{00000000-0005-0000-0000-000094B30000}"/>
    <cellStyle name="Normal 3 5 8 10 3" xfId="45982" xr:uid="{00000000-0005-0000-0000-000095B30000}"/>
    <cellStyle name="Normal 3 5 8 11" xfId="45983" xr:uid="{00000000-0005-0000-0000-000096B30000}"/>
    <cellStyle name="Normal 3 5 8 11 2" xfId="45984" xr:uid="{00000000-0005-0000-0000-000097B30000}"/>
    <cellStyle name="Normal 3 5 8 11 3" xfId="45985" xr:uid="{00000000-0005-0000-0000-000098B30000}"/>
    <cellStyle name="Normal 3 5 8 12" xfId="45986" xr:uid="{00000000-0005-0000-0000-000099B30000}"/>
    <cellStyle name="Normal 3 5 8 12 2" xfId="45987" xr:uid="{00000000-0005-0000-0000-00009AB30000}"/>
    <cellStyle name="Normal 3 5 8 12 3" xfId="45988" xr:uid="{00000000-0005-0000-0000-00009BB30000}"/>
    <cellStyle name="Normal 3 5 8 13" xfId="45989" xr:uid="{00000000-0005-0000-0000-00009CB30000}"/>
    <cellStyle name="Normal 3 5 8 13 2" xfId="45990" xr:uid="{00000000-0005-0000-0000-00009DB30000}"/>
    <cellStyle name="Normal 3 5 8 13 3" xfId="45991" xr:uid="{00000000-0005-0000-0000-00009EB30000}"/>
    <cellStyle name="Normal 3 5 8 14" xfId="45992" xr:uid="{00000000-0005-0000-0000-00009FB30000}"/>
    <cellStyle name="Normal 3 5 8 14 2" xfId="45993" xr:uid="{00000000-0005-0000-0000-0000A0B30000}"/>
    <cellStyle name="Normal 3 5 8 14 3" xfId="45994" xr:uid="{00000000-0005-0000-0000-0000A1B30000}"/>
    <cellStyle name="Normal 3 5 8 15" xfId="45995" xr:uid="{00000000-0005-0000-0000-0000A2B30000}"/>
    <cellStyle name="Normal 3 5 8 15 2" xfId="45996" xr:uid="{00000000-0005-0000-0000-0000A3B30000}"/>
    <cellStyle name="Normal 3 5 8 15 3" xfId="45997" xr:uid="{00000000-0005-0000-0000-0000A4B30000}"/>
    <cellStyle name="Normal 3 5 8 16" xfId="45998" xr:uid="{00000000-0005-0000-0000-0000A5B30000}"/>
    <cellStyle name="Normal 3 5 8 17" xfId="45999" xr:uid="{00000000-0005-0000-0000-0000A6B30000}"/>
    <cellStyle name="Normal 3 5 8 2" xfId="46000" xr:uid="{00000000-0005-0000-0000-0000A7B30000}"/>
    <cellStyle name="Normal 3 5 8 2 10" xfId="46001" xr:uid="{00000000-0005-0000-0000-0000A8B30000}"/>
    <cellStyle name="Normal 3 5 8 2 10 2" xfId="46002" xr:uid="{00000000-0005-0000-0000-0000A9B30000}"/>
    <cellStyle name="Normal 3 5 8 2 10 3" xfId="46003" xr:uid="{00000000-0005-0000-0000-0000AAB30000}"/>
    <cellStyle name="Normal 3 5 8 2 11" xfId="46004" xr:uid="{00000000-0005-0000-0000-0000ABB30000}"/>
    <cellStyle name="Normal 3 5 8 2 11 2" xfId="46005" xr:uid="{00000000-0005-0000-0000-0000ACB30000}"/>
    <cellStyle name="Normal 3 5 8 2 11 3" xfId="46006" xr:uid="{00000000-0005-0000-0000-0000ADB30000}"/>
    <cellStyle name="Normal 3 5 8 2 12" xfId="46007" xr:uid="{00000000-0005-0000-0000-0000AEB30000}"/>
    <cellStyle name="Normal 3 5 8 2 12 2" xfId="46008" xr:uid="{00000000-0005-0000-0000-0000AFB30000}"/>
    <cellStyle name="Normal 3 5 8 2 12 3" xfId="46009" xr:uid="{00000000-0005-0000-0000-0000B0B30000}"/>
    <cellStyle name="Normal 3 5 8 2 13" xfId="46010" xr:uid="{00000000-0005-0000-0000-0000B1B30000}"/>
    <cellStyle name="Normal 3 5 8 2 13 2" xfId="46011" xr:uid="{00000000-0005-0000-0000-0000B2B30000}"/>
    <cellStyle name="Normal 3 5 8 2 13 3" xfId="46012" xr:uid="{00000000-0005-0000-0000-0000B3B30000}"/>
    <cellStyle name="Normal 3 5 8 2 14" xfId="46013" xr:uid="{00000000-0005-0000-0000-0000B4B30000}"/>
    <cellStyle name="Normal 3 5 8 2 14 2" xfId="46014" xr:uid="{00000000-0005-0000-0000-0000B5B30000}"/>
    <cellStyle name="Normal 3 5 8 2 14 3" xfId="46015" xr:uid="{00000000-0005-0000-0000-0000B6B30000}"/>
    <cellStyle name="Normal 3 5 8 2 15" xfId="46016" xr:uid="{00000000-0005-0000-0000-0000B7B30000}"/>
    <cellStyle name="Normal 3 5 8 2 16" xfId="46017" xr:uid="{00000000-0005-0000-0000-0000B8B30000}"/>
    <cellStyle name="Normal 3 5 8 2 2" xfId="46018" xr:uid="{00000000-0005-0000-0000-0000B9B30000}"/>
    <cellStyle name="Normal 3 5 8 2 2 2" xfId="46019" xr:uid="{00000000-0005-0000-0000-0000BAB30000}"/>
    <cellStyle name="Normal 3 5 8 2 2 3" xfId="46020" xr:uid="{00000000-0005-0000-0000-0000BBB30000}"/>
    <cellStyle name="Normal 3 5 8 2 3" xfId="46021" xr:uid="{00000000-0005-0000-0000-0000BCB30000}"/>
    <cellStyle name="Normal 3 5 8 2 3 2" xfId="46022" xr:uid="{00000000-0005-0000-0000-0000BDB30000}"/>
    <cellStyle name="Normal 3 5 8 2 3 3" xfId="46023" xr:uid="{00000000-0005-0000-0000-0000BEB30000}"/>
    <cellStyle name="Normal 3 5 8 2 4" xfId="46024" xr:uid="{00000000-0005-0000-0000-0000BFB30000}"/>
    <cellStyle name="Normal 3 5 8 2 4 2" xfId="46025" xr:uid="{00000000-0005-0000-0000-0000C0B30000}"/>
    <cellStyle name="Normal 3 5 8 2 4 3" xfId="46026" xr:uid="{00000000-0005-0000-0000-0000C1B30000}"/>
    <cellStyle name="Normal 3 5 8 2 5" xfId="46027" xr:uid="{00000000-0005-0000-0000-0000C2B30000}"/>
    <cellStyle name="Normal 3 5 8 2 5 2" xfId="46028" xr:uid="{00000000-0005-0000-0000-0000C3B30000}"/>
    <cellStyle name="Normal 3 5 8 2 5 3" xfId="46029" xr:uid="{00000000-0005-0000-0000-0000C4B30000}"/>
    <cellStyle name="Normal 3 5 8 2 6" xfId="46030" xr:uid="{00000000-0005-0000-0000-0000C5B30000}"/>
    <cellStyle name="Normal 3 5 8 2 6 2" xfId="46031" xr:uid="{00000000-0005-0000-0000-0000C6B30000}"/>
    <cellStyle name="Normal 3 5 8 2 6 3" xfId="46032" xr:uid="{00000000-0005-0000-0000-0000C7B30000}"/>
    <cellStyle name="Normal 3 5 8 2 7" xfId="46033" xr:uid="{00000000-0005-0000-0000-0000C8B30000}"/>
    <cellStyle name="Normal 3 5 8 2 7 2" xfId="46034" xr:uid="{00000000-0005-0000-0000-0000C9B30000}"/>
    <cellStyle name="Normal 3 5 8 2 7 3" xfId="46035" xr:uid="{00000000-0005-0000-0000-0000CAB30000}"/>
    <cellStyle name="Normal 3 5 8 2 8" xfId="46036" xr:uid="{00000000-0005-0000-0000-0000CBB30000}"/>
    <cellStyle name="Normal 3 5 8 2 8 2" xfId="46037" xr:uid="{00000000-0005-0000-0000-0000CCB30000}"/>
    <cellStyle name="Normal 3 5 8 2 8 3" xfId="46038" xr:uid="{00000000-0005-0000-0000-0000CDB30000}"/>
    <cellStyle name="Normal 3 5 8 2 9" xfId="46039" xr:uid="{00000000-0005-0000-0000-0000CEB30000}"/>
    <cellStyle name="Normal 3 5 8 2 9 2" xfId="46040" xr:uid="{00000000-0005-0000-0000-0000CFB30000}"/>
    <cellStyle name="Normal 3 5 8 2 9 3" xfId="46041" xr:uid="{00000000-0005-0000-0000-0000D0B30000}"/>
    <cellStyle name="Normal 3 5 8 3" xfId="46042" xr:uid="{00000000-0005-0000-0000-0000D1B30000}"/>
    <cellStyle name="Normal 3 5 8 3 2" xfId="46043" xr:uid="{00000000-0005-0000-0000-0000D2B30000}"/>
    <cellStyle name="Normal 3 5 8 3 3" xfId="46044" xr:uid="{00000000-0005-0000-0000-0000D3B30000}"/>
    <cellStyle name="Normal 3 5 8 4" xfId="46045" xr:uid="{00000000-0005-0000-0000-0000D4B30000}"/>
    <cellStyle name="Normal 3 5 8 4 2" xfId="46046" xr:uid="{00000000-0005-0000-0000-0000D5B30000}"/>
    <cellStyle name="Normal 3 5 8 4 3" xfId="46047" xr:uid="{00000000-0005-0000-0000-0000D6B30000}"/>
    <cellStyle name="Normal 3 5 8 5" xfId="46048" xr:uid="{00000000-0005-0000-0000-0000D7B30000}"/>
    <cellStyle name="Normal 3 5 8 5 2" xfId="46049" xr:uid="{00000000-0005-0000-0000-0000D8B30000}"/>
    <cellStyle name="Normal 3 5 8 5 3" xfId="46050" xr:uid="{00000000-0005-0000-0000-0000D9B30000}"/>
    <cellStyle name="Normal 3 5 8 6" xfId="46051" xr:uid="{00000000-0005-0000-0000-0000DAB30000}"/>
    <cellStyle name="Normal 3 5 8 6 2" xfId="46052" xr:uid="{00000000-0005-0000-0000-0000DBB30000}"/>
    <cellStyle name="Normal 3 5 8 6 3" xfId="46053" xr:uid="{00000000-0005-0000-0000-0000DCB30000}"/>
    <cellStyle name="Normal 3 5 8 7" xfId="46054" xr:uid="{00000000-0005-0000-0000-0000DDB30000}"/>
    <cellStyle name="Normal 3 5 8 7 2" xfId="46055" xr:uid="{00000000-0005-0000-0000-0000DEB30000}"/>
    <cellStyle name="Normal 3 5 8 7 3" xfId="46056" xr:uid="{00000000-0005-0000-0000-0000DFB30000}"/>
    <cellStyle name="Normal 3 5 8 8" xfId="46057" xr:uid="{00000000-0005-0000-0000-0000E0B30000}"/>
    <cellStyle name="Normal 3 5 8 8 2" xfId="46058" xr:uid="{00000000-0005-0000-0000-0000E1B30000}"/>
    <cellStyle name="Normal 3 5 8 8 3" xfId="46059" xr:uid="{00000000-0005-0000-0000-0000E2B30000}"/>
    <cellStyle name="Normal 3 5 8 9" xfId="46060" xr:uid="{00000000-0005-0000-0000-0000E3B30000}"/>
    <cellStyle name="Normal 3 5 8 9 2" xfId="46061" xr:uid="{00000000-0005-0000-0000-0000E4B30000}"/>
    <cellStyle name="Normal 3 5 8 9 3" xfId="46062" xr:uid="{00000000-0005-0000-0000-0000E5B30000}"/>
    <cellStyle name="Normal 3 5 9" xfId="46063" xr:uid="{00000000-0005-0000-0000-0000E6B30000}"/>
    <cellStyle name="Normal 3 5 9 10" xfId="46064" xr:uid="{00000000-0005-0000-0000-0000E7B30000}"/>
    <cellStyle name="Normal 3 5 9 10 2" xfId="46065" xr:uid="{00000000-0005-0000-0000-0000E8B30000}"/>
    <cellStyle name="Normal 3 5 9 10 3" xfId="46066" xr:uid="{00000000-0005-0000-0000-0000E9B30000}"/>
    <cellStyle name="Normal 3 5 9 11" xfId="46067" xr:uid="{00000000-0005-0000-0000-0000EAB30000}"/>
    <cellStyle name="Normal 3 5 9 11 2" xfId="46068" xr:uid="{00000000-0005-0000-0000-0000EBB30000}"/>
    <cellStyle name="Normal 3 5 9 11 3" xfId="46069" xr:uid="{00000000-0005-0000-0000-0000ECB30000}"/>
    <cellStyle name="Normal 3 5 9 12" xfId="46070" xr:uid="{00000000-0005-0000-0000-0000EDB30000}"/>
    <cellStyle name="Normal 3 5 9 12 2" xfId="46071" xr:uid="{00000000-0005-0000-0000-0000EEB30000}"/>
    <cellStyle name="Normal 3 5 9 12 3" xfId="46072" xr:uid="{00000000-0005-0000-0000-0000EFB30000}"/>
    <cellStyle name="Normal 3 5 9 13" xfId="46073" xr:uid="{00000000-0005-0000-0000-0000F0B30000}"/>
    <cellStyle name="Normal 3 5 9 13 2" xfId="46074" xr:uid="{00000000-0005-0000-0000-0000F1B30000}"/>
    <cellStyle name="Normal 3 5 9 13 3" xfId="46075" xr:uid="{00000000-0005-0000-0000-0000F2B30000}"/>
    <cellStyle name="Normal 3 5 9 14" xfId="46076" xr:uid="{00000000-0005-0000-0000-0000F3B30000}"/>
    <cellStyle name="Normal 3 5 9 14 2" xfId="46077" xr:uid="{00000000-0005-0000-0000-0000F4B30000}"/>
    <cellStyle name="Normal 3 5 9 14 3" xfId="46078" xr:uid="{00000000-0005-0000-0000-0000F5B30000}"/>
    <cellStyle name="Normal 3 5 9 15" xfId="46079" xr:uid="{00000000-0005-0000-0000-0000F6B30000}"/>
    <cellStyle name="Normal 3 5 9 16" xfId="46080" xr:uid="{00000000-0005-0000-0000-0000F7B30000}"/>
    <cellStyle name="Normal 3 5 9 2" xfId="46081" xr:uid="{00000000-0005-0000-0000-0000F8B30000}"/>
    <cellStyle name="Normal 3 5 9 2 2" xfId="46082" xr:uid="{00000000-0005-0000-0000-0000F9B30000}"/>
    <cellStyle name="Normal 3 5 9 2 3" xfId="46083" xr:uid="{00000000-0005-0000-0000-0000FAB30000}"/>
    <cellStyle name="Normal 3 5 9 3" xfId="46084" xr:uid="{00000000-0005-0000-0000-0000FBB30000}"/>
    <cellStyle name="Normal 3 5 9 3 2" xfId="46085" xr:uid="{00000000-0005-0000-0000-0000FCB30000}"/>
    <cellStyle name="Normal 3 5 9 3 3" xfId="46086" xr:uid="{00000000-0005-0000-0000-0000FDB30000}"/>
    <cellStyle name="Normal 3 5 9 4" xfId="46087" xr:uid="{00000000-0005-0000-0000-0000FEB30000}"/>
    <cellStyle name="Normal 3 5 9 4 2" xfId="46088" xr:uid="{00000000-0005-0000-0000-0000FFB30000}"/>
    <cellStyle name="Normal 3 5 9 4 3" xfId="46089" xr:uid="{00000000-0005-0000-0000-000000B40000}"/>
    <cellStyle name="Normal 3 5 9 5" xfId="46090" xr:uid="{00000000-0005-0000-0000-000001B40000}"/>
    <cellStyle name="Normal 3 5 9 5 2" xfId="46091" xr:uid="{00000000-0005-0000-0000-000002B40000}"/>
    <cellStyle name="Normal 3 5 9 5 3" xfId="46092" xr:uid="{00000000-0005-0000-0000-000003B40000}"/>
    <cellStyle name="Normal 3 5 9 6" xfId="46093" xr:uid="{00000000-0005-0000-0000-000004B40000}"/>
    <cellStyle name="Normal 3 5 9 6 2" xfId="46094" xr:uid="{00000000-0005-0000-0000-000005B40000}"/>
    <cellStyle name="Normal 3 5 9 6 3" xfId="46095" xr:uid="{00000000-0005-0000-0000-000006B40000}"/>
    <cellStyle name="Normal 3 5 9 7" xfId="46096" xr:uid="{00000000-0005-0000-0000-000007B40000}"/>
    <cellStyle name="Normal 3 5 9 7 2" xfId="46097" xr:uid="{00000000-0005-0000-0000-000008B40000}"/>
    <cellStyle name="Normal 3 5 9 7 3" xfId="46098" xr:uid="{00000000-0005-0000-0000-000009B40000}"/>
    <cellStyle name="Normal 3 5 9 8" xfId="46099" xr:uid="{00000000-0005-0000-0000-00000AB40000}"/>
    <cellStyle name="Normal 3 5 9 8 2" xfId="46100" xr:uid="{00000000-0005-0000-0000-00000BB40000}"/>
    <cellStyle name="Normal 3 5 9 8 3" xfId="46101" xr:uid="{00000000-0005-0000-0000-00000CB40000}"/>
    <cellStyle name="Normal 3 5 9 9" xfId="46102" xr:uid="{00000000-0005-0000-0000-00000DB40000}"/>
    <cellStyle name="Normal 3 5 9 9 2" xfId="46103" xr:uid="{00000000-0005-0000-0000-00000EB40000}"/>
    <cellStyle name="Normal 3 5 9 9 3" xfId="46104" xr:uid="{00000000-0005-0000-0000-00000FB40000}"/>
    <cellStyle name="Normal 3 50" xfId="46105" xr:uid="{00000000-0005-0000-0000-000010B40000}"/>
    <cellStyle name="Normal 3 50 2" xfId="46106" xr:uid="{00000000-0005-0000-0000-000011B40000}"/>
    <cellStyle name="Normal 3 50 3" xfId="46107" xr:uid="{00000000-0005-0000-0000-000012B40000}"/>
    <cellStyle name="Normal 3 51" xfId="46108" xr:uid="{00000000-0005-0000-0000-000013B40000}"/>
    <cellStyle name="Normal 3 51 2" xfId="46109" xr:uid="{00000000-0005-0000-0000-000014B40000}"/>
    <cellStyle name="Normal 3 51 3" xfId="46110" xr:uid="{00000000-0005-0000-0000-000015B40000}"/>
    <cellStyle name="Normal 3 52" xfId="46111" xr:uid="{00000000-0005-0000-0000-000016B40000}"/>
    <cellStyle name="Normal 3 52 2" xfId="46112" xr:uid="{00000000-0005-0000-0000-000017B40000}"/>
    <cellStyle name="Normal 3 52 3" xfId="46113" xr:uid="{00000000-0005-0000-0000-000018B40000}"/>
    <cellStyle name="Normal 3 53" xfId="46114" xr:uid="{00000000-0005-0000-0000-000019B40000}"/>
    <cellStyle name="Normal 3 53 2" xfId="46115" xr:uid="{00000000-0005-0000-0000-00001AB40000}"/>
    <cellStyle name="Normal 3 53 3" xfId="46116" xr:uid="{00000000-0005-0000-0000-00001BB40000}"/>
    <cellStyle name="Normal 3 54" xfId="46117" xr:uid="{00000000-0005-0000-0000-00001CB40000}"/>
    <cellStyle name="Normal 3 54 2" xfId="46118" xr:uid="{00000000-0005-0000-0000-00001DB40000}"/>
    <cellStyle name="Normal 3 54 3" xfId="46119" xr:uid="{00000000-0005-0000-0000-00001EB40000}"/>
    <cellStyle name="Normal 3 55" xfId="46120" xr:uid="{00000000-0005-0000-0000-00001FB40000}"/>
    <cellStyle name="Normal 3 55 2" xfId="46121" xr:uid="{00000000-0005-0000-0000-000020B40000}"/>
    <cellStyle name="Normal 3 55 3" xfId="46122" xr:uid="{00000000-0005-0000-0000-000021B40000}"/>
    <cellStyle name="Normal 3 56" xfId="46123" xr:uid="{00000000-0005-0000-0000-000022B40000}"/>
    <cellStyle name="Normal 3 56 2" xfId="46124" xr:uid="{00000000-0005-0000-0000-000023B40000}"/>
    <cellStyle name="Normal 3 56 3" xfId="46125" xr:uid="{00000000-0005-0000-0000-000024B40000}"/>
    <cellStyle name="Normal 3 57" xfId="46126" xr:uid="{00000000-0005-0000-0000-000025B40000}"/>
    <cellStyle name="Normal 3 57 2" xfId="46127" xr:uid="{00000000-0005-0000-0000-000026B40000}"/>
    <cellStyle name="Normal 3 57 3" xfId="46128" xr:uid="{00000000-0005-0000-0000-000027B40000}"/>
    <cellStyle name="Normal 3 58" xfId="46129" xr:uid="{00000000-0005-0000-0000-000028B40000}"/>
    <cellStyle name="Normal 3 58 2" xfId="46130" xr:uid="{00000000-0005-0000-0000-000029B40000}"/>
    <cellStyle name="Normal 3 58 3" xfId="46131" xr:uid="{00000000-0005-0000-0000-00002AB40000}"/>
    <cellStyle name="Normal 3 59" xfId="46132" xr:uid="{00000000-0005-0000-0000-00002BB40000}"/>
    <cellStyle name="Normal 3 59 2" xfId="46133" xr:uid="{00000000-0005-0000-0000-00002CB40000}"/>
    <cellStyle name="Normal 3 59 3" xfId="46134" xr:uid="{00000000-0005-0000-0000-00002DB40000}"/>
    <cellStyle name="Normal 3 6" xfId="46135" xr:uid="{00000000-0005-0000-0000-00002EB40000}"/>
    <cellStyle name="Normal 3 6 10" xfId="46136" xr:uid="{00000000-0005-0000-0000-00002FB40000}"/>
    <cellStyle name="Normal 3 6 11" xfId="46137" xr:uid="{00000000-0005-0000-0000-000030B40000}"/>
    <cellStyle name="Normal 3 6 11 10" xfId="46138" xr:uid="{00000000-0005-0000-0000-000031B40000}"/>
    <cellStyle name="Normal 3 6 11 10 2" xfId="46139" xr:uid="{00000000-0005-0000-0000-000032B40000}"/>
    <cellStyle name="Normal 3 6 11 10 3" xfId="46140" xr:uid="{00000000-0005-0000-0000-000033B40000}"/>
    <cellStyle name="Normal 3 6 11 11" xfId="46141" xr:uid="{00000000-0005-0000-0000-000034B40000}"/>
    <cellStyle name="Normal 3 6 11 11 2" xfId="46142" xr:uid="{00000000-0005-0000-0000-000035B40000}"/>
    <cellStyle name="Normal 3 6 11 11 3" xfId="46143" xr:uid="{00000000-0005-0000-0000-000036B40000}"/>
    <cellStyle name="Normal 3 6 11 12" xfId="46144" xr:uid="{00000000-0005-0000-0000-000037B40000}"/>
    <cellStyle name="Normal 3 6 11 12 2" xfId="46145" xr:uid="{00000000-0005-0000-0000-000038B40000}"/>
    <cellStyle name="Normal 3 6 11 12 3" xfId="46146" xr:uid="{00000000-0005-0000-0000-000039B40000}"/>
    <cellStyle name="Normal 3 6 11 13" xfId="46147" xr:uid="{00000000-0005-0000-0000-00003AB40000}"/>
    <cellStyle name="Normal 3 6 11 13 2" xfId="46148" xr:uid="{00000000-0005-0000-0000-00003BB40000}"/>
    <cellStyle name="Normal 3 6 11 13 3" xfId="46149" xr:uid="{00000000-0005-0000-0000-00003CB40000}"/>
    <cellStyle name="Normal 3 6 11 14" xfId="46150" xr:uid="{00000000-0005-0000-0000-00003DB40000}"/>
    <cellStyle name="Normal 3 6 11 14 2" xfId="46151" xr:uid="{00000000-0005-0000-0000-00003EB40000}"/>
    <cellStyle name="Normal 3 6 11 14 3" xfId="46152" xr:uid="{00000000-0005-0000-0000-00003FB40000}"/>
    <cellStyle name="Normal 3 6 11 15" xfId="46153" xr:uid="{00000000-0005-0000-0000-000040B40000}"/>
    <cellStyle name="Normal 3 6 11 15 2" xfId="46154" xr:uid="{00000000-0005-0000-0000-000041B40000}"/>
    <cellStyle name="Normal 3 6 11 15 3" xfId="46155" xr:uid="{00000000-0005-0000-0000-000042B40000}"/>
    <cellStyle name="Normal 3 6 11 16" xfId="46156" xr:uid="{00000000-0005-0000-0000-000043B40000}"/>
    <cellStyle name="Normal 3 6 11 16 2" xfId="46157" xr:uid="{00000000-0005-0000-0000-000044B40000}"/>
    <cellStyle name="Normal 3 6 11 16 3" xfId="46158" xr:uid="{00000000-0005-0000-0000-000045B40000}"/>
    <cellStyle name="Normal 3 6 11 17" xfId="46159" xr:uid="{00000000-0005-0000-0000-000046B40000}"/>
    <cellStyle name="Normal 3 6 11 17 2" xfId="46160" xr:uid="{00000000-0005-0000-0000-000047B40000}"/>
    <cellStyle name="Normal 3 6 11 17 3" xfId="46161" xr:uid="{00000000-0005-0000-0000-000048B40000}"/>
    <cellStyle name="Normal 3 6 11 18" xfId="46162" xr:uid="{00000000-0005-0000-0000-000049B40000}"/>
    <cellStyle name="Normal 3 6 11 19" xfId="46163" xr:uid="{00000000-0005-0000-0000-00004AB40000}"/>
    <cellStyle name="Normal 3 6 11 2" xfId="46164" xr:uid="{00000000-0005-0000-0000-00004BB40000}"/>
    <cellStyle name="Normal 3 6 11 3" xfId="46165" xr:uid="{00000000-0005-0000-0000-00004CB40000}"/>
    <cellStyle name="Normal 3 6 11 4" xfId="46166" xr:uid="{00000000-0005-0000-0000-00004DB40000}"/>
    <cellStyle name="Normal 3 6 11 5" xfId="46167" xr:uid="{00000000-0005-0000-0000-00004EB40000}"/>
    <cellStyle name="Normal 3 6 11 5 2" xfId="46168" xr:uid="{00000000-0005-0000-0000-00004FB40000}"/>
    <cellStyle name="Normal 3 6 11 5 3" xfId="46169" xr:uid="{00000000-0005-0000-0000-000050B40000}"/>
    <cellStyle name="Normal 3 6 11 6" xfId="46170" xr:uid="{00000000-0005-0000-0000-000051B40000}"/>
    <cellStyle name="Normal 3 6 11 6 2" xfId="46171" xr:uid="{00000000-0005-0000-0000-000052B40000}"/>
    <cellStyle name="Normal 3 6 11 6 3" xfId="46172" xr:uid="{00000000-0005-0000-0000-000053B40000}"/>
    <cellStyle name="Normal 3 6 11 7" xfId="46173" xr:uid="{00000000-0005-0000-0000-000054B40000}"/>
    <cellStyle name="Normal 3 6 11 7 2" xfId="46174" xr:uid="{00000000-0005-0000-0000-000055B40000}"/>
    <cellStyle name="Normal 3 6 11 7 3" xfId="46175" xr:uid="{00000000-0005-0000-0000-000056B40000}"/>
    <cellStyle name="Normal 3 6 11 8" xfId="46176" xr:uid="{00000000-0005-0000-0000-000057B40000}"/>
    <cellStyle name="Normal 3 6 11 8 2" xfId="46177" xr:uid="{00000000-0005-0000-0000-000058B40000}"/>
    <cellStyle name="Normal 3 6 11 8 3" xfId="46178" xr:uid="{00000000-0005-0000-0000-000059B40000}"/>
    <cellStyle name="Normal 3 6 11 9" xfId="46179" xr:uid="{00000000-0005-0000-0000-00005AB40000}"/>
    <cellStyle name="Normal 3 6 11 9 2" xfId="46180" xr:uid="{00000000-0005-0000-0000-00005BB40000}"/>
    <cellStyle name="Normal 3 6 11 9 3" xfId="46181" xr:uid="{00000000-0005-0000-0000-00005CB40000}"/>
    <cellStyle name="Normal 3 6 12" xfId="46182" xr:uid="{00000000-0005-0000-0000-00005DB40000}"/>
    <cellStyle name="Normal 3 6 13" xfId="46183" xr:uid="{00000000-0005-0000-0000-00005EB40000}"/>
    <cellStyle name="Normal 3 6 14" xfId="46184" xr:uid="{00000000-0005-0000-0000-00005FB40000}"/>
    <cellStyle name="Normal 3 6 14 10" xfId="46185" xr:uid="{00000000-0005-0000-0000-000060B40000}"/>
    <cellStyle name="Normal 3 6 14 10 2" xfId="46186" xr:uid="{00000000-0005-0000-0000-000061B40000}"/>
    <cellStyle name="Normal 3 6 14 10 3" xfId="46187" xr:uid="{00000000-0005-0000-0000-000062B40000}"/>
    <cellStyle name="Normal 3 6 14 11" xfId="46188" xr:uid="{00000000-0005-0000-0000-000063B40000}"/>
    <cellStyle name="Normal 3 6 14 11 2" xfId="46189" xr:uid="{00000000-0005-0000-0000-000064B40000}"/>
    <cellStyle name="Normal 3 6 14 11 3" xfId="46190" xr:uid="{00000000-0005-0000-0000-000065B40000}"/>
    <cellStyle name="Normal 3 6 14 12" xfId="46191" xr:uid="{00000000-0005-0000-0000-000066B40000}"/>
    <cellStyle name="Normal 3 6 14 12 2" xfId="46192" xr:uid="{00000000-0005-0000-0000-000067B40000}"/>
    <cellStyle name="Normal 3 6 14 12 3" xfId="46193" xr:uid="{00000000-0005-0000-0000-000068B40000}"/>
    <cellStyle name="Normal 3 6 14 13" xfId="46194" xr:uid="{00000000-0005-0000-0000-000069B40000}"/>
    <cellStyle name="Normal 3 6 14 13 2" xfId="46195" xr:uid="{00000000-0005-0000-0000-00006AB40000}"/>
    <cellStyle name="Normal 3 6 14 13 3" xfId="46196" xr:uid="{00000000-0005-0000-0000-00006BB40000}"/>
    <cellStyle name="Normal 3 6 14 14" xfId="46197" xr:uid="{00000000-0005-0000-0000-00006CB40000}"/>
    <cellStyle name="Normal 3 6 14 14 2" xfId="46198" xr:uid="{00000000-0005-0000-0000-00006DB40000}"/>
    <cellStyle name="Normal 3 6 14 14 3" xfId="46199" xr:uid="{00000000-0005-0000-0000-00006EB40000}"/>
    <cellStyle name="Normal 3 6 14 15" xfId="46200" xr:uid="{00000000-0005-0000-0000-00006FB40000}"/>
    <cellStyle name="Normal 3 6 14 15 2" xfId="46201" xr:uid="{00000000-0005-0000-0000-000070B40000}"/>
    <cellStyle name="Normal 3 6 14 15 3" xfId="46202" xr:uid="{00000000-0005-0000-0000-000071B40000}"/>
    <cellStyle name="Normal 3 6 14 16" xfId="46203" xr:uid="{00000000-0005-0000-0000-000072B40000}"/>
    <cellStyle name="Normal 3 6 14 17" xfId="46204" xr:uid="{00000000-0005-0000-0000-000073B40000}"/>
    <cellStyle name="Normal 3 6 14 2" xfId="46205" xr:uid="{00000000-0005-0000-0000-000074B40000}"/>
    <cellStyle name="Normal 3 6 14 2 10" xfId="46206" xr:uid="{00000000-0005-0000-0000-000075B40000}"/>
    <cellStyle name="Normal 3 6 14 2 10 2" xfId="46207" xr:uid="{00000000-0005-0000-0000-000076B40000}"/>
    <cellStyle name="Normal 3 6 14 2 10 3" xfId="46208" xr:uid="{00000000-0005-0000-0000-000077B40000}"/>
    <cellStyle name="Normal 3 6 14 2 11" xfId="46209" xr:uid="{00000000-0005-0000-0000-000078B40000}"/>
    <cellStyle name="Normal 3 6 14 2 11 2" xfId="46210" xr:uid="{00000000-0005-0000-0000-000079B40000}"/>
    <cellStyle name="Normal 3 6 14 2 11 3" xfId="46211" xr:uid="{00000000-0005-0000-0000-00007AB40000}"/>
    <cellStyle name="Normal 3 6 14 2 12" xfId="46212" xr:uid="{00000000-0005-0000-0000-00007BB40000}"/>
    <cellStyle name="Normal 3 6 14 2 12 2" xfId="46213" xr:uid="{00000000-0005-0000-0000-00007CB40000}"/>
    <cellStyle name="Normal 3 6 14 2 12 3" xfId="46214" xr:uid="{00000000-0005-0000-0000-00007DB40000}"/>
    <cellStyle name="Normal 3 6 14 2 13" xfId="46215" xr:uid="{00000000-0005-0000-0000-00007EB40000}"/>
    <cellStyle name="Normal 3 6 14 2 13 2" xfId="46216" xr:uid="{00000000-0005-0000-0000-00007FB40000}"/>
    <cellStyle name="Normal 3 6 14 2 13 3" xfId="46217" xr:uid="{00000000-0005-0000-0000-000080B40000}"/>
    <cellStyle name="Normal 3 6 14 2 14" xfId="46218" xr:uid="{00000000-0005-0000-0000-000081B40000}"/>
    <cellStyle name="Normal 3 6 14 2 14 2" xfId="46219" xr:uid="{00000000-0005-0000-0000-000082B40000}"/>
    <cellStyle name="Normal 3 6 14 2 14 3" xfId="46220" xr:uid="{00000000-0005-0000-0000-000083B40000}"/>
    <cellStyle name="Normal 3 6 14 2 15" xfId="46221" xr:uid="{00000000-0005-0000-0000-000084B40000}"/>
    <cellStyle name="Normal 3 6 14 2 16" xfId="46222" xr:uid="{00000000-0005-0000-0000-000085B40000}"/>
    <cellStyle name="Normal 3 6 14 2 2" xfId="46223" xr:uid="{00000000-0005-0000-0000-000086B40000}"/>
    <cellStyle name="Normal 3 6 14 2 2 2" xfId="46224" xr:uid="{00000000-0005-0000-0000-000087B40000}"/>
    <cellStyle name="Normal 3 6 14 2 2 3" xfId="46225" xr:uid="{00000000-0005-0000-0000-000088B40000}"/>
    <cellStyle name="Normal 3 6 14 2 3" xfId="46226" xr:uid="{00000000-0005-0000-0000-000089B40000}"/>
    <cellStyle name="Normal 3 6 14 2 3 2" xfId="46227" xr:uid="{00000000-0005-0000-0000-00008AB40000}"/>
    <cellStyle name="Normal 3 6 14 2 3 3" xfId="46228" xr:uid="{00000000-0005-0000-0000-00008BB40000}"/>
    <cellStyle name="Normal 3 6 14 2 4" xfId="46229" xr:uid="{00000000-0005-0000-0000-00008CB40000}"/>
    <cellStyle name="Normal 3 6 14 2 4 2" xfId="46230" xr:uid="{00000000-0005-0000-0000-00008DB40000}"/>
    <cellStyle name="Normal 3 6 14 2 4 3" xfId="46231" xr:uid="{00000000-0005-0000-0000-00008EB40000}"/>
    <cellStyle name="Normal 3 6 14 2 5" xfId="46232" xr:uid="{00000000-0005-0000-0000-00008FB40000}"/>
    <cellStyle name="Normal 3 6 14 2 5 2" xfId="46233" xr:uid="{00000000-0005-0000-0000-000090B40000}"/>
    <cellStyle name="Normal 3 6 14 2 5 3" xfId="46234" xr:uid="{00000000-0005-0000-0000-000091B40000}"/>
    <cellStyle name="Normal 3 6 14 2 6" xfId="46235" xr:uid="{00000000-0005-0000-0000-000092B40000}"/>
    <cellStyle name="Normal 3 6 14 2 6 2" xfId="46236" xr:uid="{00000000-0005-0000-0000-000093B40000}"/>
    <cellStyle name="Normal 3 6 14 2 6 3" xfId="46237" xr:uid="{00000000-0005-0000-0000-000094B40000}"/>
    <cellStyle name="Normal 3 6 14 2 7" xfId="46238" xr:uid="{00000000-0005-0000-0000-000095B40000}"/>
    <cellStyle name="Normal 3 6 14 2 7 2" xfId="46239" xr:uid="{00000000-0005-0000-0000-000096B40000}"/>
    <cellStyle name="Normal 3 6 14 2 7 3" xfId="46240" xr:uid="{00000000-0005-0000-0000-000097B40000}"/>
    <cellStyle name="Normal 3 6 14 2 8" xfId="46241" xr:uid="{00000000-0005-0000-0000-000098B40000}"/>
    <cellStyle name="Normal 3 6 14 2 8 2" xfId="46242" xr:uid="{00000000-0005-0000-0000-000099B40000}"/>
    <cellStyle name="Normal 3 6 14 2 8 3" xfId="46243" xr:uid="{00000000-0005-0000-0000-00009AB40000}"/>
    <cellStyle name="Normal 3 6 14 2 9" xfId="46244" xr:uid="{00000000-0005-0000-0000-00009BB40000}"/>
    <cellStyle name="Normal 3 6 14 2 9 2" xfId="46245" xr:uid="{00000000-0005-0000-0000-00009CB40000}"/>
    <cellStyle name="Normal 3 6 14 2 9 3" xfId="46246" xr:uid="{00000000-0005-0000-0000-00009DB40000}"/>
    <cellStyle name="Normal 3 6 14 3" xfId="46247" xr:uid="{00000000-0005-0000-0000-00009EB40000}"/>
    <cellStyle name="Normal 3 6 14 3 2" xfId="46248" xr:uid="{00000000-0005-0000-0000-00009FB40000}"/>
    <cellStyle name="Normal 3 6 14 3 3" xfId="46249" xr:uid="{00000000-0005-0000-0000-0000A0B40000}"/>
    <cellStyle name="Normal 3 6 14 4" xfId="46250" xr:uid="{00000000-0005-0000-0000-0000A1B40000}"/>
    <cellStyle name="Normal 3 6 14 4 2" xfId="46251" xr:uid="{00000000-0005-0000-0000-0000A2B40000}"/>
    <cellStyle name="Normal 3 6 14 4 3" xfId="46252" xr:uid="{00000000-0005-0000-0000-0000A3B40000}"/>
    <cellStyle name="Normal 3 6 14 5" xfId="46253" xr:uid="{00000000-0005-0000-0000-0000A4B40000}"/>
    <cellStyle name="Normal 3 6 14 5 2" xfId="46254" xr:uid="{00000000-0005-0000-0000-0000A5B40000}"/>
    <cellStyle name="Normal 3 6 14 5 3" xfId="46255" xr:uid="{00000000-0005-0000-0000-0000A6B40000}"/>
    <cellStyle name="Normal 3 6 14 6" xfId="46256" xr:uid="{00000000-0005-0000-0000-0000A7B40000}"/>
    <cellStyle name="Normal 3 6 14 6 2" xfId="46257" xr:uid="{00000000-0005-0000-0000-0000A8B40000}"/>
    <cellStyle name="Normal 3 6 14 6 3" xfId="46258" xr:uid="{00000000-0005-0000-0000-0000A9B40000}"/>
    <cellStyle name="Normal 3 6 14 7" xfId="46259" xr:uid="{00000000-0005-0000-0000-0000AAB40000}"/>
    <cellStyle name="Normal 3 6 14 7 2" xfId="46260" xr:uid="{00000000-0005-0000-0000-0000ABB40000}"/>
    <cellStyle name="Normal 3 6 14 7 3" xfId="46261" xr:uid="{00000000-0005-0000-0000-0000ACB40000}"/>
    <cellStyle name="Normal 3 6 14 8" xfId="46262" xr:uid="{00000000-0005-0000-0000-0000ADB40000}"/>
    <cellStyle name="Normal 3 6 14 8 2" xfId="46263" xr:uid="{00000000-0005-0000-0000-0000AEB40000}"/>
    <cellStyle name="Normal 3 6 14 8 3" xfId="46264" xr:uid="{00000000-0005-0000-0000-0000AFB40000}"/>
    <cellStyle name="Normal 3 6 14 9" xfId="46265" xr:uid="{00000000-0005-0000-0000-0000B0B40000}"/>
    <cellStyle name="Normal 3 6 14 9 2" xfId="46266" xr:uid="{00000000-0005-0000-0000-0000B1B40000}"/>
    <cellStyle name="Normal 3 6 14 9 3" xfId="46267" xr:uid="{00000000-0005-0000-0000-0000B2B40000}"/>
    <cellStyle name="Normal 3 6 15" xfId="46268" xr:uid="{00000000-0005-0000-0000-0000B3B40000}"/>
    <cellStyle name="Normal 3 6 15 10" xfId="46269" xr:uid="{00000000-0005-0000-0000-0000B4B40000}"/>
    <cellStyle name="Normal 3 6 15 10 2" xfId="46270" xr:uid="{00000000-0005-0000-0000-0000B5B40000}"/>
    <cellStyle name="Normal 3 6 15 10 3" xfId="46271" xr:uid="{00000000-0005-0000-0000-0000B6B40000}"/>
    <cellStyle name="Normal 3 6 15 11" xfId="46272" xr:uid="{00000000-0005-0000-0000-0000B7B40000}"/>
    <cellStyle name="Normal 3 6 15 11 2" xfId="46273" xr:uid="{00000000-0005-0000-0000-0000B8B40000}"/>
    <cellStyle name="Normal 3 6 15 11 3" xfId="46274" xr:uid="{00000000-0005-0000-0000-0000B9B40000}"/>
    <cellStyle name="Normal 3 6 15 12" xfId="46275" xr:uid="{00000000-0005-0000-0000-0000BAB40000}"/>
    <cellStyle name="Normal 3 6 15 12 2" xfId="46276" xr:uid="{00000000-0005-0000-0000-0000BBB40000}"/>
    <cellStyle name="Normal 3 6 15 12 3" xfId="46277" xr:uid="{00000000-0005-0000-0000-0000BCB40000}"/>
    <cellStyle name="Normal 3 6 15 13" xfId="46278" xr:uid="{00000000-0005-0000-0000-0000BDB40000}"/>
    <cellStyle name="Normal 3 6 15 13 2" xfId="46279" xr:uid="{00000000-0005-0000-0000-0000BEB40000}"/>
    <cellStyle name="Normal 3 6 15 13 3" xfId="46280" xr:uid="{00000000-0005-0000-0000-0000BFB40000}"/>
    <cellStyle name="Normal 3 6 15 14" xfId="46281" xr:uid="{00000000-0005-0000-0000-0000C0B40000}"/>
    <cellStyle name="Normal 3 6 15 14 2" xfId="46282" xr:uid="{00000000-0005-0000-0000-0000C1B40000}"/>
    <cellStyle name="Normal 3 6 15 14 3" xfId="46283" xr:uid="{00000000-0005-0000-0000-0000C2B40000}"/>
    <cellStyle name="Normal 3 6 15 15" xfId="46284" xr:uid="{00000000-0005-0000-0000-0000C3B40000}"/>
    <cellStyle name="Normal 3 6 15 15 2" xfId="46285" xr:uid="{00000000-0005-0000-0000-0000C4B40000}"/>
    <cellStyle name="Normal 3 6 15 15 3" xfId="46286" xr:uid="{00000000-0005-0000-0000-0000C5B40000}"/>
    <cellStyle name="Normal 3 6 15 16" xfId="46287" xr:uid="{00000000-0005-0000-0000-0000C6B40000}"/>
    <cellStyle name="Normal 3 6 15 17" xfId="46288" xr:uid="{00000000-0005-0000-0000-0000C7B40000}"/>
    <cellStyle name="Normal 3 6 15 2" xfId="46289" xr:uid="{00000000-0005-0000-0000-0000C8B40000}"/>
    <cellStyle name="Normal 3 6 15 2 10" xfId="46290" xr:uid="{00000000-0005-0000-0000-0000C9B40000}"/>
    <cellStyle name="Normal 3 6 15 2 10 2" xfId="46291" xr:uid="{00000000-0005-0000-0000-0000CAB40000}"/>
    <cellStyle name="Normal 3 6 15 2 10 3" xfId="46292" xr:uid="{00000000-0005-0000-0000-0000CBB40000}"/>
    <cellStyle name="Normal 3 6 15 2 11" xfId="46293" xr:uid="{00000000-0005-0000-0000-0000CCB40000}"/>
    <cellStyle name="Normal 3 6 15 2 11 2" xfId="46294" xr:uid="{00000000-0005-0000-0000-0000CDB40000}"/>
    <cellStyle name="Normal 3 6 15 2 11 3" xfId="46295" xr:uid="{00000000-0005-0000-0000-0000CEB40000}"/>
    <cellStyle name="Normal 3 6 15 2 12" xfId="46296" xr:uid="{00000000-0005-0000-0000-0000CFB40000}"/>
    <cellStyle name="Normal 3 6 15 2 12 2" xfId="46297" xr:uid="{00000000-0005-0000-0000-0000D0B40000}"/>
    <cellStyle name="Normal 3 6 15 2 12 3" xfId="46298" xr:uid="{00000000-0005-0000-0000-0000D1B40000}"/>
    <cellStyle name="Normal 3 6 15 2 13" xfId="46299" xr:uid="{00000000-0005-0000-0000-0000D2B40000}"/>
    <cellStyle name="Normal 3 6 15 2 13 2" xfId="46300" xr:uid="{00000000-0005-0000-0000-0000D3B40000}"/>
    <cellStyle name="Normal 3 6 15 2 13 3" xfId="46301" xr:uid="{00000000-0005-0000-0000-0000D4B40000}"/>
    <cellStyle name="Normal 3 6 15 2 14" xfId="46302" xr:uid="{00000000-0005-0000-0000-0000D5B40000}"/>
    <cellStyle name="Normal 3 6 15 2 14 2" xfId="46303" xr:uid="{00000000-0005-0000-0000-0000D6B40000}"/>
    <cellStyle name="Normal 3 6 15 2 14 3" xfId="46304" xr:uid="{00000000-0005-0000-0000-0000D7B40000}"/>
    <cellStyle name="Normal 3 6 15 2 15" xfId="46305" xr:uid="{00000000-0005-0000-0000-0000D8B40000}"/>
    <cellStyle name="Normal 3 6 15 2 16" xfId="46306" xr:uid="{00000000-0005-0000-0000-0000D9B40000}"/>
    <cellStyle name="Normal 3 6 15 2 2" xfId="46307" xr:uid="{00000000-0005-0000-0000-0000DAB40000}"/>
    <cellStyle name="Normal 3 6 15 2 2 2" xfId="46308" xr:uid="{00000000-0005-0000-0000-0000DBB40000}"/>
    <cellStyle name="Normal 3 6 15 2 2 3" xfId="46309" xr:uid="{00000000-0005-0000-0000-0000DCB40000}"/>
    <cellStyle name="Normal 3 6 15 2 3" xfId="46310" xr:uid="{00000000-0005-0000-0000-0000DDB40000}"/>
    <cellStyle name="Normal 3 6 15 2 3 2" xfId="46311" xr:uid="{00000000-0005-0000-0000-0000DEB40000}"/>
    <cellStyle name="Normal 3 6 15 2 3 3" xfId="46312" xr:uid="{00000000-0005-0000-0000-0000DFB40000}"/>
    <cellStyle name="Normal 3 6 15 2 4" xfId="46313" xr:uid="{00000000-0005-0000-0000-0000E0B40000}"/>
    <cellStyle name="Normal 3 6 15 2 4 2" xfId="46314" xr:uid="{00000000-0005-0000-0000-0000E1B40000}"/>
    <cellStyle name="Normal 3 6 15 2 4 3" xfId="46315" xr:uid="{00000000-0005-0000-0000-0000E2B40000}"/>
    <cellStyle name="Normal 3 6 15 2 5" xfId="46316" xr:uid="{00000000-0005-0000-0000-0000E3B40000}"/>
    <cellStyle name="Normal 3 6 15 2 5 2" xfId="46317" xr:uid="{00000000-0005-0000-0000-0000E4B40000}"/>
    <cellStyle name="Normal 3 6 15 2 5 3" xfId="46318" xr:uid="{00000000-0005-0000-0000-0000E5B40000}"/>
    <cellStyle name="Normal 3 6 15 2 6" xfId="46319" xr:uid="{00000000-0005-0000-0000-0000E6B40000}"/>
    <cellStyle name="Normal 3 6 15 2 6 2" xfId="46320" xr:uid="{00000000-0005-0000-0000-0000E7B40000}"/>
    <cellStyle name="Normal 3 6 15 2 6 3" xfId="46321" xr:uid="{00000000-0005-0000-0000-0000E8B40000}"/>
    <cellStyle name="Normal 3 6 15 2 7" xfId="46322" xr:uid="{00000000-0005-0000-0000-0000E9B40000}"/>
    <cellStyle name="Normal 3 6 15 2 7 2" xfId="46323" xr:uid="{00000000-0005-0000-0000-0000EAB40000}"/>
    <cellStyle name="Normal 3 6 15 2 7 3" xfId="46324" xr:uid="{00000000-0005-0000-0000-0000EBB40000}"/>
    <cellStyle name="Normal 3 6 15 2 8" xfId="46325" xr:uid="{00000000-0005-0000-0000-0000ECB40000}"/>
    <cellStyle name="Normal 3 6 15 2 8 2" xfId="46326" xr:uid="{00000000-0005-0000-0000-0000EDB40000}"/>
    <cellStyle name="Normal 3 6 15 2 8 3" xfId="46327" xr:uid="{00000000-0005-0000-0000-0000EEB40000}"/>
    <cellStyle name="Normal 3 6 15 2 9" xfId="46328" xr:uid="{00000000-0005-0000-0000-0000EFB40000}"/>
    <cellStyle name="Normal 3 6 15 2 9 2" xfId="46329" xr:uid="{00000000-0005-0000-0000-0000F0B40000}"/>
    <cellStyle name="Normal 3 6 15 2 9 3" xfId="46330" xr:uid="{00000000-0005-0000-0000-0000F1B40000}"/>
    <cellStyle name="Normal 3 6 15 3" xfId="46331" xr:uid="{00000000-0005-0000-0000-0000F2B40000}"/>
    <cellStyle name="Normal 3 6 15 3 2" xfId="46332" xr:uid="{00000000-0005-0000-0000-0000F3B40000}"/>
    <cellStyle name="Normal 3 6 15 3 3" xfId="46333" xr:uid="{00000000-0005-0000-0000-0000F4B40000}"/>
    <cellStyle name="Normal 3 6 15 4" xfId="46334" xr:uid="{00000000-0005-0000-0000-0000F5B40000}"/>
    <cellStyle name="Normal 3 6 15 4 2" xfId="46335" xr:uid="{00000000-0005-0000-0000-0000F6B40000}"/>
    <cellStyle name="Normal 3 6 15 4 3" xfId="46336" xr:uid="{00000000-0005-0000-0000-0000F7B40000}"/>
    <cellStyle name="Normal 3 6 15 5" xfId="46337" xr:uid="{00000000-0005-0000-0000-0000F8B40000}"/>
    <cellStyle name="Normal 3 6 15 5 2" xfId="46338" xr:uid="{00000000-0005-0000-0000-0000F9B40000}"/>
    <cellStyle name="Normal 3 6 15 5 3" xfId="46339" xr:uid="{00000000-0005-0000-0000-0000FAB40000}"/>
    <cellStyle name="Normal 3 6 15 6" xfId="46340" xr:uid="{00000000-0005-0000-0000-0000FBB40000}"/>
    <cellStyle name="Normal 3 6 15 6 2" xfId="46341" xr:uid="{00000000-0005-0000-0000-0000FCB40000}"/>
    <cellStyle name="Normal 3 6 15 6 3" xfId="46342" xr:uid="{00000000-0005-0000-0000-0000FDB40000}"/>
    <cellStyle name="Normal 3 6 15 7" xfId="46343" xr:uid="{00000000-0005-0000-0000-0000FEB40000}"/>
    <cellStyle name="Normal 3 6 15 7 2" xfId="46344" xr:uid="{00000000-0005-0000-0000-0000FFB40000}"/>
    <cellStyle name="Normal 3 6 15 7 3" xfId="46345" xr:uid="{00000000-0005-0000-0000-000000B50000}"/>
    <cellStyle name="Normal 3 6 15 8" xfId="46346" xr:uid="{00000000-0005-0000-0000-000001B50000}"/>
    <cellStyle name="Normal 3 6 15 8 2" xfId="46347" xr:uid="{00000000-0005-0000-0000-000002B50000}"/>
    <cellStyle name="Normal 3 6 15 8 3" xfId="46348" xr:uid="{00000000-0005-0000-0000-000003B50000}"/>
    <cellStyle name="Normal 3 6 15 9" xfId="46349" xr:uid="{00000000-0005-0000-0000-000004B50000}"/>
    <cellStyle name="Normal 3 6 15 9 2" xfId="46350" xr:uid="{00000000-0005-0000-0000-000005B50000}"/>
    <cellStyle name="Normal 3 6 15 9 3" xfId="46351" xr:uid="{00000000-0005-0000-0000-000006B50000}"/>
    <cellStyle name="Normal 3 6 16" xfId="46352" xr:uid="{00000000-0005-0000-0000-000007B50000}"/>
    <cellStyle name="Normal 3 6 16 10" xfId="46353" xr:uid="{00000000-0005-0000-0000-000008B50000}"/>
    <cellStyle name="Normal 3 6 16 10 2" xfId="46354" xr:uid="{00000000-0005-0000-0000-000009B50000}"/>
    <cellStyle name="Normal 3 6 16 10 3" xfId="46355" xr:uid="{00000000-0005-0000-0000-00000AB50000}"/>
    <cellStyle name="Normal 3 6 16 11" xfId="46356" xr:uid="{00000000-0005-0000-0000-00000BB50000}"/>
    <cellStyle name="Normal 3 6 16 11 2" xfId="46357" xr:uid="{00000000-0005-0000-0000-00000CB50000}"/>
    <cellStyle name="Normal 3 6 16 11 3" xfId="46358" xr:uid="{00000000-0005-0000-0000-00000DB50000}"/>
    <cellStyle name="Normal 3 6 16 12" xfId="46359" xr:uid="{00000000-0005-0000-0000-00000EB50000}"/>
    <cellStyle name="Normal 3 6 16 12 2" xfId="46360" xr:uid="{00000000-0005-0000-0000-00000FB50000}"/>
    <cellStyle name="Normal 3 6 16 12 3" xfId="46361" xr:uid="{00000000-0005-0000-0000-000010B50000}"/>
    <cellStyle name="Normal 3 6 16 13" xfId="46362" xr:uid="{00000000-0005-0000-0000-000011B50000}"/>
    <cellStyle name="Normal 3 6 16 13 2" xfId="46363" xr:uid="{00000000-0005-0000-0000-000012B50000}"/>
    <cellStyle name="Normal 3 6 16 13 3" xfId="46364" xr:uid="{00000000-0005-0000-0000-000013B50000}"/>
    <cellStyle name="Normal 3 6 16 14" xfId="46365" xr:uid="{00000000-0005-0000-0000-000014B50000}"/>
    <cellStyle name="Normal 3 6 16 14 2" xfId="46366" xr:uid="{00000000-0005-0000-0000-000015B50000}"/>
    <cellStyle name="Normal 3 6 16 14 3" xfId="46367" xr:uid="{00000000-0005-0000-0000-000016B50000}"/>
    <cellStyle name="Normal 3 6 16 15" xfId="46368" xr:uid="{00000000-0005-0000-0000-000017B50000}"/>
    <cellStyle name="Normal 3 6 16 15 2" xfId="46369" xr:uid="{00000000-0005-0000-0000-000018B50000}"/>
    <cellStyle name="Normal 3 6 16 15 3" xfId="46370" xr:uid="{00000000-0005-0000-0000-000019B50000}"/>
    <cellStyle name="Normal 3 6 16 16" xfId="46371" xr:uid="{00000000-0005-0000-0000-00001AB50000}"/>
    <cellStyle name="Normal 3 6 16 17" xfId="46372" xr:uid="{00000000-0005-0000-0000-00001BB50000}"/>
    <cellStyle name="Normal 3 6 16 2" xfId="46373" xr:uid="{00000000-0005-0000-0000-00001CB50000}"/>
    <cellStyle name="Normal 3 6 16 2 10" xfId="46374" xr:uid="{00000000-0005-0000-0000-00001DB50000}"/>
    <cellStyle name="Normal 3 6 16 2 10 2" xfId="46375" xr:uid="{00000000-0005-0000-0000-00001EB50000}"/>
    <cellStyle name="Normal 3 6 16 2 10 3" xfId="46376" xr:uid="{00000000-0005-0000-0000-00001FB50000}"/>
    <cellStyle name="Normal 3 6 16 2 11" xfId="46377" xr:uid="{00000000-0005-0000-0000-000020B50000}"/>
    <cellStyle name="Normal 3 6 16 2 11 2" xfId="46378" xr:uid="{00000000-0005-0000-0000-000021B50000}"/>
    <cellStyle name="Normal 3 6 16 2 11 3" xfId="46379" xr:uid="{00000000-0005-0000-0000-000022B50000}"/>
    <cellStyle name="Normal 3 6 16 2 12" xfId="46380" xr:uid="{00000000-0005-0000-0000-000023B50000}"/>
    <cellStyle name="Normal 3 6 16 2 12 2" xfId="46381" xr:uid="{00000000-0005-0000-0000-000024B50000}"/>
    <cellStyle name="Normal 3 6 16 2 12 3" xfId="46382" xr:uid="{00000000-0005-0000-0000-000025B50000}"/>
    <cellStyle name="Normal 3 6 16 2 13" xfId="46383" xr:uid="{00000000-0005-0000-0000-000026B50000}"/>
    <cellStyle name="Normal 3 6 16 2 13 2" xfId="46384" xr:uid="{00000000-0005-0000-0000-000027B50000}"/>
    <cellStyle name="Normal 3 6 16 2 13 3" xfId="46385" xr:uid="{00000000-0005-0000-0000-000028B50000}"/>
    <cellStyle name="Normal 3 6 16 2 14" xfId="46386" xr:uid="{00000000-0005-0000-0000-000029B50000}"/>
    <cellStyle name="Normal 3 6 16 2 14 2" xfId="46387" xr:uid="{00000000-0005-0000-0000-00002AB50000}"/>
    <cellStyle name="Normal 3 6 16 2 14 3" xfId="46388" xr:uid="{00000000-0005-0000-0000-00002BB50000}"/>
    <cellStyle name="Normal 3 6 16 2 15" xfId="46389" xr:uid="{00000000-0005-0000-0000-00002CB50000}"/>
    <cellStyle name="Normal 3 6 16 2 16" xfId="46390" xr:uid="{00000000-0005-0000-0000-00002DB50000}"/>
    <cellStyle name="Normal 3 6 16 2 2" xfId="46391" xr:uid="{00000000-0005-0000-0000-00002EB50000}"/>
    <cellStyle name="Normal 3 6 16 2 2 2" xfId="46392" xr:uid="{00000000-0005-0000-0000-00002FB50000}"/>
    <cellStyle name="Normal 3 6 16 2 2 3" xfId="46393" xr:uid="{00000000-0005-0000-0000-000030B50000}"/>
    <cellStyle name="Normal 3 6 16 2 3" xfId="46394" xr:uid="{00000000-0005-0000-0000-000031B50000}"/>
    <cellStyle name="Normal 3 6 16 2 3 2" xfId="46395" xr:uid="{00000000-0005-0000-0000-000032B50000}"/>
    <cellStyle name="Normal 3 6 16 2 3 3" xfId="46396" xr:uid="{00000000-0005-0000-0000-000033B50000}"/>
    <cellStyle name="Normal 3 6 16 2 4" xfId="46397" xr:uid="{00000000-0005-0000-0000-000034B50000}"/>
    <cellStyle name="Normal 3 6 16 2 4 2" xfId="46398" xr:uid="{00000000-0005-0000-0000-000035B50000}"/>
    <cellStyle name="Normal 3 6 16 2 4 3" xfId="46399" xr:uid="{00000000-0005-0000-0000-000036B50000}"/>
    <cellStyle name="Normal 3 6 16 2 5" xfId="46400" xr:uid="{00000000-0005-0000-0000-000037B50000}"/>
    <cellStyle name="Normal 3 6 16 2 5 2" xfId="46401" xr:uid="{00000000-0005-0000-0000-000038B50000}"/>
    <cellStyle name="Normal 3 6 16 2 5 3" xfId="46402" xr:uid="{00000000-0005-0000-0000-000039B50000}"/>
    <cellStyle name="Normal 3 6 16 2 6" xfId="46403" xr:uid="{00000000-0005-0000-0000-00003AB50000}"/>
    <cellStyle name="Normal 3 6 16 2 6 2" xfId="46404" xr:uid="{00000000-0005-0000-0000-00003BB50000}"/>
    <cellStyle name="Normal 3 6 16 2 6 3" xfId="46405" xr:uid="{00000000-0005-0000-0000-00003CB50000}"/>
    <cellStyle name="Normal 3 6 16 2 7" xfId="46406" xr:uid="{00000000-0005-0000-0000-00003DB50000}"/>
    <cellStyle name="Normal 3 6 16 2 7 2" xfId="46407" xr:uid="{00000000-0005-0000-0000-00003EB50000}"/>
    <cellStyle name="Normal 3 6 16 2 7 3" xfId="46408" xr:uid="{00000000-0005-0000-0000-00003FB50000}"/>
    <cellStyle name="Normal 3 6 16 2 8" xfId="46409" xr:uid="{00000000-0005-0000-0000-000040B50000}"/>
    <cellStyle name="Normal 3 6 16 2 8 2" xfId="46410" xr:uid="{00000000-0005-0000-0000-000041B50000}"/>
    <cellStyle name="Normal 3 6 16 2 8 3" xfId="46411" xr:uid="{00000000-0005-0000-0000-000042B50000}"/>
    <cellStyle name="Normal 3 6 16 2 9" xfId="46412" xr:uid="{00000000-0005-0000-0000-000043B50000}"/>
    <cellStyle name="Normal 3 6 16 2 9 2" xfId="46413" xr:uid="{00000000-0005-0000-0000-000044B50000}"/>
    <cellStyle name="Normal 3 6 16 2 9 3" xfId="46414" xr:uid="{00000000-0005-0000-0000-000045B50000}"/>
    <cellStyle name="Normal 3 6 16 3" xfId="46415" xr:uid="{00000000-0005-0000-0000-000046B50000}"/>
    <cellStyle name="Normal 3 6 16 3 2" xfId="46416" xr:uid="{00000000-0005-0000-0000-000047B50000}"/>
    <cellStyle name="Normal 3 6 16 3 3" xfId="46417" xr:uid="{00000000-0005-0000-0000-000048B50000}"/>
    <cellStyle name="Normal 3 6 16 4" xfId="46418" xr:uid="{00000000-0005-0000-0000-000049B50000}"/>
    <cellStyle name="Normal 3 6 16 4 2" xfId="46419" xr:uid="{00000000-0005-0000-0000-00004AB50000}"/>
    <cellStyle name="Normal 3 6 16 4 3" xfId="46420" xr:uid="{00000000-0005-0000-0000-00004BB50000}"/>
    <cellStyle name="Normal 3 6 16 5" xfId="46421" xr:uid="{00000000-0005-0000-0000-00004CB50000}"/>
    <cellStyle name="Normal 3 6 16 5 2" xfId="46422" xr:uid="{00000000-0005-0000-0000-00004DB50000}"/>
    <cellStyle name="Normal 3 6 16 5 3" xfId="46423" xr:uid="{00000000-0005-0000-0000-00004EB50000}"/>
    <cellStyle name="Normal 3 6 16 6" xfId="46424" xr:uid="{00000000-0005-0000-0000-00004FB50000}"/>
    <cellStyle name="Normal 3 6 16 6 2" xfId="46425" xr:uid="{00000000-0005-0000-0000-000050B50000}"/>
    <cellStyle name="Normal 3 6 16 6 3" xfId="46426" xr:uid="{00000000-0005-0000-0000-000051B50000}"/>
    <cellStyle name="Normal 3 6 16 7" xfId="46427" xr:uid="{00000000-0005-0000-0000-000052B50000}"/>
    <cellStyle name="Normal 3 6 16 7 2" xfId="46428" xr:uid="{00000000-0005-0000-0000-000053B50000}"/>
    <cellStyle name="Normal 3 6 16 7 3" xfId="46429" xr:uid="{00000000-0005-0000-0000-000054B50000}"/>
    <cellStyle name="Normal 3 6 16 8" xfId="46430" xr:uid="{00000000-0005-0000-0000-000055B50000}"/>
    <cellStyle name="Normal 3 6 16 8 2" xfId="46431" xr:uid="{00000000-0005-0000-0000-000056B50000}"/>
    <cellStyle name="Normal 3 6 16 8 3" xfId="46432" xr:uid="{00000000-0005-0000-0000-000057B50000}"/>
    <cellStyle name="Normal 3 6 16 9" xfId="46433" xr:uid="{00000000-0005-0000-0000-000058B50000}"/>
    <cellStyle name="Normal 3 6 16 9 2" xfId="46434" xr:uid="{00000000-0005-0000-0000-000059B50000}"/>
    <cellStyle name="Normal 3 6 16 9 3" xfId="46435" xr:uid="{00000000-0005-0000-0000-00005AB50000}"/>
    <cellStyle name="Normal 3 6 17" xfId="46436" xr:uid="{00000000-0005-0000-0000-00005BB50000}"/>
    <cellStyle name="Normal 3 6 17 10" xfId="46437" xr:uid="{00000000-0005-0000-0000-00005CB50000}"/>
    <cellStyle name="Normal 3 6 17 10 2" xfId="46438" xr:uid="{00000000-0005-0000-0000-00005DB50000}"/>
    <cellStyle name="Normal 3 6 17 10 3" xfId="46439" xr:uid="{00000000-0005-0000-0000-00005EB50000}"/>
    <cellStyle name="Normal 3 6 17 11" xfId="46440" xr:uid="{00000000-0005-0000-0000-00005FB50000}"/>
    <cellStyle name="Normal 3 6 17 11 2" xfId="46441" xr:uid="{00000000-0005-0000-0000-000060B50000}"/>
    <cellStyle name="Normal 3 6 17 11 3" xfId="46442" xr:uid="{00000000-0005-0000-0000-000061B50000}"/>
    <cellStyle name="Normal 3 6 17 12" xfId="46443" xr:uid="{00000000-0005-0000-0000-000062B50000}"/>
    <cellStyle name="Normal 3 6 17 12 2" xfId="46444" xr:uid="{00000000-0005-0000-0000-000063B50000}"/>
    <cellStyle name="Normal 3 6 17 12 3" xfId="46445" xr:uid="{00000000-0005-0000-0000-000064B50000}"/>
    <cellStyle name="Normal 3 6 17 13" xfId="46446" xr:uid="{00000000-0005-0000-0000-000065B50000}"/>
    <cellStyle name="Normal 3 6 17 13 2" xfId="46447" xr:uid="{00000000-0005-0000-0000-000066B50000}"/>
    <cellStyle name="Normal 3 6 17 13 3" xfId="46448" xr:uid="{00000000-0005-0000-0000-000067B50000}"/>
    <cellStyle name="Normal 3 6 17 14" xfId="46449" xr:uid="{00000000-0005-0000-0000-000068B50000}"/>
    <cellStyle name="Normal 3 6 17 14 2" xfId="46450" xr:uid="{00000000-0005-0000-0000-000069B50000}"/>
    <cellStyle name="Normal 3 6 17 14 3" xfId="46451" xr:uid="{00000000-0005-0000-0000-00006AB50000}"/>
    <cellStyle name="Normal 3 6 17 15" xfId="46452" xr:uid="{00000000-0005-0000-0000-00006BB50000}"/>
    <cellStyle name="Normal 3 6 17 16" xfId="46453" xr:uid="{00000000-0005-0000-0000-00006CB50000}"/>
    <cellStyle name="Normal 3 6 17 2" xfId="46454" xr:uid="{00000000-0005-0000-0000-00006DB50000}"/>
    <cellStyle name="Normal 3 6 17 2 2" xfId="46455" xr:uid="{00000000-0005-0000-0000-00006EB50000}"/>
    <cellStyle name="Normal 3 6 17 2 3" xfId="46456" xr:uid="{00000000-0005-0000-0000-00006FB50000}"/>
    <cellStyle name="Normal 3 6 17 3" xfId="46457" xr:uid="{00000000-0005-0000-0000-000070B50000}"/>
    <cellStyle name="Normal 3 6 17 3 2" xfId="46458" xr:uid="{00000000-0005-0000-0000-000071B50000}"/>
    <cellStyle name="Normal 3 6 17 3 3" xfId="46459" xr:uid="{00000000-0005-0000-0000-000072B50000}"/>
    <cellStyle name="Normal 3 6 17 4" xfId="46460" xr:uid="{00000000-0005-0000-0000-000073B50000}"/>
    <cellStyle name="Normal 3 6 17 4 2" xfId="46461" xr:uid="{00000000-0005-0000-0000-000074B50000}"/>
    <cellStyle name="Normal 3 6 17 4 3" xfId="46462" xr:uid="{00000000-0005-0000-0000-000075B50000}"/>
    <cellStyle name="Normal 3 6 17 5" xfId="46463" xr:uid="{00000000-0005-0000-0000-000076B50000}"/>
    <cellStyle name="Normal 3 6 17 5 2" xfId="46464" xr:uid="{00000000-0005-0000-0000-000077B50000}"/>
    <cellStyle name="Normal 3 6 17 5 3" xfId="46465" xr:uid="{00000000-0005-0000-0000-000078B50000}"/>
    <cellStyle name="Normal 3 6 17 6" xfId="46466" xr:uid="{00000000-0005-0000-0000-000079B50000}"/>
    <cellStyle name="Normal 3 6 17 6 2" xfId="46467" xr:uid="{00000000-0005-0000-0000-00007AB50000}"/>
    <cellStyle name="Normal 3 6 17 6 3" xfId="46468" xr:uid="{00000000-0005-0000-0000-00007BB50000}"/>
    <cellStyle name="Normal 3 6 17 7" xfId="46469" xr:uid="{00000000-0005-0000-0000-00007CB50000}"/>
    <cellStyle name="Normal 3 6 17 7 2" xfId="46470" xr:uid="{00000000-0005-0000-0000-00007DB50000}"/>
    <cellStyle name="Normal 3 6 17 7 3" xfId="46471" xr:uid="{00000000-0005-0000-0000-00007EB50000}"/>
    <cellStyle name="Normal 3 6 17 8" xfId="46472" xr:uid="{00000000-0005-0000-0000-00007FB50000}"/>
    <cellStyle name="Normal 3 6 17 8 2" xfId="46473" xr:uid="{00000000-0005-0000-0000-000080B50000}"/>
    <cellStyle name="Normal 3 6 17 8 3" xfId="46474" xr:uid="{00000000-0005-0000-0000-000081B50000}"/>
    <cellStyle name="Normal 3 6 17 9" xfId="46475" xr:uid="{00000000-0005-0000-0000-000082B50000}"/>
    <cellStyle name="Normal 3 6 17 9 2" xfId="46476" xr:uid="{00000000-0005-0000-0000-000083B50000}"/>
    <cellStyle name="Normal 3 6 17 9 3" xfId="46477" xr:uid="{00000000-0005-0000-0000-000084B50000}"/>
    <cellStyle name="Normal 3 6 18" xfId="46478" xr:uid="{00000000-0005-0000-0000-000085B50000}"/>
    <cellStyle name="Normal 3 6 18 10" xfId="46479" xr:uid="{00000000-0005-0000-0000-000086B50000}"/>
    <cellStyle name="Normal 3 6 18 10 2" xfId="46480" xr:uid="{00000000-0005-0000-0000-000087B50000}"/>
    <cellStyle name="Normal 3 6 18 10 3" xfId="46481" xr:uid="{00000000-0005-0000-0000-000088B50000}"/>
    <cellStyle name="Normal 3 6 18 11" xfId="46482" xr:uid="{00000000-0005-0000-0000-000089B50000}"/>
    <cellStyle name="Normal 3 6 18 11 2" xfId="46483" xr:uid="{00000000-0005-0000-0000-00008AB50000}"/>
    <cellStyle name="Normal 3 6 18 11 3" xfId="46484" xr:uid="{00000000-0005-0000-0000-00008BB50000}"/>
    <cellStyle name="Normal 3 6 18 12" xfId="46485" xr:uid="{00000000-0005-0000-0000-00008CB50000}"/>
    <cellStyle name="Normal 3 6 18 12 2" xfId="46486" xr:uid="{00000000-0005-0000-0000-00008DB50000}"/>
    <cellStyle name="Normal 3 6 18 12 3" xfId="46487" xr:uid="{00000000-0005-0000-0000-00008EB50000}"/>
    <cellStyle name="Normal 3 6 18 13" xfId="46488" xr:uid="{00000000-0005-0000-0000-00008FB50000}"/>
    <cellStyle name="Normal 3 6 18 13 2" xfId="46489" xr:uid="{00000000-0005-0000-0000-000090B50000}"/>
    <cellStyle name="Normal 3 6 18 13 3" xfId="46490" xr:uid="{00000000-0005-0000-0000-000091B50000}"/>
    <cellStyle name="Normal 3 6 18 14" xfId="46491" xr:uid="{00000000-0005-0000-0000-000092B50000}"/>
    <cellStyle name="Normal 3 6 18 14 2" xfId="46492" xr:uid="{00000000-0005-0000-0000-000093B50000}"/>
    <cellStyle name="Normal 3 6 18 14 3" xfId="46493" xr:uid="{00000000-0005-0000-0000-000094B50000}"/>
    <cellStyle name="Normal 3 6 18 15" xfId="46494" xr:uid="{00000000-0005-0000-0000-000095B50000}"/>
    <cellStyle name="Normal 3 6 18 16" xfId="46495" xr:uid="{00000000-0005-0000-0000-000096B50000}"/>
    <cellStyle name="Normal 3 6 18 2" xfId="46496" xr:uid="{00000000-0005-0000-0000-000097B50000}"/>
    <cellStyle name="Normal 3 6 18 2 2" xfId="46497" xr:uid="{00000000-0005-0000-0000-000098B50000}"/>
    <cellStyle name="Normal 3 6 18 2 3" xfId="46498" xr:uid="{00000000-0005-0000-0000-000099B50000}"/>
    <cellStyle name="Normal 3 6 18 3" xfId="46499" xr:uid="{00000000-0005-0000-0000-00009AB50000}"/>
    <cellStyle name="Normal 3 6 18 3 2" xfId="46500" xr:uid="{00000000-0005-0000-0000-00009BB50000}"/>
    <cellStyle name="Normal 3 6 18 3 3" xfId="46501" xr:uid="{00000000-0005-0000-0000-00009CB50000}"/>
    <cellStyle name="Normal 3 6 18 4" xfId="46502" xr:uid="{00000000-0005-0000-0000-00009DB50000}"/>
    <cellStyle name="Normal 3 6 18 4 2" xfId="46503" xr:uid="{00000000-0005-0000-0000-00009EB50000}"/>
    <cellStyle name="Normal 3 6 18 4 3" xfId="46504" xr:uid="{00000000-0005-0000-0000-00009FB50000}"/>
    <cellStyle name="Normal 3 6 18 5" xfId="46505" xr:uid="{00000000-0005-0000-0000-0000A0B50000}"/>
    <cellStyle name="Normal 3 6 18 5 2" xfId="46506" xr:uid="{00000000-0005-0000-0000-0000A1B50000}"/>
    <cellStyle name="Normal 3 6 18 5 3" xfId="46507" xr:uid="{00000000-0005-0000-0000-0000A2B50000}"/>
    <cellStyle name="Normal 3 6 18 6" xfId="46508" xr:uid="{00000000-0005-0000-0000-0000A3B50000}"/>
    <cellStyle name="Normal 3 6 18 6 2" xfId="46509" xr:uid="{00000000-0005-0000-0000-0000A4B50000}"/>
    <cellStyle name="Normal 3 6 18 6 3" xfId="46510" xr:uid="{00000000-0005-0000-0000-0000A5B50000}"/>
    <cellStyle name="Normal 3 6 18 7" xfId="46511" xr:uid="{00000000-0005-0000-0000-0000A6B50000}"/>
    <cellStyle name="Normal 3 6 18 7 2" xfId="46512" xr:uid="{00000000-0005-0000-0000-0000A7B50000}"/>
    <cellStyle name="Normal 3 6 18 7 3" xfId="46513" xr:uid="{00000000-0005-0000-0000-0000A8B50000}"/>
    <cellStyle name="Normal 3 6 18 8" xfId="46514" xr:uid="{00000000-0005-0000-0000-0000A9B50000}"/>
    <cellStyle name="Normal 3 6 18 8 2" xfId="46515" xr:uid="{00000000-0005-0000-0000-0000AAB50000}"/>
    <cellStyle name="Normal 3 6 18 8 3" xfId="46516" xr:uid="{00000000-0005-0000-0000-0000ABB50000}"/>
    <cellStyle name="Normal 3 6 18 9" xfId="46517" xr:uid="{00000000-0005-0000-0000-0000ACB50000}"/>
    <cellStyle name="Normal 3 6 18 9 2" xfId="46518" xr:uid="{00000000-0005-0000-0000-0000ADB50000}"/>
    <cellStyle name="Normal 3 6 18 9 3" xfId="46519" xr:uid="{00000000-0005-0000-0000-0000AEB50000}"/>
    <cellStyle name="Normal 3 6 19" xfId="46520" xr:uid="{00000000-0005-0000-0000-0000AFB50000}"/>
    <cellStyle name="Normal 3 6 19 10" xfId="46521" xr:uid="{00000000-0005-0000-0000-0000B0B50000}"/>
    <cellStyle name="Normal 3 6 19 10 2" xfId="46522" xr:uid="{00000000-0005-0000-0000-0000B1B50000}"/>
    <cellStyle name="Normal 3 6 19 10 3" xfId="46523" xr:uid="{00000000-0005-0000-0000-0000B2B50000}"/>
    <cellStyle name="Normal 3 6 19 11" xfId="46524" xr:uid="{00000000-0005-0000-0000-0000B3B50000}"/>
    <cellStyle name="Normal 3 6 19 11 2" xfId="46525" xr:uid="{00000000-0005-0000-0000-0000B4B50000}"/>
    <cellStyle name="Normal 3 6 19 11 3" xfId="46526" xr:uid="{00000000-0005-0000-0000-0000B5B50000}"/>
    <cellStyle name="Normal 3 6 19 12" xfId="46527" xr:uid="{00000000-0005-0000-0000-0000B6B50000}"/>
    <cellStyle name="Normal 3 6 19 12 2" xfId="46528" xr:uid="{00000000-0005-0000-0000-0000B7B50000}"/>
    <cellStyle name="Normal 3 6 19 12 3" xfId="46529" xr:uid="{00000000-0005-0000-0000-0000B8B50000}"/>
    <cellStyle name="Normal 3 6 19 13" xfId="46530" xr:uid="{00000000-0005-0000-0000-0000B9B50000}"/>
    <cellStyle name="Normal 3 6 19 13 2" xfId="46531" xr:uid="{00000000-0005-0000-0000-0000BAB50000}"/>
    <cellStyle name="Normal 3 6 19 13 3" xfId="46532" xr:uid="{00000000-0005-0000-0000-0000BBB50000}"/>
    <cellStyle name="Normal 3 6 19 14" xfId="46533" xr:uid="{00000000-0005-0000-0000-0000BCB50000}"/>
    <cellStyle name="Normal 3 6 19 14 2" xfId="46534" xr:uid="{00000000-0005-0000-0000-0000BDB50000}"/>
    <cellStyle name="Normal 3 6 19 14 3" xfId="46535" xr:uid="{00000000-0005-0000-0000-0000BEB50000}"/>
    <cellStyle name="Normal 3 6 19 15" xfId="46536" xr:uid="{00000000-0005-0000-0000-0000BFB50000}"/>
    <cellStyle name="Normal 3 6 19 16" xfId="46537" xr:uid="{00000000-0005-0000-0000-0000C0B50000}"/>
    <cellStyle name="Normal 3 6 19 2" xfId="46538" xr:uid="{00000000-0005-0000-0000-0000C1B50000}"/>
    <cellStyle name="Normal 3 6 19 2 2" xfId="46539" xr:uid="{00000000-0005-0000-0000-0000C2B50000}"/>
    <cellStyle name="Normal 3 6 19 2 3" xfId="46540" xr:uid="{00000000-0005-0000-0000-0000C3B50000}"/>
    <cellStyle name="Normal 3 6 19 3" xfId="46541" xr:uid="{00000000-0005-0000-0000-0000C4B50000}"/>
    <cellStyle name="Normal 3 6 19 3 2" xfId="46542" xr:uid="{00000000-0005-0000-0000-0000C5B50000}"/>
    <cellStyle name="Normal 3 6 19 3 3" xfId="46543" xr:uid="{00000000-0005-0000-0000-0000C6B50000}"/>
    <cellStyle name="Normal 3 6 19 4" xfId="46544" xr:uid="{00000000-0005-0000-0000-0000C7B50000}"/>
    <cellStyle name="Normal 3 6 19 4 2" xfId="46545" xr:uid="{00000000-0005-0000-0000-0000C8B50000}"/>
    <cellStyle name="Normal 3 6 19 4 3" xfId="46546" xr:uid="{00000000-0005-0000-0000-0000C9B50000}"/>
    <cellStyle name="Normal 3 6 19 5" xfId="46547" xr:uid="{00000000-0005-0000-0000-0000CAB50000}"/>
    <cellStyle name="Normal 3 6 19 5 2" xfId="46548" xr:uid="{00000000-0005-0000-0000-0000CBB50000}"/>
    <cellStyle name="Normal 3 6 19 5 3" xfId="46549" xr:uid="{00000000-0005-0000-0000-0000CCB50000}"/>
    <cellStyle name="Normal 3 6 19 6" xfId="46550" xr:uid="{00000000-0005-0000-0000-0000CDB50000}"/>
    <cellStyle name="Normal 3 6 19 6 2" xfId="46551" xr:uid="{00000000-0005-0000-0000-0000CEB50000}"/>
    <cellStyle name="Normal 3 6 19 6 3" xfId="46552" xr:uid="{00000000-0005-0000-0000-0000CFB50000}"/>
    <cellStyle name="Normal 3 6 19 7" xfId="46553" xr:uid="{00000000-0005-0000-0000-0000D0B50000}"/>
    <cellStyle name="Normal 3 6 19 7 2" xfId="46554" xr:uid="{00000000-0005-0000-0000-0000D1B50000}"/>
    <cellStyle name="Normal 3 6 19 7 3" xfId="46555" xr:uid="{00000000-0005-0000-0000-0000D2B50000}"/>
    <cellStyle name="Normal 3 6 19 8" xfId="46556" xr:uid="{00000000-0005-0000-0000-0000D3B50000}"/>
    <cellStyle name="Normal 3 6 19 8 2" xfId="46557" xr:uid="{00000000-0005-0000-0000-0000D4B50000}"/>
    <cellStyle name="Normal 3 6 19 8 3" xfId="46558" xr:uid="{00000000-0005-0000-0000-0000D5B50000}"/>
    <cellStyle name="Normal 3 6 19 9" xfId="46559" xr:uid="{00000000-0005-0000-0000-0000D6B50000}"/>
    <cellStyle name="Normal 3 6 19 9 2" xfId="46560" xr:uid="{00000000-0005-0000-0000-0000D7B50000}"/>
    <cellStyle name="Normal 3 6 19 9 3" xfId="46561" xr:uid="{00000000-0005-0000-0000-0000D8B50000}"/>
    <cellStyle name="Normal 3 6 2" xfId="46562" xr:uid="{00000000-0005-0000-0000-0000D9B50000}"/>
    <cellStyle name="Normal 3 6 20" xfId="46563" xr:uid="{00000000-0005-0000-0000-0000DAB50000}"/>
    <cellStyle name="Normal 3 6 20 10" xfId="46564" xr:uid="{00000000-0005-0000-0000-0000DBB50000}"/>
    <cellStyle name="Normal 3 6 20 10 2" xfId="46565" xr:uid="{00000000-0005-0000-0000-0000DCB50000}"/>
    <cellStyle name="Normal 3 6 20 10 3" xfId="46566" xr:uid="{00000000-0005-0000-0000-0000DDB50000}"/>
    <cellStyle name="Normal 3 6 20 11" xfId="46567" xr:uid="{00000000-0005-0000-0000-0000DEB50000}"/>
    <cellStyle name="Normal 3 6 20 11 2" xfId="46568" xr:uid="{00000000-0005-0000-0000-0000DFB50000}"/>
    <cellStyle name="Normal 3 6 20 11 3" xfId="46569" xr:uid="{00000000-0005-0000-0000-0000E0B50000}"/>
    <cellStyle name="Normal 3 6 20 12" xfId="46570" xr:uid="{00000000-0005-0000-0000-0000E1B50000}"/>
    <cellStyle name="Normal 3 6 20 12 2" xfId="46571" xr:uid="{00000000-0005-0000-0000-0000E2B50000}"/>
    <cellStyle name="Normal 3 6 20 12 3" xfId="46572" xr:uid="{00000000-0005-0000-0000-0000E3B50000}"/>
    <cellStyle name="Normal 3 6 20 13" xfId="46573" xr:uid="{00000000-0005-0000-0000-0000E4B50000}"/>
    <cellStyle name="Normal 3 6 20 13 2" xfId="46574" xr:uid="{00000000-0005-0000-0000-0000E5B50000}"/>
    <cellStyle name="Normal 3 6 20 13 3" xfId="46575" xr:uid="{00000000-0005-0000-0000-0000E6B50000}"/>
    <cellStyle name="Normal 3 6 20 14" xfId="46576" xr:uid="{00000000-0005-0000-0000-0000E7B50000}"/>
    <cellStyle name="Normal 3 6 20 14 2" xfId="46577" xr:uid="{00000000-0005-0000-0000-0000E8B50000}"/>
    <cellStyle name="Normal 3 6 20 14 3" xfId="46578" xr:uid="{00000000-0005-0000-0000-0000E9B50000}"/>
    <cellStyle name="Normal 3 6 20 15" xfId="46579" xr:uid="{00000000-0005-0000-0000-0000EAB50000}"/>
    <cellStyle name="Normal 3 6 20 16" xfId="46580" xr:uid="{00000000-0005-0000-0000-0000EBB50000}"/>
    <cellStyle name="Normal 3 6 20 2" xfId="46581" xr:uid="{00000000-0005-0000-0000-0000ECB50000}"/>
    <cellStyle name="Normal 3 6 20 2 2" xfId="46582" xr:uid="{00000000-0005-0000-0000-0000EDB50000}"/>
    <cellStyle name="Normal 3 6 20 2 3" xfId="46583" xr:uid="{00000000-0005-0000-0000-0000EEB50000}"/>
    <cellStyle name="Normal 3 6 20 3" xfId="46584" xr:uid="{00000000-0005-0000-0000-0000EFB50000}"/>
    <cellStyle name="Normal 3 6 20 3 2" xfId="46585" xr:uid="{00000000-0005-0000-0000-0000F0B50000}"/>
    <cellStyle name="Normal 3 6 20 3 3" xfId="46586" xr:uid="{00000000-0005-0000-0000-0000F1B50000}"/>
    <cellStyle name="Normal 3 6 20 4" xfId="46587" xr:uid="{00000000-0005-0000-0000-0000F2B50000}"/>
    <cellStyle name="Normal 3 6 20 4 2" xfId="46588" xr:uid="{00000000-0005-0000-0000-0000F3B50000}"/>
    <cellStyle name="Normal 3 6 20 4 3" xfId="46589" xr:uid="{00000000-0005-0000-0000-0000F4B50000}"/>
    <cellStyle name="Normal 3 6 20 5" xfId="46590" xr:uid="{00000000-0005-0000-0000-0000F5B50000}"/>
    <cellStyle name="Normal 3 6 20 5 2" xfId="46591" xr:uid="{00000000-0005-0000-0000-0000F6B50000}"/>
    <cellStyle name="Normal 3 6 20 5 3" xfId="46592" xr:uid="{00000000-0005-0000-0000-0000F7B50000}"/>
    <cellStyle name="Normal 3 6 20 6" xfId="46593" xr:uid="{00000000-0005-0000-0000-0000F8B50000}"/>
    <cellStyle name="Normal 3 6 20 6 2" xfId="46594" xr:uid="{00000000-0005-0000-0000-0000F9B50000}"/>
    <cellStyle name="Normal 3 6 20 6 3" xfId="46595" xr:uid="{00000000-0005-0000-0000-0000FAB50000}"/>
    <cellStyle name="Normal 3 6 20 7" xfId="46596" xr:uid="{00000000-0005-0000-0000-0000FBB50000}"/>
    <cellStyle name="Normal 3 6 20 7 2" xfId="46597" xr:uid="{00000000-0005-0000-0000-0000FCB50000}"/>
    <cellStyle name="Normal 3 6 20 7 3" xfId="46598" xr:uid="{00000000-0005-0000-0000-0000FDB50000}"/>
    <cellStyle name="Normal 3 6 20 8" xfId="46599" xr:uid="{00000000-0005-0000-0000-0000FEB50000}"/>
    <cellStyle name="Normal 3 6 20 8 2" xfId="46600" xr:uid="{00000000-0005-0000-0000-0000FFB50000}"/>
    <cellStyle name="Normal 3 6 20 8 3" xfId="46601" xr:uid="{00000000-0005-0000-0000-000000B60000}"/>
    <cellStyle name="Normal 3 6 20 9" xfId="46602" xr:uid="{00000000-0005-0000-0000-000001B60000}"/>
    <cellStyle name="Normal 3 6 20 9 2" xfId="46603" xr:uid="{00000000-0005-0000-0000-000002B60000}"/>
    <cellStyle name="Normal 3 6 20 9 3" xfId="46604" xr:uid="{00000000-0005-0000-0000-000003B60000}"/>
    <cellStyle name="Normal 3 6 21" xfId="46605" xr:uid="{00000000-0005-0000-0000-000004B60000}"/>
    <cellStyle name="Normal 3 6 21 10" xfId="46606" xr:uid="{00000000-0005-0000-0000-000005B60000}"/>
    <cellStyle name="Normal 3 6 21 10 2" xfId="46607" xr:uid="{00000000-0005-0000-0000-000006B60000}"/>
    <cellStyle name="Normal 3 6 21 10 3" xfId="46608" xr:uid="{00000000-0005-0000-0000-000007B60000}"/>
    <cellStyle name="Normal 3 6 21 11" xfId="46609" xr:uid="{00000000-0005-0000-0000-000008B60000}"/>
    <cellStyle name="Normal 3 6 21 11 2" xfId="46610" xr:uid="{00000000-0005-0000-0000-000009B60000}"/>
    <cellStyle name="Normal 3 6 21 11 3" xfId="46611" xr:uid="{00000000-0005-0000-0000-00000AB60000}"/>
    <cellStyle name="Normal 3 6 21 12" xfId="46612" xr:uid="{00000000-0005-0000-0000-00000BB60000}"/>
    <cellStyle name="Normal 3 6 21 12 2" xfId="46613" xr:uid="{00000000-0005-0000-0000-00000CB60000}"/>
    <cellStyle name="Normal 3 6 21 12 3" xfId="46614" xr:uid="{00000000-0005-0000-0000-00000DB60000}"/>
    <cellStyle name="Normal 3 6 21 13" xfId="46615" xr:uid="{00000000-0005-0000-0000-00000EB60000}"/>
    <cellStyle name="Normal 3 6 21 13 2" xfId="46616" xr:uid="{00000000-0005-0000-0000-00000FB60000}"/>
    <cellStyle name="Normal 3 6 21 13 3" xfId="46617" xr:uid="{00000000-0005-0000-0000-000010B60000}"/>
    <cellStyle name="Normal 3 6 21 14" xfId="46618" xr:uid="{00000000-0005-0000-0000-000011B60000}"/>
    <cellStyle name="Normal 3 6 21 14 2" xfId="46619" xr:uid="{00000000-0005-0000-0000-000012B60000}"/>
    <cellStyle name="Normal 3 6 21 14 3" xfId="46620" xr:uid="{00000000-0005-0000-0000-000013B60000}"/>
    <cellStyle name="Normal 3 6 21 15" xfId="46621" xr:uid="{00000000-0005-0000-0000-000014B60000}"/>
    <cellStyle name="Normal 3 6 21 16" xfId="46622" xr:uid="{00000000-0005-0000-0000-000015B60000}"/>
    <cellStyle name="Normal 3 6 21 2" xfId="46623" xr:uid="{00000000-0005-0000-0000-000016B60000}"/>
    <cellStyle name="Normal 3 6 21 2 2" xfId="46624" xr:uid="{00000000-0005-0000-0000-000017B60000}"/>
    <cellStyle name="Normal 3 6 21 2 3" xfId="46625" xr:uid="{00000000-0005-0000-0000-000018B60000}"/>
    <cellStyle name="Normal 3 6 21 3" xfId="46626" xr:uid="{00000000-0005-0000-0000-000019B60000}"/>
    <cellStyle name="Normal 3 6 21 3 2" xfId="46627" xr:uid="{00000000-0005-0000-0000-00001AB60000}"/>
    <cellStyle name="Normal 3 6 21 3 3" xfId="46628" xr:uid="{00000000-0005-0000-0000-00001BB60000}"/>
    <cellStyle name="Normal 3 6 21 4" xfId="46629" xr:uid="{00000000-0005-0000-0000-00001CB60000}"/>
    <cellStyle name="Normal 3 6 21 4 2" xfId="46630" xr:uid="{00000000-0005-0000-0000-00001DB60000}"/>
    <cellStyle name="Normal 3 6 21 4 3" xfId="46631" xr:uid="{00000000-0005-0000-0000-00001EB60000}"/>
    <cellStyle name="Normal 3 6 21 5" xfId="46632" xr:uid="{00000000-0005-0000-0000-00001FB60000}"/>
    <cellStyle name="Normal 3 6 21 5 2" xfId="46633" xr:uid="{00000000-0005-0000-0000-000020B60000}"/>
    <cellStyle name="Normal 3 6 21 5 3" xfId="46634" xr:uid="{00000000-0005-0000-0000-000021B60000}"/>
    <cellStyle name="Normal 3 6 21 6" xfId="46635" xr:uid="{00000000-0005-0000-0000-000022B60000}"/>
    <cellStyle name="Normal 3 6 21 6 2" xfId="46636" xr:uid="{00000000-0005-0000-0000-000023B60000}"/>
    <cellStyle name="Normal 3 6 21 6 3" xfId="46637" xr:uid="{00000000-0005-0000-0000-000024B60000}"/>
    <cellStyle name="Normal 3 6 21 7" xfId="46638" xr:uid="{00000000-0005-0000-0000-000025B60000}"/>
    <cellStyle name="Normal 3 6 21 7 2" xfId="46639" xr:uid="{00000000-0005-0000-0000-000026B60000}"/>
    <cellStyle name="Normal 3 6 21 7 3" xfId="46640" xr:uid="{00000000-0005-0000-0000-000027B60000}"/>
    <cellStyle name="Normal 3 6 21 8" xfId="46641" xr:uid="{00000000-0005-0000-0000-000028B60000}"/>
    <cellStyle name="Normal 3 6 21 8 2" xfId="46642" xr:uid="{00000000-0005-0000-0000-000029B60000}"/>
    <cellStyle name="Normal 3 6 21 8 3" xfId="46643" xr:uid="{00000000-0005-0000-0000-00002AB60000}"/>
    <cellStyle name="Normal 3 6 21 9" xfId="46644" xr:uid="{00000000-0005-0000-0000-00002BB60000}"/>
    <cellStyle name="Normal 3 6 21 9 2" xfId="46645" xr:uid="{00000000-0005-0000-0000-00002CB60000}"/>
    <cellStyle name="Normal 3 6 21 9 3" xfId="46646" xr:uid="{00000000-0005-0000-0000-00002DB60000}"/>
    <cellStyle name="Normal 3 6 22" xfId="46647" xr:uid="{00000000-0005-0000-0000-00002EB60000}"/>
    <cellStyle name="Normal 3 6 22 10" xfId="46648" xr:uid="{00000000-0005-0000-0000-00002FB60000}"/>
    <cellStyle name="Normal 3 6 22 10 2" xfId="46649" xr:uid="{00000000-0005-0000-0000-000030B60000}"/>
    <cellStyle name="Normal 3 6 22 10 3" xfId="46650" xr:uid="{00000000-0005-0000-0000-000031B60000}"/>
    <cellStyle name="Normal 3 6 22 11" xfId="46651" xr:uid="{00000000-0005-0000-0000-000032B60000}"/>
    <cellStyle name="Normal 3 6 22 11 2" xfId="46652" xr:uid="{00000000-0005-0000-0000-000033B60000}"/>
    <cellStyle name="Normal 3 6 22 11 3" xfId="46653" xr:uid="{00000000-0005-0000-0000-000034B60000}"/>
    <cellStyle name="Normal 3 6 22 12" xfId="46654" xr:uid="{00000000-0005-0000-0000-000035B60000}"/>
    <cellStyle name="Normal 3 6 22 12 2" xfId="46655" xr:uid="{00000000-0005-0000-0000-000036B60000}"/>
    <cellStyle name="Normal 3 6 22 12 3" xfId="46656" xr:uid="{00000000-0005-0000-0000-000037B60000}"/>
    <cellStyle name="Normal 3 6 22 13" xfId="46657" xr:uid="{00000000-0005-0000-0000-000038B60000}"/>
    <cellStyle name="Normal 3 6 22 13 2" xfId="46658" xr:uid="{00000000-0005-0000-0000-000039B60000}"/>
    <cellStyle name="Normal 3 6 22 13 3" xfId="46659" xr:uid="{00000000-0005-0000-0000-00003AB60000}"/>
    <cellStyle name="Normal 3 6 22 14" xfId="46660" xr:uid="{00000000-0005-0000-0000-00003BB60000}"/>
    <cellStyle name="Normal 3 6 22 14 2" xfId="46661" xr:uid="{00000000-0005-0000-0000-00003CB60000}"/>
    <cellStyle name="Normal 3 6 22 14 3" xfId="46662" xr:uid="{00000000-0005-0000-0000-00003DB60000}"/>
    <cellStyle name="Normal 3 6 22 15" xfId="46663" xr:uid="{00000000-0005-0000-0000-00003EB60000}"/>
    <cellStyle name="Normal 3 6 22 16" xfId="46664" xr:uid="{00000000-0005-0000-0000-00003FB60000}"/>
    <cellStyle name="Normal 3 6 22 2" xfId="46665" xr:uid="{00000000-0005-0000-0000-000040B60000}"/>
    <cellStyle name="Normal 3 6 22 2 2" xfId="46666" xr:uid="{00000000-0005-0000-0000-000041B60000}"/>
    <cellStyle name="Normal 3 6 22 2 3" xfId="46667" xr:uid="{00000000-0005-0000-0000-000042B60000}"/>
    <cellStyle name="Normal 3 6 22 3" xfId="46668" xr:uid="{00000000-0005-0000-0000-000043B60000}"/>
    <cellStyle name="Normal 3 6 22 3 2" xfId="46669" xr:uid="{00000000-0005-0000-0000-000044B60000}"/>
    <cellStyle name="Normal 3 6 22 3 3" xfId="46670" xr:uid="{00000000-0005-0000-0000-000045B60000}"/>
    <cellStyle name="Normal 3 6 22 4" xfId="46671" xr:uid="{00000000-0005-0000-0000-000046B60000}"/>
    <cellStyle name="Normal 3 6 22 4 2" xfId="46672" xr:uid="{00000000-0005-0000-0000-000047B60000}"/>
    <cellStyle name="Normal 3 6 22 4 3" xfId="46673" xr:uid="{00000000-0005-0000-0000-000048B60000}"/>
    <cellStyle name="Normal 3 6 22 5" xfId="46674" xr:uid="{00000000-0005-0000-0000-000049B60000}"/>
    <cellStyle name="Normal 3 6 22 5 2" xfId="46675" xr:uid="{00000000-0005-0000-0000-00004AB60000}"/>
    <cellStyle name="Normal 3 6 22 5 3" xfId="46676" xr:uid="{00000000-0005-0000-0000-00004BB60000}"/>
    <cellStyle name="Normal 3 6 22 6" xfId="46677" xr:uid="{00000000-0005-0000-0000-00004CB60000}"/>
    <cellStyle name="Normal 3 6 22 6 2" xfId="46678" xr:uid="{00000000-0005-0000-0000-00004DB60000}"/>
    <cellStyle name="Normal 3 6 22 6 3" xfId="46679" xr:uid="{00000000-0005-0000-0000-00004EB60000}"/>
    <cellStyle name="Normal 3 6 22 7" xfId="46680" xr:uid="{00000000-0005-0000-0000-00004FB60000}"/>
    <cellStyle name="Normal 3 6 22 7 2" xfId="46681" xr:uid="{00000000-0005-0000-0000-000050B60000}"/>
    <cellStyle name="Normal 3 6 22 7 3" xfId="46682" xr:uid="{00000000-0005-0000-0000-000051B60000}"/>
    <cellStyle name="Normal 3 6 22 8" xfId="46683" xr:uid="{00000000-0005-0000-0000-000052B60000}"/>
    <cellStyle name="Normal 3 6 22 8 2" xfId="46684" xr:uid="{00000000-0005-0000-0000-000053B60000}"/>
    <cellStyle name="Normal 3 6 22 8 3" xfId="46685" xr:uid="{00000000-0005-0000-0000-000054B60000}"/>
    <cellStyle name="Normal 3 6 22 9" xfId="46686" xr:uid="{00000000-0005-0000-0000-000055B60000}"/>
    <cellStyle name="Normal 3 6 22 9 2" xfId="46687" xr:uid="{00000000-0005-0000-0000-000056B60000}"/>
    <cellStyle name="Normal 3 6 22 9 3" xfId="46688" xr:uid="{00000000-0005-0000-0000-000057B60000}"/>
    <cellStyle name="Normal 3 6 23" xfId="46689" xr:uid="{00000000-0005-0000-0000-000058B60000}"/>
    <cellStyle name="Normal 3 6 24" xfId="46690" xr:uid="{00000000-0005-0000-0000-000059B60000}"/>
    <cellStyle name="Normal 3 6 25" xfId="46691" xr:uid="{00000000-0005-0000-0000-00005AB60000}"/>
    <cellStyle name="Normal 3 6 25 10" xfId="46692" xr:uid="{00000000-0005-0000-0000-00005BB60000}"/>
    <cellStyle name="Normal 3 6 25 10 2" xfId="46693" xr:uid="{00000000-0005-0000-0000-00005CB60000}"/>
    <cellStyle name="Normal 3 6 25 10 3" xfId="46694" xr:uid="{00000000-0005-0000-0000-00005DB60000}"/>
    <cellStyle name="Normal 3 6 25 11" xfId="46695" xr:uid="{00000000-0005-0000-0000-00005EB60000}"/>
    <cellStyle name="Normal 3 6 25 11 2" xfId="46696" xr:uid="{00000000-0005-0000-0000-00005FB60000}"/>
    <cellStyle name="Normal 3 6 25 11 3" xfId="46697" xr:uid="{00000000-0005-0000-0000-000060B60000}"/>
    <cellStyle name="Normal 3 6 25 12" xfId="46698" xr:uid="{00000000-0005-0000-0000-000061B60000}"/>
    <cellStyle name="Normal 3 6 25 12 2" xfId="46699" xr:uid="{00000000-0005-0000-0000-000062B60000}"/>
    <cellStyle name="Normal 3 6 25 12 3" xfId="46700" xr:uid="{00000000-0005-0000-0000-000063B60000}"/>
    <cellStyle name="Normal 3 6 25 13" xfId="46701" xr:uid="{00000000-0005-0000-0000-000064B60000}"/>
    <cellStyle name="Normal 3 6 25 13 2" xfId="46702" xr:uid="{00000000-0005-0000-0000-000065B60000}"/>
    <cellStyle name="Normal 3 6 25 13 3" xfId="46703" xr:uid="{00000000-0005-0000-0000-000066B60000}"/>
    <cellStyle name="Normal 3 6 25 14" xfId="46704" xr:uid="{00000000-0005-0000-0000-000067B60000}"/>
    <cellStyle name="Normal 3 6 25 14 2" xfId="46705" xr:uid="{00000000-0005-0000-0000-000068B60000}"/>
    <cellStyle name="Normal 3 6 25 14 3" xfId="46706" xr:uid="{00000000-0005-0000-0000-000069B60000}"/>
    <cellStyle name="Normal 3 6 25 15" xfId="46707" xr:uid="{00000000-0005-0000-0000-00006AB60000}"/>
    <cellStyle name="Normal 3 6 25 16" xfId="46708" xr:uid="{00000000-0005-0000-0000-00006BB60000}"/>
    <cellStyle name="Normal 3 6 25 2" xfId="46709" xr:uid="{00000000-0005-0000-0000-00006CB60000}"/>
    <cellStyle name="Normal 3 6 25 2 2" xfId="46710" xr:uid="{00000000-0005-0000-0000-00006DB60000}"/>
    <cellStyle name="Normal 3 6 25 2 3" xfId="46711" xr:uid="{00000000-0005-0000-0000-00006EB60000}"/>
    <cellStyle name="Normal 3 6 25 3" xfId="46712" xr:uid="{00000000-0005-0000-0000-00006FB60000}"/>
    <cellStyle name="Normal 3 6 25 3 2" xfId="46713" xr:uid="{00000000-0005-0000-0000-000070B60000}"/>
    <cellStyle name="Normal 3 6 25 3 3" xfId="46714" xr:uid="{00000000-0005-0000-0000-000071B60000}"/>
    <cellStyle name="Normal 3 6 25 4" xfId="46715" xr:uid="{00000000-0005-0000-0000-000072B60000}"/>
    <cellStyle name="Normal 3 6 25 4 2" xfId="46716" xr:uid="{00000000-0005-0000-0000-000073B60000}"/>
    <cellStyle name="Normal 3 6 25 4 3" xfId="46717" xr:uid="{00000000-0005-0000-0000-000074B60000}"/>
    <cellStyle name="Normal 3 6 25 5" xfId="46718" xr:uid="{00000000-0005-0000-0000-000075B60000}"/>
    <cellStyle name="Normal 3 6 25 5 2" xfId="46719" xr:uid="{00000000-0005-0000-0000-000076B60000}"/>
    <cellStyle name="Normal 3 6 25 5 3" xfId="46720" xr:uid="{00000000-0005-0000-0000-000077B60000}"/>
    <cellStyle name="Normal 3 6 25 6" xfId="46721" xr:uid="{00000000-0005-0000-0000-000078B60000}"/>
    <cellStyle name="Normal 3 6 25 6 2" xfId="46722" xr:uid="{00000000-0005-0000-0000-000079B60000}"/>
    <cellStyle name="Normal 3 6 25 6 3" xfId="46723" xr:uid="{00000000-0005-0000-0000-00007AB60000}"/>
    <cellStyle name="Normal 3 6 25 7" xfId="46724" xr:uid="{00000000-0005-0000-0000-00007BB60000}"/>
    <cellStyle name="Normal 3 6 25 7 2" xfId="46725" xr:uid="{00000000-0005-0000-0000-00007CB60000}"/>
    <cellStyle name="Normal 3 6 25 7 3" xfId="46726" xr:uid="{00000000-0005-0000-0000-00007DB60000}"/>
    <cellStyle name="Normal 3 6 25 8" xfId="46727" xr:uid="{00000000-0005-0000-0000-00007EB60000}"/>
    <cellStyle name="Normal 3 6 25 8 2" xfId="46728" xr:uid="{00000000-0005-0000-0000-00007FB60000}"/>
    <cellStyle name="Normal 3 6 25 8 3" xfId="46729" xr:uid="{00000000-0005-0000-0000-000080B60000}"/>
    <cellStyle name="Normal 3 6 25 9" xfId="46730" xr:uid="{00000000-0005-0000-0000-000081B60000}"/>
    <cellStyle name="Normal 3 6 25 9 2" xfId="46731" xr:uid="{00000000-0005-0000-0000-000082B60000}"/>
    <cellStyle name="Normal 3 6 25 9 3" xfId="46732" xr:uid="{00000000-0005-0000-0000-000083B60000}"/>
    <cellStyle name="Normal 3 6 26" xfId="46733" xr:uid="{00000000-0005-0000-0000-000084B60000}"/>
    <cellStyle name="Normal 3 6 26 10" xfId="46734" xr:uid="{00000000-0005-0000-0000-000085B60000}"/>
    <cellStyle name="Normal 3 6 26 10 2" xfId="46735" xr:uid="{00000000-0005-0000-0000-000086B60000}"/>
    <cellStyle name="Normal 3 6 26 10 3" xfId="46736" xr:uid="{00000000-0005-0000-0000-000087B60000}"/>
    <cellStyle name="Normal 3 6 26 11" xfId="46737" xr:uid="{00000000-0005-0000-0000-000088B60000}"/>
    <cellStyle name="Normal 3 6 26 11 2" xfId="46738" xr:uid="{00000000-0005-0000-0000-000089B60000}"/>
    <cellStyle name="Normal 3 6 26 11 3" xfId="46739" xr:uid="{00000000-0005-0000-0000-00008AB60000}"/>
    <cellStyle name="Normal 3 6 26 12" xfId="46740" xr:uid="{00000000-0005-0000-0000-00008BB60000}"/>
    <cellStyle name="Normal 3 6 26 12 2" xfId="46741" xr:uid="{00000000-0005-0000-0000-00008CB60000}"/>
    <cellStyle name="Normal 3 6 26 12 3" xfId="46742" xr:uid="{00000000-0005-0000-0000-00008DB60000}"/>
    <cellStyle name="Normal 3 6 26 13" xfId="46743" xr:uid="{00000000-0005-0000-0000-00008EB60000}"/>
    <cellStyle name="Normal 3 6 26 13 2" xfId="46744" xr:uid="{00000000-0005-0000-0000-00008FB60000}"/>
    <cellStyle name="Normal 3 6 26 13 3" xfId="46745" xr:uid="{00000000-0005-0000-0000-000090B60000}"/>
    <cellStyle name="Normal 3 6 26 14" xfId="46746" xr:uid="{00000000-0005-0000-0000-000091B60000}"/>
    <cellStyle name="Normal 3 6 26 14 2" xfId="46747" xr:uid="{00000000-0005-0000-0000-000092B60000}"/>
    <cellStyle name="Normal 3 6 26 14 3" xfId="46748" xr:uid="{00000000-0005-0000-0000-000093B60000}"/>
    <cellStyle name="Normal 3 6 26 15" xfId="46749" xr:uid="{00000000-0005-0000-0000-000094B60000}"/>
    <cellStyle name="Normal 3 6 26 16" xfId="46750" xr:uid="{00000000-0005-0000-0000-000095B60000}"/>
    <cellStyle name="Normal 3 6 26 2" xfId="46751" xr:uid="{00000000-0005-0000-0000-000096B60000}"/>
    <cellStyle name="Normal 3 6 26 2 2" xfId="46752" xr:uid="{00000000-0005-0000-0000-000097B60000}"/>
    <cellStyle name="Normal 3 6 26 2 3" xfId="46753" xr:uid="{00000000-0005-0000-0000-000098B60000}"/>
    <cellStyle name="Normal 3 6 26 3" xfId="46754" xr:uid="{00000000-0005-0000-0000-000099B60000}"/>
    <cellStyle name="Normal 3 6 26 3 2" xfId="46755" xr:uid="{00000000-0005-0000-0000-00009AB60000}"/>
    <cellStyle name="Normal 3 6 26 3 3" xfId="46756" xr:uid="{00000000-0005-0000-0000-00009BB60000}"/>
    <cellStyle name="Normal 3 6 26 4" xfId="46757" xr:uid="{00000000-0005-0000-0000-00009CB60000}"/>
    <cellStyle name="Normal 3 6 26 4 2" xfId="46758" xr:uid="{00000000-0005-0000-0000-00009DB60000}"/>
    <cellStyle name="Normal 3 6 26 4 3" xfId="46759" xr:uid="{00000000-0005-0000-0000-00009EB60000}"/>
    <cellStyle name="Normal 3 6 26 5" xfId="46760" xr:uid="{00000000-0005-0000-0000-00009FB60000}"/>
    <cellStyle name="Normal 3 6 26 5 2" xfId="46761" xr:uid="{00000000-0005-0000-0000-0000A0B60000}"/>
    <cellStyle name="Normal 3 6 26 5 3" xfId="46762" xr:uid="{00000000-0005-0000-0000-0000A1B60000}"/>
    <cellStyle name="Normal 3 6 26 6" xfId="46763" xr:uid="{00000000-0005-0000-0000-0000A2B60000}"/>
    <cellStyle name="Normal 3 6 26 6 2" xfId="46764" xr:uid="{00000000-0005-0000-0000-0000A3B60000}"/>
    <cellStyle name="Normal 3 6 26 6 3" xfId="46765" xr:uid="{00000000-0005-0000-0000-0000A4B60000}"/>
    <cellStyle name="Normal 3 6 26 7" xfId="46766" xr:uid="{00000000-0005-0000-0000-0000A5B60000}"/>
    <cellStyle name="Normal 3 6 26 7 2" xfId="46767" xr:uid="{00000000-0005-0000-0000-0000A6B60000}"/>
    <cellStyle name="Normal 3 6 26 7 3" xfId="46768" xr:uid="{00000000-0005-0000-0000-0000A7B60000}"/>
    <cellStyle name="Normal 3 6 26 8" xfId="46769" xr:uid="{00000000-0005-0000-0000-0000A8B60000}"/>
    <cellStyle name="Normal 3 6 26 8 2" xfId="46770" xr:uid="{00000000-0005-0000-0000-0000A9B60000}"/>
    <cellStyle name="Normal 3 6 26 8 3" xfId="46771" xr:uid="{00000000-0005-0000-0000-0000AAB60000}"/>
    <cellStyle name="Normal 3 6 26 9" xfId="46772" xr:uid="{00000000-0005-0000-0000-0000ABB60000}"/>
    <cellStyle name="Normal 3 6 26 9 2" xfId="46773" xr:uid="{00000000-0005-0000-0000-0000ACB60000}"/>
    <cellStyle name="Normal 3 6 26 9 3" xfId="46774" xr:uid="{00000000-0005-0000-0000-0000ADB60000}"/>
    <cellStyle name="Normal 3 6 3" xfId="46775" xr:uid="{00000000-0005-0000-0000-0000AEB60000}"/>
    <cellStyle name="Normal 3 6 4" xfId="46776" xr:uid="{00000000-0005-0000-0000-0000AFB60000}"/>
    <cellStyle name="Normal 3 6 5" xfId="46777" xr:uid="{00000000-0005-0000-0000-0000B0B60000}"/>
    <cellStyle name="Normal 3 6 6" xfId="46778" xr:uid="{00000000-0005-0000-0000-0000B1B60000}"/>
    <cellStyle name="Normal 3 6 7" xfId="46779" xr:uid="{00000000-0005-0000-0000-0000B2B60000}"/>
    <cellStyle name="Normal 3 6 8" xfId="46780" xr:uid="{00000000-0005-0000-0000-0000B3B60000}"/>
    <cellStyle name="Normal 3 6 9" xfId="46781" xr:uid="{00000000-0005-0000-0000-0000B4B60000}"/>
    <cellStyle name="Normal 3 6_End-use Summary" xfId="46782" xr:uid="{00000000-0005-0000-0000-0000B5B60000}"/>
    <cellStyle name="Normal 3 60" xfId="46783" xr:uid="{00000000-0005-0000-0000-0000B6B60000}"/>
    <cellStyle name="Normal 3 60 2" xfId="46784" xr:uid="{00000000-0005-0000-0000-0000B7B60000}"/>
    <cellStyle name="Normal 3 60 3" xfId="46785" xr:uid="{00000000-0005-0000-0000-0000B8B60000}"/>
    <cellStyle name="Normal 3 61" xfId="46786" xr:uid="{00000000-0005-0000-0000-0000B9B60000}"/>
    <cellStyle name="Normal 3 61 2" xfId="46787" xr:uid="{00000000-0005-0000-0000-0000BAB60000}"/>
    <cellStyle name="Normal 3 61 3" xfId="46788" xr:uid="{00000000-0005-0000-0000-0000BBB60000}"/>
    <cellStyle name="Normal 3 62" xfId="46789" xr:uid="{00000000-0005-0000-0000-0000BCB60000}"/>
    <cellStyle name="Normal 3 62 2" xfId="46790" xr:uid="{00000000-0005-0000-0000-0000BDB60000}"/>
    <cellStyle name="Normal 3 62 3" xfId="46791" xr:uid="{00000000-0005-0000-0000-0000BEB60000}"/>
    <cellStyle name="Normal 3 63" xfId="46792" xr:uid="{00000000-0005-0000-0000-0000BFB60000}"/>
    <cellStyle name="Normal 3 63 2" xfId="46793" xr:uid="{00000000-0005-0000-0000-0000C0B60000}"/>
    <cellStyle name="Normal 3 63 3" xfId="46794" xr:uid="{00000000-0005-0000-0000-0000C1B60000}"/>
    <cellStyle name="Normal 3 64" xfId="46795" xr:uid="{00000000-0005-0000-0000-0000C2B60000}"/>
    <cellStyle name="Normal 3 64 2" xfId="46796" xr:uid="{00000000-0005-0000-0000-0000C3B60000}"/>
    <cellStyle name="Normal 3 64 3" xfId="46797" xr:uid="{00000000-0005-0000-0000-0000C4B60000}"/>
    <cellStyle name="Normal 3 65" xfId="46798" xr:uid="{00000000-0005-0000-0000-0000C5B60000}"/>
    <cellStyle name="Normal 3 65 2" xfId="46799" xr:uid="{00000000-0005-0000-0000-0000C6B60000}"/>
    <cellStyle name="Normal 3 65 3" xfId="46800" xr:uid="{00000000-0005-0000-0000-0000C7B60000}"/>
    <cellStyle name="Normal 3 66" xfId="46801" xr:uid="{00000000-0005-0000-0000-0000C8B60000}"/>
    <cellStyle name="Normal 3 66 2" xfId="46802" xr:uid="{00000000-0005-0000-0000-0000C9B60000}"/>
    <cellStyle name="Normal 3 66 3" xfId="46803" xr:uid="{00000000-0005-0000-0000-0000CAB60000}"/>
    <cellStyle name="Normal 3 67" xfId="46804" xr:uid="{00000000-0005-0000-0000-0000CBB60000}"/>
    <cellStyle name="Normal 3 67 2" xfId="46805" xr:uid="{00000000-0005-0000-0000-0000CCB60000}"/>
    <cellStyle name="Normal 3 67 3" xfId="46806" xr:uid="{00000000-0005-0000-0000-0000CDB60000}"/>
    <cellStyle name="Normal 3 68" xfId="46807" xr:uid="{00000000-0005-0000-0000-0000CEB60000}"/>
    <cellStyle name="Normal 3 68 2" xfId="46808" xr:uid="{00000000-0005-0000-0000-0000CFB60000}"/>
    <cellStyle name="Normal 3 68 3" xfId="46809" xr:uid="{00000000-0005-0000-0000-0000D0B60000}"/>
    <cellStyle name="Normal 3 69" xfId="46810" xr:uid="{00000000-0005-0000-0000-0000D1B60000}"/>
    <cellStyle name="Normal 3 69 2" xfId="46811" xr:uid="{00000000-0005-0000-0000-0000D2B60000}"/>
    <cellStyle name="Normal 3 69 3" xfId="46812" xr:uid="{00000000-0005-0000-0000-0000D3B60000}"/>
    <cellStyle name="Normal 3 7" xfId="46813" xr:uid="{00000000-0005-0000-0000-0000D4B60000}"/>
    <cellStyle name="Normal 3 7 10" xfId="46814" xr:uid="{00000000-0005-0000-0000-0000D5B60000}"/>
    <cellStyle name="Normal 3 7 11" xfId="46815" xr:uid="{00000000-0005-0000-0000-0000D6B60000}"/>
    <cellStyle name="Normal 3 7 11 10" xfId="46816" xr:uid="{00000000-0005-0000-0000-0000D7B60000}"/>
    <cellStyle name="Normal 3 7 11 10 2" xfId="46817" xr:uid="{00000000-0005-0000-0000-0000D8B60000}"/>
    <cellStyle name="Normal 3 7 11 10 3" xfId="46818" xr:uid="{00000000-0005-0000-0000-0000D9B60000}"/>
    <cellStyle name="Normal 3 7 11 11" xfId="46819" xr:uid="{00000000-0005-0000-0000-0000DAB60000}"/>
    <cellStyle name="Normal 3 7 11 11 2" xfId="46820" xr:uid="{00000000-0005-0000-0000-0000DBB60000}"/>
    <cellStyle name="Normal 3 7 11 11 3" xfId="46821" xr:uid="{00000000-0005-0000-0000-0000DCB60000}"/>
    <cellStyle name="Normal 3 7 11 12" xfId="46822" xr:uid="{00000000-0005-0000-0000-0000DDB60000}"/>
    <cellStyle name="Normal 3 7 11 12 2" xfId="46823" xr:uid="{00000000-0005-0000-0000-0000DEB60000}"/>
    <cellStyle name="Normal 3 7 11 12 3" xfId="46824" xr:uid="{00000000-0005-0000-0000-0000DFB60000}"/>
    <cellStyle name="Normal 3 7 11 13" xfId="46825" xr:uid="{00000000-0005-0000-0000-0000E0B60000}"/>
    <cellStyle name="Normal 3 7 11 13 2" xfId="46826" xr:uid="{00000000-0005-0000-0000-0000E1B60000}"/>
    <cellStyle name="Normal 3 7 11 13 3" xfId="46827" xr:uid="{00000000-0005-0000-0000-0000E2B60000}"/>
    <cellStyle name="Normal 3 7 11 14" xfId="46828" xr:uid="{00000000-0005-0000-0000-0000E3B60000}"/>
    <cellStyle name="Normal 3 7 11 14 2" xfId="46829" xr:uid="{00000000-0005-0000-0000-0000E4B60000}"/>
    <cellStyle name="Normal 3 7 11 14 3" xfId="46830" xr:uid="{00000000-0005-0000-0000-0000E5B60000}"/>
    <cellStyle name="Normal 3 7 11 15" xfId="46831" xr:uid="{00000000-0005-0000-0000-0000E6B60000}"/>
    <cellStyle name="Normal 3 7 11 15 2" xfId="46832" xr:uid="{00000000-0005-0000-0000-0000E7B60000}"/>
    <cellStyle name="Normal 3 7 11 15 3" xfId="46833" xr:uid="{00000000-0005-0000-0000-0000E8B60000}"/>
    <cellStyle name="Normal 3 7 11 16" xfId="46834" xr:uid="{00000000-0005-0000-0000-0000E9B60000}"/>
    <cellStyle name="Normal 3 7 11 16 2" xfId="46835" xr:uid="{00000000-0005-0000-0000-0000EAB60000}"/>
    <cellStyle name="Normal 3 7 11 16 3" xfId="46836" xr:uid="{00000000-0005-0000-0000-0000EBB60000}"/>
    <cellStyle name="Normal 3 7 11 17" xfId="46837" xr:uid="{00000000-0005-0000-0000-0000ECB60000}"/>
    <cellStyle name="Normal 3 7 11 17 2" xfId="46838" xr:uid="{00000000-0005-0000-0000-0000EDB60000}"/>
    <cellStyle name="Normal 3 7 11 17 3" xfId="46839" xr:uid="{00000000-0005-0000-0000-0000EEB60000}"/>
    <cellStyle name="Normal 3 7 11 18" xfId="46840" xr:uid="{00000000-0005-0000-0000-0000EFB60000}"/>
    <cellStyle name="Normal 3 7 11 19" xfId="46841" xr:uid="{00000000-0005-0000-0000-0000F0B60000}"/>
    <cellStyle name="Normal 3 7 11 2" xfId="46842" xr:uid="{00000000-0005-0000-0000-0000F1B60000}"/>
    <cellStyle name="Normal 3 7 11 3" xfId="46843" xr:uid="{00000000-0005-0000-0000-0000F2B60000}"/>
    <cellStyle name="Normal 3 7 11 4" xfId="46844" xr:uid="{00000000-0005-0000-0000-0000F3B60000}"/>
    <cellStyle name="Normal 3 7 11 5" xfId="46845" xr:uid="{00000000-0005-0000-0000-0000F4B60000}"/>
    <cellStyle name="Normal 3 7 11 5 2" xfId="46846" xr:uid="{00000000-0005-0000-0000-0000F5B60000}"/>
    <cellStyle name="Normal 3 7 11 5 3" xfId="46847" xr:uid="{00000000-0005-0000-0000-0000F6B60000}"/>
    <cellStyle name="Normal 3 7 11 6" xfId="46848" xr:uid="{00000000-0005-0000-0000-0000F7B60000}"/>
    <cellStyle name="Normal 3 7 11 6 2" xfId="46849" xr:uid="{00000000-0005-0000-0000-0000F8B60000}"/>
    <cellStyle name="Normal 3 7 11 6 3" xfId="46850" xr:uid="{00000000-0005-0000-0000-0000F9B60000}"/>
    <cellStyle name="Normal 3 7 11 7" xfId="46851" xr:uid="{00000000-0005-0000-0000-0000FAB60000}"/>
    <cellStyle name="Normal 3 7 11 7 2" xfId="46852" xr:uid="{00000000-0005-0000-0000-0000FBB60000}"/>
    <cellStyle name="Normal 3 7 11 7 3" xfId="46853" xr:uid="{00000000-0005-0000-0000-0000FCB60000}"/>
    <cellStyle name="Normal 3 7 11 8" xfId="46854" xr:uid="{00000000-0005-0000-0000-0000FDB60000}"/>
    <cellStyle name="Normal 3 7 11 8 2" xfId="46855" xr:uid="{00000000-0005-0000-0000-0000FEB60000}"/>
    <cellStyle name="Normal 3 7 11 8 3" xfId="46856" xr:uid="{00000000-0005-0000-0000-0000FFB60000}"/>
    <cellStyle name="Normal 3 7 11 9" xfId="46857" xr:uid="{00000000-0005-0000-0000-000000B70000}"/>
    <cellStyle name="Normal 3 7 11 9 2" xfId="46858" xr:uid="{00000000-0005-0000-0000-000001B70000}"/>
    <cellStyle name="Normal 3 7 11 9 3" xfId="46859" xr:uid="{00000000-0005-0000-0000-000002B70000}"/>
    <cellStyle name="Normal 3 7 12" xfId="46860" xr:uid="{00000000-0005-0000-0000-000003B70000}"/>
    <cellStyle name="Normal 3 7 13" xfId="46861" xr:uid="{00000000-0005-0000-0000-000004B70000}"/>
    <cellStyle name="Normal 3 7 14" xfId="46862" xr:uid="{00000000-0005-0000-0000-000005B70000}"/>
    <cellStyle name="Normal 3 7 14 10" xfId="46863" xr:uid="{00000000-0005-0000-0000-000006B70000}"/>
    <cellStyle name="Normal 3 7 14 10 2" xfId="46864" xr:uid="{00000000-0005-0000-0000-000007B70000}"/>
    <cellStyle name="Normal 3 7 14 10 3" xfId="46865" xr:uid="{00000000-0005-0000-0000-000008B70000}"/>
    <cellStyle name="Normal 3 7 14 11" xfId="46866" xr:uid="{00000000-0005-0000-0000-000009B70000}"/>
    <cellStyle name="Normal 3 7 14 11 2" xfId="46867" xr:uid="{00000000-0005-0000-0000-00000AB70000}"/>
    <cellStyle name="Normal 3 7 14 11 3" xfId="46868" xr:uid="{00000000-0005-0000-0000-00000BB70000}"/>
    <cellStyle name="Normal 3 7 14 12" xfId="46869" xr:uid="{00000000-0005-0000-0000-00000CB70000}"/>
    <cellStyle name="Normal 3 7 14 12 2" xfId="46870" xr:uid="{00000000-0005-0000-0000-00000DB70000}"/>
    <cellStyle name="Normal 3 7 14 12 3" xfId="46871" xr:uid="{00000000-0005-0000-0000-00000EB70000}"/>
    <cellStyle name="Normal 3 7 14 13" xfId="46872" xr:uid="{00000000-0005-0000-0000-00000FB70000}"/>
    <cellStyle name="Normal 3 7 14 13 2" xfId="46873" xr:uid="{00000000-0005-0000-0000-000010B70000}"/>
    <cellStyle name="Normal 3 7 14 13 3" xfId="46874" xr:uid="{00000000-0005-0000-0000-000011B70000}"/>
    <cellStyle name="Normal 3 7 14 14" xfId="46875" xr:uid="{00000000-0005-0000-0000-000012B70000}"/>
    <cellStyle name="Normal 3 7 14 14 2" xfId="46876" xr:uid="{00000000-0005-0000-0000-000013B70000}"/>
    <cellStyle name="Normal 3 7 14 14 3" xfId="46877" xr:uid="{00000000-0005-0000-0000-000014B70000}"/>
    <cellStyle name="Normal 3 7 14 15" xfId="46878" xr:uid="{00000000-0005-0000-0000-000015B70000}"/>
    <cellStyle name="Normal 3 7 14 15 2" xfId="46879" xr:uid="{00000000-0005-0000-0000-000016B70000}"/>
    <cellStyle name="Normal 3 7 14 15 3" xfId="46880" xr:uid="{00000000-0005-0000-0000-000017B70000}"/>
    <cellStyle name="Normal 3 7 14 16" xfId="46881" xr:uid="{00000000-0005-0000-0000-000018B70000}"/>
    <cellStyle name="Normal 3 7 14 17" xfId="46882" xr:uid="{00000000-0005-0000-0000-000019B70000}"/>
    <cellStyle name="Normal 3 7 14 2" xfId="46883" xr:uid="{00000000-0005-0000-0000-00001AB70000}"/>
    <cellStyle name="Normal 3 7 14 2 10" xfId="46884" xr:uid="{00000000-0005-0000-0000-00001BB70000}"/>
    <cellStyle name="Normal 3 7 14 2 10 2" xfId="46885" xr:uid="{00000000-0005-0000-0000-00001CB70000}"/>
    <cellStyle name="Normal 3 7 14 2 10 3" xfId="46886" xr:uid="{00000000-0005-0000-0000-00001DB70000}"/>
    <cellStyle name="Normal 3 7 14 2 11" xfId="46887" xr:uid="{00000000-0005-0000-0000-00001EB70000}"/>
    <cellStyle name="Normal 3 7 14 2 11 2" xfId="46888" xr:uid="{00000000-0005-0000-0000-00001FB70000}"/>
    <cellStyle name="Normal 3 7 14 2 11 3" xfId="46889" xr:uid="{00000000-0005-0000-0000-000020B70000}"/>
    <cellStyle name="Normal 3 7 14 2 12" xfId="46890" xr:uid="{00000000-0005-0000-0000-000021B70000}"/>
    <cellStyle name="Normal 3 7 14 2 12 2" xfId="46891" xr:uid="{00000000-0005-0000-0000-000022B70000}"/>
    <cellStyle name="Normal 3 7 14 2 12 3" xfId="46892" xr:uid="{00000000-0005-0000-0000-000023B70000}"/>
    <cellStyle name="Normal 3 7 14 2 13" xfId="46893" xr:uid="{00000000-0005-0000-0000-000024B70000}"/>
    <cellStyle name="Normal 3 7 14 2 13 2" xfId="46894" xr:uid="{00000000-0005-0000-0000-000025B70000}"/>
    <cellStyle name="Normal 3 7 14 2 13 3" xfId="46895" xr:uid="{00000000-0005-0000-0000-000026B70000}"/>
    <cellStyle name="Normal 3 7 14 2 14" xfId="46896" xr:uid="{00000000-0005-0000-0000-000027B70000}"/>
    <cellStyle name="Normal 3 7 14 2 14 2" xfId="46897" xr:uid="{00000000-0005-0000-0000-000028B70000}"/>
    <cellStyle name="Normal 3 7 14 2 14 3" xfId="46898" xr:uid="{00000000-0005-0000-0000-000029B70000}"/>
    <cellStyle name="Normal 3 7 14 2 15" xfId="46899" xr:uid="{00000000-0005-0000-0000-00002AB70000}"/>
    <cellStyle name="Normal 3 7 14 2 16" xfId="46900" xr:uid="{00000000-0005-0000-0000-00002BB70000}"/>
    <cellStyle name="Normal 3 7 14 2 2" xfId="46901" xr:uid="{00000000-0005-0000-0000-00002CB70000}"/>
    <cellStyle name="Normal 3 7 14 2 2 2" xfId="46902" xr:uid="{00000000-0005-0000-0000-00002DB70000}"/>
    <cellStyle name="Normal 3 7 14 2 2 3" xfId="46903" xr:uid="{00000000-0005-0000-0000-00002EB70000}"/>
    <cellStyle name="Normal 3 7 14 2 3" xfId="46904" xr:uid="{00000000-0005-0000-0000-00002FB70000}"/>
    <cellStyle name="Normal 3 7 14 2 3 2" xfId="46905" xr:uid="{00000000-0005-0000-0000-000030B70000}"/>
    <cellStyle name="Normal 3 7 14 2 3 3" xfId="46906" xr:uid="{00000000-0005-0000-0000-000031B70000}"/>
    <cellStyle name="Normal 3 7 14 2 4" xfId="46907" xr:uid="{00000000-0005-0000-0000-000032B70000}"/>
    <cellStyle name="Normal 3 7 14 2 4 2" xfId="46908" xr:uid="{00000000-0005-0000-0000-000033B70000}"/>
    <cellStyle name="Normal 3 7 14 2 4 3" xfId="46909" xr:uid="{00000000-0005-0000-0000-000034B70000}"/>
    <cellStyle name="Normal 3 7 14 2 5" xfId="46910" xr:uid="{00000000-0005-0000-0000-000035B70000}"/>
    <cellStyle name="Normal 3 7 14 2 5 2" xfId="46911" xr:uid="{00000000-0005-0000-0000-000036B70000}"/>
    <cellStyle name="Normal 3 7 14 2 5 3" xfId="46912" xr:uid="{00000000-0005-0000-0000-000037B70000}"/>
    <cellStyle name="Normal 3 7 14 2 6" xfId="46913" xr:uid="{00000000-0005-0000-0000-000038B70000}"/>
    <cellStyle name="Normal 3 7 14 2 6 2" xfId="46914" xr:uid="{00000000-0005-0000-0000-000039B70000}"/>
    <cellStyle name="Normal 3 7 14 2 6 3" xfId="46915" xr:uid="{00000000-0005-0000-0000-00003AB70000}"/>
    <cellStyle name="Normal 3 7 14 2 7" xfId="46916" xr:uid="{00000000-0005-0000-0000-00003BB70000}"/>
    <cellStyle name="Normal 3 7 14 2 7 2" xfId="46917" xr:uid="{00000000-0005-0000-0000-00003CB70000}"/>
    <cellStyle name="Normal 3 7 14 2 7 3" xfId="46918" xr:uid="{00000000-0005-0000-0000-00003DB70000}"/>
    <cellStyle name="Normal 3 7 14 2 8" xfId="46919" xr:uid="{00000000-0005-0000-0000-00003EB70000}"/>
    <cellStyle name="Normal 3 7 14 2 8 2" xfId="46920" xr:uid="{00000000-0005-0000-0000-00003FB70000}"/>
    <cellStyle name="Normal 3 7 14 2 8 3" xfId="46921" xr:uid="{00000000-0005-0000-0000-000040B70000}"/>
    <cellStyle name="Normal 3 7 14 2 9" xfId="46922" xr:uid="{00000000-0005-0000-0000-000041B70000}"/>
    <cellStyle name="Normal 3 7 14 2 9 2" xfId="46923" xr:uid="{00000000-0005-0000-0000-000042B70000}"/>
    <cellStyle name="Normal 3 7 14 2 9 3" xfId="46924" xr:uid="{00000000-0005-0000-0000-000043B70000}"/>
    <cellStyle name="Normal 3 7 14 3" xfId="46925" xr:uid="{00000000-0005-0000-0000-000044B70000}"/>
    <cellStyle name="Normal 3 7 14 3 2" xfId="46926" xr:uid="{00000000-0005-0000-0000-000045B70000}"/>
    <cellStyle name="Normal 3 7 14 3 3" xfId="46927" xr:uid="{00000000-0005-0000-0000-000046B70000}"/>
    <cellStyle name="Normal 3 7 14 4" xfId="46928" xr:uid="{00000000-0005-0000-0000-000047B70000}"/>
    <cellStyle name="Normal 3 7 14 4 2" xfId="46929" xr:uid="{00000000-0005-0000-0000-000048B70000}"/>
    <cellStyle name="Normal 3 7 14 4 3" xfId="46930" xr:uid="{00000000-0005-0000-0000-000049B70000}"/>
    <cellStyle name="Normal 3 7 14 5" xfId="46931" xr:uid="{00000000-0005-0000-0000-00004AB70000}"/>
    <cellStyle name="Normal 3 7 14 5 2" xfId="46932" xr:uid="{00000000-0005-0000-0000-00004BB70000}"/>
    <cellStyle name="Normal 3 7 14 5 3" xfId="46933" xr:uid="{00000000-0005-0000-0000-00004CB70000}"/>
    <cellStyle name="Normal 3 7 14 6" xfId="46934" xr:uid="{00000000-0005-0000-0000-00004DB70000}"/>
    <cellStyle name="Normal 3 7 14 6 2" xfId="46935" xr:uid="{00000000-0005-0000-0000-00004EB70000}"/>
    <cellStyle name="Normal 3 7 14 6 3" xfId="46936" xr:uid="{00000000-0005-0000-0000-00004FB70000}"/>
    <cellStyle name="Normal 3 7 14 7" xfId="46937" xr:uid="{00000000-0005-0000-0000-000050B70000}"/>
    <cellStyle name="Normal 3 7 14 7 2" xfId="46938" xr:uid="{00000000-0005-0000-0000-000051B70000}"/>
    <cellStyle name="Normal 3 7 14 7 3" xfId="46939" xr:uid="{00000000-0005-0000-0000-000052B70000}"/>
    <cellStyle name="Normal 3 7 14 8" xfId="46940" xr:uid="{00000000-0005-0000-0000-000053B70000}"/>
    <cellStyle name="Normal 3 7 14 8 2" xfId="46941" xr:uid="{00000000-0005-0000-0000-000054B70000}"/>
    <cellStyle name="Normal 3 7 14 8 3" xfId="46942" xr:uid="{00000000-0005-0000-0000-000055B70000}"/>
    <cellStyle name="Normal 3 7 14 9" xfId="46943" xr:uid="{00000000-0005-0000-0000-000056B70000}"/>
    <cellStyle name="Normal 3 7 14 9 2" xfId="46944" xr:uid="{00000000-0005-0000-0000-000057B70000}"/>
    <cellStyle name="Normal 3 7 14 9 3" xfId="46945" xr:uid="{00000000-0005-0000-0000-000058B70000}"/>
    <cellStyle name="Normal 3 7 15" xfId="46946" xr:uid="{00000000-0005-0000-0000-000059B70000}"/>
    <cellStyle name="Normal 3 7 15 10" xfId="46947" xr:uid="{00000000-0005-0000-0000-00005AB70000}"/>
    <cellStyle name="Normal 3 7 15 10 2" xfId="46948" xr:uid="{00000000-0005-0000-0000-00005BB70000}"/>
    <cellStyle name="Normal 3 7 15 10 3" xfId="46949" xr:uid="{00000000-0005-0000-0000-00005CB70000}"/>
    <cellStyle name="Normal 3 7 15 11" xfId="46950" xr:uid="{00000000-0005-0000-0000-00005DB70000}"/>
    <cellStyle name="Normal 3 7 15 11 2" xfId="46951" xr:uid="{00000000-0005-0000-0000-00005EB70000}"/>
    <cellStyle name="Normal 3 7 15 11 3" xfId="46952" xr:uid="{00000000-0005-0000-0000-00005FB70000}"/>
    <cellStyle name="Normal 3 7 15 12" xfId="46953" xr:uid="{00000000-0005-0000-0000-000060B70000}"/>
    <cellStyle name="Normal 3 7 15 12 2" xfId="46954" xr:uid="{00000000-0005-0000-0000-000061B70000}"/>
    <cellStyle name="Normal 3 7 15 12 3" xfId="46955" xr:uid="{00000000-0005-0000-0000-000062B70000}"/>
    <cellStyle name="Normal 3 7 15 13" xfId="46956" xr:uid="{00000000-0005-0000-0000-000063B70000}"/>
    <cellStyle name="Normal 3 7 15 13 2" xfId="46957" xr:uid="{00000000-0005-0000-0000-000064B70000}"/>
    <cellStyle name="Normal 3 7 15 13 3" xfId="46958" xr:uid="{00000000-0005-0000-0000-000065B70000}"/>
    <cellStyle name="Normal 3 7 15 14" xfId="46959" xr:uid="{00000000-0005-0000-0000-000066B70000}"/>
    <cellStyle name="Normal 3 7 15 14 2" xfId="46960" xr:uid="{00000000-0005-0000-0000-000067B70000}"/>
    <cellStyle name="Normal 3 7 15 14 3" xfId="46961" xr:uid="{00000000-0005-0000-0000-000068B70000}"/>
    <cellStyle name="Normal 3 7 15 15" xfId="46962" xr:uid="{00000000-0005-0000-0000-000069B70000}"/>
    <cellStyle name="Normal 3 7 15 15 2" xfId="46963" xr:uid="{00000000-0005-0000-0000-00006AB70000}"/>
    <cellStyle name="Normal 3 7 15 15 3" xfId="46964" xr:uid="{00000000-0005-0000-0000-00006BB70000}"/>
    <cellStyle name="Normal 3 7 15 16" xfId="46965" xr:uid="{00000000-0005-0000-0000-00006CB70000}"/>
    <cellStyle name="Normal 3 7 15 17" xfId="46966" xr:uid="{00000000-0005-0000-0000-00006DB70000}"/>
    <cellStyle name="Normal 3 7 15 2" xfId="46967" xr:uid="{00000000-0005-0000-0000-00006EB70000}"/>
    <cellStyle name="Normal 3 7 15 2 10" xfId="46968" xr:uid="{00000000-0005-0000-0000-00006FB70000}"/>
    <cellStyle name="Normal 3 7 15 2 10 2" xfId="46969" xr:uid="{00000000-0005-0000-0000-000070B70000}"/>
    <cellStyle name="Normal 3 7 15 2 10 3" xfId="46970" xr:uid="{00000000-0005-0000-0000-000071B70000}"/>
    <cellStyle name="Normal 3 7 15 2 11" xfId="46971" xr:uid="{00000000-0005-0000-0000-000072B70000}"/>
    <cellStyle name="Normal 3 7 15 2 11 2" xfId="46972" xr:uid="{00000000-0005-0000-0000-000073B70000}"/>
    <cellStyle name="Normal 3 7 15 2 11 3" xfId="46973" xr:uid="{00000000-0005-0000-0000-000074B70000}"/>
    <cellStyle name="Normal 3 7 15 2 12" xfId="46974" xr:uid="{00000000-0005-0000-0000-000075B70000}"/>
    <cellStyle name="Normal 3 7 15 2 12 2" xfId="46975" xr:uid="{00000000-0005-0000-0000-000076B70000}"/>
    <cellStyle name="Normal 3 7 15 2 12 3" xfId="46976" xr:uid="{00000000-0005-0000-0000-000077B70000}"/>
    <cellStyle name="Normal 3 7 15 2 13" xfId="46977" xr:uid="{00000000-0005-0000-0000-000078B70000}"/>
    <cellStyle name="Normal 3 7 15 2 13 2" xfId="46978" xr:uid="{00000000-0005-0000-0000-000079B70000}"/>
    <cellStyle name="Normal 3 7 15 2 13 3" xfId="46979" xr:uid="{00000000-0005-0000-0000-00007AB70000}"/>
    <cellStyle name="Normal 3 7 15 2 14" xfId="46980" xr:uid="{00000000-0005-0000-0000-00007BB70000}"/>
    <cellStyle name="Normal 3 7 15 2 14 2" xfId="46981" xr:uid="{00000000-0005-0000-0000-00007CB70000}"/>
    <cellStyle name="Normal 3 7 15 2 14 3" xfId="46982" xr:uid="{00000000-0005-0000-0000-00007DB70000}"/>
    <cellStyle name="Normal 3 7 15 2 15" xfId="46983" xr:uid="{00000000-0005-0000-0000-00007EB70000}"/>
    <cellStyle name="Normal 3 7 15 2 16" xfId="46984" xr:uid="{00000000-0005-0000-0000-00007FB70000}"/>
    <cellStyle name="Normal 3 7 15 2 2" xfId="46985" xr:uid="{00000000-0005-0000-0000-000080B70000}"/>
    <cellStyle name="Normal 3 7 15 2 2 2" xfId="46986" xr:uid="{00000000-0005-0000-0000-000081B70000}"/>
    <cellStyle name="Normal 3 7 15 2 2 3" xfId="46987" xr:uid="{00000000-0005-0000-0000-000082B70000}"/>
    <cellStyle name="Normal 3 7 15 2 3" xfId="46988" xr:uid="{00000000-0005-0000-0000-000083B70000}"/>
    <cellStyle name="Normal 3 7 15 2 3 2" xfId="46989" xr:uid="{00000000-0005-0000-0000-000084B70000}"/>
    <cellStyle name="Normal 3 7 15 2 3 3" xfId="46990" xr:uid="{00000000-0005-0000-0000-000085B70000}"/>
    <cellStyle name="Normal 3 7 15 2 4" xfId="46991" xr:uid="{00000000-0005-0000-0000-000086B70000}"/>
    <cellStyle name="Normal 3 7 15 2 4 2" xfId="46992" xr:uid="{00000000-0005-0000-0000-000087B70000}"/>
    <cellStyle name="Normal 3 7 15 2 4 3" xfId="46993" xr:uid="{00000000-0005-0000-0000-000088B70000}"/>
    <cellStyle name="Normal 3 7 15 2 5" xfId="46994" xr:uid="{00000000-0005-0000-0000-000089B70000}"/>
    <cellStyle name="Normal 3 7 15 2 5 2" xfId="46995" xr:uid="{00000000-0005-0000-0000-00008AB70000}"/>
    <cellStyle name="Normal 3 7 15 2 5 3" xfId="46996" xr:uid="{00000000-0005-0000-0000-00008BB70000}"/>
    <cellStyle name="Normal 3 7 15 2 6" xfId="46997" xr:uid="{00000000-0005-0000-0000-00008CB70000}"/>
    <cellStyle name="Normal 3 7 15 2 6 2" xfId="46998" xr:uid="{00000000-0005-0000-0000-00008DB70000}"/>
    <cellStyle name="Normal 3 7 15 2 6 3" xfId="46999" xr:uid="{00000000-0005-0000-0000-00008EB70000}"/>
    <cellStyle name="Normal 3 7 15 2 7" xfId="47000" xr:uid="{00000000-0005-0000-0000-00008FB70000}"/>
    <cellStyle name="Normal 3 7 15 2 7 2" xfId="47001" xr:uid="{00000000-0005-0000-0000-000090B70000}"/>
    <cellStyle name="Normal 3 7 15 2 7 3" xfId="47002" xr:uid="{00000000-0005-0000-0000-000091B70000}"/>
    <cellStyle name="Normal 3 7 15 2 8" xfId="47003" xr:uid="{00000000-0005-0000-0000-000092B70000}"/>
    <cellStyle name="Normal 3 7 15 2 8 2" xfId="47004" xr:uid="{00000000-0005-0000-0000-000093B70000}"/>
    <cellStyle name="Normal 3 7 15 2 8 3" xfId="47005" xr:uid="{00000000-0005-0000-0000-000094B70000}"/>
    <cellStyle name="Normal 3 7 15 2 9" xfId="47006" xr:uid="{00000000-0005-0000-0000-000095B70000}"/>
    <cellStyle name="Normal 3 7 15 2 9 2" xfId="47007" xr:uid="{00000000-0005-0000-0000-000096B70000}"/>
    <cellStyle name="Normal 3 7 15 2 9 3" xfId="47008" xr:uid="{00000000-0005-0000-0000-000097B70000}"/>
    <cellStyle name="Normal 3 7 15 3" xfId="47009" xr:uid="{00000000-0005-0000-0000-000098B70000}"/>
    <cellStyle name="Normal 3 7 15 3 2" xfId="47010" xr:uid="{00000000-0005-0000-0000-000099B70000}"/>
    <cellStyle name="Normal 3 7 15 3 3" xfId="47011" xr:uid="{00000000-0005-0000-0000-00009AB70000}"/>
    <cellStyle name="Normal 3 7 15 4" xfId="47012" xr:uid="{00000000-0005-0000-0000-00009BB70000}"/>
    <cellStyle name="Normal 3 7 15 4 2" xfId="47013" xr:uid="{00000000-0005-0000-0000-00009CB70000}"/>
    <cellStyle name="Normal 3 7 15 4 3" xfId="47014" xr:uid="{00000000-0005-0000-0000-00009DB70000}"/>
    <cellStyle name="Normal 3 7 15 5" xfId="47015" xr:uid="{00000000-0005-0000-0000-00009EB70000}"/>
    <cellStyle name="Normal 3 7 15 5 2" xfId="47016" xr:uid="{00000000-0005-0000-0000-00009FB70000}"/>
    <cellStyle name="Normal 3 7 15 5 3" xfId="47017" xr:uid="{00000000-0005-0000-0000-0000A0B70000}"/>
    <cellStyle name="Normal 3 7 15 6" xfId="47018" xr:uid="{00000000-0005-0000-0000-0000A1B70000}"/>
    <cellStyle name="Normal 3 7 15 6 2" xfId="47019" xr:uid="{00000000-0005-0000-0000-0000A2B70000}"/>
    <cellStyle name="Normal 3 7 15 6 3" xfId="47020" xr:uid="{00000000-0005-0000-0000-0000A3B70000}"/>
    <cellStyle name="Normal 3 7 15 7" xfId="47021" xr:uid="{00000000-0005-0000-0000-0000A4B70000}"/>
    <cellStyle name="Normal 3 7 15 7 2" xfId="47022" xr:uid="{00000000-0005-0000-0000-0000A5B70000}"/>
    <cellStyle name="Normal 3 7 15 7 3" xfId="47023" xr:uid="{00000000-0005-0000-0000-0000A6B70000}"/>
    <cellStyle name="Normal 3 7 15 8" xfId="47024" xr:uid="{00000000-0005-0000-0000-0000A7B70000}"/>
    <cellStyle name="Normal 3 7 15 8 2" xfId="47025" xr:uid="{00000000-0005-0000-0000-0000A8B70000}"/>
    <cellStyle name="Normal 3 7 15 8 3" xfId="47026" xr:uid="{00000000-0005-0000-0000-0000A9B70000}"/>
    <cellStyle name="Normal 3 7 15 9" xfId="47027" xr:uid="{00000000-0005-0000-0000-0000AAB70000}"/>
    <cellStyle name="Normal 3 7 15 9 2" xfId="47028" xr:uid="{00000000-0005-0000-0000-0000ABB70000}"/>
    <cellStyle name="Normal 3 7 15 9 3" xfId="47029" xr:uid="{00000000-0005-0000-0000-0000ACB70000}"/>
    <cellStyle name="Normal 3 7 16" xfId="47030" xr:uid="{00000000-0005-0000-0000-0000ADB70000}"/>
    <cellStyle name="Normal 3 7 16 10" xfId="47031" xr:uid="{00000000-0005-0000-0000-0000AEB70000}"/>
    <cellStyle name="Normal 3 7 16 10 2" xfId="47032" xr:uid="{00000000-0005-0000-0000-0000AFB70000}"/>
    <cellStyle name="Normal 3 7 16 10 3" xfId="47033" xr:uid="{00000000-0005-0000-0000-0000B0B70000}"/>
    <cellStyle name="Normal 3 7 16 11" xfId="47034" xr:uid="{00000000-0005-0000-0000-0000B1B70000}"/>
    <cellStyle name="Normal 3 7 16 11 2" xfId="47035" xr:uid="{00000000-0005-0000-0000-0000B2B70000}"/>
    <cellStyle name="Normal 3 7 16 11 3" xfId="47036" xr:uid="{00000000-0005-0000-0000-0000B3B70000}"/>
    <cellStyle name="Normal 3 7 16 12" xfId="47037" xr:uid="{00000000-0005-0000-0000-0000B4B70000}"/>
    <cellStyle name="Normal 3 7 16 12 2" xfId="47038" xr:uid="{00000000-0005-0000-0000-0000B5B70000}"/>
    <cellStyle name="Normal 3 7 16 12 3" xfId="47039" xr:uid="{00000000-0005-0000-0000-0000B6B70000}"/>
    <cellStyle name="Normal 3 7 16 13" xfId="47040" xr:uid="{00000000-0005-0000-0000-0000B7B70000}"/>
    <cellStyle name="Normal 3 7 16 13 2" xfId="47041" xr:uid="{00000000-0005-0000-0000-0000B8B70000}"/>
    <cellStyle name="Normal 3 7 16 13 3" xfId="47042" xr:uid="{00000000-0005-0000-0000-0000B9B70000}"/>
    <cellStyle name="Normal 3 7 16 14" xfId="47043" xr:uid="{00000000-0005-0000-0000-0000BAB70000}"/>
    <cellStyle name="Normal 3 7 16 14 2" xfId="47044" xr:uid="{00000000-0005-0000-0000-0000BBB70000}"/>
    <cellStyle name="Normal 3 7 16 14 3" xfId="47045" xr:uid="{00000000-0005-0000-0000-0000BCB70000}"/>
    <cellStyle name="Normal 3 7 16 15" xfId="47046" xr:uid="{00000000-0005-0000-0000-0000BDB70000}"/>
    <cellStyle name="Normal 3 7 16 15 2" xfId="47047" xr:uid="{00000000-0005-0000-0000-0000BEB70000}"/>
    <cellStyle name="Normal 3 7 16 15 3" xfId="47048" xr:uid="{00000000-0005-0000-0000-0000BFB70000}"/>
    <cellStyle name="Normal 3 7 16 16" xfId="47049" xr:uid="{00000000-0005-0000-0000-0000C0B70000}"/>
    <cellStyle name="Normal 3 7 16 17" xfId="47050" xr:uid="{00000000-0005-0000-0000-0000C1B70000}"/>
    <cellStyle name="Normal 3 7 16 2" xfId="47051" xr:uid="{00000000-0005-0000-0000-0000C2B70000}"/>
    <cellStyle name="Normal 3 7 16 2 10" xfId="47052" xr:uid="{00000000-0005-0000-0000-0000C3B70000}"/>
    <cellStyle name="Normal 3 7 16 2 10 2" xfId="47053" xr:uid="{00000000-0005-0000-0000-0000C4B70000}"/>
    <cellStyle name="Normal 3 7 16 2 10 3" xfId="47054" xr:uid="{00000000-0005-0000-0000-0000C5B70000}"/>
    <cellStyle name="Normal 3 7 16 2 11" xfId="47055" xr:uid="{00000000-0005-0000-0000-0000C6B70000}"/>
    <cellStyle name="Normal 3 7 16 2 11 2" xfId="47056" xr:uid="{00000000-0005-0000-0000-0000C7B70000}"/>
    <cellStyle name="Normal 3 7 16 2 11 3" xfId="47057" xr:uid="{00000000-0005-0000-0000-0000C8B70000}"/>
    <cellStyle name="Normal 3 7 16 2 12" xfId="47058" xr:uid="{00000000-0005-0000-0000-0000C9B70000}"/>
    <cellStyle name="Normal 3 7 16 2 12 2" xfId="47059" xr:uid="{00000000-0005-0000-0000-0000CAB70000}"/>
    <cellStyle name="Normal 3 7 16 2 12 3" xfId="47060" xr:uid="{00000000-0005-0000-0000-0000CBB70000}"/>
    <cellStyle name="Normal 3 7 16 2 13" xfId="47061" xr:uid="{00000000-0005-0000-0000-0000CCB70000}"/>
    <cellStyle name="Normal 3 7 16 2 13 2" xfId="47062" xr:uid="{00000000-0005-0000-0000-0000CDB70000}"/>
    <cellStyle name="Normal 3 7 16 2 13 3" xfId="47063" xr:uid="{00000000-0005-0000-0000-0000CEB70000}"/>
    <cellStyle name="Normal 3 7 16 2 14" xfId="47064" xr:uid="{00000000-0005-0000-0000-0000CFB70000}"/>
    <cellStyle name="Normal 3 7 16 2 14 2" xfId="47065" xr:uid="{00000000-0005-0000-0000-0000D0B70000}"/>
    <cellStyle name="Normal 3 7 16 2 14 3" xfId="47066" xr:uid="{00000000-0005-0000-0000-0000D1B70000}"/>
    <cellStyle name="Normal 3 7 16 2 15" xfId="47067" xr:uid="{00000000-0005-0000-0000-0000D2B70000}"/>
    <cellStyle name="Normal 3 7 16 2 16" xfId="47068" xr:uid="{00000000-0005-0000-0000-0000D3B70000}"/>
    <cellStyle name="Normal 3 7 16 2 2" xfId="47069" xr:uid="{00000000-0005-0000-0000-0000D4B70000}"/>
    <cellStyle name="Normal 3 7 16 2 2 2" xfId="47070" xr:uid="{00000000-0005-0000-0000-0000D5B70000}"/>
    <cellStyle name="Normal 3 7 16 2 2 3" xfId="47071" xr:uid="{00000000-0005-0000-0000-0000D6B70000}"/>
    <cellStyle name="Normal 3 7 16 2 3" xfId="47072" xr:uid="{00000000-0005-0000-0000-0000D7B70000}"/>
    <cellStyle name="Normal 3 7 16 2 3 2" xfId="47073" xr:uid="{00000000-0005-0000-0000-0000D8B70000}"/>
    <cellStyle name="Normal 3 7 16 2 3 3" xfId="47074" xr:uid="{00000000-0005-0000-0000-0000D9B70000}"/>
    <cellStyle name="Normal 3 7 16 2 4" xfId="47075" xr:uid="{00000000-0005-0000-0000-0000DAB70000}"/>
    <cellStyle name="Normal 3 7 16 2 4 2" xfId="47076" xr:uid="{00000000-0005-0000-0000-0000DBB70000}"/>
    <cellStyle name="Normal 3 7 16 2 4 3" xfId="47077" xr:uid="{00000000-0005-0000-0000-0000DCB70000}"/>
    <cellStyle name="Normal 3 7 16 2 5" xfId="47078" xr:uid="{00000000-0005-0000-0000-0000DDB70000}"/>
    <cellStyle name="Normal 3 7 16 2 5 2" xfId="47079" xr:uid="{00000000-0005-0000-0000-0000DEB70000}"/>
    <cellStyle name="Normal 3 7 16 2 5 3" xfId="47080" xr:uid="{00000000-0005-0000-0000-0000DFB70000}"/>
    <cellStyle name="Normal 3 7 16 2 6" xfId="47081" xr:uid="{00000000-0005-0000-0000-0000E0B70000}"/>
    <cellStyle name="Normal 3 7 16 2 6 2" xfId="47082" xr:uid="{00000000-0005-0000-0000-0000E1B70000}"/>
    <cellStyle name="Normal 3 7 16 2 6 3" xfId="47083" xr:uid="{00000000-0005-0000-0000-0000E2B70000}"/>
    <cellStyle name="Normal 3 7 16 2 7" xfId="47084" xr:uid="{00000000-0005-0000-0000-0000E3B70000}"/>
    <cellStyle name="Normal 3 7 16 2 7 2" xfId="47085" xr:uid="{00000000-0005-0000-0000-0000E4B70000}"/>
    <cellStyle name="Normal 3 7 16 2 7 3" xfId="47086" xr:uid="{00000000-0005-0000-0000-0000E5B70000}"/>
    <cellStyle name="Normal 3 7 16 2 8" xfId="47087" xr:uid="{00000000-0005-0000-0000-0000E6B70000}"/>
    <cellStyle name="Normal 3 7 16 2 8 2" xfId="47088" xr:uid="{00000000-0005-0000-0000-0000E7B70000}"/>
    <cellStyle name="Normal 3 7 16 2 8 3" xfId="47089" xr:uid="{00000000-0005-0000-0000-0000E8B70000}"/>
    <cellStyle name="Normal 3 7 16 2 9" xfId="47090" xr:uid="{00000000-0005-0000-0000-0000E9B70000}"/>
    <cellStyle name="Normal 3 7 16 2 9 2" xfId="47091" xr:uid="{00000000-0005-0000-0000-0000EAB70000}"/>
    <cellStyle name="Normal 3 7 16 2 9 3" xfId="47092" xr:uid="{00000000-0005-0000-0000-0000EBB70000}"/>
    <cellStyle name="Normal 3 7 16 3" xfId="47093" xr:uid="{00000000-0005-0000-0000-0000ECB70000}"/>
    <cellStyle name="Normal 3 7 16 3 2" xfId="47094" xr:uid="{00000000-0005-0000-0000-0000EDB70000}"/>
    <cellStyle name="Normal 3 7 16 3 3" xfId="47095" xr:uid="{00000000-0005-0000-0000-0000EEB70000}"/>
    <cellStyle name="Normal 3 7 16 4" xfId="47096" xr:uid="{00000000-0005-0000-0000-0000EFB70000}"/>
    <cellStyle name="Normal 3 7 16 4 2" xfId="47097" xr:uid="{00000000-0005-0000-0000-0000F0B70000}"/>
    <cellStyle name="Normal 3 7 16 4 3" xfId="47098" xr:uid="{00000000-0005-0000-0000-0000F1B70000}"/>
    <cellStyle name="Normal 3 7 16 5" xfId="47099" xr:uid="{00000000-0005-0000-0000-0000F2B70000}"/>
    <cellStyle name="Normal 3 7 16 5 2" xfId="47100" xr:uid="{00000000-0005-0000-0000-0000F3B70000}"/>
    <cellStyle name="Normal 3 7 16 5 3" xfId="47101" xr:uid="{00000000-0005-0000-0000-0000F4B70000}"/>
    <cellStyle name="Normal 3 7 16 6" xfId="47102" xr:uid="{00000000-0005-0000-0000-0000F5B70000}"/>
    <cellStyle name="Normal 3 7 16 6 2" xfId="47103" xr:uid="{00000000-0005-0000-0000-0000F6B70000}"/>
    <cellStyle name="Normal 3 7 16 6 3" xfId="47104" xr:uid="{00000000-0005-0000-0000-0000F7B70000}"/>
    <cellStyle name="Normal 3 7 16 7" xfId="47105" xr:uid="{00000000-0005-0000-0000-0000F8B70000}"/>
    <cellStyle name="Normal 3 7 16 7 2" xfId="47106" xr:uid="{00000000-0005-0000-0000-0000F9B70000}"/>
    <cellStyle name="Normal 3 7 16 7 3" xfId="47107" xr:uid="{00000000-0005-0000-0000-0000FAB70000}"/>
    <cellStyle name="Normal 3 7 16 8" xfId="47108" xr:uid="{00000000-0005-0000-0000-0000FBB70000}"/>
    <cellStyle name="Normal 3 7 16 8 2" xfId="47109" xr:uid="{00000000-0005-0000-0000-0000FCB70000}"/>
    <cellStyle name="Normal 3 7 16 8 3" xfId="47110" xr:uid="{00000000-0005-0000-0000-0000FDB70000}"/>
    <cellStyle name="Normal 3 7 16 9" xfId="47111" xr:uid="{00000000-0005-0000-0000-0000FEB70000}"/>
    <cellStyle name="Normal 3 7 16 9 2" xfId="47112" xr:uid="{00000000-0005-0000-0000-0000FFB70000}"/>
    <cellStyle name="Normal 3 7 16 9 3" xfId="47113" xr:uid="{00000000-0005-0000-0000-000000B80000}"/>
    <cellStyle name="Normal 3 7 17" xfId="47114" xr:uid="{00000000-0005-0000-0000-000001B80000}"/>
    <cellStyle name="Normal 3 7 17 10" xfId="47115" xr:uid="{00000000-0005-0000-0000-000002B80000}"/>
    <cellStyle name="Normal 3 7 17 10 2" xfId="47116" xr:uid="{00000000-0005-0000-0000-000003B80000}"/>
    <cellStyle name="Normal 3 7 17 10 3" xfId="47117" xr:uid="{00000000-0005-0000-0000-000004B80000}"/>
    <cellStyle name="Normal 3 7 17 11" xfId="47118" xr:uid="{00000000-0005-0000-0000-000005B80000}"/>
    <cellStyle name="Normal 3 7 17 11 2" xfId="47119" xr:uid="{00000000-0005-0000-0000-000006B80000}"/>
    <cellStyle name="Normal 3 7 17 11 3" xfId="47120" xr:uid="{00000000-0005-0000-0000-000007B80000}"/>
    <cellStyle name="Normal 3 7 17 12" xfId="47121" xr:uid="{00000000-0005-0000-0000-000008B80000}"/>
    <cellStyle name="Normal 3 7 17 12 2" xfId="47122" xr:uid="{00000000-0005-0000-0000-000009B80000}"/>
    <cellStyle name="Normal 3 7 17 12 3" xfId="47123" xr:uid="{00000000-0005-0000-0000-00000AB80000}"/>
    <cellStyle name="Normal 3 7 17 13" xfId="47124" xr:uid="{00000000-0005-0000-0000-00000BB80000}"/>
    <cellStyle name="Normal 3 7 17 13 2" xfId="47125" xr:uid="{00000000-0005-0000-0000-00000CB80000}"/>
    <cellStyle name="Normal 3 7 17 13 3" xfId="47126" xr:uid="{00000000-0005-0000-0000-00000DB80000}"/>
    <cellStyle name="Normal 3 7 17 14" xfId="47127" xr:uid="{00000000-0005-0000-0000-00000EB80000}"/>
    <cellStyle name="Normal 3 7 17 14 2" xfId="47128" xr:uid="{00000000-0005-0000-0000-00000FB80000}"/>
    <cellStyle name="Normal 3 7 17 14 3" xfId="47129" xr:uid="{00000000-0005-0000-0000-000010B80000}"/>
    <cellStyle name="Normal 3 7 17 15" xfId="47130" xr:uid="{00000000-0005-0000-0000-000011B80000}"/>
    <cellStyle name="Normal 3 7 17 16" xfId="47131" xr:uid="{00000000-0005-0000-0000-000012B80000}"/>
    <cellStyle name="Normal 3 7 17 2" xfId="47132" xr:uid="{00000000-0005-0000-0000-000013B80000}"/>
    <cellStyle name="Normal 3 7 17 2 2" xfId="47133" xr:uid="{00000000-0005-0000-0000-000014B80000}"/>
    <cellStyle name="Normal 3 7 17 2 3" xfId="47134" xr:uid="{00000000-0005-0000-0000-000015B80000}"/>
    <cellStyle name="Normal 3 7 17 3" xfId="47135" xr:uid="{00000000-0005-0000-0000-000016B80000}"/>
    <cellStyle name="Normal 3 7 17 3 2" xfId="47136" xr:uid="{00000000-0005-0000-0000-000017B80000}"/>
    <cellStyle name="Normal 3 7 17 3 3" xfId="47137" xr:uid="{00000000-0005-0000-0000-000018B80000}"/>
    <cellStyle name="Normal 3 7 17 4" xfId="47138" xr:uid="{00000000-0005-0000-0000-000019B80000}"/>
    <cellStyle name="Normal 3 7 17 4 2" xfId="47139" xr:uid="{00000000-0005-0000-0000-00001AB80000}"/>
    <cellStyle name="Normal 3 7 17 4 3" xfId="47140" xr:uid="{00000000-0005-0000-0000-00001BB80000}"/>
    <cellStyle name="Normal 3 7 17 5" xfId="47141" xr:uid="{00000000-0005-0000-0000-00001CB80000}"/>
    <cellStyle name="Normal 3 7 17 5 2" xfId="47142" xr:uid="{00000000-0005-0000-0000-00001DB80000}"/>
    <cellStyle name="Normal 3 7 17 5 3" xfId="47143" xr:uid="{00000000-0005-0000-0000-00001EB80000}"/>
    <cellStyle name="Normal 3 7 17 6" xfId="47144" xr:uid="{00000000-0005-0000-0000-00001FB80000}"/>
    <cellStyle name="Normal 3 7 17 6 2" xfId="47145" xr:uid="{00000000-0005-0000-0000-000020B80000}"/>
    <cellStyle name="Normal 3 7 17 6 3" xfId="47146" xr:uid="{00000000-0005-0000-0000-000021B80000}"/>
    <cellStyle name="Normal 3 7 17 7" xfId="47147" xr:uid="{00000000-0005-0000-0000-000022B80000}"/>
    <cellStyle name="Normal 3 7 17 7 2" xfId="47148" xr:uid="{00000000-0005-0000-0000-000023B80000}"/>
    <cellStyle name="Normal 3 7 17 7 3" xfId="47149" xr:uid="{00000000-0005-0000-0000-000024B80000}"/>
    <cellStyle name="Normal 3 7 17 8" xfId="47150" xr:uid="{00000000-0005-0000-0000-000025B80000}"/>
    <cellStyle name="Normal 3 7 17 8 2" xfId="47151" xr:uid="{00000000-0005-0000-0000-000026B80000}"/>
    <cellStyle name="Normal 3 7 17 8 3" xfId="47152" xr:uid="{00000000-0005-0000-0000-000027B80000}"/>
    <cellStyle name="Normal 3 7 17 9" xfId="47153" xr:uid="{00000000-0005-0000-0000-000028B80000}"/>
    <cellStyle name="Normal 3 7 17 9 2" xfId="47154" xr:uid="{00000000-0005-0000-0000-000029B80000}"/>
    <cellStyle name="Normal 3 7 17 9 3" xfId="47155" xr:uid="{00000000-0005-0000-0000-00002AB80000}"/>
    <cellStyle name="Normal 3 7 18" xfId="47156" xr:uid="{00000000-0005-0000-0000-00002BB80000}"/>
    <cellStyle name="Normal 3 7 18 10" xfId="47157" xr:uid="{00000000-0005-0000-0000-00002CB80000}"/>
    <cellStyle name="Normal 3 7 18 10 2" xfId="47158" xr:uid="{00000000-0005-0000-0000-00002DB80000}"/>
    <cellStyle name="Normal 3 7 18 10 3" xfId="47159" xr:uid="{00000000-0005-0000-0000-00002EB80000}"/>
    <cellStyle name="Normal 3 7 18 11" xfId="47160" xr:uid="{00000000-0005-0000-0000-00002FB80000}"/>
    <cellStyle name="Normal 3 7 18 11 2" xfId="47161" xr:uid="{00000000-0005-0000-0000-000030B80000}"/>
    <cellStyle name="Normal 3 7 18 11 3" xfId="47162" xr:uid="{00000000-0005-0000-0000-000031B80000}"/>
    <cellStyle name="Normal 3 7 18 12" xfId="47163" xr:uid="{00000000-0005-0000-0000-000032B80000}"/>
    <cellStyle name="Normal 3 7 18 12 2" xfId="47164" xr:uid="{00000000-0005-0000-0000-000033B80000}"/>
    <cellStyle name="Normal 3 7 18 12 3" xfId="47165" xr:uid="{00000000-0005-0000-0000-000034B80000}"/>
    <cellStyle name="Normal 3 7 18 13" xfId="47166" xr:uid="{00000000-0005-0000-0000-000035B80000}"/>
    <cellStyle name="Normal 3 7 18 13 2" xfId="47167" xr:uid="{00000000-0005-0000-0000-000036B80000}"/>
    <cellStyle name="Normal 3 7 18 13 3" xfId="47168" xr:uid="{00000000-0005-0000-0000-000037B80000}"/>
    <cellStyle name="Normal 3 7 18 14" xfId="47169" xr:uid="{00000000-0005-0000-0000-000038B80000}"/>
    <cellStyle name="Normal 3 7 18 14 2" xfId="47170" xr:uid="{00000000-0005-0000-0000-000039B80000}"/>
    <cellStyle name="Normal 3 7 18 14 3" xfId="47171" xr:uid="{00000000-0005-0000-0000-00003AB80000}"/>
    <cellStyle name="Normal 3 7 18 15" xfId="47172" xr:uid="{00000000-0005-0000-0000-00003BB80000}"/>
    <cellStyle name="Normal 3 7 18 16" xfId="47173" xr:uid="{00000000-0005-0000-0000-00003CB80000}"/>
    <cellStyle name="Normal 3 7 18 2" xfId="47174" xr:uid="{00000000-0005-0000-0000-00003DB80000}"/>
    <cellStyle name="Normal 3 7 18 2 2" xfId="47175" xr:uid="{00000000-0005-0000-0000-00003EB80000}"/>
    <cellStyle name="Normal 3 7 18 2 3" xfId="47176" xr:uid="{00000000-0005-0000-0000-00003FB80000}"/>
    <cellStyle name="Normal 3 7 18 3" xfId="47177" xr:uid="{00000000-0005-0000-0000-000040B80000}"/>
    <cellStyle name="Normal 3 7 18 3 2" xfId="47178" xr:uid="{00000000-0005-0000-0000-000041B80000}"/>
    <cellStyle name="Normal 3 7 18 3 3" xfId="47179" xr:uid="{00000000-0005-0000-0000-000042B80000}"/>
    <cellStyle name="Normal 3 7 18 4" xfId="47180" xr:uid="{00000000-0005-0000-0000-000043B80000}"/>
    <cellStyle name="Normal 3 7 18 4 2" xfId="47181" xr:uid="{00000000-0005-0000-0000-000044B80000}"/>
    <cellStyle name="Normal 3 7 18 4 3" xfId="47182" xr:uid="{00000000-0005-0000-0000-000045B80000}"/>
    <cellStyle name="Normal 3 7 18 5" xfId="47183" xr:uid="{00000000-0005-0000-0000-000046B80000}"/>
    <cellStyle name="Normal 3 7 18 5 2" xfId="47184" xr:uid="{00000000-0005-0000-0000-000047B80000}"/>
    <cellStyle name="Normal 3 7 18 5 3" xfId="47185" xr:uid="{00000000-0005-0000-0000-000048B80000}"/>
    <cellStyle name="Normal 3 7 18 6" xfId="47186" xr:uid="{00000000-0005-0000-0000-000049B80000}"/>
    <cellStyle name="Normal 3 7 18 6 2" xfId="47187" xr:uid="{00000000-0005-0000-0000-00004AB80000}"/>
    <cellStyle name="Normal 3 7 18 6 3" xfId="47188" xr:uid="{00000000-0005-0000-0000-00004BB80000}"/>
    <cellStyle name="Normal 3 7 18 7" xfId="47189" xr:uid="{00000000-0005-0000-0000-00004CB80000}"/>
    <cellStyle name="Normal 3 7 18 7 2" xfId="47190" xr:uid="{00000000-0005-0000-0000-00004DB80000}"/>
    <cellStyle name="Normal 3 7 18 7 3" xfId="47191" xr:uid="{00000000-0005-0000-0000-00004EB80000}"/>
    <cellStyle name="Normal 3 7 18 8" xfId="47192" xr:uid="{00000000-0005-0000-0000-00004FB80000}"/>
    <cellStyle name="Normal 3 7 18 8 2" xfId="47193" xr:uid="{00000000-0005-0000-0000-000050B80000}"/>
    <cellStyle name="Normal 3 7 18 8 3" xfId="47194" xr:uid="{00000000-0005-0000-0000-000051B80000}"/>
    <cellStyle name="Normal 3 7 18 9" xfId="47195" xr:uid="{00000000-0005-0000-0000-000052B80000}"/>
    <cellStyle name="Normal 3 7 18 9 2" xfId="47196" xr:uid="{00000000-0005-0000-0000-000053B80000}"/>
    <cellStyle name="Normal 3 7 18 9 3" xfId="47197" xr:uid="{00000000-0005-0000-0000-000054B80000}"/>
    <cellStyle name="Normal 3 7 19" xfId="47198" xr:uid="{00000000-0005-0000-0000-000055B80000}"/>
    <cellStyle name="Normal 3 7 19 10" xfId="47199" xr:uid="{00000000-0005-0000-0000-000056B80000}"/>
    <cellStyle name="Normal 3 7 19 10 2" xfId="47200" xr:uid="{00000000-0005-0000-0000-000057B80000}"/>
    <cellStyle name="Normal 3 7 19 10 3" xfId="47201" xr:uid="{00000000-0005-0000-0000-000058B80000}"/>
    <cellStyle name="Normal 3 7 19 11" xfId="47202" xr:uid="{00000000-0005-0000-0000-000059B80000}"/>
    <cellStyle name="Normal 3 7 19 11 2" xfId="47203" xr:uid="{00000000-0005-0000-0000-00005AB80000}"/>
    <cellStyle name="Normal 3 7 19 11 3" xfId="47204" xr:uid="{00000000-0005-0000-0000-00005BB80000}"/>
    <cellStyle name="Normal 3 7 19 12" xfId="47205" xr:uid="{00000000-0005-0000-0000-00005CB80000}"/>
    <cellStyle name="Normal 3 7 19 12 2" xfId="47206" xr:uid="{00000000-0005-0000-0000-00005DB80000}"/>
    <cellStyle name="Normal 3 7 19 12 3" xfId="47207" xr:uid="{00000000-0005-0000-0000-00005EB80000}"/>
    <cellStyle name="Normal 3 7 19 13" xfId="47208" xr:uid="{00000000-0005-0000-0000-00005FB80000}"/>
    <cellStyle name="Normal 3 7 19 13 2" xfId="47209" xr:uid="{00000000-0005-0000-0000-000060B80000}"/>
    <cellStyle name="Normal 3 7 19 13 3" xfId="47210" xr:uid="{00000000-0005-0000-0000-000061B80000}"/>
    <cellStyle name="Normal 3 7 19 14" xfId="47211" xr:uid="{00000000-0005-0000-0000-000062B80000}"/>
    <cellStyle name="Normal 3 7 19 14 2" xfId="47212" xr:uid="{00000000-0005-0000-0000-000063B80000}"/>
    <cellStyle name="Normal 3 7 19 14 3" xfId="47213" xr:uid="{00000000-0005-0000-0000-000064B80000}"/>
    <cellStyle name="Normal 3 7 19 15" xfId="47214" xr:uid="{00000000-0005-0000-0000-000065B80000}"/>
    <cellStyle name="Normal 3 7 19 16" xfId="47215" xr:uid="{00000000-0005-0000-0000-000066B80000}"/>
    <cellStyle name="Normal 3 7 19 2" xfId="47216" xr:uid="{00000000-0005-0000-0000-000067B80000}"/>
    <cellStyle name="Normal 3 7 19 2 2" xfId="47217" xr:uid="{00000000-0005-0000-0000-000068B80000}"/>
    <cellStyle name="Normal 3 7 19 2 3" xfId="47218" xr:uid="{00000000-0005-0000-0000-000069B80000}"/>
    <cellStyle name="Normal 3 7 19 3" xfId="47219" xr:uid="{00000000-0005-0000-0000-00006AB80000}"/>
    <cellStyle name="Normal 3 7 19 3 2" xfId="47220" xr:uid="{00000000-0005-0000-0000-00006BB80000}"/>
    <cellStyle name="Normal 3 7 19 3 3" xfId="47221" xr:uid="{00000000-0005-0000-0000-00006CB80000}"/>
    <cellStyle name="Normal 3 7 19 4" xfId="47222" xr:uid="{00000000-0005-0000-0000-00006DB80000}"/>
    <cellStyle name="Normal 3 7 19 4 2" xfId="47223" xr:uid="{00000000-0005-0000-0000-00006EB80000}"/>
    <cellStyle name="Normal 3 7 19 4 3" xfId="47224" xr:uid="{00000000-0005-0000-0000-00006FB80000}"/>
    <cellStyle name="Normal 3 7 19 5" xfId="47225" xr:uid="{00000000-0005-0000-0000-000070B80000}"/>
    <cellStyle name="Normal 3 7 19 5 2" xfId="47226" xr:uid="{00000000-0005-0000-0000-000071B80000}"/>
    <cellStyle name="Normal 3 7 19 5 3" xfId="47227" xr:uid="{00000000-0005-0000-0000-000072B80000}"/>
    <cellStyle name="Normal 3 7 19 6" xfId="47228" xr:uid="{00000000-0005-0000-0000-000073B80000}"/>
    <cellStyle name="Normal 3 7 19 6 2" xfId="47229" xr:uid="{00000000-0005-0000-0000-000074B80000}"/>
    <cellStyle name="Normal 3 7 19 6 3" xfId="47230" xr:uid="{00000000-0005-0000-0000-000075B80000}"/>
    <cellStyle name="Normal 3 7 19 7" xfId="47231" xr:uid="{00000000-0005-0000-0000-000076B80000}"/>
    <cellStyle name="Normal 3 7 19 7 2" xfId="47232" xr:uid="{00000000-0005-0000-0000-000077B80000}"/>
    <cellStyle name="Normal 3 7 19 7 3" xfId="47233" xr:uid="{00000000-0005-0000-0000-000078B80000}"/>
    <cellStyle name="Normal 3 7 19 8" xfId="47234" xr:uid="{00000000-0005-0000-0000-000079B80000}"/>
    <cellStyle name="Normal 3 7 19 8 2" xfId="47235" xr:uid="{00000000-0005-0000-0000-00007AB80000}"/>
    <cellStyle name="Normal 3 7 19 8 3" xfId="47236" xr:uid="{00000000-0005-0000-0000-00007BB80000}"/>
    <cellStyle name="Normal 3 7 19 9" xfId="47237" xr:uid="{00000000-0005-0000-0000-00007CB80000}"/>
    <cellStyle name="Normal 3 7 19 9 2" xfId="47238" xr:uid="{00000000-0005-0000-0000-00007DB80000}"/>
    <cellStyle name="Normal 3 7 19 9 3" xfId="47239" xr:uid="{00000000-0005-0000-0000-00007EB80000}"/>
    <cellStyle name="Normal 3 7 2" xfId="47240" xr:uid="{00000000-0005-0000-0000-00007FB80000}"/>
    <cellStyle name="Normal 3 7 20" xfId="47241" xr:uid="{00000000-0005-0000-0000-000080B80000}"/>
    <cellStyle name="Normal 3 7 20 10" xfId="47242" xr:uid="{00000000-0005-0000-0000-000081B80000}"/>
    <cellStyle name="Normal 3 7 20 10 2" xfId="47243" xr:uid="{00000000-0005-0000-0000-000082B80000}"/>
    <cellStyle name="Normal 3 7 20 10 3" xfId="47244" xr:uid="{00000000-0005-0000-0000-000083B80000}"/>
    <cellStyle name="Normal 3 7 20 11" xfId="47245" xr:uid="{00000000-0005-0000-0000-000084B80000}"/>
    <cellStyle name="Normal 3 7 20 11 2" xfId="47246" xr:uid="{00000000-0005-0000-0000-000085B80000}"/>
    <cellStyle name="Normal 3 7 20 11 3" xfId="47247" xr:uid="{00000000-0005-0000-0000-000086B80000}"/>
    <cellStyle name="Normal 3 7 20 12" xfId="47248" xr:uid="{00000000-0005-0000-0000-000087B80000}"/>
    <cellStyle name="Normal 3 7 20 12 2" xfId="47249" xr:uid="{00000000-0005-0000-0000-000088B80000}"/>
    <cellStyle name="Normal 3 7 20 12 3" xfId="47250" xr:uid="{00000000-0005-0000-0000-000089B80000}"/>
    <cellStyle name="Normal 3 7 20 13" xfId="47251" xr:uid="{00000000-0005-0000-0000-00008AB80000}"/>
    <cellStyle name="Normal 3 7 20 13 2" xfId="47252" xr:uid="{00000000-0005-0000-0000-00008BB80000}"/>
    <cellStyle name="Normal 3 7 20 13 3" xfId="47253" xr:uid="{00000000-0005-0000-0000-00008CB80000}"/>
    <cellStyle name="Normal 3 7 20 14" xfId="47254" xr:uid="{00000000-0005-0000-0000-00008DB80000}"/>
    <cellStyle name="Normal 3 7 20 14 2" xfId="47255" xr:uid="{00000000-0005-0000-0000-00008EB80000}"/>
    <cellStyle name="Normal 3 7 20 14 3" xfId="47256" xr:uid="{00000000-0005-0000-0000-00008FB80000}"/>
    <cellStyle name="Normal 3 7 20 15" xfId="47257" xr:uid="{00000000-0005-0000-0000-000090B80000}"/>
    <cellStyle name="Normal 3 7 20 16" xfId="47258" xr:uid="{00000000-0005-0000-0000-000091B80000}"/>
    <cellStyle name="Normal 3 7 20 2" xfId="47259" xr:uid="{00000000-0005-0000-0000-000092B80000}"/>
    <cellStyle name="Normal 3 7 20 2 2" xfId="47260" xr:uid="{00000000-0005-0000-0000-000093B80000}"/>
    <cellStyle name="Normal 3 7 20 2 3" xfId="47261" xr:uid="{00000000-0005-0000-0000-000094B80000}"/>
    <cellStyle name="Normal 3 7 20 3" xfId="47262" xr:uid="{00000000-0005-0000-0000-000095B80000}"/>
    <cellStyle name="Normal 3 7 20 3 2" xfId="47263" xr:uid="{00000000-0005-0000-0000-000096B80000}"/>
    <cellStyle name="Normal 3 7 20 3 3" xfId="47264" xr:uid="{00000000-0005-0000-0000-000097B80000}"/>
    <cellStyle name="Normal 3 7 20 4" xfId="47265" xr:uid="{00000000-0005-0000-0000-000098B80000}"/>
    <cellStyle name="Normal 3 7 20 4 2" xfId="47266" xr:uid="{00000000-0005-0000-0000-000099B80000}"/>
    <cellStyle name="Normal 3 7 20 4 3" xfId="47267" xr:uid="{00000000-0005-0000-0000-00009AB80000}"/>
    <cellStyle name="Normal 3 7 20 5" xfId="47268" xr:uid="{00000000-0005-0000-0000-00009BB80000}"/>
    <cellStyle name="Normal 3 7 20 5 2" xfId="47269" xr:uid="{00000000-0005-0000-0000-00009CB80000}"/>
    <cellStyle name="Normal 3 7 20 5 3" xfId="47270" xr:uid="{00000000-0005-0000-0000-00009DB80000}"/>
    <cellStyle name="Normal 3 7 20 6" xfId="47271" xr:uid="{00000000-0005-0000-0000-00009EB80000}"/>
    <cellStyle name="Normal 3 7 20 6 2" xfId="47272" xr:uid="{00000000-0005-0000-0000-00009FB80000}"/>
    <cellStyle name="Normal 3 7 20 6 3" xfId="47273" xr:uid="{00000000-0005-0000-0000-0000A0B80000}"/>
    <cellStyle name="Normal 3 7 20 7" xfId="47274" xr:uid="{00000000-0005-0000-0000-0000A1B80000}"/>
    <cellStyle name="Normal 3 7 20 7 2" xfId="47275" xr:uid="{00000000-0005-0000-0000-0000A2B80000}"/>
    <cellStyle name="Normal 3 7 20 7 3" xfId="47276" xr:uid="{00000000-0005-0000-0000-0000A3B80000}"/>
    <cellStyle name="Normal 3 7 20 8" xfId="47277" xr:uid="{00000000-0005-0000-0000-0000A4B80000}"/>
    <cellStyle name="Normal 3 7 20 8 2" xfId="47278" xr:uid="{00000000-0005-0000-0000-0000A5B80000}"/>
    <cellStyle name="Normal 3 7 20 8 3" xfId="47279" xr:uid="{00000000-0005-0000-0000-0000A6B80000}"/>
    <cellStyle name="Normal 3 7 20 9" xfId="47280" xr:uid="{00000000-0005-0000-0000-0000A7B80000}"/>
    <cellStyle name="Normal 3 7 20 9 2" xfId="47281" xr:uid="{00000000-0005-0000-0000-0000A8B80000}"/>
    <cellStyle name="Normal 3 7 20 9 3" xfId="47282" xr:uid="{00000000-0005-0000-0000-0000A9B80000}"/>
    <cellStyle name="Normal 3 7 21" xfId="47283" xr:uid="{00000000-0005-0000-0000-0000AAB80000}"/>
    <cellStyle name="Normal 3 7 21 10" xfId="47284" xr:uid="{00000000-0005-0000-0000-0000ABB80000}"/>
    <cellStyle name="Normal 3 7 21 10 2" xfId="47285" xr:uid="{00000000-0005-0000-0000-0000ACB80000}"/>
    <cellStyle name="Normal 3 7 21 10 3" xfId="47286" xr:uid="{00000000-0005-0000-0000-0000ADB80000}"/>
    <cellStyle name="Normal 3 7 21 11" xfId="47287" xr:uid="{00000000-0005-0000-0000-0000AEB80000}"/>
    <cellStyle name="Normal 3 7 21 11 2" xfId="47288" xr:uid="{00000000-0005-0000-0000-0000AFB80000}"/>
    <cellStyle name="Normal 3 7 21 11 3" xfId="47289" xr:uid="{00000000-0005-0000-0000-0000B0B80000}"/>
    <cellStyle name="Normal 3 7 21 12" xfId="47290" xr:uid="{00000000-0005-0000-0000-0000B1B80000}"/>
    <cellStyle name="Normal 3 7 21 12 2" xfId="47291" xr:uid="{00000000-0005-0000-0000-0000B2B80000}"/>
    <cellStyle name="Normal 3 7 21 12 3" xfId="47292" xr:uid="{00000000-0005-0000-0000-0000B3B80000}"/>
    <cellStyle name="Normal 3 7 21 13" xfId="47293" xr:uid="{00000000-0005-0000-0000-0000B4B80000}"/>
    <cellStyle name="Normal 3 7 21 13 2" xfId="47294" xr:uid="{00000000-0005-0000-0000-0000B5B80000}"/>
    <cellStyle name="Normal 3 7 21 13 3" xfId="47295" xr:uid="{00000000-0005-0000-0000-0000B6B80000}"/>
    <cellStyle name="Normal 3 7 21 14" xfId="47296" xr:uid="{00000000-0005-0000-0000-0000B7B80000}"/>
    <cellStyle name="Normal 3 7 21 14 2" xfId="47297" xr:uid="{00000000-0005-0000-0000-0000B8B80000}"/>
    <cellStyle name="Normal 3 7 21 14 3" xfId="47298" xr:uid="{00000000-0005-0000-0000-0000B9B80000}"/>
    <cellStyle name="Normal 3 7 21 15" xfId="47299" xr:uid="{00000000-0005-0000-0000-0000BAB80000}"/>
    <cellStyle name="Normal 3 7 21 16" xfId="47300" xr:uid="{00000000-0005-0000-0000-0000BBB80000}"/>
    <cellStyle name="Normal 3 7 21 2" xfId="47301" xr:uid="{00000000-0005-0000-0000-0000BCB80000}"/>
    <cellStyle name="Normal 3 7 21 2 2" xfId="47302" xr:uid="{00000000-0005-0000-0000-0000BDB80000}"/>
    <cellStyle name="Normal 3 7 21 2 3" xfId="47303" xr:uid="{00000000-0005-0000-0000-0000BEB80000}"/>
    <cellStyle name="Normal 3 7 21 3" xfId="47304" xr:uid="{00000000-0005-0000-0000-0000BFB80000}"/>
    <cellStyle name="Normal 3 7 21 3 2" xfId="47305" xr:uid="{00000000-0005-0000-0000-0000C0B80000}"/>
    <cellStyle name="Normal 3 7 21 3 3" xfId="47306" xr:uid="{00000000-0005-0000-0000-0000C1B80000}"/>
    <cellStyle name="Normal 3 7 21 4" xfId="47307" xr:uid="{00000000-0005-0000-0000-0000C2B80000}"/>
    <cellStyle name="Normal 3 7 21 4 2" xfId="47308" xr:uid="{00000000-0005-0000-0000-0000C3B80000}"/>
    <cellStyle name="Normal 3 7 21 4 3" xfId="47309" xr:uid="{00000000-0005-0000-0000-0000C4B80000}"/>
    <cellStyle name="Normal 3 7 21 5" xfId="47310" xr:uid="{00000000-0005-0000-0000-0000C5B80000}"/>
    <cellStyle name="Normal 3 7 21 5 2" xfId="47311" xr:uid="{00000000-0005-0000-0000-0000C6B80000}"/>
    <cellStyle name="Normal 3 7 21 5 3" xfId="47312" xr:uid="{00000000-0005-0000-0000-0000C7B80000}"/>
    <cellStyle name="Normal 3 7 21 6" xfId="47313" xr:uid="{00000000-0005-0000-0000-0000C8B80000}"/>
    <cellStyle name="Normal 3 7 21 6 2" xfId="47314" xr:uid="{00000000-0005-0000-0000-0000C9B80000}"/>
    <cellStyle name="Normal 3 7 21 6 3" xfId="47315" xr:uid="{00000000-0005-0000-0000-0000CAB80000}"/>
    <cellStyle name="Normal 3 7 21 7" xfId="47316" xr:uid="{00000000-0005-0000-0000-0000CBB80000}"/>
    <cellStyle name="Normal 3 7 21 7 2" xfId="47317" xr:uid="{00000000-0005-0000-0000-0000CCB80000}"/>
    <cellStyle name="Normal 3 7 21 7 3" xfId="47318" xr:uid="{00000000-0005-0000-0000-0000CDB80000}"/>
    <cellStyle name="Normal 3 7 21 8" xfId="47319" xr:uid="{00000000-0005-0000-0000-0000CEB80000}"/>
    <cellStyle name="Normal 3 7 21 8 2" xfId="47320" xr:uid="{00000000-0005-0000-0000-0000CFB80000}"/>
    <cellStyle name="Normal 3 7 21 8 3" xfId="47321" xr:uid="{00000000-0005-0000-0000-0000D0B80000}"/>
    <cellStyle name="Normal 3 7 21 9" xfId="47322" xr:uid="{00000000-0005-0000-0000-0000D1B80000}"/>
    <cellStyle name="Normal 3 7 21 9 2" xfId="47323" xr:uid="{00000000-0005-0000-0000-0000D2B80000}"/>
    <cellStyle name="Normal 3 7 21 9 3" xfId="47324" xr:uid="{00000000-0005-0000-0000-0000D3B80000}"/>
    <cellStyle name="Normal 3 7 22" xfId="47325" xr:uid="{00000000-0005-0000-0000-0000D4B80000}"/>
    <cellStyle name="Normal 3 7 22 10" xfId="47326" xr:uid="{00000000-0005-0000-0000-0000D5B80000}"/>
    <cellStyle name="Normal 3 7 22 10 2" xfId="47327" xr:uid="{00000000-0005-0000-0000-0000D6B80000}"/>
    <cellStyle name="Normal 3 7 22 10 3" xfId="47328" xr:uid="{00000000-0005-0000-0000-0000D7B80000}"/>
    <cellStyle name="Normal 3 7 22 11" xfId="47329" xr:uid="{00000000-0005-0000-0000-0000D8B80000}"/>
    <cellStyle name="Normal 3 7 22 11 2" xfId="47330" xr:uid="{00000000-0005-0000-0000-0000D9B80000}"/>
    <cellStyle name="Normal 3 7 22 11 3" xfId="47331" xr:uid="{00000000-0005-0000-0000-0000DAB80000}"/>
    <cellStyle name="Normal 3 7 22 12" xfId="47332" xr:uid="{00000000-0005-0000-0000-0000DBB80000}"/>
    <cellStyle name="Normal 3 7 22 12 2" xfId="47333" xr:uid="{00000000-0005-0000-0000-0000DCB80000}"/>
    <cellStyle name="Normal 3 7 22 12 3" xfId="47334" xr:uid="{00000000-0005-0000-0000-0000DDB80000}"/>
    <cellStyle name="Normal 3 7 22 13" xfId="47335" xr:uid="{00000000-0005-0000-0000-0000DEB80000}"/>
    <cellStyle name="Normal 3 7 22 13 2" xfId="47336" xr:uid="{00000000-0005-0000-0000-0000DFB80000}"/>
    <cellStyle name="Normal 3 7 22 13 3" xfId="47337" xr:uid="{00000000-0005-0000-0000-0000E0B80000}"/>
    <cellStyle name="Normal 3 7 22 14" xfId="47338" xr:uid="{00000000-0005-0000-0000-0000E1B80000}"/>
    <cellStyle name="Normal 3 7 22 14 2" xfId="47339" xr:uid="{00000000-0005-0000-0000-0000E2B80000}"/>
    <cellStyle name="Normal 3 7 22 14 3" xfId="47340" xr:uid="{00000000-0005-0000-0000-0000E3B80000}"/>
    <cellStyle name="Normal 3 7 22 15" xfId="47341" xr:uid="{00000000-0005-0000-0000-0000E4B80000}"/>
    <cellStyle name="Normal 3 7 22 16" xfId="47342" xr:uid="{00000000-0005-0000-0000-0000E5B80000}"/>
    <cellStyle name="Normal 3 7 22 2" xfId="47343" xr:uid="{00000000-0005-0000-0000-0000E6B80000}"/>
    <cellStyle name="Normal 3 7 22 2 2" xfId="47344" xr:uid="{00000000-0005-0000-0000-0000E7B80000}"/>
    <cellStyle name="Normal 3 7 22 2 3" xfId="47345" xr:uid="{00000000-0005-0000-0000-0000E8B80000}"/>
    <cellStyle name="Normal 3 7 22 3" xfId="47346" xr:uid="{00000000-0005-0000-0000-0000E9B80000}"/>
    <cellStyle name="Normal 3 7 22 3 2" xfId="47347" xr:uid="{00000000-0005-0000-0000-0000EAB80000}"/>
    <cellStyle name="Normal 3 7 22 3 3" xfId="47348" xr:uid="{00000000-0005-0000-0000-0000EBB80000}"/>
    <cellStyle name="Normal 3 7 22 4" xfId="47349" xr:uid="{00000000-0005-0000-0000-0000ECB80000}"/>
    <cellStyle name="Normal 3 7 22 4 2" xfId="47350" xr:uid="{00000000-0005-0000-0000-0000EDB80000}"/>
    <cellStyle name="Normal 3 7 22 4 3" xfId="47351" xr:uid="{00000000-0005-0000-0000-0000EEB80000}"/>
    <cellStyle name="Normal 3 7 22 5" xfId="47352" xr:uid="{00000000-0005-0000-0000-0000EFB80000}"/>
    <cellStyle name="Normal 3 7 22 5 2" xfId="47353" xr:uid="{00000000-0005-0000-0000-0000F0B80000}"/>
    <cellStyle name="Normal 3 7 22 5 3" xfId="47354" xr:uid="{00000000-0005-0000-0000-0000F1B80000}"/>
    <cellStyle name="Normal 3 7 22 6" xfId="47355" xr:uid="{00000000-0005-0000-0000-0000F2B80000}"/>
    <cellStyle name="Normal 3 7 22 6 2" xfId="47356" xr:uid="{00000000-0005-0000-0000-0000F3B80000}"/>
    <cellStyle name="Normal 3 7 22 6 3" xfId="47357" xr:uid="{00000000-0005-0000-0000-0000F4B80000}"/>
    <cellStyle name="Normal 3 7 22 7" xfId="47358" xr:uid="{00000000-0005-0000-0000-0000F5B80000}"/>
    <cellStyle name="Normal 3 7 22 7 2" xfId="47359" xr:uid="{00000000-0005-0000-0000-0000F6B80000}"/>
    <cellStyle name="Normal 3 7 22 7 3" xfId="47360" xr:uid="{00000000-0005-0000-0000-0000F7B80000}"/>
    <cellStyle name="Normal 3 7 22 8" xfId="47361" xr:uid="{00000000-0005-0000-0000-0000F8B80000}"/>
    <cellStyle name="Normal 3 7 22 8 2" xfId="47362" xr:uid="{00000000-0005-0000-0000-0000F9B80000}"/>
    <cellStyle name="Normal 3 7 22 8 3" xfId="47363" xr:uid="{00000000-0005-0000-0000-0000FAB80000}"/>
    <cellStyle name="Normal 3 7 22 9" xfId="47364" xr:uid="{00000000-0005-0000-0000-0000FBB80000}"/>
    <cellStyle name="Normal 3 7 22 9 2" xfId="47365" xr:uid="{00000000-0005-0000-0000-0000FCB80000}"/>
    <cellStyle name="Normal 3 7 22 9 3" xfId="47366" xr:uid="{00000000-0005-0000-0000-0000FDB80000}"/>
    <cellStyle name="Normal 3 7 23" xfId="47367" xr:uid="{00000000-0005-0000-0000-0000FEB80000}"/>
    <cellStyle name="Normal 3 7 24" xfId="47368" xr:uid="{00000000-0005-0000-0000-0000FFB80000}"/>
    <cellStyle name="Normal 3 7 25" xfId="47369" xr:uid="{00000000-0005-0000-0000-000000B90000}"/>
    <cellStyle name="Normal 3 7 25 10" xfId="47370" xr:uid="{00000000-0005-0000-0000-000001B90000}"/>
    <cellStyle name="Normal 3 7 25 10 2" xfId="47371" xr:uid="{00000000-0005-0000-0000-000002B90000}"/>
    <cellStyle name="Normal 3 7 25 10 3" xfId="47372" xr:uid="{00000000-0005-0000-0000-000003B90000}"/>
    <cellStyle name="Normal 3 7 25 11" xfId="47373" xr:uid="{00000000-0005-0000-0000-000004B90000}"/>
    <cellStyle name="Normal 3 7 25 11 2" xfId="47374" xr:uid="{00000000-0005-0000-0000-000005B90000}"/>
    <cellStyle name="Normal 3 7 25 11 3" xfId="47375" xr:uid="{00000000-0005-0000-0000-000006B90000}"/>
    <cellStyle name="Normal 3 7 25 12" xfId="47376" xr:uid="{00000000-0005-0000-0000-000007B90000}"/>
    <cellStyle name="Normal 3 7 25 12 2" xfId="47377" xr:uid="{00000000-0005-0000-0000-000008B90000}"/>
    <cellStyle name="Normal 3 7 25 12 3" xfId="47378" xr:uid="{00000000-0005-0000-0000-000009B90000}"/>
    <cellStyle name="Normal 3 7 25 13" xfId="47379" xr:uid="{00000000-0005-0000-0000-00000AB90000}"/>
    <cellStyle name="Normal 3 7 25 13 2" xfId="47380" xr:uid="{00000000-0005-0000-0000-00000BB90000}"/>
    <cellStyle name="Normal 3 7 25 13 3" xfId="47381" xr:uid="{00000000-0005-0000-0000-00000CB90000}"/>
    <cellStyle name="Normal 3 7 25 14" xfId="47382" xr:uid="{00000000-0005-0000-0000-00000DB90000}"/>
    <cellStyle name="Normal 3 7 25 14 2" xfId="47383" xr:uid="{00000000-0005-0000-0000-00000EB90000}"/>
    <cellStyle name="Normal 3 7 25 14 3" xfId="47384" xr:uid="{00000000-0005-0000-0000-00000FB90000}"/>
    <cellStyle name="Normal 3 7 25 15" xfId="47385" xr:uid="{00000000-0005-0000-0000-000010B90000}"/>
    <cellStyle name="Normal 3 7 25 16" xfId="47386" xr:uid="{00000000-0005-0000-0000-000011B90000}"/>
    <cellStyle name="Normal 3 7 25 2" xfId="47387" xr:uid="{00000000-0005-0000-0000-000012B90000}"/>
    <cellStyle name="Normal 3 7 25 2 2" xfId="47388" xr:uid="{00000000-0005-0000-0000-000013B90000}"/>
    <cellStyle name="Normal 3 7 25 2 3" xfId="47389" xr:uid="{00000000-0005-0000-0000-000014B90000}"/>
    <cellStyle name="Normal 3 7 25 3" xfId="47390" xr:uid="{00000000-0005-0000-0000-000015B90000}"/>
    <cellStyle name="Normal 3 7 25 3 2" xfId="47391" xr:uid="{00000000-0005-0000-0000-000016B90000}"/>
    <cellStyle name="Normal 3 7 25 3 3" xfId="47392" xr:uid="{00000000-0005-0000-0000-000017B90000}"/>
    <cellStyle name="Normal 3 7 25 4" xfId="47393" xr:uid="{00000000-0005-0000-0000-000018B90000}"/>
    <cellStyle name="Normal 3 7 25 4 2" xfId="47394" xr:uid="{00000000-0005-0000-0000-000019B90000}"/>
    <cellStyle name="Normal 3 7 25 4 3" xfId="47395" xr:uid="{00000000-0005-0000-0000-00001AB90000}"/>
    <cellStyle name="Normal 3 7 25 5" xfId="47396" xr:uid="{00000000-0005-0000-0000-00001BB90000}"/>
    <cellStyle name="Normal 3 7 25 5 2" xfId="47397" xr:uid="{00000000-0005-0000-0000-00001CB90000}"/>
    <cellStyle name="Normal 3 7 25 5 3" xfId="47398" xr:uid="{00000000-0005-0000-0000-00001DB90000}"/>
    <cellStyle name="Normal 3 7 25 6" xfId="47399" xr:uid="{00000000-0005-0000-0000-00001EB90000}"/>
    <cellStyle name="Normal 3 7 25 6 2" xfId="47400" xr:uid="{00000000-0005-0000-0000-00001FB90000}"/>
    <cellStyle name="Normal 3 7 25 6 3" xfId="47401" xr:uid="{00000000-0005-0000-0000-000020B90000}"/>
    <cellStyle name="Normal 3 7 25 7" xfId="47402" xr:uid="{00000000-0005-0000-0000-000021B90000}"/>
    <cellStyle name="Normal 3 7 25 7 2" xfId="47403" xr:uid="{00000000-0005-0000-0000-000022B90000}"/>
    <cellStyle name="Normal 3 7 25 7 3" xfId="47404" xr:uid="{00000000-0005-0000-0000-000023B90000}"/>
    <cellStyle name="Normal 3 7 25 8" xfId="47405" xr:uid="{00000000-0005-0000-0000-000024B90000}"/>
    <cellStyle name="Normal 3 7 25 8 2" xfId="47406" xr:uid="{00000000-0005-0000-0000-000025B90000}"/>
    <cellStyle name="Normal 3 7 25 8 3" xfId="47407" xr:uid="{00000000-0005-0000-0000-000026B90000}"/>
    <cellStyle name="Normal 3 7 25 9" xfId="47408" xr:uid="{00000000-0005-0000-0000-000027B90000}"/>
    <cellStyle name="Normal 3 7 25 9 2" xfId="47409" xr:uid="{00000000-0005-0000-0000-000028B90000}"/>
    <cellStyle name="Normal 3 7 25 9 3" xfId="47410" xr:uid="{00000000-0005-0000-0000-000029B90000}"/>
    <cellStyle name="Normal 3 7 26" xfId="47411" xr:uid="{00000000-0005-0000-0000-00002AB90000}"/>
    <cellStyle name="Normal 3 7 26 10" xfId="47412" xr:uid="{00000000-0005-0000-0000-00002BB90000}"/>
    <cellStyle name="Normal 3 7 26 10 2" xfId="47413" xr:uid="{00000000-0005-0000-0000-00002CB90000}"/>
    <cellStyle name="Normal 3 7 26 10 3" xfId="47414" xr:uid="{00000000-0005-0000-0000-00002DB90000}"/>
    <cellStyle name="Normal 3 7 26 11" xfId="47415" xr:uid="{00000000-0005-0000-0000-00002EB90000}"/>
    <cellStyle name="Normal 3 7 26 11 2" xfId="47416" xr:uid="{00000000-0005-0000-0000-00002FB90000}"/>
    <cellStyle name="Normal 3 7 26 11 3" xfId="47417" xr:uid="{00000000-0005-0000-0000-000030B90000}"/>
    <cellStyle name="Normal 3 7 26 12" xfId="47418" xr:uid="{00000000-0005-0000-0000-000031B90000}"/>
    <cellStyle name="Normal 3 7 26 12 2" xfId="47419" xr:uid="{00000000-0005-0000-0000-000032B90000}"/>
    <cellStyle name="Normal 3 7 26 12 3" xfId="47420" xr:uid="{00000000-0005-0000-0000-000033B90000}"/>
    <cellStyle name="Normal 3 7 26 13" xfId="47421" xr:uid="{00000000-0005-0000-0000-000034B90000}"/>
    <cellStyle name="Normal 3 7 26 13 2" xfId="47422" xr:uid="{00000000-0005-0000-0000-000035B90000}"/>
    <cellStyle name="Normal 3 7 26 13 3" xfId="47423" xr:uid="{00000000-0005-0000-0000-000036B90000}"/>
    <cellStyle name="Normal 3 7 26 14" xfId="47424" xr:uid="{00000000-0005-0000-0000-000037B90000}"/>
    <cellStyle name="Normal 3 7 26 14 2" xfId="47425" xr:uid="{00000000-0005-0000-0000-000038B90000}"/>
    <cellStyle name="Normal 3 7 26 14 3" xfId="47426" xr:uid="{00000000-0005-0000-0000-000039B90000}"/>
    <cellStyle name="Normal 3 7 26 15" xfId="47427" xr:uid="{00000000-0005-0000-0000-00003AB90000}"/>
    <cellStyle name="Normal 3 7 26 16" xfId="47428" xr:uid="{00000000-0005-0000-0000-00003BB90000}"/>
    <cellStyle name="Normal 3 7 26 2" xfId="47429" xr:uid="{00000000-0005-0000-0000-00003CB90000}"/>
    <cellStyle name="Normal 3 7 26 2 2" xfId="47430" xr:uid="{00000000-0005-0000-0000-00003DB90000}"/>
    <cellStyle name="Normal 3 7 26 2 3" xfId="47431" xr:uid="{00000000-0005-0000-0000-00003EB90000}"/>
    <cellStyle name="Normal 3 7 26 3" xfId="47432" xr:uid="{00000000-0005-0000-0000-00003FB90000}"/>
    <cellStyle name="Normal 3 7 26 3 2" xfId="47433" xr:uid="{00000000-0005-0000-0000-000040B90000}"/>
    <cellStyle name="Normal 3 7 26 3 3" xfId="47434" xr:uid="{00000000-0005-0000-0000-000041B90000}"/>
    <cellStyle name="Normal 3 7 26 4" xfId="47435" xr:uid="{00000000-0005-0000-0000-000042B90000}"/>
    <cellStyle name="Normal 3 7 26 4 2" xfId="47436" xr:uid="{00000000-0005-0000-0000-000043B90000}"/>
    <cellStyle name="Normal 3 7 26 4 3" xfId="47437" xr:uid="{00000000-0005-0000-0000-000044B90000}"/>
    <cellStyle name="Normal 3 7 26 5" xfId="47438" xr:uid="{00000000-0005-0000-0000-000045B90000}"/>
    <cellStyle name="Normal 3 7 26 5 2" xfId="47439" xr:uid="{00000000-0005-0000-0000-000046B90000}"/>
    <cellStyle name="Normal 3 7 26 5 3" xfId="47440" xr:uid="{00000000-0005-0000-0000-000047B90000}"/>
    <cellStyle name="Normal 3 7 26 6" xfId="47441" xr:uid="{00000000-0005-0000-0000-000048B90000}"/>
    <cellStyle name="Normal 3 7 26 6 2" xfId="47442" xr:uid="{00000000-0005-0000-0000-000049B90000}"/>
    <cellStyle name="Normal 3 7 26 6 3" xfId="47443" xr:uid="{00000000-0005-0000-0000-00004AB90000}"/>
    <cellStyle name="Normal 3 7 26 7" xfId="47444" xr:uid="{00000000-0005-0000-0000-00004BB90000}"/>
    <cellStyle name="Normal 3 7 26 7 2" xfId="47445" xr:uid="{00000000-0005-0000-0000-00004CB90000}"/>
    <cellStyle name="Normal 3 7 26 7 3" xfId="47446" xr:uid="{00000000-0005-0000-0000-00004DB90000}"/>
    <cellStyle name="Normal 3 7 26 8" xfId="47447" xr:uid="{00000000-0005-0000-0000-00004EB90000}"/>
    <cellStyle name="Normal 3 7 26 8 2" xfId="47448" xr:uid="{00000000-0005-0000-0000-00004FB90000}"/>
    <cellStyle name="Normal 3 7 26 8 3" xfId="47449" xr:uid="{00000000-0005-0000-0000-000050B90000}"/>
    <cellStyle name="Normal 3 7 26 9" xfId="47450" xr:uid="{00000000-0005-0000-0000-000051B90000}"/>
    <cellStyle name="Normal 3 7 26 9 2" xfId="47451" xr:uid="{00000000-0005-0000-0000-000052B90000}"/>
    <cellStyle name="Normal 3 7 26 9 3" xfId="47452" xr:uid="{00000000-0005-0000-0000-000053B90000}"/>
    <cellStyle name="Normal 3 7 3" xfId="47453" xr:uid="{00000000-0005-0000-0000-000054B90000}"/>
    <cellStyle name="Normal 3 7 4" xfId="47454" xr:uid="{00000000-0005-0000-0000-000055B90000}"/>
    <cellStyle name="Normal 3 7 5" xfId="47455" xr:uid="{00000000-0005-0000-0000-000056B90000}"/>
    <cellStyle name="Normal 3 7 6" xfId="47456" xr:uid="{00000000-0005-0000-0000-000057B90000}"/>
    <cellStyle name="Normal 3 7 7" xfId="47457" xr:uid="{00000000-0005-0000-0000-000058B90000}"/>
    <cellStyle name="Normal 3 7 8" xfId="47458" xr:uid="{00000000-0005-0000-0000-000059B90000}"/>
    <cellStyle name="Normal 3 7 9" xfId="47459" xr:uid="{00000000-0005-0000-0000-00005AB90000}"/>
    <cellStyle name="Normal 3 7_End-use Summary" xfId="47460" xr:uid="{00000000-0005-0000-0000-00005BB90000}"/>
    <cellStyle name="Normal 3 70" xfId="47461" xr:uid="{00000000-0005-0000-0000-00005CB90000}"/>
    <cellStyle name="Normal 3 70 2" xfId="47462" xr:uid="{00000000-0005-0000-0000-00005DB90000}"/>
    <cellStyle name="Normal 3 70 3" xfId="47463" xr:uid="{00000000-0005-0000-0000-00005EB90000}"/>
    <cellStyle name="Normal 3 71" xfId="47464" xr:uid="{00000000-0005-0000-0000-00005FB90000}"/>
    <cellStyle name="Normal 3 71 2" xfId="47465" xr:uid="{00000000-0005-0000-0000-000060B90000}"/>
    <cellStyle name="Normal 3 71 3" xfId="47466" xr:uid="{00000000-0005-0000-0000-000061B90000}"/>
    <cellStyle name="Normal 3 72" xfId="47467" xr:uid="{00000000-0005-0000-0000-000062B90000}"/>
    <cellStyle name="Normal 3 72 2" xfId="47468" xr:uid="{00000000-0005-0000-0000-000063B90000}"/>
    <cellStyle name="Normal 3 72 3" xfId="47469" xr:uid="{00000000-0005-0000-0000-000064B90000}"/>
    <cellStyle name="Normal 3 73" xfId="47470" xr:uid="{00000000-0005-0000-0000-000065B90000}"/>
    <cellStyle name="Normal 3 73 2" xfId="47471" xr:uid="{00000000-0005-0000-0000-000066B90000}"/>
    <cellStyle name="Normal 3 73 3" xfId="47472" xr:uid="{00000000-0005-0000-0000-000067B90000}"/>
    <cellStyle name="Normal 3 74" xfId="47473" xr:uid="{00000000-0005-0000-0000-000068B90000}"/>
    <cellStyle name="Normal 3 74 2" xfId="47474" xr:uid="{00000000-0005-0000-0000-000069B90000}"/>
    <cellStyle name="Normal 3 74 3" xfId="47475" xr:uid="{00000000-0005-0000-0000-00006AB90000}"/>
    <cellStyle name="Normal 3 75" xfId="47476" xr:uid="{00000000-0005-0000-0000-00006BB90000}"/>
    <cellStyle name="Normal 3 76" xfId="47477" xr:uid="{00000000-0005-0000-0000-00006CB90000}"/>
    <cellStyle name="Normal 3 77" xfId="47478" xr:uid="{00000000-0005-0000-0000-00006DB90000}"/>
    <cellStyle name="Normal 3 78" xfId="47479" xr:uid="{00000000-0005-0000-0000-00006EB90000}"/>
    <cellStyle name="Normal 3 79" xfId="18467" xr:uid="{00000000-0005-0000-0000-00006FB90000}"/>
    <cellStyle name="Normal 3 8" xfId="47480" xr:uid="{00000000-0005-0000-0000-000070B90000}"/>
    <cellStyle name="Normal 3 8 10" xfId="47481" xr:uid="{00000000-0005-0000-0000-000071B90000}"/>
    <cellStyle name="Normal 3 8 11" xfId="47482" xr:uid="{00000000-0005-0000-0000-000072B90000}"/>
    <cellStyle name="Normal 3 8 11 10" xfId="47483" xr:uid="{00000000-0005-0000-0000-000073B90000}"/>
    <cellStyle name="Normal 3 8 11 10 2" xfId="47484" xr:uid="{00000000-0005-0000-0000-000074B90000}"/>
    <cellStyle name="Normal 3 8 11 10 3" xfId="47485" xr:uid="{00000000-0005-0000-0000-000075B90000}"/>
    <cellStyle name="Normal 3 8 11 11" xfId="47486" xr:uid="{00000000-0005-0000-0000-000076B90000}"/>
    <cellStyle name="Normal 3 8 11 11 2" xfId="47487" xr:uid="{00000000-0005-0000-0000-000077B90000}"/>
    <cellStyle name="Normal 3 8 11 11 3" xfId="47488" xr:uid="{00000000-0005-0000-0000-000078B90000}"/>
    <cellStyle name="Normal 3 8 11 12" xfId="47489" xr:uid="{00000000-0005-0000-0000-000079B90000}"/>
    <cellStyle name="Normal 3 8 11 12 2" xfId="47490" xr:uid="{00000000-0005-0000-0000-00007AB90000}"/>
    <cellStyle name="Normal 3 8 11 12 3" xfId="47491" xr:uid="{00000000-0005-0000-0000-00007BB90000}"/>
    <cellStyle name="Normal 3 8 11 13" xfId="47492" xr:uid="{00000000-0005-0000-0000-00007CB90000}"/>
    <cellStyle name="Normal 3 8 11 13 2" xfId="47493" xr:uid="{00000000-0005-0000-0000-00007DB90000}"/>
    <cellStyle name="Normal 3 8 11 13 3" xfId="47494" xr:uid="{00000000-0005-0000-0000-00007EB90000}"/>
    <cellStyle name="Normal 3 8 11 14" xfId="47495" xr:uid="{00000000-0005-0000-0000-00007FB90000}"/>
    <cellStyle name="Normal 3 8 11 14 2" xfId="47496" xr:uid="{00000000-0005-0000-0000-000080B90000}"/>
    <cellStyle name="Normal 3 8 11 14 3" xfId="47497" xr:uid="{00000000-0005-0000-0000-000081B90000}"/>
    <cellStyle name="Normal 3 8 11 15" xfId="47498" xr:uid="{00000000-0005-0000-0000-000082B90000}"/>
    <cellStyle name="Normal 3 8 11 15 2" xfId="47499" xr:uid="{00000000-0005-0000-0000-000083B90000}"/>
    <cellStyle name="Normal 3 8 11 15 3" xfId="47500" xr:uid="{00000000-0005-0000-0000-000084B90000}"/>
    <cellStyle name="Normal 3 8 11 16" xfId="47501" xr:uid="{00000000-0005-0000-0000-000085B90000}"/>
    <cellStyle name="Normal 3 8 11 16 2" xfId="47502" xr:uid="{00000000-0005-0000-0000-000086B90000}"/>
    <cellStyle name="Normal 3 8 11 16 3" xfId="47503" xr:uid="{00000000-0005-0000-0000-000087B90000}"/>
    <cellStyle name="Normal 3 8 11 17" xfId="47504" xr:uid="{00000000-0005-0000-0000-000088B90000}"/>
    <cellStyle name="Normal 3 8 11 17 2" xfId="47505" xr:uid="{00000000-0005-0000-0000-000089B90000}"/>
    <cellStyle name="Normal 3 8 11 17 3" xfId="47506" xr:uid="{00000000-0005-0000-0000-00008AB90000}"/>
    <cellStyle name="Normal 3 8 11 18" xfId="47507" xr:uid="{00000000-0005-0000-0000-00008BB90000}"/>
    <cellStyle name="Normal 3 8 11 19" xfId="47508" xr:uid="{00000000-0005-0000-0000-00008CB90000}"/>
    <cellStyle name="Normal 3 8 11 2" xfId="47509" xr:uid="{00000000-0005-0000-0000-00008DB90000}"/>
    <cellStyle name="Normal 3 8 11 3" xfId="47510" xr:uid="{00000000-0005-0000-0000-00008EB90000}"/>
    <cellStyle name="Normal 3 8 11 4" xfId="47511" xr:uid="{00000000-0005-0000-0000-00008FB90000}"/>
    <cellStyle name="Normal 3 8 11 5" xfId="47512" xr:uid="{00000000-0005-0000-0000-000090B90000}"/>
    <cellStyle name="Normal 3 8 11 5 2" xfId="47513" xr:uid="{00000000-0005-0000-0000-000091B90000}"/>
    <cellStyle name="Normal 3 8 11 5 3" xfId="47514" xr:uid="{00000000-0005-0000-0000-000092B90000}"/>
    <cellStyle name="Normal 3 8 11 6" xfId="47515" xr:uid="{00000000-0005-0000-0000-000093B90000}"/>
    <cellStyle name="Normal 3 8 11 6 2" xfId="47516" xr:uid="{00000000-0005-0000-0000-000094B90000}"/>
    <cellStyle name="Normal 3 8 11 6 3" xfId="47517" xr:uid="{00000000-0005-0000-0000-000095B90000}"/>
    <cellStyle name="Normal 3 8 11 7" xfId="47518" xr:uid="{00000000-0005-0000-0000-000096B90000}"/>
    <cellStyle name="Normal 3 8 11 7 2" xfId="47519" xr:uid="{00000000-0005-0000-0000-000097B90000}"/>
    <cellStyle name="Normal 3 8 11 7 3" xfId="47520" xr:uid="{00000000-0005-0000-0000-000098B90000}"/>
    <cellStyle name="Normal 3 8 11 8" xfId="47521" xr:uid="{00000000-0005-0000-0000-000099B90000}"/>
    <cellStyle name="Normal 3 8 11 8 2" xfId="47522" xr:uid="{00000000-0005-0000-0000-00009AB90000}"/>
    <cellStyle name="Normal 3 8 11 8 3" xfId="47523" xr:uid="{00000000-0005-0000-0000-00009BB90000}"/>
    <cellStyle name="Normal 3 8 11 9" xfId="47524" xr:uid="{00000000-0005-0000-0000-00009CB90000}"/>
    <cellStyle name="Normal 3 8 11 9 2" xfId="47525" xr:uid="{00000000-0005-0000-0000-00009DB90000}"/>
    <cellStyle name="Normal 3 8 11 9 3" xfId="47526" xr:uid="{00000000-0005-0000-0000-00009EB90000}"/>
    <cellStyle name="Normal 3 8 12" xfId="47527" xr:uid="{00000000-0005-0000-0000-00009FB90000}"/>
    <cellStyle name="Normal 3 8 13" xfId="47528" xr:uid="{00000000-0005-0000-0000-0000A0B90000}"/>
    <cellStyle name="Normal 3 8 14" xfId="47529" xr:uid="{00000000-0005-0000-0000-0000A1B90000}"/>
    <cellStyle name="Normal 3 8 14 10" xfId="47530" xr:uid="{00000000-0005-0000-0000-0000A2B90000}"/>
    <cellStyle name="Normal 3 8 14 10 2" xfId="47531" xr:uid="{00000000-0005-0000-0000-0000A3B90000}"/>
    <cellStyle name="Normal 3 8 14 10 3" xfId="47532" xr:uid="{00000000-0005-0000-0000-0000A4B90000}"/>
    <cellStyle name="Normal 3 8 14 11" xfId="47533" xr:uid="{00000000-0005-0000-0000-0000A5B90000}"/>
    <cellStyle name="Normal 3 8 14 11 2" xfId="47534" xr:uid="{00000000-0005-0000-0000-0000A6B90000}"/>
    <cellStyle name="Normal 3 8 14 11 3" xfId="47535" xr:uid="{00000000-0005-0000-0000-0000A7B90000}"/>
    <cellStyle name="Normal 3 8 14 12" xfId="47536" xr:uid="{00000000-0005-0000-0000-0000A8B90000}"/>
    <cellStyle name="Normal 3 8 14 12 2" xfId="47537" xr:uid="{00000000-0005-0000-0000-0000A9B90000}"/>
    <cellStyle name="Normal 3 8 14 12 3" xfId="47538" xr:uid="{00000000-0005-0000-0000-0000AAB90000}"/>
    <cellStyle name="Normal 3 8 14 13" xfId="47539" xr:uid="{00000000-0005-0000-0000-0000ABB90000}"/>
    <cellStyle name="Normal 3 8 14 13 2" xfId="47540" xr:uid="{00000000-0005-0000-0000-0000ACB90000}"/>
    <cellStyle name="Normal 3 8 14 13 3" xfId="47541" xr:uid="{00000000-0005-0000-0000-0000ADB90000}"/>
    <cellStyle name="Normal 3 8 14 14" xfId="47542" xr:uid="{00000000-0005-0000-0000-0000AEB90000}"/>
    <cellStyle name="Normal 3 8 14 14 2" xfId="47543" xr:uid="{00000000-0005-0000-0000-0000AFB90000}"/>
    <cellStyle name="Normal 3 8 14 14 3" xfId="47544" xr:uid="{00000000-0005-0000-0000-0000B0B90000}"/>
    <cellStyle name="Normal 3 8 14 15" xfId="47545" xr:uid="{00000000-0005-0000-0000-0000B1B90000}"/>
    <cellStyle name="Normal 3 8 14 15 2" xfId="47546" xr:uid="{00000000-0005-0000-0000-0000B2B90000}"/>
    <cellStyle name="Normal 3 8 14 15 3" xfId="47547" xr:uid="{00000000-0005-0000-0000-0000B3B90000}"/>
    <cellStyle name="Normal 3 8 14 16" xfId="47548" xr:uid="{00000000-0005-0000-0000-0000B4B90000}"/>
    <cellStyle name="Normal 3 8 14 17" xfId="47549" xr:uid="{00000000-0005-0000-0000-0000B5B90000}"/>
    <cellStyle name="Normal 3 8 14 2" xfId="47550" xr:uid="{00000000-0005-0000-0000-0000B6B90000}"/>
    <cellStyle name="Normal 3 8 14 2 10" xfId="47551" xr:uid="{00000000-0005-0000-0000-0000B7B90000}"/>
    <cellStyle name="Normal 3 8 14 2 10 2" xfId="47552" xr:uid="{00000000-0005-0000-0000-0000B8B90000}"/>
    <cellStyle name="Normal 3 8 14 2 10 3" xfId="47553" xr:uid="{00000000-0005-0000-0000-0000B9B90000}"/>
    <cellStyle name="Normal 3 8 14 2 11" xfId="47554" xr:uid="{00000000-0005-0000-0000-0000BAB90000}"/>
    <cellStyle name="Normal 3 8 14 2 11 2" xfId="47555" xr:uid="{00000000-0005-0000-0000-0000BBB90000}"/>
    <cellStyle name="Normal 3 8 14 2 11 3" xfId="47556" xr:uid="{00000000-0005-0000-0000-0000BCB90000}"/>
    <cellStyle name="Normal 3 8 14 2 12" xfId="47557" xr:uid="{00000000-0005-0000-0000-0000BDB90000}"/>
    <cellStyle name="Normal 3 8 14 2 12 2" xfId="47558" xr:uid="{00000000-0005-0000-0000-0000BEB90000}"/>
    <cellStyle name="Normal 3 8 14 2 12 3" xfId="47559" xr:uid="{00000000-0005-0000-0000-0000BFB90000}"/>
    <cellStyle name="Normal 3 8 14 2 13" xfId="47560" xr:uid="{00000000-0005-0000-0000-0000C0B90000}"/>
    <cellStyle name="Normal 3 8 14 2 13 2" xfId="47561" xr:uid="{00000000-0005-0000-0000-0000C1B90000}"/>
    <cellStyle name="Normal 3 8 14 2 13 3" xfId="47562" xr:uid="{00000000-0005-0000-0000-0000C2B90000}"/>
    <cellStyle name="Normal 3 8 14 2 14" xfId="47563" xr:uid="{00000000-0005-0000-0000-0000C3B90000}"/>
    <cellStyle name="Normal 3 8 14 2 14 2" xfId="47564" xr:uid="{00000000-0005-0000-0000-0000C4B90000}"/>
    <cellStyle name="Normal 3 8 14 2 14 3" xfId="47565" xr:uid="{00000000-0005-0000-0000-0000C5B90000}"/>
    <cellStyle name="Normal 3 8 14 2 15" xfId="47566" xr:uid="{00000000-0005-0000-0000-0000C6B90000}"/>
    <cellStyle name="Normal 3 8 14 2 16" xfId="47567" xr:uid="{00000000-0005-0000-0000-0000C7B90000}"/>
    <cellStyle name="Normal 3 8 14 2 2" xfId="47568" xr:uid="{00000000-0005-0000-0000-0000C8B90000}"/>
    <cellStyle name="Normal 3 8 14 2 2 2" xfId="47569" xr:uid="{00000000-0005-0000-0000-0000C9B90000}"/>
    <cellStyle name="Normal 3 8 14 2 2 3" xfId="47570" xr:uid="{00000000-0005-0000-0000-0000CAB90000}"/>
    <cellStyle name="Normal 3 8 14 2 3" xfId="47571" xr:uid="{00000000-0005-0000-0000-0000CBB90000}"/>
    <cellStyle name="Normal 3 8 14 2 3 2" xfId="47572" xr:uid="{00000000-0005-0000-0000-0000CCB90000}"/>
    <cellStyle name="Normal 3 8 14 2 3 3" xfId="47573" xr:uid="{00000000-0005-0000-0000-0000CDB90000}"/>
    <cellStyle name="Normal 3 8 14 2 4" xfId="47574" xr:uid="{00000000-0005-0000-0000-0000CEB90000}"/>
    <cellStyle name="Normal 3 8 14 2 4 2" xfId="47575" xr:uid="{00000000-0005-0000-0000-0000CFB90000}"/>
    <cellStyle name="Normal 3 8 14 2 4 3" xfId="47576" xr:uid="{00000000-0005-0000-0000-0000D0B90000}"/>
    <cellStyle name="Normal 3 8 14 2 5" xfId="47577" xr:uid="{00000000-0005-0000-0000-0000D1B90000}"/>
    <cellStyle name="Normal 3 8 14 2 5 2" xfId="47578" xr:uid="{00000000-0005-0000-0000-0000D2B90000}"/>
    <cellStyle name="Normal 3 8 14 2 5 3" xfId="47579" xr:uid="{00000000-0005-0000-0000-0000D3B90000}"/>
    <cellStyle name="Normal 3 8 14 2 6" xfId="47580" xr:uid="{00000000-0005-0000-0000-0000D4B90000}"/>
    <cellStyle name="Normal 3 8 14 2 6 2" xfId="47581" xr:uid="{00000000-0005-0000-0000-0000D5B90000}"/>
    <cellStyle name="Normal 3 8 14 2 6 3" xfId="47582" xr:uid="{00000000-0005-0000-0000-0000D6B90000}"/>
    <cellStyle name="Normal 3 8 14 2 7" xfId="47583" xr:uid="{00000000-0005-0000-0000-0000D7B90000}"/>
    <cellStyle name="Normal 3 8 14 2 7 2" xfId="47584" xr:uid="{00000000-0005-0000-0000-0000D8B90000}"/>
    <cellStyle name="Normal 3 8 14 2 7 3" xfId="47585" xr:uid="{00000000-0005-0000-0000-0000D9B90000}"/>
    <cellStyle name="Normal 3 8 14 2 8" xfId="47586" xr:uid="{00000000-0005-0000-0000-0000DAB90000}"/>
    <cellStyle name="Normal 3 8 14 2 8 2" xfId="47587" xr:uid="{00000000-0005-0000-0000-0000DBB90000}"/>
    <cellStyle name="Normal 3 8 14 2 8 3" xfId="47588" xr:uid="{00000000-0005-0000-0000-0000DCB90000}"/>
    <cellStyle name="Normal 3 8 14 2 9" xfId="47589" xr:uid="{00000000-0005-0000-0000-0000DDB90000}"/>
    <cellStyle name="Normal 3 8 14 2 9 2" xfId="47590" xr:uid="{00000000-0005-0000-0000-0000DEB90000}"/>
    <cellStyle name="Normal 3 8 14 2 9 3" xfId="47591" xr:uid="{00000000-0005-0000-0000-0000DFB90000}"/>
    <cellStyle name="Normal 3 8 14 3" xfId="47592" xr:uid="{00000000-0005-0000-0000-0000E0B90000}"/>
    <cellStyle name="Normal 3 8 14 3 2" xfId="47593" xr:uid="{00000000-0005-0000-0000-0000E1B90000}"/>
    <cellStyle name="Normal 3 8 14 3 3" xfId="47594" xr:uid="{00000000-0005-0000-0000-0000E2B90000}"/>
    <cellStyle name="Normal 3 8 14 4" xfId="47595" xr:uid="{00000000-0005-0000-0000-0000E3B90000}"/>
    <cellStyle name="Normal 3 8 14 4 2" xfId="47596" xr:uid="{00000000-0005-0000-0000-0000E4B90000}"/>
    <cellStyle name="Normal 3 8 14 4 3" xfId="47597" xr:uid="{00000000-0005-0000-0000-0000E5B90000}"/>
    <cellStyle name="Normal 3 8 14 5" xfId="47598" xr:uid="{00000000-0005-0000-0000-0000E6B90000}"/>
    <cellStyle name="Normal 3 8 14 5 2" xfId="47599" xr:uid="{00000000-0005-0000-0000-0000E7B90000}"/>
    <cellStyle name="Normal 3 8 14 5 3" xfId="47600" xr:uid="{00000000-0005-0000-0000-0000E8B90000}"/>
    <cellStyle name="Normal 3 8 14 6" xfId="47601" xr:uid="{00000000-0005-0000-0000-0000E9B90000}"/>
    <cellStyle name="Normal 3 8 14 6 2" xfId="47602" xr:uid="{00000000-0005-0000-0000-0000EAB90000}"/>
    <cellStyle name="Normal 3 8 14 6 3" xfId="47603" xr:uid="{00000000-0005-0000-0000-0000EBB90000}"/>
    <cellStyle name="Normal 3 8 14 7" xfId="47604" xr:uid="{00000000-0005-0000-0000-0000ECB90000}"/>
    <cellStyle name="Normal 3 8 14 7 2" xfId="47605" xr:uid="{00000000-0005-0000-0000-0000EDB90000}"/>
    <cellStyle name="Normal 3 8 14 7 3" xfId="47606" xr:uid="{00000000-0005-0000-0000-0000EEB90000}"/>
    <cellStyle name="Normal 3 8 14 8" xfId="47607" xr:uid="{00000000-0005-0000-0000-0000EFB90000}"/>
    <cellStyle name="Normal 3 8 14 8 2" xfId="47608" xr:uid="{00000000-0005-0000-0000-0000F0B90000}"/>
    <cellStyle name="Normal 3 8 14 8 3" xfId="47609" xr:uid="{00000000-0005-0000-0000-0000F1B90000}"/>
    <cellStyle name="Normal 3 8 14 9" xfId="47610" xr:uid="{00000000-0005-0000-0000-0000F2B90000}"/>
    <cellStyle name="Normal 3 8 14 9 2" xfId="47611" xr:uid="{00000000-0005-0000-0000-0000F3B90000}"/>
    <cellStyle name="Normal 3 8 14 9 3" xfId="47612" xr:uid="{00000000-0005-0000-0000-0000F4B90000}"/>
    <cellStyle name="Normal 3 8 15" xfId="47613" xr:uid="{00000000-0005-0000-0000-0000F5B90000}"/>
    <cellStyle name="Normal 3 8 15 10" xfId="47614" xr:uid="{00000000-0005-0000-0000-0000F6B90000}"/>
    <cellStyle name="Normal 3 8 15 10 2" xfId="47615" xr:uid="{00000000-0005-0000-0000-0000F7B90000}"/>
    <cellStyle name="Normal 3 8 15 10 3" xfId="47616" xr:uid="{00000000-0005-0000-0000-0000F8B90000}"/>
    <cellStyle name="Normal 3 8 15 11" xfId="47617" xr:uid="{00000000-0005-0000-0000-0000F9B90000}"/>
    <cellStyle name="Normal 3 8 15 11 2" xfId="47618" xr:uid="{00000000-0005-0000-0000-0000FAB90000}"/>
    <cellStyle name="Normal 3 8 15 11 3" xfId="47619" xr:uid="{00000000-0005-0000-0000-0000FBB90000}"/>
    <cellStyle name="Normal 3 8 15 12" xfId="47620" xr:uid="{00000000-0005-0000-0000-0000FCB90000}"/>
    <cellStyle name="Normal 3 8 15 12 2" xfId="47621" xr:uid="{00000000-0005-0000-0000-0000FDB90000}"/>
    <cellStyle name="Normal 3 8 15 12 3" xfId="47622" xr:uid="{00000000-0005-0000-0000-0000FEB90000}"/>
    <cellStyle name="Normal 3 8 15 13" xfId="47623" xr:uid="{00000000-0005-0000-0000-0000FFB90000}"/>
    <cellStyle name="Normal 3 8 15 13 2" xfId="47624" xr:uid="{00000000-0005-0000-0000-000000BA0000}"/>
    <cellStyle name="Normal 3 8 15 13 3" xfId="47625" xr:uid="{00000000-0005-0000-0000-000001BA0000}"/>
    <cellStyle name="Normal 3 8 15 14" xfId="47626" xr:uid="{00000000-0005-0000-0000-000002BA0000}"/>
    <cellStyle name="Normal 3 8 15 14 2" xfId="47627" xr:uid="{00000000-0005-0000-0000-000003BA0000}"/>
    <cellStyle name="Normal 3 8 15 14 3" xfId="47628" xr:uid="{00000000-0005-0000-0000-000004BA0000}"/>
    <cellStyle name="Normal 3 8 15 15" xfId="47629" xr:uid="{00000000-0005-0000-0000-000005BA0000}"/>
    <cellStyle name="Normal 3 8 15 15 2" xfId="47630" xr:uid="{00000000-0005-0000-0000-000006BA0000}"/>
    <cellStyle name="Normal 3 8 15 15 3" xfId="47631" xr:uid="{00000000-0005-0000-0000-000007BA0000}"/>
    <cellStyle name="Normal 3 8 15 16" xfId="47632" xr:uid="{00000000-0005-0000-0000-000008BA0000}"/>
    <cellStyle name="Normal 3 8 15 17" xfId="47633" xr:uid="{00000000-0005-0000-0000-000009BA0000}"/>
    <cellStyle name="Normal 3 8 15 2" xfId="47634" xr:uid="{00000000-0005-0000-0000-00000ABA0000}"/>
    <cellStyle name="Normal 3 8 15 2 10" xfId="47635" xr:uid="{00000000-0005-0000-0000-00000BBA0000}"/>
    <cellStyle name="Normal 3 8 15 2 10 2" xfId="47636" xr:uid="{00000000-0005-0000-0000-00000CBA0000}"/>
    <cellStyle name="Normal 3 8 15 2 10 3" xfId="47637" xr:uid="{00000000-0005-0000-0000-00000DBA0000}"/>
    <cellStyle name="Normal 3 8 15 2 11" xfId="47638" xr:uid="{00000000-0005-0000-0000-00000EBA0000}"/>
    <cellStyle name="Normal 3 8 15 2 11 2" xfId="47639" xr:uid="{00000000-0005-0000-0000-00000FBA0000}"/>
    <cellStyle name="Normal 3 8 15 2 11 3" xfId="47640" xr:uid="{00000000-0005-0000-0000-000010BA0000}"/>
    <cellStyle name="Normal 3 8 15 2 12" xfId="47641" xr:uid="{00000000-0005-0000-0000-000011BA0000}"/>
    <cellStyle name="Normal 3 8 15 2 12 2" xfId="47642" xr:uid="{00000000-0005-0000-0000-000012BA0000}"/>
    <cellStyle name="Normal 3 8 15 2 12 3" xfId="47643" xr:uid="{00000000-0005-0000-0000-000013BA0000}"/>
    <cellStyle name="Normal 3 8 15 2 13" xfId="47644" xr:uid="{00000000-0005-0000-0000-000014BA0000}"/>
    <cellStyle name="Normal 3 8 15 2 13 2" xfId="47645" xr:uid="{00000000-0005-0000-0000-000015BA0000}"/>
    <cellStyle name="Normal 3 8 15 2 13 3" xfId="47646" xr:uid="{00000000-0005-0000-0000-000016BA0000}"/>
    <cellStyle name="Normal 3 8 15 2 14" xfId="47647" xr:uid="{00000000-0005-0000-0000-000017BA0000}"/>
    <cellStyle name="Normal 3 8 15 2 14 2" xfId="47648" xr:uid="{00000000-0005-0000-0000-000018BA0000}"/>
    <cellStyle name="Normal 3 8 15 2 14 3" xfId="47649" xr:uid="{00000000-0005-0000-0000-000019BA0000}"/>
    <cellStyle name="Normal 3 8 15 2 15" xfId="47650" xr:uid="{00000000-0005-0000-0000-00001ABA0000}"/>
    <cellStyle name="Normal 3 8 15 2 16" xfId="47651" xr:uid="{00000000-0005-0000-0000-00001BBA0000}"/>
    <cellStyle name="Normal 3 8 15 2 2" xfId="47652" xr:uid="{00000000-0005-0000-0000-00001CBA0000}"/>
    <cellStyle name="Normal 3 8 15 2 2 2" xfId="47653" xr:uid="{00000000-0005-0000-0000-00001DBA0000}"/>
    <cellStyle name="Normal 3 8 15 2 2 3" xfId="47654" xr:uid="{00000000-0005-0000-0000-00001EBA0000}"/>
    <cellStyle name="Normal 3 8 15 2 3" xfId="47655" xr:uid="{00000000-0005-0000-0000-00001FBA0000}"/>
    <cellStyle name="Normal 3 8 15 2 3 2" xfId="47656" xr:uid="{00000000-0005-0000-0000-000020BA0000}"/>
    <cellStyle name="Normal 3 8 15 2 3 3" xfId="47657" xr:uid="{00000000-0005-0000-0000-000021BA0000}"/>
    <cellStyle name="Normal 3 8 15 2 4" xfId="47658" xr:uid="{00000000-0005-0000-0000-000022BA0000}"/>
    <cellStyle name="Normal 3 8 15 2 4 2" xfId="47659" xr:uid="{00000000-0005-0000-0000-000023BA0000}"/>
    <cellStyle name="Normal 3 8 15 2 4 3" xfId="47660" xr:uid="{00000000-0005-0000-0000-000024BA0000}"/>
    <cellStyle name="Normal 3 8 15 2 5" xfId="47661" xr:uid="{00000000-0005-0000-0000-000025BA0000}"/>
    <cellStyle name="Normal 3 8 15 2 5 2" xfId="47662" xr:uid="{00000000-0005-0000-0000-000026BA0000}"/>
    <cellStyle name="Normal 3 8 15 2 5 3" xfId="47663" xr:uid="{00000000-0005-0000-0000-000027BA0000}"/>
    <cellStyle name="Normal 3 8 15 2 6" xfId="47664" xr:uid="{00000000-0005-0000-0000-000028BA0000}"/>
    <cellStyle name="Normal 3 8 15 2 6 2" xfId="47665" xr:uid="{00000000-0005-0000-0000-000029BA0000}"/>
    <cellStyle name="Normal 3 8 15 2 6 3" xfId="47666" xr:uid="{00000000-0005-0000-0000-00002ABA0000}"/>
    <cellStyle name="Normal 3 8 15 2 7" xfId="47667" xr:uid="{00000000-0005-0000-0000-00002BBA0000}"/>
    <cellStyle name="Normal 3 8 15 2 7 2" xfId="47668" xr:uid="{00000000-0005-0000-0000-00002CBA0000}"/>
    <cellStyle name="Normal 3 8 15 2 7 3" xfId="47669" xr:uid="{00000000-0005-0000-0000-00002DBA0000}"/>
    <cellStyle name="Normal 3 8 15 2 8" xfId="47670" xr:uid="{00000000-0005-0000-0000-00002EBA0000}"/>
    <cellStyle name="Normal 3 8 15 2 8 2" xfId="47671" xr:uid="{00000000-0005-0000-0000-00002FBA0000}"/>
    <cellStyle name="Normal 3 8 15 2 8 3" xfId="47672" xr:uid="{00000000-0005-0000-0000-000030BA0000}"/>
    <cellStyle name="Normal 3 8 15 2 9" xfId="47673" xr:uid="{00000000-0005-0000-0000-000031BA0000}"/>
    <cellStyle name="Normal 3 8 15 2 9 2" xfId="47674" xr:uid="{00000000-0005-0000-0000-000032BA0000}"/>
    <cellStyle name="Normal 3 8 15 2 9 3" xfId="47675" xr:uid="{00000000-0005-0000-0000-000033BA0000}"/>
    <cellStyle name="Normal 3 8 15 3" xfId="47676" xr:uid="{00000000-0005-0000-0000-000034BA0000}"/>
    <cellStyle name="Normal 3 8 15 3 2" xfId="47677" xr:uid="{00000000-0005-0000-0000-000035BA0000}"/>
    <cellStyle name="Normal 3 8 15 3 3" xfId="47678" xr:uid="{00000000-0005-0000-0000-000036BA0000}"/>
    <cellStyle name="Normal 3 8 15 4" xfId="47679" xr:uid="{00000000-0005-0000-0000-000037BA0000}"/>
    <cellStyle name="Normal 3 8 15 4 2" xfId="47680" xr:uid="{00000000-0005-0000-0000-000038BA0000}"/>
    <cellStyle name="Normal 3 8 15 4 3" xfId="47681" xr:uid="{00000000-0005-0000-0000-000039BA0000}"/>
    <cellStyle name="Normal 3 8 15 5" xfId="47682" xr:uid="{00000000-0005-0000-0000-00003ABA0000}"/>
    <cellStyle name="Normal 3 8 15 5 2" xfId="47683" xr:uid="{00000000-0005-0000-0000-00003BBA0000}"/>
    <cellStyle name="Normal 3 8 15 5 3" xfId="47684" xr:uid="{00000000-0005-0000-0000-00003CBA0000}"/>
    <cellStyle name="Normal 3 8 15 6" xfId="47685" xr:uid="{00000000-0005-0000-0000-00003DBA0000}"/>
    <cellStyle name="Normal 3 8 15 6 2" xfId="47686" xr:uid="{00000000-0005-0000-0000-00003EBA0000}"/>
    <cellStyle name="Normal 3 8 15 6 3" xfId="47687" xr:uid="{00000000-0005-0000-0000-00003FBA0000}"/>
    <cellStyle name="Normal 3 8 15 7" xfId="47688" xr:uid="{00000000-0005-0000-0000-000040BA0000}"/>
    <cellStyle name="Normal 3 8 15 7 2" xfId="47689" xr:uid="{00000000-0005-0000-0000-000041BA0000}"/>
    <cellStyle name="Normal 3 8 15 7 3" xfId="47690" xr:uid="{00000000-0005-0000-0000-000042BA0000}"/>
    <cellStyle name="Normal 3 8 15 8" xfId="47691" xr:uid="{00000000-0005-0000-0000-000043BA0000}"/>
    <cellStyle name="Normal 3 8 15 8 2" xfId="47692" xr:uid="{00000000-0005-0000-0000-000044BA0000}"/>
    <cellStyle name="Normal 3 8 15 8 3" xfId="47693" xr:uid="{00000000-0005-0000-0000-000045BA0000}"/>
    <cellStyle name="Normal 3 8 15 9" xfId="47694" xr:uid="{00000000-0005-0000-0000-000046BA0000}"/>
    <cellStyle name="Normal 3 8 15 9 2" xfId="47695" xr:uid="{00000000-0005-0000-0000-000047BA0000}"/>
    <cellStyle name="Normal 3 8 15 9 3" xfId="47696" xr:uid="{00000000-0005-0000-0000-000048BA0000}"/>
    <cellStyle name="Normal 3 8 16" xfId="47697" xr:uid="{00000000-0005-0000-0000-000049BA0000}"/>
    <cellStyle name="Normal 3 8 16 10" xfId="47698" xr:uid="{00000000-0005-0000-0000-00004ABA0000}"/>
    <cellStyle name="Normal 3 8 16 10 2" xfId="47699" xr:uid="{00000000-0005-0000-0000-00004BBA0000}"/>
    <cellStyle name="Normal 3 8 16 10 3" xfId="47700" xr:uid="{00000000-0005-0000-0000-00004CBA0000}"/>
    <cellStyle name="Normal 3 8 16 11" xfId="47701" xr:uid="{00000000-0005-0000-0000-00004DBA0000}"/>
    <cellStyle name="Normal 3 8 16 11 2" xfId="47702" xr:uid="{00000000-0005-0000-0000-00004EBA0000}"/>
    <cellStyle name="Normal 3 8 16 11 3" xfId="47703" xr:uid="{00000000-0005-0000-0000-00004FBA0000}"/>
    <cellStyle name="Normal 3 8 16 12" xfId="47704" xr:uid="{00000000-0005-0000-0000-000050BA0000}"/>
    <cellStyle name="Normal 3 8 16 12 2" xfId="47705" xr:uid="{00000000-0005-0000-0000-000051BA0000}"/>
    <cellStyle name="Normal 3 8 16 12 3" xfId="47706" xr:uid="{00000000-0005-0000-0000-000052BA0000}"/>
    <cellStyle name="Normal 3 8 16 13" xfId="47707" xr:uid="{00000000-0005-0000-0000-000053BA0000}"/>
    <cellStyle name="Normal 3 8 16 13 2" xfId="47708" xr:uid="{00000000-0005-0000-0000-000054BA0000}"/>
    <cellStyle name="Normal 3 8 16 13 3" xfId="47709" xr:uid="{00000000-0005-0000-0000-000055BA0000}"/>
    <cellStyle name="Normal 3 8 16 14" xfId="47710" xr:uid="{00000000-0005-0000-0000-000056BA0000}"/>
    <cellStyle name="Normal 3 8 16 14 2" xfId="47711" xr:uid="{00000000-0005-0000-0000-000057BA0000}"/>
    <cellStyle name="Normal 3 8 16 14 3" xfId="47712" xr:uid="{00000000-0005-0000-0000-000058BA0000}"/>
    <cellStyle name="Normal 3 8 16 15" xfId="47713" xr:uid="{00000000-0005-0000-0000-000059BA0000}"/>
    <cellStyle name="Normal 3 8 16 15 2" xfId="47714" xr:uid="{00000000-0005-0000-0000-00005ABA0000}"/>
    <cellStyle name="Normal 3 8 16 15 3" xfId="47715" xr:uid="{00000000-0005-0000-0000-00005BBA0000}"/>
    <cellStyle name="Normal 3 8 16 16" xfId="47716" xr:uid="{00000000-0005-0000-0000-00005CBA0000}"/>
    <cellStyle name="Normal 3 8 16 17" xfId="47717" xr:uid="{00000000-0005-0000-0000-00005DBA0000}"/>
    <cellStyle name="Normal 3 8 16 2" xfId="47718" xr:uid="{00000000-0005-0000-0000-00005EBA0000}"/>
    <cellStyle name="Normal 3 8 16 2 10" xfId="47719" xr:uid="{00000000-0005-0000-0000-00005FBA0000}"/>
    <cellStyle name="Normal 3 8 16 2 10 2" xfId="47720" xr:uid="{00000000-0005-0000-0000-000060BA0000}"/>
    <cellStyle name="Normal 3 8 16 2 10 3" xfId="47721" xr:uid="{00000000-0005-0000-0000-000061BA0000}"/>
    <cellStyle name="Normal 3 8 16 2 11" xfId="47722" xr:uid="{00000000-0005-0000-0000-000062BA0000}"/>
    <cellStyle name="Normal 3 8 16 2 11 2" xfId="47723" xr:uid="{00000000-0005-0000-0000-000063BA0000}"/>
    <cellStyle name="Normal 3 8 16 2 11 3" xfId="47724" xr:uid="{00000000-0005-0000-0000-000064BA0000}"/>
    <cellStyle name="Normal 3 8 16 2 12" xfId="47725" xr:uid="{00000000-0005-0000-0000-000065BA0000}"/>
    <cellStyle name="Normal 3 8 16 2 12 2" xfId="47726" xr:uid="{00000000-0005-0000-0000-000066BA0000}"/>
    <cellStyle name="Normal 3 8 16 2 12 3" xfId="47727" xr:uid="{00000000-0005-0000-0000-000067BA0000}"/>
    <cellStyle name="Normal 3 8 16 2 13" xfId="47728" xr:uid="{00000000-0005-0000-0000-000068BA0000}"/>
    <cellStyle name="Normal 3 8 16 2 13 2" xfId="47729" xr:uid="{00000000-0005-0000-0000-000069BA0000}"/>
    <cellStyle name="Normal 3 8 16 2 13 3" xfId="47730" xr:uid="{00000000-0005-0000-0000-00006ABA0000}"/>
    <cellStyle name="Normal 3 8 16 2 14" xfId="47731" xr:uid="{00000000-0005-0000-0000-00006BBA0000}"/>
    <cellStyle name="Normal 3 8 16 2 14 2" xfId="47732" xr:uid="{00000000-0005-0000-0000-00006CBA0000}"/>
    <cellStyle name="Normal 3 8 16 2 14 3" xfId="47733" xr:uid="{00000000-0005-0000-0000-00006DBA0000}"/>
    <cellStyle name="Normal 3 8 16 2 15" xfId="47734" xr:uid="{00000000-0005-0000-0000-00006EBA0000}"/>
    <cellStyle name="Normal 3 8 16 2 16" xfId="47735" xr:uid="{00000000-0005-0000-0000-00006FBA0000}"/>
    <cellStyle name="Normal 3 8 16 2 2" xfId="47736" xr:uid="{00000000-0005-0000-0000-000070BA0000}"/>
    <cellStyle name="Normal 3 8 16 2 2 2" xfId="47737" xr:uid="{00000000-0005-0000-0000-000071BA0000}"/>
    <cellStyle name="Normal 3 8 16 2 2 3" xfId="47738" xr:uid="{00000000-0005-0000-0000-000072BA0000}"/>
    <cellStyle name="Normal 3 8 16 2 3" xfId="47739" xr:uid="{00000000-0005-0000-0000-000073BA0000}"/>
    <cellStyle name="Normal 3 8 16 2 3 2" xfId="47740" xr:uid="{00000000-0005-0000-0000-000074BA0000}"/>
    <cellStyle name="Normal 3 8 16 2 3 3" xfId="47741" xr:uid="{00000000-0005-0000-0000-000075BA0000}"/>
    <cellStyle name="Normal 3 8 16 2 4" xfId="47742" xr:uid="{00000000-0005-0000-0000-000076BA0000}"/>
    <cellStyle name="Normal 3 8 16 2 4 2" xfId="47743" xr:uid="{00000000-0005-0000-0000-000077BA0000}"/>
    <cellStyle name="Normal 3 8 16 2 4 3" xfId="47744" xr:uid="{00000000-0005-0000-0000-000078BA0000}"/>
    <cellStyle name="Normal 3 8 16 2 5" xfId="47745" xr:uid="{00000000-0005-0000-0000-000079BA0000}"/>
    <cellStyle name="Normal 3 8 16 2 5 2" xfId="47746" xr:uid="{00000000-0005-0000-0000-00007ABA0000}"/>
    <cellStyle name="Normal 3 8 16 2 5 3" xfId="47747" xr:uid="{00000000-0005-0000-0000-00007BBA0000}"/>
    <cellStyle name="Normal 3 8 16 2 6" xfId="47748" xr:uid="{00000000-0005-0000-0000-00007CBA0000}"/>
    <cellStyle name="Normal 3 8 16 2 6 2" xfId="47749" xr:uid="{00000000-0005-0000-0000-00007DBA0000}"/>
    <cellStyle name="Normal 3 8 16 2 6 3" xfId="47750" xr:uid="{00000000-0005-0000-0000-00007EBA0000}"/>
    <cellStyle name="Normal 3 8 16 2 7" xfId="47751" xr:uid="{00000000-0005-0000-0000-00007FBA0000}"/>
    <cellStyle name="Normal 3 8 16 2 7 2" xfId="47752" xr:uid="{00000000-0005-0000-0000-000080BA0000}"/>
    <cellStyle name="Normal 3 8 16 2 7 3" xfId="47753" xr:uid="{00000000-0005-0000-0000-000081BA0000}"/>
    <cellStyle name="Normal 3 8 16 2 8" xfId="47754" xr:uid="{00000000-0005-0000-0000-000082BA0000}"/>
    <cellStyle name="Normal 3 8 16 2 8 2" xfId="47755" xr:uid="{00000000-0005-0000-0000-000083BA0000}"/>
    <cellStyle name="Normal 3 8 16 2 8 3" xfId="47756" xr:uid="{00000000-0005-0000-0000-000084BA0000}"/>
    <cellStyle name="Normal 3 8 16 2 9" xfId="47757" xr:uid="{00000000-0005-0000-0000-000085BA0000}"/>
    <cellStyle name="Normal 3 8 16 2 9 2" xfId="47758" xr:uid="{00000000-0005-0000-0000-000086BA0000}"/>
    <cellStyle name="Normal 3 8 16 2 9 3" xfId="47759" xr:uid="{00000000-0005-0000-0000-000087BA0000}"/>
    <cellStyle name="Normal 3 8 16 3" xfId="47760" xr:uid="{00000000-0005-0000-0000-000088BA0000}"/>
    <cellStyle name="Normal 3 8 16 3 2" xfId="47761" xr:uid="{00000000-0005-0000-0000-000089BA0000}"/>
    <cellStyle name="Normal 3 8 16 3 3" xfId="47762" xr:uid="{00000000-0005-0000-0000-00008ABA0000}"/>
    <cellStyle name="Normal 3 8 16 4" xfId="47763" xr:uid="{00000000-0005-0000-0000-00008BBA0000}"/>
    <cellStyle name="Normal 3 8 16 4 2" xfId="47764" xr:uid="{00000000-0005-0000-0000-00008CBA0000}"/>
    <cellStyle name="Normal 3 8 16 4 3" xfId="47765" xr:uid="{00000000-0005-0000-0000-00008DBA0000}"/>
    <cellStyle name="Normal 3 8 16 5" xfId="47766" xr:uid="{00000000-0005-0000-0000-00008EBA0000}"/>
    <cellStyle name="Normal 3 8 16 5 2" xfId="47767" xr:uid="{00000000-0005-0000-0000-00008FBA0000}"/>
    <cellStyle name="Normal 3 8 16 5 3" xfId="47768" xr:uid="{00000000-0005-0000-0000-000090BA0000}"/>
    <cellStyle name="Normal 3 8 16 6" xfId="47769" xr:uid="{00000000-0005-0000-0000-000091BA0000}"/>
    <cellStyle name="Normal 3 8 16 6 2" xfId="47770" xr:uid="{00000000-0005-0000-0000-000092BA0000}"/>
    <cellStyle name="Normal 3 8 16 6 3" xfId="47771" xr:uid="{00000000-0005-0000-0000-000093BA0000}"/>
    <cellStyle name="Normal 3 8 16 7" xfId="47772" xr:uid="{00000000-0005-0000-0000-000094BA0000}"/>
    <cellStyle name="Normal 3 8 16 7 2" xfId="47773" xr:uid="{00000000-0005-0000-0000-000095BA0000}"/>
    <cellStyle name="Normal 3 8 16 7 3" xfId="47774" xr:uid="{00000000-0005-0000-0000-000096BA0000}"/>
    <cellStyle name="Normal 3 8 16 8" xfId="47775" xr:uid="{00000000-0005-0000-0000-000097BA0000}"/>
    <cellStyle name="Normal 3 8 16 8 2" xfId="47776" xr:uid="{00000000-0005-0000-0000-000098BA0000}"/>
    <cellStyle name="Normal 3 8 16 8 3" xfId="47777" xr:uid="{00000000-0005-0000-0000-000099BA0000}"/>
    <cellStyle name="Normal 3 8 16 9" xfId="47778" xr:uid="{00000000-0005-0000-0000-00009ABA0000}"/>
    <cellStyle name="Normal 3 8 16 9 2" xfId="47779" xr:uid="{00000000-0005-0000-0000-00009BBA0000}"/>
    <cellStyle name="Normal 3 8 16 9 3" xfId="47780" xr:uid="{00000000-0005-0000-0000-00009CBA0000}"/>
    <cellStyle name="Normal 3 8 17" xfId="47781" xr:uid="{00000000-0005-0000-0000-00009DBA0000}"/>
    <cellStyle name="Normal 3 8 17 10" xfId="47782" xr:uid="{00000000-0005-0000-0000-00009EBA0000}"/>
    <cellStyle name="Normal 3 8 17 10 2" xfId="47783" xr:uid="{00000000-0005-0000-0000-00009FBA0000}"/>
    <cellStyle name="Normal 3 8 17 10 3" xfId="47784" xr:uid="{00000000-0005-0000-0000-0000A0BA0000}"/>
    <cellStyle name="Normal 3 8 17 11" xfId="47785" xr:uid="{00000000-0005-0000-0000-0000A1BA0000}"/>
    <cellStyle name="Normal 3 8 17 11 2" xfId="47786" xr:uid="{00000000-0005-0000-0000-0000A2BA0000}"/>
    <cellStyle name="Normal 3 8 17 11 3" xfId="47787" xr:uid="{00000000-0005-0000-0000-0000A3BA0000}"/>
    <cellStyle name="Normal 3 8 17 12" xfId="47788" xr:uid="{00000000-0005-0000-0000-0000A4BA0000}"/>
    <cellStyle name="Normal 3 8 17 12 2" xfId="47789" xr:uid="{00000000-0005-0000-0000-0000A5BA0000}"/>
    <cellStyle name="Normal 3 8 17 12 3" xfId="47790" xr:uid="{00000000-0005-0000-0000-0000A6BA0000}"/>
    <cellStyle name="Normal 3 8 17 13" xfId="47791" xr:uid="{00000000-0005-0000-0000-0000A7BA0000}"/>
    <cellStyle name="Normal 3 8 17 13 2" xfId="47792" xr:uid="{00000000-0005-0000-0000-0000A8BA0000}"/>
    <cellStyle name="Normal 3 8 17 13 3" xfId="47793" xr:uid="{00000000-0005-0000-0000-0000A9BA0000}"/>
    <cellStyle name="Normal 3 8 17 14" xfId="47794" xr:uid="{00000000-0005-0000-0000-0000AABA0000}"/>
    <cellStyle name="Normal 3 8 17 14 2" xfId="47795" xr:uid="{00000000-0005-0000-0000-0000ABBA0000}"/>
    <cellStyle name="Normal 3 8 17 14 3" xfId="47796" xr:uid="{00000000-0005-0000-0000-0000ACBA0000}"/>
    <cellStyle name="Normal 3 8 17 15" xfId="47797" xr:uid="{00000000-0005-0000-0000-0000ADBA0000}"/>
    <cellStyle name="Normal 3 8 17 16" xfId="47798" xr:uid="{00000000-0005-0000-0000-0000AEBA0000}"/>
    <cellStyle name="Normal 3 8 17 2" xfId="47799" xr:uid="{00000000-0005-0000-0000-0000AFBA0000}"/>
    <cellStyle name="Normal 3 8 17 2 2" xfId="47800" xr:uid="{00000000-0005-0000-0000-0000B0BA0000}"/>
    <cellStyle name="Normal 3 8 17 2 3" xfId="47801" xr:uid="{00000000-0005-0000-0000-0000B1BA0000}"/>
    <cellStyle name="Normal 3 8 17 3" xfId="47802" xr:uid="{00000000-0005-0000-0000-0000B2BA0000}"/>
    <cellStyle name="Normal 3 8 17 3 2" xfId="47803" xr:uid="{00000000-0005-0000-0000-0000B3BA0000}"/>
    <cellStyle name="Normal 3 8 17 3 3" xfId="47804" xr:uid="{00000000-0005-0000-0000-0000B4BA0000}"/>
    <cellStyle name="Normal 3 8 17 4" xfId="47805" xr:uid="{00000000-0005-0000-0000-0000B5BA0000}"/>
    <cellStyle name="Normal 3 8 17 4 2" xfId="47806" xr:uid="{00000000-0005-0000-0000-0000B6BA0000}"/>
    <cellStyle name="Normal 3 8 17 4 3" xfId="47807" xr:uid="{00000000-0005-0000-0000-0000B7BA0000}"/>
    <cellStyle name="Normal 3 8 17 5" xfId="47808" xr:uid="{00000000-0005-0000-0000-0000B8BA0000}"/>
    <cellStyle name="Normal 3 8 17 5 2" xfId="47809" xr:uid="{00000000-0005-0000-0000-0000B9BA0000}"/>
    <cellStyle name="Normal 3 8 17 5 3" xfId="47810" xr:uid="{00000000-0005-0000-0000-0000BABA0000}"/>
    <cellStyle name="Normal 3 8 17 6" xfId="47811" xr:uid="{00000000-0005-0000-0000-0000BBBA0000}"/>
    <cellStyle name="Normal 3 8 17 6 2" xfId="47812" xr:uid="{00000000-0005-0000-0000-0000BCBA0000}"/>
    <cellStyle name="Normal 3 8 17 6 3" xfId="47813" xr:uid="{00000000-0005-0000-0000-0000BDBA0000}"/>
    <cellStyle name="Normal 3 8 17 7" xfId="47814" xr:uid="{00000000-0005-0000-0000-0000BEBA0000}"/>
    <cellStyle name="Normal 3 8 17 7 2" xfId="47815" xr:uid="{00000000-0005-0000-0000-0000BFBA0000}"/>
    <cellStyle name="Normal 3 8 17 7 3" xfId="47816" xr:uid="{00000000-0005-0000-0000-0000C0BA0000}"/>
    <cellStyle name="Normal 3 8 17 8" xfId="47817" xr:uid="{00000000-0005-0000-0000-0000C1BA0000}"/>
    <cellStyle name="Normal 3 8 17 8 2" xfId="47818" xr:uid="{00000000-0005-0000-0000-0000C2BA0000}"/>
    <cellStyle name="Normal 3 8 17 8 3" xfId="47819" xr:uid="{00000000-0005-0000-0000-0000C3BA0000}"/>
    <cellStyle name="Normal 3 8 17 9" xfId="47820" xr:uid="{00000000-0005-0000-0000-0000C4BA0000}"/>
    <cellStyle name="Normal 3 8 17 9 2" xfId="47821" xr:uid="{00000000-0005-0000-0000-0000C5BA0000}"/>
    <cellStyle name="Normal 3 8 17 9 3" xfId="47822" xr:uid="{00000000-0005-0000-0000-0000C6BA0000}"/>
    <cellStyle name="Normal 3 8 18" xfId="47823" xr:uid="{00000000-0005-0000-0000-0000C7BA0000}"/>
    <cellStyle name="Normal 3 8 18 10" xfId="47824" xr:uid="{00000000-0005-0000-0000-0000C8BA0000}"/>
    <cellStyle name="Normal 3 8 18 10 2" xfId="47825" xr:uid="{00000000-0005-0000-0000-0000C9BA0000}"/>
    <cellStyle name="Normal 3 8 18 10 3" xfId="47826" xr:uid="{00000000-0005-0000-0000-0000CABA0000}"/>
    <cellStyle name="Normal 3 8 18 11" xfId="47827" xr:uid="{00000000-0005-0000-0000-0000CBBA0000}"/>
    <cellStyle name="Normal 3 8 18 11 2" xfId="47828" xr:uid="{00000000-0005-0000-0000-0000CCBA0000}"/>
    <cellStyle name="Normal 3 8 18 11 3" xfId="47829" xr:uid="{00000000-0005-0000-0000-0000CDBA0000}"/>
    <cellStyle name="Normal 3 8 18 12" xfId="47830" xr:uid="{00000000-0005-0000-0000-0000CEBA0000}"/>
    <cellStyle name="Normal 3 8 18 12 2" xfId="47831" xr:uid="{00000000-0005-0000-0000-0000CFBA0000}"/>
    <cellStyle name="Normal 3 8 18 12 3" xfId="47832" xr:uid="{00000000-0005-0000-0000-0000D0BA0000}"/>
    <cellStyle name="Normal 3 8 18 13" xfId="47833" xr:uid="{00000000-0005-0000-0000-0000D1BA0000}"/>
    <cellStyle name="Normal 3 8 18 13 2" xfId="47834" xr:uid="{00000000-0005-0000-0000-0000D2BA0000}"/>
    <cellStyle name="Normal 3 8 18 13 3" xfId="47835" xr:uid="{00000000-0005-0000-0000-0000D3BA0000}"/>
    <cellStyle name="Normal 3 8 18 14" xfId="47836" xr:uid="{00000000-0005-0000-0000-0000D4BA0000}"/>
    <cellStyle name="Normal 3 8 18 14 2" xfId="47837" xr:uid="{00000000-0005-0000-0000-0000D5BA0000}"/>
    <cellStyle name="Normal 3 8 18 14 3" xfId="47838" xr:uid="{00000000-0005-0000-0000-0000D6BA0000}"/>
    <cellStyle name="Normal 3 8 18 15" xfId="47839" xr:uid="{00000000-0005-0000-0000-0000D7BA0000}"/>
    <cellStyle name="Normal 3 8 18 16" xfId="47840" xr:uid="{00000000-0005-0000-0000-0000D8BA0000}"/>
    <cellStyle name="Normal 3 8 18 2" xfId="47841" xr:uid="{00000000-0005-0000-0000-0000D9BA0000}"/>
    <cellStyle name="Normal 3 8 18 2 2" xfId="47842" xr:uid="{00000000-0005-0000-0000-0000DABA0000}"/>
    <cellStyle name="Normal 3 8 18 2 3" xfId="47843" xr:uid="{00000000-0005-0000-0000-0000DBBA0000}"/>
    <cellStyle name="Normal 3 8 18 3" xfId="47844" xr:uid="{00000000-0005-0000-0000-0000DCBA0000}"/>
    <cellStyle name="Normal 3 8 18 3 2" xfId="47845" xr:uid="{00000000-0005-0000-0000-0000DDBA0000}"/>
    <cellStyle name="Normal 3 8 18 3 3" xfId="47846" xr:uid="{00000000-0005-0000-0000-0000DEBA0000}"/>
    <cellStyle name="Normal 3 8 18 4" xfId="47847" xr:uid="{00000000-0005-0000-0000-0000DFBA0000}"/>
    <cellStyle name="Normal 3 8 18 4 2" xfId="47848" xr:uid="{00000000-0005-0000-0000-0000E0BA0000}"/>
    <cellStyle name="Normal 3 8 18 4 3" xfId="47849" xr:uid="{00000000-0005-0000-0000-0000E1BA0000}"/>
    <cellStyle name="Normal 3 8 18 5" xfId="47850" xr:uid="{00000000-0005-0000-0000-0000E2BA0000}"/>
    <cellStyle name="Normal 3 8 18 5 2" xfId="47851" xr:uid="{00000000-0005-0000-0000-0000E3BA0000}"/>
    <cellStyle name="Normal 3 8 18 5 3" xfId="47852" xr:uid="{00000000-0005-0000-0000-0000E4BA0000}"/>
    <cellStyle name="Normal 3 8 18 6" xfId="47853" xr:uid="{00000000-0005-0000-0000-0000E5BA0000}"/>
    <cellStyle name="Normal 3 8 18 6 2" xfId="47854" xr:uid="{00000000-0005-0000-0000-0000E6BA0000}"/>
    <cellStyle name="Normal 3 8 18 6 3" xfId="47855" xr:uid="{00000000-0005-0000-0000-0000E7BA0000}"/>
    <cellStyle name="Normal 3 8 18 7" xfId="47856" xr:uid="{00000000-0005-0000-0000-0000E8BA0000}"/>
    <cellStyle name="Normal 3 8 18 7 2" xfId="47857" xr:uid="{00000000-0005-0000-0000-0000E9BA0000}"/>
    <cellStyle name="Normal 3 8 18 7 3" xfId="47858" xr:uid="{00000000-0005-0000-0000-0000EABA0000}"/>
    <cellStyle name="Normal 3 8 18 8" xfId="47859" xr:uid="{00000000-0005-0000-0000-0000EBBA0000}"/>
    <cellStyle name="Normal 3 8 18 8 2" xfId="47860" xr:uid="{00000000-0005-0000-0000-0000ECBA0000}"/>
    <cellStyle name="Normal 3 8 18 8 3" xfId="47861" xr:uid="{00000000-0005-0000-0000-0000EDBA0000}"/>
    <cellStyle name="Normal 3 8 18 9" xfId="47862" xr:uid="{00000000-0005-0000-0000-0000EEBA0000}"/>
    <cellStyle name="Normal 3 8 18 9 2" xfId="47863" xr:uid="{00000000-0005-0000-0000-0000EFBA0000}"/>
    <cellStyle name="Normal 3 8 18 9 3" xfId="47864" xr:uid="{00000000-0005-0000-0000-0000F0BA0000}"/>
    <cellStyle name="Normal 3 8 19" xfId="47865" xr:uid="{00000000-0005-0000-0000-0000F1BA0000}"/>
    <cellStyle name="Normal 3 8 19 10" xfId="47866" xr:uid="{00000000-0005-0000-0000-0000F2BA0000}"/>
    <cellStyle name="Normal 3 8 19 10 2" xfId="47867" xr:uid="{00000000-0005-0000-0000-0000F3BA0000}"/>
    <cellStyle name="Normal 3 8 19 10 3" xfId="47868" xr:uid="{00000000-0005-0000-0000-0000F4BA0000}"/>
    <cellStyle name="Normal 3 8 19 11" xfId="47869" xr:uid="{00000000-0005-0000-0000-0000F5BA0000}"/>
    <cellStyle name="Normal 3 8 19 11 2" xfId="47870" xr:uid="{00000000-0005-0000-0000-0000F6BA0000}"/>
    <cellStyle name="Normal 3 8 19 11 3" xfId="47871" xr:uid="{00000000-0005-0000-0000-0000F7BA0000}"/>
    <cellStyle name="Normal 3 8 19 12" xfId="47872" xr:uid="{00000000-0005-0000-0000-0000F8BA0000}"/>
    <cellStyle name="Normal 3 8 19 12 2" xfId="47873" xr:uid="{00000000-0005-0000-0000-0000F9BA0000}"/>
    <cellStyle name="Normal 3 8 19 12 3" xfId="47874" xr:uid="{00000000-0005-0000-0000-0000FABA0000}"/>
    <cellStyle name="Normal 3 8 19 13" xfId="47875" xr:uid="{00000000-0005-0000-0000-0000FBBA0000}"/>
    <cellStyle name="Normal 3 8 19 13 2" xfId="47876" xr:uid="{00000000-0005-0000-0000-0000FCBA0000}"/>
    <cellStyle name="Normal 3 8 19 13 3" xfId="47877" xr:uid="{00000000-0005-0000-0000-0000FDBA0000}"/>
    <cellStyle name="Normal 3 8 19 14" xfId="47878" xr:uid="{00000000-0005-0000-0000-0000FEBA0000}"/>
    <cellStyle name="Normal 3 8 19 14 2" xfId="47879" xr:uid="{00000000-0005-0000-0000-0000FFBA0000}"/>
    <cellStyle name="Normal 3 8 19 14 3" xfId="47880" xr:uid="{00000000-0005-0000-0000-000000BB0000}"/>
    <cellStyle name="Normal 3 8 19 15" xfId="47881" xr:uid="{00000000-0005-0000-0000-000001BB0000}"/>
    <cellStyle name="Normal 3 8 19 16" xfId="47882" xr:uid="{00000000-0005-0000-0000-000002BB0000}"/>
    <cellStyle name="Normal 3 8 19 2" xfId="47883" xr:uid="{00000000-0005-0000-0000-000003BB0000}"/>
    <cellStyle name="Normal 3 8 19 2 2" xfId="47884" xr:uid="{00000000-0005-0000-0000-000004BB0000}"/>
    <cellStyle name="Normal 3 8 19 2 3" xfId="47885" xr:uid="{00000000-0005-0000-0000-000005BB0000}"/>
    <cellStyle name="Normal 3 8 19 3" xfId="47886" xr:uid="{00000000-0005-0000-0000-000006BB0000}"/>
    <cellStyle name="Normal 3 8 19 3 2" xfId="47887" xr:uid="{00000000-0005-0000-0000-000007BB0000}"/>
    <cellStyle name="Normal 3 8 19 3 3" xfId="47888" xr:uid="{00000000-0005-0000-0000-000008BB0000}"/>
    <cellStyle name="Normal 3 8 19 4" xfId="47889" xr:uid="{00000000-0005-0000-0000-000009BB0000}"/>
    <cellStyle name="Normal 3 8 19 4 2" xfId="47890" xr:uid="{00000000-0005-0000-0000-00000ABB0000}"/>
    <cellStyle name="Normal 3 8 19 4 3" xfId="47891" xr:uid="{00000000-0005-0000-0000-00000BBB0000}"/>
    <cellStyle name="Normal 3 8 19 5" xfId="47892" xr:uid="{00000000-0005-0000-0000-00000CBB0000}"/>
    <cellStyle name="Normal 3 8 19 5 2" xfId="47893" xr:uid="{00000000-0005-0000-0000-00000DBB0000}"/>
    <cellStyle name="Normal 3 8 19 5 3" xfId="47894" xr:uid="{00000000-0005-0000-0000-00000EBB0000}"/>
    <cellStyle name="Normal 3 8 19 6" xfId="47895" xr:uid="{00000000-0005-0000-0000-00000FBB0000}"/>
    <cellStyle name="Normal 3 8 19 6 2" xfId="47896" xr:uid="{00000000-0005-0000-0000-000010BB0000}"/>
    <cellStyle name="Normal 3 8 19 6 3" xfId="47897" xr:uid="{00000000-0005-0000-0000-000011BB0000}"/>
    <cellStyle name="Normal 3 8 19 7" xfId="47898" xr:uid="{00000000-0005-0000-0000-000012BB0000}"/>
    <cellStyle name="Normal 3 8 19 7 2" xfId="47899" xr:uid="{00000000-0005-0000-0000-000013BB0000}"/>
    <cellStyle name="Normal 3 8 19 7 3" xfId="47900" xr:uid="{00000000-0005-0000-0000-000014BB0000}"/>
    <cellStyle name="Normal 3 8 19 8" xfId="47901" xr:uid="{00000000-0005-0000-0000-000015BB0000}"/>
    <cellStyle name="Normal 3 8 19 8 2" xfId="47902" xr:uid="{00000000-0005-0000-0000-000016BB0000}"/>
    <cellStyle name="Normal 3 8 19 8 3" xfId="47903" xr:uid="{00000000-0005-0000-0000-000017BB0000}"/>
    <cellStyle name="Normal 3 8 19 9" xfId="47904" xr:uid="{00000000-0005-0000-0000-000018BB0000}"/>
    <cellStyle name="Normal 3 8 19 9 2" xfId="47905" xr:uid="{00000000-0005-0000-0000-000019BB0000}"/>
    <cellStyle name="Normal 3 8 19 9 3" xfId="47906" xr:uid="{00000000-0005-0000-0000-00001ABB0000}"/>
    <cellStyle name="Normal 3 8 2" xfId="47907" xr:uid="{00000000-0005-0000-0000-00001BBB0000}"/>
    <cellStyle name="Normal 3 8 20" xfId="47908" xr:uid="{00000000-0005-0000-0000-00001CBB0000}"/>
    <cellStyle name="Normal 3 8 20 10" xfId="47909" xr:uid="{00000000-0005-0000-0000-00001DBB0000}"/>
    <cellStyle name="Normal 3 8 20 10 2" xfId="47910" xr:uid="{00000000-0005-0000-0000-00001EBB0000}"/>
    <cellStyle name="Normal 3 8 20 10 3" xfId="47911" xr:uid="{00000000-0005-0000-0000-00001FBB0000}"/>
    <cellStyle name="Normal 3 8 20 11" xfId="47912" xr:uid="{00000000-0005-0000-0000-000020BB0000}"/>
    <cellStyle name="Normal 3 8 20 11 2" xfId="47913" xr:uid="{00000000-0005-0000-0000-000021BB0000}"/>
    <cellStyle name="Normal 3 8 20 11 3" xfId="47914" xr:uid="{00000000-0005-0000-0000-000022BB0000}"/>
    <cellStyle name="Normal 3 8 20 12" xfId="47915" xr:uid="{00000000-0005-0000-0000-000023BB0000}"/>
    <cellStyle name="Normal 3 8 20 12 2" xfId="47916" xr:uid="{00000000-0005-0000-0000-000024BB0000}"/>
    <cellStyle name="Normal 3 8 20 12 3" xfId="47917" xr:uid="{00000000-0005-0000-0000-000025BB0000}"/>
    <cellStyle name="Normal 3 8 20 13" xfId="47918" xr:uid="{00000000-0005-0000-0000-000026BB0000}"/>
    <cellStyle name="Normal 3 8 20 13 2" xfId="47919" xr:uid="{00000000-0005-0000-0000-000027BB0000}"/>
    <cellStyle name="Normal 3 8 20 13 3" xfId="47920" xr:uid="{00000000-0005-0000-0000-000028BB0000}"/>
    <cellStyle name="Normal 3 8 20 14" xfId="47921" xr:uid="{00000000-0005-0000-0000-000029BB0000}"/>
    <cellStyle name="Normal 3 8 20 14 2" xfId="47922" xr:uid="{00000000-0005-0000-0000-00002ABB0000}"/>
    <cellStyle name="Normal 3 8 20 14 3" xfId="47923" xr:uid="{00000000-0005-0000-0000-00002BBB0000}"/>
    <cellStyle name="Normal 3 8 20 15" xfId="47924" xr:uid="{00000000-0005-0000-0000-00002CBB0000}"/>
    <cellStyle name="Normal 3 8 20 16" xfId="47925" xr:uid="{00000000-0005-0000-0000-00002DBB0000}"/>
    <cellStyle name="Normal 3 8 20 2" xfId="47926" xr:uid="{00000000-0005-0000-0000-00002EBB0000}"/>
    <cellStyle name="Normal 3 8 20 2 2" xfId="47927" xr:uid="{00000000-0005-0000-0000-00002FBB0000}"/>
    <cellStyle name="Normal 3 8 20 2 3" xfId="47928" xr:uid="{00000000-0005-0000-0000-000030BB0000}"/>
    <cellStyle name="Normal 3 8 20 3" xfId="47929" xr:uid="{00000000-0005-0000-0000-000031BB0000}"/>
    <cellStyle name="Normal 3 8 20 3 2" xfId="47930" xr:uid="{00000000-0005-0000-0000-000032BB0000}"/>
    <cellStyle name="Normal 3 8 20 3 3" xfId="47931" xr:uid="{00000000-0005-0000-0000-000033BB0000}"/>
    <cellStyle name="Normal 3 8 20 4" xfId="47932" xr:uid="{00000000-0005-0000-0000-000034BB0000}"/>
    <cellStyle name="Normal 3 8 20 4 2" xfId="47933" xr:uid="{00000000-0005-0000-0000-000035BB0000}"/>
    <cellStyle name="Normal 3 8 20 4 3" xfId="47934" xr:uid="{00000000-0005-0000-0000-000036BB0000}"/>
    <cellStyle name="Normal 3 8 20 5" xfId="47935" xr:uid="{00000000-0005-0000-0000-000037BB0000}"/>
    <cellStyle name="Normal 3 8 20 5 2" xfId="47936" xr:uid="{00000000-0005-0000-0000-000038BB0000}"/>
    <cellStyle name="Normal 3 8 20 5 3" xfId="47937" xr:uid="{00000000-0005-0000-0000-000039BB0000}"/>
    <cellStyle name="Normal 3 8 20 6" xfId="47938" xr:uid="{00000000-0005-0000-0000-00003ABB0000}"/>
    <cellStyle name="Normal 3 8 20 6 2" xfId="47939" xr:uid="{00000000-0005-0000-0000-00003BBB0000}"/>
    <cellStyle name="Normal 3 8 20 6 3" xfId="47940" xr:uid="{00000000-0005-0000-0000-00003CBB0000}"/>
    <cellStyle name="Normal 3 8 20 7" xfId="47941" xr:uid="{00000000-0005-0000-0000-00003DBB0000}"/>
    <cellStyle name="Normal 3 8 20 7 2" xfId="47942" xr:uid="{00000000-0005-0000-0000-00003EBB0000}"/>
    <cellStyle name="Normal 3 8 20 7 3" xfId="47943" xr:uid="{00000000-0005-0000-0000-00003FBB0000}"/>
    <cellStyle name="Normal 3 8 20 8" xfId="47944" xr:uid="{00000000-0005-0000-0000-000040BB0000}"/>
    <cellStyle name="Normal 3 8 20 8 2" xfId="47945" xr:uid="{00000000-0005-0000-0000-000041BB0000}"/>
    <cellStyle name="Normal 3 8 20 8 3" xfId="47946" xr:uid="{00000000-0005-0000-0000-000042BB0000}"/>
    <cellStyle name="Normal 3 8 20 9" xfId="47947" xr:uid="{00000000-0005-0000-0000-000043BB0000}"/>
    <cellStyle name="Normal 3 8 20 9 2" xfId="47948" xr:uid="{00000000-0005-0000-0000-000044BB0000}"/>
    <cellStyle name="Normal 3 8 20 9 3" xfId="47949" xr:uid="{00000000-0005-0000-0000-000045BB0000}"/>
    <cellStyle name="Normal 3 8 21" xfId="47950" xr:uid="{00000000-0005-0000-0000-000046BB0000}"/>
    <cellStyle name="Normal 3 8 21 10" xfId="47951" xr:uid="{00000000-0005-0000-0000-000047BB0000}"/>
    <cellStyle name="Normal 3 8 21 10 2" xfId="47952" xr:uid="{00000000-0005-0000-0000-000048BB0000}"/>
    <cellStyle name="Normal 3 8 21 10 3" xfId="47953" xr:uid="{00000000-0005-0000-0000-000049BB0000}"/>
    <cellStyle name="Normal 3 8 21 11" xfId="47954" xr:uid="{00000000-0005-0000-0000-00004ABB0000}"/>
    <cellStyle name="Normal 3 8 21 11 2" xfId="47955" xr:uid="{00000000-0005-0000-0000-00004BBB0000}"/>
    <cellStyle name="Normal 3 8 21 11 3" xfId="47956" xr:uid="{00000000-0005-0000-0000-00004CBB0000}"/>
    <cellStyle name="Normal 3 8 21 12" xfId="47957" xr:uid="{00000000-0005-0000-0000-00004DBB0000}"/>
    <cellStyle name="Normal 3 8 21 12 2" xfId="47958" xr:uid="{00000000-0005-0000-0000-00004EBB0000}"/>
    <cellStyle name="Normal 3 8 21 12 3" xfId="47959" xr:uid="{00000000-0005-0000-0000-00004FBB0000}"/>
    <cellStyle name="Normal 3 8 21 13" xfId="47960" xr:uid="{00000000-0005-0000-0000-000050BB0000}"/>
    <cellStyle name="Normal 3 8 21 13 2" xfId="47961" xr:uid="{00000000-0005-0000-0000-000051BB0000}"/>
    <cellStyle name="Normal 3 8 21 13 3" xfId="47962" xr:uid="{00000000-0005-0000-0000-000052BB0000}"/>
    <cellStyle name="Normal 3 8 21 14" xfId="47963" xr:uid="{00000000-0005-0000-0000-000053BB0000}"/>
    <cellStyle name="Normal 3 8 21 14 2" xfId="47964" xr:uid="{00000000-0005-0000-0000-000054BB0000}"/>
    <cellStyle name="Normal 3 8 21 14 3" xfId="47965" xr:uid="{00000000-0005-0000-0000-000055BB0000}"/>
    <cellStyle name="Normal 3 8 21 15" xfId="47966" xr:uid="{00000000-0005-0000-0000-000056BB0000}"/>
    <cellStyle name="Normal 3 8 21 16" xfId="47967" xr:uid="{00000000-0005-0000-0000-000057BB0000}"/>
    <cellStyle name="Normal 3 8 21 2" xfId="47968" xr:uid="{00000000-0005-0000-0000-000058BB0000}"/>
    <cellStyle name="Normal 3 8 21 2 2" xfId="47969" xr:uid="{00000000-0005-0000-0000-000059BB0000}"/>
    <cellStyle name="Normal 3 8 21 2 3" xfId="47970" xr:uid="{00000000-0005-0000-0000-00005ABB0000}"/>
    <cellStyle name="Normal 3 8 21 3" xfId="47971" xr:uid="{00000000-0005-0000-0000-00005BBB0000}"/>
    <cellStyle name="Normal 3 8 21 3 2" xfId="47972" xr:uid="{00000000-0005-0000-0000-00005CBB0000}"/>
    <cellStyle name="Normal 3 8 21 3 3" xfId="47973" xr:uid="{00000000-0005-0000-0000-00005DBB0000}"/>
    <cellStyle name="Normal 3 8 21 4" xfId="47974" xr:uid="{00000000-0005-0000-0000-00005EBB0000}"/>
    <cellStyle name="Normal 3 8 21 4 2" xfId="47975" xr:uid="{00000000-0005-0000-0000-00005FBB0000}"/>
    <cellStyle name="Normal 3 8 21 4 3" xfId="47976" xr:uid="{00000000-0005-0000-0000-000060BB0000}"/>
    <cellStyle name="Normal 3 8 21 5" xfId="47977" xr:uid="{00000000-0005-0000-0000-000061BB0000}"/>
    <cellStyle name="Normal 3 8 21 5 2" xfId="47978" xr:uid="{00000000-0005-0000-0000-000062BB0000}"/>
    <cellStyle name="Normal 3 8 21 5 3" xfId="47979" xr:uid="{00000000-0005-0000-0000-000063BB0000}"/>
    <cellStyle name="Normal 3 8 21 6" xfId="47980" xr:uid="{00000000-0005-0000-0000-000064BB0000}"/>
    <cellStyle name="Normal 3 8 21 6 2" xfId="47981" xr:uid="{00000000-0005-0000-0000-000065BB0000}"/>
    <cellStyle name="Normal 3 8 21 6 3" xfId="47982" xr:uid="{00000000-0005-0000-0000-000066BB0000}"/>
    <cellStyle name="Normal 3 8 21 7" xfId="47983" xr:uid="{00000000-0005-0000-0000-000067BB0000}"/>
    <cellStyle name="Normal 3 8 21 7 2" xfId="47984" xr:uid="{00000000-0005-0000-0000-000068BB0000}"/>
    <cellStyle name="Normal 3 8 21 7 3" xfId="47985" xr:uid="{00000000-0005-0000-0000-000069BB0000}"/>
    <cellStyle name="Normal 3 8 21 8" xfId="47986" xr:uid="{00000000-0005-0000-0000-00006ABB0000}"/>
    <cellStyle name="Normal 3 8 21 8 2" xfId="47987" xr:uid="{00000000-0005-0000-0000-00006BBB0000}"/>
    <cellStyle name="Normal 3 8 21 8 3" xfId="47988" xr:uid="{00000000-0005-0000-0000-00006CBB0000}"/>
    <cellStyle name="Normal 3 8 21 9" xfId="47989" xr:uid="{00000000-0005-0000-0000-00006DBB0000}"/>
    <cellStyle name="Normal 3 8 21 9 2" xfId="47990" xr:uid="{00000000-0005-0000-0000-00006EBB0000}"/>
    <cellStyle name="Normal 3 8 21 9 3" xfId="47991" xr:uid="{00000000-0005-0000-0000-00006FBB0000}"/>
    <cellStyle name="Normal 3 8 22" xfId="47992" xr:uid="{00000000-0005-0000-0000-000070BB0000}"/>
    <cellStyle name="Normal 3 8 22 10" xfId="47993" xr:uid="{00000000-0005-0000-0000-000071BB0000}"/>
    <cellStyle name="Normal 3 8 22 10 2" xfId="47994" xr:uid="{00000000-0005-0000-0000-000072BB0000}"/>
    <cellStyle name="Normal 3 8 22 10 3" xfId="47995" xr:uid="{00000000-0005-0000-0000-000073BB0000}"/>
    <cellStyle name="Normal 3 8 22 11" xfId="47996" xr:uid="{00000000-0005-0000-0000-000074BB0000}"/>
    <cellStyle name="Normal 3 8 22 11 2" xfId="47997" xr:uid="{00000000-0005-0000-0000-000075BB0000}"/>
    <cellStyle name="Normal 3 8 22 11 3" xfId="47998" xr:uid="{00000000-0005-0000-0000-000076BB0000}"/>
    <cellStyle name="Normal 3 8 22 12" xfId="47999" xr:uid="{00000000-0005-0000-0000-000077BB0000}"/>
    <cellStyle name="Normal 3 8 22 12 2" xfId="48000" xr:uid="{00000000-0005-0000-0000-000078BB0000}"/>
    <cellStyle name="Normal 3 8 22 12 3" xfId="48001" xr:uid="{00000000-0005-0000-0000-000079BB0000}"/>
    <cellStyle name="Normal 3 8 22 13" xfId="48002" xr:uid="{00000000-0005-0000-0000-00007ABB0000}"/>
    <cellStyle name="Normal 3 8 22 13 2" xfId="48003" xr:uid="{00000000-0005-0000-0000-00007BBB0000}"/>
    <cellStyle name="Normal 3 8 22 13 3" xfId="48004" xr:uid="{00000000-0005-0000-0000-00007CBB0000}"/>
    <cellStyle name="Normal 3 8 22 14" xfId="48005" xr:uid="{00000000-0005-0000-0000-00007DBB0000}"/>
    <cellStyle name="Normal 3 8 22 14 2" xfId="48006" xr:uid="{00000000-0005-0000-0000-00007EBB0000}"/>
    <cellStyle name="Normal 3 8 22 14 3" xfId="48007" xr:uid="{00000000-0005-0000-0000-00007FBB0000}"/>
    <cellStyle name="Normal 3 8 22 15" xfId="48008" xr:uid="{00000000-0005-0000-0000-000080BB0000}"/>
    <cellStyle name="Normal 3 8 22 16" xfId="48009" xr:uid="{00000000-0005-0000-0000-000081BB0000}"/>
    <cellStyle name="Normal 3 8 22 2" xfId="48010" xr:uid="{00000000-0005-0000-0000-000082BB0000}"/>
    <cellStyle name="Normal 3 8 22 2 2" xfId="48011" xr:uid="{00000000-0005-0000-0000-000083BB0000}"/>
    <cellStyle name="Normal 3 8 22 2 3" xfId="48012" xr:uid="{00000000-0005-0000-0000-000084BB0000}"/>
    <cellStyle name="Normal 3 8 22 3" xfId="48013" xr:uid="{00000000-0005-0000-0000-000085BB0000}"/>
    <cellStyle name="Normal 3 8 22 3 2" xfId="48014" xr:uid="{00000000-0005-0000-0000-000086BB0000}"/>
    <cellStyle name="Normal 3 8 22 3 3" xfId="48015" xr:uid="{00000000-0005-0000-0000-000087BB0000}"/>
    <cellStyle name="Normal 3 8 22 4" xfId="48016" xr:uid="{00000000-0005-0000-0000-000088BB0000}"/>
    <cellStyle name="Normal 3 8 22 4 2" xfId="48017" xr:uid="{00000000-0005-0000-0000-000089BB0000}"/>
    <cellStyle name="Normal 3 8 22 4 3" xfId="48018" xr:uid="{00000000-0005-0000-0000-00008ABB0000}"/>
    <cellStyle name="Normal 3 8 22 5" xfId="48019" xr:uid="{00000000-0005-0000-0000-00008BBB0000}"/>
    <cellStyle name="Normal 3 8 22 5 2" xfId="48020" xr:uid="{00000000-0005-0000-0000-00008CBB0000}"/>
    <cellStyle name="Normal 3 8 22 5 3" xfId="48021" xr:uid="{00000000-0005-0000-0000-00008DBB0000}"/>
    <cellStyle name="Normal 3 8 22 6" xfId="48022" xr:uid="{00000000-0005-0000-0000-00008EBB0000}"/>
    <cellStyle name="Normal 3 8 22 6 2" xfId="48023" xr:uid="{00000000-0005-0000-0000-00008FBB0000}"/>
    <cellStyle name="Normal 3 8 22 6 3" xfId="48024" xr:uid="{00000000-0005-0000-0000-000090BB0000}"/>
    <cellStyle name="Normal 3 8 22 7" xfId="48025" xr:uid="{00000000-0005-0000-0000-000091BB0000}"/>
    <cellStyle name="Normal 3 8 22 7 2" xfId="48026" xr:uid="{00000000-0005-0000-0000-000092BB0000}"/>
    <cellStyle name="Normal 3 8 22 7 3" xfId="48027" xr:uid="{00000000-0005-0000-0000-000093BB0000}"/>
    <cellStyle name="Normal 3 8 22 8" xfId="48028" xr:uid="{00000000-0005-0000-0000-000094BB0000}"/>
    <cellStyle name="Normal 3 8 22 8 2" xfId="48029" xr:uid="{00000000-0005-0000-0000-000095BB0000}"/>
    <cellStyle name="Normal 3 8 22 8 3" xfId="48030" xr:uid="{00000000-0005-0000-0000-000096BB0000}"/>
    <cellStyle name="Normal 3 8 22 9" xfId="48031" xr:uid="{00000000-0005-0000-0000-000097BB0000}"/>
    <cellStyle name="Normal 3 8 22 9 2" xfId="48032" xr:uid="{00000000-0005-0000-0000-000098BB0000}"/>
    <cellStyle name="Normal 3 8 22 9 3" xfId="48033" xr:uid="{00000000-0005-0000-0000-000099BB0000}"/>
    <cellStyle name="Normal 3 8 23" xfId="48034" xr:uid="{00000000-0005-0000-0000-00009ABB0000}"/>
    <cellStyle name="Normal 3 8 24" xfId="48035" xr:uid="{00000000-0005-0000-0000-00009BBB0000}"/>
    <cellStyle name="Normal 3 8 25" xfId="48036" xr:uid="{00000000-0005-0000-0000-00009CBB0000}"/>
    <cellStyle name="Normal 3 8 25 10" xfId="48037" xr:uid="{00000000-0005-0000-0000-00009DBB0000}"/>
    <cellStyle name="Normal 3 8 25 10 2" xfId="48038" xr:uid="{00000000-0005-0000-0000-00009EBB0000}"/>
    <cellStyle name="Normal 3 8 25 10 3" xfId="48039" xr:uid="{00000000-0005-0000-0000-00009FBB0000}"/>
    <cellStyle name="Normal 3 8 25 11" xfId="48040" xr:uid="{00000000-0005-0000-0000-0000A0BB0000}"/>
    <cellStyle name="Normal 3 8 25 11 2" xfId="48041" xr:uid="{00000000-0005-0000-0000-0000A1BB0000}"/>
    <cellStyle name="Normal 3 8 25 11 3" xfId="48042" xr:uid="{00000000-0005-0000-0000-0000A2BB0000}"/>
    <cellStyle name="Normal 3 8 25 12" xfId="48043" xr:uid="{00000000-0005-0000-0000-0000A3BB0000}"/>
    <cellStyle name="Normal 3 8 25 12 2" xfId="48044" xr:uid="{00000000-0005-0000-0000-0000A4BB0000}"/>
    <cellStyle name="Normal 3 8 25 12 3" xfId="48045" xr:uid="{00000000-0005-0000-0000-0000A5BB0000}"/>
    <cellStyle name="Normal 3 8 25 13" xfId="48046" xr:uid="{00000000-0005-0000-0000-0000A6BB0000}"/>
    <cellStyle name="Normal 3 8 25 13 2" xfId="48047" xr:uid="{00000000-0005-0000-0000-0000A7BB0000}"/>
    <cellStyle name="Normal 3 8 25 13 3" xfId="48048" xr:uid="{00000000-0005-0000-0000-0000A8BB0000}"/>
    <cellStyle name="Normal 3 8 25 14" xfId="48049" xr:uid="{00000000-0005-0000-0000-0000A9BB0000}"/>
    <cellStyle name="Normal 3 8 25 14 2" xfId="48050" xr:uid="{00000000-0005-0000-0000-0000AABB0000}"/>
    <cellStyle name="Normal 3 8 25 14 3" xfId="48051" xr:uid="{00000000-0005-0000-0000-0000ABBB0000}"/>
    <cellStyle name="Normal 3 8 25 15" xfId="48052" xr:uid="{00000000-0005-0000-0000-0000ACBB0000}"/>
    <cellStyle name="Normal 3 8 25 16" xfId="48053" xr:uid="{00000000-0005-0000-0000-0000ADBB0000}"/>
    <cellStyle name="Normal 3 8 25 2" xfId="48054" xr:uid="{00000000-0005-0000-0000-0000AEBB0000}"/>
    <cellStyle name="Normal 3 8 25 2 2" xfId="48055" xr:uid="{00000000-0005-0000-0000-0000AFBB0000}"/>
    <cellStyle name="Normal 3 8 25 2 3" xfId="48056" xr:uid="{00000000-0005-0000-0000-0000B0BB0000}"/>
    <cellStyle name="Normal 3 8 25 3" xfId="48057" xr:uid="{00000000-0005-0000-0000-0000B1BB0000}"/>
    <cellStyle name="Normal 3 8 25 3 2" xfId="48058" xr:uid="{00000000-0005-0000-0000-0000B2BB0000}"/>
    <cellStyle name="Normal 3 8 25 3 3" xfId="48059" xr:uid="{00000000-0005-0000-0000-0000B3BB0000}"/>
    <cellStyle name="Normal 3 8 25 4" xfId="48060" xr:uid="{00000000-0005-0000-0000-0000B4BB0000}"/>
    <cellStyle name="Normal 3 8 25 4 2" xfId="48061" xr:uid="{00000000-0005-0000-0000-0000B5BB0000}"/>
    <cellStyle name="Normal 3 8 25 4 3" xfId="48062" xr:uid="{00000000-0005-0000-0000-0000B6BB0000}"/>
    <cellStyle name="Normal 3 8 25 5" xfId="48063" xr:uid="{00000000-0005-0000-0000-0000B7BB0000}"/>
    <cellStyle name="Normal 3 8 25 5 2" xfId="48064" xr:uid="{00000000-0005-0000-0000-0000B8BB0000}"/>
    <cellStyle name="Normal 3 8 25 5 3" xfId="48065" xr:uid="{00000000-0005-0000-0000-0000B9BB0000}"/>
    <cellStyle name="Normal 3 8 25 6" xfId="48066" xr:uid="{00000000-0005-0000-0000-0000BABB0000}"/>
    <cellStyle name="Normal 3 8 25 6 2" xfId="48067" xr:uid="{00000000-0005-0000-0000-0000BBBB0000}"/>
    <cellStyle name="Normal 3 8 25 6 3" xfId="48068" xr:uid="{00000000-0005-0000-0000-0000BCBB0000}"/>
    <cellStyle name="Normal 3 8 25 7" xfId="48069" xr:uid="{00000000-0005-0000-0000-0000BDBB0000}"/>
    <cellStyle name="Normal 3 8 25 7 2" xfId="48070" xr:uid="{00000000-0005-0000-0000-0000BEBB0000}"/>
    <cellStyle name="Normal 3 8 25 7 3" xfId="48071" xr:uid="{00000000-0005-0000-0000-0000BFBB0000}"/>
    <cellStyle name="Normal 3 8 25 8" xfId="48072" xr:uid="{00000000-0005-0000-0000-0000C0BB0000}"/>
    <cellStyle name="Normal 3 8 25 8 2" xfId="48073" xr:uid="{00000000-0005-0000-0000-0000C1BB0000}"/>
    <cellStyle name="Normal 3 8 25 8 3" xfId="48074" xr:uid="{00000000-0005-0000-0000-0000C2BB0000}"/>
    <cellStyle name="Normal 3 8 25 9" xfId="48075" xr:uid="{00000000-0005-0000-0000-0000C3BB0000}"/>
    <cellStyle name="Normal 3 8 25 9 2" xfId="48076" xr:uid="{00000000-0005-0000-0000-0000C4BB0000}"/>
    <cellStyle name="Normal 3 8 25 9 3" xfId="48077" xr:uid="{00000000-0005-0000-0000-0000C5BB0000}"/>
    <cellStyle name="Normal 3 8 26" xfId="48078" xr:uid="{00000000-0005-0000-0000-0000C6BB0000}"/>
    <cellStyle name="Normal 3 8 26 10" xfId="48079" xr:uid="{00000000-0005-0000-0000-0000C7BB0000}"/>
    <cellStyle name="Normal 3 8 26 10 2" xfId="48080" xr:uid="{00000000-0005-0000-0000-0000C8BB0000}"/>
    <cellStyle name="Normal 3 8 26 10 3" xfId="48081" xr:uid="{00000000-0005-0000-0000-0000C9BB0000}"/>
    <cellStyle name="Normal 3 8 26 11" xfId="48082" xr:uid="{00000000-0005-0000-0000-0000CABB0000}"/>
    <cellStyle name="Normal 3 8 26 11 2" xfId="48083" xr:uid="{00000000-0005-0000-0000-0000CBBB0000}"/>
    <cellStyle name="Normal 3 8 26 11 3" xfId="48084" xr:uid="{00000000-0005-0000-0000-0000CCBB0000}"/>
    <cellStyle name="Normal 3 8 26 12" xfId="48085" xr:uid="{00000000-0005-0000-0000-0000CDBB0000}"/>
    <cellStyle name="Normal 3 8 26 12 2" xfId="48086" xr:uid="{00000000-0005-0000-0000-0000CEBB0000}"/>
    <cellStyle name="Normal 3 8 26 12 3" xfId="48087" xr:uid="{00000000-0005-0000-0000-0000CFBB0000}"/>
    <cellStyle name="Normal 3 8 26 13" xfId="48088" xr:uid="{00000000-0005-0000-0000-0000D0BB0000}"/>
    <cellStyle name="Normal 3 8 26 13 2" xfId="48089" xr:uid="{00000000-0005-0000-0000-0000D1BB0000}"/>
    <cellStyle name="Normal 3 8 26 13 3" xfId="48090" xr:uid="{00000000-0005-0000-0000-0000D2BB0000}"/>
    <cellStyle name="Normal 3 8 26 14" xfId="48091" xr:uid="{00000000-0005-0000-0000-0000D3BB0000}"/>
    <cellStyle name="Normal 3 8 26 14 2" xfId="48092" xr:uid="{00000000-0005-0000-0000-0000D4BB0000}"/>
    <cellStyle name="Normal 3 8 26 14 3" xfId="48093" xr:uid="{00000000-0005-0000-0000-0000D5BB0000}"/>
    <cellStyle name="Normal 3 8 26 15" xfId="48094" xr:uid="{00000000-0005-0000-0000-0000D6BB0000}"/>
    <cellStyle name="Normal 3 8 26 16" xfId="48095" xr:uid="{00000000-0005-0000-0000-0000D7BB0000}"/>
    <cellStyle name="Normal 3 8 26 2" xfId="48096" xr:uid="{00000000-0005-0000-0000-0000D8BB0000}"/>
    <cellStyle name="Normal 3 8 26 2 2" xfId="48097" xr:uid="{00000000-0005-0000-0000-0000D9BB0000}"/>
    <cellStyle name="Normal 3 8 26 2 3" xfId="48098" xr:uid="{00000000-0005-0000-0000-0000DABB0000}"/>
    <cellStyle name="Normal 3 8 26 3" xfId="48099" xr:uid="{00000000-0005-0000-0000-0000DBBB0000}"/>
    <cellStyle name="Normal 3 8 26 3 2" xfId="48100" xr:uid="{00000000-0005-0000-0000-0000DCBB0000}"/>
    <cellStyle name="Normal 3 8 26 3 3" xfId="48101" xr:uid="{00000000-0005-0000-0000-0000DDBB0000}"/>
    <cellStyle name="Normal 3 8 26 4" xfId="48102" xr:uid="{00000000-0005-0000-0000-0000DEBB0000}"/>
    <cellStyle name="Normal 3 8 26 4 2" xfId="48103" xr:uid="{00000000-0005-0000-0000-0000DFBB0000}"/>
    <cellStyle name="Normal 3 8 26 4 3" xfId="48104" xr:uid="{00000000-0005-0000-0000-0000E0BB0000}"/>
    <cellStyle name="Normal 3 8 26 5" xfId="48105" xr:uid="{00000000-0005-0000-0000-0000E1BB0000}"/>
    <cellStyle name="Normal 3 8 26 5 2" xfId="48106" xr:uid="{00000000-0005-0000-0000-0000E2BB0000}"/>
    <cellStyle name="Normal 3 8 26 5 3" xfId="48107" xr:uid="{00000000-0005-0000-0000-0000E3BB0000}"/>
    <cellStyle name="Normal 3 8 26 6" xfId="48108" xr:uid="{00000000-0005-0000-0000-0000E4BB0000}"/>
    <cellStyle name="Normal 3 8 26 6 2" xfId="48109" xr:uid="{00000000-0005-0000-0000-0000E5BB0000}"/>
    <cellStyle name="Normal 3 8 26 6 3" xfId="48110" xr:uid="{00000000-0005-0000-0000-0000E6BB0000}"/>
    <cellStyle name="Normal 3 8 26 7" xfId="48111" xr:uid="{00000000-0005-0000-0000-0000E7BB0000}"/>
    <cellStyle name="Normal 3 8 26 7 2" xfId="48112" xr:uid="{00000000-0005-0000-0000-0000E8BB0000}"/>
    <cellStyle name="Normal 3 8 26 7 3" xfId="48113" xr:uid="{00000000-0005-0000-0000-0000E9BB0000}"/>
    <cellStyle name="Normal 3 8 26 8" xfId="48114" xr:uid="{00000000-0005-0000-0000-0000EABB0000}"/>
    <cellStyle name="Normal 3 8 26 8 2" xfId="48115" xr:uid="{00000000-0005-0000-0000-0000EBBB0000}"/>
    <cellStyle name="Normal 3 8 26 8 3" xfId="48116" xr:uid="{00000000-0005-0000-0000-0000ECBB0000}"/>
    <cellStyle name="Normal 3 8 26 9" xfId="48117" xr:uid="{00000000-0005-0000-0000-0000EDBB0000}"/>
    <cellStyle name="Normal 3 8 26 9 2" xfId="48118" xr:uid="{00000000-0005-0000-0000-0000EEBB0000}"/>
    <cellStyle name="Normal 3 8 26 9 3" xfId="48119" xr:uid="{00000000-0005-0000-0000-0000EFBB0000}"/>
    <cellStyle name="Normal 3 8 3" xfId="48120" xr:uid="{00000000-0005-0000-0000-0000F0BB0000}"/>
    <cellStyle name="Normal 3 8 4" xfId="48121" xr:uid="{00000000-0005-0000-0000-0000F1BB0000}"/>
    <cellStyle name="Normal 3 8 5" xfId="48122" xr:uid="{00000000-0005-0000-0000-0000F2BB0000}"/>
    <cellStyle name="Normal 3 8 6" xfId="48123" xr:uid="{00000000-0005-0000-0000-0000F3BB0000}"/>
    <cellStyle name="Normal 3 8 7" xfId="48124" xr:uid="{00000000-0005-0000-0000-0000F4BB0000}"/>
    <cellStyle name="Normal 3 8 8" xfId="48125" xr:uid="{00000000-0005-0000-0000-0000F5BB0000}"/>
    <cellStyle name="Normal 3 8 9" xfId="48126" xr:uid="{00000000-0005-0000-0000-0000F6BB0000}"/>
    <cellStyle name="Normal 3 8_End-use Summary" xfId="48127" xr:uid="{00000000-0005-0000-0000-0000F7BB0000}"/>
    <cellStyle name="Normal 3 9" xfId="48128" xr:uid="{00000000-0005-0000-0000-0000F8BB0000}"/>
    <cellStyle name="Normal 3 9 10" xfId="48129" xr:uid="{00000000-0005-0000-0000-0000F9BB0000}"/>
    <cellStyle name="Normal 3 9 11" xfId="48130" xr:uid="{00000000-0005-0000-0000-0000FABB0000}"/>
    <cellStyle name="Normal 3 9 11 10" xfId="48131" xr:uid="{00000000-0005-0000-0000-0000FBBB0000}"/>
    <cellStyle name="Normal 3 9 11 10 2" xfId="48132" xr:uid="{00000000-0005-0000-0000-0000FCBB0000}"/>
    <cellStyle name="Normal 3 9 11 10 3" xfId="48133" xr:uid="{00000000-0005-0000-0000-0000FDBB0000}"/>
    <cellStyle name="Normal 3 9 11 11" xfId="48134" xr:uid="{00000000-0005-0000-0000-0000FEBB0000}"/>
    <cellStyle name="Normal 3 9 11 11 2" xfId="48135" xr:uid="{00000000-0005-0000-0000-0000FFBB0000}"/>
    <cellStyle name="Normal 3 9 11 11 3" xfId="48136" xr:uid="{00000000-0005-0000-0000-000000BC0000}"/>
    <cellStyle name="Normal 3 9 11 12" xfId="48137" xr:uid="{00000000-0005-0000-0000-000001BC0000}"/>
    <cellStyle name="Normal 3 9 11 12 2" xfId="48138" xr:uid="{00000000-0005-0000-0000-000002BC0000}"/>
    <cellStyle name="Normal 3 9 11 12 3" xfId="48139" xr:uid="{00000000-0005-0000-0000-000003BC0000}"/>
    <cellStyle name="Normal 3 9 11 13" xfId="48140" xr:uid="{00000000-0005-0000-0000-000004BC0000}"/>
    <cellStyle name="Normal 3 9 11 13 2" xfId="48141" xr:uid="{00000000-0005-0000-0000-000005BC0000}"/>
    <cellStyle name="Normal 3 9 11 13 3" xfId="48142" xr:uid="{00000000-0005-0000-0000-000006BC0000}"/>
    <cellStyle name="Normal 3 9 11 14" xfId="48143" xr:uid="{00000000-0005-0000-0000-000007BC0000}"/>
    <cellStyle name="Normal 3 9 11 14 2" xfId="48144" xr:uid="{00000000-0005-0000-0000-000008BC0000}"/>
    <cellStyle name="Normal 3 9 11 14 3" xfId="48145" xr:uid="{00000000-0005-0000-0000-000009BC0000}"/>
    <cellStyle name="Normal 3 9 11 15" xfId="48146" xr:uid="{00000000-0005-0000-0000-00000ABC0000}"/>
    <cellStyle name="Normal 3 9 11 15 2" xfId="48147" xr:uid="{00000000-0005-0000-0000-00000BBC0000}"/>
    <cellStyle name="Normal 3 9 11 15 3" xfId="48148" xr:uid="{00000000-0005-0000-0000-00000CBC0000}"/>
    <cellStyle name="Normal 3 9 11 16" xfId="48149" xr:uid="{00000000-0005-0000-0000-00000DBC0000}"/>
    <cellStyle name="Normal 3 9 11 16 2" xfId="48150" xr:uid="{00000000-0005-0000-0000-00000EBC0000}"/>
    <cellStyle name="Normal 3 9 11 16 3" xfId="48151" xr:uid="{00000000-0005-0000-0000-00000FBC0000}"/>
    <cellStyle name="Normal 3 9 11 17" xfId="48152" xr:uid="{00000000-0005-0000-0000-000010BC0000}"/>
    <cellStyle name="Normal 3 9 11 17 2" xfId="48153" xr:uid="{00000000-0005-0000-0000-000011BC0000}"/>
    <cellStyle name="Normal 3 9 11 17 3" xfId="48154" xr:uid="{00000000-0005-0000-0000-000012BC0000}"/>
    <cellStyle name="Normal 3 9 11 18" xfId="48155" xr:uid="{00000000-0005-0000-0000-000013BC0000}"/>
    <cellStyle name="Normal 3 9 11 19" xfId="48156" xr:uid="{00000000-0005-0000-0000-000014BC0000}"/>
    <cellStyle name="Normal 3 9 11 2" xfId="48157" xr:uid="{00000000-0005-0000-0000-000015BC0000}"/>
    <cellStyle name="Normal 3 9 11 3" xfId="48158" xr:uid="{00000000-0005-0000-0000-000016BC0000}"/>
    <cellStyle name="Normal 3 9 11 4" xfId="48159" xr:uid="{00000000-0005-0000-0000-000017BC0000}"/>
    <cellStyle name="Normal 3 9 11 5" xfId="48160" xr:uid="{00000000-0005-0000-0000-000018BC0000}"/>
    <cellStyle name="Normal 3 9 11 5 2" xfId="48161" xr:uid="{00000000-0005-0000-0000-000019BC0000}"/>
    <cellStyle name="Normal 3 9 11 5 3" xfId="48162" xr:uid="{00000000-0005-0000-0000-00001ABC0000}"/>
    <cellStyle name="Normal 3 9 11 6" xfId="48163" xr:uid="{00000000-0005-0000-0000-00001BBC0000}"/>
    <cellStyle name="Normal 3 9 11 6 2" xfId="48164" xr:uid="{00000000-0005-0000-0000-00001CBC0000}"/>
    <cellStyle name="Normal 3 9 11 6 3" xfId="48165" xr:uid="{00000000-0005-0000-0000-00001DBC0000}"/>
    <cellStyle name="Normal 3 9 11 7" xfId="48166" xr:uid="{00000000-0005-0000-0000-00001EBC0000}"/>
    <cellStyle name="Normal 3 9 11 7 2" xfId="48167" xr:uid="{00000000-0005-0000-0000-00001FBC0000}"/>
    <cellStyle name="Normal 3 9 11 7 3" xfId="48168" xr:uid="{00000000-0005-0000-0000-000020BC0000}"/>
    <cellStyle name="Normal 3 9 11 8" xfId="48169" xr:uid="{00000000-0005-0000-0000-000021BC0000}"/>
    <cellStyle name="Normal 3 9 11 8 2" xfId="48170" xr:uid="{00000000-0005-0000-0000-000022BC0000}"/>
    <cellStyle name="Normal 3 9 11 8 3" xfId="48171" xr:uid="{00000000-0005-0000-0000-000023BC0000}"/>
    <cellStyle name="Normal 3 9 11 9" xfId="48172" xr:uid="{00000000-0005-0000-0000-000024BC0000}"/>
    <cellStyle name="Normal 3 9 11 9 2" xfId="48173" xr:uid="{00000000-0005-0000-0000-000025BC0000}"/>
    <cellStyle name="Normal 3 9 11 9 3" xfId="48174" xr:uid="{00000000-0005-0000-0000-000026BC0000}"/>
    <cellStyle name="Normal 3 9 12" xfId="48175" xr:uid="{00000000-0005-0000-0000-000027BC0000}"/>
    <cellStyle name="Normal 3 9 13" xfId="48176" xr:uid="{00000000-0005-0000-0000-000028BC0000}"/>
    <cellStyle name="Normal 3 9 14" xfId="48177" xr:uid="{00000000-0005-0000-0000-000029BC0000}"/>
    <cellStyle name="Normal 3 9 14 10" xfId="48178" xr:uid="{00000000-0005-0000-0000-00002ABC0000}"/>
    <cellStyle name="Normal 3 9 14 10 2" xfId="48179" xr:uid="{00000000-0005-0000-0000-00002BBC0000}"/>
    <cellStyle name="Normal 3 9 14 10 3" xfId="48180" xr:uid="{00000000-0005-0000-0000-00002CBC0000}"/>
    <cellStyle name="Normal 3 9 14 11" xfId="48181" xr:uid="{00000000-0005-0000-0000-00002DBC0000}"/>
    <cellStyle name="Normal 3 9 14 11 2" xfId="48182" xr:uid="{00000000-0005-0000-0000-00002EBC0000}"/>
    <cellStyle name="Normal 3 9 14 11 3" xfId="48183" xr:uid="{00000000-0005-0000-0000-00002FBC0000}"/>
    <cellStyle name="Normal 3 9 14 12" xfId="48184" xr:uid="{00000000-0005-0000-0000-000030BC0000}"/>
    <cellStyle name="Normal 3 9 14 12 2" xfId="48185" xr:uid="{00000000-0005-0000-0000-000031BC0000}"/>
    <cellStyle name="Normal 3 9 14 12 3" xfId="48186" xr:uid="{00000000-0005-0000-0000-000032BC0000}"/>
    <cellStyle name="Normal 3 9 14 13" xfId="48187" xr:uid="{00000000-0005-0000-0000-000033BC0000}"/>
    <cellStyle name="Normal 3 9 14 13 2" xfId="48188" xr:uid="{00000000-0005-0000-0000-000034BC0000}"/>
    <cellStyle name="Normal 3 9 14 13 3" xfId="48189" xr:uid="{00000000-0005-0000-0000-000035BC0000}"/>
    <cellStyle name="Normal 3 9 14 14" xfId="48190" xr:uid="{00000000-0005-0000-0000-000036BC0000}"/>
    <cellStyle name="Normal 3 9 14 14 2" xfId="48191" xr:uid="{00000000-0005-0000-0000-000037BC0000}"/>
    <cellStyle name="Normal 3 9 14 14 3" xfId="48192" xr:uid="{00000000-0005-0000-0000-000038BC0000}"/>
    <cellStyle name="Normal 3 9 14 15" xfId="48193" xr:uid="{00000000-0005-0000-0000-000039BC0000}"/>
    <cellStyle name="Normal 3 9 14 15 2" xfId="48194" xr:uid="{00000000-0005-0000-0000-00003ABC0000}"/>
    <cellStyle name="Normal 3 9 14 15 3" xfId="48195" xr:uid="{00000000-0005-0000-0000-00003BBC0000}"/>
    <cellStyle name="Normal 3 9 14 16" xfId="48196" xr:uid="{00000000-0005-0000-0000-00003CBC0000}"/>
    <cellStyle name="Normal 3 9 14 17" xfId="48197" xr:uid="{00000000-0005-0000-0000-00003DBC0000}"/>
    <cellStyle name="Normal 3 9 14 2" xfId="48198" xr:uid="{00000000-0005-0000-0000-00003EBC0000}"/>
    <cellStyle name="Normal 3 9 14 2 10" xfId="48199" xr:uid="{00000000-0005-0000-0000-00003FBC0000}"/>
    <cellStyle name="Normal 3 9 14 2 10 2" xfId="48200" xr:uid="{00000000-0005-0000-0000-000040BC0000}"/>
    <cellStyle name="Normal 3 9 14 2 10 3" xfId="48201" xr:uid="{00000000-0005-0000-0000-000041BC0000}"/>
    <cellStyle name="Normal 3 9 14 2 11" xfId="48202" xr:uid="{00000000-0005-0000-0000-000042BC0000}"/>
    <cellStyle name="Normal 3 9 14 2 11 2" xfId="48203" xr:uid="{00000000-0005-0000-0000-000043BC0000}"/>
    <cellStyle name="Normal 3 9 14 2 11 3" xfId="48204" xr:uid="{00000000-0005-0000-0000-000044BC0000}"/>
    <cellStyle name="Normal 3 9 14 2 12" xfId="48205" xr:uid="{00000000-0005-0000-0000-000045BC0000}"/>
    <cellStyle name="Normal 3 9 14 2 12 2" xfId="48206" xr:uid="{00000000-0005-0000-0000-000046BC0000}"/>
    <cellStyle name="Normal 3 9 14 2 12 3" xfId="48207" xr:uid="{00000000-0005-0000-0000-000047BC0000}"/>
    <cellStyle name="Normal 3 9 14 2 13" xfId="48208" xr:uid="{00000000-0005-0000-0000-000048BC0000}"/>
    <cellStyle name="Normal 3 9 14 2 13 2" xfId="48209" xr:uid="{00000000-0005-0000-0000-000049BC0000}"/>
    <cellStyle name="Normal 3 9 14 2 13 3" xfId="48210" xr:uid="{00000000-0005-0000-0000-00004ABC0000}"/>
    <cellStyle name="Normal 3 9 14 2 14" xfId="48211" xr:uid="{00000000-0005-0000-0000-00004BBC0000}"/>
    <cellStyle name="Normal 3 9 14 2 14 2" xfId="48212" xr:uid="{00000000-0005-0000-0000-00004CBC0000}"/>
    <cellStyle name="Normal 3 9 14 2 14 3" xfId="48213" xr:uid="{00000000-0005-0000-0000-00004DBC0000}"/>
    <cellStyle name="Normal 3 9 14 2 15" xfId="48214" xr:uid="{00000000-0005-0000-0000-00004EBC0000}"/>
    <cellStyle name="Normal 3 9 14 2 16" xfId="48215" xr:uid="{00000000-0005-0000-0000-00004FBC0000}"/>
    <cellStyle name="Normal 3 9 14 2 2" xfId="48216" xr:uid="{00000000-0005-0000-0000-000050BC0000}"/>
    <cellStyle name="Normal 3 9 14 2 2 2" xfId="48217" xr:uid="{00000000-0005-0000-0000-000051BC0000}"/>
    <cellStyle name="Normal 3 9 14 2 2 3" xfId="48218" xr:uid="{00000000-0005-0000-0000-000052BC0000}"/>
    <cellStyle name="Normal 3 9 14 2 3" xfId="48219" xr:uid="{00000000-0005-0000-0000-000053BC0000}"/>
    <cellStyle name="Normal 3 9 14 2 3 2" xfId="48220" xr:uid="{00000000-0005-0000-0000-000054BC0000}"/>
    <cellStyle name="Normal 3 9 14 2 3 3" xfId="48221" xr:uid="{00000000-0005-0000-0000-000055BC0000}"/>
    <cellStyle name="Normal 3 9 14 2 4" xfId="48222" xr:uid="{00000000-0005-0000-0000-000056BC0000}"/>
    <cellStyle name="Normal 3 9 14 2 4 2" xfId="48223" xr:uid="{00000000-0005-0000-0000-000057BC0000}"/>
    <cellStyle name="Normal 3 9 14 2 4 3" xfId="48224" xr:uid="{00000000-0005-0000-0000-000058BC0000}"/>
    <cellStyle name="Normal 3 9 14 2 5" xfId="48225" xr:uid="{00000000-0005-0000-0000-000059BC0000}"/>
    <cellStyle name="Normal 3 9 14 2 5 2" xfId="48226" xr:uid="{00000000-0005-0000-0000-00005ABC0000}"/>
    <cellStyle name="Normal 3 9 14 2 5 3" xfId="48227" xr:uid="{00000000-0005-0000-0000-00005BBC0000}"/>
    <cellStyle name="Normal 3 9 14 2 6" xfId="48228" xr:uid="{00000000-0005-0000-0000-00005CBC0000}"/>
    <cellStyle name="Normal 3 9 14 2 6 2" xfId="48229" xr:uid="{00000000-0005-0000-0000-00005DBC0000}"/>
    <cellStyle name="Normal 3 9 14 2 6 3" xfId="48230" xr:uid="{00000000-0005-0000-0000-00005EBC0000}"/>
    <cellStyle name="Normal 3 9 14 2 7" xfId="48231" xr:uid="{00000000-0005-0000-0000-00005FBC0000}"/>
    <cellStyle name="Normal 3 9 14 2 7 2" xfId="48232" xr:uid="{00000000-0005-0000-0000-000060BC0000}"/>
    <cellStyle name="Normal 3 9 14 2 7 3" xfId="48233" xr:uid="{00000000-0005-0000-0000-000061BC0000}"/>
    <cellStyle name="Normal 3 9 14 2 8" xfId="48234" xr:uid="{00000000-0005-0000-0000-000062BC0000}"/>
    <cellStyle name="Normal 3 9 14 2 8 2" xfId="48235" xr:uid="{00000000-0005-0000-0000-000063BC0000}"/>
    <cellStyle name="Normal 3 9 14 2 8 3" xfId="48236" xr:uid="{00000000-0005-0000-0000-000064BC0000}"/>
    <cellStyle name="Normal 3 9 14 2 9" xfId="48237" xr:uid="{00000000-0005-0000-0000-000065BC0000}"/>
    <cellStyle name="Normal 3 9 14 2 9 2" xfId="48238" xr:uid="{00000000-0005-0000-0000-000066BC0000}"/>
    <cellStyle name="Normal 3 9 14 2 9 3" xfId="48239" xr:uid="{00000000-0005-0000-0000-000067BC0000}"/>
    <cellStyle name="Normal 3 9 14 3" xfId="48240" xr:uid="{00000000-0005-0000-0000-000068BC0000}"/>
    <cellStyle name="Normal 3 9 14 3 2" xfId="48241" xr:uid="{00000000-0005-0000-0000-000069BC0000}"/>
    <cellStyle name="Normal 3 9 14 3 3" xfId="48242" xr:uid="{00000000-0005-0000-0000-00006ABC0000}"/>
    <cellStyle name="Normal 3 9 14 4" xfId="48243" xr:uid="{00000000-0005-0000-0000-00006BBC0000}"/>
    <cellStyle name="Normal 3 9 14 4 2" xfId="48244" xr:uid="{00000000-0005-0000-0000-00006CBC0000}"/>
    <cellStyle name="Normal 3 9 14 4 3" xfId="48245" xr:uid="{00000000-0005-0000-0000-00006DBC0000}"/>
    <cellStyle name="Normal 3 9 14 5" xfId="48246" xr:uid="{00000000-0005-0000-0000-00006EBC0000}"/>
    <cellStyle name="Normal 3 9 14 5 2" xfId="48247" xr:uid="{00000000-0005-0000-0000-00006FBC0000}"/>
    <cellStyle name="Normal 3 9 14 5 3" xfId="48248" xr:uid="{00000000-0005-0000-0000-000070BC0000}"/>
    <cellStyle name="Normal 3 9 14 6" xfId="48249" xr:uid="{00000000-0005-0000-0000-000071BC0000}"/>
    <cellStyle name="Normal 3 9 14 6 2" xfId="48250" xr:uid="{00000000-0005-0000-0000-000072BC0000}"/>
    <cellStyle name="Normal 3 9 14 6 3" xfId="48251" xr:uid="{00000000-0005-0000-0000-000073BC0000}"/>
    <cellStyle name="Normal 3 9 14 7" xfId="48252" xr:uid="{00000000-0005-0000-0000-000074BC0000}"/>
    <cellStyle name="Normal 3 9 14 7 2" xfId="48253" xr:uid="{00000000-0005-0000-0000-000075BC0000}"/>
    <cellStyle name="Normal 3 9 14 7 3" xfId="48254" xr:uid="{00000000-0005-0000-0000-000076BC0000}"/>
    <cellStyle name="Normal 3 9 14 8" xfId="48255" xr:uid="{00000000-0005-0000-0000-000077BC0000}"/>
    <cellStyle name="Normal 3 9 14 8 2" xfId="48256" xr:uid="{00000000-0005-0000-0000-000078BC0000}"/>
    <cellStyle name="Normal 3 9 14 8 3" xfId="48257" xr:uid="{00000000-0005-0000-0000-000079BC0000}"/>
    <cellStyle name="Normal 3 9 14 9" xfId="48258" xr:uid="{00000000-0005-0000-0000-00007ABC0000}"/>
    <cellStyle name="Normal 3 9 14 9 2" xfId="48259" xr:uid="{00000000-0005-0000-0000-00007BBC0000}"/>
    <cellStyle name="Normal 3 9 14 9 3" xfId="48260" xr:uid="{00000000-0005-0000-0000-00007CBC0000}"/>
    <cellStyle name="Normal 3 9 15" xfId="48261" xr:uid="{00000000-0005-0000-0000-00007DBC0000}"/>
    <cellStyle name="Normal 3 9 15 10" xfId="48262" xr:uid="{00000000-0005-0000-0000-00007EBC0000}"/>
    <cellStyle name="Normal 3 9 15 10 2" xfId="48263" xr:uid="{00000000-0005-0000-0000-00007FBC0000}"/>
    <cellStyle name="Normal 3 9 15 10 3" xfId="48264" xr:uid="{00000000-0005-0000-0000-000080BC0000}"/>
    <cellStyle name="Normal 3 9 15 11" xfId="48265" xr:uid="{00000000-0005-0000-0000-000081BC0000}"/>
    <cellStyle name="Normal 3 9 15 11 2" xfId="48266" xr:uid="{00000000-0005-0000-0000-000082BC0000}"/>
    <cellStyle name="Normal 3 9 15 11 3" xfId="48267" xr:uid="{00000000-0005-0000-0000-000083BC0000}"/>
    <cellStyle name="Normal 3 9 15 12" xfId="48268" xr:uid="{00000000-0005-0000-0000-000084BC0000}"/>
    <cellStyle name="Normal 3 9 15 12 2" xfId="48269" xr:uid="{00000000-0005-0000-0000-000085BC0000}"/>
    <cellStyle name="Normal 3 9 15 12 3" xfId="48270" xr:uid="{00000000-0005-0000-0000-000086BC0000}"/>
    <cellStyle name="Normal 3 9 15 13" xfId="48271" xr:uid="{00000000-0005-0000-0000-000087BC0000}"/>
    <cellStyle name="Normal 3 9 15 13 2" xfId="48272" xr:uid="{00000000-0005-0000-0000-000088BC0000}"/>
    <cellStyle name="Normal 3 9 15 13 3" xfId="48273" xr:uid="{00000000-0005-0000-0000-000089BC0000}"/>
    <cellStyle name="Normal 3 9 15 14" xfId="48274" xr:uid="{00000000-0005-0000-0000-00008ABC0000}"/>
    <cellStyle name="Normal 3 9 15 14 2" xfId="48275" xr:uid="{00000000-0005-0000-0000-00008BBC0000}"/>
    <cellStyle name="Normal 3 9 15 14 3" xfId="48276" xr:uid="{00000000-0005-0000-0000-00008CBC0000}"/>
    <cellStyle name="Normal 3 9 15 15" xfId="48277" xr:uid="{00000000-0005-0000-0000-00008DBC0000}"/>
    <cellStyle name="Normal 3 9 15 15 2" xfId="48278" xr:uid="{00000000-0005-0000-0000-00008EBC0000}"/>
    <cellStyle name="Normal 3 9 15 15 3" xfId="48279" xr:uid="{00000000-0005-0000-0000-00008FBC0000}"/>
    <cellStyle name="Normal 3 9 15 16" xfId="48280" xr:uid="{00000000-0005-0000-0000-000090BC0000}"/>
    <cellStyle name="Normal 3 9 15 17" xfId="48281" xr:uid="{00000000-0005-0000-0000-000091BC0000}"/>
    <cellStyle name="Normal 3 9 15 2" xfId="48282" xr:uid="{00000000-0005-0000-0000-000092BC0000}"/>
    <cellStyle name="Normal 3 9 15 2 10" xfId="48283" xr:uid="{00000000-0005-0000-0000-000093BC0000}"/>
    <cellStyle name="Normal 3 9 15 2 10 2" xfId="48284" xr:uid="{00000000-0005-0000-0000-000094BC0000}"/>
    <cellStyle name="Normal 3 9 15 2 10 3" xfId="48285" xr:uid="{00000000-0005-0000-0000-000095BC0000}"/>
    <cellStyle name="Normal 3 9 15 2 11" xfId="48286" xr:uid="{00000000-0005-0000-0000-000096BC0000}"/>
    <cellStyle name="Normal 3 9 15 2 11 2" xfId="48287" xr:uid="{00000000-0005-0000-0000-000097BC0000}"/>
    <cellStyle name="Normal 3 9 15 2 11 3" xfId="48288" xr:uid="{00000000-0005-0000-0000-000098BC0000}"/>
    <cellStyle name="Normal 3 9 15 2 12" xfId="48289" xr:uid="{00000000-0005-0000-0000-000099BC0000}"/>
    <cellStyle name="Normal 3 9 15 2 12 2" xfId="48290" xr:uid="{00000000-0005-0000-0000-00009ABC0000}"/>
    <cellStyle name="Normal 3 9 15 2 12 3" xfId="48291" xr:uid="{00000000-0005-0000-0000-00009BBC0000}"/>
    <cellStyle name="Normal 3 9 15 2 13" xfId="48292" xr:uid="{00000000-0005-0000-0000-00009CBC0000}"/>
    <cellStyle name="Normal 3 9 15 2 13 2" xfId="48293" xr:uid="{00000000-0005-0000-0000-00009DBC0000}"/>
    <cellStyle name="Normal 3 9 15 2 13 3" xfId="48294" xr:uid="{00000000-0005-0000-0000-00009EBC0000}"/>
    <cellStyle name="Normal 3 9 15 2 14" xfId="48295" xr:uid="{00000000-0005-0000-0000-00009FBC0000}"/>
    <cellStyle name="Normal 3 9 15 2 14 2" xfId="48296" xr:uid="{00000000-0005-0000-0000-0000A0BC0000}"/>
    <cellStyle name="Normal 3 9 15 2 14 3" xfId="48297" xr:uid="{00000000-0005-0000-0000-0000A1BC0000}"/>
    <cellStyle name="Normal 3 9 15 2 15" xfId="48298" xr:uid="{00000000-0005-0000-0000-0000A2BC0000}"/>
    <cellStyle name="Normal 3 9 15 2 16" xfId="48299" xr:uid="{00000000-0005-0000-0000-0000A3BC0000}"/>
    <cellStyle name="Normal 3 9 15 2 2" xfId="48300" xr:uid="{00000000-0005-0000-0000-0000A4BC0000}"/>
    <cellStyle name="Normal 3 9 15 2 2 2" xfId="48301" xr:uid="{00000000-0005-0000-0000-0000A5BC0000}"/>
    <cellStyle name="Normal 3 9 15 2 2 3" xfId="48302" xr:uid="{00000000-0005-0000-0000-0000A6BC0000}"/>
    <cellStyle name="Normal 3 9 15 2 3" xfId="48303" xr:uid="{00000000-0005-0000-0000-0000A7BC0000}"/>
    <cellStyle name="Normal 3 9 15 2 3 2" xfId="48304" xr:uid="{00000000-0005-0000-0000-0000A8BC0000}"/>
    <cellStyle name="Normal 3 9 15 2 3 3" xfId="48305" xr:uid="{00000000-0005-0000-0000-0000A9BC0000}"/>
    <cellStyle name="Normal 3 9 15 2 4" xfId="48306" xr:uid="{00000000-0005-0000-0000-0000AABC0000}"/>
    <cellStyle name="Normal 3 9 15 2 4 2" xfId="48307" xr:uid="{00000000-0005-0000-0000-0000ABBC0000}"/>
    <cellStyle name="Normal 3 9 15 2 4 3" xfId="48308" xr:uid="{00000000-0005-0000-0000-0000ACBC0000}"/>
    <cellStyle name="Normal 3 9 15 2 5" xfId="48309" xr:uid="{00000000-0005-0000-0000-0000ADBC0000}"/>
    <cellStyle name="Normal 3 9 15 2 5 2" xfId="48310" xr:uid="{00000000-0005-0000-0000-0000AEBC0000}"/>
    <cellStyle name="Normal 3 9 15 2 5 3" xfId="48311" xr:uid="{00000000-0005-0000-0000-0000AFBC0000}"/>
    <cellStyle name="Normal 3 9 15 2 6" xfId="48312" xr:uid="{00000000-0005-0000-0000-0000B0BC0000}"/>
    <cellStyle name="Normal 3 9 15 2 6 2" xfId="48313" xr:uid="{00000000-0005-0000-0000-0000B1BC0000}"/>
    <cellStyle name="Normal 3 9 15 2 6 3" xfId="48314" xr:uid="{00000000-0005-0000-0000-0000B2BC0000}"/>
    <cellStyle name="Normal 3 9 15 2 7" xfId="48315" xr:uid="{00000000-0005-0000-0000-0000B3BC0000}"/>
    <cellStyle name="Normal 3 9 15 2 7 2" xfId="48316" xr:uid="{00000000-0005-0000-0000-0000B4BC0000}"/>
    <cellStyle name="Normal 3 9 15 2 7 3" xfId="48317" xr:uid="{00000000-0005-0000-0000-0000B5BC0000}"/>
    <cellStyle name="Normal 3 9 15 2 8" xfId="48318" xr:uid="{00000000-0005-0000-0000-0000B6BC0000}"/>
    <cellStyle name="Normal 3 9 15 2 8 2" xfId="48319" xr:uid="{00000000-0005-0000-0000-0000B7BC0000}"/>
    <cellStyle name="Normal 3 9 15 2 8 3" xfId="48320" xr:uid="{00000000-0005-0000-0000-0000B8BC0000}"/>
    <cellStyle name="Normal 3 9 15 2 9" xfId="48321" xr:uid="{00000000-0005-0000-0000-0000B9BC0000}"/>
    <cellStyle name="Normal 3 9 15 2 9 2" xfId="48322" xr:uid="{00000000-0005-0000-0000-0000BABC0000}"/>
    <cellStyle name="Normal 3 9 15 2 9 3" xfId="48323" xr:uid="{00000000-0005-0000-0000-0000BBBC0000}"/>
    <cellStyle name="Normal 3 9 15 3" xfId="48324" xr:uid="{00000000-0005-0000-0000-0000BCBC0000}"/>
    <cellStyle name="Normal 3 9 15 3 2" xfId="48325" xr:uid="{00000000-0005-0000-0000-0000BDBC0000}"/>
    <cellStyle name="Normal 3 9 15 3 3" xfId="48326" xr:uid="{00000000-0005-0000-0000-0000BEBC0000}"/>
    <cellStyle name="Normal 3 9 15 4" xfId="48327" xr:uid="{00000000-0005-0000-0000-0000BFBC0000}"/>
    <cellStyle name="Normal 3 9 15 4 2" xfId="48328" xr:uid="{00000000-0005-0000-0000-0000C0BC0000}"/>
    <cellStyle name="Normal 3 9 15 4 3" xfId="48329" xr:uid="{00000000-0005-0000-0000-0000C1BC0000}"/>
    <cellStyle name="Normal 3 9 15 5" xfId="48330" xr:uid="{00000000-0005-0000-0000-0000C2BC0000}"/>
    <cellStyle name="Normal 3 9 15 5 2" xfId="48331" xr:uid="{00000000-0005-0000-0000-0000C3BC0000}"/>
    <cellStyle name="Normal 3 9 15 5 3" xfId="48332" xr:uid="{00000000-0005-0000-0000-0000C4BC0000}"/>
    <cellStyle name="Normal 3 9 15 6" xfId="48333" xr:uid="{00000000-0005-0000-0000-0000C5BC0000}"/>
    <cellStyle name="Normal 3 9 15 6 2" xfId="48334" xr:uid="{00000000-0005-0000-0000-0000C6BC0000}"/>
    <cellStyle name="Normal 3 9 15 6 3" xfId="48335" xr:uid="{00000000-0005-0000-0000-0000C7BC0000}"/>
    <cellStyle name="Normal 3 9 15 7" xfId="48336" xr:uid="{00000000-0005-0000-0000-0000C8BC0000}"/>
    <cellStyle name="Normal 3 9 15 7 2" xfId="48337" xr:uid="{00000000-0005-0000-0000-0000C9BC0000}"/>
    <cellStyle name="Normal 3 9 15 7 3" xfId="48338" xr:uid="{00000000-0005-0000-0000-0000CABC0000}"/>
    <cellStyle name="Normal 3 9 15 8" xfId="48339" xr:uid="{00000000-0005-0000-0000-0000CBBC0000}"/>
    <cellStyle name="Normal 3 9 15 8 2" xfId="48340" xr:uid="{00000000-0005-0000-0000-0000CCBC0000}"/>
    <cellStyle name="Normal 3 9 15 8 3" xfId="48341" xr:uid="{00000000-0005-0000-0000-0000CDBC0000}"/>
    <cellStyle name="Normal 3 9 15 9" xfId="48342" xr:uid="{00000000-0005-0000-0000-0000CEBC0000}"/>
    <cellStyle name="Normal 3 9 15 9 2" xfId="48343" xr:uid="{00000000-0005-0000-0000-0000CFBC0000}"/>
    <cellStyle name="Normal 3 9 15 9 3" xfId="48344" xr:uid="{00000000-0005-0000-0000-0000D0BC0000}"/>
    <cellStyle name="Normal 3 9 16" xfId="48345" xr:uid="{00000000-0005-0000-0000-0000D1BC0000}"/>
    <cellStyle name="Normal 3 9 16 10" xfId="48346" xr:uid="{00000000-0005-0000-0000-0000D2BC0000}"/>
    <cellStyle name="Normal 3 9 16 10 2" xfId="48347" xr:uid="{00000000-0005-0000-0000-0000D3BC0000}"/>
    <cellStyle name="Normal 3 9 16 10 3" xfId="48348" xr:uid="{00000000-0005-0000-0000-0000D4BC0000}"/>
    <cellStyle name="Normal 3 9 16 11" xfId="48349" xr:uid="{00000000-0005-0000-0000-0000D5BC0000}"/>
    <cellStyle name="Normal 3 9 16 11 2" xfId="48350" xr:uid="{00000000-0005-0000-0000-0000D6BC0000}"/>
    <cellStyle name="Normal 3 9 16 11 3" xfId="48351" xr:uid="{00000000-0005-0000-0000-0000D7BC0000}"/>
    <cellStyle name="Normal 3 9 16 12" xfId="48352" xr:uid="{00000000-0005-0000-0000-0000D8BC0000}"/>
    <cellStyle name="Normal 3 9 16 12 2" xfId="48353" xr:uid="{00000000-0005-0000-0000-0000D9BC0000}"/>
    <cellStyle name="Normal 3 9 16 12 3" xfId="48354" xr:uid="{00000000-0005-0000-0000-0000DABC0000}"/>
    <cellStyle name="Normal 3 9 16 13" xfId="48355" xr:uid="{00000000-0005-0000-0000-0000DBBC0000}"/>
    <cellStyle name="Normal 3 9 16 13 2" xfId="48356" xr:uid="{00000000-0005-0000-0000-0000DCBC0000}"/>
    <cellStyle name="Normal 3 9 16 13 3" xfId="48357" xr:uid="{00000000-0005-0000-0000-0000DDBC0000}"/>
    <cellStyle name="Normal 3 9 16 14" xfId="48358" xr:uid="{00000000-0005-0000-0000-0000DEBC0000}"/>
    <cellStyle name="Normal 3 9 16 14 2" xfId="48359" xr:uid="{00000000-0005-0000-0000-0000DFBC0000}"/>
    <cellStyle name="Normal 3 9 16 14 3" xfId="48360" xr:uid="{00000000-0005-0000-0000-0000E0BC0000}"/>
    <cellStyle name="Normal 3 9 16 15" xfId="48361" xr:uid="{00000000-0005-0000-0000-0000E1BC0000}"/>
    <cellStyle name="Normal 3 9 16 15 2" xfId="48362" xr:uid="{00000000-0005-0000-0000-0000E2BC0000}"/>
    <cellStyle name="Normal 3 9 16 15 3" xfId="48363" xr:uid="{00000000-0005-0000-0000-0000E3BC0000}"/>
    <cellStyle name="Normal 3 9 16 16" xfId="48364" xr:uid="{00000000-0005-0000-0000-0000E4BC0000}"/>
    <cellStyle name="Normal 3 9 16 17" xfId="48365" xr:uid="{00000000-0005-0000-0000-0000E5BC0000}"/>
    <cellStyle name="Normal 3 9 16 2" xfId="48366" xr:uid="{00000000-0005-0000-0000-0000E6BC0000}"/>
    <cellStyle name="Normal 3 9 16 2 10" xfId="48367" xr:uid="{00000000-0005-0000-0000-0000E7BC0000}"/>
    <cellStyle name="Normal 3 9 16 2 10 2" xfId="48368" xr:uid="{00000000-0005-0000-0000-0000E8BC0000}"/>
    <cellStyle name="Normal 3 9 16 2 10 3" xfId="48369" xr:uid="{00000000-0005-0000-0000-0000E9BC0000}"/>
    <cellStyle name="Normal 3 9 16 2 11" xfId="48370" xr:uid="{00000000-0005-0000-0000-0000EABC0000}"/>
    <cellStyle name="Normal 3 9 16 2 11 2" xfId="48371" xr:uid="{00000000-0005-0000-0000-0000EBBC0000}"/>
    <cellStyle name="Normal 3 9 16 2 11 3" xfId="48372" xr:uid="{00000000-0005-0000-0000-0000ECBC0000}"/>
    <cellStyle name="Normal 3 9 16 2 12" xfId="48373" xr:uid="{00000000-0005-0000-0000-0000EDBC0000}"/>
    <cellStyle name="Normal 3 9 16 2 12 2" xfId="48374" xr:uid="{00000000-0005-0000-0000-0000EEBC0000}"/>
    <cellStyle name="Normal 3 9 16 2 12 3" xfId="48375" xr:uid="{00000000-0005-0000-0000-0000EFBC0000}"/>
    <cellStyle name="Normal 3 9 16 2 13" xfId="48376" xr:uid="{00000000-0005-0000-0000-0000F0BC0000}"/>
    <cellStyle name="Normal 3 9 16 2 13 2" xfId="48377" xr:uid="{00000000-0005-0000-0000-0000F1BC0000}"/>
    <cellStyle name="Normal 3 9 16 2 13 3" xfId="48378" xr:uid="{00000000-0005-0000-0000-0000F2BC0000}"/>
    <cellStyle name="Normal 3 9 16 2 14" xfId="48379" xr:uid="{00000000-0005-0000-0000-0000F3BC0000}"/>
    <cellStyle name="Normal 3 9 16 2 14 2" xfId="48380" xr:uid="{00000000-0005-0000-0000-0000F4BC0000}"/>
    <cellStyle name="Normal 3 9 16 2 14 3" xfId="48381" xr:uid="{00000000-0005-0000-0000-0000F5BC0000}"/>
    <cellStyle name="Normal 3 9 16 2 15" xfId="48382" xr:uid="{00000000-0005-0000-0000-0000F6BC0000}"/>
    <cellStyle name="Normal 3 9 16 2 16" xfId="48383" xr:uid="{00000000-0005-0000-0000-0000F7BC0000}"/>
    <cellStyle name="Normal 3 9 16 2 2" xfId="48384" xr:uid="{00000000-0005-0000-0000-0000F8BC0000}"/>
    <cellStyle name="Normal 3 9 16 2 2 2" xfId="48385" xr:uid="{00000000-0005-0000-0000-0000F9BC0000}"/>
    <cellStyle name="Normal 3 9 16 2 2 3" xfId="48386" xr:uid="{00000000-0005-0000-0000-0000FABC0000}"/>
    <cellStyle name="Normal 3 9 16 2 3" xfId="48387" xr:uid="{00000000-0005-0000-0000-0000FBBC0000}"/>
    <cellStyle name="Normal 3 9 16 2 3 2" xfId="48388" xr:uid="{00000000-0005-0000-0000-0000FCBC0000}"/>
    <cellStyle name="Normal 3 9 16 2 3 3" xfId="48389" xr:uid="{00000000-0005-0000-0000-0000FDBC0000}"/>
    <cellStyle name="Normal 3 9 16 2 4" xfId="48390" xr:uid="{00000000-0005-0000-0000-0000FEBC0000}"/>
    <cellStyle name="Normal 3 9 16 2 4 2" xfId="48391" xr:uid="{00000000-0005-0000-0000-0000FFBC0000}"/>
    <cellStyle name="Normal 3 9 16 2 4 3" xfId="48392" xr:uid="{00000000-0005-0000-0000-000000BD0000}"/>
    <cellStyle name="Normal 3 9 16 2 5" xfId="48393" xr:uid="{00000000-0005-0000-0000-000001BD0000}"/>
    <cellStyle name="Normal 3 9 16 2 5 2" xfId="48394" xr:uid="{00000000-0005-0000-0000-000002BD0000}"/>
    <cellStyle name="Normal 3 9 16 2 5 3" xfId="48395" xr:uid="{00000000-0005-0000-0000-000003BD0000}"/>
    <cellStyle name="Normal 3 9 16 2 6" xfId="48396" xr:uid="{00000000-0005-0000-0000-000004BD0000}"/>
    <cellStyle name="Normal 3 9 16 2 6 2" xfId="48397" xr:uid="{00000000-0005-0000-0000-000005BD0000}"/>
    <cellStyle name="Normal 3 9 16 2 6 3" xfId="48398" xr:uid="{00000000-0005-0000-0000-000006BD0000}"/>
    <cellStyle name="Normal 3 9 16 2 7" xfId="48399" xr:uid="{00000000-0005-0000-0000-000007BD0000}"/>
    <cellStyle name="Normal 3 9 16 2 7 2" xfId="48400" xr:uid="{00000000-0005-0000-0000-000008BD0000}"/>
    <cellStyle name="Normal 3 9 16 2 7 3" xfId="48401" xr:uid="{00000000-0005-0000-0000-000009BD0000}"/>
    <cellStyle name="Normal 3 9 16 2 8" xfId="48402" xr:uid="{00000000-0005-0000-0000-00000ABD0000}"/>
    <cellStyle name="Normal 3 9 16 2 8 2" xfId="48403" xr:uid="{00000000-0005-0000-0000-00000BBD0000}"/>
    <cellStyle name="Normal 3 9 16 2 8 3" xfId="48404" xr:uid="{00000000-0005-0000-0000-00000CBD0000}"/>
    <cellStyle name="Normal 3 9 16 2 9" xfId="48405" xr:uid="{00000000-0005-0000-0000-00000DBD0000}"/>
    <cellStyle name="Normal 3 9 16 2 9 2" xfId="48406" xr:uid="{00000000-0005-0000-0000-00000EBD0000}"/>
    <cellStyle name="Normal 3 9 16 2 9 3" xfId="48407" xr:uid="{00000000-0005-0000-0000-00000FBD0000}"/>
    <cellStyle name="Normal 3 9 16 3" xfId="48408" xr:uid="{00000000-0005-0000-0000-000010BD0000}"/>
    <cellStyle name="Normal 3 9 16 3 2" xfId="48409" xr:uid="{00000000-0005-0000-0000-000011BD0000}"/>
    <cellStyle name="Normal 3 9 16 3 3" xfId="48410" xr:uid="{00000000-0005-0000-0000-000012BD0000}"/>
    <cellStyle name="Normal 3 9 16 4" xfId="48411" xr:uid="{00000000-0005-0000-0000-000013BD0000}"/>
    <cellStyle name="Normal 3 9 16 4 2" xfId="48412" xr:uid="{00000000-0005-0000-0000-000014BD0000}"/>
    <cellStyle name="Normal 3 9 16 4 3" xfId="48413" xr:uid="{00000000-0005-0000-0000-000015BD0000}"/>
    <cellStyle name="Normal 3 9 16 5" xfId="48414" xr:uid="{00000000-0005-0000-0000-000016BD0000}"/>
    <cellStyle name="Normal 3 9 16 5 2" xfId="48415" xr:uid="{00000000-0005-0000-0000-000017BD0000}"/>
    <cellStyle name="Normal 3 9 16 5 3" xfId="48416" xr:uid="{00000000-0005-0000-0000-000018BD0000}"/>
    <cellStyle name="Normal 3 9 16 6" xfId="48417" xr:uid="{00000000-0005-0000-0000-000019BD0000}"/>
    <cellStyle name="Normal 3 9 16 6 2" xfId="48418" xr:uid="{00000000-0005-0000-0000-00001ABD0000}"/>
    <cellStyle name="Normal 3 9 16 6 3" xfId="48419" xr:uid="{00000000-0005-0000-0000-00001BBD0000}"/>
    <cellStyle name="Normal 3 9 16 7" xfId="48420" xr:uid="{00000000-0005-0000-0000-00001CBD0000}"/>
    <cellStyle name="Normal 3 9 16 7 2" xfId="48421" xr:uid="{00000000-0005-0000-0000-00001DBD0000}"/>
    <cellStyle name="Normal 3 9 16 7 3" xfId="48422" xr:uid="{00000000-0005-0000-0000-00001EBD0000}"/>
    <cellStyle name="Normal 3 9 16 8" xfId="48423" xr:uid="{00000000-0005-0000-0000-00001FBD0000}"/>
    <cellStyle name="Normal 3 9 16 8 2" xfId="48424" xr:uid="{00000000-0005-0000-0000-000020BD0000}"/>
    <cellStyle name="Normal 3 9 16 8 3" xfId="48425" xr:uid="{00000000-0005-0000-0000-000021BD0000}"/>
    <cellStyle name="Normal 3 9 16 9" xfId="48426" xr:uid="{00000000-0005-0000-0000-000022BD0000}"/>
    <cellStyle name="Normal 3 9 16 9 2" xfId="48427" xr:uid="{00000000-0005-0000-0000-000023BD0000}"/>
    <cellStyle name="Normal 3 9 16 9 3" xfId="48428" xr:uid="{00000000-0005-0000-0000-000024BD0000}"/>
    <cellStyle name="Normal 3 9 17" xfId="48429" xr:uid="{00000000-0005-0000-0000-000025BD0000}"/>
    <cellStyle name="Normal 3 9 17 10" xfId="48430" xr:uid="{00000000-0005-0000-0000-000026BD0000}"/>
    <cellStyle name="Normal 3 9 17 10 2" xfId="48431" xr:uid="{00000000-0005-0000-0000-000027BD0000}"/>
    <cellStyle name="Normal 3 9 17 10 3" xfId="48432" xr:uid="{00000000-0005-0000-0000-000028BD0000}"/>
    <cellStyle name="Normal 3 9 17 11" xfId="48433" xr:uid="{00000000-0005-0000-0000-000029BD0000}"/>
    <cellStyle name="Normal 3 9 17 11 2" xfId="48434" xr:uid="{00000000-0005-0000-0000-00002ABD0000}"/>
    <cellStyle name="Normal 3 9 17 11 3" xfId="48435" xr:uid="{00000000-0005-0000-0000-00002BBD0000}"/>
    <cellStyle name="Normal 3 9 17 12" xfId="48436" xr:uid="{00000000-0005-0000-0000-00002CBD0000}"/>
    <cellStyle name="Normal 3 9 17 12 2" xfId="48437" xr:uid="{00000000-0005-0000-0000-00002DBD0000}"/>
    <cellStyle name="Normal 3 9 17 12 3" xfId="48438" xr:uid="{00000000-0005-0000-0000-00002EBD0000}"/>
    <cellStyle name="Normal 3 9 17 13" xfId="48439" xr:uid="{00000000-0005-0000-0000-00002FBD0000}"/>
    <cellStyle name="Normal 3 9 17 13 2" xfId="48440" xr:uid="{00000000-0005-0000-0000-000030BD0000}"/>
    <cellStyle name="Normal 3 9 17 13 3" xfId="48441" xr:uid="{00000000-0005-0000-0000-000031BD0000}"/>
    <cellStyle name="Normal 3 9 17 14" xfId="48442" xr:uid="{00000000-0005-0000-0000-000032BD0000}"/>
    <cellStyle name="Normal 3 9 17 14 2" xfId="48443" xr:uid="{00000000-0005-0000-0000-000033BD0000}"/>
    <cellStyle name="Normal 3 9 17 14 3" xfId="48444" xr:uid="{00000000-0005-0000-0000-000034BD0000}"/>
    <cellStyle name="Normal 3 9 17 15" xfId="48445" xr:uid="{00000000-0005-0000-0000-000035BD0000}"/>
    <cellStyle name="Normal 3 9 17 16" xfId="48446" xr:uid="{00000000-0005-0000-0000-000036BD0000}"/>
    <cellStyle name="Normal 3 9 17 2" xfId="48447" xr:uid="{00000000-0005-0000-0000-000037BD0000}"/>
    <cellStyle name="Normal 3 9 17 2 2" xfId="48448" xr:uid="{00000000-0005-0000-0000-000038BD0000}"/>
    <cellStyle name="Normal 3 9 17 2 3" xfId="48449" xr:uid="{00000000-0005-0000-0000-000039BD0000}"/>
    <cellStyle name="Normal 3 9 17 3" xfId="48450" xr:uid="{00000000-0005-0000-0000-00003ABD0000}"/>
    <cellStyle name="Normal 3 9 17 3 2" xfId="48451" xr:uid="{00000000-0005-0000-0000-00003BBD0000}"/>
    <cellStyle name="Normal 3 9 17 3 3" xfId="48452" xr:uid="{00000000-0005-0000-0000-00003CBD0000}"/>
    <cellStyle name="Normal 3 9 17 4" xfId="48453" xr:uid="{00000000-0005-0000-0000-00003DBD0000}"/>
    <cellStyle name="Normal 3 9 17 4 2" xfId="48454" xr:uid="{00000000-0005-0000-0000-00003EBD0000}"/>
    <cellStyle name="Normal 3 9 17 4 3" xfId="48455" xr:uid="{00000000-0005-0000-0000-00003FBD0000}"/>
    <cellStyle name="Normal 3 9 17 5" xfId="48456" xr:uid="{00000000-0005-0000-0000-000040BD0000}"/>
    <cellStyle name="Normal 3 9 17 5 2" xfId="48457" xr:uid="{00000000-0005-0000-0000-000041BD0000}"/>
    <cellStyle name="Normal 3 9 17 5 3" xfId="48458" xr:uid="{00000000-0005-0000-0000-000042BD0000}"/>
    <cellStyle name="Normal 3 9 17 6" xfId="48459" xr:uid="{00000000-0005-0000-0000-000043BD0000}"/>
    <cellStyle name="Normal 3 9 17 6 2" xfId="48460" xr:uid="{00000000-0005-0000-0000-000044BD0000}"/>
    <cellStyle name="Normal 3 9 17 6 3" xfId="48461" xr:uid="{00000000-0005-0000-0000-000045BD0000}"/>
    <cellStyle name="Normal 3 9 17 7" xfId="48462" xr:uid="{00000000-0005-0000-0000-000046BD0000}"/>
    <cellStyle name="Normal 3 9 17 7 2" xfId="48463" xr:uid="{00000000-0005-0000-0000-000047BD0000}"/>
    <cellStyle name="Normal 3 9 17 7 3" xfId="48464" xr:uid="{00000000-0005-0000-0000-000048BD0000}"/>
    <cellStyle name="Normal 3 9 17 8" xfId="48465" xr:uid="{00000000-0005-0000-0000-000049BD0000}"/>
    <cellStyle name="Normal 3 9 17 8 2" xfId="48466" xr:uid="{00000000-0005-0000-0000-00004ABD0000}"/>
    <cellStyle name="Normal 3 9 17 8 3" xfId="48467" xr:uid="{00000000-0005-0000-0000-00004BBD0000}"/>
    <cellStyle name="Normal 3 9 17 9" xfId="48468" xr:uid="{00000000-0005-0000-0000-00004CBD0000}"/>
    <cellStyle name="Normal 3 9 17 9 2" xfId="48469" xr:uid="{00000000-0005-0000-0000-00004DBD0000}"/>
    <cellStyle name="Normal 3 9 17 9 3" xfId="48470" xr:uid="{00000000-0005-0000-0000-00004EBD0000}"/>
    <cellStyle name="Normal 3 9 18" xfId="48471" xr:uid="{00000000-0005-0000-0000-00004FBD0000}"/>
    <cellStyle name="Normal 3 9 18 10" xfId="48472" xr:uid="{00000000-0005-0000-0000-000050BD0000}"/>
    <cellStyle name="Normal 3 9 18 10 2" xfId="48473" xr:uid="{00000000-0005-0000-0000-000051BD0000}"/>
    <cellStyle name="Normal 3 9 18 10 3" xfId="48474" xr:uid="{00000000-0005-0000-0000-000052BD0000}"/>
    <cellStyle name="Normal 3 9 18 11" xfId="48475" xr:uid="{00000000-0005-0000-0000-000053BD0000}"/>
    <cellStyle name="Normal 3 9 18 11 2" xfId="48476" xr:uid="{00000000-0005-0000-0000-000054BD0000}"/>
    <cellStyle name="Normal 3 9 18 11 3" xfId="48477" xr:uid="{00000000-0005-0000-0000-000055BD0000}"/>
    <cellStyle name="Normal 3 9 18 12" xfId="48478" xr:uid="{00000000-0005-0000-0000-000056BD0000}"/>
    <cellStyle name="Normal 3 9 18 12 2" xfId="48479" xr:uid="{00000000-0005-0000-0000-000057BD0000}"/>
    <cellStyle name="Normal 3 9 18 12 3" xfId="48480" xr:uid="{00000000-0005-0000-0000-000058BD0000}"/>
    <cellStyle name="Normal 3 9 18 13" xfId="48481" xr:uid="{00000000-0005-0000-0000-000059BD0000}"/>
    <cellStyle name="Normal 3 9 18 13 2" xfId="48482" xr:uid="{00000000-0005-0000-0000-00005ABD0000}"/>
    <cellStyle name="Normal 3 9 18 13 3" xfId="48483" xr:uid="{00000000-0005-0000-0000-00005BBD0000}"/>
    <cellStyle name="Normal 3 9 18 14" xfId="48484" xr:uid="{00000000-0005-0000-0000-00005CBD0000}"/>
    <cellStyle name="Normal 3 9 18 14 2" xfId="48485" xr:uid="{00000000-0005-0000-0000-00005DBD0000}"/>
    <cellStyle name="Normal 3 9 18 14 3" xfId="48486" xr:uid="{00000000-0005-0000-0000-00005EBD0000}"/>
    <cellStyle name="Normal 3 9 18 15" xfId="48487" xr:uid="{00000000-0005-0000-0000-00005FBD0000}"/>
    <cellStyle name="Normal 3 9 18 16" xfId="48488" xr:uid="{00000000-0005-0000-0000-000060BD0000}"/>
    <cellStyle name="Normal 3 9 18 2" xfId="48489" xr:uid="{00000000-0005-0000-0000-000061BD0000}"/>
    <cellStyle name="Normal 3 9 18 2 2" xfId="48490" xr:uid="{00000000-0005-0000-0000-000062BD0000}"/>
    <cellStyle name="Normal 3 9 18 2 3" xfId="48491" xr:uid="{00000000-0005-0000-0000-000063BD0000}"/>
    <cellStyle name="Normal 3 9 18 3" xfId="48492" xr:uid="{00000000-0005-0000-0000-000064BD0000}"/>
    <cellStyle name="Normal 3 9 18 3 2" xfId="48493" xr:uid="{00000000-0005-0000-0000-000065BD0000}"/>
    <cellStyle name="Normal 3 9 18 3 3" xfId="48494" xr:uid="{00000000-0005-0000-0000-000066BD0000}"/>
    <cellStyle name="Normal 3 9 18 4" xfId="48495" xr:uid="{00000000-0005-0000-0000-000067BD0000}"/>
    <cellStyle name="Normal 3 9 18 4 2" xfId="48496" xr:uid="{00000000-0005-0000-0000-000068BD0000}"/>
    <cellStyle name="Normal 3 9 18 4 3" xfId="48497" xr:uid="{00000000-0005-0000-0000-000069BD0000}"/>
    <cellStyle name="Normal 3 9 18 5" xfId="48498" xr:uid="{00000000-0005-0000-0000-00006ABD0000}"/>
    <cellStyle name="Normal 3 9 18 5 2" xfId="48499" xr:uid="{00000000-0005-0000-0000-00006BBD0000}"/>
    <cellStyle name="Normal 3 9 18 5 3" xfId="48500" xr:uid="{00000000-0005-0000-0000-00006CBD0000}"/>
    <cellStyle name="Normal 3 9 18 6" xfId="48501" xr:uid="{00000000-0005-0000-0000-00006DBD0000}"/>
    <cellStyle name="Normal 3 9 18 6 2" xfId="48502" xr:uid="{00000000-0005-0000-0000-00006EBD0000}"/>
    <cellStyle name="Normal 3 9 18 6 3" xfId="48503" xr:uid="{00000000-0005-0000-0000-00006FBD0000}"/>
    <cellStyle name="Normal 3 9 18 7" xfId="48504" xr:uid="{00000000-0005-0000-0000-000070BD0000}"/>
    <cellStyle name="Normal 3 9 18 7 2" xfId="48505" xr:uid="{00000000-0005-0000-0000-000071BD0000}"/>
    <cellStyle name="Normal 3 9 18 7 3" xfId="48506" xr:uid="{00000000-0005-0000-0000-000072BD0000}"/>
    <cellStyle name="Normal 3 9 18 8" xfId="48507" xr:uid="{00000000-0005-0000-0000-000073BD0000}"/>
    <cellStyle name="Normal 3 9 18 8 2" xfId="48508" xr:uid="{00000000-0005-0000-0000-000074BD0000}"/>
    <cellStyle name="Normal 3 9 18 8 3" xfId="48509" xr:uid="{00000000-0005-0000-0000-000075BD0000}"/>
    <cellStyle name="Normal 3 9 18 9" xfId="48510" xr:uid="{00000000-0005-0000-0000-000076BD0000}"/>
    <cellStyle name="Normal 3 9 18 9 2" xfId="48511" xr:uid="{00000000-0005-0000-0000-000077BD0000}"/>
    <cellStyle name="Normal 3 9 18 9 3" xfId="48512" xr:uid="{00000000-0005-0000-0000-000078BD0000}"/>
    <cellStyle name="Normal 3 9 19" xfId="48513" xr:uid="{00000000-0005-0000-0000-000079BD0000}"/>
    <cellStyle name="Normal 3 9 19 10" xfId="48514" xr:uid="{00000000-0005-0000-0000-00007ABD0000}"/>
    <cellStyle name="Normal 3 9 19 10 2" xfId="48515" xr:uid="{00000000-0005-0000-0000-00007BBD0000}"/>
    <cellStyle name="Normal 3 9 19 10 3" xfId="48516" xr:uid="{00000000-0005-0000-0000-00007CBD0000}"/>
    <cellStyle name="Normal 3 9 19 11" xfId="48517" xr:uid="{00000000-0005-0000-0000-00007DBD0000}"/>
    <cellStyle name="Normal 3 9 19 11 2" xfId="48518" xr:uid="{00000000-0005-0000-0000-00007EBD0000}"/>
    <cellStyle name="Normal 3 9 19 11 3" xfId="48519" xr:uid="{00000000-0005-0000-0000-00007FBD0000}"/>
    <cellStyle name="Normal 3 9 19 12" xfId="48520" xr:uid="{00000000-0005-0000-0000-000080BD0000}"/>
    <cellStyle name="Normal 3 9 19 12 2" xfId="48521" xr:uid="{00000000-0005-0000-0000-000081BD0000}"/>
    <cellStyle name="Normal 3 9 19 12 3" xfId="48522" xr:uid="{00000000-0005-0000-0000-000082BD0000}"/>
    <cellStyle name="Normal 3 9 19 13" xfId="48523" xr:uid="{00000000-0005-0000-0000-000083BD0000}"/>
    <cellStyle name="Normal 3 9 19 13 2" xfId="48524" xr:uid="{00000000-0005-0000-0000-000084BD0000}"/>
    <cellStyle name="Normal 3 9 19 13 3" xfId="48525" xr:uid="{00000000-0005-0000-0000-000085BD0000}"/>
    <cellStyle name="Normal 3 9 19 14" xfId="48526" xr:uid="{00000000-0005-0000-0000-000086BD0000}"/>
    <cellStyle name="Normal 3 9 19 14 2" xfId="48527" xr:uid="{00000000-0005-0000-0000-000087BD0000}"/>
    <cellStyle name="Normal 3 9 19 14 3" xfId="48528" xr:uid="{00000000-0005-0000-0000-000088BD0000}"/>
    <cellStyle name="Normal 3 9 19 15" xfId="48529" xr:uid="{00000000-0005-0000-0000-000089BD0000}"/>
    <cellStyle name="Normal 3 9 19 16" xfId="48530" xr:uid="{00000000-0005-0000-0000-00008ABD0000}"/>
    <cellStyle name="Normal 3 9 19 2" xfId="48531" xr:uid="{00000000-0005-0000-0000-00008BBD0000}"/>
    <cellStyle name="Normal 3 9 19 2 2" xfId="48532" xr:uid="{00000000-0005-0000-0000-00008CBD0000}"/>
    <cellStyle name="Normal 3 9 19 2 3" xfId="48533" xr:uid="{00000000-0005-0000-0000-00008DBD0000}"/>
    <cellStyle name="Normal 3 9 19 3" xfId="48534" xr:uid="{00000000-0005-0000-0000-00008EBD0000}"/>
    <cellStyle name="Normal 3 9 19 3 2" xfId="48535" xr:uid="{00000000-0005-0000-0000-00008FBD0000}"/>
    <cellStyle name="Normal 3 9 19 3 3" xfId="48536" xr:uid="{00000000-0005-0000-0000-000090BD0000}"/>
    <cellStyle name="Normal 3 9 19 4" xfId="48537" xr:uid="{00000000-0005-0000-0000-000091BD0000}"/>
    <cellStyle name="Normal 3 9 19 4 2" xfId="48538" xr:uid="{00000000-0005-0000-0000-000092BD0000}"/>
    <cellStyle name="Normal 3 9 19 4 3" xfId="48539" xr:uid="{00000000-0005-0000-0000-000093BD0000}"/>
    <cellStyle name="Normal 3 9 19 5" xfId="48540" xr:uid="{00000000-0005-0000-0000-000094BD0000}"/>
    <cellStyle name="Normal 3 9 19 5 2" xfId="48541" xr:uid="{00000000-0005-0000-0000-000095BD0000}"/>
    <cellStyle name="Normal 3 9 19 5 3" xfId="48542" xr:uid="{00000000-0005-0000-0000-000096BD0000}"/>
    <cellStyle name="Normal 3 9 19 6" xfId="48543" xr:uid="{00000000-0005-0000-0000-000097BD0000}"/>
    <cellStyle name="Normal 3 9 19 6 2" xfId="48544" xr:uid="{00000000-0005-0000-0000-000098BD0000}"/>
    <cellStyle name="Normal 3 9 19 6 3" xfId="48545" xr:uid="{00000000-0005-0000-0000-000099BD0000}"/>
    <cellStyle name="Normal 3 9 19 7" xfId="48546" xr:uid="{00000000-0005-0000-0000-00009ABD0000}"/>
    <cellStyle name="Normal 3 9 19 7 2" xfId="48547" xr:uid="{00000000-0005-0000-0000-00009BBD0000}"/>
    <cellStyle name="Normal 3 9 19 7 3" xfId="48548" xr:uid="{00000000-0005-0000-0000-00009CBD0000}"/>
    <cellStyle name="Normal 3 9 19 8" xfId="48549" xr:uid="{00000000-0005-0000-0000-00009DBD0000}"/>
    <cellStyle name="Normal 3 9 19 8 2" xfId="48550" xr:uid="{00000000-0005-0000-0000-00009EBD0000}"/>
    <cellStyle name="Normal 3 9 19 8 3" xfId="48551" xr:uid="{00000000-0005-0000-0000-00009FBD0000}"/>
    <cellStyle name="Normal 3 9 19 9" xfId="48552" xr:uid="{00000000-0005-0000-0000-0000A0BD0000}"/>
    <cellStyle name="Normal 3 9 19 9 2" xfId="48553" xr:uid="{00000000-0005-0000-0000-0000A1BD0000}"/>
    <cellStyle name="Normal 3 9 19 9 3" xfId="48554" xr:uid="{00000000-0005-0000-0000-0000A2BD0000}"/>
    <cellStyle name="Normal 3 9 2" xfId="48555" xr:uid="{00000000-0005-0000-0000-0000A3BD0000}"/>
    <cellStyle name="Normal 3 9 20" xfId="48556" xr:uid="{00000000-0005-0000-0000-0000A4BD0000}"/>
    <cellStyle name="Normal 3 9 20 10" xfId="48557" xr:uid="{00000000-0005-0000-0000-0000A5BD0000}"/>
    <cellStyle name="Normal 3 9 20 10 2" xfId="48558" xr:uid="{00000000-0005-0000-0000-0000A6BD0000}"/>
    <cellStyle name="Normal 3 9 20 10 3" xfId="48559" xr:uid="{00000000-0005-0000-0000-0000A7BD0000}"/>
    <cellStyle name="Normal 3 9 20 11" xfId="48560" xr:uid="{00000000-0005-0000-0000-0000A8BD0000}"/>
    <cellStyle name="Normal 3 9 20 11 2" xfId="48561" xr:uid="{00000000-0005-0000-0000-0000A9BD0000}"/>
    <cellStyle name="Normal 3 9 20 11 3" xfId="48562" xr:uid="{00000000-0005-0000-0000-0000AABD0000}"/>
    <cellStyle name="Normal 3 9 20 12" xfId="48563" xr:uid="{00000000-0005-0000-0000-0000ABBD0000}"/>
    <cellStyle name="Normal 3 9 20 12 2" xfId="48564" xr:uid="{00000000-0005-0000-0000-0000ACBD0000}"/>
    <cellStyle name="Normal 3 9 20 12 3" xfId="48565" xr:uid="{00000000-0005-0000-0000-0000ADBD0000}"/>
    <cellStyle name="Normal 3 9 20 13" xfId="48566" xr:uid="{00000000-0005-0000-0000-0000AEBD0000}"/>
    <cellStyle name="Normal 3 9 20 13 2" xfId="48567" xr:uid="{00000000-0005-0000-0000-0000AFBD0000}"/>
    <cellStyle name="Normal 3 9 20 13 3" xfId="48568" xr:uid="{00000000-0005-0000-0000-0000B0BD0000}"/>
    <cellStyle name="Normal 3 9 20 14" xfId="48569" xr:uid="{00000000-0005-0000-0000-0000B1BD0000}"/>
    <cellStyle name="Normal 3 9 20 14 2" xfId="48570" xr:uid="{00000000-0005-0000-0000-0000B2BD0000}"/>
    <cellStyle name="Normal 3 9 20 14 3" xfId="48571" xr:uid="{00000000-0005-0000-0000-0000B3BD0000}"/>
    <cellStyle name="Normal 3 9 20 15" xfId="48572" xr:uid="{00000000-0005-0000-0000-0000B4BD0000}"/>
    <cellStyle name="Normal 3 9 20 16" xfId="48573" xr:uid="{00000000-0005-0000-0000-0000B5BD0000}"/>
    <cellStyle name="Normal 3 9 20 2" xfId="48574" xr:uid="{00000000-0005-0000-0000-0000B6BD0000}"/>
    <cellStyle name="Normal 3 9 20 2 2" xfId="48575" xr:uid="{00000000-0005-0000-0000-0000B7BD0000}"/>
    <cellStyle name="Normal 3 9 20 2 3" xfId="48576" xr:uid="{00000000-0005-0000-0000-0000B8BD0000}"/>
    <cellStyle name="Normal 3 9 20 3" xfId="48577" xr:uid="{00000000-0005-0000-0000-0000B9BD0000}"/>
    <cellStyle name="Normal 3 9 20 3 2" xfId="48578" xr:uid="{00000000-0005-0000-0000-0000BABD0000}"/>
    <cellStyle name="Normal 3 9 20 3 3" xfId="48579" xr:uid="{00000000-0005-0000-0000-0000BBBD0000}"/>
    <cellStyle name="Normal 3 9 20 4" xfId="48580" xr:uid="{00000000-0005-0000-0000-0000BCBD0000}"/>
    <cellStyle name="Normal 3 9 20 4 2" xfId="48581" xr:uid="{00000000-0005-0000-0000-0000BDBD0000}"/>
    <cellStyle name="Normal 3 9 20 4 3" xfId="48582" xr:uid="{00000000-0005-0000-0000-0000BEBD0000}"/>
    <cellStyle name="Normal 3 9 20 5" xfId="48583" xr:uid="{00000000-0005-0000-0000-0000BFBD0000}"/>
    <cellStyle name="Normal 3 9 20 5 2" xfId="48584" xr:uid="{00000000-0005-0000-0000-0000C0BD0000}"/>
    <cellStyle name="Normal 3 9 20 5 3" xfId="48585" xr:uid="{00000000-0005-0000-0000-0000C1BD0000}"/>
    <cellStyle name="Normal 3 9 20 6" xfId="48586" xr:uid="{00000000-0005-0000-0000-0000C2BD0000}"/>
    <cellStyle name="Normal 3 9 20 6 2" xfId="48587" xr:uid="{00000000-0005-0000-0000-0000C3BD0000}"/>
    <cellStyle name="Normal 3 9 20 6 3" xfId="48588" xr:uid="{00000000-0005-0000-0000-0000C4BD0000}"/>
    <cellStyle name="Normal 3 9 20 7" xfId="48589" xr:uid="{00000000-0005-0000-0000-0000C5BD0000}"/>
    <cellStyle name="Normal 3 9 20 7 2" xfId="48590" xr:uid="{00000000-0005-0000-0000-0000C6BD0000}"/>
    <cellStyle name="Normal 3 9 20 7 3" xfId="48591" xr:uid="{00000000-0005-0000-0000-0000C7BD0000}"/>
    <cellStyle name="Normal 3 9 20 8" xfId="48592" xr:uid="{00000000-0005-0000-0000-0000C8BD0000}"/>
    <cellStyle name="Normal 3 9 20 8 2" xfId="48593" xr:uid="{00000000-0005-0000-0000-0000C9BD0000}"/>
    <cellStyle name="Normal 3 9 20 8 3" xfId="48594" xr:uid="{00000000-0005-0000-0000-0000CABD0000}"/>
    <cellStyle name="Normal 3 9 20 9" xfId="48595" xr:uid="{00000000-0005-0000-0000-0000CBBD0000}"/>
    <cellStyle name="Normal 3 9 20 9 2" xfId="48596" xr:uid="{00000000-0005-0000-0000-0000CCBD0000}"/>
    <cellStyle name="Normal 3 9 20 9 3" xfId="48597" xr:uid="{00000000-0005-0000-0000-0000CDBD0000}"/>
    <cellStyle name="Normal 3 9 21" xfId="48598" xr:uid="{00000000-0005-0000-0000-0000CEBD0000}"/>
    <cellStyle name="Normal 3 9 21 10" xfId="48599" xr:uid="{00000000-0005-0000-0000-0000CFBD0000}"/>
    <cellStyle name="Normal 3 9 21 10 2" xfId="48600" xr:uid="{00000000-0005-0000-0000-0000D0BD0000}"/>
    <cellStyle name="Normal 3 9 21 10 3" xfId="48601" xr:uid="{00000000-0005-0000-0000-0000D1BD0000}"/>
    <cellStyle name="Normal 3 9 21 11" xfId="48602" xr:uid="{00000000-0005-0000-0000-0000D2BD0000}"/>
    <cellStyle name="Normal 3 9 21 11 2" xfId="48603" xr:uid="{00000000-0005-0000-0000-0000D3BD0000}"/>
    <cellStyle name="Normal 3 9 21 11 3" xfId="48604" xr:uid="{00000000-0005-0000-0000-0000D4BD0000}"/>
    <cellStyle name="Normal 3 9 21 12" xfId="48605" xr:uid="{00000000-0005-0000-0000-0000D5BD0000}"/>
    <cellStyle name="Normal 3 9 21 12 2" xfId="48606" xr:uid="{00000000-0005-0000-0000-0000D6BD0000}"/>
    <cellStyle name="Normal 3 9 21 12 3" xfId="48607" xr:uid="{00000000-0005-0000-0000-0000D7BD0000}"/>
    <cellStyle name="Normal 3 9 21 13" xfId="48608" xr:uid="{00000000-0005-0000-0000-0000D8BD0000}"/>
    <cellStyle name="Normal 3 9 21 13 2" xfId="48609" xr:uid="{00000000-0005-0000-0000-0000D9BD0000}"/>
    <cellStyle name="Normal 3 9 21 13 3" xfId="48610" xr:uid="{00000000-0005-0000-0000-0000DABD0000}"/>
    <cellStyle name="Normal 3 9 21 14" xfId="48611" xr:uid="{00000000-0005-0000-0000-0000DBBD0000}"/>
    <cellStyle name="Normal 3 9 21 14 2" xfId="48612" xr:uid="{00000000-0005-0000-0000-0000DCBD0000}"/>
    <cellStyle name="Normal 3 9 21 14 3" xfId="48613" xr:uid="{00000000-0005-0000-0000-0000DDBD0000}"/>
    <cellStyle name="Normal 3 9 21 15" xfId="48614" xr:uid="{00000000-0005-0000-0000-0000DEBD0000}"/>
    <cellStyle name="Normal 3 9 21 16" xfId="48615" xr:uid="{00000000-0005-0000-0000-0000DFBD0000}"/>
    <cellStyle name="Normal 3 9 21 2" xfId="48616" xr:uid="{00000000-0005-0000-0000-0000E0BD0000}"/>
    <cellStyle name="Normal 3 9 21 2 2" xfId="48617" xr:uid="{00000000-0005-0000-0000-0000E1BD0000}"/>
    <cellStyle name="Normal 3 9 21 2 3" xfId="48618" xr:uid="{00000000-0005-0000-0000-0000E2BD0000}"/>
    <cellStyle name="Normal 3 9 21 3" xfId="48619" xr:uid="{00000000-0005-0000-0000-0000E3BD0000}"/>
    <cellStyle name="Normal 3 9 21 3 2" xfId="48620" xr:uid="{00000000-0005-0000-0000-0000E4BD0000}"/>
    <cellStyle name="Normal 3 9 21 3 3" xfId="48621" xr:uid="{00000000-0005-0000-0000-0000E5BD0000}"/>
    <cellStyle name="Normal 3 9 21 4" xfId="48622" xr:uid="{00000000-0005-0000-0000-0000E6BD0000}"/>
    <cellStyle name="Normal 3 9 21 4 2" xfId="48623" xr:uid="{00000000-0005-0000-0000-0000E7BD0000}"/>
    <cellStyle name="Normal 3 9 21 4 3" xfId="48624" xr:uid="{00000000-0005-0000-0000-0000E8BD0000}"/>
    <cellStyle name="Normal 3 9 21 5" xfId="48625" xr:uid="{00000000-0005-0000-0000-0000E9BD0000}"/>
    <cellStyle name="Normal 3 9 21 5 2" xfId="48626" xr:uid="{00000000-0005-0000-0000-0000EABD0000}"/>
    <cellStyle name="Normal 3 9 21 5 3" xfId="48627" xr:uid="{00000000-0005-0000-0000-0000EBBD0000}"/>
    <cellStyle name="Normal 3 9 21 6" xfId="48628" xr:uid="{00000000-0005-0000-0000-0000ECBD0000}"/>
    <cellStyle name="Normal 3 9 21 6 2" xfId="48629" xr:uid="{00000000-0005-0000-0000-0000EDBD0000}"/>
    <cellStyle name="Normal 3 9 21 6 3" xfId="48630" xr:uid="{00000000-0005-0000-0000-0000EEBD0000}"/>
    <cellStyle name="Normal 3 9 21 7" xfId="48631" xr:uid="{00000000-0005-0000-0000-0000EFBD0000}"/>
    <cellStyle name="Normal 3 9 21 7 2" xfId="48632" xr:uid="{00000000-0005-0000-0000-0000F0BD0000}"/>
    <cellStyle name="Normal 3 9 21 7 3" xfId="48633" xr:uid="{00000000-0005-0000-0000-0000F1BD0000}"/>
    <cellStyle name="Normal 3 9 21 8" xfId="48634" xr:uid="{00000000-0005-0000-0000-0000F2BD0000}"/>
    <cellStyle name="Normal 3 9 21 8 2" xfId="48635" xr:uid="{00000000-0005-0000-0000-0000F3BD0000}"/>
    <cellStyle name="Normal 3 9 21 8 3" xfId="48636" xr:uid="{00000000-0005-0000-0000-0000F4BD0000}"/>
    <cellStyle name="Normal 3 9 21 9" xfId="48637" xr:uid="{00000000-0005-0000-0000-0000F5BD0000}"/>
    <cellStyle name="Normal 3 9 21 9 2" xfId="48638" xr:uid="{00000000-0005-0000-0000-0000F6BD0000}"/>
    <cellStyle name="Normal 3 9 21 9 3" xfId="48639" xr:uid="{00000000-0005-0000-0000-0000F7BD0000}"/>
    <cellStyle name="Normal 3 9 22" xfId="48640" xr:uid="{00000000-0005-0000-0000-0000F8BD0000}"/>
    <cellStyle name="Normal 3 9 22 10" xfId="48641" xr:uid="{00000000-0005-0000-0000-0000F9BD0000}"/>
    <cellStyle name="Normal 3 9 22 10 2" xfId="48642" xr:uid="{00000000-0005-0000-0000-0000FABD0000}"/>
    <cellStyle name="Normal 3 9 22 10 3" xfId="48643" xr:uid="{00000000-0005-0000-0000-0000FBBD0000}"/>
    <cellStyle name="Normal 3 9 22 11" xfId="48644" xr:uid="{00000000-0005-0000-0000-0000FCBD0000}"/>
    <cellStyle name="Normal 3 9 22 11 2" xfId="48645" xr:uid="{00000000-0005-0000-0000-0000FDBD0000}"/>
    <cellStyle name="Normal 3 9 22 11 3" xfId="48646" xr:uid="{00000000-0005-0000-0000-0000FEBD0000}"/>
    <cellStyle name="Normal 3 9 22 12" xfId="48647" xr:uid="{00000000-0005-0000-0000-0000FFBD0000}"/>
    <cellStyle name="Normal 3 9 22 12 2" xfId="48648" xr:uid="{00000000-0005-0000-0000-000000BE0000}"/>
    <cellStyle name="Normal 3 9 22 12 3" xfId="48649" xr:uid="{00000000-0005-0000-0000-000001BE0000}"/>
    <cellStyle name="Normal 3 9 22 13" xfId="48650" xr:uid="{00000000-0005-0000-0000-000002BE0000}"/>
    <cellStyle name="Normal 3 9 22 13 2" xfId="48651" xr:uid="{00000000-0005-0000-0000-000003BE0000}"/>
    <cellStyle name="Normal 3 9 22 13 3" xfId="48652" xr:uid="{00000000-0005-0000-0000-000004BE0000}"/>
    <cellStyle name="Normal 3 9 22 14" xfId="48653" xr:uid="{00000000-0005-0000-0000-000005BE0000}"/>
    <cellStyle name="Normal 3 9 22 14 2" xfId="48654" xr:uid="{00000000-0005-0000-0000-000006BE0000}"/>
    <cellStyle name="Normal 3 9 22 14 3" xfId="48655" xr:uid="{00000000-0005-0000-0000-000007BE0000}"/>
    <cellStyle name="Normal 3 9 22 15" xfId="48656" xr:uid="{00000000-0005-0000-0000-000008BE0000}"/>
    <cellStyle name="Normal 3 9 22 16" xfId="48657" xr:uid="{00000000-0005-0000-0000-000009BE0000}"/>
    <cellStyle name="Normal 3 9 22 2" xfId="48658" xr:uid="{00000000-0005-0000-0000-00000ABE0000}"/>
    <cellStyle name="Normal 3 9 22 2 2" xfId="48659" xr:uid="{00000000-0005-0000-0000-00000BBE0000}"/>
    <cellStyle name="Normal 3 9 22 2 3" xfId="48660" xr:uid="{00000000-0005-0000-0000-00000CBE0000}"/>
    <cellStyle name="Normal 3 9 22 3" xfId="48661" xr:uid="{00000000-0005-0000-0000-00000DBE0000}"/>
    <cellStyle name="Normal 3 9 22 3 2" xfId="48662" xr:uid="{00000000-0005-0000-0000-00000EBE0000}"/>
    <cellStyle name="Normal 3 9 22 3 3" xfId="48663" xr:uid="{00000000-0005-0000-0000-00000FBE0000}"/>
    <cellStyle name="Normal 3 9 22 4" xfId="48664" xr:uid="{00000000-0005-0000-0000-000010BE0000}"/>
    <cellStyle name="Normal 3 9 22 4 2" xfId="48665" xr:uid="{00000000-0005-0000-0000-000011BE0000}"/>
    <cellStyle name="Normal 3 9 22 4 3" xfId="48666" xr:uid="{00000000-0005-0000-0000-000012BE0000}"/>
    <cellStyle name="Normal 3 9 22 5" xfId="48667" xr:uid="{00000000-0005-0000-0000-000013BE0000}"/>
    <cellStyle name="Normal 3 9 22 5 2" xfId="48668" xr:uid="{00000000-0005-0000-0000-000014BE0000}"/>
    <cellStyle name="Normal 3 9 22 5 3" xfId="48669" xr:uid="{00000000-0005-0000-0000-000015BE0000}"/>
    <cellStyle name="Normal 3 9 22 6" xfId="48670" xr:uid="{00000000-0005-0000-0000-000016BE0000}"/>
    <cellStyle name="Normal 3 9 22 6 2" xfId="48671" xr:uid="{00000000-0005-0000-0000-000017BE0000}"/>
    <cellStyle name="Normal 3 9 22 6 3" xfId="48672" xr:uid="{00000000-0005-0000-0000-000018BE0000}"/>
    <cellStyle name="Normal 3 9 22 7" xfId="48673" xr:uid="{00000000-0005-0000-0000-000019BE0000}"/>
    <cellStyle name="Normal 3 9 22 7 2" xfId="48674" xr:uid="{00000000-0005-0000-0000-00001ABE0000}"/>
    <cellStyle name="Normal 3 9 22 7 3" xfId="48675" xr:uid="{00000000-0005-0000-0000-00001BBE0000}"/>
    <cellStyle name="Normal 3 9 22 8" xfId="48676" xr:uid="{00000000-0005-0000-0000-00001CBE0000}"/>
    <cellStyle name="Normal 3 9 22 8 2" xfId="48677" xr:uid="{00000000-0005-0000-0000-00001DBE0000}"/>
    <cellStyle name="Normal 3 9 22 8 3" xfId="48678" xr:uid="{00000000-0005-0000-0000-00001EBE0000}"/>
    <cellStyle name="Normal 3 9 22 9" xfId="48679" xr:uid="{00000000-0005-0000-0000-00001FBE0000}"/>
    <cellStyle name="Normal 3 9 22 9 2" xfId="48680" xr:uid="{00000000-0005-0000-0000-000020BE0000}"/>
    <cellStyle name="Normal 3 9 22 9 3" xfId="48681" xr:uid="{00000000-0005-0000-0000-000021BE0000}"/>
    <cellStyle name="Normal 3 9 23" xfId="48682" xr:uid="{00000000-0005-0000-0000-000022BE0000}"/>
    <cellStyle name="Normal 3 9 24" xfId="48683" xr:uid="{00000000-0005-0000-0000-000023BE0000}"/>
    <cellStyle name="Normal 3 9 25" xfId="48684" xr:uid="{00000000-0005-0000-0000-000024BE0000}"/>
    <cellStyle name="Normal 3 9 25 10" xfId="48685" xr:uid="{00000000-0005-0000-0000-000025BE0000}"/>
    <cellStyle name="Normal 3 9 25 10 2" xfId="48686" xr:uid="{00000000-0005-0000-0000-000026BE0000}"/>
    <cellStyle name="Normal 3 9 25 10 3" xfId="48687" xr:uid="{00000000-0005-0000-0000-000027BE0000}"/>
    <cellStyle name="Normal 3 9 25 11" xfId="48688" xr:uid="{00000000-0005-0000-0000-000028BE0000}"/>
    <cellStyle name="Normal 3 9 25 11 2" xfId="48689" xr:uid="{00000000-0005-0000-0000-000029BE0000}"/>
    <cellStyle name="Normal 3 9 25 11 3" xfId="48690" xr:uid="{00000000-0005-0000-0000-00002ABE0000}"/>
    <cellStyle name="Normal 3 9 25 12" xfId="48691" xr:uid="{00000000-0005-0000-0000-00002BBE0000}"/>
    <cellStyle name="Normal 3 9 25 12 2" xfId="48692" xr:uid="{00000000-0005-0000-0000-00002CBE0000}"/>
    <cellStyle name="Normal 3 9 25 12 3" xfId="48693" xr:uid="{00000000-0005-0000-0000-00002DBE0000}"/>
    <cellStyle name="Normal 3 9 25 13" xfId="48694" xr:uid="{00000000-0005-0000-0000-00002EBE0000}"/>
    <cellStyle name="Normal 3 9 25 13 2" xfId="48695" xr:uid="{00000000-0005-0000-0000-00002FBE0000}"/>
    <cellStyle name="Normal 3 9 25 13 3" xfId="48696" xr:uid="{00000000-0005-0000-0000-000030BE0000}"/>
    <cellStyle name="Normal 3 9 25 14" xfId="48697" xr:uid="{00000000-0005-0000-0000-000031BE0000}"/>
    <cellStyle name="Normal 3 9 25 14 2" xfId="48698" xr:uid="{00000000-0005-0000-0000-000032BE0000}"/>
    <cellStyle name="Normal 3 9 25 14 3" xfId="48699" xr:uid="{00000000-0005-0000-0000-000033BE0000}"/>
    <cellStyle name="Normal 3 9 25 15" xfId="48700" xr:uid="{00000000-0005-0000-0000-000034BE0000}"/>
    <cellStyle name="Normal 3 9 25 16" xfId="48701" xr:uid="{00000000-0005-0000-0000-000035BE0000}"/>
    <cellStyle name="Normal 3 9 25 2" xfId="48702" xr:uid="{00000000-0005-0000-0000-000036BE0000}"/>
    <cellStyle name="Normal 3 9 25 2 2" xfId="48703" xr:uid="{00000000-0005-0000-0000-000037BE0000}"/>
    <cellStyle name="Normal 3 9 25 2 3" xfId="48704" xr:uid="{00000000-0005-0000-0000-000038BE0000}"/>
    <cellStyle name="Normal 3 9 25 3" xfId="48705" xr:uid="{00000000-0005-0000-0000-000039BE0000}"/>
    <cellStyle name="Normal 3 9 25 3 2" xfId="48706" xr:uid="{00000000-0005-0000-0000-00003ABE0000}"/>
    <cellStyle name="Normal 3 9 25 3 3" xfId="48707" xr:uid="{00000000-0005-0000-0000-00003BBE0000}"/>
    <cellStyle name="Normal 3 9 25 4" xfId="48708" xr:uid="{00000000-0005-0000-0000-00003CBE0000}"/>
    <cellStyle name="Normal 3 9 25 4 2" xfId="48709" xr:uid="{00000000-0005-0000-0000-00003DBE0000}"/>
    <cellStyle name="Normal 3 9 25 4 3" xfId="48710" xr:uid="{00000000-0005-0000-0000-00003EBE0000}"/>
    <cellStyle name="Normal 3 9 25 5" xfId="48711" xr:uid="{00000000-0005-0000-0000-00003FBE0000}"/>
    <cellStyle name="Normal 3 9 25 5 2" xfId="48712" xr:uid="{00000000-0005-0000-0000-000040BE0000}"/>
    <cellStyle name="Normal 3 9 25 5 3" xfId="48713" xr:uid="{00000000-0005-0000-0000-000041BE0000}"/>
    <cellStyle name="Normal 3 9 25 6" xfId="48714" xr:uid="{00000000-0005-0000-0000-000042BE0000}"/>
    <cellStyle name="Normal 3 9 25 6 2" xfId="48715" xr:uid="{00000000-0005-0000-0000-000043BE0000}"/>
    <cellStyle name="Normal 3 9 25 6 3" xfId="48716" xr:uid="{00000000-0005-0000-0000-000044BE0000}"/>
    <cellStyle name="Normal 3 9 25 7" xfId="48717" xr:uid="{00000000-0005-0000-0000-000045BE0000}"/>
    <cellStyle name="Normal 3 9 25 7 2" xfId="48718" xr:uid="{00000000-0005-0000-0000-000046BE0000}"/>
    <cellStyle name="Normal 3 9 25 7 3" xfId="48719" xr:uid="{00000000-0005-0000-0000-000047BE0000}"/>
    <cellStyle name="Normal 3 9 25 8" xfId="48720" xr:uid="{00000000-0005-0000-0000-000048BE0000}"/>
    <cellStyle name="Normal 3 9 25 8 2" xfId="48721" xr:uid="{00000000-0005-0000-0000-000049BE0000}"/>
    <cellStyle name="Normal 3 9 25 8 3" xfId="48722" xr:uid="{00000000-0005-0000-0000-00004ABE0000}"/>
    <cellStyle name="Normal 3 9 25 9" xfId="48723" xr:uid="{00000000-0005-0000-0000-00004BBE0000}"/>
    <cellStyle name="Normal 3 9 25 9 2" xfId="48724" xr:uid="{00000000-0005-0000-0000-00004CBE0000}"/>
    <cellStyle name="Normal 3 9 25 9 3" xfId="48725" xr:uid="{00000000-0005-0000-0000-00004DBE0000}"/>
    <cellStyle name="Normal 3 9 26" xfId="48726" xr:uid="{00000000-0005-0000-0000-00004EBE0000}"/>
    <cellStyle name="Normal 3 9 26 10" xfId="48727" xr:uid="{00000000-0005-0000-0000-00004FBE0000}"/>
    <cellStyle name="Normal 3 9 26 10 2" xfId="48728" xr:uid="{00000000-0005-0000-0000-000050BE0000}"/>
    <cellStyle name="Normal 3 9 26 10 3" xfId="48729" xr:uid="{00000000-0005-0000-0000-000051BE0000}"/>
    <cellStyle name="Normal 3 9 26 11" xfId="48730" xr:uid="{00000000-0005-0000-0000-000052BE0000}"/>
    <cellStyle name="Normal 3 9 26 11 2" xfId="48731" xr:uid="{00000000-0005-0000-0000-000053BE0000}"/>
    <cellStyle name="Normal 3 9 26 11 3" xfId="48732" xr:uid="{00000000-0005-0000-0000-000054BE0000}"/>
    <cellStyle name="Normal 3 9 26 12" xfId="48733" xr:uid="{00000000-0005-0000-0000-000055BE0000}"/>
    <cellStyle name="Normal 3 9 26 12 2" xfId="48734" xr:uid="{00000000-0005-0000-0000-000056BE0000}"/>
    <cellStyle name="Normal 3 9 26 12 3" xfId="48735" xr:uid="{00000000-0005-0000-0000-000057BE0000}"/>
    <cellStyle name="Normal 3 9 26 13" xfId="48736" xr:uid="{00000000-0005-0000-0000-000058BE0000}"/>
    <cellStyle name="Normal 3 9 26 13 2" xfId="48737" xr:uid="{00000000-0005-0000-0000-000059BE0000}"/>
    <cellStyle name="Normal 3 9 26 13 3" xfId="48738" xr:uid="{00000000-0005-0000-0000-00005ABE0000}"/>
    <cellStyle name="Normal 3 9 26 14" xfId="48739" xr:uid="{00000000-0005-0000-0000-00005BBE0000}"/>
    <cellStyle name="Normal 3 9 26 14 2" xfId="48740" xr:uid="{00000000-0005-0000-0000-00005CBE0000}"/>
    <cellStyle name="Normal 3 9 26 14 3" xfId="48741" xr:uid="{00000000-0005-0000-0000-00005DBE0000}"/>
    <cellStyle name="Normal 3 9 26 15" xfId="48742" xr:uid="{00000000-0005-0000-0000-00005EBE0000}"/>
    <cellStyle name="Normal 3 9 26 16" xfId="48743" xr:uid="{00000000-0005-0000-0000-00005FBE0000}"/>
    <cellStyle name="Normal 3 9 26 2" xfId="48744" xr:uid="{00000000-0005-0000-0000-000060BE0000}"/>
    <cellStyle name="Normal 3 9 26 2 2" xfId="48745" xr:uid="{00000000-0005-0000-0000-000061BE0000}"/>
    <cellStyle name="Normal 3 9 26 2 3" xfId="48746" xr:uid="{00000000-0005-0000-0000-000062BE0000}"/>
    <cellStyle name="Normal 3 9 26 3" xfId="48747" xr:uid="{00000000-0005-0000-0000-000063BE0000}"/>
    <cellStyle name="Normal 3 9 26 3 2" xfId="48748" xr:uid="{00000000-0005-0000-0000-000064BE0000}"/>
    <cellStyle name="Normal 3 9 26 3 3" xfId="48749" xr:uid="{00000000-0005-0000-0000-000065BE0000}"/>
    <cellStyle name="Normal 3 9 26 4" xfId="48750" xr:uid="{00000000-0005-0000-0000-000066BE0000}"/>
    <cellStyle name="Normal 3 9 26 4 2" xfId="48751" xr:uid="{00000000-0005-0000-0000-000067BE0000}"/>
    <cellStyle name="Normal 3 9 26 4 3" xfId="48752" xr:uid="{00000000-0005-0000-0000-000068BE0000}"/>
    <cellStyle name="Normal 3 9 26 5" xfId="48753" xr:uid="{00000000-0005-0000-0000-000069BE0000}"/>
    <cellStyle name="Normal 3 9 26 5 2" xfId="48754" xr:uid="{00000000-0005-0000-0000-00006ABE0000}"/>
    <cellStyle name="Normal 3 9 26 5 3" xfId="48755" xr:uid="{00000000-0005-0000-0000-00006BBE0000}"/>
    <cellStyle name="Normal 3 9 26 6" xfId="48756" xr:uid="{00000000-0005-0000-0000-00006CBE0000}"/>
    <cellStyle name="Normal 3 9 26 6 2" xfId="48757" xr:uid="{00000000-0005-0000-0000-00006DBE0000}"/>
    <cellStyle name="Normal 3 9 26 6 3" xfId="48758" xr:uid="{00000000-0005-0000-0000-00006EBE0000}"/>
    <cellStyle name="Normal 3 9 26 7" xfId="48759" xr:uid="{00000000-0005-0000-0000-00006FBE0000}"/>
    <cellStyle name="Normal 3 9 26 7 2" xfId="48760" xr:uid="{00000000-0005-0000-0000-000070BE0000}"/>
    <cellStyle name="Normal 3 9 26 7 3" xfId="48761" xr:uid="{00000000-0005-0000-0000-000071BE0000}"/>
    <cellStyle name="Normal 3 9 26 8" xfId="48762" xr:uid="{00000000-0005-0000-0000-000072BE0000}"/>
    <cellStyle name="Normal 3 9 26 8 2" xfId="48763" xr:uid="{00000000-0005-0000-0000-000073BE0000}"/>
    <cellStyle name="Normal 3 9 26 8 3" xfId="48764" xr:uid="{00000000-0005-0000-0000-000074BE0000}"/>
    <cellStyle name="Normal 3 9 26 9" xfId="48765" xr:uid="{00000000-0005-0000-0000-000075BE0000}"/>
    <cellStyle name="Normal 3 9 26 9 2" xfId="48766" xr:uid="{00000000-0005-0000-0000-000076BE0000}"/>
    <cellStyle name="Normal 3 9 26 9 3" xfId="48767" xr:uid="{00000000-0005-0000-0000-000077BE0000}"/>
    <cellStyle name="Normal 3 9 3" xfId="48768" xr:uid="{00000000-0005-0000-0000-000078BE0000}"/>
    <cellStyle name="Normal 3 9 4" xfId="48769" xr:uid="{00000000-0005-0000-0000-000079BE0000}"/>
    <cellStyle name="Normal 3 9 5" xfId="48770" xr:uid="{00000000-0005-0000-0000-00007ABE0000}"/>
    <cellStyle name="Normal 3 9 6" xfId="48771" xr:uid="{00000000-0005-0000-0000-00007BBE0000}"/>
    <cellStyle name="Normal 3 9 7" xfId="48772" xr:uid="{00000000-0005-0000-0000-00007CBE0000}"/>
    <cellStyle name="Normal 3 9 8" xfId="48773" xr:uid="{00000000-0005-0000-0000-00007DBE0000}"/>
    <cellStyle name="Normal 3 9 9" xfId="48774" xr:uid="{00000000-0005-0000-0000-00007EBE0000}"/>
    <cellStyle name="Normal 3 9_End-use Summary" xfId="48775" xr:uid="{00000000-0005-0000-0000-00007FBE0000}"/>
    <cellStyle name="Normal 30" xfId="48776" xr:uid="{00000000-0005-0000-0000-000080BE0000}"/>
    <cellStyle name="Normal 30 2" xfId="48777" xr:uid="{00000000-0005-0000-0000-000081BE0000}"/>
    <cellStyle name="Normal 30 2 10" xfId="48778" xr:uid="{00000000-0005-0000-0000-000082BE0000}"/>
    <cellStyle name="Normal 30 2 10 10" xfId="48779" xr:uid="{00000000-0005-0000-0000-000083BE0000}"/>
    <cellStyle name="Normal 30 2 10 10 2" xfId="48780" xr:uid="{00000000-0005-0000-0000-000084BE0000}"/>
    <cellStyle name="Normal 30 2 10 10 3" xfId="48781" xr:uid="{00000000-0005-0000-0000-000085BE0000}"/>
    <cellStyle name="Normal 30 2 10 11" xfId="48782" xr:uid="{00000000-0005-0000-0000-000086BE0000}"/>
    <cellStyle name="Normal 30 2 10 11 2" xfId="48783" xr:uid="{00000000-0005-0000-0000-000087BE0000}"/>
    <cellStyle name="Normal 30 2 10 11 3" xfId="48784" xr:uid="{00000000-0005-0000-0000-000088BE0000}"/>
    <cellStyle name="Normal 30 2 10 12" xfId="48785" xr:uid="{00000000-0005-0000-0000-000089BE0000}"/>
    <cellStyle name="Normal 30 2 10 12 2" xfId="48786" xr:uid="{00000000-0005-0000-0000-00008ABE0000}"/>
    <cellStyle name="Normal 30 2 10 12 3" xfId="48787" xr:uid="{00000000-0005-0000-0000-00008BBE0000}"/>
    <cellStyle name="Normal 30 2 10 13" xfId="48788" xr:uid="{00000000-0005-0000-0000-00008CBE0000}"/>
    <cellStyle name="Normal 30 2 10 13 2" xfId="48789" xr:uid="{00000000-0005-0000-0000-00008DBE0000}"/>
    <cellStyle name="Normal 30 2 10 13 3" xfId="48790" xr:uid="{00000000-0005-0000-0000-00008EBE0000}"/>
    <cellStyle name="Normal 30 2 10 14" xfId="48791" xr:uid="{00000000-0005-0000-0000-00008FBE0000}"/>
    <cellStyle name="Normal 30 2 10 14 2" xfId="48792" xr:uid="{00000000-0005-0000-0000-000090BE0000}"/>
    <cellStyle name="Normal 30 2 10 14 3" xfId="48793" xr:uid="{00000000-0005-0000-0000-000091BE0000}"/>
    <cellStyle name="Normal 30 2 10 15" xfId="48794" xr:uid="{00000000-0005-0000-0000-000092BE0000}"/>
    <cellStyle name="Normal 30 2 10 16" xfId="48795" xr:uid="{00000000-0005-0000-0000-000093BE0000}"/>
    <cellStyle name="Normal 30 2 10 2" xfId="48796" xr:uid="{00000000-0005-0000-0000-000094BE0000}"/>
    <cellStyle name="Normal 30 2 10 2 2" xfId="48797" xr:uid="{00000000-0005-0000-0000-000095BE0000}"/>
    <cellStyle name="Normal 30 2 10 2 3" xfId="48798" xr:uid="{00000000-0005-0000-0000-000096BE0000}"/>
    <cellStyle name="Normal 30 2 10 3" xfId="48799" xr:uid="{00000000-0005-0000-0000-000097BE0000}"/>
    <cellStyle name="Normal 30 2 10 3 2" xfId="48800" xr:uid="{00000000-0005-0000-0000-000098BE0000}"/>
    <cellStyle name="Normal 30 2 10 3 3" xfId="48801" xr:uid="{00000000-0005-0000-0000-000099BE0000}"/>
    <cellStyle name="Normal 30 2 10 4" xfId="48802" xr:uid="{00000000-0005-0000-0000-00009ABE0000}"/>
    <cellStyle name="Normal 30 2 10 4 2" xfId="48803" xr:uid="{00000000-0005-0000-0000-00009BBE0000}"/>
    <cellStyle name="Normal 30 2 10 4 3" xfId="48804" xr:uid="{00000000-0005-0000-0000-00009CBE0000}"/>
    <cellStyle name="Normal 30 2 10 5" xfId="48805" xr:uid="{00000000-0005-0000-0000-00009DBE0000}"/>
    <cellStyle name="Normal 30 2 10 5 2" xfId="48806" xr:uid="{00000000-0005-0000-0000-00009EBE0000}"/>
    <cellStyle name="Normal 30 2 10 5 3" xfId="48807" xr:uid="{00000000-0005-0000-0000-00009FBE0000}"/>
    <cellStyle name="Normal 30 2 10 6" xfId="48808" xr:uid="{00000000-0005-0000-0000-0000A0BE0000}"/>
    <cellStyle name="Normal 30 2 10 6 2" xfId="48809" xr:uid="{00000000-0005-0000-0000-0000A1BE0000}"/>
    <cellStyle name="Normal 30 2 10 6 3" xfId="48810" xr:uid="{00000000-0005-0000-0000-0000A2BE0000}"/>
    <cellStyle name="Normal 30 2 10 7" xfId="48811" xr:uid="{00000000-0005-0000-0000-0000A3BE0000}"/>
    <cellStyle name="Normal 30 2 10 7 2" xfId="48812" xr:uid="{00000000-0005-0000-0000-0000A4BE0000}"/>
    <cellStyle name="Normal 30 2 10 7 3" xfId="48813" xr:uid="{00000000-0005-0000-0000-0000A5BE0000}"/>
    <cellStyle name="Normal 30 2 10 8" xfId="48814" xr:uid="{00000000-0005-0000-0000-0000A6BE0000}"/>
    <cellStyle name="Normal 30 2 10 8 2" xfId="48815" xr:uid="{00000000-0005-0000-0000-0000A7BE0000}"/>
    <cellStyle name="Normal 30 2 10 8 3" xfId="48816" xr:uid="{00000000-0005-0000-0000-0000A8BE0000}"/>
    <cellStyle name="Normal 30 2 10 9" xfId="48817" xr:uid="{00000000-0005-0000-0000-0000A9BE0000}"/>
    <cellStyle name="Normal 30 2 10 9 2" xfId="48818" xr:uid="{00000000-0005-0000-0000-0000AABE0000}"/>
    <cellStyle name="Normal 30 2 10 9 3" xfId="48819" xr:uid="{00000000-0005-0000-0000-0000ABBE0000}"/>
    <cellStyle name="Normal 30 2 11" xfId="48820" xr:uid="{00000000-0005-0000-0000-0000ACBE0000}"/>
    <cellStyle name="Normal 30 2 11 10" xfId="48821" xr:uid="{00000000-0005-0000-0000-0000ADBE0000}"/>
    <cellStyle name="Normal 30 2 11 10 2" xfId="48822" xr:uid="{00000000-0005-0000-0000-0000AEBE0000}"/>
    <cellStyle name="Normal 30 2 11 10 3" xfId="48823" xr:uid="{00000000-0005-0000-0000-0000AFBE0000}"/>
    <cellStyle name="Normal 30 2 11 11" xfId="48824" xr:uid="{00000000-0005-0000-0000-0000B0BE0000}"/>
    <cellStyle name="Normal 30 2 11 11 2" xfId="48825" xr:uid="{00000000-0005-0000-0000-0000B1BE0000}"/>
    <cellStyle name="Normal 30 2 11 11 3" xfId="48826" xr:uid="{00000000-0005-0000-0000-0000B2BE0000}"/>
    <cellStyle name="Normal 30 2 11 12" xfId="48827" xr:uid="{00000000-0005-0000-0000-0000B3BE0000}"/>
    <cellStyle name="Normal 30 2 11 12 2" xfId="48828" xr:uid="{00000000-0005-0000-0000-0000B4BE0000}"/>
    <cellStyle name="Normal 30 2 11 12 3" xfId="48829" xr:uid="{00000000-0005-0000-0000-0000B5BE0000}"/>
    <cellStyle name="Normal 30 2 11 13" xfId="48830" xr:uid="{00000000-0005-0000-0000-0000B6BE0000}"/>
    <cellStyle name="Normal 30 2 11 13 2" xfId="48831" xr:uid="{00000000-0005-0000-0000-0000B7BE0000}"/>
    <cellStyle name="Normal 30 2 11 13 3" xfId="48832" xr:uid="{00000000-0005-0000-0000-0000B8BE0000}"/>
    <cellStyle name="Normal 30 2 11 14" xfId="48833" xr:uid="{00000000-0005-0000-0000-0000B9BE0000}"/>
    <cellStyle name="Normal 30 2 11 14 2" xfId="48834" xr:uid="{00000000-0005-0000-0000-0000BABE0000}"/>
    <cellStyle name="Normal 30 2 11 14 3" xfId="48835" xr:uid="{00000000-0005-0000-0000-0000BBBE0000}"/>
    <cellStyle name="Normal 30 2 11 15" xfId="48836" xr:uid="{00000000-0005-0000-0000-0000BCBE0000}"/>
    <cellStyle name="Normal 30 2 11 16" xfId="48837" xr:uid="{00000000-0005-0000-0000-0000BDBE0000}"/>
    <cellStyle name="Normal 30 2 11 2" xfId="48838" xr:uid="{00000000-0005-0000-0000-0000BEBE0000}"/>
    <cellStyle name="Normal 30 2 11 2 2" xfId="48839" xr:uid="{00000000-0005-0000-0000-0000BFBE0000}"/>
    <cellStyle name="Normal 30 2 11 2 3" xfId="48840" xr:uid="{00000000-0005-0000-0000-0000C0BE0000}"/>
    <cellStyle name="Normal 30 2 11 3" xfId="48841" xr:uid="{00000000-0005-0000-0000-0000C1BE0000}"/>
    <cellStyle name="Normal 30 2 11 3 2" xfId="48842" xr:uid="{00000000-0005-0000-0000-0000C2BE0000}"/>
    <cellStyle name="Normal 30 2 11 3 3" xfId="48843" xr:uid="{00000000-0005-0000-0000-0000C3BE0000}"/>
    <cellStyle name="Normal 30 2 11 4" xfId="48844" xr:uid="{00000000-0005-0000-0000-0000C4BE0000}"/>
    <cellStyle name="Normal 30 2 11 4 2" xfId="48845" xr:uid="{00000000-0005-0000-0000-0000C5BE0000}"/>
    <cellStyle name="Normal 30 2 11 4 3" xfId="48846" xr:uid="{00000000-0005-0000-0000-0000C6BE0000}"/>
    <cellStyle name="Normal 30 2 11 5" xfId="48847" xr:uid="{00000000-0005-0000-0000-0000C7BE0000}"/>
    <cellStyle name="Normal 30 2 11 5 2" xfId="48848" xr:uid="{00000000-0005-0000-0000-0000C8BE0000}"/>
    <cellStyle name="Normal 30 2 11 5 3" xfId="48849" xr:uid="{00000000-0005-0000-0000-0000C9BE0000}"/>
    <cellStyle name="Normal 30 2 11 6" xfId="48850" xr:uid="{00000000-0005-0000-0000-0000CABE0000}"/>
    <cellStyle name="Normal 30 2 11 6 2" xfId="48851" xr:uid="{00000000-0005-0000-0000-0000CBBE0000}"/>
    <cellStyle name="Normal 30 2 11 6 3" xfId="48852" xr:uid="{00000000-0005-0000-0000-0000CCBE0000}"/>
    <cellStyle name="Normal 30 2 11 7" xfId="48853" xr:uid="{00000000-0005-0000-0000-0000CDBE0000}"/>
    <cellStyle name="Normal 30 2 11 7 2" xfId="48854" xr:uid="{00000000-0005-0000-0000-0000CEBE0000}"/>
    <cellStyle name="Normal 30 2 11 7 3" xfId="48855" xr:uid="{00000000-0005-0000-0000-0000CFBE0000}"/>
    <cellStyle name="Normal 30 2 11 8" xfId="48856" xr:uid="{00000000-0005-0000-0000-0000D0BE0000}"/>
    <cellStyle name="Normal 30 2 11 8 2" xfId="48857" xr:uid="{00000000-0005-0000-0000-0000D1BE0000}"/>
    <cellStyle name="Normal 30 2 11 8 3" xfId="48858" xr:uid="{00000000-0005-0000-0000-0000D2BE0000}"/>
    <cellStyle name="Normal 30 2 11 9" xfId="48859" xr:uid="{00000000-0005-0000-0000-0000D3BE0000}"/>
    <cellStyle name="Normal 30 2 11 9 2" xfId="48860" xr:uid="{00000000-0005-0000-0000-0000D4BE0000}"/>
    <cellStyle name="Normal 30 2 11 9 3" xfId="48861" xr:uid="{00000000-0005-0000-0000-0000D5BE0000}"/>
    <cellStyle name="Normal 30 2 12" xfId="48862" xr:uid="{00000000-0005-0000-0000-0000D6BE0000}"/>
    <cellStyle name="Normal 30 2 12 10" xfId="48863" xr:uid="{00000000-0005-0000-0000-0000D7BE0000}"/>
    <cellStyle name="Normal 30 2 12 10 2" xfId="48864" xr:uid="{00000000-0005-0000-0000-0000D8BE0000}"/>
    <cellStyle name="Normal 30 2 12 10 3" xfId="48865" xr:uid="{00000000-0005-0000-0000-0000D9BE0000}"/>
    <cellStyle name="Normal 30 2 12 11" xfId="48866" xr:uid="{00000000-0005-0000-0000-0000DABE0000}"/>
    <cellStyle name="Normal 30 2 12 11 2" xfId="48867" xr:uid="{00000000-0005-0000-0000-0000DBBE0000}"/>
    <cellStyle name="Normal 30 2 12 11 3" xfId="48868" xr:uid="{00000000-0005-0000-0000-0000DCBE0000}"/>
    <cellStyle name="Normal 30 2 12 12" xfId="48869" xr:uid="{00000000-0005-0000-0000-0000DDBE0000}"/>
    <cellStyle name="Normal 30 2 12 12 2" xfId="48870" xr:uid="{00000000-0005-0000-0000-0000DEBE0000}"/>
    <cellStyle name="Normal 30 2 12 12 3" xfId="48871" xr:uid="{00000000-0005-0000-0000-0000DFBE0000}"/>
    <cellStyle name="Normal 30 2 12 13" xfId="48872" xr:uid="{00000000-0005-0000-0000-0000E0BE0000}"/>
    <cellStyle name="Normal 30 2 12 13 2" xfId="48873" xr:uid="{00000000-0005-0000-0000-0000E1BE0000}"/>
    <cellStyle name="Normal 30 2 12 13 3" xfId="48874" xr:uid="{00000000-0005-0000-0000-0000E2BE0000}"/>
    <cellStyle name="Normal 30 2 12 14" xfId="48875" xr:uid="{00000000-0005-0000-0000-0000E3BE0000}"/>
    <cellStyle name="Normal 30 2 12 14 2" xfId="48876" xr:uid="{00000000-0005-0000-0000-0000E4BE0000}"/>
    <cellStyle name="Normal 30 2 12 14 3" xfId="48877" xr:uid="{00000000-0005-0000-0000-0000E5BE0000}"/>
    <cellStyle name="Normal 30 2 12 15" xfId="48878" xr:uid="{00000000-0005-0000-0000-0000E6BE0000}"/>
    <cellStyle name="Normal 30 2 12 16" xfId="48879" xr:uid="{00000000-0005-0000-0000-0000E7BE0000}"/>
    <cellStyle name="Normal 30 2 12 2" xfId="48880" xr:uid="{00000000-0005-0000-0000-0000E8BE0000}"/>
    <cellStyle name="Normal 30 2 12 2 2" xfId="48881" xr:uid="{00000000-0005-0000-0000-0000E9BE0000}"/>
    <cellStyle name="Normal 30 2 12 2 3" xfId="48882" xr:uid="{00000000-0005-0000-0000-0000EABE0000}"/>
    <cellStyle name="Normal 30 2 12 3" xfId="48883" xr:uid="{00000000-0005-0000-0000-0000EBBE0000}"/>
    <cellStyle name="Normal 30 2 12 3 2" xfId="48884" xr:uid="{00000000-0005-0000-0000-0000ECBE0000}"/>
    <cellStyle name="Normal 30 2 12 3 3" xfId="48885" xr:uid="{00000000-0005-0000-0000-0000EDBE0000}"/>
    <cellStyle name="Normal 30 2 12 4" xfId="48886" xr:uid="{00000000-0005-0000-0000-0000EEBE0000}"/>
    <cellStyle name="Normal 30 2 12 4 2" xfId="48887" xr:uid="{00000000-0005-0000-0000-0000EFBE0000}"/>
    <cellStyle name="Normal 30 2 12 4 3" xfId="48888" xr:uid="{00000000-0005-0000-0000-0000F0BE0000}"/>
    <cellStyle name="Normal 30 2 12 5" xfId="48889" xr:uid="{00000000-0005-0000-0000-0000F1BE0000}"/>
    <cellStyle name="Normal 30 2 12 5 2" xfId="48890" xr:uid="{00000000-0005-0000-0000-0000F2BE0000}"/>
    <cellStyle name="Normal 30 2 12 5 3" xfId="48891" xr:uid="{00000000-0005-0000-0000-0000F3BE0000}"/>
    <cellStyle name="Normal 30 2 12 6" xfId="48892" xr:uid="{00000000-0005-0000-0000-0000F4BE0000}"/>
    <cellStyle name="Normal 30 2 12 6 2" xfId="48893" xr:uid="{00000000-0005-0000-0000-0000F5BE0000}"/>
    <cellStyle name="Normal 30 2 12 6 3" xfId="48894" xr:uid="{00000000-0005-0000-0000-0000F6BE0000}"/>
    <cellStyle name="Normal 30 2 12 7" xfId="48895" xr:uid="{00000000-0005-0000-0000-0000F7BE0000}"/>
    <cellStyle name="Normal 30 2 12 7 2" xfId="48896" xr:uid="{00000000-0005-0000-0000-0000F8BE0000}"/>
    <cellStyle name="Normal 30 2 12 7 3" xfId="48897" xr:uid="{00000000-0005-0000-0000-0000F9BE0000}"/>
    <cellStyle name="Normal 30 2 12 8" xfId="48898" xr:uid="{00000000-0005-0000-0000-0000FABE0000}"/>
    <cellStyle name="Normal 30 2 12 8 2" xfId="48899" xr:uid="{00000000-0005-0000-0000-0000FBBE0000}"/>
    <cellStyle name="Normal 30 2 12 8 3" xfId="48900" xr:uid="{00000000-0005-0000-0000-0000FCBE0000}"/>
    <cellStyle name="Normal 30 2 12 9" xfId="48901" xr:uid="{00000000-0005-0000-0000-0000FDBE0000}"/>
    <cellStyle name="Normal 30 2 12 9 2" xfId="48902" xr:uid="{00000000-0005-0000-0000-0000FEBE0000}"/>
    <cellStyle name="Normal 30 2 12 9 3" xfId="48903" xr:uid="{00000000-0005-0000-0000-0000FFBE0000}"/>
    <cellStyle name="Normal 30 2 13" xfId="48904" xr:uid="{00000000-0005-0000-0000-000000BF0000}"/>
    <cellStyle name="Normal 30 2 13 10" xfId="48905" xr:uid="{00000000-0005-0000-0000-000001BF0000}"/>
    <cellStyle name="Normal 30 2 13 10 2" xfId="48906" xr:uid="{00000000-0005-0000-0000-000002BF0000}"/>
    <cellStyle name="Normal 30 2 13 10 3" xfId="48907" xr:uid="{00000000-0005-0000-0000-000003BF0000}"/>
    <cellStyle name="Normal 30 2 13 11" xfId="48908" xr:uid="{00000000-0005-0000-0000-000004BF0000}"/>
    <cellStyle name="Normal 30 2 13 11 2" xfId="48909" xr:uid="{00000000-0005-0000-0000-000005BF0000}"/>
    <cellStyle name="Normal 30 2 13 11 3" xfId="48910" xr:uid="{00000000-0005-0000-0000-000006BF0000}"/>
    <cellStyle name="Normal 30 2 13 12" xfId="48911" xr:uid="{00000000-0005-0000-0000-000007BF0000}"/>
    <cellStyle name="Normal 30 2 13 12 2" xfId="48912" xr:uid="{00000000-0005-0000-0000-000008BF0000}"/>
    <cellStyle name="Normal 30 2 13 12 3" xfId="48913" xr:uid="{00000000-0005-0000-0000-000009BF0000}"/>
    <cellStyle name="Normal 30 2 13 13" xfId="48914" xr:uid="{00000000-0005-0000-0000-00000ABF0000}"/>
    <cellStyle name="Normal 30 2 13 13 2" xfId="48915" xr:uid="{00000000-0005-0000-0000-00000BBF0000}"/>
    <cellStyle name="Normal 30 2 13 13 3" xfId="48916" xr:uid="{00000000-0005-0000-0000-00000CBF0000}"/>
    <cellStyle name="Normal 30 2 13 14" xfId="48917" xr:uid="{00000000-0005-0000-0000-00000DBF0000}"/>
    <cellStyle name="Normal 30 2 13 14 2" xfId="48918" xr:uid="{00000000-0005-0000-0000-00000EBF0000}"/>
    <cellStyle name="Normal 30 2 13 14 3" xfId="48919" xr:uid="{00000000-0005-0000-0000-00000FBF0000}"/>
    <cellStyle name="Normal 30 2 13 15" xfId="48920" xr:uid="{00000000-0005-0000-0000-000010BF0000}"/>
    <cellStyle name="Normal 30 2 13 16" xfId="48921" xr:uid="{00000000-0005-0000-0000-000011BF0000}"/>
    <cellStyle name="Normal 30 2 13 2" xfId="48922" xr:uid="{00000000-0005-0000-0000-000012BF0000}"/>
    <cellStyle name="Normal 30 2 13 2 2" xfId="48923" xr:uid="{00000000-0005-0000-0000-000013BF0000}"/>
    <cellStyle name="Normal 30 2 13 2 3" xfId="48924" xr:uid="{00000000-0005-0000-0000-000014BF0000}"/>
    <cellStyle name="Normal 30 2 13 3" xfId="48925" xr:uid="{00000000-0005-0000-0000-000015BF0000}"/>
    <cellStyle name="Normal 30 2 13 3 2" xfId="48926" xr:uid="{00000000-0005-0000-0000-000016BF0000}"/>
    <cellStyle name="Normal 30 2 13 3 3" xfId="48927" xr:uid="{00000000-0005-0000-0000-000017BF0000}"/>
    <cellStyle name="Normal 30 2 13 4" xfId="48928" xr:uid="{00000000-0005-0000-0000-000018BF0000}"/>
    <cellStyle name="Normal 30 2 13 4 2" xfId="48929" xr:uid="{00000000-0005-0000-0000-000019BF0000}"/>
    <cellStyle name="Normal 30 2 13 4 3" xfId="48930" xr:uid="{00000000-0005-0000-0000-00001ABF0000}"/>
    <cellStyle name="Normal 30 2 13 5" xfId="48931" xr:uid="{00000000-0005-0000-0000-00001BBF0000}"/>
    <cellStyle name="Normal 30 2 13 5 2" xfId="48932" xr:uid="{00000000-0005-0000-0000-00001CBF0000}"/>
    <cellStyle name="Normal 30 2 13 5 3" xfId="48933" xr:uid="{00000000-0005-0000-0000-00001DBF0000}"/>
    <cellStyle name="Normal 30 2 13 6" xfId="48934" xr:uid="{00000000-0005-0000-0000-00001EBF0000}"/>
    <cellStyle name="Normal 30 2 13 6 2" xfId="48935" xr:uid="{00000000-0005-0000-0000-00001FBF0000}"/>
    <cellStyle name="Normal 30 2 13 6 3" xfId="48936" xr:uid="{00000000-0005-0000-0000-000020BF0000}"/>
    <cellStyle name="Normal 30 2 13 7" xfId="48937" xr:uid="{00000000-0005-0000-0000-000021BF0000}"/>
    <cellStyle name="Normal 30 2 13 7 2" xfId="48938" xr:uid="{00000000-0005-0000-0000-000022BF0000}"/>
    <cellStyle name="Normal 30 2 13 7 3" xfId="48939" xr:uid="{00000000-0005-0000-0000-000023BF0000}"/>
    <cellStyle name="Normal 30 2 13 8" xfId="48940" xr:uid="{00000000-0005-0000-0000-000024BF0000}"/>
    <cellStyle name="Normal 30 2 13 8 2" xfId="48941" xr:uid="{00000000-0005-0000-0000-000025BF0000}"/>
    <cellStyle name="Normal 30 2 13 8 3" xfId="48942" xr:uid="{00000000-0005-0000-0000-000026BF0000}"/>
    <cellStyle name="Normal 30 2 13 9" xfId="48943" xr:uid="{00000000-0005-0000-0000-000027BF0000}"/>
    <cellStyle name="Normal 30 2 13 9 2" xfId="48944" xr:uid="{00000000-0005-0000-0000-000028BF0000}"/>
    <cellStyle name="Normal 30 2 13 9 3" xfId="48945" xr:uid="{00000000-0005-0000-0000-000029BF0000}"/>
    <cellStyle name="Normal 30 2 14" xfId="48946" xr:uid="{00000000-0005-0000-0000-00002ABF0000}"/>
    <cellStyle name="Normal 30 2 14 10" xfId="48947" xr:uid="{00000000-0005-0000-0000-00002BBF0000}"/>
    <cellStyle name="Normal 30 2 14 10 2" xfId="48948" xr:uid="{00000000-0005-0000-0000-00002CBF0000}"/>
    <cellStyle name="Normal 30 2 14 10 3" xfId="48949" xr:uid="{00000000-0005-0000-0000-00002DBF0000}"/>
    <cellStyle name="Normal 30 2 14 11" xfId="48950" xr:uid="{00000000-0005-0000-0000-00002EBF0000}"/>
    <cellStyle name="Normal 30 2 14 11 2" xfId="48951" xr:uid="{00000000-0005-0000-0000-00002FBF0000}"/>
    <cellStyle name="Normal 30 2 14 11 3" xfId="48952" xr:uid="{00000000-0005-0000-0000-000030BF0000}"/>
    <cellStyle name="Normal 30 2 14 12" xfId="48953" xr:uid="{00000000-0005-0000-0000-000031BF0000}"/>
    <cellStyle name="Normal 30 2 14 12 2" xfId="48954" xr:uid="{00000000-0005-0000-0000-000032BF0000}"/>
    <cellStyle name="Normal 30 2 14 12 3" xfId="48955" xr:uid="{00000000-0005-0000-0000-000033BF0000}"/>
    <cellStyle name="Normal 30 2 14 13" xfId="48956" xr:uid="{00000000-0005-0000-0000-000034BF0000}"/>
    <cellStyle name="Normal 30 2 14 13 2" xfId="48957" xr:uid="{00000000-0005-0000-0000-000035BF0000}"/>
    <cellStyle name="Normal 30 2 14 13 3" xfId="48958" xr:uid="{00000000-0005-0000-0000-000036BF0000}"/>
    <cellStyle name="Normal 30 2 14 14" xfId="48959" xr:uid="{00000000-0005-0000-0000-000037BF0000}"/>
    <cellStyle name="Normal 30 2 14 14 2" xfId="48960" xr:uid="{00000000-0005-0000-0000-000038BF0000}"/>
    <cellStyle name="Normal 30 2 14 14 3" xfId="48961" xr:uid="{00000000-0005-0000-0000-000039BF0000}"/>
    <cellStyle name="Normal 30 2 14 15" xfId="48962" xr:uid="{00000000-0005-0000-0000-00003ABF0000}"/>
    <cellStyle name="Normal 30 2 14 16" xfId="48963" xr:uid="{00000000-0005-0000-0000-00003BBF0000}"/>
    <cellStyle name="Normal 30 2 14 2" xfId="48964" xr:uid="{00000000-0005-0000-0000-00003CBF0000}"/>
    <cellStyle name="Normal 30 2 14 2 2" xfId="48965" xr:uid="{00000000-0005-0000-0000-00003DBF0000}"/>
    <cellStyle name="Normal 30 2 14 2 3" xfId="48966" xr:uid="{00000000-0005-0000-0000-00003EBF0000}"/>
    <cellStyle name="Normal 30 2 14 3" xfId="48967" xr:uid="{00000000-0005-0000-0000-00003FBF0000}"/>
    <cellStyle name="Normal 30 2 14 3 2" xfId="48968" xr:uid="{00000000-0005-0000-0000-000040BF0000}"/>
    <cellStyle name="Normal 30 2 14 3 3" xfId="48969" xr:uid="{00000000-0005-0000-0000-000041BF0000}"/>
    <cellStyle name="Normal 30 2 14 4" xfId="48970" xr:uid="{00000000-0005-0000-0000-000042BF0000}"/>
    <cellStyle name="Normal 30 2 14 4 2" xfId="48971" xr:uid="{00000000-0005-0000-0000-000043BF0000}"/>
    <cellStyle name="Normal 30 2 14 4 3" xfId="48972" xr:uid="{00000000-0005-0000-0000-000044BF0000}"/>
    <cellStyle name="Normal 30 2 14 5" xfId="48973" xr:uid="{00000000-0005-0000-0000-000045BF0000}"/>
    <cellStyle name="Normal 30 2 14 5 2" xfId="48974" xr:uid="{00000000-0005-0000-0000-000046BF0000}"/>
    <cellStyle name="Normal 30 2 14 5 3" xfId="48975" xr:uid="{00000000-0005-0000-0000-000047BF0000}"/>
    <cellStyle name="Normal 30 2 14 6" xfId="48976" xr:uid="{00000000-0005-0000-0000-000048BF0000}"/>
    <cellStyle name="Normal 30 2 14 6 2" xfId="48977" xr:uid="{00000000-0005-0000-0000-000049BF0000}"/>
    <cellStyle name="Normal 30 2 14 6 3" xfId="48978" xr:uid="{00000000-0005-0000-0000-00004ABF0000}"/>
    <cellStyle name="Normal 30 2 14 7" xfId="48979" xr:uid="{00000000-0005-0000-0000-00004BBF0000}"/>
    <cellStyle name="Normal 30 2 14 7 2" xfId="48980" xr:uid="{00000000-0005-0000-0000-00004CBF0000}"/>
    <cellStyle name="Normal 30 2 14 7 3" xfId="48981" xr:uid="{00000000-0005-0000-0000-00004DBF0000}"/>
    <cellStyle name="Normal 30 2 14 8" xfId="48982" xr:uid="{00000000-0005-0000-0000-00004EBF0000}"/>
    <cellStyle name="Normal 30 2 14 8 2" xfId="48983" xr:uid="{00000000-0005-0000-0000-00004FBF0000}"/>
    <cellStyle name="Normal 30 2 14 8 3" xfId="48984" xr:uid="{00000000-0005-0000-0000-000050BF0000}"/>
    <cellStyle name="Normal 30 2 14 9" xfId="48985" xr:uid="{00000000-0005-0000-0000-000051BF0000}"/>
    <cellStyle name="Normal 30 2 14 9 2" xfId="48986" xr:uid="{00000000-0005-0000-0000-000052BF0000}"/>
    <cellStyle name="Normal 30 2 14 9 3" xfId="48987" xr:uid="{00000000-0005-0000-0000-000053BF0000}"/>
    <cellStyle name="Normal 30 2 15" xfId="48988" xr:uid="{00000000-0005-0000-0000-000054BF0000}"/>
    <cellStyle name="Normal 30 2 15 10" xfId="48989" xr:uid="{00000000-0005-0000-0000-000055BF0000}"/>
    <cellStyle name="Normal 30 2 15 10 2" xfId="48990" xr:uid="{00000000-0005-0000-0000-000056BF0000}"/>
    <cellStyle name="Normal 30 2 15 10 3" xfId="48991" xr:uid="{00000000-0005-0000-0000-000057BF0000}"/>
    <cellStyle name="Normal 30 2 15 11" xfId="48992" xr:uid="{00000000-0005-0000-0000-000058BF0000}"/>
    <cellStyle name="Normal 30 2 15 11 2" xfId="48993" xr:uid="{00000000-0005-0000-0000-000059BF0000}"/>
    <cellStyle name="Normal 30 2 15 11 3" xfId="48994" xr:uid="{00000000-0005-0000-0000-00005ABF0000}"/>
    <cellStyle name="Normal 30 2 15 12" xfId="48995" xr:uid="{00000000-0005-0000-0000-00005BBF0000}"/>
    <cellStyle name="Normal 30 2 15 12 2" xfId="48996" xr:uid="{00000000-0005-0000-0000-00005CBF0000}"/>
    <cellStyle name="Normal 30 2 15 12 3" xfId="48997" xr:uid="{00000000-0005-0000-0000-00005DBF0000}"/>
    <cellStyle name="Normal 30 2 15 13" xfId="48998" xr:uid="{00000000-0005-0000-0000-00005EBF0000}"/>
    <cellStyle name="Normal 30 2 15 13 2" xfId="48999" xr:uid="{00000000-0005-0000-0000-00005FBF0000}"/>
    <cellStyle name="Normal 30 2 15 13 3" xfId="49000" xr:uid="{00000000-0005-0000-0000-000060BF0000}"/>
    <cellStyle name="Normal 30 2 15 14" xfId="49001" xr:uid="{00000000-0005-0000-0000-000061BF0000}"/>
    <cellStyle name="Normal 30 2 15 14 2" xfId="49002" xr:uid="{00000000-0005-0000-0000-000062BF0000}"/>
    <cellStyle name="Normal 30 2 15 14 3" xfId="49003" xr:uid="{00000000-0005-0000-0000-000063BF0000}"/>
    <cellStyle name="Normal 30 2 15 15" xfId="49004" xr:uid="{00000000-0005-0000-0000-000064BF0000}"/>
    <cellStyle name="Normal 30 2 15 16" xfId="49005" xr:uid="{00000000-0005-0000-0000-000065BF0000}"/>
    <cellStyle name="Normal 30 2 15 2" xfId="49006" xr:uid="{00000000-0005-0000-0000-000066BF0000}"/>
    <cellStyle name="Normal 30 2 15 2 2" xfId="49007" xr:uid="{00000000-0005-0000-0000-000067BF0000}"/>
    <cellStyle name="Normal 30 2 15 2 3" xfId="49008" xr:uid="{00000000-0005-0000-0000-000068BF0000}"/>
    <cellStyle name="Normal 30 2 15 3" xfId="49009" xr:uid="{00000000-0005-0000-0000-000069BF0000}"/>
    <cellStyle name="Normal 30 2 15 3 2" xfId="49010" xr:uid="{00000000-0005-0000-0000-00006ABF0000}"/>
    <cellStyle name="Normal 30 2 15 3 3" xfId="49011" xr:uid="{00000000-0005-0000-0000-00006BBF0000}"/>
    <cellStyle name="Normal 30 2 15 4" xfId="49012" xr:uid="{00000000-0005-0000-0000-00006CBF0000}"/>
    <cellStyle name="Normal 30 2 15 4 2" xfId="49013" xr:uid="{00000000-0005-0000-0000-00006DBF0000}"/>
    <cellStyle name="Normal 30 2 15 4 3" xfId="49014" xr:uid="{00000000-0005-0000-0000-00006EBF0000}"/>
    <cellStyle name="Normal 30 2 15 5" xfId="49015" xr:uid="{00000000-0005-0000-0000-00006FBF0000}"/>
    <cellStyle name="Normal 30 2 15 5 2" xfId="49016" xr:uid="{00000000-0005-0000-0000-000070BF0000}"/>
    <cellStyle name="Normal 30 2 15 5 3" xfId="49017" xr:uid="{00000000-0005-0000-0000-000071BF0000}"/>
    <cellStyle name="Normal 30 2 15 6" xfId="49018" xr:uid="{00000000-0005-0000-0000-000072BF0000}"/>
    <cellStyle name="Normal 30 2 15 6 2" xfId="49019" xr:uid="{00000000-0005-0000-0000-000073BF0000}"/>
    <cellStyle name="Normal 30 2 15 6 3" xfId="49020" xr:uid="{00000000-0005-0000-0000-000074BF0000}"/>
    <cellStyle name="Normal 30 2 15 7" xfId="49021" xr:uid="{00000000-0005-0000-0000-000075BF0000}"/>
    <cellStyle name="Normal 30 2 15 7 2" xfId="49022" xr:uid="{00000000-0005-0000-0000-000076BF0000}"/>
    <cellStyle name="Normal 30 2 15 7 3" xfId="49023" xr:uid="{00000000-0005-0000-0000-000077BF0000}"/>
    <cellStyle name="Normal 30 2 15 8" xfId="49024" xr:uid="{00000000-0005-0000-0000-000078BF0000}"/>
    <cellStyle name="Normal 30 2 15 8 2" xfId="49025" xr:uid="{00000000-0005-0000-0000-000079BF0000}"/>
    <cellStyle name="Normal 30 2 15 8 3" xfId="49026" xr:uid="{00000000-0005-0000-0000-00007ABF0000}"/>
    <cellStyle name="Normal 30 2 15 9" xfId="49027" xr:uid="{00000000-0005-0000-0000-00007BBF0000}"/>
    <cellStyle name="Normal 30 2 15 9 2" xfId="49028" xr:uid="{00000000-0005-0000-0000-00007CBF0000}"/>
    <cellStyle name="Normal 30 2 15 9 3" xfId="49029" xr:uid="{00000000-0005-0000-0000-00007DBF0000}"/>
    <cellStyle name="Normal 30 2 16" xfId="49030" xr:uid="{00000000-0005-0000-0000-00007EBF0000}"/>
    <cellStyle name="Normal 30 2 16 2" xfId="49031" xr:uid="{00000000-0005-0000-0000-00007FBF0000}"/>
    <cellStyle name="Normal 30 2 16 3" xfId="49032" xr:uid="{00000000-0005-0000-0000-000080BF0000}"/>
    <cellStyle name="Normal 30 2 17" xfId="49033" xr:uid="{00000000-0005-0000-0000-000081BF0000}"/>
    <cellStyle name="Normal 30 2 17 2" xfId="49034" xr:uid="{00000000-0005-0000-0000-000082BF0000}"/>
    <cellStyle name="Normal 30 2 17 3" xfId="49035" xr:uid="{00000000-0005-0000-0000-000083BF0000}"/>
    <cellStyle name="Normal 30 2 18" xfId="49036" xr:uid="{00000000-0005-0000-0000-000084BF0000}"/>
    <cellStyle name="Normal 30 2 18 2" xfId="49037" xr:uid="{00000000-0005-0000-0000-000085BF0000}"/>
    <cellStyle name="Normal 30 2 18 3" xfId="49038" xr:uid="{00000000-0005-0000-0000-000086BF0000}"/>
    <cellStyle name="Normal 30 2 19" xfId="49039" xr:uid="{00000000-0005-0000-0000-000087BF0000}"/>
    <cellStyle name="Normal 30 2 19 2" xfId="49040" xr:uid="{00000000-0005-0000-0000-000088BF0000}"/>
    <cellStyle name="Normal 30 2 19 3" xfId="49041" xr:uid="{00000000-0005-0000-0000-000089BF0000}"/>
    <cellStyle name="Normal 30 2 2" xfId="49042" xr:uid="{00000000-0005-0000-0000-00008ABF0000}"/>
    <cellStyle name="Normal 30 2 2 10" xfId="49043" xr:uid="{00000000-0005-0000-0000-00008BBF0000}"/>
    <cellStyle name="Normal 30 2 2 10 2" xfId="49044" xr:uid="{00000000-0005-0000-0000-00008CBF0000}"/>
    <cellStyle name="Normal 30 2 2 10 3" xfId="49045" xr:uid="{00000000-0005-0000-0000-00008DBF0000}"/>
    <cellStyle name="Normal 30 2 2 11" xfId="49046" xr:uid="{00000000-0005-0000-0000-00008EBF0000}"/>
    <cellStyle name="Normal 30 2 2 11 2" xfId="49047" xr:uid="{00000000-0005-0000-0000-00008FBF0000}"/>
    <cellStyle name="Normal 30 2 2 11 3" xfId="49048" xr:uid="{00000000-0005-0000-0000-000090BF0000}"/>
    <cellStyle name="Normal 30 2 2 12" xfId="49049" xr:uid="{00000000-0005-0000-0000-000091BF0000}"/>
    <cellStyle name="Normal 30 2 2 12 2" xfId="49050" xr:uid="{00000000-0005-0000-0000-000092BF0000}"/>
    <cellStyle name="Normal 30 2 2 12 3" xfId="49051" xr:uid="{00000000-0005-0000-0000-000093BF0000}"/>
    <cellStyle name="Normal 30 2 2 13" xfId="49052" xr:uid="{00000000-0005-0000-0000-000094BF0000}"/>
    <cellStyle name="Normal 30 2 2 13 2" xfId="49053" xr:uid="{00000000-0005-0000-0000-000095BF0000}"/>
    <cellStyle name="Normal 30 2 2 13 3" xfId="49054" xr:uid="{00000000-0005-0000-0000-000096BF0000}"/>
    <cellStyle name="Normal 30 2 2 14" xfId="49055" xr:uid="{00000000-0005-0000-0000-000097BF0000}"/>
    <cellStyle name="Normal 30 2 2 14 2" xfId="49056" xr:uid="{00000000-0005-0000-0000-000098BF0000}"/>
    <cellStyle name="Normal 30 2 2 14 3" xfId="49057" xr:uid="{00000000-0005-0000-0000-000099BF0000}"/>
    <cellStyle name="Normal 30 2 2 15" xfId="49058" xr:uid="{00000000-0005-0000-0000-00009ABF0000}"/>
    <cellStyle name="Normal 30 2 2 15 2" xfId="49059" xr:uid="{00000000-0005-0000-0000-00009BBF0000}"/>
    <cellStyle name="Normal 30 2 2 15 3" xfId="49060" xr:uid="{00000000-0005-0000-0000-00009CBF0000}"/>
    <cellStyle name="Normal 30 2 2 16" xfId="49061" xr:uid="{00000000-0005-0000-0000-00009DBF0000}"/>
    <cellStyle name="Normal 30 2 2 17" xfId="49062" xr:uid="{00000000-0005-0000-0000-00009EBF0000}"/>
    <cellStyle name="Normal 30 2 2 2" xfId="49063" xr:uid="{00000000-0005-0000-0000-00009FBF0000}"/>
    <cellStyle name="Normal 30 2 2 2 10" xfId="49064" xr:uid="{00000000-0005-0000-0000-0000A0BF0000}"/>
    <cellStyle name="Normal 30 2 2 2 10 2" xfId="49065" xr:uid="{00000000-0005-0000-0000-0000A1BF0000}"/>
    <cellStyle name="Normal 30 2 2 2 10 3" xfId="49066" xr:uid="{00000000-0005-0000-0000-0000A2BF0000}"/>
    <cellStyle name="Normal 30 2 2 2 11" xfId="49067" xr:uid="{00000000-0005-0000-0000-0000A3BF0000}"/>
    <cellStyle name="Normal 30 2 2 2 11 2" xfId="49068" xr:uid="{00000000-0005-0000-0000-0000A4BF0000}"/>
    <cellStyle name="Normal 30 2 2 2 11 3" xfId="49069" xr:uid="{00000000-0005-0000-0000-0000A5BF0000}"/>
    <cellStyle name="Normal 30 2 2 2 12" xfId="49070" xr:uid="{00000000-0005-0000-0000-0000A6BF0000}"/>
    <cellStyle name="Normal 30 2 2 2 12 2" xfId="49071" xr:uid="{00000000-0005-0000-0000-0000A7BF0000}"/>
    <cellStyle name="Normal 30 2 2 2 12 3" xfId="49072" xr:uid="{00000000-0005-0000-0000-0000A8BF0000}"/>
    <cellStyle name="Normal 30 2 2 2 13" xfId="49073" xr:uid="{00000000-0005-0000-0000-0000A9BF0000}"/>
    <cellStyle name="Normal 30 2 2 2 13 2" xfId="49074" xr:uid="{00000000-0005-0000-0000-0000AABF0000}"/>
    <cellStyle name="Normal 30 2 2 2 13 3" xfId="49075" xr:uid="{00000000-0005-0000-0000-0000ABBF0000}"/>
    <cellStyle name="Normal 30 2 2 2 14" xfId="49076" xr:uid="{00000000-0005-0000-0000-0000ACBF0000}"/>
    <cellStyle name="Normal 30 2 2 2 14 2" xfId="49077" xr:uid="{00000000-0005-0000-0000-0000ADBF0000}"/>
    <cellStyle name="Normal 30 2 2 2 14 3" xfId="49078" xr:uid="{00000000-0005-0000-0000-0000AEBF0000}"/>
    <cellStyle name="Normal 30 2 2 2 15" xfId="49079" xr:uid="{00000000-0005-0000-0000-0000AFBF0000}"/>
    <cellStyle name="Normal 30 2 2 2 16" xfId="49080" xr:uid="{00000000-0005-0000-0000-0000B0BF0000}"/>
    <cellStyle name="Normal 30 2 2 2 2" xfId="49081" xr:uid="{00000000-0005-0000-0000-0000B1BF0000}"/>
    <cellStyle name="Normal 30 2 2 2 2 2" xfId="49082" xr:uid="{00000000-0005-0000-0000-0000B2BF0000}"/>
    <cellStyle name="Normal 30 2 2 2 2 3" xfId="49083" xr:uid="{00000000-0005-0000-0000-0000B3BF0000}"/>
    <cellStyle name="Normal 30 2 2 2 3" xfId="49084" xr:uid="{00000000-0005-0000-0000-0000B4BF0000}"/>
    <cellStyle name="Normal 30 2 2 2 3 2" xfId="49085" xr:uid="{00000000-0005-0000-0000-0000B5BF0000}"/>
    <cellStyle name="Normal 30 2 2 2 3 3" xfId="49086" xr:uid="{00000000-0005-0000-0000-0000B6BF0000}"/>
    <cellStyle name="Normal 30 2 2 2 4" xfId="49087" xr:uid="{00000000-0005-0000-0000-0000B7BF0000}"/>
    <cellStyle name="Normal 30 2 2 2 4 2" xfId="49088" xr:uid="{00000000-0005-0000-0000-0000B8BF0000}"/>
    <cellStyle name="Normal 30 2 2 2 4 3" xfId="49089" xr:uid="{00000000-0005-0000-0000-0000B9BF0000}"/>
    <cellStyle name="Normal 30 2 2 2 5" xfId="49090" xr:uid="{00000000-0005-0000-0000-0000BABF0000}"/>
    <cellStyle name="Normal 30 2 2 2 5 2" xfId="49091" xr:uid="{00000000-0005-0000-0000-0000BBBF0000}"/>
    <cellStyle name="Normal 30 2 2 2 5 3" xfId="49092" xr:uid="{00000000-0005-0000-0000-0000BCBF0000}"/>
    <cellStyle name="Normal 30 2 2 2 6" xfId="49093" xr:uid="{00000000-0005-0000-0000-0000BDBF0000}"/>
    <cellStyle name="Normal 30 2 2 2 6 2" xfId="49094" xr:uid="{00000000-0005-0000-0000-0000BEBF0000}"/>
    <cellStyle name="Normal 30 2 2 2 6 3" xfId="49095" xr:uid="{00000000-0005-0000-0000-0000BFBF0000}"/>
    <cellStyle name="Normal 30 2 2 2 7" xfId="49096" xr:uid="{00000000-0005-0000-0000-0000C0BF0000}"/>
    <cellStyle name="Normal 30 2 2 2 7 2" xfId="49097" xr:uid="{00000000-0005-0000-0000-0000C1BF0000}"/>
    <cellStyle name="Normal 30 2 2 2 7 3" xfId="49098" xr:uid="{00000000-0005-0000-0000-0000C2BF0000}"/>
    <cellStyle name="Normal 30 2 2 2 8" xfId="49099" xr:uid="{00000000-0005-0000-0000-0000C3BF0000}"/>
    <cellStyle name="Normal 30 2 2 2 8 2" xfId="49100" xr:uid="{00000000-0005-0000-0000-0000C4BF0000}"/>
    <cellStyle name="Normal 30 2 2 2 8 3" xfId="49101" xr:uid="{00000000-0005-0000-0000-0000C5BF0000}"/>
    <cellStyle name="Normal 30 2 2 2 9" xfId="49102" xr:uid="{00000000-0005-0000-0000-0000C6BF0000}"/>
    <cellStyle name="Normal 30 2 2 2 9 2" xfId="49103" xr:uid="{00000000-0005-0000-0000-0000C7BF0000}"/>
    <cellStyle name="Normal 30 2 2 2 9 3" xfId="49104" xr:uid="{00000000-0005-0000-0000-0000C8BF0000}"/>
    <cellStyle name="Normal 30 2 2 3" xfId="49105" xr:uid="{00000000-0005-0000-0000-0000C9BF0000}"/>
    <cellStyle name="Normal 30 2 2 3 2" xfId="49106" xr:uid="{00000000-0005-0000-0000-0000CABF0000}"/>
    <cellStyle name="Normal 30 2 2 3 3" xfId="49107" xr:uid="{00000000-0005-0000-0000-0000CBBF0000}"/>
    <cellStyle name="Normal 30 2 2 4" xfId="49108" xr:uid="{00000000-0005-0000-0000-0000CCBF0000}"/>
    <cellStyle name="Normal 30 2 2 4 2" xfId="49109" xr:uid="{00000000-0005-0000-0000-0000CDBF0000}"/>
    <cellStyle name="Normal 30 2 2 4 3" xfId="49110" xr:uid="{00000000-0005-0000-0000-0000CEBF0000}"/>
    <cellStyle name="Normal 30 2 2 5" xfId="49111" xr:uid="{00000000-0005-0000-0000-0000CFBF0000}"/>
    <cellStyle name="Normal 30 2 2 5 2" xfId="49112" xr:uid="{00000000-0005-0000-0000-0000D0BF0000}"/>
    <cellStyle name="Normal 30 2 2 5 3" xfId="49113" xr:uid="{00000000-0005-0000-0000-0000D1BF0000}"/>
    <cellStyle name="Normal 30 2 2 6" xfId="49114" xr:uid="{00000000-0005-0000-0000-0000D2BF0000}"/>
    <cellStyle name="Normal 30 2 2 6 2" xfId="49115" xr:uid="{00000000-0005-0000-0000-0000D3BF0000}"/>
    <cellStyle name="Normal 30 2 2 6 3" xfId="49116" xr:uid="{00000000-0005-0000-0000-0000D4BF0000}"/>
    <cellStyle name="Normal 30 2 2 7" xfId="49117" xr:uid="{00000000-0005-0000-0000-0000D5BF0000}"/>
    <cellStyle name="Normal 30 2 2 7 2" xfId="49118" xr:uid="{00000000-0005-0000-0000-0000D6BF0000}"/>
    <cellStyle name="Normal 30 2 2 7 3" xfId="49119" xr:uid="{00000000-0005-0000-0000-0000D7BF0000}"/>
    <cellStyle name="Normal 30 2 2 8" xfId="49120" xr:uid="{00000000-0005-0000-0000-0000D8BF0000}"/>
    <cellStyle name="Normal 30 2 2 8 2" xfId="49121" xr:uid="{00000000-0005-0000-0000-0000D9BF0000}"/>
    <cellStyle name="Normal 30 2 2 8 3" xfId="49122" xr:uid="{00000000-0005-0000-0000-0000DABF0000}"/>
    <cellStyle name="Normal 30 2 2 9" xfId="49123" xr:uid="{00000000-0005-0000-0000-0000DBBF0000}"/>
    <cellStyle name="Normal 30 2 2 9 2" xfId="49124" xr:uid="{00000000-0005-0000-0000-0000DCBF0000}"/>
    <cellStyle name="Normal 30 2 2 9 3" xfId="49125" xr:uid="{00000000-0005-0000-0000-0000DDBF0000}"/>
    <cellStyle name="Normal 30 2 20" xfId="49126" xr:uid="{00000000-0005-0000-0000-0000DEBF0000}"/>
    <cellStyle name="Normal 30 2 20 2" xfId="49127" xr:uid="{00000000-0005-0000-0000-0000DFBF0000}"/>
    <cellStyle name="Normal 30 2 20 3" xfId="49128" xr:uid="{00000000-0005-0000-0000-0000E0BF0000}"/>
    <cellStyle name="Normal 30 2 21" xfId="49129" xr:uid="{00000000-0005-0000-0000-0000E1BF0000}"/>
    <cellStyle name="Normal 30 2 21 2" xfId="49130" xr:uid="{00000000-0005-0000-0000-0000E2BF0000}"/>
    <cellStyle name="Normal 30 2 21 3" xfId="49131" xr:uid="{00000000-0005-0000-0000-0000E3BF0000}"/>
    <cellStyle name="Normal 30 2 22" xfId="49132" xr:uid="{00000000-0005-0000-0000-0000E4BF0000}"/>
    <cellStyle name="Normal 30 2 22 2" xfId="49133" xr:uid="{00000000-0005-0000-0000-0000E5BF0000}"/>
    <cellStyle name="Normal 30 2 22 3" xfId="49134" xr:uid="{00000000-0005-0000-0000-0000E6BF0000}"/>
    <cellStyle name="Normal 30 2 23" xfId="49135" xr:uid="{00000000-0005-0000-0000-0000E7BF0000}"/>
    <cellStyle name="Normal 30 2 23 2" xfId="49136" xr:uid="{00000000-0005-0000-0000-0000E8BF0000}"/>
    <cellStyle name="Normal 30 2 23 3" xfId="49137" xr:uid="{00000000-0005-0000-0000-0000E9BF0000}"/>
    <cellStyle name="Normal 30 2 24" xfId="49138" xr:uid="{00000000-0005-0000-0000-0000EABF0000}"/>
    <cellStyle name="Normal 30 2 24 2" xfId="49139" xr:uid="{00000000-0005-0000-0000-0000EBBF0000}"/>
    <cellStyle name="Normal 30 2 24 3" xfId="49140" xr:uid="{00000000-0005-0000-0000-0000ECBF0000}"/>
    <cellStyle name="Normal 30 2 25" xfId="49141" xr:uid="{00000000-0005-0000-0000-0000EDBF0000}"/>
    <cellStyle name="Normal 30 2 25 2" xfId="49142" xr:uid="{00000000-0005-0000-0000-0000EEBF0000}"/>
    <cellStyle name="Normal 30 2 25 3" xfId="49143" xr:uid="{00000000-0005-0000-0000-0000EFBF0000}"/>
    <cellStyle name="Normal 30 2 26" xfId="49144" xr:uid="{00000000-0005-0000-0000-0000F0BF0000}"/>
    <cellStyle name="Normal 30 2 26 2" xfId="49145" xr:uid="{00000000-0005-0000-0000-0000F1BF0000}"/>
    <cellStyle name="Normal 30 2 26 3" xfId="49146" xr:uid="{00000000-0005-0000-0000-0000F2BF0000}"/>
    <cellStyle name="Normal 30 2 27" xfId="49147" xr:uid="{00000000-0005-0000-0000-0000F3BF0000}"/>
    <cellStyle name="Normal 30 2 27 2" xfId="49148" xr:uid="{00000000-0005-0000-0000-0000F4BF0000}"/>
    <cellStyle name="Normal 30 2 27 3" xfId="49149" xr:uid="{00000000-0005-0000-0000-0000F5BF0000}"/>
    <cellStyle name="Normal 30 2 28" xfId="49150" xr:uid="{00000000-0005-0000-0000-0000F6BF0000}"/>
    <cellStyle name="Normal 30 2 28 2" xfId="49151" xr:uid="{00000000-0005-0000-0000-0000F7BF0000}"/>
    <cellStyle name="Normal 30 2 28 3" xfId="49152" xr:uid="{00000000-0005-0000-0000-0000F8BF0000}"/>
    <cellStyle name="Normal 30 2 29" xfId="49153" xr:uid="{00000000-0005-0000-0000-0000F9BF0000}"/>
    <cellStyle name="Normal 30 2 3" xfId="49154" xr:uid="{00000000-0005-0000-0000-0000FABF0000}"/>
    <cellStyle name="Normal 30 2 3 10" xfId="49155" xr:uid="{00000000-0005-0000-0000-0000FBBF0000}"/>
    <cellStyle name="Normal 30 2 3 10 2" xfId="49156" xr:uid="{00000000-0005-0000-0000-0000FCBF0000}"/>
    <cellStyle name="Normal 30 2 3 10 3" xfId="49157" xr:uid="{00000000-0005-0000-0000-0000FDBF0000}"/>
    <cellStyle name="Normal 30 2 3 11" xfId="49158" xr:uid="{00000000-0005-0000-0000-0000FEBF0000}"/>
    <cellStyle name="Normal 30 2 3 11 2" xfId="49159" xr:uid="{00000000-0005-0000-0000-0000FFBF0000}"/>
    <cellStyle name="Normal 30 2 3 11 3" xfId="49160" xr:uid="{00000000-0005-0000-0000-000000C00000}"/>
    <cellStyle name="Normal 30 2 3 12" xfId="49161" xr:uid="{00000000-0005-0000-0000-000001C00000}"/>
    <cellStyle name="Normal 30 2 3 12 2" xfId="49162" xr:uid="{00000000-0005-0000-0000-000002C00000}"/>
    <cellStyle name="Normal 30 2 3 12 3" xfId="49163" xr:uid="{00000000-0005-0000-0000-000003C00000}"/>
    <cellStyle name="Normal 30 2 3 13" xfId="49164" xr:uid="{00000000-0005-0000-0000-000004C00000}"/>
    <cellStyle name="Normal 30 2 3 13 2" xfId="49165" xr:uid="{00000000-0005-0000-0000-000005C00000}"/>
    <cellStyle name="Normal 30 2 3 13 3" xfId="49166" xr:uid="{00000000-0005-0000-0000-000006C00000}"/>
    <cellStyle name="Normal 30 2 3 14" xfId="49167" xr:uid="{00000000-0005-0000-0000-000007C00000}"/>
    <cellStyle name="Normal 30 2 3 14 2" xfId="49168" xr:uid="{00000000-0005-0000-0000-000008C00000}"/>
    <cellStyle name="Normal 30 2 3 14 3" xfId="49169" xr:uid="{00000000-0005-0000-0000-000009C00000}"/>
    <cellStyle name="Normal 30 2 3 15" xfId="49170" xr:uid="{00000000-0005-0000-0000-00000AC00000}"/>
    <cellStyle name="Normal 30 2 3 15 2" xfId="49171" xr:uid="{00000000-0005-0000-0000-00000BC00000}"/>
    <cellStyle name="Normal 30 2 3 15 3" xfId="49172" xr:uid="{00000000-0005-0000-0000-00000CC00000}"/>
    <cellStyle name="Normal 30 2 3 16" xfId="49173" xr:uid="{00000000-0005-0000-0000-00000DC00000}"/>
    <cellStyle name="Normal 30 2 3 17" xfId="49174" xr:uid="{00000000-0005-0000-0000-00000EC00000}"/>
    <cellStyle name="Normal 30 2 3 2" xfId="49175" xr:uid="{00000000-0005-0000-0000-00000FC00000}"/>
    <cellStyle name="Normal 30 2 3 2 10" xfId="49176" xr:uid="{00000000-0005-0000-0000-000010C00000}"/>
    <cellStyle name="Normal 30 2 3 2 10 2" xfId="49177" xr:uid="{00000000-0005-0000-0000-000011C00000}"/>
    <cellStyle name="Normal 30 2 3 2 10 3" xfId="49178" xr:uid="{00000000-0005-0000-0000-000012C00000}"/>
    <cellStyle name="Normal 30 2 3 2 11" xfId="49179" xr:uid="{00000000-0005-0000-0000-000013C00000}"/>
    <cellStyle name="Normal 30 2 3 2 11 2" xfId="49180" xr:uid="{00000000-0005-0000-0000-000014C00000}"/>
    <cellStyle name="Normal 30 2 3 2 11 3" xfId="49181" xr:uid="{00000000-0005-0000-0000-000015C00000}"/>
    <cellStyle name="Normal 30 2 3 2 12" xfId="49182" xr:uid="{00000000-0005-0000-0000-000016C00000}"/>
    <cellStyle name="Normal 30 2 3 2 12 2" xfId="49183" xr:uid="{00000000-0005-0000-0000-000017C00000}"/>
    <cellStyle name="Normal 30 2 3 2 12 3" xfId="49184" xr:uid="{00000000-0005-0000-0000-000018C00000}"/>
    <cellStyle name="Normal 30 2 3 2 13" xfId="49185" xr:uid="{00000000-0005-0000-0000-000019C00000}"/>
    <cellStyle name="Normal 30 2 3 2 13 2" xfId="49186" xr:uid="{00000000-0005-0000-0000-00001AC00000}"/>
    <cellStyle name="Normal 30 2 3 2 13 3" xfId="49187" xr:uid="{00000000-0005-0000-0000-00001BC00000}"/>
    <cellStyle name="Normal 30 2 3 2 14" xfId="49188" xr:uid="{00000000-0005-0000-0000-00001CC00000}"/>
    <cellStyle name="Normal 30 2 3 2 14 2" xfId="49189" xr:uid="{00000000-0005-0000-0000-00001DC00000}"/>
    <cellStyle name="Normal 30 2 3 2 14 3" xfId="49190" xr:uid="{00000000-0005-0000-0000-00001EC00000}"/>
    <cellStyle name="Normal 30 2 3 2 15" xfId="49191" xr:uid="{00000000-0005-0000-0000-00001FC00000}"/>
    <cellStyle name="Normal 30 2 3 2 16" xfId="49192" xr:uid="{00000000-0005-0000-0000-000020C00000}"/>
    <cellStyle name="Normal 30 2 3 2 2" xfId="49193" xr:uid="{00000000-0005-0000-0000-000021C00000}"/>
    <cellStyle name="Normal 30 2 3 2 2 2" xfId="49194" xr:uid="{00000000-0005-0000-0000-000022C00000}"/>
    <cellStyle name="Normal 30 2 3 2 2 3" xfId="49195" xr:uid="{00000000-0005-0000-0000-000023C00000}"/>
    <cellStyle name="Normal 30 2 3 2 3" xfId="49196" xr:uid="{00000000-0005-0000-0000-000024C00000}"/>
    <cellStyle name="Normal 30 2 3 2 3 2" xfId="49197" xr:uid="{00000000-0005-0000-0000-000025C00000}"/>
    <cellStyle name="Normal 30 2 3 2 3 3" xfId="49198" xr:uid="{00000000-0005-0000-0000-000026C00000}"/>
    <cellStyle name="Normal 30 2 3 2 4" xfId="49199" xr:uid="{00000000-0005-0000-0000-000027C00000}"/>
    <cellStyle name="Normal 30 2 3 2 4 2" xfId="49200" xr:uid="{00000000-0005-0000-0000-000028C00000}"/>
    <cellStyle name="Normal 30 2 3 2 4 3" xfId="49201" xr:uid="{00000000-0005-0000-0000-000029C00000}"/>
    <cellStyle name="Normal 30 2 3 2 5" xfId="49202" xr:uid="{00000000-0005-0000-0000-00002AC00000}"/>
    <cellStyle name="Normal 30 2 3 2 5 2" xfId="49203" xr:uid="{00000000-0005-0000-0000-00002BC00000}"/>
    <cellStyle name="Normal 30 2 3 2 5 3" xfId="49204" xr:uid="{00000000-0005-0000-0000-00002CC00000}"/>
    <cellStyle name="Normal 30 2 3 2 6" xfId="49205" xr:uid="{00000000-0005-0000-0000-00002DC00000}"/>
    <cellStyle name="Normal 30 2 3 2 6 2" xfId="49206" xr:uid="{00000000-0005-0000-0000-00002EC00000}"/>
    <cellStyle name="Normal 30 2 3 2 6 3" xfId="49207" xr:uid="{00000000-0005-0000-0000-00002FC00000}"/>
    <cellStyle name="Normal 30 2 3 2 7" xfId="49208" xr:uid="{00000000-0005-0000-0000-000030C00000}"/>
    <cellStyle name="Normal 30 2 3 2 7 2" xfId="49209" xr:uid="{00000000-0005-0000-0000-000031C00000}"/>
    <cellStyle name="Normal 30 2 3 2 7 3" xfId="49210" xr:uid="{00000000-0005-0000-0000-000032C00000}"/>
    <cellStyle name="Normal 30 2 3 2 8" xfId="49211" xr:uid="{00000000-0005-0000-0000-000033C00000}"/>
    <cellStyle name="Normal 30 2 3 2 8 2" xfId="49212" xr:uid="{00000000-0005-0000-0000-000034C00000}"/>
    <cellStyle name="Normal 30 2 3 2 8 3" xfId="49213" xr:uid="{00000000-0005-0000-0000-000035C00000}"/>
    <cellStyle name="Normal 30 2 3 2 9" xfId="49214" xr:uid="{00000000-0005-0000-0000-000036C00000}"/>
    <cellStyle name="Normal 30 2 3 2 9 2" xfId="49215" xr:uid="{00000000-0005-0000-0000-000037C00000}"/>
    <cellStyle name="Normal 30 2 3 2 9 3" xfId="49216" xr:uid="{00000000-0005-0000-0000-000038C00000}"/>
    <cellStyle name="Normal 30 2 3 3" xfId="49217" xr:uid="{00000000-0005-0000-0000-000039C00000}"/>
    <cellStyle name="Normal 30 2 3 3 2" xfId="49218" xr:uid="{00000000-0005-0000-0000-00003AC00000}"/>
    <cellStyle name="Normal 30 2 3 3 3" xfId="49219" xr:uid="{00000000-0005-0000-0000-00003BC00000}"/>
    <cellStyle name="Normal 30 2 3 4" xfId="49220" xr:uid="{00000000-0005-0000-0000-00003CC00000}"/>
    <cellStyle name="Normal 30 2 3 4 2" xfId="49221" xr:uid="{00000000-0005-0000-0000-00003DC00000}"/>
    <cellStyle name="Normal 30 2 3 4 3" xfId="49222" xr:uid="{00000000-0005-0000-0000-00003EC00000}"/>
    <cellStyle name="Normal 30 2 3 5" xfId="49223" xr:uid="{00000000-0005-0000-0000-00003FC00000}"/>
    <cellStyle name="Normal 30 2 3 5 2" xfId="49224" xr:uid="{00000000-0005-0000-0000-000040C00000}"/>
    <cellStyle name="Normal 30 2 3 5 3" xfId="49225" xr:uid="{00000000-0005-0000-0000-000041C00000}"/>
    <cellStyle name="Normal 30 2 3 6" xfId="49226" xr:uid="{00000000-0005-0000-0000-000042C00000}"/>
    <cellStyle name="Normal 30 2 3 6 2" xfId="49227" xr:uid="{00000000-0005-0000-0000-000043C00000}"/>
    <cellStyle name="Normal 30 2 3 6 3" xfId="49228" xr:uid="{00000000-0005-0000-0000-000044C00000}"/>
    <cellStyle name="Normal 30 2 3 7" xfId="49229" xr:uid="{00000000-0005-0000-0000-000045C00000}"/>
    <cellStyle name="Normal 30 2 3 7 2" xfId="49230" xr:uid="{00000000-0005-0000-0000-000046C00000}"/>
    <cellStyle name="Normal 30 2 3 7 3" xfId="49231" xr:uid="{00000000-0005-0000-0000-000047C00000}"/>
    <cellStyle name="Normal 30 2 3 8" xfId="49232" xr:uid="{00000000-0005-0000-0000-000048C00000}"/>
    <cellStyle name="Normal 30 2 3 8 2" xfId="49233" xr:uid="{00000000-0005-0000-0000-000049C00000}"/>
    <cellStyle name="Normal 30 2 3 8 3" xfId="49234" xr:uid="{00000000-0005-0000-0000-00004AC00000}"/>
    <cellStyle name="Normal 30 2 3 9" xfId="49235" xr:uid="{00000000-0005-0000-0000-00004BC00000}"/>
    <cellStyle name="Normal 30 2 3 9 2" xfId="49236" xr:uid="{00000000-0005-0000-0000-00004CC00000}"/>
    <cellStyle name="Normal 30 2 3 9 3" xfId="49237" xr:uid="{00000000-0005-0000-0000-00004DC00000}"/>
    <cellStyle name="Normal 30 2 30" xfId="49238" xr:uid="{00000000-0005-0000-0000-00004EC00000}"/>
    <cellStyle name="Normal 30 2 31" xfId="49239" xr:uid="{00000000-0005-0000-0000-00004FC00000}"/>
    <cellStyle name="Normal 30 2 32" xfId="49240" xr:uid="{00000000-0005-0000-0000-000050C00000}"/>
    <cellStyle name="Normal 30 2 33" xfId="49241" xr:uid="{00000000-0005-0000-0000-000051C00000}"/>
    <cellStyle name="Normal 30 2 34" xfId="49242" xr:uid="{00000000-0005-0000-0000-000052C00000}"/>
    <cellStyle name="Normal 30 2 35" xfId="49243" xr:uid="{00000000-0005-0000-0000-000053C00000}"/>
    <cellStyle name="Normal 30 2 36" xfId="49244" xr:uid="{00000000-0005-0000-0000-000054C00000}"/>
    <cellStyle name="Normal 30 2 37" xfId="49245" xr:uid="{00000000-0005-0000-0000-000055C00000}"/>
    <cellStyle name="Normal 30 2 38" xfId="49246" xr:uid="{00000000-0005-0000-0000-000056C00000}"/>
    <cellStyle name="Normal 30 2 39" xfId="49247" xr:uid="{00000000-0005-0000-0000-000057C00000}"/>
    <cellStyle name="Normal 30 2 4" xfId="49248" xr:uid="{00000000-0005-0000-0000-000058C00000}"/>
    <cellStyle name="Normal 30 2 4 10" xfId="49249" xr:uid="{00000000-0005-0000-0000-000059C00000}"/>
    <cellStyle name="Normal 30 2 4 10 2" xfId="49250" xr:uid="{00000000-0005-0000-0000-00005AC00000}"/>
    <cellStyle name="Normal 30 2 4 10 3" xfId="49251" xr:uid="{00000000-0005-0000-0000-00005BC00000}"/>
    <cellStyle name="Normal 30 2 4 11" xfId="49252" xr:uid="{00000000-0005-0000-0000-00005CC00000}"/>
    <cellStyle name="Normal 30 2 4 11 2" xfId="49253" xr:uid="{00000000-0005-0000-0000-00005DC00000}"/>
    <cellStyle name="Normal 30 2 4 11 3" xfId="49254" xr:uid="{00000000-0005-0000-0000-00005EC00000}"/>
    <cellStyle name="Normal 30 2 4 12" xfId="49255" xr:uid="{00000000-0005-0000-0000-00005FC00000}"/>
    <cellStyle name="Normal 30 2 4 12 2" xfId="49256" xr:uid="{00000000-0005-0000-0000-000060C00000}"/>
    <cellStyle name="Normal 30 2 4 12 3" xfId="49257" xr:uid="{00000000-0005-0000-0000-000061C00000}"/>
    <cellStyle name="Normal 30 2 4 13" xfId="49258" xr:uid="{00000000-0005-0000-0000-000062C00000}"/>
    <cellStyle name="Normal 30 2 4 13 2" xfId="49259" xr:uid="{00000000-0005-0000-0000-000063C00000}"/>
    <cellStyle name="Normal 30 2 4 13 3" xfId="49260" xr:uid="{00000000-0005-0000-0000-000064C00000}"/>
    <cellStyle name="Normal 30 2 4 14" xfId="49261" xr:uid="{00000000-0005-0000-0000-000065C00000}"/>
    <cellStyle name="Normal 30 2 4 14 2" xfId="49262" xr:uid="{00000000-0005-0000-0000-000066C00000}"/>
    <cellStyle name="Normal 30 2 4 14 3" xfId="49263" xr:uid="{00000000-0005-0000-0000-000067C00000}"/>
    <cellStyle name="Normal 30 2 4 15" xfId="49264" xr:uid="{00000000-0005-0000-0000-000068C00000}"/>
    <cellStyle name="Normal 30 2 4 15 2" xfId="49265" xr:uid="{00000000-0005-0000-0000-000069C00000}"/>
    <cellStyle name="Normal 30 2 4 15 3" xfId="49266" xr:uid="{00000000-0005-0000-0000-00006AC00000}"/>
    <cellStyle name="Normal 30 2 4 16" xfId="49267" xr:uid="{00000000-0005-0000-0000-00006BC00000}"/>
    <cellStyle name="Normal 30 2 4 17" xfId="49268" xr:uid="{00000000-0005-0000-0000-00006CC00000}"/>
    <cellStyle name="Normal 30 2 4 2" xfId="49269" xr:uid="{00000000-0005-0000-0000-00006DC00000}"/>
    <cellStyle name="Normal 30 2 4 2 10" xfId="49270" xr:uid="{00000000-0005-0000-0000-00006EC00000}"/>
    <cellStyle name="Normal 30 2 4 2 10 2" xfId="49271" xr:uid="{00000000-0005-0000-0000-00006FC00000}"/>
    <cellStyle name="Normal 30 2 4 2 10 3" xfId="49272" xr:uid="{00000000-0005-0000-0000-000070C00000}"/>
    <cellStyle name="Normal 30 2 4 2 11" xfId="49273" xr:uid="{00000000-0005-0000-0000-000071C00000}"/>
    <cellStyle name="Normal 30 2 4 2 11 2" xfId="49274" xr:uid="{00000000-0005-0000-0000-000072C00000}"/>
    <cellStyle name="Normal 30 2 4 2 11 3" xfId="49275" xr:uid="{00000000-0005-0000-0000-000073C00000}"/>
    <cellStyle name="Normal 30 2 4 2 12" xfId="49276" xr:uid="{00000000-0005-0000-0000-000074C00000}"/>
    <cellStyle name="Normal 30 2 4 2 12 2" xfId="49277" xr:uid="{00000000-0005-0000-0000-000075C00000}"/>
    <cellStyle name="Normal 30 2 4 2 12 3" xfId="49278" xr:uid="{00000000-0005-0000-0000-000076C00000}"/>
    <cellStyle name="Normal 30 2 4 2 13" xfId="49279" xr:uid="{00000000-0005-0000-0000-000077C00000}"/>
    <cellStyle name="Normal 30 2 4 2 13 2" xfId="49280" xr:uid="{00000000-0005-0000-0000-000078C00000}"/>
    <cellStyle name="Normal 30 2 4 2 13 3" xfId="49281" xr:uid="{00000000-0005-0000-0000-000079C00000}"/>
    <cellStyle name="Normal 30 2 4 2 14" xfId="49282" xr:uid="{00000000-0005-0000-0000-00007AC00000}"/>
    <cellStyle name="Normal 30 2 4 2 14 2" xfId="49283" xr:uid="{00000000-0005-0000-0000-00007BC00000}"/>
    <cellStyle name="Normal 30 2 4 2 14 3" xfId="49284" xr:uid="{00000000-0005-0000-0000-00007CC00000}"/>
    <cellStyle name="Normal 30 2 4 2 15" xfId="49285" xr:uid="{00000000-0005-0000-0000-00007DC00000}"/>
    <cellStyle name="Normal 30 2 4 2 16" xfId="49286" xr:uid="{00000000-0005-0000-0000-00007EC00000}"/>
    <cellStyle name="Normal 30 2 4 2 2" xfId="49287" xr:uid="{00000000-0005-0000-0000-00007FC00000}"/>
    <cellStyle name="Normal 30 2 4 2 2 2" xfId="49288" xr:uid="{00000000-0005-0000-0000-000080C00000}"/>
    <cellStyle name="Normal 30 2 4 2 2 3" xfId="49289" xr:uid="{00000000-0005-0000-0000-000081C00000}"/>
    <cellStyle name="Normal 30 2 4 2 3" xfId="49290" xr:uid="{00000000-0005-0000-0000-000082C00000}"/>
    <cellStyle name="Normal 30 2 4 2 3 2" xfId="49291" xr:uid="{00000000-0005-0000-0000-000083C00000}"/>
    <cellStyle name="Normal 30 2 4 2 3 3" xfId="49292" xr:uid="{00000000-0005-0000-0000-000084C00000}"/>
    <cellStyle name="Normal 30 2 4 2 4" xfId="49293" xr:uid="{00000000-0005-0000-0000-000085C00000}"/>
    <cellStyle name="Normal 30 2 4 2 4 2" xfId="49294" xr:uid="{00000000-0005-0000-0000-000086C00000}"/>
    <cellStyle name="Normal 30 2 4 2 4 3" xfId="49295" xr:uid="{00000000-0005-0000-0000-000087C00000}"/>
    <cellStyle name="Normal 30 2 4 2 5" xfId="49296" xr:uid="{00000000-0005-0000-0000-000088C00000}"/>
    <cellStyle name="Normal 30 2 4 2 5 2" xfId="49297" xr:uid="{00000000-0005-0000-0000-000089C00000}"/>
    <cellStyle name="Normal 30 2 4 2 5 3" xfId="49298" xr:uid="{00000000-0005-0000-0000-00008AC00000}"/>
    <cellStyle name="Normal 30 2 4 2 6" xfId="49299" xr:uid="{00000000-0005-0000-0000-00008BC00000}"/>
    <cellStyle name="Normal 30 2 4 2 6 2" xfId="49300" xr:uid="{00000000-0005-0000-0000-00008CC00000}"/>
    <cellStyle name="Normal 30 2 4 2 6 3" xfId="49301" xr:uid="{00000000-0005-0000-0000-00008DC00000}"/>
    <cellStyle name="Normal 30 2 4 2 7" xfId="49302" xr:uid="{00000000-0005-0000-0000-00008EC00000}"/>
    <cellStyle name="Normal 30 2 4 2 7 2" xfId="49303" xr:uid="{00000000-0005-0000-0000-00008FC00000}"/>
    <cellStyle name="Normal 30 2 4 2 7 3" xfId="49304" xr:uid="{00000000-0005-0000-0000-000090C00000}"/>
    <cellStyle name="Normal 30 2 4 2 8" xfId="49305" xr:uid="{00000000-0005-0000-0000-000091C00000}"/>
    <cellStyle name="Normal 30 2 4 2 8 2" xfId="49306" xr:uid="{00000000-0005-0000-0000-000092C00000}"/>
    <cellStyle name="Normal 30 2 4 2 8 3" xfId="49307" xr:uid="{00000000-0005-0000-0000-000093C00000}"/>
    <cellStyle name="Normal 30 2 4 2 9" xfId="49308" xr:uid="{00000000-0005-0000-0000-000094C00000}"/>
    <cellStyle name="Normal 30 2 4 2 9 2" xfId="49309" xr:uid="{00000000-0005-0000-0000-000095C00000}"/>
    <cellStyle name="Normal 30 2 4 2 9 3" xfId="49310" xr:uid="{00000000-0005-0000-0000-000096C00000}"/>
    <cellStyle name="Normal 30 2 4 3" xfId="49311" xr:uid="{00000000-0005-0000-0000-000097C00000}"/>
    <cellStyle name="Normal 30 2 4 3 2" xfId="49312" xr:uid="{00000000-0005-0000-0000-000098C00000}"/>
    <cellStyle name="Normal 30 2 4 3 3" xfId="49313" xr:uid="{00000000-0005-0000-0000-000099C00000}"/>
    <cellStyle name="Normal 30 2 4 4" xfId="49314" xr:uid="{00000000-0005-0000-0000-00009AC00000}"/>
    <cellStyle name="Normal 30 2 4 4 2" xfId="49315" xr:uid="{00000000-0005-0000-0000-00009BC00000}"/>
    <cellStyle name="Normal 30 2 4 4 3" xfId="49316" xr:uid="{00000000-0005-0000-0000-00009CC00000}"/>
    <cellStyle name="Normal 30 2 4 5" xfId="49317" xr:uid="{00000000-0005-0000-0000-00009DC00000}"/>
    <cellStyle name="Normal 30 2 4 5 2" xfId="49318" xr:uid="{00000000-0005-0000-0000-00009EC00000}"/>
    <cellStyle name="Normal 30 2 4 5 3" xfId="49319" xr:uid="{00000000-0005-0000-0000-00009FC00000}"/>
    <cellStyle name="Normal 30 2 4 6" xfId="49320" xr:uid="{00000000-0005-0000-0000-0000A0C00000}"/>
    <cellStyle name="Normal 30 2 4 6 2" xfId="49321" xr:uid="{00000000-0005-0000-0000-0000A1C00000}"/>
    <cellStyle name="Normal 30 2 4 6 3" xfId="49322" xr:uid="{00000000-0005-0000-0000-0000A2C00000}"/>
    <cellStyle name="Normal 30 2 4 7" xfId="49323" xr:uid="{00000000-0005-0000-0000-0000A3C00000}"/>
    <cellStyle name="Normal 30 2 4 7 2" xfId="49324" xr:uid="{00000000-0005-0000-0000-0000A4C00000}"/>
    <cellStyle name="Normal 30 2 4 7 3" xfId="49325" xr:uid="{00000000-0005-0000-0000-0000A5C00000}"/>
    <cellStyle name="Normal 30 2 4 8" xfId="49326" xr:uid="{00000000-0005-0000-0000-0000A6C00000}"/>
    <cellStyle name="Normal 30 2 4 8 2" xfId="49327" xr:uid="{00000000-0005-0000-0000-0000A7C00000}"/>
    <cellStyle name="Normal 30 2 4 8 3" xfId="49328" xr:uid="{00000000-0005-0000-0000-0000A8C00000}"/>
    <cellStyle name="Normal 30 2 4 9" xfId="49329" xr:uid="{00000000-0005-0000-0000-0000A9C00000}"/>
    <cellStyle name="Normal 30 2 4 9 2" xfId="49330" xr:uid="{00000000-0005-0000-0000-0000AAC00000}"/>
    <cellStyle name="Normal 30 2 4 9 3" xfId="49331" xr:uid="{00000000-0005-0000-0000-0000ABC00000}"/>
    <cellStyle name="Normal 30 2 40" xfId="49332" xr:uid="{00000000-0005-0000-0000-0000ACC00000}"/>
    <cellStyle name="Normal 30 2 41" xfId="49333" xr:uid="{00000000-0005-0000-0000-0000ADC00000}"/>
    <cellStyle name="Normal 30 2 5" xfId="49334" xr:uid="{00000000-0005-0000-0000-0000AEC00000}"/>
    <cellStyle name="Normal 30 2 5 10" xfId="49335" xr:uid="{00000000-0005-0000-0000-0000AFC00000}"/>
    <cellStyle name="Normal 30 2 5 10 2" xfId="49336" xr:uid="{00000000-0005-0000-0000-0000B0C00000}"/>
    <cellStyle name="Normal 30 2 5 10 3" xfId="49337" xr:uid="{00000000-0005-0000-0000-0000B1C00000}"/>
    <cellStyle name="Normal 30 2 5 11" xfId="49338" xr:uid="{00000000-0005-0000-0000-0000B2C00000}"/>
    <cellStyle name="Normal 30 2 5 11 2" xfId="49339" xr:uid="{00000000-0005-0000-0000-0000B3C00000}"/>
    <cellStyle name="Normal 30 2 5 11 3" xfId="49340" xr:uid="{00000000-0005-0000-0000-0000B4C00000}"/>
    <cellStyle name="Normal 30 2 5 12" xfId="49341" xr:uid="{00000000-0005-0000-0000-0000B5C00000}"/>
    <cellStyle name="Normal 30 2 5 12 2" xfId="49342" xr:uid="{00000000-0005-0000-0000-0000B6C00000}"/>
    <cellStyle name="Normal 30 2 5 12 3" xfId="49343" xr:uid="{00000000-0005-0000-0000-0000B7C00000}"/>
    <cellStyle name="Normal 30 2 5 13" xfId="49344" xr:uid="{00000000-0005-0000-0000-0000B8C00000}"/>
    <cellStyle name="Normal 30 2 5 13 2" xfId="49345" xr:uid="{00000000-0005-0000-0000-0000B9C00000}"/>
    <cellStyle name="Normal 30 2 5 13 3" xfId="49346" xr:uid="{00000000-0005-0000-0000-0000BAC00000}"/>
    <cellStyle name="Normal 30 2 5 14" xfId="49347" xr:uid="{00000000-0005-0000-0000-0000BBC00000}"/>
    <cellStyle name="Normal 30 2 5 14 2" xfId="49348" xr:uid="{00000000-0005-0000-0000-0000BCC00000}"/>
    <cellStyle name="Normal 30 2 5 14 3" xfId="49349" xr:uid="{00000000-0005-0000-0000-0000BDC00000}"/>
    <cellStyle name="Normal 30 2 5 15" xfId="49350" xr:uid="{00000000-0005-0000-0000-0000BEC00000}"/>
    <cellStyle name="Normal 30 2 5 16" xfId="49351" xr:uid="{00000000-0005-0000-0000-0000BFC00000}"/>
    <cellStyle name="Normal 30 2 5 2" xfId="49352" xr:uid="{00000000-0005-0000-0000-0000C0C00000}"/>
    <cellStyle name="Normal 30 2 5 2 2" xfId="49353" xr:uid="{00000000-0005-0000-0000-0000C1C00000}"/>
    <cellStyle name="Normal 30 2 5 2 3" xfId="49354" xr:uid="{00000000-0005-0000-0000-0000C2C00000}"/>
    <cellStyle name="Normal 30 2 5 3" xfId="49355" xr:uid="{00000000-0005-0000-0000-0000C3C00000}"/>
    <cellStyle name="Normal 30 2 5 3 2" xfId="49356" xr:uid="{00000000-0005-0000-0000-0000C4C00000}"/>
    <cellStyle name="Normal 30 2 5 3 3" xfId="49357" xr:uid="{00000000-0005-0000-0000-0000C5C00000}"/>
    <cellStyle name="Normal 30 2 5 4" xfId="49358" xr:uid="{00000000-0005-0000-0000-0000C6C00000}"/>
    <cellStyle name="Normal 30 2 5 4 2" xfId="49359" xr:uid="{00000000-0005-0000-0000-0000C7C00000}"/>
    <cellStyle name="Normal 30 2 5 4 3" xfId="49360" xr:uid="{00000000-0005-0000-0000-0000C8C00000}"/>
    <cellStyle name="Normal 30 2 5 5" xfId="49361" xr:uid="{00000000-0005-0000-0000-0000C9C00000}"/>
    <cellStyle name="Normal 30 2 5 5 2" xfId="49362" xr:uid="{00000000-0005-0000-0000-0000CAC00000}"/>
    <cellStyle name="Normal 30 2 5 5 3" xfId="49363" xr:uid="{00000000-0005-0000-0000-0000CBC00000}"/>
    <cellStyle name="Normal 30 2 5 6" xfId="49364" xr:uid="{00000000-0005-0000-0000-0000CCC00000}"/>
    <cellStyle name="Normal 30 2 5 6 2" xfId="49365" xr:uid="{00000000-0005-0000-0000-0000CDC00000}"/>
    <cellStyle name="Normal 30 2 5 6 3" xfId="49366" xr:uid="{00000000-0005-0000-0000-0000CEC00000}"/>
    <cellStyle name="Normal 30 2 5 7" xfId="49367" xr:uid="{00000000-0005-0000-0000-0000CFC00000}"/>
    <cellStyle name="Normal 30 2 5 7 2" xfId="49368" xr:uid="{00000000-0005-0000-0000-0000D0C00000}"/>
    <cellStyle name="Normal 30 2 5 7 3" xfId="49369" xr:uid="{00000000-0005-0000-0000-0000D1C00000}"/>
    <cellStyle name="Normal 30 2 5 8" xfId="49370" xr:uid="{00000000-0005-0000-0000-0000D2C00000}"/>
    <cellStyle name="Normal 30 2 5 8 2" xfId="49371" xr:uid="{00000000-0005-0000-0000-0000D3C00000}"/>
    <cellStyle name="Normal 30 2 5 8 3" xfId="49372" xr:uid="{00000000-0005-0000-0000-0000D4C00000}"/>
    <cellStyle name="Normal 30 2 5 9" xfId="49373" xr:uid="{00000000-0005-0000-0000-0000D5C00000}"/>
    <cellStyle name="Normal 30 2 5 9 2" xfId="49374" xr:uid="{00000000-0005-0000-0000-0000D6C00000}"/>
    <cellStyle name="Normal 30 2 5 9 3" xfId="49375" xr:uid="{00000000-0005-0000-0000-0000D7C00000}"/>
    <cellStyle name="Normal 30 2 6" xfId="49376" xr:uid="{00000000-0005-0000-0000-0000D8C00000}"/>
    <cellStyle name="Normal 30 2 6 10" xfId="49377" xr:uid="{00000000-0005-0000-0000-0000D9C00000}"/>
    <cellStyle name="Normal 30 2 6 10 2" xfId="49378" xr:uid="{00000000-0005-0000-0000-0000DAC00000}"/>
    <cellStyle name="Normal 30 2 6 10 3" xfId="49379" xr:uid="{00000000-0005-0000-0000-0000DBC00000}"/>
    <cellStyle name="Normal 30 2 6 11" xfId="49380" xr:uid="{00000000-0005-0000-0000-0000DCC00000}"/>
    <cellStyle name="Normal 30 2 6 11 2" xfId="49381" xr:uid="{00000000-0005-0000-0000-0000DDC00000}"/>
    <cellStyle name="Normal 30 2 6 11 3" xfId="49382" xr:uid="{00000000-0005-0000-0000-0000DEC00000}"/>
    <cellStyle name="Normal 30 2 6 12" xfId="49383" xr:uid="{00000000-0005-0000-0000-0000DFC00000}"/>
    <cellStyle name="Normal 30 2 6 12 2" xfId="49384" xr:uid="{00000000-0005-0000-0000-0000E0C00000}"/>
    <cellStyle name="Normal 30 2 6 12 3" xfId="49385" xr:uid="{00000000-0005-0000-0000-0000E1C00000}"/>
    <cellStyle name="Normal 30 2 6 13" xfId="49386" xr:uid="{00000000-0005-0000-0000-0000E2C00000}"/>
    <cellStyle name="Normal 30 2 6 13 2" xfId="49387" xr:uid="{00000000-0005-0000-0000-0000E3C00000}"/>
    <cellStyle name="Normal 30 2 6 13 3" xfId="49388" xr:uid="{00000000-0005-0000-0000-0000E4C00000}"/>
    <cellStyle name="Normal 30 2 6 14" xfId="49389" xr:uid="{00000000-0005-0000-0000-0000E5C00000}"/>
    <cellStyle name="Normal 30 2 6 14 2" xfId="49390" xr:uid="{00000000-0005-0000-0000-0000E6C00000}"/>
    <cellStyle name="Normal 30 2 6 14 3" xfId="49391" xr:uid="{00000000-0005-0000-0000-0000E7C00000}"/>
    <cellStyle name="Normal 30 2 6 15" xfId="49392" xr:uid="{00000000-0005-0000-0000-0000E8C00000}"/>
    <cellStyle name="Normal 30 2 6 16" xfId="49393" xr:uid="{00000000-0005-0000-0000-0000E9C00000}"/>
    <cellStyle name="Normal 30 2 6 2" xfId="49394" xr:uid="{00000000-0005-0000-0000-0000EAC00000}"/>
    <cellStyle name="Normal 30 2 6 2 2" xfId="49395" xr:uid="{00000000-0005-0000-0000-0000EBC00000}"/>
    <cellStyle name="Normal 30 2 6 2 3" xfId="49396" xr:uid="{00000000-0005-0000-0000-0000ECC00000}"/>
    <cellStyle name="Normal 30 2 6 3" xfId="49397" xr:uid="{00000000-0005-0000-0000-0000EDC00000}"/>
    <cellStyle name="Normal 30 2 6 3 2" xfId="49398" xr:uid="{00000000-0005-0000-0000-0000EEC00000}"/>
    <cellStyle name="Normal 30 2 6 3 3" xfId="49399" xr:uid="{00000000-0005-0000-0000-0000EFC00000}"/>
    <cellStyle name="Normal 30 2 6 4" xfId="49400" xr:uid="{00000000-0005-0000-0000-0000F0C00000}"/>
    <cellStyle name="Normal 30 2 6 4 2" xfId="49401" xr:uid="{00000000-0005-0000-0000-0000F1C00000}"/>
    <cellStyle name="Normal 30 2 6 4 3" xfId="49402" xr:uid="{00000000-0005-0000-0000-0000F2C00000}"/>
    <cellStyle name="Normal 30 2 6 5" xfId="49403" xr:uid="{00000000-0005-0000-0000-0000F3C00000}"/>
    <cellStyle name="Normal 30 2 6 5 2" xfId="49404" xr:uid="{00000000-0005-0000-0000-0000F4C00000}"/>
    <cellStyle name="Normal 30 2 6 5 3" xfId="49405" xr:uid="{00000000-0005-0000-0000-0000F5C00000}"/>
    <cellStyle name="Normal 30 2 6 6" xfId="49406" xr:uid="{00000000-0005-0000-0000-0000F6C00000}"/>
    <cellStyle name="Normal 30 2 6 6 2" xfId="49407" xr:uid="{00000000-0005-0000-0000-0000F7C00000}"/>
    <cellStyle name="Normal 30 2 6 6 3" xfId="49408" xr:uid="{00000000-0005-0000-0000-0000F8C00000}"/>
    <cellStyle name="Normal 30 2 6 7" xfId="49409" xr:uid="{00000000-0005-0000-0000-0000F9C00000}"/>
    <cellStyle name="Normal 30 2 6 7 2" xfId="49410" xr:uid="{00000000-0005-0000-0000-0000FAC00000}"/>
    <cellStyle name="Normal 30 2 6 7 3" xfId="49411" xr:uid="{00000000-0005-0000-0000-0000FBC00000}"/>
    <cellStyle name="Normal 30 2 6 8" xfId="49412" xr:uid="{00000000-0005-0000-0000-0000FCC00000}"/>
    <cellStyle name="Normal 30 2 6 8 2" xfId="49413" xr:uid="{00000000-0005-0000-0000-0000FDC00000}"/>
    <cellStyle name="Normal 30 2 6 8 3" xfId="49414" xr:uid="{00000000-0005-0000-0000-0000FEC00000}"/>
    <cellStyle name="Normal 30 2 6 9" xfId="49415" xr:uid="{00000000-0005-0000-0000-0000FFC00000}"/>
    <cellStyle name="Normal 30 2 6 9 2" xfId="49416" xr:uid="{00000000-0005-0000-0000-000000C10000}"/>
    <cellStyle name="Normal 30 2 6 9 3" xfId="49417" xr:uid="{00000000-0005-0000-0000-000001C10000}"/>
    <cellStyle name="Normal 30 2 7" xfId="49418" xr:uid="{00000000-0005-0000-0000-000002C10000}"/>
    <cellStyle name="Normal 30 2 7 10" xfId="49419" xr:uid="{00000000-0005-0000-0000-000003C10000}"/>
    <cellStyle name="Normal 30 2 7 10 2" xfId="49420" xr:uid="{00000000-0005-0000-0000-000004C10000}"/>
    <cellStyle name="Normal 30 2 7 10 3" xfId="49421" xr:uid="{00000000-0005-0000-0000-000005C10000}"/>
    <cellStyle name="Normal 30 2 7 11" xfId="49422" xr:uid="{00000000-0005-0000-0000-000006C10000}"/>
    <cellStyle name="Normal 30 2 7 11 2" xfId="49423" xr:uid="{00000000-0005-0000-0000-000007C10000}"/>
    <cellStyle name="Normal 30 2 7 11 3" xfId="49424" xr:uid="{00000000-0005-0000-0000-000008C10000}"/>
    <cellStyle name="Normal 30 2 7 12" xfId="49425" xr:uid="{00000000-0005-0000-0000-000009C10000}"/>
    <cellStyle name="Normal 30 2 7 12 2" xfId="49426" xr:uid="{00000000-0005-0000-0000-00000AC10000}"/>
    <cellStyle name="Normal 30 2 7 12 3" xfId="49427" xr:uid="{00000000-0005-0000-0000-00000BC10000}"/>
    <cellStyle name="Normal 30 2 7 13" xfId="49428" xr:uid="{00000000-0005-0000-0000-00000CC10000}"/>
    <cellStyle name="Normal 30 2 7 13 2" xfId="49429" xr:uid="{00000000-0005-0000-0000-00000DC10000}"/>
    <cellStyle name="Normal 30 2 7 13 3" xfId="49430" xr:uid="{00000000-0005-0000-0000-00000EC10000}"/>
    <cellStyle name="Normal 30 2 7 14" xfId="49431" xr:uid="{00000000-0005-0000-0000-00000FC10000}"/>
    <cellStyle name="Normal 30 2 7 14 2" xfId="49432" xr:uid="{00000000-0005-0000-0000-000010C10000}"/>
    <cellStyle name="Normal 30 2 7 14 3" xfId="49433" xr:uid="{00000000-0005-0000-0000-000011C10000}"/>
    <cellStyle name="Normal 30 2 7 15" xfId="49434" xr:uid="{00000000-0005-0000-0000-000012C10000}"/>
    <cellStyle name="Normal 30 2 7 16" xfId="49435" xr:uid="{00000000-0005-0000-0000-000013C10000}"/>
    <cellStyle name="Normal 30 2 7 2" xfId="49436" xr:uid="{00000000-0005-0000-0000-000014C10000}"/>
    <cellStyle name="Normal 30 2 7 2 2" xfId="49437" xr:uid="{00000000-0005-0000-0000-000015C10000}"/>
    <cellStyle name="Normal 30 2 7 2 3" xfId="49438" xr:uid="{00000000-0005-0000-0000-000016C10000}"/>
    <cellStyle name="Normal 30 2 7 3" xfId="49439" xr:uid="{00000000-0005-0000-0000-000017C10000}"/>
    <cellStyle name="Normal 30 2 7 3 2" xfId="49440" xr:uid="{00000000-0005-0000-0000-000018C10000}"/>
    <cellStyle name="Normal 30 2 7 3 3" xfId="49441" xr:uid="{00000000-0005-0000-0000-000019C10000}"/>
    <cellStyle name="Normal 30 2 7 4" xfId="49442" xr:uid="{00000000-0005-0000-0000-00001AC10000}"/>
    <cellStyle name="Normal 30 2 7 4 2" xfId="49443" xr:uid="{00000000-0005-0000-0000-00001BC10000}"/>
    <cellStyle name="Normal 30 2 7 4 3" xfId="49444" xr:uid="{00000000-0005-0000-0000-00001CC10000}"/>
    <cellStyle name="Normal 30 2 7 5" xfId="49445" xr:uid="{00000000-0005-0000-0000-00001DC10000}"/>
    <cellStyle name="Normal 30 2 7 5 2" xfId="49446" xr:uid="{00000000-0005-0000-0000-00001EC10000}"/>
    <cellStyle name="Normal 30 2 7 5 3" xfId="49447" xr:uid="{00000000-0005-0000-0000-00001FC10000}"/>
    <cellStyle name="Normal 30 2 7 6" xfId="49448" xr:uid="{00000000-0005-0000-0000-000020C10000}"/>
    <cellStyle name="Normal 30 2 7 6 2" xfId="49449" xr:uid="{00000000-0005-0000-0000-000021C10000}"/>
    <cellStyle name="Normal 30 2 7 6 3" xfId="49450" xr:uid="{00000000-0005-0000-0000-000022C10000}"/>
    <cellStyle name="Normal 30 2 7 7" xfId="49451" xr:uid="{00000000-0005-0000-0000-000023C10000}"/>
    <cellStyle name="Normal 30 2 7 7 2" xfId="49452" xr:uid="{00000000-0005-0000-0000-000024C10000}"/>
    <cellStyle name="Normal 30 2 7 7 3" xfId="49453" xr:uid="{00000000-0005-0000-0000-000025C10000}"/>
    <cellStyle name="Normal 30 2 7 8" xfId="49454" xr:uid="{00000000-0005-0000-0000-000026C10000}"/>
    <cellStyle name="Normal 30 2 7 8 2" xfId="49455" xr:uid="{00000000-0005-0000-0000-000027C10000}"/>
    <cellStyle name="Normal 30 2 7 8 3" xfId="49456" xr:uid="{00000000-0005-0000-0000-000028C10000}"/>
    <cellStyle name="Normal 30 2 7 9" xfId="49457" xr:uid="{00000000-0005-0000-0000-000029C10000}"/>
    <cellStyle name="Normal 30 2 7 9 2" xfId="49458" xr:uid="{00000000-0005-0000-0000-00002AC10000}"/>
    <cellStyle name="Normal 30 2 7 9 3" xfId="49459" xr:uid="{00000000-0005-0000-0000-00002BC10000}"/>
    <cellStyle name="Normal 30 2 8" xfId="49460" xr:uid="{00000000-0005-0000-0000-00002CC10000}"/>
    <cellStyle name="Normal 30 2 8 10" xfId="49461" xr:uid="{00000000-0005-0000-0000-00002DC10000}"/>
    <cellStyle name="Normal 30 2 8 10 2" xfId="49462" xr:uid="{00000000-0005-0000-0000-00002EC10000}"/>
    <cellStyle name="Normal 30 2 8 10 3" xfId="49463" xr:uid="{00000000-0005-0000-0000-00002FC10000}"/>
    <cellStyle name="Normal 30 2 8 11" xfId="49464" xr:uid="{00000000-0005-0000-0000-000030C10000}"/>
    <cellStyle name="Normal 30 2 8 11 2" xfId="49465" xr:uid="{00000000-0005-0000-0000-000031C10000}"/>
    <cellStyle name="Normal 30 2 8 11 3" xfId="49466" xr:uid="{00000000-0005-0000-0000-000032C10000}"/>
    <cellStyle name="Normal 30 2 8 12" xfId="49467" xr:uid="{00000000-0005-0000-0000-000033C10000}"/>
    <cellStyle name="Normal 30 2 8 12 2" xfId="49468" xr:uid="{00000000-0005-0000-0000-000034C10000}"/>
    <cellStyle name="Normal 30 2 8 12 3" xfId="49469" xr:uid="{00000000-0005-0000-0000-000035C10000}"/>
    <cellStyle name="Normal 30 2 8 13" xfId="49470" xr:uid="{00000000-0005-0000-0000-000036C10000}"/>
    <cellStyle name="Normal 30 2 8 13 2" xfId="49471" xr:uid="{00000000-0005-0000-0000-000037C10000}"/>
    <cellStyle name="Normal 30 2 8 13 3" xfId="49472" xr:uid="{00000000-0005-0000-0000-000038C10000}"/>
    <cellStyle name="Normal 30 2 8 14" xfId="49473" xr:uid="{00000000-0005-0000-0000-000039C10000}"/>
    <cellStyle name="Normal 30 2 8 14 2" xfId="49474" xr:uid="{00000000-0005-0000-0000-00003AC10000}"/>
    <cellStyle name="Normal 30 2 8 14 3" xfId="49475" xr:uid="{00000000-0005-0000-0000-00003BC10000}"/>
    <cellStyle name="Normal 30 2 8 15" xfId="49476" xr:uid="{00000000-0005-0000-0000-00003CC10000}"/>
    <cellStyle name="Normal 30 2 8 16" xfId="49477" xr:uid="{00000000-0005-0000-0000-00003DC10000}"/>
    <cellStyle name="Normal 30 2 8 2" xfId="49478" xr:uid="{00000000-0005-0000-0000-00003EC10000}"/>
    <cellStyle name="Normal 30 2 8 2 2" xfId="49479" xr:uid="{00000000-0005-0000-0000-00003FC10000}"/>
    <cellStyle name="Normal 30 2 8 2 3" xfId="49480" xr:uid="{00000000-0005-0000-0000-000040C10000}"/>
    <cellStyle name="Normal 30 2 8 3" xfId="49481" xr:uid="{00000000-0005-0000-0000-000041C10000}"/>
    <cellStyle name="Normal 30 2 8 3 2" xfId="49482" xr:uid="{00000000-0005-0000-0000-000042C10000}"/>
    <cellStyle name="Normal 30 2 8 3 3" xfId="49483" xr:uid="{00000000-0005-0000-0000-000043C10000}"/>
    <cellStyle name="Normal 30 2 8 4" xfId="49484" xr:uid="{00000000-0005-0000-0000-000044C10000}"/>
    <cellStyle name="Normal 30 2 8 4 2" xfId="49485" xr:uid="{00000000-0005-0000-0000-000045C10000}"/>
    <cellStyle name="Normal 30 2 8 4 3" xfId="49486" xr:uid="{00000000-0005-0000-0000-000046C10000}"/>
    <cellStyle name="Normal 30 2 8 5" xfId="49487" xr:uid="{00000000-0005-0000-0000-000047C10000}"/>
    <cellStyle name="Normal 30 2 8 5 2" xfId="49488" xr:uid="{00000000-0005-0000-0000-000048C10000}"/>
    <cellStyle name="Normal 30 2 8 5 3" xfId="49489" xr:uid="{00000000-0005-0000-0000-000049C10000}"/>
    <cellStyle name="Normal 30 2 8 6" xfId="49490" xr:uid="{00000000-0005-0000-0000-00004AC10000}"/>
    <cellStyle name="Normal 30 2 8 6 2" xfId="49491" xr:uid="{00000000-0005-0000-0000-00004BC10000}"/>
    <cellStyle name="Normal 30 2 8 6 3" xfId="49492" xr:uid="{00000000-0005-0000-0000-00004CC10000}"/>
    <cellStyle name="Normal 30 2 8 7" xfId="49493" xr:uid="{00000000-0005-0000-0000-00004DC10000}"/>
    <cellStyle name="Normal 30 2 8 7 2" xfId="49494" xr:uid="{00000000-0005-0000-0000-00004EC10000}"/>
    <cellStyle name="Normal 30 2 8 7 3" xfId="49495" xr:uid="{00000000-0005-0000-0000-00004FC10000}"/>
    <cellStyle name="Normal 30 2 8 8" xfId="49496" xr:uid="{00000000-0005-0000-0000-000050C10000}"/>
    <cellStyle name="Normal 30 2 8 8 2" xfId="49497" xr:uid="{00000000-0005-0000-0000-000051C10000}"/>
    <cellStyle name="Normal 30 2 8 8 3" xfId="49498" xr:uid="{00000000-0005-0000-0000-000052C10000}"/>
    <cellStyle name="Normal 30 2 8 9" xfId="49499" xr:uid="{00000000-0005-0000-0000-000053C10000}"/>
    <cellStyle name="Normal 30 2 8 9 2" xfId="49500" xr:uid="{00000000-0005-0000-0000-000054C10000}"/>
    <cellStyle name="Normal 30 2 8 9 3" xfId="49501" xr:uid="{00000000-0005-0000-0000-000055C10000}"/>
    <cellStyle name="Normal 30 2 9" xfId="49502" xr:uid="{00000000-0005-0000-0000-000056C10000}"/>
    <cellStyle name="Normal 30 2 9 10" xfId="49503" xr:uid="{00000000-0005-0000-0000-000057C10000}"/>
    <cellStyle name="Normal 30 2 9 10 2" xfId="49504" xr:uid="{00000000-0005-0000-0000-000058C10000}"/>
    <cellStyle name="Normal 30 2 9 10 3" xfId="49505" xr:uid="{00000000-0005-0000-0000-000059C10000}"/>
    <cellStyle name="Normal 30 2 9 11" xfId="49506" xr:uid="{00000000-0005-0000-0000-00005AC10000}"/>
    <cellStyle name="Normal 30 2 9 11 2" xfId="49507" xr:uid="{00000000-0005-0000-0000-00005BC10000}"/>
    <cellStyle name="Normal 30 2 9 11 3" xfId="49508" xr:uid="{00000000-0005-0000-0000-00005CC10000}"/>
    <cellStyle name="Normal 30 2 9 12" xfId="49509" xr:uid="{00000000-0005-0000-0000-00005DC10000}"/>
    <cellStyle name="Normal 30 2 9 12 2" xfId="49510" xr:uid="{00000000-0005-0000-0000-00005EC10000}"/>
    <cellStyle name="Normal 30 2 9 12 3" xfId="49511" xr:uid="{00000000-0005-0000-0000-00005FC10000}"/>
    <cellStyle name="Normal 30 2 9 13" xfId="49512" xr:uid="{00000000-0005-0000-0000-000060C10000}"/>
    <cellStyle name="Normal 30 2 9 13 2" xfId="49513" xr:uid="{00000000-0005-0000-0000-000061C10000}"/>
    <cellStyle name="Normal 30 2 9 13 3" xfId="49514" xr:uid="{00000000-0005-0000-0000-000062C10000}"/>
    <cellStyle name="Normal 30 2 9 14" xfId="49515" xr:uid="{00000000-0005-0000-0000-000063C10000}"/>
    <cellStyle name="Normal 30 2 9 14 2" xfId="49516" xr:uid="{00000000-0005-0000-0000-000064C10000}"/>
    <cellStyle name="Normal 30 2 9 14 3" xfId="49517" xr:uid="{00000000-0005-0000-0000-000065C10000}"/>
    <cellStyle name="Normal 30 2 9 15" xfId="49518" xr:uid="{00000000-0005-0000-0000-000066C10000}"/>
    <cellStyle name="Normal 30 2 9 16" xfId="49519" xr:uid="{00000000-0005-0000-0000-000067C10000}"/>
    <cellStyle name="Normal 30 2 9 2" xfId="49520" xr:uid="{00000000-0005-0000-0000-000068C10000}"/>
    <cellStyle name="Normal 30 2 9 2 2" xfId="49521" xr:uid="{00000000-0005-0000-0000-000069C10000}"/>
    <cellStyle name="Normal 30 2 9 2 3" xfId="49522" xr:uid="{00000000-0005-0000-0000-00006AC10000}"/>
    <cellStyle name="Normal 30 2 9 3" xfId="49523" xr:uid="{00000000-0005-0000-0000-00006BC10000}"/>
    <cellStyle name="Normal 30 2 9 3 2" xfId="49524" xr:uid="{00000000-0005-0000-0000-00006CC10000}"/>
    <cellStyle name="Normal 30 2 9 3 3" xfId="49525" xr:uid="{00000000-0005-0000-0000-00006DC10000}"/>
    <cellStyle name="Normal 30 2 9 4" xfId="49526" xr:uid="{00000000-0005-0000-0000-00006EC10000}"/>
    <cellStyle name="Normal 30 2 9 4 2" xfId="49527" xr:uid="{00000000-0005-0000-0000-00006FC10000}"/>
    <cellStyle name="Normal 30 2 9 4 3" xfId="49528" xr:uid="{00000000-0005-0000-0000-000070C10000}"/>
    <cellStyle name="Normal 30 2 9 5" xfId="49529" xr:uid="{00000000-0005-0000-0000-000071C10000}"/>
    <cellStyle name="Normal 30 2 9 5 2" xfId="49530" xr:uid="{00000000-0005-0000-0000-000072C10000}"/>
    <cellStyle name="Normal 30 2 9 5 3" xfId="49531" xr:uid="{00000000-0005-0000-0000-000073C10000}"/>
    <cellStyle name="Normal 30 2 9 6" xfId="49532" xr:uid="{00000000-0005-0000-0000-000074C10000}"/>
    <cellStyle name="Normal 30 2 9 6 2" xfId="49533" xr:uid="{00000000-0005-0000-0000-000075C10000}"/>
    <cellStyle name="Normal 30 2 9 6 3" xfId="49534" xr:uid="{00000000-0005-0000-0000-000076C10000}"/>
    <cellStyle name="Normal 30 2 9 7" xfId="49535" xr:uid="{00000000-0005-0000-0000-000077C10000}"/>
    <cellStyle name="Normal 30 2 9 7 2" xfId="49536" xr:uid="{00000000-0005-0000-0000-000078C10000}"/>
    <cellStyle name="Normal 30 2 9 7 3" xfId="49537" xr:uid="{00000000-0005-0000-0000-000079C10000}"/>
    <cellStyle name="Normal 30 2 9 8" xfId="49538" xr:uid="{00000000-0005-0000-0000-00007AC10000}"/>
    <cellStyle name="Normal 30 2 9 8 2" xfId="49539" xr:uid="{00000000-0005-0000-0000-00007BC10000}"/>
    <cellStyle name="Normal 30 2 9 8 3" xfId="49540" xr:uid="{00000000-0005-0000-0000-00007CC10000}"/>
    <cellStyle name="Normal 30 2 9 9" xfId="49541" xr:uid="{00000000-0005-0000-0000-00007DC10000}"/>
    <cellStyle name="Normal 30 2 9 9 2" xfId="49542" xr:uid="{00000000-0005-0000-0000-00007EC10000}"/>
    <cellStyle name="Normal 30 2 9 9 3" xfId="49543" xr:uid="{00000000-0005-0000-0000-00007FC10000}"/>
    <cellStyle name="Normal 30 3" xfId="49544" xr:uid="{00000000-0005-0000-0000-000080C10000}"/>
    <cellStyle name="Normal 30 3 10" xfId="49545" xr:uid="{00000000-0005-0000-0000-000081C10000}"/>
    <cellStyle name="Normal 30 3 10 10" xfId="49546" xr:uid="{00000000-0005-0000-0000-000082C10000}"/>
    <cellStyle name="Normal 30 3 10 10 2" xfId="49547" xr:uid="{00000000-0005-0000-0000-000083C10000}"/>
    <cellStyle name="Normal 30 3 10 10 3" xfId="49548" xr:uid="{00000000-0005-0000-0000-000084C10000}"/>
    <cellStyle name="Normal 30 3 10 11" xfId="49549" xr:uid="{00000000-0005-0000-0000-000085C10000}"/>
    <cellStyle name="Normal 30 3 10 11 2" xfId="49550" xr:uid="{00000000-0005-0000-0000-000086C10000}"/>
    <cellStyle name="Normal 30 3 10 11 3" xfId="49551" xr:uid="{00000000-0005-0000-0000-000087C10000}"/>
    <cellStyle name="Normal 30 3 10 12" xfId="49552" xr:uid="{00000000-0005-0000-0000-000088C10000}"/>
    <cellStyle name="Normal 30 3 10 12 2" xfId="49553" xr:uid="{00000000-0005-0000-0000-000089C10000}"/>
    <cellStyle name="Normal 30 3 10 12 3" xfId="49554" xr:uid="{00000000-0005-0000-0000-00008AC10000}"/>
    <cellStyle name="Normal 30 3 10 13" xfId="49555" xr:uid="{00000000-0005-0000-0000-00008BC10000}"/>
    <cellStyle name="Normal 30 3 10 13 2" xfId="49556" xr:uid="{00000000-0005-0000-0000-00008CC10000}"/>
    <cellStyle name="Normal 30 3 10 13 3" xfId="49557" xr:uid="{00000000-0005-0000-0000-00008DC10000}"/>
    <cellStyle name="Normal 30 3 10 14" xfId="49558" xr:uid="{00000000-0005-0000-0000-00008EC10000}"/>
    <cellStyle name="Normal 30 3 10 14 2" xfId="49559" xr:uid="{00000000-0005-0000-0000-00008FC10000}"/>
    <cellStyle name="Normal 30 3 10 14 3" xfId="49560" xr:uid="{00000000-0005-0000-0000-000090C10000}"/>
    <cellStyle name="Normal 30 3 10 15" xfId="49561" xr:uid="{00000000-0005-0000-0000-000091C10000}"/>
    <cellStyle name="Normal 30 3 10 16" xfId="49562" xr:uid="{00000000-0005-0000-0000-000092C10000}"/>
    <cellStyle name="Normal 30 3 10 2" xfId="49563" xr:uid="{00000000-0005-0000-0000-000093C10000}"/>
    <cellStyle name="Normal 30 3 10 2 2" xfId="49564" xr:uid="{00000000-0005-0000-0000-000094C10000}"/>
    <cellStyle name="Normal 30 3 10 2 3" xfId="49565" xr:uid="{00000000-0005-0000-0000-000095C10000}"/>
    <cellStyle name="Normal 30 3 10 3" xfId="49566" xr:uid="{00000000-0005-0000-0000-000096C10000}"/>
    <cellStyle name="Normal 30 3 10 3 2" xfId="49567" xr:uid="{00000000-0005-0000-0000-000097C10000}"/>
    <cellStyle name="Normal 30 3 10 3 3" xfId="49568" xr:uid="{00000000-0005-0000-0000-000098C10000}"/>
    <cellStyle name="Normal 30 3 10 4" xfId="49569" xr:uid="{00000000-0005-0000-0000-000099C10000}"/>
    <cellStyle name="Normal 30 3 10 4 2" xfId="49570" xr:uid="{00000000-0005-0000-0000-00009AC10000}"/>
    <cellStyle name="Normal 30 3 10 4 3" xfId="49571" xr:uid="{00000000-0005-0000-0000-00009BC10000}"/>
    <cellStyle name="Normal 30 3 10 5" xfId="49572" xr:uid="{00000000-0005-0000-0000-00009CC10000}"/>
    <cellStyle name="Normal 30 3 10 5 2" xfId="49573" xr:uid="{00000000-0005-0000-0000-00009DC10000}"/>
    <cellStyle name="Normal 30 3 10 5 3" xfId="49574" xr:uid="{00000000-0005-0000-0000-00009EC10000}"/>
    <cellStyle name="Normal 30 3 10 6" xfId="49575" xr:uid="{00000000-0005-0000-0000-00009FC10000}"/>
    <cellStyle name="Normal 30 3 10 6 2" xfId="49576" xr:uid="{00000000-0005-0000-0000-0000A0C10000}"/>
    <cellStyle name="Normal 30 3 10 6 3" xfId="49577" xr:uid="{00000000-0005-0000-0000-0000A1C10000}"/>
    <cellStyle name="Normal 30 3 10 7" xfId="49578" xr:uid="{00000000-0005-0000-0000-0000A2C10000}"/>
    <cellStyle name="Normal 30 3 10 7 2" xfId="49579" xr:uid="{00000000-0005-0000-0000-0000A3C10000}"/>
    <cellStyle name="Normal 30 3 10 7 3" xfId="49580" xr:uid="{00000000-0005-0000-0000-0000A4C10000}"/>
    <cellStyle name="Normal 30 3 10 8" xfId="49581" xr:uid="{00000000-0005-0000-0000-0000A5C10000}"/>
    <cellStyle name="Normal 30 3 10 8 2" xfId="49582" xr:uid="{00000000-0005-0000-0000-0000A6C10000}"/>
    <cellStyle name="Normal 30 3 10 8 3" xfId="49583" xr:uid="{00000000-0005-0000-0000-0000A7C10000}"/>
    <cellStyle name="Normal 30 3 10 9" xfId="49584" xr:uid="{00000000-0005-0000-0000-0000A8C10000}"/>
    <cellStyle name="Normal 30 3 10 9 2" xfId="49585" xr:uid="{00000000-0005-0000-0000-0000A9C10000}"/>
    <cellStyle name="Normal 30 3 10 9 3" xfId="49586" xr:uid="{00000000-0005-0000-0000-0000AAC10000}"/>
    <cellStyle name="Normal 30 3 11" xfId="49587" xr:uid="{00000000-0005-0000-0000-0000ABC10000}"/>
    <cellStyle name="Normal 30 3 11 10" xfId="49588" xr:uid="{00000000-0005-0000-0000-0000ACC10000}"/>
    <cellStyle name="Normal 30 3 11 10 2" xfId="49589" xr:uid="{00000000-0005-0000-0000-0000ADC10000}"/>
    <cellStyle name="Normal 30 3 11 10 3" xfId="49590" xr:uid="{00000000-0005-0000-0000-0000AEC10000}"/>
    <cellStyle name="Normal 30 3 11 11" xfId="49591" xr:uid="{00000000-0005-0000-0000-0000AFC10000}"/>
    <cellStyle name="Normal 30 3 11 11 2" xfId="49592" xr:uid="{00000000-0005-0000-0000-0000B0C10000}"/>
    <cellStyle name="Normal 30 3 11 11 3" xfId="49593" xr:uid="{00000000-0005-0000-0000-0000B1C10000}"/>
    <cellStyle name="Normal 30 3 11 12" xfId="49594" xr:uid="{00000000-0005-0000-0000-0000B2C10000}"/>
    <cellStyle name="Normal 30 3 11 12 2" xfId="49595" xr:uid="{00000000-0005-0000-0000-0000B3C10000}"/>
    <cellStyle name="Normal 30 3 11 12 3" xfId="49596" xr:uid="{00000000-0005-0000-0000-0000B4C10000}"/>
    <cellStyle name="Normal 30 3 11 13" xfId="49597" xr:uid="{00000000-0005-0000-0000-0000B5C10000}"/>
    <cellStyle name="Normal 30 3 11 13 2" xfId="49598" xr:uid="{00000000-0005-0000-0000-0000B6C10000}"/>
    <cellStyle name="Normal 30 3 11 13 3" xfId="49599" xr:uid="{00000000-0005-0000-0000-0000B7C10000}"/>
    <cellStyle name="Normal 30 3 11 14" xfId="49600" xr:uid="{00000000-0005-0000-0000-0000B8C10000}"/>
    <cellStyle name="Normal 30 3 11 14 2" xfId="49601" xr:uid="{00000000-0005-0000-0000-0000B9C10000}"/>
    <cellStyle name="Normal 30 3 11 14 3" xfId="49602" xr:uid="{00000000-0005-0000-0000-0000BAC10000}"/>
    <cellStyle name="Normal 30 3 11 15" xfId="49603" xr:uid="{00000000-0005-0000-0000-0000BBC10000}"/>
    <cellStyle name="Normal 30 3 11 16" xfId="49604" xr:uid="{00000000-0005-0000-0000-0000BCC10000}"/>
    <cellStyle name="Normal 30 3 11 2" xfId="49605" xr:uid="{00000000-0005-0000-0000-0000BDC10000}"/>
    <cellStyle name="Normal 30 3 11 2 2" xfId="49606" xr:uid="{00000000-0005-0000-0000-0000BEC10000}"/>
    <cellStyle name="Normal 30 3 11 2 3" xfId="49607" xr:uid="{00000000-0005-0000-0000-0000BFC10000}"/>
    <cellStyle name="Normal 30 3 11 3" xfId="49608" xr:uid="{00000000-0005-0000-0000-0000C0C10000}"/>
    <cellStyle name="Normal 30 3 11 3 2" xfId="49609" xr:uid="{00000000-0005-0000-0000-0000C1C10000}"/>
    <cellStyle name="Normal 30 3 11 3 3" xfId="49610" xr:uid="{00000000-0005-0000-0000-0000C2C10000}"/>
    <cellStyle name="Normal 30 3 11 4" xfId="49611" xr:uid="{00000000-0005-0000-0000-0000C3C10000}"/>
    <cellStyle name="Normal 30 3 11 4 2" xfId="49612" xr:uid="{00000000-0005-0000-0000-0000C4C10000}"/>
    <cellStyle name="Normal 30 3 11 4 3" xfId="49613" xr:uid="{00000000-0005-0000-0000-0000C5C10000}"/>
    <cellStyle name="Normal 30 3 11 5" xfId="49614" xr:uid="{00000000-0005-0000-0000-0000C6C10000}"/>
    <cellStyle name="Normal 30 3 11 5 2" xfId="49615" xr:uid="{00000000-0005-0000-0000-0000C7C10000}"/>
    <cellStyle name="Normal 30 3 11 5 3" xfId="49616" xr:uid="{00000000-0005-0000-0000-0000C8C10000}"/>
    <cellStyle name="Normal 30 3 11 6" xfId="49617" xr:uid="{00000000-0005-0000-0000-0000C9C10000}"/>
    <cellStyle name="Normal 30 3 11 6 2" xfId="49618" xr:uid="{00000000-0005-0000-0000-0000CAC10000}"/>
    <cellStyle name="Normal 30 3 11 6 3" xfId="49619" xr:uid="{00000000-0005-0000-0000-0000CBC10000}"/>
    <cellStyle name="Normal 30 3 11 7" xfId="49620" xr:uid="{00000000-0005-0000-0000-0000CCC10000}"/>
    <cellStyle name="Normal 30 3 11 7 2" xfId="49621" xr:uid="{00000000-0005-0000-0000-0000CDC10000}"/>
    <cellStyle name="Normal 30 3 11 7 3" xfId="49622" xr:uid="{00000000-0005-0000-0000-0000CEC10000}"/>
    <cellStyle name="Normal 30 3 11 8" xfId="49623" xr:uid="{00000000-0005-0000-0000-0000CFC10000}"/>
    <cellStyle name="Normal 30 3 11 8 2" xfId="49624" xr:uid="{00000000-0005-0000-0000-0000D0C10000}"/>
    <cellStyle name="Normal 30 3 11 8 3" xfId="49625" xr:uid="{00000000-0005-0000-0000-0000D1C10000}"/>
    <cellStyle name="Normal 30 3 11 9" xfId="49626" xr:uid="{00000000-0005-0000-0000-0000D2C10000}"/>
    <cellStyle name="Normal 30 3 11 9 2" xfId="49627" xr:uid="{00000000-0005-0000-0000-0000D3C10000}"/>
    <cellStyle name="Normal 30 3 11 9 3" xfId="49628" xr:uid="{00000000-0005-0000-0000-0000D4C10000}"/>
    <cellStyle name="Normal 30 3 12" xfId="49629" xr:uid="{00000000-0005-0000-0000-0000D5C10000}"/>
    <cellStyle name="Normal 30 3 12 10" xfId="49630" xr:uid="{00000000-0005-0000-0000-0000D6C10000}"/>
    <cellStyle name="Normal 30 3 12 10 2" xfId="49631" xr:uid="{00000000-0005-0000-0000-0000D7C10000}"/>
    <cellStyle name="Normal 30 3 12 10 3" xfId="49632" xr:uid="{00000000-0005-0000-0000-0000D8C10000}"/>
    <cellStyle name="Normal 30 3 12 11" xfId="49633" xr:uid="{00000000-0005-0000-0000-0000D9C10000}"/>
    <cellStyle name="Normal 30 3 12 11 2" xfId="49634" xr:uid="{00000000-0005-0000-0000-0000DAC10000}"/>
    <cellStyle name="Normal 30 3 12 11 3" xfId="49635" xr:uid="{00000000-0005-0000-0000-0000DBC10000}"/>
    <cellStyle name="Normal 30 3 12 12" xfId="49636" xr:uid="{00000000-0005-0000-0000-0000DCC10000}"/>
    <cellStyle name="Normal 30 3 12 12 2" xfId="49637" xr:uid="{00000000-0005-0000-0000-0000DDC10000}"/>
    <cellStyle name="Normal 30 3 12 12 3" xfId="49638" xr:uid="{00000000-0005-0000-0000-0000DEC10000}"/>
    <cellStyle name="Normal 30 3 12 13" xfId="49639" xr:uid="{00000000-0005-0000-0000-0000DFC10000}"/>
    <cellStyle name="Normal 30 3 12 13 2" xfId="49640" xr:uid="{00000000-0005-0000-0000-0000E0C10000}"/>
    <cellStyle name="Normal 30 3 12 13 3" xfId="49641" xr:uid="{00000000-0005-0000-0000-0000E1C10000}"/>
    <cellStyle name="Normal 30 3 12 14" xfId="49642" xr:uid="{00000000-0005-0000-0000-0000E2C10000}"/>
    <cellStyle name="Normal 30 3 12 14 2" xfId="49643" xr:uid="{00000000-0005-0000-0000-0000E3C10000}"/>
    <cellStyle name="Normal 30 3 12 14 3" xfId="49644" xr:uid="{00000000-0005-0000-0000-0000E4C10000}"/>
    <cellStyle name="Normal 30 3 12 15" xfId="49645" xr:uid="{00000000-0005-0000-0000-0000E5C10000}"/>
    <cellStyle name="Normal 30 3 12 16" xfId="49646" xr:uid="{00000000-0005-0000-0000-0000E6C10000}"/>
    <cellStyle name="Normal 30 3 12 2" xfId="49647" xr:uid="{00000000-0005-0000-0000-0000E7C10000}"/>
    <cellStyle name="Normal 30 3 12 2 2" xfId="49648" xr:uid="{00000000-0005-0000-0000-0000E8C10000}"/>
    <cellStyle name="Normal 30 3 12 2 3" xfId="49649" xr:uid="{00000000-0005-0000-0000-0000E9C10000}"/>
    <cellStyle name="Normal 30 3 12 3" xfId="49650" xr:uid="{00000000-0005-0000-0000-0000EAC10000}"/>
    <cellStyle name="Normal 30 3 12 3 2" xfId="49651" xr:uid="{00000000-0005-0000-0000-0000EBC10000}"/>
    <cellStyle name="Normal 30 3 12 3 3" xfId="49652" xr:uid="{00000000-0005-0000-0000-0000ECC10000}"/>
    <cellStyle name="Normal 30 3 12 4" xfId="49653" xr:uid="{00000000-0005-0000-0000-0000EDC10000}"/>
    <cellStyle name="Normal 30 3 12 4 2" xfId="49654" xr:uid="{00000000-0005-0000-0000-0000EEC10000}"/>
    <cellStyle name="Normal 30 3 12 4 3" xfId="49655" xr:uid="{00000000-0005-0000-0000-0000EFC10000}"/>
    <cellStyle name="Normal 30 3 12 5" xfId="49656" xr:uid="{00000000-0005-0000-0000-0000F0C10000}"/>
    <cellStyle name="Normal 30 3 12 5 2" xfId="49657" xr:uid="{00000000-0005-0000-0000-0000F1C10000}"/>
    <cellStyle name="Normal 30 3 12 5 3" xfId="49658" xr:uid="{00000000-0005-0000-0000-0000F2C10000}"/>
    <cellStyle name="Normal 30 3 12 6" xfId="49659" xr:uid="{00000000-0005-0000-0000-0000F3C10000}"/>
    <cellStyle name="Normal 30 3 12 6 2" xfId="49660" xr:uid="{00000000-0005-0000-0000-0000F4C10000}"/>
    <cellStyle name="Normal 30 3 12 6 3" xfId="49661" xr:uid="{00000000-0005-0000-0000-0000F5C10000}"/>
    <cellStyle name="Normal 30 3 12 7" xfId="49662" xr:uid="{00000000-0005-0000-0000-0000F6C10000}"/>
    <cellStyle name="Normal 30 3 12 7 2" xfId="49663" xr:uid="{00000000-0005-0000-0000-0000F7C10000}"/>
    <cellStyle name="Normal 30 3 12 7 3" xfId="49664" xr:uid="{00000000-0005-0000-0000-0000F8C10000}"/>
    <cellStyle name="Normal 30 3 12 8" xfId="49665" xr:uid="{00000000-0005-0000-0000-0000F9C10000}"/>
    <cellStyle name="Normal 30 3 12 8 2" xfId="49666" xr:uid="{00000000-0005-0000-0000-0000FAC10000}"/>
    <cellStyle name="Normal 30 3 12 8 3" xfId="49667" xr:uid="{00000000-0005-0000-0000-0000FBC10000}"/>
    <cellStyle name="Normal 30 3 12 9" xfId="49668" xr:uid="{00000000-0005-0000-0000-0000FCC10000}"/>
    <cellStyle name="Normal 30 3 12 9 2" xfId="49669" xr:uid="{00000000-0005-0000-0000-0000FDC10000}"/>
    <cellStyle name="Normal 30 3 12 9 3" xfId="49670" xr:uid="{00000000-0005-0000-0000-0000FEC10000}"/>
    <cellStyle name="Normal 30 3 13" xfId="49671" xr:uid="{00000000-0005-0000-0000-0000FFC10000}"/>
    <cellStyle name="Normal 30 3 13 10" xfId="49672" xr:uid="{00000000-0005-0000-0000-000000C20000}"/>
    <cellStyle name="Normal 30 3 13 10 2" xfId="49673" xr:uid="{00000000-0005-0000-0000-000001C20000}"/>
    <cellStyle name="Normal 30 3 13 10 3" xfId="49674" xr:uid="{00000000-0005-0000-0000-000002C20000}"/>
    <cellStyle name="Normal 30 3 13 11" xfId="49675" xr:uid="{00000000-0005-0000-0000-000003C20000}"/>
    <cellStyle name="Normal 30 3 13 11 2" xfId="49676" xr:uid="{00000000-0005-0000-0000-000004C20000}"/>
    <cellStyle name="Normal 30 3 13 11 3" xfId="49677" xr:uid="{00000000-0005-0000-0000-000005C20000}"/>
    <cellStyle name="Normal 30 3 13 12" xfId="49678" xr:uid="{00000000-0005-0000-0000-000006C20000}"/>
    <cellStyle name="Normal 30 3 13 12 2" xfId="49679" xr:uid="{00000000-0005-0000-0000-000007C20000}"/>
    <cellStyle name="Normal 30 3 13 12 3" xfId="49680" xr:uid="{00000000-0005-0000-0000-000008C20000}"/>
    <cellStyle name="Normal 30 3 13 13" xfId="49681" xr:uid="{00000000-0005-0000-0000-000009C20000}"/>
    <cellStyle name="Normal 30 3 13 13 2" xfId="49682" xr:uid="{00000000-0005-0000-0000-00000AC20000}"/>
    <cellStyle name="Normal 30 3 13 13 3" xfId="49683" xr:uid="{00000000-0005-0000-0000-00000BC20000}"/>
    <cellStyle name="Normal 30 3 13 14" xfId="49684" xr:uid="{00000000-0005-0000-0000-00000CC20000}"/>
    <cellStyle name="Normal 30 3 13 14 2" xfId="49685" xr:uid="{00000000-0005-0000-0000-00000DC20000}"/>
    <cellStyle name="Normal 30 3 13 14 3" xfId="49686" xr:uid="{00000000-0005-0000-0000-00000EC20000}"/>
    <cellStyle name="Normal 30 3 13 15" xfId="49687" xr:uid="{00000000-0005-0000-0000-00000FC20000}"/>
    <cellStyle name="Normal 30 3 13 16" xfId="49688" xr:uid="{00000000-0005-0000-0000-000010C20000}"/>
    <cellStyle name="Normal 30 3 13 2" xfId="49689" xr:uid="{00000000-0005-0000-0000-000011C20000}"/>
    <cellStyle name="Normal 30 3 13 2 2" xfId="49690" xr:uid="{00000000-0005-0000-0000-000012C20000}"/>
    <cellStyle name="Normal 30 3 13 2 3" xfId="49691" xr:uid="{00000000-0005-0000-0000-000013C20000}"/>
    <cellStyle name="Normal 30 3 13 3" xfId="49692" xr:uid="{00000000-0005-0000-0000-000014C20000}"/>
    <cellStyle name="Normal 30 3 13 3 2" xfId="49693" xr:uid="{00000000-0005-0000-0000-000015C20000}"/>
    <cellStyle name="Normal 30 3 13 3 3" xfId="49694" xr:uid="{00000000-0005-0000-0000-000016C20000}"/>
    <cellStyle name="Normal 30 3 13 4" xfId="49695" xr:uid="{00000000-0005-0000-0000-000017C20000}"/>
    <cellStyle name="Normal 30 3 13 4 2" xfId="49696" xr:uid="{00000000-0005-0000-0000-000018C20000}"/>
    <cellStyle name="Normal 30 3 13 4 3" xfId="49697" xr:uid="{00000000-0005-0000-0000-000019C20000}"/>
    <cellStyle name="Normal 30 3 13 5" xfId="49698" xr:uid="{00000000-0005-0000-0000-00001AC20000}"/>
    <cellStyle name="Normal 30 3 13 5 2" xfId="49699" xr:uid="{00000000-0005-0000-0000-00001BC20000}"/>
    <cellStyle name="Normal 30 3 13 5 3" xfId="49700" xr:uid="{00000000-0005-0000-0000-00001CC20000}"/>
    <cellStyle name="Normal 30 3 13 6" xfId="49701" xr:uid="{00000000-0005-0000-0000-00001DC20000}"/>
    <cellStyle name="Normal 30 3 13 6 2" xfId="49702" xr:uid="{00000000-0005-0000-0000-00001EC20000}"/>
    <cellStyle name="Normal 30 3 13 6 3" xfId="49703" xr:uid="{00000000-0005-0000-0000-00001FC20000}"/>
    <cellStyle name="Normal 30 3 13 7" xfId="49704" xr:uid="{00000000-0005-0000-0000-000020C20000}"/>
    <cellStyle name="Normal 30 3 13 7 2" xfId="49705" xr:uid="{00000000-0005-0000-0000-000021C20000}"/>
    <cellStyle name="Normal 30 3 13 7 3" xfId="49706" xr:uid="{00000000-0005-0000-0000-000022C20000}"/>
    <cellStyle name="Normal 30 3 13 8" xfId="49707" xr:uid="{00000000-0005-0000-0000-000023C20000}"/>
    <cellStyle name="Normal 30 3 13 8 2" xfId="49708" xr:uid="{00000000-0005-0000-0000-000024C20000}"/>
    <cellStyle name="Normal 30 3 13 8 3" xfId="49709" xr:uid="{00000000-0005-0000-0000-000025C20000}"/>
    <cellStyle name="Normal 30 3 13 9" xfId="49710" xr:uid="{00000000-0005-0000-0000-000026C20000}"/>
    <cellStyle name="Normal 30 3 13 9 2" xfId="49711" xr:uid="{00000000-0005-0000-0000-000027C20000}"/>
    <cellStyle name="Normal 30 3 13 9 3" xfId="49712" xr:uid="{00000000-0005-0000-0000-000028C20000}"/>
    <cellStyle name="Normal 30 3 14" xfId="49713" xr:uid="{00000000-0005-0000-0000-000029C20000}"/>
    <cellStyle name="Normal 30 3 14 10" xfId="49714" xr:uid="{00000000-0005-0000-0000-00002AC20000}"/>
    <cellStyle name="Normal 30 3 14 10 2" xfId="49715" xr:uid="{00000000-0005-0000-0000-00002BC20000}"/>
    <cellStyle name="Normal 30 3 14 10 3" xfId="49716" xr:uid="{00000000-0005-0000-0000-00002CC20000}"/>
    <cellStyle name="Normal 30 3 14 11" xfId="49717" xr:uid="{00000000-0005-0000-0000-00002DC20000}"/>
    <cellStyle name="Normal 30 3 14 11 2" xfId="49718" xr:uid="{00000000-0005-0000-0000-00002EC20000}"/>
    <cellStyle name="Normal 30 3 14 11 3" xfId="49719" xr:uid="{00000000-0005-0000-0000-00002FC20000}"/>
    <cellStyle name="Normal 30 3 14 12" xfId="49720" xr:uid="{00000000-0005-0000-0000-000030C20000}"/>
    <cellStyle name="Normal 30 3 14 12 2" xfId="49721" xr:uid="{00000000-0005-0000-0000-000031C20000}"/>
    <cellStyle name="Normal 30 3 14 12 3" xfId="49722" xr:uid="{00000000-0005-0000-0000-000032C20000}"/>
    <cellStyle name="Normal 30 3 14 13" xfId="49723" xr:uid="{00000000-0005-0000-0000-000033C20000}"/>
    <cellStyle name="Normal 30 3 14 13 2" xfId="49724" xr:uid="{00000000-0005-0000-0000-000034C20000}"/>
    <cellStyle name="Normal 30 3 14 13 3" xfId="49725" xr:uid="{00000000-0005-0000-0000-000035C20000}"/>
    <cellStyle name="Normal 30 3 14 14" xfId="49726" xr:uid="{00000000-0005-0000-0000-000036C20000}"/>
    <cellStyle name="Normal 30 3 14 14 2" xfId="49727" xr:uid="{00000000-0005-0000-0000-000037C20000}"/>
    <cellStyle name="Normal 30 3 14 14 3" xfId="49728" xr:uid="{00000000-0005-0000-0000-000038C20000}"/>
    <cellStyle name="Normal 30 3 14 15" xfId="49729" xr:uid="{00000000-0005-0000-0000-000039C20000}"/>
    <cellStyle name="Normal 30 3 14 16" xfId="49730" xr:uid="{00000000-0005-0000-0000-00003AC20000}"/>
    <cellStyle name="Normal 30 3 14 2" xfId="49731" xr:uid="{00000000-0005-0000-0000-00003BC20000}"/>
    <cellStyle name="Normal 30 3 14 2 2" xfId="49732" xr:uid="{00000000-0005-0000-0000-00003CC20000}"/>
    <cellStyle name="Normal 30 3 14 2 3" xfId="49733" xr:uid="{00000000-0005-0000-0000-00003DC20000}"/>
    <cellStyle name="Normal 30 3 14 3" xfId="49734" xr:uid="{00000000-0005-0000-0000-00003EC20000}"/>
    <cellStyle name="Normal 30 3 14 3 2" xfId="49735" xr:uid="{00000000-0005-0000-0000-00003FC20000}"/>
    <cellStyle name="Normal 30 3 14 3 3" xfId="49736" xr:uid="{00000000-0005-0000-0000-000040C20000}"/>
    <cellStyle name="Normal 30 3 14 4" xfId="49737" xr:uid="{00000000-0005-0000-0000-000041C20000}"/>
    <cellStyle name="Normal 30 3 14 4 2" xfId="49738" xr:uid="{00000000-0005-0000-0000-000042C20000}"/>
    <cellStyle name="Normal 30 3 14 4 3" xfId="49739" xr:uid="{00000000-0005-0000-0000-000043C20000}"/>
    <cellStyle name="Normal 30 3 14 5" xfId="49740" xr:uid="{00000000-0005-0000-0000-000044C20000}"/>
    <cellStyle name="Normal 30 3 14 5 2" xfId="49741" xr:uid="{00000000-0005-0000-0000-000045C20000}"/>
    <cellStyle name="Normal 30 3 14 5 3" xfId="49742" xr:uid="{00000000-0005-0000-0000-000046C20000}"/>
    <cellStyle name="Normal 30 3 14 6" xfId="49743" xr:uid="{00000000-0005-0000-0000-000047C20000}"/>
    <cellStyle name="Normal 30 3 14 6 2" xfId="49744" xr:uid="{00000000-0005-0000-0000-000048C20000}"/>
    <cellStyle name="Normal 30 3 14 6 3" xfId="49745" xr:uid="{00000000-0005-0000-0000-000049C20000}"/>
    <cellStyle name="Normal 30 3 14 7" xfId="49746" xr:uid="{00000000-0005-0000-0000-00004AC20000}"/>
    <cellStyle name="Normal 30 3 14 7 2" xfId="49747" xr:uid="{00000000-0005-0000-0000-00004BC20000}"/>
    <cellStyle name="Normal 30 3 14 7 3" xfId="49748" xr:uid="{00000000-0005-0000-0000-00004CC20000}"/>
    <cellStyle name="Normal 30 3 14 8" xfId="49749" xr:uid="{00000000-0005-0000-0000-00004DC20000}"/>
    <cellStyle name="Normal 30 3 14 8 2" xfId="49750" xr:uid="{00000000-0005-0000-0000-00004EC20000}"/>
    <cellStyle name="Normal 30 3 14 8 3" xfId="49751" xr:uid="{00000000-0005-0000-0000-00004FC20000}"/>
    <cellStyle name="Normal 30 3 14 9" xfId="49752" xr:uid="{00000000-0005-0000-0000-000050C20000}"/>
    <cellStyle name="Normal 30 3 14 9 2" xfId="49753" xr:uid="{00000000-0005-0000-0000-000051C20000}"/>
    <cellStyle name="Normal 30 3 14 9 3" xfId="49754" xr:uid="{00000000-0005-0000-0000-000052C20000}"/>
    <cellStyle name="Normal 30 3 15" xfId="49755" xr:uid="{00000000-0005-0000-0000-000053C20000}"/>
    <cellStyle name="Normal 30 3 15 10" xfId="49756" xr:uid="{00000000-0005-0000-0000-000054C20000}"/>
    <cellStyle name="Normal 30 3 15 10 2" xfId="49757" xr:uid="{00000000-0005-0000-0000-000055C20000}"/>
    <cellStyle name="Normal 30 3 15 10 3" xfId="49758" xr:uid="{00000000-0005-0000-0000-000056C20000}"/>
    <cellStyle name="Normal 30 3 15 11" xfId="49759" xr:uid="{00000000-0005-0000-0000-000057C20000}"/>
    <cellStyle name="Normal 30 3 15 11 2" xfId="49760" xr:uid="{00000000-0005-0000-0000-000058C20000}"/>
    <cellStyle name="Normal 30 3 15 11 3" xfId="49761" xr:uid="{00000000-0005-0000-0000-000059C20000}"/>
    <cellStyle name="Normal 30 3 15 12" xfId="49762" xr:uid="{00000000-0005-0000-0000-00005AC20000}"/>
    <cellStyle name="Normal 30 3 15 12 2" xfId="49763" xr:uid="{00000000-0005-0000-0000-00005BC20000}"/>
    <cellStyle name="Normal 30 3 15 12 3" xfId="49764" xr:uid="{00000000-0005-0000-0000-00005CC20000}"/>
    <cellStyle name="Normal 30 3 15 13" xfId="49765" xr:uid="{00000000-0005-0000-0000-00005DC20000}"/>
    <cellStyle name="Normal 30 3 15 13 2" xfId="49766" xr:uid="{00000000-0005-0000-0000-00005EC20000}"/>
    <cellStyle name="Normal 30 3 15 13 3" xfId="49767" xr:uid="{00000000-0005-0000-0000-00005FC20000}"/>
    <cellStyle name="Normal 30 3 15 14" xfId="49768" xr:uid="{00000000-0005-0000-0000-000060C20000}"/>
    <cellStyle name="Normal 30 3 15 14 2" xfId="49769" xr:uid="{00000000-0005-0000-0000-000061C20000}"/>
    <cellStyle name="Normal 30 3 15 14 3" xfId="49770" xr:uid="{00000000-0005-0000-0000-000062C20000}"/>
    <cellStyle name="Normal 30 3 15 15" xfId="49771" xr:uid="{00000000-0005-0000-0000-000063C20000}"/>
    <cellStyle name="Normal 30 3 15 16" xfId="49772" xr:uid="{00000000-0005-0000-0000-000064C20000}"/>
    <cellStyle name="Normal 30 3 15 2" xfId="49773" xr:uid="{00000000-0005-0000-0000-000065C20000}"/>
    <cellStyle name="Normal 30 3 15 2 2" xfId="49774" xr:uid="{00000000-0005-0000-0000-000066C20000}"/>
    <cellStyle name="Normal 30 3 15 2 3" xfId="49775" xr:uid="{00000000-0005-0000-0000-000067C20000}"/>
    <cellStyle name="Normal 30 3 15 3" xfId="49776" xr:uid="{00000000-0005-0000-0000-000068C20000}"/>
    <cellStyle name="Normal 30 3 15 3 2" xfId="49777" xr:uid="{00000000-0005-0000-0000-000069C20000}"/>
    <cellStyle name="Normal 30 3 15 3 3" xfId="49778" xr:uid="{00000000-0005-0000-0000-00006AC20000}"/>
    <cellStyle name="Normal 30 3 15 4" xfId="49779" xr:uid="{00000000-0005-0000-0000-00006BC20000}"/>
    <cellStyle name="Normal 30 3 15 4 2" xfId="49780" xr:uid="{00000000-0005-0000-0000-00006CC20000}"/>
    <cellStyle name="Normal 30 3 15 4 3" xfId="49781" xr:uid="{00000000-0005-0000-0000-00006DC20000}"/>
    <cellStyle name="Normal 30 3 15 5" xfId="49782" xr:uid="{00000000-0005-0000-0000-00006EC20000}"/>
    <cellStyle name="Normal 30 3 15 5 2" xfId="49783" xr:uid="{00000000-0005-0000-0000-00006FC20000}"/>
    <cellStyle name="Normal 30 3 15 5 3" xfId="49784" xr:uid="{00000000-0005-0000-0000-000070C20000}"/>
    <cellStyle name="Normal 30 3 15 6" xfId="49785" xr:uid="{00000000-0005-0000-0000-000071C20000}"/>
    <cellStyle name="Normal 30 3 15 6 2" xfId="49786" xr:uid="{00000000-0005-0000-0000-000072C20000}"/>
    <cellStyle name="Normal 30 3 15 6 3" xfId="49787" xr:uid="{00000000-0005-0000-0000-000073C20000}"/>
    <cellStyle name="Normal 30 3 15 7" xfId="49788" xr:uid="{00000000-0005-0000-0000-000074C20000}"/>
    <cellStyle name="Normal 30 3 15 7 2" xfId="49789" xr:uid="{00000000-0005-0000-0000-000075C20000}"/>
    <cellStyle name="Normal 30 3 15 7 3" xfId="49790" xr:uid="{00000000-0005-0000-0000-000076C20000}"/>
    <cellStyle name="Normal 30 3 15 8" xfId="49791" xr:uid="{00000000-0005-0000-0000-000077C20000}"/>
    <cellStyle name="Normal 30 3 15 8 2" xfId="49792" xr:uid="{00000000-0005-0000-0000-000078C20000}"/>
    <cellStyle name="Normal 30 3 15 8 3" xfId="49793" xr:uid="{00000000-0005-0000-0000-000079C20000}"/>
    <cellStyle name="Normal 30 3 15 9" xfId="49794" xr:uid="{00000000-0005-0000-0000-00007AC20000}"/>
    <cellStyle name="Normal 30 3 15 9 2" xfId="49795" xr:uid="{00000000-0005-0000-0000-00007BC20000}"/>
    <cellStyle name="Normal 30 3 15 9 3" xfId="49796" xr:uid="{00000000-0005-0000-0000-00007CC20000}"/>
    <cellStyle name="Normal 30 3 16" xfId="49797" xr:uid="{00000000-0005-0000-0000-00007DC20000}"/>
    <cellStyle name="Normal 30 3 16 2" xfId="49798" xr:uid="{00000000-0005-0000-0000-00007EC20000}"/>
    <cellStyle name="Normal 30 3 16 3" xfId="49799" xr:uid="{00000000-0005-0000-0000-00007FC20000}"/>
    <cellStyle name="Normal 30 3 17" xfId="49800" xr:uid="{00000000-0005-0000-0000-000080C20000}"/>
    <cellStyle name="Normal 30 3 17 2" xfId="49801" xr:uid="{00000000-0005-0000-0000-000081C20000}"/>
    <cellStyle name="Normal 30 3 17 3" xfId="49802" xr:uid="{00000000-0005-0000-0000-000082C20000}"/>
    <cellStyle name="Normal 30 3 18" xfId="49803" xr:uid="{00000000-0005-0000-0000-000083C20000}"/>
    <cellStyle name="Normal 30 3 18 2" xfId="49804" xr:uid="{00000000-0005-0000-0000-000084C20000}"/>
    <cellStyle name="Normal 30 3 18 3" xfId="49805" xr:uid="{00000000-0005-0000-0000-000085C20000}"/>
    <cellStyle name="Normal 30 3 19" xfId="49806" xr:uid="{00000000-0005-0000-0000-000086C20000}"/>
    <cellStyle name="Normal 30 3 19 2" xfId="49807" xr:uid="{00000000-0005-0000-0000-000087C20000}"/>
    <cellStyle name="Normal 30 3 19 3" xfId="49808" xr:uid="{00000000-0005-0000-0000-000088C20000}"/>
    <cellStyle name="Normal 30 3 2" xfId="49809" xr:uid="{00000000-0005-0000-0000-000089C20000}"/>
    <cellStyle name="Normal 30 3 2 10" xfId="49810" xr:uid="{00000000-0005-0000-0000-00008AC20000}"/>
    <cellStyle name="Normal 30 3 2 10 2" xfId="49811" xr:uid="{00000000-0005-0000-0000-00008BC20000}"/>
    <cellStyle name="Normal 30 3 2 10 3" xfId="49812" xr:uid="{00000000-0005-0000-0000-00008CC20000}"/>
    <cellStyle name="Normal 30 3 2 11" xfId="49813" xr:uid="{00000000-0005-0000-0000-00008DC20000}"/>
    <cellStyle name="Normal 30 3 2 11 2" xfId="49814" xr:uid="{00000000-0005-0000-0000-00008EC20000}"/>
    <cellStyle name="Normal 30 3 2 11 3" xfId="49815" xr:uid="{00000000-0005-0000-0000-00008FC20000}"/>
    <cellStyle name="Normal 30 3 2 12" xfId="49816" xr:uid="{00000000-0005-0000-0000-000090C20000}"/>
    <cellStyle name="Normal 30 3 2 12 2" xfId="49817" xr:uid="{00000000-0005-0000-0000-000091C20000}"/>
    <cellStyle name="Normal 30 3 2 12 3" xfId="49818" xr:uid="{00000000-0005-0000-0000-000092C20000}"/>
    <cellStyle name="Normal 30 3 2 13" xfId="49819" xr:uid="{00000000-0005-0000-0000-000093C20000}"/>
    <cellStyle name="Normal 30 3 2 13 2" xfId="49820" xr:uid="{00000000-0005-0000-0000-000094C20000}"/>
    <cellStyle name="Normal 30 3 2 13 3" xfId="49821" xr:uid="{00000000-0005-0000-0000-000095C20000}"/>
    <cellStyle name="Normal 30 3 2 14" xfId="49822" xr:uid="{00000000-0005-0000-0000-000096C20000}"/>
    <cellStyle name="Normal 30 3 2 14 2" xfId="49823" xr:uid="{00000000-0005-0000-0000-000097C20000}"/>
    <cellStyle name="Normal 30 3 2 14 3" xfId="49824" xr:uid="{00000000-0005-0000-0000-000098C20000}"/>
    <cellStyle name="Normal 30 3 2 15" xfId="49825" xr:uid="{00000000-0005-0000-0000-000099C20000}"/>
    <cellStyle name="Normal 30 3 2 15 2" xfId="49826" xr:uid="{00000000-0005-0000-0000-00009AC20000}"/>
    <cellStyle name="Normal 30 3 2 15 3" xfId="49827" xr:uid="{00000000-0005-0000-0000-00009BC20000}"/>
    <cellStyle name="Normal 30 3 2 16" xfId="49828" xr:uid="{00000000-0005-0000-0000-00009CC20000}"/>
    <cellStyle name="Normal 30 3 2 17" xfId="49829" xr:uid="{00000000-0005-0000-0000-00009DC20000}"/>
    <cellStyle name="Normal 30 3 2 2" xfId="49830" xr:uid="{00000000-0005-0000-0000-00009EC20000}"/>
    <cellStyle name="Normal 30 3 2 2 10" xfId="49831" xr:uid="{00000000-0005-0000-0000-00009FC20000}"/>
    <cellStyle name="Normal 30 3 2 2 10 2" xfId="49832" xr:uid="{00000000-0005-0000-0000-0000A0C20000}"/>
    <cellStyle name="Normal 30 3 2 2 10 3" xfId="49833" xr:uid="{00000000-0005-0000-0000-0000A1C20000}"/>
    <cellStyle name="Normal 30 3 2 2 11" xfId="49834" xr:uid="{00000000-0005-0000-0000-0000A2C20000}"/>
    <cellStyle name="Normal 30 3 2 2 11 2" xfId="49835" xr:uid="{00000000-0005-0000-0000-0000A3C20000}"/>
    <cellStyle name="Normal 30 3 2 2 11 3" xfId="49836" xr:uid="{00000000-0005-0000-0000-0000A4C20000}"/>
    <cellStyle name="Normal 30 3 2 2 12" xfId="49837" xr:uid="{00000000-0005-0000-0000-0000A5C20000}"/>
    <cellStyle name="Normal 30 3 2 2 12 2" xfId="49838" xr:uid="{00000000-0005-0000-0000-0000A6C20000}"/>
    <cellStyle name="Normal 30 3 2 2 12 3" xfId="49839" xr:uid="{00000000-0005-0000-0000-0000A7C20000}"/>
    <cellStyle name="Normal 30 3 2 2 13" xfId="49840" xr:uid="{00000000-0005-0000-0000-0000A8C20000}"/>
    <cellStyle name="Normal 30 3 2 2 13 2" xfId="49841" xr:uid="{00000000-0005-0000-0000-0000A9C20000}"/>
    <cellStyle name="Normal 30 3 2 2 13 3" xfId="49842" xr:uid="{00000000-0005-0000-0000-0000AAC20000}"/>
    <cellStyle name="Normal 30 3 2 2 14" xfId="49843" xr:uid="{00000000-0005-0000-0000-0000ABC20000}"/>
    <cellStyle name="Normal 30 3 2 2 14 2" xfId="49844" xr:uid="{00000000-0005-0000-0000-0000ACC20000}"/>
    <cellStyle name="Normal 30 3 2 2 14 3" xfId="49845" xr:uid="{00000000-0005-0000-0000-0000ADC20000}"/>
    <cellStyle name="Normal 30 3 2 2 15" xfId="49846" xr:uid="{00000000-0005-0000-0000-0000AEC20000}"/>
    <cellStyle name="Normal 30 3 2 2 16" xfId="49847" xr:uid="{00000000-0005-0000-0000-0000AFC20000}"/>
    <cellStyle name="Normal 30 3 2 2 2" xfId="49848" xr:uid="{00000000-0005-0000-0000-0000B0C20000}"/>
    <cellStyle name="Normal 30 3 2 2 2 2" xfId="49849" xr:uid="{00000000-0005-0000-0000-0000B1C20000}"/>
    <cellStyle name="Normal 30 3 2 2 2 3" xfId="49850" xr:uid="{00000000-0005-0000-0000-0000B2C20000}"/>
    <cellStyle name="Normal 30 3 2 2 3" xfId="49851" xr:uid="{00000000-0005-0000-0000-0000B3C20000}"/>
    <cellStyle name="Normal 30 3 2 2 3 2" xfId="49852" xr:uid="{00000000-0005-0000-0000-0000B4C20000}"/>
    <cellStyle name="Normal 30 3 2 2 3 3" xfId="49853" xr:uid="{00000000-0005-0000-0000-0000B5C20000}"/>
    <cellStyle name="Normal 30 3 2 2 4" xfId="49854" xr:uid="{00000000-0005-0000-0000-0000B6C20000}"/>
    <cellStyle name="Normal 30 3 2 2 4 2" xfId="49855" xr:uid="{00000000-0005-0000-0000-0000B7C20000}"/>
    <cellStyle name="Normal 30 3 2 2 4 3" xfId="49856" xr:uid="{00000000-0005-0000-0000-0000B8C20000}"/>
    <cellStyle name="Normal 30 3 2 2 5" xfId="49857" xr:uid="{00000000-0005-0000-0000-0000B9C20000}"/>
    <cellStyle name="Normal 30 3 2 2 5 2" xfId="49858" xr:uid="{00000000-0005-0000-0000-0000BAC20000}"/>
    <cellStyle name="Normal 30 3 2 2 5 3" xfId="49859" xr:uid="{00000000-0005-0000-0000-0000BBC20000}"/>
    <cellStyle name="Normal 30 3 2 2 6" xfId="49860" xr:uid="{00000000-0005-0000-0000-0000BCC20000}"/>
    <cellStyle name="Normal 30 3 2 2 6 2" xfId="49861" xr:uid="{00000000-0005-0000-0000-0000BDC20000}"/>
    <cellStyle name="Normal 30 3 2 2 6 3" xfId="49862" xr:uid="{00000000-0005-0000-0000-0000BEC20000}"/>
    <cellStyle name="Normal 30 3 2 2 7" xfId="49863" xr:uid="{00000000-0005-0000-0000-0000BFC20000}"/>
    <cellStyle name="Normal 30 3 2 2 7 2" xfId="49864" xr:uid="{00000000-0005-0000-0000-0000C0C20000}"/>
    <cellStyle name="Normal 30 3 2 2 7 3" xfId="49865" xr:uid="{00000000-0005-0000-0000-0000C1C20000}"/>
    <cellStyle name="Normal 30 3 2 2 8" xfId="49866" xr:uid="{00000000-0005-0000-0000-0000C2C20000}"/>
    <cellStyle name="Normal 30 3 2 2 8 2" xfId="49867" xr:uid="{00000000-0005-0000-0000-0000C3C20000}"/>
    <cellStyle name="Normal 30 3 2 2 8 3" xfId="49868" xr:uid="{00000000-0005-0000-0000-0000C4C20000}"/>
    <cellStyle name="Normal 30 3 2 2 9" xfId="49869" xr:uid="{00000000-0005-0000-0000-0000C5C20000}"/>
    <cellStyle name="Normal 30 3 2 2 9 2" xfId="49870" xr:uid="{00000000-0005-0000-0000-0000C6C20000}"/>
    <cellStyle name="Normal 30 3 2 2 9 3" xfId="49871" xr:uid="{00000000-0005-0000-0000-0000C7C20000}"/>
    <cellStyle name="Normal 30 3 2 3" xfId="49872" xr:uid="{00000000-0005-0000-0000-0000C8C20000}"/>
    <cellStyle name="Normal 30 3 2 3 2" xfId="49873" xr:uid="{00000000-0005-0000-0000-0000C9C20000}"/>
    <cellStyle name="Normal 30 3 2 3 3" xfId="49874" xr:uid="{00000000-0005-0000-0000-0000CAC20000}"/>
    <cellStyle name="Normal 30 3 2 4" xfId="49875" xr:uid="{00000000-0005-0000-0000-0000CBC20000}"/>
    <cellStyle name="Normal 30 3 2 4 2" xfId="49876" xr:uid="{00000000-0005-0000-0000-0000CCC20000}"/>
    <cellStyle name="Normal 30 3 2 4 3" xfId="49877" xr:uid="{00000000-0005-0000-0000-0000CDC20000}"/>
    <cellStyle name="Normal 30 3 2 5" xfId="49878" xr:uid="{00000000-0005-0000-0000-0000CEC20000}"/>
    <cellStyle name="Normal 30 3 2 5 2" xfId="49879" xr:uid="{00000000-0005-0000-0000-0000CFC20000}"/>
    <cellStyle name="Normal 30 3 2 5 3" xfId="49880" xr:uid="{00000000-0005-0000-0000-0000D0C20000}"/>
    <cellStyle name="Normal 30 3 2 6" xfId="49881" xr:uid="{00000000-0005-0000-0000-0000D1C20000}"/>
    <cellStyle name="Normal 30 3 2 6 2" xfId="49882" xr:uid="{00000000-0005-0000-0000-0000D2C20000}"/>
    <cellStyle name="Normal 30 3 2 6 3" xfId="49883" xr:uid="{00000000-0005-0000-0000-0000D3C20000}"/>
    <cellStyle name="Normal 30 3 2 7" xfId="49884" xr:uid="{00000000-0005-0000-0000-0000D4C20000}"/>
    <cellStyle name="Normal 30 3 2 7 2" xfId="49885" xr:uid="{00000000-0005-0000-0000-0000D5C20000}"/>
    <cellStyle name="Normal 30 3 2 7 3" xfId="49886" xr:uid="{00000000-0005-0000-0000-0000D6C20000}"/>
    <cellStyle name="Normal 30 3 2 8" xfId="49887" xr:uid="{00000000-0005-0000-0000-0000D7C20000}"/>
    <cellStyle name="Normal 30 3 2 8 2" xfId="49888" xr:uid="{00000000-0005-0000-0000-0000D8C20000}"/>
    <cellStyle name="Normal 30 3 2 8 3" xfId="49889" xr:uid="{00000000-0005-0000-0000-0000D9C20000}"/>
    <cellStyle name="Normal 30 3 2 9" xfId="49890" xr:uid="{00000000-0005-0000-0000-0000DAC20000}"/>
    <cellStyle name="Normal 30 3 2 9 2" xfId="49891" xr:uid="{00000000-0005-0000-0000-0000DBC20000}"/>
    <cellStyle name="Normal 30 3 2 9 3" xfId="49892" xr:uid="{00000000-0005-0000-0000-0000DCC20000}"/>
    <cellStyle name="Normal 30 3 20" xfId="49893" xr:uid="{00000000-0005-0000-0000-0000DDC20000}"/>
    <cellStyle name="Normal 30 3 20 2" xfId="49894" xr:uid="{00000000-0005-0000-0000-0000DEC20000}"/>
    <cellStyle name="Normal 30 3 20 3" xfId="49895" xr:uid="{00000000-0005-0000-0000-0000DFC20000}"/>
    <cellStyle name="Normal 30 3 21" xfId="49896" xr:uid="{00000000-0005-0000-0000-0000E0C20000}"/>
    <cellStyle name="Normal 30 3 21 2" xfId="49897" xr:uid="{00000000-0005-0000-0000-0000E1C20000}"/>
    <cellStyle name="Normal 30 3 21 3" xfId="49898" xr:uid="{00000000-0005-0000-0000-0000E2C20000}"/>
    <cellStyle name="Normal 30 3 22" xfId="49899" xr:uid="{00000000-0005-0000-0000-0000E3C20000}"/>
    <cellStyle name="Normal 30 3 22 2" xfId="49900" xr:uid="{00000000-0005-0000-0000-0000E4C20000}"/>
    <cellStyle name="Normal 30 3 22 3" xfId="49901" xr:uid="{00000000-0005-0000-0000-0000E5C20000}"/>
    <cellStyle name="Normal 30 3 23" xfId="49902" xr:uid="{00000000-0005-0000-0000-0000E6C20000}"/>
    <cellStyle name="Normal 30 3 23 2" xfId="49903" xr:uid="{00000000-0005-0000-0000-0000E7C20000}"/>
    <cellStyle name="Normal 30 3 23 3" xfId="49904" xr:uid="{00000000-0005-0000-0000-0000E8C20000}"/>
    <cellStyle name="Normal 30 3 24" xfId="49905" xr:uid="{00000000-0005-0000-0000-0000E9C20000}"/>
    <cellStyle name="Normal 30 3 24 2" xfId="49906" xr:uid="{00000000-0005-0000-0000-0000EAC20000}"/>
    <cellStyle name="Normal 30 3 24 3" xfId="49907" xr:uid="{00000000-0005-0000-0000-0000EBC20000}"/>
    <cellStyle name="Normal 30 3 25" xfId="49908" xr:uid="{00000000-0005-0000-0000-0000ECC20000}"/>
    <cellStyle name="Normal 30 3 25 2" xfId="49909" xr:uid="{00000000-0005-0000-0000-0000EDC20000}"/>
    <cellStyle name="Normal 30 3 25 3" xfId="49910" xr:uid="{00000000-0005-0000-0000-0000EEC20000}"/>
    <cellStyle name="Normal 30 3 26" xfId="49911" xr:uid="{00000000-0005-0000-0000-0000EFC20000}"/>
    <cellStyle name="Normal 30 3 26 2" xfId="49912" xr:uid="{00000000-0005-0000-0000-0000F0C20000}"/>
    <cellStyle name="Normal 30 3 26 3" xfId="49913" xr:uid="{00000000-0005-0000-0000-0000F1C20000}"/>
    <cellStyle name="Normal 30 3 27" xfId="49914" xr:uid="{00000000-0005-0000-0000-0000F2C20000}"/>
    <cellStyle name="Normal 30 3 27 2" xfId="49915" xr:uid="{00000000-0005-0000-0000-0000F3C20000}"/>
    <cellStyle name="Normal 30 3 27 3" xfId="49916" xr:uid="{00000000-0005-0000-0000-0000F4C20000}"/>
    <cellStyle name="Normal 30 3 28" xfId="49917" xr:uid="{00000000-0005-0000-0000-0000F5C20000}"/>
    <cellStyle name="Normal 30 3 28 2" xfId="49918" xr:uid="{00000000-0005-0000-0000-0000F6C20000}"/>
    <cellStyle name="Normal 30 3 28 3" xfId="49919" xr:uid="{00000000-0005-0000-0000-0000F7C20000}"/>
    <cellStyle name="Normal 30 3 29" xfId="49920" xr:uid="{00000000-0005-0000-0000-0000F8C20000}"/>
    <cellStyle name="Normal 30 3 3" xfId="49921" xr:uid="{00000000-0005-0000-0000-0000F9C20000}"/>
    <cellStyle name="Normal 30 3 3 10" xfId="49922" xr:uid="{00000000-0005-0000-0000-0000FAC20000}"/>
    <cellStyle name="Normal 30 3 3 10 2" xfId="49923" xr:uid="{00000000-0005-0000-0000-0000FBC20000}"/>
    <cellStyle name="Normal 30 3 3 10 3" xfId="49924" xr:uid="{00000000-0005-0000-0000-0000FCC20000}"/>
    <cellStyle name="Normal 30 3 3 11" xfId="49925" xr:uid="{00000000-0005-0000-0000-0000FDC20000}"/>
    <cellStyle name="Normal 30 3 3 11 2" xfId="49926" xr:uid="{00000000-0005-0000-0000-0000FEC20000}"/>
    <cellStyle name="Normal 30 3 3 11 3" xfId="49927" xr:uid="{00000000-0005-0000-0000-0000FFC20000}"/>
    <cellStyle name="Normal 30 3 3 12" xfId="49928" xr:uid="{00000000-0005-0000-0000-000000C30000}"/>
    <cellStyle name="Normal 30 3 3 12 2" xfId="49929" xr:uid="{00000000-0005-0000-0000-000001C30000}"/>
    <cellStyle name="Normal 30 3 3 12 3" xfId="49930" xr:uid="{00000000-0005-0000-0000-000002C30000}"/>
    <cellStyle name="Normal 30 3 3 13" xfId="49931" xr:uid="{00000000-0005-0000-0000-000003C30000}"/>
    <cellStyle name="Normal 30 3 3 13 2" xfId="49932" xr:uid="{00000000-0005-0000-0000-000004C30000}"/>
    <cellStyle name="Normal 30 3 3 13 3" xfId="49933" xr:uid="{00000000-0005-0000-0000-000005C30000}"/>
    <cellStyle name="Normal 30 3 3 14" xfId="49934" xr:uid="{00000000-0005-0000-0000-000006C30000}"/>
    <cellStyle name="Normal 30 3 3 14 2" xfId="49935" xr:uid="{00000000-0005-0000-0000-000007C30000}"/>
    <cellStyle name="Normal 30 3 3 14 3" xfId="49936" xr:uid="{00000000-0005-0000-0000-000008C30000}"/>
    <cellStyle name="Normal 30 3 3 15" xfId="49937" xr:uid="{00000000-0005-0000-0000-000009C30000}"/>
    <cellStyle name="Normal 30 3 3 15 2" xfId="49938" xr:uid="{00000000-0005-0000-0000-00000AC30000}"/>
    <cellStyle name="Normal 30 3 3 15 3" xfId="49939" xr:uid="{00000000-0005-0000-0000-00000BC30000}"/>
    <cellStyle name="Normal 30 3 3 16" xfId="49940" xr:uid="{00000000-0005-0000-0000-00000CC30000}"/>
    <cellStyle name="Normal 30 3 3 17" xfId="49941" xr:uid="{00000000-0005-0000-0000-00000DC30000}"/>
    <cellStyle name="Normal 30 3 3 2" xfId="49942" xr:uid="{00000000-0005-0000-0000-00000EC30000}"/>
    <cellStyle name="Normal 30 3 3 2 10" xfId="49943" xr:uid="{00000000-0005-0000-0000-00000FC30000}"/>
    <cellStyle name="Normal 30 3 3 2 10 2" xfId="49944" xr:uid="{00000000-0005-0000-0000-000010C30000}"/>
    <cellStyle name="Normal 30 3 3 2 10 3" xfId="49945" xr:uid="{00000000-0005-0000-0000-000011C30000}"/>
    <cellStyle name="Normal 30 3 3 2 11" xfId="49946" xr:uid="{00000000-0005-0000-0000-000012C30000}"/>
    <cellStyle name="Normal 30 3 3 2 11 2" xfId="49947" xr:uid="{00000000-0005-0000-0000-000013C30000}"/>
    <cellStyle name="Normal 30 3 3 2 11 3" xfId="49948" xr:uid="{00000000-0005-0000-0000-000014C30000}"/>
    <cellStyle name="Normal 30 3 3 2 12" xfId="49949" xr:uid="{00000000-0005-0000-0000-000015C30000}"/>
    <cellStyle name="Normal 30 3 3 2 12 2" xfId="49950" xr:uid="{00000000-0005-0000-0000-000016C30000}"/>
    <cellStyle name="Normal 30 3 3 2 12 3" xfId="49951" xr:uid="{00000000-0005-0000-0000-000017C30000}"/>
    <cellStyle name="Normal 30 3 3 2 13" xfId="49952" xr:uid="{00000000-0005-0000-0000-000018C30000}"/>
    <cellStyle name="Normal 30 3 3 2 13 2" xfId="49953" xr:uid="{00000000-0005-0000-0000-000019C30000}"/>
    <cellStyle name="Normal 30 3 3 2 13 3" xfId="49954" xr:uid="{00000000-0005-0000-0000-00001AC30000}"/>
    <cellStyle name="Normal 30 3 3 2 14" xfId="49955" xr:uid="{00000000-0005-0000-0000-00001BC30000}"/>
    <cellStyle name="Normal 30 3 3 2 14 2" xfId="49956" xr:uid="{00000000-0005-0000-0000-00001CC30000}"/>
    <cellStyle name="Normal 30 3 3 2 14 3" xfId="49957" xr:uid="{00000000-0005-0000-0000-00001DC30000}"/>
    <cellStyle name="Normal 30 3 3 2 15" xfId="49958" xr:uid="{00000000-0005-0000-0000-00001EC30000}"/>
    <cellStyle name="Normal 30 3 3 2 16" xfId="49959" xr:uid="{00000000-0005-0000-0000-00001FC30000}"/>
    <cellStyle name="Normal 30 3 3 2 2" xfId="49960" xr:uid="{00000000-0005-0000-0000-000020C30000}"/>
    <cellStyle name="Normal 30 3 3 2 2 2" xfId="49961" xr:uid="{00000000-0005-0000-0000-000021C30000}"/>
    <cellStyle name="Normal 30 3 3 2 2 3" xfId="49962" xr:uid="{00000000-0005-0000-0000-000022C30000}"/>
    <cellStyle name="Normal 30 3 3 2 3" xfId="49963" xr:uid="{00000000-0005-0000-0000-000023C30000}"/>
    <cellStyle name="Normal 30 3 3 2 3 2" xfId="49964" xr:uid="{00000000-0005-0000-0000-000024C30000}"/>
    <cellStyle name="Normal 30 3 3 2 3 3" xfId="49965" xr:uid="{00000000-0005-0000-0000-000025C30000}"/>
    <cellStyle name="Normal 30 3 3 2 4" xfId="49966" xr:uid="{00000000-0005-0000-0000-000026C30000}"/>
    <cellStyle name="Normal 30 3 3 2 4 2" xfId="49967" xr:uid="{00000000-0005-0000-0000-000027C30000}"/>
    <cellStyle name="Normal 30 3 3 2 4 3" xfId="49968" xr:uid="{00000000-0005-0000-0000-000028C30000}"/>
    <cellStyle name="Normal 30 3 3 2 5" xfId="49969" xr:uid="{00000000-0005-0000-0000-000029C30000}"/>
    <cellStyle name="Normal 30 3 3 2 5 2" xfId="49970" xr:uid="{00000000-0005-0000-0000-00002AC30000}"/>
    <cellStyle name="Normal 30 3 3 2 5 3" xfId="49971" xr:uid="{00000000-0005-0000-0000-00002BC30000}"/>
    <cellStyle name="Normal 30 3 3 2 6" xfId="49972" xr:uid="{00000000-0005-0000-0000-00002CC30000}"/>
    <cellStyle name="Normal 30 3 3 2 6 2" xfId="49973" xr:uid="{00000000-0005-0000-0000-00002DC30000}"/>
    <cellStyle name="Normal 30 3 3 2 6 3" xfId="49974" xr:uid="{00000000-0005-0000-0000-00002EC30000}"/>
    <cellStyle name="Normal 30 3 3 2 7" xfId="49975" xr:uid="{00000000-0005-0000-0000-00002FC30000}"/>
    <cellStyle name="Normal 30 3 3 2 7 2" xfId="49976" xr:uid="{00000000-0005-0000-0000-000030C30000}"/>
    <cellStyle name="Normal 30 3 3 2 7 3" xfId="49977" xr:uid="{00000000-0005-0000-0000-000031C30000}"/>
    <cellStyle name="Normal 30 3 3 2 8" xfId="49978" xr:uid="{00000000-0005-0000-0000-000032C30000}"/>
    <cellStyle name="Normal 30 3 3 2 8 2" xfId="49979" xr:uid="{00000000-0005-0000-0000-000033C30000}"/>
    <cellStyle name="Normal 30 3 3 2 8 3" xfId="49980" xr:uid="{00000000-0005-0000-0000-000034C30000}"/>
    <cellStyle name="Normal 30 3 3 2 9" xfId="49981" xr:uid="{00000000-0005-0000-0000-000035C30000}"/>
    <cellStyle name="Normal 30 3 3 2 9 2" xfId="49982" xr:uid="{00000000-0005-0000-0000-000036C30000}"/>
    <cellStyle name="Normal 30 3 3 2 9 3" xfId="49983" xr:uid="{00000000-0005-0000-0000-000037C30000}"/>
    <cellStyle name="Normal 30 3 3 3" xfId="49984" xr:uid="{00000000-0005-0000-0000-000038C30000}"/>
    <cellStyle name="Normal 30 3 3 3 2" xfId="49985" xr:uid="{00000000-0005-0000-0000-000039C30000}"/>
    <cellStyle name="Normal 30 3 3 3 3" xfId="49986" xr:uid="{00000000-0005-0000-0000-00003AC30000}"/>
    <cellStyle name="Normal 30 3 3 4" xfId="49987" xr:uid="{00000000-0005-0000-0000-00003BC30000}"/>
    <cellStyle name="Normal 30 3 3 4 2" xfId="49988" xr:uid="{00000000-0005-0000-0000-00003CC30000}"/>
    <cellStyle name="Normal 30 3 3 4 3" xfId="49989" xr:uid="{00000000-0005-0000-0000-00003DC30000}"/>
    <cellStyle name="Normal 30 3 3 5" xfId="49990" xr:uid="{00000000-0005-0000-0000-00003EC30000}"/>
    <cellStyle name="Normal 30 3 3 5 2" xfId="49991" xr:uid="{00000000-0005-0000-0000-00003FC30000}"/>
    <cellStyle name="Normal 30 3 3 5 3" xfId="49992" xr:uid="{00000000-0005-0000-0000-000040C30000}"/>
    <cellStyle name="Normal 30 3 3 6" xfId="49993" xr:uid="{00000000-0005-0000-0000-000041C30000}"/>
    <cellStyle name="Normal 30 3 3 6 2" xfId="49994" xr:uid="{00000000-0005-0000-0000-000042C30000}"/>
    <cellStyle name="Normal 30 3 3 6 3" xfId="49995" xr:uid="{00000000-0005-0000-0000-000043C30000}"/>
    <cellStyle name="Normal 30 3 3 7" xfId="49996" xr:uid="{00000000-0005-0000-0000-000044C30000}"/>
    <cellStyle name="Normal 30 3 3 7 2" xfId="49997" xr:uid="{00000000-0005-0000-0000-000045C30000}"/>
    <cellStyle name="Normal 30 3 3 7 3" xfId="49998" xr:uid="{00000000-0005-0000-0000-000046C30000}"/>
    <cellStyle name="Normal 30 3 3 8" xfId="49999" xr:uid="{00000000-0005-0000-0000-000047C30000}"/>
    <cellStyle name="Normal 30 3 3 8 2" xfId="50000" xr:uid="{00000000-0005-0000-0000-000048C30000}"/>
    <cellStyle name="Normal 30 3 3 8 3" xfId="50001" xr:uid="{00000000-0005-0000-0000-000049C30000}"/>
    <cellStyle name="Normal 30 3 3 9" xfId="50002" xr:uid="{00000000-0005-0000-0000-00004AC30000}"/>
    <cellStyle name="Normal 30 3 3 9 2" xfId="50003" xr:uid="{00000000-0005-0000-0000-00004BC30000}"/>
    <cellStyle name="Normal 30 3 3 9 3" xfId="50004" xr:uid="{00000000-0005-0000-0000-00004CC30000}"/>
    <cellStyle name="Normal 30 3 30" xfId="50005" xr:uid="{00000000-0005-0000-0000-00004DC30000}"/>
    <cellStyle name="Normal 30 3 31" xfId="50006" xr:uid="{00000000-0005-0000-0000-00004EC30000}"/>
    <cellStyle name="Normal 30 3 32" xfId="50007" xr:uid="{00000000-0005-0000-0000-00004FC30000}"/>
    <cellStyle name="Normal 30 3 33" xfId="50008" xr:uid="{00000000-0005-0000-0000-000050C30000}"/>
    <cellStyle name="Normal 30 3 34" xfId="50009" xr:uid="{00000000-0005-0000-0000-000051C30000}"/>
    <cellStyle name="Normal 30 3 35" xfId="50010" xr:uid="{00000000-0005-0000-0000-000052C30000}"/>
    <cellStyle name="Normal 30 3 36" xfId="50011" xr:uid="{00000000-0005-0000-0000-000053C30000}"/>
    <cellStyle name="Normal 30 3 37" xfId="50012" xr:uid="{00000000-0005-0000-0000-000054C30000}"/>
    <cellStyle name="Normal 30 3 38" xfId="50013" xr:uid="{00000000-0005-0000-0000-000055C30000}"/>
    <cellStyle name="Normal 30 3 39" xfId="50014" xr:uid="{00000000-0005-0000-0000-000056C30000}"/>
    <cellStyle name="Normal 30 3 4" xfId="50015" xr:uid="{00000000-0005-0000-0000-000057C30000}"/>
    <cellStyle name="Normal 30 3 4 10" xfId="50016" xr:uid="{00000000-0005-0000-0000-000058C30000}"/>
    <cellStyle name="Normal 30 3 4 10 2" xfId="50017" xr:uid="{00000000-0005-0000-0000-000059C30000}"/>
    <cellStyle name="Normal 30 3 4 10 3" xfId="50018" xr:uid="{00000000-0005-0000-0000-00005AC30000}"/>
    <cellStyle name="Normal 30 3 4 11" xfId="50019" xr:uid="{00000000-0005-0000-0000-00005BC30000}"/>
    <cellStyle name="Normal 30 3 4 11 2" xfId="50020" xr:uid="{00000000-0005-0000-0000-00005CC30000}"/>
    <cellStyle name="Normal 30 3 4 11 3" xfId="50021" xr:uid="{00000000-0005-0000-0000-00005DC30000}"/>
    <cellStyle name="Normal 30 3 4 12" xfId="50022" xr:uid="{00000000-0005-0000-0000-00005EC30000}"/>
    <cellStyle name="Normal 30 3 4 12 2" xfId="50023" xr:uid="{00000000-0005-0000-0000-00005FC30000}"/>
    <cellStyle name="Normal 30 3 4 12 3" xfId="50024" xr:uid="{00000000-0005-0000-0000-000060C30000}"/>
    <cellStyle name="Normal 30 3 4 13" xfId="50025" xr:uid="{00000000-0005-0000-0000-000061C30000}"/>
    <cellStyle name="Normal 30 3 4 13 2" xfId="50026" xr:uid="{00000000-0005-0000-0000-000062C30000}"/>
    <cellStyle name="Normal 30 3 4 13 3" xfId="50027" xr:uid="{00000000-0005-0000-0000-000063C30000}"/>
    <cellStyle name="Normal 30 3 4 14" xfId="50028" xr:uid="{00000000-0005-0000-0000-000064C30000}"/>
    <cellStyle name="Normal 30 3 4 14 2" xfId="50029" xr:uid="{00000000-0005-0000-0000-000065C30000}"/>
    <cellStyle name="Normal 30 3 4 14 3" xfId="50030" xr:uid="{00000000-0005-0000-0000-000066C30000}"/>
    <cellStyle name="Normal 30 3 4 15" xfId="50031" xr:uid="{00000000-0005-0000-0000-000067C30000}"/>
    <cellStyle name="Normal 30 3 4 15 2" xfId="50032" xr:uid="{00000000-0005-0000-0000-000068C30000}"/>
    <cellStyle name="Normal 30 3 4 15 3" xfId="50033" xr:uid="{00000000-0005-0000-0000-000069C30000}"/>
    <cellStyle name="Normal 30 3 4 16" xfId="50034" xr:uid="{00000000-0005-0000-0000-00006AC30000}"/>
    <cellStyle name="Normal 30 3 4 17" xfId="50035" xr:uid="{00000000-0005-0000-0000-00006BC30000}"/>
    <cellStyle name="Normal 30 3 4 2" xfId="50036" xr:uid="{00000000-0005-0000-0000-00006CC30000}"/>
    <cellStyle name="Normal 30 3 4 2 10" xfId="50037" xr:uid="{00000000-0005-0000-0000-00006DC30000}"/>
    <cellStyle name="Normal 30 3 4 2 10 2" xfId="50038" xr:uid="{00000000-0005-0000-0000-00006EC30000}"/>
    <cellStyle name="Normal 30 3 4 2 10 3" xfId="50039" xr:uid="{00000000-0005-0000-0000-00006FC30000}"/>
    <cellStyle name="Normal 30 3 4 2 11" xfId="50040" xr:uid="{00000000-0005-0000-0000-000070C30000}"/>
    <cellStyle name="Normal 30 3 4 2 11 2" xfId="50041" xr:uid="{00000000-0005-0000-0000-000071C30000}"/>
    <cellStyle name="Normal 30 3 4 2 11 3" xfId="50042" xr:uid="{00000000-0005-0000-0000-000072C30000}"/>
    <cellStyle name="Normal 30 3 4 2 12" xfId="50043" xr:uid="{00000000-0005-0000-0000-000073C30000}"/>
    <cellStyle name="Normal 30 3 4 2 12 2" xfId="50044" xr:uid="{00000000-0005-0000-0000-000074C30000}"/>
    <cellStyle name="Normal 30 3 4 2 12 3" xfId="50045" xr:uid="{00000000-0005-0000-0000-000075C30000}"/>
    <cellStyle name="Normal 30 3 4 2 13" xfId="50046" xr:uid="{00000000-0005-0000-0000-000076C30000}"/>
    <cellStyle name="Normal 30 3 4 2 13 2" xfId="50047" xr:uid="{00000000-0005-0000-0000-000077C30000}"/>
    <cellStyle name="Normal 30 3 4 2 13 3" xfId="50048" xr:uid="{00000000-0005-0000-0000-000078C30000}"/>
    <cellStyle name="Normal 30 3 4 2 14" xfId="50049" xr:uid="{00000000-0005-0000-0000-000079C30000}"/>
    <cellStyle name="Normal 30 3 4 2 14 2" xfId="50050" xr:uid="{00000000-0005-0000-0000-00007AC30000}"/>
    <cellStyle name="Normal 30 3 4 2 14 3" xfId="50051" xr:uid="{00000000-0005-0000-0000-00007BC30000}"/>
    <cellStyle name="Normal 30 3 4 2 15" xfId="50052" xr:uid="{00000000-0005-0000-0000-00007CC30000}"/>
    <cellStyle name="Normal 30 3 4 2 16" xfId="50053" xr:uid="{00000000-0005-0000-0000-00007DC30000}"/>
    <cellStyle name="Normal 30 3 4 2 2" xfId="50054" xr:uid="{00000000-0005-0000-0000-00007EC30000}"/>
    <cellStyle name="Normal 30 3 4 2 2 2" xfId="50055" xr:uid="{00000000-0005-0000-0000-00007FC30000}"/>
    <cellStyle name="Normal 30 3 4 2 2 3" xfId="50056" xr:uid="{00000000-0005-0000-0000-000080C30000}"/>
    <cellStyle name="Normal 30 3 4 2 3" xfId="50057" xr:uid="{00000000-0005-0000-0000-000081C30000}"/>
    <cellStyle name="Normal 30 3 4 2 3 2" xfId="50058" xr:uid="{00000000-0005-0000-0000-000082C30000}"/>
    <cellStyle name="Normal 30 3 4 2 3 3" xfId="50059" xr:uid="{00000000-0005-0000-0000-000083C30000}"/>
    <cellStyle name="Normal 30 3 4 2 4" xfId="50060" xr:uid="{00000000-0005-0000-0000-000084C30000}"/>
    <cellStyle name="Normal 30 3 4 2 4 2" xfId="50061" xr:uid="{00000000-0005-0000-0000-000085C30000}"/>
    <cellStyle name="Normal 30 3 4 2 4 3" xfId="50062" xr:uid="{00000000-0005-0000-0000-000086C30000}"/>
    <cellStyle name="Normal 30 3 4 2 5" xfId="50063" xr:uid="{00000000-0005-0000-0000-000087C30000}"/>
    <cellStyle name="Normal 30 3 4 2 5 2" xfId="50064" xr:uid="{00000000-0005-0000-0000-000088C30000}"/>
    <cellStyle name="Normal 30 3 4 2 5 3" xfId="50065" xr:uid="{00000000-0005-0000-0000-000089C30000}"/>
    <cellStyle name="Normal 30 3 4 2 6" xfId="50066" xr:uid="{00000000-0005-0000-0000-00008AC30000}"/>
    <cellStyle name="Normal 30 3 4 2 6 2" xfId="50067" xr:uid="{00000000-0005-0000-0000-00008BC30000}"/>
    <cellStyle name="Normal 30 3 4 2 6 3" xfId="50068" xr:uid="{00000000-0005-0000-0000-00008CC30000}"/>
    <cellStyle name="Normal 30 3 4 2 7" xfId="50069" xr:uid="{00000000-0005-0000-0000-00008DC30000}"/>
    <cellStyle name="Normal 30 3 4 2 7 2" xfId="50070" xr:uid="{00000000-0005-0000-0000-00008EC30000}"/>
    <cellStyle name="Normal 30 3 4 2 7 3" xfId="50071" xr:uid="{00000000-0005-0000-0000-00008FC30000}"/>
    <cellStyle name="Normal 30 3 4 2 8" xfId="50072" xr:uid="{00000000-0005-0000-0000-000090C30000}"/>
    <cellStyle name="Normal 30 3 4 2 8 2" xfId="50073" xr:uid="{00000000-0005-0000-0000-000091C30000}"/>
    <cellStyle name="Normal 30 3 4 2 8 3" xfId="50074" xr:uid="{00000000-0005-0000-0000-000092C30000}"/>
    <cellStyle name="Normal 30 3 4 2 9" xfId="50075" xr:uid="{00000000-0005-0000-0000-000093C30000}"/>
    <cellStyle name="Normal 30 3 4 2 9 2" xfId="50076" xr:uid="{00000000-0005-0000-0000-000094C30000}"/>
    <cellStyle name="Normal 30 3 4 2 9 3" xfId="50077" xr:uid="{00000000-0005-0000-0000-000095C30000}"/>
    <cellStyle name="Normal 30 3 4 3" xfId="50078" xr:uid="{00000000-0005-0000-0000-000096C30000}"/>
    <cellStyle name="Normal 30 3 4 3 2" xfId="50079" xr:uid="{00000000-0005-0000-0000-000097C30000}"/>
    <cellStyle name="Normal 30 3 4 3 3" xfId="50080" xr:uid="{00000000-0005-0000-0000-000098C30000}"/>
    <cellStyle name="Normal 30 3 4 4" xfId="50081" xr:uid="{00000000-0005-0000-0000-000099C30000}"/>
    <cellStyle name="Normal 30 3 4 4 2" xfId="50082" xr:uid="{00000000-0005-0000-0000-00009AC30000}"/>
    <cellStyle name="Normal 30 3 4 4 3" xfId="50083" xr:uid="{00000000-0005-0000-0000-00009BC30000}"/>
    <cellStyle name="Normal 30 3 4 5" xfId="50084" xr:uid="{00000000-0005-0000-0000-00009CC30000}"/>
    <cellStyle name="Normal 30 3 4 5 2" xfId="50085" xr:uid="{00000000-0005-0000-0000-00009DC30000}"/>
    <cellStyle name="Normal 30 3 4 5 3" xfId="50086" xr:uid="{00000000-0005-0000-0000-00009EC30000}"/>
    <cellStyle name="Normal 30 3 4 6" xfId="50087" xr:uid="{00000000-0005-0000-0000-00009FC30000}"/>
    <cellStyle name="Normal 30 3 4 6 2" xfId="50088" xr:uid="{00000000-0005-0000-0000-0000A0C30000}"/>
    <cellStyle name="Normal 30 3 4 6 3" xfId="50089" xr:uid="{00000000-0005-0000-0000-0000A1C30000}"/>
    <cellStyle name="Normal 30 3 4 7" xfId="50090" xr:uid="{00000000-0005-0000-0000-0000A2C30000}"/>
    <cellStyle name="Normal 30 3 4 7 2" xfId="50091" xr:uid="{00000000-0005-0000-0000-0000A3C30000}"/>
    <cellStyle name="Normal 30 3 4 7 3" xfId="50092" xr:uid="{00000000-0005-0000-0000-0000A4C30000}"/>
    <cellStyle name="Normal 30 3 4 8" xfId="50093" xr:uid="{00000000-0005-0000-0000-0000A5C30000}"/>
    <cellStyle name="Normal 30 3 4 8 2" xfId="50094" xr:uid="{00000000-0005-0000-0000-0000A6C30000}"/>
    <cellStyle name="Normal 30 3 4 8 3" xfId="50095" xr:uid="{00000000-0005-0000-0000-0000A7C30000}"/>
    <cellStyle name="Normal 30 3 4 9" xfId="50096" xr:uid="{00000000-0005-0000-0000-0000A8C30000}"/>
    <cellStyle name="Normal 30 3 4 9 2" xfId="50097" xr:uid="{00000000-0005-0000-0000-0000A9C30000}"/>
    <cellStyle name="Normal 30 3 4 9 3" xfId="50098" xr:uid="{00000000-0005-0000-0000-0000AAC30000}"/>
    <cellStyle name="Normal 30 3 40" xfId="50099" xr:uid="{00000000-0005-0000-0000-0000ABC30000}"/>
    <cellStyle name="Normal 30 3 41" xfId="50100" xr:uid="{00000000-0005-0000-0000-0000ACC30000}"/>
    <cellStyle name="Normal 30 3 5" xfId="50101" xr:uid="{00000000-0005-0000-0000-0000ADC30000}"/>
    <cellStyle name="Normal 30 3 5 10" xfId="50102" xr:uid="{00000000-0005-0000-0000-0000AEC30000}"/>
    <cellStyle name="Normal 30 3 5 10 2" xfId="50103" xr:uid="{00000000-0005-0000-0000-0000AFC30000}"/>
    <cellStyle name="Normal 30 3 5 10 3" xfId="50104" xr:uid="{00000000-0005-0000-0000-0000B0C30000}"/>
    <cellStyle name="Normal 30 3 5 11" xfId="50105" xr:uid="{00000000-0005-0000-0000-0000B1C30000}"/>
    <cellStyle name="Normal 30 3 5 11 2" xfId="50106" xr:uid="{00000000-0005-0000-0000-0000B2C30000}"/>
    <cellStyle name="Normal 30 3 5 11 3" xfId="50107" xr:uid="{00000000-0005-0000-0000-0000B3C30000}"/>
    <cellStyle name="Normal 30 3 5 12" xfId="50108" xr:uid="{00000000-0005-0000-0000-0000B4C30000}"/>
    <cellStyle name="Normal 30 3 5 12 2" xfId="50109" xr:uid="{00000000-0005-0000-0000-0000B5C30000}"/>
    <cellStyle name="Normal 30 3 5 12 3" xfId="50110" xr:uid="{00000000-0005-0000-0000-0000B6C30000}"/>
    <cellStyle name="Normal 30 3 5 13" xfId="50111" xr:uid="{00000000-0005-0000-0000-0000B7C30000}"/>
    <cellStyle name="Normal 30 3 5 13 2" xfId="50112" xr:uid="{00000000-0005-0000-0000-0000B8C30000}"/>
    <cellStyle name="Normal 30 3 5 13 3" xfId="50113" xr:uid="{00000000-0005-0000-0000-0000B9C30000}"/>
    <cellStyle name="Normal 30 3 5 14" xfId="50114" xr:uid="{00000000-0005-0000-0000-0000BAC30000}"/>
    <cellStyle name="Normal 30 3 5 14 2" xfId="50115" xr:uid="{00000000-0005-0000-0000-0000BBC30000}"/>
    <cellStyle name="Normal 30 3 5 14 3" xfId="50116" xr:uid="{00000000-0005-0000-0000-0000BCC30000}"/>
    <cellStyle name="Normal 30 3 5 15" xfId="50117" xr:uid="{00000000-0005-0000-0000-0000BDC30000}"/>
    <cellStyle name="Normal 30 3 5 16" xfId="50118" xr:uid="{00000000-0005-0000-0000-0000BEC30000}"/>
    <cellStyle name="Normal 30 3 5 2" xfId="50119" xr:uid="{00000000-0005-0000-0000-0000BFC30000}"/>
    <cellStyle name="Normal 30 3 5 2 2" xfId="50120" xr:uid="{00000000-0005-0000-0000-0000C0C30000}"/>
    <cellStyle name="Normal 30 3 5 2 3" xfId="50121" xr:uid="{00000000-0005-0000-0000-0000C1C30000}"/>
    <cellStyle name="Normal 30 3 5 3" xfId="50122" xr:uid="{00000000-0005-0000-0000-0000C2C30000}"/>
    <cellStyle name="Normal 30 3 5 3 2" xfId="50123" xr:uid="{00000000-0005-0000-0000-0000C3C30000}"/>
    <cellStyle name="Normal 30 3 5 3 3" xfId="50124" xr:uid="{00000000-0005-0000-0000-0000C4C30000}"/>
    <cellStyle name="Normal 30 3 5 4" xfId="50125" xr:uid="{00000000-0005-0000-0000-0000C5C30000}"/>
    <cellStyle name="Normal 30 3 5 4 2" xfId="50126" xr:uid="{00000000-0005-0000-0000-0000C6C30000}"/>
    <cellStyle name="Normal 30 3 5 4 3" xfId="50127" xr:uid="{00000000-0005-0000-0000-0000C7C30000}"/>
    <cellStyle name="Normal 30 3 5 5" xfId="50128" xr:uid="{00000000-0005-0000-0000-0000C8C30000}"/>
    <cellStyle name="Normal 30 3 5 5 2" xfId="50129" xr:uid="{00000000-0005-0000-0000-0000C9C30000}"/>
    <cellStyle name="Normal 30 3 5 5 3" xfId="50130" xr:uid="{00000000-0005-0000-0000-0000CAC30000}"/>
    <cellStyle name="Normal 30 3 5 6" xfId="50131" xr:uid="{00000000-0005-0000-0000-0000CBC30000}"/>
    <cellStyle name="Normal 30 3 5 6 2" xfId="50132" xr:uid="{00000000-0005-0000-0000-0000CCC30000}"/>
    <cellStyle name="Normal 30 3 5 6 3" xfId="50133" xr:uid="{00000000-0005-0000-0000-0000CDC30000}"/>
    <cellStyle name="Normal 30 3 5 7" xfId="50134" xr:uid="{00000000-0005-0000-0000-0000CEC30000}"/>
    <cellStyle name="Normal 30 3 5 7 2" xfId="50135" xr:uid="{00000000-0005-0000-0000-0000CFC30000}"/>
    <cellStyle name="Normal 30 3 5 7 3" xfId="50136" xr:uid="{00000000-0005-0000-0000-0000D0C30000}"/>
    <cellStyle name="Normal 30 3 5 8" xfId="50137" xr:uid="{00000000-0005-0000-0000-0000D1C30000}"/>
    <cellStyle name="Normal 30 3 5 8 2" xfId="50138" xr:uid="{00000000-0005-0000-0000-0000D2C30000}"/>
    <cellStyle name="Normal 30 3 5 8 3" xfId="50139" xr:uid="{00000000-0005-0000-0000-0000D3C30000}"/>
    <cellStyle name="Normal 30 3 5 9" xfId="50140" xr:uid="{00000000-0005-0000-0000-0000D4C30000}"/>
    <cellStyle name="Normal 30 3 5 9 2" xfId="50141" xr:uid="{00000000-0005-0000-0000-0000D5C30000}"/>
    <cellStyle name="Normal 30 3 5 9 3" xfId="50142" xr:uid="{00000000-0005-0000-0000-0000D6C30000}"/>
    <cellStyle name="Normal 30 3 6" xfId="50143" xr:uid="{00000000-0005-0000-0000-0000D7C30000}"/>
    <cellStyle name="Normal 30 3 6 10" xfId="50144" xr:uid="{00000000-0005-0000-0000-0000D8C30000}"/>
    <cellStyle name="Normal 30 3 6 10 2" xfId="50145" xr:uid="{00000000-0005-0000-0000-0000D9C30000}"/>
    <cellStyle name="Normal 30 3 6 10 3" xfId="50146" xr:uid="{00000000-0005-0000-0000-0000DAC30000}"/>
    <cellStyle name="Normal 30 3 6 11" xfId="50147" xr:uid="{00000000-0005-0000-0000-0000DBC30000}"/>
    <cellStyle name="Normal 30 3 6 11 2" xfId="50148" xr:uid="{00000000-0005-0000-0000-0000DCC30000}"/>
    <cellStyle name="Normal 30 3 6 11 3" xfId="50149" xr:uid="{00000000-0005-0000-0000-0000DDC30000}"/>
    <cellStyle name="Normal 30 3 6 12" xfId="50150" xr:uid="{00000000-0005-0000-0000-0000DEC30000}"/>
    <cellStyle name="Normal 30 3 6 12 2" xfId="50151" xr:uid="{00000000-0005-0000-0000-0000DFC30000}"/>
    <cellStyle name="Normal 30 3 6 12 3" xfId="50152" xr:uid="{00000000-0005-0000-0000-0000E0C30000}"/>
    <cellStyle name="Normal 30 3 6 13" xfId="50153" xr:uid="{00000000-0005-0000-0000-0000E1C30000}"/>
    <cellStyle name="Normal 30 3 6 13 2" xfId="50154" xr:uid="{00000000-0005-0000-0000-0000E2C30000}"/>
    <cellStyle name="Normal 30 3 6 13 3" xfId="50155" xr:uid="{00000000-0005-0000-0000-0000E3C30000}"/>
    <cellStyle name="Normal 30 3 6 14" xfId="50156" xr:uid="{00000000-0005-0000-0000-0000E4C30000}"/>
    <cellStyle name="Normal 30 3 6 14 2" xfId="50157" xr:uid="{00000000-0005-0000-0000-0000E5C30000}"/>
    <cellStyle name="Normal 30 3 6 14 3" xfId="50158" xr:uid="{00000000-0005-0000-0000-0000E6C30000}"/>
    <cellStyle name="Normal 30 3 6 15" xfId="50159" xr:uid="{00000000-0005-0000-0000-0000E7C30000}"/>
    <cellStyle name="Normal 30 3 6 16" xfId="50160" xr:uid="{00000000-0005-0000-0000-0000E8C30000}"/>
    <cellStyle name="Normal 30 3 6 2" xfId="50161" xr:uid="{00000000-0005-0000-0000-0000E9C30000}"/>
    <cellStyle name="Normal 30 3 6 2 2" xfId="50162" xr:uid="{00000000-0005-0000-0000-0000EAC30000}"/>
    <cellStyle name="Normal 30 3 6 2 3" xfId="50163" xr:uid="{00000000-0005-0000-0000-0000EBC30000}"/>
    <cellStyle name="Normal 30 3 6 3" xfId="50164" xr:uid="{00000000-0005-0000-0000-0000ECC30000}"/>
    <cellStyle name="Normal 30 3 6 3 2" xfId="50165" xr:uid="{00000000-0005-0000-0000-0000EDC30000}"/>
    <cellStyle name="Normal 30 3 6 3 3" xfId="50166" xr:uid="{00000000-0005-0000-0000-0000EEC30000}"/>
    <cellStyle name="Normal 30 3 6 4" xfId="50167" xr:uid="{00000000-0005-0000-0000-0000EFC30000}"/>
    <cellStyle name="Normal 30 3 6 4 2" xfId="50168" xr:uid="{00000000-0005-0000-0000-0000F0C30000}"/>
    <cellStyle name="Normal 30 3 6 4 3" xfId="50169" xr:uid="{00000000-0005-0000-0000-0000F1C30000}"/>
    <cellStyle name="Normal 30 3 6 5" xfId="50170" xr:uid="{00000000-0005-0000-0000-0000F2C30000}"/>
    <cellStyle name="Normal 30 3 6 5 2" xfId="50171" xr:uid="{00000000-0005-0000-0000-0000F3C30000}"/>
    <cellStyle name="Normal 30 3 6 5 3" xfId="50172" xr:uid="{00000000-0005-0000-0000-0000F4C30000}"/>
    <cellStyle name="Normal 30 3 6 6" xfId="50173" xr:uid="{00000000-0005-0000-0000-0000F5C30000}"/>
    <cellStyle name="Normal 30 3 6 6 2" xfId="50174" xr:uid="{00000000-0005-0000-0000-0000F6C30000}"/>
    <cellStyle name="Normal 30 3 6 6 3" xfId="50175" xr:uid="{00000000-0005-0000-0000-0000F7C30000}"/>
    <cellStyle name="Normal 30 3 6 7" xfId="50176" xr:uid="{00000000-0005-0000-0000-0000F8C30000}"/>
    <cellStyle name="Normal 30 3 6 7 2" xfId="50177" xr:uid="{00000000-0005-0000-0000-0000F9C30000}"/>
    <cellStyle name="Normal 30 3 6 7 3" xfId="50178" xr:uid="{00000000-0005-0000-0000-0000FAC30000}"/>
    <cellStyle name="Normal 30 3 6 8" xfId="50179" xr:uid="{00000000-0005-0000-0000-0000FBC30000}"/>
    <cellStyle name="Normal 30 3 6 8 2" xfId="50180" xr:uid="{00000000-0005-0000-0000-0000FCC30000}"/>
    <cellStyle name="Normal 30 3 6 8 3" xfId="50181" xr:uid="{00000000-0005-0000-0000-0000FDC30000}"/>
    <cellStyle name="Normal 30 3 6 9" xfId="50182" xr:uid="{00000000-0005-0000-0000-0000FEC30000}"/>
    <cellStyle name="Normal 30 3 6 9 2" xfId="50183" xr:uid="{00000000-0005-0000-0000-0000FFC30000}"/>
    <cellStyle name="Normal 30 3 6 9 3" xfId="50184" xr:uid="{00000000-0005-0000-0000-000000C40000}"/>
    <cellStyle name="Normal 30 3 7" xfId="50185" xr:uid="{00000000-0005-0000-0000-000001C40000}"/>
    <cellStyle name="Normal 30 3 7 10" xfId="50186" xr:uid="{00000000-0005-0000-0000-000002C40000}"/>
    <cellStyle name="Normal 30 3 7 10 2" xfId="50187" xr:uid="{00000000-0005-0000-0000-000003C40000}"/>
    <cellStyle name="Normal 30 3 7 10 3" xfId="50188" xr:uid="{00000000-0005-0000-0000-000004C40000}"/>
    <cellStyle name="Normal 30 3 7 11" xfId="50189" xr:uid="{00000000-0005-0000-0000-000005C40000}"/>
    <cellStyle name="Normal 30 3 7 11 2" xfId="50190" xr:uid="{00000000-0005-0000-0000-000006C40000}"/>
    <cellStyle name="Normal 30 3 7 11 3" xfId="50191" xr:uid="{00000000-0005-0000-0000-000007C40000}"/>
    <cellStyle name="Normal 30 3 7 12" xfId="50192" xr:uid="{00000000-0005-0000-0000-000008C40000}"/>
    <cellStyle name="Normal 30 3 7 12 2" xfId="50193" xr:uid="{00000000-0005-0000-0000-000009C40000}"/>
    <cellStyle name="Normal 30 3 7 12 3" xfId="50194" xr:uid="{00000000-0005-0000-0000-00000AC40000}"/>
    <cellStyle name="Normal 30 3 7 13" xfId="50195" xr:uid="{00000000-0005-0000-0000-00000BC40000}"/>
    <cellStyle name="Normal 30 3 7 13 2" xfId="50196" xr:uid="{00000000-0005-0000-0000-00000CC40000}"/>
    <cellStyle name="Normal 30 3 7 13 3" xfId="50197" xr:uid="{00000000-0005-0000-0000-00000DC40000}"/>
    <cellStyle name="Normal 30 3 7 14" xfId="50198" xr:uid="{00000000-0005-0000-0000-00000EC40000}"/>
    <cellStyle name="Normal 30 3 7 14 2" xfId="50199" xr:uid="{00000000-0005-0000-0000-00000FC40000}"/>
    <cellStyle name="Normal 30 3 7 14 3" xfId="50200" xr:uid="{00000000-0005-0000-0000-000010C40000}"/>
    <cellStyle name="Normal 30 3 7 15" xfId="50201" xr:uid="{00000000-0005-0000-0000-000011C40000}"/>
    <cellStyle name="Normal 30 3 7 16" xfId="50202" xr:uid="{00000000-0005-0000-0000-000012C40000}"/>
    <cellStyle name="Normal 30 3 7 2" xfId="50203" xr:uid="{00000000-0005-0000-0000-000013C40000}"/>
    <cellStyle name="Normal 30 3 7 2 2" xfId="50204" xr:uid="{00000000-0005-0000-0000-000014C40000}"/>
    <cellStyle name="Normal 30 3 7 2 3" xfId="50205" xr:uid="{00000000-0005-0000-0000-000015C40000}"/>
    <cellStyle name="Normal 30 3 7 3" xfId="50206" xr:uid="{00000000-0005-0000-0000-000016C40000}"/>
    <cellStyle name="Normal 30 3 7 3 2" xfId="50207" xr:uid="{00000000-0005-0000-0000-000017C40000}"/>
    <cellStyle name="Normal 30 3 7 3 3" xfId="50208" xr:uid="{00000000-0005-0000-0000-000018C40000}"/>
    <cellStyle name="Normal 30 3 7 4" xfId="50209" xr:uid="{00000000-0005-0000-0000-000019C40000}"/>
    <cellStyle name="Normal 30 3 7 4 2" xfId="50210" xr:uid="{00000000-0005-0000-0000-00001AC40000}"/>
    <cellStyle name="Normal 30 3 7 4 3" xfId="50211" xr:uid="{00000000-0005-0000-0000-00001BC40000}"/>
    <cellStyle name="Normal 30 3 7 5" xfId="50212" xr:uid="{00000000-0005-0000-0000-00001CC40000}"/>
    <cellStyle name="Normal 30 3 7 5 2" xfId="50213" xr:uid="{00000000-0005-0000-0000-00001DC40000}"/>
    <cellStyle name="Normal 30 3 7 5 3" xfId="50214" xr:uid="{00000000-0005-0000-0000-00001EC40000}"/>
    <cellStyle name="Normal 30 3 7 6" xfId="50215" xr:uid="{00000000-0005-0000-0000-00001FC40000}"/>
    <cellStyle name="Normal 30 3 7 6 2" xfId="50216" xr:uid="{00000000-0005-0000-0000-000020C40000}"/>
    <cellStyle name="Normal 30 3 7 6 3" xfId="50217" xr:uid="{00000000-0005-0000-0000-000021C40000}"/>
    <cellStyle name="Normal 30 3 7 7" xfId="50218" xr:uid="{00000000-0005-0000-0000-000022C40000}"/>
    <cellStyle name="Normal 30 3 7 7 2" xfId="50219" xr:uid="{00000000-0005-0000-0000-000023C40000}"/>
    <cellStyle name="Normal 30 3 7 7 3" xfId="50220" xr:uid="{00000000-0005-0000-0000-000024C40000}"/>
    <cellStyle name="Normal 30 3 7 8" xfId="50221" xr:uid="{00000000-0005-0000-0000-000025C40000}"/>
    <cellStyle name="Normal 30 3 7 8 2" xfId="50222" xr:uid="{00000000-0005-0000-0000-000026C40000}"/>
    <cellStyle name="Normal 30 3 7 8 3" xfId="50223" xr:uid="{00000000-0005-0000-0000-000027C40000}"/>
    <cellStyle name="Normal 30 3 7 9" xfId="50224" xr:uid="{00000000-0005-0000-0000-000028C40000}"/>
    <cellStyle name="Normal 30 3 7 9 2" xfId="50225" xr:uid="{00000000-0005-0000-0000-000029C40000}"/>
    <cellStyle name="Normal 30 3 7 9 3" xfId="50226" xr:uid="{00000000-0005-0000-0000-00002AC40000}"/>
    <cellStyle name="Normal 30 3 8" xfId="50227" xr:uid="{00000000-0005-0000-0000-00002BC40000}"/>
    <cellStyle name="Normal 30 3 8 10" xfId="50228" xr:uid="{00000000-0005-0000-0000-00002CC40000}"/>
    <cellStyle name="Normal 30 3 8 10 2" xfId="50229" xr:uid="{00000000-0005-0000-0000-00002DC40000}"/>
    <cellStyle name="Normal 30 3 8 10 3" xfId="50230" xr:uid="{00000000-0005-0000-0000-00002EC40000}"/>
    <cellStyle name="Normal 30 3 8 11" xfId="50231" xr:uid="{00000000-0005-0000-0000-00002FC40000}"/>
    <cellStyle name="Normal 30 3 8 11 2" xfId="50232" xr:uid="{00000000-0005-0000-0000-000030C40000}"/>
    <cellStyle name="Normal 30 3 8 11 3" xfId="50233" xr:uid="{00000000-0005-0000-0000-000031C40000}"/>
    <cellStyle name="Normal 30 3 8 12" xfId="50234" xr:uid="{00000000-0005-0000-0000-000032C40000}"/>
    <cellStyle name="Normal 30 3 8 12 2" xfId="50235" xr:uid="{00000000-0005-0000-0000-000033C40000}"/>
    <cellStyle name="Normal 30 3 8 12 3" xfId="50236" xr:uid="{00000000-0005-0000-0000-000034C40000}"/>
    <cellStyle name="Normal 30 3 8 13" xfId="50237" xr:uid="{00000000-0005-0000-0000-000035C40000}"/>
    <cellStyle name="Normal 30 3 8 13 2" xfId="50238" xr:uid="{00000000-0005-0000-0000-000036C40000}"/>
    <cellStyle name="Normal 30 3 8 13 3" xfId="50239" xr:uid="{00000000-0005-0000-0000-000037C40000}"/>
    <cellStyle name="Normal 30 3 8 14" xfId="50240" xr:uid="{00000000-0005-0000-0000-000038C40000}"/>
    <cellStyle name="Normal 30 3 8 14 2" xfId="50241" xr:uid="{00000000-0005-0000-0000-000039C40000}"/>
    <cellStyle name="Normal 30 3 8 14 3" xfId="50242" xr:uid="{00000000-0005-0000-0000-00003AC40000}"/>
    <cellStyle name="Normal 30 3 8 15" xfId="50243" xr:uid="{00000000-0005-0000-0000-00003BC40000}"/>
    <cellStyle name="Normal 30 3 8 16" xfId="50244" xr:uid="{00000000-0005-0000-0000-00003CC40000}"/>
    <cellStyle name="Normal 30 3 8 2" xfId="50245" xr:uid="{00000000-0005-0000-0000-00003DC40000}"/>
    <cellStyle name="Normal 30 3 8 2 2" xfId="50246" xr:uid="{00000000-0005-0000-0000-00003EC40000}"/>
    <cellStyle name="Normal 30 3 8 2 3" xfId="50247" xr:uid="{00000000-0005-0000-0000-00003FC40000}"/>
    <cellStyle name="Normal 30 3 8 3" xfId="50248" xr:uid="{00000000-0005-0000-0000-000040C40000}"/>
    <cellStyle name="Normal 30 3 8 3 2" xfId="50249" xr:uid="{00000000-0005-0000-0000-000041C40000}"/>
    <cellStyle name="Normal 30 3 8 3 3" xfId="50250" xr:uid="{00000000-0005-0000-0000-000042C40000}"/>
    <cellStyle name="Normal 30 3 8 4" xfId="50251" xr:uid="{00000000-0005-0000-0000-000043C40000}"/>
    <cellStyle name="Normal 30 3 8 4 2" xfId="50252" xr:uid="{00000000-0005-0000-0000-000044C40000}"/>
    <cellStyle name="Normal 30 3 8 4 3" xfId="50253" xr:uid="{00000000-0005-0000-0000-000045C40000}"/>
    <cellStyle name="Normal 30 3 8 5" xfId="50254" xr:uid="{00000000-0005-0000-0000-000046C40000}"/>
    <cellStyle name="Normal 30 3 8 5 2" xfId="50255" xr:uid="{00000000-0005-0000-0000-000047C40000}"/>
    <cellStyle name="Normal 30 3 8 5 3" xfId="50256" xr:uid="{00000000-0005-0000-0000-000048C40000}"/>
    <cellStyle name="Normal 30 3 8 6" xfId="50257" xr:uid="{00000000-0005-0000-0000-000049C40000}"/>
    <cellStyle name="Normal 30 3 8 6 2" xfId="50258" xr:uid="{00000000-0005-0000-0000-00004AC40000}"/>
    <cellStyle name="Normal 30 3 8 6 3" xfId="50259" xr:uid="{00000000-0005-0000-0000-00004BC40000}"/>
    <cellStyle name="Normal 30 3 8 7" xfId="50260" xr:uid="{00000000-0005-0000-0000-00004CC40000}"/>
    <cellStyle name="Normal 30 3 8 7 2" xfId="50261" xr:uid="{00000000-0005-0000-0000-00004DC40000}"/>
    <cellStyle name="Normal 30 3 8 7 3" xfId="50262" xr:uid="{00000000-0005-0000-0000-00004EC40000}"/>
    <cellStyle name="Normal 30 3 8 8" xfId="50263" xr:uid="{00000000-0005-0000-0000-00004FC40000}"/>
    <cellStyle name="Normal 30 3 8 8 2" xfId="50264" xr:uid="{00000000-0005-0000-0000-000050C40000}"/>
    <cellStyle name="Normal 30 3 8 8 3" xfId="50265" xr:uid="{00000000-0005-0000-0000-000051C40000}"/>
    <cellStyle name="Normal 30 3 8 9" xfId="50266" xr:uid="{00000000-0005-0000-0000-000052C40000}"/>
    <cellStyle name="Normal 30 3 8 9 2" xfId="50267" xr:uid="{00000000-0005-0000-0000-000053C40000}"/>
    <cellStyle name="Normal 30 3 8 9 3" xfId="50268" xr:uid="{00000000-0005-0000-0000-000054C40000}"/>
    <cellStyle name="Normal 30 3 9" xfId="50269" xr:uid="{00000000-0005-0000-0000-000055C40000}"/>
    <cellStyle name="Normal 30 3 9 10" xfId="50270" xr:uid="{00000000-0005-0000-0000-000056C40000}"/>
    <cellStyle name="Normal 30 3 9 10 2" xfId="50271" xr:uid="{00000000-0005-0000-0000-000057C40000}"/>
    <cellStyle name="Normal 30 3 9 10 3" xfId="50272" xr:uid="{00000000-0005-0000-0000-000058C40000}"/>
    <cellStyle name="Normal 30 3 9 11" xfId="50273" xr:uid="{00000000-0005-0000-0000-000059C40000}"/>
    <cellStyle name="Normal 30 3 9 11 2" xfId="50274" xr:uid="{00000000-0005-0000-0000-00005AC40000}"/>
    <cellStyle name="Normal 30 3 9 11 3" xfId="50275" xr:uid="{00000000-0005-0000-0000-00005BC40000}"/>
    <cellStyle name="Normal 30 3 9 12" xfId="50276" xr:uid="{00000000-0005-0000-0000-00005CC40000}"/>
    <cellStyle name="Normal 30 3 9 12 2" xfId="50277" xr:uid="{00000000-0005-0000-0000-00005DC40000}"/>
    <cellStyle name="Normal 30 3 9 12 3" xfId="50278" xr:uid="{00000000-0005-0000-0000-00005EC40000}"/>
    <cellStyle name="Normal 30 3 9 13" xfId="50279" xr:uid="{00000000-0005-0000-0000-00005FC40000}"/>
    <cellStyle name="Normal 30 3 9 13 2" xfId="50280" xr:uid="{00000000-0005-0000-0000-000060C40000}"/>
    <cellStyle name="Normal 30 3 9 13 3" xfId="50281" xr:uid="{00000000-0005-0000-0000-000061C40000}"/>
    <cellStyle name="Normal 30 3 9 14" xfId="50282" xr:uid="{00000000-0005-0000-0000-000062C40000}"/>
    <cellStyle name="Normal 30 3 9 14 2" xfId="50283" xr:uid="{00000000-0005-0000-0000-000063C40000}"/>
    <cellStyle name="Normal 30 3 9 14 3" xfId="50284" xr:uid="{00000000-0005-0000-0000-000064C40000}"/>
    <cellStyle name="Normal 30 3 9 15" xfId="50285" xr:uid="{00000000-0005-0000-0000-000065C40000}"/>
    <cellStyle name="Normal 30 3 9 16" xfId="50286" xr:uid="{00000000-0005-0000-0000-000066C40000}"/>
    <cellStyle name="Normal 30 3 9 2" xfId="50287" xr:uid="{00000000-0005-0000-0000-000067C40000}"/>
    <cellStyle name="Normal 30 3 9 2 2" xfId="50288" xr:uid="{00000000-0005-0000-0000-000068C40000}"/>
    <cellStyle name="Normal 30 3 9 2 3" xfId="50289" xr:uid="{00000000-0005-0000-0000-000069C40000}"/>
    <cellStyle name="Normal 30 3 9 3" xfId="50290" xr:uid="{00000000-0005-0000-0000-00006AC40000}"/>
    <cellStyle name="Normal 30 3 9 3 2" xfId="50291" xr:uid="{00000000-0005-0000-0000-00006BC40000}"/>
    <cellStyle name="Normal 30 3 9 3 3" xfId="50292" xr:uid="{00000000-0005-0000-0000-00006CC40000}"/>
    <cellStyle name="Normal 30 3 9 4" xfId="50293" xr:uid="{00000000-0005-0000-0000-00006DC40000}"/>
    <cellStyle name="Normal 30 3 9 4 2" xfId="50294" xr:uid="{00000000-0005-0000-0000-00006EC40000}"/>
    <cellStyle name="Normal 30 3 9 4 3" xfId="50295" xr:uid="{00000000-0005-0000-0000-00006FC40000}"/>
    <cellStyle name="Normal 30 3 9 5" xfId="50296" xr:uid="{00000000-0005-0000-0000-000070C40000}"/>
    <cellStyle name="Normal 30 3 9 5 2" xfId="50297" xr:uid="{00000000-0005-0000-0000-000071C40000}"/>
    <cellStyle name="Normal 30 3 9 5 3" xfId="50298" xr:uid="{00000000-0005-0000-0000-000072C40000}"/>
    <cellStyle name="Normal 30 3 9 6" xfId="50299" xr:uid="{00000000-0005-0000-0000-000073C40000}"/>
    <cellStyle name="Normal 30 3 9 6 2" xfId="50300" xr:uid="{00000000-0005-0000-0000-000074C40000}"/>
    <cellStyle name="Normal 30 3 9 6 3" xfId="50301" xr:uid="{00000000-0005-0000-0000-000075C40000}"/>
    <cellStyle name="Normal 30 3 9 7" xfId="50302" xr:uid="{00000000-0005-0000-0000-000076C40000}"/>
    <cellStyle name="Normal 30 3 9 7 2" xfId="50303" xr:uid="{00000000-0005-0000-0000-000077C40000}"/>
    <cellStyle name="Normal 30 3 9 7 3" xfId="50304" xr:uid="{00000000-0005-0000-0000-000078C40000}"/>
    <cellStyle name="Normal 30 3 9 8" xfId="50305" xr:uid="{00000000-0005-0000-0000-000079C40000}"/>
    <cellStyle name="Normal 30 3 9 8 2" xfId="50306" xr:uid="{00000000-0005-0000-0000-00007AC40000}"/>
    <cellStyle name="Normal 30 3 9 8 3" xfId="50307" xr:uid="{00000000-0005-0000-0000-00007BC40000}"/>
    <cellStyle name="Normal 30 3 9 9" xfId="50308" xr:uid="{00000000-0005-0000-0000-00007CC40000}"/>
    <cellStyle name="Normal 30 3 9 9 2" xfId="50309" xr:uid="{00000000-0005-0000-0000-00007DC40000}"/>
    <cellStyle name="Normal 30 3 9 9 3" xfId="50310" xr:uid="{00000000-0005-0000-0000-00007EC40000}"/>
    <cellStyle name="Normal 30 4" xfId="50311" xr:uid="{00000000-0005-0000-0000-00007FC40000}"/>
    <cellStyle name="Normal 30 5" xfId="50312" xr:uid="{00000000-0005-0000-0000-000080C40000}"/>
    <cellStyle name="Normal 30 6" xfId="50313" xr:uid="{00000000-0005-0000-0000-000081C40000}"/>
    <cellStyle name="Normal 30 7" xfId="50314" xr:uid="{00000000-0005-0000-0000-000082C40000}"/>
    <cellStyle name="Normal 30 8" xfId="50315" xr:uid="{00000000-0005-0000-0000-000083C40000}"/>
    <cellStyle name="Normal 30 8 10" xfId="50316" xr:uid="{00000000-0005-0000-0000-000084C40000}"/>
    <cellStyle name="Normal 30 8 10 10" xfId="50317" xr:uid="{00000000-0005-0000-0000-000085C40000}"/>
    <cellStyle name="Normal 30 8 10 10 2" xfId="50318" xr:uid="{00000000-0005-0000-0000-000086C40000}"/>
    <cellStyle name="Normal 30 8 10 10 3" xfId="50319" xr:uid="{00000000-0005-0000-0000-000087C40000}"/>
    <cellStyle name="Normal 30 8 10 11" xfId="50320" xr:uid="{00000000-0005-0000-0000-000088C40000}"/>
    <cellStyle name="Normal 30 8 10 11 2" xfId="50321" xr:uid="{00000000-0005-0000-0000-000089C40000}"/>
    <cellStyle name="Normal 30 8 10 11 3" xfId="50322" xr:uid="{00000000-0005-0000-0000-00008AC40000}"/>
    <cellStyle name="Normal 30 8 10 12" xfId="50323" xr:uid="{00000000-0005-0000-0000-00008BC40000}"/>
    <cellStyle name="Normal 30 8 10 12 2" xfId="50324" xr:uid="{00000000-0005-0000-0000-00008CC40000}"/>
    <cellStyle name="Normal 30 8 10 12 3" xfId="50325" xr:uid="{00000000-0005-0000-0000-00008DC40000}"/>
    <cellStyle name="Normal 30 8 10 13" xfId="50326" xr:uid="{00000000-0005-0000-0000-00008EC40000}"/>
    <cellStyle name="Normal 30 8 10 13 2" xfId="50327" xr:uid="{00000000-0005-0000-0000-00008FC40000}"/>
    <cellStyle name="Normal 30 8 10 13 3" xfId="50328" xr:uid="{00000000-0005-0000-0000-000090C40000}"/>
    <cellStyle name="Normal 30 8 10 14" xfId="50329" xr:uid="{00000000-0005-0000-0000-000091C40000}"/>
    <cellStyle name="Normal 30 8 10 14 2" xfId="50330" xr:uid="{00000000-0005-0000-0000-000092C40000}"/>
    <cellStyle name="Normal 30 8 10 14 3" xfId="50331" xr:uid="{00000000-0005-0000-0000-000093C40000}"/>
    <cellStyle name="Normal 30 8 10 15" xfId="50332" xr:uid="{00000000-0005-0000-0000-000094C40000}"/>
    <cellStyle name="Normal 30 8 10 16" xfId="50333" xr:uid="{00000000-0005-0000-0000-000095C40000}"/>
    <cellStyle name="Normal 30 8 10 2" xfId="50334" xr:uid="{00000000-0005-0000-0000-000096C40000}"/>
    <cellStyle name="Normal 30 8 10 2 2" xfId="50335" xr:uid="{00000000-0005-0000-0000-000097C40000}"/>
    <cellStyle name="Normal 30 8 10 2 3" xfId="50336" xr:uid="{00000000-0005-0000-0000-000098C40000}"/>
    <cellStyle name="Normal 30 8 10 3" xfId="50337" xr:uid="{00000000-0005-0000-0000-000099C40000}"/>
    <cellStyle name="Normal 30 8 10 3 2" xfId="50338" xr:uid="{00000000-0005-0000-0000-00009AC40000}"/>
    <cellStyle name="Normal 30 8 10 3 3" xfId="50339" xr:uid="{00000000-0005-0000-0000-00009BC40000}"/>
    <cellStyle name="Normal 30 8 10 4" xfId="50340" xr:uid="{00000000-0005-0000-0000-00009CC40000}"/>
    <cellStyle name="Normal 30 8 10 4 2" xfId="50341" xr:uid="{00000000-0005-0000-0000-00009DC40000}"/>
    <cellStyle name="Normal 30 8 10 4 3" xfId="50342" xr:uid="{00000000-0005-0000-0000-00009EC40000}"/>
    <cellStyle name="Normal 30 8 10 5" xfId="50343" xr:uid="{00000000-0005-0000-0000-00009FC40000}"/>
    <cellStyle name="Normal 30 8 10 5 2" xfId="50344" xr:uid="{00000000-0005-0000-0000-0000A0C40000}"/>
    <cellStyle name="Normal 30 8 10 5 3" xfId="50345" xr:uid="{00000000-0005-0000-0000-0000A1C40000}"/>
    <cellStyle name="Normal 30 8 10 6" xfId="50346" xr:uid="{00000000-0005-0000-0000-0000A2C40000}"/>
    <cellStyle name="Normal 30 8 10 6 2" xfId="50347" xr:uid="{00000000-0005-0000-0000-0000A3C40000}"/>
    <cellStyle name="Normal 30 8 10 6 3" xfId="50348" xr:uid="{00000000-0005-0000-0000-0000A4C40000}"/>
    <cellStyle name="Normal 30 8 10 7" xfId="50349" xr:uid="{00000000-0005-0000-0000-0000A5C40000}"/>
    <cellStyle name="Normal 30 8 10 7 2" xfId="50350" xr:uid="{00000000-0005-0000-0000-0000A6C40000}"/>
    <cellStyle name="Normal 30 8 10 7 3" xfId="50351" xr:uid="{00000000-0005-0000-0000-0000A7C40000}"/>
    <cellStyle name="Normal 30 8 10 8" xfId="50352" xr:uid="{00000000-0005-0000-0000-0000A8C40000}"/>
    <cellStyle name="Normal 30 8 10 8 2" xfId="50353" xr:uid="{00000000-0005-0000-0000-0000A9C40000}"/>
    <cellStyle name="Normal 30 8 10 8 3" xfId="50354" xr:uid="{00000000-0005-0000-0000-0000AAC40000}"/>
    <cellStyle name="Normal 30 8 10 9" xfId="50355" xr:uid="{00000000-0005-0000-0000-0000ABC40000}"/>
    <cellStyle name="Normal 30 8 10 9 2" xfId="50356" xr:uid="{00000000-0005-0000-0000-0000ACC40000}"/>
    <cellStyle name="Normal 30 8 10 9 3" xfId="50357" xr:uid="{00000000-0005-0000-0000-0000ADC40000}"/>
    <cellStyle name="Normal 30 8 11" xfId="50358" xr:uid="{00000000-0005-0000-0000-0000AEC40000}"/>
    <cellStyle name="Normal 30 8 11 10" xfId="50359" xr:uid="{00000000-0005-0000-0000-0000AFC40000}"/>
    <cellStyle name="Normal 30 8 11 10 2" xfId="50360" xr:uid="{00000000-0005-0000-0000-0000B0C40000}"/>
    <cellStyle name="Normal 30 8 11 10 3" xfId="50361" xr:uid="{00000000-0005-0000-0000-0000B1C40000}"/>
    <cellStyle name="Normal 30 8 11 11" xfId="50362" xr:uid="{00000000-0005-0000-0000-0000B2C40000}"/>
    <cellStyle name="Normal 30 8 11 11 2" xfId="50363" xr:uid="{00000000-0005-0000-0000-0000B3C40000}"/>
    <cellStyle name="Normal 30 8 11 11 3" xfId="50364" xr:uid="{00000000-0005-0000-0000-0000B4C40000}"/>
    <cellStyle name="Normal 30 8 11 12" xfId="50365" xr:uid="{00000000-0005-0000-0000-0000B5C40000}"/>
    <cellStyle name="Normal 30 8 11 12 2" xfId="50366" xr:uid="{00000000-0005-0000-0000-0000B6C40000}"/>
    <cellStyle name="Normal 30 8 11 12 3" xfId="50367" xr:uid="{00000000-0005-0000-0000-0000B7C40000}"/>
    <cellStyle name="Normal 30 8 11 13" xfId="50368" xr:uid="{00000000-0005-0000-0000-0000B8C40000}"/>
    <cellStyle name="Normal 30 8 11 13 2" xfId="50369" xr:uid="{00000000-0005-0000-0000-0000B9C40000}"/>
    <cellStyle name="Normal 30 8 11 13 3" xfId="50370" xr:uid="{00000000-0005-0000-0000-0000BAC40000}"/>
    <cellStyle name="Normal 30 8 11 14" xfId="50371" xr:uid="{00000000-0005-0000-0000-0000BBC40000}"/>
    <cellStyle name="Normal 30 8 11 14 2" xfId="50372" xr:uid="{00000000-0005-0000-0000-0000BCC40000}"/>
    <cellStyle name="Normal 30 8 11 14 3" xfId="50373" xr:uid="{00000000-0005-0000-0000-0000BDC40000}"/>
    <cellStyle name="Normal 30 8 11 15" xfId="50374" xr:uid="{00000000-0005-0000-0000-0000BEC40000}"/>
    <cellStyle name="Normal 30 8 11 16" xfId="50375" xr:uid="{00000000-0005-0000-0000-0000BFC40000}"/>
    <cellStyle name="Normal 30 8 11 2" xfId="50376" xr:uid="{00000000-0005-0000-0000-0000C0C40000}"/>
    <cellStyle name="Normal 30 8 11 2 2" xfId="50377" xr:uid="{00000000-0005-0000-0000-0000C1C40000}"/>
    <cellStyle name="Normal 30 8 11 2 3" xfId="50378" xr:uid="{00000000-0005-0000-0000-0000C2C40000}"/>
    <cellStyle name="Normal 30 8 11 3" xfId="50379" xr:uid="{00000000-0005-0000-0000-0000C3C40000}"/>
    <cellStyle name="Normal 30 8 11 3 2" xfId="50380" xr:uid="{00000000-0005-0000-0000-0000C4C40000}"/>
    <cellStyle name="Normal 30 8 11 3 3" xfId="50381" xr:uid="{00000000-0005-0000-0000-0000C5C40000}"/>
    <cellStyle name="Normal 30 8 11 4" xfId="50382" xr:uid="{00000000-0005-0000-0000-0000C6C40000}"/>
    <cellStyle name="Normal 30 8 11 4 2" xfId="50383" xr:uid="{00000000-0005-0000-0000-0000C7C40000}"/>
    <cellStyle name="Normal 30 8 11 4 3" xfId="50384" xr:uid="{00000000-0005-0000-0000-0000C8C40000}"/>
    <cellStyle name="Normal 30 8 11 5" xfId="50385" xr:uid="{00000000-0005-0000-0000-0000C9C40000}"/>
    <cellStyle name="Normal 30 8 11 5 2" xfId="50386" xr:uid="{00000000-0005-0000-0000-0000CAC40000}"/>
    <cellStyle name="Normal 30 8 11 5 3" xfId="50387" xr:uid="{00000000-0005-0000-0000-0000CBC40000}"/>
    <cellStyle name="Normal 30 8 11 6" xfId="50388" xr:uid="{00000000-0005-0000-0000-0000CCC40000}"/>
    <cellStyle name="Normal 30 8 11 6 2" xfId="50389" xr:uid="{00000000-0005-0000-0000-0000CDC40000}"/>
    <cellStyle name="Normal 30 8 11 6 3" xfId="50390" xr:uid="{00000000-0005-0000-0000-0000CEC40000}"/>
    <cellStyle name="Normal 30 8 11 7" xfId="50391" xr:uid="{00000000-0005-0000-0000-0000CFC40000}"/>
    <cellStyle name="Normal 30 8 11 7 2" xfId="50392" xr:uid="{00000000-0005-0000-0000-0000D0C40000}"/>
    <cellStyle name="Normal 30 8 11 7 3" xfId="50393" xr:uid="{00000000-0005-0000-0000-0000D1C40000}"/>
    <cellStyle name="Normal 30 8 11 8" xfId="50394" xr:uid="{00000000-0005-0000-0000-0000D2C40000}"/>
    <cellStyle name="Normal 30 8 11 8 2" xfId="50395" xr:uid="{00000000-0005-0000-0000-0000D3C40000}"/>
    <cellStyle name="Normal 30 8 11 8 3" xfId="50396" xr:uid="{00000000-0005-0000-0000-0000D4C40000}"/>
    <cellStyle name="Normal 30 8 11 9" xfId="50397" xr:uid="{00000000-0005-0000-0000-0000D5C40000}"/>
    <cellStyle name="Normal 30 8 11 9 2" xfId="50398" xr:uid="{00000000-0005-0000-0000-0000D6C40000}"/>
    <cellStyle name="Normal 30 8 11 9 3" xfId="50399" xr:uid="{00000000-0005-0000-0000-0000D7C40000}"/>
    <cellStyle name="Normal 30 8 12" xfId="50400" xr:uid="{00000000-0005-0000-0000-0000D8C40000}"/>
    <cellStyle name="Normal 30 8 12 10" xfId="50401" xr:uid="{00000000-0005-0000-0000-0000D9C40000}"/>
    <cellStyle name="Normal 30 8 12 10 2" xfId="50402" xr:uid="{00000000-0005-0000-0000-0000DAC40000}"/>
    <cellStyle name="Normal 30 8 12 10 3" xfId="50403" xr:uid="{00000000-0005-0000-0000-0000DBC40000}"/>
    <cellStyle name="Normal 30 8 12 11" xfId="50404" xr:uid="{00000000-0005-0000-0000-0000DCC40000}"/>
    <cellStyle name="Normal 30 8 12 11 2" xfId="50405" xr:uid="{00000000-0005-0000-0000-0000DDC40000}"/>
    <cellStyle name="Normal 30 8 12 11 3" xfId="50406" xr:uid="{00000000-0005-0000-0000-0000DEC40000}"/>
    <cellStyle name="Normal 30 8 12 12" xfId="50407" xr:uid="{00000000-0005-0000-0000-0000DFC40000}"/>
    <cellStyle name="Normal 30 8 12 12 2" xfId="50408" xr:uid="{00000000-0005-0000-0000-0000E0C40000}"/>
    <cellStyle name="Normal 30 8 12 12 3" xfId="50409" xr:uid="{00000000-0005-0000-0000-0000E1C40000}"/>
    <cellStyle name="Normal 30 8 12 13" xfId="50410" xr:uid="{00000000-0005-0000-0000-0000E2C40000}"/>
    <cellStyle name="Normal 30 8 12 13 2" xfId="50411" xr:uid="{00000000-0005-0000-0000-0000E3C40000}"/>
    <cellStyle name="Normal 30 8 12 13 3" xfId="50412" xr:uid="{00000000-0005-0000-0000-0000E4C40000}"/>
    <cellStyle name="Normal 30 8 12 14" xfId="50413" xr:uid="{00000000-0005-0000-0000-0000E5C40000}"/>
    <cellStyle name="Normal 30 8 12 14 2" xfId="50414" xr:uid="{00000000-0005-0000-0000-0000E6C40000}"/>
    <cellStyle name="Normal 30 8 12 14 3" xfId="50415" xr:uid="{00000000-0005-0000-0000-0000E7C40000}"/>
    <cellStyle name="Normal 30 8 12 15" xfId="50416" xr:uid="{00000000-0005-0000-0000-0000E8C40000}"/>
    <cellStyle name="Normal 30 8 12 16" xfId="50417" xr:uid="{00000000-0005-0000-0000-0000E9C40000}"/>
    <cellStyle name="Normal 30 8 12 2" xfId="50418" xr:uid="{00000000-0005-0000-0000-0000EAC40000}"/>
    <cellStyle name="Normal 30 8 12 2 2" xfId="50419" xr:uid="{00000000-0005-0000-0000-0000EBC40000}"/>
    <cellStyle name="Normal 30 8 12 2 3" xfId="50420" xr:uid="{00000000-0005-0000-0000-0000ECC40000}"/>
    <cellStyle name="Normal 30 8 12 3" xfId="50421" xr:uid="{00000000-0005-0000-0000-0000EDC40000}"/>
    <cellStyle name="Normal 30 8 12 3 2" xfId="50422" xr:uid="{00000000-0005-0000-0000-0000EEC40000}"/>
    <cellStyle name="Normal 30 8 12 3 3" xfId="50423" xr:uid="{00000000-0005-0000-0000-0000EFC40000}"/>
    <cellStyle name="Normal 30 8 12 4" xfId="50424" xr:uid="{00000000-0005-0000-0000-0000F0C40000}"/>
    <cellStyle name="Normal 30 8 12 4 2" xfId="50425" xr:uid="{00000000-0005-0000-0000-0000F1C40000}"/>
    <cellStyle name="Normal 30 8 12 4 3" xfId="50426" xr:uid="{00000000-0005-0000-0000-0000F2C40000}"/>
    <cellStyle name="Normal 30 8 12 5" xfId="50427" xr:uid="{00000000-0005-0000-0000-0000F3C40000}"/>
    <cellStyle name="Normal 30 8 12 5 2" xfId="50428" xr:uid="{00000000-0005-0000-0000-0000F4C40000}"/>
    <cellStyle name="Normal 30 8 12 5 3" xfId="50429" xr:uid="{00000000-0005-0000-0000-0000F5C40000}"/>
    <cellStyle name="Normal 30 8 12 6" xfId="50430" xr:uid="{00000000-0005-0000-0000-0000F6C40000}"/>
    <cellStyle name="Normal 30 8 12 6 2" xfId="50431" xr:uid="{00000000-0005-0000-0000-0000F7C40000}"/>
    <cellStyle name="Normal 30 8 12 6 3" xfId="50432" xr:uid="{00000000-0005-0000-0000-0000F8C40000}"/>
    <cellStyle name="Normal 30 8 12 7" xfId="50433" xr:uid="{00000000-0005-0000-0000-0000F9C40000}"/>
    <cellStyle name="Normal 30 8 12 7 2" xfId="50434" xr:uid="{00000000-0005-0000-0000-0000FAC40000}"/>
    <cellStyle name="Normal 30 8 12 7 3" xfId="50435" xr:uid="{00000000-0005-0000-0000-0000FBC40000}"/>
    <cellStyle name="Normal 30 8 12 8" xfId="50436" xr:uid="{00000000-0005-0000-0000-0000FCC40000}"/>
    <cellStyle name="Normal 30 8 12 8 2" xfId="50437" xr:uid="{00000000-0005-0000-0000-0000FDC40000}"/>
    <cellStyle name="Normal 30 8 12 8 3" xfId="50438" xr:uid="{00000000-0005-0000-0000-0000FEC40000}"/>
    <cellStyle name="Normal 30 8 12 9" xfId="50439" xr:uid="{00000000-0005-0000-0000-0000FFC40000}"/>
    <cellStyle name="Normal 30 8 12 9 2" xfId="50440" xr:uid="{00000000-0005-0000-0000-000000C50000}"/>
    <cellStyle name="Normal 30 8 12 9 3" xfId="50441" xr:uid="{00000000-0005-0000-0000-000001C50000}"/>
    <cellStyle name="Normal 30 8 13" xfId="50442" xr:uid="{00000000-0005-0000-0000-000002C50000}"/>
    <cellStyle name="Normal 30 8 13 10" xfId="50443" xr:uid="{00000000-0005-0000-0000-000003C50000}"/>
    <cellStyle name="Normal 30 8 13 10 2" xfId="50444" xr:uid="{00000000-0005-0000-0000-000004C50000}"/>
    <cellStyle name="Normal 30 8 13 10 3" xfId="50445" xr:uid="{00000000-0005-0000-0000-000005C50000}"/>
    <cellStyle name="Normal 30 8 13 11" xfId="50446" xr:uid="{00000000-0005-0000-0000-000006C50000}"/>
    <cellStyle name="Normal 30 8 13 11 2" xfId="50447" xr:uid="{00000000-0005-0000-0000-000007C50000}"/>
    <cellStyle name="Normal 30 8 13 11 3" xfId="50448" xr:uid="{00000000-0005-0000-0000-000008C50000}"/>
    <cellStyle name="Normal 30 8 13 12" xfId="50449" xr:uid="{00000000-0005-0000-0000-000009C50000}"/>
    <cellStyle name="Normal 30 8 13 12 2" xfId="50450" xr:uid="{00000000-0005-0000-0000-00000AC50000}"/>
    <cellStyle name="Normal 30 8 13 12 3" xfId="50451" xr:uid="{00000000-0005-0000-0000-00000BC50000}"/>
    <cellStyle name="Normal 30 8 13 13" xfId="50452" xr:uid="{00000000-0005-0000-0000-00000CC50000}"/>
    <cellStyle name="Normal 30 8 13 13 2" xfId="50453" xr:uid="{00000000-0005-0000-0000-00000DC50000}"/>
    <cellStyle name="Normal 30 8 13 13 3" xfId="50454" xr:uid="{00000000-0005-0000-0000-00000EC50000}"/>
    <cellStyle name="Normal 30 8 13 14" xfId="50455" xr:uid="{00000000-0005-0000-0000-00000FC50000}"/>
    <cellStyle name="Normal 30 8 13 14 2" xfId="50456" xr:uid="{00000000-0005-0000-0000-000010C50000}"/>
    <cellStyle name="Normal 30 8 13 14 3" xfId="50457" xr:uid="{00000000-0005-0000-0000-000011C50000}"/>
    <cellStyle name="Normal 30 8 13 15" xfId="50458" xr:uid="{00000000-0005-0000-0000-000012C50000}"/>
    <cellStyle name="Normal 30 8 13 16" xfId="50459" xr:uid="{00000000-0005-0000-0000-000013C50000}"/>
    <cellStyle name="Normal 30 8 13 2" xfId="50460" xr:uid="{00000000-0005-0000-0000-000014C50000}"/>
    <cellStyle name="Normal 30 8 13 2 2" xfId="50461" xr:uid="{00000000-0005-0000-0000-000015C50000}"/>
    <cellStyle name="Normal 30 8 13 2 3" xfId="50462" xr:uid="{00000000-0005-0000-0000-000016C50000}"/>
    <cellStyle name="Normal 30 8 13 3" xfId="50463" xr:uid="{00000000-0005-0000-0000-000017C50000}"/>
    <cellStyle name="Normal 30 8 13 3 2" xfId="50464" xr:uid="{00000000-0005-0000-0000-000018C50000}"/>
    <cellStyle name="Normal 30 8 13 3 3" xfId="50465" xr:uid="{00000000-0005-0000-0000-000019C50000}"/>
    <cellStyle name="Normal 30 8 13 4" xfId="50466" xr:uid="{00000000-0005-0000-0000-00001AC50000}"/>
    <cellStyle name="Normal 30 8 13 4 2" xfId="50467" xr:uid="{00000000-0005-0000-0000-00001BC50000}"/>
    <cellStyle name="Normal 30 8 13 4 3" xfId="50468" xr:uid="{00000000-0005-0000-0000-00001CC50000}"/>
    <cellStyle name="Normal 30 8 13 5" xfId="50469" xr:uid="{00000000-0005-0000-0000-00001DC50000}"/>
    <cellStyle name="Normal 30 8 13 5 2" xfId="50470" xr:uid="{00000000-0005-0000-0000-00001EC50000}"/>
    <cellStyle name="Normal 30 8 13 5 3" xfId="50471" xr:uid="{00000000-0005-0000-0000-00001FC50000}"/>
    <cellStyle name="Normal 30 8 13 6" xfId="50472" xr:uid="{00000000-0005-0000-0000-000020C50000}"/>
    <cellStyle name="Normal 30 8 13 6 2" xfId="50473" xr:uid="{00000000-0005-0000-0000-000021C50000}"/>
    <cellStyle name="Normal 30 8 13 6 3" xfId="50474" xr:uid="{00000000-0005-0000-0000-000022C50000}"/>
    <cellStyle name="Normal 30 8 13 7" xfId="50475" xr:uid="{00000000-0005-0000-0000-000023C50000}"/>
    <cellStyle name="Normal 30 8 13 7 2" xfId="50476" xr:uid="{00000000-0005-0000-0000-000024C50000}"/>
    <cellStyle name="Normal 30 8 13 7 3" xfId="50477" xr:uid="{00000000-0005-0000-0000-000025C50000}"/>
    <cellStyle name="Normal 30 8 13 8" xfId="50478" xr:uid="{00000000-0005-0000-0000-000026C50000}"/>
    <cellStyle name="Normal 30 8 13 8 2" xfId="50479" xr:uid="{00000000-0005-0000-0000-000027C50000}"/>
    <cellStyle name="Normal 30 8 13 8 3" xfId="50480" xr:uid="{00000000-0005-0000-0000-000028C50000}"/>
    <cellStyle name="Normal 30 8 13 9" xfId="50481" xr:uid="{00000000-0005-0000-0000-000029C50000}"/>
    <cellStyle name="Normal 30 8 13 9 2" xfId="50482" xr:uid="{00000000-0005-0000-0000-00002AC50000}"/>
    <cellStyle name="Normal 30 8 13 9 3" xfId="50483" xr:uid="{00000000-0005-0000-0000-00002BC50000}"/>
    <cellStyle name="Normal 30 8 14" xfId="50484" xr:uid="{00000000-0005-0000-0000-00002CC50000}"/>
    <cellStyle name="Normal 30 8 14 10" xfId="50485" xr:uid="{00000000-0005-0000-0000-00002DC50000}"/>
    <cellStyle name="Normal 30 8 14 10 2" xfId="50486" xr:uid="{00000000-0005-0000-0000-00002EC50000}"/>
    <cellStyle name="Normal 30 8 14 10 3" xfId="50487" xr:uid="{00000000-0005-0000-0000-00002FC50000}"/>
    <cellStyle name="Normal 30 8 14 11" xfId="50488" xr:uid="{00000000-0005-0000-0000-000030C50000}"/>
    <cellStyle name="Normal 30 8 14 11 2" xfId="50489" xr:uid="{00000000-0005-0000-0000-000031C50000}"/>
    <cellStyle name="Normal 30 8 14 11 3" xfId="50490" xr:uid="{00000000-0005-0000-0000-000032C50000}"/>
    <cellStyle name="Normal 30 8 14 12" xfId="50491" xr:uid="{00000000-0005-0000-0000-000033C50000}"/>
    <cellStyle name="Normal 30 8 14 12 2" xfId="50492" xr:uid="{00000000-0005-0000-0000-000034C50000}"/>
    <cellStyle name="Normal 30 8 14 12 3" xfId="50493" xr:uid="{00000000-0005-0000-0000-000035C50000}"/>
    <cellStyle name="Normal 30 8 14 13" xfId="50494" xr:uid="{00000000-0005-0000-0000-000036C50000}"/>
    <cellStyle name="Normal 30 8 14 13 2" xfId="50495" xr:uid="{00000000-0005-0000-0000-000037C50000}"/>
    <cellStyle name="Normal 30 8 14 13 3" xfId="50496" xr:uid="{00000000-0005-0000-0000-000038C50000}"/>
    <cellStyle name="Normal 30 8 14 14" xfId="50497" xr:uid="{00000000-0005-0000-0000-000039C50000}"/>
    <cellStyle name="Normal 30 8 14 14 2" xfId="50498" xr:uid="{00000000-0005-0000-0000-00003AC50000}"/>
    <cellStyle name="Normal 30 8 14 14 3" xfId="50499" xr:uid="{00000000-0005-0000-0000-00003BC50000}"/>
    <cellStyle name="Normal 30 8 14 15" xfId="50500" xr:uid="{00000000-0005-0000-0000-00003CC50000}"/>
    <cellStyle name="Normal 30 8 14 16" xfId="50501" xr:uid="{00000000-0005-0000-0000-00003DC50000}"/>
    <cellStyle name="Normal 30 8 14 2" xfId="50502" xr:uid="{00000000-0005-0000-0000-00003EC50000}"/>
    <cellStyle name="Normal 30 8 14 2 2" xfId="50503" xr:uid="{00000000-0005-0000-0000-00003FC50000}"/>
    <cellStyle name="Normal 30 8 14 2 3" xfId="50504" xr:uid="{00000000-0005-0000-0000-000040C50000}"/>
    <cellStyle name="Normal 30 8 14 3" xfId="50505" xr:uid="{00000000-0005-0000-0000-000041C50000}"/>
    <cellStyle name="Normal 30 8 14 3 2" xfId="50506" xr:uid="{00000000-0005-0000-0000-000042C50000}"/>
    <cellStyle name="Normal 30 8 14 3 3" xfId="50507" xr:uid="{00000000-0005-0000-0000-000043C50000}"/>
    <cellStyle name="Normal 30 8 14 4" xfId="50508" xr:uid="{00000000-0005-0000-0000-000044C50000}"/>
    <cellStyle name="Normal 30 8 14 4 2" xfId="50509" xr:uid="{00000000-0005-0000-0000-000045C50000}"/>
    <cellStyle name="Normal 30 8 14 4 3" xfId="50510" xr:uid="{00000000-0005-0000-0000-000046C50000}"/>
    <cellStyle name="Normal 30 8 14 5" xfId="50511" xr:uid="{00000000-0005-0000-0000-000047C50000}"/>
    <cellStyle name="Normal 30 8 14 5 2" xfId="50512" xr:uid="{00000000-0005-0000-0000-000048C50000}"/>
    <cellStyle name="Normal 30 8 14 5 3" xfId="50513" xr:uid="{00000000-0005-0000-0000-000049C50000}"/>
    <cellStyle name="Normal 30 8 14 6" xfId="50514" xr:uid="{00000000-0005-0000-0000-00004AC50000}"/>
    <cellStyle name="Normal 30 8 14 6 2" xfId="50515" xr:uid="{00000000-0005-0000-0000-00004BC50000}"/>
    <cellStyle name="Normal 30 8 14 6 3" xfId="50516" xr:uid="{00000000-0005-0000-0000-00004CC50000}"/>
    <cellStyle name="Normal 30 8 14 7" xfId="50517" xr:uid="{00000000-0005-0000-0000-00004DC50000}"/>
    <cellStyle name="Normal 30 8 14 7 2" xfId="50518" xr:uid="{00000000-0005-0000-0000-00004EC50000}"/>
    <cellStyle name="Normal 30 8 14 7 3" xfId="50519" xr:uid="{00000000-0005-0000-0000-00004FC50000}"/>
    <cellStyle name="Normal 30 8 14 8" xfId="50520" xr:uid="{00000000-0005-0000-0000-000050C50000}"/>
    <cellStyle name="Normal 30 8 14 8 2" xfId="50521" xr:uid="{00000000-0005-0000-0000-000051C50000}"/>
    <cellStyle name="Normal 30 8 14 8 3" xfId="50522" xr:uid="{00000000-0005-0000-0000-000052C50000}"/>
    <cellStyle name="Normal 30 8 14 9" xfId="50523" xr:uid="{00000000-0005-0000-0000-000053C50000}"/>
    <cellStyle name="Normal 30 8 14 9 2" xfId="50524" xr:uid="{00000000-0005-0000-0000-000054C50000}"/>
    <cellStyle name="Normal 30 8 14 9 3" xfId="50525" xr:uid="{00000000-0005-0000-0000-000055C50000}"/>
    <cellStyle name="Normal 30 8 15" xfId="50526" xr:uid="{00000000-0005-0000-0000-000056C50000}"/>
    <cellStyle name="Normal 30 8 15 10" xfId="50527" xr:uid="{00000000-0005-0000-0000-000057C50000}"/>
    <cellStyle name="Normal 30 8 15 10 2" xfId="50528" xr:uid="{00000000-0005-0000-0000-000058C50000}"/>
    <cellStyle name="Normal 30 8 15 10 3" xfId="50529" xr:uid="{00000000-0005-0000-0000-000059C50000}"/>
    <cellStyle name="Normal 30 8 15 11" xfId="50530" xr:uid="{00000000-0005-0000-0000-00005AC50000}"/>
    <cellStyle name="Normal 30 8 15 11 2" xfId="50531" xr:uid="{00000000-0005-0000-0000-00005BC50000}"/>
    <cellStyle name="Normal 30 8 15 11 3" xfId="50532" xr:uid="{00000000-0005-0000-0000-00005CC50000}"/>
    <cellStyle name="Normal 30 8 15 12" xfId="50533" xr:uid="{00000000-0005-0000-0000-00005DC50000}"/>
    <cellStyle name="Normal 30 8 15 12 2" xfId="50534" xr:uid="{00000000-0005-0000-0000-00005EC50000}"/>
    <cellStyle name="Normal 30 8 15 12 3" xfId="50535" xr:uid="{00000000-0005-0000-0000-00005FC50000}"/>
    <cellStyle name="Normal 30 8 15 13" xfId="50536" xr:uid="{00000000-0005-0000-0000-000060C50000}"/>
    <cellStyle name="Normal 30 8 15 13 2" xfId="50537" xr:uid="{00000000-0005-0000-0000-000061C50000}"/>
    <cellStyle name="Normal 30 8 15 13 3" xfId="50538" xr:uid="{00000000-0005-0000-0000-000062C50000}"/>
    <cellStyle name="Normal 30 8 15 14" xfId="50539" xr:uid="{00000000-0005-0000-0000-000063C50000}"/>
    <cellStyle name="Normal 30 8 15 14 2" xfId="50540" xr:uid="{00000000-0005-0000-0000-000064C50000}"/>
    <cellStyle name="Normal 30 8 15 14 3" xfId="50541" xr:uid="{00000000-0005-0000-0000-000065C50000}"/>
    <cellStyle name="Normal 30 8 15 15" xfId="50542" xr:uid="{00000000-0005-0000-0000-000066C50000}"/>
    <cellStyle name="Normal 30 8 15 16" xfId="50543" xr:uid="{00000000-0005-0000-0000-000067C50000}"/>
    <cellStyle name="Normal 30 8 15 2" xfId="50544" xr:uid="{00000000-0005-0000-0000-000068C50000}"/>
    <cellStyle name="Normal 30 8 15 2 2" xfId="50545" xr:uid="{00000000-0005-0000-0000-000069C50000}"/>
    <cellStyle name="Normal 30 8 15 2 3" xfId="50546" xr:uid="{00000000-0005-0000-0000-00006AC50000}"/>
    <cellStyle name="Normal 30 8 15 3" xfId="50547" xr:uid="{00000000-0005-0000-0000-00006BC50000}"/>
    <cellStyle name="Normal 30 8 15 3 2" xfId="50548" xr:uid="{00000000-0005-0000-0000-00006CC50000}"/>
    <cellStyle name="Normal 30 8 15 3 3" xfId="50549" xr:uid="{00000000-0005-0000-0000-00006DC50000}"/>
    <cellStyle name="Normal 30 8 15 4" xfId="50550" xr:uid="{00000000-0005-0000-0000-00006EC50000}"/>
    <cellStyle name="Normal 30 8 15 4 2" xfId="50551" xr:uid="{00000000-0005-0000-0000-00006FC50000}"/>
    <cellStyle name="Normal 30 8 15 4 3" xfId="50552" xr:uid="{00000000-0005-0000-0000-000070C50000}"/>
    <cellStyle name="Normal 30 8 15 5" xfId="50553" xr:uid="{00000000-0005-0000-0000-000071C50000}"/>
    <cellStyle name="Normal 30 8 15 5 2" xfId="50554" xr:uid="{00000000-0005-0000-0000-000072C50000}"/>
    <cellStyle name="Normal 30 8 15 5 3" xfId="50555" xr:uid="{00000000-0005-0000-0000-000073C50000}"/>
    <cellStyle name="Normal 30 8 15 6" xfId="50556" xr:uid="{00000000-0005-0000-0000-000074C50000}"/>
    <cellStyle name="Normal 30 8 15 6 2" xfId="50557" xr:uid="{00000000-0005-0000-0000-000075C50000}"/>
    <cellStyle name="Normal 30 8 15 6 3" xfId="50558" xr:uid="{00000000-0005-0000-0000-000076C50000}"/>
    <cellStyle name="Normal 30 8 15 7" xfId="50559" xr:uid="{00000000-0005-0000-0000-000077C50000}"/>
    <cellStyle name="Normal 30 8 15 7 2" xfId="50560" xr:uid="{00000000-0005-0000-0000-000078C50000}"/>
    <cellStyle name="Normal 30 8 15 7 3" xfId="50561" xr:uid="{00000000-0005-0000-0000-000079C50000}"/>
    <cellStyle name="Normal 30 8 15 8" xfId="50562" xr:uid="{00000000-0005-0000-0000-00007AC50000}"/>
    <cellStyle name="Normal 30 8 15 8 2" xfId="50563" xr:uid="{00000000-0005-0000-0000-00007BC50000}"/>
    <cellStyle name="Normal 30 8 15 8 3" xfId="50564" xr:uid="{00000000-0005-0000-0000-00007CC50000}"/>
    <cellStyle name="Normal 30 8 15 9" xfId="50565" xr:uid="{00000000-0005-0000-0000-00007DC50000}"/>
    <cellStyle name="Normal 30 8 15 9 2" xfId="50566" xr:uid="{00000000-0005-0000-0000-00007EC50000}"/>
    <cellStyle name="Normal 30 8 15 9 3" xfId="50567" xr:uid="{00000000-0005-0000-0000-00007FC50000}"/>
    <cellStyle name="Normal 30 8 16" xfId="50568" xr:uid="{00000000-0005-0000-0000-000080C50000}"/>
    <cellStyle name="Normal 30 8 16 2" xfId="50569" xr:uid="{00000000-0005-0000-0000-000081C50000}"/>
    <cellStyle name="Normal 30 8 16 3" xfId="50570" xr:uid="{00000000-0005-0000-0000-000082C50000}"/>
    <cellStyle name="Normal 30 8 17" xfId="50571" xr:uid="{00000000-0005-0000-0000-000083C50000}"/>
    <cellStyle name="Normal 30 8 17 2" xfId="50572" xr:uid="{00000000-0005-0000-0000-000084C50000}"/>
    <cellStyle name="Normal 30 8 17 3" xfId="50573" xr:uid="{00000000-0005-0000-0000-000085C50000}"/>
    <cellStyle name="Normal 30 8 18" xfId="50574" xr:uid="{00000000-0005-0000-0000-000086C50000}"/>
    <cellStyle name="Normal 30 8 18 2" xfId="50575" xr:uid="{00000000-0005-0000-0000-000087C50000}"/>
    <cellStyle name="Normal 30 8 18 3" xfId="50576" xr:uid="{00000000-0005-0000-0000-000088C50000}"/>
    <cellStyle name="Normal 30 8 19" xfId="50577" xr:uid="{00000000-0005-0000-0000-000089C50000}"/>
    <cellStyle name="Normal 30 8 19 2" xfId="50578" xr:uid="{00000000-0005-0000-0000-00008AC50000}"/>
    <cellStyle name="Normal 30 8 19 3" xfId="50579" xr:uid="{00000000-0005-0000-0000-00008BC50000}"/>
    <cellStyle name="Normal 30 8 2" xfId="50580" xr:uid="{00000000-0005-0000-0000-00008CC50000}"/>
    <cellStyle name="Normal 30 8 2 10" xfId="50581" xr:uid="{00000000-0005-0000-0000-00008DC50000}"/>
    <cellStyle name="Normal 30 8 2 10 2" xfId="50582" xr:uid="{00000000-0005-0000-0000-00008EC50000}"/>
    <cellStyle name="Normal 30 8 2 10 3" xfId="50583" xr:uid="{00000000-0005-0000-0000-00008FC50000}"/>
    <cellStyle name="Normal 30 8 2 11" xfId="50584" xr:uid="{00000000-0005-0000-0000-000090C50000}"/>
    <cellStyle name="Normal 30 8 2 11 2" xfId="50585" xr:uid="{00000000-0005-0000-0000-000091C50000}"/>
    <cellStyle name="Normal 30 8 2 11 3" xfId="50586" xr:uid="{00000000-0005-0000-0000-000092C50000}"/>
    <cellStyle name="Normal 30 8 2 12" xfId="50587" xr:uid="{00000000-0005-0000-0000-000093C50000}"/>
    <cellStyle name="Normal 30 8 2 12 2" xfId="50588" xr:uid="{00000000-0005-0000-0000-000094C50000}"/>
    <cellStyle name="Normal 30 8 2 12 3" xfId="50589" xr:uid="{00000000-0005-0000-0000-000095C50000}"/>
    <cellStyle name="Normal 30 8 2 13" xfId="50590" xr:uid="{00000000-0005-0000-0000-000096C50000}"/>
    <cellStyle name="Normal 30 8 2 13 2" xfId="50591" xr:uid="{00000000-0005-0000-0000-000097C50000}"/>
    <cellStyle name="Normal 30 8 2 13 3" xfId="50592" xr:uid="{00000000-0005-0000-0000-000098C50000}"/>
    <cellStyle name="Normal 30 8 2 14" xfId="50593" xr:uid="{00000000-0005-0000-0000-000099C50000}"/>
    <cellStyle name="Normal 30 8 2 14 2" xfId="50594" xr:uid="{00000000-0005-0000-0000-00009AC50000}"/>
    <cellStyle name="Normal 30 8 2 14 3" xfId="50595" xr:uid="{00000000-0005-0000-0000-00009BC50000}"/>
    <cellStyle name="Normal 30 8 2 15" xfId="50596" xr:uid="{00000000-0005-0000-0000-00009CC50000}"/>
    <cellStyle name="Normal 30 8 2 15 2" xfId="50597" xr:uid="{00000000-0005-0000-0000-00009DC50000}"/>
    <cellStyle name="Normal 30 8 2 15 3" xfId="50598" xr:uid="{00000000-0005-0000-0000-00009EC50000}"/>
    <cellStyle name="Normal 30 8 2 16" xfId="50599" xr:uid="{00000000-0005-0000-0000-00009FC50000}"/>
    <cellStyle name="Normal 30 8 2 17" xfId="50600" xr:uid="{00000000-0005-0000-0000-0000A0C50000}"/>
    <cellStyle name="Normal 30 8 2 2" xfId="50601" xr:uid="{00000000-0005-0000-0000-0000A1C50000}"/>
    <cellStyle name="Normal 30 8 2 2 10" xfId="50602" xr:uid="{00000000-0005-0000-0000-0000A2C50000}"/>
    <cellStyle name="Normal 30 8 2 2 10 2" xfId="50603" xr:uid="{00000000-0005-0000-0000-0000A3C50000}"/>
    <cellStyle name="Normal 30 8 2 2 10 3" xfId="50604" xr:uid="{00000000-0005-0000-0000-0000A4C50000}"/>
    <cellStyle name="Normal 30 8 2 2 11" xfId="50605" xr:uid="{00000000-0005-0000-0000-0000A5C50000}"/>
    <cellStyle name="Normal 30 8 2 2 11 2" xfId="50606" xr:uid="{00000000-0005-0000-0000-0000A6C50000}"/>
    <cellStyle name="Normal 30 8 2 2 11 3" xfId="50607" xr:uid="{00000000-0005-0000-0000-0000A7C50000}"/>
    <cellStyle name="Normal 30 8 2 2 12" xfId="50608" xr:uid="{00000000-0005-0000-0000-0000A8C50000}"/>
    <cellStyle name="Normal 30 8 2 2 12 2" xfId="50609" xr:uid="{00000000-0005-0000-0000-0000A9C50000}"/>
    <cellStyle name="Normal 30 8 2 2 12 3" xfId="50610" xr:uid="{00000000-0005-0000-0000-0000AAC50000}"/>
    <cellStyle name="Normal 30 8 2 2 13" xfId="50611" xr:uid="{00000000-0005-0000-0000-0000ABC50000}"/>
    <cellStyle name="Normal 30 8 2 2 13 2" xfId="50612" xr:uid="{00000000-0005-0000-0000-0000ACC50000}"/>
    <cellStyle name="Normal 30 8 2 2 13 3" xfId="50613" xr:uid="{00000000-0005-0000-0000-0000ADC50000}"/>
    <cellStyle name="Normal 30 8 2 2 14" xfId="50614" xr:uid="{00000000-0005-0000-0000-0000AEC50000}"/>
    <cellStyle name="Normal 30 8 2 2 14 2" xfId="50615" xr:uid="{00000000-0005-0000-0000-0000AFC50000}"/>
    <cellStyle name="Normal 30 8 2 2 14 3" xfId="50616" xr:uid="{00000000-0005-0000-0000-0000B0C50000}"/>
    <cellStyle name="Normal 30 8 2 2 15" xfId="50617" xr:uid="{00000000-0005-0000-0000-0000B1C50000}"/>
    <cellStyle name="Normal 30 8 2 2 16" xfId="50618" xr:uid="{00000000-0005-0000-0000-0000B2C50000}"/>
    <cellStyle name="Normal 30 8 2 2 2" xfId="50619" xr:uid="{00000000-0005-0000-0000-0000B3C50000}"/>
    <cellStyle name="Normal 30 8 2 2 2 2" xfId="50620" xr:uid="{00000000-0005-0000-0000-0000B4C50000}"/>
    <cellStyle name="Normal 30 8 2 2 2 3" xfId="50621" xr:uid="{00000000-0005-0000-0000-0000B5C50000}"/>
    <cellStyle name="Normal 30 8 2 2 3" xfId="50622" xr:uid="{00000000-0005-0000-0000-0000B6C50000}"/>
    <cellStyle name="Normal 30 8 2 2 3 2" xfId="50623" xr:uid="{00000000-0005-0000-0000-0000B7C50000}"/>
    <cellStyle name="Normal 30 8 2 2 3 3" xfId="50624" xr:uid="{00000000-0005-0000-0000-0000B8C50000}"/>
    <cellStyle name="Normal 30 8 2 2 4" xfId="50625" xr:uid="{00000000-0005-0000-0000-0000B9C50000}"/>
    <cellStyle name="Normal 30 8 2 2 4 2" xfId="50626" xr:uid="{00000000-0005-0000-0000-0000BAC50000}"/>
    <cellStyle name="Normal 30 8 2 2 4 3" xfId="50627" xr:uid="{00000000-0005-0000-0000-0000BBC50000}"/>
    <cellStyle name="Normal 30 8 2 2 5" xfId="50628" xr:uid="{00000000-0005-0000-0000-0000BCC50000}"/>
    <cellStyle name="Normal 30 8 2 2 5 2" xfId="50629" xr:uid="{00000000-0005-0000-0000-0000BDC50000}"/>
    <cellStyle name="Normal 30 8 2 2 5 3" xfId="50630" xr:uid="{00000000-0005-0000-0000-0000BEC50000}"/>
    <cellStyle name="Normal 30 8 2 2 6" xfId="50631" xr:uid="{00000000-0005-0000-0000-0000BFC50000}"/>
    <cellStyle name="Normal 30 8 2 2 6 2" xfId="50632" xr:uid="{00000000-0005-0000-0000-0000C0C50000}"/>
    <cellStyle name="Normal 30 8 2 2 6 3" xfId="50633" xr:uid="{00000000-0005-0000-0000-0000C1C50000}"/>
    <cellStyle name="Normal 30 8 2 2 7" xfId="50634" xr:uid="{00000000-0005-0000-0000-0000C2C50000}"/>
    <cellStyle name="Normal 30 8 2 2 7 2" xfId="50635" xr:uid="{00000000-0005-0000-0000-0000C3C50000}"/>
    <cellStyle name="Normal 30 8 2 2 7 3" xfId="50636" xr:uid="{00000000-0005-0000-0000-0000C4C50000}"/>
    <cellStyle name="Normal 30 8 2 2 8" xfId="50637" xr:uid="{00000000-0005-0000-0000-0000C5C50000}"/>
    <cellStyle name="Normal 30 8 2 2 8 2" xfId="50638" xr:uid="{00000000-0005-0000-0000-0000C6C50000}"/>
    <cellStyle name="Normal 30 8 2 2 8 3" xfId="50639" xr:uid="{00000000-0005-0000-0000-0000C7C50000}"/>
    <cellStyle name="Normal 30 8 2 2 9" xfId="50640" xr:uid="{00000000-0005-0000-0000-0000C8C50000}"/>
    <cellStyle name="Normal 30 8 2 2 9 2" xfId="50641" xr:uid="{00000000-0005-0000-0000-0000C9C50000}"/>
    <cellStyle name="Normal 30 8 2 2 9 3" xfId="50642" xr:uid="{00000000-0005-0000-0000-0000CAC50000}"/>
    <cellStyle name="Normal 30 8 2 3" xfId="50643" xr:uid="{00000000-0005-0000-0000-0000CBC50000}"/>
    <cellStyle name="Normal 30 8 2 3 2" xfId="50644" xr:uid="{00000000-0005-0000-0000-0000CCC50000}"/>
    <cellStyle name="Normal 30 8 2 3 3" xfId="50645" xr:uid="{00000000-0005-0000-0000-0000CDC50000}"/>
    <cellStyle name="Normal 30 8 2 4" xfId="50646" xr:uid="{00000000-0005-0000-0000-0000CEC50000}"/>
    <cellStyle name="Normal 30 8 2 4 2" xfId="50647" xr:uid="{00000000-0005-0000-0000-0000CFC50000}"/>
    <cellStyle name="Normal 30 8 2 4 3" xfId="50648" xr:uid="{00000000-0005-0000-0000-0000D0C50000}"/>
    <cellStyle name="Normal 30 8 2 5" xfId="50649" xr:uid="{00000000-0005-0000-0000-0000D1C50000}"/>
    <cellStyle name="Normal 30 8 2 5 2" xfId="50650" xr:uid="{00000000-0005-0000-0000-0000D2C50000}"/>
    <cellStyle name="Normal 30 8 2 5 3" xfId="50651" xr:uid="{00000000-0005-0000-0000-0000D3C50000}"/>
    <cellStyle name="Normal 30 8 2 6" xfId="50652" xr:uid="{00000000-0005-0000-0000-0000D4C50000}"/>
    <cellStyle name="Normal 30 8 2 6 2" xfId="50653" xr:uid="{00000000-0005-0000-0000-0000D5C50000}"/>
    <cellStyle name="Normal 30 8 2 6 3" xfId="50654" xr:uid="{00000000-0005-0000-0000-0000D6C50000}"/>
    <cellStyle name="Normal 30 8 2 7" xfId="50655" xr:uid="{00000000-0005-0000-0000-0000D7C50000}"/>
    <cellStyle name="Normal 30 8 2 7 2" xfId="50656" xr:uid="{00000000-0005-0000-0000-0000D8C50000}"/>
    <cellStyle name="Normal 30 8 2 7 3" xfId="50657" xr:uid="{00000000-0005-0000-0000-0000D9C50000}"/>
    <cellStyle name="Normal 30 8 2 8" xfId="50658" xr:uid="{00000000-0005-0000-0000-0000DAC50000}"/>
    <cellStyle name="Normal 30 8 2 8 2" xfId="50659" xr:uid="{00000000-0005-0000-0000-0000DBC50000}"/>
    <cellStyle name="Normal 30 8 2 8 3" xfId="50660" xr:uid="{00000000-0005-0000-0000-0000DCC50000}"/>
    <cellStyle name="Normal 30 8 2 9" xfId="50661" xr:uid="{00000000-0005-0000-0000-0000DDC50000}"/>
    <cellStyle name="Normal 30 8 2 9 2" xfId="50662" xr:uid="{00000000-0005-0000-0000-0000DEC50000}"/>
    <cellStyle name="Normal 30 8 2 9 3" xfId="50663" xr:uid="{00000000-0005-0000-0000-0000DFC50000}"/>
    <cellStyle name="Normal 30 8 20" xfId="50664" xr:uid="{00000000-0005-0000-0000-0000E0C50000}"/>
    <cellStyle name="Normal 30 8 20 2" xfId="50665" xr:uid="{00000000-0005-0000-0000-0000E1C50000}"/>
    <cellStyle name="Normal 30 8 20 3" xfId="50666" xr:uid="{00000000-0005-0000-0000-0000E2C50000}"/>
    <cellStyle name="Normal 30 8 21" xfId="50667" xr:uid="{00000000-0005-0000-0000-0000E3C50000}"/>
    <cellStyle name="Normal 30 8 21 2" xfId="50668" xr:uid="{00000000-0005-0000-0000-0000E4C50000}"/>
    <cellStyle name="Normal 30 8 21 3" xfId="50669" xr:uid="{00000000-0005-0000-0000-0000E5C50000}"/>
    <cellStyle name="Normal 30 8 22" xfId="50670" xr:uid="{00000000-0005-0000-0000-0000E6C50000}"/>
    <cellStyle name="Normal 30 8 22 2" xfId="50671" xr:uid="{00000000-0005-0000-0000-0000E7C50000}"/>
    <cellStyle name="Normal 30 8 22 3" xfId="50672" xr:uid="{00000000-0005-0000-0000-0000E8C50000}"/>
    <cellStyle name="Normal 30 8 23" xfId="50673" xr:uid="{00000000-0005-0000-0000-0000E9C50000}"/>
    <cellStyle name="Normal 30 8 23 2" xfId="50674" xr:uid="{00000000-0005-0000-0000-0000EAC50000}"/>
    <cellStyle name="Normal 30 8 23 3" xfId="50675" xr:uid="{00000000-0005-0000-0000-0000EBC50000}"/>
    <cellStyle name="Normal 30 8 24" xfId="50676" xr:uid="{00000000-0005-0000-0000-0000ECC50000}"/>
    <cellStyle name="Normal 30 8 24 2" xfId="50677" xr:uid="{00000000-0005-0000-0000-0000EDC50000}"/>
    <cellStyle name="Normal 30 8 24 3" xfId="50678" xr:uid="{00000000-0005-0000-0000-0000EEC50000}"/>
    <cellStyle name="Normal 30 8 25" xfId="50679" xr:uid="{00000000-0005-0000-0000-0000EFC50000}"/>
    <cellStyle name="Normal 30 8 25 2" xfId="50680" xr:uid="{00000000-0005-0000-0000-0000F0C50000}"/>
    <cellStyle name="Normal 30 8 25 3" xfId="50681" xr:uid="{00000000-0005-0000-0000-0000F1C50000}"/>
    <cellStyle name="Normal 30 8 26" xfId="50682" xr:uid="{00000000-0005-0000-0000-0000F2C50000}"/>
    <cellStyle name="Normal 30 8 26 2" xfId="50683" xr:uid="{00000000-0005-0000-0000-0000F3C50000}"/>
    <cellStyle name="Normal 30 8 26 3" xfId="50684" xr:uid="{00000000-0005-0000-0000-0000F4C50000}"/>
    <cellStyle name="Normal 30 8 27" xfId="50685" xr:uid="{00000000-0005-0000-0000-0000F5C50000}"/>
    <cellStyle name="Normal 30 8 27 2" xfId="50686" xr:uid="{00000000-0005-0000-0000-0000F6C50000}"/>
    <cellStyle name="Normal 30 8 27 3" xfId="50687" xr:uid="{00000000-0005-0000-0000-0000F7C50000}"/>
    <cellStyle name="Normal 30 8 28" xfId="50688" xr:uid="{00000000-0005-0000-0000-0000F8C50000}"/>
    <cellStyle name="Normal 30 8 28 2" xfId="50689" xr:uid="{00000000-0005-0000-0000-0000F9C50000}"/>
    <cellStyle name="Normal 30 8 28 3" xfId="50690" xr:uid="{00000000-0005-0000-0000-0000FAC50000}"/>
    <cellStyle name="Normal 30 8 29" xfId="50691" xr:uid="{00000000-0005-0000-0000-0000FBC50000}"/>
    <cellStyle name="Normal 30 8 3" xfId="50692" xr:uid="{00000000-0005-0000-0000-0000FCC50000}"/>
    <cellStyle name="Normal 30 8 3 10" xfId="50693" xr:uid="{00000000-0005-0000-0000-0000FDC50000}"/>
    <cellStyle name="Normal 30 8 3 10 2" xfId="50694" xr:uid="{00000000-0005-0000-0000-0000FEC50000}"/>
    <cellStyle name="Normal 30 8 3 10 3" xfId="50695" xr:uid="{00000000-0005-0000-0000-0000FFC50000}"/>
    <cellStyle name="Normal 30 8 3 11" xfId="50696" xr:uid="{00000000-0005-0000-0000-000000C60000}"/>
    <cellStyle name="Normal 30 8 3 11 2" xfId="50697" xr:uid="{00000000-0005-0000-0000-000001C60000}"/>
    <cellStyle name="Normal 30 8 3 11 3" xfId="50698" xr:uid="{00000000-0005-0000-0000-000002C60000}"/>
    <cellStyle name="Normal 30 8 3 12" xfId="50699" xr:uid="{00000000-0005-0000-0000-000003C60000}"/>
    <cellStyle name="Normal 30 8 3 12 2" xfId="50700" xr:uid="{00000000-0005-0000-0000-000004C60000}"/>
    <cellStyle name="Normal 30 8 3 12 3" xfId="50701" xr:uid="{00000000-0005-0000-0000-000005C60000}"/>
    <cellStyle name="Normal 30 8 3 13" xfId="50702" xr:uid="{00000000-0005-0000-0000-000006C60000}"/>
    <cellStyle name="Normal 30 8 3 13 2" xfId="50703" xr:uid="{00000000-0005-0000-0000-000007C60000}"/>
    <cellStyle name="Normal 30 8 3 13 3" xfId="50704" xr:uid="{00000000-0005-0000-0000-000008C60000}"/>
    <cellStyle name="Normal 30 8 3 14" xfId="50705" xr:uid="{00000000-0005-0000-0000-000009C60000}"/>
    <cellStyle name="Normal 30 8 3 14 2" xfId="50706" xr:uid="{00000000-0005-0000-0000-00000AC60000}"/>
    <cellStyle name="Normal 30 8 3 14 3" xfId="50707" xr:uid="{00000000-0005-0000-0000-00000BC60000}"/>
    <cellStyle name="Normal 30 8 3 15" xfId="50708" xr:uid="{00000000-0005-0000-0000-00000CC60000}"/>
    <cellStyle name="Normal 30 8 3 15 2" xfId="50709" xr:uid="{00000000-0005-0000-0000-00000DC60000}"/>
    <cellStyle name="Normal 30 8 3 15 3" xfId="50710" xr:uid="{00000000-0005-0000-0000-00000EC60000}"/>
    <cellStyle name="Normal 30 8 3 16" xfId="50711" xr:uid="{00000000-0005-0000-0000-00000FC60000}"/>
    <cellStyle name="Normal 30 8 3 17" xfId="50712" xr:uid="{00000000-0005-0000-0000-000010C60000}"/>
    <cellStyle name="Normal 30 8 3 2" xfId="50713" xr:uid="{00000000-0005-0000-0000-000011C60000}"/>
    <cellStyle name="Normal 30 8 3 2 10" xfId="50714" xr:uid="{00000000-0005-0000-0000-000012C60000}"/>
    <cellStyle name="Normal 30 8 3 2 10 2" xfId="50715" xr:uid="{00000000-0005-0000-0000-000013C60000}"/>
    <cellStyle name="Normal 30 8 3 2 10 3" xfId="50716" xr:uid="{00000000-0005-0000-0000-000014C60000}"/>
    <cellStyle name="Normal 30 8 3 2 11" xfId="50717" xr:uid="{00000000-0005-0000-0000-000015C60000}"/>
    <cellStyle name="Normal 30 8 3 2 11 2" xfId="50718" xr:uid="{00000000-0005-0000-0000-000016C60000}"/>
    <cellStyle name="Normal 30 8 3 2 11 3" xfId="50719" xr:uid="{00000000-0005-0000-0000-000017C60000}"/>
    <cellStyle name="Normal 30 8 3 2 12" xfId="50720" xr:uid="{00000000-0005-0000-0000-000018C60000}"/>
    <cellStyle name="Normal 30 8 3 2 12 2" xfId="50721" xr:uid="{00000000-0005-0000-0000-000019C60000}"/>
    <cellStyle name="Normal 30 8 3 2 12 3" xfId="50722" xr:uid="{00000000-0005-0000-0000-00001AC60000}"/>
    <cellStyle name="Normal 30 8 3 2 13" xfId="50723" xr:uid="{00000000-0005-0000-0000-00001BC60000}"/>
    <cellStyle name="Normal 30 8 3 2 13 2" xfId="50724" xr:uid="{00000000-0005-0000-0000-00001CC60000}"/>
    <cellStyle name="Normal 30 8 3 2 13 3" xfId="50725" xr:uid="{00000000-0005-0000-0000-00001DC60000}"/>
    <cellStyle name="Normal 30 8 3 2 14" xfId="50726" xr:uid="{00000000-0005-0000-0000-00001EC60000}"/>
    <cellStyle name="Normal 30 8 3 2 14 2" xfId="50727" xr:uid="{00000000-0005-0000-0000-00001FC60000}"/>
    <cellStyle name="Normal 30 8 3 2 14 3" xfId="50728" xr:uid="{00000000-0005-0000-0000-000020C60000}"/>
    <cellStyle name="Normal 30 8 3 2 15" xfId="50729" xr:uid="{00000000-0005-0000-0000-000021C60000}"/>
    <cellStyle name="Normal 30 8 3 2 16" xfId="50730" xr:uid="{00000000-0005-0000-0000-000022C60000}"/>
    <cellStyle name="Normal 30 8 3 2 2" xfId="50731" xr:uid="{00000000-0005-0000-0000-000023C60000}"/>
    <cellStyle name="Normal 30 8 3 2 2 2" xfId="50732" xr:uid="{00000000-0005-0000-0000-000024C60000}"/>
    <cellStyle name="Normal 30 8 3 2 2 3" xfId="50733" xr:uid="{00000000-0005-0000-0000-000025C60000}"/>
    <cellStyle name="Normal 30 8 3 2 3" xfId="50734" xr:uid="{00000000-0005-0000-0000-000026C60000}"/>
    <cellStyle name="Normal 30 8 3 2 3 2" xfId="50735" xr:uid="{00000000-0005-0000-0000-000027C60000}"/>
    <cellStyle name="Normal 30 8 3 2 3 3" xfId="50736" xr:uid="{00000000-0005-0000-0000-000028C60000}"/>
    <cellStyle name="Normal 30 8 3 2 4" xfId="50737" xr:uid="{00000000-0005-0000-0000-000029C60000}"/>
    <cellStyle name="Normal 30 8 3 2 4 2" xfId="50738" xr:uid="{00000000-0005-0000-0000-00002AC60000}"/>
    <cellStyle name="Normal 30 8 3 2 4 3" xfId="50739" xr:uid="{00000000-0005-0000-0000-00002BC60000}"/>
    <cellStyle name="Normal 30 8 3 2 5" xfId="50740" xr:uid="{00000000-0005-0000-0000-00002CC60000}"/>
    <cellStyle name="Normal 30 8 3 2 5 2" xfId="50741" xr:uid="{00000000-0005-0000-0000-00002DC60000}"/>
    <cellStyle name="Normal 30 8 3 2 5 3" xfId="50742" xr:uid="{00000000-0005-0000-0000-00002EC60000}"/>
    <cellStyle name="Normal 30 8 3 2 6" xfId="50743" xr:uid="{00000000-0005-0000-0000-00002FC60000}"/>
    <cellStyle name="Normal 30 8 3 2 6 2" xfId="50744" xr:uid="{00000000-0005-0000-0000-000030C60000}"/>
    <cellStyle name="Normal 30 8 3 2 6 3" xfId="50745" xr:uid="{00000000-0005-0000-0000-000031C60000}"/>
    <cellStyle name="Normal 30 8 3 2 7" xfId="50746" xr:uid="{00000000-0005-0000-0000-000032C60000}"/>
    <cellStyle name="Normal 30 8 3 2 7 2" xfId="50747" xr:uid="{00000000-0005-0000-0000-000033C60000}"/>
    <cellStyle name="Normal 30 8 3 2 7 3" xfId="50748" xr:uid="{00000000-0005-0000-0000-000034C60000}"/>
    <cellStyle name="Normal 30 8 3 2 8" xfId="50749" xr:uid="{00000000-0005-0000-0000-000035C60000}"/>
    <cellStyle name="Normal 30 8 3 2 8 2" xfId="50750" xr:uid="{00000000-0005-0000-0000-000036C60000}"/>
    <cellStyle name="Normal 30 8 3 2 8 3" xfId="50751" xr:uid="{00000000-0005-0000-0000-000037C60000}"/>
    <cellStyle name="Normal 30 8 3 2 9" xfId="50752" xr:uid="{00000000-0005-0000-0000-000038C60000}"/>
    <cellStyle name="Normal 30 8 3 2 9 2" xfId="50753" xr:uid="{00000000-0005-0000-0000-000039C60000}"/>
    <cellStyle name="Normal 30 8 3 2 9 3" xfId="50754" xr:uid="{00000000-0005-0000-0000-00003AC60000}"/>
    <cellStyle name="Normal 30 8 3 3" xfId="50755" xr:uid="{00000000-0005-0000-0000-00003BC60000}"/>
    <cellStyle name="Normal 30 8 3 3 2" xfId="50756" xr:uid="{00000000-0005-0000-0000-00003CC60000}"/>
    <cellStyle name="Normal 30 8 3 3 3" xfId="50757" xr:uid="{00000000-0005-0000-0000-00003DC60000}"/>
    <cellStyle name="Normal 30 8 3 4" xfId="50758" xr:uid="{00000000-0005-0000-0000-00003EC60000}"/>
    <cellStyle name="Normal 30 8 3 4 2" xfId="50759" xr:uid="{00000000-0005-0000-0000-00003FC60000}"/>
    <cellStyle name="Normal 30 8 3 4 3" xfId="50760" xr:uid="{00000000-0005-0000-0000-000040C60000}"/>
    <cellStyle name="Normal 30 8 3 5" xfId="50761" xr:uid="{00000000-0005-0000-0000-000041C60000}"/>
    <cellStyle name="Normal 30 8 3 5 2" xfId="50762" xr:uid="{00000000-0005-0000-0000-000042C60000}"/>
    <cellStyle name="Normal 30 8 3 5 3" xfId="50763" xr:uid="{00000000-0005-0000-0000-000043C60000}"/>
    <cellStyle name="Normal 30 8 3 6" xfId="50764" xr:uid="{00000000-0005-0000-0000-000044C60000}"/>
    <cellStyle name="Normal 30 8 3 6 2" xfId="50765" xr:uid="{00000000-0005-0000-0000-000045C60000}"/>
    <cellStyle name="Normal 30 8 3 6 3" xfId="50766" xr:uid="{00000000-0005-0000-0000-000046C60000}"/>
    <cellStyle name="Normal 30 8 3 7" xfId="50767" xr:uid="{00000000-0005-0000-0000-000047C60000}"/>
    <cellStyle name="Normal 30 8 3 7 2" xfId="50768" xr:uid="{00000000-0005-0000-0000-000048C60000}"/>
    <cellStyle name="Normal 30 8 3 7 3" xfId="50769" xr:uid="{00000000-0005-0000-0000-000049C60000}"/>
    <cellStyle name="Normal 30 8 3 8" xfId="50770" xr:uid="{00000000-0005-0000-0000-00004AC60000}"/>
    <cellStyle name="Normal 30 8 3 8 2" xfId="50771" xr:uid="{00000000-0005-0000-0000-00004BC60000}"/>
    <cellStyle name="Normal 30 8 3 8 3" xfId="50772" xr:uid="{00000000-0005-0000-0000-00004CC60000}"/>
    <cellStyle name="Normal 30 8 3 9" xfId="50773" xr:uid="{00000000-0005-0000-0000-00004DC60000}"/>
    <cellStyle name="Normal 30 8 3 9 2" xfId="50774" xr:uid="{00000000-0005-0000-0000-00004EC60000}"/>
    <cellStyle name="Normal 30 8 3 9 3" xfId="50775" xr:uid="{00000000-0005-0000-0000-00004FC60000}"/>
    <cellStyle name="Normal 30 8 30" xfId="50776" xr:uid="{00000000-0005-0000-0000-000050C60000}"/>
    <cellStyle name="Normal 30 8 31" xfId="50777" xr:uid="{00000000-0005-0000-0000-000051C60000}"/>
    <cellStyle name="Normal 30 8 32" xfId="50778" xr:uid="{00000000-0005-0000-0000-000052C60000}"/>
    <cellStyle name="Normal 30 8 33" xfId="50779" xr:uid="{00000000-0005-0000-0000-000053C60000}"/>
    <cellStyle name="Normal 30 8 34" xfId="50780" xr:uid="{00000000-0005-0000-0000-000054C60000}"/>
    <cellStyle name="Normal 30 8 35" xfId="50781" xr:uid="{00000000-0005-0000-0000-000055C60000}"/>
    <cellStyle name="Normal 30 8 36" xfId="50782" xr:uid="{00000000-0005-0000-0000-000056C60000}"/>
    <cellStyle name="Normal 30 8 37" xfId="50783" xr:uid="{00000000-0005-0000-0000-000057C60000}"/>
    <cellStyle name="Normal 30 8 38" xfId="50784" xr:uid="{00000000-0005-0000-0000-000058C60000}"/>
    <cellStyle name="Normal 30 8 39" xfId="50785" xr:uid="{00000000-0005-0000-0000-000059C60000}"/>
    <cellStyle name="Normal 30 8 4" xfId="50786" xr:uid="{00000000-0005-0000-0000-00005AC60000}"/>
    <cellStyle name="Normal 30 8 4 10" xfId="50787" xr:uid="{00000000-0005-0000-0000-00005BC60000}"/>
    <cellStyle name="Normal 30 8 4 10 2" xfId="50788" xr:uid="{00000000-0005-0000-0000-00005CC60000}"/>
    <cellStyle name="Normal 30 8 4 10 3" xfId="50789" xr:uid="{00000000-0005-0000-0000-00005DC60000}"/>
    <cellStyle name="Normal 30 8 4 11" xfId="50790" xr:uid="{00000000-0005-0000-0000-00005EC60000}"/>
    <cellStyle name="Normal 30 8 4 11 2" xfId="50791" xr:uid="{00000000-0005-0000-0000-00005FC60000}"/>
    <cellStyle name="Normal 30 8 4 11 3" xfId="50792" xr:uid="{00000000-0005-0000-0000-000060C60000}"/>
    <cellStyle name="Normal 30 8 4 12" xfId="50793" xr:uid="{00000000-0005-0000-0000-000061C60000}"/>
    <cellStyle name="Normal 30 8 4 12 2" xfId="50794" xr:uid="{00000000-0005-0000-0000-000062C60000}"/>
    <cellStyle name="Normal 30 8 4 12 3" xfId="50795" xr:uid="{00000000-0005-0000-0000-000063C60000}"/>
    <cellStyle name="Normal 30 8 4 13" xfId="50796" xr:uid="{00000000-0005-0000-0000-000064C60000}"/>
    <cellStyle name="Normal 30 8 4 13 2" xfId="50797" xr:uid="{00000000-0005-0000-0000-000065C60000}"/>
    <cellStyle name="Normal 30 8 4 13 3" xfId="50798" xr:uid="{00000000-0005-0000-0000-000066C60000}"/>
    <cellStyle name="Normal 30 8 4 14" xfId="50799" xr:uid="{00000000-0005-0000-0000-000067C60000}"/>
    <cellStyle name="Normal 30 8 4 14 2" xfId="50800" xr:uid="{00000000-0005-0000-0000-000068C60000}"/>
    <cellStyle name="Normal 30 8 4 14 3" xfId="50801" xr:uid="{00000000-0005-0000-0000-000069C60000}"/>
    <cellStyle name="Normal 30 8 4 15" xfId="50802" xr:uid="{00000000-0005-0000-0000-00006AC60000}"/>
    <cellStyle name="Normal 30 8 4 15 2" xfId="50803" xr:uid="{00000000-0005-0000-0000-00006BC60000}"/>
    <cellStyle name="Normal 30 8 4 15 3" xfId="50804" xr:uid="{00000000-0005-0000-0000-00006CC60000}"/>
    <cellStyle name="Normal 30 8 4 16" xfId="50805" xr:uid="{00000000-0005-0000-0000-00006DC60000}"/>
    <cellStyle name="Normal 30 8 4 17" xfId="50806" xr:uid="{00000000-0005-0000-0000-00006EC60000}"/>
    <cellStyle name="Normal 30 8 4 2" xfId="50807" xr:uid="{00000000-0005-0000-0000-00006FC60000}"/>
    <cellStyle name="Normal 30 8 4 2 10" xfId="50808" xr:uid="{00000000-0005-0000-0000-000070C60000}"/>
    <cellStyle name="Normal 30 8 4 2 10 2" xfId="50809" xr:uid="{00000000-0005-0000-0000-000071C60000}"/>
    <cellStyle name="Normal 30 8 4 2 10 3" xfId="50810" xr:uid="{00000000-0005-0000-0000-000072C60000}"/>
    <cellStyle name="Normal 30 8 4 2 11" xfId="50811" xr:uid="{00000000-0005-0000-0000-000073C60000}"/>
    <cellStyle name="Normal 30 8 4 2 11 2" xfId="50812" xr:uid="{00000000-0005-0000-0000-000074C60000}"/>
    <cellStyle name="Normal 30 8 4 2 11 3" xfId="50813" xr:uid="{00000000-0005-0000-0000-000075C60000}"/>
    <cellStyle name="Normal 30 8 4 2 12" xfId="50814" xr:uid="{00000000-0005-0000-0000-000076C60000}"/>
    <cellStyle name="Normal 30 8 4 2 12 2" xfId="50815" xr:uid="{00000000-0005-0000-0000-000077C60000}"/>
    <cellStyle name="Normal 30 8 4 2 12 3" xfId="50816" xr:uid="{00000000-0005-0000-0000-000078C60000}"/>
    <cellStyle name="Normal 30 8 4 2 13" xfId="50817" xr:uid="{00000000-0005-0000-0000-000079C60000}"/>
    <cellStyle name="Normal 30 8 4 2 13 2" xfId="50818" xr:uid="{00000000-0005-0000-0000-00007AC60000}"/>
    <cellStyle name="Normal 30 8 4 2 13 3" xfId="50819" xr:uid="{00000000-0005-0000-0000-00007BC60000}"/>
    <cellStyle name="Normal 30 8 4 2 14" xfId="50820" xr:uid="{00000000-0005-0000-0000-00007CC60000}"/>
    <cellStyle name="Normal 30 8 4 2 14 2" xfId="50821" xr:uid="{00000000-0005-0000-0000-00007DC60000}"/>
    <cellStyle name="Normal 30 8 4 2 14 3" xfId="50822" xr:uid="{00000000-0005-0000-0000-00007EC60000}"/>
    <cellStyle name="Normal 30 8 4 2 15" xfId="50823" xr:uid="{00000000-0005-0000-0000-00007FC60000}"/>
    <cellStyle name="Normal 30 8 4 2 16" xfId="50824" xr:uid="{00000000-0005-0000-0000-000080C60000}"/>
    <cellStyle name="Normal 30 8 4 2 2" xfId="50825" xr:uid="{00000000-0005-0000-0000-000081C60000}"/>
    <cellStyle name="Normal 30 8 4 2 2 2" xfId="50826" xr:uid="{00000000-0005-0000-0000-000082C60000}"/>
    <cellStyle name="Normal 30 8 4 2 2 3" xfId="50827" xr:uid="{00000000-0005-0000-0000-000083C60000}"/>
    <cellStyle name="Normal 30 8 4 2 3" xfId="50828" xr:uid="{00000000-0005-0000-0000-000084C60000}"/>
    <cellStyle name="Normal 30 8 4 2 3 2" xfId="50829" xr:uid="{00000000-0005-0000-0000-000085C60000}"/>
    <cellStyle name="Normal 30 8 4 2 3 3" xfId="50830" xr:uid="{00000000-0005-0000-0000-000086C60000}"/>
    <cellStyle name="Normal 30 8 4 2 4" xfId="50831" xr:uid="{00000000-0005-0000-0000-000087C60000}"/>
    <cellStyle name="Normal 30 8 4 2 4 2" xfId="50832" xr:uid="{00000000-0005-0000-0000-000088C60000}"/>
    <cellStyle name="Normal 30 8 4 2 4 3" xfId="50833" xr:uid="{00000000-0005-0000-0000-000089C60000}"/>
    <cellStyle name="Normal 30 8 4 2 5" xfId="50834" xr:uid="{00000000-0005-0000-0000-00008AC60000}"/>
    <cellStyle name="Normal 30 8 4 2 5 2" xfId="50835" xr:uid="{00000000-0005-0000-0000-00008BC60000}"/>
    <cellStyle name="Normal 30 8 4 2 5 3" xfId="50836" xr:uid="{00000000-0005-0000-0000-00008CC60000}"/>
    <cellStyle name="Normal 30 8 4 2 6" xfId="50837" xr:uid="{00000000-0005-0000-0000-00008DC60000}"/>
    <cellStyle name="Normal 30 8 4 2 6 2" xfId="50838" xr:uid="{00000000-0005-0000-0000-00008EC60000}"/>
    <cellStyle name="Normal 30 8 4 2 6 3" xfId="50839" xr:uid="{00000000-0005-0000-0000-00008FC60000}"/>
    <cellStyle name="Normal 30 8 4 2 7" xfId="50840" xr:uid="{00000000-0005-0000-0000-000090C60000}"/>
    <cellStyle name="Normal 30 8 4 2 7 2" xfId="50841" xr:uid="{00000000-0005-0000-0000-000091C60000}"/>
    <cellStyle name="Normal 30 8 4 2 7 3" xfId="50842" xr:uid="{00000000-0005-0000-0000-000092C60000}"/>
    <cellStyle name="Normal 30 8 4 2 8" xfId="50843" xr:uid="{00000000-0005-0000-0000-000093C60000}"/>
    <cellStyle name="Normal 30 8 4 2 8 2" xfId="50844" xr:uid="{00000000-0005-0000-0000-000094C60000}"/>
    <cellStyle name="Normal 30 8 4 2 8 3" xfId="50845" xr:uid="{00000000-0005-0000-0000-000095C60000}"/>
    <cellStyle name="Normal 30 8 4 2 9" xfId="50846" xr:uid="{00000000-0005-0000-0000-000096C60000}"/>
    <cellStyle name="Normal 30 8 4 2 9 2" xfId="50847" xr:uid="{00000000-0005-0000-0000-000097C60000}"/>
    <cellStyle name="Normal 30 8 4 2 9 3" xfId="50848" xr:uid="{00000000-0005-0000-0000-000098C60000}"/>
    <cellStyle name="Normal 30 8 4 3" xfId="50849" xr:uid="{00000000-0005-0000-0000-000099C60000}"/>
    <cellStyle name="Normal 30 8 4 3 2" xfId="50850" xr:uid="{00000000-0005-0000-0000-00009AC60000}"/>
    <cellStyle name="Normal 30 8 4 3 3" xfId="50851" xr:uid="{00000000-0005-0000-0000-00009BC60000}"/>
    <cellStyle name="Normal 30 8 4 4" xfId="50852" xr:uid="{00000000-0005-0000-0000-00009CC60000}"/>
    <cellStyle name="Normal 30 8 4 4 2" xfId="50853" xr:uid="{00000000-0005-0000-0000-00009DC60000}"/>
    <cellStyle name="Normal 30 8 4 4 3" xfId="50854" xr:uid="{00000000-0005-0000-0000-00009EC60000}"/>
    <cellStyle name="Normal 30 8 4 5" xfId="50855" xr:uid="{00000000-0005-0000-0000-00009FC60000}"/>
    <cellStyle name="Normal 30 8 4 5 2" xfId="50856" xr:uid="{00000000-0005-0000-0000-0000A0C60000}"/>
    <cellStyle name="Normal 30 8 4 5 3" xfId="50857" xr:uid="{00000000-0005-0000-0000-0000A1C60000}"/>
    <cellStyle name="Normal 30 8 4 6" xfId="50858" xr:uid="{00000000-0005-0000-0000-0000A2C60000}"/>
    <cellStyle name="Normal 30 8 4 6 2" xfId="50859" xr:uid="{00000000-0005-0000-0000-0000A3C60000}"/>
    <cellStyle name="Normal 30 8 4 6 3" xfId="50860" xr:uid="{00000000-0005-0000-0000-0000A4C60000}"/>
    <cellStyle name="Normal 30 8 4 7" xfId="50861" xr:uid="{00000000-0005-0000-0000-0000A5C60000}"/>
    <cellStyle name="Normal 30 8 4 7 2" xfId="50862" xr:uid="{00000000-0005-0000-0000-0000A6C60000}"/>
    <cellStyle name="Normal 30 8 4 7 3" xfId="50863" xr:uid="{00000000-0005-0000-0000-0000A7C60000}"/>
    <cellStyle name="Normal 30 8 4 8" xfId="50864" xr:uid="{00000000-0005-0000-0000-0000A8C60000}"/>
    <cellStyle name="Normal 30 8 4 8 2" xfId="50865" xr:uid="{00000000-0005-0000-0000-0000A9C60000}"/>
    <cellStyle name="Normal 30 8 4 8 3" xfId="50866" xr:uid="{00000000-0005-0000-0000-0000AAC60000}"/>
    <cellStyle name="Normal 30 8 4 9" xfId="50867" xr:uid="{00000000-0005-0000-0000-0000ABC60000}"/>
    <cellStyle name="Normal 30 8 4 9 2" xfId="50868" xr:uid="{00000000-0005-0000-0000-0000ACC60000}"/>
    <cellStyle name="Normal 30 8 4 9 3" xfId="50869" xr:uid="{00000000-0005-0000-0000-0000ADC60000}"/>
    <cellStyle name="Normal 30 8 40" xfId="50870" xr:uid="{00000000-0005-0000-0000-0000AEC60000}"/>
    <cellStyle name="Normal 30 8 41" xfId="50871" xr:uid="{00000000-0005-0000-0000-0000AFC60000}"/>
    <cellStyle name="Normal 30 8 5" xfId="50872" xr:uid="{00000000-0005-0000-0000-0000B0C60000}"/>
    <cellStyle name="Normal 30 8 5 10" xfId="50873" xr:uid="{00000000-0005-0000-0000-0000B1C60000}"/>
    <cellStyle name="Normal 30 8 5 10 2" xfId="50874" xr:uid="{00000000-0005-0000-0000-0000B2C60000}"/>
    <cellStyle name="Normal 30 8 5 10 3" xfId="50875" xr:uid="{00000000-0005-0000-0000-0000B3C60000}"/>
    <cellStyle name="Normal 30 8 5 11" xfId="50876" xr:uid="{00000000-0005-0000-0000-0000B4C60000}"/>
    <cellStyle name="Normal 30 8 5 11 2" xfId="50877" xr:uid="{00000000-0005-0000-0000-0000B5C60000}"/>
    <cellStyle name="Normal 30 8 5 11 3" xfId="50878" xr:uid="{00000000-0005-0000-0000-0000B6C60000}"/>
    <cellStyle name="Normal 30 8 5 12" xfId="50879" xr:uid="{00000000-0005-0000-0000-0000B7C60000}"/>
    <cellStyle name="Normal 30 8 5 12 2" xfId="50880" xr:uid="{00000000-0005-0000-0000-0000B8C60000}"/>
    <cellStyle name="Normal 30 8 5 12 3" xfId="50881" xr:uid="{00000000-0005-0000-0000-0000B9C60000}"/>
    <cellStyle name="Normal 30 8 5 13" xfId="50882" xr:uid="{00000000-0005-0000-0000-0000BAC60000}"/>
    <cellStyle name="Normal 30 8 5 13 2" xfId="50883" xr:uid="{00000000-0005-0000-0000-0000BBC60000}"/>
    <cellStyle name="Normal 30 8 5 13 3" xfId="50884" xr:uid="{00000000-0005-0000-0000-0000BCC60000}"/>
    <cellStyle name="Normal 30 8 5 14" xfId="50885" xr:uid="{00000000-0005-0000-0000-0000BDC60000}"/>
    <cellStyle name="Normal 30 8 5 14 2" xfId="50886" xr:uid="{00000000-0005-0000-0000-0000BEC60000}"/>
    <cellStyle name="Normal 30 8 5 14 3" xfId="50887" xr:uid="{00000000-0005-0000-0000-0000BFC60000}"/>
    <cellStyle name="Normal 30 8 5 15" xfId="50888" xr:uid="{00000000-0005-0000-0000-0000C0C60000}"/>
    <cellStyle name="Normal 30 8 5 16" xfId="50889" xr:uid="{00000000-0005-0000-0000-0000C1C60000}"/>
    <cellStyle name="Normal 30 8 5 2" xfId="50890" xr:uid="{00000000-0005-0000-0000-0000C2C60000}"/>
    <cellStyle name="Normal 30 8 5 2 2" xfId="50891" xr:uid="{00000000-0005-0000-0000-0000C3C60000}"/>
    <cellStyle name="Normal 30 8 5 2 3" xfId="50892" xr:uid="{00000000-0005-0000-0000-0000C4C60000}"/>
    <cellStyle name="Normal 30 8 5 3" xfId="50893" xr:uid="{00000000-0005-0000-0000-0000C5C60000}"/>
    <cellStyle name="Normal 30 8 5 3 2" xfId="50894" xr:uid="{00000000-0005-0000-0000-0000C6C60000}"/>
    <cellStyle name="Normal 30 8 5 3 3" xfId="50895" xr:uid="{00000000-0005-0000-0000-0000C7C60000}"/>
    <cellStyle name="Normal 30 8 5 4" xfId="50896" xr:uid="{00000000-0005-0000-0000-0000C8C60000}"/>
    <cellStyle name="Normal 30 8 5 4 2" xfId="50897" xr:uid="{00000000-0005-0000-0000-0000C9C60000}"/>
    <cellStyle name="Normal 30 8 5 4 3" xfId="50898" xr:uid="{00000000-0005-0000-0000-0000CAC60000}"/>
    <cellStyle name="Normal 30 8 5 5" xfId="50899" xr:uid="{00000000-0005-0000-0000-0000CBC60000}"/>
    <cellStyle name="Normal 30 8 5 5 2" xfId="50900" xr:uid="{00000000-0005-0000-0000-0000CCC60000}"/>
    <cellStyle name="Normal 30 8 5 5 3" xfId="50901" xr:uid="{00000000-0005-0000-0000-0000CDC60000}"/>
    <cellStyle name="Normal 30 8 5 6" xfId="50902" xr:uid="{00000000-0005-0000-0000-0000CEC60000}"/>
    <cellStyle name="Normal 30 8 5 6 2" xfId="50903" xr:uid="{00000000-0005-0000-0000-0000CFC60000}"/>
    <cellStyle name="Normal 30 8 5 6 3" xfId="50904" xr:uid="{00000000-0005-0000-0000-0000D0C60000}"/>
    <cellStyle name="Normal 30 8 5 7" xfId="50905" xr:uid="{00000000-0005-0000-0000-0000D1C60000}"/>
    <cellStyle name="Normal 30 8 5 7 2" xfId="50906" xr:uid="{00000000-0005-0000-0000-0000D2C60000}"/>
    <cellStyle name="Normal 30 8 5 7 3" xfId="50907" xr:uid="{00000000-0005-0000-0000-0000D3C60000}"/>
    <cellStyle name="Normal 30 8 5 8" xfId="50908" xr:uid="{00000000-0005-0000-0000-0000D4C60000}"/>
    <cellStyle name="Normal 30 8 5 8 2" xfId="50909" xr:uid="{00000000-0005-0000-0000-0000D5C60000}"/>
    <cellStyle name="Normal 30 8 5 8 3" xfId="50910" xr:uid="{00000000-0005-0000-0000-0000D6C60000}"/>
    <cellStyle name="Normal 30 8 5 9" xfId="50911" xr:uid="{00000000-0005-0000-0000-0000D7C60000}"/>
    <cellStyle name="Normal 30 8 5 9 2" xfId="50912" xr:uid="{00000000-0005-0000-0000-0000D8C60000}"/>
    <cellStyle name="Normal 30 8 5 9 3" xfId="50913" xr:uid="{00000000-0005-0000-0000-0000D9C60000}"/>
    <cellStyle name="Normal 30 8 6" xfId="50914" xr:uid="{00000000-0005-0000-0000-0000DAC60000}"/>
    <cellStyle name="Normal 30 8 6 10" xfId="50915" xr:uid="{00000000-0005-0000-0000-0000DBC60000}"/>
    <cellStyle name="Normal 30 8 6 10 2" xfId="50916" xr:uid="{00000000-0005-0000-0000-0000DCC60000}"/>
    <cellStyle name="Normal 30 8 6 10 3" xfId="50917" xr:uid="{00000000-0005-0000-0000-0000DDC60000}"/>
    <cellStyle name="Normal 30 8 6 11" xfId="50918" xr:uid="{00000000-0005-0000-0000-0000DEC60000}"/>
    <cellStyle name="Normal 30 8 6 11 2" xfId="50919" xr:uid="{00000000-0005-0000-0000-0000DFC60000}"/>
    <cellStyle name="Normal 30 8 6 11 3" xfId="50920" xr:uid="{00000000-0005-0000-0000-0000E0C60000}"/>
    <cellStyle name="Normal 30 8 6 12" xfId="50921" xr:uid="{00000000-0005-0000-0000-0000E1C60000}"/>
    <cellStyle name="Normal 30 8 6 12 2" xfId="50922" xr:uid="{00000000-0005-0000-0000-0000E2C60000}"/>
    <cellStyle name="Normal 30 8 6 12 3" xfId="50923" xr:uid="{00000000-0005-0000-0000-0000E3C60000}"/>
    <cellStyle name="Normal 30 8 6 13" xfId="50924" xr:uid="{00000000-0005-0000-0000-0000E4C60000}"/>
    <cellStyle name="Normal 30 8 6 13 2" xfId="50925" xr:uid="{00000000-0005-0000-0000-0000E5C60000}"/>
    <cellStyle name="Normal 30 8 6 13 3" xfId="50926" xr:uid="{00000000-0005-0000-0000-0000E6C60000}"/>
    <cellStyle name="Normal 30 8 6 14" xfId="50927" xr:uid="{00000000-0005-0000-0000-0000E7C60000}"/>
    <cellStyle name="Normal 30 8 6 14 2" xfId="50928" xr:uid="{00000000-0005-0000-0000-0000E8C60000}"/>
    <cellStyle name="Normal 30 8 6 14 3" xfId="50929" xr:uid="{00000000-0005-0000-0000-0000E9C60000}"/>
    <cellStyle name="Normal 30 8 6 15" xfId="50930" xr:uid="{00000000-0005-0000-0000-0000EAC60000}"/>
    <cellStyle name="Normal 30 8 6 16" xfId="50931" xr:uid="{00000000-0005-0000-0000-0000EBC60000}"/>
    <cellStyle name="Normal 30 8 6 2" xfId="50932" xr:uid="{00000000-0005-0000-0000-0000ECC60000}"/>
    <cellStyle name="Normal 30 8 6 2 2" xfId="50933" xr:uid="{00000000-0005-0000-0000-0000EDC60000}"/>
    <cellStyle name="Normal 30 8 6 2 3" xfId="50934" xr:uid="{00000000-0005-0000-0000-0000EEC60000}"/>
    <cellStyle name="Normal 30 8 6 3" xfId="50935" xr:uid="{00000000-0005-0000-0000-0000EFC60000}"/>
    <cellStyle name="Normal 30 8 6 3 2" xfId="50936" xr:uid="{00000000-0005-0000-0000-0000F0C60000}"/>
    <cellStyle name="Normal 30 8 6 3 3" xfId="50937" xr:uid="{00000000-0005-0000-0000-0000F1C60000}"/>
    <cellStyle name="Normal 30 8 6 4" xfId="50938" xr:uid="{00000000-0005-0000-0000-0000F2C60000}"/>
    <cellStyle name="Normal 30 8 6 4 2" xfId="50939" xr:uid="{00000000-0005-0000-0000-0000F3C60000}"/>
    <cellStyle name="Normal 30 8 6 4 3" xfId="50940" xr:uid="{00000000-0005-0000-0000-0000F4C60000}"/>
    <cellStyle name="Normal 30 8 6 5" xfId="50941" xr:uid="{00000000-0005-0000-0000-0000F5C60000}"/>
    <cellStyle name="Normal 30 8 6 5 2" xfId="50942" xr:uid="{00000000-0005-0000-0000-0000F6C60000}"/>
    <cellStyle name="Normal 30 8 6 5 3" xfId="50943" xr:uid="{00000000-0005-0000-0000-0000F7C60000}"/>
    <cellStyle name="Normal 30 8 6 6" xfId="50944" xr:uid="{00000000-0005-0000-0000-0000F8C60000}"/>
    <cellStyle name="Normal 30 8 6 6 2" xfId="50945" xr:uid="{00000000-0005-0000-0000-0000F9C60000}"/>
    <cellStyle name="Normal 30 8 6 6 3" xfId="50946" xr:uid="{00000000-0005-0000-0000-0000FAC60000}"/>
    <cellStyle name="Normal 30 8 6 7" xfId="50947" xr:uid="{00000000-0005-0000-0000-0000FBC60000}"/>
    <cellStyle name="Normal 30 8 6 7 2" xfId="50948" xr:uid="{00000000-0005-0000-0000-0000FCC60000}"/>
    <cellStyle name="Normal 30 8 6 7 3" xfId="50949" xr:uid="{00000000-0005-0000-0000-0000FDC60000}"/>
    <cellStyle name="Normal 30 8 6 8" xfId="50950" xr:uid="{00000000-0005-0000-0000-0000FEC60000}"/>
    <cellStyle name="Normal 30 8 6 8 2" xfId="50951" xr:uid="{00000000-0005-0000-0000-0000FFC60000}"/>
    <cellStyle name="Normal 30 8 6 8 3" xfId="50952" xr:uid="{00000000-0005-0000-0000-000000C70000}"/>
    <cellStyle name="Normal 30 8 6 9" xfId="50953" xr:uid="{00000000-0005-0000-0000-000001C70000}"/>
    <cellStyle name="Normal 30 8 6 9 2" xfId="50954" xr:uid="{00000000-0005-0000-0000-000002C70000}"/>
    <cellStyle name="Normal 30 8 6 9 3" xfId="50955" xr:uid="{00000000-0005-0000-0000-000003C70000}"/>
    <cellStyle name="Normal 30 8 7" xfId="50956" xr:uid="{00000000-0005-0000-0000-000004C70000}"/>
    <cellStyle name="Normal 30 8 7 10" xfId="50957" xr:uid="{00000000-0005-0000-0000-000005C70000}"/>
    <cellStyle name="Normal 30 8 7 10 2" xfId="50958" xr:uid="{00000000-0005-0000-0000-000006C70000}"/>
    <cellStyle name="Normal 30 8 7 10 3" xfId="50959" xr:uid="{00000000-0005-0000-0000-000007C70000}"/>
    <cellStyle name="Normal 30 8 7 11" xfId="50960" xr:uid="{00000000-0005-0000-0000-000008C70000}"/>
    <cellStyle name="Normal 30 8 7 11 2" xfId="50961" xr:uid="{00000000-0005-0000-0000-000009C70000}"/>
    <cellStyle name="Normal 30 8 7 11 3" xfId="50962" xr:uid="{00000000-0005-0000-0000-00000AC70000}"/>
    <cellStyle name="Normal 30 8 7 12" xfId="50963" xr:uid="{00000000-0005-0000-0000-00000BC70000}"/>
    <cellStyle name="Normal 30 8 7 12 2" xfId="50964" xr:uid="{00000000-0005-0000-0000-00000CC70000}"/>
    <cellStyle name="Normal 30 8 7 12 3" xfId="50965" xr:uid="{00000000-0005-0000-0000-00000DC70000}"/>
    <cellStyle name="Normal 30 8 7 13" xfId="50966" xr:uid="{00000000-0005-0000-0000-00000EC70000}"/>
    <cellStyle name="Normal 30 8 7 13 2" xfId="50967" xr:uid="{00000000-0005-0000-0000-00000FC70000}"/>
    <cellStyle name="Normal 30 8 7 13 3" xfId="50968" xr:uid="{00000000-0005-0000-0000-000010C70000}"/>
    <cellStyle name="Normal 30 8 7 14" xfId="50969" xr:uid="{00000000-0005-0000-0000-000011C70000}"/>
    <cellStyle name="Normal 30 8 7 14 2" xfId="50970" xr:uid="{00000000-0005-0000-0000-000012C70000}"/>
    <cellStyle name="Normal 30 8 7 14 3" xfId="50971" xr:uid="{00000000-0005-0000-0000-000013C70000}"/>
    <cellStyle name="Normal 30 8 7 15" xfId="50972" xr:uid="{00000000-0005-0000-0000-000014C70000}"/>
    <cellStyle name="Normal 30 8 7 16" xfId="50973" xr:uid="{00000000-0005-0000-0000-000015C70000}"/>
    <cellStyle name="Normal 30 8 7 2" xfId="50974" xr:uid="{00000000-0005-0000-0000-000016C70000}"/>
    <cellStyle name="Normal 30 8 7 2 2" xfId="50975" xr:uid="{00000000-0005-0000-0000-000017C70000}"/>
    <cellStyle name="Normal 30 8 7 2 3" xfId="50976" xr:uid="{00000000-0005-0000-0000-000018C70000}"/>
    <cellStyle name="Normal 30 8 7 3" xfId="50977" xr:uid="{00000000-0005-0000-0000-000019C70000}"/>
    <cellStyle name="Normal 30 8 7 3 2" xfId="50978" xr:uid="{00000000-0005-0000-0000-00001AC70000}"/>
    <cellStyle name="Normal 30 8 7 3 3" xfId="50979" xr:uid="{00000000-0005-0000-0000-00001BC70000}"/>
    <cellStyle name="Normal 30 8 7 4" xfId="50980" xr:uid="{00000000-0005-0000-0000-00001CC70000}"/>
    <cellStyle name="Normal 30 8 7 4 2" xfId="50981" xr:uid="{00000000-0005-0000-0000-00001DC70000}"/>
    <cellStyle name="Normal 30 8 7 4 3" xfId="50982" xr:uid="{00000000-0005-0000-0000-00001EC70000}"/>
    <cellStyle name="Normal 30 8 7 5" xfId="50983" xr:uid="{00000000-0005-0000-0000-00001FC70000}"/>
    <cellStyle name="Normal 30 8 7 5 2" xfId="50984" xr:uid="{00000000-0005-0000-0000-000020C70000}"/>
    <cellStyle name="Normal 30 8 7 5 3" xfId="50985" xr:uid="{00000000-0005-0000-0000-000021C70000}"/>
    <cellStyle name="Normal 30 8 7 6" xfId="50986" xr:uid="{00000000-0005-0000-0000-000022C70000}"/>
    <cellStyle name="Normal 30 8 7 6 2" xfId="50987" xr:uid="{00000000-0005-0000-0000-000023C70000}"/>
    <cellStyle name="Normal 30 8 7 6 3" xfId="50988" xr:uid="{00000000-0005-0000-0000-000024C70000}"/>
    <cellStyle name="Normal 30 8 7 7" xfId="50989" xr:uid="{00000000-0005-0000-0000-000025C70000}"/>
    <cellStyle name="Normal 30 8 7 7 2" xfId="50990" xr:uid="{00000000-0005-0000-0000-000026C70000}"/>
    <cellStyle name="Normal 30 8 7 7 3" xfId="50991" xr:uid="{00000000-0005-0000-0000-000027C70000}"/>
    <cellStyle name="Normal 30 8 7 8" xfId="50992" xr:uid="{00000000-0005-0000-0000-000028C70000}"/>
    <cellStyle name="Normal 30 8 7 8 2" xfId="50993" xr:uid="{00000000-0005-0000-0000-000029C70000}"/>
    <cellStyle name="Normal 30 8 7 8 3" xfId="50994" xr:uid="{00000000-0005-0000-0000-00002AC70000}"/>
    <cellStyle name="Normal 30 8 7 9" xfId="50995" xr:uid="{00000000-0005-0000-0000-00002BC70000}"/>
    <cellStyle name="Normal 30 8 7 9 2" xfId="50996" xr:uid="{00000000-0005-0000-0000-00002CC70000}"/>
    <cellStyle name="Normal 30 8 7 9 3" xfId="50997" xr:uid="{00000000-0005-0000-0000-00002DC70000}"/>
    <cellStyle name="Normal 30 8 8" xfId="50998" xr:uid="{00000000-0005-0000-0000-00002EC70000}"/>
    <cellStyle name="Normal 30 8 8 10" xfId="50999" xr:uid="{00000000-0005-0000-0000-00002FC70000}"/>
    <cellStyle name="Normal 30 8 8 10 2" xfId="51000" xr:uid="{00000000-0005-0000-0000-000030C70000}"/>
    <cellStyle name="Normal 30 8 8 10 3" xfId="51001" xr:uid="{00000000-0005-0000-0000-000031C70000}"/>
    <cellStyle name="Normal 30 8 8 11" xfId="51002" xr:uid="{00000000-0005-0000-0000-000032C70000}"/>
    <cellStyle name="Normal 30 8 8 11 2" xfId="51003" xr:uid="{00000000-0005-0000-0000-000033C70000}"/>
    <cellStyle name="Normal 30 8 8 11 3" xfId="51004" xr:uid="{00000000-0005-0000-0000-000034C70000}"/>
    <cellStyle name="Normal 30 8 8 12" xfId="51005" xr:uid="{00000000-0005-0000-0000-000035C70000}"/>
    <cellStyle name="Normal 30 8 8 12 2" xfId="51006" xr:uid="{00000000-0005-0000-0000-000036C70000}"/>
    <cellStyle name="Normal 30 8 8 12 3" xfId="51007" xr:uid="{00000000-0005-0000-0000-000037C70000}"/>
    <cellStyle name="Normal 30 8 8 13" xfId="51008" xr:uid="{00000000-0005-0000-0000-000038C70000}"/>
    <cellStyle name="Normal 30 8 8 13 2" xfId="51009" xr:uid="{00000000-0005-0000-0000-000039C70000}"/>
    <cellStyle name="Normal 30 8 8 13 3" xfId="51010" xr:uid="{00000000-0005-0000-0000-00003AC70000}"/>
    <cellStyle name="Normal 30 8 8 14" xfId="51011" xr:uid="{00000000-0005-0000-0000-00003BC70000}"/>
    <cellStyle name="Normal 30 8 8 14 2" xfId="51012" xr:uid="{00000000-0005-0000-0000-00003CC70000}"/>
    <cellStyle name="Normal 30 8 8 14 3" xfId="51013" xr:uid="{00000000-0005-0000-0000-00003DC70000}"/>
    <cellStyle name="Normal 30 8 8 15" xfId="51014" xr:uid="{00000000-0005-0000-0000-00003EC70000}"/>
    <cellStyle name="Normal 30 8 8 16" xfId="51015" xr:uid="{00000000-0005-0000-0000-00003FC70000}"/>
    <cellStyle name="Normal 30 8 8 2" xfId="51016" xr:uid="{00000000-0005-0000-0000-000040C70000}"/>
    <cellStyle name="Normal 30 8 8 2 2" xfId="51017" xr:uid="{00000000-0005-0000-0000-000041C70000}"/>
    <cellStyle name="Normal 30 8 8 2 3" xfId="51018" xr:uid="{00000000-0005-0000-0000-000042C70000}"/>
    <cellStyle name="Normal 30 8 8 3" xfId="51019" xr:uid="{00000000-0005-0000-0000-000043C70000}"/>
    <cellStyle name="Normal 30 8 8 3 2" xfId="51020" xr:uid="{00000000-0005-0000-0000-000044C70000}"/>
    <cellStyle name="Normal 30 8 8 3 3" xfId="51021" xr:uid="{00000000-0005-0000-0000-000045C70000}"/>
    <cellStyle name="Normal 30 8 8 4" xfId="51022" xr:uid="{00000000-0005-0000-0000-000046C70000}"/>
    <cellStyle name="Normal 30 8 8 4 2" xfId="51023" xr:uid="{00000000-0005-0000-0000-000047C70000}"/>
    <cellStyle name="Normal 30 8 8 4 3" xfId="51024" xr:uid="{00000000-0005-0000-0000-000048C70000}"/>
    <cellStyle name="Normal 30 8 8 5" xfId="51025" xr:uid="{00000000-0005-0000-0000-000049C70000}"/>
    <cellStyle name="Normal 30 8 8 5 2" xfId="51026" xr:uid="{00000000-0005-0000-0000-00004AC70000}"/>
    <cellStyle name="Normal 30 8 8 5 3" xfId="51027" xr:uid="{00000000-0005-0000-0000-00004BC70000}"/>
    <cellStyle name="Normal 30 8 8 6" xfId="51028" xr:uid="{00000000-0005-0000-0000-00004CC70000}"/>
    <cellStyle name="Normal 30 8 8 6 2" xfId="51029" xr:uid="{00000000-0005-0000-0000-00004DC70000}"/>
    <cellStyle name="Normal 30 8 8 6 3" xfId="51030" xr:uid="{00000000-0005-0000-0000-00004EC70000}"/>
    <cellStyle name="Normal 30 8 8 7" xfId="51031" xr:uid="{00000000-0005-0000-0000-00004FC70000}"/>
    <cellStyle name="Normal 30 8 8 7 2" xfId="51032" xr:uid="{00000000-0005-0000-0000-000050C70000}"/>
    <cellStyle name="Normal 30 8 8 7 3" xfId="51033" xr:uid="{00000000-0005-0000-0000-000051C70000}"/>
    <cellStyle name="Normal 30 8 8 8" xfId="51034" xr:uid="{00000000-0005-0000-0000-000052C70000}"/>
    <cellStyle name="Normal 30 8 8 8 2" xfId="51035" xr:uid="{00000000-0005-0000-0000-000053C70000}"/>
    <cellStyle name="Normal 30 8 8 8 3" xfId="51036" xr:uid="{00000000-0005-0000-0000-000054C70000}"/>
    <cellStyle name="Normal 30 8 8 9" xfId="51037" xr:uid="{00000000-0005-0000-0000-000055C70000}"/>
    <cellStyle name="Normal 30 8 8 9 2" xfId="51038" xr:uid="{00000000-0005-0000-0000-000056C70000}"/>
    <cellStyle name="Normal 30 8 8 9 3" xfId="51039" xr:uid="{00000000-0005-0000-0000-000057C70000}"/>
    <cellStyle name="Normal 30 8 9" xfId="51040" xr:uid="{00000000-0005-0000-0000-000058C70000}"/>
    <cellStyle name="Normal 30 8 9 10" xfId="51041" xr:uid="{00000000-0005-0000-0000-000059C70000}"/>
    <cellStyle name="Normal 30 8 9 10 2" xfId="51042" xr:uid="{00000000-0005-0000-0000-00005AC70000}"/>
    <cellStyle name="Normal 30 8 9 10 3" xfId="51043" xr:uid="{00000000-0005-0000-0000-00005BC70000}"/>
    <cellStyle name="Normal 30 8 9 11" xfId="51044" xr:uid="{00000000-0005-0000-0000-00005CC70000}"/>
    <cellStyle name="Normal 30 8 9 11 2" xfId="51045" xr:uid="{00000000-0005-0000-0000-00005DC70000}"/>
    <cellStyle name="Normal 30 8 9 11 3" xfId="51046" xr:uid="{00000000-0005-0000-0000-00005EC70000}"/>
    <cellStyle name="Normal 30 8 9 12" xfId="51047" xr:uid="{00000000-0005-0000-0000-00005FC70000}"/>
    <cellStyle name="Normal 30 8 9 12 2" xfId="51048" xr:uid="{00000000-0005-0000-0000-000060C70000}"/>
    <cellStyle name="Normal 30 8 9 12 3" xfId="51049" xr:uid="{00000000-0005-0000-0000-000061C70000}"/>
    <cellStyle name="Normal 30 8 9 13" xfId="51050" xr:uid="{00000000-0005-0000-0000-000062C70000}"/>
    <cellStyle name="Normal 30 8 9 13 2" xfId="51051" xr:uid="{00000000-0005-0000-0000-000063C70000}"/>
    <cellStyle name="Normal 30 8 9 13 3" xfId="51052" xr:uid="{00000000-0005-0000-0000-000064C70000}"/>
    <cellStyle name="Normal 30 8 9 14" xfId="51053" xr:uid="{00000000-0005-0000-0000-000065C70000}"/>
    <cellStyle name="Normal 30 8 9 14 2" xfId="51054" xr:uid="{00000000-0005-0000-0000-000066C70000}"/>
    <cellStyle name="Normal 30 8 9 14 3" xfId="51055" xr:uid="{00000000-0005-0000-0000-000067C70000}"/>
    <cellStyle name="Normal 30 8 9 15" xfId="51056" xr:uid="{00000000-0005-0000-0000-000068C70000}"/>
    <cellStyle name="Normal 30 8 9 16" xfId="51057" xr:uid="{00000000-0005-0000-0000-000069C70000}"/>
    <cellStyle name="Normal 30 8 9 2" xfId="51058" xr:uid="{00000000-0005-0000-0000-00006AC70000}"/>
    <cellStyle name="Normal 30 8 9 2 2" xfId="51059" xr:uid="{00000000-0005-0000-0000-00006BC70000}"/>
    <cellStyle name="Normal 30 8 9 2 3" xfId="51060" xr:uid="{00000000-0005-0000-0000-00006CC70000}"/>
    <cellStyle name="Normal 30 8 9 3" xfId="51061" xr:uid="{00000000-0005-0000-0000-00006DC70000}"/>
    <cellStyle name="Normal 30 8 9 3 2" xfId="51062" xr:uid="{00000000-0005-0000-0000-00006EC70000}"/>
    <cellStyle name="Normal 30 8 9 3 3" xfId="51063" xr:uid="{00000000-0005-0000-0000-00006FC70000}"/>
    <cellStyle name="Normal 30 8 9 4" xfId="51064" xr:uid="{00000000-0005-0000-0000-000070C70000}"/>
    <cellStyle name="Normal 30 8 9 4 2" xfId="51065" xr:uid="{00000000-0005-0000-0000-000071C70000}"/>
    <cellStyle name="Normal 30 8 9 4 3" xfId="51066" xr:uid="{00000000-0005-0000-0000-000072C70000}"/>
    <cellStyle name="Normal 30 8 9 5" xfId="51067" xr:uid="{00000000-0005-0000-0000-000073C70000}"/>
    <cellStyle name="Normal 30 8 9 5 2" xfId="51068" xr:uid="{00000000-0005-0000-0000-000074C70000}"/>
    <cellStyle name="Normal 30 8 9 5 3" xfId="51069" xr:uid="{00000000-0005-0000-0000-000075C70000}"/>
    <cellStyle name="Normal 30 8 9 6" xfId="51070" xr:uid="{00000000-0005-0000-0000-000076C70000}"/>
    <cellStyle name="Normal 30 8 9 6 2" xfId="51071" xr:uid="{00000000-0005-0000-0000-000077C70000}"/>
    <cellStyle name="Normal 30 8 9 6 3" xfId="51072" xr:uid="{00000000-0005-0000-0000-000078C70000}"/>
    <cellStyle name="Normal 30 8 9 7" xfId="51073" xr:uid="{00000000-0005-0000-0000-000079C70000}"/>
    <cellStyle name="Normal 30 8 9 7 2" xfId="51074" xr:uid="{00000000-0005-0000-0000-00007AC70000}"/>
    <cellStyle name="Normal 30 8 9 7 3" xfId="51075" xr:uid="{00000000-0005-0000-0000-00007BC70000}"/>
    <cellStyle name="Normal 30 8 9 8" xfId="51076" xr:uid="{00000000-0005-0000-0000-00007CC70000}"/>
    <cellStyle name="Normal 30 8 9 8 2" xfId="51077" xr:uid="{00000000-0005-0000-0000-00007DC70000}"/>
    <cellStyle name="Normal 30 8 9 8 3" xfId="51078" xr:uid="{00000000-0005-0000-0000-00007EC70000}"/>
    <cellStyle name="Normal 30 8 9 9" xfId="51079" xr:uid="{00000000-0005-0000-0000-00007FC70000}"/>
    <cellStyle name="Normal 30 8 9 9 2" xfId="51080" xr:uid="{00000000-0005-0000-0000-000080C70000}"/>
    <cellStyle name="Normal 30 8 9 9 3" xfId="51081" xr:uid="{00000000-0005-0000-0000-000081C70000}"/>
    <cellStyle name="Normal 31" xfId="51082" xr:uid="{00000000-0005-0000-0000-000082C70000}"/>
    <cellStyle name="Normal 31 2" xfId="51083" xr:uid="{00000000-0005-0000-0000-000083C70000}"/>
    <cellStyle name="Normal 31 3" xfId="51084" xr:uid="{00000000-0005-0000-0000-000084C70000}"/>
    <cellStyle name="Normal 31 4" xfId="51085" xr:uid="{00000000-0005-0000-0000-000085C70000}"/>
    <cellStyle name="Normal 31 5" xfId="51086" xr:uid="{00000000-0005-0000-0000-000086C70000}"/>
    <cellStyle name="Normal 31 6" xfId="51087" xr:uid="{00000000-0005-0000-0000-000087C70000}"/>
    <cellStyle name="Normal 32" xfId="51088" xr:uid="{00000000-0005-0000-0000-000088C70000}"/>
    <cellStyle name="Normal 32 2" xfId="51089" xr:uid="{00000000-0005-0000-0000-000089C70000}"/>
    <cellStyle name="Normal 32 3" xfId="51090" xr:uid="{00000000-0005-0000-0000-00008AC70000}"/>
    <cellStyle name="Normal 33" xfId="51091" xr:uid="{00000000-0005-0000-0000-00008BC70000}"/>
    <cellStyle name="Normal 33 2" xfId="51092" xr:uid="{00000000-0005-0000-0000-00008CC70000}"/>
    <cellStyle name="Normal 33 3" xfId="51093" xr:uid="{00000000-0005-0000-0000-00008DC70000}"/>
    <cellStyle name="Normal 33 4" xfId="51094" xr:uid="{00000000-0005-0000-0000-00008EC70000}"/>
    <cellStyle name="Normal 34" xfId="51095" xr:uid="{00000000-0005-0000-0000-00008FC70000}"/>
    <cellStyle name="Normal 34 2" xfId="51096" xr:uid="{00000000-0005-0000-0000-000090C70000}"/>
    <cellStyle name="Normal 34 3" xfId="51097" xr:uid="{00000000-0005-0000-0000-000091C70000}"/>
    <cellStyle name="Normal 34 4" xfId="51098" xr:uid="{00000000-0005-0000-0000-000092C70000}"/>
    <cellStyle name="Normal 34 5" xfId="51099" xr:uid="{00000000-0005-0000-0000-000093C70000}"/>
    <cellStyle name="Normal 34 6" xfId="51100" xr:uid="{00000000-0005-0000-0000-000094C70000}"/>
    <cellStyle name="Normal 35" xfId="55" xr:uid="{00000000-0005-0000-0000-000095C70000}"/>
    <cellStyle name="Normal 35 10" xfId="51101" xr:uid="{00000000-0005-0000-0000-000096C70000}"/>
    <cellStyle name="Normal 35 11" xfId="51102" xr:uid="{00000000-0005-0000-0000-000097C70000}"/>
    <cellStyle name="Normal 35 12" xfId="51103" xr:uid="{00000000-0005-0000-0000-000098C70000}"/>
    <cellStyle name="Normal 35 13" xfId="51104" xr:uid="{00000000-0005-0000-0000-000099C70000}"/>
    <cellStyle name="Normal 35 14" xfId="51105" xr:uid="{00000000-0005-0000-0000-00009AC70000}"/>
    <cellStyle name="Normal 35 15" xfId="51106" xr:uid="{00000000-0005-0000-0000-00009BC70000}"/>
    <cellStyle name="Normal 35 16" xfId="51107" xr:uid="{00000000-0005-0000-0000-00009CC70000}"/>
    <cellStyle name="Normal 35 17" xfId="51108" xr:uid="{00000000-0005-0000-0000-00009DC70000}"/>
    <cellStyle name="Normal 35 2" xfId="51109" xr:uid="{00000000-0005-0000-0000-00009EC70000}"/>
    <cellStyle name="Normal 35 3" xfId="51110" xr:uid="{00000000-0005-0000-0000-00009FC70000}"/>
    <cellStyle name="Normal 35 4" xfId="51111" xr:uid="{00000000-0005-0000-0000-0000A0C70000}"/>
    <cellStyle name="Normal 35 5" xfId="51112" xr:uid="{00000000-0005-0000-0000-0000A1C70000}"/>
    <cellStyle name="Normal 35 6" xfId="51113" xr:uid="{00000000-0005-0000-0000-0000A2C70000}"/>
    <cellStyle name="Normal 35 7" xfId="51114" xr:uid="{00000000-0005-0000-0000-0000A3C70000}"/>
    <cellStyle name="Normal 35 8" xfId="51115" xr:uid="{00000000-0005-0000-0000-0000A4C70000}"/>
    <cellStyle name="Normal 35 9" xfId="51116" xr:uid="{00000000-0005-0000-0000-0000A5C70000}"/>
    <cellStyle name="Normal 36" xfId="51117" xr:uid="{00000000-0005-0000-0000-0000A6C70000}"/>
    <cellStyle name="Normal 36 2" xfId="51118" xr:uid="{00000000-0005-0000-0000-0000A7C70000}"/>
    <cellStyle name="Normal 36 3" xfId="51119" xr:uid="{00000000-0005-0000-0000-0000A8C70000}"/>
    <cellStyle name="Normal 37" xfId="51120" xr:uid="{00000000-0005-0000-0000-0000A9C70000}"/>
    <cellStyle name="Normal 37 2" xfId="51121" xr:uid="{00000000-0005-0000-0000-0000AAC70000}"/>
    <cellStyle name="Normal 37 2 10" xfId="51122" xr:uid="{00000000-0005-0000-0000-0000ABC70000}"/>
    <cellStyle name="Normal 37 2 10 10" xfId="51123" xr:uid="{00000000-0005-0000-0000-0000ACC70000}"/>
    <cellStyle name="Normal 37 2 10 10 2" xfId="51124" xr:uid="{00000000-0005-0000-0000-0000ADC70000}"/>
    <cellStyle name="Normal 37 2 10 10 3" xfId="51125" xr:uid="{00000000-0005-0000-0000-0000AEC70000}"/>
    <cellStyle name="Normal 37 2 10 11" xfId="51126" xr:uid="{00000000-0005-0000-0000-0000AFC70000}"/>
    <cellStyle name="Normal 37 2 10 11 2" xfId="51127" xr:uid="{00000000-0005-0000-0000-0000B0C70000}"/>
    <cellStyle name="Normal 37 2 10 11 3" xfId="51128" xr:uid="{00000000-0005-0000-0000-0000B1C70000}"/>
    <cellStyle name="Normal 37 2 10 12" xfId="51129" xr:uid="{00000000-0005-0000-0000-0000B2C70000}"/>
    <cellStyle name="Normal 37 2 10 12 2" xfId="51130" xr:uid="{00000000-0005-0000-0000-0000B3C70000}"/>
    <cellStyle name="Normal 37 2 10 12 3" xfId="51131" xr:uid="{00000000-0005-0000-0000-0000B4C70000}"/>
    <cellStyle name="Normal 37 2 10 13" xfId="51132" xr:uid="{00000000-0005-0000-0000-0000B5C70000}"/>
    <cellStyle name="Normal 37 2 10 13 2" xfId="51133" xr:uid="{00000000-0005-0000-0000-0000B6C70000}"/>
    <cellStyle name="Normal 37 2 10 13 3" xfId="51134" xr:uid="{00000000-0005-0000-0000-0000B7C70000}"/>
    <cellStyle name="Normal 37 2 10 14" xfId="51135" xr:uid="{00000000-0005-0000-0000-0000B8C70000}"/>
    <cellStyle name="Normal 37 2 10 14 2" xfId="51136" xr:uid="{00000000-0005-0000-0000-0000B9C70000}"/>
    <cellStyle name="Normal 37 2 10 14 3" xfId="51137" xr:uid="{00000000-0005-0000-0000-0000BAC70000}"/>
    <cellStyle name="Normal 37 2 10 15" xfId="51138" xr:uid="{00000000-0005-0000-0000-0000BBC70000}"/>
    <cellStyle name="Normal 37 2 10 16" xfId="51139" xr:uid="{00000000-0005-0000-0000-0000BCC70000}"/>
    <cellStyle name="Normal 37 2 10 2" xfId="51140" xr:uid="{00000000-0005-0000-0000-0000BDC70000}"/>
    <cellStyle name="Normal 37 2 10 2 2" xfId="51141" xr:uid="{00000000-0005-0000-0000-0000BEC70000}"/>
    <cellStyle name="Normal 37 2 10 2 3" xfId="51142" xr:uid="{00000000-0005-0000-0000-0000BFC70000}"/>
    <cellStyle name="Normal 37 2 10 3" xfId="51143" xr:uid="{00000000-0005-0000-0000-0000C0C70000}"/>
    <cellStyle name="Normal 37 2 10 3 2" xfId="51144" xr:uid="{00000000-0005-0000-0000-0000C1C70000}"/>
    <cellStyle name="Normal 37 2 10 3 3" xfId="51145" xr:uid="{00000000-0005-0000-0000-0000C2C70000}"/>
    <cellStyle name="Normal 37 2 10 4" xfId="51146" xr:uid="{00000000-0005-0000-0000-0000C3C70000}"/>
    <cellStyle name="Normal 37 2 10 4 2" xfId="51147" xr:uid="{00000000-0005-0000-0000-0000C4C70000}"/>
    <cellStyle name="Normal 37 2 10 4 3" xfId="51148" xr:uid="{00000000-0005-0000-0000-0000C5C70000}"/>
    <cellStyle name="Normal 37 2 10 5" xfId="51149" xr:uid="{00000000-0005-0000-0000-0000C6C70000}"/>
    <cellStyle name="Normal 37 2 10 5 2" xfId="51150" xr:uid="{00000000-0005-0000-0000-0000C7C70000}"/>
    <cellStyle name="Normal 37 2 10 5 3" xfId="51151" xr:uid="{00000000-0005-0000-0000-0000C8C70000}"/>
    <cellStyle name="Normal 37 2 10 6" xfId="51152" xr:uid="{00000000-0005-0000-0000-0000C9C70000}"/>
    <cellStyle name="Normal 37 2 10 6 2" xfId="51153" xr:uid="{00000000-0005-0000-0000-0000CAC70000}"/>
    <cellStyle name="Normal 37 2 10 6 3" xfId="51154" xr:uid="{00000000-0005-0000-0000-0000CBC70000}"/>
    <cellStyle name="Normal 37 2 10 7" xfId="51155" xr:uid="{00000000-0005-0000-0000-0000CCC70000}"/>
    <cellStyle name="Normal 37 2 10 7 2" xfId="51156" xr:uid="{00000000-0005-0000-0000-0000CDC70000}"/>
    <cellStyle name="Normal 37 2 10 7 3" xfId="51157" xr:uid="{00000000-0005-0000-0000-0000CEC70000}"/>
    <cellStyle name="Normal 37 2 10 8" xfId="51158" xr:uid="{00000000-0005-0000-0000-0000CFC70000}"/>
    <cellStyle name="Normal 37 2 10 8 2" xfId="51159" xr:uid="{00000000-0005-0000-0000-0000D0C70000}"/>
    <cellStyle name="Normal 37 2 10 8 3" xfId="51160" xr:uid="{00000000-0005-0000-0000-0000D1C70000}"/>
    <cellStyle name="Normal 37 2 10 9" xfId="51161" xr:uid="{00000000-0005-0000-0000-0000D2C70000}"/>
    <cellStyle name="Normal 37 2 10 9 2" xfId="51162" xr:uid="{00000000-0005-0000-0000-0000D3C70000}"/>
    <cellStyle name="Normal 37 2 10 9 3" xfId="51163" xr:uid="{00000000-0005-0000-0000-0000D4C70000}"/>
    <cellStyle name="Normal 37 2 11" xfId="51164" xr:uid="{00000000-0005-0000-0000-0000D5C70000}"/>
    <cellStyle name="Normal 37 2 11 10" xfId="51165" xr:uid="{00000000-0005-0000-0000-0000D6C70000}"/>
    <cellStyle name="Normal 37 2 11 10 2" xfId="51166" xr:uid="{00000000-0005-0000-0000-0000D7C70000}"/>
    <cellStyle name="Normal 37 2 11 10 3" xfId="51167" xr:uid="{00000000-0005-0000-0000-0000D8C70000}"/>
    <cellStyle name="Normal 37 2 11 11" xfId="51168" xr:uid="{00000000-0005-0000-0000-0000D9C70000}"/>
    <cellStyle name="Normal 37 2 11 11 2" xfId="51169" xr:uid="{00000000-0005-0000-0000-0000DAC70000}"/>
    <cellStyle name="Normal 37 2 11 11 3" xfId="51170" xr:uid="{00000000-0005-0000-0000-0000DBC70000}"/>
    <cellStyle name="Normal 37 2 11 12" xfId="51171" xr:uid="{00000000-0005-0000-0000-0000DCC70000}"/>
    <cellStyle name="Normal 37 2 11 12 2" xfId="51172" xr:uid="{00000000-0005-0000-0000-0000DDC70000}"/>
    <cellStyle name="Normal 37 2 11 12 3" xfId="51173" xr:uid="{00000000-0005-0000-0000-0000DEC70000}"/>
    <cellStyle name="Normal 37 2 11 13" xfId="51174" xr:uid="{00000000-0005-0000-0000-0000DFC70000}"/>
    <cellStyle name="Normal 37 2 11 13 2" xfId="51175" xr:uid="{00000000-0005-0000-0000-0000E0C70000}"/>
    <cellStyle name="Normal 37 2 11 13 3" xfId="51176" xr:uid="{00000000-0005-0000-0000-0000E1C70000}"/>
    <cellStyle name="Normal 37 2 11 14" xfId="51177" xr:uid="{00000000-0005-0000-0000-0000E2C70000}"/>
    <cellStyle name="Normal 37 2 11 14 2" xfId="51178" xr:uid="{00000000-0005-0000-0000-0000E3C70000}"/>
    <cellStyle name="Normal 37 2 11 14 3" xfId="51179" xr:uid="{00000000-0005-0000-0000-0000E4C70000}"/>
    <cellStyle name="Normal 37 2 11 15" xfId="51180" xr:uid="{00000000-0005-0000-0000-0000E5C70000}"/>
    <cellStyle name="Normal 37 2 11 16" xfId="51181" xr:uid="{00000000-0005-0000-0000-0000E6C70000}"/>
    <cellStyle name="Normal 37 2 11 2" xfId="51182" xr:uid="{00000000-0005-0000-0000-0000E7C70000}"/>
    <cellStyle name="Normal 37 2 11 2 2" xfId="51183" xr:uid="{00000000-0005-0000-0000-0000E8C70000}"/>
    <cellStyle name="Normal 37 2 11 2 3" xfId="51184" xr:uid="{00000000-0005-0000-0000-0000E9C70000}"/>
    <cellStyle name="Normal 37 2 11 3" xfId="51185" xr:uid="{00000000-0005-0000-0000-0000EAC70000}"/>
    <cellStyle name="Normal 37 2 11 3 2" xfId="51186" xr:uid="{00000000-0005-0000-0000-0000EBC70000}"/>
    <cellStyle name="Normal 37 2 11 3 3" xfId="51187" xr:uid="{00000000-0005-0000-0000-0000ECC70000}"/>
    <cellStyle name="Normal 37 2 11 4" xfId="51188" xr:uid="{00000000-0005-0000-0000-0000EDC70000}"/>
    <cellStyle name="Normal 37 2 11 4 2" xfId="51189" xr:uid="{00000000-0005-0000-0000-0000EEC70000}"/>
    <cellStyle name="Normal 37 2 11 4 3" xfId="51190" xr:uid="{00000000-0005-0000-0000-0000EFC70000}"/>
    <cellStyle name="Normal 37 2 11 5" xfId="51191" xr:uid="{00000000-0005-0000-0000-0000F0C70000}"/>
    <cellStyle name="Normal 37 2 11 5 2" xfId="51192" xr:uid="{00000000-0005-0000-0000-0000F1C70000}"/>
    <cellStyle name="Normal 37 2 11 5 3" xfId="51193" xr:uid="{00000000-0005-0000-0000-0000F2C70000}"/>
    <cellStyle name="Normal 37 2 11 6" xfId="51194" xr:uid="{00000000-0005-0000-0000-0000F3C70000}"/>
    <cellStyle name="Normal 37 2 11 6 2" xfId="51195" xr:uid="{00000000-0005-0000-0000-0000F4C70000}"/>
    <cellStyle name="Normal 37 2 11 6 3" xfId="51196" xr:uid="{00000000-0005-0000-0000-0000F5C70000}"/>
    <cellStyle name="Normal 37 2 11 7" xfId="51197" xr:uid="{00000000-0005-0000-0000-0000F6C70000}"/>
    <cellStyle name="Normal 37 2 11 7 2" xfId="51198" xr:uid="{00000000-0005-0000-0000-0000F7C70000}"/>
    <cellStyle name="Normal 37 2 11 7 3" xfId="51199" xr:uid="{00000000-0005-0000-0000-0000F8C70000}"/>
    <cellStyle name="Normal 37 2 11 8" xfId="51200" xr:uid="{00000000-0005-0000-0000-0000F9C70000}"/>
    <cellStyle name="Normal 37 2 11 8 2" xfId="51201" xr:uid="{00000000-0005-0000-0000-0000FAC70000}"/>
    <cellStyle name="Normal 37 2 11 8 3" xfId="51202" xr:uid="{00000000-0005-0000-0000-0000FBC70000}"/>
    <cellStyle name="Normal 37 2 11 9" xfId="51203" xr:uid="{00000000-0005-0000-0000-0000FCC70000}"/>
    <cellStyle name="Normal 37 2 11 9 2" xfId="51204" xr:uid="{00000000-0005-0000-0000-0000FDC70000}"/>
    <cellStyle name="Normal 37 2 11 9 3" xfId="51205" xr:uid="{00000000-0005-0000-0000-0000FEC70000}"/>
    <cellStyle name="Normal 37 2 12" xfId="51206" xr:uid="{00000000-0005-0000-0000-0000FFC70000}"/>
    <cellStyle name="Normal 37 2 12 10" xfId="51207" xr:uid="{00000000-0005-0000-0000-000000C80000}"/>
    <cellStyle name="Normal 37 2 12 10 2" xfId="51208" xr:uid="{00000000-0005-0000-0000-000001C80000}"/>
    <cellStyle name="Normal 37 2 12 10 3" xfId="51209" xr:uid="{00000000-0005-0000-0000-000002C80000}"/>
    <cellStyle name="Normal 37 2 12 11" xfId="51210" xr:uid="{00000000-0005-0000-0000-000003C80000}"/>
    <cellStyle name="Normal 37 2 12 11 2" xfId="51211" xr:uid="{00000000-0005-0000-0000-000004C80000}"/>
    <cellStyle name="Normal 37 2 12 11 3" xfId="51212" xr:uid="{00000000-0005-0000-0000-000005C80000}"/>
    <cellStyle name="Normal 37 2 12 12" xfId="51213" xr:uid="{00000000-0005-0000-0000-000006C80000}"/>
    <cellStyle name="Normal 37 2 12 12 2" xfId="51214" xr:uid="{00000000-0005-0000-0000-000007C80000}"/>
    <cellStyle name="Normal 37 2 12 12 3" xfId="51215" xr:uid="{00000000-0005-0000-0000-000008C80000}"/>
    <cellStyle name="Normal 37 2 12 13" xfId="51216" xr:uid="{00000000-0005-0000-0000-000009C80000}"/>
    <cellStyle name="Normal 37 2 12 13 2" xfId="51217" xr:uid="{00000000-0005-0000-0000-00000AC80000}"/>
    <cellStyle name="Normal 37 2 12 13 3" xfId="51218" xr:uid="{00000000-0005-0000-0000-00000BC80000}"/>
    <cellStyle name="Normal 37 2 12 14" xfId="51219" xr:uid="{00000000-0005-0000-0000-00000CC80000}"/>
    <cellStyle name="Normal 37 2 12 14 2" xfId="51220" xr:uid="{00000000-0005-0000-0000-00000DC80000}"/>
    <cellStyle name="Normal 37 2 12 14 3" xfId="51221" xr:uid="{00000000-0005-0000-0000-00000EC80000}"/>
    <cellStyle name="Normal 37 2 12 15" xfId="51222" xr:uid="{00000000-0005-0000-0000-00000FC80000}"/>
    <cellStyle name="Normal 37 2 12 16" xfId="51223" xr:uid="{00000000-0005-0000-0000-000010C80000}"/>
    <cellStyle name="Normal 37 2 12 2" xfId="51224" xr:uid="{00000000-0005-0000-0000-000011C80000}"/>
    <cellStyle name="Normal 37 2 12 2 2" xfId="51225" xr:uid="{00000000-0005-0000-0000-000012C80000}"/>
    <cellStyle name="Normal 37 2 12 2 3" xfId="51226" xr:uid="{00000000-0005-0000-0000-000013C80000}"/>
    <cellStyle name="Normal 37 2 12 3" xfId="51227" xr:uid="{00000000-0005-0000-0000-000014C80000}"/>
    <cellStyle name="Normal 37 2 12 3 2" xfId="51228" xr:uid="{00000000-0005-0000-0000-000015C80000}"/>
    <cellStyle name="Normal 37 2 12 3 3" xfId="51229" xr:uid="{00000000-0005-0000-0000-000016C80000}"/>
    <cellStyle name="Normal 37 2 12 4" xfId="51230" xr:uid="{00000000-0005-0000-0000-000017C80000}"/>
    <cellStyle name="Normal 37 2 12 4 2" xfId="51231" xr:uid="{00000000-0005-0000-0000-000018C80000}"/>
    <cellStyle name="Normal 37 2 12 4 3" xfId="51232" xr:uid="{00000000-0005-0000-0000-000019C80000}"/>
    <cellStyle name="Normal 37 2 12 5" xfId="51233" xr:uid="{00000000-0005-0000-0000-00001AC80000}"/>
    <cellStyle name="Normal 37 2 12 5 2" xfId="51234" xr:uid="{00000000-0005-0000-0000-00001BC80000}"/>
    <cellStyle name="Normal 37 2 12 5 3" xfId="51235" xr:uid="{00000000-0005-0000-0000-00001CC80000}"/>
    <cellStyle name="Normal 37 2 12 6" xfId="51236" xr:uid="{00000000-0005-0000-0000-00001DC80000}"/>
    <cellStyle name="Normal 37 2 12 6 2" xfId="51237" xr:uid="{00000000-0005-0000-0000-00001EC80000}"/>
    <cellStyle name="Normal 37 2 12 6 3" xfId="51238" xr:uid="{00000000-0005-0000-0000-00001FC80000}"/>
    <cellStyle name="Normal 37 2 12 7" xfId="51239" xr:uid="{00000000-0005-0000-0000-000020C80000}"/>
    <cellStyle name="Normal 37 2 12 7 2" xfId="51240" xr:uid="{00000000-0005-0000-0000-000021C80000}"/>
    <cellStyle name="Normal 37 2 12 7 3" xfId="51241" xr:uid="{00000000-0005-0000-0000-000022C80000}"/>
    <cellStyle name="Normal 37 2 12 8" xfId="51242" xr:uid="{00000000-0005-0000-0000-000023C80000}"/>
    <cellStyle name="Normal 37 2 12 8 2" xfId="51243" xr:uid="{00000000-0005-0000-0000-000024C80000}"/>
    <cellStyle name="Normal 37 2 12 8 3" xfId="51244" xr:uid="{00000000-0005-0000-0000-000025C80000}"/>
    <cellStyle name="Normal 37 2 12 9" xfId="51245" xr:uid="{00000000-0005-0000-0000-000026C80000}"/>
    <cellStyle name="Normal 37 2 12 9 2" xfId="51246" xr:uid="{00000000-0005-0000-0000-000027C80000}"/>
    <cellStyle name="Normal 37 2 12 9 3" xfId="51247" xr:uid="{00000000-0005-0000-0000-000028C80000}"/>
    <cellStyle name="Normal 37 2 13" xfId="51248" xr:uid="{00000000-0005-0000-0000-000029C80000}"/>
    <cellStyle name="Normal 37 2 13 10" xfId="51249" xr:uid="{00000000-0005-0000-0000-00002AC80000}"/>
    <cellStyle name="Normal 37 2 13 10 2" xfId="51250" xr:uid="{00000000-0005-0000-0000-00002BC80000}"/>
    <cellStyle name="Normal 37 2 13 10 3" xfId="51251" xr:uid="{00000000-0005-0000-0000-00002CC80000}"/>
    <cellStyle name="Normal 37 2 13 11" xfId="51252" xr:uid="{00000000-0005-0000-0000-00002DC80000}"/>
    <cellStyle name="Normal 37 2 13 11 2" xfId="51253" xr:uid="{00000000-0005-0000-0000-00002EC80000}"/>
    <cellStyle name="Normal 37 2 13 11 3" xfId="51254" xr:uid="{00000000-0005-0000-0000-00002FC80000}"/>
    <cellStyle name="Normal 37 2 13 12" xfId="51255" xr:uid="{00000000-0005-0000-0000-000030C80000}"/>
    <cellStyle name="Normal 37 2 13 12 2" xfId="51256" xr:uid="{00000000-0005-0000-0000-000031C80000}"/>
    <cellStyle name="Normal 37 2 13 12 3" xfId="51257" xr:uid="{00000000-0005-0000-0000-000032C80000}"/>
    <cellStyle name="Normal 37 2 13 13" xfId="51258" xr:uid="{00000000-0005-0000-0000-000033C80000}"/>
    <cellStyle name="Normal 37 2 13 13 2" xfId="51259" xr:uid="{00000000-0005-0000-0000-000034C80000}"/>
    <cellStyle name="Normal 37 2 13 13 3" xfId="51260" xr:uid="{00000000-0005-0000-0000-000035C80000}"/>
    <cellStyle name="Normal 37 2 13 14" xfId="51261" xr:uid="{00000000-0005-0000-0000-000036C80000}"/>
    <cellStyle name="Normal 37 2 13 14 2" xfId="51262" xr:uid="{00000000-0005-0000-0000-000037C80000}"/>
    <cellStyle name="Normal 37 2 13 14 3" xfId="51263" xr:uid="{00000000-0005-0000-0000-000038C80000}"/>
    <cellStyle name="Normal 37 2 13 15" xfId="51264" xr:uid="{00000000-0005-0000-0000-000039C80000}"/>
    <cellStyle name="Normal 37 2 13 16" xfId="51265" xr:uid="{00000000-0005-0000-0000-00003AC80000}"/>
    <cellStyle name="Normal 37 2 13 2" xfId="51266" xr:uid="{00000000-0005-0000-0000-00003BC80000}"/>
    <cellStyle name="Normal 37 2 13 2 2" xfId="51267" xr:uid="{00000000-0005-0000-0000-00003CC80000}"/>
    <cellStyle name="Normal 37 2 13 2 3" xfId="51268" xr:uid="{00000000-0005-0000-0000-00003DC80000}"/>
    <cellStyle name="Normal 37 2 13 3" xfId="51269" xr:uid="{00000000-0005-0000-0000-00003EC80000}"/>
    <cellStyle name="Normal 37 2 13 3 2" xfId="51270" xr:uid="{00000000-0005-0000-0000-00003FC80000}"/>
    <cellStyle name="Normal 37 2 13 3 3" xfId="51271" xr:uid="{00000000-0005-0000-0000-000040C80000}"/>
    <cellStyle name="Normal 37 2 13 4" xfId="51272" xr:uid="{00000000-0005-0000-0000-000041C80000}"/>
    <cellStyle name="Normal 37 2 13 4 2" xfId="51273" xr:uid="{00000000-0005-0000-0000-000042C80000}"/>
    <cellStyle name="Normal 37 2 13 4 3" xfId="51274" xr:uid="{00000000-0005-0000-0000-000043C80000}"/>
    <cellStyle name="Normal 37 2 13 5" xfId="51275" xr:uid="{00000000-0005-0000-0000-000044C80000}"/>
    <cellStyle name="Normal 37 2 13 5 2" xfId="51276" xr:uid="{00000000-0005-0000-0000-000045C80000}"/>
    <cellStyle name="Normal 37 2 13 5 3" xfId="51277" xr:uid="{00000000-0005-0000-0000-000046C80000}"/>
    <cellStyle name="Normal 37 2 13 6" xfId="51278" xr:uid="{00000000-0005-0000-0000-000047C80000}"/>
    <cellStyle name="Normal 37 2 13 6 2" xfId="51279" xr:uid="{00000000-0005-0000-0000-000048C80000}"/>
    <cellStyle name="Normal 37 2 13 6 3" xfId="51280" xr:uid="{00000000-0005-0000-0000-000049C80000}"/>
    <cellStyle name="Normal 37 2 13 7" xfId="51281" xr:uid="{00000000-0005-0000-0000-00004AC80000}"/>
    <cellStyle name="Normal 37 2 13 7 2" xfId="51282" xr:uid="{00000000-0005-0000-0000-00004BC80000}"/>
    <cellStyle name="Normal 37 2 13 7 3" xfId="51283" xr:uid="{00000000-0005-0000-0000-00004CC80000}"/>
    <cellStyle name="Normal 37 2 13 8" xfId="51284" xr:uid="{00000000-0005-0000-0000-00004DC80000}"/>
    <cellStyle name="Normal 37 2 13 8 2" xfId="51285" xr:uid="{00000000-0005-0000-0000-00004EC80000}"/>
    <cellStyle name="Normal 37 2 13 8 3" xfId="51286" xr:uid="{00000000-0005-0000-0000-00004FC80000}"/>
    <cellStyle name="Normal 37 2 13 9" xfId="51287" xr:uid="{00000000-0005-0000-0000-000050C80000}"/>
    <cellStyle name="Normal 37 2 13 9 2" xfId="51288" xr:uid="{00000000-0005-0000-0000-000051C80000}"/>
    <cellStyle name="Normal 37 2 13 9 3" xfId="51289" xr:uid="{00000000-0005-0000-0000-000052C80000}"/>
    <cellStyle name="Normal 37 2 14" xfId="51290" xr:uid="{00000000-0005-0000-0000-000053C80000}"/>
    <cellStyle name="Normal 37 2 14 10" xfId="51291" xr:uid="{00000000-0005-0000-0000-000054C80000}"/>
    <cellStyle name="Normal 37 2 14 10 2" xfId="51292" xr:uid="{00000000-0005-0000-0000-000055C80000}"/>
    <cellStyle name="Normal 37 2 14 10 3" xfId="51293" xr:uid="{00000000-0005-0000-0000-000056C80000}"/>
    <cellStyle name="Normal 37 2 14 11" xfId="51294" xr:uid="{00000000-0005-0000-0000-000057C80000}"/>
    <cellStyle name="Normal 37 2 14 11 2" xfId="51295" xr:uid="{00000000-0005-0000-0000-000058C80000}"/>
    <cellStyle name="Normal 37 2 14 11 3" xfId="51296" xr:uid="{00000000-0005-0000-0000-000059C80000}"/>
    <cellStyle name="Normal 37 2 14 12" xfId="51297" xr:uid="{00000000-0005-0000-0000-00005AC80000}"/>
    <cellStyle name="Normal 37 2 14 12 2" xfId="51298" xr:uid="{00000000-0005-0000-0000-00005BC80000}"/>
    <cellStyle name="Normal 37 2 14 12 3" xfId="51299" xr:uid="{00000000-0005-0000-0000-00005CC80000}"/>
    <cellStyle name="Normal 37 2 14 13" xfId="51300" xr:uid="{00000000-0005-0000-0000-00005DC80000}"/>
    <cellStyle name="Normal 37 2 14 13 2" xfId="51301" xr:uid="{00000000-0005-0000-0000-00005EC80000}"/>
    <cellStyle name="Normal 37 2 14 13 3" xfId="51302" xr:uid="{00000000-0005-0000-0000-00005FC80000}"/>
    <cellStyle name="Normal 37 2 14 14" xfId="51303" xr:uid="{00000000-0005-0000-0000-000060C80000}"/>
    <cellStyle name="Normal 37 2 14 14 2" xfId="51304" xr:uid="{00000000-0005-0000-0000-000061C80000}"/>
    <cellStyle name="Normal 37 2 14 14 3" xfId="51305" xr:uid="{00000000-0005-0000-0000-000062C80000}"/>
    <cellStyle name="Normal 37 2 14 15" xfId="51306" xr:uid="{00000000-0005-0000-0000-000063C80000}"/>
    <cellStyle name="Normal 37 2 14 16" xfId="51307" xr:uid="{00000000-0005-0000-0000-000064C80000}"/>
    <cellStyle name="Normal 37 2 14 2" xfId="51308" xr:uid="{00000000-0005-0000-0000-000065C80000}"/>
    <cellStyle name="Normal 37 2 14 2 2" xfId="51309" xr:uid="{00000000-0005-0000-0000-000066C80000}"/>
    <cellStyle name="Normal 37 2 14 2 3" xfId="51310" xr:uid="{00000000-0005-0000-0000-000067C80000}"/>
    <cellStyle name="Normal 37 2 14 3" xfId="51311" xr:uid="{00000000-0005-0000-0000-000068C80000}"/>
    <cellStyle name="Normal 37 2 14 3 2" xfId="51312" xr:uid="{00000000-0005-0000-0000-000069C80000}"/>
    <cellStyle name="Normal 37 2 14 3 3" xfId="51313" xr:uid="{00000000-0005-0000-0000-00006AC80000}"/>
    <cellStyle name="Normal 37 2 14 4" xfId="51314" xr:uid="{00000000-0005-0000-0000-00006BC80000}"/>
    <cellStyle name="Normal 37 2 14 4 2" xfId="51315" xr:uid="{00000000-0005-0000-0000-00006CC80000}"/>
    <cellStyle name="Normal 37 2 14 4 3" xfId="51316" xr:uid="{00000000-0005-0000-0000-00006DC80000}"/>
    <cellStyle name="Normal 37 2 14 5" xfId="51317" xr:uid="{00000000-0005-0000-0000-00006EC80000}"/>
    <cellStyle name="Normal 37 2 14 5 2" xfId="51318" xr:uid="{00000000-0005-0000-0000-00006FC80000}"/>
    <cellStyle name="Normal 37 2 14 5 3" xfId="51319" xr:uid="{00000000-0005-0000-0000-000070C80000}"/>
    <cellStyle name="Normal 37 2 14 6" xfId="51320" xr:uid="{00000000-0005-0000-0000-000071C80000}"/>
    <cellStyle name="Normal 37 2 14 6 2" xfId="51321" xr:uid="{00000000-0005-0000-0000-000072C80000}"/>
    <cellStyle name="Normal 37 2 14 6 3" xfId="51322" xr:uid="{00000000-0005-0000-0000-000073C80000}"/>
    <cellStyle name="Normal 37 2 14 7" xfId="51323" xr:uid="{00000000-0005-0000-0000-000074C80000}"/>
    <cellStyle name="Normal 37 2 14 7 2" xfId="51324" xr:uid="{00000000-0005-0000-0000-000075C80000}"/>
    <cellStyle name="Normal 37 2 14 7 3" xfId="51325" xr:uid="{00000000-0005-0000-0000-000076C80000}"/>
    <cellStyle name="Normal 37 2 14 8" xfId="51326" xr:uid="{00000000-0005-0000-0000-000077C80000}"/>
    <cellStyle name="Normal 37 2 14 8 2" xfId="51327" xr:uid="{00000000-0005-0000-0000-000078C80000}"/>
    <cellStyle name="Normal 37 2 14 8 3" xfId="51328" xr:uid="{00000000-0005-0000-0000-000079C80000}"/>
    <cellStyle name="Normal 37 2 14 9" xfId="51329" xr:uid="{00000000-0005-0000-0000-00007AC80000}"/>
    <cellStyle name="Normal 37 2 14 9 2" xfId="51330" xr:uid="{00000000-0005-0000-0000-00007BC80000}"/>
    <cellStyle name="Normal 37 2 14 9 3" xfId="51331" xr:uid="{00000000-0005-0000-0000-00007CC80000}"/>
    <cellStyle name="Normal 37 2 15" xfId="51332" xr:uid="{00000000-0005-0000-0000-00007DC80000}"/>
    <cellStyle name="Normal 37 2 15 10" xfId="51333" xr:uid="{00000000-0005-0000-0000-00007EC80000}"/>
    <cellStyle name="Normal 37 2 15 10 2" xfId="51334" xr:uid="{00000000-0005-0000-0000-00007FC80000}"/>
    <cellStyle name="Normal 37 2 15 10 3" xfId="51335" xr:uid="{00000000-0005-0000-0000-000080C80000}"/>
    <cellStyle name="Normal 37 2 15 11" xfId="51336" xr:uid="{00000000-0005-0000-0000-000081C80000}"/>
    <cellStyle name="Normal 37 2 15 11 2" xfId="51337" xr:uid="{00000000-0005-0000-0000-000082C80000}"/>
    <cellStyle name="Normal 37 2 15 11 3" xfId="51338" xr:uid="{00000000-0005-0000-0000-000083C80000}"/>
    <cellStyle name="Normal 37 2 15 12" xfId="51339" xr:uid="{00000000-0005-0000-0000-000084C80000}"/>
    <cellStyle name="Normal 37 2 15 12 2" xfId="51340" xr:uid="{00000000-0005-0000-0000-000085C80000}"/>
    <cellStyle name="Normal 37 2 15 12 3" xfId="51341" xr:uid="{00000000-0005-0000-0000-000086C80000}"/>
    <cellStyle name="Normal 37 2 15 13" xfId="51342" xr:uid="{00000000-0005-0000-0000-000087C80000}"/>
    <cellStyle name="Normal 37 2 15 13 2" xfId="51343" xr:uid="{00000000-0005-0000-0000-000088C80000}"/>
    <cellStyle name="Normal 37 2 15 13 3" xfId="51344" xr:uid="{00000000-0005-0000-0000-000089C80000}"/>
    <cellStyle name="Normal 37 2 15 14" xfId="51345" xr:uid="{00000000-0005-0000-0000-00008AC80000}"/>
    <cellStyle name="Normal 37 2 15 14 2" xfId="51346" xr:uid="{00000000-0005-0000-0000-00008BC80000}"/>
    <cellStyle name="Normal 37 2 15 14 3" xfId="51347" xr:uid="{00000000-0005-0000-0000-00008CC80000}"/>
    <cellStyle name="Normal 37 2 15 15" xfId="51348" xr:uid="{00000000-0005-0000-0000-00008DC80000}"/>
    <cellStyle name="Normal 37 2 15 16" xfId="51349" xr:uid="{00000000-0005-0000-0000-00008EC80000}"/>
    <cellStyle name="Normal 37 2 15 2" xfId="51350" xr:uid="{00000000-0005-0000-0000-00008FC80000}"/>
    <cellStyle name="Normal 37 2 15 2 2" xfId="51351" xr:uid="{00000000-0005-0000-0000-000090C80000}"/>
    <cellStyle name="Normal 37 2 15 2 3" xfId="51352" xr:uid="{00000000-0005-0000-0000-000091C80000}"/>
    <cellStyle name="Normal 37 2 15 3" xfId="51353" xr:uid="{00000000-0005-0000-0000-000092C80000}"/>
    <cellStyle name="Normal 37 2 15 3 2" xfId="51354" xr:uid="{00000000-0005-0000-0000-000093C80000}"/>
    <cellStyle name="Normal 37 2 15 3 3" xfId="51355" xr:uid="{00000000-0005-0000-0000-000094C80000}"/>
    <cellStyle name="Normal 37 2 15 4" xfId="51356" xr:uid="{00000000-0005-0000-0000-000095C80000}"/>
    <cellStyle name="Normal 37 2 15 4 2" xfId="51357" xr:uid="{00000000-0005-0000-0000-000096C80000}"/>
    <cellStyle name="Normal 37 2 15 4 3" xfId="51358" xr:uid="{00000000-0005-0000-0000-000097C80000}"/>
    <cellStyle name="Normal 37 2 15 5" xfId="51359" xr:uid="{00000000-0005-0000-0000-000098C80000}"/>
    <cellStyle name="Normal 37 2 15 5 2" xfId="51360" xr:uid="{00000000-0005-0000-0000-000099C80000}"/>
    <cellStyle name="Normal 37 2 15 5 3" xfId="51361" xr:uid="{00000000-0005-0000-0000-00009AC80000}"/>
    <cellStyle name="Normal 37 2 15 6" xfId="51362" xr:uid="{00000000-0005-0000-0000-00009BC80000}"/>
    <cellStyle name="Normal 37 2 15 6 2" xfId="51363" xr:uid="{00000000-0005-0000-0000-00009CC80000}"/>
    <cellStyle name="Normal 37 2 15 6 3" xfId="51364" xr:uid="{00000000-0005-0000-0000-00009DC80000}"/>
    <cellStyle name="Normal 37 2 15 7" xfId="51365" xr:uid="{00000000-0005-0000-0000-00009EC80000}"/>
    <cellStyle name="Normal 37 2 15 7 2" xfId="51366" xr:uid="{00000000-0005-0000-0000-00009FC80000}"/>
    <cellStyle name="Normal 37 2 15 7 3" xfId="51367" xr:uid="{00000000-0005-0000-0000-0000A0C80000}"/>
    <cellStyle name="Normal 37 2 15 8" xfId="51368" xr:uid="{00000000-0005-0000-0000-0000A1C80000}"/>
    <cellStyle name="Normal 37 2 15 8 2" xfId="51369" xr:uid="{00000000-0005-0000-0000-0000A2C80000}"/>
    <cellStyle name="Normal 37 2 15 8 3" xfId="51370" xr:uid="{00000000-0005-0000-0000-0000A3C80000}"/>
    <cellStyle name="Normal 37 2 15 9" xfId="51371" xr:uid="{00000000-0005-0000-0000-0000A4C80000}"/>
    <cellStyle name="Normal 37 2 15 9 2" xfId="51372" xr:uid="{00000000-0005-0000-0000-0000A5C80000}"/>
    <cellStyle name="Normal 37 2 15 9 3" xfId="51373" xr:uid="{00000000-0005-0000-0000-0000A6C80000}"/>
    <cellStyle name="Normal 37 2 16" xfId="51374" xr:uid="{00000000-0005-0000-0000-0000A7C80000}"/>
    <cellStyle name="Normal 37 2 16 10" xfId="51375" xr:uid="{00000000-0005-0000-0000-0000A8C80000}"/>
    <cellStyle name="Normal 37 2 16 10 2" xfId="51376" xr:uid="{00000000-0005-0000-0000-0000A9C80000}"/>
    <cellStyle name="Normal 37 2 16 10 3" xfId="51377" xr:uid="{00000000-0005-0000-0000-0000AAC80000}"/>
    <cellStyle name="Normal 37 2 16 11" xfId="51378" xr:uid="{00000000-0005-0000-0000-0000ABC80000}"/>
    <cellStyle name="Normal 37 2 16 11 2" xfId="51379" xr:uid="{00000000-0005-0000-0000-0000ACC80000}"/>
    <cellStyle name="Normal 37 2 16 11 3" xfId="51380" xr:uid="{00000000-0005-0000-0000-0000ADC80000}"/>
    <cellStyle name="Normal 37 2 16 12" xfId="51381" xr:uid="{00000000-0005-0000-0000-0000AEC80000}"/>
    <cellStyle name="Normal 37 2 16 12 2" xfId="51382" xr:uid="{00000000-0005-0000-0000-0000AFC80000}"/>
    <cellStyle name="Normal 37 2 16 12 3" xfId="51383" xr:uid="{00000000-0005-0000-0000-0000B0C80000}"/>
    <cellStyle name="Normal 37 2 16 13" xfId="51384" xr:uid="{00000000-0005-0000-0000-0000B1C80000}"/>
    <cellStyle name="Normal 37 2 16 13 2" xfId="51385" xr:uid="{00000000-0005-0000-0000-0000B2C80000}"/>
    <cellStyle name="Normal 37 2 16 13 3" xfId="51386" xr:uid="{00000000-0005-0000-0000-0000B3C80000}"/>
    <cellStyle name="Normal 37 2 16 14" xfId="51387" xr:uid="{00000000-0005-0000-0000-0000B4C80000}"/>
    <cellStyle name="Normal 37 2 16 14 2" xfId="51388" xr:uid="{00000000-0005-0000-0000-0000B5C80000}"/>
    <cellStyle name="Normal 37 2 16 14 3" xfId="51389" xr:uid="{00000000-0005-0000-0000-0000B6C80000}"/>
    <cellStyle name="Normal 37 2 16 15" xfId="51390" xr:uid="{00000000-0005-0000-0000-0000B7C80000}"/>
    <cellStyle name="Normal 37 2 16 16" xfId="51391" xr:uid="{00000000-0005-0000-0000-0000B8C80000}"/>
    <cellStyle name="Normal 37 2 16 2" xfId="51392" xr:uid="{00000000-0005-0000-0000-0000B9C80000}"/>
    <cellStyle name="Normal 37 2 16 2 2" xfId="51393" xr:uid="{00000000-0005-0000-0000-0000BAC80000}"/>
    <cellStyle name="Normal 37 2 16 2 3" xfId="51394" xr:uid="{00000000-0005-0000-0000-0000BBC80000}"/>
    <cellStyle name="Normal 37 2 16 3" xfId="51395" xr:uid="{00000000-0005-0000-0000-0000BCC80000}"/>
    <cellStyle name="Normal 37 2 16 3 2" xfId="51396" xr:uid="{00000000-0005-0000-0000-0000BDC80000}"/>
    <cellStyle name="Normal 37 2 16 3 3" xfId="51397" xr:uid="{00000000-0005-0000-0000-0000BEC80000}"/>
    <cellStyle name="Normal 37 2 16 4" xfId="51398" xr:uid="{00000000-0005-0000-0000-0000BFC80000}"/>
    <cellStyle name="Normal 37 2 16 4 2" xfId="51399" xr:uid="{00000000-0005-0000-0000-0000C0C80000}"/>
    <cellStyle name="Normal 37 2 16 4 3" xfId="51400" xr:uid="{00000000-0005-0000-0000-0000C1C80000}"/>
    <cellStyle name="Normal 37 2 16 5" xfId="51401" xr:uid="{00000000-0005-0000-0000-0000C2C80000}"/>
    <cellStyle name="Normal 37 2 16 5 2" xfId="51402" xr:uid="{00000000-0005-0000-0000-0000C3C80000}"/>
    <cellStyle name="Normal 37 2 16 5 3" xfId="51403" xr:uid="{00000000-0005-0000-0000-0000C4C80000}"/>
    <cellStyle name="Normal 37 2 16 6" xfId="51404" xr:uid="{00000000-0005-0000-0000-0000C5C80000}"/>
    <cellStyle name="Normal 37 2 16 6 2" xfId="51405" xr:uid="{00000000-0005-0000-0000-0000C6C80000}"/>
    <cellStyle name="Normal 37 2 16 6 3" xfId="51406" xr:uid="{00000000-0005-0000-0000-0000C7C80000}"/>
    <cellStyle name="Normal 37 2 16 7" xfId="51407" xr:uid="{00000000-0005-0000-0000-0000C8C80000}"/>
    <cellStyle name="Normal 37 2 16 7 2" xfId="51408" xr:uid="{00000000-0005-0000-0000-0000C9C80000}"/>
    <cellStyle name="Normal 37 2 16 7 3" xfId="51409" xr:uid="{00000000-0005-0000-0000-0000CAC80000}"/>
    <cellStyle name="Normal 37 2 16 8" xfId="51410" xr:uid="{00000000-0005-0000-0000-0000CBC80000}"/>
    <cellStyle name="Normal 37 2 16 8 2" xfId="51411" xr:uid="{00000000-0005-0000-0000-0000CCC80000}"/>
    <cellStyle name="Normal 37 2 16 8 3" xfId="51412" xr:uid="{00000000-0005-0000-0000-0000CDC80000}"/>
    <cellStyle name="Normal 37 2 16 9" xfId="51413" xr:uid="{00000000-0005-0000-0000-0000CEC80000}"/>
    <cellStyle name="Normal 37 2 16 9 2" xfId="51414" xr:uid="{00000000-0005-0000-0000-0000CFC80000}"/>
    <cellStyle name="Normal 37 2 16 9 3" xfId="51415" xr:uid="{00000000-0005-0000-0000-0000D0C80000}"/>
    <cellStyle name="Normal 37 2 17" xfId="51416" xr:uid="{00000000-0005-0000-0000-0000D1C80000}"/>
    <cellStyle name="Normal 37 2 17 10" xfId="51417" xr:uid="{00000000-0005-0000-0000-0000D2C80000}"/>
    <cellStyle name="Normal 37 2 17 10 2" xfId="51418" xr:uid="{00000000-0005-0000-0000-0000D3C80000}"/>
    <cellStyle name="Normal 37 2 17 10 3" xfId="51419" xr:uid="{00000000-0005-0000-0000-0000D4C80000}"/>
    <cellStyle name="Normal 37 2 17 11" xfId="51420" xr:uid="{00000000-0005-0000-0000-0000D5C80000}"/>
    <cellStyle name="Normal 37 2 17 11 2" xfId="51421" xr:uid="{00000000-0005-0000-0000-0000D6C80000}"/>
    <cellStyle name="Normal 37 2 17 11 3" xfId="51422" xr:uid="{00000000-0005-0000-0000-0000D7C80000}"/>
    <cellStyle name="Normal 37 2 17 12" xfId="51423" xr:uid="{00000000-0005-0000-0000-0000D8C80000}"/>
    <cellStyle name="Normal 37 2 17 12 2" xfId="51424" xr:uid="{00000000-0005-0000-0000-0000D9C80000}"/>
    <cellStyle name="Normal 37 2 17 12 3" xfId="51425" xr:uid="{00000000-0005-0000-0000-0000DAC80000}"/>
    <cellStyle name="Normal 37 2 17 13" xfId="51426" xr:uid="{00000000-0005-0000-0000-0000DBC80000}"/>
    <cellStyle name="Normal 37 2 17 13 2" xfId="51427" xr:uid="{00000000-0005-0000-0000-0000DCC80000}"/>
    <cellStyle name="Normal 37 2 17 13 3" xfId="51428" xr:uid="{00000000-0005-0000-0000-0000DDC80000}"/>
    <cellStyle name="Normal 37 2 17 14" xfId="51429" xr:uid="{00000000-0005-0000-0000-0000DEC80000}"/>
    <cellStyle name="Normal 37 2 17 14 2" xfId="51430" xr:uid="{00000000-0005-0000-0000-0000DFC80000}"/>
    <cellStyle name="Normal 37 2 17 14 3" xfId="51431" xr:uid="{00000000-0005-0000-0000-0000E0C80000}"/>
    <cellStyle name="Normal 37 2 17 15" xfId="51432" xr:uid="{00000000-0005-0000-0000-0000E1C80000}"/>
    <cellStyle name="Normal 37 2 17 16" xfId="51433" xr:uid="{00000000-0005-0000-0000-0000E2C80000}"/>
    <cellStyle name="Normal 37 2 17 2" xfId="51434" xr:uid="{00000000-0005-0000-0000-0000E3C80000}"/>
    <cellStyle name="Normal 37 2 17 2 2" xfId="51435" xr:uid="{00000000-0005-0000-0000-0000E4C80000}"/>
    <cellStyle name="Normal 37 2 17 2 3" xfId="51436" xr:uid="{00000000-0005-0000-0000-0000E5C80000}"/>
    <cellStyle name="Normal 37 2 17 3" xfId="51437" xr:uid="{00000000-0005-0000-0000-0000E6C80000}"/>
    <cellStyle name="Normal 37 2 17 3 2" xfId="51438" xr:uid="{00000000-0005-0000-0000-0000E7C80000}"/>
    <cellStyle name="Normal 37 2 17 3 3" xfId="51439" xr:uid="{00000000-0005-0000-0000-0000E8C80000}"/>
    <cellStyle name="Normal 37 2 17 4" xfId="51440" xr:uid="{00000000-0005-0000-0000-0000E9C80000}"/>
    <cellStyle name="Normal 37 2 17 4 2" xfId="51441" xr:uid="{00000000-0005-0000-0000-0000EAC80000}"/>
    <cellStyle name="Normal 37 2 17 4 3" xfId="51442" xr:uid="{00000000-0005-0000-0000-0000EBC80000}"/>
    <cellStyle name="Normal 37 2 17 5" xfId="51443" xr:uid="{00000000-0005-0000-0000-0000ECC80000}"/>
    <cellStyle name="Normal 37 2 17 5 2" xfId="51444" xr:uid="{00000000-0005-0000-0000-0000EDC80000}"/>
    <cellStyle name="Normal 37 2 17 5 3" xfId="51445" xr:uid="{00000000-0005-0000-0000-0000EEC80000}"/>
    <cellStyle name="Normal 37 2 17 6" xfId="51446" xr:uid="{00000000-0005-0000-0000-0000EFC80000}"/>
    <cellStyle name="Normal 37 2 17 6 2" xfId="51447" xr:uid="{00000000-0005-0000-0000-0000F0C80000}"/>
    <cellStyle name="Normal 37 2 17 6 3" xfId="51448" xr:uid="{00000000-0005-0000-0000-0000F1C80000}"/>
    <cellStyle name="Normal 37 2 17 7" xfId="51449" xr:uid="{00000000-0005-0000-0000-0000F2C80000}"/>
    <cellStyle name="Normal 37 2 17 7 2" xfId="51450" xr:uid="{00000000-0005-0000-0000-0000F3C80000}"/>
    <cellStyle name="Normal 37 2 17 7 3" xfId="51451" xr:uid="{00000000-0005-0000-0000-0000F4C80000}"/>
    <cellStyle name="Normal 37 2 17 8" xfId="51452" xr:uid="{00000000-0005-0000-0000-0000F5C80000}"/>
    <cellStyle name="Normal 37 2 17 8 2" xfId="51453" xr:uid="{00000000-0005-0000-0000-0000F6C80000}"/>
    <cellStyle name="Normal 37 2 17 8 3" xfId="51454" xr:uid="{00000000-0005-0000-0000-0000F7C80000}"/>
    <cellStyle name="Normal 37 2 17 9" xfId="51455" xr:uid="{00000000-0005-0000-0000-0000F8C80000}"/>
    <cellStyle name="Normal 37 2 17 9 2" xfId="51456" xr:uid="{00000000-0005-0000-0000-0000F9C80000}"/>
    <cellStyle name="Normal 37 2 17 9 3" xfId="51457" xr:uid="{00000000-0005-0000-0000-0000FAC80000}"/>
    <cellStyle name="Normal 37 2 18" xfId="51458" xr:uid="{00000000-0005-0000-0000-0000FBC80000}"/>
    <cellStyle name="Normal 37 2 18 2" xfId="51459" xr:uid="{00000000-0005-0000-0000-0000FCC80000}"/>
    <cellStyle name="Normal 37 2 18 3" xfId="51460" xr:uid="{00000000-0005-0000-0000-0000FDC80000}"/>
    <cellStyle name="Normal 37 2 19" xfId="51461" xr:uid="{00000000-0005-0000-0000-0000FEC80000}"/>
    <cellStyle name="Normal 37 2 19 2" xfId="51462" xr:uid="{00000000-0005-0000-0000-0000FFC80000}"/>
    <cellStyle name="Normal 37 2 19 3" xfId="51463" xr:uid="{00000000-0005-0000-0000-000000C90000}"/>
    <cellStyle name="Normal 37 2 2" xfId="51464" xr:uid="{00000000-0005-0000-0000-000001C90000}"/>
    <cellStyle name="Normal 37 2 20" xfId="51465" xr:uid="{00000000-0005-0000-0000-000002C90000}"/>
    <cellStyle name="Normal 37 2 20 2" xfId="51466" xr:uid="{00000000-0005-0000-0000-000003C90000}"/>
    <cellStyle name="Normal 37 2 20 3" xfId="51467" xr:uid="{00000000-0005-0000-0000-000004C90000}"/>
    <cellStyle name="Normal 37 2 21" xfId="51468" xr:uid="{00000000-0005-0000-0000-000005C90000}"/>
    <cellStyle name="Normal 37 2 21 2" xfId="51469" xr:uid="{00000000-0005-0000-0000-000006C90000}"/>
    <cellStyle name="Normal 37 2 21 3" xfId="51470" xr:uid="{00000000-0005-0000-0000-000007C90000}"/>
    <cellStyle name="Normal 37 2 22" xfId="51471" xr:uid="{00000000-0005-0000-0000-000008C90000}"/>
    <cellStyle name="Normal 37 2 22 2" xfId="51472" xr:uid="{00000000-0005-0000-0000-000009C90000}"/>
    <cellStyle name="Normal 37 2 22 3" xfId="51473" xr:uid="{00000000-0005-0000-0000-00000AC90000}"/>
    <cellStyle name="Normal 37 2 23" xfId="51474" xr:uid="{00000000-0005-0000-0000-00000BC90000}"/>
    <cellStyle name="Normal 37 2 23 2" xfId="51475" xr:uid="{00000000-0005-0000-0000-00000CC90000}"/>
    <cellStyle name="Normal 37 2 23 3" xfId="51476" xr:uid="{00000000-0005-0000-0000-00000DC90000}"/>
    <cellStyle name="Normal 37 2 24" xfId="51477" xr:uid="{00000000-0005-0000-0000-00000EC90000}"/>
    <cellStyle name="Normal 37 2 24 2" xfId="51478" xr:uid="{00000000-0005-0000-0000-00000FC90000}"/>
    <cellStyle name="Normal 37 2 24 3" xfId="51479" xr:uid="{00000000-0005-0000-0000-000010C90000}"/>
    <cellStyle name="Normal 37 2 25" xfId="51480" xr:uid="{00000000-0005-0000-0000-000011C90000}"/>
    <cellStyle name="Normal 37 2 25 2" xfId="51481" xr:uid="{00000000-0005-0000-0000-000012C90000}"/>
    <cellStyle name="Normal 37 2 25 3" xfId="51482" xr:uid="{00000000-0005-0000-0000-000013C90000}"/>
    <cellStyle name="Normal 37 2 26" xfId="51483" xr:uid="{00000000-0005-0000-0000-000014C90000}"/>
    <cellStyle name="Normal 37 2 26 2" xfId="51484" xr:uid="{00000000-0005-0000-0000-000015C90000}"/>
    <cellStyle name="Normal 37 2 26 3" xfId="51485" xr:uid="{00000000-0005-0000-0000-000016C90000}"/>
    <cellStyle name="Normal 37 2 27" xfId="51486" xr:uid="{00000000-0005-0000-0000-000017C90000}"/>
    <cellStyle name="Normal 37 2 27 2" xfId="51487" xr:uid="{00000000-0005-0000-0000-000018C90000}"/>
    <cellStyle name="Normal 37 2 27 3" xfId="51488" xr:uid="{00000000-0005-0000-0000-000019C90000}"/>
    <cellStyle name="Normal 37 2 28" xfId="51489" xr:uid="{00000000-0005-0000-0000-00001AC90000}"/>
    <cellStyle name="Normal 37 2 28 2" xfId="51490" xr:uid="{00000000-0005-0000-0000-00001BC90000}"/>
    <cellStyle name="Normal 37 2 28 3" xfId="51491" xr:uid="{00000000-0005-0000-0000-00001CC90000}"/>
    <cellStyle name="Normal 37 2 29" xfId="51492" xr:uid="{00000000-0005-0000-0000-00001DC90000}"/>
    <cellStyle name="Normal 37 2 29 2" xfId="51493" xr:uid="{00000000-0005-0000-0000-00001EC90000}"/>
    <cellStyle name="Normal 37 2 29 3" xfId="51494" xr:uid="{00000000-0005-0000-0000-00001FC90000}"/>
    <cellStyle name="Normal 37 2 3" xfId="51495" xr:uid="{00000000-0005-0000-0000-000020C90000}"/>
    <cellStyle name="Normal 37 2 30" xfId="51496" xr:uid="{00000000-0005-0000-0000-000021C90000}"/>
    <cellStyle name="Normal 37 2 30 2" xfId="51497" xr:uid="{00000000-0005-0000-0000-000022C90000}"/>
    <cellStyle name="Normal 37 2 30 3" xfId="51498" xr:uid="{00000000-0005-0000-0000-000023C90000}"/>
    <cellStyle name="Normal 37 2 31" xfId="51499" xr:uid="{00000000-0005-0000-0000-000024C90000}"/>
    <cellStyle name="Normal 37 2 32" xfId="51500" xr:uid="{00000000-0005-0000-0000-000025C90000}"/>
    <cellStyle name="Normal 37 2 33" xfId="51501" xr:uid="{00000000-0005-0000-0000-000026C90000}"/>
    <cellStyle name="Normal 37 2 34" xfId="51502" xr:uid="{00000000-0005-0000-0000-000027C90000}"/>
    <cellStyle name="Normal 37 2 35" xfId="51503" xr:uid="{00000000-0005-0000-0000-000028C90000}"/>
    <cellStyle name="Normal 37 2 36" xfId="51504" xr:uid="{00000000-0005-0000-0000-000029C90000}"/>
    <cellStyle name="Normal 37 2 37" xfId="51505" xr:uid="{00000000-0005-0000-0000-00002AC90000}"/>
    <cellStyle name="Normal 37 2 38" xfId="51506" xr:uid="{00000000-0005-0000-0000-00002BC90000}"/>
    <cellStyle name="Normal 37 2 39" xfId="51507" xr:uid="{00000000-0005-0000-0000-00002CC90000}"/>
    <cellStyle name="Normal 37 2 4" xfId="51508" xr:uid="{00000000-0005-0000-0000-00002DC90000}"/>
    <cellStyle name="Normal 37 2 4 10" xfId="51509" xr:uid="{00000000-0005-0000-0000-00002EC90000}"/>
    <cellStyle name="Normal 37 2 4 10 2" xfId="51510" xr:uid="{00000000-0005-0000-0000-00002FC90000}"/>
    <cellStyle name="Normal 37 2 4 10 3" xfId="51511" xr:uid="{00000000-0005-0000-0000-000030C90000}"/>
    <cellStyle name="Normal 37 2 4 11" xfId="51512" xr:uid="{00000000-0005-0000-0000-000031C90000}"/>
    <cellStyle name="Normal 37 2 4 11 2" xfId="51513" xr:uid="{00000000-0005-0000-0000-000032C90000}"/>
    <cellStyle name="Normal 37 2 4 11 3" xfId="51514" xr:uid="{00000000-0005-0000-0000-000033C90000}"/>
    <cellStyle name="Normal 37 2 4 12" xfId="51515" xr:uid="{00000000-0005-0000-0000-000034C90000}"/>
    <cellStyle name="Normal 37 2 4 12 2" xfId="51516" xr:uid="{00000000-0005-0000-0000-000035C90000}"/>
    <cellStyle name="Normal 37 2 4 12 3" xfId="51517" xr:uid="{00000000-0005-0000-0000-000036C90000}"/>
    <cellStyle name="Normal 37 2 4 13" xfId="51518" xr:uid="{00000000-0005-0000-0000-000037C90000}"/>
    <cellStyle name="Normal 37 2 4 13 2" xfId="51519" xr:uid="{00000000-0005-0000-0000-000038C90000}"/>
    <cellStyle name="Normal 37 2 4 13 3" xfId="51520" xr:uid="{00000000-0005-0000-0000-000039C90000}"/>
    <cellStyle name="Normal 37 2 4 14" xfId="51521" xr:uid="{00000000-0005-0000-0000-00003AC90000}"/>
    <cellStyle name="Normal 37 2 4 14 2" xfId="51522" xr:uid="{00000000-0005-0000-0000-00003BC90000}"/>
    <cellStyle name="Normal 37 2 4 14 3" xfId="51523" xr:uid="{00000000-0005-0000-0000-00003CC90000}"/>
    <cellStyle name="Normal 37 2 4 15" xfId="51524" xr:uid="{00000000-0005-0000-0000-00003DC90000}"/>
    <cellStyle name="Normal 37 2 4 15 2" xfId="51525" xr:uid="{00000000-0005-0000-0000-00003EC90000}"/>
    <cellStyle name="Normal 37 2 4 15 3" xfId="51526" xr:uid="{00000000-0005-0000-0000-00003FC90000}"/>
    <cellStyle name="Normal 37 2 4 16" xfId="51527" xr:uid="{00000000-0005-0000-0000-000040C90000}"/>
    <cellStyle name="Normal 37 2 4 17" xfId="51528" xr:uid="{00000000-0005-0000-0000-000041C90000}"/>
    <cellStyle name="Normal 37 2 4 2" xfId="51529" xr:uid="{00000000-0005-0000-0000-000042C90000}"/>
    <cellStyle name="Normal 37 2 4 2 10" xfId="51530" xr:uid="{00000000-0005-0000-0000-000043C90000}"/>
    <cellStyle name="Normal 37 2 4 2 10 2" xfId="51531" xr:uid="{00000000-0005-0000-0000-000044C90000}"/>
    <cellStyle name="Normal 37 2 4 2 10 3" xfId="51532" xr:uid="{00000000-0005-0000-0000-000045C90000}"/>
    <cellStyle name="Normal 37 2 4 2 11" xfId="51533" xr:uid="{00000000-0005-0000-0000-000046C90000}"/>
    <cellStyle name="Normal 37 2 4 2 11 2" xfId="51534" xr:uid="{00000000-0005-0000-0000-000047C90000}"/>
    <cellStyle name="Normal 37 2 4 2 11 3" xfId="51535" xr:uid="{00000000-0005-0000-0000-000048C90000}"/>
    <cellStyle name="Normal 37 2 4 2 12" xfId="51536" xr:uid="{00000000-0005-0000-0000-000049C90000}"/>
    <cellStyle name="Normal 37 2 4 2 12 2" xfId="51537" xr:uid="{00000000-0005-0000-0000-00004AC90000}"/>
    <cellStyle name="Normal 37 2 4 2 12 3" xfId="51538" xr:uid="{00000000-0005-0000-0000-00004BC90000}"/>
    <cellStyle name="Normal 37 2 4 2 13" xfId="51539" xr:uid="{00000000-0005-0000-0000-00004CC90000}"/>
    <cellStyle name="Normal 37 2 4 2 13 2" xfId="51540" xr:uid="{00000000-0005-0000-0000-00004DC90000}"/>
    <cellStyle name="Normal 37 2 4 2 13 3" xfId="51541" xr:uid="{00000000-0005-0000-0000-00004EC90000}"/>
    <cellStyle name="Normal 37 2 4 2 14" xfId="51542" xr:uid="{00000000-0005-0000-0000-00004FC90000}"/>
    <cellStyle name="Normal 37 2 4 2 14 2" xfId="51543" xr:uid="{00000000-0005-0000-0000-000050C90000}"/>
    <cellStyle name="Normal 37 2 4 2 14 3" xfId="51544" xr:uid="{00000000-0005-0000-0000-000051C90000}"/>
    <cellStyle name="Normal 37 2 4 2 15" xfId="51545" xr:uid="{00000000-0005-0000-0000-000052C90000}"/>
    <cellStyle name="Normal 37 2 4 2 16" xfId="51546" xr:uid="{00000000-0005-0000-0000-000053C90000}"/>
    <cellStyle name="Normal 37 2 4 2 2" xfId="51547" xr:uid="{00000000-0005-0000-0000-000054C90000}"/>
    <cellStyle name="Normal 37 2 4 2 2 2" xfId="51548" xr:uid="{00000000-0005-0000-0000-000055C90000}"/>
    <cellStyle name="Normal 37 2 4 2 2 3" xfId="51549" xr:uid="{00000000-0005-0000-0000-000056C90000}"/>
    <cellStyle name="Normal 37 2 4 2 3" xfId="51550" xr:uid="{00000000-0005-0000-0000-000057C90000}"/>
    <cellStyle name="Normal 37 2 4 2 3 2" xfId="51551" xr:uid="{00000000-0005-0000-0000-000058C90000}"/>
    <cellStyle name="Normal 37 2 4 2 3 3" xfId="51552" xr:uid="{00000000-0005-0000-0000-000059C90000}"/>
    <cellStyle name="Normal 37 2 4 2 4" xfId="51553" xr:uid="{00000000-0005-0000-0000-00005AC90000}"/>
    <cellStyle name="Normal 37 2 4 2 4 2" xfId="51554" xr:uid="{00000000-0005-0000-0000-00005BC90000}"/>
    <cellStyle name="Normal 37 2 4 2 4 3" xfId="51555" xr:uid="{00000000-0005-0000-0000-00005CC90000}"/>
    <cellStyle name="Normal 37 2 4 2 5" xfId="51556" xr:uid="{00000000-0005-0000-0000-00005DC90000}"/>
    <cellStyle name="Normal 37 2 4 2 5 2" xfId="51557" xr:uid="{00000000-0005-0000-0000-00005EC90000}"/>
    <cellStyle name="Normal 37 2 4 2 5 3" xfId="51558" xr:uid="{00000000-0005-0000-0000-00005FC90000}"/>
    <cellStyle name="Normal 37 2 4 2 6" xfId="51559" xr:uid="{00000000-0005-0000-0000-000060C90000}"/>
    <cellStyle name="Normal 37 2 4 2 6 2" xfId="51560" xr:uid="{00000000-0005-0000-0000-000061C90000}"/>
    <cellStyle name="Normal 37 2 4 2 6 3" xfId="51561" xr:uid="{00000000-0005-0000-0000-000062C90000}"/>
    <cellStyle name="Normal 37 2 4 2 7" xfId="51562" xr:uid="{00000000-0005-0000-0000-000063C90000}"/>
    <cellStyle name="Normal 37 2 4 2 7 2" xfId="51563" xr:uid="{00000000-0005-0000-0000-000064C90000}"/>
    <cellStyle name="Normal 37 2 4 2 7 3" xfId="51564" xr:uid="{00000000-0005-0000-0000-000065C90000}"/>
    <cellStyle name="Normal 37 2 4 2 8" xfId="51565" xr:uid="{00000000-0005-0000-0000-000066C90000}"/>
    <cellStyle name="Normal 37 2 4 2 8 2" xfId="51566" xr:uid="{00000000-0005-0000-0000-000067C90000}"/>
    <cellStyle name="Normal 37 2 4 2 8 3" xfId="51567" xr:uid="{00000000-0005-0000-0000-000068C90000}"/>
    <cellStyle name="Normal 37 2 4 2 9" xfId="51568" xr:uid="{00000000-0005-0000-0000-000069C90000}"/>
    <cellStyle name="Normal 37 2 4 2 9 2" xfId="51569" xr:uid="{00000000-0005-0000-0000-00006AC90000}"/>
    <cellStyle name="Normal 37 2 4 2 9 3" xfId="51570" xr:uid="{00000000-0005-0000-0000-00006BC90000}"/>
    <cellStyle name="Normal 37 2 4 3" xfId="51571" xr:uid="{00000000-0005-0000-0000-00006CC90000}"/>
    <cellStyle name="Normal 37 2 4 3 2" xfId="51572" xr:uid="{00000000-0005-0000-0000-00006DC90000}"/>
    <cellStyle name="Normal 37 2 4 3 3" xfId="51573" xr:uid="{00000000-0005-0000-0000-00006EC90000}"/>
    <cellStyle name="Normal 37 2 4 4" xfId="51574" xr:uid="{00000000-0005-0000-0000-00006FC90000}"/>
    <cellStyle name="Normal 37 2 4 4 2" xfId="51575" xr:uid="{00000000-0005-0000-0000-000070C90000}"/>
    <cellStyle name="Normal 37 2 4 4 3" xfId="51576" xr:uid="{00000000-0005-0000-0000-000071C90000}"/>
    <cellStyle name="Normal 37 2 4 5" xfId="51577" xr:uid="{00000000-0005-0000-0000-000072C90000}"/>
    <cellStyle name="Normal 37 2 4 5 2" xfId="51578" xr:uid="{00000000-0005-0000-0000-000073C90000}"/>
    <cellStyle name="Normal 37 2 4 5 3" xfId="51579" xr:uid="{00000000-0005-0000-0000-000074C90000}"/>
    <cellStyle name="Normal 37 2 4 6" xfId="51580" xr:uid="{00000000-0005-0000-0000-000075C90000}"/>
    <cellStyle name="Normal 37 2 4 6 2" xfId="51581" xr:uid="{00000000-0005-0000-0000-000076C90000}"/>
    <cellStyle name="Normal 37 2 4 6 3" xfId="51582" xr:uid="{00000000-0005-0000-0000-000077C90000}"/>
    <cellStyle name="Normal 37 2 4 7" xfId="51583" xr:uid="{00000000-0005-0000-0000-000078C90000}"/>
    <cellStyle name="Normal 37 2 4 7 2" xfId="51584" xr:uid="{00000000-0005-0000-0000-000079C90000}"/>
    <cellStyle name="Normal 37 2 4 7 3" xfId="51585" xr:uid="{00000000-0005-0000-0000-00007AC90000}"/>
    <cellStyle name="Normal 37 2 4 8" xfId="51586" xr:uid="{00000000-0005-0000-0000-00007BC90000}"/>
    <cellStyle name="Normal 37 2 4 8 2" xfId="51587" xr:uid="{00000000-0005-0000-0000-00007CC90000}"/>
    <cellStyle name="Normal 37 2 4 8 3" xfId="51588" xr:uid="{00000000-0005-0000-0000-00007DC90000}"/>
    <cellStyle name="Normal 37 2 4 9" xfId="51589" xr:uid="{00000000-0005-0000-0000-00007EC90000}"/>
    <cellStyle name="Normal 37 2 4 9 2" xfId="51590" xr:uid="{00000000-0005-0000-0000-00007FC90000}"/>
    <cellStyle name="Normal 37 2 4 9 3" xfId="51591" xr:uid="{00000000-0005-0000-0000-000080C90000}"/>
    <cellStyle name="Normal 37 2 40" xfId="51592" xr:uid="{00000000-0005-0000-0000-000081C90000}"/>
    <cellStyle name="Normal 37 2 41" xfId="51593" xr:uid="{00000000-0005-0000-0000-000082C90000}"/>
    <cellStyle name="Normal 37 2 42" xfId="51594" xr:uid="{00000000-0005-0000-0000-000083C90000}"/>
    <cellStyle name="Normal 37 2 43" xfId="51595" xr:uid="{00000000-0005-0000-0000-000084C90000}"/>
    <cellStyle name="Normal 37 2 5" xfId="51596" xr:uid="{00000000-0005-0000-0000-000085C90000}"/>
    <cellStyle name="Normal 37 2 5 10" xfId="51597" xr:uid="{00000000-0005-0000-0000-000086C90000}"/>
    <cellStyle name="Normal 37 2 5 10 2" xfId="51598" xr:uid="{00000000-0005-0000-0000-000087C90000}"/>
    <cellStyle name="Normal 37 2 5 10 3" xfId="51599" xr:uid="{00000000-0005-0000-0000-000088C90000}"/>
    <cellStyle name="Normal 37 2 5 11" xfId="51600" xr:uid="{00000000-0005-0000-0000-000089C90000}"/>
    <cellStyle name="Normal 37 2 5 11 2" xfId="51601" xr:uid="{00000000-0005-0000-0000-00008AC90000}"/>
    <cellStyle name="Normal 37 2 5 11 3" xfId="51602" xr:uid="{00000000-0005-0000-0000-00008BC90000}"/>
    <cellStyle name="Normal 37 2 5 12" xfId="51603" xr:uid="{00000000-0005-0000-0000-00008CC90000}"/>
    <cellStyle name="Normal 37 2 5 12 2" xfId="51604" xr:uid="{00000000-0005-0000-0000-00008DC90000}"/>
    <cellStyle name="Normal 37 2 5 12 3" xfId="51605" xr:uid="{00000000-0005-0000-0000-00008EC90000}"/>
    <cellStyle name="Normal 37 2 5 13" xfId="51606" xr:uid="{00000000-0005-0000-0000-00008FC90000}"/>
    <cellStyle name="Normal 37 2 5 13 2" xfId="51607" xr:uid="{00000000-0005-0000-0000-000090C90000}"/>
    <cellStyle name="Normal 37 2 5 13 3" xfId="51608" xr:uid="{00000000-0005-0000-0000-000091C90000}"/>
    <cellStyle name="Normal 37 2 5 14" xfId="51609" xr:uid="{00000000-0005-0000-0000-000092C90000}"/>
    <cellStyle name="Normal 37 2 5 14 2" xfId="51610" xr:uid="{00000000-0005-0000-0000-000093C90000}"/>
    <cellStyle name="Normal 37 2 5 14 3" xfId="51611" xr:uid="{00000000-0005-0000-0000-000094C90000}"/>
    <cellStyle name="Normal 37 2 5 15" xfId="51612" xr:uid="{00000000-0005-0000-0000-000095C90000}"/>
    <cellStyle name="Normal 37 2 5 15 2" xfId="51613" xr:uid="{00000000-0005-0000-0000-000096C90000}"/>
    <cellStyle name="Normal 37 2 5 15 3" xfId="51614" xr:uid="{00000000-0005-0000-0000-000097C90000}"/>
    <cellStyle name="Normal 37 2 5 16" xfId="51615" xr:uid="{00000000-0005-0000-0000-000098C90000}"/>
    <cellStyle name="Normal 37 2 5 17" xfId="51616" xr:uid="{00000000-0005-0000-0000-000099C90000}"/>
    <cellStyle name="Normal 37 2 5 2" xfId="51617" xr:uid="{00000000-0005-0000-0000-00009AC90000}"/>
    <cellStyle name="Normal 37 2 5 2 10" xfId="51618" xr:uid="{00000000-0005-0000-0000-00009BC90000}"/>
    <cellStyle name="Normal 37 2 5 2 10 2" xfId="51619" xr:uid="{00000000-0005-0000-0000-00009CC90000}"/>
    <cellStyle name="Normal 37 2 5 2 10 3" xfId="51620" xr:uid="{00000000-0005-0000-0000-00009DC90000}"/>
    <cellStyle name="Normal 37 2 5 2 11" xfId="51621" xr:uid="{00000000-0005-0000-0000-00009EC90000}"/>
    <cellStyle name="Normal 37 2 5 2 11 2" xfId="51622" xr:uid="{00000000-0005-0000-0000-00009FC90000}"/>
    <cellStyle name="Normal 37 2 5 2 11 3" xfId="51623" xr:uid="{00000000-0005-0000-0000-0000A0C90000}"/>
    <cellStyle name="Normal 37 2 5 2 12" xfId="51624" xr:uid="{00000000-0005-0000-0000-0000A1C90000}"/>
    <cellStyle name="Normal 37 2 5 2 12 2" xfId="51625" xr:uid="{00000000-0005-0000-0000-0000A2C90000}"/>
    <cellStyle name="Normal 37 2 5 2 12 3" xfId="51626" xr:uid="{00000000-0005-0000-0000-0000A3C90000}"/>
    <cellStyle name="Normal 37 2 5 2 13" xfId="51627" xr:uid="{00000000-0005-0000-0000-0000A4C90000}"/>
    <cellStyle name="Normal 37 2 5 2 13 2" xfId="51628" xr:uid="{00000000-0005-0000-0000-0000A5C90000}"/>
    <cellStyle name="Normal 37 2 5 2 13 3" xfId="51629" xr:uid="{00000000-0005-0000-0000-0000A6C90000}"/>
    <cellStyle name="Normal 37 2 5 2 14" xfId="51630" xr:uid="{00000000-0005-0000-0000-0000A7C90000}"/>
    <cellStyle name="Normal 37 2 5 2 14 2" xfId="51631" xr:uid="{00000000-0005-0000-0000-0000A8C90000}"/>
    <cellStyle name="Normal 37 2 5 2 14 3" xfId="51632" xr:uid="{00000000-0005-0000-0000-0000A9C90000}"/>
    <cellStyle name="Normal 37 2 5 2 15" xfId="51633" xr:uid="{00000000-0005-0000-0000-0000AAC90000}"/>
    <cellStyle name="Normal 37 2 5 2 16" xfId="51634" xr:uid="{00000000-0005-0000-0000-0000ABC90000}"/>
    <cellStyle name="Normal 37 2 5 2 2" xfId="51635" xr:uid="{00000000-0005-0000-0000-0000ACC90000}"/>
    <cellStyle name="Normal 37 2 5 2 2 2" xfId="51636" xr:uid="{00000000-0005-0000-0000-0000ADC90000}"/>
    <cellStyle name="Normal 37 2 5 2 2 3" xfId="51637" xr:uid="{00000000-0005-0000-0000-0000AEC90000}"/>
    <cellStyle name="Normal 37 2 5 2 3" xfId="51638" xr:uid="{00000000-0005-0000-0000-0000AFC90000}"/>
    <cellStyle name="Normal 37 2 5 2 3 2" xfId="51639" xr:uid="{00000000-0005-0000-0000-0000B0C90000}"/>
    <cellStyle name="Normal 37 2 5 2 3 3" xfId="51640" xr:uid="{00000000-0005-0000-0000-0000B1C90000}"/>
    <cellStyle name="Normal 37 2 5 2 4" xfId="51641" xr:uid="{00000000-0005-0000-0000-0000B2C90000}"/>
    <cellStyle name="Normal 37 2 5 2 4 2" xfId="51642" xr:uid="{00000000-0005-0000-0000-0000B3C90000}"/>
    <cellStyle name="Normal 37 2 5 2 4 3" xfId="51643" xr:uid="{00000000-0005-0000-0000-0000B4C90000}"/>
    <cellStyle name="Normal 37 2 5 2 5" xfId="51644" xr:uid="{00000000-0005-0000-0000-0000B5C90000}"/>
    <cellStyle name="Normal 37 2 5 2 5 2" xfId="51645" xr:uid="{00000000-0005-0000-0000-0000B6C90000}"/>
    <cellStyle name="Normal 37 2 5 2 5 3" xfId="51646" xr:uid="{00000000-0005-0000-0000-0000B7C90000}"/>
    <cellStyle name="Normal 37 2 5 2 6" xfId="51647" xr:uid="{00000000-0005-0000-0000-0000B8C90000}"/>
    <cellStyle name="Normal 37 2 5 2 6 2" xfId="51648" xr:uid="{00000000-0005-0000-0000-0000B9C90000}"/>
    <cellStyle name="Normal 37 2 5 2 6 3" xfId="51649" xr:uid="{00000000-0005-0000-0000-0000BAC90000}"/>
    <cellStyle name="Normal 37 2 5 2 7" xfId="51650" xr:uid="{00000000-0005-0000-0000-0000BBC90000}"/>
    <cellStyle name="Normal 37 2 5 2 7 2" xfId="51651" xr:uid="{00000000-0005-0000-0000-0000BCC90000}"/>
    <cellStyle name="Normal 37 2 5 2 7 3" xfId="51652" xr:uid="{00000000-0005-0000-0000-0000BDC90000}"/>
    <cellStyle name="Normal 37 2 5 2 8" xfId="51653" xr:uid="{00000000-0005-0000-0000-0000BEC90000}"/>
    <cellStyle name="Normal 37 2 5 2 8 2" xfId="51654" xr:uid="{00000000-0005-0000-0000-0000BFC90000}"/>
    <cellStyle name="Normal 37 2 5 2 8 3" xfId="51655" xr:uid="{00000000-0005-0000-0000-0000C0C90000}"/>
    <cellStyle name="Normal 37 2 5 2 9" xfId="51656" xr:uid="{00000000-0005-0000-0000-0000C1C90000}"/>
    <cellStyle name="Normal 37 2 5 2 9 2" xfId="51657" xr:uid="{00000000-0005-0000-0000-0000C2C90000}"/>
    <cellStyle name="Normal 37 2 5 2 9 3" xfId="51658" xr:uid="{00000000-0005-0000-0000-0000C3C90000}"/>
    <cellStyle name="Normal 37 2 5 3" xfId="51659" xr:uid="{00000000-0005-0000-0000-0000C4C90000}"/>
    <cellStyle name="Normal 37 2 5 3 2" xfId="51660" xr:uid="{00000000-0005-0000-0000-0000C5C90000}"/>
    <cellStyle name="Normal 37 2 5 3 3" xfId="51661" xr:uid="{00000000-0005-0000-0000-0000C6C90000}"/>
    <cellStyle name="Normal 37 2 5 4" xfId="51662" xr:uid="{00000000-0005-0000-0000-0000C7C90000}"/>
    <cellStyle name="Normal 37 2 5 4 2" xfId="51663" xr:uid="{00000000-0005-0000-0000-0000C8C90000}"/>
    <cellStyle name="Normal 37 2 5 4 3" xfId="51664" xr:uid="{00000000-0005-0000-0000-0000C9C90000}"/>
    <cellStyle name="Normal 37 2 5 5" xfId="51665" xr:uid="{00000000-0005-0000-0000-0000CAC90000}"/>
    <cellStyle name="Normal 37 2 5 5 2" xfId="51666" xr:uid="{00000000-0005-0000-0000-0000CBC90000}"/>
    <cellStyle name="Normal 37 2 5 5 3" xfId="51667" xr:uid="{00000000-0005-0000-0000-0000CCC90000}"/>
    <cellStyle name="Normal 37 2 5 6" xfId="51668" xr:uid="{00000000-0005-0000-0000-0000CDC90000}"/>
    <cellStyle name="Normal 37 2 5 6 2" xfId="51669" xr:uid="{00000000-0005-0000-0000-0000CEC90000}"/>
    <cellStyle name="Normal 37 2 5 6 3" xfId="51670" xr:uid="{00000000-0005-0000-0000-0000CFC90000}"/>
    <cellStyle name="Normal 37 2 5 7" xfId="51671" xr:uid="{00000000-0005-0000-0000-0000D0C90000}"/>
    <cellStyle name="Normal 37 2 5 7 2" xfId="51672" xr:uid="{00000000-0005-0000-0000-0000D1C90000}"/>
    <cellStyle name="Normal 37 2 5 7 3" xfId="51673" xr:uid="{00000000-0005-0000-0000-0000D2C90000}"/>
    <cellStyle name="Normal 37 2 5 8" xfId="51674" xr:uid="{00000000-0005-0000-0000-0000D3C90000}"/>
    <cellStyle name="Normal 37 2 5 8 2" xfId="51675" xr:uid="{00000000-0005-0000-0000-0000D4C90000}"/>
    <cellStyle name="Normal 37 2 5 8 3" xfId="51676" xr:uid="{00000000-0005-0000-0000-0000D5C90000}"/>
    <cellStyle name="Normal 37 2 5 9" xfId="51677" xr:uid="{00000000-0005-0000-0000-0000D6C90000}"/>
    <cellStyle name="Normal 37 2 5 9 2" xfId="51678" xr:uid="{00000000-0005-0000-0000-0000D7C90000}"/>
    <cellStyle name="Normal 37 2 5 9 3" xfId="51679" xr:uid="{00000000-0005-0000-0000-0000D8C90000}"/>
    <cellStyle name="Normal 37 2 6" xfId="51680" xr:uid="{00000000-0005-0000-0000-0000D9C90000}"/>
    <cellStyle name="Normal 37 2 6 10" xfId="51681" xr:uid="{00000000-0005-0000-0000-0000DAC90000}"/>
    <cellStyle name="Normal 37 2 6 10 2" xfId="51682" xr:uid="{00000000-0005-0000-0000-0000DBC90000}"/>
    <cellStyle name="Normal 37 2 6 10 3" xfId="51683" xr:uid="{00000000-0005-0000-0000-0000DCC90000}"/>
    <cellStyle name="Normal 37 2 6 11" xfId="51684" xr:uid="{00000000-0005-0000-0000-0000DDC90000}"/>
    <cellStyle name="Normal 37 2 6 11 2" xfId="51685" xr:uid="{00000000-0005-0000-0000-0000DEC90000}"/>
    <cellStyle name="Normal 37 2 6 11 3" xfId="51686" xr:uid="{00000000-0005-0000-0000-0000DFC90000}"/>
    <cellStyle name="Normal 37 2 6 12" xfId="51687" xr:uid="{00000000-0005-0000-0000-0000E0C90000}"/>
    <cellStyle name="Normal 37 2 6 12 2" xfId="51688" xr:uid="{00000000-0005-0000-0000-0000E1C90000}"/>
    <cellStyle name="Normal 37 2 6 12 3" xfId="51689" xr:uid="{00000000-0005-0000-0000-0000E2C90000}"/>
    <cellStyle name="Normal 37 2 6 13" xfId="51690" xr:uid="{00000000-0005-0000-0000-0000E3C90000}"/>
    <cellStyle name="Normal 37 2 6 13 2" xfId="51691" xr:uid="{00000000-0005-0000-0000-0000E4C90000}"/>
    <cellStyle name="Normal 37 2 6 13 3" xfId="51692" xr:uid="{00000000-0005-0000-0000-0000E5C90000}"/>
    <cellStyle name="Normal 37 2 6 14" xfId="51693" xr:uid="{00000000-0005-0000-0000-0000E6C90000}"/>
    <cellStyle name="Normal 37 2 6 14 2" xfId="51694" xr:uid="{00000000-0005-0000-0000-0000E7C90000}"/>
    <cellStyle name="Normal 37 2 6 14 3" xfId="51695" xr:uid="{00000000-0005-0000-0000-0000E8C90000}"/>
    <cellStyle name="Normal 37 2 6 15" xfId="51696" xr:uid="{00000000-0005-0000-0000-0000E9C90000}"/>
    <cellStyle name="Normal 37 2 6 15 2" xfId="51697" xr:uid="{00000000-0005-0000-0000-0000EAC90000}"/>
    <cellStyle name="Normal 37 2 6 15 3" xfId="51698" xr:uid="{00000000-0005-0000-0000-0000EBC90000}"/>
    <cellStyle name="Normal 37 2 6 16" xfId="51699" xr:uid="{00000000-0005-0000-0000-0000ECC90000}"/>
    <cellStyle name="Normal 37 2 6 17" xfId="51700" xr:uid="{00000000-0005-0000-0000-0000EDC90000}"/>
    <cellStyle name="Normal 37 2 6 2" xfId="51701" xr:uid="{00000000-0005-0000-0000-0000EEC90000}"/>
    <cellStyle name="Normal 37 2 6 2 10" xfId="51702" xr:uid="{00000000-0005-0000-0000-0000EFC90000}"/>
    <cellStyle name="Normal 37 2 6 2 10 2" xfId="51703" xr:uid="{00000000-0005-0000-0000-0000F0C90000}"/>
    <cellStyle name="Normal 37 2 6 2 10 3" xfId="51704" xr:uid="{00000000-0005-0000-0000-0000F1C90000}"/>
    <cellStyle name="Normal 37 2 6 2 11" xfId="51705" xr:uid="{00000000-0005-0000-0000-0000F2C90000}"/>
    <cellStyle name="Normal 37 2 6 2 11 2" xfId="51706" xr:uid="{00000000-0005-0000-0000-0000F3C90000}"/>
    <cellStyle name="Normal 37 2 6 2 11 3" xfId="51707" xr:uid="{00000000-0005-0000-0000-0000F4C90000}"/>
    <cellStyle name="Normal 37 2 6 2 12" xfId="51708" xr:uid="{00000000-0005-0000-0000-0000F5C90000}"/>
    <cellStyle name="Normal 37 2 6 2 12 2" xfId="51709" xr:uid="{00000000-0005-0000-0000-0000F6C90000}"/>
    <cellStyle name="Normal 37 2 6 2 12 3" xfId="51710" xr:uid="{00000000-0005-0000-0000-0000F7C90000}"/>
    <cellStyle name="Normal 37 2 6 2 13" xfId="51711" xr:uid="{00000000-0005-0000-0000-0000F8C90000}"/>
    <cellStyle name="Normal 37 2 6 2 13 2" xfId="51712" xr:uid="{00000000-0005-0000-0000-0000F9C90000}"/>
    <cellStyle name="Normal 37 2 6 2 13 3" xfId="51713" xr:uid="{00000000-0005-0000-0000-0000FAC90000}"/>
    <cellStyle name="Normal 37 2 6 2 14" xfId="51714" xr:uid="{00000000-0005-0000-0000-0000FBC90000}"/>
    <cellStyle name="Normal 37 2 6 2 14 2" xfId="51715" xr:uid="{00000000-0005-0000-0000-0000FCC90000}"/>
    <cellStyle name="Normal 37 2 6 2 14 3" xfId="51716" xr:uid="{00000000-0005-0000-0000-0000FDC90000}"/>
    <cellStyle name="Normal 37 2 6 2 15" xfId="51717" xr:uid="{00000000-0005-0000-0000-0000FEC90000}"/>
    <cellStyle name="Normal 37 2 6 2 16" xfId="51718" xr:uid="{00000000-0005-0000-0000-0000FFC90000}"/>
    <cellStyle name="Normal 37 2 6 2 2" xfId="51719" xr:uid="{00000000-0005-0000-0000-000000CA0000}"/>
    <cellStyle name="Normal 37 2 6 2 2 2" xfId="51720" xr:uid="{00000000-0005-0000-0000-000001CA0000}"/>
    <cellStyle name="Normal 37 2 6 2 2 3" xfId="51721" xr:uid="{00000000-0005-0000-0000-000002CA0000}"/>
    <cellStyle name="Normal 37 2 6 2 3" xfId="51722" xr:uid="{00000000-0005-0000-0000-000003CA0000}"/>
    <cellStyle name="Normal 37 2 6 2 3 2" xfId="51723" xr:uid="{00000000-0005-0000-0000-000004CA0000}"/>
    <cellStyle name="Normal 37 2 6 2 3 3" xfId="51724" xr:uid="{00000000-0005-0000-0000-000005CA0000}"/>
    <cellStyle name="Normal 37 2 6 2 4" xfId="51725" xr:uid="{00000000-0005-0000-0000-000006CA0000}"/>
    <cellStyle name="Normal 37 2 6 2 4 2" xfId="51726" xr:uid="{00000000-0005-0000-0000-000007CA0000}"/>
    <cellStyle name="Normal 37 2 6 2 4 3" xfId="51727" xr:uid="{00000000-0005-0000-0000-000008CA0000}"/>
    <cellStyle name="Normal 37 2 6 2 5" xfId="51728" xr:uid="{00000000-0005-0000-0000-000009CA0000}"/>
    <cellStyle name="Normal 37 2 6 2 5 2" xfId="51729" xr:uid="{00000000-0005-0000-0000-00000ACA0000}"/>
    <cellStyle name="Normal 37 2 6 2 5 3" xfId="51730" xr:uid="{00000000-0005-0000-0000-00000BCA0000}"/>
    <cellStyle name="Normal 37 2 6 2 6" xfId="51731" xr:uid="{00000000-0005-0000-0000-00000CCA0000}"/>
    <cellStyle name="Normal 37 2 6 2 6 2" xfId="51732" xr:uid="{00000000-0005-0000-0000-00000DCA0000}"/>
    <cellStyle name="Normal 37 2 6 2 6 3" xfId="51733" xr:uid="{00000000-0005-0000-0000-00000ECA0000}"/>
    <cellStyle name="Normal 37 2 6 2 7" xfId="51734" xr:uid="{00000000-0005-0000-0000-00000FCA0000}"/>
    <cellStyle name="Normal 37 2 6 2 7 2" xfId="51735" xr:uid="{00000000-0005-0000-0000-000010CA0000}"/>
    <cellStyle name="Normal 37 2 6 2 7 3" xfId="51736" xr:uid="{00000000-0005-0000-0000-000011CA0000}"/>
    <cellStyle name="Normal 37 2 6 2 8" xfId="51737" xr:uid="{00000000-0005-0000-0000-000012CA0000}"/>
    <cellStyle name="Normal 37 2 6 2 8 2" xfId="51738" xr:uid="{00000000-0005-0000-0000-000013CA0000}"/>
    <cellStyle name="Normal 37 2 6 2 8 3" xfId="51739" xr:uid="{00000000-0005-0000-0000-000014CA0000}"/>
    <cellStyle name="Normal 37 2 6 2 9" xfId="51740" xr:uid="{00000000-0005-0000-0000-000015CA0000}"/>
    <cellStyle name="Normal 37 2 6 2 9 2" xfId="51741" xr:uid="{00000000-0005-0000-0000-000016CA0000}"/>
    <cellStyle name="Normal 37 2 6 2 9 3" xfId="51742" xr:uid="{00000000-0005-0000-0000-000017CA0000}"/>
    <cellStyle name="Normal 37 2 6 3" xfId="51743" xr:uid="{00000000-0005-0000-0000-000018CA0000}"/>
    <cellStyle name="Normal 37 2 6 3 2" xfId="51744" xr:uid="{00000000-0005-0000-0000-000019CA0000}"/>
    <cellStyle name="Normal 37 2 6 3 3" xfId="51745" xr:uid="{00000000-0005-0000-0000-00001ACA0000}"/>
    <cellStyle name="Normal 37 2 6 4" xfId="51746" xr:uid="{00000000-0005-0000-0000-00001BCA0000}"/>
    <cellStyle name="Normal 37 2 6 4 2" xfId="51747" xr:uid="{00000000-0005-0000-0000-00001CCA0000}"/>
    <cellStyle name="Normal 37 2 6 4 3" xfId="51748" xr:uid="{00000000-0005-0000-0000-00001DCA0000}"/>
    <cellStyle name="Normal 37 2 6 5" xfId="51749" xr:uid="{00000000-0005-0000-0000-00001ECA0000}"/>
    <cellStyle name="Normal 37 2 6 5 2" xfId="51750" xr:uid="{00000000-0005-0000-0000-00001FCA0000}"/>
    <cellStyle name="Normal 37 2 6 5 3" xfId="51751" xr:uid="{00000000-0005-0000-0000-000020CA0000}"/>
    <cellStyle name="Normal 37 2 6 6" xfId="51752" xr:uid="{00000000-0005-0000-0000-000021CA0000}"/>
    <cellStyle name="Normal 37 2 6 6 2" xfId="51753" xr:uid="{00000000-0005-0000-0000-000022CA0000}"/>
    <cellStyle name="Normal 37 2 6 6 3" xfId="51754" xr:uid="{00000000-0005-0000-0000-000023CA0000}"/>
    <cellStyle name="Normal 37 2 6 7" xfId="51755" xr:uid="{00000000-0005-0000-0000-000024CA0000}"/>
    <cellStyle name="Normal 37 2 6 7 2" xfId="51756" xr:uid="{00000000-0005-0000-0000-000025CA0000}"/>
    <cellStyle name="Normal 37 2 6 7 3" xfId="51757" xr:uid="{00000000-0005-0000-0000-000026CA0000}"/>
    <cellStyle name="Normal 37 2 6 8" xfId="51758" xr:uid="{00000000-0005-0000-0000-000027CA0000}"/>
    <cellStyle name="Normal 37 2 6 8 2" xfId="51759" xr:uid="{00000000-0005-0000-0000-000028CA0000}"/>
    <cellStyle name="Normal 37 2 6 8 3" xfId="51760" xr:uid="{00000000-0005-0000-0000-000029CA0000}"/>
    <cellStyle name="Normal 37 2 6 9" xfId="51761" xr:uid="{00000000-0005-0000-0000-00002ACA0000}"/>
    <cellStyle name="Normal 37 2 6 9 2" xfId="51762" xr:uid="{00000000-0005-0000-0000-00002BCA0000}"/>
    <cellStyle name="Normal 37 2 6 9 3" xfId="51763" xr:uid="{00000000-0005-0000-0000-00002CCA0000}"/>
    <cellStyle name="Normal 37 2 7" xfId="51764" xr:uid="{00000000-0005-0000-0000-00002DCA0000}"/>
    <cellStyle name="Normal 37 2 7 10" xfId="51765" xr:uid="{00000000-0005-0000-0000-00002ECA0000}"/>
    <cellStyle name="Normal 37 2 7 10 2" xfId="51766" xr:uid="{00000000-0005-0000-0000-00002FCA0000}"/>
    <cellStyle name="Normal 37 2 7 10 3" xfId="51767" xr:uid="{00000000-0005-0000-0000-000030CA0000}"/>
    <cellStyle name="Normal 37 2 7 11" xfId="51768" xr:uid="{00000000-0005-0000-0000-000031CA0000}"/>
    <cellStyle name="Normal 37 2 7 11 2" xfId="51769" xr:uid="{00000000-0005-0000-0000-000032CA0000}"/>
    <cellStyle name="Normal 37 2 7 11 3" xfId="51770" xr:uid="{00000000-0005-0000-0000-000033CA0000}"/>
    <cellStyle name="Normal 37 2 7 12" xfId="51771" xr:uid="{00000000-0005-0000-0000-000034CA0000}"/>
    <cellStyle name="Normal 37 2 7 12 2" xfId="51772" xr:uid="{00000000-0005-0000-0000-000035CA0000}"/>
    <cellStyle name="Normal 37 2 7 12 3" xfId="51773" xr:uid="{00000000-0005-0000-0000-000036CA0000}"/>
    <cellStyle name="Normal 37 2 7 13" xfId="51774" xr:uid="{00000000-0005-0000-0000-000037CA0000}"/>
    <cellStyle name="Normal 37 2 7 13 2" xfId="51775" xr:uid="{00000000-0005-0000-0000-000038CA0000}"/>
    <cellStyle name="Normal 37 2 7 13 3" xfId="51776" xr:uid="{00000000-0005-0000-0000-000039CA0000}"/>
    <cellStyle name="Normal 37 2 7 14" xfId="51777" xr:uid="{00000000-0005-0000-0000-00003ACA0000}"/>
    <cellStyle name="Normal 37 2 7 14 2" xfId="51778" xr:uid="{00000000-0005-0000-0000-00003BCA0000}"/>
    <cellStyle name="Normal 37 2 7 14 3" xfId="51779" xr:uid="{00000000-0005-0000-0000-00003CCA0000}"/>
    <cellStyle name="Normal 37 2 7 15" xfId="51780" xr:uid="{00000000-0005-0000-0000-00003DCA0000}"/>
    <cellStyle name="Normal 37 2 7 16" xfId="51781" xr:uid="{00000000-0005-0000-0000-00003ECA0000}"/>
    <cellStyle name="Normal 37 2 7 2" xfId="51782" xr:uid="{00000000-0005-0000-0000-00003FCA0000}"/>
    <cellStyle name="Normal 37 2 7 2 2" xfId="51783" xr:uid="{00000000-0005-0000-0000-000040CA0000}"/>
    <cellStyle name="Normal 37 2 7 2 3" xfId="51784" xr:uid="{00000000-0005-0000-0000-000041CA0000}"/>
    <cellStyle name="Normal 37 2 7 3" xfId="51785" xr:uid="{00000000-0005-0000-0000-000042CA0000}"/>
    <cellStyle name="Normal 37 2 7 3 2" xfId="51786" xr:uid="{00000000-0005-0000-0000-000043CA0000}"/>
    <cellStyle name="Normal 37 2 7 3 3" xfId="51787" xr:uid="{00000000-0005-0000-0000-000044CA0000}"/>
    <cellStyle name="Normal 37 2 7 4" xfId="51788" xr:uid="{00000000-0005-0000-0000-000045CA0000}"/>
    <cellStyle name="Normal 37 2 7 4 2" xfId="51789" xr:uid="{00000000-0005-0000-0000-000046CA0000}"/>
    <cellStyle name="Normal 37 2 7 4 3" xfId="51790" xr:uid="{00000000-0005-0000-0000-000047CA0000}"/>
    <cellStyle name="Normal 37 2 7 5" xfId="51791" xr:uid="{00000000-0005-0000-0000-000048CA0000}"/>
    <cellStyle name="Normal 37 2 7 5 2" xfId="51792" xr:uid="{00000000-0005-0000-0000-000049CA0000}"/>
    <cellStyle name="Normal 37 2 7 5 3" xfId="51793" xr:uid="{00000000-0005-0000-0000-00004ACA0000}"/>
    <cellStyle name="Normal 37 2 7 6" xfId="51794" xr:uid="{00000000-0005-0000-0000-00004BCA0000}"/>
    <cellStyle name="Normal 37 2 7 6 2" xfId="51795" xr:uid="{00000000-0005-0000-0000-00004CCA0000}"/>
    <cellStyle name="Normal 37 2 7 6 3" xfId="51796" xr:uid="{00000000-0005-0000-0000-00004DCA0000}"/>
    <cellStyle name="Normal 37 2 7 7" xfId="51797" xr:uid="{00000000-0005-0000-0000-00004ECA0000}"/>
    <cellStyle name="Normal 37 2 7 7 2" xfId="51798" xr:uid="{00000000-0005-0000-0000-00004FCA0000}"/>
    <cellStyle name="Normal 37 2 7 7 3" xfId="51799" xr:uid="{00000000-0005-0000-0000-000050CA0000}"/>
    <cellStyle name="Normal 37 2 7 8" xfId="51800" xr:uid="{00000000-0005-0000-0000-000051CA0000}"/>
    <cellStyle name="Normal 37 2 7 8 2" xfId="51801" xr:uid="{00000000-0005-0000-0000-000052CA0000}"/>
    <cellStyle name="Normal 37 2 7 8 3" xfId="51802" xr:uid="{00000000-0005-0000-0000-000053CA0000}"/>
    <cellStyle name="Normal 37 2 7 9" xfId="51803" xr:uid="{00000000-0005-0000-0000-000054CA0000}"/>
    <cellStyle name="Normal 37 2 7 9 2" xfId="51804" xr:uid="{00000000-0005-0000-0000-000055CA0000}"/>
    <cellStyle name="Normal 37 2 7 9 3" xfId="51805" xr:uid="{00000000-0005-0000-0000-000056CA0000}"/>
    <cellStyle name="Normal 37 2 8" xfId="51806" xr:uid="{00000000-0005-0000-0000-000057CA0000}"/>
    <cellStyle name="Normal 37 2 8 10" xfId="51807" xr:uid="{00000000-0005-0000-0000-000058CA0000}"/>
    <cellStyle name="Normal 37 2 8 10 2" xfId="51808" xr:uid="{00000000-0005-0000-0000-000059CA0000}"/>
    <cellStyle name="Normal 37 2 8 10 3" xfId="51809" xr:uid="{00000000-0005-0000-0000-00005ACA0000}"/>
    <cellStyle name="Normal 37 2 8 11" xfId="51810" xr:uid="{00000000-0005-0000-0000-00005BCA0000}"/>
    <cellStyle name="Normal 37 2 8 11 2" xfId="51811" xr:uid="{00000000-0005-0000-0000-00005CCA0000}"/>
    <cellStyle name="Normal 37 2 8 11 3" xfId="51812" xr:uid="{00000000-0005-0000-0000-00005DCA0000}"/>
    <cellStyle name="Normal 37 2 8 12" xfId="51813" xr:uid="{00000000-0005-0000-0000-00005ECA0000}"/>
    <cellStyle name="Normal 37 2 8 12 2" xfId="51814" xr:uid="{00000000-0005-0000-0000-00005FCA0000}"/>
    <cellStyle name="Normal 37 2 8 12 3" xfId="51815" xr:uid="{00000000-0005-0000-0000-000060CA0000}"/>
    <cellStyle name="Normal 37 2 8 13" xfId="51816" xr:uid="{00000000-0005-0000-0000-000061CA0000}"/>
    <cellStyle name="Normal 37 2 8 13 2" xfId="51817" xr:uid="{00000000-0005-0000-0000-000062CA0000}"/>
    <cellStyle name="Normal 37 2 8 13 3" xfId="51818" xr:uid="{00000000-0005-0000-0000-000063CA0000}"/>
    <cellStyle name="Normal 37 2 8 14" xfId="51819" xr:uid="{00000000-0005-0000-0000-000064CA0000}"/>
    <cellStyle name="Normal 37 2 8 14 2" xfId="51820" xr:uid="{00000000-0005-0000-0000-000065CA0000}"/>
    <cellStyle name="Normal 37 2 8 14 3" xfId="51821" xr:uid="{00000000-0005-0000-0000-000066CA0000}"/>
    <cellStyle name="Normal 37 2 8 15" xfId="51822" xr:uid="{00000000-0005-0000-0000-000067CA0000}"/>
    <cellStyle name="Normal 37 2 8 16" xfId="51823" xr:uid="{00000000-0005-0000-0000-000068CA0000}"/>
    <cellStyle name="Normal 37 2 8 2" xfId="51824" xr:uid="{00000000-0005-0000-0000-000069CA0000}"/>
    <cellStyle name="Normal 37 2 8 2 2" xfId="51825" xr:uid="{00000000-0005-0000-0000-00006ACA0000}"/>
    <cellStyle name="Normal 37 2 8 2 3" xfId="51826" xr:uid="{00000000-0005-0000-0000-00006BCA0000}"/>
    <cellStyle name="Normal 37 2 8 3" xfId="51827" xr:uid="{00000000-0005-0000-0000-00006CCA0000}"/>
    <cellStyle name="Normal 37 2 8 3 2" xfId="51828" xr:uid="{00000000-0005-0000-0000-00006DCA0000}"/>
    <cellStyle name="Normal 37 2 8 3 3" xfId="51829" xr:uid="{00000000-0005-0000-0000-00006ECA0000}"/>
    <cellStyle name="Normal 37 2 8 4" xfId="51830" xr:uid="{00000000-0005-0000-0000-00006FCA0000}"/>
    <cellStyle name="Normal 37 2 8 4 2" xfId="51831" xr:uid="{00000000-0005-0000-0000-000070CA0000}"/>
    <cellStyle name="Normal 37 2 8 4 3" xfId="51832" xr:uid="{00000000-0005-0000-0000-000071CA0000}"/>
    <cellStyle name="Normal 37 2 8 5" xfId="51833" xr:uid="{00000000-0005-0000-0000-000072CA0000}"/>
    <cellStyle name="Normal 37 2 8 5 2" xfId="51834" xr:uid="{00000000-0005-0000-0000-000073CA0000}"/>
    <cellStyle name="Normal 37 2 8 5 3" xfId="51835" xr:uid="{00000000-0005-0000-0000-000074CA0000}"/>
    <cellStyle name="Normal 37 2 8 6" xfId="51836" xr:uid="{00000000-0005-0000-0000-000075CA0000}"/>
    <cellStyle name="Normal 37 2 8 6 2" xfId="51837" xr:uid="{00000000-0005-0000-0000-000076CA0000}"/>
    <cellStyle name="Normal 37 2 8 6 3" xfId="51838" xr:uid="{00000000-0005-0000-0000-000077CA0000}"/>
    <cellStyle name="Normal 37 2 8 7" xfId="51839" xr:uid="{00000000-0005-0000-0000-000078CA0000}"/>
    <cellStyle name="Normal 37 2 8 7 2" xfId="51840" xr:uid="{00000000-0005-0000-0000-000079CA0000}"/>
    <cellStyle name="Normal 37 2 8 7 3" xfId="51841" xr:uid="{00000000-0005-0000-0000-00007ACA0000}"/>
    <cellStyle name="Normal 37 2 8 8" xfId="51842" xr:uid="{00000000-0005-0000-0000-00007BCA0000}"/>
    <cellStyle name="Normal 37 2 8 8 2" xfId="51843" xr:uid="{00000000-0005-0000-0000-00007CCA0000}"/>
    <cellStyle name="Normal 37 2 8 8 3" xfId="51844" xr:uid="{00000000-0005-0000-0000-00007DCA0000}"/>
    <cellStyle name="Normal 37 2 8 9" xfId="51845" xr:uid="{00000000-0005-0000-0000-00007ECA0000}"/>
    <cellStyle name="Normal 37 2 8 9 2" xfId="51846" xr:uid="{00000000-0005-0000-0000-00007FCA0000}"/>
    <cellStyle name="Normal 37 2 8 9 3" xfId="51847" xr:uid="{00000000-0005-0000-0000-000080CA0000}"/>
    <cellStyle name="Normal 37 2 9" xfId="51848" xr:uid="{00000000-0005-0000-0000-000081CA0000}"/>
    <cellStyle name="Normal 37 2 9 10" xfId="51849" xr:uid="{00000000-0005-0000-0000-000082CA0000}"/>
    <cellStyle name="Normal 37 2 9 10 2" xfId="51850" xr:uid="{00000000-0005-0000-0000-000083CA0000}"/>
    <cellStyle name="Normal 37 2 9 10 3" xfId="51851" xr:uid="{00000000-0005-0000-0000-000084CA0000}"/>
    <cellStyle name="Normal 37 2 9 11" xfId="51852" xr:uid="{00000000-0005-0000-0000-000085CA0000}"/>
    <cellStyle name="Normal 37 2 9 11 2" xfId="51853" xr:uid="{00000000-0005-0000-0000-000086CA0000}"/>
    <cellStyle name="Normal 37 2 9 11 3" xfId="51854" xr:uid="{00000000-0005-0000-0000-000087CA0000}"/>
    <cellStyle name="Normal 37 2 9 12" xfId="51855" xr:uid="{00000000-0005-0000-0000-000088CA0000}"/>
    <cellStyle name="Normal 37 2 9 12 2" xfId="51856" xr:uid="{00000000-0005-0000-0000-000089CA0000}"/>
    <cellStyle name="Normal 37 2 9 12 3" xfId="51857" xr:uid="{00000000-0005-0000-0000-00008ACA0000}"/>
    <cellStyle name="Normal 37 2 9 13" xfId="51858" xr:uid="{00000000-0005-0000-0000-00008BCA0000}"/>
    <cellStyle name="Normal 37 2 9 13 2" xfId="51859" xr:uid="{00000000-0005-0000-0000-00008CCA0000}"/>
    <cellStyle name="Normal 37 2 9 13 3" xfId="51860" xr:uid="{00000000-0005-0000-0000-00008DCA0000}"/>
    <cellStyle name="Normal 37 2 9 14" xfId="51861" xr:uid="{00000000-0005-0000-0000-00008ECA0000}"/>
    <cellStyle name="Normal 37 2 9 14 2" xfId="51862" xr:uid="{00000000-0005-0000-0000-00008FCA0000}"/>
    <cellStyle name="Normal 37 2 9 14 3" xfId="51863" xr:uid="{00000000-0005-0000-0000-000090CA0000}"/>
    <cellStyle name="Normal 37 2 9 15" xfId="51864" xr:uid="{00000000-0005-0000-0000-000091CA0000}"/>
    <cellStyle name="Normal 37 2 9 16" xfId="51865" xr:uid="{00000000-0005-0000-0000-000092CA0000}"/>
    <cellStyle name="Normal 37 2 9 2" xfId="51866" xr:uid="{00000000-0005-0000-0000-000093CA0000}"/>
    <cellStyle name="Normal 37 2 9 2 2" xfId="51867" xr:uid="{00000000-0005-0000-0000-000094CA0000}"/>
    <cellStyle name="Normal 37 2 9 2 3" xfId="51868" xr:uid="{00000000-0005-0000-0000-000095CA0000}"/>
    <cellStyle name="Normal 37 2 9 3" xfId="51869" xr:uid="{00000000-0005-0000-0000-000096CA0000}"/>
    <cellStyle name="Normal 37 2 9 3 2" xfId="51870" xr:uid="{00000000-0005-0000-0000-000097CA0000}"/>
    <cellStyle name="Normal 37 2 9 3 3" xfId="51871" xr:uid="{00000000-0005-0000-0000-000098CA0000}"/>
    <cellStyle name="Normal 37 2 9 4" xfId="51872" xr:uid="{00000000-0005-0000-0000-000099CA0000}"/>
    <cellStyle name="Normal 37 2 9 4 2" xfId="51873" xr:uid="{00000000-0005-0000-0000-00009ACA0000}"/>
    <cellStyle name="Normal 37 2 9 4 3" xfId="51874" xr:uid="{00000000-0005-0000-0000-00009BCA0000}"/>
    <cellStyle name="Normal 37 2 9 5" xfId="51875" xr:uid="{00000000-0005-0000-0000-00009CCA0000}"/>
    <cellStyle name="Normal 37 2 9 5 2" xfId="51876" xr:uid="{00000000-0005-0000-0000-00009DCA0000}"/>
    <cellStyle name="Normal 37 2 9 5 3" xfId="51877" xr:uid="{00000000-0005-0000-0000-00009ECA0000}"/>
    <cellStyle name="Normal 37 2 9 6" xfId="51878" xr:uid="{00000000-0005-0000-0000-00009FCA0000}"/>
    <cellStyle name="Normal 37 2 9 6 2" xfId="51879" xr:uid="{00000000-0005-0000-0000-0000A0CA0000}"/>
    <cellStyle name="Normal 37 2 9 6 3" xfId="51880" xr:uid="{00000000-0005-0000-0000-0000A1CA0000}"/>
    <cellStyle name="Normal 37 2 9 7" xfId="51881" xr:uid="{00000000-0005-0000-0000-0000A2CA0000}"/>
    <cellStyle name="Normal 37 2 9 7 2" xfId="51882" xr:uid="{00000000-0005-0000-0000-0000A3CA0000}"/>
    <cellStyle name="Normal 37 2 9 7 3" xfId="51883" xr:uid="{00000000-0005-0000-0000-0000A4CA0000}"/>
    <cellStyle name="Normal 37 2 9 8" xfId="51884" xr:uid="{00000000-0005-0000-0000-0000A5CA0000}"/>
    <cellStyle name="Normal 37 2 9 8 2" xfId="51885" xr:uid="{00000000-0005-0000-0000-0000A6CA0000}"/>
    <cellStyle name="Normal 37 2 9 8 3" xfId="51886" xr:uid="{00000000-0005-0000-0000-0000A7CA0000}"/>
    <cellStyle name="Normal 37 2 9 9" xfId="51887" xr:uid="{00000000-0005-0000-0000-0000A8CA0000}"/>
    <cellStyle name="Normal 37 2 9 9 2" xfId="51888" xr:uid="{00000000-0005-0000-0000-0000A9CA0000}"/>
    <cellStyle name="Normal 37 2 9 9 3" xfId="51889" xr:uid="{00000000-0005-0000-0000-0000AACA0000}"/>
    <cellStyle name="Normal 37 2_End-use Summary" xfId="51890" xr:uid="{00000000-0005-0000-0000-0000ABCA0000}"/>
    <cellStyle name="Normal 37 3" xfId="51891" xr:uid="{00000000-0005-0000-0000-0000ACCA0000}"/>
    <cellStyle name="Normal 37 4" xfId="51892" xr:uid="{00000000-0005-0000-0000-0000ADCA0000}"/>
    <cellStyle name="Normal 37 4 10" xfId="51893" xr:uid="{00000000-0005-0000-0000-0000AECA0000}"/>
    <cellStyle name="Normal 37 4 10 10" xfId="51894" xr:uid="{00000000-0005-0000-0000-0000AFCA0000}"/>
    <cellStyle name="Normal 37 4 10 10 2" xfId="51895" xr:uid="{00000000-0005-0000-0000-0000B0CA0000}"/>
    <cellStyle name="Normal 37 4 10 10 3" xfId="51896" xr:uid="{00000000-0005-0000-0000-0000B1CA0000}"/>
    <cellStyle name="Normal 37 4 10 11" xfId="51897" xr:uid="{00000000-0005-0000-0000-0000B2CA0000}"/>
    <cellStyle name="Normal 37 4 10 11 2" xfId="51898" xr:uid="{00000000-0005-0000-0000-0000B3CA0000}"/>
    <cellStyle name="Normal 37 4 10 11 3" xfId="51899" xr:uid="{00000000-0005-0000-0000-0000B4CA0000}"/>
    <cellStyle name="Normal 37 4 10 12" xfId="51900" xr:uid="{00000000-0005-0000-0000-0000B5CA0000}"/>
    <cellStyle name="Normal 37 4 10 12 2" xfId="51901" xr:uid="{00000000-0005-0000-0000-0000B6CA0000}"/>
    <cellStyle name="Normal 37 4 10 12 3" xfId="51902" xr:uid="{00000000-0005-0000-0000-0000B7CA0000}"/>
    <cellStyle name="Normal 37 4 10 13" xfId="51903" xr:uid="{00000000-0005-0000-0000-0000B8CA0000}"/>
    <cellStyle name="Normal 37 4 10 13 2" xfId="51904" xr:uid="{00000000-0005-0000-0000-0000B9CA0000}"/>
    <cellStyle name="Normal 37 4 10 13 3" xfId="51905" xr:uid="{00000000-0005-0000-0000-0000BACA0000}"/>
    <cellStyle name="Normal 37 4 10 14" xfId="51906" xr:uid="{00000000-0005-0000-0000-0000BBCA0000}"/>
    <cellStyle name="Normal 37 4 10 14 2" xfId="51907" xr:uid="{00000000-0005-0000-0000-0000BCCA0000}"/>
    <cellStyle name="Normal 37 4 10 14 3" xfId="51908" xr:uid="{00000000-0005-0000-0000-0000BDCA0000}"/>
    <cellStyle name="Normal 37 4 10 15" xfId="51909" xr:uid="{00000000-0005-0000-0000-0000BECA0000}"/>
    <cellStyle name="Normal 37 4 10 16" xfId="51910" xr:uid="{00000000-0005-0000-0000-0000BFCA0000}"/>
    <cellStyle name="Normal 37 4 10 2" xfId="51911" xr:uid="{00000000-0005-0000-0000-0000C0CA0000}"/>
    <cellStyle name="Normal 37 4 10 2 2" xfId="51912" xr:uid="{00000000-0005-0000-0000-0000C1CA0000}"/>
    <cellStyle name="Normal 37 4 10 2 3" xfId="51913" xr:uid="{00000000-0005-0000-0000-0000C2CA0000}"/>
    <cellStyle name="Normal 37 4 10 3" xfId="51914" xr:uid="{00000000-0005-0000-0000-0000C3CA0000}"/>
    <cellStyle name="Normal 37 4 10 3 2" xfId="51915" xr:uid="{00000000-0005-0000-0000-0000C4CA0000}"/>
    <cellStyle name="Normal 37 4 10 3 3" xfId="51916" xr:uid="{00000000-0005-0000-0000-0000C5CA0000}"/>
    <cellStyle name="Normal 37 4 10 4" xfId="51917" xr:uid="{00000000-0005-0000-0000-0000C6CA0000}"/>
    <cellStyle name="Normal 37 4 10 4 2" xfId="51918" xr:uid="{00000000-0005-0000-0000-0000C7CA0000}"/>
    <cellStyle name="Normal 37 4 10 4 3" xfId="51919" xr:uid="{00000000-0005-0000-0000-0000C8CA0000}"/>
    <cellStyle name="Normal 37 4 10 5" xfId="51920" xr:uid="{00000000-0005-0000-0000-0000C9CA0000}"/>
    <cellStyle name="Normal 37 4 10 5 2" xfId="51921" xr:uid="{00000000-0005-0000-0000-0000CACA0000}"/>
    <cellStyle name="Normal 37 4 10 5 3" xfId="51922" xr:uid="{00000000-0005-0000-0000-0000CBCA0000}"/>
    <cellStyle name="Normal 37 4 10 6" xfId="51923" xr:uid="{00000000-0005-0000-0000-0000CCCA0000}"/>
    <cellStyle name="Normal 37 4 10 6 2" xfId="51924" xr:uid="{00000000-0005-0000-0000-0000CDCA0000}"/>
    <cellStyle name="Normal 37 4 10 6 3" xfId="51925" xr:uid="{00000000-0005-0000-0000-0000CECA0000}"/>
    <cellStyle name="Normal 37 4 10 7" xfId="51926" xr:uid="{00000000-0005-0000-0000-0000CFCA0000}"/>
    <cellStyle name="Normal 37 4 10 7 2" xfId="51927" xr:uid="{00000000-0005-0000-0000-0000D0CA0000}"/>
    <cellStyle name="Normal 37 4 10 7 3" xfId="51928" xr:uid="{00000000-0005-0000-0000-0000D1CA0000}"/>
    <cellStyle name="Normal 37 4 10 8" xfId="51929" xr:uid="{00000000-0005-0000-0000-0000D2CA0000}"/>
    <cellStyle name="Normal 37 4 10 8 2" xfId="51930" xr:uid="{00000000-0005-0000-0000-0000D3CA0000}"/>
    <cellStyle name="Normal 37 4 10 8 3" xfId="51931" xr:uid="{00000000-0005-0000-0000-0000D4CA0000}"/>
    <cellStyle name="Normal 37 4 10 9" xfId="51932" xr:uid="{00000000-0005-0000-0000-0000D5CA0000}"/>
    <cellStyle name="Normal 37 4 10 9 2" xfId="51933" xr:uid="{00000000-0005-0000-0000-0000D6CA0000}"/>
    <cellStyle name="Normal 37 4 10 9 3" xfId="51934" xr:uid="{00000000-0005-0000-0000-0000D7CA0000}"/>
    <cellStyle name="Normal 37 4 11" xfId="51935" xr:uid="{00000000-0005-0000-0000-0000D8CA0000}"/>
    <cellStyle name="Normal 37 4 11 10" xfId="51936" xr:uid="{00000000-0005-0000-0000-0000D9CA0000}"/>
    <cellStyle name="Normal 37 4 11 10 2" xfId="51937" xr:uid="{00000000-0005-0000-0000-0000DACA0000}"/>
    <cellStyle name="Normal 37 4 11 10 3" xfId="51938" xr:uid="{00000000-0005-0000-0000-0000DBCA0000}"/>
    <cellStyle name="Normal 37 4 11 11" xfId="51939" xr:uid="{00000000-0005-0000-0000-0000DCCA0000}"/>
    <cellStyle name="Normal 37 4 11 11 2" xfId="51940" xr:uid="{00000000-0005-0000-0000-0000DDCA0000}"/>
    <cellStyle name="Normal 37 4 11 11 3" xfId="51941" xr:uid="{00000000-0005-0000-0000-0000DECA0000}"/>
    <cellStyle name="Normal 37 4 11 12" xfId="51942" xr:uid="{00000000-0005-0000-0000-0000DFCA0000}"/>
    <cellStyle name="Normal 37 4 11 12 2" xfId="51943" xr:uid="{00000000-0005-0000-0000-0000E0CA0000}"/>
    <cellStyle name="Normal 37 4 11 12 3" xfId="51944" xr:uid="{00000000-0005-0000-0000-0000E1CA0000}"/>
    <cellStyle name="Normal 37 4 11 13" xfId="51945" xr:uid="{00000000-0005-0000-0000-0000E2CA0000}"/>
    <cellStyle name="Normal 37 4 11 13 2" xfId="51946" xr:uid="{00000000-0005-0000-0000-0000E3CA0000}"/>
    <cellStyle name="Normal 37 4 11 13 3" xfId="51947" xr:uid="{00000000-0005-0000-0000-0000E4CA0000}"/>
    <cellStyle name="Normal 37 4 11 14" xfId="51948" xr:uid="{00000000-0005-0000-0000-0000E5CA0000}"/>
    <cellStyle name="Normal 37 4 11 14 2" xfId="51949" xr:uid="{00000000-0005-0000-0000-0000E6CA0000}"/>
    <cellStyle name="Normal 37 4 11 14 3" xfId="51950" xr:uid="{00000000-0005-0000-0000-0000E7CA0000}"/>
    <cellStyle name="Normal 37 4 11 15" xfId="51951" xr:uid="{00000000-0005-0000-0000-0000E8CA0000}"/>
    <cellStyle name="Normal 37 4 11 16" xfId="51952" xr:uid="{00000000-0005-0000-0000-0000E9CA0000}"/>
    <cellStyle name="Normal 37 4 11 2" xfId="51953" xr:uid="{00000000-0005-0000-0000-0000EACA0000}"/>
    <cellStyle name="Normal 37 4 11 2 2" xfId="51954" xr:uid="{00000000-0005-0000-0000-0000EBCA0000}"/>
    <cellStyle name="Normal 37 4 11 2 3" xfId="51955" xr:uid="{00000000-0005-0000-0000-0000ECCA0000}"/>
    <cellStyle name="Normal 37 4 11 3" xfId="51956" xr:uid="{00000000-0005-0000-0000-0000EDCA0000}"/>
    <cellStyle name="Normal 37 4 11 3 2" xfId="51957" xr:uid="{00000000-0005-0000-0000-0000EECA0000}"/>
    <cellStyle name="Normal 37 4 11 3 3" xfId="51958" xr:uid="{00000000-0005-0000-0000-0000EFCA0000}"/>
    <cellStyle name="Normal 37 4 11 4" xfId="51959" xr:uid="{00000000-0005-0000-0000-0000F0CA0000}"/>
    <cellStyle name="Normal 37 4 11 4 2" xfId="51960" xr:uid="{00000000-0005-0000-0000-0000F1CA0000}"/>
    <cellStyle name="Normal 37 4 11 4 3" xfId="51961" xr:uid="{00000000-0005-0000-0000-0000F2CA0000}"/>
    <cellStyle name="Normal 37 4 11 5" xfId="51962" xr:uid="{00000000-0005-0000-0000-0000F3CA0000}"/>
    <cellStyle name="Normal 37 4 11 5 2" xfId="51963" xr:uid="{00000000-0005-0000-0000-0000F4CA0000}"/>
    <cellStyle name="Normal 37 4 11 5 3" xfId="51964" xr:uid="{00000000-0005-0000-0000-0000F5CA0000}"/>
    <cellStyle name="Normal 37 4 11 6" xfId="51965" xr:uid="{00000000-0005-0000-0000-0000F6CA0000}"/>
    <cellStyle name="Normal 37 4 11 6 2" xfId="51966" xr:uid="{00000000-0005-0000-0000-0000F7CA0000}"/>
    <cellStyle name="Normal 37 4 11 6 3" xfId="51967" xr:uid="{00000000-0005-0000-0000-0000F8CA0000}"/>
    <cellStyle name="Normal 37 4 11 7" xfId="51968" xr:uid="{00000000-0005-0000-0000-0000F9CA0000}"/>
    <cellStyle name="Normal 37 4 11 7 2" xfId="51969" xr:uid="{00000000-0005-0000-0000-0000FACA0000}"/>
    <cellStyle name="Normal 37 4 11 7 3" xfId="51970" xr:uid="{00000000-0005-0000-0000-0000FBCA0000}"/>
    <cellStyle name="Normal 37 4 11 8" xfId="51971" xr:uid="{00000000-0005-0000-0000-0000FCCA0000}"/>
    <cellStyle name="Normal 37 4 11 8 2" xfId="51972" xr:uid="{00000000-0005-0000-0000-0000FDCA0000}"/>
    <cellStyle name="Normal 37 4 11 8 3" xfId="51973" xr:uid="{00000000-0005-0000-0000-0000FECA0000}"/>
    <cellStyle name="Normal 37 4 11 9" xfId="51974" xr:uid="{00000000-0005-0000-0000-0000FFCA0000}"/>
    <cellStyle name="Normal 37 4 11 9 2" xfId="51975" xr:uid="{00000000-0005-0000-0000-000000CB0000}"/>
    <cellStyle name="Normal 37 4 11 9 3" xfId="51976" xr:uid="{00000000-0005-0000-0000-000001CB0000}"/>
    <cellStyle name="Normal 37 4 12" xfId="51977" xr:uid="{00000000-0005-0000-0000-000002CB0000}"/>
    <cellStyle name="Normal 37 4 12 10" xfId="51978" xr:uid="{00000000-0005-0000-0000-000003CB0000}"/>
    <cellStyle name="Normal 37 4 12 10 2" xfId="51979" xr:uid="{00000000-0005-0000-0000-000004CB0000}"/>
    <cellStyle name="Normal 37 4 12 10 3" xfId="51980" xr:uid="{00000000-0005-0000-0000-000005CB0000}"/>
    <cellStyle name="Normal 37 4 12 11" xfId="51981" xr:uid="{00000000-0005-0000-0000-000006CB0000}"/>
    <cellStyle name="Normal 37 4 12 11 2" xfId="51982" xr:uid="{00000000-0005-0000-0000-000007CB0000}"/>
    <cellStyle name="Normal 37 4 12 11 3" xfId="51983" xr:uid="{00000000-0005-0000-0000-000008CB0000}"/>
    <cellStyle name="Normal 37 4 12 12" xfId="51984" xr:uid="{00000000-0005-0000-0000-000009CB0000}"/>
    <cellStyle name="Normal 37 4 12 12 2" xfId="51985" xr:uid="{00000000-0005-0000-0000-00000ACB0000}"/>
    <cellStyle name="Normal 37 4 12 12 3" xfId="51986" xr:uid="{00000000-0005-0000-0000-00000BCB0000}"/>
    <cellStyle name="Normal 37 4 12 13" xfId="51987" xr:uid="{00000000-0005-0000-0000-00000CCB0000}"/>
    <cellStyle name="Normal 37 4 12 13 2" xfId="51988" xr:uid="{00000000-0005-0000-0000-00000DCB0000}"/>
    <cellStyle name="Normal 37 4 12 13 3" xfId="51989" xr:uid="{00000000-0005-0000-0000-00000ECB0000}"/>
    <cellStyle name="Normal 37 4 12 14" xfId="51990" xr:uid="{00000000-0005-0000-0000-00000FCB0000}"/>
    <cellStyle name="Normal 37 4 12 14 2" xfId="51991" xr:uid="{00000000-0005-0000-0000-000010CB0000}"/>
    <cellStyle name="Normal 37 4 12 14 3" xfId="51992" xr:uid="{00000000-0005-0000-0000-000011CB0000}"/>
    <cellStyle name="Normal 37 4 12 15" xfId="51993" xr:uid="{00000000-0005-0000-0000-000012CB0000}"/>
    <cellStyle name="Normal 37 4 12 16" xfId="51994" xr:uid="{00000000-0005-0000-0000-000013CB0000}"/>
    <cellStyle name="Normal 37 4 12 2" xfId="51995" xr:uid="{00000000-0005-0000-0000-000014CB0000}"/>
    <cellStyle name="Normal 37 4 12 2 2" xfId="51996" xr:uid="{00000000-0005-0000-0000-000015CB0000}"/>
    <cellStyle name="Normal 37 4 12 2 3" xfId="51997" xr:uid="{00000000-0005-0000-0000-000016CB0000}"/>
    <cellStyle name="Normal 37 4 12 3" xfId="51998" xr:uid="{00000000-0005-0000-0000-000017CB0000}"/>
    <cellStyle name="Normal 37 4 12 3 2" xfId="51999" xr:uid="{00000000-0005-0000-0000-000018CB0000}"/>
    <cellStyle name="Normal 37 4 12 3 3" xfId="52000" xr:uid="{00000000-0005-0000-0000-000019CB0000}"/>
    <cellStyle name="Normal 37 4 12 4" xfId="52001" xr:uid="{00000000-0005-0000-0000-00001ACB0000}"/>
    <cellStyle name="Normal 37 4 12 4 2" xfId="52002" xr:uid="{00000000-0005-0000-0000-00001BCB0000}"/>
    <cellStyle name="Normal 37 4 12 4 3" xfId="52003" xr:uid="{00000000-0005-0000-0000-00001CCB0000}"/>
    <cellStyle name="Normal 37 4 12 5" xfId="52004" xr:uid="{00000000-0005-0000-0000-00001DCB0000}"/>
    <cellStyle name="Normal 37 4 12 5 2" xfId="52005" xr:uid="{00000000-0005-0000-0000-00001ECB0000}"/>
    <cellStyle name="Normal 37 4 12 5 3" xfId="52006" xr:uid="{00000000-0005-0000-0000-00001FCB0000}"/>
    <cellStyle name="Normal 37 4 12 6" xfId="52007" xr:uid="{00000000-0005-0000-0000-000020CB0000}"/>
    <cellStyle name="Normal 37 4 12 6 2" xfId="52008" xr:uid="{00000000-0005-0000-0000-000021CB0000}"/>
    <cellStyle name="Normal 37 4 12 6 3" xfId="52009" xr:uid="{00000000-0005-0000-0000-000022CB0000}"/>
    <cellStyle name="Normal 37 4 12 7" xfId="52010" xr:uid="{00000000-0005-0000-0000-000023CB0000}"/>
    <cellStyle name="Normal 37 4 12 7 2" xfId="52011" xr:uid="{00000000-0005-0000-0000-000024CB0000}"/>
    <cellStyle name="Normal 37 4 12 7 3" xfId="52012" xr:uid="{00000000-0005-0000-0000-000025CB0000}"/>
    <cellStyle name="Normal 37 4 12 8" xfId="52013" xr:uid="{00000000-0005-0000-0000-000026CB0000}"/>
    <cellStyle name="Normal 37 4 12 8 2" xfId="52014" xr:uid="{00000000-0005-0000-0000-000027CB0000}"/>
    <cellStyle name="Normal 37 4 12 8 3" xfId="52015" xr:uid="{00000000-0005-0000-0000-000028CB0000}"/>
    <cellStyle name="Normal 37 4 12 9" xfId="52016" xr:uid="{00000000-0005-0000-0000-000029CB0000}"/>
    <cellStyle name="Normal 37 4 12 9 2" xfId="52017" xr:uid="{00000000-0005-0000-0000-00002ACB0000}"/>
    <cellStyle name="Normal 37 4 12 9 3" xfId="52018" xr:uid="{00000000-0005-0000-0000-00002BCB0000}"/>
    <cellStyle name="Normal 37 4 13" xfId="52019" xr:uid="{00000000-0005-0000-0000-00002CCB0000}"/>
    <cellStyle name="Normal 37 4 13 10" xfId="52020" xr:uid="{00000000-0005-0000-0000-00002DCB0000}"/>
    <cellStyle name="Normal 37 4 13 10 2" xfId="52021" xr:uid="{00000000-0005-0000-0000-00002ECB0000}"/>
    <cellStyle name="Normal 37 4 13 10 3" xfId="52022" xr:uid="{00000000-0005-0000-0000-00002FCB0000}"/>
    <cellStyle name="Normal 37 4 13 11" xfId="52023" xr:uid="{00000000-0005-0000-0000-000030CB0000}"/>
    <cellStyle name="Normal 37 4 13 11 2" xfId="52024" xr:uid="{00000000-0005-0000-0000-000031CB0000}"/>
    <cellStyle name="Normal 37 4 13 11 3" xfId="52025" xr:uid="{00000000-0005-0000-0000-000032CB0000}"/>
    <cellStyle name="Normal 37 4 13 12" xfId="52026" xr:uid="{00000000-0005-0000-0000-000033CB0000}"/>
    <cellStyle name="Normal 37 4 13 12 2" xfId="52027" xr:uid="{00000000-0005-0000-0000-000034CB0000}"/>
    <cellStyle name="Normal 37 4 13 12 3" xfId="52028" xr:uid="{00000000-0005-0000-0000-000035CB0000}"/>
    <cellStyle name="Normal 37 4 13 13" xfId="52029" xr:uid="{00000000-0005-0000-0000-000036CB0000}"/>
    <cellStyle name="Normal 37 4 13 13 2" xfId="52030" xr:uid="{00000000-0005-0000-0000-000037CB0000}"/>
    <cellStyle name="Normal 37 4 13 13 3" xfId="52031" xr:uid="{00000000-0005-0000-0000-000038CB0000}"/>
    <cellStyle name="Normal 37 4 13 14" xfId="52032" xr:uid="{00000000-0005-0000-0000-000039CB0000}"/>
    <cellStyle name="Normal 37 4 13 14 2" xfId="52033" xr:uid="{00000000-0005-0000-0000-00003ACB0000}"/>
    <cellStyle name="Normal 37 4 13 14 3" xfId="52034" xr:uid="{00000000-0005-0000-0000-00003BCB0000}"/>
    <cellStyle name="Normal 37 4 13 15" xfId="52035" xr:uid="{00000000-0005-0000-0000-00003CCB0000}"/>
    <cellStyle name="Normal 37 4 13 16" xfId="52036" xr:uid="{00000000-0005-0000-0000-00003DCB0000}"/>
    <cellStyle name="Normal 37 4 13 2" xfId="52037" xr:uid="{00000000-0005-0000-0000-00003ECB0000}"/>
    <cellStyle name="Normal 37 4 13 2 2" xfId="52038" xr:uid="{00000000-0005-0000-0000-00003FCB0000}"/>
    <cellStyle name="Normal 37 4 13 2 3" xfId="52039" xr:uid="{00000000-0005-0000-0000-000040CB0000}"/>
    <cellStyle name="Normal 37 4 13 3" xfId="52040" xr:uid="{00000000-0005-0000-0000-000041CB0000}"/>
    <cellStyle name="Normal 37 4 13 3 2" xfId="52041" xr:uid="{00000000-0005-0000-0000-000042CB0000}"/>
    <cellStyle name="Normal 37 4 13 3 3" xfId="52042" xr:uid="{00000000-0005-0000-0000-000043CB0000}"/>
    <cellStyle name="Normal 37 4 13 4" xfId="52043" xr:uid="{00000000-0005-0000-0000-000044CB0000}"/>
    <cellStyle name="Normal 37 4 13 4 2" xfId="52044" xr:uid="{00000000-0005-0000-0000-000045CB0000}"/>
    <cellStyle name="Normal 37 4 13 4 3" xfId="52045" xr:uid="{00000000-0005-0000-0000-000046CB0000}"/>
    <cellStyle name="Normal 37 4 13 5" xfId="52046" xr:uid="{00000000-0005-0000-0000-000047CB0000}"/>
    <cellStyle name="Normal 37 4 13 5 2" xfId="52047" xr:uid="{00000000-0005-0000-0000-000048CB0000}"/>
    <cellStyle name="Normal 37 4 13 5 3" xfId="52048" xr:uid="{00000000-0005-0000-0000-000049CB0000}"/>
    <cellStyle name="Normal 37 4 13 6" xfId="52049" xr:uid="{00000000-0005-0000-0000-00004ACB0000}"/>
    <cellStyle name="Normal 37 4 13 6 2" xfId="52050" xr:uid="{00000000-0005-0000-0000-00004BCB0000}"/>
    <cellStyle name="Normal 37 4 13 6 3" xfId="52051" xr:uid="{00000000-0005-0000-0000-00004CCB0000}"/>
    <cellStyle name="Normal 37 4 13 7" xfId="52052" xr:uid="{00000000-0005-0000-0000-00004DCB0000}"/>
    <cellStyle name="Normal 37 4 13 7 2" xfId="52053" xr:uid="{00000000-0005-0000-0000-00004ECB0000}"/>
    <cellStyle name="Normal 37 4 13 7 3" xfId="52054" xr:uid="{00000000-0005-0000-0000-00004FCB0000}"/>
    <cellStyle name="Normal 37 4 13 8" xfId="52055" xr:uid="{00000000-0005-0000-0000-000050CB0000}"/>
    <cellStyle name="Normal 37 4 13 8 2" xfId="52056" xr:uid="{00000000-0005-0000-0000-000051CB0000}"/>
    <cellStyle name="Normal 37 4 13 8 3" xfId="52057" xr:uid="{00000000-0005-0000-0000-000052CB0000}"/>
    <cellStyle name="Normal 37 4 13 9" xfId="52058" xr:uid="{00000000-0005-0000-0000-000053CB0000}"/>
    <cellStyle name="Normal 37 4 13 9 2" xfId="52059" xr:uid="{00000000-0005-0000-0000-000054CB0000}"/>
    <cellStyle name="Normal 37 4 13 9 3" xfId="52060" xr:uid="{00000000-0005-0000-0000-000055CB0000}"/>
    <cellStyle name="Normal 37 4 14" xfId="52061" xr:uid="{00000000-0005-0000-0000-000056CB0000}"/>
    <cellStyle name="Normal 37 4 14 10" xfId="52062" xr:uid="{00000000-0005-0000-0000-000057CB0000}"/>
    <cellStyle name="Normal 37 4 14 10 2" xfId="52063" xr:uid="{00000000-0005-0000-0000-000058CB0000}"/>
    <cellStyle name="Normal 37 4 14 10 3" xfId="52064" xr:uid="{00000000-0005-0000-0000-000059CB0000}"/>
    <cellStyle name="Normal 37 4 14 11" xfId="52065" xr:uid="{00000000-0005-0000-0000-00005ACB0000}"/>
    <cellStyle name="Normal 37 4 14 11 2" xfId="52066" xr:uid="{00000000-0005-0000-0000-00005BCB0000}"/>
    <cellStyle name="Normal 37 4 14 11 3" xfId="52067" xr:uid="{00000000-0005-0000-0000-00005CCB0000}"/>
    <cellStyle name="Normal 37 4 14 12" xfId="52068" xr:uid="{00000000-0005-0000-0000-00005DCB0000}"/>
    <cellStyle name="Normal 37 4 14 12 2" xfId="52069" xr:uid="{00000000-0005-0000-0000-00005ECB0000}"/>
    <cellStyle name="Normal 37 4 14 12 3" xfId="52070" xr:uid="{00000000-0005-0000-0000-00005FCB0000}"/>
    <cellStyle name="Normal 37 4 14 13" xfId="52071" xr:uid="{00000000-0005-0000-0000-000060CB0000}"/>
    <cellStyle name="Normal 37 4 14 13 2" xfId="52072" xr:uid="{00000000-0005-0000-0000-000061CB0000}"/>
    <cellStyle name="Normal 37 4 14 13 3" xfId="52073" xr:uid="{00000000-0005-0000-0000-000062CB0000}"/>
    <cellStyle name="Normal 37 4 14 14" xfId="52074" xr:uid="{00000000-0005-0000-0000-000063CB0000}"/>
    <cellStyle name="Normal 37 4 14 14 2" xfId="52075" xr:uid="{00000000-0005-0000-0000-000064CB0000}"/>
    <cellStyle name="Normal 37 4 14 14 3" xfId="52076" xr:uid="{00000000-0005-0000-0000-000065CB0000}"/>
    <cellStyle name="Normal 37 4 14 15" xfId="52077" xr:uid="{00000000-0005-0000-0000-000066CB0000}"/>
    <cellStyle name="Normal 37 4 14 16" xfId="52078" xr:uid="{00000000-0005-0000-0000-000067CB0000}"/>
    <cellStyle name="Normal 37 4 14 2" xfId="52079" xr:uid="{00000000-0005-0000-0000-000068CB0000}"/>
    <cellStyle name="Normal 37 4 14 2 2" xfId="52080" xr:uid="{00000000-0005-0000-0000-000069CB0000}"/>
    <cellStyle name="Normal 37 4 14 2 3" xfId="52081" xr:uid="{00000000-0005-0000-0000-00006ACB0000}"/>
    <cellStyle name="Normal 37 4 14 3" xfId="52082" xr:uid="{00000000-0005-0000-0000-00006BCB0000}"/>
    <cellStyle name="Normal 37 4 14 3 2" xfId="52083" xr:uid="{00000000-0005-0000-0000-00006CCB0000}"/>
    <cellStyle name="Normal 37 4 14 3 3" xfId="52084" xr:uid="{00000000-0005-0000-0000-00006DCB0000}"/>
    <cellStyle name="Normal 37 4 14 4" xfId="52085" xr:uid="{00000000-0005-0000-0000-00006ECB0000}"/>
    <cellStyle name="Normal 37 4 14 4 2" xfId="52086" xr:uid="{00000000-0005-0000-0000-00006FCB0000}"/>
    <cellStyle name="Normal 37 4 14 4 3" xfId="52087" xr:uid="{00000000-0005-0000-0000-000070CB0000}"/>
    <cellStyle name="Normal 37 4 14 5" xfId="52088" xr:uid="{00000000-0005-0000-0000-000071CB0000}"/>
    <cellStyle name="Normal 37 4 14 5 2" xfId="52089" xr:uid="{00000000-0005-0000-0000-000072CB0000}"/>
    <cellStyle name="Normal 37 4 14 5 3" xfId="52090" xr:uid="{00000000-0005-0000-0000-000073CB0000}"/>
    <cellStyle name="Normal 37 4 14 6" xfId="52091" xr:uid="{00000000-0005-0000-0000-000074CB0000}"/>
    <cellStyle name="Normal 37 4 14 6 2" xfId="52092" xr:uid="{00000000-0005-0000-0000-000075CB0000}"/>
    <cellStyle name="Normal 37 4 14 6 3" xfId="52093" xr:uid="{00000000-0005-0000-0000-000076CB0000}"/>
    <cellStyle name="Normal 37 4 14 7" xfId="52094" xr:uid="{00000000-0005-0000-0000-000077CB0000}"/>
    <cellStyle name="Normal 37 4 14 7 2" xfId="52095" xr:uid="{00000000-0005-0000-0000-000078CB0000}"/>
    <cellStyle name="Normal 37 4 14 7 3" xfId="52096" xr:uid="{00000000-0005-0000-0000-000079CB0000}"/>
    <cellStyle name="Normal 37 4 14 8" xfId="52097" xr:uid="{00000000-0005-0000-0000-00007ACB0000}"/>
    <cellStyle name="Normal 37 4 14 8 2" xfId="52098" xr:uid="{00000000-0005-0000-0000-00007BCB0000}"/>
    <cellStyle name="Normal 37 4 14 8 3" xfId="52099" xr:uid="{00000000-0005-0000-0000-00007CCB0000}"/>
    <cellStyle name="Normal 37 4 14 9" xfId="52100" xr:uid="{00000000-0005-0000-0000-00007DCB0000}"/>
    <cellStyle name="Normal 37 4 14 9 2" xfId="52101" xr:uid="{00000000-0005-0000-0000-00007ECB0000}"/>
    <cellStyle name="Normal 37 4 14 9 3" xfId="52102" xr:uid="{00000000-0005-0000-0000-00007FCB0000}"/>
    <cellStyle name="Normal 37 4 15" xfId="52103" xr:uid="{00000000-0005-0000-0000-000080CB0000}"/>
    <cellStyle name="Normal 37 4 15 10" xfId="52104" xr:uid="{00000000-0005-0000-0000-000081CB0000}"/>
    <cellStyle name="Normal 37 4 15 10 2" xfId="52105" xr:uid="{00000000-0005-0000-0000-000082CB0000}"/>
    <cellStyle name="Normal 37 4 15 10 3" xfId="52106" xr:uid="{00000000-0005-0000-0000-000083CB0000}"/>
    <cellStyle name="Normal 37 4 15 11" xfId="52107" xr:uid="{00000000-0005-0000-0000-000084CB0000}"/>
    <cellStyle name="Normal 37 4 15 11 2" xfId="52108" xr:uid="{00000000-0005-0000-0000-000085CB0000}"/>
    <cellStyle name="Normal 37 4 15 11 3" xfId="52109" xr:uid="{00000000-0005-0000-0000-000086CB0000}"/>
    <cellStyle name="Normal 37 4 15 12" xfId="52110" xr:uid="{00000000-0005-0000-0000-000087CB0000}"/>
    <cellStyle name="Normal 37 4 15 12 2" xfId="52111" xr:uid="{00000000-0005-0000-0000-000088CB0000}"/>
    <cellStyle name="Normal 37 4 15 12 3" xfId="52112" xr:uid="{00000000-0005-0000-0000-000089CB0000}"/>
    <cellStyle name="Normal 37 4 15 13" xfId="52113" xr:uid="{00000000-0005-0000-0000-00008ACB0000}"/>
    <cellStyle name="Normal 37 4 15 13 2" xfId="52114" xr:uid="{00000000-0005-0000-0000-00008BCB0000}"/>
    <cellStyle name="Normal 37 4 15 13 3" xfId="52115" xr:uid="{00000000-0005-0000-0000-00008CCB0000}"/>
    <cellStyle name="Normal 37 4 15 14" xfId="52116" xr:uid="{00000000-0005-0000-0000-00008DCB0000}"/>
    <cellStyle name="Normal 37 4 15 14 2" xfId="52117" xr:uid="{00000000-0005-0000-0000-00008ECB0000}"/>
    <cellStyle name="Normal 37 4 15 14 3" xfId="52118" xr:uid="{00000000-0005-0000-0000-00008FCB0000}"/>
    <cellStyle name="Normal 37 4 15 15" xfId="52119" xr:uid="{00000000-0005-0000-0000-000090CB0000}"/>
    <cellStyle name="Normal 37 4 15 16" xfId="52120" xr:uid="{00000000-0005-0000-0000-000091CB0000}"/>
    <cellStyle name="Normal 37 4 15 2" xfId="52121" xr:uid="{00000000-0005-0000-0000-000092CB0000}"/>
    <cellStyle name="Normal 37 4 15 2 2" xfId="52122" xr:uid="{00000000-0005-0000-0000-000093CB0000}"/>
    <cellStyle name="Normal 37 4 15 2 3" xfId="52123" xr:uid="{00000000-0005-0000-0000-000094CB0000}"/>
    <cellStyle name="Normal 37 4 15 3" xfId="52124" xr:uid="{00000000-0005-0000-0000-000095CB0000}"/>
    <cellStyle name="Normal 37 4 15 3 2" xfId="52125" xr:uid="{00000000-0005-0000-0000-000096CB0000}"/>
    <cellStyle name="Normal 37 4 15 3 3" xfId="52126" xr:uid="{00000000-0005-0000-0000-000097CB0000}"/>
    <cellStyle name="Normal 37 4 15 4" xfId="52127" xr:uid="{00000000-0005-0000-0000-000098CB0000}"/>
    <cellStyle name="Normal 37 4 15 4 2" xfId="52128" xr:uid="{00000000-0005-0000-0000-000099CB0000}"/>
    <cellStyle name="Normal 37 4 15 4 3" xfId="52129" xr:uid="{00000000-0005-0000-0000-00009ACB0000}"/>
    <cellStyle name="Normal 37 4 15 5" xfId="52130" xr:uid="{00000000-0005-0000-0000-00009BCB0000}"/>
    <cellStyle name="Normal 37 4 15 5 2" xfId="52131" xr:uid="{00000000-0005-0000-0000-00009CCB0000}"/>
    <cellStyle name="Normal 37 4 15 5 3" xfId="52132" xr:uid="{00000000-0005-0000-0000-00009DCB0000}"/>
    <cellStyle name="Normal 37 4 15 6" xfId="52133" xr:uid="{00000000-0005-0000-0000-00009ECB0000}"/>
    <cellStyle name="Normal 37 4 15 6 2" xfId="52134" xr:uid="{00000000-0005-0000-0000-00009FCB0000}"/>
    <cellStyle name="Normal 37 4 15 6 3" xfId="52135" xr:uid="{00000000-0005-0000-0000-0000A0CB0000}"/>
    <cellStyle name="Normal 37 4 15 7" xfId="52136" xr:uid="{00000000-0005-0000-0000-0000A1CB0000}"/>
    <cellStyle name="Normal 37 4 15 7 2" xfId="52137" xr:uid="{00000000-0005-0000-0000-0000A2CB0000}"/>
    <cellStyle name="Normal 37 4 15 7 3" xfId="52138" xr:uid="{00000000-0005-0000-0000-0000A3CB0000}"/>
    <cellStyle name="Normal 37 4 15 8" xfId="52139" xr:uid="{00000000-0005-0000-0000-0000A4CB0000}"/>
    <cellStyle name="Normal 37 4 15 8 2" xfId="52140" xr:uid="{00000000-0005-0000-0000-0000A5CB0000}"/>
    <cellStyle name="Normal 37 4 15 8 3" xfId="52141" xr:uid="{00000000-0005-0000-0000-0000A6CB0000}"/>
    <cellStyle name="Normal 37 4 15 9" xfId="52142" xr:uid="{00000000-0005-0000-0000-0000A7CB0000}"/>
    <cellStyle name="Normal 37 4 15 9 2" xfId="52143" xr:uid="{00000000-0005-0000-0000-0000A8CB0000}"/>
    <cellStyle name="Normal 37 4 15 9 3" xfId="52144" xr:uid="{00000000-0005-0000-0000-0000A9CB0000}"/>
    <cellStyle name="Normal 37 4 16" xfId="52145" xr:uid="{00000000-0005-0000-0000-0000AACB0000}"/>
    <cellStyle name="Normal 37 4 16 2" xfId="52146" xr:uid="{00000000-0005-0000-0000-0000ABCB0000}"/>
    <cellStyle name="Normal 37 4 16 3" xfId="52147" xr:uid="{00000000-0005-0000-0000-0000ACCB0000}"/>
    <cellStyle name="Normal 37 4 17" xfId="52148" xr:uid="{00000000-0005-0000-0000-0000ADCB0000}"/>
    <cellStyle name="Normal 37 4 17 2" xfId="52149" xr:uid="{00000000-0005-0000-0000-0000AECB0000}"/>
    <cellStyle name="Normal 37 4 17 3" xfId="52150" xr:uid="{00000000-0005-0000-0000-0000AFCB0000}"/>
    <cellStyle name="Normal 37 4 18" xfId="52151" xr:uid="{00000000-0005-0000-0000-0000B0CB0000}"/>
    <cellStyle name="Normal 37 4 18 2" xfId="52152" xr:uid="{00000000-0005-0000-0000-0000B1CB0000}"/>
    <cellStyle name="Normal 37 4 18 3" xfId="52153" xr:uid="{00000000-0005-0000-0000-0000B2CB0000}"/>
    <cellStyle name="Normal 37 4 19" xfId="52154" xr:uid="{00000000-0005-0000-0000-0000B3CB0000}"/>
    <cellStyle name="Normal 37 4 19 2" xfId="52155" xr:uid="{00000000-0005-0000-0000-0000B4CB0000}"/>
    <cellStyle name="Normal 37 4 19 3" xfId="52156" xr:uid="{00000000-0005-0000-0000-0000B5CB0000}"/>
    <cellStyle name="Normal 37 4 2" xfId="52157" xr:uid="{00000000-0005-0000-0000-0000B6CB0000}"/>
    <cellStyle name="Normal 37 4 2 10" xfId="52158" xr:uid="{00000000-0005-0000-0000-0000B7CB0000}"/>
    <cellStyle name="Normal 37 4 2 10 2" xfId="52159" xr:uid="{00000000-0005-0000-0000-0000B8CB0000}"/>
    <cellStyle name="Normal 37 4 2 10 3" xfId="52160" xr:uid="{00000000-0005-0000-0000-0000B9CB0000}"/>
    <cellStyle name="Normal 37 4 2 11" xfId="52161" xr:uid="{00000000-0005-0000-0000-0000BACB0000}"/>
    <cellStyle name="Normal 37 4 2 11 2" xfId="52162" xr:uid="{00000000-0005-0000-0000-0000BBCB0000}"/>
    <cellStyle name="Normal 37 4 2 11 3" xfId="52163" xr:uid="{00000000-0005-0000-0000-0000BCCB0000}"/>
    <cellStyle name="Normal 37 4 2 12" xfId="52164" xr:uid="{00000000-0005-0000-0000-0000BDCB0000}"/>
    <cellStyle name="Normal 37 4 2 12 2" xfId="52165" xr:uid="{00000000-0005-0000-0000-0000BECB0000}"/>
    <cellStyle name="Normal 37 4 2 12 3" xfId="52166" xr:uid="{00000000-0005-0000-0000-0000BFCB0000}"/>
    <cellStyle name="Normal 37 4 2 13" xfId="52167" xr:uid="{00000000-0005-0000-0000-0000C0CB0000}"/>
    <cellStyle name="Normal 37 4 2 13 2" xfId="52168" xr:uid="{00000000-0005-0000-0000-0000C1CB0000}"/>
    <cellStyle name="Normal 37 4 2 13 3" xfId="52169" xr:uid="{00000000-0005-0000-0000-0000C2CB0000}"/>
    <cellStyle name="Normal 37 4 2 14" xfId="52170" xr:uid="{00000000-0005-0000-0000-0000C3CB0000}"/>
    <cellStyle name="Normal 37 4 2 14 2" xfId="52171" xr:uid="{00000000-0005-0000-0000-0000C4CB0000}"/>
    <cellStyle name="Normal 37 4 2 14 3" xfId="52172" xr:uid="{00000000-0005-0000-0000-0000C5CB0000}"/>
    <cellStyle name="Normal 37 4 2 15" xfId="52173" xr:uid="{00000000-0005-0000-0000-0000C6CB0000}"/>
    <cellStyle name="Normal 37 4 2 15 2" xfId="52174" xr:uid="{00000000-0005-0000-0000-0000C7CB0000}"/>
    <cellStyle name="Normal 37 4 2 15 3" xfId="52175" xr:uid="{00000000-0005-0000-0000-0000C8CB0000}"/>
    <cellStyle name="Normal 37 4 2 16" xfId="52176" xr:uid="{00000000-0005-0000-0000-0000C9CB0000}"/>
    <cellStyle name="Normal 37 4 2 17" xfId="52177" xr:uid="{00000000-0005-0000-0000-0000CACB0000}"/>
    <cellStyle name="Normal 37 4 2 2" xfId="52178" xr:uid="{00000000-0005-0000-0000-0000CBCB0000}"/>
    <cellStyle name="Normal 37 4 2 2 10" xfId="52179" xr:uid="{00000000-0005-0000-0000-0000CCCB0000}"/>
    <cellStyle name="Normal 37 4 2 2 10 2" xfId="52180" xr:uid="{00000000-0005-0000-0000-0000CDCB0000}"/>
    <cellStyle name="Normal 37 4 2 2 10 3" xfId="52181" xr:uid="{00000000-0005-0000-0000-0000CECB0000}"/>
    <cellStyle name="Normal 37 4 2 2 11" xfId="52182" xr:uid="{00000000-0005-0000-0000-0000CFCB0000}"/>
    <cellStyle name="Normal 37 4 2 2 11 2" xfId="52183" xr:uid="{00000000-0005-0000-0000-0000D0CB0000}"/>
    <cellStyle name="Normal 37 4 2 2 11 3" xfId="52184" xr:uid="{00000000-0005-0000-0000-0000D1CB0000}"/>
    <cellStyle name="Normal 37 4 2 2 12" xfId="52185" xr:uid="{00000000-0005-0000-0000-0000D2CB0000}"/>
    <cellStyle name="Normal 37 4 2 2 12 2" xfId="52186" xr:uid="{00000000-0005-0000-0000-0000D3CB0000}"/>
    <cellStyle name="Normal 37 4 2 2 12 3" xfId="52187" xr:uid="{00000000-0005-0000-0000-0000D4CB0000}"/>
    <cellStyle name="Normal 37 4 2 2 13" xfId="52188" xr:uid="{00000000-0005-0000-0000-0000D5CB0000}"/>
    <cellStyle name="Normal 37 4 2 2 13 2" xfId="52189" xr:uid="{00000000-0005-0000-0000-0000D6CB0000}"/>
    <cellStyle name="Normal 37 4 2 2 13 3" xfId="52190" xr:uid="{00000000-0005-0000-0000-0000D7CB0000}"/>
    <cellStyle name="Normal 37 4 2 2 14" xfId="52191" xr:uid="{00000000-0005-0000-0000-0000D8CB0000}"/>
    <cellStyle name="Normal 37 4 2 2 14 2" xfId="52192" xr:uid="{00000000-0005-0000-0000-0000D9CB0000}"/>
    <cellStyle name="Normal 37 4 2 2 14 3" xfId="52193" xr:uid="{00000000-0005-0000-0000-0000DACB0000}"/>
    <cellStyle name="Normal 37 4 2 2 15" xfId="52194" xr:uid="{00000000-0005-0000-0000-0000DBCB0000}"/>
    <cellStyle name="Normal 37 4 2 2 16" xfId="52195" xr:uid="{00000000-0005-0000-0000-0000DCCB0000}"/>
    <cellStyle name="Normal 37 4 2 2 2" xfId="52196" xr:uid="{00000000-0005-0000-0000-0000DDCB0000}"/>
    <cellStyle name="Normal 37 4 2 2 2 2" xfId="52197" xr:uid="{00000000-0005-0000-0000-0000DECB0000}"/>
    <cellStyle name="Normal 37 4 2 2 2 3" xfId="52198" xr:uid="{00000000-0005-0000-0000-0000DFCB0000}"/>
    <cellStyle name="Normal 37 4 2 2 3" xfId="52199" xr:uid="{00000000-0005-0000-0000-0000E0CB0000}"/>
    <cellStyle name="Normal 37 4 2 2 3 2" xfId="52200" xr:uid="{00000000-0005-0000-0000-0000E1CB0000}"/>
    <cellStyle name="Normal 37 4 2 2 3 3" xfId="52201" xr:uid="{00000000-0005-0000-0000-0000E2CB0000}"/>
    <cellStyle name="Normal 37 4 2 2 4" xfId="52202" xr:uid="{00000000-0005-0000-0000-0000E3CB0000}"/>
    <cellStyle name="Normal 37 4 2 2 4 2" xfId="52203" xr:uid="{00000000-0005-0000-0000-0000E4CB0000}"/>
    <cellStyle name="Normal 37 4 2 2 4 3" xfId="52204" xr:uid="{00000000-0005-0000-0000-0000E5CB0000}"/>
    <cellStyle name="Normal 37 4 2 2 5" xfId="52205" xr:uid="{00000000-0005-0000-0000-0000E6CB0000}"/>
    <cellStyle name="Normal 37 4 2 2 5 2" xfId="52206" xr:uid="{00000000-0005-0000-0000-0000E7CB0000}"/>
    <cellStyle name="Normal 37 4 2 2 5 3" xfId="52207" xr:uid="{00000000-0005-0000-0000-0000E8CB0000}"/>
    <cellStyle name="Normal 37 4 2 2 6" xfId="52208" xr:uid="{00000000-0005-0000-0000-0000E9CB0000}"/>
    <cellStyle name="Normal 37 4 2 2 6 2" xfId="52209" xr:uid="{00000000-0005-0000-0000-0000EACB0000}"/>
    <cellStyle name="Normal 37 4 2 2 6 3" xfId="52210" xr:uid="{00000000-0005-0000-0000-0000EBCB0000}"/>
    <cellStyle name="Normal 37 4 2 2 7" xfId="52211" xr:uid="{00000000-0005-0000-0000-0000ECCB0000}"/>
    <cellStyle name="Normal 37 4 2 2 7 2" xfId="52212" xr:uid="{00000000-0005-0000-0000-0000EDCB0000}"/>
    <cellStyle name="Normal 37 4 2 2 7 3" xfId="52213" xr:uid="{00000000-0005-0000-0000-0000EECB0000}"/>
    <cellStyle name="Normal 37 4 2 2 8" xfId="52214" xr:uid="{00000000-0005-0000-0000-0000EFCB0000}"/>
    <cellStyle name="Normal 37 4 2 2 8 2" xfId="52215" xr:uid="{00000000-0005-0000-0000-0000F0CB0000}"/>
    <cellStyle name="Normal 37 4 2 2 8 3" xfId="52216" xr:uid="{00000000-0005-0000-0000-0000F1CB0000}"/>
    <cellStyle name="Normal 37 4 2 2 9" xfId="52217" xr:uid="{00000000-0005-0000-0000-0000F2CB0000}"/>
    <cellStyle name="Normal 37 4 2 2 9 2" xfId="52218" xr:uid="{00000000-0005-0000-0000-0000F3CB0000}"/>
    <cellStyle name="Normal 37 4 2 2 9 3" xfId="52219" xr:uid="{00000000-0005-0000-0000-0000F4CB0000}"/>
    <cellStyle name="Normal 37 4 2 3" xfId="52220" xr:uid="{00000000-0005-0000-0000-0000F5CB0000}"/>
    <cellStyle name="Normal 37 4 2 3 2" xfId="52221" xr:uid="{00000000-0005-0000-0000-0000F6CB0000}"/>
    <cellStyle name="Normal 37 4 2 3 3" xfId="52222" xr:uid="{00000000-0005-0000-0000-0000F7CB0000}"/>
    <cellStyle name="Normal 37 4 2 4" xfId="52223" xr:uid="{00000000-0005-0000-0000-0000F8CB0000}"/>
    <cellStyle name="Normal 37 4 2 4 2" xfId="52224" xr:uid="{00000000-0005-0000-0000-0000F9CB0000}"/>
    <cellStyle name="Normal 37 4 2 4 3" xfId="52225" xr:uid="{00000000-0005-0000-0000-0000FACB0000}"/>
    <cellStyle name="Normal 37 4 2 5" xfId="52226" xr:uid="{00000000-0005-0000-0000-0000FBCB0000}"/>
    <cellStyle name="Normal 37 4 2 5 2" xfId="52227" xr:uid="{00000000-0005-0000-0000-0000FCCB0000}"/>
    <cellStyle name="Normal 37 4 2 5 3" xfId="52228" xr:uid="{00000000-0005-0000-0000-0000FDCB0000}"/>
    <cellStyle name="Normal 37 4 2 6" xfId="52229" xr:uid="{00000000-0005-0000-0000-0000FECB0000}"/>
    <cellStyle name="Normal 37 4 2 6 2" xfId="52230" xr:uid="{00000000-0005-0000-0000-0000FFCB0000}"/>
    <cellStyle name="Normal 37 4 2 6 3" xfId="52231" xr:uid="{00000000-0005-0000-0000-000000CC0000}"/>
    <cellStyle name="Normal 37 4 2 7" xfId="52232" xr:uid="{00000000-0005-0000-0000-000001CC0000}"/>
    <cellStyle name="Normal 37 4 2 7 2" xfId="52233" xr:uid="{00000000-0005-0000-0000-000002CC0000}"/>
    <cellStyle name="Normal 37 4 2 7 3" xfId="52234" xr:uid="{00000000-0005-0000-0000-000003CC0000}"/>
    <cellStyle name="Normal 37 4 2 8" xfId="52235" xr:uid="{00000000-0005-0000-0000-000004CC0000}"/>
    <cellStyle name="Normal 37 4 2 8 2" xfId="52236" xr:uid="{00000000-0005-0000-0000-000005CC0000}"/>
    <cellStyle name="Normal 37 4 2 8 3" xfId="52237" xr:uid="{00000000-0005-0000-0000-000006CC0000}"/>
    <cellStyle name="Normal 37 4 2 9" xfId="52238" xr:uid="{00000000-0005-0000-0000-000007CC0000}"/>
    <cellStyle name="Normal 37 4 2 9 2" xfId="52239" xr:uid="{00000000-0005-0000-0000-000008CC0000}"/>
    <cellStyle name="Normal 37 4 2 9 3" xfId="52240" xr:uid="{00000000-0005-0000-0000-000009CC0000}"/>
    <cellStyle name="Normal 37 4 20" xfId="52241" xr:uid="{00000000-0005-0000-0000-00000ACC0000}"/>
    <cellStyle name="Normal 37 4 20 2" xfId="52242" xr:uid="{00000000-0005-0000-0000-00000BCC0000}"/>
    <cellStyle name="Normal 37 4 20 3" xfId="52243" xr:uid="{00000000-0005-0000-0000-00000CCC0000}"/>
    <cellStyle name="Normal 37 4 21" xfId="52244" xr:uid="{00000000-0005-0000-0000-00000DCC0000}"/>
    <cellStyle name="Normal 37 4 21 2" xfId="52245" xr:uid="{00000000-0005-0000-0000-00000ECC0000}"/>
    <cellStyle name="Normal 37 4 21 3" xfId="52246" xr:uid="{00000000-0005-0000-0000-00000FCC0000}"/>
    <cellStyle name="Normal 37 4 22" xfId="52247" xr:uid="{00000000-0005-0000-0000-000010CC0000}"/>
    <cellStyle name="Normal 37 4 22 2" xfId="52248" xr:uid="{00000000-0005-0000-0000-000011CC0000}"/>
    <cellStyle name="Normal 37 4 22 3" xfId="52249" xr:uid="{00000000-0005-0000-0000-000012CC0000}"/>
    <cellStyle name="Normal 37 4 23" xfId="52250" xr:uid="{00000000-0005-0000-0000-000013CC0000}"/>
    <cellStyle name="Normal 37 4 23 2" xfId="52251" xr:uid="{00000000-0005-0000-0000-000014CC0000}"/>
    <cellStyle name="Normal 37 4 23 3" xfId="52252" xr:uid="{00000000-0005-0000-0000-000015CC0000}"/>
    <cellStyle name="Normal 37 4 24" xfId="52253" xr:uid="{00000000-0005-0000-0000-000016CC0000}"/>
    <cellStyle name="Normal 37 4 24 2" xfId="52254" xr:uid="{00000000-0005-0000-0000-000017CC0000}"/>
    <cellStyle name="Normal 37 4 24 3" xfId="52255" xr:uid="{00000000-0005-0000-0000-000018CC0000}"/>
    <cellStyle name="Normal 37 4 25" xfId="52256" xr:uid="{00000000-0005-0000-0000-000019CC0000}"/>
    <cellStyle name="Normal 37 4 25 2" xfId="52257" xr:uid="{00000000-0005-0000-0000-00001ACC0000}"/>
    <cellStyle name="Normal 37 4 25 3" xfId="52258" xr:uid="{00000000-0005-0000-0000-00001BCC0000}"/>
    <cellStyle name="Normal 37 4 26" xfId="52259" xr:uid="{00000000-0005-0000-0000-00001CCC0000}"/>
    <cellStyle name="Normal 37 4 26 2" xfId="52260" xr:uid="{00000000-0005-0000-0000-00001DCC0000}"/>
    <cellStyle name="Normal 37 4 26 3" xfId="52261" xr:uid="{00000000-0005-0000-0000-00001ECC0000}"/>
    <cellStyle name="Normal 37 4 27" xfId="52262" xr:uid="{00000000-0005-0000-0000-00001FCC0000}"/>
    <cellStyle name="Normal 37 4 27 2" xfId="52263" xr:uid="{00000000-0005-0000-0000-000020CC0000}"/>
    <cellStyle name="Normal 37 4 27 3" xfId="52264" xr:uid="{00000000-0005-0000-0000-000021CC0000}"/>
    <cellStyle name="Normal 37 4 28" xfId="52265" xr:uid="{00000000-0005-0000-0000-000022CC0000}"/>
    <cellStyle name="Normal 37 4 28 2" xfId="52266" xr:uid="{00000000-0005-0000-0000-000023CC0000}"/>
    <cellStyle name="Normal 37 4 28 3" xfId="52267" xr:uid="{00000000-0005-0000-0000-000024CC0000}"/>
    <cellStyle name="Normal 37 4 29" xfId="52268" xr:uid="{00000000-0005-0000-0000-000025CC0000}"/>
    <cellStyle name="Normal 37 4 3" xfId="52269" xr:uid="{00000000-0005-0000-0000-000026CC0000}"/>
    <cellStyle name="Normal 37 4 3 10" xfId="52270" xr:uid="{00000000-0005-0000-0000-000027CC0000}"/>
    <cellStyle name="Normal 37 4 3 10 2" xfId="52271" xr:uid="{00000000-0005-0000-0000-000028CC0000}"/>
    <cellStyle name="Normal 37 4 3 10 3" xfId="52272" xr:uid="{00000000-0005-0000-0000-000029CC0000}"/>
    <cellStyle name="Normal 37 4 3 11" xfId="52273" xr:uid="{00000000-0005-0000-0000-00002ACC0000}"/>
    <cellStyle name="Normal 37 4 3 11 2" xfId="52274" xr:uid="{00000000-0005-0000-0000-00002BCC0000}"/>
    <cellStyle name="Normal 37 4 3 11 3" xfId="52275" xr:uid="{00000000-0005-0000-0000-00002CCC0000}"/>
    <cellStyle name="Normal 37 4 3 12" xfId="52276" xr:uid="{00000000-0005-0000-0000-00002DCC0000}"/>
    <cellStyle name="Normal 37 4 3 12 2" xfId="52277" xr:uid="{00000000-0005-0000-0000-00002ECC0000}"/>
    <cellStyle name="Normal 37 4 3 12 3" xfId="52278" xr:uid="{00000000-0005-0000-0000-00002FCC0000}"/>
    <cellStyle name="Normal 37 4 3 13" xfId="52279" xr:uid="{00000000-0005-0000-0000-000030CC0000}"/>
    <cellStyle name="Normal 37 4 3 13 2" xfId="52280" xr:uid="{00000000-0005-0000-0000-000031CC0000}"/>
    <cellStyle name="Normal 37 4 3 13 3" xfId="52281" xr:uid="{00000000-0005-0000-0000-000032CC0000}"/>
    <cellStyle name="Normal 37 4 3 14" xfId="52282" xr:uid="{00000000-0005-0000-0000-000033CC0000}"/>
    <cellStyle name="Normal 37 4 3 14 2" xfId="52283" xr:uid="{00000000-0005-0000-0000-000034CC0000}"/>
    <cellStyle name="Normal 37 4 3 14 3" xfId="52284" xr:uid="{00000000-0005-0000-0000-000035CC0000}"/>
    <cellStyle name="Normal 37 4 3 15" xfId="52285" xr:uid="{00000000-0005-0000-0000-000036CC0000}"/>
    <cellStyle name="Normal 37 4 3 15 2" xfId="52286" xr:uid="{00000000-0005-0000-0000-000037CC0000}"/>
    <cellStyle name="Normal 37 4 3 15 3" xfId="52287" xr:uid="{00000000-0005-0000-0000-000038CC0000}"/>
    <cellStyle name="Normal 37 4 3 16" xfId="52288" xr:uid="{00000000-0005-0000-0000-000039CC0000}"/>
    <cellStyle name="Normal 37 4 3 17" xfId="52289" xr:uid="{00000000-0005-0000-0000-00003ACC0000}"/>
    <cellStyle name="Normal 37 4 3 2" xfId="52290" xr:uid="{00000000-0005-0000-0000-00003BCC0000}"/>
    <cellStyle name="Normal 37 4 3 2 10" xfId="52291" xr:uid="{00000000-0005-0000-0000-00003CCC0000}"/>
    <cellStyle name="Normal 37 4 3 2 10 2" xfId="52292" xr:uid="{00000000-0005-0000-0000-00003DCC0000}"/>
    <cellStyle name="Normal 37 4 3 2 10 3" xfId="52293" xr:uid="{00000000-0005-0000-0000-00003ECC0000}"/>
    <cellStyle name="Normal 37 4 3 2 11" xfId="52294" xr:uid="{00000000-0005-0000-0000-00003FCC0000}"/>
    <cellStyle name="Normal 37 4 3 2 11 2" xfId="52295" xr:uid="{00000000-0005-0000-0000-000040CC0000}"/>
    <cellStyle name="Normal 37 4 3 2 11 3" xfId="52296" xr:uid="{00000000-0005-0000-0000-000041CC0000}"/>
    <cellStyle name="Normal 37 4 3 2 12" xfId="52297" xr:uid="{00000000-0005-0000-0000-000042CC0000}"/>
    <cellStyle name="Normal 37 4 3 2 12 2" xfId="52298" xr:uid="{00000000-0005-0000-0000-000043CC0000}"/>
    <cellStyle name="Normal 37 4 3 2 12 3" xfId="52299" xr:uid="{00000000-0005-0000-0000-000044CC0000}"/>
    <cellStyle name="Normal 37 4 3 2 13" xfId="52300" xr:uid="{00000000-0005-0000-0000-000045CC0000}"/>
    <cellStyle name="Normal 37 4 3 2 13 2" xfId="52301" xr:uid="{00000000-0005-0000-0000-000046CC0000}"/>
    <cellStyle name="Normal 37 4 3 2 13 3" xfId="52302" xr:uid="{00000000-0005-0000-0000-000047CC0000}"/>
    <cellStyle name="Normal 37 4 3 2 14" xfId="52303" xr:uid="{00000000-0005-0000-0000-000048CC0000}"/>
    <cellStyle name="Normal 37 4 3 2 14 2" xfId="52304" xr:uid="{00000000-0005-0000-0000-000049CC0000}"/>
    <cellStyle name="Normal 37 4 3 2 14 3" xfId="52305" xr:uid="{00000000-0005-0000-0000-00004ACC0000}"/>
    <cellStyle name="Normal 37 4 3 2 15" xfId="52306" xr:uid="{00000000-0005-0000-0000-00004BCC0000}"/>
    <cellStyle name="Normal 37 4 3 2 16" xfId="52307" xr:uid="{00000000-0005-0000-0000-00004CCC0000}"/>
    <cellStyle name="Normal 37 4 3 2 2" xfId="52308" xr:uid="{00000000-0005-0000-0000-00004DCC0000}"/>
    <cellStyle name="Normal 37 4 3 2 2 2" xfId="52309" xr:uid="{00000000-0005-0000-0000-00004ECC0000}"/>
    <cellStyle name="Normal 37 4 3 2 2 3" xfId="52310" xr:uid="{00000000-0005-0000-0000-00004FCC0000}"/>
    <cellStyle name="Normal 37 4 3 2 3" xfId="52311" xr:uid="{00000000-0005-0000-0000-000050CC0000}"/>
    <cellStyle name="Normal 37 4 3 2 3 2" xfId="52312" xr:uid="{00000000-0005-0000-0000-000051CC0000}"/>
    <cellStyle name="Normal 37 4 3 2 3 3" xfId="52313" xr:uid="{00000000-0005-0000-0000-000052CC0000}"/>
    <cellStyle name="Normal 37 4 3 2 4" xfId="52314" xr:uid="{00000000-0005-0000-0000-000053CC0000}"/>
    <cellStyle name="Normal 37 4 3 2 4 2" xfId="52315" xr:uid="{00000000-0005-0000-0000-000054CC0000}"/>
    <cellStyle name="Normal 37 4 3 2 4 3" xfId="52316" xr:uid="{00000000-0005-0000-0000-000055CC0000}"/>
    <cellStyle name="Normal 37 4 3 2 5" xfId="52317" xr:uid="{00000000-0005-0000-0000-000056CC0000}"/>
    <cellStyle name="Normal 37 4 3 2 5 2" xfId="52318" xr:uid="{00000000-0005-0000-0000-000057CC0000}"/>
    <cellStyle name="Normal 37 4 3 2 5 3" xfId="52319" xr:uid="{00000000-0005-0000-0000-000058CC0000}"/>
    <cellStyle name="Normal 37 4 3 2 6" xfId="52320" xr:uid="{00000000-0005-0000-0000-000059CC0000}"/>
    <cellStyle name="Normal 37 4 3 2 6 2" xfId="52321" xr:uid="{00000000-0005-0000-0000-00005ACC0000}"/>
    <cellStyle name="Normal 37 4 3 2 6 3" xfId="52322" xr:uid="{00000000-0005-0000-0000-00005BCC0000}"/>
    <cellStyle name="Normal 37 4 3 2 7" xfId="52323" xr:uid="{00000000-0005-0000-0000-00005CCC0000}"/>
    <cellStyle name="Normal 37 4 3 2 7 2" xfId="52324" xr:uid="{00000000-0005-0000-0000-00005DCC0000}"/>
    <cellStyle name="Normal 37 4 3 2 7 3" xfId="52325" xr:uid="{00000000-0005-0000-0000-00005ECC0000}"/>
    <cellStyle name="Normal 37 4 3 2 8" xfId="52326" xr:uid="{00000000-0005-0000-0000-00005FCC0000}"/>
    <cellStyle name="Normal 37 4 3 2 8 2" xfId="52327" xr:uid="{00000000-0005-0000-0000-000060CC0000}"/>
    <cellStyle name="Normal 37 4 3 2 8 3" xfId="52328" xr:uid="{00000000-0005-0000-0000-000061CC0000}"/>
    <cellStyle name="Normal 37 4 3 2 9" xfId="52329" xr:uid="{00000000-0005-0000-0000-000062CC0000}"/>
    <cellStyle name="Normal 37 4 3 2 9 2" xfId="52330" xr:uid="{00000000-0005-0000-0000-000063CC0000}"/>
    <cellStyle name="Normal 37 4 3 2 9 3" xfId="52331" xr:uid="{00000000-0005-0000-0000-000064CC0000}"/>
    <cellStyle name="Normal 37 4 3 3" xfId="52332" xr:uid="{00000000-0005-0000-0000-000065CC0000}"/>
    <cellStyle name="Normal 37 4 3 3 2" xfId="52333" xr:uid="{00000000-0005-0000-0000-000066CC0000}"/>
    <cellStyle name="Normal 37 4 3 3 3" xfId="52334" xr:uid="{00000000-0005-0000-0000-000067CC0000}"/>
    <cellStyle name="Normal 37 4 3 4" xfId="52335" xr:uid="{00000000-0005-0000-0000-000068CC0000}"/>
    <cellStyle name="Normal 37 4 3 4 2" xfId="52336" xr:uid="{00000000-0005-0000-0000-000069CC0000}"/>
    <cellStyle name="Normal 37 4 3 4 3" xfId="52337" xr:uid="{00000000-0005-0000-0000-00006ACC0000}"/>
    <cellStyle name="Normal 37 4 3 5" xfId="52338" xr:uid="{00000000-0005-0000-0000-00006BCC0000}"/>
    <cellStyle name="Normal 37 4 3 5 2" xfId="52339" xr:uid="{00000000-0005-0000-0000-00006CCC0000}"/>
    <cellStyle name="Normal 37 4 3 5 3" xfId="52340" xr:uid="{00000000-0005-0000-0000-00006DCC0000}"/>
    <cellStyle name="Normal 37 4 3 6" xfId="52341" xr:uid="{00000000-0005-0000-0000-00006ECC0000}"/>
    <cellStyle name="Normal 37 4 3 6 2" xfId="52342" xr:uid="{00000000-0005-0000-0000-00006FCC0000}"/>
    <cellStyle name="Normal 37 4 3 6 3" xfId="52343" xr:uid="{00000000-0005-0000-0000-000070CC0000}"/>
    <cellStyle name="Normal 37 4 3 7" xfId="52344" xr:uid="{00000000-0005-0000-0000-000071CC0000}"/>
    <cellStyle name="Normal 37 4 3 7 2" xfId="52345" xr:uid="{00000000-0005-0000-0000-000072CC0000}"/>
    <cellStyle name="Normal 37 4 3 7 3" xfId="52346" xr:uid="{00000000-0005-0000-0000-000073CC0000}"/>
    <cellStyle name="Normal 37 4 3 8" xfId="52347" xr:uid="{00000000-0005-0000-0000-000074CC0000}"/>
    <cellStyle name="Normal 37 4 3 8 2" xfId="52348" xr:uid="{00000000-0005-0000-0000-000075CC0000}"/>
    <cellStyle name="Normal 37 4 3 8 3" xfId="52349" xr:uid="{00000000-0005-0000-0000-000076CC0000}"/>
    <cellStyle name="Normal 37 4 3 9" xfId="52350" xr:uid="{00000000-0005-0000-0000-000077CC0000}"/>
    <cellStyle name="Normal 37 4 3 9 2" xfId="52351" xr:uid="{00000000-0005-0000-0000-000078CC0000}"/>
    <cellStyle name="Normal 37 4 3 9 3" xfId="52352" xr:uid="{00000000-0005-0000-0000-000079CC0000}"/>
    <cellStyle name="Normal 37 4 30" xfId="52353" xr:uid="{00000000-0005-0000-0000-00007ACC0000}"/>
    <cellStyle name="Normal 37 4 31" xfId="52354" xr:uid="{00000000-0005-0000-0000-00007BCC0000}"/>
    <cellStyle name="Normal 37 4 32" xfId="52355" xr:uid="{00000000-0005-0000-0000-00007CCC0000}"/>
    <cellStyle name="Normal 37 4 33" xfId="52356" xr:uid="{00000000-0005-0000-0000-00007DCC0000}"/>
    <cellStyle name="Normal 37 4 34" xfId="52357" xr:uid="{00000000-0005-0000-0000-00007ECC0000}"/>
    <cellStyle name="Normal 37 4 35" xfId="52358" xr:uid="{00000000-0005-0000-0000-00007FCC0000}"/>
    <cellStyle name="Normal 37 4 36" xfId="52359" xr:uid="{00000000-0005-0000-0000-000080CC0000}"/>
    <cellStyle name="Normal 37 4 37" xfId="52360" xr:uid="{00000000-0005-0000-0000-000081CC0000}"/>
    <cellStyle name="Normal 37 4 38" xfId="52361" xr:uid="{00000000-0005-0000-0000-000082CC0000}"/>
    <cellStyle name="Normal 37 4 39" xfId="52362" xr:uid="{00000000-0005-0000-0000-000083CC0000}"/>
    <cellStyle name="Normal 37 4 4" xfId="52363" xr:uid="{00000000-0005-0000-0000-000084CC0000}"/>
    <cellStyle name="Normal 37 4 4 10" xfId="52364" xr:uid="{00000000-0005-0000-0000-000085CC0000}"/>
    <cellStyle name="Normal 37 4 4 10 2" xfId="52365" xr:uid="{00000000-0005-0000-0000-000086CC0000}"/>
    <cellStyle name="Normal 37 4 4 10 3" xfId="52366" xr:uid="{00000000-0005-0000-0000-000087CC0000}"/>
    <cellStyle name="Normal 37 4 4 11" xfId="52367" xr:uid="{00000000-0005-0000-0000-000088CC0000}"/>
    <cellStyle name="Normal 37 4 4 11 2" xfId="52368" xr:uid="{00000000-0005-0000-0000-000089CC0000}"/>
    <cellStyle name="Normal 37 4 4 11 3" xfId="52369" xr:uid="{00000000-0005-0000-0000-00008ACC0000}"/>
    <cellStyle name="Normal 37 4 4 12" xfId="52370" xr:uid="{00000000-0005-0000-0000-00008BCC0000}"/>
    <cellStyle name="Normal 37 4 4 12 2" xfId="52371" xr:uid="{00000000-0005-0000-0000-00008CCC0000}"/>
    <cellStyle name="Normal 37 4 4 12 3" xfId="52372" xr:uid="{00000000-0005-0000-0000-00008DCC0000}"/>
    <cellStyle name="Normal 37 4 4 13" xfId="52373" xr:uid="{00000000-0005-0000-0000-00008ECC0000}"/>
    <cellStyle name="Normal 37 4 4 13 2" xfId="52374" xr:uid="{00000000-0005-0000-0000-00008FCC0000}"/>
    <cellStyle name="Normal 37 4 4 13 3" xfId="52375" xr:uid="{00000000-0005-0000-0000-000090CC0000}"/>
    <cellStyle name="Normal 37 4 4 14" xfId="52376" xr:uid="{00000000-0005-0000-0000-000091CC0000}"/>
    <cellStyle name="Normal 37 4 4 14 2" xfId="52377" xr:uid="{00000000-0005-0000-0000-000092CC0000}"/>
    <cellStyle name="Normal 37 4 4 14 3" xfId="52378" xr:uid="{00000000-0005-0000-0000-000093CC0000}"/>
    <cellStyle name="Normal 37 4 4 15" xfId="52379" xr:uid="{00000000-0005-0000-0000-000094CC0000}"/>
    <cellStyle name="Normal 37 4 4 15 2" xfId="52380" xr:uid="{00000000-0005-0000-0000-000095CC0000}"/>
    <cellStyle name="Normal 37 4 4 15 3" xfId="52381" xr:uid="{00000000-0005-0000-0000-000096CC0000}"/>
    <cellStyle name="Normal 37 4 4 16" xfId="52382" xr:uid="{00000000-0005-0000-0000-000097CC0000}"/>
    <cellStyle name="Normal 37 4 4 17" xfId="52383" xr:uid="{00000000-0005-0000-0000-000098CC0000}"/>
    <cellStyle name="Normal 37 4 4 2" xfId="52384" xr:uid="{00000000-0005-0000-0000-000099CC0000}"/>
    <cellStyle name="Normal 37 4 4 2 10" xfId="52385" xr:uid="{00000000-0005-0000-0000-00009ACC0000}"/>
    <cellStyle name="Normal 37 4 4 2 10 2" xfId="52386" xr:uid="{00000000-0005-0000-0000-00009BCC0000}"/>
    <cellStyle name="Normal 37 4 4 2 10 3" xfId="52387" xr:uid="{00000000-0005-0000-0000-00009CCC0000}"/>
    <cellStyle name="Normal 37 4 4 2 11" xfId="52388" xr:uid="{00000000-0005-0000-0000-00009DCC0000}"/>
    <cellStyle name="Normal 37 4 4 2 11 2" xfId="52389" xr:uid="{00000000-0005-0000-0000-00009ECC0000}"/>
    <cellStyle name="Normal 37 4 4 2 11 3" xfId="52390" xr:uid="{00000000-0005-0000-0000-00009FCC0000}"/>
    <cellStyle name="Normal 37 4 4 2 12" xfId="52391" xr:uid="{00000000-0005-0000-0000-0000A0CC0000}"/>
    <cellStyle name="Normal 37 4 4 2 12 2" xfId="52392" xr:uid="{00000000-0005-0000-0000-0000A1CC0000}"/>
    <cellStyle name="Normal 37 4 4 2 12 3" xfId="52393" xr:uid="{00000000-0005-0000-0000-0000A2CC0000}"/>
    <cellStyle name="Normal 37 4 4 2 13" xfId="52394" xr:uid="{00000000-0005-0000-0000-0000A3CC0000}"/>
    <cellStyle name="Normal 37 4 4 2 13 2" xfId="52395" xr:uid="{00000000-0005-0000-0000-0000A4CC0000}"/>
    <cellStyle name="Normal 37 4 4 2 13 3" xfId="52396" xr:uid="{00000000-0005-0000-0000-0000A5CC0000}"/>
    <cellStyle name="Normal 37 4 4 2 14" xfId="52397" xr:uid="{00000000-0005-0000-0000-0000A6CC0000}"/>
    <cellStyle name="Normal 37 4 4 2 14 2" xfId="52398" xr:uid="{00000000-0005-0000-0000-0000A7CC0000}"/>
    <cellStyle name="Normal 37 4 4 2 14 3" xfId="52399" xr:uid="{00000000-0005-0000-0000-0000A8CC0000}"/>
    <cellStyle name="Normal 37 4 4 2 15" xfId="52400" xr:uid="{00000000-0005-0000-0000-0000A9CC0000}"/>
    <cellStyle name="Normal 37 4 4 2 16" xfId="52401" xr:uid="{00000000-0005-0000-0000-0000AACC0000}"/>
    <cellStyle name="Normal 37 4 4 2 2" xfId="52402" xr:uid="{00000000-0005-0000-0000-0000ABCC0000}"/>
    <cellStyle name="Normal 37 4 4 2 2 2" xfId="52403" xr:uid="{00000000-0005-0000-0000-0000ACCC0000}"/>
    <cellStyle name="Normal 37 4 4 2 2 3" xfId="52404" xr:uid="{00000000-0005-0000-0000-0000ADCC0000}"/>
    <cellStyle name="Normal 37 4 4 2 3" xfId="52405" xr:uid="{00000000-0005-0000-0000-0000AECC0000}"/>
    <cellStyle name="Normal 37 4 4 2 3 2" xfId="52406" xr:uid="{00000000-0005-0000-0000-0000AFCC0000}"/>
    <cellStyle name="Normal 37 4 4 2 3 3" xfId="52407" xr:uid="{00000000-0005-0000-0000-0000B0CC0000}"/>
    <cellStyle name="Normal 37 4 4 2 4" xfId="52408" xr:uid="{00000000-0005-0000-0000-0000B1CC0000}"/>
    <cellStyle name="Normal 37 4 4 2 4 2" xfId="52409" xr:uid="{00000000-0005-0000-0000-0000B2CC0000}"/>
    <cellStyle name="Normal 37 4 4 2 4 3" xfId="52410" xr:uid="{00000000-0005-0000-0000-0000B3CC0000}"/>
    <cellStyle name="Normal 37 4 4 2 5" xfId="52411" xr:uid="{00000000-0005-0000-0000-0000B4CC0000}"/>
    <cellStyle name="Normal 37 4 4 2 5 2" xfId="52412" xr:uid="{00000000-0005-0000-0000-0000B5CC0000}"/>
    <cellStyle name="Normal 37 4 4 2 5 3" xfId="52413" xr:uid="{00000000-0005-0000-0000-0000B6CC0000}"/>
    <cellStyle name="Normal 37 4 4 2 6" xfId="52414" xr:uid="{00000000-0005-0000-0000-0000B7CC0000}"/>
    <cellStyle name="Normal 37 4 4 2 6 2" xfId="52415" xr:uid="{00000000-0005-0000-0000-0000B8CC0000}"/>
    <cellStyle name="Normal 37 4 4 2 6 3" xfId="52416" xr:uid="{00000000-0005-0000-0000-0000B9CC0000}"/>
    <cellStyle name="Normal 37 4 4 2 7" xfId="52417" xr:uid="{00000000-0005-0000-0000-0000BACC0000}"/>
    <cellStyle name="Normal 37 4 4 2 7 2" xfId="52418" xr:uid="{00000000-0005-0000-0000-0000BBCC0000}"/>
    <cellStyle name="Normal 37 4 4 2 7 3" xfId="52419" xr:uid="{00000000-0005-0000-0000-0000BCCC0000}"/>
    <cellStyle name="Normal 37 4 4 2 8" xfId="52420" xr:uid="{00000000-0005-0000-0000-0000BDCC0000}"/>
    <cellStyle name="Normal 37 4 4 2 8 2" xfId="52421" xr:uid="{00000000-0005-0000-0000-0000BECC0000}"/>
    <cellStyle name="Normal 37 4 4 2 8 3" xfId="52422" xr:uid="{00000000-0005-0000-0000-0000BFCC0000}"/>
    <cellStyle name="Normal 37 4 4 2 9" xfId="52423" xr:uid="{00000000-0005-0000-0000-0000C0CC0000}"/>
    <cellStyle name="Normal 37 4 4 2 9 2" xfId="52424" xr:uid="{00000000-0005-0000-0000-0000C1CC0000}"/>
    <cellStyle name="Normal 37 4 4 2 9 3" xfId="52425" xr:uid="{00000000-0005-0000-0000-0000C2CC0000}"/>
    <cellStyle name="Normal 37 4 4 3" xfId="52426" xr:uid="{00000000-0005-0000-0000-0000C3CC0000}"/>
    <cellStyle name="Normal 37 4 4 3 2" xfId="52427" xr:uid="{00000000-0005-0000-0000-0000C4CC0000}"/>
    <cellStyle name="Normal 37 4 4 3 3" xfId="52428" xr:uid="{00000000-0005-0000-0000-0000C5CC0000}"/>
    <cellStyle name="Normal 37 4 4 4" xfId="52429" xr:uid="{00000000-0005-0000-0000-0000C6CC0000}"/>
    <cellStyle name="Normal 37 4 4 4 2" xfId="52430" xr:uid="{00000000-0005-0000-0000-0000C7CC0000}"/>
    <cellStyle name="Normal 37 4 4 4 3" xfId="52431" xr:uid="{00000000-0005-0000-0000-0000C8CC0000}"/>
    <cellStyle name="Normal 37 4 4 5" xfId="52432" xr:uid="{00000000-0005-0000-0000-0000C9CC0000}"/>
    <cellStyle name="Normal 37 4 4 5 2" xfId="52433" xr:uid="{00000000-0005-0000-0000-0000CACC0000}"/>
    <cellStyle name="Normal 37 4 4 5 3" xfId="52434" xr:uid="{00000000-0005-0000-0000-0000CBCC0000}"/>
    <cellStyle name="Normal 37 4 4 6" xfId="52435" xr:uid="{00000000-0005-0000-0000-0000CCCC0000}"/>
    <cellStyle name="Normal 37 4 4 6 2" xfId="52436" xr:uid="{00000000-0005-0000-0000-0000CDCC0000}"/>
    <cellStyle name="Normal 37 4 4 6 3" xfId="52437" xr:uid="{00000000-0005-0000-0000-0000CECC0000}"/>
    <cellStyle name="Normal 37 4 4 7" xfId="52438" xr:uid="{00000000-0005-0000-0000-0000CFCC0000}"/>
    <cellStyle name="Normal 37 4 4 7 2" xfId="52439" xr:uid="{00000000-0005-0000-0000-0000D0CC0000}"/>
    <cellStyle name="Normal 37 4 4 7 3" xfId="52440" xr:uid="{00000000-0005-0000-0000-0000D1CC0000}"/>
    <cellStyle name="Normal 37 4 4 8" xfId="52441" xr:uid="{00000000-0005-0000-0000-0000D2CC0000}"/>
    <cellStyle name="Normal 37 4 4 8 2" xfId="52442" xr:uid="{00000000-0005-0000-0000-0000D3CC0000}"/>
    <cellStyle name="Normal 37 4 4 8 3" xfId="52443" xr:uid="{00000000-0005-0000-0000-0000D4CC0000}"/>
    <cellStyle name="Normal 37 4 4 9" xfId="52444" xr:uid="{00000000-0005-0000-0000-0000D5CC0000}"/>
    <cellStyle name="Normal 37 4 4 9 2" xfId="52445" xr:uid="{00000000-0005-0000-0000-0000D6CC0000}"/>
    <cellStyle name="Normal 37 4 4 9 3" xfId="52446" xr:uid="{00000000-0005-0000-0000-0000D7CC0000}"/>
    <cellStyle name="Normal 37 4 40" xfId="52447" xr:uid="{00000000-0005-0000-0000-0000D8CC0000}"/>
    <cellStyle name="Normal 37 4 41" xfId="52448" xr:uid="{00000000-0005-0000-0000-0000D9CC0000}"/>
    <cellStyle name="Normal 37 4 5" xfId="52449" xr:uid="{00000000-0005-0000-0000-0000DACC0000}"/>
    <cellStyle name="Normal 37 4 5 10" xfId="52450" xr:uid="{00000000-0005-0000-0000-0000DBCC0000}"/>
    <cellStyle name="Normal 37 4 5 10 2" xfId="52451" xr:uid="{00000000-0005-0000-0000-0000DCCC0000}"/>
    <cellStyle name="Normal 37 4 5 10 3" xfId="52452" xr:uid="{00000000-0005-0000-0000-0000DDCC0000}"/>
    <cellStyle name="Normal 37 4 5 11" xfId="52453" xr:uid="{00000000-0005-0000-0000-0000DECC0000}"/>
    <cellStyle name="Normal 37 4 5 11 2" xfId="52454" xr:uid="{00000000-0005-0000-0000-0000DFCC0000}"/>
    <cellStyle name="Normal 37 4 5 11 3" xfId="52455" xr:uid="{00000000-0005-0000-0000-0000E0CC0000}"/>
    <cellStyle name="Normal 37 4 5 12" xfId="52456" xr:uid="{00000000-0005-0000-0000-0000E1CC0000}"/>
    <cellStyle name="Normal 37 4 5 12 2" xfId="52457" xr:uid="{00000000-0005-0000-0000-0000E2CC0000}"/>
    <cellStyle name="Normal 37 4 5 12 3" xfId="52458" xr:uid="{00000000-0005-0000-0000-0000E3CC0000}"/>
    <cellStyle name="Normal 37 4 5 13" xfId="52459" xr:uid="{00000000-0005-0000-0000-0000E4CC0000}"/>
    <cellStyle name="Normal 37 4 5 13 2" xfId="52460" xr:uid="{00000000-0005-0000-0000-0000E5CC0000}"/>
    <cellStyle name="Normal 37 4 5 13 3" xfId="52461" xr:uid="{00000000-0005-0000-0000-0000E6CC0000}"/>
    <cellStyle name="Normal 37 4 5 14" xfId="52462" xr:uid="{00000000-0005-0000-0000-0000E7CC0000}"/>
    <cellStyle name="Normal 37 4 5 14 2" xfId="52463" xr:uid="{00000000-0005-0000-0000-0000E8CC0000}"/>
    <cellStyle name="Normal 37 4 5 14 3" xfId="52464" xr:uid="{00000000-0005-0000-0000-0000E9CC0000}"/>
    <cellStyle name="Normal 37 4 5 15" xfId="52465" xr:uid="{00000000-0005-0000-0000-0000EACC0000}"/>
    <cellStyle name="Normal 37 4 5 16" xfId="52466" xr:uid="{00000000-0005-0000-0000-0000EBCC0000}"/>
    <cellStyle name="Normal 37 4 5 2" xfId="52467" xr:uid="{00000000-0005-0000-0000-0000ECCC0000}"/>
    <cellStyle name="Normal 37 4 5 2 2" xfId="52468" xr:uid="{00000000-0005-0000-0000-0000EDCC0000}"/>
    <cellStyle name="Normal 37 4 5 2 3" xfId="52469" xr:uid="{00000000-0005-0000-0000-0000EECC0000}"/>
    <cellStyle name="Normal 37 4 5 3" xfId="52470" xr:uid="{00000000-0005-0000-0000-0000EFCC0000}"/>
    <cellStyle name="Normal 37 4 5 3 2" xfId="52471" xr:uid="{00000000-0005-0000-0000-0000F0CC0000}"/>
    <cellStyle name="Normal 37 4 5 3 3" xfId="52472" xr:uid="{00000000-0005-0000-0000-0000F1CC0000}"/>
    <cellStyle name="Normal 37 4 5 4" xfId="52473" xr:uid="{00000000-0005-0000-0000-0000F2CC0000}"/>
    <cellStyle name="Normal 37 4 5 4 2" xfId="52474" xr:uid="{00000000-0005-0000-0000-0000F3CC0000}"/>
    <cellStyle name="Normal 37 4 5 4 3" xfId="52475" xr:uid="{00000000-0005-0000-0000-0000F4CC0000}"/>
    <cellStyle name="Normal 37 4 5 5" xfId="52476" xr:uid="{00000000-0005-0000-0000-0000F5CC0000}"/>
    <cellStyle name="Normal 37 4 5 5 2" xfId="52477" xr:uid="{00000000-0005-0000-0000-0000F6CC0000}"/>
    <cellStyle name="Normal 37 4 5 5 3" xfId="52478" xr:uid="{00000000-0005-0000-0000-0000F7CC0000}"/>
    <cellStyle name="Normal 37 4 5 6" xfId="52479" xr:uid="{00000000-0005-0000-0000-0000F8CC0000}"/>
    <cellStyle name="Normal 37 4 5 6 2" xfId="52480" xr:uid="{00000000-0005-0000-0000-0000F9CC0000}"/>
    <cellStyle name="Normal 37 4 5 6 3" xfId="52481" xr:uid="{00000000-0005-0000-0000-0000FACC0000}"/>
    <cellStyle name="Normal 37 4 5 7" xfId="52482" xr:uid="{00000000-0005-0000-0000-0000FBCC0000}"/>
    <cellStyle name="Normal 37 4 5 7 2" xfId="52483" xr:uid="{00000000-0005-0000-0000-0000FCCC0000}"/>
    <cellStyle name="Normal 37 4 5 7 3" xfId="52484" xr:uid="{00000000-0005-0000-0000-0000FDCC0000}"/>
    <cellStyle name="Normal 37 4 5 8" xfId="52485" xr:uid="{00000000-0005-0000-0000-0000FECC0000}"/>
    <cellStyle name="Normal 37 4 5 8 2" xfId="52486" xr:uid="{00000000-0005-0000-0000-0000FFCC0000}"/>
    <cellStyle name="Normal 37 4 5 8 3" xfId="52487" xr:uid="{00000000-0005-0000-0000-000000CD0000}"/>
    <cellStyle name="Normal 37 4 5 9" xfId="52488" xr:uid="{00000000-0005-0000-0000-000001CD0000}"/>
    <cellStyle name="Normal 37 4 5 9 2" xfId="52489" xr:uid="{00000000-0005-0000-0000-000002CD0000}"/>
    <cellStyle name="Normal 37 4 5 9 3" xfId="52490" xr:uid="{00000000-0005-0000-0000-000003CD0000}"/>
    <cellStyle name="Normal 37 4 6" xfId="52491" xr:uid="{00000000-0005-0000-0000-000004CD0000}"/>
    <cellStyle name="Normal 37 4 6 10" xfId="52492" xr:uid="{00000000-0005-0000-0000-000005CD0000}"/>
    <cellStyle name="Normal 37 4 6 10 2" xfId="52493" xr:uid="{00000000-0005-0000-0000-000006CD0000}"/>
    <cellStyle name="Normal 37 4 6 10 3" xfId="52494" xr:uid="{00000000-0005-0000-0000-000007CD0000}"/>
    <cellStyle name="Normal 37 4 6 11" xfId="52495" xr:uid="{00000000-0005-0000-0000-000008CD0000}"/>
    <cellStyle name="Normal 37 4 6 11 2" xfId="52496" xr:uid="{00000000-0005-0000-0000-000009CD0000}"/>
    <cellStyle name="Normal 37 4 6 11 3" xfId="52497" xr:uid="{00000000-0005-0000-0000-00000ACD0000}"/>
    <cellStyle name="Normal 37 4 6 12" xfId="52498" xr:uid="{00000000-0005-0000-0000-00000BCD0000}"/>
    <cellStyle name="Normal 37 4 6 12 2" xfId="52499" xr:uid="{00000000-0005-0000-0000-00000CCD0000}"/>
    <cellStyle name="Normal 37 4 6 12 3" xfId="52500" xr:uid="{00000000-0005-0000-0000-00000DCD0000}"/>
    <cellStyle name="Normal 37 4 6 13" xfId="52501" xr:uid="{00000000-0005-0000-0000-00000ECD0000}"/>
    <cellStyle name="Normal 37 4 6 13 2" xfId="52502" xr:uid="{00000000-0005-0000-0000-00000FCD0000}"/>
    <cellStyle name="Normal 37 4 6 13 3" xfId="52503" xr:uid="{00000000-0005-0000-0000-000010CD0000}"/>
    <cellStyle name="Normal 37 4 6 14" xfId="52504" xr:uid="{00000000-0005-0000-0000-000011CD0000}"/>
    <cellStyle name="Normal 37 4 6 14 2" xfId="52505" xr:uid="{00000000-0005-0000-0000-000012CD0000}"/>
    <cellStyle name="Normal 37 4 6 14 3" xfId="52506" xr:uid="{00000000-0005-0000-0000-000013CD0000}"/>
    <cellStyle name="Normal 37 4 6 15" xfId="52507" xr:uid="{00000000-0005-0000-0000-000014CD0000}"/>
    <cellStyle name="Normal 37 4 6 16" xfId="52508" xr:uid="{00000000-0005-0000-0000-000015CD0000}"/>
    <cellStyle name="Normal 37 4 6 2" xfId="52509" xr:uid="{00000000-0005-0000-0000-000016CD0000}"/>
    <cellStyle name="Normal 37 4 6 2 2" xfId="52510" xr:uid="{00000000-0005-0000-0000-000017CD0000}"/>
    <cellStyle name="Normal 37 4 6 2 3" xfId="52511" xr:uid="{00000000-0005-0000-0000-000018CD0000}"/>
    <cellStyle name="Normal 37 4 6 3" xfId="52512" xr:uid="{00000000-0005-0000-0000-000019CD0000}"/>
    <cellStyle name="Normal 37 4 6 3 2" xfId="52513" xr:uid="{00000000-0005-0000-0000-00001ACD0000}"/>
    <cellStyle name="Normal 37 4 6 3 3" xfId="52514" xr:uid="{00000000-0005-0000-0000-00001BCD0000}"/>
    <cellStyle name="Normal 37 4 6 4" xfId="52515" xr:uid="{00000000-0005-0000-0000-00001CCD0000}"/>
    <cellStyle name="Normal 37 4 6 4 2" xfId="52516" xr:uid="{00000000-0005-0000-0000-00001DCD0000}"/>
    <cellStyle name="Normal 37 4 6 4 3" xfId="52517" xr:uid="{00000000-0005-0000-0000-00001ECD0000}"/>
    <cellStyle name="Normal 37 4 6 5" xfId="52518" xr:uid="{00000000-0005-0000-0000-00001FCD0000}"/>
    <cellStyle name="Normal 37 4 6 5 2" xfId="52519" xr:uid="{00000000-0005-0000-0000-000020CD0000}"/>
    <cellStyle name="Normal 37 4 6 5 3" xfId="52520" xr:uid="{00000000-0005-0000-0000-000021CD0000}"/>
    <cellStyle name="Normal 37 4 6 6" xfId="52521" xr:uid="{00000000-0005-0000-0000-000022CD0000}"/>
    <cellStyle name="Normal 37 4 6 6 2" xfId="52522" xr:uid="{00000000-0005-0000-0000-000023CD0000}"/>
    <cellStyle name="Normal 37 4 6 6 3" xfId="52523" xr:uid="{00000000-0005-0000-0000-000024CD0000}"/>
    <cellStyle name="Normal 37 4 6 7" xfId="52524" xr:uid="{00000000-0005-0000-0000-000025CD0000}"/>
    <cellStyle name="Normal 37 4 6 7 2" xfId="52525" xr:uid="{00000000-0005-0000-0000-000026CD0000}"/>
    <cellStyle name="Normal 37 4 6 7 3" xfId="52526" xr:uid="{00000000-0005-0000-0000-000027CD0000}"/>
    <cellStyle name="Normal 37 4 6 8" xfId="52527" xr:uid="{00000000-0005-0000-0000-000028CD0000}"/>
    <cellStyle name="Normal 37 4 6 8 2" xfId="52528" xr:uid="{00000000-0005-0000-0000-000029CD0000}"/>
    <cellStyle name="Normal 37 4 6 8 3" xfId="52529" xr:uid="{00000000-0005-0000-0000-00002ACD0000}"/>
    <cellStyle name="Normal 37 4 6 9" xfId="52530" xr:uid="{00000000-0005-0000-0000-00002BCD0000}"/>
    <cellStyle name="Normal 37 4 6 9 2" xfId="52531" xr:uid="{00000000-0005-0000-0000-00002CCD0000}"/>
    <cellStyle name="Normal 37 4 6 9 3" xfId="52532" xr:uid="{00000000-0005-0000-0000-00002DCD0000}"/>
    <cellStyle name="Normal 37 4 7" xfId="52533" xr:uid="{00000000-0005-0000-0000-00002ECD0000}"/>
    <cellStyle name="Normal 37 4 7 10" xfId="52534" xr:uid="{00000000-0005-0000-0000-00002FCD0000}"/>
    <cellStyle name="Normal 37 4 7 10 2" xfId="52535" xr:uid="{00000000-0005-0000-0000-000030CD0000}"/>
    <cellStyle name="Normal 37 4 7 10 3" xfId="52536" xr:uid="{00000000-0005-0000-0000-000031CD0000}"/>
    <cellStyle name="Normal 37 4 7 11" xfId="52537" xr:uid="{00000000-0005-0000-0000-000032CD0000}"/>
    <cellStyle name="Normal 37 4 7 11 2" xfId="52538" xr:uid="{00000000-0005-0000-0000-000033CD0000}"/>
    <cellStyle name="Normal 37 4 7 11 3" xfId="52539" xr:uid="{00000000-0005-0000-0000-000034CD0000}"/>
    <cellStyle name="Normal 37 4 7 12" xfId="52540" xr:uid="{00000000-0005-0000-0000-000035CD0000}"/>
    <cellStyle name="Normal 37 4 7 12 2" xfId="52541" xr:uid="{00000000-0005-0000-0000-000036CD0000}"/>
    <cellStyle name="Normal 37 4 7 12 3" xfId="52542" xr:uid="{00000000-0005-0000-0000-000037CD0000}"/>
    <cellStyle name="Normal 37 4 7 13" xfId="52543" xr:uid="{00000000-0005-0000-0000-000038CD0000}"/>
    <cellStyle name="Normal 37 4 7 13 2" xfId="52544" xr:uid="{00000000-0005-0000-0000-000039CD0000}"/>
    <cellStyle name="Normal 37 4 7 13 3" xfId="52545" xr:uid="{00000000-0005-0000-0000-00003ACD0000}"/>
    <cellStyle name="Normal 37 4 7 14" xfId="52546" xr:uid="{00000000-0005-0000-0000-00003BCD0000}"/>
    <cellStyle name="Normal 37 4 7 14 2" xfId="52547" xr:uid="{00000000-0005-0000-0000-00003CCD0000}"/>
    <cellStyle name="Normal 37 4 7 14 3" xfId="52548" xr:uid="{00000000-0005-0000-0000-00003DCD0000}"/>
    <cellStyle name="Normal 37 4 7 15" xfId="52549" xr:uid="{00000000-0005-0000-0000-00003ECD0000}"/>
    <cellStyle name="Normal 37 4 7 16" xfId="52550" xr:uid="{00000000-0005-0000-0000-00003FCD0000}"/>
    <cellStyle name="Normal 37 4 7 2" xfId="52551" xr:uid="{00000000-0005-0000-0000-000040CD0000}"/>
    <cellStyle name="Normal 37 4 7 2 2" xfId="52552" xr:uid="{00000000-0005-0000-0000-000041CD0000}"/>
    <cellStyle name="Normal 37 4 7 2 3" xfId="52553" xr:uid="{00000000-0005-0000-0000-000042CD0000}"/>
    <cellStyle name="Normal 37 4 7 3" xfId="52554" xr:uid="{00000000-0005-0000-0000-000043CD0000}"/>
    <cellStyle name="Normal 37 4 7 3 2" xfId="52555" xr:uid="{00000000-0005-0000-0000-000044CD0000}"/>
    <cellStyle name="Normal 37 4 7 3 3" xfId="52556" xr:uid="{00000000-0005-0000-0000-000045CD0000}"/>
    <cellStyle name="Normal 37 4 7 4" xfId="52557" xr:uid="{00000000-0005-0000-0000-000046CD0000}"/>
    <cellStyle name="Normal 37 4 7 4 2" xfId="52558" xr:uid="{00000000-0005-0000-0000-000047CD0000}"/>
    <cellStyle name="Normal 37 4 7 4 3" xfId="52559" xr:uid="{00000000-0005-0000-0000-000048CD0000}"/>
    <cellStyle name="Normal 37 4 7 5" xfId="52560" xr:uid="{00000000-0005-0000-0000-000049CD0000}"/>
    <cellStyle name="Normal 37 4 7 5 2" xfId="52561" xr:uid="{00000000-0005-0000-0000-00004ACD0000}"/>
    <cellStyle name="Normal 37 4 7 5 3" xfId="52562" xr:uid="{00000000-0005-0000-0000-00004BCD0000}"/>
    <cellStyle name="Normal 37 4 7 6" xfId="52563" xr:uid="{00000000-0005-0000-0000-00004CCD0000}"/>
    <cellStyle name="Normal 37 4 7 6 2" xfId="52564" xr:uid="{00000000-0005-0000-0000-00004DCD0000}"/>
    <cellStyle name="Normal 37 4 7 6 3" xfId="52565" xr:uid="{00000000-0005-0000-0000-00004ECD0000}"/>
    <cellStyle name="Normal 37 4 7 7" xfId="52566" xr:uid="{00000000-0005-0000-0000-00004FCD0000}"/>
    <cellStyle name="Normal 37 4 7 7 2" xfId="52567" xr:uid="{00000000-0005-0000-0000-000050CD0000}"/>
    <cellStyle name="Normal 37 4 7 7 3" xfId="52568" xr:uid="{00000000-0005-0000-0000-000051CD0000}"/>
    <cellStyle name="Normal 37 4 7 8" xfId="52569" xr:uid="{00000000-0005-0000-0000-000052CD0000}"/>
    <cellStyle name="Normal 37 4 7 8 2" xfId="52570" xr:uid="{00000000-0005-0000-0000-000053CD0000}"/>
    <cellStyle name="Normal 37 4 7 8 3" xfId="52571" xr:uid="{00000000-0005-0000-0000-000054CD0000}"/>
    <cellStyle name="Normal 37 4 7 9" xfId="52572" xr:uid="{00000000-0005-0000-0000-000055CD0000}"/>
    <cellStyle name="Normal 37 4 7 9 2" xfId="52573" xr:uid="{00000000-0005-0000-0000-000056CD0000}"/>
    <cellStyle name="Normal 37 4 7 9 3" xfId="52574" xr:uid="{00000000-0005-0000-0000-000057CD0000}"/>
    <cellStyle name="Normal 37 4 8" xfId="52575" xr:uid="{00000000-0005-0000-0000-000058CD0000}"/>
    <cellStyle name="Normal 37 4 8 10" xfId="52576" xr:uid="{00000000-0005-0000-0000-000059CD0000}"/>
    <cellStyle name="Normal 37 4 8 10 2" xfId="52577" xr:uid="{00000000-0005-0000-0000-00005ACD0000}"/>
    <cellStyle name="Normal 37 4 8 10 3" xfId="52578" xr:uid="{00000000-0005-0000-0000-00005BCD0000}"/>
    <cellStyle name="Normal 37 4 8 11" xfId="52579" xr:uid="{00000000-0005-0000-0000-00005CCD0000}"/>
    <cellStyle name="Normal 37 4 8 11 2" xfId="52580" xr:uid="{00000000-0005-0000-0000-00005DCD0000}"/>
    <cellStyle name="Normal 37 4 8 11 3" xfId="52581" xr:uid="{00000000-0005-0000-0000-00005ECD0000}"/>
    <cellStyle name="Normal 37 4 8 12" xfId="52582" xr:uid="{00000000-0005-0000-0000-00005FCD0000}"/>
    <cellStyle name="Normal 37 4 8 12 2" xfId="52583" xr:uid="{00000000-0005-0000-0000-000060CD0000}"/>
    <cellStyle name="Normal 37 4 8 12 3" xfId="52584" xr:uid="{00000000-0005-0000-0000-000061CD0000}"/>
    <cellStyle name="Normal 37 4 8 13" xfId="52585" xr:uid="{00000000-0005-0000-0000-000062CD0000}"/>
    <cellStyle name="Normal 37 4 8 13 2" xfId="52586" xr:uid="{00000000-0005-0000-0000-000063CD0000}"/>
    <cellStyle name="Normal 37 4 8 13 3" xfId="52587" xr:uid="{00000000-0005-0000-0000-000064CD0000}"/>
    <cellStyle name="Normal 37 4 8 14" xfId="52588" xr:uid="{00000000-0005-0000-0000-000065CD0000}"/>
    <cellStyle name="Normal 37 4 8 14 2" xfId="52589" xr:uid="{00000000-0005-0000-0000-000066CD0000}"/>
    <cellStyle name="Normal 37 4 8 14 3" xfId="52590" xr:uid="{00000000-0005-0000-0000-000067CD0000}"/>
    <cellStyle name="Normal 37 4 8 15" xfId="52591" xr:uid="{00000000-0005-0000-0000-000068CD0000}"/>
    <cellStyle name="Normal 37 4 8 16" xfId="52592" xr:uid="{00000000-0005-0000-0000-000069CD0000}"/>
    <cellStyle name="Normal 37 4 8 2" xfId="52593" xr:uid="{00000000-0005-0000-0000-00006ACD0000}"/>
    <cellStyle name="Normal 37 4 8 2 2" xfId="52594" xr:uid="{00000000-0005-0000-0000-00006BCD0000}"/>
    <cellStyle name="Normal 37 4 8 2 3" xfId="52595" xr:uid="{00000000-0005-0000-0000-00006CCD0000}"/>
    <cellStyle name="Normal 37 4 8 3" xfId="52596" xr:uid="{00000000-0005-0000-0000-00006DCD0000}"/>
    <cellStyle name="Normal 37 4 8 3 2" xfId="52597" xr:uid="{00000000-0005-0000-0000-00006ECD0000}"/>
    <cellStyle name="Normal 37 4 8 3 3" xfId="52598" xr:uid="{00000000-0005-0000-0000-00006FCD0000}"/>
    <cellStyle name="Normal 37 4 8 4" xfId="52599" xr:uid="{00000000-0005-0000-0000-000070CD0000}"/>
    <cellStyle name="Normal 37 4 8 4 2" xfId="52600" xr:uid="{00000000-0005-0000-0000-000071CD0000}"/>
    <cellStyle name="Normal 37 4 8 4 3" xfId="52601" xr:uid="{00000000-0005-0000-0000-000072CD0000}"/>
    <cellStyle name="Normal 37 4 8 5" xfId="52602" xr:uid="{00000000-0005-0000-0000-000073CD0000}"/>
    <cellStyle name="Normal 37 4 8 5 2" xfId="52603" xr:uid="{00000000-0005-0000-0000-000074CD0000}"/>
    <cellStyle name="Normal 37 4 8 5 3" xfId="52604" xr:uid="{00000000-0005-0000-0000-000075CD0000}"/>
    <cellStyle name="Normal 37 4 8 6" xfId="52605" xr:uid="{00000000-0005-0000-0000-000076CD0000}"/>
    <cellStyle name="Normal 37 4 8 6 2" xfId="52606" xr:uid="{00000000-0005-0000-0000-000077CD0000}"/>
    <cellStyle name="Normal 37 4 8 6 3" xfId="52607" xr:uid="{00000000-0005-0000-0000-000078CD0000}"/>
    <cellStyle name="Normal 37 4 8 7" xfId="52608" xr:uid="{00000000-0005-0000-0000-000079CD0000}"/>
    <cellStyle name="Normal 37 4 8 7 2" xfId="52609" xr:uid="{00000000-0005-0000-0000-00007ACD0000}"/>
    <cellStyle name="Normal 37 4 8 7 3" xfId="52610" xr:uid="{00000000-0005-0000-0000-00007BCD0000}"/>
    <cellStyle name="Normal 37 4 8 8" xfId="52611" xr:uid="{00000000-0005-0000-0000-00007CCD0000}"/>
    <cellStyle name="Normal 37 4 8 8 2" xfId="52612" xr:uid="{00000000-0005-0000-0000-00007DCD0000}"/>
    <cellStyle name="Normal 37 4 8 8 3" xfId="52613" xr:uid="{00000000-0005-0000-0000-00007ECD0000}"/>
    <cellStyle name="Normal 37 4 8 9" xfId="52614" xr:uid="{00000000-0005-0000-0000-00007FCD0000}"/>
    <cellStyle name="Normal 37 4 8 9 2" xfId="52615" xr:uid="{00000000-0005-0000-0000-000080CD0000}"/>
    <cellStyle name="Normal 37 4 8 9 3" xfId="52616" xr:uid="{00000000-0005-0000-0000-000081CD0000}"/>
    <cellStyle name="Normal 37 4 9" xfId="52617" xr:uid="{00000000-0005-0000-0000-000082CD0000}"/>
    <cellStyle name="Normal 37 4 9 10" xfId="52618" xr:uid="{00000000-0005-0000-0000-000083CD0000}"/>
    <cellStyle name="Normal 37 4 9 10 2" xfId="52619" xr:uid="{00000000-0005-0000-0000-000084CD0000}"/>
    <cellStyle name="Normal 37 4 9 10 3" xfId="52620" xr:uid="{00000000-0005-0000-0000-000085CD0000}"/>
    <cellStyle name="Normal 37 4 9 11" xfId="52621" xr:uid="{00000000-0005-0000-0000-000086CD0000}"/>
    <cellStyle name="Normal 37 4 9 11 2" xfId="52622" xr:uid="{00000000-0005-0000-0000-000087CD0000}"/>
    <cellStyle name="Normal 37 4 9 11 3" xfId="52623" xr:uid="{00000000-0005-0000-0000-000088CD0000}"/>
    <cellStyle name="Normal 37 4 9 12" xfId="52624" xr:uid="{00000000-0005-0000-0000-000089CD0000}"/>
    <cellStyle name="Normal 37 4 9 12 2" xfId="52625" xr:uid="{00000000-0005-0000-0000-00008ACD0000}"/>
    <cellStyle name="Normal 37 4 9 12 3" xfId="52626" xr:uid="{00000000-0005-0000-0000-00008BCD0000}"/>
    <cellStyle name="Normal 37 4 9 13" xfId="52627" xr:uid="{00000000-0005-0000-0000-00008CCD0000}"/>
    <cellStyle name="Normal 37 4 9 13 2" xfId="52628" xr:uid="{00000000-0005-0000-0000-00008DCD0000}"/>
    <cellStyle name="Normal 37 4 9 13 3" xfId="52629" xr:uid="{00000000-0005-0000-0000-00008ECD0000}"/>
    <cellStyle name="Normal 37 4 9 14" xfId="52630" xr:uid="{00000000-0005-0000-0000-00008FCD0000}"/>
    <cellStyle name="Normal 37 4 9 14 2" xfId="52631" xr:uid="{00000000-0005-0000-0000-000090CD0000}"/>
    <cellStyle name="Normal 37 4 9 14 3" xfId="52632" xr:uid="{00000000-0005-0000-0000-000091CD0000}"/>
    <cellStyle name="Normal 37 4 9 15" xfId="52633" xr:uid="{00000000-0005-0000-0000-000092CD0000}"/>
    <cellStyle name="Normal 37 4 9 16" xfId="52634" xr:uid="{00000000-0005-0000-0000-000093CD0000}"/>
    <cellStyle name="Normal 37 4 9 2" xfId="52635" xr:uid="{00000000-0005-0000-0000-000094CD0000}"/>
    <cellStyle name="Normal 37 4 9 2 2" xfId="52636" xr:uid="{00000000-0005-0000-0000-000095CD0000}"/>
    <cellStyle name="Normal 37 4 9 2 3" xfId="52637" xr:uid="{00000000-0005-0000-0000-000096CD0000}"/>
    <cellStyle name="Normal 37 4 9 3" xfId="52638" xr:uid="{00000000-0005-0000-0000-000097CD0000}"/>
    <cellStyle name="Normal 37 4 9 3 2" xfId="52639" xr:uid="{00000000-0005-0000-0000-000098CD0000}"/>
    <cellStyle name="Normal 37 4 9 3 3" xfId="52640" xr:uid="{00000000-0005-0000-0000-000099CD0000}"/>
    <cellStyle name="Normal 37 4 9 4" xfId="52641" xr:uid="{00000000-0005-0000-0000-00009ACD0000}"/>
    <cellStyle name="Normal 37 4 9 4 2" xfId="52642" xr:uid="{00000000-0005-0000-0000-00009BCD0000}"/>
    <cellStyle name="Normal 37 4 9 4 3" xfId="52643" xr:uid="{00000000-0005-0000-0000-00009CCD0000}"/>
    <cellStyle name="Normal 37 4 9 5" xfId="52644" xr:uid="{00000000-0005-0000-0000-00009DCD0000}"/>
    <cellStyle name="Normal 37 4 9 5 2" xfId="52645" xr:uid="{00000000-0005-0000-0000-00009ECD0000}"/>
    <cellStyle name="Normal 37 4 9 5 3" xfId="52646" xr:uid="{00000000-0005-0000-0000-00009FCD0000}"/>
    <cellStyle name="Normal 37 4 9 6" xfId="52647" xr:uid="{00000000-0005-0000-0000-0000A0CD0000}"/>
    <cellStyle name="Normal 37 4 9 6 2" xfId="52648" xr:uid="{00000000-0005-0000-0000-0000A1CD0000}"/>
    <cellStyle name="Normal 37 4 9 6 3" xfId="52649" xr:uid="{00000000-0005-0000-0000-0000A2CD0000}"/>
    <cellStyle name="Normal 37 4 9 7" xfId="52650" xr:uid="{00000000-0005-0000-0000-0000A3CD0000}"/>
    <cellStyle name="Normal 37 4 9 7 2" xfId="52651" xr:uid="{00000000-0005-0000-0000-0000A4CD0000}"/>
    <cellStyle name="Normal 37 4 9 7 3" xfId="52652" xr:uid="{00000000-0005-0000-0000-0000A5CD0000}"/>
    <cellStyle name="Normal 37 4 9 8" xfId="52653" xr:uid="{00000000-0005-0000-0000-0000A6CD0000}"/>
    <cellStyle name="Normal 37 4 9 8 2" xfId="52654" xr:uid="{00000000-0005-0000-0000-0000A7CD0000}"/>
    <cellStyle name="Normal 37 4 9 8 3" xfId="52655" xr:uid="{00000000-0005-0000-0000-0000A8CD0000}"/>
    <cellStyle name="Normal 37 4 9 9" xfId="52656" xr:uid="{00000000-0005-0000-0000-0000A9CD0000}"/>
    <cellStyle name="Normal 37 4 9 9 2" xfId="52657" xr:uid="{00000000-0005-0000-0000-0000AACD0000}"/>
    <cellStyle name="Normal 37 4 9 9 3" xfId="52658" xr:uid="{00000000-0005-0000-0000-0000ABCD0000}"/>
    <cellStyle name="Normal 38" xfId="52659" xr:uid="{00000000-0005-0000-0000-0000ACCD0000}"/>
    <cellStyle name="Normal 38 10" xfId="52660" xr:uid="{00000000-0005-0000-0000-0000ADCD0000}"/>
    <cellStyle name="Normal 38 10 10" xfId="52661" xr:uid="{00000000-0005-0000-0000-0000AECD0000}"/>
    <cellStyle name="Normal 38 10 10 2" xfId="52662" xr:uid="{00000000-0005-0000-0000-0000AFCD0000}"/>
    <cellStyle name="Normal 38 10 10 3" xfId="52663" xr:uid="{00000000-0005-0000-0000-0000B0CD0000}"/>
    <cellStyle name="Normal 38 10 11" xfId="52664" xr:uid="{00000000-0005-0000-0000-0000B1CD0000}"/>
    <cellStyle name="Normal 38 10 11 2" xfId="52665" xr:uid="{00000000-0005-0000-0000-0000B2CD0000}"/>
    <cellStyle name="Normal 38 10 11 3" xfId="52666" xr:uid="{00000000-0005-0000-0000-0000B3CD0000}"/>
    <cellStyle name="Normal 38 10 12" xfId="52667" xr:uid="{00000000-0005-0000-0000-0000B4CD0000}"/>
    <cellStyle name="Normal 38 10 12 2" xfId="52668" xr:uid="{00000000-0005-0000-0000-0000B5CD0000}"/>
    <cellStyle name="Normal 38 10 12 3" xfId="52669" xr:uid="{00000000-0005-0000-0000-0000B6CD0000}"/>
    <cellStyle name="Normal 38 10 13" xfId="52670" xr:uid="{00000000-0005-0000-0000-0000B7CD0000}"/>
    <cellStyle name="Normal 38 10 13 2" xfId="52671" xr:uid="{00000000-0005-0000-0000-0000B8CD0000}"/>
    <cellStyle name="Normal 38 10 13 3" xfId="52672" xr:uid="{00000000-0005-0000-0000-0000B9CD0000}"/>
    <cellStyle name="Normal 38 10 14" xfId="52673" xr:uid="{00000000-0005-0000-0000-0000BACD0000}"/>
    <cellStyle name="Normal 38 10 14 2" xfId="52674" xr:uid="{00000000-0005-0000-0000-0000BBCD0000}"/>
    <cellStyle name="Normal 38 10 14 3" xfId="52675" xr:uid="{00000000-0005-0000-0000-0000BCCD0000}"/>
    <cellStyle name="Normal 38 10 15" xfId="52676" xr:uid="{00000000-0005-0000-0000-0000BDCD0000}"/>
    <cellStyle name="Normal 38 10 16" xfId="52677" xr:uid="{00000000-0005-0000-0000-0000BECD0000}"/>
    <cellStyle name="Normal 38 10 2" xfId="52678" xr:uid="{00000000-0005-0000-0000-0000BFCD0000}"/>
    <cellStyle name="Normal 38 10 2 2" xfId="52679" xr:uid="{00000000-0005-0000-0000-0000C0CD0000}"/>
    <cellStyle name="Normal 38 10 2 3" xfId="52680" xr:uid="{00000000-0005-0000-0000-0000C1CD0000}"/>
    <cellStyle name="Normal 38 10 3" xfId="52681" xr:uid="{00000000-0005-0000-0000-0000C2CD0000}"/>
    <cellStyle name="Normal 38 10 3 2" xfId="52682" xr:uid="{00000000-0005-0000-0000-0000C3CD0000}"/>
    <cellStyle name="Normal 38 10 3 3" xfId="52683" xr:uid="{00000000-0005-0000-0000-0000C4CD0000}"/>
    <cellStyle name="Normal 38 10 4" xfId="52684" xr:uid="{00000000-0005-0000-0000-0000C5CD0000}"/>
    <cellStyle name="Normal 38 10 4 2" xfId="52685" xr:uid="{00000000-0005-0000-0000-0000C6CD0000}"/>
    <cellStyle name="Normal 38 10 4 3" xfId="52686" xr:uid="{00000000-0005-0000-0000-0000C7CD0000}"/>
    <cellStyle name="Normal 38 10 5" xfId="52687" xr:uid="{00000000-0005-0000-0000-0000C8CD0000}"/>
    <cellStyle name="Normal 38 10 5 2" xfId="52688" xr:uid="{00000000-0005-0000-0000-0000C9CD0000}"/>
    <cellStyle name="Normal 38 10 5 3" xfId="52689" xr:uid="{00000000-0005-0000-0000-0000CACD0000}"/>
    <cellStyle name="Normal 38 10 6" xfId="52690" xr:uid="{00000000-0005-0000-0000-0000CBCD0000}"/>
    <cellStyle name="Normal 38 10 6 2" xfId="52691" xr:uid="{00000000-0005-0000-0000-0000CCCD0000}"/>
    <cellStyle name="Normal 38 10 6 3" xfId="52692" xr:uid="{00000000-0005-0000-0000-0000CDCD0000}"/>
    <cellStyle name="Normal 38 10 7" xfId="52693" xr:uid="{00000000-0005-0000-0000-0000CECD0000}"/>
    <cellStyle name="Normal 38 10 7 2" xfId="52694" xr:uid="{00000000-0005-0000-0000-0000CFCD0000}"/>
    <cellStyle name="Normal 38 10 7 3" xfId="52695" xr:uid="{00000000-0005-0000-0000-0000D0CD0000}"/>
    <cellStyle name="Normal 38 10 8" xfId="52696" xr:uid="{00000000-0005-0000-0000-0000D1CD0000}"/>
    <cellStyle name="Normal 38 10 8 2" xfId="52697" xr:uid="{00000000-0005-0000-0000-0000D2CD0000}"/>
    <cellStyle name="Normal 38 10 8 3" xfId="52698" xr:uid="{00000000-0005-0000-0000-0000D3CD0000}"/>
    <cellStyle name="Normal 38 10 9" xfId="52699" xr:uid="{00000000-0005-0000-0000-0000D4CD0000}"/>
    <cellStyle name="Normal 38 10 9 2" xfId="52700" xr:uid="{00000000-0005-0000-0000-0000D5CD0000}"/>
    <cellStyle name="Normal 38 10 9 3" xfId="52701" xr:uid="{00000000-0005-0000-0000-0000D6CD0000}"/>
    <cellStyle name="Normal 38 11" xfId="52702" xr:uid="{00000000-0005-0000-0000-0000D7CD0000}"/>
    <cellStyle name="Normal 38 11 10" xfId="52703" xr:uid="{00000000-0005-0000-0000-0000D8CD0000}"/>
    <cellStyle name="Normal 38 11 10 2" xfId="52704" xr:uid="{00000000-0005-0000-0000-0000D9CD0000}"/>
    <cellStyle name="Normal 38 11 10 3" xfId="52705" xr:uid="{00000000-0005-0000-0000-0000DACD0000}"/>
    <cellStyle name="Normal 38 11 11" xfId="52706" xr:uid="{00000000-0005-0000-0000-0000DBCD0000}"/>
    <cellStyle name="Normal 38 11 11 2" xfId="52707" xr:uid="{00000000-0005-0000-0000-0000DCCD0000}"/>
    <cellStyle name="Normal 38 11 11 3" xfId="52708" xr:uid="{00000000-0005-0000-0000-0000DDCD0000}"/>
    <cellStyle name="Normal 38 11 12" xfId="52709" xr:uid="{00000000-0005-0000-0000-0000DECD0000}"/>
    <cellStyle name="Normal 38 11 12 2" xfId="52710" xr:uid="{00000000-0005-0000-0000-0000DFCD0000}"/>
    <cellStyle name="Normal 38 11 12 3" xfId="52711" xr:uid="{00000000-0005-0000-0000-0000E0CD0000}"/>
    <cellStyle name="Normal 38 11 13" xfId="52712" xr:uid="{00000000-0005-0000-0000-0000E1CD0000}"/>
    <cellStyle name="Normal 38 11 13 2" xfId="52713" xr:uid="{00000000-0005-0000-0000-0000E2CD0000}"/>
    <cellStyle name="Normal 38 11 13 3" xfId="52714" xr:uid="{00000000-0005-0000-0000-0000E3CD0000}"/>
    <cellStyle name="Normal 38 11 14" xfId="52715" xr:uid="{00000000-0005-0000-0000-0000E4CD0000}"/>
    <cellStyle name="Normal 38 11 14 2" xfId="52716" xr:uid="{00000000-0005-0000-0000-0000E5CD0000}"/>
    <cellStyle name="Normal 38 11 14 3" xfId="52717" xr:uid="{00000000-0005-0000-0000-0000E6CD0000}"/>
    <cellStyle name="Normal 38 11 15" xfId="52718" xr:uid="{00000000-0005-0000-0000-0000E7CD0000}"/>
    <cellStyle name="Normal 38 11 16" xfId="52719" xr:uid="{00000000-0005-0000-0000-0000E8CD0000}"/>
    <cellStyle name="Normal 38 11 2" xfId="52720" xr:uid="{00000000-0005-0000-0000-0000E9CD0000}"/>
    <cellStyle name="Normal 38 11 2 2" xfId="52721" xr:uid="{00000000-0005-0000-0000-0000EACD0000}"/>
    <cellStyle name="Normal 38 11 2 3" xfId="52722" xr:uid="{00000000-0005-0000-0000-0000EBCD0000}"/>
    <cellStyle name="Normal 38 11 3" xfId="52723" xr:uid="{00000000-0005-0000-0000-0000ECCD0000}"/>
    <cellStyle name="Normal 38 11 3 2" xfId="52724" xr:uid="{00000000-0005-0000-0000-0000EDCD0000}"/>
    <cellStyle name="Normal 38 11 3 3" xfId="52725" xr:uid="{00000000-0005-0000-0000-0000EECD0000}"/>
    <cellStyle name="Normal 38 11 4" xfId="52726" xr:uid="{00000000-0005-0000-0000-0000EFCD0000}"/>
    <cellStyle name="Normal 38 11 4 2" xfId="52727" xr:uid="{00000000-0005-0000-0000-0000F0CD0000}"/>
    <cellStyle name="Normal 38 11 4 3" xfId="52728" xr:uid="{00000000-0005-0000-0000-0000F1CD0000}"/>
    <cellStyle name="Normal 38 11 5" xfId="52729" xr:uid="{00000000-0005-0000-0000-0000F2CD0000}"/>
    <cellStyle name="Normal 38 11 5 2" xfId="52730" xr:uid="{00000000-0005-0000-0000-0000F3CD0000}"/>
    <cellStyle name="Normal 38 11 5 3" xfId="52731" xr:uid="{00000000-0005-0000-0000-0000F4CD0000}"/>
    <cellStyle name="Normal 38 11 6" xfId="52732" xr:uid="{00000000-0005-0000-0000-0000F5CD0000}"/>
    <cellStyle name="Normal 38 11 6 2" xfId="52733" xr:uid="{00000000-0005-0000-0000-0000F6CD0000}"/>
    <cellStyle name="Normal 38 11 6 3" xfId="52734" xr:uid="{00000000-0005-0000-0000-0000F7CD0000}"/>
    <cellStyle name="Normal 38 11 7" xfId="52735" xr:uid="{00000000-0005-0000-0000-0000F8CD0000}"/>
    <cellStyle name="Normal 38 11 7 2" xfId="52736" xr:uid="{00000000-0005-0000-0000-0000F9CD0000}"/>
    <cellStyle name="Normal 38 11 7 3" xfId="52737" xr:uid="{00000000-0005-0000-0000-0000FACD0000}"/>
    <cellStyle name="Normal 38 11 8" xfId="52738" xr:uid="{00000000-0005-0000-0000-0000FBCD0000}"/>
    <cellStyle name="Normal 38 11 8 2" xfId="52739" xr:uid="{00000000-0005-0000-0000-0000FCCD0000}"/>
    <cellStyle name="Normal 38 11 8 3" xfId="52740" xr:uid="{00000000-0005-0000-0000-0000FDCD0000}"/>
    <cellStyle name="Normal 38 11 9" xfId="52741" xr:uid="{00000000-0005-0000-0000-0000FECD0000}"/>
    <cellStyle name="Normal 38 11 9 2" xfId="52742" xr:uid="{00000000-0005-0000-0000-0000FFCD0000}"/>
    <cellStyle name="Normal 38 11 9 3" xfId="52743" xr:uid="{00000000-0005-0000-0000-000000CE0000}"/>
    <cellStyle name="Normal 38 12" xfId="52744" xr:uid="{00000000-0005-0000-0000-000001CE0000}"/>
    <cellStyle name="Normal 38 12 10" xfId="52745" xr:uid="{00000000-0005-0000-0000-000002CE0000}"/>
    <cellStyle name="Normal 38 12 10 2" xfId="52746" xr:uid="{00000000-0005-0000-0000-000003CE0000}"/>
    <cellStyle name="Normal 38 12 10 3" xfId="52747" xr:uid="{00000000-0005-0000-0000-000004CE0000}"/>
    <cellStyle name="Normal 38 12 11" xfId="52748" xr:uid="{00000000-0005-0000-0000-000005CE0000}"/>
    <cellStyle name="Normal 38 12 11 2" xfId="52749" xr:uid="{00000000-0005-0000-0000-000006CE0000}"/>
    <cellStyle name="Normal 38 12 11 3" xfId="52750" xr:uid="{00000000-0005-0000-0000-000007CE0000}"/>
    <cellStyle name="Normal 38 12 12" xfId="52751" xr:uid="{00000000-0005-0000-0000-000008CE0000}"/>
    <cellStyle name="Normal 38 12 12 2" xfId="52752" xr:uid="{00000000-0005-0000-0000-000009CE0000}"/>
    <cellStyle name="Normal 38 12 12 3" xfId="52753" xr:uid="{00000000-0005-0000-0000-00000ACE0000}"/>
    <cellStyle name="Normal 38 12 13" xfId="52754" xr:uid="{00000000-0005-0000-0000-00000BCE0000}"/>
    <cellStyle name="Normal 38 12 13 2" xfId="52755" xr:uid="{00000000-0005-0000-0000-00000CCE0000}"/>
    <cellStyle name="Normal 38 12 13 3" xfId="52756" xr:uid="{00000000-0005-0000-0000-00000DCE0000}"/>
    <cellStyle name="Normal 38 12 14" xfId="52757" xr:uid="{00000000-0005-0000-0000-00000ECE0000}"/>
    <cellStyle name="Normal 38 12 14 2" xfId="52758" xr:uid="{00000000-0005-0000-0000-00000FCE0000}"/>
    <cellStyle name="Normal 38 12 14 3" xfId="52759" xr:uid="{00000000-0005-0000-0000-000010CE0000}"/>
    <cellStyle name="Normal 38 12 15" xfId="52760" xr:uid="{00000000-0005-0000-0000-000011CE0000}"/>
    <cellStyle name="Normal 38 12 16" xfId="52761" xr:uid="{00000000-0005-0000-0000-000012CE0000}"/>
    <cellStyle name="Normal 38 12 2" xfId="52762" xr:uid="{00000000-0005-0000-0000-000013CE0000}"/>
    <cellStyle name="Normal 38 12 2 2" xfId="52763" xr:uid="{00000000-0005-0000-0000-000014CE0000}"/>
    <cellStyle name="Normal 38 12 2 3" xfId="52764" xr:uid="{00000000-0005-0000-0000-000015CE0000}"/>
    <cellStyle name="Normal 38 12 3" xfId="52765" xr:uid="{00000000-0005-0000-0000-000016CE0000}"/>
    <cellStyle name="Normal 38 12 3 2" xfId="52766" xr:uid="{00000000-0005-0000-0000-000017CE0000}"/>
    <cellStyle name="Normal 38 12 3 3" xfId="52767" xr:uid="{00000000-0005-0000-0000-000018CE0000}"/>
    <cellStyle name="Normal 38 12 4" xfId="52768" xr:uid="{00000000-0005-0000-0000-000019CE0000}"/>
    <cellStyle name="Normal 38 12 4 2" xfId="52769" xr:uid="{00000000-0005-0000-0000-00001ACE0000}"/>
    <cellStyle name="Normal 38 12 4 3" xfId="52770" xr:uid="{00000000-0005-0000-0000-00001BCE0000}"/>
    <cellStyle name="Normal 38 12 5" xfId="52771" xr:uid="{00000000-0005-0000-0000-00001CCE0000}"/>
    <cellStyle name="Normal 38 12 5 2" xfId="52772" xr:uid="{00000000-0005-0000-0000-00001DCE0000}"/>
    <cellStyle name="Normal 38 12 5 3" xfId="52773" xr:uid="{00000000-0005-0000-0000-00001ECE0000}"/>
    <cellStyle name="Normal 38 12 6" xfId="52774" xr:uid="{00000000-0005-0000-0000-00001FCE0000}"/>
    <cellStyle name="Normal 38 12 6 2" xfId="52775" xr:uid="{00000000-0005-0000-0000-000020CE0000}"/>
    <cellStyle name="Normal 38 12 6 3" xfId="52776" xr:uid="{00000000-0005-0000-0000-000021CE0000}"/>
    <cellStyle name="Normal 38 12 7" xfId="52777" xr:uid="{00000000-0005-0000-0000-000022CE0000}"/>
    <cellStyle name="Normal 38 12 7 2" xfId="52778" xr:uid="{00000000-0005-0000-0000-000023CE0000}"/>
    <cellStyle name="Normal 38 12 7 3" xfId="52779" xr:uid="{00000000-0005-0000-0000-000024CE0000}"/>
    <cellStyle name="Normal 38 12 8" xfId="52780" xr:uid="{00000000-0005-0000-0000-000025CE0000}"/>
    <cellStyle name="Normal 38 12 8 2" xfId="52781" xr:uid="{00000000-0005-0000-0000-000026CE0000}"/>
    <cellStyle name="Normal 38 12 8 3" xfId="52782" xr:uid="{00000000-0005-0000-0000-000027CE0000}"/>
    <cellStyle name="Normal 38 12 9" xfId="52783" xr:uid="{00000000-0005-0000-0000-000028CE0000}"/>
    <cellStyle name="Normal 38 12 9 2" xfId="52784" xr:uid="{00000000-0005-0000-0000-000029CE0000}"/>
    <cellStyle name="Normal 38 12 9 3" xfId="52785" xr:uid="{00000000-0005-0000-0000-00002ACE0000}"/>
    <cellStyle name="Normal 38 13" xfId="52786" xr:uid="{00000000-0005-0000-0000-00002BCE0000}"/>
    <cellStyle name="Normal 38 13 10" xfId="52787" xr:uid="{00000000-0005-0000-0000-00002CCE0000}"/>
    <cellStyle name="Normal 38 13 10 2" xfId="52788" xr:uid="{00000000-0005-0000-0000-00002DCE0000}"/>
    <cellStyle name="Normal 38 13 10 3" xfId="52789" xr:uid="{00000000-0005-0000-0000-00002ECE0000}"/>
    <cellStyle name="Normal 38 13 11" xfId="52790" xr:uid="{00000000-0005-0000-0000-00002FCE0000}"/>
    <cellStyle name="Normal 38 13 11 2" xfId="52791" xr:uid="{00000000-0005-0000-0000-000030CE0000}"/>
    <cellStyle name="Normal 38 13 11 3" xfId="52792" xr:uid="{00000000-0005-0000-0000-000031CE0000}"/>
    <cellStyle name="Normal 38 13 12" xfId="52793" xr:uid="{00000000-0005-0000-0000-000032CE0000}"/>
    <cellStyle name="Normal 38 13 12 2" xfId="52794" xr:uid="{00000000-0005-0000-0000-000033CE0000}"/>
    <cellStyle name="Normal 38 13 12 3" xfId="52795" xr:uid="{00000000-0005-0000-0000-000034CE0000}"/>
    <cellStyle name="Normal 38 13 13" xfId="52796" xr:uid="{00000000-0005-0000-0000-000035CE0000}"/>
    <cellStyle name="Normal 38 13 13 2" xfId="52797" xr:uid="{00000000-0005-0000-0000-000036CE0000}"/>
    <cellStyle name="Normal 38 13 13 3" xfId="52798" xr:uid="{00000000-0005-0000-0000-000037CE0000}"/>
    <cellStyle name="Normal 38 13 14" xfId="52799" xr:uid="{00000000-0005-0000-0000-000038CE0000}"/>
    <cellStyle name="Normal 38 13 14 2" xfId="52800" xr:uid="{00000000-0005-0000-0000-000039CE0000}"/>
    <cellStyle name="Normal 38 13 14 3" xfId="52801" xr:uid="{00000000-0005-0000-0000-00003ACE0000}"/>
    <cellStyle name="Normal 38 13 15" xfId="52802" xr:uid="{00000000-0005-0000-0000-00003BCE0000}"/>
    <cellStyle name="Normal 38 13 16" xfId="52803" xr:uid="{00000000-0005-0000-0000-00003CCE0000}"/>
    <cellStyle name="Normal 38 13 2" xfId="52804" xr:uid="{00000000-0005-0000-0000-00003DCE0000}"/>
    <cellStyle name="Normal 38 13 2 2" xfId="52805" xr:uid="{00000000-0005-0000-0000-00003ECE0000}"/>
    <cellStyle name="Normal 38 13 2 3" xfId="52806" xr:uid="{00000000-0005-0000-0000-00003FCE0000}"/>
    <cellStyle name="Normal 38 13 3" xfId="52807" xr:uid="{00000000-0005-0000-0000-000040CE0000}"/>
    <cellStyle name="Normal 38 13 3 2" xfId="52808" xr:uid="{00000000-0005-0000-0000-000041CE0000}"/>
    <cellStyle name="Normal 38 13 3 3" xfId="52809" xr:uid="{00000000-0005-0000-0000-000042CE0000}"/>
    <cellStyle name="Normal 38 13 4" xfId="52810" xr:uid="{00000000-0005-0000-0000-000043CE0000}"/>
    <cellStyle name="Normal 38 13 4 2" xfId="52811" xr:uid="{00000000-0005-0000-0000-000044CE0000}"/>
    <cellStyle name="Normal 38 13 4 3" xfId="52812" xr:uid="{00000000-0005-0000-0000-000045CE0000}"/>
    <cellStyle name="Normal 38 13 5" xfId="52813" xr:uid="{00000000-0005-0000-0000-000046CE0000}"/>
    <cellStyle name="Normal 38 13 5 2" xfId="52814" xr:uid="{00000000-0005-0000-0000-000047CE0000}"/>
    <cellStyle name="Normal 38 13 5 3" xfId="52815" xr:uid="{00000000-0005-0000-0000-000048CE0000}"/>
    <cellStyle name="Normal 38 13 6" xfId="52816" xr:uid="{00000000-0005-0000-0000-000049CE0000}"/>
    <cellStyle name="Normal 38 13 6 2" xfId="52817" xr:uid="{00000000-0005-0000-0000-00004ACE0000}"/>
    <cellStyle name="Normal 38 13 6 3" xfId="52818" xr:uid="{00000000-0005-0000-0000-00004BCE0000}"/>
    <cellStyle name="Normal 38 13 7" xfId="52819" xr:uid="{00000000-0005-0000-0000-00004CCE0000}"/>
    <cellStyle name="Normal 38 13 7 2" xfId="52820" xr:uid="{00000000-0005-0000-0000-00004DCE0000}"/>
    <cellStyle name="Normal 38 13 7 3" xfId="52821" xr:uid="{00000000-0005-0000-0000-00004ECE0000}"/>
    <cellStyle name="Normal 38 13 8" xfId="52822" xr:uid="{00000000-0005-0000-0000-00004FCE0000}"/>
    <cellStyle name="Normal 38 13 8 2" xfId="52823" xr:uid="{00000000-0005-0000-0000-000050CE0000}"/>
    <cellStyle name="Normal 38 13 8 3" xfId="52824" xr:uid="{00000000-0005-0000-0000-000051CE0000}"/>
    <cellStyle name="Normal 38 13 9" xfId="52825" xr:uid="{00000000-0005-0000-0000-000052CE0000}"/>
    <cellStyle name="Normal 38 13 9 2" xfId="52826" xr:uid="{00000000-0005-0000-0000-000053CE0000}"/>
    <cellStyle name="Normal 38 13 9 3" xfId="52827" xr:uid="{00000000-0005-0000-0000-000054CE0000}"/>
    <cellStyle name="Normal 38 14" xfId="52828" xr:uid="{00000000-0005-0000-0000-000055CE0000}"/>
    <cellStyle name="Normal 38 14 10" xfId="52829" xr:uid="{00000000-0005-0000-0000-000056CE0000}"/>
    <cellStyle name="Normal 38 14 10 2" xfId="52830" xr:uid="{00000000-0005-0000-0000-000057CE0000}"/>
    <cellStyle name="Normal 38 14 10 3" xfId="52831" xr:uid="{00000000-0005-0000-0000-000058CE0000}"/>
    <cellStyle name="Normal 38 14 11" xfId="52832" xr:uid="{00000000-0005-0000-0000-000059CE0000}"/>
    <cellStyle name="Normal 38 14 11 2" xfId="52833" xr:uid="{00000000-0005-0000-0000-00005ACE0000}"/>
    <cellStyle name="Normal 38 14 11 3" xfId="52834" xr:uid="{00000000-0005-0000-0000-00005BCE0000}"/>
    <cellStyle name="Normal 38 14 12" xfId="52835" xr:uid="{00000000-0005-0000-0000-00005CCE0000}"/>
    <cellStyle name="Normal 38 14 12 2" xfId="52836" xr:uid="{00000000-0005-0000-0000-00005DCE0000}"/>
    <cellStyle name="Normal 38 14 12 3" xfId="52837" xr:uid="{00000000-0005-0000-0000-00005ECE0000}"/>
    <cellStyle name="Normal 38 14 13" xfId="52838" xr:uid="{00000000-0005-0000-0000-00005FCE0000}"/>
    <cellStyle name="Normal 38 14 13 2" xfId="52839" xr:uid="{00000000-0005-0000-0000-000060CE0000}"/>
    <cellStyle name="Normal 38 14 13 3" xfId="52840" xr:uid="{00000000-0005-0000-0000-000061CE0000}"/>
    <cellStyle name="Normal 38 14 14" xfId="52841" xr:uid="{00000000-0005-0000-0000-000062CE0000}"/>
    <cellStyle name="Normal 38 14 14 2" xfId="52842" xr:uid="{00000000-0005-0000-0000-000063CE0000}"/>
    <cellStyle name="Normal 38 14 14 3" xfId="52843" xr:uid="{00000000-0005-0000-0000-000064CE0000}"/>
    <cellStyle name="Normal 38 14 15" xfId="52844" xr:uid="{00000000-0005-0000-0000-000065CE0000}"/>
    <cellStyle name="Normal 38 14 16" xfId="52845" xr:uid="{00000000-0005-0000-0000-000066CE0000}"/>
    <cellStyle name="Normal 38 14 2" xfId="52846" xr:uid="{00000000-0005-0000-0000-000067CE0000}"/>
    <cellStyle name="Normal 38 14 2 2" xfId="52847" xr:uid="{00000000-0005-0000-0000-000068CE0000}"/>
    <cellStyle name="Normal 38 14 2 3" xfId="52848" xr:uid="{00000000-0005-0000-0000-000069CE0000}"/>
    <cellStyle name="Normal 38 14 3" xfId="52849" xr:uid="{00000000-0005-0000-0000-00006ACE0000}"/>
    <cellStyle name="Normal 38 14 3 2" xfId="52850" xr:uid="{00000000-0005-0000-0000-00006BCE0000}"/>
    <cellStyle name="Normal 38 14 3 3" xfId="52851" xr:uid="{00000000-0005-0000-0000-00006CCE0000}"/>
    <cellStyle name="Normal 38 14 4" xfId="52852" xr:uid="{00000000-0005-0000-0000-00006DCE0000}"/>
    <cellStyle name="Normal 38 14 4 2" xfId="52853" xr:uid="{00000000-0005-0000-0000-00006ECE0000}"/>
    <cellStyle name="Normal 38 14 4 3" xfId="52854" xr:uid="{00000000-0005-0000-0000-00006FCE0000}"/>
    <cellStyle name="Normal 38 14 5" xfId="52855" xr:uid="{00000000-0005-0000-0000-000070CE0000}"/>
    <cellStyle name="Normal 38 14 5 2" xfId="52856" xr:uid="{00000000-0005-0000-0000-000071CE0000}"/>
    <cellStyle name="Normal 38 14 5 3" xfId="52857" xr:uid="{00000000-0005-0000-0000-000072CE0000}"/>
    <cellStyle name="Normal 38 14 6" xfId="52858" xr:uid="{00000000-0005-0000-0000-000073CE0000}"/>
    <cellStyle name="Normal 38 14 6 2" xfId="52859" xr:uid="{00000000-0005-0000-0000-000074CE0000}"/>
    <cellStyle name="Normal 38 14 6 3" xfId="52860" xr:uid="{00000000-0005-0000-0000-000075CE0000}"/>
    <cellStyle name="Normal 38 14 7" xfId="52861" xr:uid="{00000000-0005-0000-0000-000076CE0000}"/>
    <cellStyle name="Normal 38 14 7 2" xfId="52862" xr:uid="{00000000-0005-0000-0000-000077CE0000}"/>
    <cellStyle name="Normal 38 14 7 3" xfId="52863" xr:uid="{00000000-0005-0000-0000-000078CE0000}"/>
    <cellStyle name="Normal 38 14 8" xfId="52864" xr:uid="{00000000-0005-0000-0000-000079CE0000}"/>
    <cellStyle name="Normal 38 14 8 2" xfId="52865" xr:uid="{00000000-0005-0000-0000-00007ACE0000}"/>
    <cellStyle name="Normal 38 14 8 3" xfId="52866" xr:uid="{00000000-0005-0000-0000-00007BCE0000}"/>
    <cellStyle name="Normal 38 14 9" xfId="52867" xr:uid="{00000000-0005-0000-0000-00007CCE0000}"/>
    <cellStyle name="Normal 38 14 9 2" xfId="52868" xr:uid="{00000000-0005-0000-0000-00007DCE0000}"/>
    <cellStyle name="Normal 38 14 9 3" xfId="52869" xr:uid="{00000000-0005-0000-0000-00007ECE0000}"/>
    <cellStyle name="Normal 38 15" xfId="52870" xr:uid="{00000000-0005-0000-0000-00007FCE0000}"/>
    <cellStyle name="Normal 38 15 10" xfId="52871" xr:uid="{00000000-0005-0000-0000-000080CE0000}"/>
    <cellStyle name="Normal 38 15 10 2" xfId="52872" xr:uid="{00000000-0005-0000-0000-000081CE0000}"/>
    <cellStyle name="Normal 38 15 10 3" xfId="52873" xr:uid="{00000000-0005-0000-0000-000082CE0000}"/>
    <cellStyle name="Normal 38 15 11" xfId="52874" xr:uid="{00000000-0005-0000-0000-000083CE0000}"/>
    <cellStyle name="Normal 38 15 11 2" xfId="52875" xr:uid="{00000000-0005-0000-0000-000084CE0000}"/>
    <cellStyle name="Normal 38 15 11 3" xfId="52876" xr:uid="{00000000-0005-0000-0000-000085CE0000}"/>
    <cellStyle name="Normal 38 15 12" xfId="52877" xr:uid="{00000000-0005-0000-0000-000086CE0000}"/>
    <cellStyle name="Normal 38 15 12 2" xfId="52878" xr:uid="{00000000-0005-0000-0000-000087CE0000}"/>
    <cellStyle name="Normal 38 15 12 3" xfId="52879" xr:uid="{00000000-0005-0000-0000-000088CE0000}"/>
    <cellStyle name="Normal 38 15 13" xfId="52880" xr:uid="{00000000-0005-0000-0000-000089CE0000}"/>
    <cellStyle name="Normal 38 15 13 2" xfId="52881" xr:uid="{00000000-0005-0000-0000-00008ACE0000}"/>
    <cellStyle name="Normal 38 15 13 3" xfId="52882" xr:uid="{00000000-0005-0000-0000-00008BCE0000}"/>
    <cellStyle name="Normal 38 15 14" xfId="52883" xr:uid="{00000000-0005-0000-0000-00008CCE0000}"/>
    <cellStyle name="Normal 38 15 14 2" xfId="52884" xr:uid="{00000000-0005-0000-0000-00008DCE0000}"/>
    <cellStyle name="Normal 38 15 14 3" xfId="52885" xr:uid="{00000000-0005-0000-0000-00008ECE0000}"/>
    <cellStyle name="Normal 38 15 15" xfId="52886" xr:uid="{00000000-0005-0000-0000-00008FCE0000}"/>
    <cellStyle name="Normal 38 15 16" xfId="52887" xr:uid="{00000000-0005-0000-0000-000090CE0000}"/>
    <cellStyle name="Normal 38 15 2" xfId="52888" xr:uid="{00000000-0005-0000-0000-000091CE0000}"/>
    <cellStyle name="Normal 38 15 2 2" xfId="52889" xr:uid="{00000000-0005-0000-0000-000092CE0000}"/>
    <cellStyle name="Normal 38 15 2 3" xfId="52890" xr:uid="{00000000-0005-0000-0000-000093CE0000}"/>
    <cellStyle name="Normal 38 15 3" xfId="52891" xr:uid="{00000000-0005-0000-0000-000094CE0000}"/>
    <cellStyle name="Normal 38 15 3 2" xfId="52892" xr:uid="{00000000-0005-0000-0000-000095CE0000}"/>
    <cellStyle name="Normal 38 15 3 3" xfId="52893" xr:uid="{00000000-0005-0000-0000-000096CE0000}"/>
    <cellStyle name="Normal 38 15 4" xfId="52894" xr:uid="{00000000-0005-0000-0000-000097CE0000}"/>
    <cellStyle name="Normal 38 15 4 2" xfId="52895" xr:uid="{00000000-0005-0000-0000-000098CE0000}"/>
    <cellStyle name="Normal 38 15 4 3" xfId="52896" xr:uid="{00000000-0005-0000-0000-000099CE0000}"/>
    <cellStyle name="Normal 38 15 5" xfId="52897" xr:uid="{00000000-0005-0000-0000-00009ACE0000}"/>
    <cellStyle name="Normal 38 15 5 2" xfId="52898" xr:uid="{00000000-0005-0000-0000-00009BCE0000}"/>
    <cellStyle name="Normal 38 15 5 3" xfId="52899" xr:uid="{00000000-0005-0000-0000-00009CCE0000}"/>
    <cellStyle name="Normal 38 15 6" xfId="52900" xr:uid="{00000000-0005-0000-0000-00009DCE0000}"/>
    <cellStyle name="Normal 38 15 6 2" xfId="52901" xr:uid="{00000000-0005-0000-0000-00009ECE0000}"/>
    <cellStyle name="Normal 38 15 6 3" xfId="52902" xr:uid="{00000000-0005-0000-0000-00009FCE0000}"/>
    <cellStyle name="Normal 38 15 7" xfId="52903" xr:uid="{00000000-0005-0000-0000-0000A0CE0000}"/>
    <cellStyle name="Normal 38 15 7 2" xfId="52904" xr:uid="{00000000-0005-0000-0000-0000A1CE0000}"/>
    <cellStyle name="Normal 38 15 7 3" xfId="52905" xr:uid="{00000000-0005-0000-0000-0000A2CE0000}"/>
    <cellStyle name="Normal 38 15 8" xfId="52906" xr:uid="{00000000-0005-0000-0000-0000A3CE0000}"/>
    <cellStyle name="Normal 38 15 8 2" xfId="52907" xr:uid="{00000000-0005-0000-0000-0000A4CE0000}"/>
    <cellStyle name="Normal 38 15 8 3" xfId="52908" xr:uid="{00000000-0005-0000-0000-0000A5CE0000}"/>
    <cellStyle name="Normal 38 15 9" xfId="52909" xr:uid="{00000000-0005-0000-0000-0000A6CE0000}"/>
    <cellStyle name="Normal 38 15 9 2" xfId="52910" xr:uid="{00000000-0005-0000-0000-0000A7CE0000}"/>
    <cellStyle name="Normal 38 15 9 3" xfId="52911" xr:uid="{00000000-0005-0000-0000-0000A8CE0000}"/>
    <cellStyle name="Normal 38 16" xfId="52912" xr:uid="{00000000-0005-0000-0000-0000A9CE0000}"/>
    <cellStyle name="Normal 38 16 10" xfId="52913" xr:uid="{00000000-0005-0000-0000-0000AACE0000}"/>
    <cellStyle name="Normal 38 16 10 2" xfId="52914" xr:uid="{00000000-0005-0000-0000-0000ABCE0000}"/>
    <cellStyle name="Normal 38 16 10 3" xfId="52915" xr:uid="{00000000-0005-0000-0000-0000ACCE0000}"/>
    <cellStyle name="Normal 38 16 11" xfId="52916" xr:uid="{00000000-0005-0000-0000-0000ADCE0000}"/>
    <cellStyle name="Normal 38 16 11 2" xfId="52917" xr:uid="{00000000-0005-0000-0000-0000AECE0000}"/>
    <cellStyle name="Normal 38 16 11 3" xfId="52918" xr:uid="{00000000-0005-0000-0000-0000AFCE0000}"/>
    <cellStyle name="Normal 38 16 12" xfId="52919" xr:uid="{00000000-0005-0000-0000-0000B0CE0000}"/>
    <cellStyle name="Normal 38 16 12 2" xfId="52920" xr:uid="{00000000-0005-0000-0000-0000B1CE0000}"/>
    <cellStyle name="Normal 38 16 12 3" xfId="52921" xr:uid="{00000000-0005-0000-0000-0000B2CE0000}"/>
    <cellStyle name="Normal 38 16 13" xfId="52922" xr:uid="{00000000-0005-0000-0000-0000B3CE0000}"/>
    <cellStyle name="Normal 38 16 13 2" xfId="52923" xr:uid="{00000000-0005-0000-0000-0000B4CE0000}"/>
    <cellStyle name="Normal 38 16 13 3" xfId="52924" xr:uid="{00000000-0005-0000-0000-0000B5CE0000}"/>
    <cellStyle name="Normal 38 16 14" xfId="52925" xr:uid="{00000000-0005-0000-0000-0000B6CE0000}"/>
    <cellStyle name="Normal 38 16 14 2" xfId="52926" xr:uid="{00000000-0005-0000-0000-0000B7CE0000}"/>
    <cellStyle name="Normal 38 16 14 3" xfId="52927" xr:uid="{00000000-0005-0000-0000-0000B8CE0000}"/>
    <cellStyle name="Normal 38 16 15" xfId="52928" xr:uid="{00000000-0005-0000-0000-0000B9CE0000}"/>
    <cellStyle name="Normal 38 16 16" xfId="52929" xr:uid="{00000000-0005-0000-0000-0000BACE0000}"/>
    <cellStyle name="Normal 38 16 2" xfId="52930" xr:uid="{00000000-0005-0000-0000-0000BBCE0000}"/>
    <cellStyle name="Normal 38 16 2 2" xfId="52931" xr:uid="{00000000-0005-0000-0000-0000BCCE0000}"/>
    <cellStyle name="Normal 38 16 2 3" xfId="52932" xr:uid="{00000000-0005-0000-0000-0000BDCE0000}"/>
    <cellStyle name="Normal 38 16 3" xfId="52933" xr:uid="{00000000-0005-0000-0000-0000BECE0000}"/>
    <cellStyle name="Normal 38 16 3 2" xfId="52934" xr:uid="{00000000-0005-0000-0000-0000BFCE0000}"/>
    <cellStyle name="Normal 38 16 3 3" xfId="52935" xr:uid="{00000000-0005-0000-0000-0000C0CE0000}"/>
    <cellStyle name="Normal 38 16 4" xfId="52936" xr:uid="{00000000-0005-0000-0000-0000C1CE0000}"/>
    <cellStyle name="Normal 38 16 4 2" xfId="52937" xr:uid="{00000000-0005-0000-0000-0000C2CE0000}"/>
    <cellStyle name="Normal 38 16 4 3" xfId="52938" xr:uid="{00000000-0005-0000-0000-0000C3CE0000}"/>
    <cellStyle name="Normal 38 16 5" xfId="52939" xr:uid="{00000000-0005-0000-0000-0000C4CE0000}"/>
    <cellStyle name="Normal 38 16 5 2" xfId="52940" xr:uid="{00000000-0005-0000-0000-0000C5CE0000}"/>
    <cellStyle name="Normal 38 16 5 3" xfId="52941" xr:uid="{00000000-0005-0000-0000-0000C6CE0000}"/>
    <cellStyle name="Normal 38 16 6" xfId="52942" xr:uid="{00000000-0005-0000-0000-0000C7CE0000}"/>
    <cellStyle name="Normal 38 16 6 2" xfId="52943" xr:uid="{00000000-0005-0000-0000-0000C8CE0000}"/>
    <cellStyle name="Normal 38 16 6 3" xfId="52944" xr:uid="{00000000-0005-0000-0000-0000C9CE0000}"/>
    <cellStyle name="Normal 38 16 7" xfId="52945" xr:uid="{00000000-0005-0000-0000-0000CACE0000}"/>
    <cellStyle name="Normal 38 16 7 2" xfId="52946" xr:uid="{00000000-0005-0000-0000-0000CBCE0000}"/>
    <cellStyle name="Normal 38 16 7 3" xfId="52947" xr:uid="{00000000-0005-0000-0000-0000CCCE0000}"/>
    <cellStyle name="Normal 38 16 8" xfId="52948" xr:uid="{00000000-0005-0000-0000-0000CDCE0000}"/>
    <cellStyle name="Normal 38 16 8 2" xfId="52949" xr:uid="{00000000-0005-0000-0000-0000CECE0000}"/>
    <cellStyle name="Normal 38 16 8 3" xfId="52950" xr:uid="{00000000-0005-0000-0000-0000CFCE0000}"/>
    <cellStyle name="Normal 38 16 9" xfId="52951" xr:uid="{00000000-0005-0000-0000-0000D0CE0000}"/>
    <cellStyle name="Normal 38 16 9 2" xfId="52952" xr:uid="{00000000-0005-0000-0000-0000D1CE0000}"/>
    <cellStyle name="Normal 38 16 9 3" xfId="52953" xr:uid="{00000000-0005-0000-0000-0000D2CE0000}"/>
    <cellStyle name="Normal 38 17" xfId="52954" xr:uid="{00000000-0005-0000-0000-0000D3CE0000}"/>
    <cellStyle name="Normal 38 17 10" xfId="52955" xr:uid="{00000000-0005-0000-0000-0000D4CE0000}"/>
    <cellStyle name="Normal 38 17 10 2" xfId="52956" xr:uid="{00000000-0005-0000-0000-0000D5CE0000}"/>
    <cellStyle name="Normal 38 17 10 3" xfId="52957" xr:uid="{00000000-0005-0000-0000-0000D6CE0000}"/>
    <cellStyle name="Normal 38 17 11" xfId="52958" xr:uid="{00000000-0005-0000-0000-0000D7CE0000}"/>
    <cellStyle name="Normal 38 17 11 2" xfId="52959" xr:uid="{00000000-0005-0000-0000-0000D8CE0000}"/>
    <cellStyle name="Normal 38 17 11 3" xfId="52960" xr:uid="{00000000-0005-0000-0000-0000D9CE0000}"/>
    <cellStyle name="Normal 38 17 12" xfId="52961" xr:uid="{00000000-0005-0000-0000-0000DACE0000}"/>
    <cellStyle name="Normal 38 17 12 2" xfId="52962" xr:uid="{00000000-0005-0000-0000-0000DBCE0000}"/>
    <cellStyle name="Normal 38 17 12 3" xfId="52963" xr:uid="{00000000-0005-0000-0000-0000DCCE0000}"/>
    <cellStyle name="Normal 38 17 13" xfId="52964" xr:uid="{00000000-0005-0000-0000-0000DDCE0000}"/>
    <cellStyle name="Normal 38 17 13 2" xfId="52965" xr:uid="{00000000-0005-0000-0000-0000DECE0000}"/>
    <cellStyle name="Normal 38 17 13 3" xfId="52966" xr:uid="{00000000-0005-0000-0000-0000DFCE0000}"/>
    <cellStyle name="Normal 38 17 14" xfId="52967" xr:uid="{00000000-0005-0000-0000-0000E0CE0000}"/>
    <cellStyle name="Normal 38 17 14 2" xfId="52968" xr:uid="{00000000-0005-0000-0000-0000E1CE0000}"/>
    <cellStyle name="Normal 38 17 14 3" xfId="52969" xr:uid="{00000000-0005-0000-0000-0000E2CE0000}"/>
    <cellStyle name="Normal 38 17 15" xfId="52970" xr:uid="{00000000-0005-0000-0000-0000E3CE0000}"/>
    <cellStyle name="Normal 38 17 16" xfId="52971" xr:uid="{00000000-0005-0000-0000-0000E4CE0000}"/>
    <cellStyle name="Normal 38 17 2" xfId="52972" xr:uid="{00000000-0005-0000-0000-0000E5CE0000}"/>
    <cellStyle name="Normal 38 17 2 2" xfId="52973" xr:uid="{00000000-0005-0000-0000-0000E6CE0000}"/>
    <cellStyle name="Normal 38 17 2 3" xfId="52974" xr:uid="{00000000-0005-0000-0000-0000E7CE0000}"/>
    <cellStyle name="Normal 38 17 3" xfId="52975" xr:uid="{00000000-0005-0000-0000-0000E8CE0000}"/>
    <cellStyle name="Normal 38 17 3 2" xfId="52976" xr:uid="{00000000-0005-0000-0000-0000E9CE0000}"/>
    <cellStyle name="Normal 38 17 3 3" xfId="52977" xr:uid="{00000000-0005-0000-0000-0000EACE0000}"/>
    <cellStyle name="Normal 38 17 4" xfId="52978" xr:uid="{00000000-0005-0000-0000-0000EBCE0000}"/>
    <cellStyle name="Normal 38 17 4 2" xfId="52979" xr:uid="{00000000-0005-0000-0000-0000ECCE0000}"/>
    <cellStyle name="Normal 38 17 4 3" xfId="52980" xr:uid="{00000000-0005-0000-0000-0000EDCE0000}"/>
    <cellStyle name="Normal 38 17 5" xfId="52981" xr:uid="{00000000-0005-0000-0000-0000EECE0000}"/>
    <cellStyle name="Normal 38 17 5 2" xfId="52982" xr:uid="{00000000-0005-0000-0000-0000EFCE0000}"/>
    <cellStyle name="Normal 38 17 5 3" xfId="52983" xr:uid="{00000000-0005-0000-0000-0000F0CE0000}"/>
    <cellStyle name="Normal 38 17 6" xfId="52984" xr:uid="{00000000-0005-0000-0000-0000F1CE0000}"/>
    <cellStyle name="Normal 38 17 6 2" xfId="52985" xr:uid="{00000000-0005-0000-0000-0000F2CE0000}"/>
    <cellStyle name="Normal 38 17 6 3" xfId="52986" xr:uid="{00000000-0005-0000-0000-0000F3CE0000}"/>
    <cellStyle name="Normal 38 17 7" xfId="52987" xr:uid="{00000000-0005-0000-0000-0000F4CE0000}"/>
    <cellStyle name="Normal 38 17 7 2" xfId="52988" xr:uid="{00000000-0005-0000-0000-0000F5CE0000}"/>
    <cellStyle name="Normal 38 17 7 3" xfId="52989" xr:uid="{00000000-0005-0000-0000-0000F6CE0000}"/>
    <cellStyle name="Normal 38 17 8" xfId="52990" xr:uid="{00000000-0005-0000-0000-0000F7CE0000}"/>
    <cellStyle name="Normal 38 17 8 2" xfId="52991" xr:uid="{00000000-0005-0000-0000-0000F8CE0000}"/>
    <cellStyle name="Normal 38 17 8 3" xfId="52992" xr:uid="{00000000-0005-0000-0000-0000F9CE0000}"/>
    <cellStyle name="Normal 38 17 9" xfId="52993" xr:uid="{00000000-0005-0000-0000-0000FACE0000}"/>
    <cellStyle name="Normal 38 17 9 2" xfId="52994" xr:uid="{00000000-0005-0000-0000-0000FBCE0000}"/>
    <cellStyle name="Normal 38 17 9 3" xfId="52995" xr:uid="{00000000-0005-0000-0000-0000FCCE0000}"/>
    <cellStyle name="Normal 38 18" xfId="52996" xr:uid="{00000000-0005-0000-0000-0000FDCE0000}"/>
    <cellStyle name="Normal 38 18 2" xfId="52997" xr:uid="{00000000-0005-0000-0000-0000FECE0000}"/>
    <cellStyle name="Normal 38 18 3" xfId="52998" xr:uid="{00000000-0005-0000-0000-0000FFCE0000}"/>
    <cellStyle name="Normal 38 19" xfId="52999" xr:uid="{00000000-0005-0000-0000-000000CF0000}"/>
    <cellStyle name="Normal 38 19 2" xfId="53000" xr:uid="{00000000-0005-0000-0000-000001CF0000}"/>
    <cellStyle name="Normal 38 19 3" xfId="53001" xr:uid="{00000000-0005-0000-0000-000002CF0000}"/>
    <cellStyle name="Normal 38 2" xfId="53002" xr:uid="{00000000-0005-0000-0000-000003CF0000}"/>
    <cellStyle name="Normal 38 2 10" xfId="53003" xr:uid="{00000000-0005-0000-0000-000004CF0000}"/>
    <cellStyle name="Normal 38 2 11" xfId="53004" xr:uid="{00000000-0005-0000-0000-000005CF0000}"/>
    <cellStyle name="Normal 38 2 12" xfId="53005" xr:uid="{00000000-0005-0000-0000-000006CF0000}"/>
    <cellStyle name="Normal 38 2 13" xfId="53006" xr:uid="{00000000-0005-0000-0000-000007CF0000}"/>
    <cellStyle name="Normal 38 2 14" xfId="53007" xr:uid="{00000000-0005-0000-0000-000008CF0000}"/>
    <cellStyle name="Normal 38 2 15" xfId="53008" xr:uid="{00000000-0005-0000-0000-000009CF0000}"/>
    <cellStyle name="Normal 38 2 16" xfId="53009" xr:uid="{00000000-0005-0000-0000-00000ACF0000}"/>
    <cellStyle name="Normal 38 2 17" xfId="53010" xr:uid="{00000000-0005-0000-0000-00000BCF0000}"/>
    <cellStyle name="Normal 38 2 2" xfId="53011" xr:uid="{00000000-0005-0000-0000-00000CCF0000}"/>
    <cellStyle name="Normal 38 2 2 10" xfId="53012" xr:uid="{00000000-0005-0000-0000-00000DCF0000}"/>
    <cellStyle name="Normal 38 2 2 11" xfId="53013" xr:uid="{00000000-0005-0000-0000-00000ECF0000}"/>
    <cellStyle name="Normal 38 2 2 12" xfId="53014" xr:uid="{00000000-0005-0000-0000-00000FCF0000}"/>
    <cellStyle name="Normal 38 2 2 13" xfId="53015" xr:uid="{00000000-0005-0000-0000-000010CF0000}"/>
    <cellStyle name="Normal 38 2 2 14" xfId="53016" xr:uid="{00000000-0005-0000-0000-000011CF0000}"/>
    <cellStyle name="Normal 38 2 2 2" xfId="53017" xr:uid="{00000000-0005-0000-0000-000012CF0000}"/>
    <cellStyle name="Normal 38 2 2 2 2" xfId="53018" xr:uid="{00000000-0005-0000-0000-000013CF0000}"/>
    <cellStyle name="Normal 38 2 2 2 2 2" xfId="53019" xr:uid="{00000000-0005-0000-0000-000014CF0000}"/>
    <cellStyle name="Normal 38 2 2 2 2 3" xfId="53020" xr:uid="{00000000-0005-0000-0000-000015CF0000}"/>
    <cellStyle name="Normal 38 2 2 2 3" xfId="53021" xr:uid="{00000000-0005-0000-0000-000016CF0000}"/>
    <cellStyle name="Normal 38 2 2 3" xfId="53022" xr:uid="{00000000-0005-0000-0000-000017CF0000}"/>
    <cellStyle name="Normal 38 2 2 4" xfId="53023" xr:uid="{00000000-0005-0000-0000-000018CF0000}"/>
    <cellStyle name="Normal 38 2 2 5" xfId="53024" xr:uid="{00000000-0005-0000-0000-000019CF0000}"/>
    <cellStyle name="Normal 38 2 2 6" xfId="53025" xr:uid="{00000000-0005-0000-0000-00001ACF0000}"/>
    <cellStyle name="Normal 38 2 2 7" xfId="53026" xr:uid="{00000000-0005-0000-0000-00001BCF0000}"/>
    <cellStyle name="Normal 38 2 2 8" xfId="53027" xr:uid="{00000000-0005-0000-0000-00001CCF0000}"/>
    <cellStyle name="Normal 38 2 2 9" xfId="53028" xr:uid="{00000000-0005-0000-0000-00001DCF0000}"/>
    <cellStyle name="Normal 38 2 3" xfId="53029" xr:uid="{00000000-0005-0000-0000-00001ECF0000}"/>
    <cellStyle name="Normal 38 2 4" xfId="53030" xr:uid="{00000000-0005-0000-0000-00001FCF0000}"/>
    <cellStyle name="Normal 38 2 5" xfId="53031" xr:uid="{00000000-0005-0000-0000-000020CF0000}"/>
    <cellStyle name="Normal 38 2 6" xfId="53032" xr:uid="{00000000-0005-0000-0000-000021CF0000}"/>
    <cellStyle name="Normal 38 2 6 2" xfId="53033" xr:uid="{00000000-0005-0000-0000-000022CF0000}"/>
    <cellStyle name="Normal 38 2 6 2 2" xfId="53034" xr:uid="{00000000-0005-0000-0000-000023CF0000}"/>
    <cellStyle name="Normal 38 2 6 2 3" xfId="53035" xr:uid="{00000000-0005-0000-0000-000024CF0000}"/>
    <cellStyle name="Normal 38 2 6 3" xfId="53036" xr:uid="{00000000-0005-0000-0000-000025CF0000}"/>
    <cellStyle name="Normal 38 2 7" xfId="53037" xr:uid="{00000000-0005-0000-0000-000026CF0000}"/>
    <cellStyle name="Normal 38 2 7 2" xfId="53038" xr:uid="{00000000-0005-0000-0000-000027CF0000}"/>
    <cellStyle name="Normal 38 2 7 2 2" xfId="53039" xr:uid="{00000000-0005-0000-0000-000028CF0000}"/>
    <cellStyle name="Normal 38 2 7 2 3" xfId="53040" xr:uid="{00000000-0005-0000-0000-000029CF0000}"/>
    <cellStyle name="Normal 38 2 7 3" xfId="53041" xr:uid="{00000000-0005-0000-0000-00002ACF0000}"/>
    <cellStyle name="Normal 38 2 8" xfId="53042" xr:uid="{00000000-0005-0000-0000-00002BCF0000}"/>
    <cellStyle name="Normal 38 2 9" xfId="53043" xr:uid="{00000000-0005-0000-0000-00002CCF0000}"/>
    <cellStyle name="Normal 38 20" xfId="53044" xr:uid="{00000000-0005-0000-0000-00002DCF0000}"/>
    <cellStyle name="Normal 38 20 2" xfId="53045" xr:uid="{00000000-0005-0000-0000-00002ECF0000}"/>
    <cellStyle name="Normal 38 20 3" xfId="53046" xr:uid="{00000000-0005-0000-0000-00002FCF0000}"/>
    <cellStyle name="Normal 38 21" xfId="53047" xr:uid="{00000000-0005-0000-0000-000030CF0000}"/>
    <cellStyle name="Normal 38 21 2" xfId="53048" xr:uid="{00000000-0005-0000-0000-000031CF0000}"/>
    <cellStyle name="Normal 38 21 3" xfId="53049" xr:uid="{00000000-0005-0000-0000-000032CF0000}"/>
    <cellStyle name="Normal 38 22" xfId="53050" xr:uid="{00000000-0005-0000-0000-000033CF0000}"/>
    <cellStyle name="Normal 38 22 2" xfId="53051" xr:uid="{00000000-0005-0000-0000-000034CF0000}"/>
    <cellStyle name="Normal 38 22 3" xfId="53052" xr:uid="{00000000-0005-0000-0000-000035CF0000}"/>
    <cellStyle name="Normal 38 23" xfId="53053" xr:uid="{00000000-0005-0000-0000-000036CF0000}"/>
    <cellStyle name="Normal 38 23 2" xfId="53054" xr:uid="{00000000-0005-0000-0000-000037CF0000}"/>
    <cellStyle name="Normal 38 23 3" xfId="53055" xr:uid="{00000000-0005-0000-0000-000038CF0000}"/>
    <cellStyle name="Normal 38 24" xfId="53056" xr:uid="{00000000-0005-0000-0000-000039CF0000}"/>
    <cellStyle name="Normal 38 24 2" xfId="53057" xr:uid="{00000000-0005-0000-0000-00003ACF0000}"/>
    <cellStyle name="Normal 38 24 3" xfId="53058" xr:uid="{00000000-0005-0000-0000-00003BCF0000}"/>
    <cellStyle name="Normal 38 25" xfId="53059" xr:uid="{00000000-0005-0000-0000-00003CCF0000}"/>
    <cellStyle name="Normal 38 25 2" xfId="53060" xr:uid="{00000000-0005-0000-0000-00003DCF0000}"/>
    <cellStyle name="Normal 38 25 3" xfId="53061" xr:uid="{00000000-0005-0000-0000-00003ECF0000}"/>
    <cellStyle name="Normal 38 26" xfId="53062" xr:uid="{00000000-0005-0000-0000-00003FCF0000}"/>
    <cellStyle name="Normal 38 26 2" xfId="53063" xr:uid="{00000000-0005-0000-0000-000040CF0000}"/>
    <cellStyle name="Normal 38 26 3" xfId="53064" xr:uid="{00000000-0005-0000-0000-000041CF0000}"/>
    <cellStyle name="Normal 38 27" xfId="53065" xr:uid="{00000000-0005-0000-0000-000042CF0000}"/>
    <cellStyle name="Normal 38 27 2" xfId="53066" xr:uid="{00000000-0005-0000-0000-000043CF0000}"/>
    <cellStyle name="Normal 38 27 3" xfId="53067" xr:uid="{00000000-0005-0000-0000-000044CF0000}"/>
    <cellStyle name="Normal 38 28" xfId="53068" xr:uid="{00000000-0005-0000-0000-000045CF0000}"/>
    <cellStyle name="Normal 38 28 2" xfId="53069" xr:uid="{00000000-0005-0000-0000-000046CF0000}"/>
    <cellStyle name="Normal 38 28 3" xfId="53070" xr:uid="{00000000-0005-0000-0000-000047CF0000}"/>
    <cellStyle name="Normal 38 29" xfId="53071" xr:uid="{00000000-0005-0000-0000-000048CF0000}"/>
    <cellStyle name="Normal 38 29 2" xfId="53072" xr:uid="{00000000-0005-0000-0000-000049CF0000}"/>
    <cellStyle name="Normal 38 29 3" xfId="53073" xr:uid="{00000000-0005-0000-0000-00004ACF0000}"/>
    <cellStyle name="Normal 38 3" xfId="53074" xr:uid="{00000000-0005-0000-0000-00004BCF0000}"/>
    <cellStyle name="Normal 38 30" xfId="53075" xr:uid="{00000000-0005-0000-0000-00004CCF0000}"/>
    <cellStyle name="Normal 38 30 2" xfId="53076" xr:uid="{00000000-0005-0000-0000-00004DCF0000}"/>
    <cellStyle name="Normal 38 30 3" xfId="53077" xr:uid="{00000000-0005-0000-0000-00004ECF0000}"/>
    <cellStyle name="Normal 38 31" xfId="53078" xr:uid="{00000000-0005-0000-0000-00004FCF0000}"/>
    <cellStyle name="Normal 38 32" xfId="53079" xr:uid="{00000000-0005-0000-0000-000050CF0000}"/>
    <cellStyle name="Normal 38 33" xfId="53080" xr:uid="{00000000-0005-0000-0000-000051CF0000}"/>
    <cellStyle name="Normal 38 34" xfId="53081" xr:uid="{00000000-0005-0000-0000-000052CF0000}"/>
    <cellStyle name="Normal 38 35" xfId="53082" xr:uid="{00000000-0005-0000-0000-000053CF0000}"/>
    <cellStyle name="Normal 38 36" xfId="53083" xr:uid="{00000000-0005-0000-0000-000054CF0000}"/>
    <cellStyle name="Normal 38 37" xfId="53084" xr:uid="{00000000-0005-0000-0000-000055CF0000}"/>
    <cellStyle name="Normal 38 38" xfId="53085" xr:uid="{00000000-0005-0000-0000-000056CF0000}"/>
    <cellStyle name="Normal 38 39" xfId="53086" xr:uid="{00000000-0005-0000-0000-000057CF0000}"/>
    <cellStyle name="Normal 38 4" xfId="53087" xr:uid="{00000000-0005-0000-0000-000058CF0000}"/>
    <cellStyle name="Normal 38 4 10" xfId="53088" xr:uid="{00000000-0005-0000-0000-000059CF0000}"/>
    <cellStyle name="Normal 38 4 10 2" xfId="53089" xr:uid="{00000000-0005-0000-0000-00005ACF0000}"/>
    <cellStyle name="Normal 38 4 10 3" xfId="53090" xr:uid="{00000000-0005-0000-0000-00005BCF0000}"/>
    <cellStyle name="Normal 38 4 11" xfId="53091" xr:uid="{00000000-0005-0000-0000-00005CCF0000}"/>
    <cellStyle name="Normal 38 4 11 2" xfId="53092" xr:uid="{00000000-0005-0000-0000-00005DCF0000}"/>
    <cellStyle name="Normal 38 4 11 3" xfId="53093" xr:uid="{00000000-0005-0000-0000-00005ECF0000}"/>
    <cellStyle name="Normal 38 4 12" xfId="53094" xr:uid="{00000000-0005-0000-0000-00005FCF0000}"/>
    <cellStyle name="Normal 38 4 12 2" xfId="53095" xr:uid="{00000000-0005-0000-0000-000060CF0000}"/>
    <cellStyle name="Normal 38 4 12 3" xfId="53096" xr:uid="{00000000-0005-0000-0000-000061CF0000}"/>
    <cellStyle name="Normal 38 4 13" xfId="53097" xr:uid="{00000000-0005-0000-0000-000062CF0000}"/>
    <cellStyle name="Normal 38 4 13 2" xfId="53098" xr:uid="{00000000-0005-0000-0000-000063CF0000}"/>
    <cellStyle name="Normal 38 4 13 3" xfId="53099" xr:uid="{00000000-0005-0000-0000-000064CF0000}"/>
    <cellStyle name="Normal 38 4 14" xfId="53100" xr:uid="{00000000-0005-0000-0000-000065CF0000}"/>
    <cellStyle name="Normal 38 4 14 2" xfId="53101" xr:uid="{00000000-0005-0000-0000-000066CF0000}"/>
    <cellStyle name="Normal 38 4 14 3" xfId="53102" xr:uid="{00000000-0005-0000-0000-000067CF0000}"/>
    <cellStyle name="Normal 38 4 15" xfId="53103" xr:uid="{00000000-0005-0000-0000-000068CF0000}"/>
    <cellStyle name="Normal 38 4 15 2" xfId="53104" xr:uid="{00000000-0005-0000-0000-000069CF0000}"/>
    <cellStyle name="Normal 38 4 15 3" xfId="53105" xr:uid="{00000000-0005-0000-0000-00006ACF0000}"/>
    <cellStyle name="Normal 38 4 16" xfId="53106" xr:uid="{00000000-0005-0000-0000-00006BCF0000}"/>
    <cellStyle name="Normal 38 4 17" xfId="53107" xr:uid="{00000000-0005-0000-0000-00006CCF0000}"/>
    <cellStyle name="Normal 38 4 18" xfId="53108" xr:uid="{00000000-0005-0000-0000-00006DCF0000}"/>
    <cellStyle name="Normal 38 4 19" xfId="53109" xr:uid="{00000000-0005-0000-0000-00006ECF0000}"/>
    <cellStyle name="Normal 38 4 2" xfId="53110" xr:uid="{00000000-0005-0000-0000-00006FCF0000}"/>
    <cellStyle name="Normal 38 4 2 10" xfId="53111" xr:uid="{00000000-0005-0000-0000-000070CF0000}"/>
    <cellStyle name="Normal 38 4 2 10 2" xfId="53112" xr:uid="{00000000-0005-0000-0000-000071CF0000}"/>
    <cellStyle name="Normal 38 4 2 10 3" xfId="53113" xr:uid="{00000000-0005-0000-0000-000072CF0000}"/>
    <cellStyle name="Normal 38 4 2 11" xfId="53114" xr:uid="{00000000-0005-0000-0000-000073CF0000}"/>
    <cellStyle name="Normal 38 4 2 11 2" xfId="53115" xr:uid="{00000000-0005-0000-0000-000074CF0000}"/>
    <cellStyle name="Normal 38 4 2 11 3" xfId="53116" xr:uid="{00000000-0005-0000-0000-000075CF0000}"/>
    <cellStyle name="Normal 38 4 2 12" xfId="53117" xr:uid="{00000000-0005-0000-0000-000076CF0000}"/>
    <cellStyle name="Normal 38 4 2 12 2" xfId="53118" xr:uid="{00000000-0005-0000-0000-000077CF0000}"/>
    <cellStyle name="Normal 38 4 2 12 3" xfId="53119" xr:uid="{00000000-0005-0000-0000-000078CF0000}"/>
    <cellStyle name="Normal 38 4 2 13" xfId="53120" xr:uid="{00000000-0005-0000-0000-000079CF0000}"/>
    <cellStyle name="Normal 38 4 2 13 2" xfId="53121" xr:uid="{00000000-0005-0000-0000-00007ACF0000}"/>
    <cellStyle name="Normal 38 4 2 13 3" xfId="53122" xr:uid="{00000000-0005-0000-0000-00007BCF0000}"/>
    <cellStyle name="Normal 38 4 2 14" xfId="53123" xr:uid="{00000000-0005-0000-0000-00007CCF0000}"/>
    <cellStyle name="Normal 38 4 2 14 2" xfId="53124" xr:uid="{00000000-0005-0000-0000-00007DCF0000}"/>
    <cellStyle name="Normal 38 4 2 14 3" xfId="53125" xr:uid="{00000000-0005-0000-0000-00007ECF0000}"/>
    <cellStyle name="Normal 38 4 2 15" xfId="53126" xr:uid="{00000000-0005-0000-0000-00007FCF0000}"/>
    <cellStyle name="Normal 38 4 2 16" xfId="53127" xr:uid="{00000000-0005-0000-0000-000080CF0000}"/>
    <cellStyle name="Normal 38 4 2 2" xfId="53128" xr:uid="{00000000-0005-0000-0000-000081CF0000}"/>
    <cellStyle name="Normal 38 4 2 2 2" xfId="53129" xr:uid="{00000000-0005-0000-0000-000082CF0000}"/>
    <cellStyle name="Normal 38 4 2 2 3" xfId="53130" xr:uid="{00000000-0005-0000-0000-000083CF0000}"/>
    <cellStyle name="Normal 38 4 2 3" xfId="53131" xr:uid="{00000000-0005-0000-0000-000084CF0000}"/>
    <cellStyle name="Normal 38 4 2 3 2" xfId="53132" xr:uid="{00000000-0005-0000-0000-000085CF0000}"/>
    <cellStyle name="Normal 38 4 2 3 3" xfId="53133" xr:uid="{00000000-0005-0000-0000-000086CF0000}"/>
    <cellStyle name="Normal 38 4 2 4" xfId="53134" xr:uid="{00000000-0005-0000-0000-000087CF0000}"/>
    <cellStyle name="Normal 38 4 2 4 2" xfId="53135" xr:uid="{00000000-0005-0000-0000-000088CF0000}"/>
    <cellStyle name="Normal 38 4 2 4 3" xfId="53136" xr:uid="{00000000-0005-0000-0000-000089CF0000}"/>
    <cellStyle name="Normal 38 4 2 5" xfId="53137" xr:uid="{00000000-0005-0000-0000-00008ACF0000}"/>
    <cellStyle name="Normal 38 4 2 5 2" xfId="53138" xr:uid="{00000000-0005-0000-0000-00008BCF0000}"/>
    <cellStyle name="Normal 38 4 2 5 3" xfId="53139" xr:uid="{00000000-0005-0000-0000-00008CCF0000}"/>
    <cellStyle name="Normal 38 4 2 6" xfId="53140" xr:uid="{00000000-0005-0000-0000-00008DCF0000}"/>
    <cellStyle name="Normal 38 4 2 6 2" xfId="53141" xr:uid="{00000000-0005-0000-0000-00008ECF0000}"/>
    <cellStyle name="Normal 38 4 2 6 3" xfId="53142" xr:uid="{00000000-0005-0000-0000-00008FCF0000}"/>
    <cellStyle name="Normal 38 4 2 7" xfId="53143" xr:uid="{00000000-0005-0000-0000-000090CF0000}"/>
    <cellStyle name="Normal 38 4 2 7 2" xfId="53144" xr:uid="{00000000-0005-0000-0000-000091CF0000}"/>
    <cellStyle name="Normal 38 4 2 7 3" xfId="53145" xr:uid="{00000000-0005-0000-0000-000092CF0000}"/>
    <cellStyle name="Normal 38 4 2 8" xfId="53146" xr:uid="{00000000-0005-0000-0000-000093CF0000}"/>
    <cellStyle name="Normal 38 4 2 8 2" xfId="53147" xr:uid="{00000000-0005-0000-0000-000094CF0000}"/>
    <cellStyle name="Normal 38 4 2 8 3" xfId="53148" xr:uid="{00000000-0005-0000-0000-000095CF0000}"/>
    <cellStyle name="Normal 38 4 2 9" xfId="53149" xr:uid="{00000000-0005-0000-0000-000096CF0000}"/>
    <cellStyle name="Normal 38 4 2 9 2" xfId="53150" xr:uid="{00000000-0005-0000-0000-000097CF0000}"/>
    <cellStyle name="Normal 38 4 2 9 3" xfId="53151" xr:uid="{00000000-0005-0000-0000-000098CF0000}"/>
    <cellStyle name="Normal 38 4 20" xfId="53152" xr:uid="{00000000-0005-0000-0000-000099CF0000}"/>
    <cellStyle name="Normal 38 4 21" xfId="53153" xr:uid="{00000000-0005-0000-0000-00009ACF0000}"/>
    <cellStyle name="Normal 38 4 22" xfId="53154" xr:uid="{00000000-0005-0000-0000-00009BCF0000}"/>
    <cellStyle name="Normal 38 4 23" xfId="53155" xr:uid="{00000000-0005-0000-0000-00009CCF0000}"/>
    <cellStyle name="Normal 38 4 24" xfId="53156" xr:uid="{00000000-0005-0000-0000-00009DCF0000}"/>
    <cellStyle name="Normal 38 4 25" xfId="53157" xr:uid="{00000000-0005-0000-0000-00009ECF0000}"/>
    <cellStyle name="Normal 38 4 26" xfId="53158" xr:uid="{00000000-0005-0000-0000-00009FCF0000}"/>
    <cellStyle name="Normal 38 4 27" xfId="53159" xr:uid="{00000000-0005-0000-0000-0000A0CF0000}"/>
    <cellStyle name="Normal 38 4 28" xfId="53160" xr:uid="{00000000-0005-0000-0000-0000A1CF0000}"/>
    <cellStyle name="Normal 38 4 3" xfId="53161" xr:uid="{00000000-0005-0000-0000-0000A2CF0000}"/>
    <cellStyle name="Normal 38 4 3 2" xfId="53162" xr:uid="{00000000-0005-0000-0000-0000A3CF0000}"/>
    <cellStyle name="Normal 38 4 3 3" xfId="53163" xr:uid="{00000000-0005-0000-0000-0000A4CF0000}"/>
    <cellStyle name="Normal 38 4 4" xfId="53164" xr:uid="{00000000-0005-0000-0000-0000A5CF0000}"/>
    <cellStyle name="Normal 38 4 4 2" xfId="53165" xr:uid="{00000000-0005-0000-0000-0000A6CF0000}"/>
    <cellStyle name="Normal 38 4 4 3" xfId="53166" xr:uid="{00000000-0005-0000-0000-0000A7CF0000}"/>
    <cellStyle name="Normal 38 4 5" xfId="53167" xr:uid="{00000000-0005-0000-0000-0000A8CF0000}"/>
    <cellStyle name="Normal 38 4 5 2" xfId="53168" xr:uid="{00000000-0005-0000-0000-0000A9CF0000}"/>
    <cellStyle name="Normal 38 4 5 3" xfId="53169" xr:uid="{00000000-0005-0000-0000-0000AACF0000}"/>
    <cellStyle name="Normal 38 4 6" xfId="53170" xr:uid="{00000000-0005-0000-0000-0000ABCF0000}"/>
    <cellStyle name="Normal 38 4 6 2" xfId="53171" xr:uid="{00000000-0005-0000-0000-0000ACCF0000}"/>
    <cellStyle name="Normal 38 4 6 3" xfId="53172" xr:uid="{00000000-0005-0000-0000-0000ADCF0000}"/>
    <cellStyle name="Normal 38 4 7" xfId="53173" xr:uid="{00000000-0005-0000-0000-0000AECF0000}"/>
    <cellStyle name="Normal 38 4 7 2" xfId="53174" xr:uid="{00000000-0005-0000-0000-0000AFCF0000}"/>
    <cellStyle name="Normal 38 4 7 3" xfId="53175" xr:uid="{00000000-0005-0000-0000-0000B0CF0000}"/>
    <cellStyle name="Normal 38 4 8" xfId="53176" xr:uid="{00000000-0005-0000-0000-0000B1CF0000}"/>
    <cellStyle name="Normal 38 4 8 2" xfId="53177" xr:uid="{00000000-0005-0000-0000-0000B2CF0000}"/>
    <cellStyle name="Normal 38 4 8 3" xfId="53178" xr:uid="{00000000-0005-0000-0000-0000B3CF0000}"/>
    <cellStyle name="Normal 38 4 9" xfId="53179" xr:uid="{00000000-0005-0000-0000-0000B4CF0000}"/>
    <cellStyle name="Normal 38 4 9 2" xfId="53180" xr:uid="{00000000-0005-0000-0000-0000B5CF0000}"/>
    <cellStyle name="Normal 38 4 9 3" xfId="53181" xr:uid="{00000000-0005-0000-0000-0000B6CF0000}"/>
    <cellStyle name="Normal 38 40" xfId="53182" xr:uid="{00000000-0005-0000-0000-0000B7CF0000}"/>
    <cellStyle name="Normal 38 41" xfId="53183" xr:uid="{00000000-0005-0000-0000-0000B8CF0000}"/>
    <cellStyle name="Normal 38 42" xfId="53184" xr:uid="{00000000-0005-0000-0000-0000B9CF0000}"/>
    <cellStyle name="Normal 38 43" xfId="53185" xr:uid="{00000000-0005-0000-0000-0000BACF0000}"/>
    <cellStyle name="Normal 38 5" xfId="53186" xr:uid="{00000000-0005-0000-0000-0000BBCF0000}"/>
    <cellStyle name="Normal 38 5 10" xfId="53187" xr:uid="{00000000-0005-0000-0000-0000BCCF0000}"/>
    <cellStyle name="Normal 38 5 10 2" xfId="53188" xr:uid="{00000000-0005-0000-0000-0000BDCF0000}"/>
    <cellStyle name="Normal 38 5 10 3" xfId="53189" xr:uid="{00000000-0005-0000-0000-0000BECF0000}"/>
    <cellStyle name="Normal 38 5 11" xfId="53190" xr:uid="{00000000-0005-0000-0000-0000BFCF0000}"/>
    <cellStyle name="Normal 38 5 11 2" xfId="53191" xr:uid="{00000000-0005-0000-0000-0000C0CF0000}"/>
    <cellStyle name="Normal 38 5 11 3" xfId="53192" xr:uid="{00000000-0005-0000-0000-0000C1CF0000}"/>
    <cellStyle name="Normal 38 5 12" xfId="53193" xr:uid="{00000000-0005-0000-0000-0000C2CF0000}"/>
    <cellStyle name="Normal 38 5 12 2" xfId="53194" xr:uid="{00000000-0005-0000-0000-0000C3CF0000}"/>
    <cellStyle name="Normal 38 5 12 3" xfId="53195" xr:uid="{00000000-0005-0000-0000-0000C4CF0000}"/>
    <cellStyle name="Normal 38 5 13" xfId="53196" xr:uid="{00000000-0005-0000-0000-0000C5CF0000}"/>
    <cellStyle name="Normal 38 5 13 2" xfId="53197" xr:uid="{00000000-0005-0000-0000-0000C6CF0000}"/>
    <cellStyle name="Normal 38 5 13 3" xfId="53198" xr:uid="{00000000-0005-0000-0000-0000C7CF0000}"/>
    <cellStyle name="Normal 38 5 14" xfId="53199" xr:uid="{00000000-0005-0000-0000-0000C8CF0000}"/>
    <cellStyle name="Normal 38 5 14 2" xfId="53200" xr:uid="{00000000-0005-0000-0000-0000C9CF0000}"/>
    <cellStyle name="Normal 38 5 14 3" xfId="53201" xr:uid="{00000000-0005-0000-0000-0000CACF0000}"/>
    <cellStyle name="Normal 38 5 15" xfId="53202" xr:uid="{00000000-0005-0000-0000-0000CBCF0000}"/>
    <cellStyle name="Normal 38 5 15 2" xfId="53203" xr:uid="{00000000-0005-0000-0000-0000CCCF0000}"/>
    <cellStyle name="Normal 38 5 15 3" xfId="53204" xr:uid="{00000000-0005-0000-0000-0000CDCF0000}"/>
    <cellStyle name="Normal 38 5 16" xfId="53205" xr:uid="{00000000-0005-0000-0000-0000CECF0000}"/>
    <cellStyle name="Normal 38 5 17" xfId="53206" xr:uid="{00000000-0005-0000-0000-0000CFCF0000}"/>
    <cellStyle name="Normal 38 5 18" xfId="53207" xr:uid="{00000000-0005-0000-0000-0000D0CF0000}"/>
    <cellStyle name="Normal 38 5 19" xfId="53208" xr:uid="{00000000-0005-0000-0000-0000D1CF0000}"/>
    <cellStyle name="Normal 38 5 2" xfId="53209" xr:uid="{00000000-0005-0000-0000-0000D2CF0000}"/>
    <cellStyle name="Normal 38 5 2 10" xfId="53210" xr:uid="{00000000-0005-0000-0000-0000D3CF0000}"/>
    <cellStyle name="Normal 38 5 2 10 2" xfId="53211" xr:uid="{00000000-0005-0000-0000-0000D4CF0000}"/>
    <cellStyle name="Normal 38 5 2 10 3" xfId="53212" xr:uid="{00000000-0005-0000-0000-0000D5CF0000}"/>
    <cellStyle name="Normal 38 5 2 11" xfId="53213" xr:uid="{00000000-0005-0000-0000-0000D6CF0000}"/>
    <cellStyle name="Normal 38 5 2 11 2" xfId="53214" xr:uid="{00000000-0005-0000-0000-0000D7CF0000}"/>
    <cellStyle name="Normal 38 5 2 11 3" xfId="53215" xr:uid="{00000000-0005-0000-0000-0000D8CF0000}"/>
    <cellStyle name="Normal 38 5 2 12" xfId="53216" xr:uid="{00000000-0005-0000-0000-0000D9CF0000}"/>
    <cellStyle name="Normal 38 5 2 12 2" xfId="53217" xr:uid="{00000000-0005-0000-0000-0000DACF0000}"/>
    <cellStyle name="Normal 38 5 2 12 3" xfId="53218" xr:uid="{00000000-0005-0000-0000-0000DBCF0000}"/>
    <cellStyle name="Normal 38 5 2 13" xfId="53219" xr:uid="{00000000-0005-0000-0000-0000DCCF0000}"/>
    <cellStyle name="Normal 38 5 2 13 2" xfId="53220" xr:uid="{00000000-0005-0000-0000-0000DDCF0000}"/>
    <cellStyle name="Normal 38 5 2 13 3" xfId="53221" xr:uid="{00000000-0005-0000-0000-0000DECF0000}"/>
    <cellStyle name="Normal 38 5 2 14" xfId="53222" xr:uid="{00000000-0005-0000-0000-0000DFCF0000}"/>
    <cellStyle name="Normal 38 5 2 14 2" xfId="53223" xr:uid="{00000000-0005-0000-0000-0000E0CF0000}"/>
    <cellStyle name="Normal 38 5 2 14 3" xfId="53224" xr:uid="{00000000-0005-0000-0000-0000E1CF0000}"/>
    <cellStyle name="Normal 38 5 2 15" xfId="53225" xr:uid="{00000000-0005-0000-0000-0000E2CF0000}"/>
    <cellStyle name="Normal 38 5 2 16" xfId="53226" xr:uid="{00000000-0005-0000-0000-0000E3CF0000}"/>
    <cellStyle name="Normal 38 5 2 2" xfId="53227" xr:uid="{00000000-0005-0000-0000-0000E4CF0000}"/>
    <cellStyle name="Normal 38 5 2 2 2" xfId="53228" xr:uid="{00000000-0005-0000-0000-0000E5CF0000}"/>
    <cellStyle name="Normal 38 5 2 2 3" xfId="53229" xr:uid="{00000000-0005-0000-0000-0000E6CF0000}"/>
    <cellStyle name="Normal 38 5 2 3" xfId="53230" xr:uid="{00000000-0005-0000-0000-0000E7CF0000}"/>
    <cellStyle name="Normal 38 5 2 3 2" xfId="53231" xr:uid="{00000000-0005-0000-0000-0000E8CF0000}"/>
    <cellStyle name="Normal 38 5 2 3 3" xfId="53232" xr:uid="{00000000-0005-0000-0000-0000E9CF0000}"/>
    <cellStyle name="Normal 38 5 2 4" xfId="53233" xr:uid="{00000000-0005-0000-0000-0000EACF0000}"/>
    <cellStyle name="Normal 38 5 2 4 2" xfId="53234" xr:uid="{00000000-0005-0000-0000-0000EBCF0000}"/>
    <cellStyle name="Normal 38 5 2 4 3" xfId="53235" xr:uid="{00000000-0005-0000-0000-0000ECCF0000}"/>
    <cellStyle name="Normal 38 5 2 5" xfId="53236" xr:uid="{00000000-0005-0000-0000-0000EDCF0000}"/>
    <cellStyle name="Normal 38 5 2 5 2" xfId="53237" xr:uid="{00000000-0005-0000-0000-0000EECF0000}"/>
    <cellStyle name="Normal 38 5 2 5 3" xfId="53238" xr:uid="{00000000-0005-0000-0000-0000EFCF0000}"/>
    <cellStyle name="Normal 38 5 2 6" xfId="53239" xr:uid="{00000000-0005-0000-0000-0000F0CF0000}"/>
    <cellStyle name="Normal 38 5 2 6 2" xfId="53240" xr:uid="{00000000-0005-0000-0000-0000F1CF0000}"/>
    <cellStyle name="Normal 38 5 2 6 3" xfId="53241" xr:uid="{00000000-0005-0000-0000-0000F2CF0000}"/>
    <cellStyle name="Normal 38 5 2 7" xfId="53242" xr:uid="{00000000-0005-0000-0000-0000F3CF0000}"/>
    <cellStyle name="Normal 38 5 2 7 2" xfId="53243" xr:uid="{00000000-0005-0000-0000-0000F4CF0000}"/>
    <cellStyle name="Normal 38 5 2 7 3" xfId="53244" xr:uid="{00000000-0005-0000-0000-0000F5CF0000}"/>
    <cellStyle name="Normal 38 5 2 8" xfId="53245" xr:uid="{00000000-0005-0000-0000-0000F6CF0000}"/>
    <cellStyle name="Normal 38 5 2 8 2" xfId="53246" xr:uid="{00000000-0005-0000-0000-0000F7CF0000}"/>
    <cellStyle name="Normal 38 5 2 8 3" xfId="53247" xr:uid="{00000000-0005-0000-0000-0000F8CF0000}"/>
    <cellStyle name="Normal 38 5 2 9" xfId="53248" xr:uid="{00000000-0005-0000-0000-0000F9CF0000}"/>
    <cellStyle name="Normal 38 5 2 9 2" xfId="53249" xr:uid="{00000000-0005-0000-0000-0000FACF0000}"/>
    <cellStyle name="Normal 38 5 2 9 3" xfId="53250" xr:uid="{00000000-0005-0000-0000-0000FBCF0000}"/>
    <cellStyle name="Normal 38 5 20" xfId="53251" xr:uid="{00000000-0005-0000-0000-0000FCCF0000}"/>
    <cellStyle name="Normal 38 5 21" xfId="53252" xr:uid="{00000000-0005-0000-0000-0000FDCF0000}"/>
    <cellStyle name="Normal 38 5 22" xfId="53253" xr:uid="{00000000-0005-0000-0000-0000FECF0000}"/>
    <cellStyle name="Normal 38 5 23" xfId="53254" xr:uid="{00000000-0005-0000-0000-0000FFCF0000}"/>
    <cellStyle name="Normal 38 5 24" xfId="53255" xr:uid="{00000000-0005-0000-0000-000000D00000}"/>
    <cellStyle name="Normal 38 5 25" xfId="53256" xr:uid="{00000000-0005-0000-0000-000001D00000}"/>
    <cellStyle name="Normal 38 5 26" xfId="53257" xr:uid="{00000000-0005-0000-0000-000002D00000}"/>
    <cellStyle name="Normal 38 5 27" xfId="53258" xr:uid="{00000000-0005-0000-0000-000003D00000}"/>
    <cellStyle name="Normal 38 5 28" xfId="53259" xr:uid="{00000000-0005-0000-0000-000004D00000}"/>
    <cellStyle name="Normal 38 5 3" xfId="53260" xr:uid="{00000000-0005-0000-0000-000005D00000}"/>
    <cellStyle name="Normal 38 5 3 2" xfId="53261" xr:uid="{00000000-0005-0000-0000-000006D00000}"/>
    <cellStyle name="Normal 38 5 3 3" xfId="53262" xr:uid="{00000000-0005-0000-0000-000007D00000}"/>
    <cellStyle name="Normal 38 5 4" xfId="53263" xr:uid="{00000000-0005-0000-0000-000008D00000}"/>
    <cellStyle name="Normal 38 5 4 2" xfId="53264" xr:uid="{00000000-0005-0000-0000-000009D00000}"/>
    <cellStyle name="Normal 38 5 4 3" xfId="53265" xr:uid="{00000000-0005-0000-0000-00000AD00000}"/>
    <cellStyle name="Normal 38 5 5" xfId="53266" xr:uid="{00000000-0005-0000-0000-00000BD00000}"/>
    <cellStyle name="Normal 38 5 5 2" xfId="53267" xr:uid="{00000000-0005-0000-0000-00000CD00000}"/>
    <cellStyle name="Normal 38 5 5 3" xfId="53268" xr:uid="{00000000-0005-0000-0000-00000DD00000}"/>
    <cellStyle name="Normal 38 5 6" xfId="53269" xr:uid="{00000000-0005-0000-0000-00000ED00000}"/>
    <cellStyle name="Normal 38 5 6 2" xfId="53270" xr:uid="{00000000-0005-0000-0000-00000FD00000}"/>
    <cellStyle name="Normal 38 5 6 3" xfId="53271" xr:uid="{00000000-0005-0000-0000-000010D00000}"/>
    <cellStyle name="Normal 38 5 7" xfId="53272" xr:uid="{00000000-0005-0000-0000-000011D00000}"/>
    <cellStyle name="Normal 38 5 7 2" xfId="53273" xr:uid="{00000000-0005-0000-0000-000012D00000}"/>
    <cellStyle name="Normal 38 5 7 3" xfId="53274" xr:uid="{00000000-0005-0000-0000-000013D00000}"/>
    <cellStyle name="Normal 38 5 8" xfId="53275" xr:uid="{00000000-0005-0000-0000-000014D00000}"/>
    <cellStyle name="Normal 38 5 8 2" xfId="53276" xr:uid="{00000000-0005-0000-0000-000015D00000}"/>
    <cellStyle name="Normal 38 5 8 3" xfId="53277" xr:uid="{00000000-0005-0000-0000-000016D00000}"/>
    <cellStyle name="Normal 38 5 9" xfId="53278" xr:uid="{00000000-0005-0000-0000-000017D00000}"/>
    <cellStyle name="Normal 38 5 9 2" xfId="53279" xr:uid="{00000000-0005-0000-0000-000018D00000}"/>
    <cellStyle name="Normal 38 5 9 3" xfId="53280" xr:uid="{00000000-0005-0000-0000-000019D00000}"/>
    <cellStyle name="Normal 38 6" xfId="53281" xr:uid="{00000000-0005-0000-0000-00001AD00000}"/>
    <cellStyle name="Normal 38 6 10" xfId="53282" xr:uid="{00000000-0005-0000-0000-00001BD00000}"/>
    <cellStyle name="Normal 38 6 10 2" xfId="53283" xr:uid="{00000000-0005-0000-0000-00001CD00000}"/>
    <cellStyle name="Normal 38 6 10 3" xfId="53284" xr:uid="{00000000-0005-0000-0000-00001DD00000}"/>
    <cellStyle name="Normal 38 6 11" xfId="53285" xr:uid="{00000000-0005-0000-0000-00001ED00000}"/>
    <cellStyle name="Normal 38 6 11 2" xfId="53286" xr:uid="{00000000-0005-0000-0000-00001FD00000}"/>
    <cellStyle name="Normal 38 6 11 3" xfId="53287" xr:uid="{00000000-0005-0000-0000-000020D00000}"/>
    <cellStyle name="Normal 38 6 12" xfId="53288" xr:uid="{00000000-0005-0000-0000-000021D00000}"/>
    <cellStyle name="Normal 38 6 12 2" xfId="53289" xr:uid="{00000000-0005-0000-0000-000022D00000}"/>
    <cellStyle name="Normal 38 6 12 3" xfId="53290" xr:uid="{00000000-0005-0000-0000-000023D00000}"/>
    <cellStyle name="Normal 38 6 13" xfId="53291" xr:uid="{00000000-0005-0000-0000-000024D00000}"/>
    <cellStyle name="Normal 38 6 13 2" xfId="53292" xr:uid="{00000000-0005-0000-0000-000025D00000}"/>
    <cellStyle name="Normal 38 6 13 3" xfId="53293" xr:uid="{00000000-0005-0000-0000-000026D00000}"/>
    <cellStyle name="Normal 38 6 14" xfId="53294" xr:uid="{00000000-0005-0000-0000-000027D00000}"/>
    <cellStyle name="Normal 38 6 14 2" xfId="53295" xr:uid="{00000000-0005-0000-0000-000028D00000}"/>
    <cellStyle name="Normal 38 6 14 3" xfId="53296" xr:uid="{00000000-0005-0000-0000-000029D00000}"/>
    <cellStyle name="Normal 38 6 15" xfId="53297" xr:uid="{00000000-0005-0000-0000-00002AD00000}"/>
    <cellStyle name="Normal 38 6 15 2" xfId="53298" xr:uid="{00000000-0005-0000-0000-00002BD00000}"/>
    <cellStyle name="Normal 38 6 15 3" xfId="53299" xr:uid="{00000000-0005-0000-0000-00002CD00000}"/>
    <cellStyle name="Normal 38 6 16" xfId="53300" xr:uid="{00000000-0005-0000-0000-00002DD00000}"/>
    <cellStyle name="Normal 38 6 17" xfId="53301" xr:uid="{00000000-0005-0000-0000-00002ED00000}"/>
    <cellStyle name="Normal 38 6 18" xfId="53302" xr:uid="{00000000-0005-0000-0000-00002FD00000}"/>
    <cellStyle name="Normal 38 6 19" xfId="53303" xr:uid="{00000000-0005-0000-0000-000030D00000}"/>
    <cellStyle name="Normal 38 6 2" xfId="53304" xr:uid="{00000000-0005-0000-0000-000031D00000}"/>
    <cellStyle name="Normal 38 6 2 10" xfId="53305" xr:uid="{00000000-0005-0000-0000-000032D00000}"/>
    <cellStyle name="Normal 38 6 2 10 2" xfId="53306" xr:uid="{00000000-0005-0000-0000-000033D00000}"/>
    <cellStyle name="Normal 38 6 2 10 3" xfId="53307" xr:uid="{00000000-0005-0000-0000-000034D00000}"/>
    <cellStyle name="Normal 38 6 2 11" xfId="53308" xr:uid="{00000000-0005-0000-0000-000035D00000}"/>
    <cellStyle name="Normal 38 6 2 11 2" xfId="53309" xr:uid="{00000000-0005-0000-0000-000036D00000}"/>
    <cellStyle name="Normal 38 6 2 11 3" xfId="53310" xr:uid="{00000000-0005-0000-0000-000037D00000}"/>
    <cellStyle name="Normal 38 6 2 12" xfId="53311" xr:uid="{00000000-0005-0000-0000-000038D00000}"/>
    <cellStyle name="Normal 38 6 2 12 2" xfId="53312" xr:uid="{00000000-0005-0000-0000-000039D00000}"/>
    <cellStyle name="Normal 38 6 2 12 3" xfId="53313" xr:uid="{00000000-0005-0000-0000-00003AD00000}"/>
    <cellStyle name="Normal 38 6 2 13" xfId="53314" xr:uid="{00000000-0005-0000-0000-00003BD00000}"/>
    <cellStyle name="Normal 38 6 2 13 2" xfId="53315" xr:uid="{00000000-0005-0000-0000-00003CD00000}"/>
    <cellStyle name="Normal 38 6 2 13 3" xfId="53316" xr:uid="{00000000-0005-0000-0000-00003DD00000}"/>
    <cellStyle name="Normal 38 6 2 14" xfId="53317" xr:uid="{00000000-0005-0000-0000-00003ED00000}"/>
    <cellStyle name="Normal 38 6 2 14 2" xfId="53318" xr:uid="{00000000-0005-0000-0000-00003FD00000}"/>
    <cellStyle name="Normal 38 6 2 14 3" xfId="53319" xr:uid="{00000000-0005-0000-0000-000040D00000}"/>
    <cellStyle name="Normal 38 6 2 15" xfId="53320" xr:uid="{00000000-0005-0000-0000-000041D00000}"/>
    <cellStyle name="Normal 38 6 2 16" xfId="53321" xr:uid="{00000000-0005-0000-0000-000042D00000}"/>
    <cellStyle name="Normal 38 6 2 2" xfId="53322" xr:uid="{00000000-0005-0000-0000-000043D00000}"/>
    <cellStyle name="Normal 38 6 2 2 2" xfId="53323" xr:uid="{00000000-0005-0000-0000-000044D00000}"/>
    <cellStyle name="Normal 38 6 2 2 3" xfId="53324" xr:uid="{00000000-0005-0000-0000-000045D00000}"/>
    <cellStyle name="Normal 38 6 2 3" xfId="53325" xr:uid="{00000000-0005-0000-0000-000046D00000}"/>
    <cellStyle name="Normal 38 6 2 3 2" xfId="53326" xr:uid="{00000000-0005-0000-0000-000047D00000}"/>
    <cellStyle name="Normal 38 6 2 3 3" xfId="53327" xr:uid="{00000000-0005-0000-0000-000048D00000}"/>
    <cellStyle name="Normal 38 6 2 4" xfId="53328" xr:uid="{00000000-0005-0000-0000-000049D00000}"/>
    <cellStyle name="Normal 38 6 2 4 2" xfId="53329" xr:uid="{00000000-0005-0000-0000-00004AD00000}"/>
    <cellStyle name="Normal 38 6 2 4 3" xfId="53330" xr:uid="{00000000-0005-0000-0000-00004BD00000}"/>
    <cellStyle name="Normal 38 6 2 5" xfId="53331" xr:uid="{00000000-0005-0000-0000-00004CD00000}"/>
    <cellStyle name="Normal 38 6 2 5 2" xfId="53332" xr:uid="{00000000-0005-0000-0000-00004DD00000}"/>
    <cellStyle name="Normal 38 6 2 5 3" xfId="53333" xr:uid="{00000000-0005-0000-0000-00004ED00000}"/>
    <cellStyle name="Normal 38 6 2 6" xfId="53334" xr:uid="{00000000-0005-0000-0000-00004FD00000}"/>
    <cellStyle name="Normal 38 6 2 6 2" xfId="53335" xr:uid="{00000000-0005-0000-0000-000050D00000}"/>
    <cellStyle name="Normal 38 6 2 6 3" xfId="53336" xr:uid="{00000000-0005-0000-0000-000051D00000}"/>
    <cellStyle name="Normal 38 6 2 7" xfId="53337" xr:uid="{00000000-0005-0000-0000-000052D00000}"/>
    <cellStyle name="Normal 38 6 2 7 2" xfId="53338" xr:uid="{00000000-0005-0000-0000-000053D00000}"/>
    <cellStyle name="Normal 38 6 2 7 3" xfId="53339" xr:uid="{00000000-0005-0000-0000-000054D00000}"/>
    <cellStyle name="Normal 38 6 2 8" xfId="53340" xr:uid="{00000000-0005-0000-0000-000055D00000}"/>
    <cellStyle name="Normal 38 6 2 8 2" xfId="53341" xr:uid="{00000000-0005-0000-0000-000056D00000}"/>
    <cellStyle name="Normal 38 6 2 8 3" xfId="53342" xr:uid="{00000000-0005-0000-0000-000057D00000}"/>
    <cellStyle name="Normal 38 6 2 9" xfId="53343" xr:uid="{00000000-0005-0000-0000-000058D00000}"/>
    <cellStyle name="Normal 38 6 2 9 2" xfId="53344" xr:uid="{00000000-0005-0000-0000-000059D00000}"/>
    <cellStyle name="Normal 38 6 2 9 3" xfId="53345" xr:uid="{00000000-0005-0000-0000-00005AD00000}"/>
    <cellStyle name="Normal 38 6 20" xfId="53346" xr:uid="{00000000-0005-0000-0000-00005BD00000}"/>
    <cellStyle name="Normal 38 6 21" xfId="53347" xr:uid="{00000000-0005-0000-0000-00005CD00000}"/>
    <cellStyle name="Normal 38 6 22" xfId="53348" xr:uid="{00000000-0005-0000-0000-00005DD00000}"/>
    <cellStyle name="Normal 38 6 23" xfId="53349" xr:uid="{00000000-0005-0000-0000-00005ED00000}"/>
    <cellStyle name="Normal 38 6 24" xfId="53350" xr:uid="{00000000-0005-0000-0000-00005FD00000}"/>
    <cellStyle name="Normal 38 6 25" xfId="53351" xr:uid="{00000000-0005-0000-0000-000060D00000}"/>
    <cellStyle name="Normal 38 6 26" xfId="53352" xr:uid="{00000000-0005-0000-0000-000061D00000}"/>
    <cellStyle name="Normal 38 6 27" xfId="53353" xr:uid="{00000000-0005-0000-0000-000062D00000}"/>
    <cellStyle name="Normal 38 6 28" xfId="53354" xr:uid="{00000000-0005-0000-0000-000063D00000}"/>
    <cellStyle name="Normal 38 6 3" xfId="53355" xr:uid="{00000000-0005-0000-0000-000064D00000}"/>
    <cellStyle name="Normal 38 6 3 2" xfId="53356" xr:uid="{00000000-0005-0000-0000-000065D00000}"/>
    <cellStyle name="Normal 38 6 3 3" xfId="53357" xr:uid="{00000000-0005-0000-0000-000066D00000}"/>
    <cellStyle name="Normal 38 6 4" xfId="53358" xr:uid="{00000000-0005-0000-0000-000067D00000}"/>
    <cellStyle name="Normal 38 6 4 2" xfId="53359" xr:uid="{00000000-0005-0000-0000-000068D00000}"/>
    <cellStyle name="Normal 38 6 4 3" xfId="53360" xr:uid="{00000000-0005-0000-0000-000069D00000}"/>
    <cellStyle name="Normal 38 6 5" xfId="53361" xr:uid="{00000000-0005-0000-0000-00006AD00000}"/>
    <cellStyle name="Normal 38 6 5 2" xfId="53362" xr:uid="{00000000-0005-0000-0000-00006BD00000}"/>
    <cellStyle name="Normal 38 6 5 3" xfId="53363" xr:uid="{00000000-0005-0000-0000-00006CD00000}"/>
    <cellStyle name="Normal 38 6 6" xfId="53364" xr:uid="{00000000-0005-0000-0000-00006DD00000}"/>
    <cellStyle name="Normal 38 6 6 2" xfId="53365" xr:uid="{00000000-0005-0000-0000-00006ED00000}"/>
    <cellStyle name="Normal 38 6 6 3" xfId="53366" xr:uid="{00000000-0005-0000-0000-00006FD00000}"/>
    <cellStyle name="Normal 38 6 7" xfId="53367" xr:uid="{00000000-0005-0000-0000-000070D00000}"/>
    <cellStyle name="Normal 38 6 7 2" xfId="53368" xr:uid="{00000000-0005-0000-0000-000071D00000}"/>
    <cellStyle name="Normal 38 6 7 3" xfId="53369" xr:uid="{00000000-0005-0000-0000-000072D00000}"/>
    <cellStyle name="Normal 38 6 8" xfId="53370" xr:uid="{00000000-0005-0000-0000-000073D00000}"/>
    <cellStyle name="Normal 38 6 8 2" xfId="53371" xr:uid="{00000000-0005-0000-0000-000074D00000}"/>
    <cellStyle name="Normal 38 6 8 3" xfId="53372" xr:uid="{00000000-0005-0000-0000-000075D00000}"/>
    <cellStyle name="Normal 38 6 9" xfId="53373" xr:uid="{00000000-0005-0000-0000-000076D00000}"/>
    <cellStyle name="Normal 38 6 9 2" xfId="53374" xr:uid="{00000000-0005-0000-0000-000077D00000}"/>
    <cellStyle name="Normal 38 6 9 3" xfId="53375" xr:uid="{00000000-0005-0000-0000-000078D00000}"/>
    <cellStyle name="Normal 38 7" xfId="53376" xr:uid="{00000000-0005-0000-0000-000079D00000}"/>
    <cellStyle name="Normal 38 7 10" xfId="53377" xr:uid="{00000000-0005-0000-0000-00007AD00000}"/>
    <cellStyle name="Normal 38 7 10 2" xfId="53378" xr:uid="{00000000-0005-0000-0000-00007BD00000}"/>
    <cellStyle name="Normal 38 7 10 3" xfId="53379" xr:uid="{00000000-0005-0000-0000-00007CD00000}"/>
    <cellStyle name="Normal 38 7 11" xfId="53380" xr:uid="{00000000-0005-0000-0000-00007DD00000}"/>
    <cellStyle name="Normal 38 7 11 2" xfId="53381" xr:uid="{00000000-0005-0000-0000-00007ED00000}"/>
    <cellStyle name="Normal 38 7 11 3" xfId="53382" xr:uid="{00000000-0005-0000-0000-00007FD00000}"/>
    <cellStyle name="Normal 38 7 12" xfId="53383" xr:uid="{00000000-0005-0000-0000-000080D00000}"/>
    <cellStyle name="Normal 38 7 12 2" xfId="53384" xr:uid="{00000000-0005-0000-0000-000081D00000}"/>
    <cellStyle name="Normal 38 7 12 3" xfId="53385" xr:uid="{00000000-0005-0000-0000-000082D00000}"/>
    <cellStyle name="Normal 38 7 13" xfId="53386" xr:uid="{00000000-0005-0000-0000-000083D00000}"/>
    <cellStyle name="Normal 38 7 13 2" xfId="53387" xr:uid="{00000000-0005-0000-0000-000084D00000}"/>
    <cellStyle name="Normal 38 7 13 3" xfId="53388" xr:uid="{00000000-0005-0000-0000-000085D00000}"/>
    <cellStyle name="Normal 38 7 14" xfId="53389" xr:uid="{00000000-0005-0000-0000-000086D00000}"/>
    <cellStyle name="Normal 38 7 14 2" xfId="53390" xr:uid="{00000000-0005-0000-0000-000087D00000}"/>
    <cellStyle name="Normal 38 7 14 3" xfId="53391" xr:uid="{00000000-0005-0000-0000-000088D00000}"/>
    <cellStyle name="Normal 38 7 15" xfId="53392" xr:uid="{00000000-0005-0000-0000-000089D00000}"/>
    <cellStyle name="Normal 38 7 16" xfId="53393" xr:uid="{00000000-0005-0000-0000-00008AD00000}"/>
    <cellStyle name="Normal 38 7 2" xfId="53394" xr:uid="{00000000-0005-0000-0000-00008BD00000}"/>
    <cellStyle name="Normal 38 7 2 2" xfId="53395" xr:uid="{00000000-0005-0000-0000-00008CD00000}"/>
    <cellStyle name="Normal 38 7 2 3" xfId="53396" xr:uid="{00000000-0005-0000-0000-00008DD00000}"/>
    <cellStyle name="Normal 38 7 3" xfId="53397" xr:uid="{00000000-0005-0000-0000-00008ED00000}"/>
    <cellStyle name="Normal 38 7 3 2" xfId="53398" xr:uid="{00000000-0005-0000-0000-00008FD00000}"/>
    <cellStyle name="Normal 38 7 3 3" xfId="53399" xr:uid="{00000000-0005-0000-0000-000090D00000}"/>
    <cellStyle name="Normal 38 7 4" xfId="53400" xr:uid="{00000000-0005-0000-0000-000091D00000}"/>
    <cellStyle name="Normal 38 7 4 2" xfId="53401" xr:uid="{00000000-0005-0000-0000-000092D00000}"/>
    <cellStyle name="Normal 38 7 4 3" xfId="53402" xr:uid="{00000000-0005-0000-0000-000093D00000}"/>
    <cellStyle name="Normal 38 7 5" xfId="53403" xr:uid="{00000000-0005-0000-0000-000094D00000}"/>
    <cellStyle name="Normal 38 7 5 2" xfId="53404" xr:uid="{00000000-0005-0000-0000-000095D00000}"/>
    <cellStyle name="Normal 38 7 5 3" xfId="53405" xr:uid="{00000000-0005-0000-0000-000096D00000}"/>
    <cellStyle name="Normal 38 7 6" xfId="53406" xr:uid="{00000000-0005-0000-0000-000097D00000}"/>
    <cellStyle name="Normal 38 7 6 2" xfId="53407" xr:uid="{00000000-0005-0000-0000-000098D00000}"/>
    <cellStyle name="Normal 38 7 6 3" xfId="53408" xr:uid="{00000000-0005-0000-0000-000099D00000}"/>
    <cellStyle name="Normal 38 7 7" xfId="53409" xr:uid="{00000000-0005-0000-0000-00009AD00000}"/>
    <cellStyle name="Normal 38 7 7 2" xfId="53410" xr:uid="{00000000-0005-0000-0000-00009BD00000}"/>
    <cellStyle name="Normal 38 7 7 3" xfId="53411" xr:uid="{00000000-0005-0000-0000-00009CD00000}"/>
    <cellStyle name="Normal 38 7 8" xfId="53412" xr:uid="{00000000-0005-0000-0000-00009DD00000}"/>
    <cellStyle name="Normal 38 7 8 2" xfId="53413" xr:uid="{00000000-0005-0000-0000-00009ED00000}"/>
    <cellStyle name="Normal 38 7 8 3" xfId="53414" xr:uid="{00000000-0005-0000-0000-00009FD00000}"/>
    <cellStyle name="Normal 38 7 9" xfId="53415" xr:uid="{00000000-0005-0000-0000-0000A0D00000}"/>
    <cellStyle name="Normal 38 7 9 2" xfId="53416" xr:uid="{00000000-0005-0000-0000-0000A1D00000}"/>
    <cellStyle name="Normal 38 7 9 3" xfId="53417" xr:uid="{00000000-0005-0000-0000-0000A2D00000}"/>
    <cellStyle name="Normal 38 8" xfId="53418" xr:uid="{00000000-0005-0000-0000-0000A3D00000}"/>
    <cellStyle name="Normal 38 8 10" xfId="53419" xr:uid="{00000000-0005-0000-0000-0000A4D00000}"/>
    <cellStyle name="Normal 38 8 10 2" xfId="53420" xr:uid="{00000000-0005-0000-0000-0000A5D00000}"/>
    <cellStyle name="Normal 38 8 10 3" xfId="53421" xr:uid="{00000000-0005-0000-0000-0000A6D00000}"/>
    <cellStyle name="Normal 38 8 11" xfId="53422" xr:uid="{00000000-0005-0000-0000-0000A7D00000}"/>
    <cellStyle name="Normal 38 8 11 2" xfId="53423" xr:uid="{00000000-0005-0000-0000-0000A8D00000}"/>
    <cellStyle name="Normal 38 8 11 3" xfId="53424" xr:uid="{00000000-0005-0000-0000-0000A9D00000}"/>
    <cellStyle name="Normal 38 8 12" xfId="53425" xr:uid="{00000000-0005-0000-0000-0000AAD00000}"/>
    <cellStyle name="Normal 38 8 12 2" xfId="53426" xr:uid="{00000000-0005-0000-0000-0000ABD00000}"/>
    <cellStyle name="Normal 38 8 12 3" xfId="53427" xr:uid="{00000000-0005-0000-0000-0000ACD00000}"/>
    <cellStyle name="Normal 38 8 13" xfId="53428" xr:uid="{00000000-0005-0000-0000-0000ADD00000}"/>
    <cellStyle name="Normal 38 8 13 2" xfId="53429" xr:uid="{00000000-0005-0000-0000-0000AED00000}"/>
    <cellStyle name="Normal 38 8 13 3" xfId="53430" xr:uid="{00000000-0005-0000-0000-0000AFD00000}"/>
    <cellStyle name="Normal 38 8 14" xfId="53431" xr:uid="{00000000-0005-0000-0000-0000B0D00000}"/>
    <cellStyle name="Normal 38 8 14 2" xfId="53432" xr:uid="{00000000-0005-0000-0000-0000B1D00000}"/>
    <cellStyle name="Normal 38 8 14 3" xfId="53433" xr:uid="{00000000-0005-0000-0000-0000B2D00000}"/>
    <cellStyle name="Normal 38 8 15" xfId="53434" xr:uid="{00000000-0005-0000-0000-0000B3D00000}"/>
    <cellStyle name="Normal 38 8 16" xfId="53435" xr:uid="{00000000-0005-0000-0000-0000B4D00000}"/>
    <cellStyle name="Normal 38 8 2" xfId="53436" xr:uid="{00000000-0005-0000-0000-0000B5D00000}"/>
    <cellStyle name="Normal 38 8 2 2" xfId="53437" xr:uid="{00000000-0005-0000-0000-0000B6D00000}"/>
    <cellStyle name="Normal 38 8 2 3" xfId="53438" xr:uid="{00000000-0005-0000-0000-0000B7D00000}"/>
    <cellStyle name="Normal 38 8 3" xfId="53439" xr:uid="{00000000-0005-0000-0000-0000B8D00000}"/>
    <cellStyle name="Normal 38 8 3 2" xfId="53440" xr:uid="{00000000-0005-0000-0000-0000B9D00000}"/>
    <cellStyle name="Normal 38 8 3 3" xfId="53441" xr:uid="{00000000-0005-0000-0000-0000BAD00000}"/>
    <cellStyle name="Normal 38 8 4" xfId="53442" xr:uid="{00000000-0005-0000-0000-0000BBD00000}"/>
    <cellStyle name="Normal 38 8 4 2" xfId="53443" xr:uid="{00000000-0005-0000-0000-0000BCD00000}"/>
    <cellStyle name="Normal 38 8 4 3" xfId="53444" xr:uid="{00000000-0005-0000-0000-0000BDD00000}"/>
    <cellStyle name="Normal 38 8 5" xfId="53445" xr:uid="{00000000-0005-0000-0000-0000BED00000}"/>
    <cellStyle name="Normal 38 8 5 2" xfId="53446" xr:uid="{00000000-0005-0000-0000-0000BFD00000}"/>
    <cellStyle name="Normal 38 8 5 3" xfId="53447" xr:uid="{00000000-0005-0000-0000-0000C0D00000}"/>
    <cellStyle name="Normal 38 8 6" xfId="53448" xr:uid="{00000000-0005-0000-0000-0000C1D00000}"/>
    <cellStyle name="Normal 38 8 6 2" xfId="53449" xr:uid="{00000000-0005-0000-0000-0000C2D00000}"/>
    <cellStyle name="Normal 38 8 6 3" xfId="53450" xr:uid="{00000000-0005-0000-0000-0000C3D00000}"/>
    <cellStyle name="Normal 38 8 7" xfId="53451" xr:uid="{00000000-0005-0000-0000-0000C4D00000}"/>
    <cellStyle name="Normal 38 8 7 2" xfId="53452" xr:uid="{00000000-0005-0000-0000-0000C5D00000}"/>
    <cellStyle name="Normal 38 8 7 3" xfId="53453" xr:uid="{00000000-0005-0000-0000-0000C6D00000}"/>
    <cellStyle name="Normal 38 8 8" xfId="53454" xr:uid="{00000000-0005-0000-0000-0000C7D00000}"/>
    <cellStyle name="Normal 38 8 8 2" xfId="53455" xr:uid="{00000000-0005-0000-0000-0000C8D00000}"/>
    <cellStyle name="Normal 38 8 8 3" xfId="53456" xr:uid="{00000000-0005-0000-0000-0000C9D00000}"/>
    <cellStyle name="Normal 38 8 9" xfId="53457" xr:uid="{00000000-0005-0000-0000-0000CAD00000}"/>
    <cellStyle name="Normal 38 8 9 2" xfId="53458" xr:uid="{00000000-0005-0000-0000-0000CBD00000}"/>
    <cellStyle name="Normal 38 8 9 3" xfId="53459" xr:uid="{00000000-0005-0000-0000-0000CCD00000}"/>
    <cellStyle name="Normal 38 9" xfId="53460" xr:uid="{00000000-0005-0000-0000-0000CDD00000}"/>
    <cellStyle name="Normal 38 9 10" xfId="53461" xr:uid="{00000000-0005-0000-0000-0000CED00000}"/>
    <cellStyle name="Normal 38 9 10 2" xfId="53462" xr:uid="{00000000-0005-0000-0000-0000CFD00000}"/>
    <cellStyle name="Normal 38 9 10 3" xfId="53463" xr:uid="{00000000-0005-0000-0000-0000D0D00000}"/>
    <cellStyle name="Normal 38 9 11" xfId="53464" xr:uid="{00000000-0005-0000-0000-0000D1D00000}"/>
    <cellStyle name="Normal 38 9 11 2" xfId="53465" xr:uid="{00000000-0005-0000-0000-0000D2D00000}"/>
    <cellStyle name="Normal 38 9 11 3" xfId="53466" xr:uid="{00000000-0005-0000-0000-0000D3D00000}"/>
    <cellStyle name="Normal 38 9 12" xfId="53467" xr:uid="{00000000-0005-0000-0000-0000D4D00000}"/>
    <cellStyle name="Normal 38 9 12 2" xfId="53468" xr:uid="{00000000-0005-0000-0000-0000D5D00000}"/>
    <cellStyle name="Normal 38 9 12 3" xfId="53469" xr:uid="{00000000-0005-0000-0000-0000D6D00000}"/>
    <cellStyle name="Normal 38 9 13" xfId="53470" xr:uid="{00000000-0005-0000-0000-0000D7D00000}"/>
    <cellStyle name="Normal 38 9 13 2" xfId="53471" xr:uid="{00000000-0005-0000-0000-0000D8D00000}"/>
    <cellStyle name="Normal 38 9 13 3" xfId="53472" xr:uid="{00000000-0005-0000-0000-0000D9D00000}"/>
    <cellStyle name="Normal 38 9 14" xfId="53473" xr:uid="{00000000-0005-0000-0000-0000DAD00000}"/>
    <cellStyle name="Normal 38 9 14 2" xfId="53474" xr:uid="{00000000-0005-0000-0000-0000DBD00000}"/>
    <cellStyle name="Normal 38 9 14 3" xfId="53475" xr:uid="{00000000-0005-0000-0000-0000DCD00000}"/>
    <cellStyle name="Normal 38 9 15" xfId="53476" xr:uid="{00000000-0005-0000-0000-0000DDD00000}"/>
    <cellStyle name="Normal 38 9 16" xfId="53477" xr:uid="{00000000-0005-0000-0000-0000DED00000}"/>
    <cellStyle name="Normal 38 9 2" xfId="53478" xr:uid="{00000000-0005-0000-0000-0000DFD00000}"/>
    <cellStyle name="Normal 38 9 2 2" xfId="53479" xr:uid="{00000000-0005-0000-0000-0000E0D00000}"/>
    <cellStyle name="Normal 38 9 2 3" xfId="53480" xr:uid="{00000000-0005-0000-0000-0000E1D00000}"/>
    <cellStyle name="Normal 38 9 3" xfId="53481" xr:uid="{00000000-0005-0000-0000-0000E2D00000}"/>
    <cellStyle name="Normal 38 9 3 2" xfId="53482" xr:uid="{00000000-0005-0000-0000-0000E3D00000}"/>
    <cellStyle name="Normal 38 9 3 3" xfId="53483" xr:uid="{00000000-0005-0000-0000-0000E4D00000}"/>
    <cellStyle name="Normal 38 9 4" xfId="53484" xr:uid="{00000000-0005-0000-0000-0000E5D00000}"/>
    <cellStyle name="Normal 38 9 4 2" xfId="53485" xr:uid="{00000000-0005-0000-0000-0000E6D00000}"/>
    <cellStyle name="Normal 38 9 4 3" xfId="53486" xr:uid="{00000000-0005-0000-0000-0000E7D00000}"/>
    <cellStyle name="Normal 38 9 5" xfId="53487" xr:uid="{00000000-0005-0000-0000-0000E8D00000}"/>
    <cellStyle name="Normal 38 9 5 2" xfId="53488" xr:uid="{00000000-0005-0000-0000-0000E9D00000}"/>
    <cellStyle name="Normal 38 9 5 3" xfId="53489" xr:uid="{00000000-0005-0000-0000-0000EAD00000}"/>
    <cellStyle name="Normal 38 9 6" xfId="53490" xr:uid="{00000000-0005-0000-0000-0000EBD00000}"/>
    <cellStyle name="Normal 38 9 6 2" xfId="53491" xr:uid="{00000000-0005-0000-0000-0000ECD00000}"/>
    <cellStyle name="Normal 38 9 6 3" xfId="53492" xr:uid="{00000000-0005-0000-0000-0000EDD00000}"/>
    <cellStyle name="Normal 38 9 7" xfId="53493" xr:uid="{00000000-0005-0000-0000-0000EED00000}"/>
    <cellStyle name="Normal 38 9 7 2" xfId="53494" xr:uid="{00000000-0005-0000-0000-0000EFD00000}"/>
    <cellStyle name="Normal 38 9 7 3" xfId="53495" xr:uid="{00000000-0005-0000-0000-0000F0D00000}"/>
    <cellStyle name="Normal 38 9 8" xfId="53496" xr:uid="{00000000-0005-0000-0000-0000F1D00000}"/>
    <cellStyle name="Normal 38 9 8 2" xfId="53497" xr:uid="{00000000-0005-0000-0000-0000F2D00000}"/>
    <cellStyle name="Normal 38 9 8 3" xfId="53498" xr:uid="{00000000-0005-0000-0000-0000F3D00000}"/>
    <cellStyle name="Normal 38 9 9" xfId="53499" xr:uid="{00000000-0005-0000-0000-0000F4D00000}"/>
    <cellStyle name="Normal 38 9 9 2" xfId="53500" xr:uid="{00000000-0005-0000-0000-0000F5D00000}"/>
    <cellStyle name="Normal 38 9 9 3" xfId="53501" xr:uid="{00000000-0005-0000-0000-0000F6D00000}"/>
    <cellStyle name="Normal 38_End-use Summary" xfId="53502" xr:uid="{00000000-0005-0000-0000-0000F7D00000}"/>
    <cellStyle name="Normal 39" xfId="53503" xr:uid="{00000000-0005-0000-0000-0000F8D00000}"/>
    <cellStyle name="Normal 39 10" xfId="53504" xr:uid="{00000000-0005-0000-0000-0000F9D00000}"/>
    <cellStyle name="Normal 39 10 10" xfId="53505" xr:uid="{00000000-0005-0000-0000-0000FAD00000}"/>
    <cellStyle name="Normal 39 10 10 2" xfId="53506" xr:uid="{00000000-0005-0000-0000-0000FBD00000}"/>
    <cellStyle name="Normal 39 10 10 3" xfId="53507" xr:uid="{00000000-0005-0000-0000-0000FCD00000}"/>
    <cellStyle name="Normal 39 10 11" xfId="53508" xr:uid="{00000000-0005-0000-0000-0000FDD00000}"/>
    <cellStyle name="Normal 39 10 11 2" xfId="53509" xr:uid="{00000000-0005-0000-0000-0000FED00000}"/>
    <cellStyle name="Normal 39 10 11 3" xfId="53510" xr:uid="{00000000-0005-0000-0000-0000FFD00000}"/>
    <cellStyle name="Normal 39 10 12" xfId="53511" xr:uid="{00000000-0005-0000-0000-000000D10000}"/>
    <cellStyle name="Normal 39 10 12 2" xfId="53512" xr:uid="{00000000-0005-0000-0000-000001D10000}"/>
    <cellStyle name="Normal 39 10 12 3" xfId="53513" xr:uid="{00000000-0005-0000-0000-000002D10000}"/>
    <cellStyle name="Normal 39 10 13" xfId="53514" xr:uid="{00000000-0005-0000-0000-000003D10000}"/>
    <cellStyle name="Normal 39 10 13 2" xfId="53515" xr:uid="{00000000-0005-0000-0000-000004D10000}"/>
    <cellStyle name="Normal 39 10 13 3" xfId="53516" xr:uid="{00000000-0005-0000-0000-000005D10000}"/>
    <cellStyle name="Normal 39 10 14" xfId="53517" xr:uid="{00000000-0005-0000-0000-000006D10000}"/>
    <cellStyle name="Normal 39 10 14 2" xfId="53518" xr:uid="{00000000-0005-0000-0000-000007D10000}"/>
    <cellStyle name="Normal 39 10 14 3" xfId="53519" xr:uid="{00000000-0005-0000-0000-000008D10000}"/>
    <cellStyle name="Normal 39 10 15" xfId="53520" xr:uid="{00000000-0005-0000-0000-000009D10000}"/>
    <cellStyle name="Normal 39 10 16" xfId="53521" xr:uid="{00000000-0005-0000-0000-00000AD10000}"/>
    <cellStyle name="Normal 39 10 2" xfId="53522" xr:uid="{00000000-0005-0000-0000-00000BD10000}"/>
    <cellStyle name="Normal 39 10 2 2" xfId="53523" xr:uid="{00000000-0005-0000-0000-00000CD10000}"/>
    <cellStyle name="Normal 39 10 2 3" xfId="53524" xr:uid="{00000000-0005-0000-0000-00000DD10000}"/>
    <cellStyle name="Normal 39 10 3" xfId="53525" xr:uid="{00000000-0005-0000-0000-00000ED10000}"/>
    <cellStyle name="Normal 39 10 3 2" xfId="53526" xr:uid="{00000000-0005-0000-0000-00000FD10000}"/>
    <cellStyle name="Normal 39 10 3 3" xfId="53527" xr:uid="{00000000-0005-0000-0000-000010D10000}"/>
    <cellStyle name="Normal 39 10 4" xfId="53528" xr:uid="{00000000-0005-0000-0000-000011D10000}"/>
    <cellStyle name="Normal 39 10 4 2" xfId="53529" xr:uid="{00000000-0005-0000-0000-000012D10000}"/>
    <cellStyle name="Normal 39 10 4 3" xfId="53530" xr:uid="{00000000-0005-0000-0000-000013D10000}"/>
    <cellStyle name="Normal 39 10 5" xfId="53531" xr:uid="{00000000-0005-0000-0000-000014D10000}"/>
    <cellStyle name="Normal 39 10 5 2" xfId="53532" xr:uid="{00000000-0005-0000-0000-000015D10000}"/>
    <cellStyle name="Normal 39 10 5 3" xfId="53533" xr:uid="{00000000-0005-0000-0000-000016D10000}"/>
    <cellStyle name="Normal 39 10 6" xfId="53534" xr:uid="{00000000-0005-0000-0000-000017D10000}"/>
    <cellStyle name="Normal 39 10 6 2" xfId="53535" xr:uid="{00000000-0005-0000-0000-000018D10000}"/>
    <cellStyle name="Normal 39 10 6 3" xfId="53536" xr:uid="{00000000-0005-0000-0000-000019D10000}"/>
    <cellStyle name="Normal 39 10 7" xfId="53537" xr:uid="{00000000-0005-0000-0000-00001AD10000}"/>
    <cellStyle name="Normal 39 10 7 2" xfId="53538" xr:uid="{00000000-0005-0000-0000-00001BD10000}"/>
    <cellStyle name="Normal 39 10 7 3" xfId="53539" xr:uid="{00000000-0005-0000-0000-00001CD10000}"/>
    <cellStyle name="Normal 39 10 8" xfId="53540" xr:uid="{00000000-0005-0000-0000-00001DD10000}"/>
    <cellStyle name="Normal 39 10 8 2" xfId="53541" xr:uid="{00000000-0005-0000-0000-00001ED10000}"/>
    <cellStyle name="Normal 39 10 8 3" xfId="53542" xr:uid="{00000000-0005-0000-0000-00001FD10000}"/>
    <cellStyle name="Normal 39 10 9" xfId="53543" xr:uid="{00000000-0005-0000-0000-000020D10000}"/>
    <cellStyle name="Normal 39 10 9 2" xfId="53544" xr:uid="{00000000-0005-0000-0000-000021D10000}"/>
    <cellStyle name="Normal 39 10 9 3" xfId="53545" xr:uid="{00000000-0005-0000-0000-000022D10000}"/>
    <cellStyle name="Normal 39 11" xfId="53546" xr:uid="{00000000-0005-0000-0000-000023D10000}"/>
    <cellStyle name="Normal 39 11 10" xfId="53547" xr:uid="{00000000-0005-0000-0000-000024D10000}"/>
    <cellStyle name="Normal 39 11 10 2" xfId="53548" xr:uid="{00000000-0005-0000-0000-000025D10000}"/>
    <cellStyle name="Normal 39 11 10 3" xfId="53549" xr:uid="{00000000-0005-0000-0000-000026D10000}"/>
    <cellStyle name="Normal 39 11 11" xfId="53550" xr:uid="{00000000-0005-0000-0000-000027D10000}"/>
    <cellStyle name="Normal 39 11 11 2" xfId="53551" xr:uid="{00000000-0005-0000-0000-000028D10000}"/>
    <cellStyle name="Normal 39 11 11 3" xfId="53552" xr:uid="{00000000-0005-0000-0000-000029D10000}"/>
    <cellStyle name="Normal 39 11 12" xfId="53553" xr:uid="{00000000-0005-0000-0000-00002AD10000}"/>
    <cellStyle name="Normal 39 11 12 2" xfId="53554" xr:uid="{00000000-0005-0000-0000-00002BD10000}"/>
    <cellStyle name="Normal 39 11 12 3" xfId="53555" xr:uid="{00000000-0005-0000-0000-00002CD10000}"/>
    <cellStyle name="Normal 39 11 13" xfId="53556" xr:uid="{00000000-0005-0000-0000-00002DD10000}"/>
    <cellStyle name="Normal 39 11 13 2" xfId="53557" xr:uid="{00000000-0005-0000-0000-00002ED10000}"/>
    <cellStyle name="Normal 39 11 13 3" xfId="53558" xr:uid="{00000000-0005-0000-0000-00002FD10000}"/>
    <cellStyle name="Normal 39 11 14" xfId="53559" xr:uid="{00000000-0005-0000-0000-000030D10000}"/>
    <cellStyle name="Normal 39 11 14 2" xfId="53560" xr:uid="{00000000-0005-0000-0000-000031D10000}"/>
    <cellStyle name="Normal 39 11 14 3" xfId="53561" xr:uid="{00000000-0005-0000-0000-000032D10000}"/>
    <cellStyle name="Normal 39 11 15" xfId="53562" xr:uid="{00000000-0005-0000-0000-000033D10000}"/>
    <cellStyle name="Normal 39 11 16" xfId="53563" xr:uid="{00000000-0005-0000-0000-000034D10000}"/>
    <cellStyle name="Normal 39 11 2" xfId="53564" xr:uid="{00000000-0005-0000-0000-000035D10000}"/>
    <cellStyle name="Normal 39 11 2 2" xfId="53565" xr:uid="{00000000-0005-0000-0000-000036D10000}"/>
    <cellStyle name="Normal 39 11 2 3" xfId="53566" xr:uid="{00000000-0005-0000-0000-000037D10000}"/>
    <cellStyle name="Normal 39 11 3" xfId="53567" xr:uid="{00000000-0005-0000-0000-000038D10000}"/>
    <cellStyle name="Normal 39 11 3 2" xfId="53568" xr:uid="{00000000-0005-0000-0000-000039D10000}"/>
    <cellStyle name="Normal 39 11 3 3" xfId="53569" xr:uid="{00000000-0005-0000-0000-00003AD10000}"/>
    <cellStyle name="Normal 39 11 4" xfId="53570" xr:uid="{00000000-0005-0000-0000-00003BD10000}"/>
    <cellStyle name="Normal 39 11 4 2" xfId="53571" xr:uid="{00000000-0005-0000-0000-00003CD10000}"/>
    <cellStyle name="Normal 39 11 4 3" xfId="53572" xr:uid="{00000000-0005-0000-0000-00003DD10000}"/>
    <cellStyle name="Normal 39 11 5" xfId="53573" xr:uid="{00000000-0005-0000-0000-00003ED10000}"/>
    <cellStyle name="Normal 39 11 5 2" xfId="53574" xr:uid="{00000000-0005-0000-0000-00003FD10000}"/>
    <cellStyle name="Normal 39 11 5 3" xfId="53575" xr:uid="{00000000-0005-0000-0000-000040D10000}"/>
    <cellStyle name="Normal 39 11 6" xfId="53576" xr:uid="{00000000-0005-0000-0000-000041D10000}"/>
    <cellStyle name="Normal 39 11 6 2" xfId="53577" xr:uid="{00000000-0005-0000-0000-000042D10000}"/>
    <cellStyle name="Normal 39 11 6 3" xfId="53578" xr:uid="{00000000-0005-0000-0000-000043D10000}"/>
    <cellStyle name="Normal 39 11 7" xfId="53579" xr:uid="{00000000-0005-0000-0000-000044D10000}"/>
    <cellStyle name="Normal 39 11 7 2" xfId="53580" xr:uid="{00000000-0005-0000-0000-000045D10000}"/>
    <cellStyle name="Normal 39 11 7 3" xfId="53581" xr:uid="{00000000-0005-0000-0000-000046D10000}"/>
    <cellStyle name="Normal 39 11 8" xfId="53582" xr:uid="{00000000-0005-0000-0000-000047D10000}"/>
    <cellStyle name="Normal 39 11 8 2" xfId="53583" xr:uid="{00000000-0005-0000-0000-000048D10000}"/>
    <cellStyle name="Normal 39 11 8 3" xfId="53584" xr:uid="{00000000-0005-0000-0000-000049D10000}"/>
    <cellStyle name="Normal 39 11 9" xfId="53585" xr:uid="{00000000-0005-0000-0000-00004AD10000}"/>
    <cellStyle name="Normal 39 11 9 2" xfId="53586" xr:uid="{00000000-0005-0000-0000-00004BD10000}"/>
    <cellStyle name="Normal 39 11 9 3" xfId="53587" xr:uid="{00000000-0005-0000-0000-00004CD10000}"/>
    <cellStyle name="Normal 39 12" xfId="53588" xr:uid="{00000000-0005-0000-0000-00004DD10000}"/>
    <cellStyle name="Normal 39 12 10" xfId="53589" xr:uid="{00000000-0005-0000-0000-00004ED10000}"/>
    <cellStyle name="Normal 39 12 10 2" xfId="53590" xr:uid="{00000000-0005-0000-0000-00004FD10000}"/>
    <cellStyle name="Normal 39 12 10 3" xfId="53591" xr:uid="{00000000-0005-0000-0000-000050D10000}"/>
    <cellStyle name="Normal 39 12 11" xfId="53592" xr:uid="{00000000-0005-0000-0000-000051D10000}"/>
    <cellStyle name="Normal 39 12 11 2" xfId="53593" xr:uid="{00000000-0005-0000-0000-000052D10000}"/>
    <cellStyle name="Normal 39 12 11 3" xfId="53594" xr:uid="{00000000-0005-0000-0000-000053D10000}"/>
    <cellStyle name="Normal 39 12 12" xfId="53595" xr:uid="{00000000-0005-0000-0000-000054D10000}"/>
    <cellStyle name="Normal 39 12 12 2" xfId="53596" xr:uid="{00000000-0005-0000-0000-000055D10000}"/>
    <cellStyle name="Normal 39 12 12 3" xfId="53597" xr:uid="{00000000-0005-0000-0000-000056D10000}"/>
    <cellStyle name="Normal 39 12 13" xfId="53598" xr:uid="{00000000-0005-0000-0000-000057D10000}"/>
    <cellStyle name="Normal 39 12 13 2" xfId="53599" xr:uid="{00000000-0005-0000-0000-000058D10000}"/>
    <cellStyle name="Normal 39 12 13 3" xfId="53600" xr:uid="{00000000-0005-0000-0000-000059D10000}"/>
    <cellStyle name="Normal 39 12 14" xfId="53601" xr:uid="{00000000-0005-0000-0000-00005AD10000}"/>
    <cellStyle name="Normal 39 12 14 2" xfId="53602" xr:uid="{00000000-0005-0000-0000-00005BD10000}"/>
    <cellStyle name="Normal 39 12 14 3" xfId="53603" xr:uid="{00000000-0005-0000-0000-00005CD10000}"/>
    <cellStyle name="Normal 39 12 15" xfId="53604" xr:uid="{00000000-0005-0000-0000-00005DD10000}"/>
    <cellStyle name="Normal 39 12 16" xfId="53605" xr:uid="{00000000-0005-0000-0000-00005ED10000}"/>
    <cellStyle name="Normal 39 12 2" xfId="53606" xr:uid="{00000000-0005-0000-0000-00005FD10000}"/>
    <cellStyle name="Normal 39 12 2 2" xfId="53607" xr:uid="{00000000-0005-0000-0000-000060D10000}"/>
    <cellStyle name="Normal 39 12 2 3" xfId="53608" xr:uid="{00000000-0005-0000-0000-000061D10000}"/>
    <cellStyle name="Normal 39 12 3" xfId="53609" xr:uid="{00000000-0005-0000-0000-000062D10000}"/>
    <cellStyle name="Normal 39 12 3 2" xfId="53610" xr:uid="{00000000-0005-0000-0000-000063D10000}"/>
    <cellStyle name="Normal 39 12 3 3" xfId="53611" xr:uid="{00000000-0005-0000-0000-000064D10000}"/>
    <cellStyle name="Normal 39 12 4" xfId="53612" xr:uid="{00000000-0005-0000-0000-000065D10000}"/>
    <cellStyle name="Normal 39 12 4 2" xfId="53613" xr:uid="{00000000-0005-0000-0000-000066D10000}"/>
    <cellStyle name="Normal 39 12 4 3" xfId="53614" xr:uid="{00000000-0005-0000-0000-000067D10000}"/>
    <cellStyle name="Normal 39 12 5" xfId="53615" xr:uid="{00000000-0005-0000-0000-000068D10000}"/>
    <cellStyle name="Normal 39 12 5 2" xfId="53616" xr:uid="{00000000-0005-0000-0000-000069D10000}"/>
    <cellStyle name="Normal 39 12 5 3" xfId="53617" xr:uid="{00000000-0005-0000-0000-00006AD10000}"/>
    <cellStyle name="Normal 39 12 6" xfId="53618" xr:uid="{00000000-0005-0000-0000-00006BD10000}"/>
    <cellStyle name="Normal 39 12 6 2" xfId="53619" xr:uid="{00000000-0005-0000-0000-00006CD10000}"/>
    <cellStyle name="Normal 39 12 6 3" xfId="53620" xr:uid="{00000000-0005-0000-0000-00006DD10000}"/>
    <cellStyle name="Normal 39 12 7" xfId="53621" xr:uid="{00000000-0005-0000-0000-00006ED10000}"/>
    <cellStyle name="Normal 39 12 7 2" xfId="53622" xr:uid="{00000000-0005-0000-0000-00006FD10000}"/>
    <cellStyle name="Normal 39 12 7 3" xfId="53623" xr:uid="{00000000-0005-0000-0000-000070D10000}"/>
    <cellStyle name="Normal 39 12 8" xfId="53624" xr:uid="{00000000-0005-0000-0000-000071D10000}"/>
    <cellStyle name="Normal 39 12 8 2" xfId="53625" xr:uid="{00000000-0005-0000-0000-000072D10000}"/>
    <cellStyle name="Normal 39 12 8 3" xfId="53626" xr:uid="{00000000-0005-0000-0000-000073D10000}"/>
    <cellStyle name="Normal 39 12 9" xfId="53627" xr:uid="{00000000-0005-0000-0000-000074D10000}"/>
    <cellStyle name="Normal 39 12 9 2" xfId="53628" xr:uid="{00000000-0005-0000-0000-000075D10000}"/>
    <cellStyle name="Normal 39 12 9 3" xfId="53629" xr:uid="{00000000-0005-0000-0000-000076D10000}"/>
    <cellStyle name="Normal 39 13" xfId="53630" xr:uid="{00000000-0005-0000-0000-000077D10000}"/>
    <cellStyle name="Normal 39 13 10" xfId="53631" xr:uid="{00000000-0005-0000-0000-000078D10000}"/>
    <cellStyle name="Normal 39 13 10 2" xfId="53632" xr:uid="{00000000-0005-0000-0000-000079D10000}"/>
    <cellStyle name="Normal 39 13 10 3" xfId="53633" xr:uid="{00000000-0005-0000-0000-00007AD10000}"/>
    <cellStyle name="Normal 39 13 11" xfId="53634" xr:uid="{00000000-0005-0000-0000-00007BD10000}"/>
    <cellStyle name="Normal 39 13 11 2" xfId="53635" xr:uid="{00000000-0005-0000-0000-00007CD10000}"/>
    <cellStyle name="Normal 39 13 11 3" xfId="53636" xr:uid="{00000000-0005-0000-0000-00007DD10000}"/>
    <cellStyle name="Normal 39 13 12" xfId="53637" xr:uid="{00000000-0005-0000-0000-00007ED10000}"/>
    <cellStyle name="Normal 39 13 12 2" xfId="53638" xr:uid="{00000000-0005-0000-0000-00007FD10000}"/>
    <cellStyle name="Normal 39 13 12 3" xfId="53639" xr:uid="{00000000-0005-0000-0000-000080D10000}"/>
    <cellStyle name="Normal 39 13 13" xfId="53640" xr:uid="{00000000-0005-0000-0000-000081D10000}"/>
    <cellStyle name="Normal 39 13 13 2" xfId="53641" xr:uid="{00000000-0005-0000-0000-000082D10000}"/>
    <cellStyle name="Normal 39 13 13 3" xfId="53642" xr:uid="{00000000-0005-0000-0000-000083D10000}"/>
    <cellStyle name="Normal 39 13 14" xfId="53643" xr:uid="{00000000-0005-0000-0000-000084D10000}"/>
    <cellStyle name="Normal 39 13 14 2" xfId="53644" xr:uid="{00000000-0005-0000-0000-000085D10000}"/>
    <cellStyle name="Normal 39 13 14 3" xfId="53645" xr:uid="{00000000-0005-0000-0000-000086D10000}"/>
    <cellStyle name="Normal 39 13 15" xfId="53646" xr:uid="{00000000-0005-0000-0000-000087D10000}"/>
    <cellStyle name="Normal 39 13 16" xfId="53647" xr:uid="{00000000-0005-0000-0000-000088D10000}"/>
    <cellStyle name="Normal 39 13 2" xfId="53648" xr:uid="{00000000-0005-0000-0000-000089D10000}"/>
    <cellStyle name="Normal 39 13 2 2" xfId="53649" xr:uid="{00000000-0005-0000-0000-00008AD10000}"/>
    <cellStyle name="Normal 39 13 2 3" xfId="53650" xr:uid="{00000000-0005-0000-0000-00008BD10000}"/>
    <cellStyle name="Normal 39 13 3" xfId="53651" xr:uid="{00000000-0005-0000-0000-00008CD10000}"/>
    <cellStyle name="Normal 39 13 3 2" xfId="53652" xr:uid="{00000000-0005-0000-0000-00008DD10000}"/>
    <cellStyle name="Normal 39 13 3 3" xfId="53653" xr:uid="{00000000-0005-0000-0000-00008ED10000}"/>
    <cellStyle name="Normal 39 13 4" xfId="53654" xr:uid="{00000000-0005-0000-0000-00008FD10000}"/>
    <cellStyle name="Normal 39 13 4 2" xfId="53655" xr:uid="{00000000-0005-0000-0000-000090D10000}"/>
    <cellStyle name="Normal 39 13 4 3" xfId="53656" xr:uid="{00000000-0005-0000-0000-000091D10000}"/>
    <cellStyle name="Normal 39 13 5" xfId="53657" xr:uid="{00000000-0005-0000-0000-000092D10000}"/>
    <cellStyle name="Normal 39 13 5 2" xfId="53658" xr:uid="{00000000-0005-0000-0000-000093D10000}"/>
    <cellStyle name="Normal 39 13 5 3" xfId="53659" xr:uid="{00000000-0005-0000-0000-000094D10000}"/>
    <cellStyle name="Normal 39 13 6" xfId="53660" xr:uid="{00000000-0005-0000-0000-000095D10000}"/>
    <cellStyle name="Normal 39 13 6 2" xfId="53661" xr:uid="{00000000-0005-0000-0000-000096D10000}"/>
    <cellStyle name="Normal 39 13 6 3" xfId="53662" xr:uid="{00000000-0005-0000-0000-000097D10000}"/>
    <cellStyle name="Normal 39 13 7" xfId="53663" xr:uid="{00000000-0005-0000-0000-000098D10000}"/>
    <cellStyle name="Normal 39 13 7 2" xfId="53664" xr:uid="{00000000-0005-0000-0000-000099D10000}"/>
    <cellStyle name="Normal 39 13 7 3" xfId="53665" xr:uid="{00000000-0005-0000-0000-00009AD10000}"/>
    <cellStyle name="Normal 39 13 8" xfId="53666" xr:uid="{00000000-0005-0000-0000-00009BD10000}"/>
    <cellStyle name="Normal 39 13 8 2" xfId="53667" xr:uid="{00000000-0005-0000-0000-00009CD10000}"/>
    <cellStyle name="Normal 39 13 8 3" xfId="53668" xr:uid="{00000000-0005-0000-0000-00009DD10000}"/>
    <cellStyle name="Normal 39 13 9" xfId="53669" xr:uid="{00000000-0005-0000-0000-00009ED10000}"/>
    <cellStyle name="Normal 39 13 9 2" xfId="53670" xr:uid="{00000000-0005-0000-0000-00009FD10000}"/>
    <cellStyle name="Normal 39 13 9 3" xfId="53671" xr:uid="{00000000-0005-0000-0000-0000A0D10000}"/>
    <cellStyle name="Normal 39 14" xfId="53672" xr:uid="{00000000-0005-0000-0000-0000A1D10000}"/>
    <cellStyle name="Normal 39 14 10" xfId="53673" xr:uid="{00000000-0005-0000-0000-0000A2D10000}"/>
    <cellStyle name="Normal 39 14 10 2" xfId="53674" xr:uid="{00000000-0005-0000-0000-0000A3D10000}"/>
    <cellStyle name="Normal 39 14 10 3" xfId="53675" xr:uid="{00000000-0005-0000-0000-0000A4D10000}"/>
    <cellStyle name="Normal 39 14 11" xfId="53676" xr:uid="{00000000-0005-0000-0000-0000A5D10000}"/>
    <cellStyle name="Normal 39 14 11 2" xfId="53677" xr:uid="{00000000-0005-0000-0000-0000A6D10000}"/>
    <cellStyle name="Normal 39 14 11 3" xfId="53678" xr:uid="{00000000-0005-0000-0000-0000A7D10000}"/>
    <cellStyle name="Normal 39 14 12" xfId="53679" xr:uid="{00000000-0005-0000-0000-0000A8D10000}"/>
    <cellStyle name="Normal 39 14 12 2" xfId="53680" xr:uid="{00000000-0005-0000-0000-0000A9D10000}"/>
    <cellStyle name="Normal 39 14 12 3" xfId="53681" xr:uid="{00000000-0005-0000-0000-0000AAD10000}"/>
    <cellStyle name="Normal 39 14 13" xfId="53682" xr:uid="{00000000-0005-0000-0000-0000ABD10000}"/>
    <cellStyle name="Normal 39 14 13 2" xfId="53683" xr:uid="{00000000-0005-0000-0000-0000ACD10000}"/>
    <cellStyle name="Normal 39 14 13 3" xfId="53684" xr:uid="{00000000-0005-0000-0000-0000ADD10000}"/>
    <cellStyle name="Normal 39 14 14" xfId="53685" xr:uid="{00000000-0005-0000-0000-0000AED10000}"/>
    <cellStyle name="Normal 39 14 14 2" xfId="53686" xr:uid="{00000000-0005-0000-0000-0000AFD10000}"/>
    <cellStyle name="Normal 39 14 14 3" xfId="53687" xr:uid="{00000000-0005-0000-0000-0000B0D10000}"/>
    <cellStyle name="Normal 39 14 15" xfId="53688" xr:uid="{00000000-0005-0000-0000-0000B1D10000}"/>
    <cellStyle name="Normal 39 14 16" xfId="53689" xr:uid="{00000000-0005-0000-0000-0000B2D10000}"/>
    <cellStyle name="Normal 39 14 2" xfId="53690" xr:uid="{00000000-0005-0000-0000-0000B3D10000}"/>
    <cellStyle name="Normal 39 14 2 2" xfId="53691" xr:uid="{00000000-0005-0000-0000-0000B4D10000}"/>
    <cellStyle name="Normal 39 14 2 3" xfId="53692" xr:uid="{00000000-0005-0000-0000-0000B5D10000}"/>
    <cellStyle name="Normal 39 14 3" xfId="53693" xr:uid="{00000000-0005-0000-0000-0000B6D10000}"/>
    <cellStyle name="Normal 39 14 3 2" xfId="53694" xr:uid="{00000000-0005-0000-0000-0000B7D10000}"/>
    <cellStyle name="Normal 39 14 3 3" xfId="53695" xr:uid="{00000000-0005-0000-0000-0000B8D10000}"/>
    <cellStyle name="Normal 39 14 4" xfId="53696" xr:uid="{00000000-0005-0000-0000-0000B9D10000}"/>
    <cellStyle name="Normal 39 14 4 2" xfId="53697" xr:uid="{00000000-0005-0000-0000-0000BAD10000}"/>
    <cellStyle name="Normal 39 14 4 3" xfId="53698" xr:uid="{00000000-0005-0000-0000-0000BBD10000}"/>
    <cellStyle name="Normal 39 14 5" xfId="53699" xr:uid="{00000000-0005-0000-0000-0000BCD10000}"/>
    <cellStyle name="Normal 39 14 5 2" xfId="53700" xr:uid="{00000000-0005-0000-0000-0000BDD10000}"/>
    <cellStyle name="Normal 39 14 5 3" xfId="53701" xr:uid="{00000000-0005-0000-0000-0000BED10000}"/>
    <cellStyle name="Normal 39 14 6" xfId="53702" xr:uid="{00000000-0005-0000-0000-0000BFD10000}"/>
    <cellStyle name="Normal 39 14 6 2" xfId="53703" xr:uid="{00000000-0005-0000-0000-0000C0D10000}"/>
    <cellStyle name="Normal 39 14 6 3" xfId="53704" xr:uid="{00000000-0005-0000-0000-0000C1D10000}"/>
    <cellStyle name="Normal 39 14 7" xfId="53705" xr:uid="{00000000-0005-0000-0000-0000C2D10000}"/>
    <cellStyle name="Normal 39 14 7 2" xfId="53706" xr:uid="{00000000-0005-0000-0000-0000C3D10000}"/>
    <cellStyle name="Normal 39 14 7 3" xfId="53707" xr:uid="{00000000-0005-0000-0000-0000C4D10000}"/>
    <cellStyle name="Normal 39 14 8" xfId="53708" xr:uid="{00000000-0005-0000-0000-0000C5D10000}"/>
    <cellStyle name="Normal 39 14 8 2" xfId="53709" xr:uid="{00000000-0005-0000-0000-0000C6D10000}"/>
    <cellStyle name="Normal 39 14 8 3" xfId="53710" xr:uid="{00000000-0005-0000-0000-0000C7D10000}"/>
    <cellStyle name="Normal 39 14 9" xfId="53711" xr:uid="{00000000-0005-0000-0000-0000C8D10000}"/>
    <cellStyle name="Normal 39 14 9 2" xfId="53712" xr:uid="{00000000-0005-0000-0000-0000C9D10000}"/>
    <cellStyle name="Normal 39 14 9 3" xfId="53713" xr:uid="{00000000-0005-0000-0000-0000CAD10000}"/>
    <cellStyle name="Normal 39 15" xfId="53714" xr:uid="{00000000-0005-0000-0000-0000CBD10000}"/>
    <cellStyle name="Normal 39 15 10" xfId="53715" xr:uid="{00000000-0005-0000-0000-0000CCD10000}"/>
    <cellStyle name="Normal 39 15 10 2" xfId="53716" xr:uid="{00000000-0005-0000-0000-0000CDD10000}"/>
    <cellStyle name="Normal 39 15 10 3" xfId="53717" xr:uid="{00000000-0005-0000-0000-0000CED10000}"/>
    <cellStyle name="Normal 39 15 11" xfId="53718" xr:uid="{00000000-0005-0000-0000-0000CFD10000}"/>
    <cellStyle name="Normal 39 15 11 2" xfId="53719" xr:uid="{00000000-0005-0000-0000-0000D0D10000}"/>
    <cellStyle name="Normal 39 15 11 3" xfId="53720" xr:uid="{00000000-0005-0000-0000-0000D1D10000}"/>
    <cellStyle name="Normal 39 15 12" xfId="53721" xr:uid="{00000000-0005-0000-0000-0000D2D10000}"/>
    <cellStyle name="Normal 39 15 12 2" xfId="53722" xr:uid="{00000000-0005-0000-0000-0000D3D10000}"/>
    <cellStyle name="Normal 39 15 12 3" xfId="53723" xr:uid="{00000000-0005-0000-0000-0000D4D10000}"/>
    <cellStyle name="Normal 39 15 13" xfId="53724" xr:uid="{00000000-0005-0000-0000-0000D5D10000}"/>
    <cellStyle name="Normal 39 15 13 2" xfId="53725" xr:uid="{00000000-0005-0000-0000-0000D6D10000}"/>
    <cellStyle name="Normal 39 15 13 3" xfId="53726" xr:uid="{00000000-0005-0000-0000-0000D7D10000}"/>
    <cellStyle name="Normal 39 15 14" xfId="53727" xr:uid="{00000000-0005-0000-0000-0000D8D10000}"/>
    <cellStyle name="Normal 39 15 14 2" xfId="53728" xr:uid="{00000000-0005-0000-0000-0000D9D10000}"/>
    <cellStyle name="Normal 39 15 14 3" xfId="53729" xr:uid="{00000000-0005-0000-0000-0000DAD10000}"/>
    <cellStyle name="Normal 39 15 15" xfId="53730" xr:uid="{00000000-0005-0000-0000-0000DBD10000}"/>
    <cellStyle name="Normal 39 15 16" xfId="53731" xr:uid="{00000000-0005-0000-0000-0000DCD10000}"/>
    <cellStyle name="Normal 39 15 2" xfId="53732" xr:uid="{00000000-0005-0000-0000-0000DDD10000}"/>
    <cellStyle name="Normal 39 15 2 2" xfId="53733" xr:uid="{00000000-0005-0000-0000-0000DED10000}"/>
    <cellStyle name="Normal 39 15 2 3" xfId="53734" xr:uid="{00000000-0005-0000-0000-0000DFD10000}"/>
    <cellStyle name="Normal 39 15 3" xfId="53735" xr:uid="{00000000-0005-0000-0000-0000E0D10000}"/>
    <cellStyle name="Normal 39 15 3 2" xfId="53736" xr:uid="{00000000-0005-0000-0000-0000E1D10000}"/>
    <cellStyle name="Normal 39 15 3 3" xfId="53737" xr:uid="{00000000-0005-0000-0000-0000E2D10000}"/>
    <cellStyle name="Normal 39 15 4" xfId="53738" xr:uid="{00000000-0005-0000-0000-0000E3D10000}"/>
    <cellStyle name="Normal 39 15 4 2" xfId="53739" xr:uid="{00000000-0005-0000-0000-0000E4D10000}"/>
    <cellStyle name="Normal 39 15 4 3" xfId="53740" xr:uid="{00000000-0005-0000-0000-0000E5D10000}"/>
    <cellStyle name="Normal 39 15 5" xfId="53741" xr:uid="{00000000-0005-0000-0000-0000E6D10000}"/>
    <cellStyle name="Normal 39 15 5 2" xfId="53742" xr:uid="{00000000-0005-0000-0000-0000E7D10000}"/>
    <cellStyle name="Normal 39 15 5 3" xfId="53743" xr:uid="{00000000-0005-0000-0000-0000E8D10000}"/>
    <cellStyle name="Normal 39 15 6" xfId="53744" xr:uid="{00000000-0005-0000-0000-0000E9D10000}"/>
    <cellStyle name="Normal 39 15 6 2" xfId="53745" xr:uid="{00000000-0005-0000-0000-0000EAD10000}"/>
    <cellStyle name="Normal 39 15 6 3" xfId="53746" xr:uid="{00000000-0005-0000-0000-0000EBD10000}"/>
    <cellStyle name="Normal 39 15 7" xfId="53747" xr:uid="{00000000-0005-0000-0000-0000ECD10000}"/>
    <cellStyle name="Normal 39 15 7 2" xfId="53748" xr:uid="{00000000-0005-0000-0000-0000EDD10000}"/>
    <cellStyle name="Normal 39 15 7 3" xfId="53749" xr:uid="{00000000-0005-0000-0000-0000EED10000}"/>
    <cellStyle name="Normal 39 15 8" xfId="53750" xr:uid="{00000000-0005-0000-0000-0000EFD10000}"/>
    <cellStyle name="Normal 39 15 8 2" xfId="53751" xr:uid="{00000000-0005-0000-0000-0000F0D10000}"/>
    <cellStyle name="Normal 39 15 8 3" xfId="53752" xr:uid="{00000000-0005-0000-0000-0000F1D10000}"/>
    <cellStyle name="Normal 39 15 9" xfId="53753" xr:uid="{00000000-0005-0000-0000-0000F2D10000}"/>
    <cellStyle name="Normal 39 15 9 2" xfId="53754" xr:uid="{00000000-0005-0000-0000-0000F3D10000}"/>
    <cellStyle name="Normal 39 15 9 3" xfId="53755" xr:uid="{00000000-0005-0000-0000-0000F4D10000}"/>
    <cellStyle name="Normal 39 16" xfId="53756" xr:uid="{00000000-0005-0000-0000-0000F5D10000}"/>
    <cellStyle name="Normal 39 16 10" xfId="53757" xr:uid="{00000000-0005-0000-0000-0000F6D10000}"/>
    <cellStyle name="Normal 39 16 10 2" xfId="53758" xr:uid="{00000000-0005-0000-0000-0000F7D10000}"/>
    <cellStyle name="Normal 39 16 10 3" xfId="53759" xr:uid="{00000000-0005-0000-0000-0000F8D10000}"/>
    <cellStyle name="Normal 39 16 11" xfId="53760" xr:uid="{00000000-0005-0000-0000-0000F9D10000}"/>
    <cellStyle name="Normal 39 16 11 2" xfId="53761" xr:uid="{00000000-0005-0000-0000-0000FAD10000}"/>
    <cellStyle name="Normal 39 16 11 3" xfId="53762" xr:uid="{00000000-0005-0000-0000-0000FBD10000}"/>
    <cellStyle name="Normal 39 16 12" xfId="53763" xr:uid="{00000000-0005-0000-0000-0000FCD10000}"/>
    <cellStyle name="Normal 39 16 12 2" xfId="53764" xr:uid="{00000000-0005-0000-0000-0000FDD10000}"/>
    <cellStyle name="Normal 39 16 12 3" xfId="53765" xr:uid="{00000000-0005-0000-0000-0000FED10000}"/>
    <cellStyle name="Normal 39 16 13" xfId="53766" xr:uid="{00000000-0005-0000-0000-0000FFD10000}"/>
    <cellStyle name="Normal 39 16 13 2" xfId="53767" xr:uid="{00000000-0005-0000-0000-000000D20000}"/>
    <cellStyle name="Normal 39 16 13 3" xfId="53768" xr:uid="{00000000-0005-0000-0000-000001D20000}"/>
    <cellStyle name="Normal 39 16 14" xfId="53769" xr:uid="{00000000-0005-0000-0000-000002D20000}"/>
    <cellStyle name="Normal 39 16 14 2" xfId="53770" xr:uid="{00000000-0005-0000-0000-000003D20000}"/>
    <cellStyle name="Normal 39 16 14 3" xfId="53771" xr:uid="{00000000-0005-0000-0000-000004D20000}"/>
    <cellStyle name="Normal 39 16 15" xfId="53772" xr:uid="{00000000-0005-0000-0000-000005D20000}"/>
    <cellStyle name="Normal 39 16 16" xfId="53773" xr:uid="{00000000-0005-0000-0000-000006D20000}"/>
    <cellStyle name="Normal 39 16 2" xfId="53774" xr:uid="{00000000-0005-0000-0000-000007D20000}"/>
    <cellStyle name="Normal 39 16 2 2" xfId="53775" xr:uid="{00000000-0005-0000-0000-000008D20000}"/>
    <cellStyle name="Normal 39 16 2 3" xfId="53776" xr:uid="{00000000-0005-0000-0000-000009D20000}"/>
    <cellStyle name="Normal 39 16 3" xfId="53777" xr:uid="{00000000-0005-0000-0000-00000AD20000}"/>
    <cellStyle name="Normal 39 16 3 2" xfId="53778" xr:uid="{00000000-0005-0000-0000-00000BD20000}"/>
    <cellStyle name="Normal 39 16 3 3" xfId="53779" xr:uid="{00000000-0005-0000-0000-00000CD20000}"/>
    <cellStyle name="Normal 39 16 4" xfId="53780" xr:uid="{00000000-0005-0000-0000-00000DD20000}"/>
    <cellStyle name="Normal 39 16 4 2" xfId="53781" xr:uid="{00000000-0005-0000-0000-00000ED20000}"/>
    <cellStyle name="Normal 39 16 4 3" xfId="53782" xr:uid="{00000000-0005-0000-0000-00000FD20000}"/>
    <cellStyle name="Normal 39 16 5" xfId="53783" xr:uid="{00000000-0005-0000-0000-000010D20000}"/>
    <cellStyle name="Normal 39 16 5 2" xfId="53784" xr:uid="{00000000-0005-0000-0000-000011D20000}"/>
    <cellStyle name="Normal 39 16 5 3" xfId="53785" xr:uid="{00000000-0005-0000-0000-000012D20000}"/>
    <cellStyle name="Normal 39 16 6" xfId="53786" xr:uid="{00000000-0005-0000-0000-000013D20000}"/>
    <cellStyle name="Normal 39 16 6 2" xfId="53787" xr:uid="{00000000-0005-0000-0000-000014D20000}"/>
    <cellStyle name="Normal 39 16 6 3" xfId="53788" xr:uid="{00000000-0005-0000-0000-000015D20000}"/>
    <cellStyle name="Normal 39 16 7" xfId="53789" xr:uid="{00000000-0005-0000-0000-000016D20000}"/>
    <cellStyle name="Normal 39 16 7 2" xfId="53790" xr:uid="{00000000-0005-0000-0000-000017D20000}"/>
    <cellStyle name="Normal 39 16 7 3" xfId="53791" xr:uid="{00000000-0005-0000-0000-000018D20000}"/>
    <cellStyle name="Normal 39 16 8" xfId="53792" xr:uid="{00000000-0005-0000-0000-000019D20000}"/>
    <cellStyle name="Normal 39 16 8 2" xfId="53793" xr:uid="{00000000-0005-0000-0000-00001AD20000}"/>
    <cellStyle name="Normal 39 16 8 3" xfId="53794" xr:uid="{00000000-0005-0000-0000-00001BD20000}"/>
    <cellStyle name="Normal 39 16 9" xfId="53795" xr:uid="{00000000-0005-0000-0000-00001CD20000}"/>
    <cellStyle name="Normal 39 16 9 2" xfId="53796" xr:uid="{00000000-0005-0000-0000-00001DD20000}"/>
    <cellStyle name="Normal 39 16 9 3" xfId="53797" xr:uid="{00000000-0005-0000-0000-00001ED20000}"/>
    <cellStyle name="Normal 39 17" xfId="53798" xr:uid="{00000000-0005-0000-0000-00001FD20000}"/>
    <cellStyle name="Normal 39 17 10" xfId="53799" xr:uid="{00000000-0005-0000-0000-000020D20000}"/>
    <cellStyle name="Normal 39 17 10 2" xfId="53800" xr:uid="{00000000-0005-0000-0000-000021D20000}"/>
    <cellStyle name="Normal 39 17 10 3" xfId="53801" xr:uid="{00000000-0005-0000-0000-000022D20000}"/>
    <cellStyle name="Normal 39 17 11" xfId="53802" xr:uid="{00000000-0005-0000-0000-000023D20000}"/>
    <cellStyle name="Normal 39 17 11 2" xfId="53803" xr:uid="{00000000-0005-0000-0000-000024D20000}"/>
    <cellStyle name="Normal 39 17 11 3" xfId="53804" xr:uid="{00000000-0005-0000-0000-000025D20000}"/>
    <cellStyle name="Normal 39 17 12" xfId="53805" xr:uid="{00000000-0005-0000-0000-000026D20000}"/>
    <cellStyle name="Normal 39 17 12 2" xfId="53806" xr:uid="{00000000-0005-0000-0000-000027D20000}"/>
    <cellStyle name="Normal 39 17 12 3" xfId="53807" xr:uid="{00000000-0005-0000-0000-000028D20000}"/>
    <cellStyle name="Normal 39 17 13" xfId="53808" xr:uid="{00000000-0005-0000-0000-000029D20000}"/>
    <cellStyle name="Normal 39 17 13 2" xfId="53809" xr:uid="{00000000-0005-0000-0000-00002AD20000}"/>
    <cellStyle name="Normal 39 17 13 3" xfId="53810" xr:uid="{00000000-0005-0000-0000-00002BD20000}"/>
    <cellStyle name="Normal 39 17 14" xfId="53811" xr:uid="{00000000-0005-0000-0000-00002CD20000}"/>
    <cellStyle name="Normal 39 17 14 2" xfId="53812" xr:uid="{00000000-0005-0000-0000-00002DD20000}"/>
    <cellStyle name="Normal 39 17 14 3" xfId="53813" xr:uid="{00000000-0005-0000-0000-00002ED20000}"/>
    <cellStyle name="Normal 39 17 15" xfId="53814" xr:uid="{00000000-0005-0000-0000-00002FD20000}"/>
    <cellStyle name="Normal 39 17 16" xfId="53815" xr:uid="{00000000-0005-0000-0000-000030D20000}"/>
    <cellStyle name="Normal 39 17 2" xfId="53816" xr:uid="{00000000-0005-0000-0000-000031D20000}"/>
    <cellStyle name="Normal 39 17 2 2" xfId="53817" xr:uid="{00000000-0005-0000-0000-000032D20000}"/>
    <cellStyle name="Normal 39 17 2 3" xfId="53818" xr:uid="{00000000-0005-0000-0000-000033D20000}"/>
    <cellStyle name="Normal 39 17 3" xfId="53819" xr:uid="{00000000-0005-0000-0000-000034D20000}"/>
    <cellStyle name="Normal 39 17 3 2" xfId="53820" xr:uid="{00000000-0005-0000-0000-000035D20000}"/>
    <cellStyle name="Normal 39 17 3 3" xfId="53821" xr:uid="{00000000-0005-0000-0000-000036D20000}"/>
    <cellStyle name="Normal 39 17 4" xfId="53822" xr:uid="{00000000-0005-0000-0000-000037D20000}"/>
    <cellStyle name="Normal 39 17 4 2" xfId="53823" xr:uid="{00000000-0005-0000-0000-000038D20000}"/>
    <cellStyle name="Normal 39 17 4 3" xfId="53824" xr:uid="{00000000-0005-0000-0000-000039D20000}"/>
    <cellStyle name="Normal 39 17 5" xfId="53825" xr:uid="{00000000-0005-0000-0000-00003AD20000}"/>
    <cellStyle name="Normal 39 17 5 2" xfId="53826" xr:uid="{00000000-0005-0000-0000-00003BD20000}"/>
    <cellStyle name="Normal 39 17 5 3" xfId="53827" xr:uid="{00000000-0005-0000-0000-00003CD20000}"/>
    <cellStyle name="Normal 39 17 6" xfId="53828" xr:uid="{00000000-0005-0000-0000-00003DD20000}"/>
    <cellStyle name="Normal 39 17 6 2" xfId="53829" xr:uid="{00000000-0005-0000-0000-00003ED20000}"/>
    <cellStyle name="Normal 39 17 6 3" xfId="53830" xr:uid="{00000000-0005-0000-0000-00003FD20000}"/>
    <cellStyle name="Normal 39 17 7" xfId="53831" xr:uid="{00000000-0005-0000-0000-000040D20000}"/>
    <cellStyle name="Normal 39 17 7 2" xfId="53832" xr:uid="{00000000-0005-0000-0000-000041D20000}"/>
    <cellStyle name="Normal 39 17 7 3" xfId="53833" xr:uid="{00000000-0005-0000-0000-000042D20000}"/>
    <cellStyle name="Normal 39 17 8" xfId="53834" xr:uid="{00000000-0005-0000-0000-000043D20000}"/>
    <cellStyle name="Normal 39 17 8 2" xfId="53835" xr:uid="{00000000-0005-0000-0000-000044D20000}"/>
    <cellStyle name="Normal 39 17 8 3" xfId="53836" xr:uid="{00000000-0005-0000-0000-000045D20000}"/>
    <cellStyle name="Normal 39 17 9" xfId="53837" xr:uid="{00000000-0005-0000-0000-000046D20000}"/>
    <cellStyle name="Normal 39 17 9 2" xfId="53838" xr:uid="{00000000-0005-0000-0000-000047D20000}"/>
    <cellStyle name="Normal 39 17 9 3" xfId="53839" xr:uid="{00000000-0005-0000-0000-000048D20000}"/>
    <cellStyle name="Normal 39 18" xfId="53840" xr:uid="{00000000-0005-0000-0000-000049D20000}"/>
    <cellStyle name="Normal 39 18 2" xfId="53841" xr:uid="{00000000-0005-0000-0000-00004AD20000}"/>
    <cellStyle name="Normal 39 18 3" xfId="53842" xr:uid="{00000000-0005-0000-0000-00004BD20000}"/>
    <cellStyle name="Normal 39 19" xfId="53843" xr:uid="{00000000-0005-0000-0000-00004CD20000}"/>
    <cellStyle name="Normal 39 19 2" xfId="53844" xr:uid="{00000000-0005-0000-0000-00004DD20000}"/>
    <cellStyle name="Normal 39 19 3" xfId="53845" xr:uid="{00000000-0005-0000-0000-00004ED20000}"/>
    <cellStyle name="Normal 39 2" xfId="53846" xr:uid="{00000000-0005-0000-0000-00004FD20000}"/>
    <cellStyle name="Normal 39 2 10" xfId="53847" xr:uid="{00000000-0005-0000-0000-000050D20000}"/>
    <cellStyle name="Normal 39 2 11" xfId="53848" xr:uid="{00000000-0005-0000-0000-000051D20000}"/>
    <cellStyle name="Normal 39 2 12" xfId="53849" xr:uid="{00000000-0005-0000-0000-000052D20000}"/>
    <cellStyle name="Normal 39 2 13" xfId="53850" xr:uid="{00000000-0005-0000-0000-000053D20000}"/>
    <cellStyle name="Normal 39 2 14" xfId="53851" xr:uid="{00000000-0005-0000-0000-000054D20000}"/>
    <cellStyle name="Normal 39 2 15" xfId="53852" xr:uid="{00000000-0005-0000-0000-000055D20000}"/>
    <cellStyle name="Normal 39 2 16" xfId="53853" xr:uid="{00000000-0005-0000-0000-000056D20000}"/>
    <cellStyle name="Normal 39 2 17" xfId="53854" xr:uid="{00000000-0005-0000-0000-000057D20000}"/>
    <cellStyle name="Normal 39 2 2" xfId="53855" xr:uid="{00000000-0005-0000-0000-000058D20000}"/>
    <cellStyle name="Normal 39 2 2 10" xfId="53856" xr:uid="{00000000-0005-0000-0000-000059D20000}"/>
    <cellStyle name="Normal 39 2 2 11" xfId="53857" xr:uid="{00000000-0005-0000-0000-00005AD20000}"/>
    <cellStyle name="Normal 39 2 2 12" xfId="53858" xr:uid="{00000000-0005-0000-0000-00005BD20000}"/>
    <cellStyle name="Normal 39 2 2 13" xfId="53859" xr:uid="{00000000-0005-0000-0000-00005CD20000}"/>
    <cellStyle name="Normal 39 2 2 14" xfId="53860" xr:uid="{00000000-0005-0000-0000-00005DD20000}"/>
    <cellStyle name="Normal 39 2 2 2" xfId="53861" xr:uid="{00000000-0005-0000-0000-00005ED20000}"/>
    <cellStyle name="Normal 39 2 2 2 2" xfId="53862" xr:uid="{00000000-0005-0000-0000-00005FD20000}"/>
    <cellStyle name="Normal 39 2 2 2 2 2" xfId="53863" xr:uid="{00000000-0005-0000-0000-000060D20000}"/>
    <cellStyle name="Normal 39 2 2 2 2 3" xfId="53864" xr:uid="{00000000-0005-0000-0000-000061D20000}"/>
    <cellStyle name="Normal 39 2 2 2 3" xfId="53865" xr:uid="{00000000-0005-0000-0000-000062D20000}"/>
    <cellStyle name="Normal 39 2 2 3" xfId="53866" xr:uid="{00000000-0005-0000-0000-000063D20000}"/>
    <cellStyle name="Normal 39 2 2 4" xfId="53867" xr:uid="{00000000-0005-0000-0000-000064D20000}"/>
    <cellStyle name="Normal 39 2 2 5" xfId="53868" xr:uid="{00000000-0005-0000-0000-000065D20000}"/>
    <cellStyle name="Normal 39 2 2 6" xfId="53869" xr:uid="{00000000-0005-0000-0000-000066D20000}"/>
    <cellStyle name="Normal 39 2 2 7" xfId="53870" xr:uid="{00000000-0005-0000-0000-000067D20000}"/>
    <cellStyle name="Normal 39 2 2 8" xfId="53871" xr:uid="{00000000-0005-0000-0000-000068D20000}"/>
    <cellStyle name="Normal 39 2 2 9" xfId="53872" xr:uid="{00000000-0005-0000-0000-000069D20000}"/>
    <cellStyle name="Normal 39 2 3" xfId="53873" xr:uid="{00000000-0005-0000-0000-00006AD20000}"/>
    <cellStyle name="Normal 39 2 4" xfId="53874" xr:uid="{00000000-0005-0000-0000-00006BD20000}"/>
    <cellStyle name="Normal 39 2 5" xfId="53875" xr:uid="{00000000-0005-0000-0000-00006CD20000}"/>
    <cellStyle name="Normal 39 2 6" xfId="53876" xr:uid="{00000000-0005-0000-0000-00006DD20000}"/>
    <cellStyle name="Normal 39 2 6 2" xfId="53877" xr:uid="{00000000-0005-0000-0000-00006ED20000}"/>
    <cellStyle name="Normal 39 2 6 2 2" xfId="53878" xr:uid="{00000000-0005-0000-0000-00006FD20000}"/>
    <cellStyle name="Normal 39 2 6 2 3" xfId="53879" xr:uid="{00000000-0005-0000-0000-000070D20000}"/>
    <cellStyle name="Normal 39 2 6 3" xfId="53880" xr:uid="{00000000-0005-0000-0000-000071D20000}"/>
    <cellStyle name="Normal 39 2 7" xfId="53881" xr:uid="{00000000-0005-0000-0000-000072D20000}"/>
    <cellStyle name="Normal 39 2 7 2" xfId="53882" xr:uid="{00000000-0005-0000-0000-000073D20000}"/>
    <cellStyle name="Normal 39 2 7 2 2" xfId="53883" xr:uid="{00000000-0005-0000-0000-000074D20000}"/>
    <cellStyle name="Normal 39 2 7 2 3" xfId="53884" xr:uid="{00000000-0005-0000-0000-000075D20000}"/>
    <cellStyle name="Normal 39 2 7 3" xfId="53885" xr:uid="{00000000-0005-0000-0000-000076D20000}"/>
    <cellStyle name="Normal 39 2 8" xfId="53886" xr:uid="{00000000-0005-0000-0000-000077D20000}"/>
    <cellStyle name="Normal 39 2 9" xfId="53887" xr:uid="{00000000-0005-0000-0000-000078D20000}"/>
    <cellStyle name="Normal 39 20" xfId="53888" xr:uid="{00000000-0005-0000-0000-000079D20000}"/>
    <cellStyle name="Normal 39 20 2" xfId="53889" xr:uid="{00000000-0005-0000-0000-00007AD20000}"/>
    <cellStyle name="Normal 39 20 3" xfId="53890" xr:uid="{00000000-0005-0000-0000-00007BD20000}"/>
    <cellStyle name="Normal 39 21" xfId="53891" xr:uid="{00000000-0005-0000-0000-00007CD20000}"/>
    <cellStyle name="Normal 39 21 2" xfId="53892" xr:uid="{00000000-0005-0000-0000-00007DD20000}"/>
    <cellStyle name="Normal 39 21 3" xfId="53893" xr:uid="{00000000-0005-0000-0000-00007ED20000}"/>
    <cellStyle name="Normal 39 22" xfId="53894" xr:uid="{00000000-0005-0000-0000-00007FD20000}"/>
    <cellStyle name="Normal 39 22 2" xfId="53895" xr:uid="{00000000-0005-0000-0000-000080D20000}"/>
    <cellStyle name="Normal 39 22 3" xfId="53896" xr:uid="{00000000-0005-0000-0000-000081D20000}"/>
    <cellStyle name="Normal 39 23" xfId="53897" xr:uid="{00000000-0005-0000-0000-000082D20000}"/>
    <cellStyle name="Normal 39 23 2" xfId="53898" xr:uid="{00000000-0005-0000-0000-000083D20000}"/>
    <cellStyle name="Normal 39 23 3" xfId="53899" xr:uid="{00000000-0005-0000-0000-000084D20000}"/>
    <cellStyle name="Normal 39 24" xfId="53900" xr:uid="{00000000-0005-0000-0000-000085D20000}"/>
    <cellStyle name="Normal 39 24 2" xfId="53901" xr:uid="{00000000-0005-0000-0000-000086D20000}"/>
    <cellStyle name="Normal 39 24 3" xfId="53902" xr:uid="{00000000-0005-0000-0000-000087D20000}"/>
    <cellStyle name="Normal 39 25" xfId="53903" xr:uid="{00000000-0005-0000-0000-000088D20000}"/>
    <cellStyle name="Normal 39 25 2" xfId="53904" xr:uid="{00000000-0005-0000-0000-000089D20000}"/>
    <cellStyle name="Normal 39 25 3" xfId="53905" xr:uid="{00000000-0005-0000-0000-00008AD20000}"/>
    <cellStyle name="Normal 39 26" xfId="53906" xr:uid="{00000000-0005-0000-0000-00008BD20000}"/>
    <cellStyle name="Normal 39 26 2" xfId="53907" xr:uid="{00000000-0005-0000-0000-00008CD20000}"/>
    <cellStyle name="Normal 39 26 3" xfId="53908" xr:uid="{00000000-0005-0000-0000-00008DD20000}"/>
    <cellStyle name="Normal 39 27" xfId="53909" xr:uid="{00000000-0005-0000-0000-00008ED20000}"/>
    <cellStyle name="Normal 39 27 2" xfId="53910" xr:uid="{00000000-0005-0000-0000-00008FD20000}"/>
    <cellStyle name="Normal 39 27 3" xfId="53911" xr:uid="{00000000-0005-0000-0000-000090D20000}"/>
    <cellStyle name="Normal 39 28" xfId="53912" xr:uid="{00000000-0005-0000-0000-000091D20000}"/>
    <cellStyle name="Normal 39 28 2" xfId="53913" xr:uid="{00000000-0005-0000-0000-000092D20000}"/>
    <cellStyle name="Normal 39 28 3" xfId="53914" xr:uid="{00000000-0005-0000-0000-000093D20000}"/>
    <cellStyle name="Normal 39 29" xfId="53915" xr:uid="{00000000-0005-0000-0000-000094D20000}"/>
    <cellStyle name="Normal 39 29 2" xfId="53916" xr:uid="{00000000-0005-0000-0000-000095D20000}"/>
    <cellStyle name="Normal 39 29 3" xfId="53917" xr:uid="{00000000-0005-0000-0000-000096D20000}"/>
    <cellStyle name="Normal 39 3" xfId="53918" xr:uid="{00000000-0005-0000-0000-000097D20000}"/>
    <cellStyle name="Normal 39 30" xfId="53919" xr:uid="{00000000-0005-0000-0000-000098D20000}"/>
    <cellStyle name="Normal 39 30 2" xfId="53920" xr:uid="{00000000-0005-0000-0000-000099D20000}"/>
    <cellStyle name="Normal 39 30 3" xfId="53921" xr:uid="{00000000-0005-0000-0000-00009AD20000}"/>
    <cellStyle name="Normal 39 31" xfId="53922" xr:uid="{00000000-0005-0000-0000-00009BD20000}"/>
    <cellStyle name="Normal 39 32" xfId="53923" xr:uid="{00000000-0005-0000-0000-00009CD20000}"/>
    <cellStyle name="Normal 39 33" xfId="53924" xr:uid="{00000000-0005-0000-0000-00009DD20000}"/>
    <cellStyle name="Normal 39 34" xfId="53925" xr:uid="{00000000-0005-0000-0000-00009ED20000}"/>
    <cellStyle name="Normal 39 35" xfId="53926" xr:uid="{00000000-0005-0000-0000-00009FD20000}"/>
    <cellStyle name="Normal 39 36" xfId="53927" xr:uid="{00000000-0005-0000-0000-0000A0D20000}"/>
    <cellStyle name="Normal 39 37" xfId="53928" xr:uid="{00000000-0005-0000-0000-0000A1D20000}"/>
    <cellStyle name="Normal 39 38" xfId="53929" xr:uid="{00000000-0005-0000-0000-0000A2D20000}"/>
    <cellStyle name="Normal 39 39" xfId="53930" xr:uid="{00000000-0005-0000-0000-0000A3D20000}"/>
    <cellStyle name="Normal 39 4" xfId="53931" xr:uid="{00000000-0005-0000-0000-0000A4D20000}"/>
    <cellStyle name="Normal 39 4 10" xfId="53932" xr:uid="{00000000-0005-0000-0000-0000A5D20000}"/>
    <cellStyle name="Normal 39 4 10 2" xfId="53933" xr:uid="{00000000-0005-0000-0000-0000A6D20000}"/>
    <cellStyle name="Normal 39 4 10 3" xfId="53934" xr:uid="{00000000-0005-0000-0000-0000A7D20000}"/>
    <cellStyle name="Normal 39 4 11" xfId="53935" xr:uid="{00000000-0005-0000-0000-0000A8D20000}"/>
    <cellStyle name="Normal 39 4 11 2" xfId="53936" xr:uid="{00000000-0005-0000-0000-0000A9D20000}"/>
    <cellStyle name="Normal 39 4 11 3" xfId="53937" xr:uid="{00000000-0005-0000-0000-0000AAD20000}"/>
    <cellStyle name="Normal 39 4 12" xfId="53938" xr:uid="{00000000-0005-0000-0000-0000ABD20000}"/>
    <cellStyle name="Normal 39 4 12 2" xfId="53939" xr:uid="{00000000-0005-0000-0000-0000ACD20000}"/>
    <cellStyle name="Normal 39 4 12 3" xfId="53940" xr:uid="{00000000-0005-0000-0000-0000ADD20000}"/>
    <cellStyle name="Normal 39 4 13" xfId="53941" xr:uid="{00000000-0005-0000-0000-0000AED20000}"/>
    <cellStyle name="Normal 39 4 13 2" xfId="53942" xr:uid="{00000000-0005-0000-0000-0000AFD20000}"/>
    <cellStyle name="Normal 39 4 13 3" xfId="53943" xr:uid="{00000000-0005-0000-0000-0000B0D20000}"/>
    <cellStyle name="Normal 39 4 14" xfId="53944" xr:uid="{00000000-0005-0000-0000-0000B1D20000}"/>
    <cellStyle name="Normal 39 4 14 2" xfId="53945" xr:uid="{00000000-0005-0000-0000-0000B2D20000}"/>
    <cellStyle name="Normal 39 4 14 3" xfId="53946" xr:uid="{00000000-0005-0000-0000-0000B3D20000}"/>
    <cellStyle name="Normal 39 4 15" xfId="53947" xr:uid="{00000000-0005-0000-0000-0000B4D20000}"/>
    <cellStyle name="Normal 39 4 15 2" xfId="53948" xr:uid="{00000000-0005-0000-0000-0000B5D20000}"/>
    <cellStyle name="Normal 39 4 15 3" xfId="53949" xr:uid="{00000000-0005-0000-0000-0000B6D20000}"/>
    <cellStyle name="Normal 39 4 16" xfId="53950" xr:uid="{00000000-0005-0000-0000-0000B7D20000}"/>
    <cellStyle name="Normal 39 4 17" xfId="53951" xr:uid="{00000000-0005-0000-0000-0000B8D20000}"/>
    <cellStyle name="Normal 39 4 18" xfId="53952" xr:uid="{00000000-0005-0000-0000-0000B9D20000}"/>
    <cellStyle name="Normal 39 4 19" xfId="53953" xr:uid="{00000000-0005-0000-0000-0000BAD20000}"/>
    <cellStyle name="Normal 39 4 2" xfId="53954" xr:uid="{00000000-0005-0000-0000-0000BBD20000}"/>
    <cellStyle name="Normal 39 4 2 10" xfId="53955" xr:uid="{00000000-0005-0000-0000-0000BCD20000}"/>
    <cellStyle name="Normal 39 4 2 10 2" xfId="53956" xr:uid="{00000000-0005-0000-0000-0000BDD20000}"/>
    <cellStyle name="Normal 39 4 2 10 3" xfId="53957" xr:uid="{00000000-0005-0000-0000-0000BED20000}"/>
    <cellStyle name="Normal 39 4 2 11" xfId="53958" xr:uid="{00000000-0005-0000-0000-0000BFD20000}"/>
    <cellStyle name="Normal 39 4 2 11 2" xfId="53959" xr:uid="{00000000-0005-0000-0000-0000C0D20000}"/>
    <cellStyle name="Normal 39 4 2 11 3" xfId="53960" xr:uid="{00000000-0005-0000-0000-0000C1D20000}"/>
    <cellStyle name="Normal 39 4 2 12" xfId="53961" xr:uid="{00000000-0005-0000-0000-0000C2D20000}"/>
    <cellStyle name="Normal 39 4 2 12 2" xfId="53962" xr:uid="{00000000-0005-0000-0000-0000C3D20000}"/>
    <cellStyle name="Normal 39 4 2 12 3" xfId="53963" xr:uid="{00000000-0005-0000-0000-0000C4D20000}"/>
    <cellStyle name="Normal 39 4 2 13" xfId="53964" xr:uid="{00000000-0005-0000-0000-0000C5D20000}"/>
    <cellStyle name="Normal 39 4 2 13 2" xfId="53965" xr:uid="{00000000-0005-0000-0000-0000C6D20000}"/>
    <cellStyle name="Normal 39 4 2 13 3" xfId="53966" xr:uid="{00000000-0005-0000-0000-0000C7D20000}"/>
    <cellStyle name="Normal 39 4 2 14" xfId="53967" xr:uid="{00000000-0005-0000-0000-0000C8D20000}"/>
    <cellStyle name="Normal 39 4 2 14 2" xfId="53968" xr:uid="{00000000-0005-0000-0000-0000C9D20000}"/>
    <cellStyle name="Normal 39 4 2 14 3" xfId="53969" xr:uid="{00000000-0005-0000-0000-0000CAD20000}"/>
    <cellStyle name="Normal 39 4 2 15" xfId="53970" xr:uid="{00000000-0005-0000-0000-0000CBD20000}"/>
    <cellStyle name="Normal 39 4 2 16" xfId="53971" xr:uid="{00000000-0005-0000-0000-0000CCD20000}"/>
    <cellStyle name="Normal 39 4 2 2" xfId="53972" xr:uid="{00000000-0005-0000-0000-0000CDD20000}"/>
    <cellStyle name="Normal 39 4 2 2 2" xfId="53973" xr:uid="{00000000-0005-0000-0000-0000CED20000}"/>
    <cellStyle name="Normal 39 4 2 2 3" xfId="53974" xr:uid="{00000000-0005-0000-0000-0000CFD20000}"/>
    <cellStyle name="Normal 39 4 2 3" xfId="53975" xr:uid="{00000000-0005-0000-0000-0000D0D20000}"/>
    <cellStyle name="Normal 39 4 2 3 2" xfId="53976" xr:uid="{00000000-0005-0000-0000-0000D1D20000}"/>
    <cellStyle name="Normal 39 4 2 3 3" xfId="53977" xr:uid="{00000000-0005-0000-0000-0000D2D20000}"/>
    <cellStyle name="Normal 39 4 2 4" xfId="53978" xr:uid="{00000000-0005-0000-0000-0000D3D20000}"/>
    <cellStyle name="Normal 39 4 2 4 2" xfId="53979" xr:uid="{00000000-0005-0000-0000-0000D4D20000}"/>
    <cellStyle name="Normal 39 4 2 4 3" xfId="53980" xr:uid="{00000000-0005-0000-0000-0000D5D20000}"/>
    <cellStyle name="Normal 39 4 2 5" xfId="53981" xr:uid="{00000000-0005-0000-0000-0000D6D20000}"/>
    <cellStyle name="Normal 39 4 2 5 2" xfId="53982" xr:uid="{00000000-0005-0000-0000-0000D7D20000}"/>
    <cellStyle name="Normal 39 4 2 5 3" xfId="53983" xr:uid="{00000000-0005-0000-0000-0000D8D20000}"/>
    <cellStyle name="Normal 39 4 2 6" xfId="53984" xr:uid="{00000000-0005-0000-0000-0000D9D20000}"/>
    <cellStyle name="Normal 39 4 2 6 2" xfId="53985" xr:uid="{00000000-0005-0000-0000-0000DAD20000}"/>
    <cellStyle name="Normal 39 4 2 6 3" xfId="53986" xr:uid="{00000000-0005-0000-0000-0000DBD20000}"/>
    <cellStyle name="Normal 39 4 2 7" xfId="53987" xr:uid="{00000000-0005-0000-0000-0000DCD20000}"/>
    <cellStyle name="Normal 39 4 2 7 2" xfId="53988" xr:uid="{00000000-0005-0000-0000-0000DDD20000}"/>
    <cellStyle name="Normal 39 4 2 7 3" xfId="53989" xr:uid="{00000000-0005-0000-0000-0000DED20000}"/>
    <cellStyle name="Normal 39 4 2 8" xfId="53990" xr:uid="{00000000-0005-0000-0000-0000DFD20000}"/>
    <cellStyle name="Normal 39 4 2 8 2" xfId="53991" xr:uid="{00000000-0005-0000-0000-0000E0D20000}"/>
    <cellStyle name="Normal 39 4 2 8 3" xfId="53992" xr:uid="{00000000-0005-0000-0000-0000E1D20000}"/>
    <cellStyle name="Normal 39 4 2 9" xfId="53993" xr:uid="{00000000-0005-0000-0000-0000E2D20000}"/>
    <cellStyle name="Normal 39 4 2 9 2" xfId="53994" xr:uid="{00000000-0005-0000-0000-0000E3D20000}"/>
    <cellStyle name="Normal 39 4 2 9 3" xfId="53995" xr:uid="{00000000-0005-0000-0000-0000E4D20000}"/>
    <cellStyle name="Normal 39 4 20" xfId="53996" xr:uid="{00000000-0005-0000-0000-0000E5D20000}"/>
    <cellStyle name="Normal 39 4 21" xfId="53997" xr:uid="{00000000-0005-0000-0000-0000E6D20000}"/>
    <cellStyle name="Normal 39 4 22" xfId="53998" xr:uid="{00000000-0005-0000-0000-0000E7D20000}"/>
    <cellStyle name="Normal 39 4 23" xfId="53999" xr:uid="{00000000-0005-0000-0000-0000E8D20000}"/>
    <cellStyle name="Normal 39 4 24" xfId="54000" xr:uid="{00000000-0005-0000-0000-0000E9D20000}"/>
    <cellStyle name="Normal 39 4 25" xfId="54001" xr:uid="{00000000-0005-0000-0000-0000EAD20000}"/>
    <cellStyle name="Normal 39 4 26" xfId="54002" xr:uid="{00000000-0005-0000-0000-0000EBD20000}"/>
    <cellStyle name="Normal 39 4 27" xfId="54003" xr:uid="{00000000-0005-0000-0000-0000ECD20000}"/>
    <cellStyle name="Normal 39 4 28" xfId="54004" xr:uid="{00000000-0005-0000-0000-0000EDD20000}"/>
    <cellStyle name="Normal 39 4 3" xfId="54005" xr:uid="{00000000-0005-0000-0000-0000EED20000}"/>
    <cellStyle name="Normal 39 4 3 2" xfId="54006" xr:uid="{00000000-0005-0000-0000-0000EFD20000}"/>
    <cellStyle name="Normal 39 4 3 3" xfId="54007" xr:uid="{00000000-0005-0000-0000-0000F0D20000}"/>
    <cellStyle name="Normal 39 4 4" xfId="54008" xr:uid="{00000000-0005-0000-0000-0000F1D20000}"/>
    <cellStyle name="Normal 39 4 4 2" xfId="54009" xr:uid="{00000000-0005-0000-0000-0000F2D20000}"/>
    <cellStyle name="Normal 39 4 4 3" xfId="54010" xr:uid="{00000000-0005-0000-0000-0000F3D20000}"/>
    <cellStyle name="Normal 39 4 5" xfId="54011" xr:uid="{00000000-0005-0000-0000-0000F4D20000}"/>
    <cellStyle name="Normal 39 4 5 2" xfId="54012" xr:uid="{00000000-0005-0000-0000-0000F5D20000}"/>
    <cellStyle name="Normal 39 4 5 3" xfId="54013" xr:uid="{00000000-0005-0000-0000-0000F6D20000}"/>
    <cellStyle name="Normal 39 4 6" xfId="54014" xr:uid="{00000000-0005-0000-0000-0000F7D20000}"/>
    <cellStyle name="Normal 39 4 6 2" xfId="54015" xr:uid="{00000000-0005-0000-0000-0000F8D20000}"/>
    <cellStyle name="Normal 39 4 6 3" xfId="54016" xr:uid="{00000000-0005-0000-0000-0000F9D20000}"/>
    <cellStyle name="Normal 39 4 7" xfId="54017" xr:uid="{00000000-0005-0000-0000-0000FAD20000}"/>
    <cellStyle name="Normal 39 4 7 2" xfId="54018" xr:uid="{00000000-0005-0000-0000-0000FBD20000}"/>
    <cellStyle name="Normal 39 4 7 3" xfId="54019" xr:uid="{00000000-0005-0000-0000-0000FCD20000}"/>
    <cellStyle name="Normal 39 4 8" xfId="54020" xr:uid="{00000000-0005-0000-0000-0000FDD20000}"/>
    <cellStyle name="Normal 39 4 8 2" xfId="54021" xr:uid="{00000000-0005-0000-0000-0000FED20000}"/>
    <cellStyle name="Normal 39 4 8 3" xfId="54022" xr:uid="{00000000-0005-0000-0000-0000FFD20000}"/>
    <cellStyle name="Normal 39 4 9" xfId="54023" xr:uid="{00000000-0005-0000-0000-000000D30000}"/>
    <cellStyle name="Normal 39 4 9 2" xfId="54024" xr:uid="{00000000-0005-0000-0000-000001D30000}"/>
    <cellStyle name="Normal 39 4 9 3" xfId="54025" xr:uid="{00000000-0005-0000-0000-000002D30000}"/>
    <cellStyle name="Normal 39 40" xfId="54026" xr:uid="{00000000-0005-0000-0000-000003D30000}"/>
    <cellStyle name="Normal 39 41" xfId="54027" xr:uid="{00000000-0005-0000-0000-000004D30000}"/>
    <cellStyle name="Normal 39 42" xfId="54028" xr:uid="{00000000-0005-0000-0000-000005D30000}"/>
    <cellStyle name="Normal 39 43" xfId="54029" xr:uid="{00000000-0005-0000-0000-000006D30000}"/>
    <cellStyle name="Normal 39 5" xfId="54030" xr:uid="{00000000-0005-0000-0000-000007D30000}"/>
    <cellStyle name="Normal 39 5 10" xfId="54031" xr:uid="{00000000-0005-0000-0000-000008D30000}"/>
    <cellStyle name="Normal 39 5 10 2" xfId="54032" xr:uid="{00000000-0005-0000-0000-000009D30000}"/>
    <cellStyle name="Normal 39 5 10 3" xfId="54033" xr:uid="{00000000-0005-0000-0000-00000AD30000}"/>
    <cellStyle name="Normal 39 5 11" xfId="54034" xr:uid="{00000000-0005-0000-0000-00000BD30000}"/>
    <cellStyle name="Normal 39 5 11 2" xfId="54035" xr:uid="{00000000-0005-0000-0000-00000CD30000}"/>
    <cellStyle name="Normal 39 5 11 3" xfId="54036" xr:uid="{00000000-0005-0000-0000-00000DD30000}"/>
    <cellStyle name="Normal 39 5 12" xfId="54037" xr:uid="{00000000-0005-0000-0000-00000ED30000}"/>
    <cellStyle name="Normal 39 5 12 2" xfId="54038" xr:uid="{00000000-0005-0000-0000-00000FD30000}"/>
    <cellStyle name="Normal 39 5 12 3" xfId="54039" xr:uid="{00000000-0005-0000-0000-000010D30000}"/>
    <cellStyle name="Normal 39 5 13" xfId="54040" xr:uid="{00000000-0005-0000-0000-000011D30000}"/>
    <cellStyle name="Normal 39 5 13 2" xfId="54041" xr:uid="{00000000-0005-0000-0000-000012D30000}"/>
    <cellStyle name="Normal 39 5 13 3" xfId="54042" xr:uid="{00000000-0005-0000-0000-000013D30000}"/>
    <cellStyle name="Normal 39 5 14" xfId="54043" xr:uid="{00000000-0005-0000-0000-000014D30000}"/>
    <cellStyle name="Normal 39 5 14 2" xfId="54044" xr:uid="{00000000-0005-0000-0000-000015D30000}"/>
    <cellStyle name="Normal 39 5 14 3" xfId="54045" xr:uid="{00000000-0005-0000-0000-000016D30000}"/>
    <cellStyle name="Normal 39 5 15" xfId="54046" xr:uid="{00000000-0005-0000-0000-000017D30000}"/>
    <cellStyle name="Normal 39 5 15 2" xfId="54047" xr:uid="{00000000-0005-0000-0000-000018D30000}"/>
    <cellStyle name="Normal 39 5 15 3" xfId="54048" xr:uid="{00000000-0005-0000-0000-000019D30000}"/>
    <cellStyle name="Normal 39 5 16" xfId="54049" xr:uid="{00000000-0005-0000-0000-00001AD30000}"/>
    <cellStyle name="Normal 39 5 17" xfId="54050" xr:uid="{00000000-0005-0000-0000-00001BD30000}"/>
    <cellStyle name="Normal 39 5 18" xfId="54051" xr:uid="{00000000-0005-0000-0000-00001CD30000}"/>
    <cellStyle name="Normal 39 5 19" xfId="54052" xr:uid="{00000000-0005-0000-0000-00001DD30000}"/>
    <cellStyle name="Normal 39 5 2" xfId="54053" xr:uid="{00000000-0005-0000-0000-00001ED30000}"/>
    <cellStyle name="Normal 39 5 2 10" xfId="54054" xr:uid="{00000000-0005-0000-0000-00001FD30000}"/>
    <cellStyle name="Normal 39 5 2 10 2" xfId="54055" xr:uid="{00000000-0005-0000-0000-000020D30000}"/>
    <cellStyle name="Normal 39 5 2 10 3" xfId="54056" xr:uid="{00000000-0005-0000-0000-000021D30000}"/>
    <cellStyle name="Normal 39 5 2 11" xfId="54057" xr:uid="{00000000-0005-0000-0000-000022D30000}"/>
    <cellStyle name="Normal 39 5 2 11 2" xfId="54058" xr:uid="{00000000-0005-0000-0000-000023D30000}"/>
    <cellStyle name="Normal 39 5 2 11 3" xfId="54059" xr:uid="{00000000-0005-0000-0000-000024D30000}"/>
    <cellStyle name="Normal 39 5 2 12" xfId="54060" xr:uid="{00000000-0005-0000-0000-000025D30000}"/>
    <cellStyle name="Normal 39 5 2 12 2" xfId="54061" xr:uid="{00000000-0005-0000-0000-000026D30000}"/>
    <cellStyle name="Normal 39 5 2 12 3" xfId="54062" xr:uid="{00000000-0005-0000-0000-000027D30000}"/>
    <cellStyle name="Normal 39 5 2 13" xfId="54063" xr:uid="{00000000-0005-0000-0000-000028D30000}"/>
    <cellStyle name="Normal 39 5 2 13 2" xfId="54064" xr:uid="{00000000-0005-0000-0000-000029D30000}"/>
    <cellStyle name="Normal 39 5 2 13 3" xfId="54065" xr:uid="{00000000-0005-0000-0000-00002AD30000}"/>
    <cellStyle name="Normal 39 5 2 14" xfId="54066" xr:uid="{00000000-0005-0000-0000-00002BD30000}"/>
    <cellStyle name="Normal 39 5 2 14 2" xfId="54067" xr:uid="{00000000-0005-0000-0000-00002CD30000}"/>
    <cellStyle name="Normal 39 5 2 14 3" xfId="54068" xr:uid="{00000000-0005-0000-0000-00002DD30000}"/>
    <cellStyle name="Normal 39 5 2 15" xfId="54069" xr:uid="{00000000-0005-0000-0000-00002ED30000}"/>
    <cellStyle name="Normal 39 5 2 16" xfId="54070" xr:uid="{00000000-0005-0000-0000-00002FD30000}"/>
    <cellStyle name="Normal 39 5 2 2" xfId="54071" xr:uid="{00000000-0005-0000-0000-000030D30000}"/>
    <cellStyle name="Normal 39 5 2 2 2" xfId="54072" xr:uid="{00000000-0005-0000-0000-000031D30000}"/>
    <cellStyle name="Normal 39 5 2 2 3" xfId="54073" xr:uid="{00000000-0005-0000-0000-000032D30000}"/>
    <cellStyle name="Normal 39 5 2 3" xfId="54074" xr:uid="{00000000-0005-0000-0000-000033D30000}"/>
    <cellStyle name="Normal 39 5 2 3 2" xfId="54075" xr:uid="{00000000-0005-0000-0000-000034D30000}"/>
    <cellStyle name="Normal 39 5 2 3 3" xfId="54076" xr:uid="{00000000-0005-0000-0000-000035D30000}"/>
    <cellStyle name="Normal 39 5 2 4" xfId="54077" xr:uid="{00000000-0005-0000-0000-000036D30000}"/>
    <cellStyle name="Normal 39 5 2 4 2" xfId="54078" xr:uid="{00000000-0005-0000-0000-000037D30000}"/>
    <cellStyle name="Normal 39 5 2 4 3" xfId="54079" xr:uid="{00000000-0005-0000-0000-000038D30000}"/>
    <cellStyle name="Normal 39 5 2 5" xfId="54080" xr:uid="{00000000-0005-0000-0000-000039D30000}"/>
    <cellStyle name="Normal 39 5 2 5 2" xfId="54081" xr:uid="{00000000-0005-0000-0000-00003AD30000}"/>
    <cellStyle name="Normal 39 5 2 5 3" xfId="54082" xr:uid="{00000000-0005-0000-0000-00003BD30000}"/>
    <cellStyle name="Normal 39 5 2 6" xfId="54083" xr:uid="{00000000-0005-0000-0000-00003CD30000}"/>
    <cellStyle name="Normal 39 5 2 6 2" xfId="54084" xr:uid="{00000000-0005-0000-0000-00003DD30000}"/>
    <cellStyle name="Normal 39 5 2 6 3" xfId="54085" xr:uid="{00000000-0005-0000-0000-00003ED30000}"/>
    <cellStyle name="Normal 39 5 2 7" xfId="54086" xr:uid="{00000000-0005-0000-0000-00003FD30000}"/>
    <cellStyle name="Normal 39 5 2 7 2" xfId="54087" xr:uid="{00000000-0005-0000-0000-000040D30000}"/>
    <cellStyle name="Normal 39 5 2 7 3" xfId="54088" xr:uid="{00000000-0005-0000-0000-000041D30000}"/>
    <cellStyle name="Normal 39 5 2 8" xfId="54089" xr:uid="{00000000-0005-0000-0000-000042D30000}"/>
    <cellStyle name="Normal 39 5 2 8 2" xfId="54090" xr:uid="{00000000-0005-0000-0000-000043D30000}"/>
    <cellStyle name="Normal 39 5 2 8 3" xfId="54091" xr:uid="{00000000-0005-0000-0000-000044D30000}"/>
    <cellStyle name="Normal 39 5 2 9" xfId="54092" xr:uid="{00000000-0005-0000-0000-000045D30000}"/>
    <cellStyle name="Normal 39 5 2 9 2" xfId="54093" xr:uid="{00000000-0005-0000-0000-000046D30000}"/>
    <cellStyle name="Normal 39 5 2 9 3" xfId="54094" xr:uid="{00000000-0005-0000-0000-000047D30000}"/>
    <cellStyle name="Normal 39 5 20" xfId="54095" xr:uid="{00000000-0005-0000-0000-000048D30000}"/>
    <cellStyle name="Normal 39 5 21" xfId="54096" xr:uid="{00000000-0005-0000-0000-000049D30000}"/>
    <cellStyle name="Normal 39 5 22" xfId="54097" xr:uid="{00000000-0005-0000-0000-00004AD30000}"/>
    <cellStyle name="Normal 39 5 23" xfId="54098" xr:uid="{00000000-0005-0000-0000-00004BD30000}"/>
    <cellStyle name="Normal 39 5 24" xfId="54099" xr:uid="{00000000-0005-0000-0000-00004CD30000}"/>
    <cellStyle name="Normal 39 5 25" xfId="54100" xr:uid="{00000000-0005-0000-0000-00004DD30000}"/>
    <cellStyle name="Normal 39 5 26" xfId="54101" xr:uid="{00000000-0005-0000-0000-00004ED30000}"/>
    <cellStyle name="Normal 39 5 27" xfId="54102" xr:uid="{00000000-0005-0000-0000-00004FD30000}"/>
    <cellStyle name="Normal 39 5 28" xfId="54103" xr:uid="{00000000-0005-0000-0000-000050D30000}"/>
    <cellStyle name="Normal 39 5 3" xfId="54104" xr:uid="{00000000-0005-0000-0000-000051D30000}"/>
    <cellStyle name="Normal 39 5 3 2" xfId="54105" xr:uid="{00000000-0005-0000-0000-000052D30000}"/>
    <cellStyle name="Normal 39 5 3 3" xfId="54106" xr:uid="{00000000-0005-0000-0000-000053D30000}"/>
    <cellStyle name="Normal 39 5 4" xfId="54107" xr:uid="{00000000-0005-0000-0000-000054D30000}"/>
    <cellStyle name="Normal 39 5 4 2" xfId="54108" xr:uid="{00000000-0005-0000-0000-000055D30000}"/>
    <cellStyle name="Normal 39 5 4 3" xfId="54109" xr:uid="{00000000-0005-0000-0000-000056D30000}"/>
    <cellStyle name="Normal 39 5 5" xfId="54110" xr:uid="{00000000-0005-0000-0000-000057D30000}"/>
    <cellStyle name="Normal 39 5 5 2" xfId="54111" xr:uid="{00000000-0005-0000-0000-000058D30000}"/>
    <cellStyle name="Normal 39 5 5 3" xfId="54112" xr:uid="{00000000-0005-0000-0000-000059D30000}"/>
    <cellStyle name="Normal 39 5 6" xfId="54113" xr:uid="{00000000-0005-0000-0000-00005AD30000}"/>
    <cellStyle name="Normal 39 5 6 2" xfId="54114" xr:uid="{00000000-0005-0000-0000-00005BD30000}"/>
    <cellStyle name="Normal 39 5 6 3" xfId="54115" xr:uid="{00000000-0005-0000-0000-00005CD30000}"/>
    <cellStyle name="Normal 39 5 7" xfId="54116" xr:uid="{00000000-0005-0000-0000-00005DD30000}"/>
    <cellStyle name="Normal 39 5 7 2" xfId="54117" xr:uid="{00000000-0005-0000-0000-00005ED30000}"/>
    <cellStyle name="Normal 39 5 7 3" xfId="54118" xr:uid="{00000000-0005-0000-0000-00005FD30000}"/>
    <cellStyle name="Normal 39 5 8" xfId="54119" xr:uid="{00000000-0005-0000-0000-000060D30000}"/>
    <cellStyle name="Normal 39 5 8 2" xfId="54120" xr:uid="{00000000-0005-0000-0000-000061D30000}"/>
    <cellStyle name="Normal 39 5 8 3" xfId="54121" xr:uid="{00000000-0005-0000-0000-000062D30000}"/>
    <cellStyle name="Normal 39 5 9" xfId="54122" xr:uid="{00000000-0005-0000-0000-000063D30000}"/>
    <cellStyle name="Normal 39 5 9 2" xfId="54123" xr:uid="{00000000-0005-0000-0000-000064D30000}"/>
    <cellStyle name="Normal 39 5 9 3" xfId="54124" xr:uid="{00000000-0005-0000-0000-000065D30000}"/>
    <cellStyle name="Normal 39 6" xfId="54125" xr:uid="{00000000-0005-0000-0000-000066D30000}"/>
    <cellStyle name="Normal 39 6 10" xfId="54126" xr:uid="{00000000-0005-0000-0000-000067D30000}"/>
    <cellStyle name="Normal 39 6 10 2" xfId="54127" xr:uid="{00000000-0005-0000-0000-000068D30000}"/>
    <cellStyle name="Normal 39 6 10 3" xfId="54128" xr:uid="{00000000-0005-0000-0000-000069D30000}"/>
    <cellStyle name="Normal 39 6 11" xfId="54129" xr:uid="{00000000-0005-0000-0000-00006AD30000}"/>
    <cellStyle name="Normal 39 6 11 2" xfId="54130" xr:uid="{00000000-0005-0000-0000-00006BD30000}"/>
    <cellStyle name="Normal 39 6 11 3" xfId="54131" xr:uid="{00000000-0005-0000-0000-00006CD30000}"/>
    <cellStyle name="Normal 39 6 12" xfId="54132" xr:uid="{00000000-0005-0000-0000-00006DD30000}"/>
    <cellStyle name="Normal 39 6 12 2" xfId="54133" xr:uid="{00000000-0005-0000-0000-00006ED30000}"/>
    <cellStyle name="Normal 39 6 12 3" xfId="54134" xr:uid="{00000000-0005-0000-0000-00006FD30000}"/>
    <cellStyle name="Normal 39 6 13" xfId="54135" xr:uid="{00000000-0005-0000-0000-000070D30000}"/>
    <cellStyle name="Normal 39 6 13 2" xfId="54136" xr:uid="{00000000-0005-0000-0000-000071D30000}"/>
    <cellStyle name="Normal 39 6 13 3" xfId="54137" xr:uid="{00000000-0005-0000-0000-000072D30000}"/>
    <cellStyle name="Normal 39 6 14" xfId="54138" xr:uid="{00000000-0005-0000-0000-000073D30000}"/>
    <cellStyle name="Normal 39 6 14 2" xfId="54139" xr:uid="{00000000-0005-0000-0000-000074D30000}"/>
    <cellStyle name="Normal 39 6 14 3" xfId="54140" xr:uid="{00000000-0005-0000-0000-000075D30000}"/>
    <cellStyle name="Normal 39 6 15" xfId="54141" xr:uid="{00000000-0005-0000-0000-000076D30000}"/>
    <cellStyle name="Normal 39 6 15 2" xfId="54142" xr:uid="{00000000-0005-0000-0000-000077D30000}"/>
    <cellStyle name="Normal 39 6 15 3" xfId="54143" xr:uid="{00000000-0005-0000-0000-000078D30000}"/>
    <cellStyle name="Normal 39 6 16" xfId="54144" xr:uid="{00000000-0005-0000-0000-000079D30000}"/>
    <cellStyle name="Normal 39 6 17" xfId="54145" xr:uid="{00000000-0005-0000-0000-00007AD30000}"/>
    <cellStyle name="Normal 39 6 18" xfId="54146" xr:uid="{00000000-0005-0000-0000-00007BD30000}"/>
    <cellStyle name="Normal 39 6 19" xfId="54147" xr:uid="{00000000-0005-0000-0000-00007CD30000}"/>
    <cellStyle name="Normal 39 6 2" xfId="54148" xr:uid="{00000000-0005-0000-0000-00007DD30000}"/>
    <cellStyle name="Normal 39 6 2 10" xfId="54149" xr:uid="{00000000-0005-0000-0000-00007ED30000}"/>
    <cellStyle name="Normal 39 6 2 10 2" xfId="54150" xr:uid="{00000000-0005-0000-0000-00007FD30000}"/>
    <cellStyle name="Normal 39 6 2 10 3" xfId="54151" xr:uid="{00000000-0005-0000-0000-000080D30000}"/>
    <cellStyle name="Normal 39 6 2 11" xfId="54152" xr:uid="{00000000-0005-0000-0000-000081D30000}"/>
    <cellStyle name="Normal 39 6 2 11 2" xfId="54153" xr:uid="{00000000-0005-0000-0000-000082D30000}"/>
    <cellStyle name="Normal 39 6 2 11 3" xfId="54154" xr:uid="{00000000-0005-0000-0000-000083D30000}"/>
    <cellStyle name="Normal 39 6 2 12" xfId="54155" xr:uid="{00000000-0005-0000-0000-000084D30000}"/>
    <cellStyle name="Normal 39 6 2 12 2" xfId="54156" xr:uid="{00000000-0005-0000-0000-000085D30000}"/>
    <cellStyle name="Normal 39 6 2 12 3" xfId="54157" xr:uid="{00000000-0005-0000-0000-000086D30000}"/>
    <cellStyle name="Normal 39 6 2 13" xfId="54158" xr:uid="{00000000-0005-0000-0000-000087D30000}"/>
    <cellStyle name="Normal 39 6 2 13 2" xfId="54159" xr:uid="{00000000-0005-0000-0000-000088D30000}"/>
    <cellStyle name="Normal 39 6 2 13 3" xfId="54160" xr:uid="{00000000-0005-0000-0000-000089D30000}"/>
    <cellStyle name="Normal 39 6 2 14" xfId="54161" xr:uid="{00000000-0005-0000-0000-00008AD30000}"/>
    <cellStyle name="Normal 39 6 2 14 2" xfId="54162" xr:uid="{00000000-0005-0000-0000-00008BD30000}"/>
    <cellStyle name="Normal 39 6 2 14 3" xfId="54163" xr:uid="{00000000-0005-0000-0000-00008CD30000}"/>
    <cellStyle name="Normal 39 6 2 15" xfId="54164" xr:uid="{00000000-0005-0000-0000-00008DD30000}"/>
    <cellStyle name="Normal 39 6 2 16" xfId="54165" xr:uid="{00000000-0005-0000-0000-00008ED30000}"/>
    <cellStyle name="Normal 39 6 2 2" xfId="54166" xr:uid="{00000000-0005-0000-0000-00008FD30000}"/>
    <cellStyle name="Normal 39 6 2 2 2" xfId="54167" xr:uid="{00000000-0005-0000-0000-000090D30000}"/>
    <cellStyle name="Normal 39 6 2 2 3" xfId="54168" xr:uid="{00000000-0005-0000-0000-000091D30000}"/>
    <cellStyle name="Normal 39 6 2 3" xfId="54169" xr:uid="{00000000-0005-0000-0000-000092D30000}"/>
    <cellStyle name="Normal 39 6 2 3 2" xfId="54170" xr:uid="{00000000-0005-0000-0000-000093D30000}"/>
    <cellStyle name="Normal 39 6 2 3 3" xfId="54171" xr:uid="{00000000-0005-0000-0000-000094D30000}"/>
    <cellStyle name="Normal 39 6 2 4" xfId="54172" xr:uid="{00000000-0005-0000-0000-000095D30000}"/>
    <cellStyle name="Normal 39 6 2 4 2" xfId="54173" xr:uid="{00000000-0005-0000-0000-000096D30000}"/>
    <cellStyle name="Normal 39 6 2 4 3" xfId="54174" xr:uid="{00000000-0005-0000-0000-000097D30000}"/>
    <cellStyle name="Normal 39 6 2 5" xfId="54175" xr:uid="{00000000-0005-0000-0000-000098D30000}"/>
    <cellStyle name="Normal 39 6 2 5 2" xfId="54176" xr:uid="{00000000-0005-0000-0000-000099D30000}"/>
    <cellStyle name="Normal 39 6 2 5 3" xfId="54177" xr:uid="{00000000-0005-0000-0000-00009AD30000}"/>
    <cellStyle name="Normal 39 6 2 6" xfId="54178" xr:uid="{00000000-0005-0000-0000-00009BD30000}"/>
    <cellStyle name="Normal 39 6 2 6 2" xfId="54179" xr:uid="{00000000-0005-0000-0000-00009CD30000}"/>
    <cellStyle name="Normal 39 6 2 6 3" xfId="54180" xr:uid="{00000000-0005-0000-0000-00009DD30000}"/>
    <cellStyle name="Normal 39 6 2 7" xfId="54181" xr:uid="{00000000-0005-0000-0000-00009ED30000}"/>
    <cellStyle name="Normal 39 6 2 7 2" xfId="54182" xr:uid="{00000000-0005-0000-0000-00009FD30000}"/>
    <cellStyle name="Normal 39 6 2 7 3" xfId="54183" xr:uid="{00000000-0005-0000-0000-0000A0D30000}"/>
    <cellStyle name="Normal 39 6 2 8" xfId="54184" xr:uid="{00000000-0005-0000-0000-0000A1D30000}"/>
    <cellStyle name="Normal 39 6 2 8 2" xfId="54185" xr:uid="{00000000-0005-0000-0000-0000A2D30000}"/>
    <cellStyle name="Normal 39 6 2 8 3" xfId="54186" xr:uid="{00000000-0005-0000-0000-0000A3D30000}"/>
    <cellStyle name="Normal 39 6 2 9" xfId="54187" xr:uid="{00000000-0005-0000-0000-0000A4D30000}"/>
    <cellStyle name="Normal 39 6 2 9 2" xfId="54188" xr:uid="{00000000-0005-0000-0000-0000A5D30000}"/>
    <cellStyle name="Normal 39 6 2 9 3" xfId="54189" xr:uid="{00000000-0005-0000-0000-0000A6D30000}"/>
    <cellStyle name="Normal 39 6 20" xfId="54190" xr:uid="{00000000-0005-0000-0000-0000A7D30000}"/>
    <cellStyle name="Normal 39 6 21" xfId="54191" xr:uid="{00000000-0005-0000-0000-0000A8D30000}"/>
    <cellStyle name="Normal 39 6 22" xfId="54192" xr:uid="{00000000-0005-0000-0000-0000A9D30000}"/>
    <cellStyle name="Normal 39 6 23" xfId="54193" xr:uid="{00000000-0005-0000-0000-0000AAD30000}"/>
    <cellStyle name="Normal 39 6 24" xfId="54194" xr:uid="{00000000-0005-0000-0000-0000ABD30000}"/>
    <cellStyle name="Normal 39 6 25" xfId="54195" xr:uid="{00000000-0005-0000-0000-0000ACD30000}"/>
    <cellStyle name="Normal 39 6 26" xfId="54196" xr:uid="{00000000-0005-0000-0000-0000ADD30000}"/>
    <cellStyle name="Normal 39 6 27" xfId="54197" xr:uid="{00000000-0005-0000-0000-0000AED30000}"/>
    <cellStyle name="Normal 39 6 28" xfId="54198" xr:uid="{00000000-0005-0000-0000-0000AFD30000}"/>
    <cellStyle name="Normal 39 6 3" xfId="54199" xr:uid="{00000000-0005-0000-0000-0000B0D30000}"/>
    <cellStyle name="Normal 39 6 3 2" xfId="54200" xr:uid="{00000000-0005-0000-0000-0000B1D30000}"/>
    <cellStyle name="Normal 39 6 3 3" xfId="54201" xr:uid="{00000000-0005-0000-0000-0000B2D30000}"/>
    <cellStyle name="Normal 39 6 4" xfId="54202" xr:uid="{00000000-0005-0000-0000-0000B3D30000}"/>
    <cellStyle name="Normal 39 6 4 2" xfId="54203" xr:uid="{00000000-0005-0000-0000-0000B4D30000}"/>
    <cellStyle name="Normal 39 6 4 3" xfId="54204" xr:uid="{00000000-0005-0000-0000-0000B5D30000}"/>
    <cellStyle name="Normal 39 6 5" xfId="54205" xr:uid="{00000000-0005-0000-0000-0000B6D30000}"/>
    <cellStyle name="Normal 39 6 5 2" xfId="54206" xr:uid="{00000000-0005-0000-0000-0000B7D30000}"/>
    <cellStyle name="Normal 39 6 5 3" xfId="54207" xr:uid="{00000000-0005-0000-0000-0000B8D30000}"/>
    <cellStyle name="Normal 39 6 6" xfId="54208" xr:uid="{00000000-0005-0000-0000-0000B9D30000}"/>
    <cellStyle name="Normal 39 6 6 2" xfId="54209" xr:uid="{00000000-0005-0000-0000-0000BAD30000}"/>
    <cellStyle name="Normal 39 6 6 3" xfId="54210" xr:uid="{00000000-0005-0000-0000-0000BBD30000}"/>
    <cellStyle name="Normal 39 6 7" xfId="54211" xr:uid="{00000000-0005-0000-0000-0000BCD30000}"/>
    <cellStyle name="Normal 39 6 7 2" xfId="54212" xr:uid="{00000000-0005-0000-0000-0000BDD30000}"/>
    <cellStyle name="Normal 39 6 7 3" xfId="54213" xr:uid="{00000000-0005-0000-0000-0000BED30000}"/>
    <cellStyle name="Normal 39 6 8" xfId="54214" xr:uid="{00000000-0005-0000-0000-0000BFD30000}"/>
    <cellStyle name="Normal 39 6 8 2" xfId="54215" xr:uid="{00000000-0005-0000-0000-0000C0D30000}"/>
    <cellStyle name="Normal 39 6 8 3" xfId="54216" xr:uid="{00000000-0005-0000-0000-0000C1D30000}"/>
    <cellStyle name="Normal 39 6 9" xfId="54217" xr:uid="{00000000-0005-0000-0000-0000C2D30000}"/>
    <cellStyle name="Normal 39 6 9 2" xfId="54218" xr:uid="{00000000-0005-0000-0000-0000C3D30000}"/>
    <cellStyle name="Normal 39 6 9 3" xfId="54219" xr:uid="{00000000-0005-0000-0000-0000C4D30000}"/>
    <cellStyle name="Normal 39 7" xfId="54220" xr:uid="{00000000-0005-0000-0000-0000C5D30000}"/>
    <cellStyle name="Normal 39 7 10" xfId="54221" xr:uid="{00000000-0005-0000-0000-0000C6D30000}"/>
    <cellStyle name="Normal 39 7 10 2" xfId="54222" xr:uid="{00000000-0005-0000-0000-0000C7D30000}"/>
    <cellStyle name="Normal 39 7 10 3" xfId="54223" xr:uid="{00000000-0005-0000-0000-0000C8D30000}"/>
    <cellStyle name="Normal 39 7 11" xfId="54224" xr:uid="{00000000-0005-0000-0000-0000C9D30000}"/>
    <cellStyle name="Normal 39 7 11 2" xfId="54225" xr:uid="{00000000-0005-0000-0000-0000CAD30000}"/>
    <cellStyle name="Normal 39 7 11 3" xfId="54226" xr:uid="{00000000-0005-0000-0000-0000CBD30000}"/>
    <cellStyle name="Normal 39 7 12" xfId="54227" xr:uid="{00000000-0005-0000-0000-0000CCD30000}"/>
    <cellStyle name="Normal 39 7 12 2" xfId="54228" xr:uid="{00000000-0005-0000-0000-0000CDD30000}"/>
    <cellStyle name="Normal 39 7 12 3" xfId="54229" xr:uid="{00000000-0005-0000-0000-0000CED30000}"/>
    <cellStyle name="Normal 39 7 13" xfId="54230" xr:uid="{00000000-0005-0000-0000-0000CFD30000}"/>
    <cellStyle name="Normal 39 7 13 2" xfId="54231" xr:uid="{00000000-0005-0000-0000-0000D0D30000}"/>
    <cellStyle name="Normal 39 7 13 3" xfId="54232" xr:uid="{00000000-0005-0000-0000-0000D1D30000}"/>
    <cellStyle name="Normal 39 7 14" xfId="54233" xr:uid="{00000000-0005-0000-0000-0000D2D30000}"/>
    <cellStyle name="Normal 39 7 14 2" xfId="54234" xr:uid="{00000000-0005-0000-0000-0000D3D30000}"/>
    <cellStyle name="Normal 39 7 14 3" xfId="54235" xr:uid="{00000000-0005-0000-0000-0000D4D30000}"/>
    <cellStyle name="Normal 39 7 15" xfId="54236" xr:uid="{00000000-0005-0000-0000-0000D5D30000}"/>
    <cellStyle name="Normal 39 7 16" xfId="54237" xr:uid="{00000000-0005-0000-0000-0000D6D30000}"/>
    <cellStyle name="Normal 39 7 2" xfId="54238" xr:uid="{00000000-0005-0000-0000-0000D7D30000}"/>
    <cellStyle name="Normal 39 7 2 2" xfId="54239" xr:uid="{00000000-0005-0000-0000-0000D8D30000}"/>
    <cellStyle name="Normal 39 7 2 3" xfId="54240" xr:uid="{00000000-0005-0000-0000-0000D9D30000}"/>
    <cellStyle name="Normal 39 7 3" xfId="54241" xr:uid="{00000000-0005-0000-0000-0000DAD30000}"/>
    <cellStyle name="Normal 39 7 3 2" xfId="54242" xr:uid="{00000000-0005-0000-0000-0000DBD30000}"/>
    <cellStyle name="Normal 39 7 3 3" xfId="54243" xr:uid="{00000000-0005-0000-0000-0000DCD30000}"/>
    <cellStyle name="Normal 39 7 4" xfId="54244" xr:uid="{00000000-0005-0000-0000-0000DDD30000}"/>
    <cellStyle name="Normal 39 7 4 2" xfId="54245" xr:uid="{00000000-0005-0000-0000-0000DED30000}"/>
    <cellStyle name="Normal 39 7 4 3" xfId="54246" xr:uid="{00000000-0005-0000-0000-0000DFD30000}"/>
    <cellStyle name="Normal 39 7 5" xfId="54247" xr:uid="{00000000-0005-0000-0000-0000E0D30000}"/>
    <cellStyle name="Normal 39 7 5 2" xfId="54248" xr:uid="{00000000-0005-0000-0000-0000E1D30000}"/>
    <cellStyle name="Normal 39 7 5 3" xfId="54249" xr:uid="{00000000-0005-0000-0000-0000E2D30000}"/>
    <cellStyle name="Normal 39 7 6" xfId="54250" xr:uid="{00000000-0005-0000-0000-0000E3D30000}"/>
    <cellStyle name="Normal 39 7 6 2" xfId="54251" xr:uid="{00000000-0005-0000-0000-0000E4D30000}"/>
    <cellStyle name="Normal 39 7 6 3" xfId="54252" xr:uid="{00000000-0005-0000-0000-0000E5D30000}"/>
    <cellStyle name="Normal 39 7 7" xfId="54253" xr:uid="{00000000-0005-0000-0000-0000E6D30000}"/>
    <cellStyle name="Normal 39 7 7 2" xfId="54254" xr:uid="{00000000-0005-0000-0000-0000E7D30000}"/>
    <cellStyle name="Normal 39 7 7 3" xfId="54255" xr:uid="{00000000-0005-0000-0000-0000E8D30000}"/>
    <cellStyle name="Normal 39 7 8" xfId="54256" xr:uid="{00000000-0005-0000-0000-0000E9D30000}"/>
    <cellStyle name="Normal 39 7 8 2" xfId="54257" xr:uid="{00000000-0005-0000-0000-0000EAD30000}"/>
    <cellStyle name="Normal 39 7 8 3" xfId="54258" xr:uid="{00000000-0005-0000-0000-0000EBD30000}"/>
    <cellStyle name="Normal 39 7 9" xfId="54259" xr:uid="{00000000-0005-0000-0000-0000ECD30000}"/>
    <cellStyle name="Normal 39 7 9 2" xfId="54260" xr:uid="{00000000-0005-0000-0000-0000EDD30000}"/>
    <cellStyle name="Normal 39 7 9 3" xfId="54261" xr:uid="{00000000-0005-0000-0000-0000EED30000}"/>
    <cellStyle name="Normal 39 8" xfId="54262" xr:uid="{00000000-0005-0000-0000-0000EFD30000}"/>
    <cellStyle name="Normal 39 8 10" xfId="54263" xr:uid="{00000000-0005-0000-0000-0000F0D30000}"/>
    <cellStyle name="Normal 39 8 10 2" xfId="54264" xr:uid="{00000000-0005-0000-0000-0000F1D30000}"/>
    <cellStyle name="Normal 39 8 10 3" xfId="54265" xr:uid="{00000000-0005-0000-0000-0000F2D30000}"/>
    <cellStyle name="Normal 39 8 11" xfId="54266" xr:uid="{00000000-0005-0000-0000-0000F3D30000}"/>
    <cellStyle name="Normal 39 8 11 2" xfId="54267" xr:uid="{00000000-0005-0000-0000-0000F4D30000}"/>
    <cellStyle name="Normal 39 8 11 3" xfId="54268" xr:uid="{00000000-0005-0000-0000-0000F5D30000}"/>
    <cellStyle name="Normal 39 8 12" xfId="54269" xr:uid="{00000000-0005-0000-0000-0000F6D30000}"/>
    <cellStyle name="Normal 39 8 12 2" xfId="54270" xr:uid="{00000000-0005-0000-0000-0000F7D30000}"/>
    <cellStyle name="Normal 39 8 12 3" xfId="54271" xr:uid="{00000000-0005-0000-0000-0000F8D30000}"/>
    <cellStyle name="Normal 39 8 13" xfId="54272" xr:uid="{00000000-0005-0000-0000-0000F9D30000}"/>
    <cellStyle name="Normal 39 8 13 2" xfId="54273" xr:uid="{00000000-0005-0000-0000-0000FAD30000}"/>
    <cellStyle name="Normal 39 8 13 3" xfId="54274" xr:uid="{00000000-0005-0000-0000-0000FBD30000}"/>
    <cellStyle name="Normal 39 8 14" xfId="54275" xr:uid="{00000000-0005-0000-0000-0000FCD30000}"/>
    <cellStyle name="Normal 39 8 14 2" xfId="54276" xr:uid="{00000000-0005-0000-0000-0000FDD30000}"/>
    <cellStyle name="Normal 39 8 14 3" xfId="54277" xr:uid="{00000000-0005-0000-0000-0000FED30000}"/>
    <cellStyle name="Normal 39 8 15" xfId="54278" xr:uid="{00000000-0005-0000-0000-0000FFD30000}"/>
    <cellStyle name="Normal 39 8 16" xfId="54279" xr:uid="{00000000-0005-0000-0000-000000D40000}"/>
    <cellStyle name="Normal 39 8 2" xfId="54280" xr:uid="{00000000-0005-0000-0000-000001D40000}"/>
    <cellStyle name="Normal 39 8 2 2" xfId="54281" xr:uid="{00000000-0005-0000-0000-000002D40000}"/>
    <cellStyle name="Normal 39 8 2 3" xfId="54282" xr:uid="{00000000-0005-0000-0000-000003D40000}"/>
    <cellStyle name="Normal 39 8 3" xfId="54283" xr:uid="{00000000-0005-0000-0000-000004D40000}"/>
    <cellStyle name="Normal 39 8 3 2" xfId="54284" xr:uid="{00000000-0005-0000-0000-000005D40000}"/>
    <cellStyle name="Normal 39 8 3 3" xfId="54285" xr:uid="{00000000-0005-0000-0000-000006D40000}"/>
    <cellStyle name="Normal 39 8 4" xfId="54286" xr:uid="{00000000-0005-0000-0000-000007D40000}"/>
    <cellStyle name="Normal 39 8 4 2" xfId="54287" xr:uid="{00000000-0005-0000-0000-000008D40000}"/>
    <cellStyle name="Normal 39 8 4 3" xfId="54288" xr:uid="{00000000-0005-0000-0000-000009D40000}"/>
    <cellStyle name="Normal 39 8 5" xfId="54289" xr:uid="{00000000-0005-0000-0000-00000AD40000}"/>
    <cellStyle name="Normal 39 8 5 2" xfId="54290" xr:uid="{00000000-0005-0000-0000-00000BD40000}"/>
    <cellStyle name="Normal 39 8 5 3" xfId="54291" xr:uid="{00000000-0005-0000-0000-00000CD40000}"/>
    <cellStyle name="Normal 39 8 6" xfId="54292" xr:uid="{00000000-0005-0000-0000-00000DD40000}"/>
    <cellStyle name="Normal 39 8 6 2" xfId="54293" xr:uid="{00000000-0005-0000-0000-00000ED40000}"/>
    <cellStyle name="Normal 39 8 6 3" xfId="54294" xr:uid="{00000000-0005-0000-0000-00000FD40000}"/>
    <cellStyle name="Normal 39 8 7" xfId="54295" xr:uid="{00000000-0005-0000-0000-000010D40000}"/>
    <cellStyle name="Normal 39 8 7 2" xfId="54296" xr:uid="{00000000-0005-0000-0000-000011D40000}"/>
    <cellStyle name="Normal 39 8 7 3" xfId="54297" xr:uid="{00000000-0005-0000-0000-000012D40000}"/>
    <cellStyle name="Normal 39 8 8" xfId="54298" xr:uid="{00000000-0005-0000-0000-000013D40000}"/>
    <cellStyle name="Normal 39 8 8 2" xfId="54299" xr:uid="{00000000-0005-0000-0000-000014D40000}"/>
    <cellStyle name="Normal 39 8 8 3" xfId="54300" xr:uid="{00000000-0005-0000-0000-000015D40000}"/>
    <cellStyle name="Normal 39 8 9" xfId="54301" xr:uid="{00000000-0005-0000-0000-000016D40000}"/>
    <cellStyle name="Normal 39 8 9 2" xfId="54302" xr:uid="{00000000-0005-0000-0000-000017D40000}"/>
    <cellStyle name="Normal 39 8 9 3" xfId="54303" xr:uid="{00000000-0005-0000-0000-000018D40000}"/>
    <cellStyle name="Normal 39 9" xfId="54304" xr:uid="{00000000-0005-0000-0000-000019D40000}"/>
    <cellStyle name="Normal 39 9 10" xfId="54305" xr:uid="{00000000-0005-0000-0000-00001AD40000}"/>
    <cellStyle name="Normal 39 9 10 2" xfId="54306" xr:uid="{00000000-0005-0000-0000-00001BD40000}"/>
    <cellStyle name="Normal 39 9 10 3" xfId="54307" xr:uid="{00000000-0005-0000-0000-00001CD40000}"/>
    <cellStyle name="Normal 39 9 11" xfId="54308" xr:uid="{00000000-0005-0000-0000-00001DD40000}"/>
    <cellStyle name="Normal 39 9 11 2" xfId="54309" xr:uid="{00000000-0005-0000-0000-00001ED40000}"/>
    <cellStyle name="Normal 39 9 11 3" xfId="54310" xr:uid="{00000000-0005-0000-0000-00001FD40000}"/>
    <cellStyle name="Normal 39 9 12" xfId="54311" xr:uid="{00000000-0005-0000-0000-000020D40000}"/>
    <cellStyle name="Normal 39 9 12 2" xfId="54312" xr:uid="{00000000-0005-0000-0000-000021D40000}"/>
    <cellStyle name="Normal 39 9 12 3" xfId="54313" xr:uid="{00000000-0005-0000-0000-000022D40000}"/>
    <cellStyle name="Normal 39 9 13" xfId="54314" xr:uid="{00000000-0005-0000-0000-000023D40000}"/>
    <cellStyle name="Normal 39 9 13 2" xfId="54315" xr:uid="{00000000-0005-0000-0000-000024D40000}"/>
    <cellStyle name="Normal 39 9 13 3" xfId="54316" xr:uid="{00000000-0005-0000-0000-000025D40000}"/>
    <cellStyle name="Normal 39 9 14" xfId="54317" xr:uid="{00000000-0005-0000-0000-000026D40000}"/>
    <cellStyle name="Normal 39 9 14 2" xfId="54318" xr:uid="{00000000-0005-0000-0000-000027D40000}"/>
    <cellStyle name="Normal 39 9 14 3" xfId="54319" xr:uid="{00000000-0005-0000-0000-000028D40000}"/>
    <cellStyle name="Normal 39 9 15" xfId="54320" xr:uid="{00000000-0005-0000-0000-000029D40000}"/>
    <cellStyle name="Normal 39 9 16" xfId="54321" xr:uid="{00000000-0005-0000-0000-00002AD40000}"/>
    <cellStyle name="Normal 39 9 2" xfId="54322" xr:uid="{00000000-0005-0000-0000-00002BD40000}"/>
    <cellStyle name="Normal 39 9 2 2" xfId="54323" xr:uid="{00000000-0005-0000-0000-00002CD40000}"/>
    <cellStyle name="Normal 39 9 2 3" xfId="54324" xr:uid="{00000000-0005-0000-0000-00002DD40000}"/>
    <cellStyle name="Normal 39 9 3" xfId="54325" xr:uid="{00000000-0005-0000-0000-00002ED40000}"/>
    <cellStyle name="Normal 39 9 3 2" xfId="54326" xr:uid="{00000000-0005-0000-0000-00002FD40000}"/>
    <cellStyle name="Normal 39 9 3 3" xfId="54327" xr:uid="{00000000-0005-0000-0000-000030D40000}"/>
    <cellStyle name="Normal 39 9 4" xfId="54328" xr:uid="{00000000-0005-0000-0000-000031D40000}"/>
    <cellStyle name="Normal 39 9 4 2" xfId="54329" xr:uid="{00000000-0005-0000-0000-000032D40000}"/>
    <cellStyle name="Normal 39 9 4 3" xfId="54330" xr:uid="{00000000-0005-0000-0000-000033D40000}"/>
    <cellStyle name="Normal 39 9 5" xfId="54331" xr:uid="{00000000-0005-0000-0000-000034D40000}"/>
    <cellStyle name="Normal 39 9 5 2" xfId="54332" xr:uid="{00000000-0005-0000-0000-000035D40000}"/>
    <cellStyle name="Normal 39 9 5 3" xfId="54333" xr:uid="{00000000-0005-0000-0000-000036D40000}"/>
    <cellStyle name="Normal 39 9 6" xfId="54334" xr:uid="{00000000-0005-0000-0000-000037D40000}"/>
    <cellStyle name="Normal 39 9 6 2" xfId="54335" xr:uid="{00000000-0005-0000-0000-000038D40000}"/>
    <cellStyle name="Normal 39 9 6 3" xfId="54336" xr:uid="{00000000-0005-0000-0000-000039D40000}"/>
    <cellStyle name="Normal 39 9 7" xfId="54337" xr:uid="{00000000-0005-0000-0000-00003AD40000}"/>
    <cellStyle name="Normal 39 9 7 2" xfId="54338" xr:uid="{00000000-0005-0000-0000-00003BD40000}"/>
    <cellStyle name="Normal 39 9 7 3" xfId="54339" xr:uid="{00000000-0005-0000-0000-00003CD40000}"/>
    <cellStyle name="Normal 39 9 8" xfId="54340" xr:uid="{00000000-0005-0000-0000-00003DD40000}"/>
    <cellStyle name="Normal 39 9 8 2" xfId="54341" xr:uid="{00000000-0005-0000-0000-00003ED40000}"/>
    <cellStyle name="Normal 39 9 8 3" xfId="54342" xr:uid="{00000000-0005-0000-0000-00003FD40000}"/>
    <cellStyle name="Normal 39 9 9" xfId="54343" xr:uid="{00000000-0005-0000-0000-000040D40000}"/>
    <cellStyle name="Normal 39 9 9 2" xfId="54344" xr:uid="{00000000-0005-0000-0000-000041D40000}"/>
    <cellStyle name="Normal 39 9 9 3" xfId="54345" xr:uid="{00000000-0005-0000-0000-000042D40000}"/>
    <cellStyle name="Normal 39_End-use Summary" xfId="54346" xr:uid="{00000000-0005-0000-0000-000043D40000}"/>
    <cellStyle name="Normal 4" xfId="29" xr:uid="{00000000-0005-0000-0000-000044D40000}"/>
    <cellStyle name="Normal 4 10" xfId="54348" xr:uid="{00000000-0005-0000-0000-000045D40000}"/>
    <cellStyle name="Normal 4 11" xfId="54349" xr:uid="{00000000-0005-0000-0000-000046D40000}"/>
    <cellStyle name="Normal 4 12" xfId="54350" xr:uid="{00000000-0005-0000-0000-000047D40000}"/>
    <cellStyle name="Normal 4 12 2" xfId="54351" xr:uid="{00000000-0005-0000-0000-000048D40000}"/>
    <cellStyle name="Normal 4 12 2 2" xfId="54352" xr:uid="{00000000-0005-0000-0000-000049D40000}"/>
    <cellStyle name="Normal 4 12 2 3" xfId="54353" xr:uid="{00000000-0005-0000-0000-00004AD40000}"/>
    <cellStyle name="Normal 4 12 3" xfId="54354" xr:uid="{00000000-0005-0000-0000-00004BD40000}"/>
    <cellStyle name="Normal 4 13" xfId="54355" xr:uid="{00000000-0005-0000-0000-00004CD40000}"/>
    <cellStyle name="Normal 4 13 2" xfId="54356" xr:uid="{00000000-0005-0000-0000-00004DD40000}"/>
    <cellStyle name="Normal 4 13 3" xfId="54357" xr:uid="{00000000-0005-0000-0000-00004ED40000}"/>
    <cellStyle name="Normal 4 14" xfId="54358" xr:uid="{00000000-0005-0000-0000-00004FD40000}"/>
    <cellStyle name="Normal 4 14 2" xfId="54359" xr:uid="{00000000-0005-0000-0000-000050D40000}"/>
    <cellStyle name="Normal 4 14 3" xfId="54360" xr:uid="{00000000-0005-0000-0000-000051D40000}"/>
    <cellStyle name="Normal 4 15" xfId="54361" xr:uid="{00000000-0005-0000-0000-000052D40000}"/>
    <cellStyle name="Normal 4 15 2" xfId="54362" xr:uid="{00000000-0005-0000-0000-000053D40000}"/>
    <cellStyle name="Normal 4 15 3" xfId="54363" xr:uid="{00000000-0005-0000-0000-000054D40000}"/>
    <cellStyle name="Normal 4 16" xfId="54364" xr:uid="{00000000-0005-0000-0000-000055D40000}"/>
    <cellStyle name="Normal 4 16 2" xfId="54365" xr:uid="{00000000-0005-0000-0000-000056D40000}"/>
    <cellStyle name="Normal 4 16 3" xfId="54366" xr:uid="{00000000-0005-0000-0000-000057D40000}"/>
    <cellStyle name="Normal 4 17" xfId="54367" xr:uid="{00000000-0005-0000-0000-000058D40000}"/>
    <cellStyle name="Normal 4 17 2" xfId="54368" xr:uid="{00000000-0005-0000-0000-000059D40000}"/>
    <cellStyle name="Normal 4 17 3" xfId="54369" xr:uid="{00000000-0005-0000-0000-00005AD40000}"/>
    <cellStyle name="Normal 4 18" xfId="54370" xr:uid="{00000000-0005-0000-0000-00005BD40000}"/>
    <cellStyle name="Normal 4 18 2" xfId="54371" xr:uid="{00000000-0005-0000-0000-00005CD40000}"/>
    <cellStyle name="Normal 4 18 3" xfId="54372" xr:uid="{00000000-0005-0000-0000-00005DD40000}"/>
    <cellStyle name="Normal 4 19" xfId="54373" xr:uid="{00000000-0005-0000-0000-00005ED40000}"/>
    <cellStyle name="Normal 4 19 2" xfId="54374" xr:uid="{00000000-0005-0000-0000-00005FD40000}"/>
    <cellStyle name="Normal 4 19 3" xfId="54375" xr:uid="{00000000-0005-0000-0000-000060D40000}"/>
    <cellStyle name="Normal 4 2" xfId="54376" xr:uid="{00000000-0005-0000-0000-000061D40000}"/>
    <cellStyle name="Normal 4 2 2" xfId="54377" xr:uid="{00000000-0005-0000-0000-000062D40000}"/>
    <cellStyle name="Normal 4 20" xfId="54378" xr:uid="{00000000-0005-0000-0000-000063D40000}"/>
    <cellStyle name="Normal 4 20 2" xfId="54379" xr:uid="{00000000-0005-0000-0000-000064D40000}"/>
    <cellStyle name="Normal 4 20 3" xfId="54380" xr:uid="{00000000-0005-0000-0000-000065D40000}"/>
    <cellStyle name="Normal 4 21" xfId="54381" xr:uid="{00000000-0005-0000-0000-000066D40000}"/>
    <cellStyle name="Normal 4 21 2" xfId="54382" xr:uid="{00000000-0005-0000-0000-000067D40000}"/>
    <cellStyle name="Normal 4 21 3" xfId="54383" xr:uid="{00000000-0005-0000-0000-000068D40000}"/>
    <cellStyle name="Normal 4 22" xfId="54384" xr:uid="{00000000-0005-0000-0000-000069D40000}"/>
    <cellStyle name="Normal 4 22 2" xfId="54385" xr:uid="{00000000-0005-0000-0000-00006AD40000}"/>
    <cellStyle name="Normal 4 22 3" xfId="54386" xr:uid="{00000000-0005-0000-0000-00006BD40000}"/>
    <cellStyle name="Normal 4 23" xfId="54387" xr:uid="{00000000-0005-0000-0000-00006CD40000}"/>
    <cellStyle name="Normal 4 24" xfId="54388" xr:uid="{00000000-0005-0000-0000-00006DD40000}"/>
    <cellStyle name="Normal 4 25" xfId="54347" xr:uid="{00000000-0005-0000-0000-00006ED40000}"/>
    <cellStyle name="Normal 4 3" xfId="54389" xr:uid="{00000000-0005-0000-0000-00006FD40000}"/>
    <cellStyle name="Normal 4 3 2" xfId="54390" xr:uid="{00000000-0005-0000-0000-000070D40000}"/>
    <cellStyle name="Normal 4 4" xfId="54391" xr:uid="{00000000-0005-0000-0000-000071D40000}"/>
    <cellStyle name="Normal 4 4 2" xfId="54392" xr:uid="{00000000-0005-0000-0000-000072D40000}"/>
    <cellStyle name="Normal 4 5" xfId="54393" xr:uid="{00000000-0005-0000-0000-000073D40000}"/>
    <cellStyle name="Normal 4 5 2" xfId="54394" xr:uid="{00000000-0005-0000-0000-000074D40000}"/>
    <cellStyle name="Normal 4 6" xfId="54395" xr:uid="{00000000-0005-0000-0000-000075D40000}"/>
    <cellStyle name="Normal 4 7" xfId="54396" xr:uid="{00000000-0005-0000-0000-000076D40000}"/>
    <cellStyle name="Normal 4 8" xfId="54397" xr:uid="{00000000-0005-0000-0000-000077D40000}"/>
    <cellStyle name="Normal 4 9" xfId="54398" xr:uid="{00000000-0005-0000-0000-000078D40000}"/>
    <cellStyle name="Normal 40" xfId="54399" xr:uid="{00000000-0005-0000-0000-000079D40000}"/>
    <cellStyle name="Normal 40 10" xfId="54400" xr:uid="{00000000-0005-0000-0000-00007AD40000}"/>
    <cellStyle name="Normal 40 10 10" xfId="54401" xr:uid="{00000000-0005-0000-0000-00007BD40000}"/>
    <cellStyle name="Normal 40 10 10 2" xfId="54402" xr:uid="{00000000-0005-0000-0000-00007CD40000}"/>
    <cellStyle name="Normal 40 10 10 3" xfId="54403" xr:uid="{00000000-0005-0000-0000-00007DD40000}"/>
    <cellStyle name="Normal 40 10 11" xfId="54404" xr:uid="{00000000-0005-0000-0000-00007ED40000}"/>
    <cellStyle name="Normal 40 10 11 2" xfId="54405" xr:uid="{00000000-0005-0000-0000-00007FD40000}"/>
    <cellStyle name="Normal 40 10 11 3" xfId="54406" xr:uid="{00000000-0005-0000-0000-000080D40000}"/>
    <cellStyle name="Normal 40 10 12" xfId="54407" xr:uid="{00000000-0005-0000-0000-000081D40000}"/>
    <cellStyle name="Normal 40 10 12 2" xfId="54408" xr:uid="{00000000-0005-0000-0000-000082D40000}"/>
    <cellStyle name="Normal 40 10 12 3" xfId="54409" xr:uid="{00000000-0005-0000-0000-000083D40000}"/>
    <cellStyle name="Normal 40 10 13" xfId="54410" xr:uid="{00000000-0005-0000-0000-000084D40000}"/>
    <cellStyle name="Normal 40 10 13 2" xfId="54411" xr:uid="{00000000-0005-0000-0000-000085D40000}"/>
    <cellStyle name="Normal 40 10 13 3" xfId="54412" xr:uid="{00000000-0005-0000-0000-000086D40000}"/>
    <cellStyle name="Normal 40 10 14" xfId="54413" xr:uid="{00000000-0005-0000-0000-000087D40000}"/>
    <cellStyle name="Normal 40 10 14 2" xfId="54414" xr:uid="{00000000-0005-0000-0000-000088D40000}"/>
    <cellStyle name="Normal 40 10 14 3" xfId="54415" xr:uid="{00000000-0005-0000-0000-000089D40000}"/>
    <cellStyle name="Normal 40 10 15" xfId="54416" xr:uid="{00000000-0005-0000-0000-00008AD40000}"/>
    <cellStyle name="Normal 40 10 16" xfId="54417" xr:uid="{00000000-0005-0000-0000-00008BD40000}"/>
    <cellStyle name="Normal 40 10 2" xfId="54418" xr:uid="{00000000-0005-0000-0000-00008CD40000}"/>
    <cellStyle name="Normal 40 10 2 2" xfId="54419" xr:uid="{00000000-0005-0000-0000-00008DD40000}"/>
    <cellStyle name="Normal 40 10 2 3" xfId="54420" xr:uid="{00000000-0005-0000-0000-00008ED40000}"/>
    <cellStyle name="Normal 40 10 3" xfId="54421" xr:uid="{00000000-0005-0000-0000-00008FD40000}"/>
    <cellStyle name="Normal 40 10 3 2" xfId="54422" xr:uid="{00000000-0005-0000-0000-000090D40000}"/>
    <cellStyle name="Normal 40 10 3 3" xfId="54423" xr:uid="{00000000-0005-0000-0000-000091D40000}"/>
    <cellStyle name="Normal 40 10 4" xfId="54424" xr:uid="{00000000-0005-0000-0000-000092D40000}"/>
    <cellStyle name="Normal 40 10 4 2" xfId="54425" xr:uid="{00000000-0005-0000-0000-000093D40000}"/>
    <cellStyle name="Normal 40 10 4 3" xfId="54426" xr:uid="{00000000-0005-0000-0000-000094D40000}"/>
    <cellStyle name="Normal 40 10 5" xfId="54427" xr:uid="{00000000-0005-0000-0000-000095D40000}"/>
    <cellStyle name="Normal 40 10 5 2" xfId="54428" xr:uid="{00000000-0005-0000-0000-000096D40000}"/>
    <cellStyle name="Normal 40 10 5 3" xfId="54429" xr:uid="{00000000-0005-0000-0000-000097D40000}"/>
    <cellStyle name="Normal 40 10 6" xfId="54430" xr:uid="{00000000-0005-0000-0000-000098D40000}"/>
    <cellStyle name="Normal 40 10 6 2" xfId="54431" xr:uid="{00000000-0005-0000-0000-000099D40000}"/>
    <cellStyle name="Normal 40 10 6 3" xfId="54432" xr:uid="{00000000-0005-0000-0000-00009AD40000}"/>
    <cellStyle name="Normal 40 10 7" xfId="54433" xr:uid="{00000000-0005-0000-0000-00009BD40000}"/>
    <cellStyle name="Normal 40 10 7 2" xfId="54434" xr:uid="{00000000-0005-0000-0000-00009CD40000}"/>
    <cellStyle name="Normal 40 10 7 3" xfId="54435" xr:uid="{00000000-0005-0000-0000-00009DD40000}"/>
    <cellStyle name="Normal 40 10 8" xfId="54436" xr:uid="{00000000-0005-0000-0000-00009ED40000}"/>
    <cellStyle name="Normal 40 10 8 2" xfId="54437" xr:uid="{00000000-0005-0000-0000-00009FD40000}"/>
    <cellStyle name="Normal 40 10 8 3" xfId="54438" xr:uid="{00000000-0005-0000-0000-0000A0D40000}"/>
    <cellStyle name="Normal 40 10 9" xfId="54439" xr:uid="{00000000-0005-0000-0000-0000A1D40000}"/>
    <cellStyle name="Normal 40 10 9 2" xfId="54440" xr:uid="{00000000-0005-0000-0000-0000A2D40000}"/>
    <cellStyle name="Normal 40 10 9 3" xfId="54441" xr:uid="{00000000-0005-0000-0000-0000A3D40000}"/>
    <cellStyle name="Normal 40 11" xfId="54442" xr:uid="{00000000-0005-0000-0000-0000A4D40000}"/>
    <cellStyle name="Normal 40 11 10" xfId="54443" xr:uid="{00000000-0005-0000-0000-0000A5D40000}"/>
    <cellStyle name="Normal 40 11 10 2" xfId="54444" xr:uid="{00000000-0005-0000-0000-0000A6D40000}"/>
    <cellStyle name="Normal 40 11 10 3" xfId="54445" xr:uid="{00000000-0005-0000-0000-0000A7D40000}"/>
    <cellStyle name="Normal 40 11 11" xfId="54446" xr:uid="{00000000-0005-0000-0000-0000A8D40000}"/>
    <cellStyle name="Normal 40 11 11 2" xfId="54447" xr:uid="{00000000-0005-0000-0000-0000A9D40000}"/>
    <cellStyle name="Normal 40 11 11 3" xfId="54448" xr:uid="{00000000-0005-0000-0000-0000AAD40000}"/>
    <cellStyle name="Normal 40 11 12" xfId="54449" xr:uid="{00000000-0005-0000-0000-0000ABD40000}"/>
    <cellStyle name="Normal 40 11 12 2" xfId="54450" xr:uid="{00000000-0005-0000-0000-0000ACD40000}"/>
    <cellStyle name="Normal 40 11 12 3" xfId="54451" xr:uid="{00000000-0005-0000-0000-0000ADD40000}"/>
    <cellStyle name="Normal 40 11 13" xfId="54452" xr:uid="{00000000-0005-0000-0000-0000AED40000}"/>
    <cellStyle name="Normal 40 11 13 2" xfId="54453" xr:uid="{00000000-0005-0000-0000-0000AFD40000}"/>
    <cellStyle name="Normal 40 11 13 3" xfId="54454" xr:uid="{00000000-0005-0000-0000-0000B0D40000}"/>
    <cellStyle name="Normal 40 11 14" xfId="54455" xr:uid="{00000000-0005-0000-0000-0000B1D40000}"/>
    <cellStyle name="Normal 40 11 14 2" xfId="54456" xr:uid="{00000000-0005-0000-0000-0000B2D40000}"/>
    <cellStyle name="Normal 40 11 14 3" xfId="54457" xr:uid="{00000000-0005-0000-0000-0000B3D40000}"/>
    <cellStyle name="Normal 40 11 15" xfId="54458" xr:uid="{00000000-0005-0000-0000-0000B4D40000}"/>
    <cellStyle name="Normal 40 11 16" xfId="54459" xr:uid="{00000000-0005-0000-0000-0000B5D40000}"/>
    <cellStyle name="Normal 40 11 2" xfId="54460" xr:uid="{00000000-0005-0000-0000-0000B6D40000}"/>
    <cellStyle name="Normal 40 11 2 2" xfId="54461" xr:uid="{00000000-0005-0000-0000-0000B7D40000}"/>
    <cellStyle name="Normal 40 11 2 3" xfId="54462" xr:uid="{00000000-0005-0000-0000-0000B8D40000}"/>
    <cellStyle name="Normal 40 11 3" xfId="54463" xr:uid="{00000000-0005-0000-0000-0000B9D40000}"/>
    <cellStyle name="Normal 40 11 3 2" xfId="54464" xr:uid="{00000000-0005-0000-0000-0000BAD40000}"/>
    <cellStyle name="Normal 40 11 3 3" xfId="54465" xr:uid="{00000000-0005-0000-0000-0000BBD40000}"/>
    <cellStyle name="Normal 40 11 4" xfId="54466" xr:uid="{00000000-0005-0000-0000-0000BCD40000}"/>
    <cellStyle name="Normal 40 11 4 2" xfId="54467" xr:uid="{00000000-0005-0000-0000-0000BDD40000}"/>
    <cellStyle name="Normal 40 11 4 3" xfId="54468" xr:uid="{00000000-0005-0000-0000-0000BED40000}"/>
    <cellStyle name="Normal 40 11 5" xfId="54469" xr:uid="{00000000-0005-0000-0000-0000BFD40000}"/>
    <cellStyle name="Normal 40 11 5 2" xfId="54470" xr:uid="{00000000-0005-0000-0000-0000C0D40000}"/>
    <cellStyle name="Normal 40 11 5 3" xfId="54471" xr:uid="{00000000-0005-0000-0000-0000C1D40000}"/>
    <cellStyle name="Normal 40 11 6" xfId="54472" xr:uid="{00000000-0005-0000-0000-0000C2D40000}"/>
    <cellStyle name="Normal 40 11 6 2" xfId="54473" xr:uid="{00000000-0005-0000-0000-0000C3D40000}"/>
    <cellStyle name="Normal 40 11 6 3" xfId="54474" xr:uid="{00000000-0005-0000-0000-0000C4D40000}"/>
    <cellStyle name="Normal 40 11 7" xfId="54475" xr:uid="{00000000-0005-0000-0000-0000C5D40000}"/>
    <cellStyle name="Normal 40 11 7 2" xfId="54476" xr:uid="{00000000-0005-0000-0000-0000C6D40000}"/>
    <cellStyle name="Normal 40 11 7 3" xfId="54477" xr:uid="{00000000-0005-0000-0000-0000C7D40000}"/>
    <cellStyle name="Normal 40 11 8" xfId="54478" xr:uid="{00000000-0005-0000-0000-0000C8D40000}"/>
    <cellStyle name="Normal 40 11 8 2" xfId="54479" xr:uid="{00000000-0005-0000-0000-0000C9D40000}"/>
    <cellStyle name="Normal 40 11 8 3" xfId="54480" xr:uid="{00000000-0005-0000-0000-0000CAD40000}"/>
    <cellStyle name="Normal 40 11 9" xfId="54481" xr:uid="{00000000-0005-0000-0000-0000CBD40000}"/>
    <cellStyle name="Normal 40 11 9 2" xfId="54482" xr:uid="{00000000-0005-0000-0000-0000CCD40000}"/>
    <cellStyle name="Normal 40 11 9 3" xfId="54483" xr:uid="{00000000-0005-0000-0000-0000CDD40000}"/>
    <cellStyle name="Normal 40 12" xfId="54484" xr:uid="{00000000-0005-0000-0000-0000CED40000}"/>
    <cellStyle name="Normal 40 12 10" xfId="54485" xr:uid="{00000000-0005-0000-0000-0000CFD40000}"/>
    <cellStyle name="Normal 40 12 10 2" xfId="54486" xr:uid="{00000000-0005-0000-0000-0000D0D40000}"/>
    <cellStyle name="Normal 40 12 10 3" xfId="54487" xr:uid="{00000000-0005-0000-0000-0000D1D40000}"/>
    <cellStyle name="Normal 40 12 11" xfId="54488" xr:uid="{00000000-0005-0000-0000-0000D2D40000}"/>
    <cellStyle name="Normal 40 12 11 2" xfId="54489" xr:uid="{00000000-0005-0000-0000-0000D3D40000}"/>
    <cellStyle name="Normal 40 12 11 3" xfId="54490" xr:uid="{00000000-0005-0000-0000-0000D4D40000}"/>
    <cellStyle name="Normal 40 12 12" xfId="54491" xr:uid="{00000000-0005-0000-0000-0000D5D40000}"/>
    <cellStyle name="Normal 40 12 12 2" xfId="54492" xr:uid="{00000000-0005-0000-0000-0000D6D40000}"/>
    <cellStyle name="Normal 40 12 12 3" xfId="54493" xr:uid="{00000000-0005-0000-0000-0000D7D40000}"/>
    <cellStyle name="Normal 40 12 13" xfId="54494" xr:uid="{00000000-0005-0000-0000-0000D8D40000}"/>
    <cellStyle name="Normal 40 12 13 2" xfId="54495" xr:uid="{00000000-0005-0000-0000-0000D9D40000}"/>
    <cellStyle name="Normal 40 12 13 3" xfId="54496" xr:uid="{00000000-0005-0000-0000-0000DAD40000}"/>
    <cellStyle name="Normal 40 12 14" xfId="54497" xr:uid="{00000000-0005-0000-0000-0000DBD40000}"/>
    <cellStyle name="Normal 40 12 14 2" xfId="54498" xr:uid="{00000000-0005-0000-0000-0000DCD40000}"/>
    <cellStyle name="Normal 40 12 14 3" xfId="54499" xr:uid="{00000000-0005-0000-0000-0000DDD40000}"/>
    <cellStyle name="Normal 40 12 15" xfId="54500" xr:uid="{00000000-0005-0000-0000-0000DED40000}"/>
    <cellStyle name="Normal 40 12 16" xfId="54501" xr:uid="{00000000-0005-0000-0000-0000DFD40000}"/>
    <cellStyle name="Normal 40 12 2" xfId="54502" xr:uid="{00000000-0005-0000-0000-0000E0D40000}"/>
    <cellStyle name="Normal 40 12 2 2" xfId="54503" xr:uid="{00000000-0005-0000-0000-0000E1D40000}"/>
    <cellStyle name="Normal 40 12 2 3" xfId="54504" xr:uid="{00000000-0005-0000-0000-0000E2D40000}"/>
    <cellStyle name="Normal 40 12 3" xfId="54505" xr:uid="{00000000-0005-0000-0000-0000E3D40000}"/>
    <cellStyle name="Normal 40 12 3 2" xfId="54506" xr:uid="{00000000-0005-0000-0000-0000E4D40000}"/>
    <cellStyle name="Normal 40 12 3 3" xfId="54507" xr:uid="{00000000-0005-0000-0000-0000E5D40000}"/>
    <cellStyle name="Normal 40 12 4" xfId="54508" xr:uid="{00000000-0005-0000-0000-0000E6D40000}"/>
    <cellStyle name="Normal 40 12 4 2" xfId="54509" xr:uid="{00000000-0005-0000-0000-0000E7D40000}"/>
    <cellStyle name="Normal 40 12 4 3" xfId="54510" xr:uid="{00000000-0005-0000-0000-0000E8D40000}"/>
    <cellStyle name="Normal 40 12 5" xfId="54511" xr:uid="{00000000-0005-0000-0000-0000E9D40000}"/>
    <cellStyle name="Normal 40 12 5 2" xfId="54512" xr:uid="{00000000-0005-0000-0000-0000EAD40000}"/>
    <cellStyle name="Normal 40 12 5 3" xfId="54513" xr:uid="{00000000-0005-0000-0000-0000EBD40000}"/>
    <cellStyle name="Normal 40 12 6" xfId="54514" xr:uid="{00000000-0005-0000-0000-0000ECD40000}"/>
    <cellStyle name="Normal 40 12 6 2" xfId="54515" xr:uid="{00000000-0005-0000-0000-0000EDD40000}"/>
    <cellStyle name="Normal 40 12 6 3" xfId="54516" xr:uid="{00000000-0005-0000-0000-0000EED40000}"/>
    <cellStyle name="Normal 40 12 7" xfId="54517" xr:uid="{00000000-0005-0000-0000-0000EFD40000}"/>
    <cellStyle name="Normal 40 12 7 2" xfId="54518" xr:uid="{00000000-0005-0000-0000-0000F0D40000}"/>
    <cellStyle name="Normal 40 12 7 3" xfId="54519" xr:uid="{00000000-0005-0000-0000-0000F1D40000}"/>
    <cellStyle name="Normal 40 12 8" xfId="54520" xr:uid="{00000000-0005-0000-0000-0000F2D40000}"/>
    <cellStyle name="Normal 40 12 8 2" xfId="54521" xr:uid="{00000000-0005-0000-0000-0000F3D40000}"/>
    <cellStyle name="Normal 40 12 8 3" xfId="54522" xr:uid="{00000000-0005-0000-0000-0000F4D40000}"/>
    <cellStyle name="Normal 40 12 9" xfId="54523" xr:uid="{00000000-0005-0000-0000-0000F5D40000}"/>
    <cellStyle name="Normal 40 12 9 2" xfId="54524" xr:uid="{00000000-0005-0000-0000-0000F6D40000}"/>
    <cellStyle name="Normal 40 12 9 3" xfId="54525" xr:uid="{00000000-0005-0000-0000-0000F7D40000}"/>
    <cellStyle name="Normal 40 13" xfId="54526" xr:uid="{00000000-0005-0000-0000-0000F8D40000}"/>
    <cellStyle name="Normal 40 13 10" xfId="54527" xr:uid="{00000000-0005-0000-0000-0000F9D40000}"/>
    <cellStyle name="Normal 40 13 10 2" xfId="54528" xr:uid="{00000000-0005-0000-0000-0000FAD40000}"/>
    <cellStyle name="Normal 40 13 10 3" xfId="54529" xr:uid="{00000000-0005-0000-0000-0000FBD40000}"/>
    <cellStyle name="Normal 40 13 11" xfId="54530" xr:uid="{00000000-0005-0000-0000-0000FCD40000}"/>
    <cellStyle name="Normal 40 13 11 2" xfId="54531" xr:uid="{00000000-0005-0000-0000-0000FDD40000}"/>
    <cellStyle name="Normal 40 13 11 3" xfId="54532" xr:uid="{00000000-0005-0000-0000-0000FED40000}"/>
    <cellStyle name="Normal 40 13 12" xfId="54533" xr:uid="{00000000-0005-0000-0000-0000FFD40000}"/>
    <cellStyle name="Normal 40 13 12 2" xfId="54534" xr:uid="{00000000-0005-0000-0000-000000D50000}"/>
    <cellStyle name="Normal 40 13 12 3" xfId="54535" xr:uid="{00000000-0005-0000-0000-000001D50000}"/>
    <cellStyle name="Normal 40 13 13" xfId="54536" xr:uid="{00000000-0005-0000-0000-000002D50000}"/>
    <cellStyle name="Normal 40 13 13 2" xfId="54537" xr:uid="{00000000-0005-0000-0000-000003D50000}"/>
    <cellStyle name="Normal 40 13 13 3" xfId="54538" xr:uid="{00000000-0005-0000-0000-000004D50000}"/>
    <cellStyle name="Normal 40 13 14" xfId="54539" xr:uid="{00000000-0005-0000-0000-000005D50000}"/>
    <cellStyle name="Normal 40 13 14 2" xfId="54540" xr:uid="{00000000-0005-0000-0000-000006D50000}"/>
    <cellStyle name="Normal 40 13 14 3" xfId="54541" xr:uid="{00000000-0005-0000-0000-000007D50000}"/>
    <cellStyle name="Normal 40 13 15" xfId="54542" xr:uid="{00000000-0005-0000-0000-000008D50000}"/>
    <cellStyle name="Normal 40 13 16" xfId="54543" xr:uid="{00000000-0005-0000-0000-000009D50000}"/>
    <cellStyle name="Normal 40 13 2" xfId="54544" xr:uid="{00000000-0005-0000-0000-00000AD50000}"/>
    <cellStyle name="Normal 40 13 2 2" xfId="54545" xr:uid="{00000000-0005-0000-0000-00000BD50000}"/>
    <cellStyle name="Normal 40 13 2 3" xfId="54546" xr:uid="{00000000-0005-0000-0000-00000CD50000}"/>
    <cellStyle name="Normal 40 13 3" xfId="54547" xr:uid="{00000000-0005-0000-0000-00000DD50000}"/>
    <cellStyle name="Normal 40 13 3 2" xfId="54548" xr:uid="{00000000-0005-0000-0000-00000ED50000}"/>
    <cellStyle name="Normal 40 13 3 3" xfId="54549" xr:uid="{00000000-0005-0000-0000-00000FD50000}"/>
    <cellStyle name="Normal 40 13 4" xfId="54550" xr:uid="{00000000-0005-0000-0000-000010D50000}"/>
    <cellStyle name="Normal 40 13 4 2" xfId="54551" xr:uid="{00000000-0005-0000-0000-000011D50000}"/>
    <cellStyle name="Normal 40 13 4 3" xfId="54552" xr:uid="{00000000-0005-0000-0000-000012D50000}"/>
    <cellStyle name="Normal 40 13 5" xfId="54553" xr:uid="{00000000-0005-0000-0000-000013D50000}"/>
    <cellStyle name="Normal 40 13 5 2" xfId="54554" xr:uid="{00000000-0005-0000-0000-000014D50000}"/>
    <cellStyle name="Normal 40 13 5 3" xfId="54555" xr:uid="{00000000-0005-0000-0000-000015D50000}"/>
    <cellStyle name="Normal 40 13 6" xfId="54556" xr:uid="{00000000-0005-0000-0000-000016D50000}"/>
    <cellStyle name="Normal 40 13 6 2" xfId="54557" xr:uid="{00000000-0005-0000-0000-000017D50000}"/>
    <cellStyle name="Normal 40 13 6 3" xfId="54558" xr:uid="{00000000-0005-0000-0000-000018D50000}"/>
    <cellStyle name="Normal 40 13 7" xfId="54559" xr:uid="{00000000-0005-0000-0000-000019D50000}"/>
    <cellStyle name="Normal 40 13 7 2" xfId="54560" xr:uid="{00000000-0005-0000-0000-00001AD50000}"/>
    <cellStyle name="Normal 40 13 7 3" xfId="54561" xr:uid="{00000000-0005-0000-0000-00001BD50000}"/>
    <cellStyle name="Normal 40 13 8" xfId="54562" xr:uid="{00000000-0005-0000-0000-00001CD50000}"/>
    <cellStyle name="Normal 40 13 8 2" xfId="54563" xr:uid="{00000000-0005-0000-0000-00001DD50000}"/>
    <cellStyle name="Normal 40 13 8 3" xfId="54564" xr:uid="{00000000-0005-0000-0000-00001ED50000}"/>
    <cellStyle name="Normal 40 13 9" xfId="54565" xr:uid="{00000000-0005-0000-0000-00001FD50000}"/>
    <cellStyle name="Normal 40 13 9 2" xfId="54566" xr:uid="{00000000-0005-0000-0000-000020D50000}"/>
    <cellStyle name="Normal 40 13 9 3" xfId="54567" xr:uid="{00000000-0005-0000-0000-000021D50000}"/>
    <cellStyle name="Normal 40 14" xfId="54568" xr:uid="{00000000-0005-0000-0000-000022D50000}"/>
    <cellStyle name="Normal 40 14 10" xfId="54569" xr:uid="{00000000-0005-0000-0000-000023D50000}"/>
    <cellStyle name="Normal 40 14 10 2" xfId="54570" xr:uid="{00000000-0005-0000-0000-000024D50000}"/>
    <cellStyle name="Normal 40 14 10 3" xfId="54571" xr:uid="{00000000-0005-0000-0000-000025D50000}"/>
    <cellStyle name="Normal 40 14 11" xfId="54572" xr:uid="{00000000-0005-0000-0000-000026D50000}"/>
    <cellStyle name="Normal 40 14 11 2" xfId="54573" xr:uid="{00000000-0005-0000-0000-000027D50000}"/>
    <cellStyle name="Normal 40 14 11 3" xfId="54574" xr:uid="{00000000-0005-0000-0000-000028D50000}"/>
    <cellStyle name="Normal 40 14 12" xfId="54575" xr:uid="{00000000-0005-0000-0000-000029D50000}"/>
    <cellStyle name="Normal 40 14 12 2" xfId="54576" xr:uid="{00000000-0005-0000-0000-00002AD50000}"/>
    <cellStyle name="Normal 40 14 12 3" xfId="54577" xr:uid="{00000000-0005-0000-0000-00002BD50000}"/>
    <cellStyle name="Normal 40 14 13" xfId="54578" xr:uid="{00000000-0005-0000-0000-00002CD50000}"/>
    <cellStyle name="Normal 40 14 13 2" xfId="54579" xr:uid="{00000000-0005-0000-0000-00002DD50000}"/>
    <cellStyle name="Normal 40 14 13 3" xfId="54580" xr:uid="{00000000-0005-0000-0000-00002ED50000}"/>
    <cellStyle name="Normal 40 14 14" xfId="54581" xr:uid="{00000000-0005-0000-0000-00002FD50000}"/>
    <cellStyle name="Normal 40 14 14 2" xfId="54582" xr:uid="{00000000-0005-0000-0000-000030D50000}"/>
    <cellStyle name="Normal 40 14 14 3" xfId="54583" xr:uid="{00000000-0005-0000-0000-000031D50000}"/>
    <cellStyle name="Normal 40 14 15" xfId="54584" xr:uid="{00000000-0005-0000-0000-000032D50000}"/>
    <cellStyle name="Normal 40 14 16" xfId="54585" xr:uid="{00000000-0005-0000-0000-000033D50000}"/>
    <cellStyle name="Normal 40 14 2" xfId="54586" xr:uid="{00000000-0005-0000-0000-000034D50000}"/>
    <cellStyle name="Normal 40 14 2 2" xfId="54587" xr:uid="{00000000-0005-0000-0000-000035D50000}"/>
    <cellStyle name="Normal 40 14 2 3" xfId="54588" xr:uid="{00000000-0005-0000-0000-000036D50000}"/>
    <cellStyle name="Normal 40 14 3" xfId="54589" xr:uid="{00000000-0005-0000-0000-000037D50000}"/>
    <cellStyle name="Normal 40 14 3 2" xfId="54590" xr:uid="{00000000-0005-0000-0000-000038D50000}"/>
    <cellStyle name="Normal 40 14 3 3" xfId="54591" xr:uid="{00000000-0005-0000-0000-000039D50000}"/>
    <cellStyle name="Normal 40 14 4" xfId="54592" xr:uid="{00000000-0005-0000-0000-00003AD50000}"/>
    <cellStyle name="Normal 40 14 4 2" xfId="54593" xr:uid="{00000000-0005-0000-0000-00003BD50000}"/>
    <cellStyle name="Normal 40 14 4 3" xfId="54594" xr:uid="{00000000-0005-0000-0000-00003CD50000}"/>
    <cellStyle name="Normal 40 14 5" xfId="54595" xr:uid="{00000000-0005-0000-0000-00003DD50000}"/>
    <cellStyle name="Normal 40 14 5 2" xfId="54596" xr:uid="{00000000-0005-0000-0000-00003ED50000}"/>
    <cellStyle name="Normal 40 14 5 3" xfId="54597" xr:uid="{00000000-0005-0000-0000-00003FD50000}"/>
    <cellStyle name="Normal 40 14 6" xfId="54598" xr:uid="{00000000-0005-0000-0000-000040D50000}"/>
    <cellStyle name="Normal 40 14 6 2" xfId="54599" xr:uid="{00000000-0005-0000-0000-000041D50000}"/>
    <cellStyle name="Normal 40 14 6 3" xfId="54600" xr:uid="{00000000-0005-0000-0000-000042D50000}"/>
    <cellStyle name="Normal 40 14 7" xfId="54601" xr:uid="{00000000-0005-0000-0000-000043D50000}"/>
    <cellStyle name="Normal 40 14 7 2" xfId="54602" xr:uid="{00000000-0005-0000-0000-000044D50000}"/>
    <cellStyle name="Normal 40 14 7 3" xfId="54603" xr:uid="{00000000-0005-0000-0000-000045D50000}"/>
    <cellStyle name="Normal 40 14 8" xfId="54604" xr:uid="{00000000-0005-0000-0000-000046D50000}"/>
    <cellStyle name="Normal 40 14 8 2" xfId="54605" xr:uid="{00000000-0005-0000-0000-000047D50000}"/>
    <cellStyle name="Normal 40 14 8 3" xfId="54606" xr:uid="{00000000-0005-0000-0000-000048D50000}"/>
    <cellStyle name="Normal 40 14 9" xfId="54607" xr:uid="{00000000-0005-0000-0000-000049D50000}"/>
    <cellStyle name="Normal 40 14 9 2" xfId="54608" xr:uid="{00000000-0005-0000-0000-00004AD50000}"/>
    <cellStyle name="Normal 40 14 9 3" xfId="54609" xr:uid="{00000000-0005-0000-0000-00004BD50000}"/>
    <cellStyle name="Normal 40 15" xfId="54610" xr:uid="{00000000-0005-0000-0000-00004CD50000}"/>
    <cellStyle name="Normal 40 15 10" xfId="54611" xr:uid="{00000000-0005-0000-0000-00004DD50000}"/>
    <cellStyle name="Normal 40 15 10 2" xfId="54612" xr:uid="{00000000-0005-0000-0000-00004ED50000}"/>
    <cellStyle name="Normal 40 15 10 3" xfId="54613" xr:uid="{00000000-0005-0000-0000-00004FD50000}"/>
    <cellStyle name="Normal 40 15 11" xfId="54614" xr:uid="{00000000-0005-0000-0000-000050D50000}"/>
    <cellStyle name="Normal 40 15 11 2" xfId="54615" xr:uid="{00000000-0005-0000-0000-000051D50000}"/>
    <cellStyle name="Normal 40 15 11 3" xfId="54616" xr:uid="{00000000-0005-0000-0000-000052D50000}"/>
    <cellStyle name="Normal 40 15 12" xfId="54617" xr:uid="{00000000-0005-0000-0000-000053D50000}"/>
    <cellStyle name="Normal 40 15 12 2" xfId="54618" xr:uid="{00000000-0005-0000-0000-000054D50000}"/>
    <cellStyle name="Normal 40 15 12 3" xfId="54619" xr:uid="{00000000-0005-0000-0000-000055D50000}"/>
    <cellStyle name="Normal 40 15 13" xfId="54620" xr:uid="{00000000-0005-0000-0000-000056D50000}"/>
    <cellStyle name="Normal 40 15 13 2" xfId="54621" xr:uid="{00000000-0005-0000-0000-000057D50000}"/>
    <cellStyle name="Normal 40 15 13 3" xfId="54622" xr:uid="{00000000-0005-0000-0000-000058D50000}"/>
    <cellStyle name="Normal 40 15 14" xfId="54623" xr:uid="{00000000-0005-0000-0000-000059D50000}"/>
    <cellStyle name="Normal 40 15 14 2" xfId="54624" xr:uid="{00000000-0005-0000-0000-00005AD50000}"/>
    <cellStyle name="Normal 40 15 14 3" xfId="54625" xr:uid="{00000000-0005-0000-0000-00005BD50000}"/>
    <cellStyle name="Normal 40 15 15" xfId="54626" xr:uid="{00000000-0005-0000-0000-00005CD50000}"/>
    <cellStyle name="Normal 40 15 16" xfId="54627" xr:uid="{00000000-0005-0000-0000-00005DD50000}"/>
    <cellStyle name="Normal 40 15 2" xfId="54628" xr:uid="{00000000-0005-0000-0000-00005ED50000}"/>
    <cellStyle name="Normal 40 15 2 2" xfId="54629" xr:uid="{00000000-0005-0000-0000-00005FD50000}"/>
    <cellStyle name="Normal 40 15 2 3" xfId="54630" xr:uid="{00000000-0005-0000-0000-000060D50000}"/>
    <cellStyle name="Normal 40 15 3" xfId="54631" xr:uid="{00000000-0005-0000-0000-000061D50000}"/>
    <cellStyle name="Normal 40 15 3 2" xfId="54632" xr:uid="{00000000-0005-0000-0000-000062D50000}"/>
    <cellStyle name="Normal 40 15 3 3" xfId="54633" xr:uid="{00000000-0005-0000-0000-000063D50000}"/>
    <cellStyle name="Normal 40 15 4" xfId="54634" xr:uid="{00000000-0005-0000-0000-000064D50000}"/>
    <cellStyle name="Normal 40 15 4 2" xfId="54635" xr:uid="{00000000-0005-0000-0000-000065D50000}"/>
    <cellStyle name="Normal 40 15 4 3" xfId="54636" xr:uid="{00000000-0005-0000-0000-000066D50000}"/>
    <cellStyle name="Normal 40 15 5" xfId="54637" xr:uid="{00000000-0005-0000-0000-000067D50000}"/>
    <cellStyle name="Normal 40 15 5 2" xfId="54638" xr:uid="{00000000-0005-0000-0000-000068D50000}"/>
    <cellStyle name="Normal 40 15 5 3" xfId="54639" xr:uid="{00000000-0005-0000-0000-000069D50000}"/>
    <cellStyle name="Normal 40 15 6" xfId="54640" xr:uid="{00000000-0005-0000-0000-00006AD50000}"/>
    <cellStyle name="Normal 40 15 6 2" xfId="54641" xr:uid="{00000000-0005-0000-0000-00006BD50000}"/>
    <cellStyle name="Normal 40 15 6 3" xfId="54642" xr:uid="{00000000-0005-0000-0000-00006CD50000}"/>
    <cellStyle name="Normal 40 15 7" xfId="54643" xr:uid="{00000000-0005-0000-0000-00006DD50000}"/>
    <cellStyle name="Normal 40 15 7 2" xfId="54644" xr:uid="{00000000-0005-0000-0000-00006ED50000}"/>
    <cellStyle name="Normal 40 15 7 3" xfId="54645" xr:uid="{00000000-0005-0000-0000-00006FD50000}"/>
    <cellStyle name="Normal 40 15 8" xfId="54646" xr:uid="{00000000-0005-0000-0000-000070D50000}"/>
    <cellStyle name="Normal 40 15 8 2" xfId="54647" xr:uid="{00000000-0005-0000-0000-000071D50000}"/>
    <cellStyle name="Normal 40 15 8 3" xfId="54648" xr:uid="{00000000-0005-0000-0000-000072D50000}"/>
    <cellStyle name="Normal 40 15 9" xfId="54649" xr:uid="{00000000-0005-0000-0000-000073D50000}"/>
    <cellStyle name="Normal 40 15 9 2" xfId="54650" xr:uid="{00000000-0005-0000-0000-000074D50000}"/>
    <cellStyle name="Normal 40 15 9 3" xfId="54651" xr:uid="{00000000-0005-0000-0000-000075D50000}"/>
    <cellStyle name="Normal 40 16" xfId="54652" xr:uid="{00000000-0005-0000-0000-000076D50000}"/>
    <cellStyle name="Normal 40 16 10" xfId="54653" xr:uid="{00000000-0005-0000-0000-000077D50000}"/>
    <cellStyle name="Normal 40 16 10 2" xfId="54654" xr:uid="{00000000-0005-0000-0000-000078D50000}"/>
    <cellStyle name="Normal 40 16 10 3" xfId="54655" xr:uid="{00000000-0005-0000-0000-000079D50000}"/>
    <cellStyle name="Normal 40 16 11" xfId="54656" xr:uid="{00000000-0005-0000-0000-00007AD50000}"/>
    <cellStyle name="Normal 40 16 11 2" xfId="54657" xr:uid="{00000000-0005-0000-0000-00007BD50000}"/>
    <cellStyle name="Normal 40 16 11 3" xfId="54658" xr:uid="{00000000-0005-0000-0000-00007CD50000}"/>
    <cellStyle name="Normal 40 16 12" xfId="54659" xr:uid="{00000000-0005-0000-0000-00007DD50000}"/>
    <cellStyle name="Normal 40 16 12 2" xfId="54660" xr:uid="{00000000-0005-0000-0000-00007ED50000}"/>
    <cellStyle name="Normal 40 16 12 3" xfId="54661" xr:uid="{00000000-0005-0000-0000-00007FD50000}"/>
    <cellStyle name="Normal 40 16 13" xfId="54662" xr:uid="{00000000-0005-0000-0000-000080D50000}"/>
    <cellStyle name="Normal 40 16 13 2" xfId="54663" xr:uid="{00000000-0005-0000-0000-000081D50000}"/>
    <cellStyle name="Normal 40 16 13 3" xfId="54664" xr:uid="{00000000-0005-0000-0000-000082D50000}"/>
    <cellStyle name="Normal 40 16 14" xfId="54665" xr:uid="{00000000-0005-0000-0000-000083D50000}"/>
    <cellStyle name="Normal 40 16 14 2" xfId="54666" xr:uid="{00000000-0005-0000-0000-000084D50000}"/>
    <cellStyle name="Normal 40 16 14 3" xfId="54667" xr:uid="{00000000-0005-0000-0000-000085D50000}"/>
    <cellStyle name="Normal 40 16 15" xfId="54668" xr:uid="{00000000-0005-0000-0000-000086D50000}"/>
    <cellStyle name="Normal 40 16 16" xfId="54669" xr:uid="{00000000-0005-0000-0000-000087D50000}"/>
    <cellStyle name="Normal 40 16 2" xfId="54670" xr:uid="{00000000-0005-0000-0000-000088D50000}"/>
    <cellStyle name="Normal 40 16 2 2" xfId="54671" xr:uid="{00000000-0005-0000-0000-000089D50000}"/>
    <cellStyle name="Normal 40 16 2 3" xfId="54672" xr:uid="{00000000-0005-0000-0000-00008AD50000}"/>
    <cellStyle name="Normal 40 16 3" xfId="54673" xr:uid="{00000000-0005-0000-0000-00008BD50000}"/>
    <cellStyle name="Normal 40 16 3 2" xfId="54674" xr:uid="{00000000-0005-0000-0000-00008CD50000}"/>
    <cellStyle name="Normal 40 16 3 3" xfId="54675" xr:uid="{00000000-0005-0000-0000-00008DD50000}"/>
    <cellStyle name="Normal 40 16 4" xfId="54676" xr:uid="{00000000-0005-0000-0000-00008ED50000}"/>
    <cellStyle name="Normal 40 16 4 2" xfId="54677" xr:uid="{00000000-0005-0000-0000-00008FD50000}"/>
    <cellStyle name="Normal 40 16 4 3" xfId="54678" xr:uid="{00000000-0005-0000-0000-000090D50000}"/>
    <cellStyle name="Normal 40 16 5" xfId="54679" xr:uid="{00000000-0005-0000-0000-000091D50000}"/>
    <cellStyle name="Normal 40 16 5 2" xfId="54680" xr:uid="{00000000-0005-0000-0000-000092D50000}"/>
    <cellStyle name="Normal 40 16 5 3" xfId="54681" xr:uid="{00000000-0005-0000-0000-000093D50000}"/>
    <cellStyle name="Normal 40 16 6" xfId="54682" xr:uid="{00000000-0005-0000-0000-000094D50000}"/>
    <cellStyle name="Normal 40 16 6 2" xfId="54683" xr:uid="{00000000-0005-0000-0000-000095D50000}"/>
    <cellStyle name="Normal 40 16 6 3" xfId="54684" xr:uid="{00000000-0005-0000-0000-000096D50000}"/>
    <cellStyle name="Normal 40 16 7" xfId="54685" xr:uid="{00000000-0005-0000-0000-000097D50000}"/>
    <cellStyle name="Normal 40 16 7 2" xfId="54686" xr:uid="{00000000-0005-0000-0000-000098D50000}"/>
    <cellStyle name="Normal 40 16 7 3" xfId="54687" xr:uid="{00000000-0005-0000-0000-000099D50000}"/>
    <cellStyle name="Normal 40 16 8" xfId="54688" xr:uid="{00000000-0005-0000-0000-00009AD50000}"/>
    <cellStyle name="Normal 40 16 8 2" xfId="54689" xr:uid="{00000000-0005-0000-0000-00009BD50000}"/>
    <cellStyle name="Normal 40 16 8 3" xfId="54690" xr:uid="{00000000-0005-0000-0000-00009CD50000}"/>
    <cellStyle name="Normal 40 16 9" xfId="54691" xr:uid="{00000000-0005-0000-0000-00009DD50000}"/>
    <cellStyle name="Normal 40 16 9 2" xfId="54692" xr:uid="{00000000-0005-0000-0000-00009ED50000}"/>
    <cellStyle name="Normal 40 16 9 3" xfId="54693" xr:uid="{00000000-0005-0000-0000-00009FD50000}"/>
    <cellStyle name="Normal 40 17" xfId="54694" xr:uid="{00000000-0005-0000-0000-0000A0D50000}"/>
    <cellStyle name="Normal 40 17 10" xfId="54695" xr:uid="{00000000-0005-0000-0000-0000A1D50000}"/>
    <cellStyle name="Normal 40 17 10 2" xfId="54696" xr:uid="{00000000-0005-0000-0000-0000A2D50000}"/>
    <cellStyle name="Normal 40 17 10 3" xfId="54697" xr:uid="{00000000-0005-0000-0000-0000A3D50000}"/>
    <cellStyle name="Normal 40 17 11" xfId="54698" xr:uid="{00000000-0005-0000-0000-0000A4D50000}"/>
    <cellStyle name="Normal 40 17 11 2" xfId="54699" xr:uid="{00000000-0005-0000-0000-0000A5D50000}"/>
    <cellStyle name="Normal 40 17 11 3" xfId="54700" xr:uid="{00000000-0005-0000-0000-0000A6D50000}"/>
    <cellStyle name="Normal 40 17 12" xfId="54701" xr:uid="{00000000-0005-0000-0000-0000A7D50000}"/>
    <cellStyle name="Normal 40 17 12 2" xfId="54702" xr:uid="{00000000-0005-0000-0000-0000A8D50000}"/>
    <cellStyle name="Normal 40 17 12 3" xfId="54703" xr:uid="{00000000-0005-0000-0000-0000A9D50000}"/>
    <cellStyle name="Normal 40 17 13" xfId="54704" xr:uid="{00000000-0005-0000-0000-0000AAD50000}"/>
    <cellStyle name="Normal 40 17 13 2" xfId="54705" xr:uid="{00000000-0005-0000-0000-0000ABD50000}"/>
    <cellStyle name="Normal 40 17 13 3" xfId="54706" xr:uid="{00000000-0005-0000-0000-0000ACD50000}"/>
    <cellStyle name="Normal 40 17 14" xfId="54707" xr:uid="{00000000-0005-0000-0000-0000ADD50000}"/>
    <cellStyle name="Normal 40 17 14 2" xfId="54708" xr:uid="{00000000-0005-0000-0000-0000AED50000}"/>
    <cellStyle name="Normal 40 17 14 3" xfId="54709" xr:uid="{00000000-0005-0000-0000-0000AFD50000}"/>
    <cellStyle name="Normal 40 17 15" xfId="54710" xr:uid="{00000000-0005-0000-0000-0000B0D50000}"/>
    <cellStyle name="Normal 40 17 16" xfId="54711" xr:uid="{00000000-0005-0000-0000-0000B1D50000}"/>
    <cellStyle name="Normal 40 17 2" xfId="54712" xr:uid="{00000000-0005-0000-0000-0000B2D50000}"/>
    <cellStyle name="Normal 40 17 2 2" xfId="54713" xr:uid="{00000000-0005-0000-0000-0000B3D50000}"/>
    <cellStyle name="Normal 40 17 2 3" xfId="54714" xr:uid="{00000000-0005-0000-0000-0000B4D50000}"/>
    <cellStyle name="Normal 40 17 3" xfId="54715" xr:uid="{00000000-0005-0000-0000-0000B5D50000}"/>
    <cellStyle name="Normal 40 17 3 2" xfId="54716" xr:uid="{00000000-0005-0000-0000-0000B6D50000}"/>
    <cellStyle name="Normal 40 17 3 3" xfId="54717" xr:uid="{00000000-0005-0000-0000-0000B7D50000}"/>
    <cellStyle name="Normal 40 17 4" xfId="54718" xr:uid="{00000000-0005-0000-0000-0000B8D50000}"/>
    <cellStyle name="Normal 40 17 4 2" xfId="54719" xr:uid="{00000000-0005-0000-0000-0000B9D50000}"/>
    <cellStyle name="Normal 40 17 4 3" xfId="54720" xr:uid="{00000000-0005-0000-0000-0000BAD50000}"/>
    <cellStyle name="Normal 40 17 5" xfId="54721" xr:uid="{00000000-0005-0000-0000-0000BBD50000}"/>
    <cellStyle name="Normal 40 17 5 2" xfId="54722" xr:uid="{00000000-0005-0000-0000-0000BCD50000}"/>
    <cellStyle name="Normal 40 17 5 3" xfId="54723" xr:uid="{00000000-0005-0000-0000-0000BDD50000}"/>
    <cellStyle name="Normal 40 17 6" xfId="54724" xr:uid="{00000000-0005-0000-0000-0000BED50000}"/>
    <cellStyle name="Normal 40 17 6 2" xfId="54725" xr:uid="{00000000-0005-0000-0000-0000BFD50000}"/>
    <cellStyle name="Normal 40 17 6 3" xfId="54726" xr:uid="{00000000-0005-0000-0000-0000C0D50000}"/>
    <cellStyle name="Normal 40 17 7" xfId="54727" xr:uid="{00000000-0005-0000-0000-0000C1D50000}"/>
    <cellStyle name="Normal 40 17 7 2" xfId="54728" xr:uid="{00000000-0005-0000-0000-0000C2D50000}"/>
    <cellStyle name="Normal 40 17 7 3" xfId="54729" xr:uid="{00000000-0005-0000-0000-0000C3D50000}"/>
    <cellStyle name="Normal 40 17 8" xfId="54730" xr:uid="{00000000-0005-0000-0000-0000C4D50000}"/>
    <cellStyle name="Normal 40 17 8 2" xfId="54731" xr:uid="{00000000-0005-0000-0000-0000C5D50000}"/>
    <cellStyle name="Normal 40 17 8 3" xfId="54732" xr:uid="{00000000-0005-0000-0000-0000C6D50000}"/>
    <cellStyle name="Normal 40 17 9" xfId="54733" xr:uid="{00000000-0005-0000-0000-0000C7D50000}"/>
    <cellStyle name="Normal 40 17 9 2" xfId="54734" xr:uid="{00000000-0005-0000-0000-0000C8D50000}"/>
    <cellStyle name="Normal 40 17 9 3" xfId="54735" xr:uid="{00000000-0005-0000-0000-0000C9D50000}"/>
    <cellStyle name="Normal 40 18" xfId="54736" xr:uid="{00000000-0005-0000-0000-0000CAD50000}"/>
    <cellStyle name="Normal 40 18 2" xfId="54737" xr:uid="{00000000-0005-0000-0000-0000CBD50000}"/>
    <cellStyle name="Normal 40 18 3" xfId="54738" xr:uid="{00000000-0005-0000-0000-0000CCD50000}"/>
    <cellStyle name="Normal 40 19" xfId="54739" xr:uid="{00000000-0005-0000-0000-0000CDD50000}"/>
    <cellStyle name="Normal 40 19 2" xfId="54740" xr:uid="{00000000-0005-0000-0000-0000CED50000}"/>
    <cellStyle name="Normal 40 19 3" xfId="54741" xr:uid="{00000000-0005-0000-0000-0000CFD50000}"/>
    <cellStyle name="Normal 40 2" xfId="54742" xr:uid="{00000000-0005-0000-0000-0000D0D50000}"/>
    <cellStyle name="Normal 40 2 10" xfId="54743" xr:uid="{00000000-0005-0000-0000-0000D1D50000}"/>
    <cellStyle name="Normal 40 2 11" xfId="54744" xr:uid="{00000000-0005-0000-0000-0000D2D50000}"/>
    <cellStyle name="Normal 40 2 12" xfId="54745" xr:uid="{00000000-0005-0000-0000-0000D3D50000}"/>
    <cellStyle name="Normal 40 2 13" xfId="54746" xr:uid="{00000000-0005-0000-0000-0000D4D50000}"/>
    <cellStyle name="Normal 40 2 14" xfId="54747" xr:uid="{00000000-0005-0000-0000-0000D5D50000}"/>
    <cellStyle name="Normal 40 2 15" xfId="54748" xr:uid="{00000000-0005-0000-0000-0000D6D50000}"/>
    <cellStyle name="Normal 40 2 16" xfId="54749" xr:uid="{00000000-0005-0000-0000-0000D7D50000}"/>
    <cellStyle name="Normal 40 2 17" xfId="54750" xr:uid="{00000000-0005-0000-0000-0000D8D50000}"/>
    <cellStyle name="Normal 40 2 2" xfId="54751" xr:uid="{00000000-0005-0000-0000-0000D9D50000}"/>
    <cellStyle name="Normal 40 2 2 10" xfId="54752" xr:uid="{00000000-0005-0000-0000-0000DAD50000}"/>
    <cellStyle name="Normal 40 2 2 11" xfId="54753" xr:uid="{00000000-0005-0000-0000-0000DBD50000}"/>
    <cellStyle name="Normal 40 2 2 12" xfId="54754" xr:uid="{00000000-0005-0000-0000-0000DCD50000}"/>
    <cellStyle name="Normal 40 2 2 13" xfId="54755" xr:uid="{00000000-0005-0000-0000-0000DDD50000}"/>
    <cellStyle name="Normal 40 2 2 14" xfId="54756" xr:uid="{00000000-0005-0000-0000-0000DED50000}"/>
    <cellStyle name="Normal 40 2 2 2" xfId="54757" xr:uid="{00000000-0005-0000-0000-0000DFD50000}"/>
    <cellStyle name="Normal 40 2 2 2 2" xfId="54758" xr:uid="{00000000-0005-0000-0000-0000E0D50000}"/>
    <cellStyle name="Normal 40 2 2 2 2 2" xfId="54759" xr:uid="{00000000-0005-0000-0000-0000E1D50000}"/>
    <cellStyle name="Normal 40 2 2 2 2 3" xfId="54760" xr:uid="{00000000-0005-0000-0000-0000E2D50000}"/>
    <cellStyle name="Normal 40 2 2 2 3" xfId="54761" xr:uid="{00000000-0005-0000-0000-0000E3D50000}"/>
    <cellStyle name="Normal 40 2 2 3" xfId="54762" xr:uid="{00000000-0005-0000-0000-0000E4D50000}"/>
    <cellStyle name="Normal 40 2 2 4" xfId="54763" xr:uid="{00000000-0005-0000-0000-0000E5D50000}"/>
    <cellStyle name="Normal 40 2 2 5" xfId="54764" xr:uid="{00000000-0005-0000-0000-0000E6D50000}"/>
    <cellStyle name="Normal 40 2 2 6" xfId="54765" xr:uid="{00000000-0005-0000-0000-0000E7D50000}"/>
    <cellStyle name="Normal 40 2 2 7" xfId="54766" xr:uid="{00000000-0005-0000-0000-0000E8D50000}"/>
    <cellStyle name="Normal 40 2 2 8" xfId="54767" xr:uid="{00000000-0005-0000-0000-0000E9D50000}"/>
    <cellStyle name="Normal 40 2 2 9" xfId="54768" xr:uid="{00000000-0005-0000-0000-0000EAD50000}"/>
    <cellStyle name="Normal 40 2 3" xfId="54769" xr:uid="{00000000-0005-0000-0000-0000EBD50000}"/>
    <cellStyle name="Normal 40 2 4" xfId="54770" xr:uid="{00000000-0005-0000-0000-0000ECD50000}"/>
    <cellStyle name="Normal 40 2 5" xfId="54771" xr:uid="{00000000-0005-0000-0000-0000EDD50000}"/>
    <cellStyle name="Normal 40 2 6" xfId="54772" xr:uid="{00000000-0005-0000-0000-0000EED50000}"/>
    <cellStyle name="Normal 40 2 6 2" xfId="54773" xr:uid="{00000000-0005-0000-0000-0000EFD50000}"/>
    <cellStyle name="Normal 40 2 6 2 2" xfId="54774" xr:uid="{00000000-0005-0000-0000-0000F0D50000}"/>
    <cellStyle name="Normal 40 2 6 2 3" xfId="54775" xr:uid="{00000000-0005-0000-0000-0000F1D50000}"/>
    <cellStyle name="Normal 40 2 6 3" xfId="54776" xr:uid="{00000000-0005-0000-0000-0000F2D50000}"/>
    <cellStyle name="Normal 40 2 7" xfId="54777" xr:uid="{00000000-0005-0000-0000-0000F3D50000}"/>
    <cellStyle name="Normal 40 2 7 2" xfId="54778" xr:uid="{00000000-0005-0000-0000-0000F4D50000}"/>
    <cellStyle name="Normal 40 2 7 2 2" xfId="54779" xr:uid="{00000000-0005-0000-0000-0000F5D50000}"/>
    <cellStyle name="Normal 40 2 7 2 3" xfId="54780" xr:uid="{00000000-0005-0000-0000-0000F6D50000}"/>
    <cellStyle name="Normal 40 2 7 3" xfId="54781" xr:uid="{00000000-0005-0000-0000-0000F7D50000}"/>
    <cellStyle name="Normal 40 2 8" xfId="54782" xr:uid="{00000000-0005-0000-0000-0000F8D50000}"/>
    <cellStyle name="Normal 40 2 9" xfId="54783" xr:uid="{00000000-0005-0000-0000-0000F9D50000}"/>
    <cellStyle name="Normal 40 20" xfId="54784" xr:uid="{00000000-0005-0000-0000-0000FAD50000}"/>
    <cellStyle name="Normal 40 20 2" xfId="54785" xr:uid="{00000000-0005-0000-0000-0000FBD50000}"/>
    <cellStyle name="Normal 40 20 3" xfId="54786" xr:uid="{00000000-0005-0000-0000-0000FCD50000}"/>
    <cellStyle name="Normal 40 21" xfId="54787" xr:uid="{00000000-0005-0000-0000-0000FDD50000}"/>
    <cellStyle name="Normal 40 21 2" xfId="54788" xr:uid="{00000000-0005-0000-0000-0000FED50000}"/>
    <cellStyle name="Normal 40 21 3" xfId="54789" xr:uid="{00000000-0005-0000-0000-0000FFD50000}"/>
    <cellStyle name="Normal 40 22" xfId="54790" xr:uid="{00000000-0005-0000-0000-000000D60000}"/>
    <cellStyle name="Normal 40 22 2" xfId="54791" xr:uid="{00000000-0005-0000-0000-000001D60000}"/>
    <cellStyle name="Normal 40 22 3" xfId="54792" xr:uid="{00000000-0005-0000-0000-000002D60000}"/>
    <cellStyle name="Normal 40 23" xfId="54793" xr:uid="{00000000-0005-0000-0000-000003D60000}"/>
    <cellStyle name="Normal 40 23 2" xfId="54794" xr:uid="{00000000-0005-0000-0000-000004D60000}"/>
    <cellStyle name="Normal 40 23 3" xfId="54795" xr:uid="{00000000-0005-0000-0000-000005D60000}"/>
    <cellStyle name="Normal 40 24" xfId="54796" xr:uid="{00000000-0005-0000-0000-000006D60000}"/>
    <cellStyle name="Normal 40 24 2" xfId="54797" xr:uid="{00000000-0005-0000-0000-000007D60000}"/>
    <cellStyle name="Normal 40 24 3" xfId="54798" xr:uid="{00000000-0005-0000-0000-000008D60000}"/>
    <cellStyle name="Normal 40 25" xfId="54799" xr:uid="{00000000-0005-0000-0000-000009D60000}"/>
    <cellStyle name="Normal 40 25 2" xfId="54800" xr:uid="{00000000-0005-0000-0000-00000AD60000}"/>
    <cellStyle name="Normal 40 25 3" xfId="54801" xr:uid="{00000000-0005-0000-0000-00000BD60000}"/>
    <cellStyle name="Normal 40 26" xfId="54802" xr:uid="{00000000-0005-0000-0000-00000CD60000}"/>
    <cellStyle name="Normal 40 26 2" xfId="54803" xr:uid="{00000000-0005-0000-0000-00000DD60000}"/>
    <cellStyle name="Normal 40 26 3" xfId="54804" xr:uid="{00000000-0005-0000-0000-00000ED60000}"/>
    <cellStyle name="Normal 40 27" xfId="54805" xr:uid="{00000000-0005-0000-0000-00000FD60000}"/>
    <cellStyle name="Normal 40 27 2" xfId="54806" xr:uid="{00000000-0005-0000-0000-000010D60000}"/>
    <cellStyle name="Normal 40 27 3" xfId="54807" xr:uid="{00000000-0005-0000-0000-000011D60000}"/>
    <cellStyle name="Normal 40 28" xfId="54808" xr:uid="{00000000-0005-0000-0000-000012D60000}"/>
    <cellStyle name="Normal 40 28 2" xfId="54809" xr:uid="{00000000-0005-0000-0000-000013D60000}"/>
    <cellStyle name="Normal 40 28 3" xfId="54810" xr:uid="{00000000-0005-0000-0000-000014D60000}"/>
    <cellStyle name="Normal 40 29" xfId="54811" xr:uid="{00000000-0005-0000-0000-000015D60000}"/>
    <cellStyle name="Normal 40 29 2" xfId="54812" xr:uid="{00000000-0005-0000-0000-000016D60000}"/>
    <cellStyle name="Normal 40 29 3" xfId="54813" xr:uid="{00000000-0005-0000-0000-000017D60000}"/>
    <cellStyle name="Normal 40 3" xfId="54814" xr:uid="{00000000-0005-0000-0000-000018D60000}"/>
    <cellStyle name="Normal 40 30" xfId="54815" xr:uid="{00000000-0005-0000-0000-000019D60000}"/>
    <cellStyle name="Normal 40 30 2" xfId="54816" xr:uid="{00000000-0005-0000-0000-00001AD60000}"/>
    <cellStyle name="Normal 40 30 3" xfId="54817" xr:uid="{00000000-0005-0000-0000-00001BD60000}"/>
    <cellStyle name="Normal 40 31" xfId="54818" xr:uid="{00000000-0005-0000-0000-00001CD60000}"/>
    <cellStyle name="Normal 40 32" xfId="54819" xr:uid="{00000000-0005-0000-0000-00001DD60000}"/>
    <cellStyle name="Normal 40 33" xfId="54820" xr:uid="{00000000-0005-0000-0000-00001ED60000}"/>
    <cellStyle name="Normal 40 34" xfId="54821" xr:uid="{00000000-0005-0000-0000-00001FD60000}"/>
    <cellStyle name="Normal 40 35" xfId="54822" xr:uid="{00000000-0005-0000-0000-000020D60000}"/>
    <cellStyle name="Normal 40 36" xfId="54823" xr:uid="{00000000-0005-0000-0000-000021D60000}"/>
    <cellStyle name="Normal 40 37" xfId="54824" xr:uid="{00000000-0005-0000-0000-000022D60000}"/>
    <cellStyle name="Normal 40 38" xfId="54825" xr:uid="{00000000-0005-0000-0000-000023D60000}"/>
    <cellStyle name="Normal 40 39" xfId="54826" xr:uid="{00000000-0005-0000-0000-000024D60000}"/>
    <cellStyle name="Normal 40 4" xfId="54827" xr:uid="{00000000-0005-0000-0000-000025D60000}"/>
    <cellStyle name="Normal 40 4 10" xfId="54828" xr:uid="{00000000-0005-0000-0000-000026D60000}"/>
    <cellStyle name="Normal 40 4 10 2" xfId="54829" xr:uid="{00000000-0005-0000-0000-000027D60000}"/>
    <cellStyle name="Normal 40 4 10 3" xfId="54830" xr:uid="{00000000-0005-0000-0000-000028D60000}"/>
    <cellStyle name="Normal 40 4 11" xfId="54831" xr:uid="{00000000-0005-0000-0000-000029D60000}"/>
    <cellStyle name="Normal 40 4 11 2" xfId="54832" xr:uid="{00000000-0005-0000-0000-00002AD60000}"/>
    <cellStyle name="Normal 40 4 11 3" xfId="54833" xr:uid="{00000000-0005-0000-0000-00002BD60000}"/>
    <cellStyle name="Normal 40 4 12" xfId="54834" xr:uid="{00000000-0005-0000-0000-00002CD60000}"/>
    <cellStyle name="Normal 40 4 12 2" xfId="54835" xr:uid="{00000000-0005-0000-0000-00002DD60000}"/>
    <cellStyle name="Normal 40 4 12 3" xfId="54836" xr:uid="{00000000-0005-0000-0000-00002ED60000}"/>
    <cellStyle name="Normal 40 4 13" xfId="54837" xr:uid="{00000000-0005-0000-0000-00002FD60000}"/>
    <cellStyle name="Normal 40 4 13 2" xfId="54838" xr:uid="{00000000-0005-0000-0000-000030D60000}"/>
    <cellStyle name="Normal 40 4 13 3" xfId="54839" xr:uid="{00000000-0005-0000-0000-000031D60000}"/>
    <cellStyle name="Normal 40 4 14" xfId="54840" xr:uid="{00000000-0005-0000-0000-000032D60000}"/>
    <cellStyle name="Normal 40 4 14 2" xfId="54841" xr:uid="{00000000-0005-0000-0000-000033D60000}"/>
    <cellStyle name="Normal 40 4 14 3" xfId="54842" xr:uid="{00000000-0005-0000-0000-000034D60000}"/>
    <cellStyle name="Normal 40 4 15" xfId="54843" xr:uid="{00000000-0005-0000-0000-000035D60000}"/>
    <cellStyle name="Normal 40 4 15 2" xfId="54844" xr:uid="{00000000-0005-0000-0000-000036D60000}"/>
    <cellStyle name="Normal 40 4 15 3" xfId="54845" xr:uid="{00000000-0005-0000-0000-000037D60000}"/>
    <cellStyle name="Normal 40 4 16" xfId="54846" xr:uid="{00000000-0005-0000-0000-000038D60000}"/>
    <cellStyle name="Normal 40 4 17" xfId="54847" xr:uid="{00000000-0005-0000-0000-000039D60000}"/>
    <cellStyle name="Normal 40 4 18" xfId="54848" xr:uid="{00000000-0005-0000-0000-00003AD60000}"/>
    <cellStyle name="Normal 40 4 19" xfId="54849" xr:uid="{00000000-0005-0000-0000-00003BD60000}"/>
    <cellStyle name="Normal 40 4 2" xfId="54850" xr:uid="{00000000-0005-0000-0000-00003CD60000}"/>
    <cellStyle name="Normal 40 4 2 10" xfId="54851" xr:uid="{00000000-0005-0000-0000-00003DD60000}"/>
    <cellStyle name="Normal 40 4 2 10 2" xfId="54852" xr:uid="{00000000-0005-0000-0000-00003ED60000}"/>
    <cellStyle name="Normal 40 4 2 10 3" xfId="54853" xr:uid="{00000000-0005-0000-0000-00003FD60000}"/>
    <cellStyle name="Normal 40 4 2 11" xfId="54854" xr:uid="{00000000-0005-0000-0000-000040D60000}"/>
    <cellStyle name="Normal 40 4 2 11 2" xfId="54855" xr:uid="{00000000-0005-0000-0000-000041D60000}"/>
    <cellStyle name="Normal 40 4 2 11 3" xfId="54856" xr:uid="{00000000-0005-0000-0000-000042D60000}"/>
    <cellStyle name="Normal 40 4 2 12" xfId="54857" xr:uid="{00000000-0005-0000-0000-000043D60000}"/>
    <cellStyle name="Normal 40 4 2 12 2" xfId="54858" xr:uid="{00000000-0005-0000-0000-000044D60000}"/>
    <cellStyle name="Normal 40 4 2 12 3" xfId="54859" xr:uid="{00000000-0005-0000-0000-000045D60000}"/>
    <cellStyle name="Normal 40 4 2 13" xfId="54860" xr:uid="{00000000-0005-0000-0000-000046D60000}"/>
    <cellStyle name="Normal 40 4 2 13 2" xfId="54861" xr:uid="{00000000-0005-0000-0000-000047D60000}"/>
    <cellStyle name="Normal 40 4 2 13 3" xfId="54862" xr:uid="{00000000-0005-0000-0000-000048D60000}"/>
    <cellStyle name="Normal 40 4 2 14" xfId="54863" xr:uid="{00000000-0005-0000-0000-000049D60000}"/>
    <cellStyle name="Normal 40 4 2 14 2" xfId="54864" xr:uid="{00000000-0005-0000-0000-00004AD60000}"/>
    <cellStyle name="Normal 40 4 2 14 3" xfId="54865" xr:uid="{00000000-0005-0000-0000-00004BD60000}"/>
    <cellStyle name="Normal 40 4 2 15" xfId="54866" xr:uid="{00000000-0005-0000-0000-00004CD60000}"/>
    <cellStyle name="Normal 40 4 2 16" xfId="54867" xr:uid="{00000000-0005-0000-0000-00004DD60000}"/>
    <cellStyle name="Normal 40 4 2 2" xfId="54868" xr:uid="{00000000-0005-0000-0000-00004ED60000}"/>
    <cellStyle name="Normal 40 4 2 2 2" xfId="54869" xr:uid="{00000000-0005-0000-0000-00004FD60000}"/>
    <cellStyle name="Normal 40 4 2 2 3" xfId="54870" xr:uid="{00000000-0005-0000-0000-000050D60000}"/>
    <cellStyle name="Normal 40 4 2 3" xfId="54871" xr:uid="{00000000-0005-0000-0000-000051D60000}"/>
    <cellStyle name="Normal 40 4 2 3 2" xfId="54872" xr:uid="{00000000-0005-0000-0000-000052D60000}"/>
    <cellStyle name="Normal 40 4 2 3 3" xfId="54873" xr:uid="{00000000-0005-0000-0000-000053D60000}"/>
    <cellStyle name="Normal 40 4 2 4" xfId="54874" xr:uid="{00000000-0005-0000-0000-000054D60000}"/>
    <cellStyle name="Normal 40 4 2 4 2" xfId="54875" xr:uid="{00000000-0005-0000-0000-000055D60000}"/>
    <cellStyle name="Normal 40 4 2 4 3" xfId="54876" xr:uid="{00000000-0005-0000-0000-000056D60000}"/>
    <cellStyle name="Normal 40 4 2 5" xfId="54877" xr:uid="{00000000-0005-0000-0000-000057D60000}"/>
    <cellStyle name="Normal 40 4 2 5 2" xfId="54878" xr:uid="{00000000-0005-0000-0000-000058D60000}"/>
    <cellStyle name="Normal 40 4 2 5 3" xfId="54879" xr:uid="{00000000-0005-0000-0000-000059D60000}"/>
    <cellStyle name="Normal 40 4 2 6" xfId="54880" xr:uid="{00000000-0005-0000-0000-00005AD60000}"/>
    <cellStyle name="Normal 40 4 2 6 2" xfId="54881" xr:uid="{00000000-0005-0000-0000-00005BD60000}"/>
    <cellStyle name="Normal 40 4 2 6 3" xfId="54882" xr:uid="{00000000-0005-0000-0000-00005CD60000}"/>
    <cellStyle name="Normal 40 4 2 7" xfId="54883" xr:uid="{00000000-0005-0000-0000-00005DD60000}"/>
    <cellStyle name="Normal 40 4 2 7 2" xfId="54884" xr:uid="{00000000-0005-0000-0000-00005ED60000}"/>
    <cellStyle name="Normal 40 4 2 7 3" xfId="54885" xr:uid="{00000000-0005-0000-0000-00005FD60000}"/>
    <cellStyle name="Normal 40 4 2 8" xfId="54886" xr:uid="{00000000-0005-0000-0000-000060D60000}"/>
    <cellStyle name="Normal 40 4 2 8 2" xfId="54887" xr:uid="{00000000-0005-0000-0000-000061D60000}"/>
    <cellStyle name="Normal 40 4 2 8 3" xfId="54888" xr:uid="{00000000-0005-0000-0000-000062D60000}"/>
    <cellStyle name="Normal 40 4 2 9" xfId="54889" xr:uid="{00000000-0005-0000-0000-000063D60000}"/>
    <cellStyle name="Normal 40 4 2 9 2" xfId="54890" xr:uid="{00000000-0005-0000-0000-000064D60000}"/>
    <cellStyle name="Normal 40 4 2 9 3" xfId="54891" xr:uid="{00000000-0005-0000-0000-000065D60000}"/>
    <cellStyle name="Normal 40 4 20" xfId="54892" xr:uid="{00000000-0005-0000-0000-000066D60000}"/>
    <cellStyle name="Normal 40 4 21" xfId="54893" xr:uid="{00000000-0005-0000-0000-000067D60000}"/>
    <cellStyle name="Normal 40 4 22" xfId="54894" xr:uid="{00000000-0005-0000-0000-000068D60000}"/>
    <cellStyle name="Normal 40 4 23" xfId="54895" xr:uid="{00000000-0005-0000-0000-000069D60000}"/>
    <cellStyle name="Normal 40 4 24" xfId="54896" xr:uid="{00000000-0005-0000-0000-00006AD60000}"/>
    <cellStyle name="Normal 40 4 25" xfId="54897" xr:uid="{00000000-0005-0000-0000-00006BD60000}"/>
    <cellStyle name="Normal 40 4 26" xfId="54898" xr:uid="{00000000-0005-0000-0000-00006CD60000}"/>
    <cellStyle name="Normal 40 4 27" xfId="54899" xr:uid="{00000000-0005-0000-0000-00006DD60000}"/>
    <cellStyle name="Normal 40 4 28" xfId="54900" xr:uid="{00000000-0005-0000-0000-00006ED60000}"/>
    <cellStyle name="Normal 40 4 3" xfId="54901" xr:uid="{00000000-0005-0000-0000-00006FD60000}"/>
    <cellStyle name="Normal 40 4 3 2" xfId="54902" xr:uid="{00000000-0005-0000-0000-000070D60000}"/>
    <cellStyle name="Normal 40 4 3 3" xfId="54903" xr:uid="{00000000-0005-0000-0000-000071D60000}"/>
    <cellStyle name="Normal 40 4 4" xfId="54904" xr:uid="{00000000-0005-0000-0000-000072D60000}"/>
    <cellStyle name="Normal 40 4 4 2" xfId="54905" xr:uid="{00000000-0005-0000-0000-000073D60000}"/>
    <cellStyle name="Normal 40 4 4 3" xfId="54906" xr:uid="{00000000-0005-0000-0000-000074D60000}"/>
    <cellStyle name="Normal 40 4 5" xfId="54907" xr:uid="{00000000-0005-0000-0000-000075D60000}"/>
    <cellStyle name="Normal 40 4 5 2" xfId="54908" xr:uid="{00000000-0005-0000-0000-000076D60000}"/>
    <cellStyle name="Normal 40 4 5 3" xfId="54909" xr:uid="{00000000-0005-0000-0000-000077D60000}"/>
    <cellStyle name="Normal 40 4 6" xfId="54910" xr:uid="{00000000-0005-0000-0000-000078D60000}"/>
    <cellStyle name="Normal 40 4 6 2" xfId="54911" xr:uid="{00000000-0005-0000-0000-000079D60000}"/>
    <cellStyle name="Normal 40 4 6 3" xfId="54912" xr:uid="{00000000-0005-0000-0000-00007AD60000}"/>
    <cellStyle name="Normal 40 4 7" xfId="54913" xr:uid="{00000000-0005-0000-0000-00007BD60000}"/>
    <cellStyle name="Normal 40 4 7 2" xfId="54914" xr:uid="{00000000-0005-0000-0000-00007CD60000}"/>
    <cellStyle name="Normal 40 4 7 3" xfId="54915" xr:uid="{00000000-0005-0000-0000-00007DD60000}"/>
    <cellStyle name="Normal 40 4 8" xfId="54916" xr:uid="{00000000-0005-0000-0000-00007ED60000}"/>
    <cellStyle name="Normal 40 4 8 2" xfId="54917" xr:uid="{00000000-0005-0000-0000-00007FD60000}"/>
    <cellStyle name="Normal 40 4 8 3" xfId="54918" xr:uid="{00000000-0005-0000-0000-000080D60000}"/>
    <cellStyle name="Normal 40 4 9" xfId="54919" xr:uid="{00000000-0005-0000-0000-000081D60000}"/>
    <cellStyle name="Normal 40 4 9 2" xfId="54920" xr:uid="{00000000-0005-0000-0000-000082D60000}"/>
    <cellStyle name="Normal 40 4 9 3" xfId="54921" xr:uid="{00000000-0005-0000-0000-000083D60000}"/>
    <cellStyle name="Normal 40 40" xfId="54922" xr:uid="{00000000-0005-0000-0000-000084D60000}"/>
    <cellStyle name="Normal 40 41" xfId="54923" xr:uid="{00000000-0005-0000-0000-000085D60000}"/>
    <cellStyle name="Normal 40 42" xfId="54924" xr:uid="{00000000-0005-0000-0000-000086D60000}"/>
    <cellStyle name="Normal 40 43" xfId="54925" xr:uid="{00000000-0005-0000-0000-000087D60000}"/>
    <cellStyle name="Normal 40 5" xfId="54926" xr:uid="{00000000-0005-0000-0000-000088D60000}"/>
    <cellStyle name="Normal 40 5 10" xfId="54927" xr:uid="{00000000-0005-0000-0000-000089D60000}"/>
    <cellStyle name="Normal 40 5 10 2" xfId="54928" xr:uid="{00000000-0005-0000-0000-00008AD60000}"/>
    <cellStyle name="Normal 40 5 10 3" xfId="54929" xr:uid="{00000000-0005-0000-0000-00008BD60000}"/>
    <cellStyle name="Normal 40 5 11" xfId="54930" xr:uid="{00000000-0005-0000-0000-00008CD60000}"/>
    <cellStyle name="Normal 40 5 11 2" xfId="54931" xr:uid="{00000000-0005-0000-0000-00008DD60000}"/>
    <cellStyle name="Normal 40 5 11 3" xfId="54932" xr:uid="{00000000-0005-0000-0000-00008ED60000}"/>
    <cellStyle name="Normal 40 5 12" xfId="54933" xr:uid="{00000000-0005-0000-0000-00008FD60000}"/>
    <cellStyle name="Normal 40 5 12 2" xfId="54934" xr:uid="{00000000-0005-0000-0000-000090D60000}"/>
    <cellStyle name="Normal 40 5 12 3" xfId="54935" xr:uid="{00000000-0005-0000-0000-000091D60000}"/>
    <cellStyle name="Normal 40 5 13" xfId="54936" xr:uid="{00000000-0005-0000-0000-000092D60000}"/>
    <cellStyle name="Normal 40 5 13 2" xfId="54937" xr:uid="{00000000-0005-0000-0000-000093D60000}"/>
    <cellStyle name="Normal 40 5 13 3" xfId="54938" xr:uid="{00000000-0005-0000-0000-000094D60000}"/>
    <cellStyle name="Normal 40 5 14" xfId="54939" xr:uid="{00000000-0005-0000-0000-000095D60000}"/>
    <cellStyle name="Normal 40 5 14 2" xfId="54940" xr:uid="{00000000-0005-0000-0000-000096D60000}"/>
    <cellStyle name="Normal 40 5 14 3" xfId="54941" xr:uid="{00000000-0005-0000-0000-000097D60000}"/>
    <cellStyle name="Normal 40 5 15" xfId="54942" xr:uid="{00000000-0005-0000-0000-000098D60000}"/>
    <cellStyle name="Normal 40 5 15 2" xfId="54943" xr:uid="{00000000-0005-0000-0000-000099D60000}"/>
    <cellStyle name="Normal 40 5 15 3" xfId="54944" xr:uid="{00000000-0005-0000-0000-00009AD60000}"/>
    <cellStyle name="Normal 40 5 16" xfId="54945" xr:uid="{00000000-0005-0000-0000-00009BD60000}"/>
    <cellStyle name="Normal 40 5 17" xfId="54946" xr:uid="{00000000-0005-0000-0000-00009CD60000}"/>
    <cellStyle name="Normal 40 5 18" xfId="54947" xr:uid="{00000000-0005-0000-0000-00009DD60000}"/>
    <cellStyle name="Normal 40 5 19" xfId="54948" xr:uid="{00000000-0005-0000-0000-00009ED60000}"/>
    <cellStyle name="Normal 40 5 2" xfId="54949" xr:uid="{00000000-0005-0000-0000-00009FD60000}"/>
    <cellStyle name="Normal 40 5 2 10" xfId="54950" xr:uid="{00000000-0005-0000-0000-0000A0D60000}"/>
    <cellStyle name="Normal 40 5 2 10 2" xfId="54951" xr:uid="{00000000-0005-0000-0000-0000A1D60000}"/>
    <cellStyle name="Normal 40 5 2 10 3" xfId="54952" xr:uid="{00000000-0005-0000-0000-0000A2D60000}"/>
    <cellStyle name="Normal 40 5 2 11" xfId="54953" xr:uid="{00000000-0005-0000-0000-0000A3D60000}"/>
    <cellStyle name="Normal 40 5 2 11 2" xfId="54954" xr:uid="{00000000-0005-0000-0000-0000A4D60000}"/>
    <cellStyle name="Normal 40 5 2 11 3" xfId="54955" xr:uid="{00000000-0005-0000-0000-0000A5D60000}"/>
    <cellStyle name="Normal 40 5 2 12" xfId="54956" xr:uid="{00000000-0005-0000-0000-0000A6D60000}"/>
    <cellStyle name="Normal 40 5 2 12 2" xfId="54957" xr:uid="{00000000-0005-0000-0000-0000A7D60000}"/>
    <cellStyle name="Normal 40 5 2 12 3" xfId="54958" xr:uid="{00000000-0005-0000-0000-0000A8D60000}"/>
    <cellStyle name="Normal 40 5 2 13" xfId="54959" xr:uid="{00000000-0005-0000-0000-0000A9D60000}"/>
    <cellStyle name="Normal 40 5 2 13 2" xfId="54960" xr:uid="{00000000-0005-0000-0000-0000AAD60000}"/>
    <cellStyle name="Normal 40 5 2 13 3" xfId="54961" xr:uid="{00000000-0005-0000-0000-0000ABD60000}"/>
    <cellStyle name="Normal 40 5 2 14" xfId="54962" xr:uid="{00000000-0005-0000-0000-0000ACD60000}"/>
    <cellStyle name="Normal 40 5 2 14 2" xfId="54963" xr:uid="{00000000-0005-0000-0000-0000ADD60000}"/>
    <cellStyle name="Normal 40 5 2 14 3" xfId="54964" xr:uid="{00000000-0005-0000-0000-0000AED60000}"/>
    <cellStyle name="Normal 40 5 2 15" xfId="54965" xr:uid="{00000000-0005-0000-0000-0000AFD60000}"/>
    <cellStyle name="Normal 40 5 2 16" xfId="54966" xr:uid="{00000000-0005-0000-0000-0000B0D60000}"/>
    <cellStyle name="Normal 40 5 2 2" xfId="54967" xr:uid="{00000000-0005-0000-0000-0000B1D60000}"/>
    <cellStyle name="Normal 40 5 2 2 2" xfId="54968" xr:uid="{00000000-0005-0000-0000-0000B2D60000}"/>
    <cellStyle name="Normal 40 5 2 2 3" xfId="54969" xr:uid="{00000000-0005-0000-0000-0000B3D60000}"/>
    <cellStyle name="Normal 40 5 2 3" xfId="54970" xr:uid="{00000000-0005-0000-0000-0000B4D60000}"/>
    <cellStyle name="Normal 40 5 2 3 2" xfId="54971" xr:uid="{00000000-0005-0000-0000-0000B5D60000}"/>
    <cellStyle name="Normal 40 5 2 3 3" xfId="54972" xr:uid="{00000000-0005-0000-0000-0000B6D60000}"/>
    <cellStyle name="Normal 40 5 2 4" xfId="54973" xr:uid="{00000000-0005-0000-0000-0000B7D60000}"/>
    <cellStyle name="Normal 40 5 2 4 2" xfId="54974" xr:uid="{00000000-0005-0000-0000-0000B8D60000}"/>
    <cellStyle name="Normal 40 5 2 4 3" xfId="54975" xr:uid="{00000000-0005-0000-0000-0000B9D60000}"/>
    <cellStyle name="Normal 40 5 2 5" xfId="54976" xr:uid="{00000000-0005-0000-0000-0000BAD60000}"/>
    <cellStyle name="Normal 40 5 2 5 2" xfId="54977" xr:uid="{00000000-0005-0000-0000-0000BBD60000}"/>
    <cellStyle name="Normal 40 5 2 5 3" xfId="54978" xr:uid="{00000000-0005-0000-0000-0000BCD60000}"/>
    <cellStyle name="Normal 40 5 2 6" xfId="54979" xr:uid="{00000000-0005-0000-0000-0000BDD60000}"/>
    <cellStyle name="Normal 40 5 2 6 2" xfId="54980" xr:uid="{00000000-0005-0000-0000-0000BED60000}"/>
    <cellStyle name="Normal 40 5 2 6 3" xfId="54981" xr:uid="{00000000-0005-0000-0000-0000BFD60000}"/>
    <cellStyle name="Normal 40 5 2 7" xfId="54982" xr:uid="{00000000-0005-0000-0000-0000C0D60000}"/>
    <cellStyle name="Normal 40 5 2 7 2" xfId="54983" xr:uid="{00000000-0005-0000-0000-0000C1D60000}"/>
    <cellStyle name="Normal 40 5 2 7 3" xfId="54984" xr:uid="{00000000-0005-0000-0000-0000C2D60000}"/>
    <cellStyle name="Normal 40 5 2 8" xfId="54985" xr:uid="{00000000-0005-0000-0000-0000C3D60000}"/>
    <cellStyle name="Normal 40 5 2 8 2" xfId="54986" xr:uid="{00000000-0005-0000-0000-0000C4D60000}"/>
    <cellStyle name="Normal 40 5 2 8 3" xfId="54987" xr:uid="{00000000-0005-0000-0000-0000C5D60000}"/>
    <cellStyle name="Normal 40 5 2 9" xfId="54988" xr:uid="{00000000-0005-0000-0000-0000C6D60000}"/>
    <cellStyle name="Normal 40 5 2 9 2" xfId="54989" xr:uid="{00000000-0005-0000-0000-0000C7D60000}"/>
    <cellStyle name="Normal 40 5 2 9 3" xfId="54990" xr:uid="{00000000-0005-0000-0000-0000C8D60000}"/>
    <cellStyle name="Normal 40 5 20" xfId="54991" xr:uid="{00000000-0005-0000-0000-0000C9D60000}"/>
    <cellStyle name="Normal 40 5 21" xfId="54992" xr:uid="{00000000-0005-0000-0000-0000CAD60000}"/>
    <cellStyle name="Normal 40 5 22" xfId="54993" xr:uid="{00000000-0005-0000-0000-0000CBD60000}"/>
    <cellStyle name="Normal 40 5 23" xfId="54994" xr:uid="{00000000-0005-0000-0000-0000CCD60000}"/>
    <cellStyle name="Normal 40 5 24" xfId="54995" xr:uid="{00000000-0005-0000-0000-0000CDD60000}"/>
    <cellStyle name="Normal 40 5 25" xfId="54996" xr:uid="{00000000-0005-0000-0000-0000CED60000}"/>
    <cellStyle name="Normal 40 5 26" xfId="54997" xr:uid="{00000000-0005-0000-0000-0000CFD60000}"/>
    <cellStyle name="Normal 40 5 27" xfId="54998" xr:uid="{00000000-0005-0000-0000-0000D0D60000}"/>
    <cellStyle name="Normal 40 5 28" xfId="54999" xr:uid="{00000000-0005-0000-0000-0000D1D60000}"/>
    <cellStyle name="Normal 40 5 3" xfId="55000" xr:uid="{00000000-0005-0000-0000-0000D2D60000}"/>
    <cellStyle name="Normal 40 5 3 2" xfId="55001" xr:uid="{00000000-0005-0000-0000-0000D3D60000}"/>
    <cellStyle name="Normal 40 5 3 3" xfId="55002" xr:uid="{00000000-0005-0000-0000-0000D4D60000}"/>
    <cellStyle name="Normal 40 5 4" xfId="55003" xr:uid="{00000000-0005-0000-0000-0000D5D60000}"/>
    <cellStyle name="Normal 40 5 4 2" xfId="55004" xr:uid="{00000000-0005-0000-0000-0000D6D60000}"/>
    <cellStyle name="Normal 40 5 4 3" xfId="55005" xr:uid="{00000000-0005-0000-0000-0000D7D60000}"/>
    <cellStyle name="Normal 40 5 5" xfId="55006" xr:uid="{00000000-0005-0000-0000-0000D8D60000}"/>
    <cellStyle name="Normal 40 5 5 2" xfId="55007" xr:uid="{00000000-0005-0000-0000-0000D9D60000}"/>
    <cellStyle name="Normal 40 5 5 3" xfId="55008" xr:uid="{00000000-0005-0000-0000-0000DAD60000}"/>
    <cellStyle name="Normal 40 5 6" xfId="55009" xr:uid="{00000000-0005-0000-0000-0000DBD60000}"/>
    <cellStyle name="Normal 40 5 6 2" xfId="55010" xr:uid="{00000000-0005-0000-0000-0000DCD60000}"/>
    <cellStyle name="Normal 40 5 6 3" xfId="55011" xr:uid="{00000000-0005-0000-0000-0000DDD60000}"/>
    <cellStyle name="Normal 40 5 7" xfId="55012" xr:uid="{00000000-0005-0000-0000-0000DED60000}"/>
    <cellStyle name="Normal 40 5 7 2" xfId="55013" xr:uid="{00000000-0005-0000-0000-0000DFD60000}"/>
    <cellStyle name="Normal 40 5 7 3" xfId="55014" xr:uid="{00000000-0005-0000-0000-0000E0D60000}"/>
    <cellStyle name="Normal 40 5 8" xfId="55015" xr:uid="{00000000-0005-0000-0000-0000E1D60000}"/>
    <cellStyle name="Normal 40 5 8 2" xfId="55016" xr:uid="{00000000-0005-0000-0000-0000E2D60000}"/>
    <cellStyle name="Normal 40 5 8 3" xfId="55017" xr:uid="{00000000-0005-0000-0000-0000E3D60000}"/>
    <cellStyle name="Normal 40 5 9" xfId="55018" xr:uid="{00000000-0005-0000-0000-0000E4D60000}"/>
    <cellStyle name="Normal 40 5 9 2" xfId="55019" xr:uid="{00000000-0005-0000-0000-0000E5D60000}"/>
    <cellStyle name="Normal 40 5 9 3" xfId="55020" xr:uid="{00000000-0005-0000-0000-0000E6D60000}"/>
    <cellStyle name="Normal 40 6" xfId="55021" xr:uid="{00000000-0005-0000-0000-0000E7D60000}"/>
    <cellStyle name="Normal 40 6 10" xfId="55022" xr:uid="{00000000-0005-0000-0000-0000E8D60000}"/>
    <cellStyle name="Normal 40 6 10 2" xfId="55023" xr:uid="{00000000-0005-0000-0000-0000E9D60000}"/>
    <cellStyle name="Normal 40 6 10 3" xfId="55024" xr:uid="{00000000-0005-0000-0000-0000EAD60000}"/>
    <cellStyle name="Normal 40 6 11" xfId="55025" xr:uid="{00000000-0005-0000-0000-0000EBD60000}"/>
    <cellStyle name="Normal 40 6 11 2" xfId="55026" xr:uid="{00000000-0005-0000-0000-0000ECD60000}"/>
    <cellStyle name="Normal 40 6 11 3" xfId="55027" xr:uid="{00000000-0005-0000-0000-0000EDD60000}"/>
    <cellStyle name="Normal 40 6 12" xfId="55028" xr:uid="{00000000-0005-0000-0000-0000EED60000}"/>
    <cellStyle name="Normal 40 6 12 2" xfId="55029" xr:uid="{00000000-0005-0000-0000-0000EFD60000}"/>
    <cellStyle name="Normal 40 6 12 3" xfId="55030" xr:uid="{00000000-0005-0000-0000-0000F0D60000}"/>
    <cellStyle name="Normal 40 6 13" xfId="55031" xr:uid="{00000000-0005-0000-0000-0000F1D60000}"/>
    <cellStyle name="Normal 40 6 13 2" xfId="55032" xr:uid="{00000000-0005-0000-0000-0000F2D60000}"/>
    <cellStyle name="Normal 40 6 13 3" xfId="55033" xr:uid="{00000000-0005-0000-0000-0000F3D60000}"/>
    <cellStyle name="Normal 40 6 14" xfId="55034" xr:uid="{00000000-0005-0000-0000-0000F4D60000}"/>
    <cellStyle name="Normal 40 6 14 2" xfId="55035" xr:uid="{00000000-0005-0000-0000-0000F5D60000}"/>
    <cellStyle name="Normal 40 6 14 3" xfId="55036" xr:uid="{00000000-0005-0000-0000-0000F6D60000}"/>
    <cellStyle name="Normal 40 6 15" xfId="55037" xr:uid="{00000000-0005-0000-0000-0000F7D60000}"/>
    <cellStyle name="Normal 40 6 15 2" xfId="55038" xr:uid="{00000000-0005-0000-0000-0000F8D60000}"/>
    <cellStyle name="Normal 40 6 15 3" xfId="55039" xr:uid="{00000000-0005-0000-0000-0000F9D60000}"/>
    <cellStyle name="Normal 40 6 16" xfId="55040" xr:uid="{00000000-0005-0000-0000-0000FAD60000}"/>
    <cellStyle name="Normal 40 6 17" xfId="55041" xr:uid="{00000000-0005-0000-0000-0000FBD60000}"/>
    <cellStyle name="Normal 40 6 18" xfId="55042" xr:uid="{00000000-0005-0000-0000-0000FCD60000}"/>
    <cellStyle name="Normal 40 6 19" xfId="55043" xr:uid="{00000000-0005-0000-0000-0000FDD60000}"/>
    <cellStyle name="Normal 40 6 2" xfId="55044" xr:uid="{00000000-0005-0000-0000-0000FED60000}"/>
    <cellStyle name="Normal 40 6 2 10" xfId="55045" xr:uid="{00000000-0005-0000-0000-0000FFD60000}"/>
    <cellStyle name="Normal 40 6 2 10 2" xfId="55046" xr:uid="{00000000-0005-0000-0000-000000D70000}"/>
    <cellStyle name="Normal 40 6 2 10 3" xfId="55047" xr:uid="{00000000-0005-0000-0000-000001D70000}"/>
    <cellStyle name="Normal 40 6 2 11" xfId="55048" xr:uid="{00000000-0005-0000-0000-000002D70000}"/>
    <cellStyle name="Normal 40 6 2 11 2" xfId="55049" xr:uid="{00000000-0005-0000-0000-000003D70000}"/>
    <cellStyle name="Normal 40 6 2 11 3" xfId="55050" xr:uid="{00000000-0005-0000-0000-000004D70000}"/>
    <cellStyle name="Normal 40 6 2 12" xfId="55051" xr:uid="{00000000-0005-0000-0000-000005D70000}"/>
    <cellStyle name="Normal 40 6 2 12 2" xfId="55052" xr:uid="{00000000-0005-0000-0000-000006D70000}"/>
    <cellStyle name="Normal 40 6 2 12 3" xfId="55053" xr:uid="{00000000-0005-0000-0000-000007D70000}"/>
    <cellStyle name="Normal 40 6 2 13" xfId="55054" xr:uid="{00000000-0005-0000-0000-000008D70000}"/>
    <cellStyle name="Normal 40 6 2 13 2" xfId="55055" xr:uid="{00000000-0005-0000-0000-000009D70000}"/>
    <cellStyle name="Normal 40 6 2 13 3" xfId="55056" xr:uid="{00000000-0005-0000-0000-00000AD70000}"/>
    <cellStyle name="Normal 40 6 2 14" xfId="55057" xr:uid="{00000000-0005-0000-0000-00000BD70000}"/>
    <cellStyle name="Normal 40 6 2 14 2" xfId="55058" xr:uid="{00000000-0005-0000-0000-00000CD70000}"/>
    <cellStyle name="Normal 40 6 2 14 3" xfId="55059" xr:uid="{00000000-0005-0000-0000-00000DD70000}"/>
    <cellStyle name="Normal 40 6 2 15" xfId="55060" xr:uid="{00000000-0005-0000-0000-00000ED70000}"/>
    <cellStyle name="Normal 40 6 2 16" xfId="55061" xr:uid="{00000000-0005-0000-0000-00000FD70000}"/>
    <cellStyle name="Normal 40 6 2 2" xfId="55062" xr:uid="{00000000-0005-0000-0000-000010D70000}"/>
    <cellStyle name="Normal 40 6 2 2 2" xfId="55063" xr:uid="{00000000-0005-0000-0000-000011D70000}"/>
    <cellStyle name="Normal 40 6 2 2 3" xfId="55064" xr:uid="{00000000-0005-0000-0000-000012D70000}"/>
    <cellStyle name="Normal 40 6 2 3" xfId="55065" xr:uid="{00000000-0005-0000-0000-000013D70000}"/>
    <cellStyle name="Normal 40 6 2 3 2" xfId="55066" xr:uid="{00000000-0005-0000-0000-000014D70000}"/>
    <cellStyle name="Normal 40 6 2 3 3" xfId="55067" xr:uid="{00000000-0005-0000-0000-000015D70000}"/>
    <cellStyle name="Normal 40 6 2 4" xfId="55068" xr:uid="{00000000-0005-0000-0000-000016D70000}"/>
    <cellStyle name="Normal 40 6 2 4 2" xfId="55069" xr:uid="{00000000-0005-0000-0000-000017D70000}"/>
    <cellStyle name="Normal 40 6 2 4 3" xfId="55070" xr:uid="{00000000-0005-0000-0000-000018D70000}"/>
    <cellStyle name="Normal 40 6 2 5" xfId="55071" xr:uid="{00000000-0005-0000-0000-000019D70000}"/>
    <cellStyle name="Normal 40 6 2 5 2" xfId="55072" xr:uid="{00000000-0005-0000-0000-00001AD70000}"/>
    <cellStyle name="Normal 40 6 2 5 3" xfId="55073" xr:uid="{00000000-0005-0000-0000-00001BD70000}"/>
    <cellStyle name="Normal 40 6 2 6" xfId="55074" xr:uid="{00000000-0005-0000-0000-00001CD70000}"/>
    <cellStyle name="Normal 40 6 2 6 2" xfId="55075" xr:uid="{00000000-0005-0000-0000-00001DD70000}"/>
    <cellStyle name="Normal 40 6 2 6 3" xfId="55076" xr:uid="{00000000-0005-0000-0000-00001ED70000}"/>
    <cellStyle name="Normal 40 6 2 7" xfId="55077" xr:uid="{00000000-0005-0000-0000-00001FD70000}"/>
    <cellStyle name="Normal 40 6 2 7 2" xfId="55078" xr:uid="{00000000-0005-0000-0000-000020D70000}"/>
    <cellStyle name="Normal 40 6 2 7 3" xfId="55079" xr:uid="{00000000-0005-0000-0000-000021D70000}"/>
    <cellStyle name="Normal 40 6 2 8" xfId="55080" xr:uid="{00000000-0005-0000-0000-000022D70000}"/>
    <cellStyle name="Normal 40 6 2 8 2" xfId="55081" xr:uid="{00000000-0005-0000-0000-000023D70000}"/>
    <cellStyle name="Normal 40 6 2 8 3" xfId="55082" xr:uid="{00000000-0005-0000-0000-000024D70000}"/>
    <cellStyle name="Normal 40 6 2 9" xfId="55083" xr:uid="{00000000-0005-0000-0000-000025D70000}"/>
    <cellStyle name="Normal 40 6 2 9 2" xfId="55084" xr:uid="{00000000-0005-0000-0000-000026D70000}"/>
    <cellStyle name="Normal 40 6 2 9 3" xfId="55085" xr:uid="{00000000-0005-0000-0000-000027D70000}"/>
    <cellStyle name="Normal 40 6 20" xfId="55086" xr:uid="{00000000-0005-0000-0000-000028D70000}"/>
    <cellStyle name="Normal 40 6 21" xfId="55087" xr:uid="{00000000-0005-0000-0000-000029D70000}"/>
    <cellStyle name="Normal 40 6 22" xfId="55088" xr:uid="{00000000-0005-0000-0000-00002AD70000}"/>
    <cellStyle name="Normal 40 6 23" xfId="55089" xr:uid="{00000000-0005-0000-0000-00002BD70000}"/>
    <cellStyle name="Normal 40 6 24" xfId="55090" xr:uid="{00000000-0005-0000-0000-00002CD70000}"/>
    <cellStyle name="Normal 40 6 25" xfId="55091" xr:uid="{00000000-0005-0000-0000-00002DD70000}"/>
    <cellStyle name="Normal 40 6 26" xfId="55092" xr:uid="{00000000-0005-0000-0000-00002ED70000}"/>
    <cellStyle name="Normal 40 6 27" xfId="55093" xr:uid="{00000000-0005-0000-0000-00002FD70000}"/>
    <cellStyle name="Normal 40 6 28" xfId="55094" xr:uid="{00000000-0005-0000-0000-000030D70000}"/>
    <cellStyle name="Normal 40 6 3" xfId="55095" xr:uid="{00000000-0005-0000-0000-000031D70000}"/>
    <cellStyle name="Normal 40 6 3 2" xfId="55096" xr:uid="{00000000-0005-0000-0000-000032D70000}"/>
    <cellStyle name="Normal 40 6 3 3" xfId="55097" xr:uid="{00000000-0005-0000-0000-000033D70000}"/>
    <cellStyle name="Normal 40 6 4" xfId="55098" xr:uid="{00000000-0005-0000-0000-000034D70000}"/>
    <cellStyle name="Normal 40 6 4 2" xfId="55099" xr:uid="{00000000-0005-0000-0000-000035D70000}"/>
    <cellStyle name="Normal 40 6 4 3" xfId="55100" xr:uid="{00000000-0005-0000-0000-000036D70000}"/>
    <cellStyle name="Normal 40 6 5" xfId="55101" xr:uid="{00000000-0005-0000-0000-000037D70000}"/>
    <cellStyle name="Normal 40 6 5 2" xfId="55102" xr:uid="{00000000-0005-0000-0000-000038D70000}"/>
    <cellStyle name="Normal 40 6 5 3" xfId="55103" xr:uid="{00000000-0005-0000-0000-000039D70000}"/>
    <cellStyle name="Normal 40 6 6" xfId="55104" xr:uid="{00000000-0005-0000-0000-00003AD70000}"/>
    <cellStyle name="Normal 40 6 6 2" xfId="55105" xr:uid="{00000000-0005-0000-0000-00003BD70000}"/>
    <cellStyle name="Normal 40 6 6 3" xfId="55106" xr:uid="{00000000-0005-0000-0000-00003CD70000}"/>
    <cellStyle name="Normal 40 6 7" xfId="55107" xr:uid="{00000000-0005-0000-0000-00003DD70000}"/>
    <cellStyle name="Normal 40 6 7 2" xfId="55108" xr:uid="{00000000-0005-0000-0000-00003ED70000}"/>
    <cellStyle name="Normal 40 6 7 3" xfId="55109" xr:uid="{00000000-0005-0000-0000-00003FD70000}"/>
    <cellStyle name="Normal 40 6 8" xfId="55110" xr:uid="{00000000-0005-0000-0000-000040D70000}"/>
    <cellStyle name="Normal 40 6 8 2" xfId="55111" xr:uid="{00000000-0005-0000-0000-000041D70000}"/>
    <cellStyle name="Normal 40 6 8 3" xfId="55112" xr:uid="{00000000-0005-0000-0000-000042D70000}"/>
    <cellStyle name="Normal 40 6 9" xfId="55113" xr:uid="{00000000-0005-0000-0000-000043D70000}"/>
    <cellStyle name="Normal 40 6 9 2" xfId="55114" xr:uid="{00000000-0005-0000-0000-000044D70000}"/>
    <cellStyle name="Normal 40 6 9 3" xfId="55115" xr:uid="{00000000-0005-0000-0000-000045D70000}"/>
    <cellStyle name="Normal 40 7" xfId="55116" xr:uid="{00000000-0005-0000-0000-000046D70000}"/>
    <cellStyle name="Normal 40 7 10" xfId="55117" xr:uid="{00000000-0005-0000-0000-000047D70000}"/>
    <cellStyle name="Normal 40 7 10 2" xfId="55118" xr:uid="{00000000-0005-0000-0000-000048D70000}"/>
    <cellStyle name="Normal 40 7 10 3" xfId="55119" xr:uid="{00000000-0005-0000-0000-000049D70000}"/>
    <cellStyle name="Normal 40 7 11" xfId="55120" xr:uid="{00000000-0005-0000-0000-00004AD70000}"/>
    <cellStyle name="Normal 40 7 11 2" xfId="55121" xr:uid="{00000000-0005-0000-0000-00004BD70000}"/>
    <cellStyle name="Normal 40 7 11 3" xfId="55122" xr:uid="{00000000-0005-0000-0000-00004CD70000}"/>
    <cellStyle name="Normal 40 7 12" xfId="55123" xr:uid="{00000000-0005-0000-0000-00004DD70000}"/>
    <cellStyle name="Normal 40 7 12 2" xfId="55124" xr:uid="{00000000-0005-0000-0000-00004ED70000}"/>
    <cellStyle name="Normal 40 7 12 3" xfId="55125" xr:uid="{00000000-0005-0000-0000-00004FD70000}"/>
    <cellStyle name="Normal 40 7 13" xfId="55126" xr:uid="{00000000-0005-0000-0000-000050D70000}"/>
    <cellStyle name="Normal 40 7 13 2" xfId="55127" xr:uid="{00000000-0005-0000-0000-000051D70000}"/>
    <cellStyle name="Normal 40 7 13 3" xfId="55128" xr:uid="{00000000-0005-0000-0000-000052D70000}"/>
    <cellStyle name="Normal 40 7 14" xfId="55129" xr:uid="{00000000-0005-0000-0000-000053D70000}"/>
    <cellStyle name="Normal 40 7 14 2" xfId="55130" xr:uid="{00000000-0005-0000-0000-000054D70000}"/>
    <cellStyle name="Normal 40 7 14 3" xfId="55131" xr:uid="{00000000-0005-0000-0000-000055D70000}"/>
    <cellStyle name="Normal 40 7 15" xfId="55132" xr:uid="{00000000-0005-0000-0000-000056D70000}"/>
    <cellStyle name="Normal 40 7 16" xfId="55133" xr:uid="{00000000-0005-0000-0000-000057D70000}"/>
    <cellStyle name="Normal 40 7 2" xfId="55134" xr:uid="{00000000-0005-0000-0000-000058D70000}"/>
    <cellStyle name="Normal 40 7 2 2" xfId="55135" xr:uid="{00000000-0005-0000-0000-000059D70000}"/>
    <cellStyle name="Normal 40 7 2 3" xfId="55136" xr:uid="{00000000-0005-0000-0000-00005AD70000}"/>
    <cellStyle name="Normal 40 7 3" xfId="55137" xr:uid="{00000000-0005-0000-0000-00005BD70000}"/>
    <cellStyle name="Normal 40 7 3 2" xfId="55138" xr:uid="{00000000-0005-0000-0000-00005CD70000}"/>
    <cellStyle name="Normal 40 7 3 3" xfId="55139" xr:uid="{00000000-0005-0000-0000-00005DD70000}"/>
    <cellStyle name="Normal 40 7 4" xfId="55140" xr:uid="{00000000-0005-0000-0000-00005ED70000}"/>
    <cellStyle name="Normal 40 7 4 2" xfId="55141" xr:uid="{00000000-0005-0000-0000-00005FD70000}"/>
    <cellStyle name="Normal 40 7 4 3" xfId="55142" xr:uid="{00000000-0005-0000-0000-000060D70000}"/>
    <cellStyle name="Normal 40 7 5" xfId="55143" xr:uid="{00000000-0005-0000-0000-000061D70000}"/>
    <cellStyle name="Normal 40 7 5 2" xfId="55144" xr:uid="{00000000-0005-0000-0000-000062D70000}"/>
    <cellStyle name="Normal 40 7 5 3" xfId="55145" xr:uid="{00000000-0005-0000-0000-000063D70000}"/>
    <cellStyle name="Normal 40 7 6" xfId="55146" xr:uid="{00000000-0005-0000-0000-000064D70000}"/>
    <cellStyle name="Normal 40 7 6 2" xfId="55147" xr:uid="{00000000-0005-0000-0000-000065D70000}"/>
    <cellStyle name="Normal 40 7 6 3" xfId="55148" xr:uid="{00000000-0005-0000-0000-000066D70000}"/>
    <cellStyle name="Normal 40 7 7" xfId="55149" xr:uid="{00000000-0005-0000-0000-000067D70000}"/>
    <cellStyle name="Normal 40 7 7 2" xfId="55150" xr:uid="{00000000-0005-0000-0000-000068D70000}"/>
    <cellStyle name="Normal 40 7 7 3" xfId="55151" xr:uid="{00000000-0005-0000-0000-000069D70000}"/>
    <cellStyle name="Normal 40 7 8" xfId="55152" xr:uid="{00000000-0005-0000-0000-00006AD70000}"/>
    <cellStyle name="Normal 40 7 8 2" xfId="55153" xr:uid="{00000000-0005-0000-0000-00006BD70000}"/>
    <cellStyle name="Normal 40 7 8 3" xfId="55154" xr:uid="{00000000-0005-0000-0000-00006CD70000}"/>
    <cellStyle name="Normal 40 7 9" xfId="55155" xr:uid="{00000000-0005-0000-0000-00006DD70000}"/>
    <cellStyle name="Normal 40 7 9 2" xfId="55156" xr:uid="{00000000-0005-0000-0000-00006ED70000}"/>
    <cellStyle name="Normal 40 7 9 3" xfId="55157" xr:uid="{00000000-0005-0000-0000-00006FD70000}"/>
    <cellStyle name="Normal 40 8" xfId="55158" xr:uid="{00000000-0005-0000-0000-000070D70000}"/>
    <cellStyle name="Normal 40 8 10" xfId="55159" xr:uid="{00000000-0005-0000-0000-000071D70000}"/>
    <cellStyle name="Normal 40 8 10 2" xfId="55160" xr:uid="{00000000-0005-0000-0000-000072D70000}"/>
    <cellStyle name="Normal 40 8 10 3" xfId="55161" xr:uid="{00000000-0005-0000-0000-000073D70000}"/>
    <cellStyle name="Normal 40 8 11" xfId="55162" xr:uid="{00000000-0005-0000-0000-000074D70000}"/>
    <cellStyle name="Normal 40 8 11 2" xfId="55163" xr:uid="{00000000-0005-0000-0000-000075D70000}"/>
    <cellStyle name="Normal 40 8 11 3" xfId="55164" xr:uid="{00000000-0005-0000-0000-000076D70000}"/>
    <cellStyle name="Normal 40 8 12" xfId="55165" xr:uid="{00000000-0005-0000-0000-000077D70000}"/>
    <cellStyle name="Normal 40 8 12 2" xfId="55166" xr:uid="{00000000-0005-0000-0000-000078D70000}"/>
    <cellStyle name="Normal 40 8 12 3" xfId="55167" xr:uid="{00000000-0005-0000-0000-000079D70000}"/>
    <cellStyle name="Normal 40 8 13" xfId="55168" xr:uid="{00000000-0005-0000-0000-00007AD70000}"/>
    <cellStyle name="Normal 40 8 13 2" xfId="55169" xr:uid="{00000000-0005-0000-0000-00007BD70000}"/>
    <cellStyle name="Normal 40 8 13 3" xfId="55170" xr:uid="{00000000-0005-0000-0000-00007CD70000}"/>
    <cellStyle name="Normal 40 8 14" xfId="55171" xr:uid="{00000000-0005-0000-0000-00007DD70000}"/>
    <cellStyle name="Normal 40 8 14 2" xfId="55172" xr:uid="{00000000-0005-0000-0000-00007ED70000}"/>
    <cellStyle name="Normal 40 8 14 3" xfId="55173" xr:uid="{00000000-0005-0000-0000-00007FD70000}"/>
    <cellStyle name="Normal 40 8 15" xfId="55174" xr:uid="{00000000-0005-0000-0000-000080D70000}"/>
    <cellStyle name="Normal 40 8 16" xfId="55175" xr:uid="{00000000-0005-0000-0000-000081D70000}"/>
    <cellStyle name="Normal 40 8 2" xfId="55176" xr:uid="{00000000-0005-0000-0000-000082D70000}"/>
    <cellStyle name="Normal 40 8 2 2" xfId="55177" xr:uid="{00000000-0005-0000-0000-000083D70000}"/>
    <cellStyle name="Normal 40 8 2 3" xfId="55178" xr:uid="{00000000-0005-0000-0000-000084D70000}"/>
    <cellStyle name="Normal 40 8 3" xfId="55179" xr:uid="{00000000-0005-0000-0000-000085D70000}"/>
    <cellStyle name="Normal 40 8 3 2" xfId="55180" xr:uid="{00000000-0005-0000-0000-000086D70000}"/>
    <cellStyle name="Normal 40 8 3 3" xfId="55181" xr:uid="{00000000-0005-0000-0000-000087D70000}"/>
    <cellStyle name="Normal 40 8 4" xfId="55182" xr:uid="{00000000-0005-0000-0000-000088D70000}"/>
    <cellStyle name="Normal 40 8 4 2" xfId="55183" xr:uid="{00000000-0005-0000-0000-000089D70000}"/>
    <cellStyle name="Normal 40 8 4 3" xfId="55184" xr:uid="{00000000-0005-0000-0000-00008AD70000}"/>
    <cellStyle name="Normal 40 8 5" xfId="55185" xr:uid="{00000000-0005-0000-0000-00008BD70000}"/>
    <cellStyle name="Normal 40 8 5 2" xfId="55186" xr:uid="{00000000-0005-0000-0000-00008CD70000}"/>
    <cellStyle name="Normal 40 8 5 3" xfId="55187" xr:uid="{00000000-0005-0000-0000-00008DD70000}"/>
    <cellStyle name="Normal 40 8 6" xfId="55188" xr:uid="{00000000-0005-0000-0000-00008ED70000}"/>
    <cellStyle name="Normal 40 8 6 2" xfId="55189" xr:uid="{00000000-0005-0000-0000-00008FD70000}"/>
    <cellStyle name="Normal 40 8 6 3" xfId="55190" xr:uid="{00000000-0005-0000-0000-000090D70000}"/>
    <cellStyle name="Normal 40 8 7" xfId="55191" xr:uid="{00000000-0005-0000-0000-000091D70000}"/>
    <cellStyle name="Normal 40 8 7 2" xfId="55192" xr:uid="{00000000-0005-0000-0000-000092D70000}"/>
    <cellStyle name="Normal 40 8 7 3" xfId="55193" xr:uid="{00000000-0005-0000-0000-000093D70000}"/>
    <cellStyle name="Normal 40 8 8" xfId="55194" xr:uid="{00000000-0005-0000-0000-000094D70000}"/>
    <cellStyle name="Normal 40 8 8 2" xfId="55195" xr:uid="{00000000-0005-0000-0000-000095D70000}"/>
    <cellStyle name="Normal 40 8 8 3" xfId="55196" xr:uid="{00000000-0005-0000-0000-000096D70000}"/>
    <cellStyle name="Normal 40 8 9" xfId="55197" xr:uid="{00000000-0005-0000-0000-000097D70000}"/>
    <cellStyle name="Normal 40 8 9 2" xfId="55198" xr:uid="{00000000-0005-0000-0000-000098D70000}"/>
    <cellStyle name="Normal 40 8 9 3" xfId="55199" xr:uid="{00000000-0005-0000-0000-000099D70000}"/>
    <cellStyle name="Normal 40 9" xfId="55200" xr:uid="{00000000-0005-0000-0000-00009AD70000}"/>
    <cellStyle name="Normal 40 9 10" xfId="55201" xr:uid="{00000000-0005-0000-0000-00009BD70000}"/>
    <cellStyle name="Normal 40 9 10 2" xfId="55202" xr:uid="{00000000-0005-0000-0000-00009CD70000}"/>
    <cellStyle name="Normal 40 9 10 3" xfId="55203" xr:uid="{00000000-0005-0000-0000-00009DD70000}"/>
    <cellStyle name="Normal 40 9 11" xfId="55204" xr:uid="{00000000-0005-0000-0000-00009ED70000}"/>
    <cellStyle name="Normal 40 9 11 2" xfId="55205" xr:uid="{00000000-0005-0000-0000-00009FD70000}"/>
    <cellStyle name="Normal 40 9 11 3" xfId="55206" xr:uid="{00000000-0005-0000-0000-0000A0D70000}"/>
    <cellStyle name="Normal 40 9 12" xfId="55207" xr:uid="{00000000-0005-0000-0000-0000A1D70000}"/>
    <cellStyle name="Normal 40 9 12 2" xfId="55208" xr:uid="{00000000-0005-0000-0000-0000A2D70000}"/>
    <cellStyle name="Normal 40 9 12 3" xfId="55209" xr:uid="{00000000-0005-0000-0000-0000A3D70000}"/>
    <cellStyle name="Normal 40 9 13" xfId="55210" xr:uid="{00000000-0005-0000-0000-0000A4D70000}"/>
    <cellStyle name="Normal 40 9 13 2" xfId="55211" xr:uid="{00000000-0005-0000-0000-0000A5D70000}"/>
    <cellStyle name="Normal 40 9 13 3" xfId="55212" xr:uid="{00000000-0005-0000-0000-0000A6D70000}"/>
    <cellStyle name="Normal 40 9 14" xfId="55213" xr:uid="{00000000-0005-0000-0000-0000A7D70000}"/>
    <cellStyle name="Normal 40 9 14 2" xfId="55214" xr:uid="{00000000-0005-0000-0000-0000A8D70000}"/>
    <cellStyle name="Normal 40 9 14 3" xfId="55215" xr:uid="{00000000-0005-0000-0000-0000A9D70000}"/>
    <cellStyle name="Normal 40 9 15" xfId="55216" xr:uid="{00000000-0005-0000-0000-0000AAD70000}"/>
    <cellStyle name="Normal 40 9 16" xfId="55217" xr:uid="{00000000-0005-0000-0000-0000ABD70000}"/>
    <cellStyle name="Normal 40 9 2" xfId="55218" xr:uid="{00000000-0005-0000-0000-0000ACD70000}"/>
    <cellStyle name="Normal 40 9 2 2" xfId="55219" xr:uid="{00000000-0005-0000-0000-0000ADD70000}"/>
    <cellStyle name="Normal 40 9 2 3" xfId="55220" xr:uid="{00000000-0005-0000-0000-0000AED70000}"/>
    <cellStyle name="Normal 40 9 3" xfId="55221" xr:uid="{00000000-0005-0000-0000-0000AFD70000}"/>
    <cellStyle name="Normal 40 9 3 2" xfId="55222" xr:uid="{00000000-0005-0000-0000-0000B0D70000}"/>
    <cellStyle name="Normal 40 9 3 3" xfId="55223" xr:uid="{00000000-0005-0000-0000-0000B1D70000}"/>
    <cellStyle name="Normal 40 9 4" xfId="55224" xr:uid="{00000000-0005-0000-0000-0000B2D70000}"/>
    <cellStyle name="Normal 40 9 4 2" xfId="55225" xr:uid="{00000000-0005-0000-0000-0000B3D70000}"/>
    <cellStyle name="Normal 40 9 4 3" xfId="55226" xr:uid="{00000000-0005-0000-0000-0000B4D70000}"/>
    <cellStyle name="Normal 40 9 5" xfId="55227" xr:uid="{00000000-0005-0000-0000-0000B5D70000}"/>
    <cellStyle name="Normal 40 9 5 2" xfId="55228" xr:uid="{00000000-0005-0000-0000-0000B6D70000}"/>
    <cellStyle name="Normal 40 9 5 3" xfId="55229" xr:uid="{00000000-0005-0000-0000-0000B7D70000}"/>
    <cellStyle name="Normal 40 9 6" xfId="55230" xr:uid="{00000000-0005-0000-0000-0000B8D70000}"/>
    <cellStyle name="Normal 40 9 6 2" xfId="55231" xr:uid="{00000000-0005-0000-0000-0000B9D70000}"/>
    <cellStyle name="Normal 40 9 6 3" xfId="55232" xr:uid="{00000000-0005-0000-0000-0000BAD70000}"/>
    <cellStyle name="Normal 40 9 7" xfId="55233" xr:uid="{00000000-0005-0000-0000-0000BBD70000}"/>
    <cellStyle name="Normal 40 9 7 2" xfId="55234" xr:uid="{00000000-0005-0000-0000-0000BCD70000}"/>
    <cellStyle name="Normal 40 9 7 3" xfId="55235" xr:uid="{00000000-0005-0000-0000-0000BDD70000}"/>
    <cellStyle name="Normal 40 9 8" xfId="55236" xr:uid="{00000000-0005-0000-0000-0000BED70000}"/>
    <cellStyle name="Normal 40 9 8 2" xfId="55237" xr:uid="{00000000-0005-0000-0000-0000BFD70000}"/>
    <cellStyle name="Normal 40 9 8 3" xfId="55238" xr:uid="{00000000-0005-0000-0000-0000C0D70000}"/>
    <cellStyle name="Normal 40 9 9" xfId="55239" xr:uid="{00000000-0005-0000-0000-0000C1D70000}"/>
    <cellStyle name="Normal 40 9 9 2" xfId="55240" xr:uid="{00000000-0005-0000-0000-0000C2D70000}"/>
    <cellStyle name="Normal 40 9 9 3" xfId="55241" xr:uid="{00000000-0005-0000-0000-0000C3D70000}"/>
    <cellStyle name="Normal 40_End-use Summary" xfId="55242" xr:uid="{00000000-0005-0000-0000-0000C4D70000}"/>
    <cellStyle name="Normal 41" xfId="55243" xr:uid="{00000000-0005-0000-0000-0000C5D70000}"/>
    <cellStyle name="Normal 41 2" xfId="55244" xr:uid="{00000000-0005-0000-0000-0000C6D70000}"/>
    <cellStyle name="Normal 41 3" xfId="55245" xr:uid="{00000000-0005-0000-0000-0000C7D70000}"/>
    <cellStyle name="Normal 42" xfId="55246" xr:uid="{00000000-0005-0000-0000-0000C8D70000}"/>
    <cellStyle name="Normal 43" xfId="55247" xr:uid="{00000000-0005-0000-0000-0000C9D70000}"/>
    <cellStyle name="Normal 43 2" xfId="55248" xr:uid="{00000000-0005-0000-0000-0000CAD70000}"/>
    <cellStyle name="Normal 43 3" xfId="55249" xr:uid="{00000000-0005-0000-0000-0000CBD70000}"/>
    <cellStyle name="Normal 43 4" xfId="55250" xr:uid="{00000000-0005-0000-0000-0000CCD70000}"/>
    <cellStyle name="Normal 43 5" xfId="55251" xr:uid="{00000000-0005-0000-0000-0000CDD70000}"/>
    <cellStyle name="Normal 44" xfId="55252" xr:uid="{00000000-0005-0000-0000-0000CED70000}"/>
    <cellStyle name="Normal 44 2" xfId="55253" xr:uid="{00000000-0005-0000-0000-0000CFD70000}"/>
    <cellStyle name="Normal 44 3" xfId="55254" xr:uid="{00000000-0005-0000-0000-0000D0D70000}"/>
    <cellStyle name="Normal 44 4" xfId="55255" xr:uid="{00000000-0005-0000-0000-0000D1D70000}"/>
    <cellStyle name="Normal 44 5" xfId="55256" xr:uid="{00000000-0005-0000-0000-0000D2D70000}"/>
    <cellStyle name="Normal 45" xfId="55257" xr:uid="{00000000-0005-0000-0000-0000D3D70000}"/>
    <cellStyle name="Normal 45 2" xfId="55258" xr:uid="{00000000-0005-0000-0000-0000D4D70000}"/>
    <cellStyle name="Normal 45 3" xfId="55259" xr:uid="{00000000-0005-0000-0000-0000D5D70000}"/>
    <cellStyle name="Normal 45 4" xfId="55260" xr:uid="{00000000-0005-0000-0000-0000D6D70000}"/>
    <cellStyle name="Normal 45 5" xfId="55261" xr:uid="{00000000-0005-0000-0000-0000D7D70000}"/>
    <cellStyle name="Normal 46" xfId="55262" xr:uid="{00000000-0005-0000-0000-0000D8D70000}"/>
    <cellStyle name="Normal 46 2" xfId="55263" xr:uid="{00000000-0005-0000-0000-0000D9D70000}"/>
    <cellStyle name="Normal 46 3" xfId="55264" xr:uid="{00000000-0005-0000-0000-0000DAD70000}"/>
    <cellStyle name="Normal 46 4" xfId="55265" xr:uid="{00000000-0005-0000-0000-0000DBD70000}"/>
    <cellStyle name="Normal 46 5" xfId="55266" xr:uid="{00000000-0005-0000-0000-0000DCD70000}"/>
    <cellStyle name="Normal 47" xfId="55267" xr:uid="{00000000-0005-0000-0000-0000DDD70000}"/>
    <cellStyle name="Normal 47 2" xfId="55268" xr:uid="{00000000-0005-0000-0000-0000DED70000}"/>
    <cellStyle name="Normal 47 3" xfId="55269" xr:uid="{00000000-0005-0000-0000-0000DFD70000}"/>
    <cellStyle name="Normal 47 4" xfId="55270" xr:uid="{00000000-0005-0000-0000-0000E0D70000}"/>
    <cellStyle name="Normal 47 5" xfId="55271" xr:uid="{00000000-0005-0000-0000-0000E1D70000}"/>
    <cellStyle name="Normal 48" xfId="55272" xr:uid="{00000000-0005-0000-0000-0000E2D70000}"/>
    <cellStyle name="Normal 48 2" xfId="55273" xr:uid="{00000000-0005-0000-0000-0000E3D70000}"/>
    <cellStyle name="Normal 48 3" xfId="55274" xr:uid="{00000000-0005-0000-0000-0000E4D70000}"/>
    <cellStyle name="Normal 48 4" xfId="55275" xr:uid="{00000000-0005-0000-0000-0000E5D70000}"/>
    <cellStyle name="Normal 48 5" xfId="55276" xr:uid="{00000000-0005-0000-0000-0000E6D70000}"/>
    <cellStyle name="Normal 49" xfId="55277" xr:uid="{00000000-0005-0000-0000-0000E7D70000}"/>
    <cellStyle name="Normal 49 2" xfId="55278" xr:uid="{00000000-0005-0000-0000-0000E8D70000}"/>
    <cellStyle name="Normal 49 3" xfId="55279" xr:uid="{00000000-0005-0000-0000-0000E9D70000}"/>
    <cellStyle name="Normal 49 4" xfId="55280" xr:uid="{00000000-0005-0000-0000-0000EAD70000}"/>
    <cellStyle name="Normal 49 5" xfId="55281" xr:uid="{00000000-0005-0000-0000-0000EBD70000}"/>
    <cellStyle name="Normal 5" xfId="10" xr:uid="{00000000-0005-0000-0000-0000ECD70000}"/>
    <cellStyle name="Normal 5 10" xfId="55283" xr:uid="{00000000-0005-0000-0000-0000EDD70000}"/>
    <cellStyle name="Normal 5 11" xfId="55284" xr:uid="{00000000-0005-0000-0000-0000EED70000}"/>
    <cellStyle name="Normal 5 12" xfId="55285" xr:uid="{00000000-0005-0000-0000-0000EFD70000}"/>
    <cellStyle name="Normal 5 13" xfId="55286" xr:uid="{00000000-0005-0000-0000-0000F0D70000}"/>
    <cellStyle name="Normal 5 14" xfId="55287" xr:uid="{00000000-0005-0000-0000-0000F1D70000}"/>
    <cellStyle name="Normal 5 15" xfId="55288" xr:uid="{00000000-0005-0000-0000-0000F2D70000}"/>
    <cellStyle name="Normal 5 15 2" xfId="55289" xr:uid="{00000000-0005-0000-0000-0000F3D70000}"/>
    <cellStyle name="Normal 5 15 2 2" xfId="55290" xr:uid="{00000000-0005-0000-0000-0000F4D70000}"/>
    <cellStyle name="Normal 5 15 2 3" xfId="55291" xr:uid="{00000000-0005-0000-0000-0000F5D70000}"/>
    <cellStyle name="Normal 5 15 3" xfId="55292" xr:uid="{00000000-0005-0000-0000-0000F6D70000}"/>
    <cellStyle name="Normal 5 15 4" xfId="55293" xr:uid="{00000000-0005-0000-0000-0000F7D70000}"/>
    <cellStyle name="Normal 5 16" xfId="55294" xr:uid="{00000000-0005-0000-0000-0000F8D70000}"/>
    <cellStyle name="Normal 5 17" xfId="55295" xr:uid="{00000000-0005-0000-0000-0000F9D70000}"/>
    <cellStyle name="Normal 5 18" xfId="55296" xr:uid="{00000000-0005-0000-0000-0000FAD70000}"/>
    <cellStyle name="Normal 5 19" xfId="55297" xr:uid="{00000000-0005-0000-0000-0000FBD70000}"/>
    <cellStyle name="Normal 5 2" xfId="55298" xr:uid="{00000000-0005-0000-0000-0000FCD70000}"/>
    <cellStyle name="Normal 5 2 10" xfId="55299" xr:uid="{00000000-0005-0000-0000-0000FDD70000}"/>
    <cellStyle name="Normal 5 2 11" xfId="55300" xr:uid="{00000000-0005-0000-0000-0000FED70000}"/>
    <cellStyle name="Normal 5 2 12" xfId="55301" xr:uid="{00000000-0005-0000-0000-0000FFD70000}"/>
    <cellStyle name="Normal 5 2 13" xfId="55302" xr:uid="{00000000-0005-0000-0000-000000D80000}"/>
    <cellStyle name="Normal 5 2 2" xfId="55303" xr:uid="{00000000-0005-0000-0000-000001D80000}"/>
    <cellStyle name="Normal 5 2 2 10" xfId="55304" xr:uid="{00000000-0005-0000-0000-000002D80000}"/>
    <cellStyle name="Normal 5 2 2 2" xfId="55305" xr:uid="{00000000-0005-0000-0000-000003D80000}"/>
    <cellStyle name="Normal 5 2 2 2 2" xfId="55306" xr:uid="{00000000-0005-0000-0000-000004D80000}"/>
    <cellStyle name="Normal 5 2 2 2 3" xfId="55307" xr:uid="{00000000-0005-0000-0000-000005D80000}"/>
    <cellStyle name="Normal 5 2 2 2 4" xfId="55308" xr:uid="{00000000-0005-0000-0000-000006D80000}"/>
    <cellStyle name="Normal 5 2 2 3" xfId="55309" xr:uid="{00000000-0005-0000-0000-000007D80000}"/>
    <cellStyle name="Normal 5 2 2 4" xfId="55310" xr:uid="{00000000-0005-0000-0000-000008D80000}"/>
    <cellStyle name="Normal 5 2 2 5" xfId="55311" xr:uid="{00000000-0005-0000-0000-000009D80000}"/>
    <cellStyle name="Normal 5 2 2 6" xfId="55312" xr:uid="{00000000-0005-0000-0000-00000AD80000}"/>
    <cellStyle name="Normal 5 2 2 7" xfId="55313" xr:uid="{00000000-0005-0000-0000-00000BD80000}"/>
    <cellStyle name="Normal 5 2 2 8" xfId="55314" xr:uid="{00000000-0005-0000-0000-00000CD80000}"/>
    <cellStyle name="Normal 5 2 2 9" xfId="55315" xr:uid="{00000000-0005-0000-0000-00000DD80000}"/>
    <cellStyle name="Normal 5 2 3" xfId="55316" xr:uid="{00000000-0005-0000-0000-00000ED80000}"/>
    <cellStyle name="Normal 5 2 4" xfId="55317" xr:uid="{00000000-0005-0000-0000-00000FD80000}"/>
    <cellStyle name="Normal 5 2 5" xfId="55318" xr:uid="{00000000-0005-0000-0000-000010D80000}"/>
    <cellStyle name="Normal 5 2 6" xfId="55319" xr:uid="{00000000-0005-0000-0000-000011D80000}"/>
    <cellStyle name="Normal 5 2 6 2" xfId="55320" xr:uid="{00000000-0005-0000-0000-000012D80000}"/>
    <cellStyle name="Normal 5 2 6 3" xfId="55321" xr:uid="{00000000-0005-0000-0000-000013D80000}"/>
    <cellStyle name="Normal 5 2 6 4" xfId="55322" xr:uid="{00000000-0005-0000-0000-000014D80000}"/>
    <cellStyle name="Normal 5 2 7" xfId="55323" xr:uid="{00000000-0005-0000-0000-000015D80000}"/>
    <cellStyle name="Normal 5 2 8" xfId="55324" xr:uid="{00000000-0005-0000-0000-000016D80000}"/>
    <cellStyle name="Normal 5 2 9" xfId="55325" xr:uid="{00000000-0005-0000-0000-000017D80000}"/>
    <cellStyle name="Normal 5 20" xfId="55326" xr:uid="{00000000-0005-0000-0000-000018D80000}"/>
    <cellStyle name="Normal 5 20 2" xfId="55327" xr:uid="{00000000-0005-0000-0000-000019D80000}"/>
    <cellStyle name="Normal 5 20 3" xfId="55328" xr:uid="{00000000-0005-0000-0000-00001AD80000}"/>
    <cellStyle name="Normal 5 21" xfId="55329" xr:uid="{00000000-0005-0000-0000-00001BD80000}"/>
    <cellStyle name="Normal 5 21 2" xfId="55330" xr:uid="{00000000-0005-0000-0000-00001CD80000}"/>
    <cellStyle name="Normal 5 21 3" xfId="55331" xr:uid="{00000000-0005-0000-0000-00001DD80000}"/>
    <cellStyle name="Normal 5 22" xfId="55332" xr:uid="{00000000-0005-0000-0000-00001ED80000}"/>
    <cellStyle name="Normal 5 22 2" xfId="55333" xr:uid="{00000000-0005-0000-0000-00001FD80000}"/>
    <cellStyle name="Normal 5 22 3" xfId="55334" xr:uid="{00000000-0005-0000-0000-000020D80000}"/>
    <cellStyle name="Normal 5 23" xfId="55335" xr:uid="{00000000-0005-0000-0000-000021D80000}"/>
    <cellStyle name="Normal 5 23 2" xfId="55336" xr:uid="{00000000-0005-0000-0000-000022D80000}"/>
    <cellStyle name="Normal 5 23 3" xfId="55337" xr:uid="{00000000-0005-0000-0000-000023D80000}"/>
    <cellStyle name="Normal 5 24" xfId="55338" xr:uid="{00000000-0005-0000-0000-000024D80000}"/>
    <cellStyle name="Normal 5 24 2" xfId="55339" xr:uid="{00000000-0005-0000-0000-000025D80000}"/>
    <cellStyle name="Normal 5 24 3" xfId="55340" xr:uid="{00000000-0005-0000-0000-000026D80000}"/>
    <cellStyle name="Normal 5 25" xfId="55341" xr:uid="{00000000-0005-0000-0000-000027D80000}"/>
    <cellStyle name="Normal 5 25 2" xfId="55342" xr:uid="{00000000-0005-0000-0000-000028D80000}"/>
    <cellStyle name="Normal 5 25 3" xfId="55343" xr:uid="{00000000-0005-0000-0000-000029D80000}"/>
    <cellStyle name="Normal 5 26" xfId="55344" xr:uid="{00000000-0005-0000-0000-00002AD80000}"/>
    <cellStyle name="Normal 5 26 2" xfId="55345" xr:uid="{00000000-0005-0000-0000-00002BD80000}"/>
    <cellStyle name="Normal 5 26 3" xfId="55346" xr:uid="{00000000-0005-0000-0000-00002CD80000}"/>
    <cellStyle name="Normal 5 27" xfId="55347" xr:uid="{00000000-0005-0000-0000-00002DD80000}"/>
    <cellStyle name="Normal 5 27 2" xfId="55348" xr:uid="{00000000-0005-0000-0000-00002ED80000}"/>
    <cellStyle name="Normal 5 27 3" xfId="55349" xr:uid="{00000000-0005-0000-0000-00002FD80000}"/>
    <cellStyle name="Normal 5 28" xfId="55350" xr:uid="{00000000-0005-0000-0000-000030D80000}"/>
    <cellStyle name="Normal 5 28 2" xfId="55351" xr:uid="{00000000-0005-0000-0000-000031D80000}"/>
    <cellStyle name="Normal 5 28 3" xfId="55352" xr:uid="{00000000-0005-0000-0000-000032D80000}"/>
    <cellStyle name="Normal 5 29" xfId="55353" xr:uid="{00000000-0005-0000-0000-000033D80000}"/>
    <cellStyle name="Normal 5 29 2" xfId="55354" xr:uid="{00000000-0005-0000-0000-000034D80000}"/>
    <cellStyle name="Normal 5 29 3" xfId="55355" xr:uid="{00000000-0005-0000-0000-000035D80000}"/>
    <cellStyle name="Normal 5 3" xfId="55356" xr:uid="{00000000-0005-0000-0000-000036D80000}"/>
    <cellStyle name="Normal 5 3 2" xfId="55357" xr:uid="{00000000-0005-0000-0000-000037D80000}"/>
    <cellStyle name="Normal 5 30" xfId="55358" xr:uid="{00000000-0005-0000-0000-000038D80000}"/>
    <cellStyle name="Normal 5 30 2" xfId="55359" xr:uid="{00000000-0005-0000-0000-000039D80000}"/>
    <cellStyle name="Normal 5 30 3" xfId="55360" xr:uid="{00000000-0005-0000-0000-00003AD80000}"/>
    <cellStyle name="Normal 5 31" xfId="55361" xr:uid="{00000000-0005-0000-0000-00003BD80000}"/>
    <cellStyle name="Normal 5 31 2" xfId="55362" xr:uid="{00000000-0005-0000-0000-00003CD80000}"/>
    <cellStyle name="Normal 5 31 3" xfId="55363" xr:uid="{00000000-0005-0000-0000-00003DD80000}"/>
    <cellStyle name="Normal 5 32" xfId="55364" xr:uid="{00000000-0005-0000-0000-00003ED80000}"/>
    <cellStyle name="Normal 5 32 2" xfId="55365" xr:uid="{00000000-0005-0000-0000-00003FD80000}"/>
    <cellStyle name="Normal 5 32 3" xfId="55366" xr:uid="{00000000-0005-0000-0000-000040D80000}"/>
    <cellStyle name="Normal 5 33" xfId="55367" xr:uid="{00000000-0005-0000-0000-000041D80000}"/>
    <cellStyle name="Normal 5 33 2" xfId="55368" xr:uid="{00000000-0005-0000-0000-000042D80000}"/>
    <cellStyle name="Normal 5 33 3" xfId="55369" xr:uid="{00000000-0005-0000-0000-000043D80000}"/>
    <cellStyle name="Normal 5 34" xfId="55370" xr:uid="{00000000-0005-0000-0000-000044D80000}"/>
    <cellStyle name="Normal 5 34 2" xfId="55371" xr:uid="{00000000-0005-0000-0000-000045D80000}"/>
    <cellStyle name="Normal 5 34 3" xfId="55372" xr:uid="{00000000-0005-0000-0000-000046D80000}"/>
    <cellStyle name="Normal 5 35" xfId="55373" xr:uid="{00000000-0005-0000-0000-000047D80000}"/>
    <cellStyle name="Normal 5 35 2" xfId="55374" xr:uid="{00000000-0005-0000-0000-000048D80000}"/>
    <cellStyle name="Normal 5 35 3" xfId="55375" xr:uid="{00000000-0005-0000-0000-000049D80000}"/>
    <cellStyle name="Normal 5 36" xfId="55376" xr:uid="{00000000-0005-0000-0000-00004AD80000}"/>
    <cellStyle name="Normal 5 36 2" xfId="55377" xr:uid="{00000000-0005-0000-0000-00004BD80000}"/>
    <cellStyle name="Normal 5 36 3" xfId="55378" xr:uid="{00000000-0005-0000-0000-00004CD80000}"/>
    <cellStyle name="Normal 5 37" xfId="55379" xr:uid="{00000000-0005-0000-0000-00004DD80000}"/>
    <cellStyle name="Normal 5 37 2" xfId="55380" xr:uid="{00000000-0005-0000-0000-00004ED80000}"/>
    <cellStyle name="Normal 5 37 3" xfId="55381" xr:uid="{00000000-0005-0000-0000-00004FD80000}"/>
    <cellStyle name="Normal 5 38" xfId="55382" xr:uid="{00000000-0005-0000-0000-000050D80000}"/>
    <cellStyle name="Normal 5 38 2" xfId="55383" xr:uid="{00000000-0005-0000-0000-000051D80000}"/>
    <cellStyle name="Normal 5 38 3" xfId="55384" xr:uid="{00000000-0005-0000-0000-000052D80000}"/>
    <cellStyle name="Normal 5 39" xfId="55385" xr:uid="{00000000-0005-0000-0000-000053D80000}"/>
    <cellStyle name="Normal 5 39 2" xfId="55386" xr:uid="{00000000-0005-0000-0000-000054D80000}"/>
    <cellStyle name="Normal 5 39 3" xfId="55387" xr:uid="{00000000-0005-0000-0000-000055D80000}"/>
    <cellStyle name="Normal 5 4" xfId="55388" xr:uid="{00000000-0005-0000-0000-000056D80000}"/>
    <cellStyle name="Normal 5 4 2" xfId="55389" xr:uid="{00000000-0005-0000-0000-000057D80000}"/>
    <cellStyle name="Normal 5 40" xfId="55390" xr:uid="{00000000-0005-0000-0000-000058D80000}"/>
    <cellStyle name="Normal 5 40 2" xfId="55391" xr:uid="{00000000-0005-0000-0000-000059D80000}"/>
    <cellStyle name="Normal 5 40 3" xfId="55392" xr:uid="{00000000-0005-0000-0000-00005AD80000}"/>
    <cellStyle name="Normal 5 41" xfId="55393" xr:uid="{00000000-0005-0000-0000-00005BD80000}"/>
    <cellStyle name="Normal 5 41 2" xfId="55394" xr:uid="{00000000-0005-0000-0000-00005CD80000}"/>
    <cellStyle name="Normal 5 41 3" xfId="55395" xr:uid="{00000000-0005-0000-0000-00005DD80000}"/>
    <cellStyle name="Normal 5 42" xfId="55396" xr:uid="{00000000-0005-0000-0000-00005ED80000}"/>
    <cellStyle name="Normal 5 42 2" xfId="55397" xr:uid="{00000000-0005-0000-0000-00005FD80000}"/>
    <cellStyle name="Normal 5 42 3" xfId="55398" xr:uid="{00000000-0005-0000-0000-000060D80000}"/>
    <cellStyle name="Normal 5 43" xfId="55399" xr:uid="{00000000-0005-0000-0000-000061D80000}"/>
    <cellStyle name="Normal 5 43 2" xfId="55400" xr:uid="{00000000-0005-0000-0000-000062D80000}"/>
    <cellStyle name="Normal 5 43 3" xfId="55401" xr:uid="{00000000-0005-0000-0000-000063D80000}"/>
    <cellStyle name="Normal 5 44" xfId="55402" xr:uid="{00000000-0005-0000-0000-000064D80000}"/>
    <cellStyle name="Normal 5 45" xfId="55403" xr:uid="{00000000-0005-0000-0000-000065D80000}"/>
    <cellStyle name="Normal 5 46" xfId="55282" xr:uid="{00000000-0005-0000-0000-000066D80000}"/>
    <cellStyle name="Normal 5 5" xfId="55404" xr:uid="{00000000-0005-0000-0000-000067D80000}"/>
    <cellStyle name="Normal 5 5 2" xfId="55405" xr:uid="{00000000-0005-0000-0000-000068D80000}"/>
    <cellStyle name="Normal 5 6" xfId="55406" xr:uid="{00000000-0005-0000-0000-000069D80000}"/>
    <cellStyle name="Normal 5 7" xfId="55407" xr:uid="{00000000-0005-0000-0000-00006AD80000}"/>
    <cellStyle name="Normal 5 8" xfId="55408" xr:uid="{00000000-0005-0000-0000-00006BD80000}"/>
    <cellStyle name="Normal 5 9" xfId="55409" xr:uid="{00000000-0005-0000-0000-00006CD80000}"/>
    <cellStyle name="Normal 50" xfId="55410" xr:uid="{00000000-0005-0000-0000-00006DD80000}"/>
    <cellStyle name="Normal 50 2" xfId="55411" xr:uid="{00000000-0005-0000-0000-00006ED80000}"/>
    <cellStyle name="Normal 50 3" xfId="55412" xr:uid="{00000000-0005-0000-0000-00006FD80000}"/>
    <cellStyle name="Normal 50 4" xfId="55413" xr:uid="{00000000-0005-0000-0000-000070D80000}"/>
    <cellStyle name="Normal 50 5" xfId="55414" xr:uid="{00000000-0005-0000-0000-000071D80000}"/>
    <cellStyle name="Normal 51" xfId="55415" xr:uid="{00000000-0005-0000-0000-000072D80000}"/>
    <cellStyle name="Normal 51 2" xfId="55416" xr:uid="{00000000-0005-0000-0000-000073D80000}"/>
    <cellStyle name="Normal 51 3" xfId="55417" xr:uid="{00000000-0005-0000-0000-000074D80000}"/>
    <cellStyle name="Normal 51 4" xfId="55418" xr:uid="{00000000-0005-0000-0000-000075D80000}"/>
    <cellStyle name="Normal 51 5" xfId="55419" xr:uid="{00000000-0005-0000-0000-000076D80000}"/>
    <cellStyle name="Normal 52" xfId="55420" xr:uid="{00000000-0005-0000-0000-000077D80000}"/>
    <cellStyle name="Normal 52 2" xfId="55421" xr:uid="{00000000-0005-0000-0000-000078D80000}"/>
    <cellStyle name="Normal 52 3" xfId="55422" xr:uid="{00000000-0005-0000-0000-000079D80000}"/>
    <cellStyle name="Normal 52 4" xfId="55423" xr:uid="{00000000-0005-0000-0000-00007AD80000}"/>
    <cellStyle name="Normal 52 5" xfId="55424" xr:uid="{00000000-0005-0000-0000-00007BD80000}"/>
    <cellStyle name="Normal 53" xfId="55425" xr:uid="{00000000-0005-0000-0000-00007CD80000}"/>
    <cellStyle name="Normal 54" xfId="55426" xr:uid="{00000000-0005-0000-0000-00007DD80000}"/>
    <cellStyle name="Normal 54 2" xfId="55427" xr:uid="{00000000-0005-0000-0000-00007ED80000}"/>
    <cellStyle name="Normal 54 3" xfId="55428" xr:uid="{00000000-0005-0000-0000-00007FD80000}"/>
    <cellStyle name="Normal 54 4" xfId="55429" xr:uid="{00000000-0005-0000-0000-000080D80000}"/>
    <cellStyle name="Normal 54 5" xfId="55430" xr:uid="{00000000-0005-0000-0000-000081D80000}"/>
    <cellStyle name="Normal 55" xfId="55431" xr:uid="{00000000-0005-0000-0000-000082D80000}"/>
    <cellStyle name="Normal 56" xfId="55432" xr:uid="{00000000-0005-0000-0000-000083D80000}"/>
    <cellStyle name="Normal 56 2" xfId="55433" xr:uid="{00000000-0005-0000-0000-000084D80000}"/>
    <cellStyle name="Normal 56 3" xfId="55434" xr:uid="{00000000-0005-0000-0000-000085D80000}"/>
    <cellStyle name="Normal 56 4" xfId="55435" xr:uid="{00000000-0005-0000-0000-000086D80000}"/>
    <cellStyle name="Normal 56 5" xfId="55436" xr:uid="{00000000-0005-0000-0000-000087D80000}"/>
    <cellStyle name="Normal 57" xfId="55437" xr:uid="{00000000-0005-0000-0000-000088D80000}"/>
    <cellStyle name="Normal 57 2" xfId="55438" xr:uid="{00000000-0005-0000-0000-000089D80000}"/>
    <cellStyle name="Normal 57 3" xfId="55439" xr:uid="{00000000-0005-0000-0000-00008AD80000}"/>
    <cellStyle name="Normal 57 4" xfId="55440" xr:uid="{00000000-0005-0000-0000-00008BD80000}"/>
    <cellStyle name="Normal 57 5" xfId="55441" xr:uid="{00000000-0005-0000-0000-00008CD80000}"/>
    <cellStyle name="Normal 58" xfId="55442" xr:uid="{00000000-0005-0000-0000-00008DD80000}"/>
    <cellStyle name="Normal 58 2" xfId="55443" xr:uid="{00000000-0005-0000-0000-00008ED80000}"/>
    <cellStyle name="Normal 58 3" xfId="55444" xr:uid="{00000000-0005-0000-0000-00008FD80000}"/>
    <cellStyle name="Normal 58 4" xfId="55445" xr:uid="{00000000-0005-0000-0000-000090D80000}"/>
    <cellStyle name="Normal 58 5" xfId="55446" xr:uid="{00000000-0005-0000-0000-000091D80000}"/>
    <cellStyle name="Normal 59" xfId="55447" xr:uid="{00000000-0005-0000-0000-000092D80000}"/>
    <cellStyle name="Normal 6" xfId="34" xr:uid="{00000000-0005-0000-0000-000093D80000}"/>
    <cellStyle name="Normal 6 10" xfId="55449" xr:uid="{00000000-0005-0000-0000-000094D80000}"/>
    <cellStyle name="Normal 6 11" xfId="55450" xr:uid="{00000000-0005-0000-0000-000095D80000}"/>
    <cellStyle name="Normal 6 12" xfId="55451" xr:uid="{00000000-0005-0000-0000-000096D80000}"/>
    <cellStyle name="Normal 6 13" xfId="55452" xr:uid="{00000000-0005-0000-0000-000097D80000}"/>
    <cellStyle name="Normal 6 14" xfId="55453" xr:uid="{00000000-0005-0000-0000-000098D80000}"/>
    <cellStyle name="Normal 6 15" xfId="55454" xr:uid="{00000000-0005-0000-0000-000099D80000}"/>
    <cellStyle name="Normal 6 16" xfId="55455" xr:uid="{00000000-0005-0000-0000-00009AD80000}"/>
    <cellStyle name="Normal 6 17" xfId="55456" xr:uid="{00000000-0005-0000-0000-00009BD80000}"/>
    <cellStyle name="Normal 6 17 2" xfId="55457" xr:uid="{00000000-0005-0000-0000-00009CD80000}"/>
    <cellStyle name="Normal 6 17 2 2" xfId="55458" xr:uid="{00000000-0005-0000-0000-00009DD80000}"/>
    <cellStyle name="Normal 6 17 2 3" xfId="55459" xr:uid="{00000000-0005-0000-0000-00009ED80000}"/>
    <cellStyle name="Normal 6 17 3" xfId="55460" xr:uid="{00000000-0005-0000-0000-00009FD80000}"/>
    <cellStyle name="Normal 6 18" xfId="55461" xr:uid="{00000000-0005-0000-0000-0000A0D80000}"/>
    <cellStyle name="Normal 6 18 2" xfId="55462" xr:uid="{00000000-0005-0000-0000-0000A1D80000}"/>
    <cellStyle name="Normal 6 18 3" xfId="55463" xr:uid="{00000000-0005-0000-0000-0000A2D80000}"/>
    <cellStyle name="Normal 6 19" xfId="55464" xr:uid="{00000000-0005-0000-0000-0000A3D80000}"/>
    <cellStyle name="Normal 6 19 2" xfId="55465" xr:uid="{00000000-0005-0000-0000-0000A4D80000}"/>
    <cellStyle name="Normal 6 19 3" xfId="55466" xr:uid="{00000000-0005-0000-0000-0000A5D80000}"/>
    <cellStyle name="Normal 6 2" xfId="55467" xr:uid="{00000000-0005-0000-0000-0000A6D80000}"/>
    <cellStyle name="Normal 6 2 10" xfId="55468" xr:uid="{00000000-0005-0000-0000-0000A7D80000}"/>
    <cellStyle name="Normal 6 2 11" xfId="55469" xr:uid="{00000000-0005-0000-0000-0000A8D80000}"/>
    <cellStyle name="Normal 6 2 12" xfId="55470" xr:uid="{00000000-0005-0000-0000-0000A9D80000}"/>
    <cellStyle name="Normal 6 2 13" xfId="55471" xr:uid="{00000000-0005-0000-0000-0000AAD80000}"/>
    <cellStyle name="Normal 6 2 2" xfId="55472" xr:uid="{00000000-0005-0000-0000-0000ABD80000}"/>
    <cellStyle name="Normal 6 2 2 10" xfId="55473" xr:uid="{00000000-0005-0000-0000-0000ACD80000}"/>
    <cellStyle name="Normal 6 2 2 2" xfId="55474" xr:uid="{00000000-0005-0000-0000-0000ADD80000}"/>
    <cellStyle name="Normal 6 2 2 2 2" xfId="55475" xr:uid="{00000000-0005-0000-0000-0000AED80000}"/>
    <cellStyle name="Normal 6 2 2 2 3" xfId="55476" xr:uid="{00000000-0005-0000-0000-0000AFD80000}"/>
    <cellStyle name="Normal 6 2 2 2 4" xfId="55477" xr:uid="{00000000-0005-0000-0000-0000B0D80000}"/>
    <cellStyle name="Normal 6 2 2 3" xfId="55478" xr:uid="{00000000-0005-0000-0000-0000B1D80000}"/>
    <cellStyle name="Normal 6 2 2 4" xfId="55479" xr:uid="{00000000-0005-0000-0000-0000B2D80000}"/>
    <cellStyle name="Normal 6 2 2 5" xfId="55480" xr:uid="{00000000-0005-0000-0000-0000B3D80000}"/>
    <cellStyle name="Normal 6 2 2 6" xfId="55481" xr:uid="{00000000-0005-0000-0000-0000B4D80000}"/>
    <cellStyle name="Normal 6 2 2 7" xfId="55482" xr:uid="{00000000-0005-0000-0000-0000B5D80000}"/>
    <cellStyle name="Normal 6 2 2 8" xfId="55483" xr:uid="{00000000-0005-0000-0000-0000B6D80000}"/>
    <cellStyle name="Normal 6 2 2 9" xfId="55484" xr:uid="{00000000-0005-0000-0000-0000B7D80000}"/>
    <cellStyle name="Normal 6 2 3" xfId="55485" xr:uid="{00000000-0005-0000-0000-0000B8D80000}"/>
    <cellStyle name="Normal 6 2 4" xfId="55486" xr:uid="{00000000-0005-0000-0000-0000B9D80000}"/>
    <cellStyle name="Normal 6 2 5" xfId="55487" xr:uid="{00000000-0005-0000-0000-0000BAD80000}"/>
    <cellStyle name="Normal 6 2 6" xfId="55488" xr:uid="{00000000-0005-0000-0000-0000BBD80000}"/>
    <cellStyle name="Normal 6 2 6 2" xfId="55489" xr:uid="{00000000-0005-0000-0000-0000BCD80000}"/>
    <cellStyle name="Normal 6 2 6 3" xfId="55490" xr:uid="{00000000-0005-0000-0000-0000BDD80000}"/>
    <cellStyle name="Normal 6 2 6 4" xfId="55491" xr:uid="{00000000-0005-0000-0000-0000BED80000}"/>
    <cellStyle name="Normal 6 2 7" xfId="55492" xr:uid="{00000000-0005-0000-0000-0000BFD80000}"/>
    <cellStyle name="Normal 6 2 8" xfId="55493" xr:uid="{00000000-0005-0000-0000-0000C0D80000}"/>
    <cellStyle name="Normal 6 2 9" xfId="55494" xr:uid="{00000000-0005-0000-0000-0000C1D80000}"/>
    <cellStyle name="Normal 6 20" xfId="55495" xr:uid="{00000000-0005-0000-0000-0000C2D80000}"/>
    <cellStyle name="Normal 6 20 2" xfId="55496" xr:uid="{00000000-0005-0000-0000-0000C3D80000}"/>
    <cellStyle name="Normal 6 20 3" xfId="55497" xr:uid="{00000000-0005-0000-0000-0000C4D80000}"/>
    <cellStyle name="Normal 6 21" xfId="55498" xr:uid="{00000000-0005-0000-0000-0000C5D80000}"/>
    <cellStyle name="Normal 6 21 2" xfId="55499" xr:uid="{00000000-0005-0000-0000-0000C6D80000}"/>
    <cellStyle name="Normal 6 21 3" xfId="55500" xr:uid="{00000000-0005-0000-0000-0000C7D80000}"/>
    <cellStyle name="Normal 6 22" xfId="55501" xr:uid="{00000000-0005-0000-0000-0000C8D80000}"/>
    <cellStyle name="Normal 6 22 2" xfId="55502" xr:uid="{00000000-0005-0000-0000-0000C9D80000}"/>
    <cellStyle name="Normal 6 22 3" xfId="55503" xr:uid="{00000000-0005-0000-0000-0000CAD80000}"/>
    <cellStyle name="Normal 6 23" xfId="55504" xr:uid="{00000000-0005-0000-0000-0000CBD80000}"/>
    <cellStyle name="Normal 6 23 2" xfId="55505" xr:uid="{00000000-0005-0000-0000-0000CCD80000}"/>
    <cellStyle name="Normal 6 23 3" xfId="55506" xr:uid="{00000000-0005-0000-0000-0000CDD80000}"/>
    <cellStyle name="Normal 6 24" xfId="55507" xr:uid="{00000000-0005-0000-0000-0000CED80000}"/>
    <cellStyle name="Normal 6 24 2" xfId="55508" xr:uid="{00000000-0005-0000-0000-0000CFD80000}"/>
    <cellStyle name="Normal 6 24 3" xfId="55509" xr:uid="{00000000-0005-0000-0000-0000D0D80000}"/>
    <cellStyle name="Normal 6 25" xfId="55510" xr:uid="{00000000-0005-0000-0000-0000D1D80000}"/>
    <cellStyle name="Normal 6 25 2" xfId="55511" xr:uid="{00000000-0005-0000-0000-0000D2D80000}"/>
    <cellStyle name="Normal 6 25 3" xfId="55512" xr:uid="{00000000-0005-0000-0000-0000D3D80000}"/>
    <cellStyle name="Normal 6 26" xfId="55513" xr:uid="{00000000-0005-0000-0000-0000D4D80000}"/>
    <cellStyle name="Normal 6 26 2" xfId="55514" xr:uid="{00000000-0005-0000-0000-0000D5D80000}"/>
    <cellStyle name="Normal 6 26 3" xfId="55515" xr:uid="{00000000-0005-0000-0000-0000D6D80000}"/>
    <cellStyle name="Normal 6 27" xfId="55516" xr:uid="{00000000-0005-0000-0000-0000D7D80000}"/>
    <cellStyle name="Normal 6 27 2" xfId="55517" xr:uid="{00000000-0005-0000-0000-0000D8D80000}"/>
    <cellStyle name="Normal 6 27 3" xfId="55518" xr:uid="{00000000-0005-0000-0000-0000D9D80000}"/>
    <cellStyle name="Normal 6 28" xfId="55519" xr:uid="{00000000-0005-0000-0000-0000DAD80000}"/>
    <cellStyle name="Normal 6 29" xfId="55520" xr:uid="{00000000-0005-0000-0000-0000DBD80000}"/>
    <cellStyle name="Normal 6 3" xfId="55521" xr:uid="{00000000-0005-0000-0000-0000DCD80000}"/>
    <cellStyle name="Normal 6 3 2" xfId="55522" xr:uid="{00000000-0005-0000-0000-0000DDD80000}"/>
    <cellStyle name="Normal 6 30" xfId="55448" xr:uid="{00000000-0005-0000-0000-0000DED80000}"/>
    <cellStyle name="Normal 6 4" xfId="55523" xr:uid="{00000000-0005-0000-0000-0000DFD80000}"/>
    <cellStyle name="Normal 6 4 2" xfId="55524" xr:uid="{00000000-0005-0000-0000-0000E0D80000}"/>
    <cellStyle name="Normal 6 5" xfId="55525" xr:uid="{00000000-0005-0000-0000-0000E1D80000}"/>
    <cellStyle name="Normal 6 5 2" xfId="55526" xr:uid="{00000000-0005-0000-0000-0000E2D80000}"/>
    <cellStyle name="Normal 6 6" xfId="55527" xr:uid="{00000000-0005-0000-0000-0000E3D80000}"/>
    <cellStyle name="Normal 6 7" xfId="55528" xr:uid="{00000000-0005-0000-0000-0000E4D80000}"/>
    <cellStyle name="Normal 6 8" xfId="55529" xr:uid="{00000000-0005-0000-0000-0000E5D80000}"/>
    <cellStyle name="Normal 6 9" xfId="55530" xr:uid="{00000000-0005-0000-0000-0000E6D80000}"/>
    <cellStyle name="Normal 60" xfId="55531" xr:uid="{00000000-0005-0000-0000-0000E7D80000}"/>
    <cellStyle name="Normal 61" xfId="55532" xr:uid="{00000000-0005-0000-0000-0000E8D80000}"/>
    <cellStyle name="Normal 62" xfId="55533" xr:uid="{00000000-0005-0000-0000-0000E9D80000}"/>
    <cellStyle name="Normal 63" xfId="55534" xr:uid="{00000000-0005-0000-0000-0000EAD80000}"/>
    <cellStyle name="Normal 64" xfId="55535" xr:uid="{00000000-0005-0000-0000-0000EBD80000}"/>
    <cellStyle name="Normal 64 2" xfId="55536" xr:uid="{00000000-0005-0000-0000-0000ECD80000}"/>
    <cellStyle name="Normal 64 3" xfId="55537" xr:uid="{00000000-0005-0000-0000-0000EDD80000}"/>
    <cellStyle name="Normal 64 4" xfId="55538" xr:uid="{00000000-0005-0000-0000-0000EED80000}"/>
    <cellStyle name="Normal 64 5" xfId="55539" xr:uid="{00000000-0005-0000-0000-0000EFD80000}"/>
    <cellStyle name="Normal 65" xfId="55540" xr:uid="{00000000-0005-0000-0000-0000F0D80000}"/>
    <cellStyle name="Normal 66" xfId="55541" xr:uid="{00000000-0005-0000-0000-0000F1D80000}"/>
    <cellStyle name="Normal 66 2" xfId="55542" xr:uid="{00000000-0005-0000-0000-0000F2D80000}"/>
    <cellStyle name="Normal 66 3" xfId="55543" xr:uid="{00000000-0005-0000-0000-0000F3D80000}"/>
    <cellStyle name="Normal 66 4" xfId="55544" xr:uid="{00000000-0005-0000-0000-0000F4D80000}"/>
    <cellStyle name="Normal 66 5" xfId="55545" xr:uid="{00000000-0005-0000-0000-0000F5D80000}"/>
    <cellStyle name="Normal 67" xfId="55546" xr:uid="{00000000-0005-0000-0000-0000F6D80000}"/>
    <cellStyle name="Normal 68" xfId="55547" xr:uid="{00000000-0005-0000-0000-0000F7D80000}"/>
    <cellStyle name="Normal 69" xfId="55548" xr:uid="{00000000-0005-0000-0000-0000F8D80000}"/>
    <cellStyle name="Normal 7" xfId="35" xr:uid="{00000000-0005-0000-0000-0000F9D80000}"/>
    <cellStyle name="Normal 7 10" xfId="55550" xr:uid="{00000000-0005-0000-0000-0000FAD80000}"/>
    <cellStyle name="Normal 7 11" xfId="55551" xr:uid="{00000000-0005-0000-0000-0000FBD80000}"/>
    <cellStyle name="Normal 7 11 2" xfId="55552" xr:uid="{00000000-0005-0000-0000-0000FCD80000}"/>
    <cellStyle name="Normal 7 11 2 2" xfId="55553" xr:uid="{00000000-0005-0000-0000-0000FDD80000}"/>
    <cellStyle name="Normal 7 11 2 3" xfId="55554" xr:uid="{00000000-0005-0000-0000-0000FED80000}"/>
    <cellStyle name="Normal 7 11 3" xfId="55555" xr:uid="{00000000-0005-0000-0000-0000FFD80000}"/>
    <cellStyle name="Normal 7 12" xfId="55556" xr:uid="{00000000-0005-0000-0000-000000D90000}"/>
    <cellStyle name="Normal 7 12 2" xfId="55557" xr:uid="{00000000-0005-0000-0000-000001D90000}"/>
    <cellStyle name="Normal 7 12 2 2" xfId="55558" xr:uid="{00000000-0005-0000-0000-000002D90000}"/>
    <cellStyle name="Normal 7 12 2 3" xfId="55559" xr:uid="{00000000-0005-0000-0000-000003D90000}"/>
    <cellStyle name="Normal 7 12 3" xfId="55560" xr:uid="{00000000-0005-0000-0000-000004D90000}"/>
    <cellStyle name="Normal 7 13" xfId="55561" xr:uid="{00000000-0005-0000-0000-000005D90000}"/>
    <cellStyle name="Normal 7 14" xfId="55562" xr:uid="{00000000-0005-0000-0000-000006D90000}"/>
    <cellStyle name="Normal 7 15" xfId="55563" xr:uid="{00000000-0005-0000-0000-000007D90000}"/>
    <cellStyle name="Normal 7 16" xfId="55564" xr:uid="{00000000-0005-0000-0000-000008D90000}"/>
    <cellStyle name="Normal 7 17" xfId="55565" xr:uid="{00000000-0005-0000-0000-000009D90000}"/>
    <cellStyle name="Normal 7 18" xfId="55566" xr:uid="{00000000-0005-0000-0000-00000AD90000}"/>
    <cellStyle name="Normal 7 19" xfId="55567" xr:uid="{00000000-0005-0000-0000-00000BD90000}"/>
    <cellStyle name="Normal 7 2" xfId="55568" xr:uid="{00000000-0005-0000-0000-00000CD90000}"/>
    <cellStyle name="Normal 7 20" xfId="55569" xr:uid="{00000000-0005-0000-0000-00000DD90000}"/>
    <cellStyle name="Normal 7 21" xfId="55570" xr:uid="{00000000-0005-0000-0000-00000ED90000}"/>
    <cellStyle name="Normal 7 22" xfId="55571" xr:uid="{00000000-0005-0000-0000-00000FD90000}"/>
    <cellStyle name="Normal 7 23" xfId="55572" xr:uid="{00000000-0005-0000-0000-000010D90000}"/>
    <cellStyle name="Normal 7 24" xfId="55549" xr:uid="{00000000-0005-0000-0000-000011D90000}"/>
    <cellStyle name="Normal 7 3" xfId="55573" xr:uid="{00000000-0005-0000-0000-000012D90000}"/>
    <cellStyle name="Normal 7 4" xfId="55574" xr:uid="{00000000-0005-0000-0000-000013D90000}"/>
    <cellStyle name="Normal 7 5" xfId="55575" xr:uid="{00000000-0005-0000-0000-000014D90000}"/>
    <cellStyle name="Normal 7 6" xfId="55576" xr:uid="{00000000-0005-0000-0000-000015D90000}"/>
    <cellStyle name="Normal 7 7" xfId="55577" xr:uid="{00000000-0005-0000-0000-000016D90000}"/>
    <cellStyle name="Normal 7 8" xfId="55578" xr:uid="{00000000-0005-0000-0000-000017D90000}"/>
    <cellStyle name="Normal 7 9" xfId="55579" xr:uid="{00000000-0005-0000-0000-000018D90000}"/>
    <cellStyle name="Normal 70" xfId="55580" xr:uid="{00000000-0005-0000-0000-000019D90000}"/>
    <cellStyle name="Normal 71" xfId="55581" xr:uid="{00000000-0005-0000-0000-00001AD90000}"/>
    <cellStyle name="Normal 72" xfId="55582" xr:uid="{00000000-0005-0000-0000-00001BD90000}"/>
    <cellStyle name="Normal 73" xfId="55583" xr:uid="{00000000-0005-0000-0000-00001CD90000}"/>
    <cellStyle name="Normal 74" xfId="55584" xr:uid="{00000000-0005-0000-0000-00001DD90000}"/>
    <cellStyle name="Normal 75" xfId="55585" xr:uid="{00000000-0005-0000-0000-00001ED90000}"/>
    <cellStyle name="Normal 76" xfId="55586" xr:uid="{00000000-0005-0000-0000-00001FD90000}"/>
    <cellStyle name="Normal 77" xfId="55587" xr:uid="{00000000-0005-0000-0000-000020D90000}"/>
    <cellStyle name="Normal 78" xfId="55588" xr:uid="{00000000-0005-0000-0000-000021D90000}"/>
    <cellStyle name="Normal 79" xfId="55589" xr:uid="{00000000-0005-0000-0000-000022D90000}"/>
    <cellStyle name="Normal 8" xfId="36" xr:uid="{00000000-0005-0000-0000-000023D90000}"/>
    <cellStyle name="Normal 8 10" xfId="55591" xr:uid="{00000000-0005-0000-0000-000024D90000}"/>
    <cellStyle name="Normal 8 11" xfId="55592" xr:uid="{00000000-0005-0000-0000-000025D90000}"/>
    <cellStyle name="Normal 8 12" xfId="55593" xr:uid="{00000000-0005-0000-0000-000026D90000}"/>
    <cellStyle name="Normal 8 13" xfId="55594" xr:uid="{00000000-0005-0000-0000-000027D90000}"/>
    <cellStyle name="Normal 8 14" xfId="55595" xr:uid="{00000000-0005-0000-0000-000028D90000}"/>
    <cellStyle name="Normal 8 15" xfId="55596" xr:uid="{00000000-0005-0000-0000-000029D90000}"/>
    <cellStyle name="Normal 8 16" xfId="55597" xr:uid="{00000000-0005-0000-0000-00002AD90000}"/>
    <cellStyle name="Normal 8 17" xfId="55590" xr:uid="{00000000-0005-0000-0000-00002BD90000}"/>
    <cellStyle name="Normal 8 2" xfId="55598" xr:uid="{00000000-0005-0000-0000-00002CD90000}"/>
    <cellStyle name="Normal 8 2 2" xfId="55599" xr:uid="{00000000-0005-0000-0000-00002DD90000}"/>
    <cellStyle name="Normal 8 2 3" xfId="55600" xr:uid="{00000000-0005-0000-0000-00002ED90000}"/>
    <cellStyle name="Normal 8 2 4" xfId="55601" xr:uid="{00000000-0005-0000-0000-00002FD90000}"/>
    <cellStyle name="Normal 8 2 5" xfId="55602" xr:uid="{00000000-0005-0000-0000-000030D90000}"/>
    <cellStyle name="Normal 8 3" xfId="55603" xr:uid="{00000000-0005-0000-0000-000031D90000}"/>
    <cellStyle name="Normal 8 3 2" xfId="55604" xr:uid="{00000000-0005-0000-0000-000032D90000}"/>
    <cellStyle name="Normal 8 4" xfId="55605" xr:uid="{00000000-0005-0000-0000-000033D90000}"/>
    <cellStyle name="Normal 8 4 2" xfId="55606" xr:uid="{00000000-0005-0000-0000-000034D90000}"/>
    <cellStyle name="Normal 8 5" xfId="55607" xr:uid="{00000000-0005-0000-0000-000035D90000}"/>
    <cellStyle name="Normal 8 5 2" xfId="55608" xr:uid="{00000000-0005-0000-0000-000036D90000}"/>
    <cellStyle name="Normal 8 6" xfId="55609" xr:uid="{00000000-0005-0000-0000-000037D90000}"/>
    <cellStyle name="Normal 8 7" xfId="55610" xr:uid="{00000000-0005-0000-0000-000038D90000}"/>
    <cellStyle name="Normal 8 8" xfId="55611" xr:uid="{00000000-0005-0000-0000-000039D90000}"/>
    <cellStyle name="Normal 8 9" xfId="55612" xr:uid="{00000000-0005-0000-0000-00003AD90000}"/>
    <cellStyle name="Normal 80" xfId="55613" xr:uid="{00000000-0005-0000-0000-00003BD90000}"/>
    <cellStyle name="Normal 81" xfId="55614" xr:uid="{00000000-0005-0000-0000-00003CD90000}"/>
    <cellStyle name="Normal 82" xfId="55615" xr:uid="{00000000-0005-0000-0000-00003DD90000}"/>
    <cellStyle name="Normal 83" xfId="55616" xr:uid="{00000000-0005-0000-0000-00003ED90000}"/>
    <cellStyle name="Normal 84" xfId="55617" xr:uid="{00000000-0005-0000-0000-00003FD90000}"/>
    <cellStyle name="Normal 85" xfId="55618" xr:uid="{00000000-0005-0000-0000-000040D90000}"/>
    <cellStyle name="Normal 86" xfId="55619" xr:uid="{00000000-0005-0000-0000-000041D90000}"/>
    <cellStyle name="Normal 87" xfId="55620" xr:uid="{00000000-0005-0000-0000-000042D90000}"/>
    <cellStyle name="Normal 88" xfId="55621" xr:uid="{00000000-0005-0000-0000-000043D90000}"/>
    <cellStyle name="Normal 89" xfId="55622" xr:uid="{00000000-0005-0000-0000-000044D90000}"/>
    <cellStyle name="Normal 9" xfId="38" xr:uid="{00000000-0005-0000-0000-000045D90000}"/>
    <cellStyle name="Normal 9 10" xfId="55624" xr:uid="{00000000-0005-0000-0000-000046D90000}"/>
    <cellStyle name="Normal 9 11" xfId="55625" xr:uid="{00000000-0005-0000-0000-000047D90000}"/>
    <cellStyle name="Normal 9 12" xfId="55626" xr:uid="{00000000-0005-0000-0000-000048D90000}"/>
    <cellStyle name="Normal 9 13" xfId="55627" xr:uid="{00000000-0005-0000-0000-000049D90000}"/>
    <cellStyle name="Normal 9 14" xfId="55628" xr:uid="{00000000-0005-0000-0000-00004AD90000}"/>
    <cellStyle name="Normal 9 15" xfId="55629" xr:uid="{00000000-0005-0000-0000-00004BD90000}"/>
    <cellStyle name="Normal 9 16" xfId="55630" xr:uid="{00000000-0005-0000-0000-00004CD90000}"/>
    <cellStyle name="Normal 9 17" xfId="55631" xr:uid="{00000000-0005-0000-0000-00004DD90000}"/>
    <cellStyle name="Normal 9 18" xfId="55632" xr:uid="{00000000-0005-0000-0000-00004ED90000}"/>
    <cellStyle name="Normal 9 19" xfId="55623" xr:uid="{00000000-0005-0000-0000-00004FD90000}"/>
    <cellStyle name="Normal 9 2" xfId="55633" xr:uid="{00000000-0005-0000-0000-000050D90000}"/>
    <cellStyle name="Normal 9 2 2" xfId="55634" xr:uid="{00000000-0005-0000-0000-000051D90000}"/>
    <cellStyle name="Normal 9 2 3" xfId="55635" xr:uid="{00000000-0005-0000-0000-000052D90000}"/>
    <cellStyle name="Normal 9 2 4" xfId="55636" xr:uid="{00000000-0005-0000-0000-000053D90000}"/>
    <cellStyle name="Normal 9 2 5" xfId="55637" xr:uid="{00000000-0005-0000-0000-000054D90000}"/>
    <cellStyle name="Normal 9 3" xfId="55638" xr:uid="{00000000-0005-0000-0000-000055D90000}"/>
    <cellStyle name="Normal 9 3 2" xfId="55639" xr:uid="{00000000-0005-0000-0000-000056D90000}"/>
    <cellStyle name="Normal 9 4" xfId="55640" xr:uid="{00000000-0005-0000-0000-000057D90000}"/>
    <cellStyle name="Normal 9 4 2" xfId="55641" xr:uid="{00000000-0005-0000-0000-000058D90000}"/>
    <cellStyle name="Normal 9 5" xfId="55642" xr:uid="{00000000-0005-0000-0000-000059D90000}"/>
    <cellStyle name="Normal 9 5 2" xfId="55643" xr:uid="{00000000-0005-0000-0000-00005AD90000}"/>
    <cellStyle name="Normal 9 6" xfId="55644" xr:uid="{00000000-0005-0000-0000-00005BD90000}"/>
    <cellStyle name="Normal 9 7" xfId="55645" xr:uid="{00000000-0005-0000-0000-00005CD90000}"/>
    <cellStyle name="Normal 9 8" xfId="55646" xr:uid="{00000000-0005-0000-0000-00005DD90000}"/>
    <cellStyle name="Normal 9 9" xfId="55647" xr:uid="{00000000-0005-0000-0000-00005ED90000}"/>
    <cellStyle name="Normal 90" xfId="55648" xr:uid="{00000000-0005-0000-0000-00005FD90000}"/>
    <cellStyle name="Normal 91" xfId="55649" xr:uid="{00000000-0005-0000-0000-000060D90000}"/>
    <cellStyle name="Normal 92" xfId="55650" xr:uid="{00000000-0005-0000-0000-000061D90000}"/>
    <cellStyle name="Normal 93" xfId="55651" xr:uid="{00000000-0005-0000-0000-000062D90000}"/>
    <cellStyle name="Normal 94" xfId="55652" xr:uid="{00000000-0005-0000-0000-000063D90000}"/>
    <cellStyle name="Normal 95" xfId="55653" xr:uid="{00000000-0005-0000-0000-000064D90000}"/>
    <cellStyle name="Normal 96" xfId="55654" xr:uid="{00000000-0005-0000-0000-000065D90000}"/>
    <cellStyle name="Normal 97" xfId="55655" xr:uid="{00000000-0005-0000-0000-000066D90000}"/>
    <cellStyle name="Normal 98" xfId="55656" xr:uid="{00000000-0005-0000-0000-000067D90000}"/>
    <cellStyle name="Normal 99" xfId="55657" xr:uid="{00000000-0005-0000-0000-000068D90000}"/>
    <cellStyle name="Note 10" xfId="55658" xr:uid="{00000000-0005-0000-0000-000069D90000}"/>
    <cellStyle name="Note 10 2" xfId="55659" xr:uid="{00000000-0005-0000-0000-00006AD90000}"/>
    <cellStyle name="Note 10 3" xfId="55660" xr:uid="{00000000-0005-0000-0000-00006BD90000}"/>
    <cellStyle name="Note 11" xfId="55661" xr:uid="{00000000-0005-0000-0000-00006CD90000}"/>
    <cellStyle name="Note 11 2" xfId="55662" xr:uid="{00000000-0005-0000-0000-00006DD90000}"/>
    <cellStyle name="Note 11 3" xfId="55663" xr:uid="{00000000-0005-0000-0000-00006ED90000}"/>
    <cellStyle name="Note 12" xfId="55664" xr:uid="{00000000-0005-0000-0000-00006FD90000}"/>
    <cellStyle name="Note 12 2" xfId="55665" xr:uid="{00000000-0005-0000-0000-000070D90000}"/>
    <cellStyle name="Note 12 3" xfId="55666" xr:uid="{00000000-0005-0000-0000-000071D90000}"/>
    <cellStyle name="Note 13" xfId="55667" xr:uid="{00000000-0005-0000-0000-000072D90000}"/>
    <cellStyle name="Note 13 2" xfId="55668" xr:uid="{00000000-0005-0000-0000-000073D90000}"/>
    <cellStyle name="Note 13 3" xfId="55669" xr:uid="{00000000-0005-0000-0000-000074D90000}"/>
    <cellStyle name="Note 14" xfId="55670" xr:uid="{00000000-0005-0000-0000-000075D90000}"/>
    <cellStyle name="Note 14 2" xfId="55671" xr:uid="{00000000-0005-0000-0000-000076D90000}"/>
    <cellStyle name="Note 14 3" xfId="55672" xr:uid="{00000000-0005-0000-0000-000077D90000}"/>
    <cellStyle name="Note 15" xfId="55673" xr:uid="{00000000-0005-0000-0000-000078D90000}"/>
    <cellStyle name="Note 15 2" xfId="55674" xr:uid="{00000000-0005-0000-0000-000079D90000}"/>
    <cellStyle name="Note 15 3" xfId="55675" xr:uid="{00000000-0005-0000-0000-00007AD90000}"/>
    <cellStyle name="Note 16" xfId="55676" xr:uid="{00000000-0005-0000-0000-00007BD90000}"/>
    <cellStyle name="Note 16 2" xfId="55677" xr:uid="{00000000-0005-0000-0000-00007CD90000}"/>
    <cellStyle name="Note 16 3" xfId="55678" xr:uid="{00000000-0005-0000-0000-00007DD90000}"/>
    <cellStyle name="Note 16 4" xfId="55679" xr:uid="{00000000-0005-0000-0000-00007ED90000}"/>
    <cellStyle name="Note 16 5" xfId="55680" xr:uid="{00000000-0005-0000-0000-00007FD90000}"/>
    <cellStyle name="Note 16 6" xfId="55681" xr:uid="{00000000-0005-0000-0000-000080D90000}"/>
    <cellStyle name="Note 16 7" xfId="55682" xr:uid="{00000000-0005-0000-0000-000081D90000}"/>
    <cellStyle name="Note 17" xfId="55683" xr:uid="{00000000-0005-0000-0000-000082D90000}"/>
    <cellStyle name="Note 18" xfId="55684" xr:uid="{00000000-0005-0000-0000-000083D90000}"/>
    <cellStyle name="Note 19" xfId="55685" xr:uid="{00000000-0005-0000-0000-000084D90000}"/>
    <cellStyle name="Note 2" xfId="55686" xr:uid="{00000000-0005-0000-0000-000085D90000}"/>
    <cellStyle name="Note 2 10" xfId="55687" xr:uid="{00000000-0005-0000-0000-000086D90000}"/>
    <cellStyle name="Note 2 11" xfId="55688" xr:uid="{00000000-0005-0000-0000-000087D90000}"/>
    <cellStyle name="Note 2 11 2" xfId="55689" xr:uid="{00000000-0005-0000-0000-000088D90000}"/>
    <cellStyle name="Note 2 11 2 2" xfId="55690" xr:uid="{00000000-0005-0000-0000-000089D90000}"/>
    <cellStyle name="Note 2 11 2 3" xfId="55691" xr:uid="{00000000-0005-0000-0000-00008AD90000}"/>
    <cellStyle name="Note 2 11 2 4" xfId="55692" xr:uid="{00000000-0005-0000-0000-00008BD90000}"/>
    <cellStyle name="Note 2 11 2 5" xfId="55693" xr:uid="{00000000-0005-0000-0000-00008CD90000}"/>
    <cellStyle name="Note 2 11 2 6" xfId="55694" xr:uid="{00000000-0005-0000-0000-00008DD90000}"/>
    <cellStyle name="Note 2 11 2 7" xfId="55695" xr:uid="{00000000-0005-0000-0000-00008ED90000}"/>
    <cellStyle name="Note 2 11 3" xfId="55696" xr:uid="{00000000-0005-0000-0000-00008FD90000}"/>
    <cellStyle name="Note 2 11 4" xfId="55697" xr:uid="{00000000-0005-0000-0000-000090D90000}"/>
    <cellStyle name="Note 2 11 5" xfId="55698" xr:uid="{00000000-0005-0000-0000-000091D90000}"/>
    <cellStyle name="Note 2 11 6" xfId="55699" xr:uid="{00000000-0005-0000-0000-000092D90000}"/>
    <cellStyle name="Note 2 11 7" xfId="55700" xr:uid="{00000000-0005-0000-0000-000093D90000}"/>
    <cellStyle name="Note 2 12" xfId="55701" xr:uid="{00000000-0005-0000-0000-000094D90000}"/>
    <cellStyle name="Note 2 13" xfId="55702" xr:uid="{00000000-0005-0000-0000-000095D90000}"/>
    <cellStyle name="Note 2 14" xfId="55703" xr:uid="{00000000-0005-0000-0000-000096D90000}"/>
    <cellStyle name="Note 2 15" xfId="55704" xr:uid="{00000000-0005-0000-0000-000097D90000}"/>
    <cellStyle name="Note 2 16" xfId="55705" xr:uid="{00000000-0005-0000-0000-000098D90000}"/>
    <cellStyle name="Note 2 17" xfId="55706" xr:uid="{00000000-0005-0000-0000-000099D90000}"/>
    <cellStyle name="Note 2 18" xfId="55707" xr:uid="{00000000-0005-0000-0000-00009AD90000}"/>
    <cellStyle name="Note 2 19" xfId="55708" xr:uid="{00000000-0005-0000-0000-00009BD90000}"/>
    <cellStyle name="Note 2 2" xfId="55709" xr:uid="{00000000-0005-0000-0000-00009CD90000}"/>
    <cellStyle name="Note 2 20" xfId="55710" xr:uid="{00000000-0005-0000-0000-00009DD90000}"/>
    <cellStyle name="Note 2 20 2" xfId="55711" xr:uid="{00000000-0005-0000-0000-00009ED90000}"/>
    <cellStyle name="Note 2 20 2 2" xfId="55712" xr:uid="{00000000-0005-0000-0000-00009FD90000}"/>
    <cellStyle name="Note 2 20 2 3" xfId="55713" xr:uid="{00000000-0005-0000-0000-0000A0D90000}"/>
    <cellStyle name="Note 2 20 3" xfId="55714" xr:uid="{00000000-0005-0000-0000-0000A1D90000}"/>
    <cellStyle name="Note 2 20 4" xfId="55715" xr:uid="{00000000-0005-0000-0000-0000A2D90000}"/>
    <cellStyle name="Note 2 21" xfId="55716" xr:uid="{00000000-0005-0000-0000-0000A3D90000}"/>
    <cellStyle name="Note 2 22" xfId="55717" xr:uid="{00000000-0005-0000-0000-0000A4D90000}"/>
    <cellStyle name="Note 2 23" xfId="55718" xr:uid="{00000000-0005-0000-0000-0000A5D90000}"/>
    <cellStyle name="Note 2 23 2" xfId="55719" xr:uid="{00000000-0005-0000-0000-0000A6D90000}"/>
    <cellStyle name="Note 2 23 3" xfId="55720" xr:uid="{00000000-0005-0000-0000-0000A7D90000}"/>
    <cellStyle name="Note 2 24" xfId="55721" xr:uid="{00000000-0005-0000-0000-0000A8D90000}"/>
    <cellStyle name="Note 2 24 2" xfId="55722" xr:uid="{00000000-0005-0000-0000-0000A9D90000}"/>
    <cellStyle name="Note 2 24 3" xfId="55723" xr:uid="{00000000-0005-0000-0000-0000AAD90000}"/>
    <cellStyle name="Note 2 25" xfId="55724" xr:uid="{00000000-0005-0000-0000-0000ABD90000}"/>
    <cellStyle name="Note 2 25 2" xfId="55725" xr:uid="{00000000-0005-0000-0000-0000ACD90000}"/>
    <cellStyle name="Note 2 25 3" xfId="55726" xr:uid="{00000000-0005-0000-0000-0000ADD90000}"/>
    <cellStyle name="Note 2 26" xfId="55727" xr:uid="{00000000-0005-0000-0000-0000AED90000}"/>
    <cellStyle name="Note 2 26 2" xfId="55728" xr:uid="{00000000-0005-0000-0000-0000AFD90000}"/>
    <cellStyle name="Note 2 26 3" xfId="55729" xr:uid="{00000000-0005-0000-0000-0000B0D90000}"/>
    <cellStyle name="Note 2 27" xfId="55730" xr:uid="{00000000-0005-0000-0000-0000B1D90000}"/>
    <cellStyle name="Note 2 28" xfId="55731" xr:uid="{00000000-0005-0000-0000-0000B2D90000}"/>
    <cellStyle name="Note 2 29" xfId="55732" xr:uid="{00000000-0005-0000-0000-0000B3D90000}"/>
    <cellStyle name="Note 2 3" xfId="55733" xr:uid="{00000000-0005-0000-0000-0000B4D90000}"/>
    <cellStyle name="Note 2 30" xfId="55734" xr:uid="{00000000-0005-0000-0000-0000B5D90000}"/>
    <cellStyle name="Note 2 31" xfId="55735" xr:uid="{00000000-0005-0000-0000-0000B6D90000}"/>
    <cellStyle name="Note 2 31 2" xfId="55736" xr:uid="{00000000-0005-0000-0000-0000B7D90000}"/>
    <cellStyle name="Note 2 31 2 2" xfId="55737" xr:uid="{00000000-0005-0000-0000-0000B8D90000}"/>
    <cellStyle name="Note 2 31 2 3" xfId="55738" xr:uid="{00000000-0005-0000-0000-0000B9D90000}"/>
    <cellStyle name="Note 2 31 3" xfId="55739" xr:uid="{00000000-0005-0000-0000-0000BAD90000}"/>
    <cellStyle name="Note 2 32" xfId="55740" xr:uid="{00000000-0005-0000-0000-0000BBD90000}"/>
    <cellStyle name="Note 2 33" xfId="55741" xr:uid="{00000000-0005-0000-0000-0000BCD90000}"/>
    <cellStyle name="Note 2 34" xfId="55742" xr:uid="{00000000-0005-0000-0000-0000BDD90000}"/>
    <cellStyle name="Note 2 35" xfId="55743" xr:uid="{00000000-0005-0000-0000-0000BED90000}"/>
    <cellStyle name="Note 2 36" xfId="55744" xr:uid="{00000000-0005-0000-0000-0000BFD90000}"/>
    <cellStyle name="Note 2 37" xfId="55745" xr:uid="{00000000-0005-0000-0000-0000C0D90000}"/>
    <cellStyle name="Note 2 38" xfId="55746" xr:uid="{00000000-0005-0000-0000-0000C1D90000}"/>
    <cellStyle name="Note 2 39" xfId="55747" xr:uid="{00000000-0005-0000-0000-0000C2D90000}"/>
    <cellStyle name="Note 2 4" xfId="55748" xr:uid="{00000000-0005-0000-0000-0000C3D90000}"/>
    <cellStyle name="Note 2 40" xfId="55749" xr:uid="{00000000-0005-0000-0000-0000C4D90000}"/>
    <cellStyle name="Note 2 41" xfId="55750" xr:uid="{00000000-0005-0000-0000-0000C5D90000}"/>
    <cellStyle name="Note 2 42" xfId="55751" xr:uid="{00000000-0005-0000-0000-0000C6D90000}"/>
    <cellStyle name="Note 2 43" xfId="55752" xr:uid="{00000000-0005-0000-0000-0000C7D90000}"/>
    <cellStyle name="Note 2 5" xfId="55753" xr:uid="{00000000-0005-0000-0000-0000C8D90000}"/>
    <cellStyle name="Note 2 6" xfId="55754" xr:uid="{00000000-0005-0000-0000-0000C9D90000}"/>
    <cellStyle name="Note 2 7" xfId="55755" xr:uid="{00000000-0005-0000-0000-0000CAD90000}"/>
    <cellStyle name="Note 2 8" xfId="55756" xr:uid="{00000000-0005-0000-0000-0000CBD90000}"/>
    <cellStyle name="Note 2 8 10" xfId="55757" xr:uid="{00000000-0005-0000-0000-0000CCD90000}"/>
    <cellStyle name="Note 2 8 11" xfId="55758" xr:uid="{00000000-0005-0000-0000-0000CDD90000}"/>
    <cellStyle name="Note 2 8 2" xfId="55759" xr:uid="{00000000-0005-0000-0000-0000CED90000}"/>
    <cellStyle name="Note 2 8 2 2" xfId="55760" xr:uid="{00000000-0005-0000-0000-0000CFD90000}"/>
    <cellStyle name="Note 2 8 2 3" xfId="55761" xr:uid="{00000000-0005-0000-0000-0000D0D90000}"/>
    <cellStyle name="Note 2 8 2 4" xfId="55762" xr:uid="{00000000-0005-0000-0000-0000D1D90000}"/>
    <cellStyle name="Note 2 8 2 5" xfId="55763" xr:uid="{00000000-0005-0000-0000-0000D2D90000}"/>
    <cellStyle name="Note 2 8 2 6" xfId="55764" xr:uid="{00000000-0005-0000-0000-0000D3D90000}"/>
    <cellStyle name="Note 2 8 2 7" xfId="55765" xr:uid="{00000000-0005-0000-0000-0000D4D90000}"/>
    <cellStyle name="Note 2 8 2 8" xfId="55766" xr:uid="{00000000-0005-0000-0000-0000D5D90000}"/>
    <cellStyle name="Note 2 8 2 9" xfId="55767" xr:uid="{00000000-0005-0000-0000-0000D6D90000}"/>
    <cellStyle name="Note 2 8 3" xfId="55768" xr:uid="{00000000-0005-0000-0000-0000D7D90000}"/>
    <cellStyle name="Note 2 8 4" xfId="55769" xr:uid="{00000000-0005-0000-0000-0000D8D90000}"/>
    <cellStyle name="Note 2 8 5" xfId="55770" xr:uid="{00000000-0005-0000-0000-0000D9D90000}"/>
    <cellStyle name="Note 2 8 5 2" xfId="55771" xr:uid="{00000000-0005-0000-0000-0000DAD90000}"/>
    <cellStyle name="Note 2 8 5 3" xfId="55772" xr:uid="{00000000-0005-0000-0000-0000DBD90000}"/>
    <cellStyle name="Note 2 8 6" xfId="55773" xr:uid="{00000000-0005-0000-0000-0000DCD90000}"/>
    <cellStyle name="Note 2 8 6 2" xfId="55774" xr:uid="{00000000-0005-0000-0000-0000DDD90000}"/>
    <cellStyle name="Note 2 8 6 3" xfId="55775" xr:uid="{00000000-0005-0000-0000-0000DED90000}"/>
    <cellStyle name="Note 2 8 7" xfId="55776" xr:uid="{00000000-0005-0000-0000-0000DFD90000}"/>
    <cellStyle name="Note 2 8 7 2" xfId="55777" xr:uid="{00000000-0005-0000-0000-0000E0D90000}"/>
    <cellStyle name="Note 2 8 7 3" xfId="55778" xr:uid="{00000000-0005-0000-0000-0000E1D90000}"/>
    <cellStyle name="Note 2 8 8" xfId="55779" xr:uid="{00000000-0005-0000-0000-0000E2D90000}"/>
    <cellStyle name="Note 2 8 8 2" xfId="55780" xr:uid="{00000000-0005-0000-0000-0000E3D90000}"/>
    <cellStyle name="Note 2 8 8 3" xfId="55781" xr:uid="{00000000-0005-0000-0000-0000E4D90000}"/>
    <cellStyle name="Note 2 8 9" xfId="55782" xr:uid="{00000000-0005-0000-0000-0000E5D90000}"/>
    <cellStyle name="Note 2 8 9 2" xfId="55783" xr:uid="{00000000-0005-0000-0000-0000E6D90000}"/>
    <cellStyle name="Note 2 8 9 3" xfId="55784" xr:uid="{00000000-0005-0000-0000-0000E7D90000}"/>
    <cellStyle name="Note 2 9" xfId="55785" xr:uid="{00000000-0005-0000-0000-0000E8D90000}"/>
    <cellStyle name="Note 20" xfId="55786" xr:uid="{00000000-0005-0000-0000-0000E9D90000}"/>
    <cellStyle name="Note 21" xfId="55787" xr:uid="{00000000-0005-0000-0000-0000EAD90000}"/>
    <cellStyle name="Note 22" xfId="55788" xr:uid="{00000000-0005-0000-0000-0000EBD90000}"/>
    <cellStyle name="Note 23" xfId="55789" xr:uid="{00000000-0005-0000-0000-0000ECD90000}"/>
    <cellStyle name="Note 24" xfId="55790" xr:uid="{00000000-0005-0000-0000-0000EDD90000}"/>
    <cellStyle name="Note 25" xfId="55791" xr:uid="{00000000-0005-0000-0000-0000EED90000}"/>
    <cellStyle name="Note 26" xfId="55792" xr:uid="{00000000-0005-0000-0000-0000EFD90000}"/>
    <cellStyle name="Note 27" xfId="55793" xr:uid="{00000000-0005-0000-0000-0000F0D90000}"/>
    <cellStyle name="Note 28" xfId="55794" xr:uid="{00000000-0005-0000-0000-0000F1D90000}"/>
    <cellStyle name="Note 29" xfId="55795" xr:uid="{00000000-0005-0000-0000-0000F2D90000}"/>
    <cellStyle name="Note 3" xfId="55796" xr:uid="{00000000-0005-0000-0000-0000F3D90000}"/>
    <cellStyle name="Note 3 2" xfId="55797" xr:uid="{00000000-0005-0000-0000-0000F4D90000}"/>
    <cellStyle name="Note 3 3" xfId="55798" xr:uid="{00000000-0005-0000-0000-0000F5D90000}"/>
    <cellStyle name="Note 3 4" xfId="55799" xr:uid="{00000000-0005-0000-0000-0000F6D90000}"/>
    <cellStyle name="Note 3 5" xfId="55800" xr:uid="{00000000-0005-0000-0000-0000F7D90000}"/>
    <cellStyle name="Note 3 6" xfId="55801" xr:uid="{00000000-0005-0000-0000-0000F8D90000}"/>
    <cellStyle name="Note 3 7" xfId="55802" xr:uid="{00000000-0005-0000-0000-0000F9D90000}"/>
    <cellStyle name="Note 30" xfId="55803" xr:uid="{00000000-0005-0000-0000-0000FAD90000}"/>
    <cellStyle name="Note 31" xfId="55804" xr:uid="{00000000-0005-0000-0000-0000FBD90000}"/>
    <cellStyle name="Note 32" xfId="55805" xr:uid="{00000000-0005-0000-0000-0000FCD90000}"/>
    <cellStyle name="Note 33" xfId="55806" xr:uid="{00000000-0005-0000-0000-0000FDD90000}"/>
    <cellStyle name="Note 34" xfId="55807" xr:uid="{00000000-0005-0000-0000-0000FED90000}"/>
    <cellStyle name="Note 35" xfId="55808" xr:uid="{00000000-0005-0000-0000-0000FFD90000}"/>
    <cellStyle name="Note 36" xfId="55809" xr:uid="{00000000-0005-0000-0000-000000DA0000}"/>
    <cellStyle name="Note 37" xfId="55810" xr:uid="{00000000-0005-0000-0000-000001DA0000}"/>
    <cellStyle name="Note 4" xfId="55811" xr:uid="{00000000-0005-0000-0000-000002DA0000}"/>
    <cellStyle name="Note 4 2" xfId="55812" xr:uid="{00000000-0005-0000-0000-000003DA0000}"/>
    <cellStyle name="Note 4 3" xfId="55813" xr:uid="{00000000-0005-0000-0000-000004DA0000}"/>
    <cellStyle name="Note 5" xfId="55814" xr:uid="{00000000-0005-0000-0000-000005DA0000}"/>
    <cellStyle name="Note 5 2" xfId="55815" xr:uid="{00000000-0005-0000-0000-000006DA0000}"/>
    <cellStyle name="Note 5 3" xfId="55816" xr:uid="{00000000-0005-0000-0000-000007DA0000}"/>
    <cellStyle name="Note 6" xfId="55817" xr:uid="{00000000-0005-0000-0000-000008DA0000}"/>
    <cellStyle name="Note 6 2" xfId="55818" xr:uid="{00000000-0005-0000-0000-000009DA0000}"/>
    <cellStyle name="Note 6 3" xfId="55819" xr:uid="{00000000-0005-0000-0000-00000ADA0000}"/>
    <cellStyle name="Note 7" xfId="55820" xr:uid="{00000000-0005-0000-0000-00000BDA0000}"/>
    <cellStyle name="Note 7 2" xfId="55821" xr:uid="{00000000-0005-0000-0000-00000CDA0000}"/>
    <cellStyle name="Note 7 3" xfId="55822" xr:uid="{00000000-0005-0000-0000-00000DDA0000}"/>
    <cellStyle name="Note 8" xfId="55823" xr:uid="{00000000-0005-0000-0000-00000EDA0000}"/>
    <cellStyle name="Note 8 2" xfId="55824" xr:uid="{00000000-0005-0000-0000-00000FDA0000}"/>
    <cellStyle name="Note 8 3" xfId="55825" xr:uid="{00000000-0005-0000-0000-000010DA0000}"/>
    <cellStyle name="Note 9" xfId="55826" xr:uid="{00000000-0005-0000-0000-000011DA0000}"/>
    <cellStyle name="Note 9 2" xfId="55827" xr:uid="{00000000-0005-0000-0000-000012DA0000}"/>
    <cellStyle name="Note 9 3" xfId="55828" xr:uid="{00000000-0005-0000-0000-000013DA0000}"/>
    <cellStyle name="Output 10" xfId="55829" xr:uid="{00000000-0005-0000-0000-000014DA0000}"/>
    <cellStyle name="Output 10 2" xfId="55830" xr:uid="{00000000-0005-0000-0000-000015DA0000}"/>
    <cellStyle name="Output 10 3" xfId="55831" xr:uid="{00000000-0005-0000-0000-000016DA0000}"/>
    <cellStyle name="Output 11" xfId="55832" xr:uid="{00000000-0005-0000-0000-000017DA0000}"/>
    <cellStyle name="Output 11 2" xfId="55833" xr:uid="{00000000-0005-0000-0000-000018DA0000}"/>
    <cellStyle name="Output 11 3" xfId="55834" xr:uid="{00000000-0005-0000-0000-000019DA0000}"/>
    <cellStyle name="Output 12" xfId="55835" xr:uid="{00000000-0005-0000-0000-00001ADA0000}"/>
    <cellStyle name="Output 12 2" xfId="55836" xr:uid="{00000000-0005-0000-0000-00001BDA0000}"/>
    <cellStyle name="Output 12 3" xfId="55837" xr:uid="{00000000-0005-0000-0000-00001CDA0000}"/>
    <cellStyle name="Output 13" xfId="55838" xr:uid="{00000000-0005-0000-0000-00001DDA0000}"/>
    <cellStyle name="Output 13 2" xfId="55839" xr:uid="{00000000-0005-0000-0000-00001EDA0000}"/>
    <cellStyle name="Output 13 3" xfId="55840" xr:uid="{00000000-0005-0000-0000-00001FDA0000}"/>
    <cellStyle name="Output 14" xfId="55841" xr:uid="{00000000-0005-0000-0000-000020DA0000}"/>
    <cellStyle name="Output 14 2" xfId="55842" xr:uid="{00000000-0005-0000-0000-000021DA0000}"/>
    <cellStyle name="Output 14 3" xfId="55843" xr:uid="{00000000-0005-0000-0000-000022DA0000}"/>
    <cellStyle name="Output 15" xfId="55844" xr:uid="{00000000-0005-0000-0000-000023DA0000}"/>
    <cellStyle name="Output 15 2" xfId="55845" xr:uid="{00000000-0005-0000-0000-000024DA0000}"/>
    <cellStyle name="Output 15 3" xfId="55846" xr:uid="{00000000-0005-0000-0000-000025DA0000}"/>
    <cellStyle name="Output 15 4" xfId="55847" xr:uid="{00000000-0005-0000-0000-000026DA0000}"/>
    <cellStyle name="Output 15 5" xfId="55848" xr:uid="{00000000-0005-0000-0000-000027DA0000}"/>
    <cellStyle name="Output 15 6" xfId="55849" xr:uid="{00000000-0005-0000-0000-000028DA0000}"/>
    <cellStyle name="Output 15 7" xfId="55850" xr:uid="{00000000-0005-0000-0000-000029DA0000}"/>
    <cellStyle name="Output 16" xfId="55851" xr:uid="{00000000-0005-0000-0000-00002ADA0000}"/>
    <cellStyle name="Output 17" xfId="55852" xr:uid="{00000000-0005-0000-0000-00002BDA0000}"/>
    <cellStyle name="Output 18" xfId="55853" xr:uid="{00000000-0005-0000-0000-00002CDA0000}"/>
    <cellStyle name="Output 19" xfId="55854" xr:uid="{00000000-0005-0000-0000-00002DDA0000}"/>
    <cellStyle name="Output 2" xfId="55855" xr:uid="{00000000-0005-0000-0000-00002EDA0000}"/>
    <cellStyle name="Output 2 10" xfId="55856" xr:uid="{00000000-0005-0000-0000-00002FDA0000}"/>
    <cellStyle name="Output 2 11" xfId="55857" xr:uid="{00000000-0005-0000-0000-000030DA0000}"/>
    <cellStyle name="Output 2 12" xfId="55858" xr:uid="{00000000-0005-0000-0000-000031DA0000}"/>
    <cellStyle name="Output 2 13" xfId="55859" xr:uid="{00000000-0005-0000-0000-000032DA0000}"/>
    <cellStyle name="Output 2 14" xfId="55860" xr:uid="{00000000-0005-0000-0000-000033DA0000}"/>
    <cellStyle name="Output 2 2" xfId="55861" xr:uid="{00000000-0005-0000-0000-000034DA0000}"/>
    <cellStyle name="Output 2 3" xfId="55862" xr:uid="{00000000-0005-0000-0000-000035DA0000}"/>
    <cellStyle name="Output 2 4" xfId="55863" xr:uid="{00000000-0005-0000-0000-000036DA0000}"/>
    <cellStyle name="Output 2 5" xfId="55864" xr:uid="{00000000-0005-0000-0000-000037DA0000}"/>
    <cellStyle name="Output 2 6" xfId="55865" xr:uid="{00000000-0005-0000-0000-000038DA0000}"/>
    <cellStyle name="Output 2 7" xfId="55866" xr:uid="{00000000-0005-0000-0000-000039DA0000}"/>
    <cellStyle name="Output 2 8" xfId="55867" xr:uid="{00000000-0005-0000-0000-00003ADA0000}"/>
    <cellStyle name="Output 2 9" xfId="55868" xr:uid="{00000000-0005-0000-0000-00003BDA0000}"/>
    <cellStyle name="Output 20" xfId="55869" xr:uid="{00000000-0005-0000-0000-00003CDA0000}"/>
    <cellStyle name="Output 21" xfId="55870" xr:uid="{00000000-0005-0000-0000-00003DDA0000}"/>
    <cellStyle name="Output 22" xfId="55871" xr:uid="{00000000-0005-0000-0000-00003EDA0000}"/>
    <cellStyle name="Output 23" xfId="55872" xr:uid="{00000000-0005-0000-0000-00003FDA0000}"/>
    <cellStyle name="Output 24" xfId="55873" xr:uid="{00000000-0005-0000-0000-000040DA0000}"/>
    <cellStyle name="Output 25" xfId="55874" xr:uid="{00000000-0005-0000-0000-000041DA0000}"/>
    <cellStyle name="Output 26" xfId="55875" xr:uid="{00000000-0005-0000-0000-000042DA0000}"/>
    <cellStyle name="Output 27" xfId="55876" xr:uid="{00000000-0005-0000-0000-000043DA0000}"/>
    <cellStyle name="Output 28" xfId="55877" xr:uid="{00000000-0005-0000-0000-000044DA0000}"/>
    <cellStyle name="Output 29" xfId="55878" xr:uid="{00000000-0005-0000-0000-000045DA0000}"/>
    <cellStyle name="Output 3" xfId="55879" xr:uid="{00000000-0005-0000-0000-000046DA0000}"/>
    <cellStyle name="Output 3 2" xfId="55880" xr:uid="{00000000-0005-0000-0000-000047DA0000}"/>
    <cellStyle name="Output 3 3" xfId="55881" xr:uid="{00000000-0005-0000-0000-000048DA0000}"/>
    <cellStyle name="Output 30" xfId="55882" xr:uid="{00000000-0005-0000-0000-000049DA0000}"/>
    <cellStyle name="Output 31" xfId="55883" xr:uid="{00000000-0005-0000-0000-00004ADA0000}"/>
    <cellStyle name="Output 32" xfId="55884" xr:uid="{00000000-0005-0000-0000-00004BDA0000}"/>
    <cellStyle name="Output 33" xfId="55885" xr:uid="{00000000-0005-0000-0000-00004CDA0000}"/>
    <cellStyle name="Output 34" xfId="55886" xr:uid="{00000000-0005-0000-0000-00004DDA0000}"/>
    <cellStyle name="Output 4" xfId="55887" xr:uid="{00000000-0005-0000-0000-00004EDA0000}"/>
    <cellStyle name="Output 4 2" xfId="55888" xr:uid="{00000000-0005-0000-0000-00004FDA0000}"/>
    <cellStyle name="Output 4 3" xfId="55889" xr:uid="{00000000-0005-0000-0000-000050DA0000}"/>
    <cellStyle name="Output 5" xfId="55890" xr:uid="{00000000-0005-0000-0000-000051DA0000}"/>
    <cellStyle name="Output 5 2" xfId="55891" xr:uid="{00000000-0005-0000-0000-000052DA0000}"/>
    <cellStyle name="Output 5 3" xfId="55892" xr:uid="{00000000-0005-0000-0000-000053DA0000}"/>
    <cellStyle name="Output 6" xfId="55893" xr:uid="{00000000-0005-0000-0000-000054DA0000}"/>
    <cellStyle name="Output 6 2" xfId="55894" xr:uid="{00000000-0005-0000-0000-000055DA0000}"/>
    <cellStyle name="Output 6 3" xfId="55895" xr:uid="{00000000-0005-0000-0000-000056DA0000}"/>
    <cellStyle name="Output 7" xfId="55896" xr:uid="{00000000-0005-0000-0000-000057DA0000}"/>
    <cellStyle name="Output 7 2" xfId="55897" xr:uid="{00000000-0005-0000-0000-000058DA0000}"/>
    <cellStyle name="Output 7 3" xfId="55898" xr:uid="{00000000-0005-0000-0000-000059DA0000}"/>
    <cellStyle name="Output 8" xfId="55899" xr:uid="{00000000-0005-0000-0000-00005ADA0000}"/>
    <cellStyle name="Output 8 2" xfId="55900" xr:uid="{00000000-0005-0000-0000-00005BDA0000}"/>
    <cellStyle name="Output 8 3" xfId="55901" xr:uid="{00000000-0005-0000-0000-00005CDA0000}"/>
    <cellStyle name="Output 9" xfId="55902" xr:uid="{00000000-0005-0000-0000-00005DDA0000}"/>
    <cellStyle name="Output 9 2" xfId="55903" xr:uid="{00000000-0005-0000-0000-00005EDA0000}"/>
    <cellStyle name="Output 9 3" xfId="55904" xr:uid="{00000000-0005-0000-0000-00005FDA0000}"/>
    <cellStyle name="Percent" xfId="6" builtinId="5"/>
    <cellStyle name="Percent 10" xfId="55905" xr:uid="{00000000-0005-0000-0000-000061DA0000}"/>
    <cellStyle name="Percent 10 10" xfId="55906" xr:uid="{00000000-0005-0000-0000-000062DA0000}"/>
    <cellStyle name="Percent 10 11" xfId="55907" xr:uid="{00000000-0005-0000-0000-000063DA0000}"/>
    <cellStyle name="Percent 10 2" xfId="55908" xr:uid="{00000000-0005-0000-0000-000064DA0000}"/>
    <cellStyle name="Percent 10 2 10" xfId="55909" xr:uid="{00000000-0005-0000-0000-000065DA0000}"/>
    <cellStyle name="Percent 10 2 11" xfId="55910" xr:uid="{00000000-0005-0000-0000-000066DA0000}"/>
    <cellStyle name="Percent 10 2 12" xfId="55911" xr:uid="{00000000-0005-0000-0000-000067DA0000}"/>
    <cellStyle name="Percent 10 2 13" xfId="55912" xr:uid="{00000000-0005-0000-0000-000068DA0000}"/>
    <cellStyle name="Percent 10 2 14" xfId="55913" xr:uid="{00000000-0005-0000-0000-000069DA0000}"/>
    <cellStyle name="Percent 10 2 15" xfId="55914" xr:uid="{00000000-0005-0000-0000-00006ADA0000}"/>
    <cellStyle name="Percent 10 2 16" xfId="55915" xr:uid="{00000000-0005-0000-0000-00006BDA0000}"/>
    <cellStyle name="Percent 10 2 17" xfId="55916" xr:uid="{00000000-0005-0000-0000-00006CDA0000}"/>
    <cellStyle name="Percent 10 2 18" xfId="55917" xr:uid="{00000000-0005-0000-0000-00006DDA0000}"/>
    <cellStyle name="Percent 10 2 2" xfId="55918" xr:uid="{00000000-0005-0000-0000-00006EDA0000}"/>
    <cellStyle name="Percent 10 2 2 2" xfId="55919" xr:uid="{00000000-0005-0000-0000-00006FDA0000}"/>
    <cellStyle name="Percent 10 2 2 2 2" xfId="55920" xr:uid="{00000000-0005-0000-0000-000070DA0000}"/>
    <cellStyle name="Percent 10 2 2 2 3" xfId="55921" xr:uid="{00000000-0005-0000-0000-000071DA0000}"/>
    <cellStyle name="Percent 10 2 2 3" xfId="55922" xr:uid="{00000000-0005-0000-0000-000072DA0000}"/>
    <cellStyle name="Percent 10 2 2 4" xfId="55923" xr:uid="{00000000-0005-0000-0000-000073DA0000}"/>
    <cellStyle name="Percent 10 2 3" xfId="55924" xr:uid="{00000000-0005-0000-0000-000074DA0000}"/>
    <cellStyle name="Percent 10 2 4" xfId="55925" xr:uid="{00000000-0005-0000-0000-000075DA0000}"/>
    <cellStyle name="Percent 10 2 5" xfId="55926" xr:uid="{00000000-0005-0000-0000-000076DA0000}"/>
    <cellStyle name="Percent 10 2 6" xfId="55927" xr:uid="{00000000-0005-0000-0000-000077DA0000}"/>
    <cellStyle name="Percent 10 2 6 2" xfId="55928" xr:uid="{00000000-0005-0000-0000-000078DA0000}"/>
    <cellStyle name="Percent 10 2 6 2 2" xfId="55929" xr:uid="{00000000-0005-0000-0000-000079DA0000}"/>
    <cellStyle name="Percent 10 2 6 2 3" xfId="55930" xr:uid="{00000000-0005-0000-0000-00007ADA0000}"/>
    <cellStyle name="Percent 10 2 6 3" xfId="55931" xr:uid="{00000000-0005-0000-0000-00007BDA0000}"/>
    <cellStyle name="Percent 10 2 7" xfId="55932" xr:uid="{00000000-0005-0000-0000-00007CDA0000}"/>
    <cellStyle name="Percent 10 2 8" xfId="55933" xr:uid="{00000000-0005-0000-0000-00007DDA0000}"/>
    <cellStyle name="Percent 10 2 9" xfId="55934" xr:uid="{00000000-0005-0000-0000-00007EDA0000}"/>
    <cellStyle name="Percent 10 3" xfId="55935" xr:uid="{00000000-0005-0000-0000-00007FDA0000}"/>
    <cellStyle name="Percent 10 4" xfId="55936" xr:uid="{00000000-0005-0000-0000-000080DA0000}"/>
    <cellStyle name="Percent 10 5" xfId="55937" xr:uid="{00000000-0005-0000-0000-000081DA0000}"/>
    <cellStyle name="Percent 10 6" xfId="55938" xr:uid="{00000000-0005-0000-0000-000082DA0000}"/>
    <cellStyle name="Percent 10 7" xfId="55939" xr:uid="{00000000-0005-0000-0000-000083DA0000}"/>
    <cellStyle name="Percent 10 8" xfId="55940" xr:uid="{00000000-0005-0000-0000-000084DA0000}"/>
    <cellStyle name="Percent 10 9" xfId="55941" xr:uid="{00000000-0005-0000-0000-000085DA0000}"/>
    <cellStyle name="Percent 101" xfId="55942" xr:uid="{00000000-0005-0000-0000-000086DA0000}"/>
    <cellStyle name="Percent 11" xfId="55943" xr:uid="{00000000-0005-0000-0000-000087DA0000}"/>
    <cellStyle name="Percent 11 2" xfId="55944" xr:uid="{00000000-0005-0000-0000-000088DA0000}"/>
    <cellStyle name="Percent 12" xfId="55945" xr:uid="{00000000-0005-0000-0000-000089DA0000}"/>
    <cellStyle name="Percent 12 2" xfId="55946" xr:uid="{00000000-0005-0000-0000-00008ADA0000}"/>
    <cellStyle name="Percent 13" xfId="55947" xr:uid="{00000000-0005-0000-0000-00008BDA0000}"/>
    <cellStyle name="Percent 13 2" xfId="55948" xr:uid="{00000000-0005-0000-0000-00008CDA0000}"/>
    <cellStyle name="Percent 14" xfId="55949" xr:uid="{00000000-0005-0000-0000-00008DDA0000}"/>
    <cellStyle name="Percent 14 2" xfId="55950" xr:uid="{00000000-0005-0000-0000-00008EDA0000}"/>
    <cellStyle name="Percent 15" xfId="55951" xr:uid="{00000000-0005-0000-0000-00008FDA0000}"/>
    <cellStyle name="Percent 15 2" xfId="55952" xr:uid="{00000000-0005-0000-0000-000090DA0000}"/>
    <cellStyle name="Percent 16" xfId="55953" xr:uid="{00000000-0005-0000-0000-000091DA0000}"/>
    <cellStyle name="Percent 16 2" xfId="55954" xr:uid="{00000000-0005-0000-0000-000092DA0000}"/>
    <cellStyle name="Percent 17" xfId="55955" xr:uid="{00000000-0005-0000-0000-000093DA0000}"/>
    <cellStyle name="Percent 17 2" xfId="55956" xr:uid="{00000000-0005-0000-0000-000094DA0000}"/>
    <cellStyle name="Percent 18" xfId="55957" xr:uid="{00000000-0005-0000-0000-000095DA0000}"/>
    <cellStyle name="Percent 18 2" xfId="55958" xr:uid="{00000000-0005-0000-0000-000096DA0000}"/>
    <cellStyle name="Percent 19" xfId="55959" xr:uid="{00000000-0005-0000-0000-000097DA0000}"/>
    <cellStyle name="Percent 19 2" xfId="55960" xr:uid="{00000000-0005-0000-0000-000098DA0000}"/>
    <cellStyle name="Percent 2" xfId="31" xr:uid="{00000000-0005-0000-0000-000099DA0000}"/>
    <cellStyle name="Percent 2 10" xfId="55962" xr:uid="{00000000-0005-0000-0000-00009ADA0000}"/>
    <cellStyle name="Percent 2 11" xfId="55963" xr:uid="{00000000-0005-0000-0000-00009BDA0000}"/>
    <cellStyle name="Percent 2 12" xfId="55964" xr:uid="{00000000-0005-0000-0000-00009CDA0000}"/>
    <cellStyle name="Percent 2 13" xfId="55965" xr:uid="{00000000-0005-0000-0000-00009DDA0000}"/>
    <cellStyle name="Percent 2 14" xfId="55966" xr:uid="{00000000-0005-0000-0000-00009EDA0000}"/>
    <cellStyle name="Percent 2 15" xfId="55967" xr:uid="{00000000-0005-0000-0000-00009FDA0000}"/>
    <cellStyle name="Percent 2 16" xfId="55968" xr:uid="{00000000-0005-0000-0000-0000A0DA0000}"/>
    <cellStyle name="Percent 2 17" xfId="55969" xr:uid="{00000000-0005-0000-0000-0000A1DA0000}"/>
    <cellStyle name="Percent 2 18" xfId="55970" xr:uid="{00000000-0005-0000-0000-0000A2DA0000}"/>
    <cellStyle name="Percent 2 19" xfId="55971" xr:uid="{00000000-0005-0000-0000-0000A3DA0000}"/>
    <cellStyle name="Percent 2 2" xfId="55972" xr:uid="{00000000-0005-0000-0000-0000A4DA0000}"/>
    <cellStyle name="Percent 2 2 10" xfId="55973" xr:uid="{00000000-0005-0000-0000-0000A5DA0000}"/>
    <cellStyle name="Percent 2 2 10 2" xfId="55974" xr:uid="{00000000-0005-0000-0000-0000A6DA0000}"/>
    <cellStyle name="Percent 2 2 10 3" xfId="55975" xr:uid="{00000000-0005-0000-0000-0000A7DA0000}"/>
    <cellStyle name="Percent 2 2 11" xfId="55976" xr:uid="{00000000-0005-0000-0000-0000A8DA0000}"/>
    <cellStyle name="Percent 2 2 11 2" xfId="55977" xr:uid="{00000000-0005-0000-0000-0000A9DA0000}"/>
    <cellStyle name="Percent 2 2 11 3" xfId="55978" xr:uid="{00000000-0005-0000-0000-0000AADA0000}"/>
    <cellStyle name="Percent 2 2 12" xfId="55979" xr:uid="{00000000-0005-0000-0000-0000ABDA0000}"/>
    <cellStyle name="Percent 2 2 12 2" xfId="55980" xr:uid="{00000000-0005-0000-0000-0000ACDA0000}"/>
    <cellStyle name="Percent 2 2 12 3" xfId="55981" xr:uid="{00000000-0005-0000-0000-0000ADDA0000}"/>
    <cellStyle name="Percent 2 2 13" xfId="55982" xr:uid="{00000000-0005-0000-0000-0000AEDA0000}"/>
    <cellStyle name="Percent 2 2 13 2" xfId="55983" xr:uid="{00000000-0005-0000-0000-0000AFDA0000}"/>
    <cellStyle name="Percent 2 2 13 3" xfId="55984" xr:uid="{00000000-0005-0000-0000-0000B0DA0000}"/>
    <cellStyle name="Percent 2 2 14" xfId="55985" xr:uid="{00000000-0005-0000-0000-0000B1DA0000}"/>
    <cellStyle name="Percent 2 2 14 2" xfId="55986" xr:uid="{00000000-0005-0000-0000-0000B2DA0000}"/>
    <cellStyle name="Percent 2 2 14 3" xfId="55987" xr:uid="{00000000-0005-0000-0000-0000B3DA0000}"/>
    <cellStyle name="Percent 2 2 15" xfId="55988" xr:uid="{00000000-0005-0000-0000-0000B4DA0000}"/>
    <cellStyle name="Percent 2 2 16" xfId="55989" xr:uid="{00000000-0005-0000-0000-0000B5DA0000}"/>
    <cellStyle name="Percent 2 2 17" xfId="55990" xr:uid="{00000000-0005-0000-0000-0000B6DA0000}"/>
    <cellStyle name="Percent 2 2 18" xfId="55991" xr:uid="{00000000-0005-0000-0000-0000B7DA0000}"/>
    <cellStyle name="Percent 2 2 19" xfId="55992" xr:uid="{00000000-0005-0000-0000-0000B8DA0000}"/>
    <cellStyle name="Percent 2 2 2" xfId="55993" xr:uid="{00000000-0005-0000-0000-0000B9DA0000}"/>
    <cellStyle name="Percent 2 2 2 10" xfId="55994" xr:uid="{00000000-0005-0000-0000-0000BADA0000}"/>
    <cellStyle name="Percent 2 2 2 2" xfId="55995" xr:uid="{00000000-0005-0000-0000-0000BBDA0000}"/>
    <cellStyle name="Percent 2 2 2 3" xfId="55996" xr:uid="{00000000-0005-0000-0000-0000BCDA0000}"/>
    <cellStyle name="Percent 2 2 2 4" xfId="55997" xr:uid="{00000000-0005-0000-0000-0000BDDA0000}"/>
    <cellStyle name="Percent 2 2 2 5" xfId="55998" xr:uid="{00000000-0005-0000-0000-0000BEDA0000}"/>
    <cellStyle name="Percent 2 2 2 6" xfId="55999" xr:uid="{00000000-0005-0000-0000-0000BFDA0000}"/>
    <cellStyle name="Percent 2 2 2 7" xfId="56000" xr:uid="{00000000-0005-0000-0000-0000C0DA0000}"/>
    <cellStyle name="Percent 2 2 2 8" xfId="56001" xr:uid="{00000000-0005-0000-0000-0000C1DA0000}"/>
    <cellStyle name="Percent 2 2 2 9" xfId="56002" xr:uid="{00000000-0005-0000-0000-0000C2DA0000}"/>
    <cellStyle name="Percent 2 2 20" xfId="56003" xr:uid="{00000000-0005-0000-0000-0000C3DA0000}"/>
    <cellStyle name="Percent 2 2 21" xfId="56004" xr:uid="{00000000-0005-0000-0000-0000C4DA0000}"/>
    <cellStyle name="Percent 2 2 22" xfId="56005" xr:uid="{00000000-0005-0000-0000-0000C5DA0000}"/>
    <cellStyle name="Percent 2 2 22 2" xfId="56006" xr:uid="{00000000-0005-0000-0000-0000C6DA0000}"/>
    <cellStyle name="Percent 2 2 22 2 2" xfId="56007" xr:uid="{00000000-0005-0000-0000-0000C7DA0000}"/>
    <cellStyle name="Percent 2 2 22 2 3" xfId="56008" xr:uid="{00000000-0005-0000-0000-0000C8DA0000}"/>
    <cellStyle name="Percent 2 2 22 3" xfId="56009" xr:uid="{00000000-0005-0000-0000-0000C9DA0000}"/>
    <cellStyle name="Percent 2 2 23" xfId="56010" xr:uid="{00000000-0005-0000-0000-0000CADA0000}"/>
    <cellStyle name="Percent 2 2 23 2" xfId="56011" xr:uid="{00000000-0005-0000-0000-0000CBDA0000}"/>
    <cellStyle name="Percent 2 2 23 2 2" xfId="56012" xr:uid="{00000000-0005-0000-0000-0000CCDA0000}"/>
    <cellStyle name="Percent 2 2 23 2 3" xfId="56013" xr:uid="{00000000-0005-0000-0000-0000CDDA0000}"/>
    <cellStyle name="Percent 2 2 23 3" xfId="56014" xr:uid="{00000000-0005-0000-0000-0000CEDA0000}"/>
    <cellStyle name="Percent 2 2 24" xfId="56015" xr:uid="{00000000-0005-0000-0000-0000CFDA0000}"/>
    <cellStyle name="Percent 2 2 25" xfId="56016" xr:uid="{00000000-0005-0000-0000-0000D0DA0000}"/>
    <cellStyle name="Percent 2 2 26" xfId="56017" xr:uid="{00000000-0005-0000-0000-0000D1DA0000}"/>
    <cellStyle name="Percent 2 2 27" xfId="56018" xr:uid="{00000000-0005-0000-0000-0000D2DA0000}"/>
    <cellStyle name="Percent 2 2 28" xfId="56019" xr:uid="{00000000-0005-0000-0000-0000D3DA0000}"/>
    <cellStyle name="Percent 2 2 29" xfId="56020" xr:uid="{00000000-0005-0000-0000-0000D4DA0000}"/>
    <cellStyle name="Percent 2 2 3" xfId="56021" xr:uid="{00000000-0005-0000-0000-0000D5DA0000}"/>
    <cellStyle name="Percent 2 2 3 2" xfId="56022" xr:uid="{00000000-0005-0000-0000-0000D6DA0000}"/>
    <cellStyle name="Percent 2 2 3 3" xfId="56023" xr:uid="{00000000-0005-0000-0000-0000D7DA0000}"/>
    <cellStyle name="Percent 2 2 30" xfId="56024" xr:uid="{00000000-0005-0000-0000-0000D8DA0000}"/>
    <cellStyle name="Percent 2 2 31" xfId="56025" xr:uid="{00000000-0005-0000-0000-0000D9DA0000}"/>
    <cellStyle name="Percent 2 2 32" xfId="56026" xr:uid="{00000000-0005-0000-0000-0000DADA0000}"/>
    <cellStyle name="Percent 2 2 33" xfId="56027" xr:uid="{00000000-0005-0000-0000-0000DBDA0000}"/>
    <cellStyle name="Percent 2 2 34" xfId="56028" xr:uid="{00000000-0005-0000-0000-0000DCDA0000}"/>
    <cellStyle name="Percent 2 2 4" xfId="56029" xr:uid="{00000000-0005-0000-0000-0000DDDA0000}"/>
    <cellStyle name="Percent 2 2 4 2" xfId="56030" xr:uid="{00000000-0005-0000-0000-0000DEDA0000}"/>
    <cellStyle name="Percent 2 2 4 3" xfId="56031" xr:uid="{00000000-0005-0000-0000-0000DFDA0000}"/>
    <cellStyle name="Percent 2 2 5" xfId="56032" xr:uid="{00000000-0005-0000-0000-0000E0DA0000}"/>
    <cellStyle name="Percent 2 2 5 2" xfId="56033" xr:uid="{00000000-0005-0000-0000-0000E1DA0000}"/>
    <cellStyle name="Percent 2 2 5 3" xfId="56034" xr:uid="{00000000-0005-0000-0000-0000E2DA0000}"/>
    <cellStyle name="Percent 2 2 6" xfId="56035" xr:uid="{00000000-0005-0000-0000-0000E3DA0000}"/>
    <cellStyle name="Percent 2 2 6 2" xfId="56036" xr:uid="{00000000-0005-0000-0000-0000E4DA0000}"/>
    <cellStyle name="Percent 2 2 6 3" xfId="56037" xr:uid="{00000000-0005-0000-0000-0000E5DA0000}"/>
    <cellStyle name="Percent 2 2 7" xfId="56038" xr:uid="{00000000-0005-0000-0000-0000E6DA0000}"/>
    <cellStyle name="Percent 2 2 7 2" xfId="56039" xr:uid="{00000000-0005-0000-0000-0000E7DA0000}"/>
    <cellStyle name="Percent 2 2 7 3" xfId="56040" xr:uid="{00000000-0005-0000-0000-0000E8DA0000}"/>
    <cellStyle name="Percent 2 2 8" xfId="56041" xr:uid="{00000000-0005-0000-0000-0000E9DA0000}"/>
    <cellStyle name="Percent 2 2 8 2" xfId="56042" xr:uid="{00000000-0005-0000-0000-0000EADA0000}"/>
    <cellStyle name="Percent 2 2 8 3" xfId="56043" xr:uid="{00000000-0005-0000-0000-0000EBDA0000}"/>
    <cellStyle name="Percent 2 2 9" xfId="56044" xr:uid="{00000000-0005-0000-0000-0000ECDA0000}"/>
    <cellStyle name="Percent 2 2 9 2" xfId="56045" xr:uid="{00000000-0005-0000-0000-0000EDDA0000}"/>
    <cellStyle name="Percent 2 2 9 3" xfId="56046" xr:uid="{00000000-0005-0000-0000-0000EEDA0000}"/>
    <cellStyle name="Percent 2 20" xfId="56047" xr:uid="{00000000-0005-0000-0000-0000EFDA0000}"/>
    <cellStyle name="Percent 2 21" xfId="56048" xr:uid="{00000000-0005-0000-0000-0000F0DA0000}"/>
    <cellStyle name="Percent 2 22" xfId="56049" xr:uid="{00000000-0005-0000-0000-0000F1DA0000}"/>
    <cellStyle name="Percent 2 23" xfId="56050" xr:uid="{00000000-0005-0000-0000-0000F2DA0000}"/>
    <cellStyle name="Percent 2 24" xfId="56051" xr:uid="{00000000-0005-0000-0000-0000F3DA0000}"/>
    <cellStyle name="Percent 2 25" xfId="56052" xr:uid="{00000000-0005-0000-0000-0000F4DA0000}"/>
    <cellStyle name="Percent 2 26" xfId="56053" xr:uid="{00000000-0005-0000-0000-0000F5DA0000}"/>
    <cellStyle name="Percent 2 27" xfId="56054" xr:uid="{00000000-0005-0000-0000-0000F6DA0000}"/>
    <cellStyle name="Percent 2 27 10" xfId="56055" xr:uid="{00000000-0005-0000-0000-0000F7DA0000}"/>
    <cellStyle name="Percent 2 27 11" xfId="56056" xr:uid="{00000000-0005-0000-0000-0000F8DA0000}"/>
    <cellStyle name="Percent 2 27 12" xfId="56057" xr:uid="{00000000-0005-0000-0000-0000F9DA0000}"/>
    <cellStyle name="Percent 2 27 13" xfId="56058" xr:uid="{00000000-0005-0000-0000-0000FADA0000}"/>
    <cellStyle name="Percent 2 27 14" xfId="56059" xr:uid="{00000000-0005-0000-0000-0000FBDA0000}"/>
    <cellStyle name="Percent 2 27 2" xfId="56060" xr:uid="{00000000-0005-0000-0000-0000FCDA0000}"/>
    <cellStyle name="Percent 2 27 2 2" xfId="56061" xr:uid="{00000000-0005-0000-0000-0000FDDA0000}"/>
    <cellStyle name="Percent 2 27 2 2 2" xfId="56062" xr:uid="{00000000-0005-0000-0000-0000FEDA0000}"/>
    <cellStyle name="Percent 2 27 2 2 3" xfId="56063" xr:uid="{00000000-0005-0000-0000-0000FFDA0000}"/>
    <cellStyle name="Percent 2 27 2 3" xfId="56064" xr:uid="{00000000-0005-0000-0000-000000DB0000}"/>
    <cellStyle name="Percent 2 27 3" xfId="56065" xr:uid="{00000000-0005-0000-0000-000001DB0000}"/>
    <cellStyle name="Percent 2 27 4" xfId="56066" xr:uid="{00000000-0005-0000-0000-000002DB0000}"/>
    <cellStyle name="Percent 2 27 5" xfId="56067" xr:uid="{00000000-0005-0000-0000-000003DB0000}"/>
    <cellStyle name="Percent 2 27 6" xfId="56068" xr:uid="{00000000-0005-0000-0000-000004DB0000}"/>
    <cellStyle name="Percent 2 27 7" xfId="56069" xr:uid="{00000000-0005-0000-0000-000005DB0000}"/>
    <cellStyle name="Percent 2 27 8" xfId="56070" xr:uid="{00000000-0005-0000-0000-000006DB0000}"/>
    <cellStyle name="Percent 2 27 9" xfId="56071" xr:uid="{00000000-0005-0000-0000-000007DB0000}"/>
    <cellStyle name="Percent 2 28" xfId="56072" xr:uid="{00000000-0005-0000-0000-000008DB0000}"/>
    <cellStyle name="Percent 2 28 2" xfId="56073" xr:uid="{00000000-0005-0000-0000-000009DB0000}"/>
    <cellStyle name="Percent 2 28 2 2" xfId="56074" xr:uid="{00000000-0005-0000-0000-00000ADB0000}"/>
    <cellStyle name="Percent 2 28 2 3" xfId="56075" xr:uid="{00000000-0005-0000-0000-00000BDB0000}"/>
    <cellStyle name="Percent 2 28 3" xfId="56076" xr:uid="{00000000-0005-0000-0000-00000CDB0000}"/>
    <cellStyle name="Percent 2 29" xfId="56077" xr:uid="{00000000-0005-0000-0000-00000DDB0000}"/>
    <cellStyle name="Percent 2 29 2" xfId="56078" xr:uid="{00000000-0005-0000-0000-00000EDB0000}"/>
    <cellStyle name="Percent 2 29 2 2" xfId="56079" xr:uid="{00000000-0005-0000-0000-00000FDB0000}"/>
    <cellStyle name="Percent 2 29 2 3" xfId="56080" xr:uid="{00000000-0005-0000-0000-000010DB0000}"/>
    <cellStyle name="Percent 2 29 3" xfId="56081" xr:uid="{00000000-0005-0000-0000-000011DB0000}"/>
    <cellStyle name="Percent 2 3" xfId="56082" xr:uid="{00000000-0005-0000-0000-000012DB0000}"/>
    <cellStyle name="Percent 2 3 10" xfId="56083" xr:uid="{00000000-0005-0000-0000-000013DB0000}"/>
    <cellStyle name="Percent 2 3 11" xfId="56084" xr:uid="{00000000-0005-0000-0000-000014DB0000}"/>
    <cellStyle name="Percent 2 3 11 2" xfId="56085" xr:uid="{00000000-0005-0000-0000-000015DB0000}"/>
    <cellStyle name="Percent 2 3 11 2 2" xfId="56086" xr:uid="{00000000-0005-0000-0000-000016DB0000}"/>
    <cellStyle name="Percent 2 3 11 2 3" xfId="56087" xr:uid="{00000000-0005-0000-0000-000017DB0000}"/>
    <cellStyle name="Percent 2 3 11 3" xfId="56088" xr:uid="{00000000-0005-0000-0000-000018DB0000}"/>
    <cellStyle name="Percent 2 3 12" xfId="56089" xr:uid="{00000000-0005-0000-0000-000019DB0000}"/>
    <cellStyle name="Percent 2 3 12 2" xfId="56090" xr:uid="{00000000-0005-0000-0000-00001ADB0000}"/>
    <cellStyle name="Percent 2 3 12 2 2" xfId="56091" xr:uid="{00000000-0005-0000-0000-00001BDB0000}"/>
    <cellStyle name="Percent 2 3 12 2 3" xfId="56092" xr:uid="{00000000-0005-0000-0000-00001CDB0000}"/>
    <cellStyle name="Percent 2 3 12 3" xfId="56093" xr:uid="{00000000-0005-0000-0000-00001DDB0000}"/>
    <cellStyle name="Percent 2 3 13" xfId="56094" xr:uid="{00000000-0005-0000-0000-00001EDB0000}"/>
    <cellStyle name="Percent 2 3 14" xfId="56095" xr:uid="{00000000-0005-0000-0000-00001FDB0000}"/>
    <cellStyle name="Percent 2 3 15" xfId="56096" xr:uid="{00000000-0005-0000-0000-000020DB0000}"/>
    <cellStyle name="Percent 2 3 16" xfId="56097" xr:uid="{00000000-0005-0000-0000-000021DB0000}"/>
    <cellStyle name="Percent 2 3 17" xfId="56098" xr:uid="{00000000-0005-0000-0000-000022DB0000}"/>
    <cellStyle name="Percent 2 3 18" xfId="56099" xr:uid="{00000000-0005-0000-0000-000023DB0000}"/>
    <cellStyle name="Percent 2 3 19" xfId="56100" xr:uid="{00000000-0005-0000-0000-000024DB0000}"/>
    <cellStyle name="Percent 2 3 2" xfId="56101" xr:uid="{00000000-0005-0000-0000-000025DB0000}"/>
    <cellStyle name="Percent 2 3 20" xfId="56102" xr:uid="{00000000-0005-0000-0000-000026DB0000}"/>
    <cellStyle name="Percent 2 3 21" xfId="56103" xr:uid="{00000000-0005-0000-0000-000027DB0000}"/>
    <cellStyle name="Percent 2 3 22" xfId="56104" xr:uid="{00000000-0005-0000-0000-000028DB0000}"/>
    <cellStyle name="Percent 2 3 23" xfId="56105" xr:uid="{00000000-0005-0000-0000-000029DB0000}"/>
    <cellStyle name="Percent 2 3 3" xfId="56106" xr:uid="{00000000-0005-0000-0000-00002ADB0000}"/>
    <cellStyle name="Percent 2 3 4" xfId="56107" xr:uid="{00000000-0005-0000-0000-00002BDB0000}"/>
    <cellStyle name="Percent 2 3 5" xfId="56108" xr:uid="{00000000-0005-0000-0000-00002CDB0000}"/>
    <cellStyle name="Percent 2 3 6" xfId="56109" xr:uid="{00000000-0005-0000-0000-00002DDB0000}"/>
    <cellStyle name="Percent 2 3 7" xfId="56110" xr:uid="{00000000-0005-0000-0000-00002EDB0000}"/>
    <cellStyle name="Percent 2 3 8" xfId="56111" xr:uid="{00000000-0005-0000-0000-00002FDB0000}"/>
    <cellStyle name="Percent 2 3 9" xfId="56112" xr:uid="{00000000-0005-0000-0000-000030DB0000}"/>
    <cellStyle name="Percent 2 30" xfId="56113" xr:uid="{00000000-0005-0000-0000-000031DB0000}"/>
    <cellStyle name="Percent 2 30 2" xfId="56114" xr:uid="{00000000-0005-0000-0000-000032DB0000}"/>
    <cellStyle name="Percent 2 30 3" xfId="56115" xr:uid="{00000000-0005-0000-0000-000033DB0000}"/>
    <cellStyle name="Percent 2 31" xfId="56116" xr:uid="{00000000-0005-0000-0000-000034DB0000}"/>
    <cellStyle name="Percent 2 31 2" xfId="56117" xr:uid="{00000000-0005-0000-0000-000035DB0000}"/>
    <cellStyle name="Percent 2 31 3" xfId="56118" xr:uid="{00000000-0005-0000-0000-000036DB0000}"/>
    <cellStyle name="Percent 2 32" xfId="56119" xr:uid="{00000000-0005-0000-0000-000037DB0000}"/>
    <cellStyle name="Percent 2 32 2" xfId="56120" xr:uid="{00000000-0005-0000-0000-000038DB0000}"/>
    <cellStyle name="Percent 2 32 3" xfId="56121" xr:uid="{00000000-0005-0000-0000-000039DB0000}"/>
    <cellStyle name="Percent 2 33" xfId="56122" xr:uid="{00000000-0005-0000-0000-00003ADB0000}"/>
    <cellStyle name="Percent 2 33 2" xfId="56123" xr:uid="{00000000-0005-0000-0000-00003BDB0000}"/>
    <cellStyle name="Percent 2 33 3" xfId="56124" xr:uid="{00000000-0005-0000-0000-00003CDB0000}"/>
    <cellStyle name="Percent 2 34" xfId="56125" xr:uid="{00000000-0005-0000-0000-00003DDB0000}"/>
    <cellStyle name="Percent 2 34 2" xfId="56126" xr:uid="{00000000-0005-0000-0000-00003EDB0000}"/>
    <cellStyle name="Percent 2 34 3" xfId="56127" xr:uid="{00000000-0005-0000-0000-00003FDB0000}"/>
    <cellStyle name="Percent 2 35" xfId="56128" xr:uid="{00000000-0005-0000-0000-000040DB0000}"/>
    <cellStyle name="Percent 2 35 2" xfId="56129" xr:uid="{00000000-0005-0000-0000-000041DB0000}"/>
    <cellStyle name="Percent 2 35 3" xfId="56130" xr:uid="{00000000-0005-0000-0000-000042DB0000}"/>
    <cellStyle name="Percent 2 36" xfId="56131" xr:uid="{00000000-0005-0000-0000-000043DB0000}"/>
    <cellStyle name="Percent 2 36 2" xfId="56132" xr:uid="{00000000-0005-0000-0000-000044DB0000}"/>
    <cellStyle name="Percent 2 36 3" xfId="56133" xr:uid="{00000000-0005-0000-0000-000045DB0000}"/>
    <cellStyle name="Percent 2 37" xfId="56134" xr:uid="{00000000-0005-0000-0000-000046DB0000}"/>
    <cellStyle name="Percent 2 37 2" xfId="56135" xr:uid="{00000000-0005-0000-0000-000047DB0000}"/>
    <cellStyle name="Percent 2 37 3" xfId="56136" xr:uid="{00000000-0005-0000-0000-000048DB0000}"/>
    <cellStyle name="Percent 2 38" xfId="56137" xr:uid="{00000000-0005-0000-0000-000049DB0000}"/>
    <cellStyle name="Percent 2 39" xfId="56138" xr:uid="{00000000-0005-0000-0000-00004ADB0000}"/>
    <cellStyle name="Percent 2 4" xfId="56139" xr:uid="{00000000-0005-0000-0000-00004BDB0000}"/>
    <cellStyle name="Percent 2 4 10" xfId="56140" xr:uid="{00000000-0005-0000-0000-00004CDB0000}"/>
    <cellStyle name="Percent 2 4 2" xfId="56141" xr:uid="{00000000-0005-0000-0000-00004DDB0000}"/>
    <cellStyle name="Percent 2 4 3" xfId="56142" xr:uid="{00000000-0005-0000-0000-00004EDB0000}"/>
    <cellStyle name="Percent 2 4 4" xfId="56143" xr:uid="{00000000-0005-0000-0000-00004FDB0000}"/>
    <cellStyle name="Percent 2 4 5" xfId="56144" xr:uid="{00000000-0005-0000-0000-000050DB0000}"/>
    <cellStyle name="Percent 2 4 6" xfId="56145" xr:uid="{00000000-0005-0000-0000-000051DB0000}"/>
    <cellStyle name="Percent 2 4 7" xfId="56146" xr:uid="{00000000-0005-0000-0000-000052DB0000}"/>
    <cellStyle name="Percent 2 4 8" xfId="56147" xr:uid="{00000000-0005-0000-0000-000053DB0000}"/>
    <cellStyle name="Percent 2 4 9" xfId="56148" xr:uid="{00000000-0005-0000-0000-000054DB0000}"/>
    <cellStyle name="Percent 2 40" xfId="55961" xr:uid="{00000000-0005-0000-0000-000055DB0000}"/>
    <cellStyle name="Percent 2 5" xfId="56149" xr:uid="{00000000-0005-0000-0000-000056DB0000}"/>
    <cellStyle name="Percent 2 5 10" xfId="56150" xr:uid="{00000000-0005-0000-0000-000057DB0000}"/>
    <cellStyle name="Percent 2 5 2" xfId="56151" xr:uid="{00000000-0005-0000-0000-000058DB0000}"/>
    <cellStyle name="Percent 2 5 3" xfId="56152" xr:uid="{00000000-0005-0000-0000-000059DB0000}"/>
    <cellStyle name="Percent 2 5 4" xfId="56153" xr:uid="{00000000-0005-0000-0000-00005ADB0000}"/>
    <cellStyle name="Percent 2 5 5" xfId="56154" xr:uid="{00000000-0005-0000-0000-00005BDB0000}"/>
    <cellStyle name="Percent 2 5 6" xfId="56155" xr:uid="{00000000-0005-0000-0000-00005CDB0000}"/>
    <cellStyle name="Percent 2 5 7" xfId="56156" xr:uid="{00000000-0005-0000-0000-00005DDB0000}"/>
    <cellStyle name="Percent 2 5 8" xfId="56157" xr:uid="{00000000-0005-0000-0000-00005EDB0000}"/>
    <cellStyle name="Percent 2 5 9" xfId="56158" xr:uid="{00000000-0005-0000-0000-00005FDB0000}"/>
    <cellStyle name="Percent 2 6" xfId="56159" xr:uid="{00000000-0005-0000-0000-000060DB0000}"/>
    <cellStyle name="Percent 2 6 10" xfId="56160" xr:uid="{00000000-0005-0000-0000-000061DB0000}"/>
    <cellStyle name="Percent 2 6 2" xfId="56161" xr:uid="{00000000-0005-0000-0000-000062DB0000}"/>
    <cellStyle name="Percent 2 6 3" xfId="56162" xr:uid="{00000000-0005-0000-0000-000063DB0000}"/>
    <cellStyle name="Percent 2 6 4" xfId="56163" xr:uid="{00000000-0005-0000-0000-000064DB0000}"/>
    <cellStyle name="Percent 2 6 5" xfId="56164" xr:uid="{00000000-0005-0000-0000-000065DB0000}"/>
    <cellStyle name="Percent 2 6 6" xfId="56165" xr:uid="{00000000-0005-0000-0000-000066DB0000}"/>
    <cellStyle name="Percent 2 6 7" xfId="56166" xr:uid="{00000000-0005-0000-0000-000067DB0000}"/>
    <cellStyle name="Percent 2 6 8" xfId="56167" xr:uid="{00000000-0005-0000-0000-000068DB0000}"/>
    <cellStyle name="Percent 2 6 9" xfId="56168" xr:uid="{00000000-0005-0000-0000-000069DB0000}"/>
    <cellStyle name="Percent 2 7" xfId="56169" xr:uid="{00000000-0005-0000-0000-00006ADB0000}"/>
    <cellStyle name="Percent 2 8" xfId="56170" xr:uid="{00000000-0005-0000-0000-00006BDB0000}"/>
    <cellStyle name="Percent 2 9" xfId="56171" xr:uid="{00000000-0005-0000-0000-00006CDB0000}"/>
    <cellStyle name="Percent 20" xfId="56172" xr:uid="{00000000-0005-0000-0000-00006DDB0000}"/>
    <cellStyle name="Percent 20 2" xfId="56173" xr:uid="{00000000-0005-0000-0000-00006EDB0000}"/>
    <cellStyle name="Percent 21" xfId="56174" xr:uid="{00000000-0005-0000-0000-00006FDB0000}"/>
    <cellStyle name="Percent 21 2" xfId="56175" xr:uid="{00000000-0005-0000-0000-000070DB0000}"/>
    <cellStyle name="Percent 22" xfId="56176" xr:uid="{00000000-0005-0000-0000-000071DB0000}"/>
    <cellStyle name="Percent 22 2" xfId="56177" xr:uid="{00000000-0005-0000-0000-000072DB0000}"/>
    <cellStyle name="Percent 23" xfId="56178" xr:uid="{00000000-0005-0000-0000-000073DB0000}"/>
    <cellStyle name="Percent 24" xfId="56179" xr:uid="{00000000-0005-0000-0000-000074DB0000}"/>
    <cellStyle name="Percent 25" xfId="56180" xr:uid="{00000000-0005-0000-0000-000075DB0000}"/>
    <cellStyle name="Percent 26" xfId="56181" xr:uid="{00000000-0005-0000-0000-000076DB0000}"/>
    <cellStyle name="Percent 27" xfId="56182" xr:uid="{00000000-0005-0000-0000-000077DB0000}"/>
    <cellStyle name="Percent 27 10" xfId="56183" xr:uid="{00000000-0005-0000-0000-000078DB0000}"/>
    <cellStyle name="Percent 27 11" xfId="56184" xr:uid="{00000000-0005-0000-0000-000079DB0000}"/>
    <cellStyle name="Percent 27 12" xfId="56185" xr:uid="{00000000-0005-0000-0000-00007ADB0000}"/>
    <cellStyle name="Percent 27 13" xfId="56186" xr:uid="{00000000-0005-0000-0000-00007BDB0000}"/>
    <cellStyle name="Percent 27 14" xfId="56187" xr:uid="{00000000-0005-0000-0000-00007CDB0000}"/>
    <cellStyle name="Percent 27 15" xfId="56188" xr:uid="{00000000-0005-0000-0000-00007DDB0000}"/>
    <cellStyle name="Percent 27 16" xfId="56189" xr:uid="{00000000-0005-0000-0000-00007EDB0000}"/>
    <cellStyle name="Percent 27 17" xfId="56190" xr:uid="{00000000-0005-0000-0000-00007FDB0000}"/>
    <cellStyle name="Percent 27 2" xfId="56191" xr:uid="{00000000-0005-0000-0000-000080DB0000}"/>
    <cellStyle name="Percent 27 2 10" xfId="56192" xr:uid="{00000000-0005-0000-0000-000081DB0000}"/>
    <cellStyle name="Percent 27 2 11" xfId="56193" xr:uid="{00000000-0005-0000-0000-000082DB0000}"/>
    <cellStyle name="Percent 27 2 12" xfId="56194" xr:uid="{00000000-0005-0000-0000-000083DB0000}"/>
    <cellStyle name="Percent 27 2 13" xfId="56195" xr:uid="{00000000-0005-0000-0000-000084DB0000}"/>
    <cellStyle name="Percent 27 2 14" xfId="56196" xr:uid="{00000000-0005-0000-0000-000085DB0000}"/>
    <cellStyle name="Percent 27 2 2" xfId="56197" xr:uid="{00000000-0005-0000-0000-000086DB0000}"/>
    <cellStyle name="Percent 27 2 2 2" xfId="56198" xr:uid="{00000000-0005-0000-0000-000087DB0000}"/>
    <cellStyle name="Percent 27 2 2 2 2" xfId="56199" xr:uid="{00000000-0005-0000-0000-000088DB0000}"/>
    <cellStyle name="Percent 27 2 2 2 3" xfId="56200" xr:uid="{00000000-0005-0000-0000-000089DB0000}"/>
    <cellStyle name="Percent 27 2 2 3" xfId="56201" xr:uid="{00000000-0005-0000-0000-00008ADB0000}"/>
    <cellStyle name="Percent 27 2 3" xfId="56202" xr:uid="{00000000-0005-0000-0000-00008BDB0000}"/>
    <cellStyle name="Percent 27 2 4" xfId="56203" xr:uid="{00000000-0005-0000-0000-00008CDB0000}"/>
    <cellStyle name="Percent 27 2 5" xfId="56204" xr:uid="{00000000-0005-0000-0000-00008DDB0000}"/>
    <cellStyle name="Percent 27 2 6" xfId="56205" xr:uid="{00000000-0005-0000-0000-00008EDB0000}"/>
    <cellStyle name="Percent 27 2 7" xfId="56206" xr:uid="{00000000-0005-0000-0000-00008FDB0000}"/>
    <cellStyle name="Percent 27 2 8" xfId="56207" xr:uid="{00000000-0005-0000-0000-000090DB0000}"/>
    <cellStyle name="Percent 27 2 9" xfId="56208" xr:uid="{00000000-0005-0000-0000-000091DB0000}"/>
    <cellStyle name="Percent 27 3" xfId="56209" xr:uid="{00000000-0005-0000-0000-000092DB0000}"/>
    <cellStyle name="Percent 27 4" xfId="56210" xr:uid="{00000000-0005-0000-0000-000093DB0000}"/>
    <cellStyle name="Percent 27 5" xfId="56211" xr:uid="{00000000-0005-0000-0000-000094DB0000}"/>
    <cellStyle name="Percent 27 6" xfId="56212" xr:uid="{00000000-0005-0000-0000-000095DB0000}"/>
    <cellStyle name="Percent 27 6 2" xfId="56213" xr:uid="{00000000-0005-0000-0000-000096DB0000}"/>
    <cellStyle name="Percent 27 6 2 2" xfId="56214" xr:uid="{00000000-0005-0000-0000-000097DB0000}"/>
    <cellStyle name="Percent 27 6 2 3" xfId="56215" xr:uid="{00000000-0005-0000-0000-000098DB0000}"/>
    <cellStyle name="Percent 27 6 3" xfId="56216" xr:uid="{00000000-0005-0000-0000-000099DB0000}"/>
    <cellStyle name="Percent 27 7" xfId="56217" xr:uid="{00000000-0005-0000-0000-00009ADB0000}"/>
    <cellStyle name="Percent 27 7 2" xfId="56218" xr:uid="{00000000-0005-0000-0000-00009BDB0000}"/>
    <cellStyle name="Percent 27 7 2 2" xfId="56219" xr:uid="{00000000-0005-0000-0000-00009CDB0000}"/>
    <cellStyle name="Percent 27 7 2 3" xfId="56220" xr:uid="{00000000-0005-0000-0000-00009DDB0000}"/>
    <cellStyle name="Percent 27 7 3" xfId="56221" xr:uid="{00000000-0005-0000-0000-00009EDB0000}"/>
    <cellStyle name="Percent 27 8" xfId="56222" xr:uid="{00000000-0005-0000-0000-00009FDB0000}"/>
    <cellStyle name="Percent 27 9" xfId="56223" xr:uid="{00000000-0005-0000-0000-0000A0DB0000}"/>
    <cellStyle name="Percent 28" xfId="56224" xr:uid="{00000000-0005-0000-0000-0000A1DB0000}"/>
    <cellStyle name="Percent 29" xfId="56225" xr:uid="{00000000-0005-0000-0000-0000A2DB0000}"/>
    <cellStyle name="Percent 3" xfId="3" xr:uid="{00000000-0005-0000-0000-0000A3DB0000}"/>
    <cellStyle name="Percent 3 10" xfId="56227" xr:uid="{00000000-0005-0000-0000-0000A4DB0000}"/>
    <cellStyle name="Percent 3 10 2" xfId="56228" xr:uid="{00000000-0005-0000-0000-0000A5DB0000}"/>
    <cellStyle name="Percent 3 10 3" xfId="56229" xr:uid="{00000000-0005-0000-0000-0000A6DB0000}"/>
    <cellStyle name="Percent 3 11" xfId="56230" xr:uid="{00000000-0005-0000-0000-0000A7DB0000}"/>
    <cellStyle name="Percent 3 11 2" xfId="56231" xr:uid="{00000000-0005-0000-0000-0000A8DB0000}"/>
    <cellStyle name="Percent 3 11 3" xfId="56232" xr:uid="{00000000-0005-0000-0000-0000A9DB0000}"/>
    <cellStyle name="Percent 3 12" xfId="56233" xr:uid="{00000000-0005-0000-0000-0000AADB0000}"/>
    <cellStyle name="Percent 3 12 2" xfId="56234" xr:uid="{00000000-0005-0000-0000-0000ABDB0000}"/>
    <cellStyle name="Percent 3 12 3" xfId="56235" xr:uid="{00000000-0005-0000-0000-0000ACDB0000}"/>
    <cellStyle name="Percent 3 13" xfId="56236" xr:uid="{00000000-0005-0000-0000-0000ADDB0000}"/>
    <cellStyle name="Percent 3 13 2" xfId="56237" xr:uid="{00000000-0005-0000-0000-0000AEDB0000}"/>
    <cellStyle name="Percent 3 13 3" xfId="56238" xr:uid="{00000000-0005-0000-0000-0000AFDB0000}"/>
    <cellStyle name="Percent 3 14" xfId="56239" xr:uid="{00000000-0005-0000-0000-0000B0DB0000}"/>
    <cellStyle name="Percent 3 14 2" xfId="56240" xr:uid="{00000000-0005-0000-0000-0000B1DB0000}"/>
    <cellStyle name="Percent 3 14 3" xfId="56241" xr:uid="{00000000-0005-0000-0000-0000B2DB0000}"/>
    <cellStyle name="Percent 3 15" xfId="56242" xr:uid="{00000000-0005-0000-0000-0000B3DB0000}"/>
    <cellStyle name="Percent 3 15 2" xfId="56243" xr:uid="{00000000-0005-0000-0000-0000B4DB0000}"/>
    <cellStyle name="Percent 3 15 3" xfId="56244" xr:uid="{00000000-0005-0000-0000-0000B5DB0000}"/>
    <cellStyle name="Percent 3 16" xfId="56245" xr:uid="{00000000-0005-0000-0000-0000B6DB0000}"/>
    <cellStyle name="Percent 3 16 2" xfId="56246" xr:uid="{00000000-0005-0000-0000-0000B7DB0000}"/>
    <cellStyle name="Percent 3 16 3" xfId="56247" xr:uid="{00000000-0005-0000-0000-0000B8DB0000}"/>
    <cellStyle name="Percent 3 17" xfId="56248" xr:uid="{00000000-0005-0000-0000-0000B9DB0000}"/>
    <cellStyle name="Percent 3 18" xfId="56249" xr:uid="{00000000-0005-0000-0000-0000BADB0000}"/>
    <cellStyle name="Percent 3 19" xfId="56226" xr:uid="{00000000-0005-0000-0000-0000BBDB0000}"/>
    <cellStyle name="Percent 3 2" xfId="32" xr:uid="{00000000-0005-0000-0000-0000BCDB0000}"/>
    <cellStyle name="Percent 3 2 2" xfId="56250" xr:uid="{00000000-0005-0000-0000-0000BDDB0000}"/>
    <cellStyle name="Percent 3 3" xfId="56251" xr:uid="{00000000-0005-0000-0000-0000BEDB0000}"/>
    <cellStyle name="Percent 3 3 2" xfId="56252" xr:uid="{00000000-0005-0000-0000-0000BFDB0000}"/>
    <cellStyle name="Percent 3 3 2 2" xfId="56253" xr:uid="{00000000-0005-0000-0000-0000C0DB0000}"/>
    <cellStyle name="Percent 3 3 2 3" xfId="56254" xr:uid="{00000000-0005-0000-0000-0000C1DB0000}"/>
    <cellStyle name="Percent 3 3 3" xfId="56255" xr:uid="{00000000-0005-0000-0000-0000C2DB0000}"/>
    <cellStyle name="Percent 3 3 4" xfId="56256" xr:uid="{00000000-0005-0000-0000-0000C3DB0000}"/>
    <cellStyle name="Percent 3 4" xfId="56257" xr:uid="{00000000-0005-0000-0000-0000C4DB0000}"/>
    <cellStyle name="Percent 3 5" xfId="56258" xr:uid="{00000000-0005-0000-0000-0000C5DB0000}"/>
    <cellStyle name="Percent 3 6" xfId="56259" xr:uid="{00000000-0005-0000-0000-0000C6DB0000}"/>
    <cellStyle name="Percent 3 6 2" xfId="56260" xr:uid="{00000000-0005-0000-0000-0000C7DB0000}"/>
    <cellStyle name="Percent 3 6 2 2" xfId="56261" xr:uid="{00000000-0005-0000-0000-0000C8DB0000}"/>
    <cellStyle name="Percent 3 6 2 3" xfId="56262" xr:uid="{00000000-0005-0000-0000-0000C9DB0000}"/>
    <cellStyle name="Percent 3 6 3" xfId="56263" xr:uid="{00000000-0005-0000-0000-0000CADB0000}"/>
    <cellStyle name="Percent 3 7" xfId="56264" xr:uid="{00000000-0005-0000-0000-0000CBDB0000}"/>
    <cellStyle name="Percent 3 7 2" xfId="56265" xr:uid="{00000000-0005-0000-0000-0000CCDB0000}"/>
    <cellStyle name="Percent 3 7 3" xfId="56266" xr:uid="{00000000-0005-0000-0000-0000CDDB0000}"/>
    <cellStyle name="Percent 3 8" xfId="56267" xr:uid="{00000000-0005-0000-0000-0000CEDB0000}"/>
    <cellStyle name="Percent 3 8 2" xfId="56268" xr:uid="{00000000-0005-0000-0000-0000CFDB0000}"/>
    <cellStyle name="Percent 3 8 3" xfId="56269" xr:uid="{00000000-0005-0000-0000-0000D0DB0000}"/>
    <cellStyle name="Percent 3 9" xfId="56270" xr:uid="{00000000-0005-0000-0000-0000D1DB0000}"/>
    <cellStyle name="Percent 3 9 2" xfId="56271" xr:uid="{00000000-0005-0000-0000-0000D2DB0000}"/>
    <cellStyle name="Percent 3 9 3" xfId="56272" xr:uid="{00000000-0005-0000-0000-0000D3DB0000}"/>
    <cellStyle name="Percent 30" xfId="56273" xr:uid="{00000000-0005-0000-0000-0000D4DB0000}"/>
    <cellStyle name="Percent 30 10" xfId="56274" xr:uid="{00000000-0005-0000-0000-0000D5DB0000}"/>
    <cellStyle name="Percent 30 11" xfId="56275" xr:uid="{00000000-0005-0000-0000-0000D6DB0000}"/>
    <cellStyle name="Percent 30 12" xfId="56276" xr:uid="{00000000-0005-0000-0000-0000D7DB0000}"/>
    <cellStyle name="Percent 30 13" xfId="56277" xr:uid="{00000000-0005-0000-0000-0000D8DB0000}"/>
    <cellStyle name="Percent 30 14" xfId="56278" xr:uid="{00000000-0005-0000-0000-0000D9DB0000}"/>
    <cellStyle name="Percent 30 15" xfId="56279" xr:uid="{00000000-0005-0000-0000-0000DADB0000}"/>
    <cellStyle name="Percent 30 16" xfId="56280" xr:uid="{00000000-0005-0000-0000-0000DBDB0000}"/>
    <cellStyle name="Percent 30 17" xfId="56281" xr:uid="{00000000-0005-0000-0000-0000DCDB0000}"/>
    <cellStyle name="Percent 30 2" xfId="56282" xr:uid="{00000000-0005-0000-0000-0000DDDB0000}"/>
    <cellStyle name="Percent 30 2 10" xfId="56283" xr:uid="{00000000-0005-0000-0000-0000DEDB0000}"/>
    <cellStyle name="Percent 30 2 11" xfId="56284" xr:uid="{00000000-0005-0000-0000-0000DFDB0000}"/>
    <cellStyle name="Percent 30 2 12" xfId="56285" xr:uid="{00000000-0005-0000-0000-0000E0DB0000}"/>
    <cellStyle name="Percent 30 2 13" xfId="56286" xr:uid="{00000000-0005-0000-0000-0000E1DB0000}"/>
    <cellStyle name="Percent 30 2 14" xfId="56287" xr:uid="{00000000-0005-0000-0000-0000E2DB0000}"/>
    <cellStyle name="Percent 30 2 2" xfId="56288" xr:uid="{00000000-0005-0000-0000-0000E3DB0000}"/>
    <cellStyle name="Percent 30 2 2 2" xfId="56289" xr:uid="{00000000-0005-0000-0000-0000E4DB0000}"/>
    <cellStyle name="Percent 30 2 2 2 2" xfId="56290" xr:uid="{00000000-0005-0000-0000-0000E5DB0000}"/>
    <cellStyle name="Percent 30 2 2 2 3" xfId="56291" xr:uid="{00000000-0005-0000-0000-0000E6DB0000}"/>
    <cellStyle name="Percent 30 2 2 3" xfId="56292" xr:uid="{00000000-0005-0000-0000-0000E7DB0000}"/>
    <cellStyle name="Percent 30 2 3" xfId="56293" xr:uid="{00000000-0005-0000-0000-0000E8DB0000}"/>
    <cellStyle name="Percent 30 2 4" xfId="56294" xr:uid="{00000000-0005-0000-0000-0000E9DB0000}"/>
    <cellStyle name="Percent 30 2 5" xfId="56295" xr:uid="{00000000-0005-0000-0000-0000EADB0000}"/>
    <cellStyle name="Percent 30 2 6" xfId="56296" xr:uid="{00000000-0005-0000-0000-0000EBDB0000}"/>
    <cellStyle name="Percent 30 2 7" xfId="56297" xr:uid="{00000000-0005-0000-0000-0000ECDB0000}"/>
    <cellStyle name="Percent 30 2 8" xfId="56298" xr:uid="{00000000-0005-0000-0000-0000EDDB0000}"/>
    <cellStyle name="Percent 30 2 9" xfId="56299" xr:uid="{00000000-0005-0000-0000-0000EEDB0000}"/>
    <cellStyle name="Percent 30 3" xfId="56300" xr:uid="{00000000-0005-0000-0000-0000EFDB0000}"/>
    <cellStyle name="Percent 30 4" xfId="56301" xr:uid="{00000000-0005-0000-0000-0000F0DB0000}"/>
    <cellStyle name="Percent 30 5" xfId="56302" xr:uid="{00000000-0005-0000-0000-0000F1DB0000}"/>
    <cellStyle name="Percent 30 6" xfId="56303" xr:uid="{00000000-0005-0000-0000-0000F2DB0000}"/>
    <cellStyle name="Percent 30 6 2" xfId="56304" xr:uid="{00000000-0005-0000-0000-0000F3DB0000}"/>
    <cellStyle name="Percent 30 6 2 2" xfId="56305" xr:uid="{00000000-0005-0000-0000-0000F4DB0000}"/>
    <cellStyle name="Percent 30 6 2 3" xfId="56306" xr:uid="{00000000-0005-0000-0000-0000F5DB0000}"/>
    <cellStyle name="Percent 30 6 3" xfId="56307" xr:uid="{00000000-0005-0000-0000-0000F6DB0000}"/>
    <cellStyle name="Percent 30 7" xfId="56308" xr:uid="{00000000-0005-0000-0000-0000F7DB0000}"/>
    <cellStyle name="Percent 30 7 2" xfId="56309" xr:uid="{00000000-0005-0000-0000-0000F8DB0000}"/>
    <cellStyle name="Percent 30 7 2 2" xfId="56310" xr:uid="{00000000-0005-0000-0000-0000F9DB0000}"/>
    <cellStyle name="Percent 30 7 2 3" xfId="56311" xr:uid="{00000000-0005-0000-0000-0000FADB0000}"/>
    <cellStyle name="Percent 30 7 3" xfId="56312" xr:uid="{00000000-0005-0000-0000-0000FBDB0000}"/>
    <cellStyle name="Percent 30 8" xfId="56313" xr:uid="{00000000-0005-0000-0000-0000FCDB0000}"/>
    <cellStyle name="Percent 30 9" xfId="56314" xr:uid="{00000000-0005-0000-0000-0000FDDB0000}"/>
    <cellStyle name="Percent 31" xfId="56315" xr:uid="{00000000-0005-0000-0000-0000FEDB0000}"/>
    <cellStyle name="Percent 32" xfId="56316" xr:uid="{00000000-0005-0000-0000-0000FFDB0000}"/>
    <cellStyle name="Percent 33" xfId="56317" xr:uid="{00000000-0005-0000-0000-000000DC0000}"/>
    <cellStyle name="Percent 34" xfId="56318" xr:uid="{00000000-0005-0000-0000-000001DC0000}"/>
    <cellStyle name="Percent 35" xfId="56319" xr:uid="{00000000-0005-0000-0000-000002DC0000}"/>
    <cellStyle name="Percent 36" xfId="56320" xr:uid="{00000000-0005-0000-0000-000003DC0000}"/>
    <cellStyle name="Percent 36 10" xfId="56321" xr:uid="{00000000-0005-0000-0000-000004DC0000}"/>
    <cellStyle name="Percent 36 11" xfId="56322" xr:uid="{00000000-0005-0000-0000-000005DC0000}"/>
    <cellStyle name="Percent 36 12" xfId="56323" xr:uid="{00000000-0005-0000-0000-000006DC0000}"/>
    <cellStyle name="Percent 36 13" xfId="56324" xr:uid="{00000000-0005-0000-0000-000007DC0000}"/>
    <cellStyle name="Percent 36 14" xfId="56325" xr:uid="{00000000-0005-0000-0000-000008DC0000}"/>
    <cellStyle name="Percent 36 15" xfId="56326" xr:uid="{00000000-0005-0000-0000-000009DC0000}"/>
    <cellStyle name="Percent 36 16" xfId="56327" xr:uid="{00000000-0005-0000-0000-00000ADC0000}"/>
    <cellStyle name="Percent 36 17" xfId="56328" xr:uid="{00000000-0005-0000-0000-00000BDC0000}"/>
    <cellStyle name="Percent 36 2" xfId="56329" xr:uid="{00000000-0005-0000-0000-00000CDC0000}"/>
    <cellStyle name="Percent 36 2 10" xfId="56330" xr:uid="{00000000-0005-0000-0000-00000DDC0000}"/>
    <cellStyle name="Percent 36 2 11" xfId="56331" xr:uid="{00000000-0005-0000-0000-00000EDC0000}"/>
    <cellStyle name="Percent 36 2 12" xfId="56332" xr:uid="{00000000-0005-0000-0000-00000FDC0000}"/>
    <cellStyle name="Percent 36 2 13" xfId="56333" xr:uid="{00000000-0005-0000-0000-000010DC0000}"/>
    <cellStyle name="Percent 36 2 14" xfId="56334" xr:uid="{00000000-0005-0000-0000-000011DC0000}"/>
    <cellStyle name="Percent 36 2 2" xfId="56335" xr:uid="{00000000-0005-0000-0000-000012DC0000}"/>
    <cellStyle name="Percent 36 2 2 2" xfId="56336" xr:uid="{00000000-0005-0000-0000-000013DC0000}"/>
    <cellStyle name="Percent 36 2 2 2 2" xfId="56337" xr:uid="{00000000-0005-0000-0000-000014DC0000}"/>
    <cellStyle name="Percent 36 2 2 2 3" xfId="56338" xr:uid="{00000000-0005-0000-0000-000015DC0000}"/>
    <cellStyle name="Percent 36 2 2 3" xfId="56339" xr:uid="{00000000-0005-0000-0000-000016DC0000}"/>
    <cellStyle name="Percent 36 2 3" xfId="56340" xr:uid="{00000000-0005-0000-0000-000017DC0000}"/>
    <cellStyle name="Percent 36 2 4" xfId="56341" xr:uid="{00000000-0005-0000-0000-000018DC0000}"/>
    <cellStyle name="Percent 36 2 5" xfId="56342" xr:uid="{00000000-0005-0000-0000-000019DC0000}"/>
    <cellStyle name="Percent 36 2 6" xfId="56343" xr:uid="{00000000-0005-0000-0000-00001ADC0000}"/>
    <cellStyle name="Percent 36 2 7" xfId="56344" xr:uid="{00000000-0005-0000-0000-00001BDC0000}"/>
    <cellStyle name="Percent 36 2 8" xfId="56345" xr:uid="{00000000-0005-0000-0000-00001CDC0000}"/>
    <cellStyle name="Percent 36 2 9" xfId="56346" xr:uid="{00000000-0005-0000-0000-00001DDC0000}"/>
    <cellStyle name="Percent 36 3" xfId="56347" xr:uid="{00000000-0005-0000-0000-00001EDC0000}"/>
    <cellStyle name="Percent 36 4" xfId="56348" xr:uid="{00000000-0005-0000-0000-00001FDC0000}"/>
    <cellStyle name="Percent 36 5" xfId="56349" xr:uid="{00000000-0005-0000-0000-000020DC0000}"/>
    <cellStyle name="Percent 36 6" xfId="56350" xr:uid="{00000000-0005-0000-0000-000021DC0000}"/>
    <cellStyle name="Percent 36 6 2" xfId="56351" xr:uid="{00000000-0005-0000-0000-000022DC0000}"/>
    <cellStyle name="Percent 36 6 2 2" xfId="56352" xr:uid="{00000000-0005-0000-0000-000023DC0000}"/>
    <cellStyle name="Percent 36 6 2 3" xfId="56353" xr:uid="{00000000-0005-0000-0000-000024DC0000}"/>
    <cellStyle name="Percent 36 6 3" xfId="56354" xr:uid="{00000000-0005-0000-0000-000025DC0000}"/>
    <cellStyle name="Percent 36 7" xfId="56355" xr:uid="{00000000-0005-0000-0000-000026DC0000}"/>
    <cellStyle name="Percent 36 7 2" xfId="56356" xr:uid="{00000000-0005-0000-0000-000027DC0000}"/>
    <cellStyle name="Percent 36 7 2 2" xfId="56357" xr:uid="{00000000-0005-0000-0000-000028DC0000}"/>
    <cellStyle name="Percent 36 7 2 3" xfId="56358" xr:uid="{00000000-0005-0000-0000-000029DC0000}"/>
    <cellStyle name="Percent 36 7 3" xfId="56359" xr:uid="{00000000-0005-0000-0000-00002ADC0000}"/>
    <cellStyle name="Percent 36 8" xfId="56360" xr:uid="{00000000-0005-0000-0000-00002BDC0000}"/>
    <cellStyle name="Percent 36 9" xfId="56361" xr:uid="{00000000-0005-0000-0000-00002CDC0000}"/>
    <cellStyle name="Percent 37" xfId="56362" xr:uid="{00000000-0005-0000-0000-00002DDC0000}"/>
    <cellStyle name="Percent 37 10" xfId="56363" xr:uid="{00000000-0005-0000-0000-00002EDC0000}"/>
    <cellStyle name="Percent 37 11" xfId="56364" xr:uid="{00000000-0005-0000-0000-00002FDC0000}"/>
    <cellStyle name="Percent 37 12" xfId="56365" xr:uid="{00000000-0005-0000-0000-000030DC0000}"/>
    <cellStyle name="Percent 37 13" xfId="56366" xr:uid="{00000000-0005-0000-0000-000031DC0000}"/>
    <cellStyle name="Percent 37 14" xfId="56367" xr:uid="{00000000-0005-0000-0000-000032DC0000}"/>
    <cellStyle name="Percent 37 15" xfId="56368" xr:uid="{00000000-0005-0000-0000-000033DC0000}"/>
    <cellStyle name="Percent 37 16" xfId="56369" xr:uid="{00000000-0005-0000-0000-000034DC0000}"/>
    <cellStyle name="Percent 37 17" xfId="56370" xr:uid="{00000000-0005-0000-0000-000035DC0000}"/>
    <cellStyle name="Percent 37 2" xfId="56371" xr:uid="{00000000-0005-0000-0000-000036DC0000}"/>
    <cellStyle name="Percent 37 2 10" xfId="56372" xr:uid="{00000000-0005-0000-0000-000037DC0000}"/>
    <cellStyle name="Percent 37 2 11" xfId="56373" xr:uid="{00000000-0005-0000-0000-000038DC0000}"/>
    <cellStyle name="Percent 37 2 12" xfId="56374" xr:uid="{00000000-0005-0000-0000-000039DC0000}"/>
    <cellStyle name="Percent 37 2 13" xfId="56375" xr:uid="{00000000-0005-0000-0000-00003ADC0000}"/>
    <cellStyle name="Percent 37 2 14" xfId="56376" xr:uid="{00000000-0005-0000-0000-00003BDC0000}"/>
    <cellStyle name="Percent 37 2 2" xfId="56377" xr:uid="{00000000-0005-0000-0000-00003CDC0000}"/>
    <cellStyle name="Percent 37 2 2 2" xfId="56378" xr:uid="{00000000-0005-0000-0000-00003DDC0000}"/>
    <cellStyle name="Percent 37 2 2 2 2" xfId="56379" xr:uid="{00000000-0005-0000-0000-00003EDC0000}"/>
    <cellStyle name="Percent 37 2 2 2 3" xfId="56380" xr:uid="{00000000-0005-0000-0000-00003FDC0000}"/>
    <cellStyle name="Percent 37 2 2 3" xfId="56381" xr:uid="{00000000-0005-0000-0000-000040DC0000}"/>
    <cellStyle name="Percent 37 2 3" xfId="56382" xr:uid="{00000000-0005-0000-0000-000041DC0000}"/>
    <cellStyle name="Percent 37 2 4" xfId="56383" xr:uid="{00000000-0005-0000-0000-000042DC0000}"/>
    <cellStyle name="Percent 37 2 5" xfId="56384" xr:uid="{00000000-0005-0000-0000-000043DC0000}"/>
    <cellStyle name="Percent 37 2 6" xfId="56385" xr:uid="{00000000-0005-0000-0000-000044DC0000}"/>
    <cellStyle name="Percent 37 2 7" xfId="56386" xr:uid="{00000000-0005-0000-0000-000045DC0000}"/>
    <cellStyle name="Percent 37 2 8" xfId="56387" xr:uid="{00000000-0005-0000-0000-000046DC0000}"/>
    <cellStyle name="Percent 37 2 9" xfId="56388" xr:uid="{00000000-0005-0000-0000-000047DC0000}"/>
    <cellStyle name="Percent 37 3" xfId="56389" xr:uid="{00000000-0005-0000-0000-000048DC0000}"/>
    <cellStyle name="Percent 37 4" xfId="56390" xr:uid="{00000000-0005-0000-0000-000049DC0000}"/>
    <cellStyle name="Percent 37 5" xfId="56391" xr:uid="{00000000-0005-0000-0000-00004ADC0000}"/>
    <cellStyle name="Percent 37 6" xfId="56392" xr:uid="{00000000-0005-0000-0000-00004BDC0000}"/>
    <cellStyle name="Percent 37 6 2" xfId="56393" xr:uid="{00000000-0005-0000-0000-00004CDC0000}"/>
    <cellStyle name="Percent 37 6 2 2" xfId="56394" xr:uid="{00000000-0005-0000-0000-00004DDC0000}"/>
    <cellStyle name="Percent 37 6 2 3" xfId="56395" xr:uid="{00000000-0005-0000-0000-00004EDC0000}"/>
    <cellStyle name="Percent 37 6 3" xfId="56396" xr:uid="{00000000-0005-0000-0000-00004FDC0000}"/>
    <cellStyle name="Percent 37 7" xfId="56397" xr:uid="{00000000-0005-0000-0000-000050DC0000}"/>
    <cellStyle name="Percent 37 7 2" xfId="56398" xr:uid="{00000000-0005-0000-0000-000051DC0000}"/>
    <cellStyle name="Percent 37 7 2 2" xfId="56399" xr:uid="{00000000-0005-0000-0000-000052DC0000}"/>
    <cellStyle name="Percent 37 7 2 3" xfId="56400" xr:uid="{00000000-0005-0000-0000-000053DC0000}"/>
    <cellStyle name="Percent 37 7 3" xfId="56401" xr:uid="{00000000-0005-0000-0000-000054DC0000}"/>
    <cellStyle name="Percent 37 8" xfId="56402" xr:uid="{00000000-0005-0000-0000-000055DC0000}"/>
    <cellStyle name="Percent 37 9" xfId="56403" xr:uid="{00000000-0005-0000-0000-000056DC0000}"/>
    <cellStyle name="Percent 38" xfId="56404" xr:uid="{00000000-0005-0000-0000-000057DC0000}"/>
    <cellStyle name="Percent 38 10" xfId="56405" xr:uid="{00000000-0005-0000-0000-000058DC0000}"/>
    <cellStyle name="Percent 38 11" xfId="56406" xr:uid="{00000000-0005-0000-0000-000059DC0000}"/>
    <cellStyle name="Percent 38 12" xfId="56407" xr:uid="{00000000-0005-0000-0000-00005ADC0000}"/>
    <cellStyle name="Percent 38 13" xfId="56408" xr:uid="{00000000-0005-0000-0000-00005BDC0000}"/>
    <cellStyle name="Percent 38 14" xfId="56409" xr:uid="{00000000-0005-0000-0000-00005CDC0000}"/>
    <cellStyle name="Percent 38 15" xfId="56410" xr:uid="{00000000-0005-0000-0000-00005DDC0000}"/>
    <cellStyle name="Percent 38 16" xfId="56411" xr:uid="{00000000-0005-0000-0000-00005EDC0000}"/>
    <cellStyle name="Percent 38 17" xfId="56412" xr:uid="{00000000-0005-0000-0000-00005FDC0000}"/>
    <cellStyle name="Percent 38 2" xfId="56413" xr:uid="{00000000-0005-0000-0000-000060DC0000}"/>
    <cellStyle name="Percent 38 2 10" xfId="56414" xr:uid="{00000000-0005-0000-0000-000061DC0000}"/>
    <cellStyle name="Percent 38 2 11" xfId="56415" xr:uid="{00000000-0005-0000-0000-000062DC0000}"/>
    <cellStyle name="Percent 38 2 12" xfId="56416" xr:uid="{00000000-0005-0000-0000-000063DC0000}"/>
    <cellStyle name="Percent 38 2 13" xfId="56417" xr:uid="{00000000-0005-0000-0000-000064DC0000}"/>
    <cellStyle name="Percent 38 2 14" xfId="56418" xr:uid="{00000000-0005-0000-0000-000065DC0000}"/>
    <cellStyle name="Percent 38 2 2" xfId="56419" xr:uid="{00000000-0005-0000-0000-000066DC0000}"/>
    <cellStyle name="Percent 38 2 2 2" xfId="56420" xr:uid="{00000000-0005-0000-0000-000067DC0000}"/>
    <cellStyle name="Percent 38 2 2 2 2" xfId="56421" xr:uid="{00000000-0005-0000-0000-000068DC0000}"/>
    <cellStyle name="Percent 38 2 2 2 3" xfId="56422" xr:uid="{00000000-0005-0000-0000-000069DC0000}"/>
    <cellStyle name="Percent 38 2 2 3" xfId="56423" xr:uid="{00000000-0005-0000-0000-00006ADC0000}"/>
    <cellStyle name="Percent 38 2 3" xfId="56424" xr:uid="{00000000-0005-0000-0000-00006BDC0000}"/>
    <cellStyle name="Percent 38 2 4" xfId="56425" xr:uid="{00000000-0005-0000-0000-00006CDC0000}"/>
    <cellStyle name="Percent 38 2 5" xfId="56426" xr:uid="{00000000-0005-0000-0000-00006DDC0000}"/>
    <cellStyle name="Percent 38 2 6" xfId="56427" xr:uid="{00000000-0005-0000-0000-00006EDC0000}"/>
    <cellStyle name="Percent 38 2 7" xfId="56428" xr:uid="{00000000-0005-0000-0000-00006FDC0000}"/>
    <cellStyle name="Percent 38 2 8" xfId="56429" xr:uid="{00000000-0005-0000-0000-000070DC0000}"/>
    <cellStyle name="Percent 38 2 9" xfId="56430" xr:uid="{00000000-0005-0000-0000-000071DC0000}"/>
    <cellStyle name="Percent 38 3" xfId="56431" xr:uid="{00000000-0005-0000-0000-000072DC0000}"/>
    <cellStyle name="Percent 38 4" xfId="56432" xr:uid="{00000000-0005-0000-0000-000073DC0000}"/>
    <cellStyle name="Percent 38 5" xfId="56433" xr:uid="{00000000-0005-0000-0000-000074DC0000}"/>
    <cellStyle name="Percent 38 6" xfId="56434" xr:uid="{00000000-0005-0000-0000-000075DC0000}"/>
    <cellStyle name="Percent 38 6 2" xfId="56435" xr:uid="{00000000-0005-0000-0000-000076DC0000}"/>
    <cellStyle name="Percent 38 6 2 2" xfId="56436" xr:uid="{00000000-0005-0000-0000-000077DC0000}"/>
    <cellStyle name="Percent 38 6 2 3" xfId="56437" xr:uid="{00000000-0005-0000-0000-000078DC0000}"/>
    <cellStyle name="Percent 38 6 3" xfId="56438" xr:uid="{00000000-0005-0000-0000-000079DC0000}"/>
    <cellStyle name="Percent 38 7" xfId="56439" xr:uid="{00000000-0005-0000-0000-00007ADC0000}"/>
    <cellStyle name="Percent 38 7 2" xfId="56440" xr:uid="{00000000-0005-0000-0000-00007BDC0000}"/>
    <cellStyle name="Percent 38 7 2 2" xfId="56441" xr:uid="{00000000-0005-0000-0000-00007CDC0000}"/>
    <cellStyle name="Percent 38 7 2 3" xfId="56442" xr:uid="{00000000-0005-0000-0000-00007DDC0000}"/>
    <cellStyle name="Percent 38 7 3" xfId="56443" xr:uid="{00000000-0005-0000-0000-00007EDC0000}"/>
    <cellStyle name="Percent 38 8" xfId="56444" xr:uid="{00000000-0005-0000-0000-00007FDC0000}"/>
    <cellStyle name="Percent 38 9" xfId="56445" xr:uid="{00000000-0005-0000-0000-000080DC0000}"/>
    <cellStyle name="Percent 39" xfId="56446" xr:uid="{00000000-0005-0000-0000-000081DC0000}"/>
    <cellStyle name="Percent 39 2" xfId="56447" xr:uid="{00000000-0005-0000-0000-000082DC0000}"/>
    <cellStyle name="Percent 39 2 2" xfId="56448" xr:uid="{00000000-0005-0000-0000-000083DC0000}"/>
    <cellStyle name="Percent 39 3" xfId="56449" xr:uid="{00000000-0005-0000-0000-000084DC0000}"/>
    <cellStyle name="Percent 39 3 2" xfId="56450" xr:uid="{00000000-0005-0000-0000-000085DC0000}"/>
    <cellStyle name="Percent 39 4" xfId="56451" xr:uid="{00000000-0005-0000-0000-000086DC0000}"/>
    <cellStyle name="Percent 39 4 2" xfId="56452" xr:uid="{00000000-0005-0000-0000-000087DC0000}"/>
    <cellStyle name="Percent 39 5" xfId="56453" xr:uid="{00000000-0005-0000-0000-000088DC0000}"/>
    <cellStyle name="Percent 39 5 2" xfId="56454" xr:uid="{00000000-0005-0000-0000-000089DC0000}"/>
    <cellStyle name="Percent 39 6" xfId="56455" xr:uid="{00000000-0005-0000-0000-00008ADC0000}"/>
    <cellStyle name="Percent 39 6 2" xfId="56456" xr:uid="{00000000-0005-0000-0000-00008BDC0000}"/>
    <cellStyle name="Percent 39 7" xfId="56457" xr:uid="{00000000-0005-0000-0000-00008CDC0000}"/>
    <cellStyle name="Percent 39 7 2" xfId="56458" xr:uid="{00000000-0005-0000-0000-00008DDC0000}"/>
    <cellStyle name="Percent 39 8" xfId="56459" xr:uid="{00000000-0005-0000-0000-00008EDC0000}"/>
    <cellStyle name="Percent 4" xfId="33" xr:uid="{00000000-0005-0000-0000-00008FDC0000}"/>
    <cellStyle name="Percent 4 10" xfId="56461" xr:uid="{00000000-0005-0000-0000-000090DC0000}"/>
    <cellStyle name="Percent 4 11" xfId="56462" xr:uid="{00000000-0005-0000-0000-000091DC0000}"/>
    <cellStyle name="Percent 4 12" xfId="56463" xr:uid="{00000000-0005-0000-0000-000092DC0000}"/>
    <cellStyle name="Percent 4 13" xfId="56464" xr:uid="{00000000-0005-0000-0000-000093DC0000}"/>
    <cellStyle name="Percent 4 14" xfId="56465" xr:uid="{00000000-0005-0000-0000-000094DC0000}"/>
    <cellStyle name="Percent 4 14 2" xfId="56466" xr:uid="{00000000-0005-0000-0000-000095DC0000}"/>
    <cellStyle name="Percent 4 14 2 2" xfId="56467" xr:uid="{00000000-0005-0000-0000-000096DC0000}"/>
    <cellStyle name="Percent 4 14 2 3" xfId="56468" xr:uid="{00000000-0005-0000-0000-000097DC0000}"/>
    <cellStyle name="Percent 4 14 3" xfId="56469" xr:uid="{00000000-0005-0000-0000-000098DC0000}"/>
    <cellStyle name="Percent 4 15" xfId="56470" xr:uid="{00000000-0005-0000-0000-000099DC0000}"/>
    <cellStyle name="Percent 4 16" xfId="56471" xr:uid="{00000000-0005-0000-0000-00009ADC0000}"/>
    <cellStyle name="Percent 4 17" xfId="56472" xr:uid="{00000000-0005-0000-0000-00009BDC0000}"/>
    <cellStyle name="Percent 4 18" xfId="56473" xr:uid="{00000000-0005-0000-0000-00009CDC0000}"/>
    <cellStyle name="Percent 4 19" xfId="56474" xr:uid="{00000000-0005-0000-0000-00009DDC0000}"/>
    <cellStyle name="Percent 4 2" xfId="56475" xr:uid="{00000000-0005-0000-0000-00009EDC0000}"/>
    <cellStyle name="Percent 4 2 10" xfId="56476" xr:uid="{00000000-0005-0000-0000-00009FDC0000}"/>
    <cellStyle name="Percent 4 2 2" xfId="56477" xr:uid="{00000000-0005-0000-0000-0000A0DC0000}"/>
    <cellStyle name="Percent 4 2 2 2" xfId="56478" xr:uid="{00000000-0005-0000-0000-0000A1DC0000}"/>
    <cellStyle name="Percent 4 2 2 3" xfId="56479" xr:uid="{00000000-0005-0000-0000-0000A2DC0000}"/>
    <cellStyle name="Percent 4 2 2 4" xfId="56480" xr:uid="{00000000-0005-0000-0000-0000A3DC0000}"/>
    <cellStyle name="Percent 4 2 3" xfId="56481" xr:uid="{00000000-0005-0000-0000-0000A4DC0000}"/>
    <cellStyle name="Percent 4 2 4" xfId="56482" xr:uid="{00000000-0005-0000-0000-0000A5DC0000}"/>
    <cellStyle name="Percent 4 2 5" xfId="56483" xr:uid="{00000000-0005-0000-0000-0000A6DC0000}"/>
    <cellStyle name="Percent 4 2 6" xfId="56484" xr:uid="{00000000-0005-0000-0000-0000A7DC0000}"/>
    <cellStyle name="Percent 4 2 7" xfId="56485" xr:uid="{00000000-0005-0000-0000-0000A8DC0000}"/>
    <cellStyle name="Percent 4 2 8" xfId="56486" xr:uid="{00000000-0005-0000-0000-0000A9DC0000}"/>
    <cellStyle name="Percent 4 2 9" xfId="56487" xr:uid="{00000000-0005-0000-0000-0000AADC0000}"/>
    <cellStyle name="Percent 4 20" xfId="56488" xr:uid="{00000000-0005-0000-0000-0000ABDC0000}"/>
    <cellStyle name="Percent 4 21" xfId="56489" xr:uid="{00000000-0005-0000-0000-0000ACDC0000}"/>
    <cellStyle name="Percent 4 22" xfId="56490" xr:uid="{00000000-0005-0000-0000-0000ADDC0000}"/>
    <cellStyle name="Percent 4 23" xfId="56491" xr:uid="{00000000-0005-0000-0000-0000AEDC0000}"/>
    <cellStyle name="Percent 4 24" xfId="56492" xr:uid="{00000000-0005-0000-0000-0000AFDC0000}"/>
    <cellStyle name="Percent 4 25" xfId="56493" xr:uid="{00000000-0005-0000-0000-0000B0DC0000}"/>
    <cellStyle name="Percent 4 26" xfId="56494" xr:uid="{00000000-0005-0000-0000-0000B1DC0000}"/>
    <cellStyle name="Percent 4 27" xfId="56460" xr:uid="{00000000-0005-0000-0000-0000B2DC0000}"/>
    <cellStyle name="Percent 4 3" xfId="56495" xr:uid="{00000000-0005-0000-0000-0000B3DC0000}"/>
    <cellStyle name="Percent 4 3 2" xfId="56496" xr:uid="{00000000-0005-0000-0000-0000B4DC0000}"/>
    <cellStyle name="Percent 4 3 2 2" xfId="56497" xr:uid="{00000000-0005-0000-0000-0000B5DC0000}"/>
    <cellStyle name="Percent 4 3 2 3" xfId="56498" xr:uid="{00000000-0005-0000-0000-0000B6DC0000}"/>
    <cellStyle name="Percent 4 3 3" xfId="56499" xr:uid="{00000000-0005-0000-0000-0000B7DC0000}"/>
    <cellStyle name="Percent 4 3 4" xfId="56500" xr:uid="{00000000-0005-0000-0000-0000B8DC0000}"/>
    <cellStyle name="Percent 4 4" xfId="56501" xr:uid="{00000000-0005-0000-0000-0000B9DC0000}"/>
    <cellStyle name="Percent 4 5" xfId="56502" xr:uid="{00000000-0005-0000-0000-0000BADC0000}"/>
    <cellStyle name="Percent 4 6" xfId="56503" xr:uid="{00000000-0005-0000-0000-0000BBDC0000}"/>
    <cellStyle name="Percent 4 6 2" xfId="56504" xr:uid="{00000000-0005-0000-0000-0000BCDC0000}"/>
    <cellStyle name="Percent 4 6 3" xfId="56505" xr:uid="{00000000-0005-0000-0000-0000BDDC0000}"/>
    <cellStyle name="Percent 4 6 4" xfId="56506" xr:uid="{00000000-0005-0000-0000-0000BEDC0000}"/>
    <cellStyle name="Percent 4 7" xfId="56507" xr:uid="{00000000-0005-0000-0000-0000BFDC0000}"/>
    <cellStyle name="Percent 4 8" xfId="56508" xr:uid="{00000000-0005-0000-0000-0000C0DC0000}"/>
    <cellStyle name="Percent 4 9" xfId="56509" xr:uid="{00000000-0005-0000-0000-0000C1DC0000}"/>
    <cellStyle name="Percent 40" xfId="56510" xr:uid="{00000000-0005-0000-0000-0000C2DC0000}"/>
    <cellStyle name="Percent 40 2" xfId="56511" xr:uid="{00000000-0005-0000-0000-0000C3DC0000}"/>
    <cellStyle name="Percent 40 2 2" xfId="56512" xr:uid="{00000000-0005-0000-0000-0000C4DC0000}"/>
    <cellStyle name="Percent 40 3" xfId="56513" xr:uid="{00000000-0005-0000-0000-0000C5DC0000}"/>
    <cellStyle name="Percent 40 3 2" xfId="56514" xr:uid="{00000000-0005-0000-0000-0000C6DC0000}"/>
    <cellStyle name="Percent 40 4" xfId="56515" xr:uid="{00000000-0005-0000-0000-0000C7DC0000}"/>
    <cellStyle name="Percent 40 4 2" xfId="56516" xr:uid="{00000000-0005-0000-0000-0000C8DC0000}"/>
    <cellStyle name="Percent 40 5" xfId="56517" xr:uid="{00000000-0005-0000-0000-0000C9DC0000}"/>
    <cellStyle name="Percent 40 5 2" xfId="56518" xr:uid="{00000000-0005-0000-0000-0000CADC0000}"/>
    <cellStyle name="Percent 40 6" xfId="56519" xr:uid="{00000000-0005-0000-0000-0000CBDC0000}"/>
    <cellStyle name="Percent 40 6 2" xfId="56520" xr:uid="{00000000-0005-0000-0000-0000CCDC0000}"/>
    <cellStyle name="Percent 40 7" xfId="56521" xr:uid="{00000000-0005-0000-0000-0000CDDC0000}"/>
    <cellStyle name="Percent 40 7 2" xfId="56522" xr:uid="{00000000-0005-0000-0000-0000CEDC0000}"/>
    <cellStyle name="Percent 40 8" xfId="56523" xr:uid="{00000000-0005-0000-0000-0000CFDC0000}"/>
    <cellStyle name="Percent 41" xfId="56524" xr:uid="{00000000-0005-0000-0000-0000D0DC0000}"/>
    <cellStyle name="Percent 41 2" xfId="56525" xr:uid="{00000000-0005-0000-0000-0000D1DC0000}"/>
    <cellStyle name="Percent 42" xfId="56526" xr:uid="{00000000-0005-0000-0000-0000D2DC0000}"/>
    <cellStyle name="Percent 42 2" xfId="56527" xr:uid="{00000000-0005-0000-0000-0000D3DC0000}"/>
    <cellStyle name="Percent 42 2 2" xfId="56528" xr:uid="{00000000-0005-0000-0000-0000D4DC0000}"/>
    <cellStyle name="Percent 42 3" xfId="56529" xr:uid="{00000000-0005-0000-0000-0000D5DC0000}"/>
    <cellStyle name="Percent 42 3 2" xfId="56530" xr:uid="{00000000-0005-0000-0000-0000D6DC0000}"/>
    <cellStyle name="Percent 42 4" xfId="56531" xr:uid="{00000000-0005-0000-0000-0000D7DC0000}"/>
    <cellStyle name="Percent 42 4 2" xfId="56532" xr:uid="{00000000-0005-0000-0000-0000D8DC0000}"/>
    <cellStyle name="Percent 42 5" xfId="56533" xr:uid="{00000000-0005-0000-0000-0000D9DC0000}"/>
    <cellStyle name="Percent 42 5 2" xfId="56534" xr:uid="{00000000-0005-0000-0000-0000DADC0000}"/>
    <cellStyle name="Percent 42 6" xfId="56535" xr:uid="{00000000-0005-0000-0000-0000DBDC0000}"/>
    <cellStyle name="Percent 42 6 2" xfId="56536" xr:uid="{00000000-0005-0000-0000-0000DCDC0000}"/>
    <cellStyle name="Percent 42 7" xfId="56537" xr:uid="{00000000-0005-0000-0000-0000DDDC0000}"/>
    <cellStyle name="Percent 42 7 2" xfId="56538" xr:uid="{00000000-0005-0000-0000-0000DEDC0000}"/>
    <cellStyle name="Percent 42 8" xfId="56539" xr:uid="{00000000-0005-0000-0000-0000DFDC0000}"/>
    <cellStyle name="Percent 43" xfId="56540" xr:uid="{00000000-0005-0000-0000-0000E0DC0000}"/>
    <cellStyle name="Percent 43 10" xfId="56541" xr:uid="{00000000-0005-0000-0000-0000E1DC0000}"/>
    <cellStyle name="Percent 43 2" xfId="56542" xr:uid="{00000000-0005-0000-0000-0000E2DC0000}"/>
    <cellStyle name="Percent 43 3" xfId="56543" xr:uid="{00000000-0005-0000-0000-0000E3DC0000}"/>
    <cellStyle name="Percent 43 4" xfId="56544" xr:uid="{00000000-0005-0000-0000-0000E4DC0000}"/>
    <cellStyle name="Percent 43 5" xfId="56545" xr:uid="{00000000-0005-0000-0000-0000E5DC0000}"/>
    <cellStyle name="Percent 43 6" xfId="56546" xr:uid="{00000000-0005-0000-0000-0000E6DC0000}"/>
    <cellStyle name="Percent 43 7" xfId="56547" xr:uid="{00000000-0005-0000-0000-0000E7DC0000}"/>
    <cellStyle name="Percent 43 8" xfId="56548" xr:uid="{00000000-0005-0000-0000-0000E8DC0000}"/>
    <cellStyle name="Percent 43 9" xfId="56549" xr:uid="{00000000-0005-0000-0000-0000E9DC0000}"/>
    <cellStyle name="Percent 44" xfId="56550" xr:uid="{00000000-0005-0000-0000-0000EADC0000}"/>
    <cellStyle name="Percent 44 10" xfId="56551" xr:uid="{00000000-0005-0000-0000-0000EBDC0000}"/>
    <cellStyle name="Percent 44 2" xfId="56552" xr:uid="{00000000-0005-0000-0000-0000ECDC0000}"/>
    <cellStyle name="Percent 44 3" xfId="56553" xr:uid="{00000000-0005-0000-0000-0000EDDC0000}"/>
    <cellStyle name="Percent 44 4" xfId="56554" xr:uid="{00000000-0005-0000-0000-0000EEDC0000}"/>
    <cellStyle name="Percent 44 5" xfId="56555" xr:uid="{00000000-0005-0000-0000-0000EFDC0000}"/>
    <cellStyle name="Percent 44 6" xfId="56556" xr:uid="{00000000-0005-0000-0000-0000F0DC0000}"/>
    <cellStyle name="Percent 44 7" xfId="56557" xr:uid="{00000000-0005-0000-0000-0000F1DC0000}"/>
    <cellStyle name="Percent 44 8" xfId="56558" xr:uid="{00000000-0005-0000-0000-0000F2DC0000}"/>
    <cellStyle name="Percent 44 9" xfId="56559" xr:uid="{00000000-0005-0000-0000-0000F3DC0000}"/>
    <cellStyle name="Percent 45" xfId="56560" xr:uid="{00000000-0005-0000-0000-0000F4DC0000}"/>
    <cellStyle name="Percent 45 10" xfId="56561" xr:uid="{00000000-0005-0000-0000-0000F5DC0000}"/>
    <cellStyle name="Percent 45 11" xfId="56562" xr:uid="{00000000-0005-0000-0000-0000F6DC0000}"/>
    <cellStyle name="Percent 45 12" xfId="56563" xr:uid="{00000000-0005-0000-0000-0000F7DC0000}"/>
    <cellStyle name="Percent 45 13" xfId="56564" xr:uid="{00000000-0005-0000-0000-0000F8DC0000}"/>
    <cellStyle name="Percent 45 2" xfId="56565" xr:uid="{00000000-0005-0000-0000-0000F9DC0000}"/>
    <cellStyle name="Percent 45 3" xfId="56566" xr:uid="{00000000-0005-0000-0000-0000FADC0000}"/>
    <cellStyle name="Percent 45 4" xfId="56567" xr:uid="{00000000-0005-0000-0000-0000FBDC0000}"/>
    <cellStyle name="Percent 45 5" xfId="56568" xr:uid="{00000000-0005-0000-0000-0000FCDC0000}"/>
    <cellStyle name="Percent 45 6" xfId="56569" xr:uid="{00000000-0005-0000-0000-0000FDDC0000}"/>
    <cellStyle name="Percent 45 7" xfId="56570" xr:uid="{00000000-0005-0000-0000-0000FEDC0000}"/>
    <cellStyle name="Percent 45 8" xfId="56571" xr:uid="{00000000-0005-0000-0000-0000FFDC0000}"/>
    <cellStyle name="Percent 45 9" xfId="56572" xr:uid="{00000000-0005-0000-0000-000000DD0000}"/>
    <cellStyle name="Percent 46" xfId="56573" xr:uid="{00000000-0005-0000-0000-000001DD0000}"/>
    <cellStyle name="Percent 46 10" xfId="56574" xr:uid="{00000000-0005-0000-0000-000002DD0000}"/>
    <cellStyle name="Percent 46 2" xfId="56575" xr:uid="{00000000-0005-0000-0000-000003DD0000}"/>
    <cellStyle name="Percent 46 3" xfId="56576" xr:uid="{00000000-0005-0000-0000-000004DD0000}"/>
    <cellStyle name="Percent 46 4" xfId="56577" xr:uid="{00000000-0005-0000-0000-000005DD0000}"/>
    <cellStyle name="Percent 46 5" xfId="56578" xr:uid="{00000000-0005-0000-0000-000006DD0000}"/>
    <cellStyle name="Percent 46 6" xfId="56579" xr:uid="{00000000-0005-0000-0000-000007DD0000}"/>
    <cellStyle name="Percent 46 7" xfId="56580" xr:uid="{00000000-0005-0000-0000-000008DD0000}"/>
    <cellStyle name="Percent 46 8" xfId="56581" xr:uid="{00000000-0005-0000-0000-000009DD0000}"/>
    <cellStyle name="Percent 46 9" xfId="56582" xr:uid="{00000000-0005-0000-0000-00000ADD0000}"/>
    <cellStyle name="Percent 47" xfId="56583" xr:uid="{00000000-0005-0000-0000-00000BDD0000}"/>
    <cellStyle name="Percent 47 10" xfId="56584" xr:uid="{00000000-0005-0000-0000-00000CDD0000}"/>
    <cellStyle name="Percent 47 11" xfId="56585" xr:uid="{00000000-0005-0000-0000-00000DDD0000}"/>
    <cellStyle name="Percent 47 12" xfId="56586" xr:uid="{00000000-0005-0000-0000-00000EDD0000}"/>
    <cellStyle name="Percent 47 13" xfId="56587" xr:uid="{00000000-0005-0000-0000-00000FDD0000}"/>
    <cellStyle name="Percent 47 2" xfId="56588" xr:uid="{00000000-0005-0000-0000-000010DD0000}"/>
    <cellStyle name="Percent 47 3" xfId="56589" xr:uid="{00000000-0005-0000-0000-000011DD0000}"/>
    <cellStyle name="Percent 47 4" xfId="56590" xr:uid="{00000000-0005-0000-0000-000012DD0000}"/>
    <cellStyle name="Percent 47 5" xfId="56591" xr:uid="{00000000-0005-0000-0000-000013DD0000}"/>
    <cellStyle name="Percent 47 6" xfId="56592" xr:uid="{00000000-0005-0000-0000-000014DD0000}"/>
    <cellStyle name="Percent 47 7" xfId="56593" xr:uid="{00000000-0005-0000-0000-000015DD0000}"/>
    <cellStyle name="Percent 47 8" xfId="56594" xr:uid="{00000000-0005-0000-0000-000016DD0000}"/>
    <cellStyle name="Percent 47 9" xfId="56595" xr:uid="{00000000-0005-0000-0000-000017DD0000}"/>
    <cellStyle name="Percent 48" xfId="56596" xr:uid="{00000000-0005-0000-0000-000018DD0000}"/>
    <cellStyle name="Percent 48 10" xfId="56597" xr:uid="{00000000-0005-0000-0000-000019DD0000}"/>
    <cellStyle name="Percent 48 2" xfId="56598" xr:uid="{00000000-0005-0000-0000-00001ADD0000}"/>
    <cellStyle name="Percent 48 3" xfId="56599" xr:uid="{00000000-0005-0000-0000-00001BDD0000}"/>
    <cellStyle name="Percent 48 4" xfId="56600" xr:uid="{00000000-0005-0000-0000-00001CDD0000}"/>
    <cellStyle name="Percent 48 5" xfId="56601" xr:uid="{00000000-0005-0000-0000-00001DDD0000}"/>
    <cellStyle name="Percent 48 6" xfId="56602" xr:uid="{00000000-0005-0000-0000-00001EDD0000}"/>
    <cellStyle name="Percent 48 7" xfId="56603" xr:uid="{00000000-0005-0000-0000-00001FDD0000}"/>
    <cellStyle name="Percent 48 8" xfId="56604" xr:uid="{00000000-0005-0000-0000-000020DD0000}"/>
    <cellStyle name="Percent 48 9" xfId="56605" xr:uid="{00000000-0005-0000-0000-000021DD0000}"/>
    <cellStyle name="Percent 49" xfId="56606" xr:uid="{00000000-0005-0000-0000-000022DD0000}"/>
    <cellStyle name="Percent 5" xfId="30" xr:uid="{00000000-0005-0000-0000-000023DD0000}"/>
    <cellStyle name="Percent 5 2" xfId="56608" xr:uid="{00000000-0005-0000-0000-000024DD0000}"/>
    <cellStyle name="Percent 5 3" xfId="56609" xr:uid="{00000000-0005-0000-0000-000025DD0000}"/>
    <cellStyle name="Percent 5 4" xfId="56610" xr:uid="{00000000-0005-0000-0000-000026DD0000}"/>
    <cellStyle name="Percent 5 5" xfId="56611" xr:uid="{00000000-0005-0000-0000-000027DD0000}"/>
    <cellStyle name="Percent 5 6" xfId="56607" xr:uid="{00000000-0005-0000-0000-000028DD0000}"/>
    <cellStyle name="Percent 51 2" xfId="56612" xr:uid="{00000000-0005-0000-0000-000029DD0000}"/>
    <cellStyle name="Percent 51 3" xfId="56613" xr:uid="{00000000-0005-0000-0000-00002ADD0000}"/>
    <cellStyle name="Percent 51 4" xfId="56614" xr:uid="{00000000-0005-0000-0000-00002BDD0000}"/>
    <cellStyle name="Percent 52 2" xfId="56615" xr:uid="{00000000-0005-0000-0000-00002CDD0000}"/>
    <cellStyle name="Percent 52 3" xfId="56616" xr:uid="{00000000-0005-0000-0000-00002DDD0000}"/>
    <cellStyle name="Percent 52 4" xfId="56617" xr:uid="{00000000-0005-0000-0000-00002EDD0000}"/>
    <cellStyle name="Percent 52 5" xfId="56618" xr:uid="{00000000-0005-0000-0000-00002FDD0000}"/>
    <cellStyle name="Percent 52 6" xfId="56619" xr:uid="{00000000-0005-0000-0000-000030DD0000}"/>
    <cellStyle name="Percent 52 7" xfId="56620" xr:uid="{00000000-0005-0000-0000-000031DD0000}"/>
    <cellStyle name="Percent 52 8" xfId="56621" xr:uid="{00000000-0005-0000-0000-000032DD0000}"/>
    <cellStyle name="Percent 54" xfId="56622" xr:uid="{00000000-0005-0000-0000-000033DD0000}"/>
    <cellStyle name="Percent 55" xfId="56623" xr:uid="{00000000-0005-0000-0000-000034DD0000}"/>
    <cellStyle name="Percent 55 2" xfId="56624" xr:uid="{00000000-0005-0000-0000-000035DD0000}"/>
    <cellStyle name="Percent 55 3" xfId="56625" xr:uid="{00000000-0005-0000-0000-000036DD0000}"/>
    <cellStyle name="Percent 57 2" xfId="56626" xr:uid="{00000000-0005-0000-0000-000037DD0000}"/>
    <cellStyle name="Percent 57 2 2" xfId="56627" xr:uid="{00000000-0005-0000-0000-000038DD0000}"/>
    <cellStyle name="Percent 57 2 3" xfId="56628" xr:uid="{00000000-0005-0000-0000-000039DD0000}"/>
    <cellStyle name="Percent 57 3" xfId="56629" xr:uid="{00000000-0005-0000-0000-00003ADD0000}"/>
    <cellStyle name="Percent 57 4" xfId="56630" xr:uid="{00000000-0005-0000-0000-00003BDD0000}"/>
    <cellStyle name="Percent 58 2" xfId="56631" xr:uid="{00000000-0005-0000-0000-00003CDD0000}"/>
    <cellStyle name="Percent 58 3" xfId="56632" xr:uid="{00000000-0005-0000-0000-00003DDD0000}"/>
    <cellStyle name="Percent 59 2" xfId="56633" xr:uid="{00000000-0005-0000-0000-00003EDD0000}"/>
    <cellStyle name="Percent 59 3" xfId="56634" xr:uid="{00000000-0005-0000-0000-00003FDD0000}"/>
    <cellStyle name="Percent 6" xfId="48" xr:uid="{00000000-0005-0000-0000-000040DD0000}"/>
    <cellStyle name="Percent 6 10" xfId="56636" xr:uid="{00000000-0005-0000-0000-000041DD0000}"/>
    <cellStyle name="Percent 6 11" xfId="56637" xr:uid="{00000000-0005-0000-0000-000042DD0000}"/>
    <cellStyle name="Percent 6 12" xfId="56638" xr:uid="{00000000-0005-0000-0000-000043DD0000}"/>
    <cellStyle name="Percent 6 13" xfId="56639" xr:uid="{00000000-0005-0000-0000-000044DD0000}"/>
    <cellStyle name="Percent 6 14" xfId="56640" xr:uid="{00000000-0005-0000-0000-000045DD0000}"/>
    <cellStyle name="Percent 6 15" xfId="56641" xr:uid="{00000000-0005-0000-0000-000046DD0000}"/>
    <cellStyle name="Percent 6 16" xfId="56642" xr:uid="{00000000-0005-0000-0000-000047DD0000}"/>
    <cellStyle name="Percent 6 17" xfId="56643" xr:uid="{00000000-0005-0000-0000-000048DD0000}"/>
    <cellStyle name="Percent 6 18" xfId="56644" xr:uid="{00000000-0005-0000-0000-000049DD0000}"/>
    <cellStyle name="Percent 6 19" xfId="56635" xr:uid="{00000000-0005-0000-0000-00004ADD0000}"/>
    <cellStyle name="Percent 6 2" xfId="56645" xr:uid="{00000000-0005-0000-0000-00004BDD0000}"/>
    <cellStyle name="Percent 6 3" xfId="56646" xr:uid="{00000000-0005-0000-0000-00004CDD0000}"/>
    <cellStyle name="Percent 6 3 2" xfId="56647" xr:uid="{00000000-0005-0000-0000-00004DDD0000}"/>
    <cellStyle name="Percent 6 3 2 2" xfId="56648" xr:uid="{00000000-0005-0000-0000-00004EDD0000}"/>
    <cellStyle name="Percent 6 3 2 3" xfId="56649" xr:uid="{00000000-0005-0000-0000-00004FDD0000}"/>
    <cellStyle name="Percent 6 3 3" xfId="56650" xr:uid="{00000000-0005-0000-0000-000050DD0000}"/>
    <cellStyle name="Percent 6 3 4" xfId="56651" xr:uid="{00000000-0005-0000-0000-000051DD0000}"/>
    <cellStyle name="Percent 6 4" xfId="56652" xr:uid="{00000000-0005-0000-0000-000052DD0000}"/>
    <cellStyle name="Percent 6 5" xfId="56653" xr:uid="{00000000-0005-0000-0000-000053DD0000}"/>
    <cellStyle name="Percent 6 6" xfId="56654" xr:uid="{00000000-0005-0000-0000-000054DD0000}"/>
    <cellStyle name="Percent 6 6 2" xfId="56655" xr:uid="{00000000-0005-0000-0000-000055DD0000}"/>
    <cellStyle name="Percent 6 6 2 2" xfId="56656" xr:uid="{00000000-0005-0000-0000-000056DD0000}"/>
    <cellStyle name="Percent 6 6 2 3" xfId="56657" xr:uid="{00000000-0005-0000-0000-000057DD0000}"/>
    <cellStyle name="Percent 6 6 3" xfId="56658" xr:uid="{00000000-0005-0000-0000-000058DD0000}"/>
    <cellStyle name="Percent 6 7" xfId="56659" xr:uid="{00000000-0005-0000-0000-000059DD0000}"/>
    <cellStyle name="Percent 6 8" xfId="56660" xr:uid="{00000000-0005-0000-0000-00005ADD0000}"/>
    <cellStyle name="Percent 6 9" xfId="56661" xr:uid="{00000000-0005-0000-0000-00005BDD0000}"/>
    <cellStyle name="Percent 60 2" xfId="56662" xr:uid="{00000000-0005-0000-0000-00005CDD0000}"/>
    <cellStyle name="Percent 60 3" xfId="56663" xr:uid="{00000000-0005-0000-0000-00005DDD0000}"/>
    <cellStyle name="Percent 61 2" xfId="56664" xr:uid="{00000000-0005-0000-0000-00005EDD0000}"/>
    <cellStyle name="Percent 61 3" xfId="56665" xr:uid="{00000000-0005-0000-0000-00005FDD0000}"/>
    <cellStyle name="Percent 62" xfId="56666" xr:uid="{00000000-0005-0000-0000-000060DD0000}"/>
    <cellStyle name="Percent 62 2" xfId="56667" xr:uid="{00000000-0005-0000-0000-000061DD0000}"/>
    <cellStyle name="Percent 62 3" xfId="56668" xr:uid="{00000000-0005-0000-0000-000062DD0000}"/>
    <cellStyle name="Percent 62 4" xfId="56669" xr:uid="{00000000-0005-0000-0000-000063DD0000}"/>
    <cellStyle name="Percent 62 5" xfId="56670" xr:uid="{00000000-0005-0000-0000-000064DD0000}"/>
    <cellStyle name="Percent 64" xfId="56671" xr:uid="{00000000-0005-0000-0000-000065DD0000}"/>
    <cellStyle name="Percent 64 2" xfId="56672" xr:uid="{00000000-0005-0000-0000-000066DD0000}"/>
    <cellStyle name="Percent 64 3" xfId="56673" xr:uid="{00000000-0005-0000-0000-000067DD0000}"/>
    <cellStyle name="Percent 64 4" xfId="56674" xr:uid="{00000000-0005-0000-0000-000068DD0000}"/>
    <cellStyle name="Percent 64 5" xfId="56675" xr:uid="{00000000-0005-0000-0000-000069DD0000}"/>
    <cellStyle name="Percent 68" xfId="56676" xr:uid="{00000000-0005-0000-0000-00006ADD0000}"/>
    <cellStyle name="Percent 7" xfId="56677" xr:uid="{00000000-0005-0000-0000-00006BDD0000}"/>
    <cellStyle name="Percent 7 10" xfId="56678" xr:uid="{00000000-0005-0000-0000-00006CDD0000}"/>
    <cellStyle name="Percent 7 11" xfId="56679" xr:uid="{00000000-0005-0000-0000-00006DDD0000}"/>
    <cellStyle name="Percent 7 12" xfId="56680" xr:uid="{00000000-0005-0000-0000-00006EDD0000}"/>
    <cellStyle name="Percent 7 12 2" xfId="56681" xr:uid="{00000000-0005-0000-0000-00006FDD0000}"/>
    <cellStyle name="Percent 7 12 2 2" xfId="56682" xr:uid="{00000000-0005-0000-0000-000070DD0000}"/>
    <cellStyle name="Percent 7 12 2 3" xfId="56683" xr:uid="{00000000-0005-0000-0000-000071DD0000}"/>
    <cellStyle name="Percent 7 12 3" xfId="56684" xr:uid="{00000000-0005-0000-0000-000072DD0000}"/>
    <cellStyle name="Percent 7 13" xfId="56685" xr:uid="{00000000-0005-0000-0000-000073DD0000}"/>
    <cellStyle name="Percent 7 14" xfId="56686" xr:uid="{00000000-0005-0000-0000-000074DD0000}"/>
    <cellStyle name="Percent 7 15" xfId="56687" xr:uid="{00000000-0005-0000-0000-000075DD0000}"/>
    <cellStyle name="Percent 7 16" xfId="56688" xr:uid="{00000000-0005-0000-0000-000076DD0000}"/>
    <cellStyle name="Percent 7 17" xfId="56689" xr:uid="{00000000-0005-0000-0000-000077DD0000}"/>
    <cellStyle name="Percent 7 18" xfId="56690" xr:uid="{00000000-0005-0000-0000-000078DD0000}"/>
    <cellStyle name="Percent 7 19" xfId="56691" xr:uid="{00000000-0005-0000-0000-000079DD0000}"/>
    <cellStyle name="Percent 7 2" xfId="56692" xr:uid="{00000000-0005-0000-0000-00007ADD0000}"/>
    <cellStyle name="Percent 7 2 10" xfId="56693" xr:uid="{00000000-0005-0000-0000-00007BDD0000}"/>
    <cellStyle name="Percent 7 2 2" xfId="56694" xr:uid="{00000000-0005-0000-0000-00007CDD0000}"/>
    <cellStyle name="Percent 7 2 3" xfId="56695" xr:uid="{00000000-0005-0000-0000-00007DDD0000}"/>
    <cellStyle name="Percent 7 2 4" xfId="56696" xr:uid="{00000000-0005-0000-0000-00007EDD0000}"/>
    <cellStyle name="Percent 7 2 5" xfId="56697" xr:uid="{00000000-0005-0000-0000-00007FDD0000}"/>
    <cellStyle name="Percent 7 2 6" xfId="56698" xr:uid="{00000000-0005-0000-0000-000080DD0000}"/>
    <cellStyle name="Percent 7 2 7" xfId="56699" xr:uid="{00000000-0005-0000-0000-000081DD0000}"/>
    <cellStyle name="Percent 7 2 8" xfId="56700" xr:uid="{00000000-0005-0000-0000-000082DD0000}"/>
    <cellStyle name="Percent 7 2 9" xfId="56701" xr:uid="{00000000-0005-0000-0000-000083DD0000}"/>
    <cellStyle name="Percent 7 20" xfId="56702" xr:uid="{00000000-0005-0000-0000-000084DD0000}"/>
    <cellStyle name="Percent 7 21" xfId="56703" xr:uid="{00000000-0005-0000-0000-000085DD0000}"/>
    <cellStyle name="Percent 7 22" xfId="56704" xr:uid="{00000000-0005-0000-0000-000086DD0000}"/>
    <cellStyle name="Percent 7 23" xfId="56705" xr:uid="{00000000-0005-0000-0000-000087DD0000}"/>
    <cellStyle name="Percent 7 24" xfId="56706" xr:uid="{00000000-0005-0000-0000-000088DD0000}"/>
    <cellStyle name="Percent 7 3" xfId="56707" xr:uid="{00000000-0005-0000-0000-000089DD0000}"/>
    <cellStyle name="Percent 7 3 10" xfId="56708" xr:uid="{00000000-0005-0000-0000-00008ADD0000}"/>
    <cellStyle name="Percent 7 3 2" xfId="56709" xr:uid="{00000000-0005-0000-0000-00008BDD0000}"/>
    <cellStyle name="Percent 7 3 3" xfId="56710" xr:uid="{00000000-0005-0000-0000-00008CDD0000}"/>
    <cellStyle name="Percent 7 3 4" xfId="56711" xr:uid="{00000000-0005-0000-0000-00008DDD0000}"/>
    <cellStyle name="Percent 7 3 5" xfId="56712" xr:uid="{00000000-0005-0000-0000-00008EDD0000}"/>
    <cellStyle name="Percent 7 3 6" xfId="56713" xr:uid="{00000000-0005-0000-0000-00008FDD0000}"/>
    <cellStyle name="Percent 7 3 7" xfId="56714" xr:uid="{00000000-0005-0000-0000-000090DD0000}"/>
    <cellStyle name="Percent 7 3 8" xfId="56715" xr:uid="{00000000-0005-0000-0000-000091DD0000}"/>
    <cellStyle name="Percent 7 3 9" xfId="56716" xr:uid="{00000000-0005-0000-0000-000092DD0000}"/>
    <cellStyle name="Percent 7 4" xfId="56717" xr:uid="{00000000-0005-0000-0000-000093DD0000}"/>
    <cellStyle name="Percent 7 4 10" xfId="56718" xr:uid="{00000000-0005-0000-0000-000094DD0000}"/>
    <cellStyle name="Percent 7 4 2" xfId="56719" xr:uid="{00000000-0005-0000-0000-000095DD0000}"/>
    <cellStyle name="Percent 7 4 3" xfId="56720" xr:uid="{00000000-0005-0000-0000-000096DD0000}"/>
    <cellStyle name="Percent 7 4 4" xfId="56721" xr:uid="{00000000-0005-0000-0000-000097DD0000}"/>
    <cellStyle name="Percent 7 4 5" xfId="56722" xr:uid="{00000000-0005-0000-0000-000098DD0000}"/>
    <cellStyle name="Percent 7 4 6" xfId="56723" xr:uid="{00000000-0005-0000-0000-000099DD0000}"/>
    <cellStyle name="Percent 7 4 7" xfId="56724" xr:uid="{00000000-0005-0000-0000-00009ADD0000}"/>
    <cellStyle name="Percent 7 4 8" xfId="56725" xr:uid="{00000000-0005-0000-0000-00009BDD0000}"/>
    <cellStyle name="Percent 7 4 9" xfId="56726" xr:uid="{00000000-0005-0000-0000-00009CDD0000}"/>
    <cellStyle name="Percent 7 5" xfId="56727" xr:uid="{00000000-0005-0000-0000-00009DDD0000}"/>
    <cellStyle name="Percent 7 5 10" xfId="56728" xr:uid="{00000000-0005-0000-0000-00009EDD0000}"/>
    <cellStyle name="Percent 7 5 2" xfId="56729" xr:uid="{00000000-0005-0000-0000-00009FDD0000}"/>
    <cellStyle name="Percent 7 5 3" xfId="56730" xr:uid="{00000000-0005-0000-0000-0000A0DD0000}"/>
    <cellStyle name="Percent 7 5 4" xfId="56731" xr:uid="{00000000-0005-0000-0000-0000A1DD0000}"/>
    <cellStyle name="Percent 7 5 5" xfId="56732" xr:uid="{00000000-0005-0000-0000-0000A2DD0000}"/>
    <cellStyle name="Percent 7 5 6" xfId="56733" xr:uid="{00000000-0005-0000-0000-0000A3DD0000}"/>
    <cellStyle name="Percent 7 5 7" xfId="56734" xr:uid="{00000000-0005-0000-0000-0000A4DD0000}"/>
    <cellStyle name="Percent 7 5 8" xfId="56735" xr:uid="{00000000-0005-0000-0000-0000A5DD0000}"/>
    <cellStyle name="Percent 7 5 9" xfId="56736" xr:uid="{00000000-0005-0000-0000-0000A6DD0000}"/>
    <cellStyle name="Percent 7 6" xfId="56737" xr:uid="{00000000-0005-0000-0000-0000A7DD0000}"/>
    <cellStyle name="Percent 7 6 10" xfId="56738" xr:uid="{00000000-0005-0000-0000-0000A8DD0000}"/>
    <cellStyle name="Percent 7 6 2" xfId="56739" xr:uid="{00000000-0005-0000-0000-0000A9DD0000}"/>
    <cellStyle name="Percent 7 6 3" xfId="56740" xr:uid="{00000000-0005-0000-0000-0000AADD0000}"/>
    <cellStyle name="Percent 7 6 4" xfId="56741" xr:uid="{00000000-0005-0000-0000-0000ABDD0000}"/>
    <cellStyle name="Percent 7 6 5" xfId="56742" xr:uid="{00000000-0005-0000-0000-0000ACDD0000}"/>
    <cellStyle name="Percent 7 6 6" xfId="56743" xr:uid="{00000000-0005-0000-0000-0000ADDD0000}"/>
    <cellStyle name="Percent 7 6 7" xfId="56744" xr:uid="{00000000-0005-0000-0000-0000AEDD0000}"/>
    <cellStyle name="Percent 7 6 8" xfId="56745" xr:uid="{00000000-0005-0000-0000-0000AFDD0000}"/>
    <cellStyle name="Percent 7 6 9" xfId="56746" xr:uid="{00000000-0005-0000-0000-0000B0DD0000}"/>
    <cellStyle name="Percent 7 7" xfId="56747" xr:uid="{00000000-0005-0000-0000-0000B1DD0000}"/>
    <cellStyle name="Percent 7 7 10" xfId="56748" xr:uid="{00000000-0005-0000-0000-0000B2DD0000}"/>
    <cellStyle name="Percent 7 7 2" xfId="56749" xr:uid="{00000000-0005-0000-0000-0000B3DD0000}"/>
    <cellStyle name="Percent 7 7 3" xfId="56750" xr:uid="{00000000-0005-0000-0000-0000B4DD0000}"/>
    <cellStyle name="Percent 7 7 4" xfId="56751" xr:uid="{00000000-0005-0000-0000-0000B5DD0000}"/>
    <cellStyle name="Percent 7 7 5" xfId="56752" xr:uid="{00000000-0005-0000-0000-0000B6DD0000}"/>
    <cellStyle name="Percent 7 7 6" xfId="56753" xr:uid="{00000000-0005-0000-0000-0000B7DD0000}"/>
    <cellStyle name="Percent 7 7 7" xfId="56754" xr:uid="{00000000-0005-0000-0000-0000B8DD0000}"/>
    <cellStyle name="Percent 7 7 8" xfId="56755" xr:uid="{00000000-0005-0000-0000-0000B9DD0000}"/>
    <cellStyle name="Percent 7 7 9" xfId="56756" xr:uid="{00000000-0005-0000-0000-0000BADD0000}"/>
    <cellStyle name="Percent 7 8" xfId="56757" xr:uid="{00000000-0005-0000-0000-0000BBDD0000}"/>
    <cellStyle name="Percent 7 9" xfId="56758" xr:uid="{00000000-0005-0000-0000-0000BCDD0000}"/>
    <cellStyle name="Percent 7 9 2" xfId="56759" xr:uid="{00000000-0005-0000-0000-0000BDDD0000}"/>
    <cellStyle name="Percent 7 9 2 2" xfId="56760" xr:uid="{00000000-0005-0000-0000-0000BEDD0000}"/>
    <cellStyle name="Percent 7 9 2 3" xfId="56761" xr:uid="{00000000-0005-0000-0000-0000BFDD0000}"/>
    <cellStyle name="Percent 7 9 3" xfId="56762" xr:uid="{00000000-0005-0000-0000-0000C0DD0000}"/>
    <cellStyle name="Percent 7 9 4" xfId="56763" xr:uid="{00000000-0005-0000-0000-0000C1DD0000}"/>
    <cellStyle name="Percent 70" xfId="56764" xr:uid="{00000000-0005-0000-0000-0000C2DD0000}"/>
    <cellStyle name="Percent 72" xfId="56765" xr:uid="{00000000-0005-0000-0000-0000C3DD0000}"/>
    <cellStyle name="Percent 78" xfId="56766" xr:uid="{00000000-0005-0000-0000-0000C4DD0000}"/>
    <cellStyle name="Percent 8" xfId="56767" xr:uid="{00000000-0005-0000-0000-0000C5DD0000}"/>
    <cellStyle name="Percent 8 10" xfId="56768" xr:uid="{00000000-0005-0000-0000-0000C6DD0000}"/>
    <cellStyle name="Percent 8 11" xfId="56769" xr:uid="{00000000-0005-0000-0000-0000C7DD0000}"/>
    <cellStyle name="Percent 8 2" xfId="56770" xr:uid="{00000000-0005-0000-0000-0000C8DD0000}"/>
    <cellStyle name="Percent 8 2 10" xfId="56771" xr:uid="{00000000-0005-0000-0000-0000C9DD0000}"/>
    <cellStyle name="Percent 8 2 2" xfId="56772" xr:uid="{00000000-0005-0000-0000-0000CADD0000}"/>
    <cellStyle name="Percent 8 2 3" xfId="56773" xr:uid="{00000000-0005-0000-0000-0000CBDD0000}"/>
    <cellStyle name="Percent 8 2 4" xfId="56774" xr:uid="{00000000-0005-0000-0000-0000CCDD0000}"/>
    <cellStyle name="Percent 8 2 5" xfId="56775" xr:uid="{00000000-0005-0000-0000-0000CDDD0000}"/>
    <cellStyle name="Percent 8 2 6" xfId="56776" xr:uid="{00000000-0005-0000-0000-0000CEDD0000}"/>
    <cellStyle name="Percent 8 2 7" xfId="56777" xr:uid="{00000000-0005-0000-0000-0000CFDD0000}"/>
    <cellStyle name="Percent 8 2 8" xfId="56778" xr:uid="{00000000-0005-0000-0000-0000D0DD0000}"/>
    <cellStyle name="Percent 8 2 9" xfId="56779" xr:uid="{00000000-0005-0000-0000-0000D1DD0000}"/>
    <cellStyle name="Percent 8 3" xfId="56780" xr:uid="{00000000-0005-0000-0000-0000D2DD0000}"/>
    <cellStyle name="Percent 8 3 10" xfId="56781" xr:uid="{00000000-0005-0000-0000-0000D3DD0000}"/>
    <cellStyle name="Percent 8 3 2" xfId="56782" xr:uid="{00000000-0005-0000-0000-0000D4DD0000}"/>
    <cellStyle name="Percent 8 3 3" xfId="56783" xr:uid="{00000000-0005-0000-0000-0000D5DD0000}"/>
    <cellStyle name="Percent 8 3 4" xfId="56784" xr:uid="{00000000-0005-0000-0000-0000D6DD0000}"/>
    <cellStyle name="Percent 8 3 5" xfId="56785" xr:uid="{00000000-0005-0000-0000-0000D7DD0000}"/>
    <cellStyle name="Percent 8 3 6" xfId="56786" xr:uid="{00000000-0005-0000-0000-0000D8DD0000}"/>
    <cellStyle name="Percent 8 3 7" xfId="56787" xr:uid="{00000000-0005-0000-0000-0000D9DD0000}"/>
    <cellStyle name="Percent 8 3 8" xfId="56788" xr:uid="{00000000-0005-0000-0000-0000DADD0000}"/>
    <cellStyle name="Percent 8 3 9" xfId="56789" xr:uid="{00000000-0005-0000-0000-0000DBDD0000}"/>
    <cellStyle name="Percent 8 4" xfId="56790" xr:uid="{00000000-0005-0000-0000-0000DCDD0000}"/>
    <cellStyle name="Percent 8 4 10" xfId="56791" xr:uid="{00000000-0005-0000-0000-0000DDDD0000}"/>
    <cellStyle name="Percent 8 4 2" xfId="56792" xr:uid="{00000000-0005-0000-0000-0000DEDD0000}"/>
    <cellStyle name="Percent 8 4 3" xfId="56793" xr:uid="{00000000-0005-0000-0000-0000DFDD0000}"/>
    <cellStyle name="Percent 8 4 4" xfId="56794" xr:uid="{00000000-0005-0000-0000-0000E0DD0000}"/>
    <cellStyle name="Percent 8 4 5" xfId="56795" xr:uid="{00000000-0005-0000-0000-0000E1DD0000}"/>
    <cellStyle name="Percent 8 4 6" xfId="56796" xr:uid="{00000000-0005-0000-0000-0000E2DD0000}"/>
    <cellStyle name="Percent 8 4 7" xfId="56797" xr:uid="{00000000-0005-0000-0000-0000E3DD0000}"/>
    <cellStyle name="Percent 8 4 8" xfId="56798" xr:uid="{00000000-0005-0000-0000-0000E4DD0000}"/>
    <cellStyle name="Percent 8 4 9" xfId="56799" xr:uid="{00000000-0005-0000-0000-0000E5DD0000}"/>
    <cellStyle name="Percent 8 5" xfId="56800" xr:uid="{00000000-0005-0000-0000-0000E6DD0000}"/>
    <cellStyle name="Percent 8 5 10" xfId="56801" xr:uid="{00000000-0005-0000-0000-0000E7DD0000}"/>
    <cellStyle name="Percent 8 5 2" xfId="56802" xr:uid="{00000000-0005-0000-0000-0000E8DD0000}"/>
    <cellStyle name="Percent 8 5 3" xfId="56803" xr:uid="{00000000-0005-0000-0000-0000E9DD0000}"/>
    <cellStyle name="Percent 8 5 4" xfId="56804" xr:uid="{00000000-0005-0000-0000-0000EADD0000}"/>
    <cellStyle name="Percent 8 5 5" xfId="56805" xr:uid="{00000000-0005-0000-0000-0000EBDD0000}"/>
    <cellStyle name="Percent 8 5 6" xfId="56806" xr:uid="{00000000-0005-0000-0000-0000ECDD0000}"/>
    <cellStyle name="Percent 8 5 7" xfId="56807" xr:uid="{00000000-0005-0000-0000-0000EDDD0000}"/>
    <cellStyle name="Percent 8 5 8" xfId="56808" xr:uid="{00000000-0005-0000-0000-0000EEDD0000}"/>
    <cellStyle name="Percent 8 5 9" xfId="56809" xr:uid="{00000000-0005-0000-0000-0000EFDD0000}"/>
    <cellStyle name="Percent 8 6" xfId="56810" xr:uid="{00000000-0005-0000-0000-0000F0DD0000}"/>
    <cellStyle name="Percent 8 6 10" xfId="56811" xr:uid="{00000000-0005-0000-0000-0000F1DD0000}"/>
    <cellStyle name="Percent 8 6 2" xfId="56812" xr:uid="{00000000-0005-0000-0000-0000F2DD0000}"/>
    <cellStyle name="Percent 8 6 3" xfId="56813" xr:uid="{00000000-0005-0000-0000-0000F3DD0000}"/>
    <cellStyle name="Percent 8 6 4" xfId="56814" xr:uid="{00000000-0005-0000-0000-0000F4DD0000}"/>
    <cellStyle name="Percent 8 6 5" xfId="56815" xr:uid="{00000000-0005-0000-0000-0000F5DD0000}"/>
    <cellStyle name="Percent 8 6 6" xfId="56816" xr:uid="{00000000-0005-0000-0000-0000F6DD0000}"/>
    <cellStyle name="Percent 8 6 7" xfId="56817" xr:uid="{00000000-0005-0000-0000-0000F7DD0000}"/>
    <cellStyle name="Percent 8 6 8" xfId="56818" xr:uid="{00000000-0005-0000-0000-0000F8DD0000}"/>
    <cellStyle name="Percent 8 6 9" xfId="56819" xr:uid="{00000000-0005-0000-0000-0000F9DD0000}"/>
    <cellStyle name="Percent 8 7" xfId="56820" xr:uid="{00000000-0005-0000-0000-0000FADD0000}"/>
    <cellStyle name="Percent 8 7 10" xfId="56821" xr:uid="{00000000-0005-0000-0000-0000FBDD0000}"/>
    <cellStyle name="Percent 8 7 2" xfId="56822" xr:uid="{00000000-0005-0000-0000-0000FCDD0000}"/>
    <cellStyle name="Percent 8 7 3" xfId="56823" xr:uid="{00000000-0005-0000-0000-0000FDDD0000}"/>
    <cellStyle name="Percent 8 7 4" xfId="56824" xr:uid="{00000000-0005-0000-0000-0000FEDD0000}"/>
    <cellStyle name="Percent 8 7 5" xfId="56825" xr:uid="{00000000-0005-0000-0000-0000FFDD0000}"/>
    <cellStyle name="Percent 8 7 6" xfId="56826" xr:uid="{00000000-0005-0000-0000-000000DE0000}"/>
    <cellStyle name="Percent 8 7 7" xfId="56827" xr:uid="{00000000-0005-0000-0000-000001DE0000}"/>
    <cellStyle name="Percent 8 7 8" xfId="56828" xr:uid="{00000000-0005-0000-0000-000002DE0000}"/>
    <cellStyle name="Percent 8 7 9" xfId="56829" xr:uid="{00000000-0005-0000-0000-000003DE0000}"/>
    <cellStyle name="Percent 8 8" xfId="56830" xr:uid="{00000000-0005-0000-0000-000004DE0000}"/>
    <cellStyle name="Percent 8 9" xfId="56831" xr:uid="{00000000-0005-0000-0000-000005DE0000}"/>
    <cellStyle name="Percent 80" xfId="56832" xr:uid="{00000000-0005-0000-0000-000006DE0000}"/>
    <cellStyle name="Percent 86" xfId="56833" xr:uid="{00000000-0005-0000-0000-000007DE0000}"/>
    <cellStyle name="Percent 87" xfId="56834" xr:uid="{00000000-0005-0000-0000-000008DE0000}"/>
    <cellStyle name="Percent 9" xfId="56835" xr:uid="{00000000-0005-0000-0000-000009DE0000}"/>
    <cellStyle name="Percent 9 2" xfId="56836" xr:uid="{00000000-0005-0000-0000-00000ADE0000}"/>
    <cellStyle name="Percent 9 3" xfId="56837" xr:uid="{00000000-0005-0000-0000-00000BDE0000}"/>
    <cellStyle name="Percent 9 4" xfId="56838" xr:uid="{00000000-0005-0000-0000-00000CDE0000}"/>
    <cellStyle name="Percent 9 5" xfId="56839" xr:uid="{00000000-0005-0000-0000-00000DDE0000}"/>
    <cellStyle name="Percent 94" xfId="56840" xr:uid="{00000000-0005-0000-0000-00000EDE0000}"/>
    <cellStyle name="Title 10" xfId="56841" xr:uid="{00000000-0005-0000-0000-00000FDE0000}"/>
    <cellStyle name="Title 10 2" xfId="56842" xr:uid="{00000000-0005-0000-0000-000010DE0000}"/>
    <cellStyle name="Title 10 3" xfId="56843" xr:uid="{00000000-0005-0000-0000-000011DE0000}"/>
    <cellStyle name="Title 11" xfId="56844" xr:uid="{00000000-0005-0000-0000-000012DE0000}"/>
    <cellStyle name="Title 11 2" xfId="56845" xr:uid="{00000000-0005-0000-0000-000013DE0000}"/>
    <cellStyle name="Title 11 3" xfId="56846" xr:uid="{00000000-0005-0000-0000-000014DE0000}"/>
    <cellStyle name="Title 12" xfId="56847" xr:uid="{00000000-0005-0000-0000-000015DE0000}"/>
    <cellStyle name="Title 12 2" xfId="56848" xr:uid="{00000000-0005-0000-0000-000016DE0000}"/>
    <cellStyle name="Title 12 3" xfId="56849" xr:uid="{00000000-0005-0000-0000-000017DE0000}"/>
    <cellStyle name="Title 13" xfId="56850" xr:uid="{00000000-0005-0000-0000-000018DE0000}"/>
    <cellStyle name="Title 13 2" xfId="56851" xr:uid="{00000000-0005-0000-0000-000019DE0000}"/>
    <cellStyle name="Title 13 3" xfId="56852" xr:uid="{00000000-0005-0000-0000-00001ADE0000}"/>
    <cellStyle name="Title 14" xfId="56853" xr:uid="{00000000-0005-0000-0000-00001BDE0000}"/>
    <cellStyle name="Title 14 2" xfId="56854" xr:uid="{00000000-0005-0000-0000-00001CDE0000}"/>
    <cellStyle name="Title 14 3" xfId="56855" xr:uid="{00000000-0005-0000-0000-00001DDE0000}"/>
    <cellStyle name="Title 15" xfId="56856" xr:uid="{00000000-0005-0000-0000-00001EDE0000}"/>
    <cellStyle name="Title 15 2" xfId="56857" xr:uid="{00000000-0005-0000-0000-00001FDE0000}"/>
    <cellStyle name="Title 15 3" xfId="56858" xr:uid="{00000000-0005-0000-0000-000020DE0000}"/>
    <cellStyle name="Title 15 4" xfId="56859" xr:uid="{00000000-0005-0000-0000-000021DE0000}"/>
    <cellStyle name="Title 15 5" xfId="56860" xr:uid="{00000000-0005-0000-0000-000022DE0000}"/>
    <cellStyle name="Title 15 6" xfId="56861" xr:uid="{00000000-0005-0000-0000-000023DE0000}"/>
    <cellStyle name="Title 15 7" xfId="56862" xr:uid="{00000000-0005-0000-0000-000024DE0000}"/>
    <cellStyle name="Title 16" xfId="56863" xr:uid="{00000000-0005-0000-0000-000025DE0000}"/>
    <cellStyle name="Title 17" xfId="56864" xr:uid="{00000000-0005-0000-0000-000026DE0000}"/>
    <cellStyle name="Title 18" xfId="56865" xr:uid="{00000000-0005-0000-0000-000027DE0000}"/>
    <cellStyle name="Title 19" xfId="56866" xr:uid="{00000000-0005-0000-0000-000028DE0000}"/>
    <cellStyle name="Title 2" xfId="56867" xr:uid="{00000000-0005-0000-0000-000029DE0000}"/>
    <cellStyle name="Title 2 10" xfId="56868" xr:uid="{00000000-0005-0000-0000-00002ADE0000}"/>
    <cellStyle name="Title 2 11" xfId="56869" xr:uid="{00000000-0005-0000-0000-00002BDE0000}"/>
    <cellStyle name="Title 2 12" xfId="56870" xr:uid="{00000000-0005-0000-0000-00002CDE0000}"/>
    <cellStyle name="Title 2 13" xfId="56871" xr:uid="{00000000-0005-0000-0000-00002DDE0000}"/>
    <cellStyle name="Title 2 14" xfId="56872" xr:uid="{00000000-0005-0000-0000-00002EDE0000}"/>
    <cellStyle name="Title 2 15" xfId="56873" xr:uid="{00000000-0005-0000-0000-00002FDE0000}"/>
    <cellStyle name="Title 2 16" xfId="56874" xr:uid="{00000000-0005-0000-0000-000030DE0000}"/>
    <cellStyle name="Title 2 17" xfId="56875" xr:uid="{00000000-0005-0000-0000-000031DE0000}"/>
    <cellStyle name="Title 2 18" xfId="56876" xr:uid="{00000000-0005-0000-0000-000032DE0000}"/>
    <cellStyle name="Title 2 19" xfId="56877" xr:uid="{00000000-0005-0000-0000-000033DE0000}"/>
    <cellStyle name="Title 2 2" xfId="56878" xr:uid="{00000000-0005-0000-0000-000034DE0000}"/>
    <cellStyle name="Title 2 20" xfId="56879" xr:uid="{00000000-0005-0000-0000-000035DE0000}"/>
    <cellStyle name="Title 2 21" xfId="56880" xr:uid="{00000000-0005-0000-0000-000036DE0000}"/>
    <cellStyle name="Title 2 3" xfId="56881" xr:uid="{00000000-0005-0000-0000-000037DE0000}"/>
    <cellStyle name="Title 2 4" xfId="56882" xr:uid="{00000000-0005-0000-0000-000038DE0000}"/>
    <cellStyle name="Title 2 5" xfId="56883" xr:uid="{00000000-0005-0000-0000-000039DE0000}"/>
    <cellStyle name="Title 2 6" xfId="56884" xr:uid="{00000000-0005-0000-0000-00003ADE0000}"/>
    <cellStyle name="Title 2 7" xfId="56885" xr:uid="{00000000-0005-0000-0000-00003BDE0000}"/>
    <cellStyle name="Title 2 8" xfId="56886" xr:uid="{00000000-0005-0000-0000-00003CDE0000}"/>
    <cellStyle name="Title 2 9" xfId="56887" xr:uid="{00000000-0005-0000-0000-00003DDE0000}"/>
    <cellStyle name="Title 20" xfId="56888" xr:uid="{00000000-0005-0000-0000-00003EDE0000}"/>
    <cellStyle name="Title 21" xfId="56889" xr:uid="{00000000-0005-0000-0000-00003FDE0000}"/>
    <cellStyle name="Title 22" xfId="56890" xr:uid="{00000000-0005-0000-0000-000040DE0000}"/>
    <cellStyle name="Title 23" xfId="56891" xr:uid="{00000000-0005-0000-0000-000041DE0000}"/>
    <cellStyle name="Title 24" xfId="56892" xr:uid="{00000000-0005-0000-0000-000042DE0000}"/>
    <cellStyle name="Title 25" xfId="56893" xr:uid="{00000000-0005-0000-0000-000043DE0000}"/>
    <cellStyle name="Title 26" xfId="56894" xr:uid="{00000000-0005-0000-0000-000044DE0000}"/>
    <cellStyle name="Title 27" xfId="56895" xr:uid="{00000000-0005-0000-0000-000045DE0000}"/>
    <cellStyle name="Title 28" xfId="56896" xr:uid="{00000000-0005-0000-0000-000046DE0000}"/>
    <cellStyle name="Title 29" xfId="56897" xr:uid="{00000000-0005-0000-0000-000047DE0000}"/>
    <cellStyle name="Title 3" xfId="56898" xr:uid="{00000000-0005-0000-0000-000048DE0000}"/>
    <cellStyle name="Title 3 2" xfId="56899" xr:uid="{00000000-0005-0000-0000-000049DE0000}"/>
    <cellStyle name="Title 3 3" xfId="56900" xr:uid="{00000000-0005-0000-0000-00004ADE0000}"/>
    <cellStyle name="Title 30" xfId="56901" xr:uid="{00000000-0005-0000-0000-00004BDE0000}"/>
    <cellStyle name="Title 31" xfId="56902" xr:uid="{00000000-0005-0000-0000-00004CDE0000}"/>
    <cellStyle name="Title 32" xfId="56903" xr:uid="{00000000-0005-0000-0000-00004DDE0000}"/>
    <cellStyle name="Title 33" xfId="56904" xr:uid="{00000000-0005-0000-0000-00004EDE0000}"/>
    <cellStyle name="Title 34" xfId="56905" xr:uid="{00000000-0005-0000-0000-00004FDE0000}"/>
    <cellStyle name="Title 4" xfId="56906" xr:uid="{00000000-0005-0000-0000-000050DE0000}"/>
    <cellStyle name="Title 4 2" xfId="56907" xr:uid="{00000000-0005-0000-0000-000051DE0000}"/>
    <cellStyle name="Title 4 3" xfId="56908" xr:uid="{00000000-0005-0000-0000-000052DE0000}"/>
    <cellStyle name="Title 5" xfId="56909" xr:uid="{00000000-0005-0000-0000-000053DE0000}"/>
    <cellStyle name="Title 5 2" xfId="56910" xr:uid="{00000000-0005-0000-0000-000054DE0000}"/>
    <cellStyle name="Title 5 3" xfId="56911" xr:uid="{00000000-0005-0000-0000-000055DE0000}"/>
    <cellStyle name="Title 6" xfId="56912" xr:uid="{00000000-0005-0000-0000-000056DE0000}"/>
    <cellStyle name="Title 6 2" xfId="56913" xr:uid="{00000000-0005-0000-0000-000057DE0000}"/>
    <cellStyle name="Title 6 3" xfId="56914" xr:uid="{00000000-0005-0000-0000-000058DE0000}"/>
    <cellStyle name="Title 7" xfId="56915" xr:uid="{00000000-0005-0000-0000-000059DE0000}"/>
    <cellStyle name="Title 7 2" xfId="56916" xr:uid="{00000000-0005-0000-0000-00005ADE0000}"/>
    <cellStyle name="Title 7 3" xfId="56917" xr:uid="{00000000-0005-0000-0000-00005BDE0000}"/>
    <cellStyle name="Title 8" xfId="56918" xr:uid="{00000000-0005-0000-0000-00005CDE0000}"/>
    <cellStyle name="Title 8 2" xfId="56919" xr:uid="{00000000-0005-0000-0000-00005DDE0000}"/>
    <cellStyle name="Title 8 3" xfId="56920" xr:uid="{00000000-0005-0000-0000-00005EDE0000}"/>
    <cellStyle name="Title 9" xfId="56921" xr:uid="{00000000-0005-0000-0000-00005FDE0000}"/>
    <cellStyle name="Title 9 2" xfId="56922" xr:uid="{00000000-0005-0000-0000-000060DE0000}"/>
    <cellStyle name="Title 9 3" xfId="56923" xr:uid="{00000000-0005-0000-0000-000061DE0000}"/>
    <cellStyle name="Total 10" xfId="56924" xr:uid="{00000000-0005-0000-0000-000062DE0000}"/>
    <cellStyle name="Total 10 2" xfId="56925" xr:uid="{00000000-0005-0000-0000-000063DE0000}"/>
    <cellStyle name="Total 10 3" xfId="56926" xr:uid="{00000000-0005-0000-0000-000064DE0000}"/>
    <cellStyle name="Total 11" xfId="56927" xr:uid="{00000000-0005-0000-0000-000065DE0000}"/>
    <cellStyle name="Total 11 2" xfId="56928" xr:uid="{00000000-0005-0000-0000-000066DE0000}"/>
    <cellStyle name="Total 11 3" xfId="56929" xr:uid="{00000000-0005-0000-0000-000067DE0000}"/>
    <cellStyle name="Total 12" xfId="56930" xr:uid="{00000000-0005-0000-0000-000068DE0000}"/>
    <cellStyle name="Total 12 2" xfId="56931" xr:uid="{00000000-0005-0000-0000-000069DE0000}"/>
    <cellStyle name="Total 12 3" xfId="56932" xr:uid="{00000000-0005-0000-0000-00006ADE0000}"/>
    <cellStyle name="Total 13" xfId="56933" xr:uid="{00000000-0005-0000-0000-00006BDE0000}"/>
    <cellStyle name="Total 13 2" xfId="56934" xr:uid="{00000000-0005-0000-0000-00006CDE0000}"/>
    <cellStyle name="Total 13 3" xfId="56935" xr:uid="{00000000-0005-0000-0000-00006DDE0000}"/>
    <cellStyle name="Total 14" xfId="56936" xr:uid="{00000000-0005-0000-0000-00006EDE0000}"/>
    <cellStyle name="Total 14 2" xfId="56937" xr:uid="{00000000-0005-0000-0000-00006FDE0000}"/>
    <cellStyle name="Total 14 3" xfId="56938" xr:uid="{00000000-0005-0000-0000-000070DE0000}"/>
    <cellStyle name="Total 15" xfId="56939" xr:uid="{00000000-0005-0000-0000-000071DE0000}"/>
    <cellStyle name="Total 15 2" xfId="56940" xr:uid="{00000000-0005-0000-0000-000072DE0000}"/>
    <cellStyle name="Total 15 3" xfId="56941" xr:uid="{00000000-0005-0000-0000-000073DE0000}"/>
    <cellStyle name="Total 15 4" xfId="56942" xr:uid="{00000000-0005-0000-0000-000074DE0000}"/>
    <cellStyle name="Total 15 5" xfId="56943" xr:uid="{00000000-0005-0000-0000-000075DE0000}"/>
    <cellStyle name="Total 15 6" xfId="56944" xr:uid="{00000000-0005-0000-0000-000076DE0000}"/>
    <cellStyle name="Total 15 7" xfId="56945" xr:uid="{00000000-0005-0000-0000-000077DE0000}"/>
    <cellStyle name="Total 16" xfId="56946" xr:uid="{00000000-0005-0000-0000-000078DE0000}"/>
    <cellStyle name="Total 17" xfId="56947" xr:uid="{00000000-0005-0000-0000-000079DE0000}"/>
    <cellStyle name="Total 18" xfId="56948" xr:uid="{00000000-0005-0000-0000-00007ADE0000}"/>
    <cellStyle name="Total 19" xfId="56949" xr:uid="{00000000-0005-0000-0000-00007BDE0000}"/>
    <cellStyle name="Total 2" xfId="56950" xr:uid="{00000000-0005-0000-0000-00007CDE0000}"/>
    <cellStyle name="Total 2 10" xfId="56951" xr:uid="{00000000-0005-0000-0000-00007DDE0000}"/>
    <cellStyle name="Total 2 11" xfId="56952" xr:uid="{00000000-0005-0000-0000-00007EDE0000}"/>
    <cellStyle name="Total 2 12" xfId="56953" xr:uid="{00000000-0005-0000-0000-00007FDE0000}"/>
    <cellStyle name="Total 2 13" xfId="56954" xr:uid="{00000000-0005-0000-0000-000080DE0000}"/>
    <cellStyle name="Total 2 14" xfId="56955" xr:uid="{00000000-0005-0000-0000-000081DE0000}"/>
    <cellStyle name="Total 2 2" xfId="56956" xr:uid="{00000000-0005-0000-0000-000082DE0000}"/>
    <cellStyle name="Total 2 3" xfId="56957" xr:uid="{00000000-0005-0000-0000-000083DE0000}"/>
    <cellStyle name="Total 2 4" xfId="56958" xr:uid="{00000000-0005-0000-0000-000084DE0000}"/>
    <cellStyle name="Total 2 5" xfId="56959" xr:uid="{00000000-0005-0000-0000-000085DE0000}"/>
    <cellStyle name="Total 2 6" xfId="56960" xr:uid="{00000000-0005-0000-0000-000086DE0000}"/>
    <cellStyle name="Total 2 7" xfId="56961" xr:uid="{00000000-0005-0000-0000-000087DE0000}"/>
    <cellStyle name="Total 2 8" xfId="56962" xr:uid="{00000000-0005-0000-0000-000088DE0000}"/>
    <cellStyle name="Total 2 9" xfId="56963" xr:uid="{00000000-0005-0000-0000-000089DE0000}"/>
    <cellStyle name="Total 20" xfId="56964" xr:uid="{00000000-0005-0000-0000-00008ADE0000}"/>
    <cellStyle name="Total 21" xfId="56965" xr:uid="{00000000-0005-0000-0000-00008BDE0000}"/>
    <cellStyle name="Total 22" xfId="56966" xr:uid="{00000000-0005-0000-0000-00008CDE0000}"/>
    <cellStyle name="Total 23" xfId="56967" xr:uid="{00000000-0005-0000-0000-00008DDE0000}"/>
    <cellStyle name="Total 24" xfId="56968" xr:uid="{00000000-0005-0000-0000-00008EDE0000}"/>
    <cellStyle name="Total 25" xfId="56969" xr:uid="{00000000-0005-0000-0000-00008FDE0000}"/>
    <cellStyle name="Total 26" xfId="56970" xr:uid="{00000000-0005-0000-0000-000090DE0000}"/>
    <cellStyle name="Total 27" xfId="56971" xr:uid="{00000000-0005-0000-0000-000091DE0000}"/>
    <cellStyle name="Total 28" xfId="56972" xr:uid="{00000000-0005-0000-0000-000092DE0000}"/>
    <cellStyle name="Total 29" xfId="56973" xr:uid="{00000000-0005-0000-0000-000093DE0000}"/>
    <cellStyle name="Total 3" xfId="56974" xr:uid="{00000000-0005-0000-0000-000094DE0000}"/>
    <cellStyle name="Total 3 2" xfId="56975" xr:uid="{00000000-0005-0000-0000-000095DE0000}"/>
    <cellStyle name="Total 3 3" xfId="56976" xr:uid="{00000000-0005-0000-0000-000096DE0000}"/>
    <cellStyle name="Total 30" xfId="56977" xr:uid="{00000000-0005-0000-0000-000097DE0000}"/>
    <cellStyle name="Total 31" xfId="56978" xr:uid="{00000000-0005-0000-0000-000098DE0000}"/>
    <cellStyle name="Total 32" xfId="56979" xr:uid="{00000000-0005-0000-0000-000099DE0000}"/>
    <cellStyle name="Total 33" xfId="56980" xr:uid="{00000000-0005-0000-0000-00009ADE0000}"/>
    <cellStyle name="Total 34" xfId="56981" xr:uid="{00000000-0005-0000-0000-00009BDE0000}"/>
    <cellStyle name="Total 4" xfId="56982" xr:uid="{00000000-0005-0000-0000-00009CDE0000}"/>
    <cellStyle name="Total 4 2" xfId="56983" xr:uid="{00000000-0005-0000-0000-00009DDE0000}"/>
    <cellStyle name="Total 4 3" xfId="56984" xr:uid="{00000000-0005-0000-0000-00009EDE0000}"/>
    <cellStyle name="Total 5" xfId="56985" xr:uid="{00000000-0005-0000-0000-00009FDE0000}"/>
    <cellStyle name="Total 5 2" xfId="56986" xr:uid="{00000000-0005-0000-0000-0000A0DE0000}"/>
    <cellStyle name="Total 5 3" xfId="56987" xr:uid="{00000000-0005-0000-0000-0000A1DE0000}"/>
    <cellStyle name="Total 6" xfId="56988" xr:uid="{00000000-0005-0000-0000-0000A2DE0000}"/>
    <cellStyle name="Total 6 2" xfId="56989" xr:uid="{00000000-0005-0000-0000-0000A3DE0000}"/>
    <cellStyle name="Total 6 3" xfId="56990" xr:uid="{00000000-0005-0000-0000-0000A4DE0000}"/>
    <cellStyle name="Total 7" xfId="56991" xr:uid="{00000000-0005-0000-0000-0000A5DE0000}"/>
    <cellStyle name="Total 7 2" xfId="56992" xr:uid="{00000000-0005-0000-0000-0000A6DE0000}"/>
    <cellStyle name="Total 7 3" xfId="56993" xr:uid="{00000000-0005-0000-0000-0000A7DE0000}"/>
    <cellStyle name="Total 8" xfId="56994" xr:uid="{00000000-0005-0000-0000-0000A8DE0000}"/>
    <cellStyle name="Total 8 2" xfId="56995" xr:uid="{00000000-0005-0000-0000-0000A9DE0000}"/>
    <cellStyle name="Total 8 3" xfId="56996" xr:uid="{00000000-0005-0000-0000-0000AADE0000}"/>
    <cellStyle name="Total 9" xfId="56997" xr:uid="{00000000-0005-0000-0000-0000ABDE0000}"/>
    <cellStyle name="Total 9 2" xfId="56998" xr:uid="{00000000-0005-0000-0000-0000ACDE0000}"/>
    <cellStyle name="Total 9 3" xfId="56999" xr:uid="{00000000-0005-0000-0000-0000ADDE0000}"/>
    <cellStyle name="Warning Text 10" xfId="57000" xr:uid="{00000000-0005-0000-0000-0000AEDE0000}"/>
    <cellStyle name="Warning Text 10 2" xfId="57001" xr:uid="{00000000-0005-0000-0000-0000AFDE0000}"/>
    <cellStyle name="Warning Text 10 3" xfId="57002" xr:uid="{00000000-0005-0000-0000-0000B0DE0000}"/>
    <cellStyle name="Warning Text 11" xfId="57003" xr:uid="{00000000-0005-0000-0000-0000B1DE0000}"/>
    <cellStyle name="Warning Text 11 2" xfId="57004" xr:uid="{00000000-0005-0000-0000-0000B2DE0000}"/>
    <cellStyle name="Warning Text 11 3" xfId="57005" xr:uid="{00000000-0005-0000-0000-0000B3DE0000}"/>
    <cellStyle name="Warning Text 12" xfId="57006" xr:uid="{00000000-0005-0000-0000-0000B4DE0000}"/>
    <cellStyle name="Warning Text 12 2" xfId="57007" xr:uid="{00000000-0005-0000-0000-0000B5DE0000}"/>
    <cellStyle name="Warning Text 12 3" xfId="57008" xr:uid="{00000000-0005-0000-0000-0000B6DE0000}"/>
    <cellStyle name="Warning Text 13" xfId="57009" xr:uid="{00000000-0005-0000-0000-0000B7DE0000}"/>
    <cellStyle name="Warning Text 13 2" xfId="57010" xr:uid="{00000000-0005-0000-0000-0000B8DE0000}"/>
    <cellStyle name="Warning Text 13 3" xfId="57011" xr:uid="{00000000-0005-0000-0000-0000B9DE0000}"/>
    <cellStyle name="Warning Text 14" xfId="57012" xr:uid="{00000000-0005-0000-0000-0000BADE0000}"/>
    <cellStyle name="Warning Text 14 2" xfId="57013" xr:uid="{00000000-0005-0000-0000-0000BBDE0000}"/>
    <cellStyle name="Warning Text 14 3" xfId="57014" xr:uid="{00000000-0005-0000-0000-0000BCDE0000}"/>
    <cellStyle name="Warning Text 15" xfId="57015" xr:uid="{00000000-0005-0000-0000-0000BDDE0000}"/>
    <cellStyle name="Warning Text 15 2" xfId="57016" xr:uid="{00000000-0005-0000-0000-0000BEDE0000}"/>
    <cellStyle name="Warning Text 15 3" xfId="57017" xr:uid="{00000000-0005-0000-0000-0000BFDE0000}"/>
    <cellStyle name="Warning Text 15 4" xfId="57018" xr:uid="{00000000-0005-0000-0000-0000C0DE0000}"/>
    <cellStyle name="Warning Text 15 5" xfId="57019" xr:uid="{00000000-0005-0000-0000-0000C1DE0000}"/>
    <cellStyle name="Warning Text 15 6" xfId="57020" xr:uid="{00000000-0005-0000-0000-0000C2DE0000}"/>
    <cellStyle name="Warning Text 15 7" xfId="57021" xr:uid="{00000000-0005-0000-0000-0000C3DE0000}"/>
    <cellStyle name="Warning Text 16" xfId="57022" xr:uid="{00000000-0005-0000-0000-0000C4DE0000}"/>
    <cellStyle name="Warning Text 17" xfId="57023" xr:uid="{00000000-0005-0000-0000-0000C5DE0000}"/>
    <cellStyle name="Warning Text 18" xfId="57024" xr:uid="{00000000-0005-0000-0000-0000C6DE0000}"/>
    <cellStyle name="Warning Text 19" xfId="57025" xr:uid="{00000000-0005-0000-0000-0000C7DE0000}"/>
    <cellStyle name="Warning Text 2" xfId="57026" xr:uid="{00000000-0005-0000-0000-0000C8DE0000}"/>
    <cellStyle name="Warning Text 2 10" xfId="57027" xr:uid="{00000000-0005-0000-0000-0000C9DE0000}"/>
    <cellStyle name="Warning Text 2 11" xfId="57028" xr:uid="{00000000-0005-0000-0000-0000CADE0000}"/>
    <cellStyle name="Warning Text 2 12" xfId="57029" xr:uid="{00000000-0005-0000-0000-0000CBDE0000}"/>
    <cellStyle name="Warning Text 2 13" xfId="57030" xr:uid="{00000000-0005-0000-0000-0000CCDE0000}"/>
    <cellStyle name="Warning Text 2 14" xfId="57031" xr:uid="{00000000-0005-0000-0000-0000CDDE0000}"/>
    <cellStyle name="Warning Text 2 2" xfId="57032" xr:uid="{00000000-0005-0000-0000-0000CEDE0000}"/>
    <cellStyle name="Warning Text 2 3" xfId="57033" xr:uid="{00000000-0005-0000-0000-0000CFDE0000}"/>
    <cellStyle name="Warning Text 2 4" xfId="57034" xr:uid="{00000000-0005-0000-0000-0000D0DE0000}"/>
    <cellStyle name="Warning Text 2 5" xfId="57035" xr:uid="{00000000-0005-0000-0000-0000D1DE0000}"/>
    <cellStyle name="Warning Text 2 6" xfId="57036" xr:uid="{00000000-0005-0000-0000-0000D2DE0000}"/>
    <cellStyle name="Warning Text 2 7" xfId="57037" xr:uid="{00000000-0005-0000-0000-0000D3DE0000}"/>
    <cellStyle name="Warning Text 2 8" xfId="57038" xr:uid="{00000000-0005-0000-0000-0000D4DE0000}"/>
    <cellStyle name="Warning Text 2 9" xfId="57039" xr:uid="{00000000-0005-0000-0000-0000D5DE0000}"/>
    <cellStyle name="Warning Text 20" xfId="57040" xr:uid="{00000000-0005-0000-0000-0000D6DE0000}"/>
    <cellStyle name="Warning Text 21" xfId="57041" xr:uid="{00000000-0005-0000-0000-0000D7DE0000}"/>
    <cellStyle name="Warning Text 22" xfId="57042" xr:uid="{00000000-0005-0000-0000-0000D8DE0000}"/>
    <cellStyle name="Warning Text 23" xfId="57043" xr:uid="{00000000-0005-0000-0000-0000D9DE0000}"/>
    <cellStyle name="Warning Text 24" xfId="57044" xr:uid="{00000000-0005-0000-0000-0000DADE0000}"/>
    <cellStyle name="Warning Text 25" xfId="57045" xr:uid="{00000000-0005-0000-0000-0000DBDE0000}"/>
    <cellStyle name="Warning Text 26" xfId="57046" xr:uid="{00000000-0005-0000-0000-0000DCDE0000}"/>
    <cellStyle name="Warning Text 27" xfId="57047" xr:uid="{00000000-0005-0000-0000-0000DDDE0000}"/>
    <cellStyle name="Warning Text 28" xfId="57048" xr:uid="{00000000-0005-0000-0000-0000DEDE0000}"/>
    <cellStyle name="Warning Text 29" xfId="57049" xr:uid="{00000000-0005-0000-0000-0000DFDE0000}"/>
    <cellStyle name="Warning Text 3" xfId="57050" xr:uid="{00000000-0005-0000-0000-0000E0DE0000}"/>
    <cellStyle name="Warning Text 3 2" xfId="57051" xr:uid="{00000000-0005-0000-0000-0000E1DE0000}"/>
    <cellStyle name="Warning Text 3 3" xfId="57052" xr:uid="{00000000-0005-0000-0000-0000E2DE0000}"/>
    <cellStyle name="Warning Text 30" xfId="57053" xr:uid="{00000000-0005-0000-0000-0000E3DE0000}"/>
    <cellStyle name="Warning Text 31" xfId="57054" xr:uid="{00000000-0005-0000-0000-0000E4DE0000}"/>
    <cellStyle name="Warning Text 32" xfId="57055" xr:uid="{00000000-0005-0000-0000-0000E5DE0000}"/>
    <cellStyle name="Warning Text 33" xfId="57056" xr:uid="{00000000-0005-0000-0000-0000E6DE0000}"/>
    <cellStyle name="Warning Text 34" xfId="57057" xr:uid="{00000000-0005-0000-0000-0000E7DE0000}"/>
    <cellStyle name="Warning Text 4" xfId="57058" xr:uid="{00000000-0005-0000-0000-0000E8DE0000}"/>
    <cellStyle name="Warning Text 4 2" xfId="57059" xr:uid="{00000000-0005-0000-0000-0000E9DE0000}"/>
    <cellStyle name="Warning Text 4 3" xfId="57060" xr:uid="{00000000-0005-0000-0000-0000EADE0000}"/>
    <cellStyle name="Warning Text 5" xfId="57061" xr:uid="{00000000-0005-0000-0000-0000EBDE0000}"/>
    <cellStyle name="Warning Text 5 2" xfId="57062" xr:uid="{00000000-0005-0000-0000-0000ECDE0000}"/>
    <cellStyle name="Warning Text 5 3" xfId="57063" xr:uid="{00000000-0005-0000-0000-0000EDDE0000}"/>
    <cellStyle name="Warning Text 6" xfId="57064" xr:uid="{00000000-0005-0000-0000-0000EEDE0000}"/>
    <cellStyle name="Warning Text 6 2" xfId="57065" xr:uid="{00000000-0005-0000-0000-0000EFDE0000}"/>
    <cellStyle name="Warning Text 6 3" xfId="57066" xr:uid="{00000000-0005-0000-0000-0000F0DE0000}"/>
    <cellStyle name="Warning Text 7" xfId="57067" xr:uid="{00000000-0005-0000-0000-0000F1DE0000}"/>
    <cellStyle name="Warning Text 7 2" xfId="57068" xr:uid="{00000000-0005-0000-0000-0000F2DE0000}"/>
    <cellStyle name="Warning Text 7 3" xfId="57069" xr:uid="{00000000-0005-0000-0000-0000F3DE0000}"/>
    <cellStyle name="Warning Text 8" xfId="57070" xr:uid="{00000000-0005-0000-0000-0000F4DE0000}"/>
    <cellStyle name="Warning Text 8 2" xfId="57071" xr:uid="{00000000-0005-0000-0000-0000F5DE0000}"/>
    <cellStyle name="Warning Text 8 3" xfId="57072" xr:uid="{00000000-0005-0000-0000-0000F6DE0000}"/>
    <cellStyle name="Warning Text 9" xfId="57073" xr:uid="{00000000-0005-0000-0000-0000F7DE0000}"/>
    <cellStyle name="Warning Text 9 2" xfId="57074" xr:uid="{00000000-0005-0000-0000-0000F8DE0000}"/>
    <cellStyle name="Warning Text 9 3" xfId="57075" xr:uid="{00000000-0005-0000-0000-0000F9DE0000}"/>
  </cellStyles>
  <dxfs count="839">
    <dxf>
      <font>
        <b/>
        <i val="0"/>
        <strike val="0"/>
        <color rgb="FFFF0000"/>
      </font>
      <fill>
        <patternFill patternType="none">
          <bgColor auto="1"/>
        </patternFill>
      </fill>
    </dxf>
    <dxf>
      <font>
        <b/>
        <i val="0"/>
        <strike val="0"/>
        <color rgb="FFFFC000"/>
      </font>
      <fill>
        <patternFill patternType="none">
          <bgColor auto="1"/>
        </patternFill>
      </fill>
    </dxf>
    <dxf>
      <font>
        <b/>
        <i val="0"/>
        <strike val="0"/>
        <color rgb="FF439639"/>
      </font>
      <fill>
        <patternFill>
          <bgColor theme="0"/>
        </patternFill>
      </fill>
    </dxf>
    <dxf>
      <fill>
        <patternFill>
          <bgColor theme="5" tint="0.59996337778862885"/>
        </patternFill>
      </fill>
    </dxf>
    <dxf>
      <font>
        <b/>
        <i val="0"/>
        <strike val="0"/>
        <color rgb="FFFF0000"/>
      </font>
      <fill>
        <patternFill patternType="none">
          <bgColor auto="1"/>
        </patternFill>
      </fill>
    </dxf>
    <dxf>
      <font>
        <b/>
        <i val="0"/>
        <strike val="0"/>
        <color rgb="FF439639"/>
      </font>
      <fill>
        <patternFill patternType="none">
          <bgColor auto="1"/>
        </patternFill>
      </fill>
    </dxf>
    <dxf>
      <font>
        <b/>
        <i val="0"/>
        <strike val="0"/>
        <color theme="5" tint="-0.24994659260841701"/>
      </font>
      <fill>
        <patternFill patternType="none">
          <bgColor auto="1"/>
        </patternFill>
      </fill>
    </dxf>
    <dxf>
      <font>
        <b/>
        <i val="0"/>
        <strike val="0"/>
        <color theme="4" tint="-0.499984740745262"/>
      </font>
    </dxf>
    <dxf>
      <font>
        <b/>
        <i val="0"/>
        <color rgb="FFFF0000"/>
      </font>
      <fill>
        <patternFill patternType="none">
          <bgColor auto="1"/>
        </patternFill>
      </fill>
    </dxf>
    <dxf>
      <font>
        <color rgb="FFFF0000"/>
      </font>
    </dxf>
    <dxf>
      <font>
        <color theme="5"/>
      </font>
    </dxf>
    <dxf>
      <font>
        <color rgb="FFFF0000"/>
      </font>
    </dxf>
    <dxf>
      <font>
        <color theme="5"/>
      </font>
    </dxf>
    <dxf>
      <font>
        <b/>
        <i val="0"/>
        <strike val="0"/>
        <color rgb="FFFF0000"/>
      </font>
      <fill>
        <patternFill patternType="none">
          <bgColor auto="1"/>
        </patternFill>
      </fill>
    </dxf>
    <dxf>
      <font>
        <b/>
        <i val="0"/>
        <strike val="0"/>
        <color rgb="FFFFC000"/>
      </font>
      <fill>
        <patternFill patternType="none">
          <bgColor auto="1"/>
        </patternFill>
      </fill>
    </dxf>
    <dxf>
      <font>
        <b/>
        <i val="0"/>
        <strike val="0"/>
        <color rgb="FF439639"/>
      </font>
      <fill>
        <patternFill>
          <bgColor theme="0"/>
        </patternFill>
      </fill>
    </dxf>
    <dxf>
      <font>
        <b/>
        <i val="0"/>
        <strike val="0"/>
        <color rgb="FFFF0000"/>
      </font>
      <fill>
        <patternFill patternType="none">
          <bgColor auto="1"/>
        </patternFill>
      </fill>
    </dxf>
    <dxf>
      <font>
        <b/>
        <i val="0"/>
        <strike val="0"/>
        <color rgb="FF439639"/>
      </font>
      <fill>
        <patternFill patternType="none">
          <bgColor auto="1"/>
        </patternFill>
      </fill>
    </dxf>
    <dxf>
      <font>
        <b/>
        <i val="0"/>
        <strike val="0"/>
        <color theme="5" tint="-0.24994659260841701"/>
      </font>
      <fill>
        <patternFill patternType="none">
          <bgColor auto="1"/>
        </patternFill>
      </fill>
    </dxf>
    <dxf>
      <font>
        <b/>
        <i val="0"/>
        <strike val="0"/>
        <color theme="4" tint="-0.499984740745262"/>
      </font>
    </dxf>
    <dxf>
      <font>
        <b/>
        <i val="0"/>
        <color rgb="FFFF0000"/>
      </font>
      <fill>
        <patternFill patternType="none">
          <bgColor auto="1"/>
        </patternFill>
      </fill>
    </dxf>
    <dxf>
      <fill>
        <patternFill>
          <bgColor theme="5" tint="0.59996337778862885"/>
        </patternFill>
      </fill>
    </dxf>
    <dxf>
      <font>
        <b/>
        <i val="0"/>
        <strike val="0"/>
        <color rgb="FFFF0000"/>
      </font>
      <fill>
        <patternFill patternType="none">
          <bgColor auto="1"/>
        </patternFill>
      </fill>
    </dxf>
    <dxf>
      <font>
        <b/>
        <i val="0"/>
        <strike val="0"/>
        <color rgb="FFFFC000"/>
      </font>
      <fill>
        <patternFill patternType="none">
          <bgColor auto="1"/>
        </patternFill>
      </fill>
    </dxf>
    <dxf>
      <font>
        <b/>
        <i val="0"/>
        <strike val="0"/>
        <color rgb="FF439639"/>
      </font>
      <fill>
        <patternFill>
          <bgColor theme="0"/>
        </patternFill>
      </fill>
    </dxf>
    <dxf>
      <font>
        <b/>
        <i val="0"/>
        <strike val="0"/>
        <color rgb="FFFF0000"/>
      </font>
      <fill>
        <patternFill patternType="none">
          <bgColor auto="1"/>
        </patternFill>
      </fill>
    </dxf>
    <dxf>
      <font>
        <b/>
        <i val="0"/>
        <strike val="0"/>
        <color rgb="FF439639"/>
      </font>
      <fill>
        <patternFill patternType="none">
          <bgColor auto="1"/>
        </patternFill>
      </fill>
    </dxf>
    <dxf>
      <font>
        <b/>
        <i val="0"/>
        <strike val="0"/>
        <color theme="5" tint="-0.24994659260841701"/>
      </font>
      <fill>
        <patternFill patternType="none">
          <bgColor auto="1"/>
        </patternFill>
      </fill>
    </dxf>
    <dxf>
      <font>
        <b/>
        <i val="0"/>
        <strike val="0"/>
        <color theme="4" tint="-0.499984740745262"/>
      </font>
    </dxf>
    <dxf>
      <font>
        <b/>
        <i val="0"/>
        <color rgb="FFFF0000"/>
      </font>
      <fill>
        <patternFill patternType="none">
          <bgColor auto="1"/>
        </patternFill>
      </fill>
    </dxf>
    <dxf>
      <font>
        <b/>
        <i val="0"/>
        <strike val="0"/>
        <u val="none"/>
        <color auto="1"/>
      </font>
      <numFmt numFmtId="19" formatCode="m/d/yyyy"/>
    </dxf>
    <dxf>
      <fill>
        <patternFill>
          <bgColor theme="5" tint="0.59996337778862885"/>
        </patternFill>
      </fill>
    </dxf>
    <dxf>
      <font>
        <color rgb="FFEBEBED"/>
      </font>
    </dxf>
    <dxf>
      <font>
        <b/>
        <i val="0"/>
        <strike val="0"/>
        <u val="none"/>
        <color auto="1"/>
      </font>
      <numFmt numFmtId="0" formatCode="General"/>
    </dxf>
    <dxf>
      <fill>
        <patternFill>
          <bgColor theme="5" tint="0.59996337778862885"/>
        </patternFill>
      </fill>
    </dxf>
    <dxf>
      <font>
        <b/>
        <i val="0"/>
        <strike val="0"/>
        <color rgb="FFFF0000"/>
      </font>
      <fill>
        <patternFill patternType="none">
          <bgColor auto="1"/>
        </patternFill>
      </fill>
    </dxf>
    <dxf>
      <font>
        <b/>
        <i val="0"/>
        <strike val="0"/>
        <color rgb="FFFFC000"/>
      </font>
      <fill>
        <patternFill patternType="none">
          <bgColor auto="1"/>
        </patternFill>
      </fill>
    </dxf>
    <dxf>
      <font>
        <b/>
        <i val="0"/>
        <strike val="0"/>
        <color rgb="FF439639"/>
      </font>
      <fill>
        <patternFill>
          <bgColor theme="0"/>
        </patternFill>
      </fill>
    </dxf>
    <dxf>
      <font>
        <b/>
        <i val="0"/>
        <strike val="0"/>
        <color rgb="FFFF0000"/>
      </font>
      <fill>
        <patternFill patternType="none">
          <bgColor auto="1"/>
        </patternFill>
      </fill>
    </dxf>
    <dxf>
      <font>
        <b/>
        <i val="0"/>
        <strike val="0"/>
        <color rgb="FF439639"/>
      </font>
      <fill>
        <patternFill patternType="none">
          <bgColor auto="1"/>
        </patternFill>
      </fill>
    </dxf>
    <dxf>
      <font>
        <b/>
        <i val="0"/>
        <strike val="0"/>
        <color theme="5" tint="-0.24994659260841701"/>
      </font>
      <fill>
        <patternFill patternType="none">
          <bgColor auto="1"/>
        </patternFill>
      </fill>
    </dxf>
    <dxf>
      <font>
        <b/>
        <i val="0"/>
        <strike val="0"/>
        <color theme="4" tint="-0.499984740745262"/>
      </font>
    </dxf>
    <dxf>
      <font>
        <b/>
        <i val="0"/>
        <color rgb="FFFF0000"/>
      </font>
      <fill>
        <patternFill patternType="none">
          <bgColor auto="1"/>
        </patternFill>
      </fill>
    </dxf>
    <dxf>
      <font>
        <b/>
        <i val="0"/>
        <strike val="0"/>
        <u val="none"/>
        <color auto="1"/>
      </font>
      <numFmt numFmtId="19" formatCode="m/d/yyyy"/>
    </dxf>
    <dxf>
      <fill>
        <patternFill>
          <bgColor theme="5" tint="0.59996337778862885"/>
        </patternFill>
      </fill>
    </dxf>
    <dxf>
      <font>
        <b/>
        <i val="0"/>
        <strike val="0"/>
        <u val="none"/>
        <color auto="1"/>
      </font>
      <numFmt numFmtId="0" formatCode="General"/>
    </dxf>
    <dxf>
      <fill>
        <patternFill>
          <bgColor theme="5" tint="0.59996337778862885"/>
        </patternFill>
      </fill>
    </dxf>
    <dxf>
      <font>
        <b/>
        <i val="0"/>
        <strike val="0"/>
        <u val="none"/>
        <color auto="1"/>
      </font>
      <numFmt numFmtId="19" formatCode="m/d/yyyy"/>
      <fill>
        <patternFill>
          <bgColor rgb="FFEBEBED"/>
        </patternFill>
      </fill>
    </dxf>
    <dxf>
      <fill>
        <patternFill>
          <bgColor theme="5" tint="0.59996337778862885"/>
        </patternFill>
      </fill>
    </dxf>
    <dxf>
      <fill>
        <patternFill>
          <bgColor theme="5" tint="0.59996337778862885"/>
        </patternFill>
      </fill>
    </dxf>
    <dxf>
      <font>
        <b/>
        <i val="0"/>
        <strike val="0"/>
        <u val="none"/>
        <color auto="1"/>
      </font>
      <numFmt numFmtId="19" formatCode="m/d/yyyy"/>
    </dxf>
    <dxf>
      <font>
        <b/>
        <i val="0"/>
        <strike val="0"/>
        <color rgb="FFFF0000"/>
      </font>
      <fill>
        <patternFill patternType="none">
          <bgColor auto="1"/>
        </patternFill>
      </fill>
    </dxf>
    <dxf>
      <font>
        <b/>
        <i val="0"/>
        <strike val="0"/>
        <color rgb="FFFFC000"/>
      </font>
      <fill>
        <patternFill patternType="none">
          <bgColor auto="1"/>
        </patternFill>
      </fill>
    </dxf>
    <dxf>
      <font>
        <b/>
        <i val="0"/>
        <strike val="0"/>
        <color rgb="FF439639"/>
      </font>
      <fill>
        <patternFill>
          <bgColor theme="0"/>
        </patternFill>
      </fill>
    </dxf>
    <dxf>
      <font>
        <b/>
        <i val="0"/>
        <strike val="0"/>
        <color rgb="FFFF0000"/>
      </font>
      <fill>
        <patternFill patternType="none">
          <bgColor auto="1"/>
        </patternFill>
      </fill>
    </dxf>
    <dxf>
      <font>
        <b/>
        <i val="0"/>
        <strike val="0"/>
        <color rgb="FF439639"/>
      </font>
      <fill>
        <patternFill patternType="none">
          <bgColor auto="1"/>
        </patternFill>
      </fill>
    </dxf>
    <dxf>
      <font>
        <b/>
        <i val="0"/>
        <strike val="0"/>
        <color theme="5" tint="-0.24994659260841701"/>
      </font>
      <fill>
        <patternFill patternType="none">
          <bgColor auto="1"/>
        </patternFill>
      </fill>
    </dxf>
    <dxf>
      <font>
        <b/>
        <i val="0"/>
        <strike val="0"/>
        <color theme="4" tint="-0.499984740745262"/>
      </font>
    </dxf>
    <dxf>
      <font>
        <b/>
        <i val="0"/>
        <color rgb="FFFF0000"/>
      </font>
      <fill>
        <patternFill patternType="none">
          <bgColor auto="1"/>
        </patternFill>
      </fill>
    </dxf>
    <dxf>
      <font>
        <color theme="0"/>
      </font>
      <border>
        <left/>
        <right/>
        <top/>
        <bottom/>
        <vertical/>
        <horizontal/>
      </border>
    </dxf>
    <dxf>
      <font>
        <color theme="0"/>
      </font>
      <border>
        <left/>
        <right/>
        <top/>
        <bottom/>
        <vertical/>
        <horizontal/>
      </border>
    </dxf>
    <dxf>
      <font>
        <color theme="0"/>
      </font>
    </dxf>
    <dxf>
      <font>
        <color rgb="FFC41230"/>
      </font>
    </dxf>
    <dxf>
      <font>
        <color rgb="FF92D050"/>
      </font>
    </dxf>
    <dxf>
      <font>
        <color rgb="FFF7941E"/>
      </font>
    </dxf>
    <dxf>
      <font>
        <color theme="0"/>
      </font>
      <border>
        <left/>
        <right/>
        <top/>
        <bottom/>
        <vertical/>
        <horizontal/>
      </border>
    </dxf>
    <dxf>
      <font>
        <color theme="0"/>
      </font>
    </dxf>
    <dxf>
      <font>
        <b/>
        <i val="0"/>
        <strike val="0"/>
        <color rgb="FFFF0000"/>
      </font>
      <fill>
        <patternFill patternType="none">
          <bgColor auto="1"/>
        </patternFill>
      </fill>
    </dxf>
    <dxf>
      <font>
        <b/>
        <i val="0"/>
        <strike val="0"/>
        <color rgb="FFFFC000"/>
      </font>
      <fill>
        <patternFill patternType="none">
          <bgColor auto="1"/>
        </patternFill>
      </fill>
    </dxf>
    <dxf>
      <font>
        <b/>
        <i val="0"/>
        <strike val="0"/>
        <color rgb="FF439639"/>
      </font>
      <fill>
        <patternFill>
          <bgColor theme="0"/>
        </patternFill>
      </fill>
    </dxf>
    <dxf>
      <font>
        <b/>
        <i val="0"/>
        <strike val="0"/>
        <color rgb="FFFF0000"/>
      </font>
      <fill>
        <patternFill patternType="none">
          <bgColor auto="1"/>
        </patternFill>
      </fill>
    </dxf>
    <dxf>
      <font>
        <b/>
        <i val="0"/>
        <strike val="0"/>
        <color rgb="FF439639"/>
      </font>
      <fill>
        <patternFill patternType="none">
          <bgColor auto="1"/>
        </patternFill>
      </fill>
    </dxf>
    <dxf>
      <font>
        <b/>
        <i val="0"/>
        <strike val="0"/>
        <color theme="5" tint="-0.24994659260841701"/>
      </font>
      <fill>
        <patternFill patternType="none">
          <bgColor auto="1"/>
        </patternFill>
      </fill>
    </dxf>
    <dxf>
      <font>
        <b/>
        <i val="0"/>
        <strike val="0"/>
        <color theme="4" tint="-0.499984740745262"/>
      </font>
    </dxf>
    <dxf>
      <font>
        <b/>
        <i val="0"/>
        <color rgb="FFFF0000"/>
      </font>
      <fill>
        <patternFill patternType="none">
          <bgColor auto="1"/>
        </patternFill>
      </fill>
    </dxf>
    <dxf>
      <fill>
        <patternFill>
          <bgColor theme="9" tint="0.79998168889431442"/>
        </patternFill>
      </fill>
    </dxf>
    <dxf>
      <fill>
        <patternFill>
          <bgColor theme="9" tint="0.79998168889431442"/>
        </patternFill>
      </fill>
    </dxf>
    <dxf>
      <fill>
        <patternFill>
          <bgColor theme="9" tint="0.79998168889431442"/>
        </patternFill>
      </fill>
    </dxf>
    <dxf>
      <font>
        <b/>
        <i val="0"/>
        <strike val="0"/>
        <color rgb="FFFF0000"/>
      </font>
      <fill>
        <patternFill patternType="none">
          <bgColor auto="1"/>
        </patternFill>
      </fill>
    </dxf>
    <dxf>
      <font>
        <b/>
        <i val="0"/>
        <strike val="0"/>
        <color rgb="FFFFC000"/>
      </font>
      <fill>
        <patternFill patternType="none">
          <bgColor auto="1"/>
        </patternFill>
      </fill>
    </dxf>
    <dxf>
      <font>
        <b/>
        <i val="0"/>
        <strike val="0"/>
        <color rgb="FF439639"/>
      </font>
      <fill>
        <patternFill>
          <bgColor theme="0"/>
        </patternFill>
      </fill>
    </dxf>
    <dxf>
      <font>
        <color rgb="FFFF0000"/>
      </font>
    </dxf>
    <dxf>
      <font>
        <b/>
        <i val="0"/>
        <strike val="0"/>
        <color rgb="FFFF0000"/>
      </font>
      <fill>
        <patternFill patternType="none">
          <bgColor auto="1"/>
        </patternFill>
      </fill>
    </dxf>
    <dxf>
      <font>
        <b/>
        <i val="0"/>
        <strike val="0"/>
        <color rgb="FF439639"/>
      </font>
      <fill>
        <patternFill patternType="none">
          <bgColor auto="1"/>
        </patternFill>
      </fill>
    </dxf>
    <dxf>
      <font>
        <b/>
        <i val="0"/>
        <strike val="0"/>
        <color theme="5" tint="-0.24994659260841701"/>
      </font>
      <fill>
        <patternFill patternType="none">
          <bgColor auto="1"/>
        </patternFill>
      </fill>
    </dxf>
    <dxf>
      <font>
        <b/>
        <i val="0"/>
        <strike val="0"/>
        <color theme="4" tint="-0.499984740745262"/>
      </font>
    </dxf>
    <dxf>
      <font>
        <b/>
        <i val="0"/>
        <color rgb="FFFF0000"/>
      </font>
      <fill>
        <patternFill patternType="none">
          <bgColor auto="1"/>
        </patternFill>
      </fill>
    </dxf>
    <dxf>
      <font>
        <color rgb="FFFF0000"/>
      </font>
    </dxf>
    <dxf>
      <fill>
        <patternFill>
          <bgColor theme="5" tint="0.59996337778862885"/>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7" tint="0.79998168889431442"/>
        </patternFill>
      </fill>
    </dxf>
    <dxf>
      <font>
        <b/>
        <i val="0"/>
        <strike val="0"/>
        <color rgb="FFFF0000"/>
      </font>
      <fill>
        <patternFill patternType="none">
          <bgColor auto="1"/>
        </patternFill>
      </fill>
    </dxf>
    <dxf>
      <font>
        <b/>
        <i val="0"/>
        <strike val="0"/>
        <color rgb="FFFFC000"/>
      </font>
      <fill>
        <patternFill patternType="none">
          <bgColor auto="1"/>
        </patternFill>
      </fill>
    </dxf>
    <dxf>
      <font>
        <b/>
        <i val="0"/>
        <strike val="0"/>
        <color rgb="FF439639"/>
      </font>
      <fill>
        <patternFill>
          <bgColor theme="0"/>
        </patternFill>
      </fill>
    </dxf>
    <dxf>
      <font>
        <color rgb="FFFF0000"/>
      </font>
    </dxf>
    <dxf>
      <font>
        <color rgb="FFFF0000"/>
      </font>
    </dxf>
    <dxf>
      <font>
        <b/>
        <i val="0"/>
        <strike val="0"/>
        <color rgb="FFFF0000"/>
      </font>
      <fill>
        <patternFill patternType="none">
          <bgColor auto="1"/>
        </patternFill>
      </fill>
    </dxf>
    <dxf>
      <font>
        <b/>
        <i val="0"/>
        <strike val="0"/>
        <color rgb="FF439639"/>
      </font>
      <fill>
        <patternFill patternType="none">
          <bgColor auto="1"/>
        </patternFill>
      </fill>
    </dxf>
    <dxf>
      <font>
        <b/>
        <i val="0"/>
        <strike val="0"/>
        <color theme="5" tint="-0.24994659260841701"/>
      </font>
      <fill>
        <patternFill patternType="none">
          <bgColor auto="1"/>
        </patternFill>
      </fill>
    </dxf>
    <dxf>
      <font>
        <b/>
        <i val="0"/>
        <strike val="0"/>
        <color theme="4" tint="-0.499984740745262"/>
      </font>
    </dxf>
    <dxf>
      <font>
        <b/>
        <i val="0"/>
        <color rgb="FFFF0000"/>
      </font>
      <fill>
        <patternFill patternType="none">
          <bgColor auto="1"/>
        </patternFill>
      </fill>
    </dxf>
    <dxf>
      <font>
        <color rgb="FFFF0000"/>
      </font>
    </dxf>
    <dxf>
      <fill>
        <patternFill>
          <bgColor theme="5" tint="0.59996337778862885"/>
        </patternFill>
      </fill>
    </dxf>
    <dxf>
      <font>
        <b/>
        <i val="0"/>
        <strike val="0"/>
        <color rgb="FFFF0000"/>
      </font>
      <fill>
        <patternFill patternType="none">
          <bgColor auto="1"/>
        </patternFill>
      </fill>
    </dxf>
    <dxf>
      <font>
        <b/>
        <i val="0"/>
        <strike val="0"/>
        <color rgb="FFFFC000"/>
      </font>
      <fill>
        <patternFill patternType="none">
          <bgColor auto="1"/>
        </patternFill>
      </fill>
    </dxf>
    <dxf>
      <font>
        <b/>
        <i val="0"/>
        <strike val="0"/>
        <color rgb="FF439639"/>
      </font>
      <fill>
        <patternFill>
          <bgColor theme="0"/>
        </patternFill>
      </fill>
    </dxf>
    <dxf>
      <font>
        <color rgb="FFFF0000"/>
      </font>
    </dxf>
    <dxf>
      <font>
        <b/>
        <i val="0"/>
        <strike val="0"/>
        <color rgb="FFFF0000"/>
      </font>
      <fill>
        <patternFill patternType="none">
          <bgColor auto="1"/>
        </patternFill>
      </fill>
    </dxf>
    <dxf>
      <font>
        <b/>
        <i val="0"/>
        <strike val="0"/>
        <color rgb="FF439639"/>
      </font>
      <fill>
        <patternFill patternType="none">
          <bgColor auto="1"/>
        </patternFill>
      </fill>
    </dxf>
    <dxf>
      <font>
        <b/>
        <i val="0"/>
        <strike val="0"/>
        <color theme="5" tint="-0.24994659260841701"/>
      </font>
      <fill>
        <patternFill patternType="none">
          <bgColor auto="1"/>
        </patternFill>
      </fill>
    </dxf>
    <dxf>
      <font>
        <b/>
        <i val="0"/>
        <strike val="0"/>
        <color theme="4" tint="-0.499984740745262"/>
      </font>
    </dxf>
    <dxf>
      <font>
        <b/>
        <i val="0"/>
        <color rgb="FFFF0000"/>
      </font>
      <fill>
        <patternFill patternType="none">
          <bgColor auto="1"/>
        </patternFill>
      </fill>
    </dxf>
    <dxf>
      <fill>
        <patternFill>
          <bgColor theme="5" tint="0.59996337778862885"/>
        </patternFill>
      </fill>
    </dxf>
    <dxf>
      <fill>
        <patternFill>
          <bgColor theme="9" tint="0.59996337778862885"/>
        </patternFill>
      </fill>
    </dxf>
    <dxf>
      <fill>
        <patternFill>
          <bgColor theme="5" tint="0.59996337778862885"/>
        </patternFill>
      </fill>
    </dxf>
    <dxf>
      <font>
        <b/>
        <i val="0"/>
        <strike val="0"/>
        <color rgb="FFFF0000"/>
      </font>
      <fill>
        <patternFill patternType="none">
          <bgColor auto="1"/>
        </patternFill>
      </fill>
    </dxf>
    <dxf>
      <font>
        <b/>
        <i val="0"/>
        <strike val="0"/>
        <color rgb="FFFFC000"/>
      </font>
      <fill>
        <patternFill patternType="none">
          <bgColor auto="1"/>
        </patternFill>
      </fill>
    </dxf>
    <dxf>
      <font>
        <b/>
        <i val="0"/>
        <strike val="0"/>
        <color rgb="FF439639"/>
      </font>
      <fill>
        <patternFill>
          <bgColor theme="0"/>
        </patternFill>
      </fill>
    </dxf>
    <dxf>
      <font>
        <color rgb="FFFF0000"/>
      </font>
    </dxf>
    <dxf>
      <font>
        <b/>
        <i val="0"/>
        <strike val="0"/>
        <color rgb="FFFF0000"/>
      </font>
      <fill>
        <patternFill patternType="none">
          <bgColor auto="1"/>
        </patternFill>
      </fill>
    </dxf>
    <dxf>
      <font>
        <b/>
        <i val="0"/>
        <strike val="0"/>
        <color rgb="FF439639"/>
      </font>
      <fill>
        <patternFill patternType="none">
          <bgColor auto="1"/>
        </patternFill>
      </fill>
    </dxf>
    <dxf>
      <font>
        <b/>
        <i val="0"/>
        <strike val="0"/>
        <color theme="5" tint="-0.24994659260841701"/>
      </font>
      <fill>
        <patternFill patternType="none">
          <bgColor auto="1"/>
        </patternFill>
      </fill>
    </dxf>
    <dxf>
      <font>
        <b/>
        <i val="0"/>
        <strike val="0"/>
        <color theme="4" tint="-0.499984740745262"/>
      </font>
    </dxf>
    <dxf>
      <font>
        <b/>
        <i val="0"/>
        <color rgb="FFFF0000"/>
      </font>
      <fill>
        <patternFill patternType="none">
          <bgColor auto="1"/>
        </patternFill>
      </fill>
    </dxf>
    <dxf>
      <numFmt numFmtId="173" formatCode="###\ &quot;W&quot;"/>
      <fill>
        <patternFill>
          <bgColor theme="9" tint="0.79998168889431442"/>
        </patternFill>
      </fill>
    </dxf>
    <dxf>
      <numFmt numFmtId="187" formatCode="####.#\ \W"/>
    </dxf>
    <dxf>
      <fill>
        <patternFill>
          <bgColor theme="7" tint="0.59996337778862885"/>
        </patternFill>
      </fill>
    </dxf>
    <dxf>
      <numFmt numFmtId="173" formatCode="###\ &quot;W&quot;"/>
      <fill>
        <patternFill>
          <bgColor theme="9" tint="0.79998168889431442"/>
        </patternFill>
      </fill>
    </dxf>
    <dxf>
      <fill>
        <patternFill>
          <bgColor theme="5" tint="0.59996337778862885"/>
        </patternFill>
      </fill>
    </dxf>
    <dxf>
      <font>
        <b/>
        <i val="0"/>
        <strike val="0"/>
        <color rgb="FFFF0000"/>
      </font>
      <fill>
        <patternFill patternType="none">
          <bgColor auto="1"/>
        </patternFill>
      </fill>
    </dxf>
    <dxf>
      <font>
        <b/>
        <i val="0"/>
        <strike val="0"/>
        <color rgb="FFFFC000"/>
      </font>
      <fill>
        <patternFill patternType="none">
          <bgColor auto="1"/>
        </patternFill>
      </fill>
    </dxf>
    <dxf>
      <font>
        <b/>
        <i val="0"/>
        <strike val="0"/>
        <color rgb="FF439639"/>
      </font>
      <fill>
        <patternFill>
          <bgColor theme="0"/>
        </patternFill>
      </fill>
    </dxf>
    <dxf>
      <font>
        <b/>
        <i val="0"/>
        <strike val="0"/>
        <color rgb="FFFF0000"/>
      </font>
      <fill>
        <patternFill patternType="none">
          <bgColor auto="1"/>
        </patternFill>
      </fill>
    </dxf>
    <dxf>
      <font>
        <b/>
        <i val="0"/>
        <strike val="0"/>
        <color rgb="FF439639"/>
      </font>
      <fill>
        <patternFill patternType="none">
          <bgColor auto="1"/>
        </patternFill>
      </fill>
    </dxf>
    <dxf>
      <font>
        <b/>
        <i val="0"/>
        <strike val="0"/>
        <color theme="5" tint="-0.24994659260841701"/>
      </font>
      <fill>
        <patternFill patternType="none">
          <bgColor auto="1"/>
        </patternFill>
      </fill>
    </dxf>
    <dxf>
      <font>
        <b/>
        <i val="0"/>
        <strike val="0"/>
        <color theme="4" tint="-0.499984740745262"/>
      </font>
    </dxf>
    <dxf>
      <font>
        <b/>
        <i val="0"/>
        <color rgb="FFFF0000"/>
      </font>
      <fill>
        <patternFill patternType="none">
          <bgColor auto="1"/>
        </patternFill>
      </fill>
    </dxf>
    <dxf>
      <font>
        <b/>
        <i val="0"/>
        <strike val="0"/>
        <color rgb="FFFF0000"/>
      </font>
      <fill>
        <patternFill patternType="none">
          <bgColor auto="1"/>
        </patternFill>
      </fill>
    </dxf>
    <dxf>
      <font>
        <b/>
        <i val="0"/>
        <strike val="0"/>
        <color rgb="FFFFC000"/>
      </font>
      <fill>
        <patternFill patternType="none">
          <bgColor auto="1"/>
        </patternFill>
      </fill>
    </dxf>
    <dxf>
      <font>
        <b/>
        <i val="0"/>
        <strike val="0"/>
        <color rgb="FF439639"/>
      </font>
      <fill>
        <patternFill>
          <bgColor theme="0"/>
        </patternFill>
      </fill>
    </dxf>
    <dxf>
      <font>
        <b/>
        <i val="0"/>
        <strike val="0"/>
        <color rgb="FFFF0000"/>
      </font>
      <fill>
        <patternFill patternType="none">
          <bgColor auto="1"/>
        </patternFill>
      </fill>
    </dxf>
    <dxf>
      <font>
        <b/>
        <i val="0"/>
        <strike val="0"/>
        <color rgb="FF439639"/>
      </font>
      <fill>
        <patternFill patternType="none">
          <bgColor auto="1"/>
        </patternFill>
      </fill>
    </dxf>
    <dxf>
      <font>
        <b/>
        <i val="0"/>
        <strike val="0"/>
        <color theme="5" tint="-0.24994659260841701"/>
      </font>
      <fill>
        <patternFill patternType="none">
          <bgColor auto="1"/>
        </patternFill>
      </fill>
    </dxf>
    <dxf>
      <font>
        <b/>
        <i val="0"/>
        <strike val="0"/>
        <color theme="4" tint="-0.499984740745262"/>
      </font>
    </dxf>
    <dxf>
      <font>
        <b/>
        <i val="0"/>
        <color rgb="FFFF0000"/>
      </font>
      <fill>
        <patternFill patternType="none">
          <bgColor auto="1"/>
        </patternFill>
      </fill>
    </dxf>
    <dxf>
      <font>
        <b/>
        <i val="0"/>
        <strike val="0"/>
        <color rgb="FFFF0000"/>
      </font>
      <fill>
        <patternFill patternType="none">
          <bgColor auto="1"/>
        </patternFill>
      </fill>
    </dxf>
    <dxf>
      <font>
        <b/>
        <i val="0"/>
        <strike val="0"/>
        <color rgb="FFFFC000"/>
      </font>
      <fill>
        <patternFill patternType="none">
          <bgColor auto="1"/>
        </patternFill>
      </fill>
    </dxf>
    <dxf>
      <font>
        <b/>
        <i val="0"/>
        <strike val="0"/>
        <color rgb="FF439639"/>
      </font>
      <fill>
        <patternFill>
          <bgColor theme="0"/>
        </patternFill>
      </fill>
    </dxf>
    <dxf>
      <font>
        <color rgb="FFFF0000"/>
      </font>
    </dxf>
    <dxf>
      <font>
        <b/>
        <i val="0"/>
        <strike val="0"/>
        <color rgb="FFFF0000"/>
      </font>
      <fill>
        <patternFill patternType="none">
          <bgColor auto="1"/>
        </patternFill>
      </fill>
    </dxf>
    <dxf>
      <font>
        <b/>
        <i val="0"/>
        <strike val="0"/>
        <color rgb="FF439639"/>
      </font>
      <fill>
        <patternFill patternType="none">
          <bgColor auto="1"/>
        </patternFill>
      </fill>
    </dxf>
    <dxf>
      <font>
        <b/>
        <i val="0"/>
        <strike val="0"/>
        <color theme="5" tint="-0.24994659260841701"/>
      </font>
      <fill>
        <patternFill patternType="none">
          <bgColor auto="1"/>
        </patternFill>
      </fill>
    </dxf>
    <dxf>
      <font>
        <b/>
        <i val="0"/>
        <strike val="0"/>
        <color theme="4" tint="-0.499984740745262"/>
      </font>
    </dxf>
    <dxf>
      <font>
        <b/>
        <i val="0"/>
        <color rgb="FFFF0000"/>
      </font>
      <fill>
        <patternFill patternType="none">
          <bgColor auto="1"/>
        </patternFill>
      </fill>
    </dxf>
    <dxf>
      <font>
        <b/>
        <i val="0"/>
        <strike val="0"/>
        <color rgb="FFFF0000"/>
      </font>
      <fill>
        <patternFill patternType="none">
          <bgColor auto="1"/>
        </patternFill>
      </fill>
    </dxf>
    <dxf>
      <font>
        <b/>
        <i val="0"/>
        <strike val="0"/>
        <color rgb="FFFFC000"/>
      </font>
      <fill>
        <patternFill patternType="none">
          <bgColor auto="1"/>
        </patternFill>
      </fill>
    </dxf>
    <dxf>
      <font>
        <b/>
        <i val="0"/>
        <strike val="0"/>
        <color rgb="FF439639"/>
      </font>
      <fill>
        <patternFill>
          <bgColor theme="0"/>
        </patternFill>
      </fill>
    </dxf>
    <dxf>
      <font>
        <color rgb="FFFF0000"/>
      </font>
    </dxf>
    <dxf>
      <font>
        <b/>
        <i val="0"/>
        <strike val="0"/>
        <color rgb="FFFF0000"/>
      </font>
      <fill>
        <patternFill patternType="none">
          <bgColor auto="1"/>
        </patternFill>
      </fill>
    </dxf>
    <dxf>
      <font>
        <b/>
        <i val="0"/>
        <strike val="0"/>
        <color rgb="FF439639"/>
      </font>
      <fill>
        <patternFill patternType="none">
          <bgColor auto="1"/>
        </patternFill>
      </fill>
    </dxf>
    <dxf>
      <font>
        <b/>
        <i val="0"/>
        <strike val="0"/>
        <color theme="5" tint="-0.24994659260841701"/>
      </font>
      <fill>
        <patternFill patternType="none">
          <bgColor auto="1"/>
        </patternFill>
      </fill>
    </dxf>
    <dxf>
      <font>
        <b/>
        <i val="0"/>
        <strike val="0"/>
        <color theme="4" tint="-0.499984740745262"/>
      </font>
    </dxf>
    <dxf>
      <font>
        <b/>
        <i val="0"/>
        <color rgb="FFFF0000"/>
      </font>
      <fill>
        <patternFill patternType="none">
          <bgColor auto="1"/>
        </patternFill>
      </fill>
    </dxf>
    <dxf>
      <fill>
        <patternFill>
          <bgColor theme="5" tint="0.79998168889431442"/>
        </patternFill>
      </fill>
    </dxf>
    <dxf>
      <fill>
        <patternFill>
          <bgColor theme="5" tint="0.79998168889431442"/>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ont>
        <b/>
        <i val="0"/>
        <strike val="0"/>
        <color rgb="FFFF0000"/>
      </font>
      <fill>
        <patternFill patternType="none">
          <bgColor auto="1"/>
        </patternFill>
      </fill>
    </dxf>
    <dxf>
      <font>
        <b/>
        <i val="0"/>
        <strike val="0"/>
        <color rgb="FFFFC000"/>
      </font>
      <fill>
        <patternFill patternType="none">
          <bgColor auto="1"/>
        </patternFill>
      </fill>
    </dxf>
    <dxf>
      <font>
        <b/>
        <i val="0"/>
        <strike val="0"/>
        <color rgb="FF439639"/>
      </font>
      <fill>
        <patternFill>
          <bgColor theme="0"/>
        </patternFill>
      </fill>
    </dxf>
    <dxf>
      <font>
        <color rgb="FFFF0000"/>
      </font>
    </dxf>
    <dxf>
      <font>
        <b/>
        <i val="0"/>
        <strike val="0"/>
        <color rgb="FFFF0000"/>
      </font>
      <fill>
        <patternFill patternType="none">
          <bgColor auto="1"/>
        </patternFill>
      </fill>
    </dxf>
    <dxf>
      <font>
        <b/>
        <i val="0"/>
        <strike val="0"/>
        <color rgb="FF439639"/>
      </font>
      <fill>
        <patternFill patternType="none">
          <bgColor auto="1"/>
        </patternFill>
      </fill>
    </dxf>
    <dxf>
      <font>
        <b/>
        <i val="0"/>
        <strike val="0"/>
        <color theme="5" tint="-0.24994659260841701"/>
      </font>
      <fill>
        <patternFill patternType="none">
          <bgColor auto="1"/>
        </patternFill>
      </fill>
    </dxf>
    <dxf>
      <font>
        <b/>
        <i val="0"/>
        <strike val="0"/>
        <color theme="4" tint="-0.499984740745262"/>
      </font>
    </dxf>
    <dxf>
      <font>
        <b/>
        <i val="0"/>
        <color rgb="FFFF0000"/>
      </font>
      <fill>
        <patternFill patternType="none">
          <bgColor auto="1"/>
        </patternFill>
      </fill>
    </dxf>
    <dxf>
      <font>
        <b/>
        <i val="0"/>
        <strike val="0"/>
        <color rgb="FFFF0000"/>
      </font>
      <fill>
        <patternFill patternType="none">
          <bgColor auto="1"/>
        </patternFill>
      </fill>
    </dxf>
    <dxf>
      <font>
        <b/>
        <i val="0"/>
        <strike val="0"/>
        <color rgb="FFFFC000"/>
      </font>
      <fill>
        <patternFill patternType="none">
          <bgColor auto="1"/>
        </patternFill>
      </fill>
    </dxf>
    <dxf>
      <font>
        <b/>
        <i val="0"/>
        <strike val="0"/>
        <color rgb="FF439639"/>
      </font>
      <fill>
        <patternFill>
          <bgColor theme="0"/>
        </patternFill>
      </fill>
    </dxf>
    <dxf>
      <font>
        <b/>
        <i val="0"/>
        <strike val="0"/>
        <color rgb="FFFF0000"/>
      </font>
      <fill>
        <patternFill patternType="none">
          <bgColor auto="1"/>
        </patternFill>
      </fill>
    </dxf>
    <dxf>
      <font>
        <b/>
        <i val="0"/>
        <strike val="0"/>
        <color rgb="FF439639"/>
      </font>
      <fill>
        <patternFill patternType="none">
          <bgColor auto="1"/>
        </patternFill>
      </fill>
    </dxf>
    <dxf>
      <font>
        <b/>
        <i val="0"/>
        <strike val="0"/>
        <color theme="5" tint="-0.24994659260841701"/>
      </font>
      <fill>
        <patternFill patternType="none">
          <bgColor auto="1"/>
        </patternFill>
      </fill>
    </dxf>
    <dxf>
      <font>
        <b/>
        <i val="0"/>
        <strike val="0"/>
        <color theme="4" tint="-0.499984740745262"/>
      </font>
    </dxf>
    <dxf>
      <font>
        <b/>
        <i val="0"/>
        <color rgb="FFFF0000"/>
      </font>
      <fill>
        <patternFill patternType="none">
          <bgColor auto="1"/>
        </patternFill>
      </fill>
    </dxf>
    <dxf>
      <font>
        <b/>
        <i val="0"/>
        <strike val="0"/>
        <color rgb="FFFF0000"/>
      </font>
      <fill>
        <patternFill patternType="none">
          <bgColor auto="1"/>
        </patternFill>
      </fill>
    </dxf>
    <dxf>
      <font>
        <b/>
        <i val="0"/>
        <strike val="0"/>
        <color rgb="FFFFC000"/>
      </font>
      <fill>
        <patternFill patternType="none">
          <bgColor auto="1"/>
        </patternFill>
      </fill>
    </dxf>
    <dxf>
      <font>
        <b/>
        <i val="0"/>
        <strike val="0"/>
        <color rgb="FF439639"/>
      </font>
      <fill>
        <patternFill>
          <bgColor theme="0"/>
        </patternFill>
      </fill>
    </dxf>
    <dxf>
      <font>
        <color rgb="FFFF0000"/>
      </font>
    </dxf>
    <dxf>
      <font>
        <b/>
        <i val="0"/>
        <strike val="0"/>
        <color rgb="FFFF0000"/>
      </font>
      <fill>
        <patternFill patternType="none">
          <bgColor auto="1"/>
        </patternFill>
      </fill>
    </dxf>
    <dxf>
      <font>
        <b/>
        <i val="0"/>
        <strike val="0"/>
        <color rgb="FF439639"/>
      </font>
      <fill>
        <patternFill patternType="none">
          <bgColor auto="1"/>
        </patternFill>
      </fill>
    </dxf>
    <dxf>
      <font>
        <b/>
        <i val="0"/>
        <strike val="0"/>
        <color theme="5" tint="-0.24994659260841701"/>
      </font>
      <fill>
        <patternFill patternType="none">
          <bgColor auto="1"/>
        </patternFill>
      </fill>
    </dxf>
    <dxf>
      <font>
        <b/>
        <i val="0"/>
        <strike val="0"/>
        <color theme="4" tint="-0.499984740745262"/>
      </font>
    </dxf>
    <dxf>
      <font>
        <b/>
        <i val="0"/>
        <color rgb="FFFF0000"/>
      </font>
      <fill>
        <patternFill patternType="none">
          <bgColor auto="1"/>
        </patternFill>
      </fill>
    </dxf>
    <dxf>
      <fill>
        <patternFill>
          <bgColor theme="5" tint="0.79998168889431442"/>
        </patternFill>
      </fill>
    </dxf>
    <dxf>
      <fill>
        <patternFill>
          <bgColor theme="5" tint="0.59996337778862885"/>
        </patternFill>
      </fill>
    </dxf>
    <dxf>
      <font>
        <b/>
        <i val="0"/>
        <strike val="0"/>
        <color rgb="FFFF0000"/>
      </font>
      <fill>
        <patternFill patternType="none">
          <bgColor auto="1"/>
        </patternFill>
      </fill>
    </dxf>
    <dxf>
      <font>
        <b/>
        <i val="0"/>
        <strike val="0"/>
        <color rgb="FFFFC000"/>
      </font>
      <fill>
        <patternFill patternType="none">
          <bgColor auto="1"/>
        </patternFill>
      </fill>
    </dxf>
    <dxf>
      <font>
        <b/>
        <i val="0"/>
        <strike val="0"/>
        <color rgb="FF439639"/>
      </font>
      <fill>
        <patternFill>
          <bgColor theme="0"/>
        </patternFill>
      </fill>
    </dxf>
    <dxf>
      <font>
        <color rgb="FFFF0000"/>
      </font>
    </dxf>
    <dxf>
      <font>
        <b/>
        <i val="0"/>
        <strike val="0"/>
        <color rgb="FFFF0000"/>
      </font>
      <fill>
        <patternFill patternType="none">
          <bgColor auto="1"/>
        </patternFill>
      </fill>
    </dxf>
    <dxf>
      <font>
        <b/>
        <i val="0"/>
        <strike val="0"/>
        <color rgb="FF439639"/>
      </font>
      <fill>
        <patternFill patternType="none">
          <bgColor auto="1"/>
        </patternFill>
      </fill>
    </dxf>
    <dxf>
      <font>
        <b/>
        <i val="0"/>
        <strike val="0"/>
        <color theme="5" tint="-0.24994659260841701"/>
      </font>
      <fill>
        <patternFill patternType="none">
          <bgColor auto="1"/>
        </patternFill>
      </fill>
    </dxf>
    <dxf>
      <font>
        <b/>
        <i val="0"/>
        <strike val="0"/>
        <color theme="4" tint="-0.499984740745262"/>
      </font>
    </dxf>
    <dxf>
      <font>
        <b/>
        <i val="0"/>
        <color rgb="FFFF0000"/>
      </font>
      <fill>
        <patternFill patternType="none">
          <bgColor auto="1"/>
        </patternFill>
      </fill>
    </dxf>
    <dxf>
      <font>
        <b/>
        <i val="0"/>
        <strike val="0"/>
        <color rgb="FFFF0000"/>
      </font>
      <fill>
        <patternFill patternType="none">
          <bgColor auto="1"/>
        </patternFill>
      </fill>
    </dxf>
    <dxf>
      <font>
        <b/>
        <i val="0"/>
        <strike val="0"/>
        <color rgb="FFFFC000"/>
      </font>
      <fill>
        <patternFill patternType="none">
          <bgColor auto="1"/>
        </patternFill>
      </fill>
    </dxf>
    <dxf>
      <font>
        <b/>
        <i val="0"/>
        <strike val="0"/>
        <color rgb="FF439639"/>
      </font>
      <fill>
        <patternFill>
          <bgColor theme="0"/>
        </patternFill>
      </fill>
    </dxf>
    <dxf>
      <font>
        <color rgb="FFFF0000"/>
      </font>
    </dxf>
    <dxf>
      <font>
        <b/>
        <i val="0"/>
        <strike val="0"/>
        <color rgb="FFFF0000"/>
      </font>
      <fill>
        <patternFill patternType="none">
          <bgColor auto="1"/>
        </patternFill>
      </fill>
    </dxf>
    <dxf>
      <font>
        <b/>
        <i val="0"/>
        <strike val="0"/>
        <color rgb="FF439639"/>
      </font>
      <fill>
        <patternFill patternType="none">
          <bgColor auto="1"/>
        </patternFill>
      </fill>
    </dxf>
    <dxf>
      <font>
        <b/>
        <i val="0"/>
        <strike val="0"/>
        <color theme="5" tint="-0.24994659260841701"/>
      </font>
      <fill>
        <patternFill patternType="none">
          <bgColor auto="1"/>
        </patternFill>
      </fill>
    </dxf>
    <dxf>
      <font>
        <b/>
        <i val="0"/>
        <strike val="0"/>
        <color theme="4" tint="-0.499984740745262"/>
      </font>
    </dxf>
    <dxf>
      <font>
        <b/>
        <i val="0"/>
        <color rgb="FFFF0000"/>
      </font>
      <fill>
        <patternFill patternType="none">
          <bgColor auto="1"/>
        </patternFill>
      </fill>
    </dxf>
    <dxf>
      <fill>
        <patternFill>
          <bgColor theme="5" tint="0.59996337778862885"/>
        </patternFill>
      </fill>
    </dxf>
    <dxf>
      <fill>
        <patternFill>
          <bgColor theme="9" tint="0.79998168889431442"/>
        </patternFill>
      </fill>
    </dxf>
    <dxf>
      <numFmt numFmtId="187" formatCode="####.#\ \W"/>
    </dxf>
    <dxf>
      <font>
        <b/>
        <i val="0"/>
        <strike val="0"/>
        <color rgb="FFFF0000"/>
      </font>
      <fill>
        <patternFill patternType="none">
          <bgColor auto="1"/>
        </patternFill>
      </fill>
    </dxf>
    <dxf>
      <font>
        <b/>
        <i val="0"/>
        <strike val="0"/>
        <color rgb="FFFFC000"/>
      </font>
      <fill>
        <patternFill patternType="none">
          <bgColor auto="1"/>
        </patternFill>
      </fill>
    </dxf>
    <dxf>
      <font>
        <b/>
        <i val="0"/>
        <strike val="0"/>
        <color rgb="FF439639"/>
      </font>
      <fill>
        <patternFill>
          <bgColor theme="0"/>
        </patternFill>
      </fill>
    </dxf>
    <dxf>
      <font>
        <b/>
        <i val="0"/>
        <strike val="0"/>
        <color rgb="FFFF0000"/>
      </font>
      <fill>
        <patternFill patternType="none">
          <bgColor auto="1"/>
        </patternFill>
      </fill>
    </dxf>
    <dxf>
      <font>
        <b/>
        <i val="0"/>
        <strike val="0"/>
        <color rgb="FF439639"/>
      </font>
      <fill>
        <patternFill patternType="none">
          <bgColor auto="1"/>
        </patternFill>
      </fill>
    </dxf>
    <dxf>
      <font>
        <b/>
        <i val="0"/>
        <strike val="0"/>
        <color theme="5" tint="-0.24994659260841701"/>
      </font>
      <fill>
        <patternFill patternType="none">
          <bgColor auto="1"/>
        </patternFill>
      </fill>
    </dxf>
    <dxf>
      <font>
        <b/>
        <i val="0"/>
        <strike val="0"/>
        <color theme="4" tint="-0.499984740745262"/>
      </font>
    </dxf>
    <dxf>
      <font>
        <b/>
        <i val="0"/>
        <color rgb="FFFF0000"/>
      </font>
      <fill>
        <patternFill patternType="none">
          <bgColor auto="1"/>
        </patternFill>
      </fill>
    </dxf>
    <dxf>
      <font>
        <b/>
        <i val="0"/>
        <strike val="0"/>
        <color rgb="FFFF0000"/>
      </font>
      <fill>
        <patternFill patternType="none">
          <bgColor auto="1"/>
        </patternFill>
      </fill>
    </dxf>
    <dxf>
      <font>
        <b/>
        <i val="0"/>
        <strike val="0"/>
        <color rgb="FFFFC000"/>
      </font>
      <fill>
        <patternFill patternType="none">
          <bgColor auto="1"/>
        </patternFill>
      </fill>
    </dxf>
    <dxf>
      <font>
        <b/>
        <i val="0"/>
        <strike val="0"/>
        <color rgb="FF439639"/>
      </font>
      <fill>
        <patternFill>
          <bgColor theme="0"/>
        </patternFill>
      </fill>
    </dxf>
    <dxf>
      <font>
        <b/>
        <i val="0"/>
        <strike val="0"/>
        <color rgb="FFFF0000"/>
      </font>
      <fill>
        <patternFill patternType="none">
          <bgColor auto="1"/>
        </patternFill>
      </fill>
    </dxf>
    <dxf>
      <font>
        <b/>
        <i val="0"/>
        <strike val="0"/>
        <color rgb="FF439639"/>
      </font>
      <fill>
        <patternFill patternType="none">
          <bgColor auto="1"/>
        </patternFill>
      </fill>
    </dxf>
    <dxf>
      <font>
        <b/>
        <i val="0"/>
        <strike val="0"/>
        <color theme="5" tint="-0.24994659260841701"/>
      </font>
      <fill>
        <patternFill patternType="none">
          <bgColor auto="1"/>
        </patternFill>
      </fill>
    </dxf>
    <dxf>
      <font>
        <b/>
        <i val="0"/>
        <strike val="0"/>
        <color theme="4" tint="-0.499984740745262"/>
      </font>
    </dxf>
    <dxf>
      <font>
        <b/>
        <i val="0"/>
        <color rgb="FFFF0000"/>
      </font>
      <fill>
        <patternFill patternType="none">
          <bgColor auto="1"/>
        </patternFill>
      </fill>
    </dxf>
    <dxf>
      <fill>
        <patternFill>
          <bgColor theme="0" tint="-0.24994659260841701"/>
        </patternFill>
      </fill>
    </dxf>
    <dxf>
      <fill>
        <patternFill>
          <bgColor theme="0" tint="-0.24994659260841701"/>
        </patternFill>
      </fill>
    </dxf>
    <dxf>
      <fill>
        <patternFill>
          <bgColor theme="0" tint="-0.24994659260841701"/>
        </patternFill>
      </fill>
    </dxf>
    <dxf>
      <font>
        <b/>
        <i val="0"/>
        <strike val="0"/>
        <color rgb="FFFF0000"/>
      </font>
      <fill>
        <patternFill patternType="none">
          <bgColor auto="1"/>
        </patternFill>
      </fill>
    </dxf>
    <dxf>
      <font>
        <b/>
        <i val="0"/>
        <strike val="0"/>
        <color rgb="FFFFC000"/>
      </font>
      <fill>
        <patternFill patternType="none">
          <bgColor auto="1"/>
        </patternFill>
      </fill>
    </dxf>
    <dxf>
      <font>
        <b/>
        <i val="0"/>
        <strike val="0"/>
        <color rgb="FF439639"/>
      </font>
      <fill>
        <patternFill>
          <bgColor theme="0"/>
        </patternFill>
      </fill>
    </dxf>
    <dxf>
      <font>
        <b/>
        <i val="0"/>
        <strike val="0"/>
        <color rgb="FFFF0000"/>
      </font>
      <fill>
        <patternFill patternType="none">
          <bgColor auto="1"/>
        </patternFill>
      </fill>
    </dxf>
    <dxf>
      <font>
        <b/>
        <i val="0"/>
        <strike val="0"/>
        <color rgb="FF439639"/>
      </font>
      <fill>
        <patternFill patternType="none">
          <bgColor auto="1"/>
        </patternFill>
      </fill>
    </dxf>
    <dxf>
      <font>
        <b/>
        <i val="0"/>
        <strike val="0"/>
        <color theme="5" tint="-0.24994659260841701"/>
      </font>
      <fill>
        <patternFill patternType="none">
          <bgColor auto="1"/>
        </patternFill>
      </fill>
    </dxf>
    <dxf>
      <font>
        <b/>
        <i val="0"/>
        <strike val="0"/>
        <color theme="4" tint="-0.499984740745262"/>
      </font>
    </dxf>
    <dxf>
      <font>
        <b/>
        <i val="0"/>
        <color rgb="FFFF0000"/>
      </font>
      <fill>
        <patternFill patternType="none">
          <bgColor auto="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b/>
        <i val="0"/>
        <strike val="0"/>
        <color rgb="FFFF0000"/>
      </font>
      <fill>
        <patternFill patternType="none">
          <bgColor auto="1"/>
        </patternFill>
      </fill>
    </dxf>
    <dxf>
      <font>
        <b/>
        <i val="0"/>
        <strike val="0"/>
        <color rgb="FFFFC000"/>
      </font>
      <fill>
        <patternFill patternType="none">
          <bgColor auto="1"/>
        </patternFill>
      </fill>
    </dxf>
    <dxf>
      <font>
        <b/>
        <i val="0"/>
        <strike val="0"/>
        <color rgb="FF439639"/>
      </font>
      <fill>
        <patternFill>
          <bgColor theme="0"/>
        </patternFill>
      </fill>
    </dxf>
    <dxf>
      <font>
        <b/>
        <i val="0"/>
        <strike val="0"/>
        <color rgb="FFFF0000"/>
      </font>
      <fill>
        <patternFill patternType="none">
          <bgColor auto="1"/>
        </patternFill>
      </fill>
    </dxf>
    <dxf>
      <font>
        <b/>
        <i val="0"/>
        <strike val="0"/>
        <color rgb="FF439639"/>
      </font>
      <fill>
        <patternFill patternType="none">
          <bgColor auto="1"/>
        </patternFill>
      </fill>
    </dxf>
    <dxf>
      <font>
        <b/>
        <i val="0"/>
        <strike val="0"/>
        <color theme="5" tint="-0.24994659260841701"/>
      </font>
      <fill>
        <patternFill patternType="none">
          <bgColor auto="1"/>
        </patternFill>
      </fill>
    </dxf>
    <dxf>
      <font>
        <b/>
        <i val="0"/>
        <strike val="0"/>
        <color theme="4" tint="-0.499984740745262"/>
      </font>
    </dxf>
    <dxf>
      <font>
        <b/>
        <i val="0"/>
        <color rgb="FFFF0000"/>
      </font>
      <fill>
        <patternFill patternType="none">
          <bgColor auto="1"/>
        </patternFill>
      </fill>
    </dxf>
    <dxf>
      <fill>
        <patternFill>
          <bgColor theme="0" tint="-0.24994659260841701"/>
        </patternFill>
      </fill>
    </dxf>
    <dxf>
      <font>
        <b/>
        <i val="0"/>
        <strike val="0"/>
        <color rgb="FFFF0000"/>
      </font>
      <fill>
        <patternFill patternType="none">
          <bgColor auto="1"/>
        </patternFill>
      </fill>
    </dxf>
    <dxf>
      <font>
        <b/>
        <i val="0"/>
        <strike val="0"/>
        <color rgb="FFFFC000"/>
      </font>
      <fill>
        <patternFill patternType="none">
          <bgColor auto="1"/>
        </patternFill>
      </fill>
    </dxf>
    <dxf>
      <font>
        <b/>
        <i val="0"/>
        <strike val="0"/>
        <color rgb="FF439639"/>
      </font>
      <fill>
        <patternFill>
          <bgColor theme="0"/>
        </patternFill>
      </fill>
    </dxf>
    <dxf>
      <font>
        <b/>
        <i val="0"/>
        <strike val="0"/>
        <color rgb="FFFF0000"/>
      </font>
      <fill>
        <patternFill patternType="none">
          <bgColor auto="1"/>
        </patternFill>
      </fill>
    </dxf>
    <dxf>
      <font>
        <b/>
        <i val="0"/>
        <strike val="0"/>
        <color rgb="FF439639"/>
      </font>
      <fill>
        <patternFill patternType="none">
          <bgColor auto="1"/>
        </patternFill>
      </fill>
    </dxf>
    <dxf>
      <font>
        <b/>
        <i val="0"/>
        <strike val="0"/>
        <color theme="5" tint="-0.24994659260841701"/>
      </font>
      <fill>
        <patternFill patternType="none">
          <bgColor auto="1"/>
        </patternFill>
      </fill>
    </dxf>
    <dxf>
      <font>
        <b/>
        <i val="0"/>
        <strike val="0"/>
        <color theme="4" tint="-0.499984740745262"/>
      </font>
    </dxf>
    <dxf>
      <font>
        <b/>
        <i val="0"/>
        <color rgb="FFFF0000"/>
      </font>
      <fill>
        <patternFill patternType="none">
          <bgColor auto="1"/>
        </patternFill>
      </fill>
    </dxf>
    <dxf>
      <font>
        <b/>
        <i val="0"/>
        <strike val="0"/>
        <color rgb="FFFF0000"/>
      </font>
      <fill>
        <patternFill patternType="none">
          <bgColor auto="1"/>
        </patternFill>
      </fill>
    </dxf>
    <dxf>
      <font>
        <b/>
        <i val="0"/>
        <strike val="0"/>
        <color rgb="FFFFC000"/>
      </font>
      <fill>
        <patternFill patternType="none">
          <bgColor auto="1"/>
        </patternFill>
      </fill>
    </dxf>
    <dxf>
      <font>
        <b/>
        <i val="0"/>
        <strike val="0"/>
        <color rgb="FF439639"/>
      </font>
      <fill>
        <patternFill>
          <bgColor theme="0"/>
        </patternFill>
      </fill>
    </dxf>
    <dxf>
      <font>
        <b/>
        <i val="0"/>
        <strike val="0"/>
        <color rgb="FFFF0000"/>
      </font>
      <fill>
        <patternFill patternType="none">
          <bgColor auto="1"/>
        </patternFill>
      </fill>
    </dxf>
    <dxf>
      <font>
        <b/>
        <i val="0"/>
        <strike val="0"/>
        <color rgb="FF439639"/>
      </font>
      <fill>
        <patternFill patternType="none">
          <bgColor auto="1"/>
        </patternFill>
      </fill>
    </dxf>
    <dxf>
      <font>
        <b/>
        <i val="0"/>
        <strike val="0"/>
        <color theme="5" tint="-0.24994659260841701"/>
      </font>
      <fill>
        <patternFill patternType="none">
          <bgColor auto="1"/>
        </patternFill>
      </fill>
    </dxf>
    <dxf>
      <font>
        <b/>
        <i val="0"/>
        <strike val="0"/>
        <color theme="4" tint="-0.499984740745262"/>
      </font>
    </dxf>
    <dxf>
      <font>
        <b/>
        <i val="0"/>
        <color rgb="FFFF0000"/>
      </font>
      <fill>
        <patternFill patternType="none">
          <bgColor auto="1"/>
        </patternFill>
      </fill>
    </dxf>
    <dxf>
      <font>
        <b/>
        <i val="0"/>
        <strike val="0"/>
        <color rgb="FFFF0000"/>
      </font>
      <fill>
        <patternFill patternType="none">
          <bgColor auto="1"/>
        </patternFill>
      </fill>
    </dxf>
    <dxf>
      <font>
        <b/>
        <i val="0"/>
        <strike val="0"/>
        <color rgb="FFFFC000"/>
      </font>
      <fill>
        <patternFill patternType="none">
          <bgColor auto="1"/>
        </patternFill>
      </fill>
    </dxf>
    <dxf>
      <font>
        <b/>
        <i val="0"/>
        <strike val="0"/>
        <color rgb="FF439639"/>
      </font>
      <fill>
        <patternFill>
          <bgColor theme="0"/>
        </patternFill>
      </fill>
    </dxf>
    <dxf>
      <font>
        <b/>
        <i val="0"/>
        <strike val="0"/>
        <color rgb="FFFF0000"/>
      </font>
      <fill>
        <patternFill patternType="none">
          <bgColor auto="1"/>
        </patternFill>
      </fill>
    </dxf>
    <dxf>
      <font>
        <b/>
        <i val="0"/>
        <strike val="0"/>
        <color rgb="FF439639"/>
      </font>
      <fill>
        <patternFill patternType="none">
          <bgColor auto="1"/>
        </patternFill>
      </fill>
    </dxf>
    <dxf>
      <font>
        <b/>
        <i val="0"/>
        <strike val="0"/>
        <color theme="5" tint="-0.24994659260841701"/>
      </font>
      <fill>
        <patternFill patternType="none">
          <bgColor auto="1"/>
        </patternFill>
      </fill>
    </dxf>
    <dxf>
      <font>
        <b/>
        <i val="0"/>
        <strike val="0"/>
        <color theme="4" tint="-0.499984740745262"/>
      </font>
    </dxf>
    <dxf>
      <font>
        <b/>
        <i val="0"/>
        <color rgb="FFFF0000"/>
      </font>
      <fill>
        <patternFill patternType="none">
          <bgColor auto="1"/>
        </patternFill>
      </fill>
    </dxf>
    <dxf>
      <font>
        <b/>
        <i val="0"/>
        <strike val="0"/>
        <color rgb="FFFF0000"/>
      </font>
      <fill>
        <patternFill patternType="none">
          <bgColor auto="1"/>
        </patternFill>
      </fill>
    </dxf>
    <dxf>
      <font>
        <b/>
        <i val="0"/>
        <strike val="0"/>
        <color rgb="FFFFC000"/>
      </font>
      <fill>
        <patternFill patternType="none">
          <bgColor auto="1"/>
        </patternFill>
      </fill>
    </dxf>
    <dxf>
      <font>
        <b/>
        <i val="0"/>
        <strike val="0"/>
        <color rgb="FF439639"/>
      </font>
      <fill>
        <patternFill>
          <bgColor theme="0"/>
        </patternFill>
      </fill>
    </dxf>
    <dxf>
      <font>
        <b/>
        <i val="0"/>
        <strike val="0"/>
        <color rgb="FFFF0000"/>
      </font>
      <fill>
        <patternFill patternType="none">
          <bgColor auto="1"/>
        </patternFill>
      </fill>
    </dxf>
    <dxf>
      <font>
        <b/>
        <i val="0"/>
        <strike val="0"/>
        <color rgb="FF439639"/>
      </font>
      <fill>
        <patternFill patternType="none">
          <bgColor auto="1"/>
        </patternFill>
      </fill>
    </dxf>
    <dxf>
      <font>
        <b/>
        <i val="0"/>
        <strike val="0"/>
        <color theme="5" tint="-0.24994659260841701"/>
      </font>
      <fill>
        <patternFill patternType="none">
          <bgColor auto="1"/>
        </patternFill>
      </fill>
    </dxf>
    <dxf>
      <font>
        <b/>
        <i val="0"/>
        <strike val="0"/>
        <color theme="4" tint="-0.499984740745262"/>
      </font>
    </dxf>
    <dxf>
      <font>
        <b/>
        <i val="0"/>
        <color rgb="FFFF0000"/>
      </font>
      <fill>
        <patternFill patternType="none">
          <bgColor auto="1"/>
        </patternFill>
      </fill>
    </dxf>
    <dxf>
      <font>
        <b/>
        <i val="0"/>
        <strike val="0"/>
        <color rgb="FFFF0000"/>
      </font>
      <fill>
        <patternFill patternType="none">
          <bgColor auto="1"/>
        </patternFill>
      </fill>
    </dxf>
    <dxf>
      <font>
        <b/>
        <i val="0"/>
        <strike val="0"/>
        <color rgb="FFFFC000"/>
      </font>
      <fill>
        <patternFill patternType="none">
          <bgColor auto="1"/>
        </patternFill>
      </fill>
    </dxf>
    <dxf>
      <font>
        <b/>
        <i val="0"/>
        <strike val="0"/>
        <color rgb="FF439639"/>
      </font>
      <fill>
        <patternFill>
          <bgColor theme="0"/>
        </patternFill>
      </fill>
    </dxf>
    <dxf>
      <font>
        <b/>
        <i val="0"/>
        <strike val="0"/>
        <color rgb="FFFF0000"/>
      </font>
      <fill>
        <patternFill patternType="none">
          <bgColor auto="1"/>
        </patternFill>
      </fill>
    </dxf>
    <dxf>
      <font>
        <b/>
        <i val="0"/>
        <strike val="0"/>
        <color rgb="FF439639"/>
      </font>
      <fill>
        <patternFill patternType="none">
          <bgColor auto="1"/>
        </patternFill>
      </fill>
    </dxf>
    <dxf>
      <font>
        <b/>
        <i val="0"/>
        <strike val="0"/>
        <color theme="5" tint="-0.24994659260841701"/>
      </font>
      <fill>
        <patternFill patternType="none">
          <bgColor auto="1"/>
        </patternFill>
      </fill>
    </dxf>
    <dxf>
      <font>
        <b/>
        <i val="0"/>
        <strike val="0"/>
        <color theme="4" tint="-0.499984740745262"/>
      </font>
    </dxf>
    <dxf>
      <font>
        <b/>
        <i val="0"/>
        <color rgb="FFFF0000"/>
      </font>
      <fill>
        <patternFill patternType="none">
          <bgColor auto="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strike val="0"/>
        <outline val="0"/>
        <shadow val="0"/>
        <u val="none"/>
        <vertAlign val="baseline"/>
        <sz val="9"/>
        <color theme="1"/>
        <name val="Calibri"/>
        <scheme val="minor"/>
      </font>
    </dxf>
    <dxf>
      <font>
        <strike val="0"/>
        <outline val="0"/>
        <shadow val="0"/>
        <u val="none"/>
        <vertAlign val="baseline"/>
        <sz val="9"/>
        <color theme="1"/>
        <name val="Calibri"/>
        <scheme val="minor"/>
      </font>
    </dxf>
    <dxf>
      <font>
        <strike val="0"/>
        <outline val="0"/>
        <shadow val="0"/>
        <u val="none"/>
        <vertAlign val="baseline"/>
        <sz val="9"/>
        <color theme="1"/>
        <name val="Calibri"/>
        <scheme val="minor"/>
      </font>
    </dxf>
    <dxf>
      <font>
        <strike val="0"/>
        <outline val="0"/>
        <shadow val="0"/>
        <u val="none"/>
        <vertAlign val="baseline"/>
        <sz val="9"/>
        <color theme="1"/>
        <name val="Calibri"/>
        <scheme val="minor"/>
      </font>
    </dxf>
    <dxf>
      <font>
        <strike val="0"/>
        <outline val="0"/>
        <shadow val="0"/>
        <u val="none"/>
        <vertAlign val="baseline"/>
        <sz val="11"/>
        <color theme="1"/>
        <name val="Calibri"/>
        <scheme val="minor"/>
      </font>
    </dxf>
    <dxf>
      <font>
        <b val="0"/>
        <i val="0"/>
        <strike val="0"/>
        <condense val="0"/>
        <extend val="0"/>
        <outline val="0"/>
        <shadow val="0"/>
        <u val="none"/>
        <vertAlign val="baseline"/>
        <sz val="9"/>
        <color theme="1"/>
        <name val="Calibri"/>
        <scheme val="none"/>
      </font>
    </dxf>
    <dxf>
      <font>
        <b val="0"/>
        <i val="0"/>
        <strike val="0"/>
        <condense val="0"/>
        <extend val="0"/>
        <outline val="0"/>
        <shadow val="0"/>
        <u val="none"/>
        <vertAlign val="baseline"/>
        <sz val="9"/>
        <color theme="1"/>
        <name val="Calibri"/>
        <scheme val="none"/>
      </font>
    </dxf>
    <dxf>
      <font>
        <b val="0"/>
        <i val="0"/>
        <strike val="0"/>
        <condense val="0"/>
        <extend val="0"/>
        <outline val="0"/>
        <shadow val="0"/>
        <u val="none"/>
        <vertAlign val="baseline"/>
        <sz val="9"/>
        <color theme="1"/>
        <name val="Calibri"/>
        <scheme val="none"/>
      </font>
    </dxf>
    <dxf>
      <font>
        <b val="0"/>
        <i val="0"/>
        <strike val="0"/>
        <condense val="0"/>
        <extend val="0"/>
        <outline val="0"/>
        <shadow val="0"/>
        <u val="none"/>
        <vertAlign val="baseline"/>
        <sz val="9"/>
        <color theme="1"/>
        <name val="Calibri"/>
        <scheme val="none"/>
      </font>
    </dxf>
    <dxf>
      <font>
        <b val="0"/>
        <i val="0"/>
        <strike val="0"/>
        <condense val="0"/>
        <extend val="0"/>
        <outline val="0"/>
        <shadow val="0"/>
        <u val="none"/>
        <vertAlign val="baseline"/>
        <sz val="9"/>
        <color theme="1"/>
        <name val="Calibri"/>
        <scheme val="none"/>
      </font>
    </dxf>
    <dxf>
      <font>
        <b val="0"/>
        <i val="0"/>
        <strike val="0"/>
        <condense val="0"/>
        <extend val="0"/>
        <outline val="0"/>
        <shadow val="0"/>
        <u val="none"/>
        <vertAlign val="baseline"/>
        <sz val="9"/>
        <color theme="1"/>
        <name val="Calibri"/>
        <scheme val="none"/>
      </font>
    </dxf>
    <dxf>
      <font>
        <b val="0"/>
        <i val="0"/>
        <strike val="0"/>
        <condense val="0"/>
        <extend val="0"/>
        <outline val="0"/>
        <shadow val="0"/>
        <u val="none"/>
        <vertAlign val="baseline"/>
        <sz val="9"/>
        <color theme="1"/>
        <name val="Calibri"/>
        <scheme val="none"/>
      </font>
    </dxf>
    <dxf>
      <font>
        <b val="0"/>
        <i val="0"/>
        <strike val="0"/>
        <condense val="0"/>
        <extend val="0"/>
        <outline val="0"/>
        <shadow val="0"/>
        <u val="none"/>
        <vertAlign val="baseline"/>
        <sz val="11"/>
        <color theme="1"/>
        <name val="Calibri"/>
        <scheme val="none"/>
      </font>
    </dxf>
    <dxf>
      <font>
        <b val="0"/>
        <i val="0"/>
        <strike val="0"/>
        <condense val="0"/>
        <extend val="0"/>
        <outline val="0"/>
        <shadow val="0"/>
        <u val="none"/>
        <vertAlign val="baseline"/>
        <sz val="11"/>
        <color theme="1"/>
        <name val="Calibri"/>
        <scheme val="none"/>
      </font>
      <numFmt numFmtId="2" formatCode="0.00"/>
    </dxf>
    <dxf>
      <font>
        <b val="0"/>
        <i val="0"/>
        <strike val="0"/>
        <condense val="0"/>
        <extend val="0"/>
        <outline val="0"/>
        <shadow val="0"/>
        <u val="none"/>
        <vertAlign val="baseline"/>
        <sz val="11"/>
        <color theme="1"/>
        <name val="Calibri"/>
        <scheme val="none"/>
      </font>
    </dxf>
    <dxf>
      <font>
        <b val="0"/>
        <i val="0"/>
        <strike val="0"/>
        <condense val="0"/>
        <extend val="0"/>
        <outline val="0"/>
        <shadow val="0"/>
        <u val="none"/>
        <vertAlign val="baseline"/>
        <sz val="9"/>
        <color theme="1"/>
        <name val="Calibri"/>
        <scheme val="none"/>
      </font>
      <numFmt numFmtId="1" formatCode="0"/>
    </dxf>
    <dxf>
      <font>
        <b val="0"/>
        <i val="0"/>
        <strike val="0"/>
        <condense val="0"/>
        <extend val="0"/>
        <outline val="0"/>
        <shadow val="0"/>
        <u val="none"/>
        <vertAlign val="baseline"/>
        <sz val="11"/>
        <color theme="1"/>
        <name val="Calibri"/>
        <scheme val="none"/>
      </font>
    </dxf>
    <dxf>
      <font>
        <b val="0"/>
        <i val="0"/>
        <strike val="0"/>
        <condense val="0"/>
        <extend val="0"/>
        <outline val="0"/>
        <shadow val="0"/>
        <u val="none"/>
        <vertAlign val="baseline"/>
        <sz val="11"/>
        <color theme="1"/>
        <name val="Calibri"/>
        <scheme val="none"/>
      </font>
    </dxf>
    <dxf>
      <font>
        <b val="0"/>
        <i val="0"/>
        <strike val="0"/>
        <condense val="0"/>
        <extend val="0"/>
        <outline val="0"/>
        <shadow val="0"/>
        <u val="none"/>
        <vertAlign val="baseline"/>
        <sz val="11"/>
        <color theme="1"/>
        <name val="Calibri"/>
        <scheme val="none"/>
      </font>
    </dxf>
    <dxf>
      <font>
        <b val="0"/>
        <i val="0"/>
        <strike val="0"/>
        <condense val="0"/>
        <extend val="0"/>
        <outline val="0"/>
        <shadow val="0"/>
        <u val="none"/>
        <vertAlign val="baseline"/>
        <sz val="11"/>
        <color theme="1"/>
        <name val="Calibri"/>
        <scheme val="none"/>
      </font>
    </dxf>
    <dxf>
      <font>
        <b val="0"/>
        <i val="0"/>
        <strike val="0"/>
        <condense val="0"/>
        <extend val="0"/>
        <outline val="0"/>
        <shadow val="0"/>
        <u val="none"/>
        <vertAlign val="baseline"/>
        <sz val="11"/>
        <color theme="1"/>
        <name val="Calibri"/>
        <scheme val="none"/>
      </font>
    </dxf>
    <dxf>
      <font>
        <b val="0"/>
        <i val="0"/>
        <strike val="0"/>
        <condense val="0"/>
        <extend val="0"/>
        <outline val="0"/>
        <shadow val="0"/>
        <u val="none"/>
        <vertAlign val="baseline"/>
        <sz val="11"/>
        <color theme="1"/>
        <name val="Calibri"/>
        <scheme val="none"/>
      </font>
    </dxf>
    <dxf>
      <font>
        <b val="0"/>
        <i val="0"/>
        <strike val="0"/>
        <condense val="0"/>
        <extend val="0"/>
        <outline val="0"/>
        <shadow val="0"/>
        <u val="none"/>
        <vertAlign val="baseline"/>
        <sz val="11"/>
        <color theme="1"/>
        <name val="Calibri"/>
        <scheme val="none"/>
      </font>
    </dxf>
    <dxf>
      <font>
        <b val="0"/>
        <i val="0"/>
        <strike val="0"/>
        <condense val="0"/>
        <extend val="0"/>
        <outline val="0"/>
        <shadow val="0"/>
        <u val="none"/>
        <vertAlign val="baseline"/>
        <sz val="11"/>
        <color theme="1"/>
        <name val="Calibri"/>
        <scheme val="none"/>
      </font>
    </dxf>
    <dxf>
      <font>
        <b val="0"/>
        <i val="0"/>
        <strike val="0"/>
        <condense val="0"/>
        <extend val="0"/>
        <outline val="0"/>
        <shadow val="0"/>
        <u val="none"/>
        <vertAlign val="baseline"/>
        <sz val="11"/>
        <color theme="1"/>
        <name val="Calibri"/>
        <scheme val="none"/>
      </font>
      <alignment horizontal="general"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dxf>
    <dxf>
      <font>
        <strike val="0"/>
        <outline val="0"/>
        <shadow val="0"/>
        <u val="none"/>
        <vertAlign val="baseline"/>
        <sz val="10"/>
        <color theme="1"/>
        <name val="Calibri"/>
        <scheme val="minor"/>
      </font>
    </dxf>
    <dxf>
      <font>
        <strike val="0"/>
        <outline val="0"/>
        <shadow val="0"/>
        <u val="none"/>
        <vertAlign val="baseline"/>
        <sz val="10"/>
        <color theme="1"/>
        <name val="Calibri"/>
        <scheme val="minor"/>
      </font>
    </dxf>
    <dxf>
      <font>
        <strike val="0"/>
        <outline val="0"/>
        <shadow val="0"/>
        <u val="none"/>
        <vertAlign val="baseline"/>
        <sz val="10"/>
        <color theme="1"/>
        <name val="Calibri"/>
        <scheme val="minor"/>
      </font>
    </dxf>
    <dxf>
      <font>
        <strike val="0"/>
        <outline val="0"/>
        <shadow val="0"/>
        <u val="none"/>
        <vertAlign val="baseline"/>
        <sz val="10"/>
        <color theme="1"/>
        <name val="Calibri"/>
        <scheme val="minor"/>
      </font>
    </dxf>
    <dxf>
      <font>
        <strike val="0"/>
        <outline val="0"/>
        <shadow val="0"/>
        <u val="none"/>
        <vertAlign val="baseline"/>
        <sz val="10"/>
        <color theme="1"/>
        <name val="Calibri"/>
        <scheme val="minor"/>
      </font>
    </dxf>
    <dxf>
      <font>
        <strike val="0"/>
        <outline val="0"/>
        <shadow val="0"/>
        <u val="none"/>
        <vertAlign val="baseline"/>
        <sz val="10"/>
        <color theme="1"/>
        <name val="Calibri"/>
        <scheme val="minor"/>
      </font>
    </dxf>
    <dxf>
      <font>
        <strike val="0"/>
        <outline val="0"/>
        <shadow val="0"/>
        <u val="none"/>
        <vertAlign val="baseline"/>
        <sz val="10"/>
        <color theme="1"/>
        <name val="Calibri"/>
        <scheme val="minor"/>
      </font>
    </dxf>
    <dxf>
      <font>
        <strike val="0"/>
        <outline val="0"/>
        <shadow val="0"/>
        <u val="none"/>
        <vertAlign val="baseline"/>
        <sz val="10"/>
        <color theme="1"/>
        <name val="Calibri"/>
        <scheme val="minor"/>
      </font>
    </dxf>
    <dxf>
      <font>
        <strike val="0"/>
        <outline val="0"/>
        <shadow val="0"/>
        <u val="none"/>
        <vertAlign val="baseline"/>
        <sz val="10"/>
        <color theme="1"/>
        <name val="Calibri"/>
        <scheme val="minor"/>
      </font>
    </dxf>
    <dxf>
      <font>
        <b val="0"/>
        <i val="0"/>
        <strike val="0"/>
        <condense val="0"/>
        <extend val="0"/>
        <outline val="0"/>
        <shadow val="0"/>
        <u val="none"/>
        <vertAlign val="baseline"/>
        <sz val="10"/>
        <color theme="1"/>
        <name val="Calibri"/>
        <scheme val="minor"/>
      </font>
      <fill>
        <patternFill patternType="none">
          <fgColor indexed="64"/>
          <bgColor indexed="65"/>
        </patternFill>
      </fill>
    </dxf>
    <dxf>
      <font>
        <strike val="0"/>
        <outline val="0"/>
        <shadow val="0"/>
        <u val="none"/>
        <vertAlign val="baseline"/>
        <sz val="10"/>
        <color theme="1"/>
        <name val="Calibri"/>
        <scheme val="minor"/>
      </font>
      <fill>
        <patternFill patternType="none">
          <fgColor indexed="64"/>
          <bgColor indexed="65"/>
        </patternFill>
      </fill>
    </dxf>
    <dxf>
      <font>
        <strike val="0"/>
        <outline val="0"/>
        <shadow val="0"/>
        <u val="none"/>
        <vertAlign val="baseline"/>
        <sz val="10"/>
        <color theme="1"/>
        <name val="Calibri"/>
        <scheme val="minor"/>
      </font>
    </dxf>
    <dxf>
      <font>
        <strike val="0"/>
        <outline val="0"/>
        <shadow val="0"/>
        <u val="none"/>
        <vertAlign val="baseline"/>
        <sz val="10"/>
        <color theme="1"/>
        <name val="Calibri"/>
        <scheme val="minor"/>
      </font>
      <numFmt numFmtId="30" formatCode="@"/>
    </dxf>
    <dxf>
      <font>
        <strike val="0"/>
        <outline val="0"/>
        <shadow val="0"/>
        <u val="none"/>
        <vertAlign val="baseline"/>
        <sz val="10"/>
        <color theme="1"/>
        <name val="Calibri"/>
        <scheme val="minor"/>
      </font>
    </dxf>
    <dxf>
      <font>
        <b/>
        <i val="0"/>
        <strike val="0"/>
        <condense val="0"/>
        <extend val="0"/>
        <outline val="0"/>
        <shadow val="0"/>
        <u val="none"/>
        <vertAlign val="baseline"/>
        <sz val="11"/>
        <color theme="1"/>
        <name val="Arial"/>
        <scheme val="none"/>
      </font>
      <alignment horizontal="general" vertical="bottom" textRotation="0" wrapText="1" indent="0" justifyLastLine="0" shrinkToFit="0" readingOrder="0"/>
    </dxf>
    <dxf>
      <font>
        <strike val="0"/>
        <outline val="0"/>
        <shadow val="0"/>
        <u val="none"/>
        <vertAlign val="baseline"/>
        <sz val="10"/>
        <color theme="1"/>
        <name val="Calibri"/>
        <scheme val="minor"/>
      </font>
    </dxf>
    <dxf>
      <font>
        <strike val="0"/>
        <outline val="0"/>
        <shadow val="0"/>
        <u val="none"/>
        <vertAlign val="baseline"/>
        <sz val="10"/>
        <color theme="1"/>
        <name val="Calibri"/>
        <scheme val="minor"/>
      </font>
    </dxf>
    <dxf>
      <font>
        <strike val="0"/>
        <outline val="0"/>
        <shadow val="0"/>
        <u val="none"/>
        <vertAlign val="baseline"/>
        <sz val="10"/>
        <color theme="1"/>
        <name val="Calibri"/>
        <scheme val="minor"/>
      </font>
    </dxf>
    <dxf>
      <font>
        <strike val="0"/>
        <outline val="0"/>
        <shadow val="0"/>
        <u val="none"/>
        <vertAlign val="baseline"/>
        <sz val="10"/>
        <color theme="1"/>
        <name val="Calibri"/>
        <scheme val="minor"/>
      </font>
    </dxf>
    <dxf>
      <font>
        <strike val="0"/>
        <outline val="0"/>
        <shadow val="0"/>
        <u val="none"/>
        <vertAlign val="baseline"/>
        <sz val="10"/>
        <color theme="1"/>
        <name val="Calibri"/>
        <scheme val="minor"/>
      </font>
    </dxf>
    <dxf>
      <font>
        <b val="0"/>
        <i val="0"/>
        <strike val="0"/>
        <condense val="0"/>
        <extend val="0"/>
        <outline val="0"/>
        <shadow val="0"/>
        <u val="none"/>
        <vertAlign val="baseline"/>
        <sz val="10"/>
        <color theme="1"/>
        <name val="Calibri"/>
        <scheme val="minor"/>
      </font>
    </dxf>
    <dxf>
      <font>
        <b val="0"/>
        <i val="0"/>
        <strike val="0"/>
        <condense val="0"/>
        <extend val="0"/>
        <outline val="0"/>
        <shadow val="0"/>
        <u val="none"/>
        <vertAlign val="baseline"/>
        <sz val="10"/>
        <color theme="1"/>
        <name val="Calibri"/>
        <scheme val="minor"/>
      </font>
    </dxf>
    <dxf>
      <font>
        <strike val="0"/>
        <outline val="0"/>
        <shadow val="0"/>
        <u val="none"/>
        <vertAlign val="baseline"/>
        <sz val="10"/>
        <color theme="1"/>
        <name val="Calibri"/>
        <scheme val="minor"/>
      </font>
    </dxf>
    <dxf>
      <font>
        <strike val="0"/>
        <outline val="0"/>
        <shadow val="0"/>
        <u val="none"/>
        <vertAlign val="baseline"/>
        <sz val="10"/>
        <color theme="1"/>
        <name val="Calibri"/>
        <scheme val="minor"/>
      </font>
    </dxf>
    <dxf>
      <font>
        <strike val="0"/>
        <outline val="0"/>
        <shadow val="0"/>
        <u val="none"/>
        <vertAlign val="baseline"/>
        <sz val="10"/>
        <color theme="1"/>
        <name val="Calibri"/>
        <scheme val="minor"/>
      </font>
    </dxf>
    <dxf>
      <font>
        <strike val="0"/>
        <outline val="0"/>
        <shadow val="0"/>
        <u val="none"/>
        <vertAlign val="baseline"/>
        <sz val="10"/>
        <color theme="1"/>
        <name val="Calibri"/>
        <scheme val="minor"/>
      </font>
    </dxf>
    <dxf>
      <font>
        <strike val="0"/>
        <outline val="0"/>
        <shadow val="0"/>
        <u val="none"/>
        <vertAlign val="baseline"/>
        <sz val="10"/>
        <color theme="1"/>
        <name val="Calibri"/>
        <scheme val="minor"/>
      </font>
      <numFmt numFmtId="30" formatCode="@"/>
    </dxf>
    <dxf>
      <font>
        <strike val="0"/>
        <outline val="0"/>
        <shadow val="0"/>
        <u val="none"/>
        <vertAlign val="baseline"/>
        <sz val="10"/>
        <color theme="1"/>
        <name val="Calibri"/>
        <scheme val="minor"/>
      </font>
    </dxf>
    <dxf>
      <font>
        <b/>
        <i val="0"/>
        <strike val="0"/>
        <condense val="0"/>
        <extend val="0"/>
        <outline val="0"/>
        <shadow val="0"/>
        <u val="none"/>
        <vertAlign val="baseline"/>
        <sz val="11"/>
        <color theme="1"/>
        <name val="Arial"/>
        <scheme val="none"/>
      </font>
      <alignment horizontal="general" vertical="bottom" textRotation="0" wrapText="1" indent="0" justifyLastLine="0" shrinkToFit="0" readingOrder="0"/>
    </dxf>
    <dxf>
      <font>
        <b val="0"/>
        <i val="0"/>
        <strike val="0"/>
        <condense val="0"/>
        <extend val="0"/>
        <outline val="0"/>
        <shadow val="0"/>
        <u val="none"/>
        <vertAlign val="baseline"/>
        <sz val="11"/>
        <color theme="1"/>
        <name val="Calibri"/>
        <family val="2"/>
        <scheme val="minor"/>
      </font>
      <numFmt numFmtId="0" formatCode="General"/>
      <fill>
        <patternFill patternType="solid">
          <fgColor theme="0" tint="-0.14999847407452621"/>
          <bgColor theme="0" tint="-0.14999847407452621"/>
        </patternFill>
      </fill>
      <alignment horizontal="general" vertical="center" textRotation="0" wrapText="0" indent="0" justifyLastLine="0" shrinkToFit="0" readingOrder="0"/>
      <border diagonalUp="0" diagonalDown="0">
        <left/>
        <right/>
        <top style="thin">
          <color theme="1"/>
        </top>
        <bottom style="thin">
          <color theme="1"/>
        </bottom>
        <vertical/>
        <horizontal/>
      </border>
    </dxf>
    <dxf>
      <font>
        <b val="0"/>
        <i val="0"/>
        <strike val="0"/>
        <condense val="0"/>
        <extend val="0"/>
        <outline val="0"/>
        <shadow val="0"/>
        <u val="none"/>
        <vertAlign val="baseline"/>
        <sz val="11"/>
        <color theme="1"/>
        <name val="Calibri"/>
        <family val="2"/>
        <scheme val="minor"/>
      </font>
      <numFmt numFmtId="0" formatCode="General"/>
      <fill>
        <patternFill patternType="solid">
          <fgColor theme="0" tint="-0.14999847407452621"/>
          <bgColor theme="0" tint="-0.14999847407452621"/>
        </patternFill>
      </fill>
      <alignment horizontal="general" vertical="center" textRotation="0" wrapText="0" indent="0" justifyLastLine="0" shrinkToFit="0" readingOrder="0"/>
      <border diagonalUp="0" diagonalDown="0">
        <left/>
        <right/>
        <top style="thin">
          <color theme="1"/>
        </top>
        <bottom style="thin">
          <color theme="1"/>
        </bottom>
        <vertical/>
        <horizontal/>
      </border>
    </dxf>
    <dxf>
      <font>
        <b val="0"/>
        <i val="0"/>
        <strike val="0"/>
        <condense val="0"/>
        <extend val="0"/>
        <outline val="0"/>
        <shadow val="0"/>
        <u val="none"/>
        <vertAlign val="baseline"/>
        <sz val="11"/>
        <color theme="1"/>
        <name val="Calibri"/>
        <family val="2"/>
        <scheme val="minor"/>
      </font>
      <numFmt numFmtId="0" formatCode="General"/>
      <fill>
        <patternFill patternType="solid">
          <fgColor theme="0" tint="-0.14999847407452621"/>
          <bgColor theme="0" tint="-0.14999847407452621"/>
        </patternFill>
      </fill>
      <alignment horizontal="general" vertical="center" textRotation="0" wrapText="0" indent="0" justifyLastLine="0" shrinkToFit="0" readingOrder="0"/>
      <border diagonalUp="0" diagonalDown="0">
        <left/>
        <right/>
        <top style="thin">
          <color theme="1"/>
        </top>
        <bottom style="thin">
          <color theme="1"/>
        </bottom>
        <vertical/>
        <horizontal/>
      </border>
    </dxf>
    <dxf>
      <font>
        <b val="0"/>
        <i val="0"/>
        <strike val="0"/>
        <condense val="0"/>
        <extend val="0"/>
        <outline val="0"/>
        <shadow val="0"/>
        <u val="none"/>
        <vertAlign val="baseline"/>
        <sz val="11"/>
        <color theme="1"/>
        <name val="Calibri"/>
        <family val="2"/>
        <scheme val="minor"/>
      </font>
      <fill>
        <patternFill patternType="solid">
          <fgColor theme="0" tint="-0.14999847407452621"/>
          <bgColor theme="0" tint="-0.14999847407452621"/>
        </patternFill>
      </fill>
      <alignment horizontal="general" vertical="center" textRotation="0" wrapText="0" indent="0" justifyLastLine="0" shrinkToFit="0" readingOrder="0"/>
      <border diagonalUp="0" diagonalDown="0">
        <left/>
        <right/>
        <top style="thin">
          <color theme="1"/>
        </top>
        <bottom style="thin">
          <color theme="1"/>
        </bottom>
        <vertical/>
        <horizontal/>
      </border>
    </dxf>
    <dxf>
      <font>
        <b val="0"/>
        <i val="0"/>
        <strike val="0"/>
        <condense val="0"/>
        <extend val="0"/>
        <outline val="0"/>
        <shadow val="0"/>
        <u val="none"/>
        <vertAlign val="baseline"/>
        <sz val="11"/>
        <color theme="1"/>
        <name val="Calibri"/>
        <family val="2"/>
        <scheme val="minor"/>
      </font>
      <numFmt numFmtId="0" formatCode="General"/>
      <fill>
        <patternFill patternType="solid">
          <fgColor theme="0" tint="-0.14999847407452621"/>
          <bgColor theme="0" tint="-0.14999847407452621"/>
        </patternFill>
      </fill>
      <alignment horizontal="general" vertical="center" textRotation="0" wrapText="0" indent="0" justifyLastLine="0" shrinkToFit="0" readingOrder="0"/>
      <border diagonalUp="0" diagonalDown="0">
        <left/>
        <right/>
        <top style="thin">
          <color theme="1"/>
        </top>
        <bottom style="thin">
          <color theme="1"/>
        </bottom>
        <vertical/>
        <horizontal/>
      </border>
    </dxf>
    <dxf>
      <font>
        <b val="0"/>
        <i val="0"/>
        <strike val="0"/>
        <condense val="0"/>
        <extend val="0"/>
        <outline val="0"/>
        <shadow val="0"/>
        <u val="none"/>
        <vertAlign val="baseline"/>
        <sz val="11"/>
        <color theme="1"/>
        <name val="Calibri"/>
        <family val="2"/>
        <scheme val="minor"/>
      </font>
      <numFmt numFmtId="0" formatCode="General"/>
      <fill>
        <patternFill patternType="solid">
          <fgColor theme="0" tint="-0.14999847407452621"/>
          <bgColor theme="0" tint="-0.14999847407452621"/>
        </patternFill>
      </fill>
      <alignment horizontal="general" vertical="center" textRotation="0" wrapText="0" indent="0" justifyLastLine="0" shrinkToFit="0" readingOrder="0"/>
      <border diagonalUp="0" diagonalDown="0">
        <left/>
        <right/>
        <top style="thin">
          <color theme="1"/>
        </top>
        <bottom style="thin">
          <color theme="1"/>
        </bottom>
        <vertical/>
        <horizontal/>
      </border>
    </dxf>
    <dxf>
      <font>
        <b val="0"/>
        <i val="0"/>
        <strike val="0"/>
        <condense val="0"/>
        <extend val="0"/>
        <outline val="0"/>
        <shadow val="0"/>
        <u val="none"/>
        <vertAlign val="baseline"/>
        <sz val="11"/>
        <color theme="1"/>
        <name val="Calibri"/>
        <family val="2"/>
        <scheme val="minor"/>
      </font>
      <numFmt numFmtId="0" formatCode="General"/>
      <fill>
        <patternFill patternType="solid">
          <fgColor theme="0" tint="-0.14999847407452621"/>
          <bgColor theme="0" tint="-0.14999847407452621"/>
        </patternFill>
      </fill>
      <alignment horizontal="general" vertical="center" textRotation="0" wrapText="0" indent="0" justifyLastLine="0" shrinkToFit="0" readingOrder="0"/>
      <border diagonalUp="0" diagonalDown="0">
        <left/>
        <right/>
        <top style="thin">
          <color theme="1"/>
        </top>
        <bottom style="thin">
          <color theme="1"/>
        </bottom>
        <vertical/>
        <horizontal/>
      </border>
    </dxf>
    <dxf>
      <font>
        <b val="0"/>
        <i val="0"/>
        <strike val="0"/>
        <condense val="0"/>
        <extend val="0"/>
        <outline val="0"/>
        <shadow val="0"/>
        <u val="none"/>
        <vertAlign val="baseline"/>
        <sz val="11"/>
        <color theme="1"/>
        <name val="Calibri"/>
        <family val="2"/>
        <scheme val="minor"/>
      </font>
      <fill>
        <patternFill patternType="solid">
          <fgColor theme="0" tint="-0.14999847407452621"/>
          <bgColor theme="0" tint="-0.14999847407452621"/>
        </patternFill>
      </fill>
      <alignment horizontal="general" vertical="center" textRotation="0" wrapText="0" indent="0" justifyLastLine="0" shrinkToFit="0" readingOrder="0"/>
      <border diagonalUp="0" diagonalDown="0">
        <left/>
        <right/>
        <top style="thin">
          <color theme="1"/>
        </top>
        <bottom style="thin">
          <color theme="1"/>
        </bottom>
        <vertical/>
        <horizontal/>
      </border>
    </dxf>
    <dxf>
      <font>
        <b val="0"/>
        <i val="0"/>
        <strike val="0"/>
        <condense val="0"/>
        <extend val="0"/>
        <outline val="0"/>
        <shadow val="0"/>
        <u val="none"/>
        <vertAlign val="baseline"/>
        <sz val="11"/>
        <color theme="1"/>
        <name val="Calibri"/>
        <family val="2"/>
        <scheme val="minor"/>
      </font>
      <numFmt numFmtId="3" formatCode="#,##0"/>
      <fill>
        <patternFill patternType="solid">
          <fgColor theme="0" tint="-0.14999847407452621"/>
          <bgColor theme="0" tint="-0.14999847407452621"/>
        </patternFill>
      </fill>
      <alignment horizontal="general" vertical="center" textRotation="0" wrapText="0" indent="0" justifyLastLine="0" shrinkToFit="0" readingOrder="0"/>
      <border diagonalUp="0" diagonalDown="0">
        <left/>
        <right/>
        <top style="thin">
          <color theme="1"/>
        </top>
        <bottom style="thin">
          <color theme="1"/>
        </bottom>
        <vertical/>
        <horizontal/>
      </border>
    </dxf>
    <dxf>
      <font>
        <b val="0"/>
        <i val="0"/>
        <strike val="0"/>
        <condense val="0"/>
        <extend val="0"/>
        <outline val="0"/>
        <shadow val="0"/>
        <u val="none"/>
        <vertAlign val="baseline"/>
        <sz val="11"/>
        <color theme="1"/>
        <name val="Calibri"/>
        <family val="2"/>
        <scheme val="minor"/>
      </font>
      <numFmt numFmtId="3" formatCode="#,##0"/>
      <fill>
        <patternFill patternType="solid">
          <fgColor theme="0" tint="-0.14999847407452621"/>
          <bgColor theme="0" tint="-0.14999847407452621"/>
        </patternFill>
      </fill>
      <alignment horizontal="general" vertical="center" textRotation="0" wrapText="0" indent="0" justifyLastLine="0" shrinkToFit="0" readingOrder="0"/>
      <border diagonalUp="0" diagonalDown="0">
        <left/>
        <right/>
        <top style="thin">
          <color theme="1"/>
        </top>
        <bottom style="thin">
          <color theme="1"/>
        </bottom>
        <vertical/>
        <horizontal/>
      </border>
    </dxf>
    <dxf>
      <font>
        <b val="0"/>
        <i val="0"/>
        <strike val="0"/>
        <condense val="0"/>
        <extend val="0"/>
        <outline val="0"/>
        <shadow val="0"/>
        <u val="none"/>
        <vertAlign val="baseline"/>
        <sz val="11"/>
        <color theme="1"/>
        <name val="Calibri"/>
        <family val="2"/>
        <scheme val="minor"/>
      </font>
      <numFmt numFmtId="3" formatCode="#,##0"/>
      <fill>
        <patternFill patternType="solid">
          <fgColor theme="0" tint="-0.14999847407452621"/>
          <bgColor theme="0" tint="-0.14999847407452621"/>
        </patternFill>
      </fill>
      <alignment horizontal="general" vertical="center" textRotation="0" wrapText="0" indent="0" justifyLastLine="0" shrinkToFit="0" readingOrder="0"/>
      <border diagonalUp="0" diagonalDown="0">
        <left/>
        <right/>
        <top style="thin">
          <color theme="1"/>
        </top>
        <bottom style="thin">
          <color theme="1"/>
        </bottom>
        <vertical/>
        <horizontal/>
      </border>
    </dxf>
    <dxf>
      <font>
        <b val="0"/>
        <i val="0"/>
        <strike val="0"/>
        <condense val="0"/>
        <extend val="0"/>
        <outline val="0"/>
        <shadow val="0"/>
        <u val="none"/>
        <vertAlign val="baseline"/>
        <sz val="11"/>
        <color theme="1"/>
        <name val="Calibri"/>
        <family val="2"/>
        <scheme val="minor"/>
      </font>
      <numFmt numFmtId="0" formatCode="General"/>
      <fill>
        <patternFill patternType="solid">
          <fgColor theme="0" tint="-0.14999847407452621"/>
          <bgColor theme="0" tint="-0.14999847407452621"/>
        </patternFill>
      </fill>
      <alignment horizontal="general" vertical="center" textRotation="0" wrapText="0" indent="0" justifyLastLine="0" shrinkToFit="0" readingOrder="0"/>
      <border diagonalUp="0" diagonalDown="0">
        <left/>
        <right/>
        <top style="thin">
          <color theme="1"/>
        </top>
        <bottom style="thin">
          <color theme="1"/>
        </bottom>
        <vertical/>
        <horizontal/>
      </border>
    </dxf>
    <dxf>
      <font>
        <b val="0"/>
        <i val="0"/>
        <strike val="0"/>
        <condense val="0"/>
        <extend val="0"/>
        <outline val="0"/>
        <shadow val="0"/>
        <u val="none"/>
        <vertAlign val="baseline"/>
        <sz val="11"/>
        <color theme="1"/>
        <name val="Calibri"/>
        <family val="2"/>
        <scheme val="minor"/>
      </font>
      <numFmt numFmtId="0" formatCode="General"/>
      <fill>
        <patternFill patternType="solid">
          <fgColor theme="0" tint="-0.14999847407452621"/>
          <bgColor theme="0" tint="-0.14999847407452621"/>
        </patternFill>
      </fill>
      <alignment horizontal="general" vertical="center" textRotation="0" wrapText="0" indent="0" justifyLastLine="0" shrinkToFit="0" readingOrder="0"/>
      <border diagonalUp="0" diagonalDown="0">
        <left/>
        <right/>
        <top style="thin">
          <color theme="1"/>
        </top>
        <bottom style="thin">
          <color theme="1"/>
        </bottom>
        <vertical/>
        <horizontal/>
      </border>
    </dxf>
    <dxf>
      <font>
        <b val="0"/>
        <i val="0"/>
        <strike val="0"/>
        <condense val="0"/>
        <extend val="0"/>
        <outline val="0"/>
        <shadow val="0"/>
        <u val="none"/>
        <vertAlign val="baseline"/>
        <sz val="11"/>
        <color theme="1"/>
        <name val="Calibri"/>
        <family val="2"/>
        <scheme val="minor"/>
      </font>
      <numFmt numFmtId="0" formatCode="General"/>
      <fill>
        <patternFill patternType="solid">
          <fgColor theme="0" tint="-0.14999847407452621"/>
          <bgColor theme="0" tint="-0.14999847407452621"/>
        </patternFill>
      </fill>
      <alignment horizontal="general" vertical="center" textRotation="0" wrapText="0" indent="0" justifyLastLine="0" shrinkToFit="0" readingOrder="0"/>
      <border diagonalUp="0" diagonalDown="0">
        <left/>
        <right/>
        <top style="thin">
          <color theme="1"/>
        </top>
        <bottom style="thin">
          <color theme="1"/>
        </bottom>
        <vertical/>
        <horizontal/>
      </border>
    </dxf>
    <dxf>
      <font>
        <b val="0"/>
        <i val="0"/>
        <strike val="0"/>
        <condense val="0"/>
        <extend val="0"/>
        <outline val="0"/>
        <shadow val="0"/>
        <u val="none"/>
        <vertAlign val="baseline"/>
        <sz val="11"/>
        <color theme="1"/>
        <name val="Calibri"/>
        <family val="2"/>
        <scheme val="minor"/>
      </font>
      <numFmt numFmtId="0" formatCode="General"/>
      <fill>
        <patternFill patternType="solid">
          <fgColor theme="0" tint="-0.14999847407452621"/>
          <bgColor theme="0" tint="-0.14999847407452621"/>
        </patternFill>
      </fill>
      <alignment horizontal="general" vertical="center" textRotation="0" wrapText="0" indent="0" justifyLastLine="0" shrinkToFit="0" readingOrder="0"/>
      <border diagonalUp="0" diagonalDown="0">
        <left/>
        <right/>
        <top style="thin">
          <color theme="1"/>
        </top>
        <bottom style="thin">
          <color theme="1"/>
        </bottom>
        <vertical/>
        <horizontal/>
      </border>
    </dxf>
    <dxf>
      <font>
        <b val="0"/>
        <i val="0"/>
        <strike val="0"/>
        <condense val="0"/>
        <extend val="0"/>
        <outline val="0"/>
        <shadow val="0"/>
        <u val="none"/>
        <vertAlign val="baseline"/>
        <sz val="11"/>
        <color theme="1"/>
        <name val="Calibri"/>
        <family val="2"/>
        <scheme val="minor"/>
      </font>
      <numFmt numFmtId="0" formatCode="General"/>
      <fill>
        <patternFill patternType="solid">
          <fgColor theme="0" tint="-0.14999847407452621"/>
          <bgColor theme="0" tint="-0.14999847407452621"/>
        </patternFill>
      </fill>
      <alignment horizontal="general" vertical="center" textRotation="0" wrapText="0" indent="0" justifyLastLine="0" shrinkToFit="0" readingOrder="0"/>
      <border diagonalUp="0" diagonalDown="0">
        <left/>
        <right/>
        <top style="thin">
          <color theme="1"/>
        </top>
        <bottom style="thin">
          <color theme="1"/>
        </bottom>
        <vertical/>
        <horizontal/>
      </border>
    </dxf>
    <dxf>
      <font>
        <b val="0"/>
        <i val="0"/>
        <strike val="0"/>
        <condense val="0"/>
        <extend val="0"/>
        <outline val="0"/>
        <shadow val="0"/>
        <u val="none"/>
        <vertAlign val="baseline"/>
        <sz val="11"/>
        <color theme="1"/>
        <name val="Calibri"/>
        <family val="2"/>
        <scheme val="minor"/>
      </font>
      <numFmt numFmtId="30" formatCode="@"/>
      <fill>
        <patternFill patternType="solid">
          <fgColor theme="0" tint="-0.14999847407452621"/>
          <bgColor theme="0" tint="-0.14999847407452621"/>
        </patternFill>
      </fill>
      <alignment horizontal="general" vertical="center" textRotation="0" wrapText="0" indent="0" justifyLastLine="0" shrinkToFit="0" readingOrder="0"/>
      <border diagonalUp="0" diagonalDown="0">
        <left/>
        <right/>
        <top style="thin">
          <color theme="1"/>
        </top>
        <bottom style="thin">
          <color theme="1"/>
        </bottom>
        <vertical/>
        <horizontal/>
      </border>
    </dxf>
    <dxf>
      <font>
        <b val="0"/>
        <i val="0"/>
        <strike val="0"/>
        <condense val="0"/>
        <extend val="0"/>
        <outline val="0"/>
        <shadow val="0"/>
        <u val="none"/>
        <vertAlign val="baseline"/>
        <sz val="11"/>
        <color theme="1"/>
        <name val="Calibri"/>
        <family val="2"/>
        <scheme val="minor"/>
      </font>
      <numFmt numFmtId="0" formatCode="General"/>
      <fill>
        <patternFill patternType="solid">
          <fgColor theme="0" tint="-0.14999847407452621"/>
          <bgColor theme="0" tint="-0.14999847407452621"/>
        </patternFill>
      </fill>
      <alignment horizontal="general" vertical="center" textRotation="0" wrapText="0" indent="0" justifyLastLine="0" shrinkToFit="0" readingOrder="0"/>
      <border diagonalUp="0" diagonalDown="0">
        <left/>
        <right/>
        <top style="thin">
          <color theme="1"/>
        </top>
        <bottom style="thin">
          <color theme="1"/>
        </bottom>
        <vertical/>
        <horizontal/>
      </border>
    </dxf>
    <dxf>
      <font>
        <b val="0"/>
        <i val="0"/>
        <strike val="0"/>
        <condense val="0"/>
        <extend val="0"/>
        <outline val="0"/>
        <shadow val="0"/>
        <u val="none"/>
        <vertAlign val="baseline"/>
        <sz val="11"/>
        <color theme="1"/>
        <name val="Calibri"/>
        <family val="2"/>
        <scheme val="minor"/>
      </font>
      <numFmt numFmtId="0" formatCode="General"/>
      <fill>
        <patternFill patternType="solid">
          <fgColor theme="0" tint="-0.14999847407452621"/>
          <bgColor theme="0" tint="-0.14999847407452621"/>
        </patternFill>
      </fill>
      <alignment horizontal="general" vertical="center" textRotation="0" wrapText="0" indent="0" justifyLastLine="0" shrinkToFit="0" readingOrder="0"/>
      <border diagonalUp="0" diagonalDown="0">
        <left/>
        <right/>
        <top style="thin">
          <color theme="1"/>
        </top>
        <bottom style="thin">
          <color theme="1"/>
        </bottom>
        <vertical/>
        <horizontal/>
      </border>
    </dxf>
    <dxf>
      <font>
        <b val="0"/>
        <i val="0"/>
        <strike val="0"/>
        <condense val="0"/>
        <extend val="0"/>
        <outline val="0"/>
        <shadow val="0"/>
        <u val="none"/>
        <vertAlign val="baseline"/>
        <sz val="11"/>
        <color theme="1"/>
        <name val="Calibri"/>
        <family val="2"/>
        <scheme val="minor"/>
      </font>
      <numFmt numFmtId="0" formatCode="General"/>
      <fill>
        <patternFill patternType="solid">
          <fgColor theme="0" tint="-0.14999847407452621"/>
          <bgColor theme="0" tint="-0.14999847407452621"/>
        </patternFill>
      </fill>
      <alignment horizontal="general" vertical="center" textRotation="0" wrapText="0" indent="0" justifyLastLine="0" shrinkToFit="0" readingOrder="0"/>
      <border diagonalUp="0" diagonalDown="0">
        <left/>
        <right/>
        <top style="thin">
          <color theme="1"/>
        </top>
        <bottom style="thin">
          <color theme="1"/>
        </bottom>
        <vertical/>
        <horizontal/>
      </border>
    </dxf>
    <dxf>
      <font>
        <b val="0"/>
        <i val="0"/>
        <strike val="0"/>
        <condense val="0"/>
        <extend val="0"/>
        <outline val="0"/>
        <shadow val="0"/>
        <u val="none"/>
        <vertAlign val="baseline"/>
        <sz val="11"/>
        <color theme="1"/>
        <name val="Calibri"/>
        <family val="2"/>
        <scheme val="minor"/>
      </font>
      <numFmt numFmtId="179" formatCode="#,##0.0000"/>
      <fill>
        <patternFill patternType="solid">
          <fgColor theme="0" tint="-0.14999847407452621"/>
          <bgColor theme="0" tint="-0.14999847407452621"/>
        </patternFill>
      </fill>
      <alignment horizontal="general" vertical="center" textRotation="0" wrapText="0" indent="0" justifyLastLine="0" shrinkToFit="0" readingOrder="0"/>
      <border diagonalUp="0" diagonalDown="0">
        <left/>
        <right/>
        <top style="thin">
          <color theme="1"/>
        </top>
        <bottom style="thin">
          <color theme="1"/>
        </bottom>
        <vertical/>
        <horizontal/>
      </border>
    </dxf>
    <dxf>
      <font>
        <b val="0"/>
        <i val="0"/>
        <strike val="0"/>
        <condense val="0"/>
        <extend val="0"/>
        <outline val="0"/>
        <shadow val="0"/>
        <u val="none"/>
        <vertAlign val="baseline"/>
        <sz val="11"/>
        <color theme="1"/>
        <name val="Calibri"/>
        <family val="2"/>
        <scheme val="minor"/>
      </font>
      <numFmt numFmtId="4" formatCode="#,##0.00"/>
      <fill>
        <patternFill patternType="solid">
          <fgColor theme="0" tint="-0.14999847407452621"/>
          <bgColor theme="0" tint="-0.14999847407452621"/>
        </patternFill>
      </fill>
      <border diagonalUp="0" diagonalDown="0">
        <left/>
        <right/>
        <top style="thin">
          <color theme="1"/>
        </top>
        <bottom style="thin">
          <color theme="1"/>
        </bottom>
        <vertical/>
        <horizontal/>
      </border>
    </dxf>
    <dxf>
      <font>
        <b val="0"/>
        <i val="0"/>
        <strike val="0"/>
        <condense val="0"/>
        <extend val="0"/>
        <outline val="0"/>
        <shadow val="0"/>
        <u val="none"/>
        <vertAlign val="baseline"/>
        <sz val="11"/>
        <color theme="1"/>
        <name val="Calibri"/>
        <family val="2"/>
        <scheme val="minor"/>
      </font>
      <numFmt numFmtId="0" formatCode="General"/>
      <fill>
        <patternFill patternType="solid">
          <fgColor theme="0" tint="-0.14999847407452621"/>
          <bgColor theme="0" tint="-0.14999847407452621"/>
        </patternFill>
      </fill>
      <alignment horizontal="general" vertical="center" textRotation="0" wrapText="0" indent="0" justifyLastLine="0" shrinkToFit="0" readingOrder="0"/>
      <border diagonalUp="0" diagonalDown="0">
        <left/>
        <right/>
        <top style="thin">
          <color theme="1"/>
        </top>
        <bottom style="thin">
          <color theme="1"/>
        </bottom>
        <vertical/>
        <horizontal/>
      </border>
    </dxf>
    <dxf>
      <font>
        <b val="0"/>
        <i val="0"/>
        <strike val="0"/>
        <condense val="0"/>
        <extend val="0"/>
        <outline val="0"/>
        <shadow val="0"/>
        <u val="none"/>
        <vertAlign val="baseline"/>
        <sz val="11"/>
        <color theme="1"/>
        <name val="Calibri"/>
        <family val="2"/>
        <scheme val="minor"/>
      </font>
      <numFmt numFmtId="0" formatCode="General"/>
      <fill>
        <patternFill patternType="solid">
          <fgColor theme="0" tint="-0.14999847407452621"/>
          <bgColor theme="0" tint="-0.14999847407452621"/>
        </patternFill>
      </fill>
      <alignment horizontal="general" vertical="center" textRotation="0" wrapText="0" indent="0" justifyLastLine="0" shrinkToFit="0" readingOrder="0"/>
      <border diagonalUp="0" diagonalDown="0">
        <left/>
        <right/>
        <top style="thin">
          <color theme="1"/>
        </top>
        <bottom style="thin">
          <color theme="1"/>
        </bottom>
        <vertical/>
        <horizontal/>
      </border>
    </dxf>
    <dxf>
      <font>
        <b val="0"/>
        <i val="0"/>
        <strike val="0"/>
        <condense val="0"/>
        <extend val="0"/>
        <outline val="0"/>
        <shadow val="0"/>
        <u val="none"/>
        <vertAlign val="baseline"/>
        <sz val="11"/>
        <color theme="1"/>
        <name val="Calibri"/>
        <family val="2"/>
        <scheme val="minor"/>
      </font>
      <numFmt numFmtId="0" formatCode="General"/>
      <fill>
        <patternFill patternType="solid">
          <fgColor theme="0" tint="-0.14999847407452621"/>
          <bgColor theme="0" tint="-0.14999847407452621"/>
        </patternFill>
      </fill>
      <alignment horizontal="general" vertical="center" textRotation="0" wrapText="0" indent="0" justifyLastLine="0" shrinkToFit="0" readingOrder="0"/>
      <border diagonalUp="0" diagonalDown="0">
        <left/>
        <right/>
        <top style="thin">
          <color theme="1"/>
        </top>
        <bottom style="thin">
          <color theme="1"/>
        </bottom>
        <vertical/>
        <horizontal/>
      </border>
    </dxf>
    <dxf>
      <font>
        <b val="0"/>
        <i val="0"/>
        <strike val="0"/>
        <condense val="0"/>
        <extend val="0"/>
        <outline val="0"/>
        <shadow val="0"/>
        <u val="none"/>
        <vertAlign val="baseline"/>
        <sz val="11"/>
        <color theme="1"/>
        <name val="Calibri"/>
        <family val="2"/>
        <scheme val="minor"/>
      </font>
      <numFmt numFmtId="3" formatCode="#,##0"/>
      <fill>
        <patternFill patternType="solid">
          <fgColor theme="0" tint="-0.14999847407452621"/>
          <bgColor theme="0" tint="-0.14999847407452621"/>
        </patternFill>
      </fill>
      <alignment horizontal="general" vertical="center" textRotation="0" wrapText="0" indent="0" justifyLastLine="0" shrinkToFit="0" readingOrder="0"/>
      <border diagonalUp="0" diagonalDown="0">
        <left/>
        <right/>
        <top style="thin">
          <color theme="1"/>
        </top>
        <bottom style="thin">
          <color theme="1"/>
        </bottom>
        <vertical/>
        <horizontal/>
      </border>
    </dxf>
    <dxf>
      <font>
        <b val="0"/>
        <i val="0"/>
        <strike val="0"/>
        <condense val="0"/>
        <extend val="0"/>
        <outline val="0"/>
        <shadow val="0"/>
        <u val="none"/>
        <vertAlign val="baseline"/>
        <sz val="11"/>
        <color theme="1"/>
        <name val="Calibri"/>
        <family val="2"/>
        <scheme val="minor"/>
      </font>
      <numFmt numFmtId="0" formatCode="General"/>
      <fill>
        <patternFill patternType="solid">
          <fgColor theme="0" tint="-0.14999847407452621"/>
          <bgColor theme="0" tint="-0.14999847407452621"/>
        </patternFill>
      </fill>
      <alignment horizontal="general" vertical="center" textRotation="0" wrapText="0" indent="0" justifyLastLine="0" shrinkToFit="0" readingOrder="0"/>
      <border diagonalUp="0" diagonalDown="0">
        <left/>
        <right/>
        <top style="thin">
          <color theme="1"/>
        </top>
        <bottom style="thin">
          <color theme="1"/>
        </bottom>
        <vertical/>
        <horizontal/>
      </border>
    </dxf>
    <dxf>
      <font>
        <b val="0"/>
        <i val="0"/>
        <strike val="0"/>
        <condense val="0"/>
        <extend val="0"/>
        <outline val="0"/>
        <shadow val="0"/>
        <u val="none"/>
        <vertAlign val="baseline"/>
        <sz val="11"/>
        <color auto="1"/>
        <name val="Calibri"/>
        <family val="2"/>
        <scheme val="minor"/>
      </font>
      <numFmt numFmtId="0" formatCode="General"/>
      <fill>
        <patternFill patternType="solid">
          <fgColor theme="0" tint="-0.14999847407452621"/>
          <bgColor theme="0" tint="-0.14999847407452621"/>
        </patternFill>
      </fill>
      <alignment horizontal="general" vertical="bottom" textRotation="0" wrapText="0" indent="0" justifyLastLine="0" shrinkToFit="0" readingOrder="0"/>
      <border diagonalUp="0" diagonalDown="0">
        <left/>
        <right/>
        <top style="thin">
          <color theme="1"/>
        </top>
        <bottom style="thin">
          <color theme="1"/>
        </bottom>
        <vertical/>
        <horizontal/>
      </border>
    </dxf>
    <dxf>
      <font>
        <b val="0"/>
        <i val="0"/>
        <strike val="0"/>
        <condense val="0"/>
        <extend val="0"/>
        <outline val="0"/>
        <shadow val="0"/>
        <u val="none"/>
        <vertAlign val="baseline"/>
        <sz val="11"/>
        <color theme="1"/>
        <name val="Calibri"/>
        <family val="2"/>
        <scheme val="minor"/>
      </font>
      <fill>
        <patternFill patternType="solid">
          <fgColor theme="0" tint="-0.14999847407452621"/>
          <bgColor theme="0" tint="-0.14999847407452621"/>
        </patternFill>
      </fill>
      <alignment horizontal="general" vertical="center" textRotation="0" wrapText="0" indent="0" justifyLastLine="0" shrinkToFit="0" readingOrder="0"/>
      <border diagonalUp="0" diagonalDown="0">
        <left/>
        <right/>
        <top style="thin">
          <color theme="1"/>
        </top>
        <bottom style="thin">
          <color theme="1"/>
        </bottom>
        <vertical/>
        <horizontal/>
      </border>
    </dxf>
    <dxf>
      <font>
        <b val="0"/>
        <i val="0"/>
        <strike val="0"/>
        <condense val="0"/>
        <extend val="0"/>
        <outline val="0"/>
        <shadow val="0"/>
        <u val="none"/>
        <vertAlign val="baseline"/>
        <sz val="11"/>
        <color theme="1"/>
        <name val="Calibri"/>
        <family val="2"/>
        <scheme val="minor"/>
      </font>
      <numFmt numFmtId="30" formatCode="@"/>
      <fill>
        <patternFill patternType="solid">
          <fgColor theme="0" tint="-0.14999847407452621"/>
          <bgColor theme="0" tint="-0.14999847407452621"/>
        </patternFill>
      </fill>
      <alignment horizontal="general" vertical="center" textRotation="0" wrapText="0" indent="0" justifyLastLine="0" shrinkToFit="0" readingOrder="0"/>
      <border diagonalUp="0" diagonalDown="0">
        <left/>
        <right/>
        <top style="thin">
          <color theme="1"/>
        </top>
        <bottom style="thin">
          <color theme="1"/>
        </bottom>
        <vertical/>
        <horizontal/>
      </border>
    </dxf>
    <dxf>
      <font>
        <b val="0"/>
        <i val="0"/>
        <strike val="0"/>
        <condense val="0"/>
        <extend val="0"/>
        <outline val="0"/>
        <shadow val="0"/>
        <u val="none"/>
        <vertAlign val="baseline"/>
        <sz val="11"/>
        <color theme="1"/>
        <name val="Calibri"/>
        <family val="2"/>
        <scheme val="minor"/>
      </font>
      <numFmt numFmtId="0" formatCode="General"/>
      <fill>
        <patternFill patternType="solid">
          <fgColor theme="0" tint="-0.14999847407452621"/>
          <bgColor theme="0" tint="-0.14999847407452621"/>
        </patternFill>
      </fill>
      <alignment horizontal="general" vertical="center" textRotation="0" wrapText="0" indent="0" justifyLastLine="0" shrinkToFit="0" readingOrder="0"/>
      <border diagonalUp="0" diagonalDown="0">
        <left/>
        <right/>
        <top style="thin">
          <color theme="1"/>
        </top>
        <bottom style="thin">
          <color theme="1"/>
        </bottom>
        <vertical/>
        <horizontal/>
      </border>
    </dxf>
    <dxf>
      <font>
        <b val="0"/>
        <i val="0"/>
        <strike val="0"/>
        <condense val="0"/>
        <extend val="0"/>
        <outline val="0"/>
        <shadow val="0"/>
        <u val="none"/>
        <vertAlign val="baseline"/>
        <sz val="11"/>
        <color theme="1"/>
        <name val="Calibri"/>
        <family val="2"/>
        <scheme val="minor"/>
      </font>
      <fill>
        <patternFill patternType="solid">
          <fgColor theme="0" tint="-0.14999847407452621"/>
          <bgColor theme="0" tint="-0.14999847407452621"/>
        </patternFill>
      </fill>
      <alignment horizontal="general" vertical="center" textRotation="0" wrapText="0" indent="0" justifyLastLine="0" shrinkToFit="0" readingOrder="0"/>
      <border diagonalUp="0" diagonalDown="0">
        <left/>
        <right/>
        <top style="thin">
          <color theme="1"/>
        </top>
        <bottom style="thin">
          <color theme="1"/>
        </bottom>
        <vertical/>
        <horizontal/>
      </border>
    </dxf>
    <dxf>
      <font>
        <b val="0"/>
        <i val="0"/>
        <strike val="0"/>
        <condense val="0"/>
        <extend val="0"/>
        <outline val="0"/>
        <shadow val="0"/>
        <u val="none"/>
        <vertAlign val="baseline"/>
        <sz val="11"/>
        <color theme="1"/>
        <name val="Calibri"/>
        <family val="2"/>
        <scheme val="minor"/>
      </font>
      <numFmt numFmtId="0" formatCode="General"/>
      <fill>
        <patternFill patternType="solid">
          <fgColor theme="0" tint="-0.14999847407452621"/>
          <bgColor theme="0" tint="-0.14999847407452621"/>
        </patternFill>
      </fill>
      <alignment horizontal="general" vertical="center" textRotation="0" wrapText="0" indent="0" justifyLastLine="0" shrinkToFit="0" readingOrder="0"/>
      <border diagonalUp="0" diagonalDown="0">
        <left/>
        <right/>
        <top style="thin">
          <color theme="1"/>
        </top>
        <bottom style="thin">
          <color theme="1"/>
        </bottom>
        <vertical/>
        <horizontal/>
      </border>
    </dxf>
    <dxf>
      <font>
        <b val="0"/>
        <i val="0"/>
        <strike val="0"/>
        <condense val="0"/>
        <extend val="0"/>
        <outline val="0"/>
        <shadow val="0"/>
        <u val="none"/>
        <vertAlign val="baseline"/>
        <sz val="11"/>
        <color theme="1"/>
        <name val="Calibri"/>
        <family val="2"/>
        <scheme val="minor"/>
      </font>
      <numFmt numFmtId="0" formatCode="General"/>
      <fill>
        <patternFill patternType="solid">
          <fgColor theme="0" tint="-0.14999847407452621"/>
          <bgColor theme="0" tint="-0.14999847407452621"/>
        </patternFill>
      </fill>
      <alignment horizontal="general" vertical="center" textRotation="0" wrapText="0" indent="0" justifyLastLine="0" shrinkToFit="0" readingOrder="0"/>
      <border diagonalUp="0" diagonalDown="0">
        <left/>
        <right/>
        <top style="thin">
          <color theme="1"/>
        </top>
        <bottom style="thin">
          <color theme="1"/>
        </bottom>
        <vertical/>
        <horizontal/>
      </border>
    </dxf>
    <dxf>
      <font>
        <b val="0"/>
        <i val="0"/>
        <strike val="0"/>
        <condense val="0"/>
        <extend val="0"/>
        <outline val="0"/>
        <shadow val="0"/>
        <u val="none"/>
        <vertAlign val="baseline"/>
        <sz val="11"/>
        <color theme="1"/>
        <name val="Calibri"/>
        <family val="2"/>
        <scheme val="minor"/>
      </font>
      <fill>
        <patternFill patternType="solid">
          <fgColor theme="0" tint="-0.14999847407452621"/>
          <bgColor theme="0" tint="-0.14999847407452621"/>
        </patternFill>
      </fill>
      <alignment horizontal="general" vertical="center" textRotation="0" wrapText="0" indent="0" justifyLastLine="0" shrinkToFit="0" readingOrder="0"/>
      <border diagonalUp="0" diagonalDown="0">
        <left/>
        <right/>
        <top style="thin">
          <color theme="1"/>
        </top>
        <bottom style="thin">
          <color theme="1"/>
        </bottom>
        <vertical/>
        <horizontal/>
      </border>
    </dxf>
    <dxf>
      <font>
        <b val="0"/>
        <i val="0"/>
        <strike val="0"/>
        <condense val="0"/>
        <extend val="0"/>
        <outline val="0"/>
        <shadow val="0"/>
        <u val="none"/>
        <vertAlign val="baseline"/>
        <sz val="11"/>
        <color theme="1"/>
        <name val="Calibri"/>
        <family val="2"/>
        <scheme val="minor"/>
      </font>
      <numFmt numFmtId="0" formatCode="General"/>
      <fill>
        <patternFill patternType="solid">
          <fgColor theme="0" tint="-0.14999847407452621"/>
          <bgColor theme="0" tint="-0.14999847407452621"/>
        </patternFill>
      </fill>
      <alignment horizontal="general" vertical="center" textRotation="0" wrapText="0" indent="0" justifyLastLine="0" shrinkToFit="0" readingOrder="0"/>
      <border diagonalUp="0" diagonalDown="0">
        <left/>
        <right/>
        <top style="thin">
          <color theme="1"/>
        </top>
        <bottom style="thin">
          <color theme="1"/>
        </bottom>
        <vertical/>
        <horizontal/>
      </border>
    </dxf>
    <dxf>
      <border outline="0">
        <top style="thin">
          <color theme="1"/>
        </top>
      </border>
    </dxf>
    <dxf>
      <border outline="0">
        <left style="thin">
          <color theme="1"/>
        </left>
        <right style="thin">
          <color theme="1"/>
        </right>
        <top style="thin">
          <color theme="1"/>
        </top>
        <bottom style="thin">
          <color theme="1"/>
        </bottom>
      </border>
    </dxf>
    <dxf>
      <font>
        <b val="0"/>
        <i val="0"/>
        <strike val="0"/>
        <condense val="0"/>
        <extend val="0"/>
        <outline val="0"/>
        <shadow val="0"/>
        <u val="none"/>
        <vertAlign val="baseline"/>
        <sz val="11"/>
        <color theme="1"/>
        <name val="Calibri"/>
        <family val="2"/>
        <scheme val="minor"/>
      </font>
      <fill>
        <patternFill patternType="solid">
          <fgColor theme="0" tint="-0.14999847407452621"/>
          <bgColor theme="0" tint="-0.14999847407452621"/>
        </patternFill>
      </fill>
      <alignment horizontal="general" vertical="center" textRotation="0" wrapText="0" indent="0" justifyLastLine="0" shrinkToFit="0" readingOrder="0"/>
    </dxf>
    <dxf>
      <border outline="0">
        <bottom style="thin">
          <color theme="1"/>
        </bottom>
      </border>
    </dxf>
    <dxf>
      <font>
        <b/>
        <i val="0"/>
        <strike val="0"/>
        <condense val="0"/>
        <extend val="0"/>
        <outline val="0"/>
        <shadow val="0"/>
        <u val="none"/>
        <vertAlign val="baseline"/>
        <sz val="11"/>
        <color theme="0"/>
        <name val="Calibri"/>
        <family val="2"/>
        <scheme val="minor"/>
      </font>
      <numFmt numFmtId="0" formatCode="General"/>
      <fill>
        <patternFill patternType="solid">
          <fgColor theme="1"/>
          <bgColor theme="1"/>
        </patternFill>
      </fill>
      <alignment horizontal="general" vertical="center" textRotation="0" wrapText="1" indent="0" justifyLastLine="0" shrinkToFit="0" readingOrder="0"/>
    </dxf>
    <dxf>
      <border outline="0">
        <top style="thin">
          <color theme="1"/>
        </top>
      </border>
    </dxf>
    <dxf>
      <border outline="0">
        <top style="thin">
          <color theme="6" tint="0.39997558519241921"/>
        </top>
        <bottom style="thin">
          <color theme="1"/>
        </bottom>
      </border>
    </dxf>
    <dxf>
      <border outline="0">
        <bottom style="thin">
          <color theme="6" tint="0.39997558519241921"/>
        </bottom>
      </border>
    </dxf>
    <dxf>
      <font>
        <b/>
        <i val="0"/>
        <strike val="0"/>
        <condense val="0"/>
        <extend val="0"/>
        <outline val="0"/>
        <shadow val="0"/>
        <u val="none"/>
        <vertAlign val="baseline"/>
        <sz val="11"/>
        <color theme="0"/>
        <name val="Calibri"/>
        <family val="2"/>
        <scheme val="minor"/>
      </font>
      <numFmt numFmtId="0" formatCode="General"/>
      <fill>
        <patternFill patternType="solid">
          <fgColor theme="6"/>
          <bgColor theme="6"/>
        </patternFill>
      </fill>
      <alignment horizontal="general" vertical="bottom" textRotation="0" wrapText="1"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left" vertical="bottom" textRotation="0" wrapText="0" indent="0" justifyLastLine="0" shrinkToFit="0" readingOrder="0"/>
    </dxf>
    <dxf>
      <border outline="0">
        <top style="thin">
          <color theme="6" tint="0.39997558519241921"/>
        </top>
      </border>
    </dxf>
    <dxf>
      <font>
        <b val="0"/>
        <i val="0"/>
        <strike val="0"/>
        <condense val="0"/>
        <extend val="0"/>
        <outline val="0"/>
        <shadow val="0"/>
        <u val="none"/>
        <vertAlign val="baseline"/>
        <sz val="11"/>
        <color theme="1"/>
        <name val="Calibri"/>
        <family val="2"/>
        <scheme val="minor"/>
      </font>
      <alignment horizontal="general" vertical="bottom" textRotation="0" wrapText="0" indent="0" justifyLastLine="0" shrinkToFit="0" readingOrder="0"/>
    </dxf>
    <dxf>
      <border outline="0">
        <bottom style="thin">
          <color theme="6" tint="0.39997558519241921"/>
        </bottom>
      </border>
    </dxf>
    <dxf>
      <font>
        <b/>
        <i val="0"/>
        <strike val="0"/>
        <condense val="0"/>
        <extend val="0"/>
        <outline val="0"/>
        <shadow val="0"/>
        <u val="none"/>
        <vertAlign val="baseline"/>
        <sz val="11"/>
        <color theme="0"/>
        <name val="Calibri"/>
        <family val="2"/>
        <scheme val="minor"/>
      </font>
      <numFmt numFmtId="0" formatCode="General"/>
      <fill>
        <patternFill patternType="solid">
          <fgColor theme="6"/>
          <bgColor theme="6"/>
        </patternFill>
      </fill>
      <alignment horizontal="general" vertical="bottom" textRotation="0" wrapText="1" indent="0" justifyLastLine="0" shrinkToFit="0" readingOrder="0"/>
    </dxf>
    <dxf>
      <alignment horizontal="left" vertical="bottom" textRotation="0" wrapText="0" indent="0" justifyLastLine="0" shrinkToFit="0" readingOrder="0"/>
    </dxf>
    <dxf>
      <numFmt numFmtId="0" formatCode="General"/>
    </dxf>
    <dxf>
      <border outline="0">
        <left style="thin">
          <color theme="5" tint="0.39997558519241921"/>
        </left>
        <right style="thin">
          <color theme="5" tint="0.39997558519241921"/>
        </right>
        <top style="thin">
          <color theme="5" tint="0.39997558519241921"/>
        </top>
        <bottom style="thin">
          <color theme="5" tint="0.39997558519241921"/>
        </bottom>
      </border>
    </dxf>
    <dxf>
      <border outline="0">
        <bottom style="thin">
          <color theme="5" tint="0.39997558519241921"/>
        </bottom>
      </border>
    </dxf>
    <dxf>
      <font>
        <b/>
        <i val="0"/>
        <strike val="0"/>
        <condense val="0"/>
        <extend val="0"/>
        <outline val="0"/>
        <shadow val="0"/>
        <u val="none"/>
        <vertAlign val="baseline"/>
        <sz val="11"/>
        <color theme="0"/>
        <name val="Calibri"/>
        <family val="2"/>
        <scheme val="minor"/>
      </font>
      <numFmt numFmtId="0" formatCode="General"/>
      <fill>
        <patternFill patternType="solid">
          <fgColor theme="5"/>
          <bgColor theme="5"/>
        </patternFill>
      </fill>
      <alignment horizontal="general" vertical="bottom" textRotation="0" wrapText="1" indent="0" justifyLastLine="0" shrinkToFit="0" readingOrder="0"/>
    </dxf>
    <dxf>
      <alignment horizontal="left"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numFmt numFmtId="169" formatCode="0.000"/>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left" vertical="center" textRotation="0" wrapText="0" indent="0" justifyLastLine="0" shrinkToFit="0" readingOrder="0"/>
    </dxf>
    <dxf>
      <font>
        <b val="0"/>
        <i val="0"/>
        <strike val="0"/>
        <condense val="0"/>
        <extend val="0"/>
        <outline val="0"/>
        <shadow val="0"/>
        <u val="none"/>
        <vertAlign val="baseline"/>
        <sz val="11"/>
        <color theme="1"/>
        <name val="Calibri"/>
        <family val="2"/>
        <scheme val="minor"/>
      </font>
      <numFmt numFmtId="2" formatCode="0.00"/>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left" vertical="center"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numFmt numFmtId="169" formatCode="0.000"/>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numFmt numFmtId="4" formatCode="#,##0.00"/>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numFmt numFmtId="19" formatCode="m/d/yyyy"/>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left" vertical="bottom" textRotation="0" wrapText="0" indent="0" justifyLastLine="0" shrinkToFit="0" readingOrder="0"/>
    </dxf>
    <dxf>
      <border outline="0">
        <top style="thin">
          <color theme="1"/>
        </top>
      </border>
    </dxf>
    <dxf>
      <font>
        <b val="0"/>
        <i val="0"/>
        <strike val="0"/>
        <condense val="0"/>
        <extend val="0"/>
        <outline val="0"/>
        <shadow val="0"/>
        <u val="none"/>
        <vertAlign val="baseline"/>
        <sz val="11"/>
        <color theme="1"/>
        <name val="Calibri"/>
        <family val="2"/>
        <scheme val="minor"/>
      </font>
      <alignment horizontal="general" vertical="bottom" textRotation="0" wrapText="0" indent="0" justifyLastLine="0" shrinkToFit="0" readingOrder="0"/>
    </dxf>
    <dxf>
      <border outline="0">
        <bottom style="thin">
          <color theme="1"/>
        </bottom>
      </border>
    </dxf>
    <dxf>
      <font>
        <b val="0"/>
        <i val="0"/>
        <strike val="0"/>
        <condense val="0"/>
        <extend val="0"/>
        <outline val="0"/>
        <shadow val="0"/>
        <u val="none"/>
        <vertAlign val="baseline"/>
        <sz val="11"/>
        <color auto="1"/>
        <name val="Calibri"/>
        <family val="2"/>
        <scheme val="minor"/>
      </font>
      <numFmt numFmtId="0" formatCode="General"/>
      <fill>
        <patternFill patternType="solid">
          <fgColor theme="1"/>
          <bgColor theme="0"/>
        </patternFill>
      </fill>
      <alignment horizontal="general"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scheme val="minor"/>
      </font>
      <numFmt numFmtId="30" formatCode="@"/>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scheme val="minor"/>
      </font>
      <numFmt numFmtId="30" formatCode="@"/>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scheme val="minor"/>
      </font>
      <numFmt numFmtId="30" formatCode="@"/>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scheme val="minor"/>
      </font>
      <numFmt numFmtId="4" formatCode="#,##0.00"/>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scheme val="minor"/>
      </font>
      <numFmt numFmtId="169" formatCode="0.000"/>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scheme val="minor"/>
      </font>
      <numFmt numFmtId="179" formatCode="#,##0.0000"/>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scheme val="minor"/>
      </font>
      <numFmt numFmtId="4" formatCode="#,##0.00"/>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scheme val="minor"/>
      </font>
      <numFmt numFmtId="30" formatCode="@"/>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scheme val="minor"/>
      </font>
      <numFmt numFmtId="19" formatCode="m/d/yyyy"/>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scheme val="minor"/>
      </font>
      <numFmt numFmtId="3" formatCode="#,##0"/>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scheme val="minor"/>
      </font>
      <numFmt numFmtId="30" formatCode="@"/>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
        <color auto="1"/>
        <name val="Calibri"/>
        <scheme val="minor"/>
      </font>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30" formatCode="@"/>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scheme val="minor"/>
      </font>
      <numFmt numFmtId="30" formatCode="@"/>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scheme val="minor"/>
      </font>
      <numFmt numFmtId="30" formatCode="@"/>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scheme val="minor"/>
      </font>
      <numFmt numFmtId="30" formatCode="@"/>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scheme val="minor"/>
      </font>
      <numFmt numFmtId="30" formatCode="@"/>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scheme val="minor"/>
      </font>
      <numFmt numFmtId="30" formatCode="@"/>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scheme val="minor"/>
      </font>
      <numFmt numFmtId="30" formatCode="@"/>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scheme val="minor"/>
      </font>
      <numFmt numFmtId="30" formatCode="@"/>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scheme val="minor"/>
      </font>
      <numFmt numFmtId="30" formatCode="@"/>
      <fill>
        <patternFill patternType="none">
          <fgColor indexed="64"/>
          <bgColor auto="1"/>
        </patternFill>
      </fill>
      <alignment horizontal="left" vertical="center" textRotation="0" wrapText="0" indent="0" justifyLastLine="0" shrinkToFit="0" readingOrder="0"/>
    </dxf>
    <dxf>
      <font>
        <b val="0"/>
        <i val="0"/>
        <strike val="0"/>
        <condense val="0"/>
        <extend val="0"/>
        <outline val="0"/>
        <shadow val="0"/>
        <u val="none"/>
        <vertAlign val="baseline"/>
        <sz val="11"/>
        <color theme="1"/>
        <name val="Calibri"/>
        <scheme val="minor"/>
      </font>
      <numFmt numFmtId="0" formatCode="General"/>
      <fill>
        <patternFill patternType="none">
          <fgColor indexed="64"/>
          <bgColor auto="1"/>
        </patternFill>
      </fill>
      <alignment horizontal="general" vertical="center" textRotation="0" wrapText="0" indent="0" justifyLastLine="0" shrinkToFit="0" readingOrder="0"/>
    </dxf>
    <dxf>
      <font>
        <b/>
        <i val="0"/>
        <strike val="0"/>
        <condense val="0"/>
        <extend val="0"/>
        <outline val="0"/>
        <shadow val="0"/>
        <u val="none"/>
        <vertAlign val="baseline"/>
        <sz val="11"/>
        <color theme="0"/>
        <name val="Calibri"/>
        <scheme val="minor"/>
      </font>
      <numFmt numFmtId="0" formatCode="General"/>
      <fill>
        <patternFill patternType="none">
          <fgColor indexed="64"/>
          <bgColor auto="1"/>
        </patternFill>
      </fill>
      <alignment horizontal="general" vertical="center" textRotation="0" wrapText="1"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general" vertical="center" textRotation="0"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general" vertical="center" textRotation="0"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general" vertical="center" textRotation="0" indent="0" justifyLastLine="0" shrinkToFit="0" readingOrder="0"/>
    </dxf>
    <dxf>
      <font>
        <b val="0"/>
        <i val="0"/>
        <strike val="0"/>
        <condense val="0"/>
        <extend val="0"/>
        <outline val="0"/>
        <shadow val="0"/>
        <u val="none"/>
        <vertAlign val="baseline"/>
        <sz val="11"/>
        <color theme="1"/>
        <name val="Calibri"/>
        <scheme val="minor"/>
      </font>
      <numFmt numFmtId="30" formatCode="@"/>
      <fill>
        <patternFill patternType="none">
          <fgColor indexed="64"/>
          <bgColor auto="1"/>
        </patternFill>
      </fill>
      <alignment horizontal="general" vertical="center" textRotation="0"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general" vertical="center" textRotation="0"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general" vertical="center" textRotation="0"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general" vertical="center" textRotation="0" indent="0" justifyLastLine="0" shrinkToFit="0" readingOrder="0"/>
    </dxf>
    <dxf>
      <font>
        <b val="0"/>
        <i val="0"/>
        <strike val="0"/>
        <condense val="0"/>
        <extend val="0"/>
        <outline val="0"/>
        <shadow val="0"/>
        <u val="none"/>
        <vertAlign val="baseline"/>
        <sz val="11"/>
        <color theme="1"/>
        <name val="Calibri"/>
        <scheme val="minor"/>
      </font>
      <numFmt numFmtId="30" formatCode="@"/>
      <fill>
        <patternFill patternType="none">
          <fgColor indexed="64"/>
          <bgColor auto="1"/>
        </patternFill>
      </fill>
      <alignment horizontal="general" vertical="center" textRotation="0" indent="0" justifyLastLine="0" shrinkToFit="0" readingOrder="0"/>
    </dxf>
    <dxf>
      <font>
        <b val="0"/>
        <i val="0"/>
        <strike val="0"/>
        <condense val="0"/>
        <extend val="0"/>
        <outline val="0"/>
        <shadow val="0"/>
        <u val="none"/>
        <vertAlign val="baseline"/>
        <sz val="11"/>
        <color theme="1"/>
        <name val="Calibri"/>
        <scheme val="minor"/>
      </font>
      <numFmt numFmtId="30" formatCode="@"/>
      <fill>
        <patternFill patternType="none">
          <fgColor indexed="64"/>
          <bgColor auto="1"/>
        </patternFill>
      </fill>
      <alignment horizontal="general" vertical="center" textRotation="0" indent="0" justifyLastLine="0" shrinkToFit="0" readingOrder="0"/>
    </dxf>
    <dxf>
      <font>
        <b val="0"/>
        <i val="0"/>
        <strike val="0"/>
        <condense val="0"/>
        <extend val="0"/>
        <outline val="0"/>
        <shadow val="0"/>
        <u val="none"/>
        <vertAlign val="baseline"/>
        <sz val="11"/>
        <color theme="1"/>
        <name val="Calibri"/>
        <scheme val="minor"/>
      </font>
      <numFmt numFmtId="3" formatCode="#,##0"/>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scheme val="minor"/>
      </font>
      <numFmt numFmtId="4" formatCode="#,##0.00"/>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scheme val="minor"/>
      </font>
      <numFmt numFmtId="169" formatCode="0.000"/>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scheme val="minor"/>
      </font>
      <numFmt numFmtId="179" formatCode="#,##0.0000"/>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scheme val="minor"/>
      </font>
      <numFmt numFmtId="4" formatCode="#,##0.00"/>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scheme val="minor"/>
      </font>
      <numFmt numFmtId="30" formatCode="@"/>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scheme val="minor"/>
      </font>
      <numFmt numFmtId="19" formatCode="m/d/yyyy"/>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scheme val="minor"/>
      </font>
      <numFmt numFmtId="1" formatCode="0"/>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scheme val="minor"/>
      </font>
      <numFmt numFmtId="30" formatCode="@"/>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
        <color auto="1"/>
        <name val="Calibri"/>
        <scheme val="minor"/>
      </font>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30" formatCode="@"/>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scheme val="minor"/>
      </font>
      <numFmt numFmtId="30" formatCode="@"/>
      <fill>
        <patternFill patternType="none">
          <fgColor indexed="64"/>
          <bgColor auto="1"/>
        </patternFill>
      </fill>
      <alignment horizontal="general" vertical="center" textRotation="0" indent="0" justifyLastLine="0" shrinkToFit="0" readingOrder="0"/>
    </dxf>
    <dxf>
      <font>
        <b val="0"/>
        <i val="0"/>
        <strike val="0"/>
        <condense val="0"/>
        <extend val="0"/>
        <outline val="0"/>
        <shadow val="0"/>
        <u val="none"/>
        <vertAlign val="baseline"/>
        <sz val="11"/>
        <color theme="1"/>
        <name val="Calibri"/>
        <scheme val="minor"/>
      </font>
      <numFmt numFmtId="30" formatCode="@"/>
      <fill>
        <patternFill patternType="none">
          <fgColor indexed="64"/>
          <bgColor auto="1"/>
        </patternFill>
      </fill>
      <alignment horizontal="general" vertical="center" textRotation="0" indent="0" justifyLastLine="0" shrinkToFit="0" readingOrder="0"/>
    </dxf>
    <dxf>
      <font>
        <b val="0"/>
        <i val="0"/>
        <strike val="0"/>
        <condense val="0"/>
        <extend val="0"/>
        <outline val="0"/>
        <shadow val="0"/>
        <u val="none"/>
        <vertAlign val="baseline"/>
        <sz val="11"/>
        <color theme="1"/>
        <name val="Calibri"/>
        <scheme val="minor"/>
      </font>
      <numFmt numFmtId="30" formatCode="@"/>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scheme val="minor"/>
      </font>
      <numFmt numFmtId="30" formatCode="@"/>
      <fill>
        <patternFill patternType="none">
          <fgColor indexed="64"/>
          <bgColor auto="1"/>
        </patternFill>
      </fill>
      <alignment horizontal="general" vertical="center" textRotation="0" indent="0" justifyLastLine="0" shrinkToFit="0" readingOrder="0"/>
    </dxf>
    <dxf>
      <font>
        <b val="0"/>
        <i val="0"/>
        <strike val="0"/>
        <condense val="0"/>
        <extend val="0"/>
        <outline val="0"/>
        <shadow val="0"/>
        <u val="none"/>
        <vertAlign val="baseline"/>
        <sz val="11"/>
        <color theme="1"/>
        <name val="Calibri"/>
        <scheme val="minor"/>
      </font>
      <numFmt numFmtId="30" formatCode="@"/>
      <fill>
        <patternFill patternType="none">
          <fgColor indexed="64"/>
          <bgColor auto="1"/>
        </patternFill>
      </fill>
      <alignment horizontal="general" vertical="center" textRotation="0" indent="0" justifyLastLine="0" shrinkToFit="0" readingOrder="0"/>
    </dxf>
    <dxf>
      <font>
        <b val="0"/>
        <i val="0"/>
        <strike val="0"/>
        <condense val="0"/>
        <extend val="0"/>
        <outline val="0"/>
        <shadow val="0"/>
        <u val="none"/>
        <vertAlign val="baseline"/>
        <sz val="11"/>
        <color theme="1"/>
        <name val="Calibri"/>
        <scheme val="minor"/>
      </font>
      <numFmt numFmtId="30" formatCode="@"/>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scheme val="minor"/>
      </font>
      <numFmt numFmtId="30" formatCode="@"/>
      <fill>
        <patternFill patternType="none">
          <fgColor indexed="64"/>
          <bgColor auto="1"/>
        </patternFill>
      </fill>
      <alignment horizontal="general" vertical="center" textRotation="0" indent="0" justifyLastLine="0" shrinkToFit="0" readingOrder="0"/>
    </dxf>
    <dxf>
      <font>
        <b val="0"/>
        <i val="0"/>
        <strike val="0"/>
        <condense val="0"/>
        <extend val="0"/>
        <outline val="0"/>
        <shadow val="0"/>
        <u val="none"/>
        <vertAlign val="baseline"/>
        <sz val="11"/>
        <color theme="1"/>
        <name val="Calibri"/>
        <scheme val="minor"/>
      </font>
      <numFmt numFmtId="30" formatCode="@"/>
      <fill>
        <patternFill patternType="none">
          <fgColor indexed="64"/>
          <bgColor auto="1"/>
        </patternFill>
      </fill>
      <alignment horizontal="left" vertical="center" textRotation="0" indent="0" justifyLastLine="0" shrinkToFit="0" readingOrder="0"/>
    </dxf>
    <dxf>
      <border outline="0">
        <top style="thin">
          <color theme="7" tint="0.39997558519241921"/>
        </top>
      </border>
    </dxf>
    <dxf>
      <font>
        <b val="0"/>
        <i val="0"/>
        <strike val="0"/>
        <condense val="0"/>
        <extend val="0"/>
        <outline val="0"/>
        <shadow val="0"/>
        <u val="none"/>
        <vertAlign val="baseline"/>
        <sz val="11"/>
        <color theme="1"/>
        <name val="Calibri"/>
        <scheme val="minor"/>
      </font>
      <numFmt numFmtId="0" formatCode="General"/>
      <fill>
        <patternFill patternType="none">
          <fgColor indexed="64"/>
          <bgColor auto="1"/>
        </patternFill>
      </fill>
      <alignment horizontal="general" vertical="center" textRotation="0" indent="0" justifyLastLine="0" shrinkToFit="0" readingOrder="0"/>
    </dxf>
    <dxf>
      <border outline="0">
        <bottom style="thin">
          <color theme="7" tint="0.39997558519241921"/>
        </bottom>
      </border>
    </dxf>
    <dxf>
      <font>
        <b/>
        <i val="0"/>
        <strike val="0"/>
        <condense val="0"/>
        <extend val="0"/>
        <outline val="0"/>
        <shadow val="0"/>
        <u val="none"/>
        <vertAlign val="baseline"/>
        <sz val="11"/>
        <color theme="0"/>
        <name val="Calibri"/>
        <scheme val="minor"/>
      </font>
      <numFmt numFmtId="0" formatCode="General"/>
      <fill>
        <patternFill patternType="none">
          <fgColor indexed="64"/>
          <bgColor auto="1"/>
        </patternFill>
      </fill>
      <alignment horizontal="general" vertical="center" textRotation="0" wrapText="1" indent="0" justifyLastLine="0" shrinkToFit="0" readingOrder="0"/>
    </dxf>
    <dxf>
      <font>
        <b val="0"/>
        <i val="0"/>
        <strike val="0"/>
        <condense val="0"/>
        <extend val="0"/>
        <outline val="0"/>
        <shadow val="0"/>
        <u val="none"/>
        <vertAlign val="baseline"/>
        <sz val="11"/>
        <color auto="1"/>
        <name val="Calibri"/>
        <scheme val="minor"/>
      </font>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1"/>
        <color auto="1"/>
        <name val="Calibri"/>
        <scheme val="minor"/>
      </font>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1"/>
        <color auto="1"/>
        <name val="Calibri"/>
        <scheme val="minor"/>
      </font>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1"/>
        <color auto="1"/>
        <name val="Calibri"/>
        <scheme val="minor"/>
      </font>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1"/>
        <color auto="1"/>
        <name val="Calibri"/>
        <scheme val="minor"/>
      </font>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1"/>
        <color auto="1"/>
        <name val="Calibri"/>
        <scheme val="minor"/>
      </font>
      <numFmt numFmtId="0" formatCode="General"/>
      <fill>
        <patternFill patternType="none">
          <fgColor indexed="64"/>
          <bgColor auto="1"/>
        </patternFill>
      </fill>
      <alignment horizontal="general" vertical="bottom" textRotation="0" wrapText="0" indent="0" justifyLastLine="0" shrinkToFit="0" readingOrder="0"/>
      <border diagonalUp="0" diagonalDown="0" outline="0">
        <left/>
        <right/>
        <top style="thin">
          <color theme="7" tint="0.39997558519241921"/>
        </top>
        <bottom style="thin">
          <color theme="7" tint="0.39997558519241921"/>
        </bottom>
      </border>
    </dxf>
    <dxf>
      <font>
        <strike val="0"/>
        <outline val="0"/>
        <shadow val="0"/>
        <u val="none"/>
        <vertAlign val="baseline"/>
        <sz val="11"/>
        <name val="Calibri"/>
        <scheme val="minor"/>
      </font>
      <fill>
        <patternFill patternType="none">
          <fgColor indexed="64"/>
          <bgColor auto="1"/>
        </patternFill>
      </fill>
      <alignment horizontal="general" textRotation="0" indent="0" justifyLastLine="0" shrinkToFit="0" readingOrder="0"/>
    </dxf>
    <dxf>
      <font>
        <b val="0"/>
        <i val="0"/>
        <strike val="0"/>
        <condense val="0"/>
        <extend val="0"/>
        <outline val="0"/>
        <shadow val="0"/>
        <u val="none"/>
        <vertAlign val="baseline"/>
        <sz val="11"/>
        <color auto="1"/>
        <name val="Calibri"/>
        <scheme val="minor"/>
      </font>
      <numFmt numFmtId="0" formatCode="General"/>
      <fill>
        <patternFill patternType="none">
          <fgColor indexed="64"/>
          <bgColor auto="1"/>
        </patternFill>
      </fill>
      <alignment horizontal="general" vertical="bottom" textRotation="0" wrapText="0" indent="0" justifyLastLine="0" shrinkToFit="0" readingOrder="0"/>
      <border diagonalUp="0" diagonalDown="0" outline="0">
        <left/>
        <right/>
        <top style="thin">
          <color theme="7" tint="0.39997558519241921"/>
        </top>
        <bottom style="thin">
          <color theme="7" tint="0.39997558519241921"/>
        </bottom>
      </border>
    </dxf>
    <dxf>
      <border outline="0">
        <top style="thin">
          <color theme="7" tint="0.39997558519241921"/>
        </top>
      </border>
    </dxf>
    <dxf>
      <border outline="0">
        <left style="thin">
          <color theme="7" tint="0.39997558519241921"/>
        </left>
        <top style="thin">
          <color theme="7" tint="0.39997558519241921"/>
        </top>
        <bottom style="thin">
          <color theme="7" tint="0.39997558519241921"/>
        </bottom>
      </border>
    </dxf>
    <dxf>
      <font>
        <b val="0"/>
        <i val="0"/>
        <strike val="0"/>
        <condense val="0"/>
        <extend val="0"/>
        <outline val="0"/>
        <shadow val="0"/>
        <u val="none"/>
        <vertAlign val="baseline"/>
        <sz val="11"/>
        <color auto="1"/>
        <name val="Calibri"/>
        <scheme val="minor"/>
      </font>
      <numFmt numFmtId="0" formatCode="General"/>
      <fill>
        <patternFill patternType="none">
          <fgColor indexed="64"/>
          <bgColor auto="1"/>
        </patternFill>
      </fill>
      <alignment horizontal="general" vertical="bottom" textRotation="0" wrapText="0" indent="0" justifyLastLine="0" shrinkToFit="0" readingOrder="0"/>
    </dxf>
    <dxf>
      <border outline="0">
        <bottom style="thin">
          <color theme="7" tint="0.39997558519241921"/>
        </bottom>
      </border>
    </dxf>
    <dxf>
      <font>
        <b/>
        <i val="0"/>
        <strike val="0"/>
        <condense val="0"/>
        <extend val="0"/>
        <outline val="0"/>
        <shadow val="0"/>
        <u val="none"/>
        <vertAlign val="baseline"/>
        <sz val="11"/>
        <color theme="0"/>
        <name val="Calibri"/>
        <scheme val="minor"/>
      </font>
      <numFmt numFmtId="0" formatCode="General"/>
      <fill>
        <patternFill patternType="solid">
          <fgColor theme="7"/>
          <bgColor theme="7"/>
        </patternFill>
      </fill>
      <alignment horizontal="general" vertical="bottom" textRotation="0" wrapText="1" indent="0" justifyLastLine="0" shrinkToFit="0" readingOrder="0"/>
    </dxf>
    <dxf>
      <font>
        <strike val="0"/>
        <outline val="0"/>
        <shadow val="0"/>
        <u val="none"/>
        <vertAlign val="baseline"/>
        <sz val="11"/>
        <color theme="1"/>
        <name val="Calibri"/>
        <scheme val="minor"/>
      </font>
      <fill>
        <patternFill patternType="none">
          <fgColor indexed="64"/>
          <bgColor auto="1"/>
        </patternFill>
      </fill>
      <alignment horizontal="general" textRotation="0" indent="0" justifyLastLine="0" shrinkToFit="0" readingOrder="0"/>
    </dxf>
    <dxf>
      <font>
        <strike val="0"/>
        <outline val="0"/>
        <shadow val="0"/>
        <u val="none"/>
        <vertAlign val="baseline"/>
        <sz val="11"/>
        <color theme="1"/>
        <name val="Calibri"/>
        <scheme val="minor"/>
      </font>
      <fill>
        <patternFill patternType="none">
          <fgColor indexed="64"/>
          <bgColor auto="1"/>
        </patternFill>
      </fill>
      <alignment horizontal="general" textRotation="0" indent="0" justifyLastLine="0" shrinkToFit="0" readingOrder="0"/>
    </dxf>
    <dxf>
      <font>
        <strike val="0"/>
        <outline val="0"/>
        <shadow val="0"/>
        <u val="none"/>
        <vertAlign val="baseline"/>
        <sz val="11"/>
        <color theme="1"/>
        <name val="Calibri"/>
        <scheme val="minor"/>
      </font>
      <fill>
        <patternFill patternType="none">
          <fgColor indexed="64"/>
          <bgColor auto="1"/>
        </patternFill>
      </fill>
      <alignment horizontal="general" textRotation="0" indent="0" justifyLastLine="0" shrinkToFit="0" readingOrder="0"/>
    </dxf>
    <dxf>
      <font>
        <strike val="0"/>
        <outline val="0"/>
        <shadow val="0"/>
        <u val="none"/>
        <vertAlign val="baseline"/>
        <sz val="11"/>
        <color theme="1"/>
        <name val="Calibri"/>
        <scheme val="minor"/>
      </font>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general" textRotation="0" indent="0" justifyLastLine="0" shrinkToFit="0" readingOrder="0"/>
    </dxf>
    <dxf>
      <font>
        <strike val="0"/>
        <outline val="0"/>
        <shadow val="0"/>
        <u val="none"/>
        <vertAlign val="baseline"/>
        <sz val="11"/>
        <color theme="1"/>
        <name val="Calibri"/>
        <scheme val="minor"/>
      </font>
      <fill>
        <patternFill patternType="none">
          <fgColor indexed="64"/>
          <bgColor auto="1"/>
        </patternFill>
      </fill>
      <alignment horizontal="general" textRotation="0" indent="0" justifyLastLine="0" shrinkToFit="0" readingOrder="0"/>
    </dxf>
    <dxf>
      <font>
        <strike val="0"/>
        <outline val="0"/>
        <shadow val="0"/>
        <u val="none"/>
        <vertAlign val="baseline"/>
        <sz val="11"/>
        <color theme="1"/>
        <name val="Calibri"/>
        <scheme val="minor"/>
      </font>
      <fill>
        <patternFill patternType="none">
          <fgColor indexed="64"/>
          <bgColor auto="1"/>
        </patternFill>
      </fill>
      <alignment horizontal="general" textRotation="0" indent="0" justifyLastLine="0" shrinkToFit="0" readingOrder="0"/>
    </dxf>
    <dxf>
      <font>
        <strike val="0"/>
        <outline val="0"/>
        <shadow val="0"/>
        <u val="none"/>
        <vertAlign val="baseline"/>
        <sz val="11"/>
        <color theme="1"/>
        <name val="Calibri"/>
        <scheme val="minor"/>
      </font>
      <fill>
        <patternFill patternType="none">
          <fgColor indexed="64"/>
          <bgColor auto="1"/>
        </patternFill>
      </fill>
      <alignment horizontal="general" textRotation="0"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general" vertical="bottom" textRotation="0"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left" vertical="center" textRotation="0" wrapText="0" indent="0" justifyLastLine="0" shrinkToFit="0" readingOrder="0"/>
    </dxf>
    <dxf>
      <font>
        <strike val="0"/>
        <outline val="0"/>
        <shadow val="0"/>
        <u val="none"/>
        <vertAlign val="baseline"/>
        <sz val="11"/>
        <name val="Calibri"/>
        <scheme val="minor"/>
      </font>
      <numFmt numFmtId="2" formatCode="0.00"/>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general" vertical="bottom" textRotation="0"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general" vertical="bottom" textRotation="0"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general" vertical="bottom" textRotation="0"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general" vertical="bottom" textRotation="0" indent="0" justifyLastLine="0" shrinkToFit="0" readingOrder="0"/>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general" vertical="bottom" textRotation="0" wrapText="0" indent="0" justifyLastLine="0" shrinkToFit="0" readingOrder="0"/>
    </dxf>
    <dxf>
      <font>
        <strike val="0"/>
        <outline val="0"/>
        <shadow val="0"/>
        <u val="none"/>
        <vertAlign val="baseline"/>
        <sz val="11"/>
        <color theme="1"/>
        <name val="Calibri"/>
        <scheme val="minor"/>
      </font>
      <fill>
        <patternFill patternType="none">
          <fgColor indexed="64"/>
          <bgColor indexed="65"/>
        </patternFill>
      </fill>
      <alignment horizontal="left" vertical="center" textRotation="0" wrapText="0" indent="0" justifyLastLine="0" shrinkToFit="0" readingOrder="0"/>
    </dxf>
    <dxf>
      <font>
        <strike val="0"/>
        <outline val="0"/>
        <shadow val="0"/>
        <u val="none"/>
        <vertAlign val="baseline"/>
        <sz val="11"/>
        <color theme="1"/>
        <name val="Calibri"/>
        <scheme val="minor"/>
      </font>
      <numFmt numFmtId="0" formatCode="General"/>
      <fill>
        <patternFill patternType="none">
          <fgColor indexed="64"/>
          <bgColor auto="1"/>
        </patternFill>
      </fill>
      <alignment horizontal="general" vertical="bottom" textRotation="0" indent="0" justifyLastLine="0" shrinkToFit="0" readingOrder="0"/>
    </dxf>
    <dxf>
      <font>
        <strike val="0"/>
        <outline val="0"/>
        <shadow val="0"/>
        <u val="none"/>
        <vertAlign val="baseline"/>
        <sz val="11"/>
        <color theme="1"/>
        <name val="Calibri"/>
        <scheme val="minor"/>
      </font>
      <numFmt numFmtId="0" formatCode="General"/>
      <fill>
        <patternFill patternType="none">
          <fgColor indexed="64"/>
          <bgColor auto="1"/>
        </patternFill>
      </fill>
      <alignment horizontal="general" vertical="bottom" textRotation="0" indent="0" justifyLastLine="0" shrinkToFit="0" readingOrder="0"/>
    </dxf>
    <dxf>
      <font>
        <strike val="0"/>
        <outline val="0"/>
        <shadow val="0"/>
        <u val="none"/>
        <vertAlign val="baseline"/>
        <sz val="11"/>
        <color theme="1"/>
        <name val="Calibri"/>
        <scheme val="minor"/>
      </font>
      <numFmt numFmtId="169" formatCode="0.000"/>
      <fill>
        <patternFill patternType="none">
          <fgColor indexed="64"/>
          <bgColor auto="1"/>
        </patternFill>
      </fill>
      <alignment horizontal="general" vertical="bottom" textRotation="0" wrapText="0" indent="0" justifyLastLine="0" shrinkToFit="0" readingOrder="0"/>
    </dxf>
    <dxf>
      <font>
        <strike val="0"/>
        <outline val="0"/>
        <shadow val="0"/>
        <u val="none"/>
        <vertAlign val="baseline"/>
        <sz val="11"/>
        <color theme="1"/>
        <name val="Calibri"/>
        <scheme val="minor"/>
      </font>
      <numFmt numFmtId="0" formatCode="General"/>
      <fill>
        <patternFill patternType="none">
          <fgColor indexed="64"/>
          <bgColor auto="1"/>
        </patternFill>
      </fill>
      <alignment horizontal="general" vertical="bottom" textRotation="0" indent="0" justifyLastLine="0" shrinkToFit="0" readingOrder="0"/>
    </dxf>
    <dxf>
      <font>
        <strike val="0"/>
        <outline val="0"/>
        <shadow val="0"/>
        <u val="none"/>
        <vertAlign val="baseline"/>
        <sz val="11"/>
        <color theme="1"/>
        <name val="Calibri"/>
        <scheme val="minor"/>
      </font>
      <numFmt numFmtId="4" formatCode="#,##0.00"/>
      <fill>
        <patternFill patternType="none">
          <fgColor indexed="64"/>
          <bgColor auto="1"/>
        </patternFill>
      </fill>
      <alignment horizontal="general" vertical="bottom" textRotation="0" wrapText="0" indent="0" justifyLastLine="0" shrinkToFit="0" readingOrder="0"/>
    </dxf>
    <dxf>
      <font>
        <strike val="0"/>
        <outline val="0"/>
        <shadow val="0"/>
        <u val="none"/>
        <vertAlign val="baseline"/>
        <sz val="11"/>
        <color theme="1"/>
        <name val="Calibri"/>
        <scheme val="minor"/>
      </font>
      <numFmt numFmtId="4" formatCode="#,##0.00"/>
      <fill>
        <patternFill patternType="none">
          <fgColor indexed="64"/>
          <bgColor auto="1"/>
        </patternFill>
      </fill>
      <alignment horizontal="general" vertical="bottom" textRotation="0" wrapText="0" indent="0" justifyLastLine="0" shrinkToFit="0" readingOrder="0"/>
    </dxf>
    <dxf>
      <font>
        <strike val="0"/>
        <outline val="0"/>
        <shadow val="0"/>
        <u val="none"/>
        <vertAlign val="baseline"/>
        <sz val="11"/>
        <color theme="1"/>
        <name val="Calibri"/>
        <scheme val="minor"/>
      </font>
      <fill>
        <patternFill patternType="none">
          <fgColor indexed="64"/>
          <bgColor auto="1"/>
        </patternFill>
      </fill>
      <alignment horizontal="general" vertical="bottom" textRotation="0" wrapText="0" indent="0" justifyLastLine="0" shrinkToFit="0" readingOrder="0"/>
    </dxf>
    <dxf>
      <font>
        <strike val="0"/>
        <outline val="0"/>
        <shadow val="0"/>
        <u val="none"/>
        <vertAlign val="baseline"/>
        <sz val="11"/>
        <color theme="1"/>
        <name val="Calibri"/>
        <scheme val="minor"/>
      </font>
      <numFmt numFmtId="19" formatCode="m/d/yyyy"/>
      <fill>
        <patternFill patternType="none">
          <fgColor indexed="64"/>
          <bgColor auto="1"/>
        </patternFill>
      </fill>
      <alignment horizontal="general" vertical="bottom" textRotation="0" wrapText="0" indent="0" justifyLastLine="0" shrinkToFit="0" readingOrder="0"/>
    </dxf>
    <dxf>
      <font>
        <strike val="0"/>
        <outline val="0"/>
        <shadow val="0"/>
        <u val="none"/>
        <vertAlign val="baseline"/>
        <sz val="11"/>
        <color theme="1"/>
        <name val="Calibri"/>
        <scheme val="minor"/>
      </font>
      <numFmt numFmtId="181" formatCode="_(* #,##0_);_(* \(#,##0\);_(* &quot;-&quot;??_);_(@_)"/>
      <fill>
        <patternFill patternType="none">
          <fgColor indexed="64"/>
          <bgColor auto="1"/>
        </patternFill>
      </fill>
      <alignment horizontal="general" vertical="bottom" textRotation="0" wrapText="0" indent="0" justifyLastLine="0" shrinkToFit="0" readingOrder="0"/>
    </dxf>
    <dxf>
      <font>
        <strike val="0"/>
        <outline val="0"/>
        <shadow val="0"/>
        <u val="none"/>
        <vertAlign val="baseline"/>
        <sz val="11"/>
        <color theme="1"/>
        <name val="Calibri"/>
        <scheme val="minor"/>
      </font>
      <numFmt numFmtId="30" formatCode="@"/>
      <fill>
        <patternFill patternType="none">
          <fgColor indexed="64"/>
          <bgColor auto="1"/>
        </patternFill>
      </fill>
      <alignment horizontal="general" vertical="bottom" textRotation="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general" vertical="bottom" textRotation="0" wrapText="0" indent="0" justifyLastLine="0" shrinkToFit="0" readingOrder="0"/>
    </dxf>
    <dxf>
      <font>
        <strike val="0"/>
        <outline val="0"/>
        <shadow val="0"/>
        <u val="none"/>
        <vertAlign val="baseline"/>
        <sz val="11"/>
        <color theme="1"/>
        <name val="Calibri"/>
        <scheme val="minor"/>
      </font>
      <fill>
        <patternFill patternType="none">
          <fgColor indexed="64"/>
          <bgColor auto="1"/>
        </patternFill>
      </fill>
      <alignment horizontal="general" vertical="bottom" textRotation="0" indent="0" justifyLastLine="0" shrinkToFit="0" readingOrder="0"/>
    </dxf>
    <dxf>
      <font>
        <strike val="0"/>
        <outline val="0"/>
        <shadow val="0"/>
        <u val="none"/>
        <vertAlign val="baseline"/>
        <sz val="11"/>
        <color theme="1"/>
        <name val="Calibri"/>
        <scheme val="minor"/>
      </font>
      <fill>
        <patternFill patternType="none">
          <fgColor indexed="64"/>
          <bgColor auto="1"/>
        </patternFill>
      </fill>
      <alignment horizontal="general" vertical="bottom" textRotation="0" indent="0" justifyLastLine="0" shrinkToFit="0" readingOrder="0"/>
    </dxf>
    <dxf>
      <font>
        <strike val="0"/>
        <outline val="0"/>
        <shadow val="0"/>
        <u val="none"/>
        <vertAlign val="baseline"/>
        <sz val="11"/>
        <color theme="1"/>
        <name val="Calibri"/>
        <scheme val="minor"/>
      </font>
      <fill>
        <patternFill patternType="none">
          <fgColor indexed="64"/>
          <bgColor auto="1"/>
        </patternFill>
      </fill>
      <alignment horizontal="general" vertical="bottom" textRotation="0" indent="0" justifyLastLine="0" shrinkToFit="0" readingOrder="0"/>
    </dxf>
    <dxf>
      <font>
        <strike val="0"/>
        <outline val="0"/>
        <shadow val="0"/>
        <u val="none"/>
        <vertAlign val="baseline"/>
        <sz val="11"/>
        <color theme="1"/>
        <name val="Calibri"/>
        <scheme val="minor"/>
      </font>
      <fill>
        <patternFill patternType="none">
          <fgColor indexed="64"/>
          <bgColor auto="1"/>
        </patternFill>
      </fill>
      <alignment horizontal="general" vertical="bottom" textRotation="0" indent="0" justifyLastLine="0" shrinkToFit="0" readingOrder="0"/>
    </dxf>
    <dxf>
      <font>
        <strike val="0"/>
        <outline val="0"/>
        <shadow val="0"/>
        <u val="none"/>
        <vertAlign val="baseline"/>
        <sz val="11"/>
        <color theme="1"/>
        <name val="Calibri"/>
        <scheme val="minor"/>
      </font>
      <fill>
        <patternFill patternType="none">
          <fgColor indexed="64"/>
          <bgColor auto="1"/>
        </patternFill>
      </fill>
      <alignment horizontal="general" vertical="bottom" textRotation="0" indent="0" justifyLastLine="0" shrinkToFit="0" readingOrder="0"/>
    </dxf>
    <dxf>
      <font>
        <strike val="0"/>
        <outline val="0"/>
        <shadow val="0"/>
        <u val="none"/>
        <vertAlign val="baseline"/>
        <sz val="11"/>
        <color theme="1"/>
        <name val="Calibri"/>
        <scheme val="minor"/>
      </font>
      <fill>
        <patternFill patternType="none">
          <fgColor indexed="64"/>
          <bgColor auto="1"/>
        </patternFill>
      </fill>
      <alignment horizontal="general" vertical="bottom" textRotation="0" indent="0" justifyLastLine="0" shrinkToFit="0" readingOrder="0"/>
    </dxf>
    <dxf>
      <font>
        <strike val="0"/>
        <outline val="0"/>
        <shadow val="0"/>
        <u val="none"/>
        <vertAlign val="baseline"/>
        <sz val="11"/>
        <color theme="1"/>
        <name val="Calibri"/>
        <scheme val="minor"/>
      </font>
      <numFmt numFmtId="0" formatCode="General"/>
      <fill>
        <patternFill patternType="none">
          <fgColor indexed="64"/>
          <bgColor auto="1"/>
        </patternFill>
      </fill>
      <alignment horizontal="general" vertical="bottom" textRotation="0" indent="0" justifyLastLine="0" shrinkToFit="0" readingOrder="0"/>
    </dxf>
    <dxf>
      <font>
        <strike val="0"/>
        <outline val="0"/>
        <shadow val="0"/>
        <u val="none"/>
        <vertAlign val="baseline"/>
        <sz val="11"/>
        <color theme="1"/>
        <name val="Calibri"/>
        <scheme val="minor"/>
      </font>
      <numFmt numFmtId="30" formatCode="@"/>
      <fill>
        <patternFill patternType="none">
          <fgColor indexed="64"/>
          <bgColor auto="1"/>
        </patternFill>
      </fill>
      <alignment horizontal="general" vertical="bottom" textRotation="0" indent="0" justifyLastLine="0" shrinkToFit="0" readingOrder="0"/>
    </dxf>
    <dxf>
      <font>
        <strike val="0"/>
        <outline val="0"/>
        <shadow val="0"/>
        <u val="none"/>
        <vertAlign val="baseline"/>
        <sz val="11"/>
        <color theme="1"/>
        <name val="Calibri"/>
        <scheme val="minor"/>
      </font>
      <fill>
        <patternFill patternType="none">
          <fgColor indexed="64"/>
          <bgColor auto="1"/>
        </patternFill>
      </fill>
      <alignment horizontal="left" vertical="bottom" textRotation="0" indent="0" justifyLastLine="0" shrinkToFit="0" readingOrder="0"/>
    </dxf>
    <dxf>
      <border outline="0">
        <top style="thin">
          <color theme="7" tint="0.39997558519241921"/>
        </top>
      </border>
    </dxf>
    <dxf>
      <font>
        <strike val="0"/>
        <outline val="0"/>
        <shadow val="0"/>
        <u val="none"/>
        <vertAlign val="baseline"/>
        <sz val="11"/>
        <color theme="1"/>
        <name val="Calibri"/>
        <scheme val="minor"/>
      </font>
      <numFmt numFmtId="0" formatCode="General"/>
      <fill>
        <patternFill patternType="none">
          <fgColor indexed="64"/>
          <bgColor auto="1"/>
        </patternFill>
      </fill>
      <alignment horizontal="general" textRotation="0" indent="0" justifyLastLine="0" shrinkToFit="0" readingOrder="0"/>
    </dxf>
    <dxf>
      <border outline="0">
        <bottom style="thin">
          <color theme="7" tint="0.39997558519241921"/>
        </bottom>
      </border>
    </dxf>
    <dxf>
      <font>
        <b/>
        <i val="0"/>
        <strike val="0"/>
        <condense val="0"/>
        <extend val="0"/>
        <outline val="0"/>
        <shadow val="0"/>
        <u val="none"/>
        <vertAlign val="baseline"/>
        <sz val="11"/>
        <color theme="0"/>
        <name val="Calibri"/>
        <scheme val="minor"/>
      </font>
      <numFmt numFmtId="0" formatCode="General"/>
      <fill>
        <patternFill patternType="none">
          <fgColor indexed="64"/>
          <bgColor auto="1"/>
        </patternFill>
      </fill>
      <alignment horizontal="general" vertical="bottom" textRotation="0" wrapText="1" indent="0" justifyLastLine="0" shrinkToFit="0" readingOrder="0"/>
    </dxf>
    <dxf>
      <font>
        <b val="0"/>
        <i val="0"/>
        <strike val="0"/>
        <condense val="0"/>
        <extend val="0"/>
        <outline val="0"/>
        <shadow val="0"/>
        <u val="none"/>
        <vertAlign val="baseline"/>
        <sz val="11"/>
        <color auto="1"/>
        <name val="Calibri"/>
        <scheme val="minor"/>
      </font>
      <numFmt numFmtId="0" formatCode="General"/>
      <fill>
        <patternFill patternType="none">
          <fgColor indexed="64"/>
          <bgColor auto="1"/>
        </patternFill>
      </fill>
      <alignment horizontal="general" vertical="bottom" textRotation="0" wrapText="0" indent="0" justifyLastLine="0" shrinkToFit="0" readingOrder="0"/>
      <border diagonalUp="0" diagonalDown="0" outline="0">
        <left/>
        <right/>
        <top style="thin">
          <color theme="7" tint="0.39997558519241921"/>
        </top>
        <bottom style="thin">
          <color theme="7" tint="0.39997558519241921"/>
        </bottom>
      </border>
    </dxf>
    <dxf>
      <font>
        <b val="0"/>
        <i val="0"/>
        <strike val="0"/>
        <condense val="0"/>
        <extend val="0"/>
        <outline val="0"/>
        <shadow val="0"/>
        <u val="none"/>
        <vertAlign val="baseline"/>
        <sz val="11"/>
        <color auto="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style="thin">
          <color theme="7" tint="0.39997558519241921"/>
        </top>
        <bottom style="thin">
          <color theme="7" tint="0.39997558519241921"/>
        </bottom>
      </border>
    </dxf>
    <dxf>
      <font>
        <b val="0"/>
        <i val="0"/>
        <strike val="0"/>
        <condense val="0"/>
        <extend val="0"/>
        <outline val="0"/>
        <shadow val="0"/>
        <u val="none"/>
        <vertAlign val="baseline"/>
        <sz val="11"/>
        <color auto="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style="thin">
          <color theme="7" tint="0.39997558519241921"/>
        </top>
        <bottom style="thin">
          <color theme="7" tint="0.39997558519241921"/>
        </bottom>
      </border>
    </dxf>
    <dxf>
      <font>
        <b val="0"/>
        <i val="0"/>
        <strike val="0"/>
        <condense val="0"/>
        <extend val="0"/>
        <outline val="0"/>
        <shadow val="0"/>
        <u val="none"/>
        <vertAlign val="baseline"/>
        <sz val="11"/>
        <color auto="1"/>
        <name val="Calibri"/>
        <scheme val="minor"/>
      </font>
      <numFmt numFmtId="0" formatCode="General"/>
      <fill>
        <patternFill patternType="none">
          <fgColor indexed="64"/>
          <bgColor auto="1"/>
        </patternFill>
      </fill>
      <alignment horizontal="general" vertical="bottom" textRotation="0" wrapText="0" indent="0" justifyLastLine="0" shrinkToFit="0" readingOrder="0"/>
      <border diagonalUp="0" diagonalDown="0" outline="0">
        <left/>
        <right/>
        <top style="thin">
          <color theme="7" tint="0.39997558519241921"/>
        </top>
        <bottom style="thin">
          <color theme="7" tint="0.39997558519241921"/>
        </bottom>
      </border>
    </dxf>
    <dxf>
      <font>
        <b val="0"/>
        <i val="0"/>
        <strike val="0"/>
        <condense val="0"/>
        <extend val="0"/>
        <outline val="0"/>
        <shadow val="0"/>
        <u val="none"/>
        <vertAlign val="baseline"/>
        <sz val="11"/>
        <color auto="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style="thin">
          <color theme="7" tint="0.39997558519241921"/>
        </top>
        <bottom style="thin">
          <color theme="7" tint="0.39997558519241921"/>
        </bottom>
      </border>
    </dxf>
    <dxf>
      <border outline="0">
        <top style="thin">
          <color theme="7" tint="0.39997558519241921"/>
        </top>
      </border>
    </dxf>
    <dxf>
      <border outline="0">
        <top style="thin">
          <color theme="7" tint="0.39997558519241921"/>
        </top>
        <bottom style="thin">
          <color theme="7" tint="0.39997558519241921"/>
        </bottom>
      </border>
    </dxf>
    <dxf>
      <font>
        <b val="0"/>
        <i val="0"/>
        <strike val="0"/>
        <condense val="0"/>
        <extend val="0"/>
        <outline val="0"/>
        <shadow val="0"/>
        <u val="none"/>
        <vertAlign val="baseline"/>
        <sz val="11"/>
        <color auto="1"/>
        <name val="Calibri"/>
        <scheme val="minor"/>
      </font>
      <numFmt numFmtId="0" formatCode="General"/>
      <fill>
        <patternFill patternType="none">
          <fgColor indexed="64"/>
          <bgColor auto="1"/>
        </patternFill>
      </fill>
      <alignment horizontal="general" vertical="bottom" textRotation="0" wrapText="0" indent="0" justifyLastLine="0" shrinkToFit="0" readingOrder="0"/>
    </dxf>
    <dxf>
      <border outline="0">
        <bottom style="thin">
          <color theme="7" tint="0.39997558519241921"/>
        </bottom>
      </border>
    </dxf>
    <dxf>
      <font>
        <b/>
        <i val="0"/>
        <strike val="0"/>
        <condense val="0"/>
        <extend val="0"/>
        <outline val="0"/>
        <shadow val="0"/>
        <u val="none"/>
        <vertAlign val="baseline"/>
        <sz val="11"/>
        <color theme="0"/>
        <name val="Calibri"/>
        <scheme val="minor"/>
      </font>
      <numFmt numFmtId="0" formatCode="General"/>
      <fill>
        <patternFill patternType="none">
          <fgColor indexed="64"/>
          <bgColor auto="1"/>
        </patternFill>
      </fill>
      <alignment horizontal="general" vertical="bottom" textRotation="0" wrapText="1" indent="0" justifyLastLine="0" shrinkToFit="0" readingOrder="0"/>
    </dxf>
    <dxf>
      <font>
        <strike val="0"/>
        <outline val="0"/>
        <shadow val="0"/>
        <u val="none"/>
        <vertAlign val="baseline"/>
        <sz val="11"/>
        <name val="Calibri"/>
        <scheme val="minor"/>
      </font>
      <fill>
        <patternFill patternType="none">
          <fgColor indexed="64"/>
          <bgColor auto="1"/>
        </patternFill>
      </fill>
      <alignment horizontal="general" textRotation="0" indent="0" justifyLastLine="0" shrinkToFit="0" readingOrder="0"/>
    </dxf>
    <dxf>
      <font>
        <strike val="0"/>
        <outline val="0"/>
        <shadow val="0"/>
        <u val="none"/>
        <vertAlign val="baseline"/>
        <sz val="11"/>
        <name val="Calibri"/>
        <scheme val="minor"/>
      </font>
      <fill>
        <patternFill patternType="none">
          <fgColor indexed="64"/>
          <bgColor auto="1"/>
        </patternFill>
      </fill>
      <alignment horizontal="general" textRotation="0" indent="0" justifyLastLine="0" shrinkToFit="0" readingOrder="0"/>
    </dxf>
    <dxf>
      <font>
        <strike val="0"/>
        <outline val="0"/>
        <shadow val="0"/>
        <u val="none"/>
        <vertAlign val="baseline"/>
        <sz val="11"/>
        <name val="Calibri"/>
        <scheme val="minor"/>
      </font>
      <fill>
        <patternFill patternType="none">
          <fgColor indexed="64"/>
          <bgColor auto="1"/>
        </patternFill>
      </fill>
      <alignment horizontal="general" textRotation="0" indent="0" justifyLastLine="0" shrinkToFit="0" readingOrder="0"/>
    </dxf>
    <dxf>
      <font>
        <strike val="0"/>
        <outline val="0"/>
        <shadow val="0"/>
        <u val="none"/>
        <vertAlign val="baseline"/>
        <sz val="11"/>
        <name val="Calibri"/>
        <scheme val="minor"/>
      </font>
      <fill>
        <patternFill patternType="none">
          <fgColor indexed="64"/>
          <bgColor auto="1"/>
        </patternFill>
      </fill>
      <alignment horizontal="general" textRotation="0" indent="0" justifyLastLine="0" shrinkToFit="0" readingOrder="0"/>
    </dxf>
    <dxf>
      <font>
        <strike val="0"/>
        <outline val="0"/>
        <shadow val="0"/>
        <u val="none"/>
        <vertAlign val="baseline"/>
        <sz val="11"/>
        <name val="Calibri"/>
        <scheme val="minor"/>
      </font>
      <fill>
        <patternFill patternType="none">
          <fgColor indexed="64"/>
          <bgColor auto="1"/>
        </patternFill>
      </fill>
      <alignment horizontal="general" textRotation="0" indent="0" justifyLastLine="0" shrinkToFit="0" readingOrder="0"/>
    </dxf>
    <dxf>
      <font>
        <strike val="0"/>
        <outline val="0"/>
        <shadow val="0"/>
        <u val="none"/>
        <vertAlign val="baseline"/>
        <sz val="11"/>
        <name val="Calibri"/>
        <scheme val="minor"/>
      </font>
      <fill>
        <patternFill patternType="none">
          <fgColor indexed="64"/>
          <bgColor auto="1"/>
        </patternFill>
      </fill>
      <alignment horizontal="general" textRotation="0" indent="0" justifyLastLine="0" shrinkToFit="0" readingOrder="0"/>
    </dxf>
    <dxf>
      <font>
        <strike val="0"/>
        <outline val="0"/>
        <shadow val="0"/>
        <u val="none"/>
        <vertAlign val="baseline"/>
        <sz val="11"/>
        <name val="Calibri"/>
        <scheme val="minor"/>
      </font>
      <fill>
        <patternFill patternType="none">
          <fgColor indexed="64"/>
          <bgColor auto="1"/>
        </patternFill>
      </fill>
      <alignment horizontal="general" textRotation="0" indent="0" justifyLastLine="0" shrinkToFit="0" readingOrder="0"/>
    </dxf>
    <dxf>
      <font>
        <strike val="0"/>
        <outline val="0"/>
        <shadow val="0"/>
        <u val="none"/>
        <vertAlign val="baseline"/>
        <sz val="11"/>
        <name val="Calibri"/>
        <scheme val="minor"/>
      </font>
      <fill>
        <patternFill patternType="none">
          <fgColor indexed="64"/>
          <bgColor auto="1"/>
        </patternFill>
      </fill>
      <alignment horizontal="general" textRotation="0" indent="0" justifyLastLine="0" shrinkToFit="0" readingOrder="0"/>
    </dxf>
    <dxf>
      <font>
        <strike val="0"/>
        <outline val="0"/>
        <shadow val="0"/>
        <u val="none"/>
        <vertAlign val="baseline"/>
        <sz val="11"/>
        <name val="Calibri"/>
        <scheme val="minor"/>
      </font>
      <numFmt numFmtId="30" formatCode="@"/>
      <fill>
        <patternFill patternType="none">
          <fgColor indexed="64"/>
          <bgColor indexed="65"/>
        </patternFill>
      </fill>
      <alignment horizontal="general" vertical="bottom" textRotation="0" indent="0" justifyLastLine="0" shrinkToFit="0" readingOrder="0"/>
    </dxf>
    <dxf>
      <font>
        <strike val="0"/>
        <outline val="0"/>
        <shadow val="0"/>
        <u val="none"/>
        <vertAlign val="baseline"/>
        <sz val="11"/>
        <name val="Calibri"/>
        <scheme val="minor"/>
      </font>
      <fill>
        <patternFill patternType="none">
          <fgColor indexed="64"/>
          <bgColor indexed="65"/>
        </patternFill>
      </fill>
      <alignment horizontal="general" vertical="bottom" textRotation="0" indent="0" justifyLastLine="0" shrinkToFit="0" readingOrder="0"/>
    </dxf>
    <dxf>
      <font>
        <strike val="0"/>
        <outline val="0"/>
        <shadow val="0"/>
        <u val="none"/>
        <vertAlign val="baseline"/>
        <sz val="11"/>
        <name val="Calibri"/>
        <scheme val="minor"/>
      </font>
      <numFmt numFmtId="4" formatCode="#,##0.00"/>
      <fill>
        <patternFill patternType="none">
          <fgColor indexed="64"/>
          <bgColor indexed="65"/>
        </patternFill>
      </fill>
      <alignment horizontal="general" vertical="bottom" textRotation="0" wrapText="0" indent="0" justifyLastLine="0" shrinkToFit="0" readingOrder="0"/>
    </dxf>
    <dxf>
      <font>
        <strike val="0"/>
        <outline val="0"/>
        <shadow val="0"/>
        <u val="none"/>
        <vertAlign val="baseline"/>
        <sz val="11"/>
        <name val="Calibri"/>
        <scheme val="minor"/>
      </font>
      <fill>
        <patternFill patternType="none">
          <fgColor indexed="64"/>
          <bgColor indexed="65"/>
        </patternFill>
      </fill>
      <alignment horizontal="general" vertical="bottom" textRotation="0" indent="0" justifyLastLine="0" shrinkToFit="0" readingOrder="0"/>
    </dxf>
    <dxf>
      <font>
        <strike val="0"/>
        <outline val="0"/>
        <shadow val="0"/>
        <u val="none"/>
        <vertAlign val="baseline"/>
        <sz val="11"/>
        <name val="Calibri"/>
        <scheme val="minor"/>
      </font>
      <fill>
        <patternFill patternType="none">
          <fgColor indexed="64"/>
          <bgColor indexed="65"/>
        </patternFill>
      </fill>
      <alignment horizontal="general" vertical="bottom" textRotation="0" wrapText="0" indent="0" justifyLastLine="0" shrinkToFit="0" readingOrder="0"/>
    </dxf>
    <dxf>
      <font>
        <strike val="0"/>
        <outline val="0"/>
        <shadow val="0"/>
        <u val="none"/>
        <vertAlign val="baseline"/>
        <sz val="11"/>
        <name val="Calibri"/>
        <scheme val="minor"/>
      </font>
      <fill>
        <patternFill patternType="none">
          <fgColor indexed="64"/>
          <bgColor indexed="65"/>
        </patternFill>
      </fill>
      <alignment horizontal="general" vertical="bottom" textRotation="0" wrapText="0" indent="0" justifyLastLine="0" shrinkToFit="0" readingOrder="0"/>
    </dxf>
    <dxf>
      <font>
        <strike val="0"/>
        <outline val="0"/>
        <shadow val="0"/>
        <u val="none"/>
        <vertAlign val="baseline"/>
        <sz val="11"/>
        <name val="Calibri"/>
        <scheme val="minor"/>
      </font>
      <fill>
        <patternFill patternType="none">
          <fgColor indexed="64"/>
          <bgColor indexed="65"/>
        </patternFill>
      </fill>
      <alignment horizontal="general" vertical="bottom" textRotation="0" indent="0" justifyLastLine="0" shrinkToFit="0" readingOrder="0"/>
    </dxf>
    <dxf>
      <font>
        <strike val="0"/>
        <outline val="0"/>
        <shadow val="0"/>
        <u val="none"/>
        <vertAlign val="baseline"/>
        <sz val="11"/>
        <name val="Calibri"/>
        <scheme val="minor"/>
      </font>
      <fill>
        <patternFill patternType="none">
          <fgColor indexed="64"/>
          <bgColor indexed="65"/>
        </patternFill>
      </fill>
      <alignment horizontal="general" vertical="bottom" textRotation="0" indent="0" justifyLastLine="0" shrinkToFit="0" readingOrder="0"/>
    </dxf>
    <dxf>
      <font>
        <strike val="0"/>
        <outline val="0"/>
        <shadow val="0"/>
        <u val="none"/>
        <vertAlign val="baseline"/>
        <sz val="11"/>
        <name val="Calibri"/>
        <scheme val="minor"/>
      </font>
      <fill>
        <patternFill patternType="none">
          <fgColor indexed="64"/>
          <bgColor auto="1"/>
        </patternFill>
      </fill>
      <alignment horizontal="general" vertical="bottom" textRotation="0" indent="0" justifyLastLine="0" shrinkToFit="0" readingOrder="0"/>
    </dxf>
    <dxf>
      <font>
        <strike val="0"/>
        <outline val="0"/>
        <shadow val="0"/>
        <u val="none"/>
        <vertAlign val="baseline"/>
        <sz val="11"/>
        <name val="Calibri"/>
        <scheme val="minor"/>
      </font>
      <numFmt numFmtId="0" formatCode="General"/>
      <fill>
        <patternFill patternType="none">
          <fgColor indexed="64"/>
          <bgColor auto="1"/>
        </patternFill>
      </fill>
      <alignment horizontal="general" vertical="bottom" textRotation="0" indent="0" justifyLastLine="0" shrinkToFit="0" readingOrder="0"/>
    </dxf>
    <dxf>
      <font>
        <strike val="0"/>
        <outline val="0"/>
        <shadow val="0"/>
        <u val="none"/>
        <vertAlign val="baseline"/>
        <sz val="11"/>
        <name val="Calibri"/>
        <scheme val="minor"/>
      </font>
      <numFmt numFmtId="0" formatCode="General"/>
      <fill>
        <patternFill patternType="none">
          <fgColor indexed="64"/>
          <bgColor auto="1"/>
        </patternFill>
      </fill>
      <alignment horizontal="general" vertical="bottom" textRotation="0" indent="0" justifyLastLine="0" shrinkToFit="0" readingOrder="0"/>
    </dxf>
    <dxf>
      <font>
        <strike val="0"/>
        <outline val="0"/>
        <shadow val="0"/>
        <u val="none"/>
        <vertAlign val="baseline"/>
        <sz val="11"/>
        <name val="Calibri"/>
        <scheme val="minor"/>
      </font>
      <numFmt numFmtId="169" formatCode="0.000"/>
      <fill>
        <patternFill patternType="none">
          <fgColor indexed="64"/>
          <bgColor auto="1"/>
        </patternFill>
      </fill>
      <alignment horizontal="general" vertical="bottom" textRotation="0" wrapText="0" indent="0" justifyLastLine="0" shrinkToFit="0" readingOrder="0"/>
    </dxf>
    <dxf>
      <font>
        <strike val="0"/>
        <outline val="0"/>
        <shadow val="0"/>
        <u val="none"/>
        <vertAlign val="baseline"/>
        <sz val="11"/>
        <name val="Calibri"/>
        <scheme val="minor"/>
      </font>
      <numFmt numFmtId="179" formatCode="#,##0.0000"/>
      <fill>
        <patternFill patternType="none">
          <fgColor indexed="64"/>
          <bgColor auto="1"/>
        </patternFill>
      </fill>
      <alignment horizontal="general" vertical="bottom" textRotation="0" indent="0" justifyLastLine="0" shrinkToFit="0" readingOrder="0"/>
    </dxf>
    <dxf>
      <font>
        <strike val="0"/>
        <outline val="0"/>
        <shadow val="0"/>
        <u val="none"/>
        <vertAlign val="baseline"/>
        <sz val="11"/>
        <name val="Calibri"/>
        <scheme val="minor"/>
      </font>
      <numFmt numFmtId="4" formatCode="#,##0.00"/>
      <fill>
        <patternFill patternType="none">
          <fgColor indexed="64"/>
          <bgColor auto="1"/>
        </patternFill>
      </fill>
      <alignment horizontal="general" vertical="bottom" textRotation="0" wrapText="0" indent="0" justifyLastLine="0" shrinkToFit="0" readingOrder="0"/>
    </dxf>
    <dxf>
      <font>
        <strike val="0"/>
        <outline val="0"/>
        <shadow val="0"/>
        <u val="none"/>
        <vertAlign val="baseline"/>
        <sz val="11"/>
        <name val="Calibri"/>
        <scheme val="minor"/>
      </font>
      <numFmt numFmtId="4" formatCode="#,##0.00"/>
      <fill>
        <patternFill patternType="none">
          <fgColor indexed="64"/>
          <bgColor auto="1"/>
        </patternFill>
      </fill>
      <alignment horizontal="general" vertical="bottom" textRotation="0" wrapText="0" indent="0" justifyLastLine="0" shrinkToFit="0" readingOrder="0"/>
    </dxf>
    <dxf>
      <font>
        <strike val="0"/>
        <outline val="0"/>
        <shadow val="0"/>
        <u val="none"/>
        <vertAlign val="baseline"/>
        <sz val="11"/>
        <name val="Calibri"/>
        <scheme val="minor"/>
      </font>
      <fill>
        <patternFill patternType="none">
          <fgColor indexed="64"/>
          <bgColor auto="1"/>
        </patternFill>
      </fill>
      <alignment horizontal="general" vertical="bottom" textRotation="0" wrapText="0" indent="0" justifyLastLine="0" shrinkToFit="0" readingOrder="0"/>
    </dxf>
    <dxf>
      <font>
        <strike val="0"/>
        <outline val="0"/>
        <shadow val="0"/>
        <u val="none"/>
        <vertAlign val="baseline"/>
        <sz val="11"/>
        <name val="Calibri"/>
        <scheme val="minor"/>
      </font>
      <numFmt numFmtId="19" formatCode="m/d/yyyy"/>
      <fill>
        <patternFill patternType="none">
          <fgColor indexed="64"/>
          <bgColor auto="1"/>
        </patternFill>
      </fill>
      <alignment horizontal="general" vertical="bottom" textRotation="0" wrapText="0" indent="0" justifyLastLine="0" shrinkToFit="0" readingOrder="0"/>
    </dxf>
    <dxf>
      <font>
        <strike val="0"/>
        <outline val="0"/>
        <shadow val="0"/>
        <u val="none"/>
        <vertAlign val="baseline"/>
        <sz val="11"/>
        <name val="Calibri"/>
        <scheme val="minor"/>
      </font>
      <numFmt numFmtId="3" formatCode="#,##0"/>
      <fill>
        <patternFill patternType="none">
          <fgColor indexed="64"/>
          <bgColor auto="1"/>
        </patternFill>
      </fill>
      <alignment horizontal="general" vertical="bottom" textRotation="0" wrapText="0" indent="0" justifyLastLine="0" shrinkToFit="0" readingOrder="0"/>
    </dxf>
    <dxf>
      <font>
        <strike val="0"/>
        <outline val="0"/>
        <shadow val="0"/>
        <u val="none"/>
        <vertAlign val="baseline"/>
        <sz val="11"/>
        <name val="Calibri"/>
        <scheme val="minor"/>
      </font>
      <numFmt numFmtId="0" formatCode="General"/>
      <fill>
        <patternFill patternType="none">
          <fgColor indexed="64"/>
          <bgColor indexed="65"/>
        </patternFill>
      </fill>
      <alignment horizontal="general" vertical="bottom" textRotation="0" wrapText="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general" vertical="bottom" textRotation="0" wrapText="0" indent="0" justifyLastLine="0" shrinkToFit="0" readingOrder="0"/>
    </dxf>
    <dxf>
      <font>
        <strike val="0"/>
        <outline val="0"/>
        <shadow val="0"/>
        <u val="none"/>
        <vertAlign val="baseline"/>
        <sz val="11"/>
        <name val="Calibri"/>
        <scheme val="minor"/>
      </font>
      <numFmt numFmtId="30" formatCode="@"/>
      <fill>
        <patternFill patternType="none">
          <fgColor indexed="64"/>
          <bgColor auto="1"/>
        </patternFill>
      </fill>
      <alignment horizontal="general" vertical="bottom" textRotation="0" indent="0" justifyLastLine="0" shrinkToFit="0" readingOrder="0"/>
    </dxf>
    <dxf>
      <font>
        <strike val="0"/>
        <outline val="0"/>
        <shadow val="0"/>
        <u val="none"/>
        <vertAlign val="baseline"/>
        <sz val="11"/>
        <name val="Calibri"/>
        <scheme val="minor"/>
      </font>
      <numFmt numFmtId="30" formatCode="@"/>
      <fill>
        <patternFill patternType="none">
          <fgColor indexed="64"/>
          <bgColor auto="1"/>
        </patternFill>
      </fill>
      <alignment horizontal="general" vertical="bottom" textRotation="0" indent="0" justifyLastLine="0" shrinkToFit="0" readingOrder="0"/>
    </dxf>
    <dxf>
      <font>
        <strike val="0"/>
        <outline val="0"/>
        <shadow val="0"/>
        <u val="none"/>
        <vertAlign val="baseline"/>
        <sz val="11"/>
        <name val="Calibri"/>
        <scheme val="minor"/>
      </font>
      <fill>
        <patternFill patternType="none">
          <fgColor indexed="64"/>
          <bgColor indexed="65"/>
        </patternFill>
      </fill>
      <alignment horizontal="general" vertical="bottom" textRotation="0" wrapText="0" indent="0" justifyLastLine="0" shrinkToFit="0" readingOrder="0"/>
    </dxf>
    <dxf>
      <font>
        <strike val="0"/>
        <outline val="0"/>
        <shadow val="0"/>
        <u val="none"/>
        <vertAlign val="baseline"/>
        <sz val="11"/>
        <name val="Calibri"/>
        <scheme val="minor"/>
      </font>
      <numFmt numFmtId="30" formatCode="@"/>
      <fill>
        <patternFill patternType="none">
          <fgColor indexed="64"/>
          <bgColor auto="1"/>
        </patternFill>
      </fill>
      <alignment horizontal="general" vertical="bottom" textRotation="0" indent="0" justifyLastLine="0" shrinkToFit="0" readingOrder="0"/>
    </dxf>
    <dxf>
      <font>
        <strike val="0"/>
        <outline val="0"/>
        <shadow val="0"/>
        <u val="none"/>
        <vertAlign val="baseline"/>
        <sz val="11"/>
        <name val="Calibri"/>
        <scheme val="minor"/>
      </font>
      <numFmt numFmtId="30" formatCode="@"/>
      <fill>
        <patternFill patternType="none">
          <fgColor indexed="64"/>
          <bgColor auto="1"/>
        </patternFill>
      </fill>
      <alignment horizontal="general" vertical="bottom" textRotation="0" indent="0" justifyLastLine="0" shrinkToFit="0" readingOrder="0"/>
    </dxf>
    <dxf>
      <font>
        <strike val="0"/>
        <outline val="0"/>
        <shadow val="0"/>
        <u val="none"/>
        <vertAlign val="baseline"/>
        <sz val="11"/>
        <name val="Calibri"/>
        <scheme val="minor"/>
      </font>
      <fill>
        <patternFill patternType="none">
          <fgColor indexed="64"/>
          <bgColor auto="1"/>
        </patternFill>
      </fill>
      <alignment horizontal="general" vertical="bottom" textRotation="0" indent="0" justifyLastLine="0" shrinkToFit="0" readingOrder="0"/>
    </dxf>
    <dxf>
      <font>
        <strike val="0"/>
        <outline val="0"/>
        <shadow val="0"/>
        <u val="none"/>
        <vertAlign val="baseline"/>
        <sz val="11"/>
        <name val="Calibri"/>
        <scheme val="minor"/>
      </font>
      <numFmt numFmtId="30" formatCode="@"/>
      <fill>
        <patternFill patternType="none">
          <fgColor indexed="64"/>
          <bgColor auto="1"/>
        </patternFill>
      </fill>
      <alignment horizontal="general" vertical="bottom" textRotation="0" indent="0" justifyLastLine="0" shrinkToFit="0" readingOrder="0"/>
    </dxf>
    <dxf>
      <font>
        <strike val="0"/>
        <outline val="0"/>
        <shadow val="0"/>
        <u val="none"/>
        <vertAlign val="baseline"/>
        <sz val="11"/>
        <name val="Calibri"/>
        <scheme val="minor"/>
      </font>
      <numFmt numFmtId="30" formatCode="@"/>
      <fill>
        <patternFill patternType="none">
          <fgColor indexed="64"/>
          <bgColor auto="1"/>
        </patternFill>
      </fill>
      <alignment horizontal="general" vertical="bottom" textRotation="0" indent="0" justifyLastLine="0" shrinkToFit="0" readingOrder="0"/>
    </dxf>
    <dxf>
      <font>
        <b val="0"/>
        <strike val="0"/>
        <outline val="0"/>
        <shadow val="0"/>
        <u val="none"/>
        <vertAlign val="baseline"/>
        <sz val="11"/>
        <name val="Calibri"/>
        <scheme val="minor"/>
      </font>
      <fill>
        <patternFill patternType="none">
          <fgColor indexed="64"/>
          <bgColor auto="1"/>
        </patternFill>
      </fill>
      <alignment horizontal="left" vertical="bottom" textRotation="0" indent="0" justifyLastLine="0" shrinkToFit="0" readingOrder="0"/>
    </dxf>
    <dxf>
      <font>
        <strike val="0"/>
        <outline val="0"/>
        <shadow val="0"/>
        <u val="none"/>
        <vertAlign val="baseline"/>
        <sz val="11"/>
        <name val="Calibri"/>
        <scheme val="minor"/>
      </font>
      <fill>
        <patternFill patternType="none">
          <fgColor indexed="64"/>
          <bgColor auto="1"/>
        </patternFill>
      </fill>
      <alignment horizontal="general" textRotation="0" indent="0" justifyLastLine="0" shrinkToFit="0" readingOrder="0"/>
    </dxf>
    <dxf>
      <font>
        <b/>
        <i val="0"/>
        <strike val="0"/>
        <condense val="0"/>
        <extend val="0"/>
        <outline val="0"/>
        <shadow val="0"/>
        <u val="none"/>
        <vertAlign val="baseline"/>
        <sz val="11"/>
        <color theme="1"/>
        <name val="Calibri"/>
        <scheme val="minor"/>
      </font>
      <alignment horizontal="general" vertical="bottom" textRotation="0" wrapText="1" indent="0" justifyLastLine="0" shrinkToFit="0" readingOrder="0"/>
    </dxf>
    <dxf>
      <font>
        <strike val="0"/>
        <outline val="0"/>
        <shadow val="0"/>
        <u val="none"/>
        <vertAlign val="baseline"/>
        <sz val="11"/>
        <name val="Calibri"/>
        <scheme val="minor"/>
      </font>
      <fill>
        <patternFill patternType="none">
          <fgColor indexed="64"/>
          <bgColor auto="1"/>
        </patternFill>
      </fill>
      <alignment horizontal="general" textRotation="0" indent="0" justifyLastLine="0" shrinkToFit="0" readingOrder="0"/>
    </dxf>
    <dxf>
      <font>
        <strike val="0"/>
        <outline val="0"/>
        <shadow val="0"/>
        <u val="none"/>
        <vertAlign val="baseline"/>
        <sz val="11"/>
        <name val="Calibri"/>
        <scheme val="minor"/>
      </font>
      <fill>
        <patternFill patternType="none">
          <fgColor indexed="64"/>
          <bgColor auto="1"/>
        </patternFill>
      </fill>
      <alignment horizontal="general" textRotation="0" indent="0" justifyLastLine="0" shrinkToFit="0" readingOrder="0"/>
    </dxf>
    <dxf>
      <font>
        <strike val="0"/>
        <outline val="0"/>
        <shadow val="0"/>
        <u val="none"/>
        <vertAlign val="baseline"/>
        <sz val="11"/>
        <name val="Calibri"/>
        <scheme val="minor"/>
      </font>
      <fill>
        <patternFill patternType="none">
          <fgColor indexed="64"/>
          <bgColor auto="1"/>
        </patternFill>
      </fill>
      <alignment horizontal="general" textRotation="0" indent="0" justifyLastLine="0" shrinkToFit="0" readingOrder="0"/>
    </dxf>
    <dxf>
      <font>
        <strike val="0"/>
        <outline val="0"/>
        <shadow val="0"/>
        <u val="none"/>
        <vertAlign val="baseline"/>
        <sz val="11"/>
        <name val="Calibri"/>
        <scheme val="minor"/>
      </font>
      <fill>
        <patternFill patternType="none">
          <fgColor indexed="64"/>
          <bgColor indexed="65"/>
        </patternFill>
      </fill>
      <alignment horizontal="left" vertical="center" textRotation="0" wrapText="0" indent="0" justifyLastLine="0" shrinkToFit="0" readingOrder="0"/>
    </dxf>
    <dxf>
      <font>
        <strike val="0"/>
        <outline val="0"/>
        <shadow val="0"/>
        <u val="none"/>
        <vertAlign val="baseline"/>
        <sz val="11"/>
        <name val="Calibri"/>
        <scheme val="minor"/>
      </font>
      <fill>
        <patternFill patternType="none">
          <fgColor indexed="64"/>
          <bgColor indexed="65"/>
        </patternFill>
      </fill>
      <alignment horizontal="left" vertical="center" textRotation="0" wrapText="0" indent="0" justifyLastLine="0" shrinkToFit="0" readingOrder="0"/>
    </dxf>
    <dxf>
      <font>
        <strike val="0"/>
        <outline val="0"/>
        <shadow val="0"/>
        <u val="none"/>
        <vertAlign val="baseline"/>
        <sz val="11"/>
        <name val="Calibri"/>
        <family val="2"/>
        <scheme val="minor"/>
      </font>
      <fill>
        <patternFill patternType="none">
          <fgColor indexed="64"/>
          <bgColor indexed="65"/>
        </patternFill>
      </fill>
      <alignment horizontal="general" vertical="bottom" textRotation="0" wrapText="1" indent="0" justifyLastLine="0" shrinkToFit="0" readingOrder="0"/>
    </dxf>
    <dxf>
      <font>
        <strike val="0"/>
        <outline val="0"/>
        <shadow val="0"/>
        <u val="none"/>
        <vertAlign val="baseline"/>
        <sz val="11"/>
        <name val="Calibri"/>
        <scheme val="minor"/>
      </font>
      <fill>
        <patternFill patternType="none">
          <fgColor indexed="64"/>
          <bgColor auto="1"/>
        </patternFill>
      </fill>
      <alignment horizontal="general" textRotation="0" indent="0" justifyLastLine="0" shrinkToFit="0" readingOrder="0"/>
    </dxf>
    <dxf>
      <font>
        <strike val="0"/>
        <outline val="0"/>
        <shadow val="0"/>
        <u val="none"/>
        <vertAlign val="baseline"/>
        <sz val="11"/>
        <name val="Calibri"/>
        <scheme val="minor"/>
      </font>
      <fill>
        <patternFill patternType="none">
          <fgColor indexed="64"/>
          <bgColor auto="1"/>
        </patternFill>
      </fill>
      <alignment horizontal="general" textRotation="0" indent="0" justifyLastLine="0" shrinkToFit="0" readingOrder="0"/>
    </dxf>
    <dxf>
      <font>
        <strike val="0"/>
        <outline val="0"/>
        <shadow val="0"/>
        <u val="none"/>
        <vertAlign val="baseline"/>
        <sz val="11"/>
        <name val="Calibri"/>
        <scheme val="minor"/>
      </font>
      <fill>
        <patternFill patternType="none">
          <fgColor indexed="64"/>
          <bgColor auto="1"/>
        </patternFill>
      </fill>
      <alignment horizontal="general" textRotation="0" indent="0" justifyLastLine="0" shrinkToFit="0" readingOrder="0"/>
    </dxf>
    <dxf>
      <font>
        <strike val="0"/>
        <outline val="0"/>
        <shadow val="0"/>
        <u val="none"/>
        <vertAlign val="baseline"/>
        <sz val="11"/>
        <name val="Calibri"/>
        <scheme val="minor"/>
      </font>
      <fill>
        <patternFill patternType="none">
          <fgColor indexed="64"/>
          <bgColor auto="1"/>
        </patternFill>
      </fill>
      <alignment horizontal="general" textRotation="0" indent="0" justifyLastLine="0" shrinkToFit="0" readingOrder="0"/>
    </dxf>
    <dxf>
      <font>
        <strike val="0"/>
        <outline val="0"/>
        <shadow val="0"/>
        <u val="none"/>
        <vertAlign val="baseline"/>
        <sz val="11"/>
        <name val="Calibri"/>
        <scheme val="minor"/>
      </font>
      <numFmt numFmtId="0" formatCode="General"/>
      <fill>
        <patternFill patternType="none">
          <fgColor indexed="64"/>
          <bgColor auto="1"/>
        </patternFill>
      </fill>
      <alignment horizontal="general" textRotation="0" indent="0" justifyLastLine="0" shrinkToFit="0" readingOrder="0"/>
    </dxf>
    <dxf>
      <font>
        <strike val="0"/>
        <outline val="0"/>
        <shadow val="0"/>
        <u val="none"/>
        <vertAlign val="baseline"/>
        <sz val="11"/>
        <name val="Calibri"/>
        <scheme val="minor"/>
      </font>
      <fill>
        <patternFill patternType="none">
          <fgColor indexed="64"/>
          <bgColor auto="1"/>
        </patternFill>
      </fill>
      <alignment horizontal="general" vertical="bottom" textRotation="0" indent="0" justifyLastLine="0" shrinkToFit="0" readingOrder="0"/>
    </dxf>
    <dxf>
      <font>
        <strike val="0"/>
        <outline val="0"/>
        <shadow val="0"/>
        <u val="none"/>
        <vertAlign val="baseline"/>
        <sz val="11"/>
        <name val="Calibri"/>
        <scheme val="minor"/>
      </font>
      <fill>
        <patternFill patternType="none">
          <fgColor indexed="64"/>
          <bgColor indexed="65"/>
        </patternFill>
      </fill>
      <alignment horizontal="general" vertical="bottom" textRotation="0" indent="0" justifyLastLine="0" shrinkToFit="0" readingOrder="0"/>
    </dxf>
    <dxf>
      <font>
        <strike val="0"/>
        <outline val="0"/>
        <shadow val="0"/>
        <u val="none"/>
        <vertAlign val="baseline"/>
        <sz val="11"/>
        <name val="Calibri"/>
        <scheme val="minor"/>
      </font>
      <alignment horizontal="general" vertical="bottom" textRotation="0" wrapText="0" indent="0" justifyLastLine="0" shrinkToFit="0" readingOrder="0"/>
    </dxf>
    <dxf>
      <font>
        <strike val="0"/>
        <outline val="0"/>
        <shadow val="0"/>
        <u val="none"/>
        <vertAlign val="baseline"/>
        <sz val="11"/>
        <name val="Calibri"/>
        <scheme val="minor"/>
      </font>
      <fill>
        <patternFill patternType="none">
          <fgColor indexed="64"/>
          <bgColor indexed="65"/>
        </patternFill>
      </fill>
      <alignment horizontal="general" vertical="bottom" textRotation="0" indent="0" justifyLastLine="0" shrinkToFit="0" readingOrder="0"/>
    </dxf>
    <dxf>
      <font>
        <strike val="0"/>
        <outline val="0"/>
        <shadow val="0"/>
        <u val="none"/>
        <vertAlign val="baseline"/>
        <sz val="11"/>
        <name val="Calibri"/>
        <scheme val="minor"/>
      </font>
      <fill>
        <patternFill patternType="none">
          <fgColor indexed="64"/>
          <bgColor indexed="65"/>
        </patternFill>
      </fill>
      <alignment horizontal="general" vertical="bottom" textRotation="0" indent="0" justifyLastLine="0" shrinkToFit="0" readingOrder="0"/>
    </dxf>
    <dxf>
      <font>
        <strike val="0"/>
        <outline val="0"/>
        <shadow val="0"/>
        <u val="none"/>
        <vertAlign val="baseline"/>
        <sz val="11"/>
        <name val="Calibri"/>
        <scheme val="minor"/>
      </font>
      <fill>
        <patternFill patternType="none">
          <fgColor indexed="64"/>
          <bgColor indexed="65"/>
        </patternFill>
      </fill>
      <alignment horizontal="general" vertical="bottom" textRotation="0" indent="0" justifyLastLine="0" shrinkToFit="0" readingOrder="0"/>
    </dxf>
    <dxf>
      <font>
        <strike val="0"/>
        <outline val="0"/>
        <shadow val="0"/>
        <u val="none"/>
        <vertAlign val="baseline"/>
        <sz val="11"/>
        <name val="Calibri"/>
        <scheme val="minor"/>
      </font>
      <fill>
        <patternFill patternType="none">
          <fgColor indexed="64"/>
          <bgColor indexed="65"/>
        </patternFill>
      </fill>
      <alignment horizontal="general" vertical="bottom" textRotation="0" indent="0" justifyLastLine="0" shrinkToFit="0" readingOrder="0"/>
    </dxf>
    <dxf>
      <font>
        <strike val="0"/>
        <outline val="0"/>
        <shadow val="0"/>
        <u val="none"/>
        <vertAlign val="baseline"/>
        <sz val="11"/>
        <name val="Calibri"/>
        <scheme val="minor"/>
      </font>
      <fill>
        <patternFill patternType="none">
          <fgColor indexed="64"/>
          <bgColor indexed="65"/>
        </patternFill>
      </fill>
      <alignment horizontal="general" vertical="bottom" textRotation="0" indent="0" justifyLastLine="0" shrinkToFit="0" readingOrder="0"/>
    </dxf>
    <dxf>
      <font>
        <strike val="0"/>
        <outline val="0"/>
        <shadow val="0"/>
        <u val="none"/>
        <vertAlign val="baseline"/>
        <sz val="11"/>
        <name val="Calibri"/>
        <scheme val="minor"/>
      </font>
      <fill>
        <patternFill patternType="none">
          <fgColor indexed="64"/>
          <bgColor indexed="65"/>
        </patternFill>
      </fill>
      <alignment horizontal="general" vertical="bottom" textRotation="0" indent="0" justifyLastLine="0" shrinkToFit="0" readingOrder="0"/>
    </dxf>
    <dxf>
      <font>
        <strike val="0"/>
        <outline val="0"/>
        <shadow val="0"/>
        <u val="none"/>
        <vertAlign val="baseline"/>
        <sz val="11"/>
        <name val="Calibri"/>
        <scheme val="minor"/>
      </font>
      <numFmt numFmtId="0" formatCode="General"/>
      <fill>
        <patternFill patternType="none">
          <fgColor indexed="64"/>
          <bgColor auto="1"/>
        </patternFill>
      </fill>
      <alignment horizontal="general" vertical="bottom" textRotation="0" indent="0" justifyLastLine="0" shrinkToFit="0" readingOrder="0"/>
    </dxf>
    <dxf>
      <font>
        <strike val="0"/>
        <outline val="0"/>
        <shadow val="0"/>
        <u val="none"/>
        <vertAlign val="baseline"/>
        <sz val="11"/>
        <name val="Calibri"/>
        <scheme val="minor"/>
      </font>
      <numFmt numFmtId="0" formatCode="General"/>
      <fill>
        <patternFill patternType="none">
          <fgColor indexed="64"/>
          <bgColor auto="1"/>
        </patternFill>
      </fill>
      <alignment horizontal="general" vertical="bottom" textRotation="0" indent="0" justifyLastLine="0" shrinkToFit="0" readingOrder="0"/>
    </dxf>
    <dxf>
      <font>
        <strike val="0"/>
        <outline val="0"/>
        <shadow val="0"/>
        <u val="none"/>
        <vertAlign val="baseline"/>
        <sz val="11"/>
        <name val="Calibri"/>
        <scheme val="minor"/>
      </font>
      <numFmt numFmtId="169" formatCode="0.000"/>
      <fill>
        <patternFill patternType="none">
          <fgColor indexed="64"/>
          <bgColor auto="1"/>
        </patternFill>
      </fill>
      <alignment horizontal="general" vertical="bottom" textRotation="0" wrapText="0" indent="0" justifyLastLine="0" shrinkToFit="0" readingOrder="0"/>
    </dxf>
    <dxf>
      <font>
        <strike val="0"/>
        <outline val="0"/>
        <shadow val="0"/>
        <u val="none"/>
        <vertAlign val="baseline"/>
        <sz val="11"/>
        <name val="Calibri"/>
        <scheme val="minor"/>
      </font>
      <numFmt numFmtId="0" formatCode="General"/>
      <fill>
        <patternFill patternType="none">
          <fgColor indexed="64"/>
          <bgColor auto="1"/>
        </patternFill>
      </fill>
      <alignment horizontal="general" vertical="bottom" textRotation="0" indent="0" justifyLastLine="0" shrinkToFit="0" readingOrder="0"/>
    </dxf>
    <dxf>
      <font>
        <strike val="0"/>
        <outline val="0"/>
        <shadow val="0"/>
        <u val="none"/>
        <vertAlign val="baseline"/>
        <sz val="11"/>
        <name val="Calibri"/>
        <scheme val="minor"/>
      </font>
      <numFmt numFmtId="4" formatCode="#,##0.00"/>
      <fill>
        <patternFill patternType="none">
          <fgColor indexed="64"/>
          <bgColor auto="1"/>
        </patternFill>
      </fill>
      <alignment horizontal="general" vertical="bottom" textRotation="0" wrapText="0" indent="0" justifyLastLine="0" shrinkToFit="0" readingOrder="0"/>
    </dxf>
    <dxf>
      <font>
        <strike val="0"/>
        <outline val="0"/>
        <shadow val="0"/>
        <u val="none"/>
        <vertAlign val="baseline"/>
        <sz val="11"/>
        <name val="Calibri"/>
        <scheme val="minor"/>
      </font>
      <numFmt numFmtId="4" formatCode="#,##0.00"/>
      <fill>
        <patternFill patternType="none">
          <fgColor indexed="64"/>
          <bgColor auto="1"/>
        </patternFill>
      </fill>
      <alignment horizontal="general" vertical="bottom" textRotation="0" wrapText="0" indent="0" justifyLastLine="0" shrinkToFit="0" readingOrder="0"/>
    </dxf>
    <dxf>
      <font>
        <strike val="0"/>
        <outline val="0"/>
        <shadow val="0"/>
        <u val="none"/>
        <vertAlign val="baseline"/>
        <sz val="11"/>
        <name val="Calibri"/>
        <scheme val="minor"/>
      </font>
      <fill>
        <patternFill patternType="none">
          <fgColor indexed="64"/>
          <bgColor auto="1"/>
        </patternFill>
      </fill>
      <alignment horizontal="general" vertical="bottom" textRotation="0" wrapText="0" indent="0" justifyLastLine="0" shrinkToFit="0" readingOrder="0"/>
    </dxf>
    <dxf>
      <font>
        <strike val="0"/>
        <outline val="0"/>
        <shadow val="0"/>
        <u val="none"/>
        <vertAlign val="baseline"/>
        <sz val="11"/>
        <name val="Calibri"/>
        <scheme val="minor"/>
      </font>
      <numFmt numFmtId="19" formatCode="m/d/yyyy"/>
      <fill>
        <patternFill patternType="none">
          <fgColor indexed="64"/>
          <bgColor auto="1"/>
        </patternFill>
      </fill>
      <alignment horizontal="general" vertical="bottom" textRotation="0" wrapText="0" indent="0" justifyLastLine="0" shrinkToFit="0" readingOrder="0"/>
    </dxf>
    <dxf>
      <font>
        <strike val="0"/>
        <outline val="0"/>
        <shadow val="0"/>
        <u val="none"/>
        <vertAlign val="baseline"/>
        <sz val="11"/>
        <name val="Calibri"/>
        <scheme val="minor"/>
      </font>
      <numFmt numFmtId="0" formatCode="General"/>
      <fill>
        <patternFill patternType="none">
          <fgColor indexed="64"/>
          <bgColor auto="1"/>
        </patternFill>
      </fill>
      <alignment horizontal="general" vertical="bottom" textRotation="0" wrapText="0" indent="0" justifyLastLine="0" shrinkToFit="0" readingOrder="0"/>
    </dxf>
    <dxf>
      <font>
        <strike val="0"/>
        <outline val="0"/>
        <shadow val="0"/>
        <u val="none"/>
        <vertAlign val="baseline"/>
        <sz val="11"/>
        <name val="Calibri"/>
        <scheme val="minor"/>
      </font>
      <numFmt numFmtId="30" formatCode="@"/>
      <fill>
        <patternFill patternType="none">
          <fgColor indexed="64"/>
          <bgColor auto="1"/>
        </patternFill>
      </fill>
      <alignment horizontal="general" vertical="bottom" textRotation="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general" vertical="bottom" textRotation="0" wrapText="0" indent="0" justifyLastLine="0" shrinkToFit="0" readingOrder="0"/>
    </dxf>
    <dxf>
      <font>
        <strike val="0"/>
        <outline val="0"/>
        <shadow val="0"/>
        <u val="none"/>
        <vertAlign val="baseline"/>
        <sz val="11"/>
        <name val="Calibri"/>
        <scheme val="minor"/>
      </font>
      <fill>
        <patternFill patternType="none">
          <fgColor indexed="64"/>
          <bgColor auto="1"/>
        </patternFill>
      </fill>
      <alignment horizontal="general" vertical="bottom" textRotation="0" indent="0" justifyLastLine="0" shrinkToFit="0" readingOrder="0"/>
    </dxf>
    <dxf>
      <font>
        <strike val="0"/>
        <outline val="0"/>
        <shadow val="0"/>
        <u val="none"/>
        <vertAlign val="baseline"/>
        <sz val="11"/>
        <name val="Calibri"/>
        <scheme val="minor"/>
      </font>
      <fill>
        <patternFill patternType="none">
          <fgColor indexed="64"/>
          <bgColor auto="1"/>
        </patternFill>
      </fill>
      <alignment horizontal="general" vertical="bottom" textRotation="0" indent="0" justifyLastLine="0" shrinkToFit="0" readingOrder="0"/>
    </dxf>
    <dxf>
      <font>
        <strike val="0"/>
        <outline val="0"/>
        <shadow val="0"/>
        <u val="none"/>
        <vertAlign val="baseline"/>
        <sz val="11"/>
        <name val="Calibri"/>
        <scheme val="minor"/>
      </font>
      <fill>
        <patternFill patternType="none">
          <fgColor indexed="64"/>
          <bgColor auto="1"/>
        </patternFill>
      </fill>
      <alignment horizontal="general" vertical="bottom" textRotation="0" indent="0" justifyLastLine="0" shrinkToFit="0" readingOrder="0"/>
    </dxf>
    <dxf>
      <font>
        <strike val="0"/>
        <outline val="0"/>
        <shadow val="0"/>
        <u val="none"/>
        <vertAlign val="baseline"/>
        <sz val="11"/>
        <name val="Calibri"/>
        <scheme val="minor"/>
      </font>
      <fill>
        <patternFill patternType="none">
          <fgColor indexed="64"/>
          <bgColor auto="1"/>
        </patternFill>
      </fill>
      <alignment horizontal="general" vertical="bottom" textRotation="0" indent="0" justifyLastLine="0" shrinkToFit="0" readingOrder="0"/>
    </dxf>
    <dxf>
      <font>
        <strike val="0"/>
        <outline val="0"/>
        <shadow val="0"/>
        <u val="none"/>
        <vertAlign val="baseline"/>
        <sz val="11"/>
        <name val="Calibri"/>
        <scheme val="minor"/>
      </font>
      <fill>
        <patternFill patternType="none">
          <fgColor indexed="64"/>
          <bgColor auto="1"/>
        </patternFill>
      </fill>
      <alignment horizontal="general" vertical="bottom" textRotation="0" indent="0" justifyLastLine="0" shrinkToFit="0" readingOrder="0"/>
    </dxf>
    <dxf>
      <font>
        <strike val="0"/>
        <outline val="0"/>
        <shadow val="0"/>
        <u val="none"/>
        <vertAlign val="baseline"/>
        <sz val="11"/>
        <name val="Calibri"/>
        <scheme val="minor"/>
      </font>
      <fill>
        <patternFill patternType="none">
          <fgColor indexed="64"/>
          <bgColor auto="1"/>
        </patternFill>
      </fill>
      <alignment horizontal="general" vertical="bottom" textRotation="0" indent="0" justifyLastLine="0" shrinkToFit="0" readingOrder="0"/>
    </dxf>
    <dxf>
      <font>
        <strike val="0"/>
        <outline val="0"/>
        <shadow val="0"/>
        <u val="none"/>
        <vertAlign val="baseline"/>
        <sz val="11"/>
        <name val="Calibri"/>
        <scheme val="minor"/>
      </font>
      <fill>
        <patternFill patternType="none">
          <fgColor indexed="64"/>
          <bgColor auto="1"/>
        </patternFill>
      </fill>
      <alignment horizontal="general" vertical="bottom" textRotation="0" indent="0" justifyLastLine="0" shrinkToFit="0" readingOrder="0"/>
    </dxf>
    <dxf>
      <font>
        <strike val="0"/>
        <outline val="0"/>
        <shadow val="0"/>
        <u val="none"/>
        <vertAlign val="baseline"/>
        <sz val="11"/>
        <name val="Calibri"/>
        <scheme val="minor"/>
      </font>
      <numFmt numFmtId="30" formatCode="@"/>
      <fill>
        <patternFill patternType="none">
          <fgColor indexed="64"/>
          <bgColor auto="1"/>
        </patternFill>
      </fill>
      <alignment horizontal="general" vertical="bottom" textRotation="0" indent="0" justifyLastLine="0" shrinkToFit="0" readingOrder="0"/>
    </dxf>
    <dxf>
      <font>
        <b val="0"/>
        <strike val="0"/>
        <outline val="0"/>
        <shadow val="0"/>
        <u val="none"/>
        <vertAlign val="baseline"/>
        <sz val="11"/>
        <color theme="1"/>
        <name val="Calibri"/>
        <family val="2"/>
        <scheme val="minor"/>
      </font>
      <fill>
        <patternFill patternType="none">
          <fgColor indexed="64"/>
          <bgColor auto="1"/>
        </patternFill>
      </fill>
      <alignment horizontal="left" vertical="bottom" textRotation="0" indent="0" justifyLastLine="0" shrinkToFit="0" readingOrder="0"/>
    </dxf>
    <dxf>
      <font>
        <strike val="0"/>
        <outline val="0"/>
        <shadow val="0"/>
        <u val="none"/>
        <vertAlign val="baseline"/>
        <sz val="11"/>
        <name val="Calibri"/>
        <scheme val="minor"/>
      </font>
      <fill>
        <patternFill patternType="none">
          <fgColor indexed="64"/>
          <bgColor auto="1"/>
        </patternFill>
      </fill>
      <alignment horizontal="general" textRotation="0" indent="0" justifyLastLine="0" shrinkToFit="0" readingOrder="0"/>
    </dxf>
    <dxf>
      <font>
        <b/>
        <i val="0"/>
        <strike val="0"/>
        <condense val="0"/>
        <extend val="0"/>
        <outline val="0"/>
        <shadow val="0"/>
        <u val="none"/>
        <vertAlign val="baseline"/>
        <sz val="11"/>
        <color theme="1"/>
        <name val="Calibri"/>
        <scheme val="minor"/>
      </font>
      <alignment horizontal="general" vertical="bottom" textRotation="0" wrapText="1" indent="0" justifyLastLine="0" shrinkToFit="0" readingOrder="0"/>
    </dxf>
    <dxf>
      <font>
        <strike val="0"/>
        <outline val="0"/>
        <shadow val="0"/>
        <u val="none"/>
        <vertAlign val="baseline"/>
        <sz val="11"/>
        <name val="Calibri"/>
        <scheme val="minor"/>
      </font>
      <fill>
        <patternFill patternType="none">
          <fgColor indexed="64"/>
          <bgColor auto="1"/>
        </patternFill>
      </fill>
      <alignment horizontal="general" textRotation="0" indent="0" justifyLastLine="0" shrinkToFit="0" readingOrder="0"/>
    </dxf>
    <dxf>
      <font>
        <strike val="0"/>
        <outline val="0"/>
        <shadow val="0"/>
        <u val="none"/>
        <vertAlign val="baseline"/>
        <sz val="11"/>
        <name val="Calibri"/>
        <scheme val="minor"/>
      </font>
      <fill>
        <patternFill patternType="none">
          <fgColor indexed="64"/>
          <bgColor auto="1"/>
        </patternFill>
      </fill>
      <alignment horizontal="general" textRotation="0" indent="0" justifyLastLine="0" shrinkToFit="0" readingOrder="0"/>
    </dxf>
    <dxf>
      <font>
        <strike val="0"/>
        <outline val="0"/>
        <shadow val="0"/>
        <u val="none"/>
        <vertAlign val="baseline"/>
        <sz val="11"/>
        <name val="Calibri"/>
        <scheme val="minor"/>
      </font>
      <numFmt numFmtId="30" formatCode="@"/>
      <fill>
        <patternFill patternType="none">
          <fgColor indexed="64"/>
          <bgColor auto="1"/>
        </patternFill>
      </fill>
      <alignment horizontal="general" textRotation="0" indent="0" justifyLastLine="0" shrinkToFit="0" readingOrder="0"/>
    </dxf>
    <dxf>
      <font>
        <strike val="0"/>
        <outline val="0"/>
        <shadow val="0"/>
        <u val="none"/>
        <vertAlign val="baseline"/>
        <sz val="11"/>
        <name val="Calibri"/>
        <scheme val="minor"/>
      </font>
      <numFmt numFmtId="30" formatCode="@"/>
      <fill>
        <patternFill patternType="none">
          <fgColor indexed="64"/>
          <bgColor auto="1"/>
        </patternFill>
      </fill>
      <alignment horizontal="general" textRotation="0" indent="0" justifyLastLine="0" shrinkToFit="0" readingOrder="0"/>
    </dxf>
    <dxf>
      <font>
        <strike val="0"/>
        <outline val="0"/>
        <shadow val="0"/>
        <u val="none"/>
        <vertAlign val="baseline"/>
        <sz val="11"/>
        <name val="Calibri"/>
        <scheme val="minor"/>
      </font>
      <fill>
        <patternFill patternType="none">
          <fgColor indexed="64"/>
          <bgColor auto="1"/>
        </patternFill>
      </fill>
      <alignment horizontal="general" textRotation="0" indent="0" justifyLastLine="0" shrinkToFit="0" readingOrder="0"/>
    </dxf>
    <dxf>
      <font>
        <strike val="0"/>
        <outline val="0"/>
        <shadow val="0"/>
        <u val="none"/>
        <vertAlign val="baseline"/>
        <sz val="11"/>
        <name val="Calibri"/>
        <scheme val="minor"/>
      </font>
      <fill>
        <patternFill patternType="none">
          <fgColor indexed="64"/>
          <bgColor auto="1"/>
        </patternFill>
      </fill>
      <alignment horizontal="general" textRotation="0" indent="0" justifyLastLine="0" shrinkToFit="0" readingOrder="0"/>
    </dxf>
    <dxf>
      <font>
        <strike val="0"/>
        <outline val="0"/>
        <shadow val="0"/>
        <u val="none"/>
        <vertAlign val="baseline"/>
        <sz val="11"/>
        <name val="Calibri"/>
        <scheme val="minor"/>
      </font>
      <fill>
        <patternFill patternType="none">
          <fgColor indexed="64"/>
          <bgColor auto="1"/>
        </patternFill>
      </fill>
      <alignment horizontal="general" textRotation="0" indent="0" justifyLastLine="0" shrinkToFit="0" readingOrder="0"/>
    </dxf>
    <dxf>
      <font>
        <strike val="0"/>
        <outline val="0"/>
        <shadow val="0"/>
        <u val="none"/>
        <vertAlign val="baseline"/>
        <sz val="11"/>
        <name val="Calibri"/>
        <scheme val="minor"/>
      </font>
      <numFmt numFmtId="30" formatCode="@"/>
      <fill>
        <patternFill patternType="none">
          <fgColor indexed="64"/>
          <bgColor auto="1"/>
        </patternFill>
      </fill>
      <alignment horizontal="general" textRotation="0" indent="0" justifyLastLine="0" shrinkToFit="0" readingOrder="0"/>
    </dxf>
    <dxf>
      <font>
        <strike val="0"/>
        <outline val="0"/>
        <shadow val="0"/>
        <u val="none"/>
        <vertAlign val="baseline"/>
        <sz val="11"/>
        <name val="Calibri"/>
        <scheme val="minor"/>
      </font>
      <numFmt numFmtId="30" formatCode="@"/>
      <fill>
        <patternFill patternType="none">
          <fgColor indexed="64"/>
          <bgColor auto="1"/>
        </patternFill>
      </fill>
      <alignment horizontal="general" vertical="bottom" textRotation="0" indent="0" justifyLastLine="0" shrinkToFit="0" readingOrder="0"/>
    </dxf>
    <dxf>
      <font>
        <strike val="0"/>
        <outline val="0"/>
        <shadow val="0"/>
        <u val="none"/>
        <vertAlign val="baseline"/>
        <sz val="11"/>
        <name val="Calibri"/>
        <scheme val="minor"/>
      </font>
      <numFmt numFmtId="3" formatCode="#,##0"/>
      <fill>
        <patternFill patternType="none">
          <fgColor indexed="64"/>
          <bgColor indexed="65"/>
        </patternFill>
      </fill>
      <alignment horizontal="left" vertical="center" textRotation="0" wrapText="0" indent="0" justifyLastLine="0" shrinkToFit="0" readingOrder="0"/>
    </dxf>
    <dxf>
      <font>
        <strike val="0"/>
        <outline val="0"/>
        <shadow val="0"/>
        <u val="none"/>
        <vertAlign val="baseline"/>
        <sz val="11"/>
        <name val="Calibri"/>
        <scheme val="minor"/>
      </font>
      <numFmt numFmtId="4" formatCode="#,##0.00"/>
      <alignment horizontal="general" vertical="bottom" textRotation="0" wrapText="0" indent="0" justifyLastLine="0" shrinkToFit="0" readingOrder="0"/>
    </dxf>
    <dxf>
      <font>
        <strike val="0"/>
        <outline val="0"/>
        <shadow val="0"/>
        <u val="none"/>
        <vertAlign val="baseline"/>
        <sz val="11"/>
        <name val="Calibri"/>
        <scheme val="minor"/>
      </font>
      <fill>
        <patternFill patternType="none">
          <fgColor indexed="64"/>
          <bgColor indexed="65"/>
        </patternFill>
      </fill>
      <alignment horizontal="general" vertical="bottom" textRotation="0" indent="0" justifyLastLine="0" shrinkToFit="0" readingOrder="0"/>
    </dxf>
    <dxf>
      <font>
        <strike val="0"/>
        <outline val="0"/>
        <shadow val="0"/>
        <u val="none"/>
        <vertAlign val="baseline"/>
        <sz val="11"/>
        <name val="Calibri"/>
        <scheme val="minor"/>
      </font>
      <fill>
        <patternFill patternType="none">
          <fgColor indexed="64"/>
          <bgColor indexed="65"/>
        </patternFill>
      </fill>
      <alignment horizontal="general" vertical="bottom" textRotation="0" indent="0" justifyLastLine="0" shrinkToFit="0" readingOrder="0"/>
    </dxf>
    <dxf>
      <font>
        <strike val="0"/>
        <outline val="0"/>
        <shadow val="0"/>
        <u val="none"/>
        <vertAlign val="baseline"/>
        <sz val="11"/>
        <name val="Calibri"/>
        <scheme val="minor"/>
      </font>
      <fill>
        <patternFill patternType="none">
          <fgColor indexed="64"/>
          <bgColor indexed="65"/>
        </patternFill>
      </fill>
      <alignment horizontal="general" vertical="bottom" textRotation="0" indent="0" justifyLastLine="0" shrinkToFit="0" readingOrder="0"/>
    </dxf>
    <dxf>
      <font>
        <strike val="0"/>
        <outline val="0"/>
        <shadow val="0"/>
        <u val="none"/>
        <vertAlign val="baseline"/>
        <sz val="11"/>
        <name val="Calibri"/>
        <scheme val="minor"/>
      </font>
      <fill>
        <patternFill patternType="none">
          <fgColor indexed="64"/>
          <bgColor indexed="65"/>
        </patternFill>
      </fill>
      <alignment horizontal="general" vertical="bottom" textRotation="0" indent="0" justifyLastLine="0" shrinkToFit="0" readingOrder="0"/>
    </dxf>
    <dxf>
      <font>
        <strike val="0"/>
        <outline val="0"/>
        <shadow val="0"/>
        <u val="none"/>
        <vertAlign val="baseline"/>
        <sz val="11"/>
        <name val="Calibri"/>
        <scheme val="minor"/>
      </font>
      <fill>
        <patternFill patternType="none">
          <fgColor indexed="64"/>
          <bgColor indexed="65"/>
        </patternFill>
      </fill>
      <alignment horizontal="general" vertical="bottom" textRotation="0" indent="0" justifyLastLine="0" shrinkToFit="0" readingOrder="0"/>
    </dxf>
    <dxf>
      <font>
        <strike val="0"/>
        <outline val="0"/>
        <shadow val="0"/>
        <u val="none"/>
        <vertAlign val="baseline"/>
        <sz val="11"/>
        <name val="Calibri"/>
        <scheme val="minor"/>
      </font>
      <fill>
        <patternFill patternType="none">
          <fgColor indexed="64"/>
          <bgColor indexed="65"/>
        </patternFill>
      </fill>
      <alignment horizontal="general" vertical="bottom" textRotation="0" indent="0" justifyLastLine="0" shrinkToFit="0" readingOrder="0"/>
    </dxf>
    <dxf>
      <font>
        <strike val="0"/>
        <outline val="0"/>
        <shadow val="0"/>
        <u val="none"/>
        <vertAlign val="baseline"/>
        <sz val="11"/>
        <name val="Calibri"/>
        <scheme val="minor"/>
      </font>
      <numFmt numFmtId="0" formatCode="General"/>
      <fill>
        <patternFill patternType="none">
          <fgColor indexed="64"/>
          <bgColor indexed="65"/>
        </patternFill>
      </fill>
      <alignment horizontal="general" vertical="bottom" textRotation="0" indent="0" justifyLastLine="0" shrinkToFit="0" readingOrder="0"/>
    </dxf>
    <dxf>
      <font>
        <strike val="0"/>
        <outline val="0"/>
        <shadow val="0"/>
        <u val="none"/>
        <vertAlign val="baseline"/>
        <sz val="11"/>
        <name val="Calibri"/>
        <scheme val="minor"/>
      </font>
      <numFmt numFmtId="0" formatCode="General"/>
      <fill>
        <patternFill patternType="none">
          <fgColor indexed="64"/>
          <bgColor auto="1"/>
        </patternFill>
      </fill>
      <alignment horizontal="general" vertical="bottom" textRotation="0" indent="0" justifyLastLine="0" shrinkToFit="0" readingOrder="0"/>
    </dxf>
    <dxf>
      <font>
        <strike val="0"/>
        <outline val="0"/>
        <shadow val="0"/>
        <u val="none"/>
        <vertAlign val="baseline"/>
        <sz val="11"/>
        <name val="Calibri"/>
        <scheme val="minor"/>
      </font>
      <numFmt numFmtId="169" formatCode="0.000"/>
      <fill>
        <patternFill patternType="none">
          <fgColor indexed="64"/>
          <bgColor auto="1"/>
        </patternFill>
      </fill>
      <alignment horizontal="general" vertical="bottom" textRotation="0" wrapText="0" indent="0" justifyLastLine="0" shrinkToFit="0" readingOrder="0"/>
    </dxf>
    <dxf>
      <font>
        <strike val="0"/>
        <outline val="0"/>
        <shadow val="0"/>
        <u val="none"/>
        <vertAlign val="baseline"/>
        <sz val="11"/>
        <name val="Calibri"/>
        <scheme val="minor"/>
      </font>
      <numFmt numFmtId="179" formatCode="#,##0.0000"/>
      <fill>
        <patternFill patternType="none">
          <fgColor indexed="64"/>
          <bgColor auto="1"/>
        </patternFill>
      </fill>
      <alignment horizontal="general" vertical="bottom" textRotation="0" indent="0" justifyLastLine="0" shrinkToFit="0" readingOrder="0"/>
    </dxf>
    <dxf>
      <font>
        <strike val="0"/>
        <outline val="0"/>
        <shadow val="0"/>
        <u val="none"/>
        <vertAlign val="baseline"/>
        <sz val="11"/>
        <name val="Calibri"/>
        <scheme val="minor"/>
      </font>
      <numFmt numFmtId="4" formatCode="#,##0.00"/>
      <fill>
        <patternFill patternType="none">
          <fgColor indexed="64"/>
          <bgColor auto="1"/>
        </patternFill>
      </fill>
      <alignment horizontal="general" vertical="bottom" textRotation="0" wrapText="0" indent="0" justifyLastLine="0" shrinkToFit="0" readingOrder="0"/>
    </dxf>
    <dxf>
      <font>
        <strike val="0"/>
        <outline val="0"/>
        <shadow val="0"/>
        <u val="none"/>
        <vertAlign val="baseline"/>
        <sz val="11"/>
        <name val="Calibri"/>
        <scheme val="minor"/>
      </font>
      <numFmt numFmtId="4" formatCode="#,##0.00"/>
      <fill>
        <patternFill patternType="none">
          <fgColor indexed="64"/>
          <bgColor auto="1"/>
        </patternFill>
      </fill>
      <alignment horizontal="general" vertical="bottom" textRotation="0" wrapText="0" indent="0" justifyLastLine="0" shrinkToFit="0" readingOrder="0"/>
    </dxf>
    <dxf>
      <font>
        <strike val="0"/>
        <outline val="0"/>
        <shadow val="0"/>
        <u val="none"/>
        <vertAlign val="baseline"/>
        <sz val="11"/>
        <name val="Calibri"/>
        <scheme val="minor"/>
      </font>
      <numFmt numFmtId="30" formatCode="@"/>
      <fill>
        <patternFill patternType="none">
          <fgColor indexed="64"/>
          <bgColor auto="1"/>
        </patternFill>
      </fill>
      <alignment horizontal="left" vertical="center" textRotation="0" wrapText="0" indent="0" justifyLastLine="0" shrinkToFit="0" readingOrder="0"/>
    </dxf>
    <dxf>
      <font>
        <strike val="0"/>
        <outline val="0"/>
        <shadow val="0"/>
        <u val="none"/>
        <vertAlign val="baseline"/>
        <sz val="11"/>
        <name val="Calibri"/>
        <scheme val="minor"/>
      </font>
      <numFmt numFmtId="19" formatCode="m/d/yyyy"/>
      <fill>
        <patternFill patternType="none">
          <fgColor indexed="64"/>
          <bgColor auto="1"/>
        </patternFill>
      </fill>
      <alignment horizontal="general" vertical="bottom" textRotation="0" wrapText="0" indent="0" justifyLastLine="0" shrinkToFit="0" readingOrder="0"/>
    </dxf>
    <dxf>
      <font>
        <strike val="0"/>
        <outline val="0"/>
        <shadow val="0"/>
        <u val="none"/>
        <vertAlign val="baseline"/>
        <sz val="11"/>
        <name val="Calibri"/>
        <scheme val="minor"/>
      </font>
      <numFmt numFmtId="3" formatCode="#,##0"/>
      <fill>
        <patternFill patternType="none">
          <fgColor indexed="64"/>
          <bgColor auto="1"/>
        </patternFill>
      </fill>
      <alignment horizontal="general" vertical="bottom" textRotation="0" wrapText="0" indent="0" justifyLastLine="0" shrinkToFit="0" readingOrder="0"/>
    </dxf>
    <dxf>
      <font>
        <strike val="0"/>
        <outline val="0"/>
        <shadow val="0"/>
        <u val="none"/>
        <vertAlign val="baseline"/>
        <sz val="11"/>
        <name val="Calibri"/>
        <scheme val="minor"/>
      </font>
      <numFmt numFmtId="30" formatCode="@"/>
      <fill>
        <patternFill patternType="none">
          <fgColor indexed="64"/>
          <bgColor auto="1"/>
        </patternFill>
      </fill>
      <alignment horizontal="general" vertical="bottom" textRotation="0" indent="0" justifyLastLine="0" shrinkToFit="0" readingOrder="0"/>
    </dxf>
    <dxf>
      <font>
        <strike val="0"/>
        <outline val="0"/>
        <shadow val="0"/>
        <u val="none"/>
        <vertAlign val="baseline"/>
        <sz val="11"/>
        <color auto="1"/>
        <name val="Calibri"/>
        <scheme val="minor"/>
      </font>
      <fill>
        <patternFill patternType="none">
          <fgColor indexed="64"/>
          <bgColor auto="1"/>
        </patternFill>
      </fill>
      <alignment horizontal="general" vertical="bottom" textRotation="0" wrapText="0" indent="0" justifyLastLine="0" shrinkToFit="0" readingOrder="0"/>
    </dxf>
    <dxf>
      <font>
        <strike val="0"/>
        <outline val="0"/>
        <shadow val="0"/>
        <u val="none"/>
        <vertAlign val="baseline"/>
        <sz val="11"/>
        <name val="Calibri"/>
        <scheme val="minor"/>
      </font>
      <numFmt numFmtId="30" formatCode="@"/>
      <fill>
        <patternFill patternType="none">
          <fgColor indexed="64"/>
          <bgColor auto="1"/>
        </patternFill>
      </fill>
      <alignment horizontal="general" vertical="bottom" textRotation="0" indent="0" justifyLastLine="0" shrinkToFit="0" readingOrder="0"/>
    </dxf>
    <dxf>
      <font>
        <strike val="0"/>
        <outline val="0"/>
        <shadow val="0"/>
        <u val="none"/>
        <vertAlign val="baseline"/>
        <sz val="11"/>
        <name val="Calibri"/>
        <scheme val="minor"/>
      </font>
      <numFmt numFmtId="30" formatCode="@"/>
      <fill>
        <patternFill patternType="none">
          <fgColor indexed="64"/>
          <bgColor auto="1"/>
        </patternFill>
      </fill>
      <alignment horizontal="general" vertical="bottom" textRotation="0" indent="0" justifyLastLine="0" shrinkToFit="0" readingOrder="0"/>
    </dxf>
    <dxf>
      <font>
        <strike val="0"/>
        <outline val="0"/>
        <shadow val="0"/>
        <u val="none"/>
        <vertAlign val="baseline"/>
        <sz val="11"/>
        <name val="Calibri"/>
        <scheme val="minor"/>
      </font>
      <numFmt numFmtId="30" formatCode="@"/>
      <fill>
        <patternFill patternType="none">
          <fgColor indexed="64"/>
          <bgColor auto="1"/>
        </patternFill>
      </fill>
      <alignment horizontal="general" vertical="bottom" textRotation="0" indent="0" justifyLastLine="0" shrinkToFit="0" readingOrder="0"/>
    </dxf>
    <dxf>
      <font>
        <strike val="0"/>
        <outline val="0"/>
        <shadow val="0"/>
        <u val="none"/>
        <vertAlign val="baseline"/>
        <sz val="11"/>
        <name val="Calibri"/>
        <scheme val="minor"/>
      </font>
      <numFmt numFmtId="30" formatCode="@"/>
      <fill>
        <patternFill patternType="none">
          <fgColor indexed="64"/>
          <bgColor auto="1"/>
        </patternFill>
      </fill>
      <alignment horizontal="general" vertical="bottom" textRotation="0" indent="0" justifyLastLine="0" shrinkToFit="0" readingOrder="0"/>
    </dxf>
    <dxf>
      <font>
        <strike val="0"/>
        <outline val="0"/>
        <shadow val="0"/>
        <u val="none"/>
        <vertAlign val="baseline"/>
        <sz val="11"/>
        <name val="Calibri"/>
        <scheme val="minor"/>
      </font>
      <numFmt numFmtId="30" formatCode="@"/>
      <fill>
        <patternFill patternType="none">
          <fgColor indexed="64"/>
          <bgColor auto="1"/>
        </patternFill>
      </fill>
      <alignment horizontal="general" vertical="bottom" textRotation="0" indent="0" justifyLastLine="0" shrinkToFit="0" readingOrder="0"/>
    </dxf>
    <dxf>
      <font>
        <strike val="0"/>
        <outline val="0"/>
        <shadow val="0"/>
        <u val="none"/>
        <vertAlign val="baseline"/>
        <sz val="11"/>
        <name val="Calibri"/>
        <scheme val="minor"/>
      </font>
      <numFmt numFmtId="30" formatCode="@"/>
      <fill>
        <patternFill patternType="none">
          <fgColor indexed="64"/>
          <bgColor auto="1"/>
        </patternFill>
      </fill>
      <alignment horizontal="general" vertical="bottom" textRotation="0" indent="0" justifyLastLine="0" shrinkToFit="0" readingOrder="0"/>
    </dxf>
    <dxf>
      <font>
        <strike val="0"/>
        <outline val="0"/>
        <shadow val="0"/>
        <u val="none"/>
        <vertAlign val="baseline"/>
        <sz val="11"/>
        <name val="Calibri"/>
        <scheme val="minor"/>
      </font>
      <numFmt numFmtId="30" formatCode="@"/>
      <fill>
        <patternFill patternType="none">
          <fgColor indexed="64"/>
          <bgColor auto="1"/>
        </patternFill>
      </fill>
      <alignment horizontal="general" vertical="bottom" textRotation="0" indent="0" justifyLastLine="0" shrinkToFit="0" readingOrder="0"/>
    </dxf>
    <dxf>
      <font>
        <strike val="0"/>
        <outline val="0"/>
        <shadow val="0"/>
        <u val="none"/>
        <vertAlign val="baseline"/>
        <sz val="11"/>
        <name val="Calibri"/>
        <scheme val="minor"/>
      </font>
      <numFmt numFmtId="30" formatCode="@"/>
      <fill>
        <patternFill patternType="none">
          <fgColor indexed="64"/>
          <bgColor auto="1"/>
        </patternFill>
      </fill>
      <alignment horizontal="general" vertical="bottom" textRotation="0" indent="0" justifyLastLine="0" shrinkToFit="0" readingOrder="0"/>
    </dxf>
    <dxf>
      <font>
        <b val="0"/>
        <strike val="0"/>
        <outline val="0"/>
        <shadow val="0"/>
        <u val="none"/>
        <vertAlign val="baseline"/>
        <sz val="11"/>
        <name val="Calibri"/>
        <scheme val="minor"/>
      </font>
      <fill>
        <patternFill patternType="none">
          <fgColor indexed="64"/>
          <bgColor auto="1"/>
        </patternFill>
      </fill>
      <alignment horizontal="left" vertical="bottom" textRotation="0" indent="0" justifyLastLine="0" shrinkToFit="0" readingOrder="0"/>
    </dxf>
    <dxf>
      <font>
        <strike val="0"/>
        <outline val="0"/>
        <shadow val="0"/>
        <u val="none"/>
        <vertAlign val="baseline"/>
        <sz val="11"/>
        <name val="Calibri"/>
        <scheme val="minor"/>
      </font>
      <fill>
        <patternFill patternType="none">
          <fgColor indexed="64"/>
          <bgColor auto="1"/>
        </patternFill>
      </fill>
      <alignment horizontal="general" textRotation="0" indent="0" justifyLastLine="0" shrinkToFit="0" readingOrder="0"/>
    </dxf>
    <dxf>
      <font>
        <b/>
        <i val="0"/>
        <strike val="0"/>
        <condense val="0"/>
        <extend val="0"/>
        <outline val="0"/>
        <shadow val="0"/>
        <u val="none"/>
        <vertAlign val="baseline"/>
        <sz val="11"/>
        <color theme="1"/>
        <name val="Calibri"/>
        <scheme val="minor"/>
      </font>
      <alignment horizontal="general" vertical="bottom" textRotation="0" wrapText="1" indent="0" justifyLastLine="0" shrinkToFit="0" readingOrder="0"/>
    </dxf>
    <dxf>
      <font>
        <strike val="0"/>
        <outline val="0"/>
        <shadow val="0"/>
        <u val="none"/>
        <vertAlign val="baseline"/>
        <sz val="11"/>
        <color auto="1"/>
        <name val="Calibri"/>
        <scheme val="minor"/>
      </font>
      <alignment horizontal="general" textRotation="0" indent="0" justifyLastLine="0" shrinkToFit="0" readingOrder="0"/>
    </dxf>
    <dxf>
      <font>
        <strike val="0"/>
        <outline val="0"/>
        <shadow val="0"/>
        <u val="none"/>
        <vertAlign val="baseline"/>
        <sz val="11"/>
        <color auto="1"/>
        <name val="Calibri"/>
        <scheme val="minor"/>
      </font>
      <alignment horizontal="general" textRotation="0" indent="0" justifyLastLine="0" shrinkToFit="0" readingOrder="0"/>
    </dxf>
    <dxf>
      <font>
        <strike val="0"/>
        <outline val="0"/>
        <shadow val="0"/>
        <u val="none"/>
        <vertAlign val="baseline"/>
        <sz val="11"/>
        <color auto="1"/>
        <name val="Calibri"/>
        <scheme val="minor"/>
      </font>
      <alignment horizontal="general" textRotation="0" indent="0" justifyLastLine="0" shrinkToFit="0" readingOrder="0"/>
    </dxf>
    <dxf>
      <font>
        <strike val="0"/>
        <outline val="0"/>
        <shadow val="0"/>
        <u val="none"/>
        <vertAlign val="baseline"/>
        <sz val="11"/>
        <color auto="1"/>
        <name val="Calibri"/>
        <scheme val="minor"/>
      </font>
      <alignment horizontal="general" textRotation="0" indent="0" justifyLastLine="0" shrinkToFit="0" readingOrder="0"/>
    </dxf>
    <dxf>
      <font>
        <strike val="0"/>
        <outline val="0"/>
        <shadow val="0"/>
        <u val="none"/>
        <vertAlign val="baseline"/>
        <sz val="11"/>
        <color auto="1"/>
        <name val="Calibri"/>
        <scheme val="minor"/>
      </font>
      <alignment horizontal="general" textRotation="0" indent="0" justifyLastLine="0" shrinkToFit="0" readingOrder="0"/>
    </dxf>
    <dxf>
      <font>
        <strike val="0"/>
        <outline val="0"/>
        <shadow val="0"/>
        <u val="none"/>
        <vertAlign val="baseline"/>
        <sz val="11"/>
        <color auto="1"/>
        <name val="Calibri"/>
        <scheme val="minor"/>
      </font>
      <alignment horizontal="general" textRotation="0" indent="0" justifyLastLine="0" shrinkToFit="0" readingOrder="0"/>
    </dxf>
    <dxf>
      <font>
        <b val="0"/>
        <i val="0"/>
        <strike val="0"/>
        <condense val="0"/>
        <extend val="0"/>
        <outline val="0"/>
        <shadow val="0"/>
        <u val="none"/>
        <vertAlign val="baseline"/>
        <sz val="11"/>
        <color auto="1"/>
        <name val="Calibri"/>
        <scheme val="minor"/>
      </font>
      <alignment horizontal="general" textRotation="0" indent="0" justifyLastLine="0" shrinkToFit="0" readingOrder="0"/>
    </dxf>
    <dxf>
      <font>
        <strike val="0"/>
        <outline val="0"/>
        <shadow val="0"/>
        <u val="none"/>
        <vertAlign val="baseline"/>
        <sz val="11"/>
        <color auto="1"/>
        <name val="Calibri"/>
        <scheme val="minor"/>
      </font>
      <alignment horizontal="general" textRotation="0" indent="0" justifyLastLine="0" shrinkToFit="0" readingOrder="0"/>
    </dxf>
    <dxf>
      <font>
        <strike val="0"/>
        <outline val="0"/>
        <shadow val="0"/>
        <u val="none"/>
        <vertAlign val="baseline"/>
        <sz val="11"/>
        <color auto="1"/>
        <name val="Calibri"/>
        <scheme val="minor"/>
      </font>
      <alignment horizontal="general" textRotation="0" indent="0" justifyLastLine="0" shrinkToFit="0" readingOrder="0"/>
    </dxf>
    <dxf>
      <font>
        <strike val="0"/>
        <outline val="0"/>
        <shadow val="0"/>
        <u val="none"/>
        <vertAlign val="baseline"/>
        <sz val="11"/>
        <color auto="1"/>
        <name val="Calibri"/>
        <scheme val="minor"/>
      </font>
      <alignment horizontal="general" textRotation="0" indent="0" justifyLastLine="0" shrinkToFit="0" readingOrder="0"/>
    </dxf>
    <dxf>
      <font>
        <b val="0"/>
        <i val="0"/>
        <strike val="0"/>
        <condense val="0"/>
        <extend val="0"/>
        <outline val="0"/>
        <shadow val="0"/>
        <u val="none"/>
        <vertAlign val="baseline"/>
        <sz val="11"/>
        <color auto="1"/>
        <name val="Calibri"/>
        <scheme val="minor"/>
      </font>
      <alignment horizontal="general" vertical="bottom" textRotation="0" indent="0" justifyLastLine="0" shrinkToFit="0" readingOrder="0"/>
    </dxf>
    <dxf>
      <font>
        <b val="0"/>
        <i val="0"/>
        <strike val="0"/>
        <condense val="0"/>
        <extend val="0"/>
        <outline val="0"/>
        <shadow val="0"/>
        <u val="none"/>
        <vertAlign val="baseline"/>
        <sz val="11"/>
        <color auto="1"/>
        <name val="Calibri"/>
        <scheme val="minor"/>
      </font>
      <alignment horizontal="left" vertical="center" textRotation="0" wrapText="0" indent="0" justifyLastLine="0" shrinkToFit="0" readingOrder="0"/>
    </dxf>
    <dxf>
      <font>
        <b val="0"/>
        <i val="0"/>
        <strike val="0"/>
        <condense val="0"/>
        <extend val="0"/>
        <outline val="0"/>
        <shadow val="0"/>
        <u val="none"/>
        <vertAlign val="baseline"/>
        <sz val="11"/>
        <color auto="1"/>
        <name val="Calibri"/>
        <scheme val="minor"/>
      </font>
      <numFmt numFmtId="2" formatCode="0.00"/>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1"/>
        <color auto="1"/>
        <name val="Calibri"/>
        <scheme val="minor"/>
      </font>
      <alignment horizontal="general" vertical="bottom" textRotation="0" indent="0" justifyLastLine="0" shrinkToFit="0" readingOrder="0"/>
    </dxf>
    <dxf>
      <font>
        <b val="0"/>
        <i val="0"/>
        <strike val="0"/>
        <condense val="0"/>
        <extend val="0"/>
        <outline val="0"/>
        <shadow val="0"/>
        <u val="none"/>
        <vertAlign val="baseline"/>
        <sz val="11"/>
        <color auto="1"/>
        <name val="Calibri"/>
        <scheme val="minor"/>
      </font>
      <alignment horizontal="general" vertical="bottom" textRotation="0" indent="0" justifyLastLine="0" shrinkToFit="0" readingOrder="0"/>
    </dxf>
    <dxf>
      <font>
        <b val="0"/>
        <i val="0"/>
        <strike val="0"/>
        <condense val="0"/>
        <extend val="0"/>
        <outline val="0"/>
        <shadow val="0"/>
        <u val="none"/>
        <vertAlign val="baseline"/>
        <sz val="11"/>
        <color auto="1"/>
        <name val="Calibri"/>
        <scheme val="minor"/>
      </font>
      <alignment horizontal="general" vertical="bottom" textRotation="0" indent="0" justifyLastLine="0" shrinkToFit="0" readingOrder="0"/>
    </dxf>
    <dxf>
      <font>
        <b val="0"/>
        <i val="0"/>
        <strike val="0"/>
        <condense val="0"/>
        <extend val="0"/>
        <outline val="0"/>
        <shadow val="0"/>
        <u val="none"/>
        <vertAlign val="baseline"/>
        <sz val="11"/>
        <color auto="1"/>
        <name val="Calibri"/>
        <scheme val="minor"/>
      </font>
      <alignment horizontal="general" vertical="bottom" textRotation="0" indent="0" justifyLastLine="0" shrinkToFit="0" readingOrder="0"/>
    </dxf>
    <dxf>
      <font>
        <b val="0"/>
        <i val="0"/>
        <strike val="0"/>
        <condense val="0"/>
        <extend val="0"/>
        <outline val="0"/>
        <shadow val="0"/>
        <u val="none"/>
        <vertAlign val="baseline"/>
        <sz val="11"/>
        <color auto="1"/>
        <name val="Calibri"/>
        <scheme val="minor"/>
      </font>
      <alignment horizontal="general" vertical="bottom" textRotation="0" indent="0" justifyLastLine="0" shrinkToFit="0" readingOrder="0"/>
    </dxf>
    <dxf>
      <font>
        <strike val="0"/>
        <outline val="0"/>
        <shadow val="0"/>
        <u val="none"/>
        <vertAlign val="baseline"/>
        <sz val="11"/>
        <color auto="1"/>
        <name val="Calibri"/>
        <scheme val="minor"/>
      </font>
      <fill>
        <patternFill patternType="none">
          <fgColor indexed="64"/>
          <bgColor indexed="65"/>
        </patternFill>
      </fill>
      <alignment horizontal="left" vertical="center" textRotation="0" wrapText="0" indent="0" justifyLastLine="0" shrinkToFit="0" readingOrder="0"/>
    </dxf>
    <dxf>
      <font>
        <strike val="0"/>
        <outline val="0"/>
        <shadow val="0"/>
        <u val="none"/>
        <vertAlign val="baseline"/>
        <sz val="11"/>
        <color auto="1"/>
        <name val="Calibri"/>
        <scheme val="minor"/>
      </font>
      <numFmt numFmtId="0" formatCode="General"/>
      <alignment horizontal="general" vertical="bottom" textRotation="0" indent="0" justifyLastLine="0" shrinkToFit="0" readingOrder="0"/>
    </dxf>
    <dxf>
      <font>
        <strike val="0"/>
        <outline val="0"/>
        <shadow val="0"/>
        <u val="none"/>
        <vertAlign val="baseline"/>
        <sz val="11"/>
        <color auto="1"/>
        <name val="Calibri"/>
        <scheme val="minor"/>
      </font>
      <numFmt numFmtId="0" formatCode="General"/>
      <alignment horizontal="general" vertical="bottom" textRotation="0" indent="0" justifyLastLine="0" shrinkToFit="0" readingOrder="0"/>
    </dxf>
    <dxf>
      <font>
        <strike val="0"/>
        <outline val="0"/>
        <shadow val="0"/>
        <u val="none"/>
        <vertAlign val="baseline"/>
        <sz val="11"/>
        <color auto="1"/>
        <name val="Calibri"/>
        <scheme val="minor"/>
      </font>
      <numFmt numFmtId="169" formatCode="0.000"/>
      <alignment horizontal="general" vertical="bottom" textRotation="0" wrapText="0" indent="0" justifyLastLine="0" shrinkToFit="0" readingOrder="0"/>
    </dxf>
    <dxf>
      <font>
        <strike val="0"/>
        <outline val="0"/>
        <shadow val="0"/>
        <u val="none"/>
        <vertAlign val="baseline"/>
        <sz val="11"/>
        <color auto="1"/>
        <name val="Calibri"/>
        <scheme val="minor"/>
      </font>
      <numFmt numFmtId="0" formatCode="General"/>
      <alignment horizontal="general" vertical="bottom" textRotation="0" indent="0" justifyLastLine="0" shrinkToFit="0" readingOrder="0"/>
    </dxf>
    <dxf>
      <font>
        <strike val="0"/>
        <outline val="0"/>
        <shadow val="0"/>
        <u val="none"/>
        <vertAlign val="baseline"/>
        <sz val="11"/>
        <color auto="1"/>
        <name val="Calibri"/>
        <scheme val="minor"/>
      </font>
      <numFmt numFmtId="4" formatCode="#,##0.00"/>
      <alignment horizontal="general" vertical="bottom" textRotation="0" wrapText="0" indent="0" justifyLastLine="0" shrinkToFit="0" readingOrder="0"/>
    </dxf>
    <dxf>
      <font>
        <strike val="0"/>
        <outline val="0"/>
        <shadow val="0"/>
        <u val="none"/>
        <vertAlign val="baseline"/>
        <sz val="11"/>
        <color auto="1"/>
        <name val="Calibri"/>
        <scheme val="minor"/>
      </font>
      <numFmt numFmtId="4" formatCode="#,##0.00"/>
      <alignment horizontal="general" vertical="bottom" textRotation="0" wrapText="0" indent="0" justifyLastLine="0" shrinkToFit="0" readingOrder="0"/>
    </dxf>
    <dxf>
      <font>
        <strike val="0"/>
        <outline val="0"/>
        <shadow val="0"/>
        <u val="none"/>
        <vertAlign val="baseline"/>
        <sz val="11"/>
        <color auto="1"/>
        <name val="Calibri"/>
        <scheme val="minor"/>
      </font>
      <alignment horizontal="left" vertical="center" textRotation="0" wrapText="0" indent="0" justifyLastLine="0" shrinkToFit="0" readingOrder="0"/>
    </dxf>
    <dxf>
      <font>
        <strike val="0"/>
        <outline val="0"/>
        <shadow val="0"/>
        <u val="none"/>
        <vertAlign val="baseline"/>
        <sz val="11"/>
        <color auto="1"/>
        <name val="Calibri"/>
        <scheme val="minor"/>
      </font>
      <numFmt numFmtId="19" formatCode="m/d/yyyy"/>
      <alignment horizontal="general" vertical="bottom" textRotation="0" wrapText="0" indent="0" justifyLastLine="0" shrinkToFit="0" readingOrder="0"/>
    </dxf>
    <dxf>
      <font>
        <strike val="0"/>
        <outline val="0"/>
        <shadow val="0"/>
        <u val="none"/>
        <vertAlign val="baseline"/>
        <sz val="11"/>
        <color auto="1"/>
        <name val="Calibri"/>
        <scheme val="minor"/>
      </font>
      <numFmt numFmtId="0" formatCode="General"/>
      <alignment horizontal="general" vertical="bottom" textRotation="0" wrapText="0" indent="0" justifyLastLine="0" shrinkToFit="0" readingOrder="0"/>
    </dxf>
    <dxf>
      <font>
        <strike val="0"/>
        <outline val="0"/>
        <shadow val="0"/>
        <u val="none"/>
        <vertAlign val="baseline"/>
        <sz val="11"/>
        <color auto="1"/>
        <name val="Calibri"/>
        <scheme val="minor"/>
      </font>
      <numFmt numFmtId="30" formatCode="@"/>
      <alignment horizontal="general" vertical="bottom" textRotation="0" indent="0" justifyLastLine="0" shrinkToFit="0" readingOrder="0"/>
    </dxf>
    <dxf>
      <font>
        <strike val="0"/>
        <outline val="0"/>
        <shadow val="0"/>
        <u val="none"/>
        <vertAlign val="baseline"/>
        <sz val="11"/>
        <color auto="1"/>
        <name val="Calibri"/>
        <scheme val="minor"/>
      </font>
      <alignment horizontal="general" vertical="bottom" textRotation="0" indent="0" justifyLastLine="0" shrinkToFit="0" readingOrder="0"/>
    </dxf>
    <dxf>
      <font>
        <strike val="0"/>
        <outline val="0"/>
        <shadow val="0"/>
        <u val="none"/>
        <vertAlign val="baseline"/>
        <sz val="11"/>
        <color auto="1"/>
        <name val="Calibri"/>
        <scheme val="minor"/>
      </font>
      <alignment horizontal="general" vertical="bottom" textRotation="0" indent="0" justifyLastLine="0" shrinkToFit="0" readingOrder="0"/>
    </dxf>
    <dxf>
      <font>
        <strike val="0"/>
        <outline val="0"/>
        <shadow val="0"/>
        <u val="none"/>
        <vertAlign val="baseline"/>
        <sz val="11"/>
        <color auto="1"/>
        <name val="Calibri"/>
        <scheme val="minor"/>
      </font>
      <alignment horizontal="left" vertical="center" textRotation="0" wrapText="0" indent="0" justifyLastLine="0" shrinkToFit="0" readingOrder="0"/>
    </dxf>
    <dxf>
      <font>
        <strike val="0"/>
        <outline val="0"/>
        <shadow val="0"/>
        <u val="none"/>
        <vertAlign val="baseline"/>
        <sz val="11"/>
        <color auto="1"/>
        <name val="Calibri"/>
        <scheme val="minor"/>
      </font>
      <alignment horizontal="general" vertical="bottom" textRotation="0" indent="0" justifyLastLine="0" shrinkToFit="0" readingOrder="0"/>
    </dxf>
    <dxf>
      <font>
        <strike val="0"/>
        <outline val="0"/>
        <shadow val="0"/>
        <u val="none"/>
        <vertAlign val="baseline"/>
        <sz val="11"/>
        <color auto="1"/>
        <name val="Calibri"/>
        <scheme val="minor"/>
      </font>
      <alignment horizontal="general" vertical="bottom" textRotation="0" wrapText="0" indent="0" justifyLastLine="0" shrinkToFit="0" readingOrder="0"/>
    </dxf>
    <dxf>
      <font>
        <strike val="0"/>
        <outline val="0"/>
        <shadow val="0"/>
        <u val="none"/>
        <vertAlign val="baseline"/>
        <sz val="11"/>
        <color auto="1"/>
        <name val="Calibri"/>
        <scheme val="minor"/>
      </font>
      <alignment horizontal="general" vertical="bottom" textRotation="0" indent="0" justifyLastLine="0" shrinkToFit="0" readingOrder="0"/>
    </dxf>
    <dxf>
      <font>
        <strike val="0"/>
        <outline val="0"/>
        <shadow val="0"/>
        <u val="none"/>
        <vertAlign val="baseline"/>
        <sz val="11"/>
        <color auto="1"/>
        <name val="Calibri"/>
        <scheme val="minor"/>
      </font>
      <alignment horizontal="general" vertical="bottom" textRotation="0" indent="0" justifyLastLine="0" shrinkToFit="0" readingOrder="0"/>
    </dxf>
    <dxf>
      <font>
        <strike val="0"/>
        <outline val="0"/>
        <shadow val="0"/>
        <u val="none"/>
        <vertAlign val="baseline"/>
        <sz val="11"/>
        <color auto="1"/>
        <name val="Calibri"/>
        <scheme val="minor"/>
      </font>
      <numFmt numFmtId="0" formatCode="General"/>
      <alignment horizontal="general" vertical="bottom" textRotation="0" indent="0" justifyLastLine="0" shrinkToFit="0" readingOrder="0"/>
    </dxf>
    <dxf>
      <font>
        <strike val="0"/>
        <outline val="0"/>
        <shadow val="0"/>
        <u val="none"/>
        <vertAlign val="baseline"/>
        <sz val="11"/>
        <color auto="1"/>
        <name val="Calibri"/>
        <scheme val="minor"/>
      </font>
      <numFmt numFmtId="30" formatCode="@"/>
      <alignment horizontal="general" vertical="bottom" textRotation="0" indent="0" justifyLastLine="0" shrinkToFit="0" readingOrder="0"/>
    </dxf>
    <dxf>
      <font>
        <strike val="0"/>
        <outline val="0"/>
        <shadow val="0"/>
        <u val="none"/>
        <vertAlign val="baseline"/>
        <sz val="11"/>
        <color auto="1"/>
        <name val="Calibri"/>
        <scheme val="minor"/>
      </font>
      <numFmt numFmtId="1" formatCode="0"/>
      <alignment horizontal="left" vertical="bottom" textRotation="0" indent="0" justifyLastLine="0" shrinkToFit="0" readingOrder="0"/>
    </dxf>
    <dxf>
      <font>
        <strike val="0"/>
        <outline val="0"/>
        <shadow val="0"/>
        <u val="none"/>
        <vertAlign val="baseline"/>
        <sz val="11"/>
        <color auto="1"/>
        <name val="Calibri"/>
        <scheme val="minor"/>
      </font>
      <alignment horizontal="general" textRotation="0" indent="0" justifyLastLine="0" shrinkToFit="0" readingOrder="0"/>
    </dxf>
    <dxf>
      <font>
        <b/>
        <i val="0"/>
        <strike val="0"/>
        <condense val="0"/>
        <extend val="0"/>
        <outline val="0"/>
        <shadow val="0"/>
        <u val="none"/>
        <vertAlign val="baseline"/>
        <sz val="11"/>
        <color auto="1"/>
        <name val="Calibri"/>
        <scheme val="minor"/>
      </font>
      <alignment horizontal="general" vertical="bottom" textRotation="0" wrapText="1" indent="0" justifyLastLine="0" shrinkToFit="0" readingOrder="0"/>
    </dxf>
    <dxf>
      <border outline="0">
        <top style="thin">
          <color theme="4" tint="0.39997558519241921"/>
        </top>
      </border>
    </dxf>
    <dxf>
      <border outline="0">
        <bottom style="thin">
          <color theme="4" tint="0.39997558519241921"/>
        </bottom>
      </border>
    </dxf>
    <dxf>
      <font>
        <b/>
        <i val="0"/>
        <strike val="0"/>
        <condense val="0"/>
        <extend val="0"/>
        <outline val="0"/>
        <shadow val="0"/>
        <u val="none"/>
        <vertAlign val="baseline"/>
        <sz val="11"/>
        <color theme="0"/>
        <name val="Calibri"/>
        <family val="2"/>
        <scheme val="minor"/>
      </font>
      <fill>
        <patternFill patternType="solid">
          <fgColor theme="4"/>
          <bgColor theme="4"/>
        </patternFill>
      </fill>
      <alignment horizontal="general" vertical="bottom" textRotation="0" wrapText="1" indent="0" justifyLastLine="0" shrinkToFit="0" readingOrder="0"/>
    </dxf>
    <dxf>
      <border outline="0">
        <top style="thin">
          <color theme="4" tint="0.39997558519241921"/>
        </top>
      </border>
    </dxf>
    <dxf>
      <border outline="0">
        <left style="thin">
          <color theme="4" tint="0.39997558519241921"/>
        </left>
        <right style="thin">
          <color theme="4" tint="0.39997558519241921"/>
        </right>
        <top style="thin">
          <color theme="4" tint="0.39997558519241921"/>
        </top>
        <bottom style="thin">
          <color theme="4" tint="0.39997558519241921"/>
        </bottom>
      </border>
    </dxf>
    <dxf>
      <border outline="0">
        <bottom style="thin">
          <color theme="4" tint="0.39997558519241921"/>
        </bottom>
      </border>
    </dxf>
    <dxf>
      <font>
        <b/>
        <i val="0"/>
        <strike val="0"/>
        <condense val="0"/>
        <extend val="0"/>
        <outline val="0"/>
        <shadow val="0"/>
        <u val="none"/>
        <vertAlign val="baseline"/>
        <sz val="11"/>
        <color theme="0"/>
        <name val="Calibri"/>
        <family val="2"/>
        <scheme val="minor"/>
      </font>
      <fill>
        <patternFill patternType="solid">
          <fgColor theme="4"/>
          <bgColor theme="4"/>
        </patternFill>
      </fill>
    </dxf>
    <dxf>
      <numFmt numFmtId="181" formatCode="_(* #,##0_);_(* \(#,##0\);_(* &quot;-&quot;??_);_(@_)"/>
    </dxf>
    <dxf>
      <numFmt numFmtId="2" formatCode="0.00"/>
    </dxf>
    <dxf>
      <alignment horizontal="general" vertical="bottom" textRotation="0" wrapText="1" indent="0" justifyLastLine="0" shrinkToFit="0" readingOrder="0"/>
    </dxf>
    <dxf>
      <fill>
        <patternFill patternType="solid">
          <fgColor indexed="64"/>
          <bgColor theme="7" tint="0.39997558519241921"/>
        </patternFill>
      </fill>
    </dxf>
    <dxf>
      <fill>
        <patternFill patternType="solid">
          <fgColor indexed="64"/>
          <bgColor theme="7" tint="0.39997558519241921"/>
        </patternFill>
      </fill>
    </dxf>
    <dxf>
      <fill>
        <patternFill patternType="solid">
          <fgColor indexed="64"/>
          <bgColor theme="7" tint="0.39997558519241921"/>
        </patternFill>
      </fill>
    </dxf>
    <dxf>
      <alignment horizontal="general" vertical="bottom" textRotation="0" wrapText="1" indent="0" justifyLastLine="0" shrinkToFit="0" readingOrder="0"/>
      <protection locked="1" hidden="0"/>
    </dxf>
    <dxf>
      <numFmt numFmtId="180" formatCode="0.0000000000"/>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numFmt numFmtId="2" formatCode="0.00"/>
    </dxf>
    <dxf>
      <numFmt numFmtId="169" formatCode="0.000"/>
    </dxf>
    <dxf>
      <numFmt numFmtId="169" formatCode="0.000"/>
    </dxf>
    <dxf>
      <numFmt numFmtId="169" formatCode="0.000"/>
    </dxf>
    <dxf>
      <numFmt numFmtId="169" formatCode="0.000"/>
    </dxf>
    <dxf>
      <numFmt numFmtId="169" formatCode="0.000"/>
    </dxf>
    <dxf>
      <numFmt numFmtId="169" formatCode="0.000"/>
    </dxf>
    <dxf>
      <numFmt numFmtId="169" formatCode="0.000"/>
    </dxf>
    <dxf>
      <numFmt numFmtId="169" formatCode="0.000"/>
    </dxf>
    <dxf>
      <numFmt numFmtId="169" formatCode="0.000"/>
    </dxf>
    <dxf>
      <numFmt numFmtId="169" formatCode="0.000"/>
    </dxf>
    <dxf>
      <numFmt numFmtId="169" formatCode="0.000"/>
    </dxf>
    <dxf>
      <numFmt numFmtId="169" formatCode="0.000"/>
    </dxf>
  </dxfs>
  <tableStyles count="0" defaultTableStyle="TableStyleMedium2" defaultPivotStyle="PivotStyleLight16"/>
  <colors>
    <mruColors>
      <color rgb="FF54BCEB"/>
      <color rgb="FFFFDD00"/>
      <color rgb="FF00334E"/>
      <color rgb="FFAFAFB1"/>
      <color rgb="FFD0D0D2"/>
      <color rgb="FFF7941E"/>
      <color rgb="FF807F83"/>
      <color rgb="FFB7E3F7"/>
      <color rgb="FF8BD1F1"/>
      <color rgb="FF1A9DD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haredStrings" Target="sharedStrings.xml"/><Relationship Id="rId45"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sheetMetadata" Target="metadata.xml"/></Relationships>
</file>

<file path=xl/ctrlProps/ctrlProp1.xml><?xml version="1.0" encoding="utf-8"?>
<formControlPr xmlns="http://schemas.microsoft.com/office/spreadsheetml/2009/9/main" objectType="CheckBox" fmlaLink="$AU$18" lockText="1" noThreeD="1"/>
</file>

<file path=xl/ctrlProps/ctrlProp10.xml><?xml version="1.0" encoding="utf-8"?>
<formControlPr xmlns="http://schemas.microsoft.com/office/spreadsheetml/2009/9/main" objectType="CheckBox" fmlaLink="$AU$27" lockText="1" noThreeD="1"/>
</file>

<file path=xl/ctrlProps/ctrlProp11.xml><?xml version="1.0" encoding="utf-8"?>
<formControlPr xmlns="http://schemas.microsoft.com/office/spreadsheetml/2009/9/main" objectType="CheckBox" fmlaLink="$AU$28" lockText="1" noThreeD="1"/>
</file>

<file path=xl/ctrlProps/ctrlProp12.xml><?xml version="1.0" encoding="utf-8"?>
<formControlPr xmlns="http://schemas.microsoft.com/office/spreadsheetml/2009/9/main" objectType="CheckBox" fmlaLink="TEMPLATE!$C$169"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fmlaLink="$AU$19"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fmlaLink="$AU$20" lockText="1" noThreeD="1"/>
</file>

<file path=xl/ctrlProps/ctrlProp4.xml><?xml version="1.0" encoding="utf-8"?>
<formControlPr xmlns="http://schemas.microsoft.com/office/spreadsheetml/2009/9/main" objectType="CheckBox" fmlaLink="$AU$21" lockText="1" noThreeD="1"/>
</file>

<file path=xl/ctrlProps/ctrlProp5.xml><?xml version="1.0" encoding="utf-8"?>
<formControlPr xmlns="http://schemas.microsoft.com/office/spreadsheetml/2009/9/main" objectType="CheckBox" fmlaLink="$AU$22" lockText="1" noThreeD="1"/>
</file>

<file path=xl/ctrlProps/ctrlProp6.xml><?xml version="1.0" encoding="utf-8"?>
<formControlPr xmlns="http://schemas.microsoft.com/office/spreadsheetml/2009/9/main" objectType="CheckBox" fmlaLink="$AU$23" lockText="1" noThreeD="1"/>
</file>

<file path=xl/ctrlProps/ctrlProp7.xml><?xml version="1.0" encoding="utf-8"?>
<formControlPr xmlns="http://schemas.microsoft.com/office/spreadsheetml/2009/9/main" objectType="CheckBox" fmlaLink="$AU$24" lockText="1" noThreeD="1"/>
</file>

<file path=xl/ctrlProps/ctrlProp8.xml><?xml version="1.0" encoding="utf-8"?>
<formControlPr xmlns="http://schemas.microsoft.com/office/spreadsheetml/2009/9/main" objectType="CheckBox" fmlaLink="$AU$25" lockText="1" noThreeD="1"/>
</file>

<file path=xl/ctrlProps/ctrlProp9.xml><?xml version="1.0" encoding="utf-8"?>
<formControlPr xmlns="http://schemas.microsoft.com/office/spreadsheetml/2009/9/main" objectType="CheckBox" fmlaLink="$AU$26" lockText="1" noThreeD="1"/>
</file>

<file path=xl/drawings/_rels/drawing1.xml.rels><?xml version="1.0" encoding="UTF-8" standalone="yes"?>
<Relationships xmlns="http://schemas.openxmlformats.org/package/2006/relationships"><Relationship Id="rId8" Type="http://schemas.openxmlformats.org/officeDocument/2006/relationships/hyperlink" Target="#'M04-S01'!A1"/><Relationship Id="rId13" Type="http://schemas.openxmlformats.org/officeDocument/2006/relationships/hyperlink" Target="#'M01-S05'!A1"/><Relationship Id="rId3" Type="http://schemas.openxmlformats.org/officeDocument/2006/relationships/hyperlink" Target="#'M01-S07'!A1"/><Relationship Id="rId7" Type="http://schemas.openxmlformats.org/officeDocument/2006/relationships/hyperlink" Target="#'M03-S01'!A1"/><Relationship Id="rId12" Type="http://schemas.openxmlformats.org/officeDocument/2006/relationships/hyperlink" Target="#'M01-S04'!A1"/><Relationship Id="rId2" Type="http://schemas.openxmlformats.org/officeDocument/2006/relationships/hyperlink" Target="#'M01-S06'!A1"/><Relationship Id="rId16" Type="http://schemas.openxmlformats.org/officeDocument/2006/relationships/hyperlink" Target="https://www.nipsco.com/docs/default-source/efficiency-docs/nipsco-incentive-application.xlsx" TargetMode="External"/><Relationship Id="rId1" Type="http://schemas.openxmlformats.org/officeDocument/2006/relationships/hyperlink" Target="#'M01-S01'!A1"/><Relationship Id="rId6" Type="http://schemas.openxmlformats.org/officeDocument/2006/relationships/hyperlink" Target="#'M02-S01'!A1"/><Relationship Id="rId11" Type="http://schemas.openxmlformats.org/officeDocument/2006/relationships/hyperlink" Target="#'M01-S03'!A1"/><Relationship Id="rId5" Type="http://schemas.openxmlformats.org/officeDocument/2006/relationships/hyperlink" Target="#'M01-S02'!C6"/><Relationship Id="rId15" Type="http://schemas.openxmlformats.org/officeDocument/2006/relationships/image" Target="../media/image2.jpeg"/><Relationship Id="rId10" Type="http://schemas.openxmlformats.org/officeDocument/2006/relationships/hyperlink" Target="#'M01-S02'!A1"/><Relationship Id="rId4" Type="http://schemas.openxmlformats.org/officeDocument/2006/relationships/hyperlink" Target="#'M01-S08'!A1"/><Relationship Id="rId9" Type="http://schemas.openxmlformats.org/officeDocument/2006/relationships/hyperlink" Target="#'M05-S01'!A1"/><Relationship Id="rId14" Type="http://schemas.openxmlformats.org/officeDocument/2006/relationships/image" Target="../media/image1.png"/></Relationships>
</file>

<file path=xl/drawings/_rels/drawing10.xml.rels><?xml version="1.0" encoding="UTF-8" standalone="yes"?>
<Relationships xmlns="http://schemas.openxmlformats.org/package/2006/relationships"><Relationship Id="rId8" Type="http://schemas.openxmlformats.org/officeDocument/2006/relationships/hyperlink" Target="#'M03-S06'!A1"/><Relationship Id="rId13" Type="http://schemas.openxmlformats.org/officeDocument/2006/relationships/hyperlink" Target="#'M04-S01'!A1"/><Relationship Id="rId3" Type="http://schemas.openxmlformats.org/officeDocument/2006/relationships/hyperlink" Target="#'M03-S03'!A1"/><Relationship Id="rId7" Type="http://schemas.openxmlformats.org/officeDocument/2006/relationships/hyperlink" Target="#'M03-S09'!C16"/><Relationship Id="rId12" Type="http://schemas.openxmlformats.org/officeDocument/2006/relationships/hyperlink" Target="#'M02-S01'!A1"/><Relationship Id="rId2" Type="http://schemas.openxmlformats.org/officeDocument/2006/relationships/hyperlink" Target="#'M03-S02'!A1"/><Relationship Id="rId16" Type="http://schemas.openxmlformats.org/officeDocument/2006/relationships/image" Target="../media/image1.png"/><Relationship Id="rId1" Type="http://schemas.openxmlformats.org/officeDocument/2006/relationships/hyperlink" Target="#'M03-S01'!A1"/><Relationship Id="rId6" Type="http://schemas.openxmlformats.org/officeDocument/2006/relationships/hyperlink" Target="#'M03-S08'!C16"/><Relationship Id="rId11" Type="http://schemas.openxmlformats.org/officeDocument/2006/relationships/hyperlink" Target="#'M01-S01'!A1"/><Relationship Id="rId5" Type="http://schemas.openxmlformats.org/officeDocument/2006/relationships/hyperlink" Target="#'M03-S05'!A1"/><Relationship Id="rId15" Type="http://schemas.openxmlformats.org/officeDocument/2006/relationships/hyperlink" Target="#'M02-S04'!J13"/><Relationship Id="rId10" Type="http://schemas.openxmlformats.org/officeDocument/2006/relationships/hyperlink" Target="#'M03-S02'!C16"/><Relationship Id="rId4" Type="http://schemas.openxmlformats.org/officeDocument/2006/relationships/hyperlink" Target="#'M03-S04'!A1"/><Relationship Id="rId9" Type="http://schemas.openxmlformats.org/officeDocument/2006/relationships/hyperlink" Target="#'M03-S07'!A1"/><Relationship Id="rId14" Type="http://schemas.openxmlformats.org/officeDocument/2006/relationships/hyperlink" Target="#'M05-S01'!A1"/></Relationships>
</file>

<file path=xl/drawings/_rels/drawing11.xml.rels><?xml version="1.0" encoding="UTF-8" standalone="yes"?>
<Relationships xmlns="http://schemas.openxmlformats.org/package/2006/relationships"><Relationship Id="rId8" Type="http://schemas.openxmlformats.org/officeDocument/2006/relationships/hyperlink" Target="#'M03-S07'!A1"/><Relationship Id="rId13" Type="http://schemas.openxmlformats.org/officeDocument/2006/relationships/hyperlink" Target="#'M05-S01'!A1"/><Relationship Id="rId3" Type="http://schemas.openxmlformats.org/officeDocument/2006/relationships/hyperlink" Target="#'M03-S04'!A1"/><Relationship Id="rId7" Type="http://schemas.openxmlformats.org/officeDocument/2006/relationships/hyperlink" Target="#'M03-S06'!A1"/><Relationship Id="rId12" Type="http://schemas.openxmlformats.org/officeDocument/2006/relationships/hyperlink" Target="#'M04-S01'!A1"/><Relationship Id="rId2" Type="http://schemas.openxmlformats.org/officeDocument/2006/relationships/hyperlink" Target="#'M03-S03'!A1"/><Relationship Id="rId16" Type="http://schemas.openxmlformats.org/officeDocument/2006/relationships/image" Target="../media/image1.png"/><Relationship Id="rId1" Type="http://schemas.openxmlformats.org/officeDocument/2006/relationships/hyperlink" Target="#'M03-S01'!A1"/><Relationship Id="rId6" Type="http://schemas.openxmlformats.org/officeDocument/2006/relationships/hyperlink" Target="#'M03-S09'!C16"/><Relationship Id="rId11" Type="http://schemas.openxmlformats.org/officeDocument/2006/relationships/hyperlink" Target="#'M02-S01'!A1"/><Relationship Id="rId5" Type="http://schemas.openxmlformats.org/officeDocument/2006/relationships/hyperlink" Target="#'M03-S08'!C16"/><Relationship Id="rId15" Type="http://schemas.openxmlformats.org/officeDocument/2006/relationships/hyperlink" Target="#'M03-S01'!C16"/><Relationship Id="rId10" Type="http://schemas.openxmlformats.org/officeDocument/2006/relationships/hyperlink" Target="#'M01-S01'!A1"/><Relationship Id="rId4" Type="http://schemas.openxmlformats.org/officeDocument/2006/relationships/hyperlink" Target="#'M03-S05'!A1"/><Relationship Id="rId9" Type="http://schemas.openxmlformats.org/officeDocument/2006/relationships/hyperlink" Target="#'M03-S03'!C16"/><Relationship Id="rId14" Type="http://schemas.openxmlformats.org/officeDocument/2006/relationships/hyperlink" Target="#'M03-S02'!A1"/></Relationships>
</file>

<file path=xl/drawings/_rels/drawing12.xml.rels><?xml version="1.0" encoding="UTF-8" standalone="yes"?>
<Relationships xmlns="http://schemas.openxmlformats.org/package/2006/relationships"><Relationship Id="rId8" Type="http://schemas.openxmlformats.org/officeDocument/2006/relationships/hyperlink" Target="#'M03-S07'!A1"/><Relationship Id="rId13" Type="http://schemas.openxmlformats.org/officeDocument/2006/relationships/hyperlink" Target="#'M05-S01'!A1"/><Relationship Id="rId3" Type="http://schemas.openxmlformats.org/officeDocument/2006/relationships/hyperlink" Target="#'M03-S04'!A1"/><Relationship Id="rId7" Type="http://schemas.openxmlformats.org/officeDocument/2006/relationships/hyperlink" Target="#'M03-S06'!A1"/><Relationship Id="rId12" Type="http://schemas.openxmlformats.org/officeDocument/2006/relationships/hyperlink" Target="#'M04-S01'!A1"/><Relationship Id="rId2" Type="http://schemas.openxmlformats.org/officeDocument/2006/relationships/hyperlink" Target="#'M03-S02'!A1"/><Relationship Id="rId16" Type="http://schemas.openxmlformats.org/officeDocument/2006/relationships/image" Target="../media/image1.png"/><Relationship Id="rId1" Type="http://schemas.openxmlformats.org/officeDocument/2006/relationships/hyperlink" Target="#'M03-S01'!A1"/><Relationship Id="rId6" Type="http://schemas.openxmlformats.org/officeDocument/2006/relationships/hyperlink" Target="#'M03-S09'!C16"/><Relationship Id="rId11" Type="http://schemas.openxmlformats.org/officeDocument/2006/relationships/hyperlink" Target="#'M02-S01'!A1"/><Relationship Id="rId5" Type="http://schemas.openxmlformats.org/officeDocument/2006/relationships/hyperlink" Target="#'M03-S08'!C16"/><Relationship Id="rId15" Type="http://schemas.openxmlformats.org/officeDocument/2006/relationships/hyperlink" Target="#'M03-S02'!C16"/><Relationship Id="rId10" Type="http://schemas.openxmlformats.org/officeDocument/2006/relationships/hyperlink" Target="#'M01-S01'!A1"/><Relationship Id="rId4" Type="http://schemas.openxmlformats.org/officeDocument/2006/relationships/hyperlink" Target="#'M03-S05'!A1"/><Relationship Id="rId9" Type="http://schemas.openxmlformats.org/officeDocument/2006/relationships/hyperlink" Target="#'M03-S04'!C16"/><Relationship Id="rId14" Type="http://schemas.openxmlformats.org/officeDocument/2006/relationships/hyperlink" Target="#'M03-S03'!A1"/></Relationships>
</file>

<file path=xl/drawings/_rels/drawing13.xml.rels><?xml version="1.0" encoding="UTF-8" standalone="yes"?>
<Relationships xmlns="http://schemas.openxmlformats.org/package/2006/relationships"><Relationship Id="rId8" Type="http://schemas.openxmlformats.org/officeDocument/2006/relationships/hyperlink" Target="#'M03-S07'!A1"/><Relationship Id="rId13" Type="http://schemas.openxmlformats.org/officeDocument/2006/relationships/hyperlink" Target="#'M03-S04'!A1"/><Relationship Id="rId3" Type="http://schemas.openxmlformats.org/officeDocument/2006/relationships/hyperlink" Target="#'M03-S03'!A1"/><Relationship Id="rId7" Type="http://schemas.openxmlformats.org/officeDocument/2006/relationships/hyperlink" Target="#'M03-S06'!A1"/><Relationship Id="rId12" Type="http://schemas.openxmlformats.org/officeDocument/2006/relationships/hyperlink" Target="#'M05-S01'!A1"/><Relationship Id="rId2" Type="http://schemas.openxmlformats.org/officeDocument/2006/relationships/hyperlink" Target="#'M03-S02'!A1"/><Relationship Id="rId16" Type="http://schemas.openxmlformats.org/officeDocument/2006/relationships/image" Target="../media/image1.png"/><Relationship Id="rId1" Type="http://schemas.openxmlformats.org/officeDocument/2006/relationships/hyperlink" Target="#'M03-S01'!A1"/><Relationship Id="rId6" Type="http://schemas.openxmlformats.org/officeDocument/2006/relationships/hyperlink" Target="#'M03-S09'!C16"/><Relationship Id="rId11" Type="http://schemas.openxmlformats.org/officeDocument/2006/relationships/hyperlink" Target="#'M04-S01'!A1"/><Relationship Id="rId5" Type="http://schemas.openxmlformats.org/officeDocument/2006/relationships/hyperlink" Target="#'M03-S08'!C16"/><Relationship Id="rId15" Type="http://schemas.openxmlformats.org/officeDocument/2006/relationships/hyperlink" Target="#'M03-S05'!C16"/><Relationship Id="rId10" Type="http://schemas.openxmlformats.org/officeDocument/2006/relationships/hyperlink" Target="#'M02-S01'!A1"/><Relationship Id="rId4" Type="http://schemas.openxmlformats.org/officeDocument/2006/relationships/hyperlink" Target="#'M03-S05'!A1"/><Relationship Id="rId9" Type="http://schemas.openxmlformats.org/officeDocument/2006/relationships/hyperlink" Target="#'M01-S01'!A1"/><Relationship Id="rId14" Type="http://schemas.openxmlformats.org/officeDocument/2006/relationships/hyperlink" Target="#'M03-S03'!C16"/></Relationships>
</file>

<file path=xl/drawings/_rels/drawing14.xml.rels><?xml version="1.0" encoding="UTF-8" standalone="yes"?>
<Relationships xmlns="http://schemas.openxmlformats.org/package/2006/relationships"><Relationship Id="rId8" Type="http://schemas.openxmlformats.org/officeDocument/2006/relationships/hyperlink" Target="#'M03-S07'!A1"/><Relationship Id="rId13" Type="http://schemas.openxmlformats.org/officeDocument/2006/relationships/hyperlink" Target="#'M03-S05'!A1"/><Relationship Id="rId3" Type="http://schemas.openxmlformats.org/officeDocument/2006/relationships/hyperlink" Target="#'M03-S03'!A1"/><Relationship Id="rId7" Type="http://schemas.openxmlformats.org/officeDocument/2006/relationships/hyperlink" Target="#'M03-S06'!A1"/><Relationship Id="rId12" Type="http://schemas.openxmlformats.org/officeDocument/2006/relationships/hyperlink" Target="#'M05-S01'!A1"/><Relationship Id="rId2" Type="http://schemas.openxmlformats.org/officeDocument/2006/relationships/hyperlink" Target="#'M03-S02'!A1"/><Relationship Id="rId1" Type="http://schemas.openxmlformats.org/officeDocument/2006/relationships/hyperlink" Target="#'M03-S01'!A1"/><Relationship Id="rId6" Type="http://schemas.openxmlformats.org/officeDocument/2006/relationships/hyperlink" Target="#'M03-S09'!C16"/><Relationship Id="rId11" Type="http://schemas.openxmlformats.org/officeDocument/2006/relationships/hyperlink" Target="#'M04-S01'!A1"/><Relationship Id="rId5" Type="http://schemas.openxmlformats.org/officeDocument/2006/relationships/hyperlink" Target="#'M03-S08'!C16"/><Relationship Id="rId15" Type="http://schemas.openxmlformats.org/officeDocument/2006/relationships/image" Target="../media/image1.png"/><Relationship Id="rId10" Type="http://schemas.openxmlformats.org/officeDocument/2006/relationships/hyperlink" Target="#'M02-S01'!A1"/><Relationship Id="rId4" Type="http://schemas.openxmlformats.org/officeDocument/2006/relationships/hyperlink" Target="#'M03-S04'!A1"/><Relationship Id="rId9" Type="http://schemas.openxmlformats.org/officeDocument/2006/relationships/hyperlink" Target="#'M01-S01'!A1"/><Relationship Id="rId14" Type="http://schemas.openxmlformats.org/officeDocument/2006/relationships/hyperlink" Target="#'M03-S04'!C16"/></Relationships>
</file>

<file path=xl/drawings/_rels/drawing15.xml.rels><?xml version="1.0" encoding="UTF-8" standalone="yes"?>
<Relationships xmlns="http://schemas.openxmlformats.org/package/2006/relationships"><Relationship Id="rId8" Type="http://schemas.openxmlformats.org/officeDocument/2006/relationships/hyperlink" Target="#'M03-S07'!A1"/><Relationship Id="rId13" Type="http://schemas.openxmlformats.org/officeDocument/2006/relationships/hyperlink" Target="#'M03-S05'!C16"/><Relationship Id="rId3" Type="http://schemas.openxmlformats.org/officeDocument/2006/relationships/hyperlink" Target="#'M03-S03'!A1"/><Relationship Id="rId7" Type="http://schemas.openxmlformats.org/officeDocument/2006/relationships/hyperlink" Target="#'M03-S06'!A1"/><Relationship Id="rId12" Type="http://schemas.openxmlformats.org/officeDocument/2006/relationships/hyperlink" Target="#'M05-S01'!A1"/><Relationship Id="rId2" Type="http://schemas.openxmlformats.org/officeDocument/2006/relationships/hyperlink" Target="#'M03-S02'!A1"/><Relationship Id="rId1" Type="http://schemas.openxmlformats.org/officeDocument/2006/relationships/hyperlink" Target="#'M03-S01'!A1"/><Relationship Id="rId6" Type="http://schemas.openxmlformats.org/officeDocument/2006/relationships/hyperlink" Target="#'M03-S09'!C16"/><Relationship Id="rId11" Type="http://schemas.openxmlformats.org/officeDocument/2006/relationships/hyperlink" Target="#'M04-S01'!A1"/><Relationship Id="rId5" Type="http://schemas.openxmlformats.org/officeDocument/2006/relationships/hyperlink" Target="#'M03-S05'!A1"/><Relationship Id="rId15" Type="http://schemas.openxmlformats.org/officeDocument/2006/relationships/hyperlink" Target="#'M03-S08'!C16"/><Relationship Id="rId10" Type="http://schemas.openxmlformats.org/officeDocument/2006/relationships/hyperlink" Target="#'M02-S01'!A1"/><Relationship Id="rId4" Type="http://schemas.openxmlformats.org/officeDocument/2006/relationships/hyperlink" Target="#'M03-S04'!A1"/><Relationship Id="rId9" Type="http://schemas.openxmlformats.org/officeDocument/2006/relationships/hyperlink" Target="#'M01-S01'!A1"/><Relationship Id="rId14" Type="http://schemas.openxmlformats.org/officeDocument/2006/relationships/image" Target="../media/image1.png"/></Relationships>
</file>

<file path=xl/drawings/_rels/drawing16.xml.rels><?xml version="1.0" encoding="UTF-8" standalone="yes"?>
<Relationships xmlns="http://schemas.openxmlformats.org/package/2006/relationships"><Relationship Id="rId8" Type="http://schemas.openxmlformats.org/officeDocument/2006/relationships/hyperlink" Target="#'M03-S07'!A1"/><Relationship Id="rId13" Type="http://schemas.openxmlformats.org/officeDocument/2006/relationships/image" Target="../media/image17.png"/><Relationship Id="rId3" Type="http://schemas.openxmlformats.org/officeDocument/2006/relationships/hyperlink" Target="#'M03-S03'!A1"/><Relationship Id="rId7" Type="http://schemas.openxmlformats.org/officeDocument/2006/relationships/hyperlink" Target="#'M03-S06'!A1"/><Relationship Id="rId12" Type="http://schemas.openxmlformats.org/officeDocument/2006/relationships/hyperlink" Target="#'M05-S01'!A1"/><Relationship Id="rId2" Type="http://schemas.openxmlformats.org/officeDocument/2006/relationships/hyperlink" Target="#'M03-S02'!A1"/><Relationship Id="rId1" Type="http://schemas.openxmlformats.org/officeDocument/2006/relationships/hyperlink" Target="#'M03-S01'!A1"/><Relationship Id="rId6" Type="http://schemas.openxmlformats.org/officeDocument/2006/relationships/hyperlink" Target="#'M03-S08'!C16"/><Relationship Id="rId11" Type="http://schemas.openxmlformats.org/officeDocument/2006/relationships/hyperlink" Target="#'M04-S01'!A1"/><Relationship Id="rId5" Type="http://schemas.openxmlformats.org/officeDocument/2006/relationships/hyperlink" Target="#'M03-S05'!A1"/><Relationship Id="rId15" Type="http://schemas.openxmlformats.org/officeDocument/2006/relationships/hyperlink" Target="#'M03-S06'!C16"/><Relationship Id="rId10" Type="http://schemas.openxmlformats.org/officeDocument/2006/relationships/hyperlink" Target="#'M02-S01'!A1"/><Relationship Id="rId4" Type="http://schemas.openxmlformats.org/officeDocument/2006/relationships/hyperlink" Target="#'M03-S04'!A1"/><Relationship Id="rId9" Type="http://schemas.openxmlformats.org/officeDocument/2006/relationships/hyperlink" Target="#'M01-S01'!A1"/><Relationship Id="rId14" Type="http://schemas.openxmlformats.org/officeDocument/2006/relationships/hyperlink" Target="#'M03-S09'!C16"/></Relationships>
</file>

<file path=xl/drawings/_rels/drawing17.xml.rels><?xml version="1.0" encoding="UTF-8" standalone="yes"?>
<Relationships xmlns="http://schemas.openxmlformats.org/package/2006/relationships"><Relationship Id="rId8" Type="http://schemas.openxmlformats.org/officeDocument/2006/relationships/hyperlink" Target="#'M03-S07'!A1"/><Relationship Id="rId13" Type="http://schemas.openxmlformats.org/officeDocument/2006/relationships/hyperlink" Target="#'M05-S01'!A1"/><Relationship Id="rId3" Type="http://schemas.openxmlformats.org/officeDocument/2006/relationships/hyperlink" Target="#'M03-S03'!A1"/><Relationship Id="rId7" Type="http://schemas.openxmlformats.org/officeDocument/2006/relationships/hyperlink" Target="#'M03-S09'!C16"/><Relationship Id="rId12" Type="http://schemas.openxmlformats.org/officeDocument/2006/relationships/hyperlink" Target="#'M04-S01'!A1"/><Relationship Id="rId2" Type="http://schemas.openxmlformats.org/officeDocument/2006/relationships/hyperlink" Target="#'M03-S02'!A1"/><Relationship Id="rId1" Type="http://schemas.openxmlformats.org/officeDocument/2006/relationships/hyperlink" Target="#'M03-S01'!A1"/><Relationship Id="rId6" Type="http://schemas.openxmlformats.org/officeDocument/2006/relationships/hyperlink" Target="#'M03-S08'!C16"/><Relationship Id="rId11" Type="http://schemas.openxmlformats.org/officeDocument/2006/relationships/hyperlink" Target="#'M02-S01'!A1"/><Relationship Id="rId5" Type="http://schemas.openxmlformats.org/officeDocument/2006/relationships/hyperlink" Target="#'M03-S05'!A1"/><Relationship Id="rId15" Type="http://schemas.openxmlformats.org/officeDocument/2006/relationships/image" Target="../media/image1.png"/><Relationship Id="rId10" Type="http://schemas.openxmlformats.org/officeDocument/2006/relationships/hyperlink" Target="#'M01-S01'!A1"/><Relationship Id="rId4" Type="http://schemas.openxmlformats.org/officeDocument/2006/relationships/hyperlink" Target="#'M03-S04'!A1"/><Relationship Id="rId9" Type="http://schemas.openxmlformats.org/officeDocument/2006/relationships/hyperlink" Target="#'M03-S07'!C16"/><Relationship Id="rId14" Type="http://schemas.openxmlformats.org/officeDocument/2006/relationships/hyperlink" Target="#'M03-S06'!C16"/></Relationships>
</file>

<file path=xl/drawings/_rels/drawing18.xml.rels><?xml version="1.0" encoding="UTF-8" standalone="yes"?>
<Relationships xmlns="http://schemas.openxmlformats.org/package/2006/relationships"><Relationship Id="rId8" Type="http://schemas.openxmlformats.org/officeDocument/2006/relationships/hyperlink" Target="#'M03-S06'!A1"/><Relationship Id="rId13" Type="http://schemas.openxmlformats.org/officeDocument/2006/relationships/hyperlink" Target="#'M04-S01'!A1"/><Relationship Id="rId3" Type="http://schemas.openxmlformats.org/officeDocument/2006/relationships/hyperlink" Target="#'M03-S03'!A1"/><Relationship Id="rId7" Type="http://schemas.openxmlformats.org/officeDocument/2006/relationships/hyperlink" Target="#'M03-S09'!C16"/><Relationship Id="rId12" Type="http://schemas.openxmlformats.org/officeDocument/2006/relationships/hyperlink" Target="#'M02-S01'!A1"/><Relationship Id="rId2" Type="http://schemas.openxmlformats.org/officeDocument/2006/relationships/hyperlink" Target="#'M03-S02'!A1"/><Relationship Id="rId16" Type="http://schemas.openxmlformats.org/officeDocument/2006/relationships/image" Target="../media/image1.png"/><Relationship Id="rId1" Type="http://schemas.openxmlformats.org/officeDocument/2006/relationships/hyperlink" Target="#'M03-S01'!A1"/><Relationship Id="rId6" Type="http://schemas.openxmlformats.org/officeDocument/2006/relationships/hyperlink" Target="#'M03-S08'!C16"/><Relationship Id="rId11" Type="http://schemas.openxmlformats.org/officeDocument/2006/relationships/hyperlink" Target="#'M01-S01'!A1"/><Relationship Id="rId5" Type="http://schemas.openxmlformats.org/officeDocument/2006/relationships/hyperlink" Target="#'M03-S05'!A1"/><Relationship Id="rId15" Type="http://schemas.openxmlformats.org/officeDocument/2006/relationships/hyperlink" Target="#'M03-S06'!C16"/><Relationship Id="rId10" Type="http://schemas.openxmlformats.org/officeDocument/2006/relationships/hyperlink" Target="#'M04-S01'!C16"/><Relationship Id="rId4" Type="http://schemas.openxmlformats.org/officeDocument/2006/relationships/hyperlink" Target="#'M03-S04'!A1"/><Relationship Id="rId9" Type="http://schemas.openxmlformats.org/officeDocument/2006/relationships/hyperlink" Target="#'M03-S07'!A1"/><Relationship Id="rId14" Type="http://schemas.openxmlformats.org/officeDocument/2006/relationships/hyperlink" Target="#'M05-S01'!A1"/></Relationships>
</file>

<file path=xl/drawings/_rels/drawing19.xml.rels><?xml version="1.0" encoding="UTF-8" standalone="yes"?>
<Relationships xmlns="http://schemas.openxmlformats.org/package/2006/relationships"><Relationship Id="rId8" Type="http://schemas.openxmlformats.org/officeDocument/2006/relationships/hyperlink" Target="#'M01-S01'!A1"/><Relationship Id="rId13" Type="http://schemas.openxmlformats.org/officeDocument/2006/relationships/hyperlink" Target="#'M04-S02'!A1"/><Relationship Id="rId3" Type="http://schemas.openxmlformats.org/officeDocument/2006/relationships/hyperlink" Target="#'M04-S07'!A1"/><Relationship Id="rId7" Type="http://schemas.openxmlformats.org/officeDocument/2006/relationships/hyperlink" Target="#'M04-S02'!C16"/><Relationship Id="rId12" Type="http://schemas.openxmlformats.org/officeDocument/2006/relationships/hyperlink" Target="#'M03-S07'!C16"/><Relationship Id="rId2" Type="http://schemas.openxmlformats.org/officeDocument/2006/relationships/hyperlink" Target="#'M04-S08'!A1"/><Relationship Id="rId1" Type="http://schemas.openxmlformats.org/officeDocument/2006/relationships/hyperlink" Target="#'M04-S01'!A1"/><Relationship Id="rId6" Type="http://schemas.openxmlformats.org/officeDocument/2006/relationships/hyperlink" Target="#'M04-S04'!A1"/><Relationship Id="rId11" Type="http://schemas.openxmlformats.org/officeDocument/2006/relationships/hyperlink" Target="#'M05-S01'!A1"/><Relationship Id="rId5" Type="http://schemas.openxmlformats.org/officeDocument/2006/relationships/hyperlink" Target="#'M04-S05'!A1"/><Relationship Id="rId15" Type="http://schemas.openxmlformats.org/officeDocument/2006/relationships/image" Target="../media/image1.png"/><Relationship Id="rId10" Type="http://schemas.openxmlformats.org/officeDocument/2006/relationships/hyperlink" Target="#'M03-S01'!A1"/><Relationship Id="rId4" Type="http://schemas.openxmlformats.org/officeDocument/2006/relationships/hyperlink" Target="#'M04-S06'!A1"/><Relationship Id="rId9" Type="http://schemas.openxmlformats.org/officeDocument/2006/relationships/hyperlink" Target="#'M02-S01'!A1"/><Relationship Id="rId14" Type="http://schemas.openxmlformats.org/officeDocument/2006/relationships/hyperlink" Target="#'M04-S03'!A1"/></Relationships>
</file>

<file path=xl/drawings/_rels/drawing2.xml.rels><?xml version="1.0" encoding="UTF-8" standalone="yes"?>
<Relationships xmlns="http://schemas.openxmlformats.org/package/2006/relationships"><Relationship Id="rId8" Type="http://schemas.openxmlformats.org/officeDocument/2006/relationships/hyperlink" Target="#'M05-S01'!A1"/><Relationship Id="rId13" Type="http://schemas.openxmlformats.org/officeDocument/2006/relationships/image" Target="../media/image3.png"/><Relationship Id="rId3" Type="http://schemas.openxmlformats.org/officeDocument/2006/relationships/hyperlink" Target="#'M01-S07'!A1"/><Relationship Id="rId7" Type="http://schemas.openxmlformats.org/officeDocument/2006/relationships/hyperlink" Target="#'M04-S01'!A1"/><Relationship Id="rId12" Type="http://schemas.openxmlformats.org/officeDocument/2006/relationships/hyperlink" Target="#'M01-S05'!A1"/><Relationship Id="rId17" Type="http://schemas.openxmlformats.org/officeDocument/2006/relationships/hyperlink" Target="https://www.nipsco.com/save-energy" TargetMode="External"/><Relationship Id="rId2" Type="http://schemas.openxmlformats.org/officeDocument/2006/relationships/hyperlink" Target="#'M01-S06'!A1"/><Relationship Id="rId16" Type="http://schemas.openxmlformats.org/officeDocument/2006/relationships/hyperlink" Target="#'M01-S03'!C6"/><Relationship Id="rId1" Type="http://schemas.openxmlformats.org/officeDocument/2006/relationships/hyperlink" Target="#'M01-S01'!A1"/><Relationship Id="rId6" Type="http://schemas.openxmlformats.org/officeDocument/2006/relationships/hyperlink" Target="#'M03-S01'!A1"/><Relationship Id="rId11" Type="http://schemas.openxmlformats.org/officeDocument/2006/relationships/hyperlink" Target="#'M01-S04'!A1"/><Relationship Id="rId5" Type="http://schemas.openxmlformats.org/officeDocument/2006/relationships/hyperlink" Target="#'M02-S01'!A1"/><Relationship Id="rId15" Type="http://schemas.openxmlformats.org/officeDocument/2006/relationships/hyperlink" Target="#'M01-S01'!C6"/><Relationship Id="rId10" Type="http://schemas.openxmlformats.org/officeDocument/2006/relationships/hyperlink" Target="#'M01-S03'!A1"/><Relationship Id="rId4" Type="http://schemas.openxmlformats.org/officeDocument/2006/relationships/hyperlink" Target="#'M01-S08'!A1"/><Relationship Id="rId9" Type="http://schemas.openxmlformats.org/officeDocument/2006/relationships/hyperlink" Target="#'M01-S02'!A1"/><Relationship Id="rId14" Type="http://schemas.openxmlformats.org/officeDocument/2006/relationships/image" Target="../media/image4.jpeg"/></Relationships>
</file>

<file path=xl/drawings/_rels/drawing20.xml.rels><?xml version="1.0" encoding="UTF-8" standalone="yes"?>
<Relationships xmlns="http://schemas.openxmlformats.org/package/2006/relationships"><Relationship Id="rId8" Type="http://schemas.openxmlformats.org/officeDocument/2006/relationships/hyperlink" Target="#'M01-S01'!A1"/><Relationship Id="rId13" Type="http://schemas.openxmlformats.org/officeDocument/2006/relationships/hyperlink" Target="#'M07-S01'!A1"/><Relationship Id="rId18" Type="http://schemas.openxmlformats.org/officeDocument/2006/relationships/image" Target="../media/image1.png"/><Relationship Id="rId3" Type="http://schemas.openxmlformats.org/officeDocument/2006/relationships/hyperlink" Target="#'M04-S06'!A1"/><Relationship Id="rId7" Type="http://schemas.openxmlformats.org/officeDocument/2006/relationships/hyperlink" Target="#'M04-S03'!C16"/><Relationship Id="rId12" Type="http://schemas.openxmlformats.org/officeDocument/2006/relationships/hyperlink" Target="#'M06-S01'!A1"/><Relationship Id="rId17" Type="http://schemas.openxmlformats.org/officeDocument/2006/relationships/hyperlink" Target="#'M04-S09'!C3"/><Relationship Id="rId2" Type="http://schemas.openxmlformats.org/officeDocument/2006/relationships/hyperlink" Target="#'M04-S05'!A1"/><Relationship Id="rId16" Type="http://schemas.openxmlformats.org/officeDocument/2006/relationships/hyperlink" Target="#'M04-S01'!C16"/><Relationship Id="rId1" Type="http://schemas.openxmlformats.org/officeDocument/2006/relationships/hyperlink" Target="#'M04-S01'!A1"/><Relationship Id="rId6" Type="http://schemas.openxmlformats.org/officeDocument/2006/relationships/hyperlink" Target="#'M04-S04'!A1"/><Relationship Id="rId11" Type="http://schemas.openxmlformats.org/officeDocument/2006/relationships/hyperlink" Target="#'M05-S01'!A1"/><Relationship Id="rId5" Type="http://schemas.openxmlformats.org/officeDocument/2006/relationships/hyperlink" Target="#'M04-S08'!A1"/><Relationship Id="rId15" Type="http://schemas.openxmlformats.org/officeDocument/2006/relationships/hyperlink" Target="#'M04-S03'!A1"/><Relationship Id="rId10" Type="http://schemas.openxmlformats.org/officeDocument/2006/relationships/hyperlink" Target="#'M03-S01'!A1"/><Relationship Id="rId4" Type="http://schemas.openxmlformats.org/officeDocument/2006/relationships/hyperlink" Target="#'M04-S07'!A1"/><Relationship Id="rId9" Type="http://schemas.openxmlformats.org/officeDocument/2006/relationships/hyperlink" Target="#'M02-S01'!A1"/><Relationship Id="rId14" Type="http://schemas.openxmlformats.org/officeDocument/2006/relationships/hyperlink" Target="#'M04-S02'!C16"/></Relationships>
</file>

<file path=xl/drawings/_rels/drawing21.xml.rels><?xml version="1.0" encoding="UTF-8" standalone="yes"?>
<Relationships xmlns="http://schemas.openxmlformats.org/package/2006/relationships"><Relationship Id="rId1" Type="http://schemas.openxmlformats.org/officeDocument/2006/relationships/hyperlink" Target="#'M04-S02'!C16"/></Relationships>
</file>

<file path=xl/drawings/_rels/drawing22.xml.rels><?xml version="1.0" encoding="UTF-8" standalone="yes"?>
<Relationships xmlns="http://schemas.openxmlformats.org/package/2006/relationships"><Relationship Id="rId8" Type="http://schemas.openxmlformats.org/officeDocument/2006/relationships/hyperlink" Target="#'M01-S01'!A1"/><Relationship Id="rId13" Type="http://schemas.openxmlformats.org/officeDocument/2006/relationships/hyperlink" Target="#'M04-S03'!C16"/><Relationship Id="rId3" Type="http://schemas.openxmlformats.org/officeDocument/2006/relationships/hyperlink" Target="#'M04-S06'!A1"/><Relationship Id="rId7" Type="http://schemas.openxmlformats.org/officeDocument/2006/relationships/hyperlink" Target="#'M04-S04'!C16"/><Relationship Id="rId12" Type="http://schemas.openxmlformats.org/officeDocument/2006/relationships/hyperlink" Target="#'M04-S02'!A1"/><Relationship Id="rId2" Type="http://schemas.openxmlformats.org/officeDocument/2006/relationships/hyperlink" Target="#'M04-S05'!A1"/><Relationship Id="rId1" Type="http://schemas.openxmlformats.org/officeDocument/2006/relationships/hyperlink" Target="#'M04-S01'!A1"/><Relationship Id="rId6" Type="http://schemas.openxmlformats.org/officeDocument/2006/relationships/hyperlink" Target="#'M04-S04'!A1"/><Relationship Id="rId11" Type="http://schemas.openxmlformats.org/officeDocument/2006/relationships/hyperlink" Target="#'M05-S01'!A1"/><Relationship Id="rId5" Type="http://schemas.openxmlformats.org/officeDocument/2006/relationships/hyperlink" Target="#'M04-S08'!A1"/><Relationship Id="rId15" Type="http://schemas.openxmlformats.org/officeDocument/2006/relationships/image" Target="../media/image1.png"/><Relationship Id="rId10" Type="http://schemas.openxmlformats.org/officeDocument/2006/relationships/hyperlink" Target="#'M03-S01'!A1"/><Relationship Id="rId4" Type="http://schemas.openxmlformats.org/officeDocument/2006/relationships/hyperlink" Target="#'M04-S07'!A1"/><Relationship Id="rId9" Type="http://schemas.openxmlformats.org/officeDocument/2006/relationships/hyperlink" Target="#'M02-S01'!A1"/><Relationship Id="rId14" Type="http://schemas.openxmlformats.org/officeDocument/2006/relationships/hyperlink" Target="#'M04-S02'!C16"/></Relationships>
</file>

<file path=xl/drawings/_rels/drawing23.xml.rels><?xml version="1.0" encoding="UTF-8" standalone="yes"?>
<Relationships xmlns="http://schemas.openxmlformats.org/package/2006/relationships"><Relationship Id="rId8" Type="http://schemas.openxmlformats.org/officeDocument/2006/relationships/hyperlink" Target="#'M02-S01'!A1"/><Relationship Id="rId13" Type="http://schemas.openxmlformats.org/officeDocument/2006/relationships/hyperlink" Target="#'M04-S03'!A1"/><Relationship Id="rId3" Type="http://schemas.openxmlformats.org/officeDocument/2006/relationships/hyperlink" Target="#'M04-S06'!A1"/><Relationship Id="rId7" Type="http://schemas.openxmlformats.org/officeDocument/2006/relationships/hyperlink" Target="#'M01-S01'!A1"/><Relationship Id="rId12" Type="http://schemas.openxmlformats.org/officeDocument/2006/relationships/hyperlink" Target="#'M04-S03'!C16"/><Relationship Id="rId2" Type="http://schemas.openxmlformats.org/officeDocument/2006/relationships/hyperlink" Target="#'M04-S07'!A1"/><Relationship Id="rId1" Type="http://schemas.openxmlformats.org/officeDocument/2006/relationships/hyperlink" Target="#'M04-S08'!A1"/><Relationship Id="rId6" Type="http://schemas.openxmlformats.org/officeDocument/2006/relationships/hyperlink" Target="#'M05-S01'!C6"/><Relationship Id="rId11" Type="http://schemas.openxmlformats.org/officeDocument/2006/relationships/hyperlink" Target="#'M04-S02'!A1"/><Relationship Id="rId5" Type="http://schemas.openxmlformats.org/officeDocument/2006/relationships/hyperlink" Target="#'M04-S01'!A1"/><Relationship Id="rId15" Type="http://schemas.openxmlformats.org/officeDocument/2006/relationships/image" Target="../media/image1.png"/><Relationship Id="rId10" Type="http://schemas.openxmlformats.org/officeDocument/2006/relationships/hyperlink" Target="#'M05-S01'!A1"/><Relationship Id="rId4" Type="http://schemas.openxmlformats.org/officeDocument/2006/relationships/hyperlink" Target="#'M04-S05'!A1"/><Relationship Id="rId9" Type="http://schemas.openxmlformats.org/officeDocument/2006/relationships/hyperlink" Target="#'M03-S01'!A1"/><Relationship Id="rId14" Type="http://schemas.openxmlformats.org/officeDocument/2006/relationships/hyperlink" Target="#'M04-S04'!A1"/></Relationships>
</file>

<file path=xl/drawings/_rels/drawing24.xml.rels><?xml version="1.0" encoding="UTF-8" standalone="yes"?>
<Relationships xmlns="http://schemas.openxmlformats.org/package/2006/relationships"><Relationship Id="rId8" Type="http://schemas.openxmlformats.org/officeDocument/2006/relationships/hyperlink" Target="#'M05-S01'!A1"/><Relationship Id="rId13" Type="http://schemas.openxmlformats.org/officeDocument/2006/relationships/hyperlink" Target="#'M05-S02'!A1"/><Relationship Id="rId18" Type="http://schemas.openxmlformats.org/officeDocument/2006/relationships/image" Target="../media/image21.jpeg"/><Relationship Id="rId3" Type="http://schemas.openxmlformats.org/officeDocument/2006/relationships/hyperlink" Target="#'M05-S06'!A1"/><Relationship Id="rId21" Type="http://schemas.openxmlformats.org/officeDocument/2006/relationships/image" Target="../media/image24.jpg"/><Relationship Id="rId7" Type="http://schemas.openxmlformats.org/officeDocument/2006/relationships/hyperlink" Target="#'M04-S01'!A1"/><Relationship Id="rId12" Type="http://schemas.openxmlformats.org/officeDocument/2006/relationships/hyperlink" Target="#'M05-S02'!C6"/><Relationship Id="rId17" Type="http://schemas.openxmlformats.org/officeDocument/2006/relationships/image" Target="../media/image20.jpeg"/><Relationship Id="rId2" Type="http://schemas.openxmlformats.org/officeDocument/2006/relationships/hyperlink" Target="#'M05-S04'!A1"/><Relationship Id="rId16" Type="http://schemas.openxmlformats.org/officeDocument/2006/relationships/image" Target="../media/image19.jpeg"/><Relationship Id="rId20" Type="http://schemas.openxmlformats.org/officeDocument/2006/relationships/image" Target="../media/image23.png"/><Relationship Id="rId1" Type="http://schemas.openxmlformats.org/officeDocument/2006/relationships/hyperlink" Target="#'M05-S05'!A1"/><Relationship Id="rId6" Type="http://schemas.openxmlformats.org/officeDocument/2006/relationships/hyperlink" Target="#'M03-S01'!A1"/><Relationship Id="rId11" Type="http://schemas.openxmlformats.org/officeDocument/2006/relationships/hyperlink" Target="#'M05-S08'!A1"/><Relationship Id="rId5" Type="http://schemas.openxmlformats.org/officeDocument/2006/relationships/hyperlink" Target="#'M02-S01'!A1"/><Relationship Id="rId15" Type="http://schemas.openxmlformats.org/officeDocument/2006/relationships/image" Target="../media/image16.png"/><Relationship Id="rId10" Type="http://schemas.openxmlformats.org/officeDocument/2006/relationships/hyperlink" Target="#'M05-S03'!A1"/><Relationship Id="rId19" Type="http://schemas.openxmlformats.org/officeDocument/2006/relationships/image" Target="../media/image22.jpeg"/><Relationship Id="rId4" Type="http://schemas.openxmlformats.org/officeDocument/2006/relationships/hyperlink" Target="#'M01-S01'!A1"/><Relationship Id="rId9" Type="http://schemas.openxmlformats.org/officeDocument/2006/relationships/hyperlink" Target="#'M05-S07'!A1"/><Relationship Id="rId14" Type="http://schemas.openxmlformats.org/officeDocument/2006/relationships/hyperlink" Target="#'M04-S04'!A1"/><Relationship Id="rId22" Type="http://schemas.openxmlformats.org/officeDocument/2006/relationships/image" Target="../media/image25.png"/></Relationships>
</file>

<file path=xl/drawings/_rels/drawing25.xml.rels><?xml version="1.0" encoding="UTF-8" standalone="yes"?>
<Relationships xmlns="http://schemas.openxmlformats.org/package/2006/relationships"><Relationship Id="rId8" Type="http://schemas.openxmlformats.org/officeDocument/2006/relationships/hyperlink" Target="#'M05-S01'!A1"/><Relationship Id="rId13" Type="http://schemas.openxmlformats.org/officeDocument/2006/relationships/hyperlink" Target="mailto:NIPSCO.Savings@TRCcompanies.com" TargetMode="External"/><Relationship Id="rId18" Type="http://schemas.openxmlformats.org/officeDocument/2006/relationships/image" Target="../media/image1.png"/><Relationship Id="rId3" Type="http://schemas.openxmlformats.org/officeDocument/2006/relationships/hyperlink" Target="#'M05-S06'!A1"/><Relationship Id="rId7" Type="http://schemas.openxmlformats.org/officeDocument/2006/relationships/hyperlink" Target="#'M04-S01'!A1"/><Relationship Id="rId12" Type="http://schemas.openxmlformats.org/officeDocument/2006/relationships/hyperlink" Target="#'M05-S02'!A1"/><Relationship Id="rId17" Type="http://schemas.openxmlformats.org/officeDocument/2006/relationships/hyperlink" Target="#'M05-S02'!R31"/><Relationship Id="rId2" Type="http://schemas.openxmlformats.org/officeDocument/2006/relationships/hyperlink" Target="#'M05-S04'!A1"/><Relationship Id="rId16" Type="http://schemas.openxmlformats.org/officeDocument/2006/relationships/hyperlink" Target="#'M02-S04'!A1"/><Relationship Id="rId1" Type="http://schemas.openxmlformats.org/officeDocument/2006/relationships/hyperlink" Target="#'M05-S05'!A1"/><Relationship Id="rId6" Type="http://schemas.openxmlformats.org/officeDocument/2006/relationships/hyperlink" Target="#'M03-S01'!A1"/><Relationship Id="rId11" Type="http://schemas.openxmlformats.org/officeDocument/2006/relationships/hyperlink" Target="#'M05-S03'!A1"/><Relationship Id="rId5" Type="http://schemas.openxmlformats.org/officeDocument/2006/relationships/hyperlink" Target="#'M02-S01'!A1"/><Relationship Id="rId15" Type="http://schemas.openxmlformats.org/officeDocument/2006/relationships/hyperlink" Target="#'M02-S03'!A1"/><Relationship Id="rId10" Type="http://schemas.openxmlformats.org/officeDocument/2006/relationships/hyperlink" Target="#'M05-S08'!A1"/><Relationship Id="rId4" Type="http://schemas.openxmlformats.org/officeDocument/2006/relationships/hyperlink" Target="#'M01-S01'!A1"/><Relationship Id="rId9" Type="http://schemas.openxmlformats.org/officeDocument/2006/relationships/hyperlink" Target="#'M05-S07'!A1"/><Relationship Id="rId14" Type="http://schemas.openxmlformats.org/officeDocument/2006/relationships/hyperlink" Target="#'M02-S02'!A1"/></Relationships>
</file>

<file path=xl/drawings/_rels/drawing26.xml.rels><?xml version="1.0" encoding="UTF-8" standalone="yes"?>
<Relationships xmlns="http://schemas.openxmlformats.org/package/2006/relationships"><Relationship Id="rId8" Type="http://schemas.openxmlformats.org/officeDocument/2006/relationships/hyperlink" Target="#'M03-S01'!A1"/><Relationship Id="rId13" Type="http://schemas.openxmlformats.org/officeDocument/2006/relationships/image" Target="../media/image1.png"/><Relationship Id="rId3" Type="http://schemas.openxmlformats.org/officeDocument/2006/relationships/hyperlink" Target="#'M05-S06'!A1"/><Relationship Id="rId7" Type="http://schemas.openxmlformats.org/officeDocument/2006/relationships/hyperlink" Target="#'M02-S01'!A1"/><Relationship Id="rId12" Type="http://schemas.openxmlformats.org/officeDocument/2006/relationships/hyperlink" Target="#'M05-S02'!A1"/><Relationship Id="rId2" Type="http://schemas.openxmlformats.org/officeDocument/2006/relationships/hyperlink" Target="#'M05-S04'!A1"/><Relationship Id="rId1" Type="http://schemas.openxmlformats.org/officeDocument/2006/relationships/hyperlink" Target="#'M05-S05'!A1"/><Relationship Id="rId6" Type="http://schemas.openxmlformats.org/officeDocument/2006/relationships/hyperlink" Target="#'M01-S01'!A1"/><Relationship Id="rId11" Type="http://schemas.openxmlformats.org/officeDocument/2006/relationships/hyperlink" Target="#'M05-S08'!A1"/><Relationship Id="rId5" Type="http://schemas.openxmlformats.org/officeDocument/2006/relationships/hyperlink" Target="#'M05-S01'!A1"/><Relationship Id="rId15" Type="http://schemas.openxmlformats.org/officeDocument/2006/relationships/image" Target="../media/image27.png"/><Relationship Id="rId10" Type="http://schemas.openxmlformats.org/officeDocument/2006/relationships/hyperlink" Target="#'M05-S03'!A1"/><Relationship Id="rId4" Type="http://schemas.openxmlformats.org/officeDocument/2006/relationships/hyperlink" Target="#'M05-S07'!A1"/><Relationship Id="rId9" Type="http://schemas.openxmlformats.org/officeDocument/2006/relationships/hyperlink" Target="#'M04-S01'!A1"/><Relationship Id="rId14" Type="http://schemas.openxmlformats.org/officeDocument/2006/relationships/image" Target="../media/image26.png"/></Relationships>
</file>

<file path=xl/drawings/_rels/drawing27.xml.rels><?xml version="1.0" encoding="UTF-8" standalone="yes"?>
<Relationships xmlns="http://schemas.openxmlformats.org/package/2006/relationships"><Relationship Id="rId8" Type="http://schemas.openxmlformats.org/officeDocument/2006/relationships/hyperlink" Target="#'M04-S01'!A1"/><Relationship Id="rId13" Type="http://schemas.openxmlformats.org/officeDocument/2006/relationships/hyperlink" Target="mailto:NIPSCO.Savings@TRCcompanies.com" TargetMode="External"/><Relationship Id="rId18" Type="http://schemas.openxmlformats.org/officeDocument/2006/relationships/image" Target="../media/image29.png"/><Relationship Id="rId3" Type="http://schemas.openxmlformats.org/officeDocument/2006/relationships/hyperlink" Target="#'M05-S07'!A1"/><Relationship Id="rId7" Type="http://schemas.openxmlformats.org/officeDocument/2006/relationships/hyperlink" Target="#'M03-S01'!A1"/><Relationship Id="rId12" Type="http://schemas.openxmlformats.org/officeDocument/2006/relationships/hyperlink" Target="#'M05-S05'!A1"/><Relationship Id="rId17" Type="http://schemas.openxmlformats.org/officeDocument/2006/relationships/image" Target="../media/image28.png"/><Relationship Id="rId2" Type="http://schemas.openxmlformats.org/officeDocument/2006/relationships/hyperlink" Target="#'M05-S06'!A1"/><Relationship Id="rId16" Type="http://schemas.openxmlformats.org/officeDocument/2006/relationships/image" Target="../media/image1.png"/><Relationship Id="rId1" Type="http://schemas.openxmlformats.org/officeDocument/2006/relationships/hyperlink" Target="#'M05-S04'!A1"/><Relationship Id="rId6" Type="http://schemas.openxmlformats.org/officeDocument/2006/relationships/hyperlink" Target="#'M02-S01'!A1"/><Relationship Id="rId11" Type="http://schemas.openxmlformats.org/officeDocument/2006/relationships/hyperlink" Target="#'M05-S02'!A1"/><Relationship Id="rId5" Type="http://schemas.openxmlformats.org/officeDocument/2006/relationships/hyperlink" Target="#'M01-S01'!A1"/><Relationship Id="rId15" Type="http://schemas.openxmlformats.org/officeDocument/2006/relationships/hyperlink" Target="#M05S05F01"/><Relationship Id="rId10" Type="http://schemas.openxmlformats.org/officeDocument/2006/relationships/hyperlink" Target="#'M05-S08'!A1"/><Relationship Id="rId4" Type="http://schemas.openxmlformats.org/officeDocument/2006/relationships/hyperlink" Target="#'M05-S01'!A1"/><Relationship Id="rId9" Type="http://schemas.openxmlformats.org/officeDocument/2006/relationships/hyperlink" Target="#'M05-S03'!A1"/><Relationship Id="rId14" Type="http://schemas.openxmlformats.org/officeDocument/2006/relationships/hyperlink" Target="#'M02-S04'!A1"/></Relationships>
</file>

<file path=xl/drawings/_rels/drawing28.xml.rels><?xml version="1.0" encoding="UTF-8" standalone="yes"?>
<Relationships xmlns="http://schemas.openxmlformats.org/package/2006/relationships"><Relationship Id="rId8" Type="http://schemas.openxmlformats.org/officeDocument/2006/relationships/hyperlink" Target="#'M05-S03'!A1"/><Relationship Id="rId13" Type="http://schemas.openxmlformats.org/officeDocument/2006/relationships/image" Target="../media/image30.jpeg"/><Relationship Id="rId3" Type="http://schemas.openxmlformats.org/officeDocument/2006/relationships/hyperlink" Target="#'M05-S01'!A1"/><Relationship Id="rId7" Type="http://schemas.openxmlformats.org/officeDocument/2006/relationships/hyperlink" Target="#'M04-S01'!A1"/><Relationship Id="rId12" Type="http://schemas.openxmlformats.org/officeDocument/2006/relationships/hyperlink" Target="#'M05-S06'!A1"/><Relationship Id="rId2" Type="http://schemas.openxmlformats.org/officeDocument/2006/relationships/hyperlink" Target="#'M05-S04'!A1"/><Relationship Id="rId1" Type="http://schemas.openxmlformats.org/officeDocument/2006/relationships/hyperlink" Target="#'M05-S05'!A1"/><Relationship Id="rId6" Type="http://schemas.openxmlformats.org/officeDocument/2006/relationships/hyperlink" Target="#'M03-S01'!A1"/><Relationship Id="rId11" Type="http://schemas.openxmlformats.org/officeDocument/2006/relationships/hyperlink" Target="#'M05-S02'!A1"/><Relationship Id="rId5" Type="http://schemas.openxmlformats.org/officeDocument/2006/relationships/hyperlink" Target="#'M02-S01'!A1"/><Relationship Id="rId10" Type="http://schemas.openxmlformats.org/officeDocument/2006/relationships/hyperlink" Target="#'M05-S07'!A1"/><Relationship Id="rId4" Type="http://schemas.openxmlformats.org/officeDocument/2006/relationships/hyperlink" Target="#'M01-S01'!A1"/><Relationship Id="rId9" Type="http://schemas.openxmlformats.org/officeDocument/2006/relationships/hyperlink" Target="#'M05-S08'!A1"/></Relationships>
</file>

<file path=xl/drawings/_rels/drawing29.xml.rels><?xml version="1.0" encoding="UTF-8" standalone="yes"?>
<Relationships xmlns="http://schemas.openxmlformats.org/package/2006/relationships"><Relationship Id="rId8" Type="http://schemas.openxmlformats.org/officeDocument/2006/relationships/hyperlink" Target="#'M04-S01'!A1"/><Relationship Id="rId13" Type="http://schemas.openxmlformats.org/officeDocument/2006/relationships/image" Target="../media/image1.png"/><Relationship Id="rId3" Type="http://schemas.openxmlformats.org/officeDocument/2006/relationships/hyperlink" Target="#'M05-S06'!A1"/><Relationship Id="rId7" Type="http://schemas.openxmlformats.org/officeDocument/2006/relationships/hyperlink" Target="#'M03-S01'!A1"/><Relationship Id="rId12" Type="http://schemas.openxmlformats.org/officeDocument/2006/relationships/hyperlink" Target="#'M05-S07'!A1"/><Relationship Id="rId2" Type="http://schemas.openxmlformats.org/officeDocument/2006/relationships/hyperlink" Target="#'M05-S04'!A1"/><Relationship Id="rId1" Type="http://schemas.openxmlformats.org/officeDocument/2006/relationships/hyperlink" Target="#'M05-S05'!A1"/><Relationship Id="rId6" Type="http://schemas.openxmlformats.org/officeDocument/2006/relationships/hyperlink" Target="#'M02-S01'!A1"/><Relationship Id="rId11" Type="http://schemas.openxmlformats.org/officeDocument/2006/relationships/hyperlink" Target="#'M05-S02'!A1"/><Relationship Id="rId5" Type="http://schemas.openxmlformats.org/officeDocument/2006/relationships/hyperlink" Target="#'M01-S01'!A1"/><Relationship Id="rId10" Type="http://schemas.openxmlformats.org/officeDocument/2006/relationships/hyperlink" Target="#'M05-S08'!A1"/><Relationship Id="rId4" Type="http://schemas.openxmlformats.org/officeDocument/2006/relationships/hyperlink" Target="#'M05-S01'!A1"/><Relationship Id="rId9" Type="http://schemas.openxmlformats.org/officeDocument/2006/relationships/hyperlink" Target="#'M05-S03'!A1"/></Relationships>
</file>

<file path=xl/drawings/_rels/drawing3.xml.rels><?xml version="1.0" encoding="UTF-8" standalone="yes"?>
<Relationships xmlns="http://schemas.openxmlformats.org/package/2006/relationships"><Relationship Id="rId13" Type="http://schemas.openxmlformats.org/officeDocument/2006/relationships/hyperlink" Target="#'M01-S03'!A1"/><Relationship Id="rId18" Type="http://schemas.openxmlformats.org/officeDocument/2006/relationships/hyperlink" Target="https://www.nipsco.com/about-us/news-room" TargetMode="External"/><Relationship Id="rId26" Type="http://schemas.openxmlformats.org/officeDocument/2006/relationships/hyperlink" Target="https://www.nipsco.com/save-energy/business/prescriptive-gas-incentives" TargetMode="External"/><Relationship Id="rId3" Type="http://schemas.openxmlformats.org/officeDocument/2006/relationships/hyperlink" Target="#'M05-S01'!A1"/><Relationship Id="rId21" Type="http://schemas.openxmlformats.org/officeDocument/2006/relationships/image" Target="../media/image7.jpeg"/><Relationship Id="rId34" Type="http://schemas.openxmlformats.org/officeDocument/2006/relationships/hyperlink" Target="https://www.nipsco.com/save-energy/business/custom-electric-incentives" TargetMode="External"/><Relationship Id="rId7" Type="http://schemas.openxmlformats.org/officeDocument/2006/relationships/hyperlink" Target="#'M01-S01'!A1"/><Relationship Id="rId12" Type="http://schemas.openxmlformats.org/officeDocument/2006/relationships/hyperlink" Target="#'M01-S02'!A1"/><Relationship Id="rId17" Type="http://schemas.openxmlformats.org/officeDocument/2006/relationships/image" Target="../media/image1.png"/><Relationship Id="rId25" Type="http://schemas.openxmlformats.org/officeDocument/2006/relationships/image" Target="../media/image9.jpeg"/><Relationship Id="rId33" Type="http://schemas.openxmlformats.org/officeDocument/2006/relationships/image" Target="../media/image13.jpeg"/><Relationship Id="rId2" Type="http://schemas.openxmlformats.org/officeDocument/2006/relationships/image" Target="../media/image5.jpeg"/><Relationship Id="rId16" Type="http://schemas.openxmlformats.org/officeDocument/2006/relationships/hyperlink" Target="#'M01-S02'!C6"/><Relationship Id="rId20" Type="http://schemas.openxmlformats.org/officeDocument/2006/relationships/hyperlink" Target="https://www.nipsco.com/save-energy/business/business-energy-tips" TargetMode="External"/><Relationship Id="rId29" Type="http://schemas.openxmlformats.org/officeDocument/2006/relationships/image" Target="../media/image11.jpeg"/><Relationship Id="rId1" Type="http://schemas.openxmlformats.org/officeDocument/2006/relationships/hyperlink" Target="https://myaccount.nipsco.com/login" TargetMode="External"/><Relationship Id="rId6" Type="http://schemas.openxmlformats.org/officeDocument/2006/relationships/hyperlink" Target="#'M01-S08'!A1"/><Relationship Id="rId11" Type="http://schemas.openxmlformats.org/officeDocument/2006/relationships/hyperlink" Target="#'M04-S01'!A1"/><Relationship Id="rId24" Type="http://schemas.openxmlformats.org/officeDocument/2006/relationships/hyperlink" Target="https://www.designlights.org/qpl" TargetMode="External"/><Relationship Id="rId32" Type="http://schemas.openxmlformats.org/officeDocument/2006/relationships/hyperlink" Target="https://www.nipsco.com/save-energy/business/new-construction-incentive-program" TargetMode="External"/><Relationship Id="rId5" Type="http://schemas.openxmlformats.org/officeDocument/2006/relationships/hyperlink" Target="#'M01-S07'!A1"/><Relationship Id="rId15" Type="http://schemas.openxmlformats.org/officeDocument/2006/relationships/hyperlink" Target="#'M01-S05'!A1"/><Relationship Id="rId23" Type="http://schemas.openxmlformats.org/officeDocument/2006/relationships/image" Target="../media/image8.jpeg"/><Relationship Id="rId28" Type="http://schemas.openxmlformats.org/officeDocument/2006/relationships/hyperlink" Target="https://www.nipsco.com/save-energy/business" TargetMode="External"/><Relationship Id="rId10" Type="http://schemas.openxmlformats.org/officeDocument/2006/relationships/hyperlink" Target="#'M03-S01'!A1"/><Relationship Id="rId19" Type="http://schemas.openxmlformats.org/officeDocument/2006/relationships/image" Target="../media/image6.jpeg"/><Relationship Id="rId31" Type="http://schemas.openxmlformats.org/officeDocument/2006/relationships/image" Target="../media/image12.jpeg"/><Relationship Id="rId4" Type="http://schemas.openxmlformats.org/officeDocument/2006/relationships/hyperlink" Target="#'M01-S06'!A1"/><Relationship Id="rId9" Type="http://schemas.openxmlformats.org/officeDocument/2006/relationships/hyperlink" Target="#'M02-S01'!A1"/><Relationship Id="rId14" Type="http://schemas.openxmlformats.org/officeDocument/2006/relationships/hyperlink" Target="#'M01-S04'!A1"/><Relationship Id="rId22" Type="http://schemas.openxmlformats.org/officeDocument/2006/relationships/hyperlink" Target="https://www.nipsco.com/save-energy/business/small-business-direct-install-program" TargetMode="External"/><Relationship Id="rId27" Type="http://schemas.openxmlformats.org/officeDocument/2006/relationships/image" Target="../media/image10.jpeg"/><Relationship Id="rId30" Type="http://schemas.openxmlformats.org/officeDocument/2006/relationships/hyperlink" Target="http://www.energystar.gov/buildings/facility-owners-and-managers/small-biz" TargetMode="External"/><Relationship Id="rId35" Type="http://schemas.openxmlformats.org/officeDocument/2006/relationships/image" Target="../media/image14.jpeg"/><Relationship Id="rId8" Type="http://schemas.openxmlformats.org/officeDocument/2006/relationships/hyperlink" Target="#'M01-S04'!C6"/></Relationships>
</file>

<file path=xl/drawings/_rels/drawing4.xml.rels><?xml version="1.0" encoding="UTF-8" standalone="yes"?>
<Relationships xmlns="http://schemas.openxmlformats.org/package/2006/relationships"><Relationship Id="rId8" Type="http://schemas.openxmlformats.org/officeDocument/2006/relationships/hyperlink" Target="#'M02-S01'!A1"/><Relationship Id="rId13" Type="http://schemas.openxmlformats.org/officeDocument/2006/relationships/hyperlink" Target="#'M01-S03'!A1"/><Relationship Id="rId3" Type="http://schemas.openxmlformats.org/officeDocument/2006/relationships/hyperlink" Target="#'M01-S06'!A1"/><Relationship Id="rId7" Type="http://schemas.openxmlformats.org/officeDocument/2006/relationships/hyperlink" Target="#'M01-S05'!F19"/><Relationship Id="rId12" Type="http://schemas.openxmlformats.org/officeDocument/2006/relationships/hyperlink" Target="#'M01-S02'!A1"/><Relationship Id="rId17" Type="http://schemas.openxmlformats.org/officeDocument/2006/relationships/image" Target="../media/image16.png"/><Relationship Id="rId2" Type="http://schemas.openxmlformats.org/officeDocument/2006/relationships/hyperlink" Target="https://resources.trcsavesenergy.com/wp-content/uploads/2025-NIPSCO-Prescriptive-Measures-List_20250101-FINAL.pdf" TargetMode="External"/><Relationship Id="rId16" Type="http://schemas.openxmlformats.org/officeDocument/2006/relationships/hyperlink" Target="#'M01-S03'!C6"/><Relationship Id="rId1" Type="http://schemas.openxmlformats.org/officeDocument/2006/relationships/image" Target="../media/image15.jpeg"/><Relationship Id="rId6" Type="http://schemas.openxmlformats.org/officeDocument/2006/relationships/hyperlink" Target="#'M01-S01'!A1"/><Relationship Id="rId11" Type="http://schemas.openxmlformats.org/officeDocument/2006/relationships/hyperlink" Target="#'M05-S01'!A1"/><Relationship Id="rId5" Type="http://schemas.openxmlformats.org/officeDocument/2006/relationships/hyperlink" Target="#'M01-S08'!A1"/><Relationship Id="rId15" Type="http://schemas.openxmlformats.org/officeDocument/2006/relationships/hyperlink" Target="#'M01-S05'!A1"/><Relationship Id="rId10" Type="http://schemas.openxmlformats.org/officeDocument/2006/relationships/hyperlink" Target="#'M04-S01'!A1"/><Relationship Id="rId4" Type="http://schemas.openxmlformats.org/officeDocument/2006/relationships/hyperlink" Target="#'M01-S07'!A1"/><Relationship Id="rId9" Type="http://schemas.openxmlformats.org/officeDocument/2006/relationships/hyperlink" Target="#'M03-S01'!A1"/><Relationship Id="rId14" Type="http://schemas.openxmlformats.org/officeDocument/2006/relationships/hyperlink" Target="#'M01-S04'!A1"/></Relationships>
</file>

<file path=xl/drawings/_rels/drawing5.xml.rels><?xml version="1.0" encoding="UTF-8" standalone="yes"?>
<Relationships xmlns="http://schemas.openxmlformats.org/package/2006/relationships"><Relationship Id="rId8" Type="http://schemas.openxmlformats.org/officeDocument/2006/relationships/hyperlink" Target="#'M04-S01'!A1"/><Relationship Id="rId13" Type="http://schemas.openxmlformats.org/officeDocument/2006/relationships/hyperlink" Target="#'M01-S05'!A1"/><Relationship Id="rId3" Type="http://schemas.openxmlformats.org/officeDocument/2006/relationships/hyperlink" Target="#'M01-S08'!A1"/><Relationship Id="rId7" Type="http://schemas.openxmlformats.org/officeDocument/2006/relationships/hyperlink" Target="#'M03-S01'!A1"/><Relationship Id="rId12" Type="http://schemas.openxmlformats.org/officeDocument/2006/relationships/hyperlink" Target="#'M01-S04'!A1"/><Relationship Id="rId2" Type="http://schemas.openxmlformats.org/officeDocument/2006/relationships/hyperlink" Target="#'M01-S07'!A1"/><Relationship Id="rId1" Type="http://schemas.openxmlformats.org/officeDocument/2006/relationships/hyperlink" Target="#'M01-S06'!A1"/><Relationship Id="rId6" Type="http://schemas.openxmlformats.org/officeDocument/2006/relationships/hyperlink" Target="#'M02-S01'!A1"/><Relationship Id="rId11" Type="http://schemas.openxmlformats.org/officeDocument/2006/relationships/hyperlink" Target="#'M01-S03'!A1"/><Relationship Id="rId5" Type="http://schemas.openxmlformats.org/officeDocument/2006/relationships/hyperlink" Target="#'M02-S01'!C6"/><Relationship Id="rId15" Type="http://schemas.openxmlformats.org/officeDocument/2006/relationships/image" Target="../media/image1.png"/><Relationship Id="rId10" Type="http://schemas.openxmlformats.org/officeDocument/2006/relationships/hyperlink" Target="#'M01-S02'!A1"/><Relationship Id="rId4" Type="http://schemas.openxmlformats.org/officeDocument/2006/relationships/hyperlink" Target="#'M01-S01'!A1"/><Relationship Id="rId9" Type="http://schemas.openxmlformats.org/officeDocument/2006/relationships/hyperlink" Target="#'M05-S01'!A1"/><Relationship Id="rId14" Type="http://schemas.openxmlformats.org/officeDocument/2006/relationships/hyperlink" Target="#'M01-S04'!C6"/></Relationships>
</file>

<file path=xl/drawings/_rels/drawing6.xml.rels><?xml version="1.0" encoding="UTF-8" standalone="yes"?>
<Relationships xmlns="http://schemas.openxmlformats.org/package/2006/relationships"><Relationship Id="rId8" Type="http://schemas.openxmlformats.org/officeDocument/2006/relationships/hyperlink" Target="#'M04-S01'!A1"/><Relationship Id="rId13" Type="http://schemas.openxmlformats.org/officeDocument/2006/relationships/image" Target="../media/image17.png"/><Relationship Id="rId3" Type="http://schemas.openxmlformats.org/officeDocument/2006/relationships/hyperlink" Target="#'M02-S07'!A1"/><Relationship Id="rId7" Type="http://schemas.openxmlformats.org/officeDocument/2006/relationships/hyperlink" Target="#'M03-S01'!A1"/><Relationship Id="rId12" Type="http://schemas.openxmlformats.org/officeDocument/2006/relationships/hyperlink" Target="#'M02-S04'!A1"/><Relationship Id="rId2" Type="http://schemas.openxmlformats.org/officeDocument/2006/relationships/hyperlink" Target="#'M02-S06'!A1"/><Relationship Id="rId1" Type="http://schemas.openxmlformats.org/officeDocument/2006/relationships/hyperlink" Target="#'M02-S05'!A1"/><Relationship Id="rId6" Type="http://schemas.openxmlformats.org/officeDocument/2006/relationships/hyperlink" Target="#'M01-S01'!A1"/><Relationship Id="rId11" Type="http://schemas.openxmlformats.org/officeDocument/2006/relationships/hyperlink" Target="#'M02-S03'!A1"/><Relationship Id="rId5" Type="http://schemas.openxmlformats.org/officeDocument/2006/relationships/hyperlink" Target="#'M02-S01'!A1"/><Relationship Id="rId15" Type="http://schemas.openxmlformats.org/officeDocument/2006/relationships/hyperlink" Target="#'M02-S02'!C15"/><Relationship Id="rId10" Type="http://schemas.openxmlformats.org/officeDocument/2006/relationships/hyperlink" Target="#'M02-S02'!A1"/><Relationship Id="rId4" Type="http://schemas.openxmlformats.org/officeDocument/2006/relationships/hyperlink" Target="#'M02-S08'!A1"/><Relationship Id="rId9" Type="http://schemas.openxmlformats.org/officeDocument/2006/relationships/hyperlink" Target="#'M05-S01'!A1"/><Relationship Id="rId14" Type="http://schemas.openxmlformats.org/officeDocument/2006/relationships/hyperlink" Target="#'M01-S05'!C6"/></Relationships>
</file>

<file path=xl/drawings/_rels/drawing7.xml.rels><?xml version="1.0" encoding="UTF-8" standalone="yes"?>
<Relationships xmlns="http://schemas.openxmlformats.org/package/2006/relationships"><Relationship Id="rId8" Type="http://schemas.openxmlformats.org/officeDocument/2006/relationships/hyperlink" Target="#'M03-S01'!A1"/><Relationship Id="rId13" Type="http://schemas.openxmlformats.org/officeDocument/2006/relationships/hyperlink" Target="#'M02-S04'!A1"/><Relationship Id="rId3" Type="http://schemas.openxmlformats.org/officeDocument/2006/relationships/hyperlink" Target="#'M02-S07'!A1"/><Relationship Id="rId7" Type="http://schemas.openxmlformats.org/officeDocument/2006/relationships/hyperlink" Target="#'M01-S01'!A1"/><Relationship Id="rId12" Type="http://schemas.openxmlformats.org/officeDocument/2006/relationships/hyperlink" Target="#'M02-S03'!A1"/><Relationship Id="rId2" Type="http://schemas.openxmlformats.org/officeDocument/2006/relationships/hyperlink" Target="#'M02-S06'!A1"/><Relationship Id="rId1" Type="http://schemas.openxmlformats.org/officeDocument/2006/relationships/hyperlink" Target="#'M02-S05'!A1"/><Relationship Id="rId6" Type="http://schemas.openxmlformats.org/officeDocument/2006/relationships/hyperlink" Target="#'M02-S03'!C14"/><Relationship Id="rId11" Type="http://schemas.openxmlformats.org/officeDocument/2006/relationships/hyperlink" Target="#'M02-S02'!A1"/><Relationship Id="rId5" Type="http://schemas.openxmlformats.org/officeDocument/2006/relationships/hyperlink" Target="#'M02-S01'!A1"/><Relationship Id="rId15" Type="http://schemas.openxmlformats.org/officeDocument/2006/relationships/image" Target="../media/image18.png"/><Relationship Id="rId10" Type="http://schemas.openxmlformats.org/officeDocument/2006/relationships/hyperlink" Target="#'M05-S01'!A1"/><Relationship Id="rId4" Type="http://schemas.openxmlformats.org/officeDocument/2006/relationships/hyperlink" Target="#'M02-S08'!A1"/><Relationship Id="rId9" Type="http://schemas.openxmlformats.org/officeDocument/2006/relationships/hyperlink" Target="#'M04-S01'!A1"/><Relationship Id="rId14" Type="http://schemas.openxmlformats.org/officeDocument/2006/relationships/hyperlink" Target="#'M02-S01'!C6"/></Relationships>
</file>

<file path=xl/drawings/_rels/drawing8.xml.rels><?xml version="1.0" encoding="UTF-8" standalone="yes"?>
<Relationships xmlns="http://schemas.openxmlformats.org/package/2006/relationships"><Relationship Id="rId8" Type="http://schemas.openxmlformats.org/officeDocument/2006/relationships/hyperlink" Target="#'M03-S01'!A1"/><Relationship Id="rId13" Type="http://schemas.openxmlformats.org/officeDocument/2006/relationships/hyperlink" Target="#'M02-S04'!A1"/><Relationship Id="rId3" Type="http://schemas.openxmlformats.org/officeDocument/2006/relationships/hyperlink" Target="#'M02-S07'!A1"/><Relationship Id="rId7" Type="http://schemas.openxmlformats.org/officeDocument/2006/relationships/hyperlink" Target="#'M01-S01'!A1"/><Relationship Id="rId12" Type="http://schemas.openxmlformats.org/officeDocument/2006/relationships/hyperlink" Target="#'M02-S03'!A1"/><Relationship Id="rId2" Type="http://schemas.openxmlformats.org/officeDocument/2006/relationships/hyperlink" Target="#'M02-S06'!A1"/><Relationship Id="rId1" Type="http://schemas.openxmlformats.org/officeDocument/2006/relationships/hyperlink" Target="#'M02-S05'!A1"/><Relationship Id="rId6" Type="http://schemas.openxmlformats.org/officeDocument/2006/relationships/hyperlink" Target="#'M02-S04'!J13"/><Relationship Id="rId11" Type="http://schemas.openxmlformats.org/officeDocument/2006/relationships/hyperlink" Target="#'M02-S02'!A1"/><Relationship Id="rId5" Type="http://schemas.openxmlformats.org/officeDocument/2006/relationships/hyperlink" Target="#'M02-S01'!A1"/><Relationship Id="rId15" Type="http://schemas.openxmlformats.org/officeDocument/2006/relationships/image" Target="../media/image1.png"/><Relationship Id="rId10" Type="http://schemas.openxmlformats.org/officeDocument/2006/relationships/hyperlink" Target="#'M05-S01'!A1"/><Relationship Id="rId4" Type="http://schemas.openxmlformats.org/officeDocument/2006/relationships/hyperlink" Target="#'M02-S08'!A1"/><Relationship Id="rId9" Type="http://schemas.openxmlformats.org/officeDocument/2006/relationships/hyperlink" Target="#'M04-S01'!A1"/><Relationship Id="rId14" Type="http://schemas.openxmlformats.org/officeDocument/2006/relationships/hyperlink" Target="#'M02-S02'!C15"/></Relationships>
</file>

<file path=xl/drawings/_rels/drawing9.xml.rels><?xml version="1.0" encoding="UTF-8" standalone="yes"?>
<Relationships xmlns="http://schemas.openxmlformats.org/package/2006/relationships"><Relationship Id="rId8" Type="http://schemas.openxmlformats.org/officeDocument/2006/relationships/hyperlink" Target="#'M03-S01'!A1"/><Relationship Id="rId13" Type="http://schemas.openxmlformats.org/officeDocument/2006/relationships/hyperlink" Target="#'M02-S04'!A1"/><Relationship Id="rId3" Type="http://schemas.openxmlformats.org/officeDocument/2006/relationships/hyperlink" Target="#'M02-S06'!A1"/><Relationship Id="rId7" Type="http://schemas.openxmlformats.org/officeDocument/2006/relationships/hyperlink" Target="#'M01-S01'!A1"/><Relationship Id="rId12" Type="http://schemas.openxmlformats.org/officeDocument/2006/relationships/hyperlink" Target="#'M02-S03'!A1"/><Relationship Id="rId2" Type="http://schemas.openxmlformats.org/officeDocument/2006/relationships/hyperlink" Target="#'M02-S05'!A1"/><Relationship Id="rId1" Type="http://schemas.openxmlformats.org/officeDocument/2006/relationships/hyperlink" Target="#'M02-S01'!A1"/><Relationship Id="rId6" Type="http://schemas.openxmlformats.org/officeDocument/2006/relationships/hyperlink" Target="#'M03-S01'!C16"/><Relationship Id="rId11" Type="http://schemas.openxmlformats.org/officeDocument/2006/relationships/hyperlink" Target="#'M02-S02'!A1"/><Relationship Id="rId5" Type="http://schemas.openxmlformats.org/officeDocument/2006/relationships/hyperlink" Target="#'M02-S08'!A1"/><Relationship Id="rId15" Type="http://schemas.openxmlformats.org/officeDocument/2006/relationships/image" Target="../media/image1.png"/><Relationship Id="rId10" Type="http://schemas.openxmlformats.org/officeDocument/2006/relationships/hyperlink" Target="#'M05-S01'!A1"/><Relationship Id="rId4" Type="http://schemas.openxmlformats.org/officeDocument/2006/relationships/hyperlink" Target="#'M02-S07'!A1"/><Relationship Id="rId9" Type="http://schemas.openxmlformats.org/officeDocument/2006/relationships/hyperlink" Target="#'M04-S01'!A1"/><Relationship Id="rId14" Type="http://schemas.openxmlformats.org/officeDocument/2006/relationships/hyperlink" Target="#'M02-S03'!C14"/></Relationships>
</file>

<file path=xl/drawings/drawing1.xml><?xml version="1.0" encoding="utf-8"?>
<xdr:wsDr xmlns:xdr="http://schemas.openxmlformats.org/drawingml/2006/spreadsheetDrawing" xmlns:a="http://schemas.openxmlformats.org/drawingml/2006/main">
  <xdr:twoCellAnchor>
    <xdr:from>
      <xdr:col>7</xdr:col>
      <xdr:colOff>3008</xdr:colOff>
      <xdr:row>1</xdr:row>
      <xdr:rowOff>133351</xdr:rowOff>
    </xdr:from>
    <xdr:to>
      <xdr:col>12</xdr:col>
      <xdr:colOff>2551</xdr:colOff>
      <xdr:row>4</xdr:row>
      <xdr:rowOff>133351</xdr:rowOff>
    </xdr:to>
    <xdr:sp macro="" textlink="MAIN1">
      <xdr:nvSpPr>
        <xdr:cNvPr id="3" name="MENU1">
          <a:hlinkClick xmlns:r="http://schemas.openxmlformats.org/officeDocument/2006/relationships" r:id="rId1" tooltip=" "/>
          <a:extLst>
            <a:ext uri="{FF2B5EF4-FFF2-40B4-BE49-F238E27FC236}">
              <a16:creationId xmlns:a16="http://schemas.microsoft.com/office/drawing/2014/main" id="{00000000-0008-0000-0800-000003000000}"/>
            </a:ext>
          </a:extLst>
        </xdr:cNvPr>
        <xdr:cNvSpPr/>
      </xdr:nvSpPr>
      <xdr:spPr>
        <a:xfrm>
          <a:off x="2203283" y="333376"/>
          <a:ext cx="1571168" cy="600075"/>
        </a:xfrm>
        <a:prstGeom prst="round2SameRect">
          <a:avLst/>
        </a:prstGeom>
        <a:solidFill>
          <a:srgbClr val="A6A5AA"/>
        </a:solidFill>
        <a:ln w="12700">
          <a:solidFill>
            <a:srgbClr val="A6A5AA"/>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marL="0" indent="0" algn="ctr"/>
          <a:fld id="{D6F2F067-2676-4601-ABCE-75BD5137E3D5}" type="TxLink">
            <a:rPr lang="en-US" sz="1100" b="0" i="0" u="none" strike="noStrike">
              <a:solidFill>
                <a:srgbClr val="FFFFFF">
                  <a:lumMod val="100000"/>
                </a:srgbClr>
              </a:solidFill>
              <a:latin typeface="Arial" panose="020B0604020202020204" pitchFamily="34" charset="0"/>
              <a:ea typeface="+mn-ea"/>
              <a:cs typeface="Arial" panose="020B0604020202020204" pitchFamily="34" charset="0"/>
            </a:rPr>
            <a:pPr marL="0" indent="0" algn="ctr"/>
            <a:t>START</a:t>
          </a:fld>
          <a:endParaRPr lang="en-US" sz="1100" b="0" i="0" u="none" strike="noStrike">
            <a:solidFill>
              <a:srgbClr val="FFFFFF">
                <a:lumMod val="100000"/>
              </a:srgbClr>
            </a:solidFill>
            <a:latin typeface="Arial" panose="020B0604020202020204" pitchFamily="34" charset="0"/>
            <a:ea typeface="+mn-ea"/>
            <a:cs typeface="Arial" panose="020B0604020202020204" pitchFamily="34" charset="0"/>
          </a:endParaRPr>
        </a:p>
      </xdr:txBody>
    </xdr:sp>
    <xdr:clientData/>
  </xdr:twoCellAnchor>
  <xdr:twoCellAnchor>
    <xdr:from>
      <xdr:col>27</xdr:col>
      <xdr:colOff>0</xdr:colOff>
      <xdr:row>4</xdr:row>
      <xdr:rowOff>200705</xdr:rowOff>
    </xdr:from>
    <xdr:to>
      <xdr:col>32</xdr:col>
      <xdr:colOff>2865</xdr:colOff>
      <xdr:row>7</xdr:row>
      <xdr:rowOff>0</xdr:rowOff>
    </xdr:to>
    <xdr:sp macro="" textlink="M1S6">
      <xdr:nvSpPr>
        <xdr:cNvPr id="16" name="SUBMENU6">
          <a:hlinkClick xmlns:r="http://schemas.openxmlformats.org/officeDocument/2006/relationships" r:id="rId2"/>
          <a:extLst>
            <a:ext uri="{FF2B5EF4-FFF2-40B4-BE49-F238E27FC236}">
              <a16:creationId xmlns:a16="http://schemas.microsoft.com/office/drawing/2014/main" id="{00000000-0008-0000-0800-000010000000}"/>
            </a:ext>
          </a:extLst>
        </xdr:cNvPr>
        <xdr:cNvSpPr/>
      </xdr:nvSpPr>
      <xdr:spPr>
        <a:xfrm>
          <a:off x="8486775" y="1000805"/>
          <a:ext cx="1574490" cy="399370"/>
        </a:xfrm>
        <a:prstGeom prst="round2SameRect">
          <a:avLst/>
        </a:prstGeom>
        <a:noFill/>
        <a:ln w="12700">
          <a:no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3895239F-CA13-455E-B384-0BD1EC0A3A85}" type="TxLink">
            <a:rPr lang="en-US" sz="1100" b="0" i="0" u="none" strike="noStrike">
              <a:solidFill>
                <a:srgbClr val="FFFFFF"/>
              </a:solidFill>
              <a:latin typeface="Arial" panose="020B0604020202020204" pitchFamily="34" charset="0"/>
              <a:cs typeface="Arial" panose="020B0604020202020204" pitchFamily="34" charset="0"/>
            </a:rPr>
            <a:pPr algn="ctr"/>
            <a:t> </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32</xdr:col>
      <xdr:colOff>2865</xdr:colOff>
      <xdr:row>4</xdr:row>
      <xdr:rowOff>200705</xdr:rowOff>
    </xdr:from>
    <xdr:to>
      <xdr:col>37</xdr:col>
      <xdr:colOff>2720</xdr:colOff>
      <xdr:row>7</xdr:row>
      <xdr:rowOff>0</xdr:rowOff>
    </xdr:to>
    <xdr:sp macro="" textlink="M1S7">
      <xdr:nvSpPr>
        <xdr:cNvPr id="17" name="SUBMENU7">
          <a:hlinkClick xmlns:r="http://schemas.openxmlformats.org/officeDocument/2006/relationships" r:id="rId3"/>
          <a:extLst>
            <a:ext uri="{FF2B5EF4-FFF2-40B4-BE49-F238E27FC236}">
              <a16:creationId xmlns:a16="http://schemas.microsoft.com/office/drawing/2014/main" id="{00000000-0008-0000-0800-000011000000}"/>
            </a:ext>
          </a:extLst>
        </xdr:cNvPr>
        <xdr:cNvSpPr/>
      </xdr:nvSpPr>
      <xdr:spPr>
        <a:xfrm>
          <a:off x="10061265" y="1000805"/>
          <a:ext cx="1571480" cy="399370"/>
        </a:xfrm>
        <a:prstGeom prst="round2SameRect">
          <a:avLst/>
        </a:prstGeom>
        <a:noFill/>
        <a:ln w="25400">
          <a:no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D599586B-580C-4649-BAE7-1A9160B03CD3}" type="TxLink">
            <a:rPr lang="en-US" sz="1100" b="0" i="0" u="none" strike="noStrike">
              <a:solidFill>
                <a:srgbClr val="FFFFFF"/>
              </a:solidFill>
              <a:latin typeface="Arial" panose="020B0604020202020204" pitchFamily="34" charset="0"/>
              <a:cs typeface="Arial" panose="020B0604020202020204" pitchFamily="34" charset="0"/>
            </a:rPr>
            <a:pPr algn="ctr"/>
            <a:t> </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37</xdr:col>
      <xdr:colOff>2720</xdr:colOff>
      <xdr:row>4</xdr:row>
      <xdr:rowOff>200705</xdr:rowOff>
    </xdr:from>
    <xdr:to>
      <xdr:col>42</xdr:col>
      <xdr:colOff>0</xdr:colOff>
      <xdr:row>7</xdr:row>
      <xdr:rowOff>0</xdr:rowOff>
    </xdr:to>
    <xdr:sp macro="" textlink="M1S8">
      <xdr:nvSpPr>
        <xdr:cNvPr id="18" name="SUBMENU8">
          <a:hlinkClick xmlns:r="http://schemas.openxmlformats.org/officeDocument/2006/relationships" r:id="rId4"/>
          <a:extLst>
            <a:ext uri="{FF2B5EF4-FFF2-40B4-BE49-F238E27FC236}">
              <a16:creationId xmlns:a16="http://schemas.microsoft.com/office/drawing/2014/main" id="{00000000-0008-0000-0800-000012000000}"/>
            </a:ext>
          </a:extLst>
        </xdr:cNvPr>
        <xdr:cNvSpPr/>
      </xdr:nvSpPr>
      <xdr:spPr>
        <a:xfrm>
          <a:off x="11632745" y="1000805"/>
          <a:ext cx="1568905" cy="399370"/>
        </a:xfrm>
        <a:prstGeom prst="round2SameRect">
          <a:avLst/>
        </a:prstGeom>
        <a:noFill/>
        <a:ln w="25400">
          <a:no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471F2687-6E45-4175-A81A-2816B725423B}" type="TxLink">
            <a:rPr lang="en-US" sz="1100" b="0" i="0" u="none" strike="noStrike">
              <a:solidFill>
                <a:srgbClr val="FFFFFF"/>
              </a:solidFill>
              <a:latin typeface="Arial" panose="020B0604020202020204" pitchFamily="34" charset="0"/>
              <a:cs typeface="Arial" panose="020B0604020202020204" pitchFamily="34" charset="0"/>
            </a:rPr>
            <a:pPr algn="ctr"/>
            <a:t> </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1</xdr:col>
      <xdr:colOff>0</xdr:colOff>
      <xdr:row>4</xdr:row>
      <xdr:rowOff>1</xdr:rowOff>
    </xdr:from>
    <xdr:to>
      <xdr:col>44</xdr:col>
      <xdr:colOff>11206</xdr:colOff>
      <xdr:row>7</xdr:row>
      <xdr:rowOff>0</xdr:rowOff>
    </xdr:to>
    <xdr:sp macro="" textlink="">
      <xdr:nvSpPr>
        <xdr:cNvPr id="10" name="TOPRIBBON">
          <a:extLst>
            <a:ext uri="{FF2B5EF4-FFF2-40B4-BE49-F238E27FC236}">
              <a16:creationId xmlns:a16="http://schemas.microsoft.com/office/drawing/2014/main" id="{00000000-0008-0000-0800-00000A000000}"/>
            </a:ext>
          </a:extLst>
        </xdr:cNvPr>
        <xdr:cNvSpPr/>
      </xdr:nvSpPr>
      <xdr:spPr>
        <a:xfrm>
          <a:off x="313765" y="806825"/>
          <a:ext cx="13514294" cy="605116"/>
        </a:xfrm>
        <a:prstGeom prst="round2SameRect">
          <a:avLst/>
        </a:prstGeom>
        <a:solidFill>
          <a:srgbClr val="A6A5AA"/>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marL="0" indent="0" algn="l"/>
          <a:endParaRPr lang="en-US" sz="1100">
            <a:solidFill>
              <a:schemeClr val="lt1"/>
            </a:solidFill>
            <a:latin typeface="+mn-lt"/>
            <a:ea typeface="+mn-ea"/>
            <a:cs typeface="+mn-cs"/>
          </a:endParaRPr>
        </a:p>
      </xdr:txBody>
    </xdr:sp>
    <xdr:clientData/>
  </xdr:twoCellAnchor>
  <xdr:twoCellAnchor editAs="oneCell">
    <xdr:from>
      <xdr:col>41</xdr:col>
      <xdr:colOff>0</xdr:colOff>
      <xdr:row>9</xdr:row>
      <xdr:rowOff>1047</xdr:rowOff>
    </xdr:from>
    <xdr:to>
      <xdr:col>42</xdr:col>
      <xdr:colOff>313195</xdr:colOff>
      <xdr:row>11</xdr:row>
      <xdr:rowOff>1046</xdr:rowOff>
    </xdr:to>
    <xdr:sp macro="" textlink="">
      <xdr:nvSpPr>
        <xdr:cNvPr id="2" name="NEXT">
          <a:hlinkClick xmlns:r="http://schemas.openxmlformats.org/officeDocument/2006/relationships" r:id="rId5" tooltip=" "/>
          <a:extLst>
            <a:ext uri="{FF2B5EF4-FFF2-40B4-BE49-F238E27FC236}">
              <a16:creationId xmlns:a16="http://schemas.microsoft.com/office/drawing/2014/main" id="{00000000-0008-0000-0800-000002000000}"/>
            </a:ext>
          </a:extLst>
        </xdr:cNvPr>
        <xdr:cNvSpPr>
          <a:spLocks noChangeAspect="1"/>
        </xdr:cNvSpPr>
      </xdr:nvSpPr>
      <xdr:spPr>
        <a:xfrm>
          <a:off x="12887325" y="1801272"/>
          <a:ext cx="627520" cy="400049"/>
        </a:xfrm>
        <a:prstGeom prst="rightArrow">
          <a:avLst/>
        </a:prstGeom>
        <a:solidFill>
          <a:srgbClr val="54BCEB"/>
        </a:solidFill>
        <a:ln>
          <a:solidFill>
            <a:srgbClr val="54BCEB"/>
          </a:solidFill>
        </a:ln>
        <a:effectLst/>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12</xdr:col>
      <xdr:colOff>1913</xdr:colOff>
      <xdr:row>1</xdr:row>
      <xdr:rowOff>0</xdr:rowOff>
    </xdr:from>
    <xdr:to>
      <xdr:col>17</xdr:col>
      <xdr:colOff>1913</xdr:colOff>
      <xdr:row>4</xdr:row>
      <xdr:rowOff>0</xdr:rowOff>
    </xdr:to>
    <xdr:sp macro="" textlink="MAIN2">
      <xdr:nvSpPr>
        <xdr:cNvPr id="4" name="MENU2">
          <a:hlinkClick xmlns:r="http://schemas.openxmlformats.org/officeDocument/2006/relationships" r:id="rId6" tooltip=" "/>
          <a:extLst>
            <a:ext uri="{FF2B5EF4-FFF2-40B4-BE49-F238E27FC236}">
              <a16:creationId xmlns:a16="http://schemas.microsoft.com/office/drawing/2014/main" id="{00000000-0008-0000-0800-000004000000}"/>
            </a:ext>
          </a:extLst>
        </xdr:cNvPr>
        <xdr:cNvSpPr/>
      </xdr:nvSpPr>
      <xdr:spPr>
        <a:xfrm>
          <a:off x="3767089" y="201706"/>
          <a:ext cx="1568824" cy="605118"/>
        </a:xfrm>
        <a:prstGeom prst="round2SameRect">
          <a:avLst/>
        </a:prstGeom>
        <a:solidFill>
          <a:srgbClr val="00334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59A035B9-F1D2-4E89-B262-AF2DF0C338A9}"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PROJECT INFORMATION</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17</xdr:col>
      <xdr:colOff>1275</xdr:colOff>
      <xdr:row>1</xdr:row>
      <xdr:rowOff>0</xdr:rowOff>
    </xdr:from>
    <xdr:to>
      <xdr:col>22</xdr:col>
      <xdr:colOff>1275</xdr:colOff>
      <xdr:row>4</xdr:row>
      <xdr:rowOff>0</xdr:rowOff>
    </xdr:to>
    <xdr:sp macro="" textlink="MAIN3">
      <xdr:nvSpPr>
        <xdr:cNvPr id="5" name="MENU3">
          <a:hlinkClick xmlns:r="http://schemas.openxmlformats.org/officeDocument/2006/relationships" r:id="rId7" tooltip=" "/>
          <a:extLst>
            <a:ext uri="{FF2B5EF4-FFF2-40B4-BE49-F238E27FC236}">
              <a16:creationId xmlns:a16="http://schemas.microsoft.com/office/drawing/2014/main" id="{00000000-0008-0000-0800-000005000000}"/>
            </a:ext>
          </a:extLst>
        </xdr:cNvPr>
        <xdr:cNvSpPr/>
      </xdr:nvSpPr>
      <xdr:spPr>
        <a:xfrm>
          <a:off x="5335275" y="201706"/>
          <a:ext cx="1568824" cy="605118"/>
        </a:xfrm>
        <a:prstGeom prst="round2SameRect">
          <a:avLst/>
        </a:prstGeom>
        <a:solidFill>
          <a:srgbClr val="00334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06A037F-AE33-47CC-85C1-F6D62694F95D}"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PRESCRIPTIVE MEASURES INPUT</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22</xdr:col>
      <xdr:colOff>637</xdr:colOff>
      <xdr:row>1</xdr:row>
      <xdr:rowOff>0</xdr:rowOff>
    </xdr:from>
    <xdr:to>
      <xdr:col>27</xdr:col>
      <xdr:colOff>637</xdr:colOff>
      <xdr:row>4</xdr:row>
      <xdr:rowOff>0</xdr:rowOff>
    </xdr:to>
    <xdr:sp macro="" textlink="MAIN4">
      <xdr:nvSpPr>
        <xdr:cNvPr id="6" name="MENU4">
          <a:hlinkClick xmlns:r="http://schemas.openxmlformats.org/officeDocument/2006/relationships" r:id="rId8" tooltip=" "/>
          <a:extLst>
            <a:ext uri="{FF2B5EF4-FFF2-40B4-BE49-F238E27FC236}">
              <a16:creationId xmlns:a16="http://schemas.microsoft.com/office/drawing/2014/main" id="{00000000-0008-0000-0800-000006000000}"/>
            </a:ext>
          </a:extLst>
        </xdr:cNvPr>
        <xdr:cNvSpPr/>
      </xdr:nvSpPr>
      <xdr:spPr>
        <a:xfrm>
          <a:off x="6903461" y="201706"/>
          <a:ext cx="1568823" cy="605118"/>
        </a:xfrm>
        <a:prstGeom prst="round2SameRect">
          <a:avLst/>
        </a:prstGeom>
        <a:solidFill>
          <a:srgbClr val="00334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CB369157-CA5B-4E40-B1DE-604993B819B3}"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CUSTOM MEASURES INPUT</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27</xdr:col>
      <xdr:colOff>0</xdr:colOff>
      <xdr:row>1</xdr:row>
      <xdr:rowOff>0</xdr:rowOff>
    </xdr:from>
    <xdr:to>
      <xdr:col>32</xdr:col>
      <xdr:colOff>0</xdr:colOff>
      <xdr:row>4</xdr:row>
      <xdr:rowOff>0</xdr:rowOff>
    </xdr:to>
    <xdr:sp macro="" textlink="MAIN5">
      <xdr:nvSpPr>
        <xdr:cNvPr id="7" name="MENU5">
          <a:hlinkClick xmlns:r="http://schemas.openxmlformats.org/officeDocument/2006/relationships" r:id="rId9" tooltip=" "/>
          <a:extLst>
            <a:ext uri="{FF2B5EF4-FFF2-40B4-BE49-F238E27FC236}">
              <a16:creationId xmlns:a16="http://schemas.microsoft.com/office/drawing/2014/main" id="{00000000-0008-0000-0800-000007000000}"/>
            </a:ext>
          </a:extLst>
        </xdr:cNvPr>
        <xdr:cNvSpPr/>
      </xdr:nvSpPr>
      <xdr:spPr>
        <a:xfrm>
          <a:off x="8486775" y="200025"/>
          <a:ext cx="1571625" cy="600075"/>
        </a:xfrm>
        <a:prstGeom prst="round2SameRect">
          <a:avLst/>
        </a:prstGeom>
        <a:solidFill>
          <a:srgbClr val="00334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F0EEDDA6-4934-49B4-972D-20D21D440D82}"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APPLICATION REVIEW</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editAs="absolute">
    <xdr:from>
      <xdr:col>32</xdr:col>
      <xdr:colOff>92512</xdr:colOff>
      <xdr:row>1</xdr:row>
      <xdr:rowOff>15297</xdr:rowOff>
    </xdr:from>
    <xdr:to>
      <xdr:col>37</xdr:col>
      <xdr:colOff>92513</xdr:colOff>
      <xdr:row>4</xdr:row>
      <xdr:rowOff>15297</xdr:rowOff>
    </xdr:to>
    <xdr:sp macro="" textlink="MAIN6">
      <xdr:nvSpPr>
        <xdr:cNvPr id="8" name="MENU6">
          <a:extLst>
            <a:ext uri="{FF2B5EF4-FFF2-40B4-BE49-F238E27FC236}">
              <a16:creationId xmlns:a16="http://schemas.microsoft.com/office/drawing/2014/main" id="{00000000-0008-0000-0800-000008000000}"/>
            </a:ext>
          </a:extLst>
        </xdr:cNvPr>
        <xdr:cNvSpPr/>
      </xdr:nvSpPr>
      <xdr:spPr>
        <a:xfrm>
          <a:off x="10132983" y="217003"/>
          <a:ext cx="1568824" cy="605118"/>
        </a:xfrm>
        <a:prstGeom prst="round2SameRect">
          <a:avLst/>
        </a:prstGeom>
        <a:noFill/>
        <a:ln w="25400">
          <a:noFill/>
        </a:ln>
        <a:effectLst/>
        <a:extLs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B12A3774-975E-4B41-A681-E085295C6D0E}" type="TxLink">
            <a:rPr lang="en-US" sz="1100" b="0" i="0" u="none" strike="noStrike">
              <a:noFill/>
              <a:latin typeface="Arial" panose="020B0604020202020204" pitchFamily="34" charset="0"/>
              <a:cs typeface="Arial" panose="020B0604020202020204" pitchFamily="34" charset="0"/>
            </a:rPr>
            <a:pPr algn="ctr"/>
            <a:t> </a:t>
          </a:fld>
          <a:endParaRPr lang="en-US" sz="1100">
            <a:noFill/>
            <a:latin typeface="Arial" panose="020B0604020202020204" pitchFamily="34" charset="0"/>
            <a:cs typeface="Arial" panose="020B0604020202020204" pitchFamily="34" charset="0"/>
          </a:endParaRPr>
        </a:p>
      </xdr:txBody>
    </xdr:sp>
    <xdr:clientData/>
  </xdr:twoCellAnchor>
  <xdr:twoCellAnchor editAs="absolute">
    <xdr:from>
      <xdr:col>37</xdr:col>
      <xdr:colOff>2866</xdr:colOff>
      <xdr:row>1</xdr:row>
      <xdr:rowOff>4090</xdr:rowOff>
    </xdr:from>
    <xdr:to>
      <xdr:col>42</xdr:col>
      <xdr:colOff>2866</xdr:colOff>
      <xdr:row>4</xdr:row>
      <xdr:rowOff>4090</xdr:rowOff>
    </xdr:to>
    <xdr:sp macro="" textlink="MAIN7">
      <xdr:nvSpPr>
        <xdr:cNvPr id="9" name="MENU7">
          <a:extLst>
            <a:ext uri="{FF2B5EF4-FFF2-40B4-BE49-F238E27FC236}">
              <a16:creationId xmlns:a16="http://schemas.microsoft.com/office/drawing/2014/main" id="{00000000-0008-0000-0800-000009000000}"/>
            </a:ext>
          </a:extLst>
        </xdr:cNvPr>
        <xdr:cNvSpPr/>
      </xdr:nvSpPr>
      <xdr:spPr>
        <a:xfrm>
          <a:off x="11612160" y="205796"/>
          <a:ext cx="1568824" cy="605118"/>
        </a:xfrm>
        <a:prstGeom prst="round2SameRect">
          <a:avLst/>
        </a:prstGeom>
        <a:noFill/>
        <a:ln w="25400" cap="flat" cmpd="sng" algn="ctr">
          <a:noFill/>
          <a:prstDash val="solid"/>
          <a:miter lim="800000"/>
        </a:ln>
        <a:effectLst/>
        <a:extLs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 </a:t>
          </a:fld>
          <a:endParaRPr lang="en-US" sz="1100">
            <a:noFill/>
            <a:latin typeface="Arial" panose="020B0604020202020204" pitchFamily="34" charset="0"/>
            <a:cs typeface="Arial" panose="020B0604020202020204" pitchFamily="34" charset="0"/>
          </a:endParaRPr>
        </a:p>
      </xdr:txBody>
    </xdr:sp>
    <xdr:clientData/>
  </xdr:twoCellAnchor>
  <xdr:twoCellAnchor>
    <xdr:from>
      <xdr:col>2</xdr:col>
      <xdr:colOff>2720</xdr:colOff>
      <xdr:row>5</xdr:row>
      <xdr:rowOff>50800</xdr:rowOff>
    </xdr:from>
    <xdr:to>
      <xdr:col>7</xdr:col>
      <xdr:colOff>457</xdr:colOff>
      <xdr:row>7</xdr:row>
      <xdr:rowOff>48602</xdr:rowOff>
    </xdr:to>
    <xdr:sp macro="" textlink="M1S1">
      <xdr:nvSpPr>
        <xdr:cNvPr id="11" name="SUBMENU1">
          <a:hlinkClick xmlns:r="http://schemas.openxmlformats.org/officeDocument/2006/relationships" r:id="rId1" tooltip=" "/>
          <a:extLst>
            <a:ext uri="{FF2B5EF4-FFF2-40B4-BE49-F238E27FC236}">
              <a16:creationId xmlns:a16="http://schemas.microsoft.com/office/drawing/2014/main" id="{00000000-0008-0000-0800-00000B000000}"/>
            </a:ext>
          </a:extLst>
        </xdr:cNvPr>
        <xdr:cNvSpPr/>
      </xdr:nvSpPr>
      <xdr:spPr>
        <a:xfrm>
          <a:off x="630249" y="1059329"/>
          <a:ext cx="1566561" cy="401214"/>
        </a:xfrm>
        <a:prstGeom prst="round2SameRect">
          <a:avLst/>
        </a:prstGeom>
        <a:solidFill>
          <a:srgbClr val="00334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A75590B8-5031-4E33-8C48-A03FAAA6E80E}" type="TxLink">
            <a:rPr lang="en-US" sz="1100" b="0" i="0" u="none" strike="noStrike">
              <a:solidFill>
                <a:srgbClr val="FFFFFF"/>
              </a:solidFill>
              <a:latin typeface="Arial" panose="020B0604020202020204" pitchFamily="34" charset="0"/>
              <a:cs typeface="Arial" panose="020B0604020202020204" pitchFamily="34" charset="0"/>
            </a:rPr>
            <a:pPr algn="ctr"/>
            <a:t>Welcome</a:t>
          </a:fld>
          <a:endParaRPr lang="en-US" sz="1100" b="0">
            <a:solidFill>
              <a:srgbClr val="FFFFFF"/>
            </a:solidFill>
            <a:latin typeface="Arial" panose="020B0604020202020204" pitchFamily="34" charset="0"/>
            <a:cs typeface="Arial" panose="020B0604020202020204" pitchFamily="34" charset="0"/>
          </a:endParaRPr>
        </a:p>
      </xdr:txBody>
    </xdr:sp>
    <xdr:clientData/>
  </xdr:twoCellAnchor>
  <xdr:twoCellAnchor>
    <xdr:from>
      <xdr:col>7</xdr:col>
      <xdr:colOff>981</xdr:colOff>
      <xdr:row>4</xdr:row>
      <xdr:rowOff>200705</xdr:rowOff>
    </xdr:from>
    <xdr:to>
      <xdr:col>12</xdr:col>
      <xdr:colOff>980</xdr:colOff>
      <xdr:row>7</xdr:row>
      <xdr:rowOff>0</xdr:rowOff>
    </xdr:to>
    <xdr:sp macro="" textlink="M1S2">
      <xdr:nvSpPr>
        <xdr:cNvPr id="12" name="SUBMENU2">
          <a:hlinkClick xmlns:r="http://schemas.openxmlformats.org/officeDocument/2006/relationships" r:id="rId10" tooltip=" "/>
          <a:extLst>
            <a:ext uri="{FF2B5EF4-FFF2-40B4-BE49-F238E27FC236}">
              <a16:creationId xmlns:a16="http://schemas.microsoft.com/office/drawing/2014/main" id="{00000000-0008-0000-0800-00000C000000}"/>
            </a:ext>
          </a:extLst>
        </xdr:cNvPr>
        <xdr:cNvSpPr/>
      </xdr:nvSpPr>
      <xdr:spPr>
        <a:xfrm>
          <a:off x="2197334" y="1007529"/>
          <a:ext cx="1568822" cy="404412"/>
        </a:xfrm>
        <a:prstGeom prst="round2SameRect">
          <a:avLst/>
        </a:prstGeom>
        <a:solidFill>
          <a:srgbClr val="54BCEB"/>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CF8290D4-6497-486F-BAC6-BA480F9F34D0}" type="TxLink">
            <a:rPr lang="en-US" sz="1100" b="0" i="0" u="none" strike="noStrike">
              <a:solidFill>
                <a:srgbClr val="FFFFFF"/>
              </a:solidFill>
              <a:latin typeface="Arial" panose="020B0604020202020204" pitchFamily="34" charset="0"/>
              <a:cs typeface="Arial" panose="020B0604020202020204" pitchFamily="34" charset="0"/>
            </a:rPr>
            <a:pPr algn="ctr"/>
            <a:t>Energy Efficiency Programs</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12</xdr:col>
      <xdr:colOff>1504</xdr:colOff>
      <xdr:row>4</xdr:row>
      <xdr:rowOff>200705</xdr:rowOff>
    </xdr:from>
    <xdr:to>
      <xdr:col>17</xdr:col>
      <xdr:colOff>1503</xdr:colOff>
      <xdr:row>7</xdr:row>
      <xdr:rowOff>0</xdr:rowOff>
    </xdr:to>
    <xdr:sp macro="" textlink="M1S3">
      <xdr:nvSpPr>
        <xdr:cNvPr id="13" name="SUBMENU3">
          <a:hlinkClick xmlns:r="http://schemas.openxmlformats.org/officeDocument/2006/relationships" r:id="rId11" tooltip=" "/>
          <a:extLst>
            <a:ext uri="{FF2B5EF4-FFF2-40B4-BE49-F238E27FC236}">
              <a16:creationId xmlns:a16="http://schemas.microsoft.com/office/drawing/2014/main" id="{00000000-0008-0000-0800-00000D000000}"/>
            </a:ext>
          </a:extLst>
        </xdr:cNvPr>
        <xdr:cNvSpPr/>
      </xdr:nvSpPr>
      <xdr:spPr>
        <a:xfrm>
          <a:off x="3766680" y="1007529"/>
          <a:ext cx="1568823" cy="404412"/>
        </a:xfrm>
        <a:prstGeom prst="round2SameRect">
          <a:avLst/>
        </a:prstGeom>
        <a:solidFill>
          <a:srgbClr val="54BCEB"/>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E71BE52B-FF38-412C-B4D1-421FD04CF2FA}" type="TxLink">
            <a:rPr lang="en-US" sz="1100" b="0" i="0" u="none" strike="noStrike">
              <a:solidFill>
                <a:srgbClr val="FFFFFF"/>
              </a:solidFill>
              <a:latin typeface="Arial" panose="020B0604020202020204" pitchFamily="34" charset="0"/>
              <a:cs typeface="Arial" panose="020B0604020202020204" pitchFamily="34" charset="0"/>
            </a:rPr>
            <a:pPr algn="ctr"/>
            <a:t>Information Links</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17</xdr:col>
      <xdr:colOff>2027</xdr:colOff>
      <xdr:row>4</xdr:row>
      <xdr:rowOff>200705</xdr:rowOff>
    </xdr:from>
    <xdr:to>
      <xdr:col>22</xdr:col>
      <xdr:colOff>2026</xdr:colOff>
      <xdr:row>7</xdr:row>
      <xdr:rowOff>0</xdr:rowOff>
    </xdr:to>
    <xdr:sp macro="" textlink="M1S4">
      <xdr:nvSpPr>
        <xdr:cNvPr id="14" name="SUBMENU4">
          <a:hlinkClick xmlns:r="http://schemas.openxmlformats.org/officeDocument/2006/relationships" r:id="rId12" tooltip=" "/>
          <a:extLst>
            <a:ext uri="{FF2B5EF4-FFF2-40B4-BE49-F238E27FC236}">
              <a16:creationId xmlns:a16="http://schemas.microsoft.com/office/drawing/2014/main" id="{00000000-0008-0000-0800-00000E000000}"/>
            </a:ext>
          </a:extLst>
        </xdr:cNvPr>
        <xdr:cNvSpPr/>
      </xdr:nvSpPr>
      <xdr:spPr>
        <a:xfrm>
          <a:off x="5336027" y="1007529"/>
          <a:ext cx="1568823" cy="404412"/>
        </a:xfrm>
        <a:prstGeom prst="round2SameRect">
          <a:avLst/>
        </a:prstGeom>
        <a:solidFill>
          <a:srgbClr val="54BCEB"/>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AE739B06-806C-41C1-AAD2-7D9DAB154007}" type="TxLink">
            <a:rPr lang="en-US" sz="1100" b="0" i="0" u="none" strike="noStrike">
              <a:solidFill>
                <a:srgbClr val="FFFFFF"/>
              </a:solidFill>
              <a:latin typeface="Arial" panose="020B0604020202020204" pitchFamily="34" charset="0"/>
              <a:cs typeface="Arial" panose="020B0604020202020204" pitchFamily="34" charset="0"/>
            </a:rPr>
            <a:pPr algn="ctr"/>
            <a:t>Prescriptive Measure List</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22</xdr:col>
      <xdr:colOff>2551</xdr:colOff>
      <xdr:row>4</xdr:row>
      <xdr:rowOff>200705</xdr:rowOff>
    </xdr:from>
    <xdr:to>
      <xdr:col>27</xdr:col>
      <xdr:colOff>2549</xdr:colOff>
      <xdr:row>7</xdr:row>
      <xdr:rowOff>0</xdr:rowOff>
    </xdr:to>
    <xdr:sp macro="" textlink="M1S5">
      <xdr:nvSpPr>
        <xdr:cNvPr id="15" name="SUBMENU5">
          <a:hlinkClick xmlns:r="http://schemas.openxmlformats.org/officeDocument/2006/relationships" r:id="rId13" tooltip=" "/>
          <a:extLst>
            <a:ext uri="{FF2B5EF4-FFF2-40B4-BE49-F238E27FC236}">
              <a16:creationId xmlns:a16="http://schemas.microsoft.com/office/drawing/2014/main" id="{00000000-0008-0000-0800-00000F000000}"/>
            </a:ext>
          </a:extLst>
        </xdr:cNvPr>
        <xdr:cNvSpPr/>
      </xdr:nvSpPr>
      <xdr:spPr>
        <a:xfrm>
          <a:off x="6917701" y="1000805"/>
          <a:ext cx="1571623" cy="399370"/>
        </a:xfrm>
        <a:prstGeom prst="round2SameRect">
          <a:avLst/>
        </a:prstGeom>
        <a:solidFill>
          <a:srgbClr val="54BCEB"/>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074B07D3-C7F5-42E2-8A6D-93CDE8EC2933}" type="TxLink">
            <a:rPr lang="en-US" sz="1100" b="0" i="0" u="none" strike="noStrike">
              <a:solidFill>
                <a:srgbClr val="FFFFFF"/>
              </a:solidFill>
              <a:latin typeface="Arial" panose="020B0604020202020204" pitchFamily="34" charset="0"/>
              <a:cs typeface="Arial" panose="020B0604020202020204" pitchFamily="34" charset="0"/>
            </a:rPr>
            <a:pPr algn="ctr"/>
            <a:t>Operating Hours Calculator</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1</xdr:col>
      <xdr:colOff>559</xdr:colOff>
      <xdr:row>7</xdr:row>
      <xdr:rowOff>22410</xdr:rowOff>
    </xdr:from>
    <xdr:to>
      <xdr:col>44</xdr:col>
      <xdr:colOff>1</xdr:colOff>
      <xdr:row>82</xdr:row>
      <xdr:rowOff>0</xdr:rowOff>
    </xdr:to>
    <xdr:sp macro="" textlink="">
      <xdr:nvSpPr>
        <xdr:cNvPr id="19" name="BORDER">
          <a:extLst>
            <a:ext uri="{FF2B5EF4-FFF2-40B4-BE49-F238E27FC236}">
              <a16:creationId xmlns:a16="http://schemas.microsoft.com/office/drawing/2014/main" id="{00000000-0008-0000-0800-000013000000}"/>
            </a:ext>
          </a:extLst>
        </xdr:cNvPr>
        <xdr:cNvSpPr/>
      </xdr:nvSpPr>
      <xdr:spPr>
        <a:xfrm>
          <a:off x="314324" y="1434351"/>
          <a:ext cx="13502530" cy="7239002"/>
        </a:xfrm>
        <a:prstGeom prst="frame">
          <a:avLst>
            <a:gd name="adj1" fmla="val 0"/>
          </a:avLst>
        </a:prstGeom>
        <a:solidFill>
          <a:srgbClr val="54BCEB"/>
        </a:solidFill>
        <a:ln w="12700" cap="flat" cmpd="sng" algn="ctr">
          <a:solidFill>
            <a:srgbClr val="00334E"/>
          </a:solidFill>
          <a:prstDash val="solid"/>
          <a:miter lim="800000"/>
          <a:headEnd type="none" w="med" len="med"/>
          <a:tailEnd type="none" w="med" len="me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fPrintsWithSheet="0"/>
  </xdr:twoCellAnchor>
  <xdr:twoCellAnchor>
    <xdr:from>
      <xdr:col>1</xdr:col>
      <xdr:colOff>0</xdr:colOff>
      <xdr:row>7</xdr:row>
      <xdr:rowOff>0</xdr:rowOff>
    </xdr:from>
    <xdr:to>
      <xdr:col>44</xdr:col>
      <xdr:colOff>0</xdr:colOff>
      <xdr:row>8</xdr:row>
      <xdr:rowOff>0</xdr:rowOff>
    </xdr:to>
    <xdr:sp macro="" textlink="">
      <xdr:nvSpPr>
        <xdr:cNvPr id="21" name="BOTTOMRIBBON">
          <a:extLst>
            <a:ext uri="{FF2B5EF4-FFF2-40B4-BE49-F238E27FC236}">
              <a16:creationId xmlns:a16="http://schemas.microsoft.com/office/drawing/2014/main" id="{00000000-0008-0000-0800-000015000000}"/>
            </a:ext>
          </a:extLst>
        </xdr:cNvPr>
        <xdr:cNvSpPr/>
      </xdr:nvSpPr>
      <xdr:spPr>
        <a:xfrm>
          <a:off x="313765" y="1411941"/>
          <a:ext cx="13503088" cy="201706"/>
        </a:xfrm>
        <a:prstGeom prst="rect">
          <a:avLst/>
        </a:prstGeom>
        <a:solidFill>
          <a:srgbClr val="00334E"/>
        </a:solidFill>
        <a:ln>
          <a:solidFill>
            <a:srgbClr val="00334E"/>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solidFill>
              <a:srgbClr val="FFFFFF"/>
            </a:solidFill>
          </a:endParaRPr>
        </a:p>
      </xdr:txBody>
    </xdr:sp>
    <xdr:clientData/>
  </xdr:twoCellAnchor>
  <xdr:twoCellAnchor>
    <xdr:from>
      <xdr:col>37</xdr:col>
      <xdr:colOff>257736</xdr:colOff>
      <xdr:row>0</xdr:row>
      <xdr:rowOff>179295</xdr:rowOff>
    </xdr:from>
    <xdr:to>
      <xdr:col>42</xdr:col>
      <xdr:colOff>257735</xdr:colOff>
      <xdr:row>3</xdr:row>
      <xdr:rowOff>179295</xdr:rowOff>
    </xdr:to>
    <xdr:sp macro="" textlink="MAIN7">
      <xdr:nvSpPr>
        <xdr:cNvPr id="89" name="MENU7">
          <a:extLst>
            <a:ext uri="{FF2B5EF4-FFF2-40B4-BE49-F238E27FC236}">
              <a16:creationId xmlns:a16="http://schemas.microsoft.com/office/drawing/2014/main" id="{00000000-0008-0000-0800-000059000000}"/>
            </a:ext>
          </a:extLst>
        </xdr:cNvPr>
        <xdr:cNvSpPr/>
      </xdr:nvSpPr>
      <xdr:spPr>
        <a:xfrm>
          <a:off x="11867030" y="179295"/>
          <a:ext cx="1568823" cy="605118"/>
        </a:xfrm>
        <a:prstGeom prst="round2SameRect">
          <a:avLst/>
        </a:prstGeom>
        <a:noFill/>
        <a:ln w="25400" cap="flat" cmpd="sng" algn="ctr">
          <a:no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Calibri"/>
            </a:rPr>
            <a:pPr algn="ctr"/>
            <a:t> </a:t>
          </a:fld>
          <a:endParaRPr lang="en-US" sz="1100">
            <a:noFill/>
          </a:endParaRPr>
        </a:p>
      </xdr:txBody>
    </xdr:sp>
    <xdr:clientData/>
  </xdr:twoCellAnchor>
  <xdr:twoCellAnchor editAs="oneCell">
    <xdr:from>
      <xdr:col>2</xdr:col>
      <xdr:colOff>102850</xdr:colOff>
      <xdr:row>0</xdr:row>
      <xdr:rowOff>156884</xdr:rowOff>
    </xdr:from>
    <xdr:to>
      <xdr:col>5</xdr:col>
      <xdr:colOff>30405</xdr:colOff>
      <xdr:row>2</xdr:row>
      <xdr:rowOff>195627</xdr:rowOff>
    </xdr:to>
    <xdr:pic>
      <xdr:nvPicPr>
        <xdr:cNvPr id="87" name="LOGO">
          <a:extLst>
            <a:ext uri="{FF2B5EF4-FFF2-40B4-BE49-F238E27FC236}">
              <a16:creationId xmlns:a16="http://schemas.microsoft.com/office/drawing/2014/main" id="{00000000-0008-0000-0800-000057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xdr:blipFill>
      <xdr:spPr>
        <a:xfrm>
          <a:off x="730379" y="156884"/>
          <a:ext cx="868850" cy="442155"/>
        </a:xfrm>
        <a:prstGeom prst="rect">
          <a:avLst/>
        </a:prstGeom>
      </xdr:spPr>
    </xdr:pic>
    <xdr:clientData/>
  </xdr:twoCellAnchor>
  <xdr:twoCellAnchor editAs="oneCell">
    <xdr:from>
      <xdr:col>2</xdr:col>
      <xdr:colOff>195133</xdr:colOff>
      <xdr:row>12</xdr:row>
      <xdr:rowOff>148265</xdr:rowOff>
    </xdr:from>
    <xdr:to>
      <xdr:col>42</xdr:col>
      <xdr:colOff>83492</xdr:colOff>
      <xdr:row>80</xdr:row>
      <xdr:rowOff>156883</xdr:rowOff>
    </xdr:to>
    <xdr:pic>
      <xdr:nvPicPr>
        <xdr:cNvPr id="27" name="Picture 26">
          <a:extLst>
            <a:ext uri="{FF2B5EF4-FFF2-40B4-BE49-F238E27FC236}">
              <a16:creationId xmlns:a16="http://schemas.microsoft.com/office/drawing/2014/main" id="{00000000-0008-0000-0800-00001B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xdr:blipFill>
      <xdr:spPr>
        <a:xfrm>
          <a:off x="822662" y="2568736"/>
          <a:ext cx="12438948" cy="5858088"/>
        </a:xfrm>
        <a:prstGeom prst="rect">
          <a:avLst/>
        </a:prstGeom>
      </xdr:spPr>
    </xdr:pic>
    <xdr:clientData/>
  </xdr:twoCellAnchor>
  <xdr:twoCellAnchor>
    <xdr:from>
      <xdr:col>20</xdr:col>
      <xdr:colOff>100853</xdr:colOff>
      <xdr:row>9</xdr:row>
      <xdr:rowOff>0</xdr:rowOff>
    </xdr:from>
    <xdr:to>
      <xdr:col>29</xdr:col>
      <xdr:colOff>302559</xdr:colOff>
      <xdr:row>9</xdr:row>
      <xdr:rowOff>190500</xdr:rowOff>
    </xdr:to>
    <xdr:sp macro="" textlink="">
      <xdr:nvSpPr>
        <xdr:cNvPr id="20" name="Rectangle 19">
          <a:hlinkClick xmlns:r="http://schemas.openxmlformats.org/officeDocument/2006/relationships" r:id="rId16"/>
          <a:extLst>
            <a:ext uri="{FF2B5EF4-FFF2-40B4-BE49-F238E27FC236}">
              <a16:creationId xmlns:a16="http://schemas.microsoft.com/office/drawing/2014/main" id="{00000000-0008-0000-0800-000014000000}"/>
            </a:ext>
          </a:extLst>
        </xdr:cNvPr>
        <xdr:cNvSpPr/>
      </xdr:nvSpPr>
      <xdr:spPr>
        <a:xfrm>
          <a:off x="6376147" y="1815353"/>
          <a:ext cx="3025588" cy="190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17</xdr:col>
      <xdr:colOff>0</xdr:colOff>
      <xdr:row>1</xdr:row>
      <xdr:rowOff>133350</xdr:rowOff>
    </xdr:from>
    <xdr:to>
      <xdr:col>22</xdr:col>
      <xdr:colOff>0</xdr:colOff>
      <xdr:row>4</xdr:row>
      <xdr:rowOff>133350</xdr:rowOff>
    </xdr:to>
    <xdr:sp macro="" textlink="MAIN3">
      <xdr:nvSpPr>
        <xdr:cNvPr id="5" name="MENU3">
          <a:hlinkClick xmlns:r="http://schemas.openxmlformats.org/officeDocument/2006/relationships" r:id="rId1" tooltip="Prescriptive Measures Input"/>
          <a:extLst>
            <a:ext uri="{FF2B5EF4-FFF2-40B4-BE49-F238E27FC236}">
              <a16:creationId xmlns:a16="http://schemas.microsoft.com/office/drawing/2014/main" id="{00000000-0008-0000-1100-000005000000}"/>
            </a:ext>
          </a:extLst>
        </xdr:cNvPr>
        <xdr:cNvSpPr/>
      </xdr:nvSpPr>
      <xdr:spPr>
        <a:xfrm>
          <a:off x="5334000" y="335056"/>
          <a:ext cx="1568824" cy="605118"/>
        </a:xfrm>
        <a:prstGeom prst="round2SameRect">
          <a:avLst/>
        </a:prstGeom>
        <a:solidFill>
          <a:srgbClr val="A6A5AA"/>
        </a:solidFill>
        <a:ln w="12700">
          <a:solidFill>
            <a:srgbClr val="A6A5AA"/>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06A037F-AE33-47CC-85C1-F6D62694F95D}" type="TxLink">
            <a:rPr lang="en-US" sz="1100" b="0" i="0" u="none" strike="noStrike">
              <a:solidFill>
                <a:schemeClr val="bg1"/>
              </a:solidFill>
              <a:latin typeface="Arial" panose="020B0604020202020204" pitchFamily="34" charset="0"/>
              <a:cs typeface="Arial" panose="020B0604020202020204" pitchFamily="34" charset="0"/>
            </a:rPr>
            <a:pPr algn="ctr"/>
            <a:t>PRESCRIPTIVE MEASURES INPUT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xdr:col>
      <xdr:colOff>0</xdr:colOff>
      <xdr:row>4</xdr:row>
      <xdr:rowOff>1</xdr:rowOff>
    </xdr:from>
    <xdr:to>
      <xdr:col>44</xdr:col>
      <xdr:colOff>13806</xdr:colOff>
      <xdr:row>7</xdr:row>
      <xdr:rowOff>0</xdr:rowOff>
    </xdr:to>
    <xdr:sp macro="" textlink="">
      <xdr:nvSpPr>
        <xdr:cNvPr id="10" name="TOPRIBBON">
          <a:extLst>
            <a:ext uri="{FF2B5EF4-FFF2-40B4-BE49-F238E27FC236}">
              <a16:creationId xmlns:a16="http://schemas.microsoft.com/office/drawing/2014/main" id="{00000000-0008-0000-1100-00000A000000}"/>
            </a:ext>
          </a:extLst>
        </xdr:cNvPr>
        <xdr:cNvSpPr/>
      </xdr:nvSpPr>
      <xdr:spPr>
        <a:xfrm>
          <a:off x="313765" y="806825"/>
          <a:ext cx="13505688" cy="605116"/>
        </a:xfrm>
        <a:prstGeom prst="round2SameRect">
          <a:avLst/>
        </a:prstGeom>
        <a:solidFill>
          <a:srgbClr val="A6A5A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p>
      </xdr:txBody>
    </xdr:sp>
    <xdr:clientData/>
  </xdr:twoCellAnchor>
  <xdr:twoCellAnchor>
    <xdr:from>
      <xdr:col>6</xdr:col>
      <xdr:colOff>157263</xdr:colOff>
      <xdr:row>5</xdr:row>
      <xdr:rowOff>10206</xdr:rowOff>
    </xdr:from>
    <xdr:to>
      <xdr:col>10</xdr:col>
      <xdr:colOff>273804</xdr:colOff>
      <xdr:row>7</xdr:row>
      <xdr:rowOff>11206</xdr:rowOff>
    </xdr:to>
    <xdr:sp macro="" textlink="M3S2">
      <xdr:nvSpPr>
        <xdr:cNvPr id="12" name="SUBMENU2">
          <a:hlinkClick xmlns:r="http://schemas.openxmlformats.org/officeDocument/2006/relationships" r:id="rId2" tooltip=" "/>
          <a:extLst>
            <a:ext uri="{FF2B5EF4-FFF2-40B4-BE49-F238E27FC236}">
              <a16:creationId xmlns:a16="http://schemas.microsoft.com/office/drawing/2014/main" id="{00000000-0008-0000-1100-00000C000000}"/>
            </a:ext>
          </a:extLst>
        </xdr:cNvPr>
        <xdr:cNvSpPr/>
      </xdr:nvSpPr>
      <xdr:spPr>
        <a:xfrm>
          <a:off x="2039851" y="1018735"/>
          <a:ext cx="1371600" cy="404412"/>
        </a:xfrm>
        <a:prstGeom prst="round2SameRect">
          <a:avLst/>
        </a:prstGeom>
        <a:solidFill>
          <a:srgbClr val="1A9DD8"/>
        </a:solidFill>
        <a:ln w="28575">
          <a:solidFill>
            <a:srgbClr val="1A9DD8"/>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3F4CA6B-01F3-44D0-A0E3-D0AA753206B2}" type="TxLink">
            <a:rPr lang="en-US" sz="1100" b="0" i="0" u="none" strike="noStrike">
              <a:solidFill>
                <a:srgbClr val="FFFFFF"/>
              </a:solidFill>
              <a:latin typeface="Arial" panose="020B0604020202020204" pitchFamily="34" charset="0"/>
              <a:cs typeface="Arial" panose="020B0604020202020204" pitchFamily="34" charset="0"/>
            </a:rPr>
            <a:pPr algn="ctr"/>
            <a:t>Lighting Controls</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10</xdr:col>
      <xdr:colOff>302861</xdr:colOff>
      <xdr:row>5</xdr:row>
      <xdr:rowOff>10206</xdr:rowOff>
    </xdr:from>
    <xdr:to>
      <xdr:col>15</xdr:col>
      <xdr:colOff>105637</xdr:colOff>
      <xdr:row>7</xdr:row>
      <xdr:rowOff>11206</xdr:rowOff>
    </xdr:to>
    <xdr:sp macro="" textlink="M3S3">
      <xdr:nvSpPr>
        <xdr:cNvPr id="13" name="SUBMENU3">
          <a:hlinkClick xmlns:r="http://schemas.openxmlformats.org/officeDocument/2006/relationships" r:id="rId3" tooltip=" "/>
          <a:extLst>
            <a:ext uri="{FF2B5EF4-FFF2-40B4-BE49-F238E27FC236}">
              <a16:creationId xmlns:a16="http://schemas.microsoft.com/office/drawing/2014/main" id="{00000000-0008-0000-1100-00000D000000}"/>
            </a:ext>
          </a:extLst>
        </xdr:cNvPr>
        <xdr:cNvSpPr/>
      </xdr:nvSpPr>
      <xdr:spPr>
        <a:xfrm>
          <a:off x="3440508" y="1018735"/>
          <a:ext cx="1371600" cy="404412"/>
        </a:xfrm>
        <a:prstGeom prst="round2SameRect">
          <a:avLst/>
        </a:prstGeom>
        <a:solidFill>
          <a:srgbClr val="1A9DD8"/>
        </a:solidFill>
        <a:ln w="28575">
          <a:solidFill>
            <a:srgbClr val="1A9DD8"/>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E60A9FB0-D7E6-4ADD-8A44-C9B2BE21324A}" type="TxLink">
            <a:rPr lang="en-US" sz="1100" b="0" i="0" u="none" strike="noStrike">
              <a:solidFill>
                <a:srgbClr val="FFFFFF"/>
              </a:solidFill>
              <a:latin typeface="Arial" panose="020B0604020202020204" pitchFamily="34" charset="0"/>
              <a:cs typeface="Arial" panose="020B0604020202020204" pitchFamily="34" charset="0"/>
            </a:rPr>
            <a:pPr algn="ctr"/>
            <a:t>HVAC (Electric)</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15</xdr:col>
      <xdr:colOff>134695</xdr:colOff>
      <xdr:row>5</xdr:row>
      <xdr:rowOff>10206</xdr:rowOff>
    </xdr:from>
    <xdr:to>
      <xdr:col>19</xdr:col>
      <xdr:colOff>251237</xdr:colOff>
      <xdr:row>7</xdr:row>
      <xdr:rowOff>11206</xdr:rowOff>
    </xdr:to>
    <xdr:sp macro="" textlink="M3S4">
      <xdr:nvSpPr>
        <xdr:cNvPr id="14" name="SUBMENU4">
          <a:hlinkClick xmlns:r="http://schemas.openxmlformats.org/officeDocument/2006/relationships" r:id="rId4" tooltip=" "/>
          <a:extLst>
            <a:ext uri="{FF2B5EF4-FFF2-40B4-BE49-F238E27FC236}">
              <a16:creationId xmlns:a16="http://schemas.microsoft.com/office/drawing/2014/main" id="{00000000-0008-0000-1100-00000E000000}"/>
            </a:ext>
          </a:extLst>
        </xdr:cNvPr>
        <xdr:cNvSpPr/>
      </xdr:nvSpPr>
      <xdr:spPr>
        <a:xfrm>
          <a:off x="4841166" y="1018735"/>
          <a:ext cx="1371600" cy="404412"/>
        </a:xfrm>
        <a:prstGeom prst="round2SameRect">
          <a:avLst/>
        </a:prstGeom>
        <a:solidFill>
          <a:srgbClr val="1A9DD8"/>
        </a:solidFill>
        <a:ln w="28575">
          <a:solidFill>
            <a:srgbClr val="1A9DD8"/>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EC4D1991-C1D9-486E-95EB-30A9469B742C}" type="TxLink">
            <a:rPr lang="en-US" sz="1100" b="0" i="0" u="none" strike="noStrike">
              <a:solidFill>
                <a:srgbClr val="FFFFFF"/>
              </a:solidFill>
              <a:latin typeface="Arial" panose="020B0604020202020204" pitchFamily="34" charset="0"/>
              <a:cs typeface="Arial" panose="020B0604020202020204" pitchFamily="34" charset="0"/>
            </a:rPr>
            <a:pPr algn="ctr"/>
            <a:t>Refrigeration</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19</xdr:col>
      <xdr:colOff>280298</xdr:colOff>
      <xdr:row>5</xdr:row>
      <xdr:rowOff>10206</xdr:rowOff>
    </xdr:from>
    <xdr:to>
      <xdr:col>24</xdr:col>
      <xdr:colOff>83074</xdr:colOff>
      <xdr:row>7</xdr:row>
      <xdr:rowOff>11206</xdr:rowOff>
    </xdr:to>
    <xdr:sp macro="" textlink="M3S5">
      <xdr:nvSpPr>
        <xdr:cNvPr id="15" name="SUBMENU5">
          <a:hlinkClick xmlns:r="http://schemas.openxmlformats.org/officeDocument/2006/relationships" r:id="rId5" tooltip=" "/>
          <a:extLst>
            <a:ext uri="{FF2B5EF4-FFF2-40B4-BE49-F238E27FC236}">
              <a16:creationId xmlns:a16="http://schemas.microsoft.com/office/drawing/2014/main" id="{00000000-0008-0000-1100-00000F000000}"/>
            </a:ext>
          </a:extLst>
        </xdr:cNvPr>
        <xdr:cNvSpPr/>
      </xdr:nvSpPr>
      <xdr:spPr>
        <a:xfrm>
          <a:off x="6241827" y="1018735"/>
          <a:ext cx="1371600" cy="404412"/>
        </a:xfrm>
        <a:prstGeom prst="round2SameRect">
          <a:avLst/>
        </a:prstGeom>
        <a:solidFill>
          <a:srgbClr val="1A9DD8"/>
        </a:solidFill>
        <a:ln w="28575">
          <a:solidFill>
            <a:srgbClr val="1A9DD8"/>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52BFCEF9-4B05-45FB-B7B3-9621E37C07CC}" type="TxLink">
            <a:rPr lang="en-US" sz="1100" b="0" i="0" u="none" strike="noStrike">
              <a:solidFill>
                <a:srgbClr val="FFFFFF"/>
              </a:solidFill>
              <a:latin typeface="Arial" panose="020B0604020202020204" pitchFamily="34" charset="0"/>
              <a:cs typeface="Arial" panose="020B0604020202020204" pitchFamily="34" charset="0"/>
            </a:rPr>
            <a:pPr algn="ctr"/>
            <a:t>Commercial Cooking (Elec/Gas)</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24</xdr:col>
      <xdr:colOff>107728</xdr:colOff>
      <xdr:row>5</xdr:row>
      <xdr:rowOff>5724</xdr:rowOff>
    </xdr:from>
    <xdr:to>
      <xdr:col>28</xdr:col>
      <xdr:colOff>224269</xdr:colOff>
      <xdr:row>7</xdr:row>
      <xdr:rowOff>6724</xdr:rowOff>
    </xdr:to>
    <xdr:sp macro="" textlink="M3S8">
      <xdr:nvSpPr>
        <xdr:cNvPr id="23" name="SUBMENU5">
          <a:hlinkClick xmlns:r="http://schemas.openxmlformats.org/officeDocument/2006/relationships" r:id="rId6" tooltip=" "/>
          <a:extLst>
            <a:ext uri="{FF2B5EF4-FFF2-40B4-BE49-F238E27FC236}">
              <a16:creationId xmlns:a16="http://schemas.microsoft.com/office/drawing/2014/main" id="{00000000-0008-0000-1100-000017000000}"/>
            </a:ext>
          </a:extLst>
        </xdr:cNvPr>
        <xdr:cNvSpPr/>
      </xdr:nvSpPr>
      <xdr:spPr>
        <a:xfrm>
          <a:off x="7638081" y="1014253"/>
          <a:ext cx="1371600" cy="404412"/>
        </a:xfrm>
        <a:prstGeom prst="round2SameRect">
          <a:avLst/>
        </a:prstGeom>
        <a:solidFill>
          <a:srgbClr val="1A9DD8"/>
        </a:solidFill>
        <a:ln w="28575">
          <a:solidFill>
            <a:srgbClr val="1A9DD8"/>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marL="0" indent="0" algn="ctr"/>
          <a:fld id="{BA865B98-DE37-4668-AF99-996484229397}" type="TxLink">
            <a:rPr lang="en-US" sz="1100" b="0" i="0" u="none" strike="noStrike">
              <a:solidFill>
                <a:srgbClr val="FFFFFF"/>
              </a:solidFill>
              <a:latin typeface="Arial" panose="020B0604020202020204" pitchFamily="34" charset="0"/>
              <a:ea typeface="+mn-ea"/>
              <a:cs typeface="Arial" panose="020B0604020202020204" pitchFamily="34" charset="0"/>
            </a:rPr>
            <a:pPr marL="0" indent="0" algn="ctr"/>
            <a:t>Misc / Compressed Air / VFDs</a:t>
          </a:fld>
          <a:endParaRPr lang="en-US" sz="1100" b="0" i="0" u="none" strike="noStrike">
            <a:solidFill>
              <a:srgbClr val="FFFFFF"/>
            </a:solidFill>
            <a:latin typeface="Arial" panose="020B0604020202020204" pitchFamily="34" charset="0"/>
            <a:ea typeface="+mn-ea"/>
            <a:cs typeface="Arial" panose="020B0604020202020204" pitchFamily="34" charset="0"/>
          </a:endParaRPr>
        </a:p>
      </xdr:txBody>
    </xdr:sp>
    <xdr:clientData/>
  </xdr:twoCellAnchor>
  <xdr:twoCellAnchor>
    <xdr:from>
      <xdr:col>28</xdr:col>
      <xdr:colOff>246529</xdr:colOff>
      <xdr:row>5</xdr:row>
      <xdr:rowOff>0</xdr:rowOff>
    </xdr:from>
    <xdr:to>
      <xdr:col>33</xdr:col>
      <xdr:colOff>49306</xdr:colOff>
      <xdr:row>6</xdr:row>
      <xdr:rowOff>201026</xdr:rowOff>
    </xdr:to>
    <xdr:sp macro="" textlink="M3S9">
      <xdr:nvSpPr>
        <xdr:cNvPr id="24" name="SUBMENU5">
          <a:hlinkClick xmlns:r="http://schemas.openxmlformats.org/officeDocument/2006/relationships" r:id="rId7" tooltip=" "/>
          <a:extLst>
            <a:ext uri="{FF2B5EF4-FFF2-40B4-BE49-F238E27FC236}">
              <a16:creationId xmlns:a16="http://schemas.microsoft.com/office/drawing/2014/main" id="{00000000-0008-0000-1100-000018000000}"/>
            </a:ext>
          </a:extLst>
        </xdr:cNvPr>
        <xdr:cNvSpPr/>
      </xdr:nvSpPr>
      <xdr:spPr>
        <a:xfrm>
          <a:off x="9031941" y="1008529"/>
          <a:ext cx="1371600" cy="402732"/>
        </a:xfrm>
        <a:prstGeom prst="round2SameRect">
          <a:avLst/>
        </a:prstGeom>
        <a:solidFill>
          <a:srgbClr val="1A9DD8"/>
        </a:solidFill>
        <a:ln w="12700">
          <a:solidFill>
            <a:srgbClr val="1A9DD8"/>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marL="0" indent="0" algn="ctr"/>
          <a:fld id="{FDE417D9-BB8B-470F-AFD8-9914571AC487}" type="TxLink">
            <a:rPr lang="en-US" sz="1100" b="0" i="0" u="none" strike="noStrike">
              <a:solidFill>
                <a:schemeClr val="bg1"/>
              </a:solidFill>
              <a:latin typeface="Arial" panose="020B0604020202020204" pitchFamily="34" charset="0"/>
              <a:ea typeface="+mn-ea"/>
              <a:cs typeface="Arial" panose="020B0604020202020204" pitchFamily="34" charset="0"/>
            </a:rPr>
            <a:pPr marL="0" indent="0" algn="ctr"/>
            <a:t>Agriculture (Elec/Gas)</a:t>
          </a:fld>
          <a:endParaRPr lang="en-US" sz="1100" b="0" i="0" u="none" strike="noStrike">
            <a:solidFill>
              <a:schemeClr val="bg1"/>
            </a:solidFill>
            <a:latin typeface="Arial" panose="020B0604020202020204" pitchFamily="34" charset="0"/>
            <a:ea typeface="+mn-ea"/>
            <a:cs typeface="Arial" panose="020B0604020202020204" pitchFamily="34" charset="0"/>
          </a:endParaRPr>
        </a:p>
      </xdr:txBody>
    </xdr:sp>
    <xdr:clientData/>
  </xdr:twoCellAnchor>
  <xdr:twoCellAnchor>
    <xdr:from>
      <xdr:col>33</xdr:col>
      <xdr:colOff>56113</xdr:colOff>
      <xdr:row>5</xdr:row>
      <xdr:rowOff>10206</xdr:rowOff>
    </xdr:from>
    <xdr:to>
      <xdr:col>37</xdr:col>
      <xdr:colOff>44638</xdr:colOff>
      <xdr:row>7</xdr:row>
      <xdr:rowOff>11206</xdr:rowOff>
    </xdr:to>
    <xdr:sp macro="" textlink="M3S6">
      <xdr:nvSpPr>
        <xdr:cNvPr id="16" name="SUBMENU6">
          <a:hlinkClick xmlns:r="http://schemas.openxmlformats.org/officeDocument/2006/relationships" r:id="rId8" tooltip=" "/>
          <a:extLst>
            <a:ext uri="{FF2B5EF4-FFF2-40B4-BE49-F238E27FC236}">
              <a16:creationId xmlns:a16="http://schemas.microsoft.com/office/drawing/2014/main" id="{00000000-0008-0000-1100-000010000000}"/>
            </a:ext>
          </a:extLst>
        </xdr:cNvPr>
        <xdr:cNvSpPr/>
      </xdr:nvSpPr>
      <xdr:spPr>
        <a:xfrm>
          <a:off x="10410348" y="1018735"/>
          <a:ext cx="1243584" cy="404412"/>
        </a:xfrm>
        <a:prstGeom prst="round2SameRect">
          <a:avLst/>
        </a:prstGeom>
        <a:solidFill>
          <a:srgbClr val="54BCEB"/>
        </a:solidFill>
        <a:ln w="28575">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30A5A5F-CF4B-4F90-A7E3-B223777D7BE2}" type="TxLink">
            <a:rPr lang="en-US" sz="1100" b="0" i="0" u="none" strike="noStrike">
              <a:solidFill>
                <a:srgbClr val="FFFFFF"/>
              </a:solidFill>
              <a:latin typeface="Arial" panose="020B0604020202020204" pitchFamily="34" charset="0"/>
              <a:cs typeface="Arial" panose="020B0604020202020204" pitchFamily="34" charset="0"/>
            </a:rPr>
            <a:pPr algn="ctr"/>
            <a:t>HVAC 
(Gas)</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37</xdr:col>
      <xdr:colOff>70103</xdr:colOff>
      <xdr:row>5</xdr:row>
      <xdr:rowOff>10206</xdr:rowOff>
    </xdr:from>
    <xdr:to>
      <xdr:col>41</xdr:col>
      <xdr:colOff>58628</xdr:colOff>
      <xdr:row>7</xdr:row>
      <xdr:rowOff>11206</xdr:rowOff>
    </xdr:to>
    <xdr:sp macro="" textlink="M3S7">
      <xdr:nvSpPr>
        <xdr:cNvPr id="17" name="SUBMENU7">
          <a:hlinkClick xmlns:r="http://schemas.openxmlformats.org/officeDocument/2006/relationships" r:id="rId9" tooltip=" "/>
          <a:extLst>
            <a:ext uri="{FF2B5EF4-FFF2-40B4-BE49-F238E27FC236}">
              <a16:creationId xmlns:a16="http://schemas.microsoft.com/office/drawing/2014/main" id="{00000000-0008-0000-1100-000011000000}"/>
            </a:ext>
          </a:extLst>
        </xdr:cNvPr>
        <xdr:cNvSpPr/>
      </xdr:nvSpPr>
      <xdr:spPr>
        <a:xfrm>
          <a:off x="11679397" y="1018735"/>
          <a:ext cx="1243584" cy="404412"/>
        </a:xfrm>
        <a:prstGeom prst="round2SameRect">
          <a:avLst/>
        </a:prstGeom>
        <a:solidFill>
          <a:srgbClr val="54BCEB"/>
        </a:solidFill>
        <a:ln w="28575">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DBE1B27F-5FE8-4BDD-82FC-95C3FF9A200E}" type="TxLink">
            <a:rPr lang="en-US" sz="1100" b="0" i="0" u="none" strike="noStrike">
              <a:solidFill>
                <a:srgbClr val="FFFFFF"/>
              </a:solidFill>
              <a:latin typeface="Arial" panose="020B0604020202020204" pitchFamily="34" charset="0"/>
              <a:cs typeface="Arial" panose="020B0604020202020204" pitchFamily="34" charset="0"/>
            </a:rPr>
            <a:pPr algn="ctr"/>
            <a:t>Water Heating / Others (Gas)</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editAs="absolute">
    <xdr:from>
      <xdr:col>41</xdr:col>
      <xdr:colOff>0</xdr:colOff>
      <xdr:row>9</xdr:row>
      <xdr:rowOff>1047</xdr:rowOff>
    </xdr:from>
    <xdr:to>
      <xdr:col>43</xdr:col>
      <xdr:colOff>3632</xdr:colOff>
      <xdr:row>11</xdr:row>
      <xdr:rowOff>1046</xdr:rowOff>
    </xdr:to>
    <xdr:sp macro="" textlink="">
      <xdr:nvSpPr>
        <xdr:cNvPr id="2" name="NEXT">
          <a:hlinkClick xmlns:r="http://schemas.openxmlformats.org/officeDocument/2006/relationships" r:id="rId10" tooltip=" "/>
          <a:extLst>
            <a:ext uri="{FF2B5EF4-FFF2-40B4-BE49-F238E27FC236}">
              <a16:creationId xmlns:a16="http://schemas.microsoft.com/office/drawing/2014/main" id="{00000000-0008-0000-1100-000002000000}"/>
            </a:ext>
          </a:extLst>
        </xdr:cNvPr>
        <xdr:cNvSpPr>
          <a:spLocks noChangeAspect="1"/>
        </xdr:cNvSpPr>
      </xdr:nvSpPr>
      <xdr:spPr>
        <a:xfrm>
          <a:off x="12887325" y="1801272"/>
          <a:ext cx="627520" cy="400049"/>
        </a:xfrm>
        <a:prstGeom prst="rightArrow">
          <a:avLst/>
        </a:prstGeom>
        <a:solidFill>
          <a:srgbClr val="54BCEB"/>
        </a:solidFill>
        <a:ln>
          <a:solidFill>
            <a:srgbClr val="54BCEB"/>
          </a:solidFill>
        </a:ln>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7</xdr:col>
      <xdr:colOff>457</xdr:colOff>
      <xdr:row>1</xdr:row>
      <xdr:rowOff>0</xdr:rowOff>
    </xdr:from>
    <xdr:to>
      <xdr:col>12</xdr:col>
      <xdr:colOff>0</xdr:colOff>
      <xdr:row>4</xdr:row>
      <xdr:rowOff>0</xdr:rowOff>
    </xdr:to>
    <xdr:sp macro="" textlink="MAIN1">
      <xdr:nvSpPr>
        <xdr:cNvPr id="3" name="MENU1">
          <a:hlinkClick xmlns:r="http://schemas.openxmlformats.org/officeDocument/2006/relationships" r:id="rId11" tooltip=" "/>
          <a:extLst>
            <a:ext uri="{FF2B5EF4-FFF2-40B4-BE49-F238E27FC236}">
              <a16:creationId xmlns:a16="http://schemas.microsoft.com/office/drawing/2014/main" id="{00000000-0008-0000-1100-000003000000}"/>
            </a:ext>
          </a:extLst>
        </xdr:cNvPr>
        <xdr:cNvSpPr/>
      </xdr:nvSpPr>
      <xdr:spPr>
        <a:xfrm>
          <a:off x="2200732" y="200025"/>
          <a:ext cx="1571168" cy="600075"/>
        </a:xfrm>
        <a:prstGeom prst="round2SameRect">
          <a:avLst/>
        </a:prstGeom>
        <a:solidFill>
          <a:srgbClr val="00334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D6F2F067-2676-4601-ABCE-75BD5137E3D5}"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START</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12</xdr:col>
      <xdr:colOff>0</xdr:colOff>
      <xdr:row>1</xdr:row>
      <xdr:rowOff>0</xdr:rowOff>
    </xdr:from>
    <xdr:to>
      <xdr:col>17</xdr:col>
      <xdr:colOff>0</xdr:colOff>
      <xdr:row>4</xdr:row>
      <xdr:rowOff>0</xdr:rowOff>
    </xdr:to>
    <xdr:sp macro="" textlink="MAIN2">
      <xdr:nvSpPr>
        <xdr:cNvPr id="4" name="MENU2">
          <a:hlinkClick xmlns:r="http://schemas.openxmlformats.org/officeDocument/2006/relationships" r:id="rId12" tooltip=" "/>
          <a:extLst>
            <a:ext uri="{FF2B5EF4-FFF2-40B4-BE49-F238E27FC236}">
              <a16:creationId xmlns:a16="http://schemas.microsoft.com/office/drawing/2014/main" id="{00000000-0008-0000-1100-000004000000}"/>
            </a:ext>
          </a:extLst>
        </xdr:cNvPr>
        <xdr:cNvSpPr/>
      </xdr:nvSpPr>
      <xdr:spPr>
        <a:xfrm>
          <a:off x="3765176" y="201706"/>
          <a:ext cx="1568824" cy="605118"/>
        </a:xfrm>
        <a:prstGeom prst="round2SameRect">
          <a:avLst/>
        </a:prstGeom>
        <a:solidFill>
          <a:srgbClr val="00334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59A035B9-F1D2-4E89-B262-AF2DF0C338A9}"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PROJECT INFORMATION</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22</xdr:col>
      <xdr:colOff>0</xdr:colOff>
      <xdr:row>1</xdr:row>
      <xdr:rowOff>0</xdr:rowOff>
    </xdr:from>
    <xdr:to>
      <xdr:col>27</xdr:col>
      <xdr:colOff>0</xdr:colOff>
      <xdr:row>4</xdr:row>
      <xdr:rowOff>0</xdr:rowOff>
    </xdr:to>
    <xdr:sp macro="" textlink="MAIN4">
      <xdr:nvSpPr>
        <xdr:cNvPr id="6" name="MENU4">
          <a:hlinkClick xmlns:r="http://schemas.openxmlformats.org/officeDocument/2006/relationships" r:id="rId13" tooltip=" "/>
          <a:extLst>
            <a:ext uri="{FF2B5EF4-FFF2-40B4-BE49-F238E27FC236}">
              <a16:creationId xmlns:a16="http://schemas.microsoft.com/office/drawing/2014/main" id="{00000000-0008-0000-1100-000006000000}"/>
            </a:ext>
          </a:extLst>
        </xdr:cNvPr>
        <xdr:cNvSpPr/>
      </xdr:nvSpPr>
      <xdr:spPr>
        <a:xfrm>
          <a:off x="6902824" y="201706"/>
          <a:ext cx="1568823" cy="605118"/>
        </a:xfrm>
        <a:prstGeom prst="round2SameRect">
          <a:avLst/>
        </a:prstGeom>
        <a:solidFill>
          <a:srgbClr val="00334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CB369157-CA5B-4E40-B1DE-604993B819B3}"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CUSTOM MEASURES INPUT</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27</xdr:col>
      <xdr:colOff>0</xdr:colOff>
      <xdr:row>1</xdr:row>
      <xdr:rowOff>0</xdr:rowOff>
    </xdr:from>
    <xdr:to>
      <xdr:col>32</xdr:col>
      <xdr:colOff>0</xdr:colOff>
      <xdr:row>4</xdr:row>
      <xdr:rowOff>0</xdr:rowOff>
    </xdr:to>
    <xdr:sp macro="" textlink="MAIN5">
      <xdr:nvSpPr>
        <xdr:cNvPr id="7" name="MENU5">
          <a:hlinkClick xmlns:r="http://schemas.openxmlformats.org/officeDocument/2006/relationships" r:id="rId14" tooltip=" "/>
          <a:extLst>
            <a:ext uri="{FF2B5EF4-FFF2-40B4-BE49-F238E27FC236}">
              <a16:creationId xmlns:a16="http://schemas.microsoft.com/office/drawing/2014/main" id="{00000000-0008-0000-1100-000007000000}"/>
            </a:ext>
          </a:extLst>
        </xdr:cNvPr>
        <xdr:cNvSpPr/>
      </xdr:nvSpPr>
      <xdr:spPr>
        <a:xfrm>
          <a:off x="8486775" y="200025"/>
          <a:ext cx="1571625" cy="600075"/>
        </a:xfrm>
        <a:prstGeom prst="round2SameRect">
          <a:avLst/>
        </a:prstGeom>
        <a:solidFill>
          <a:srgbClr val="00334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F0EEDDA6-4934-49B4-972D-20D21D440D82}"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APPLICATION REVIEW</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32</xdr:col>
      <xdr:colOff>0</xdr:colOff>
      <xdr:row>1</xdr:row>
      <xdr:rowOff>0</xdr:rowOff>
    </xdr:from>
    <xdr:to>
      <xdr:col>37</xdr:col>
      <xdr:colOff>1</xdr:colOff>
      <xdr:row>4</xdr:row>
      <xdr:rowOff>0</xdr:rowOff>
    </xdr:to>
    <xdr:sp macro="" textlink="MAIN6">
      <xdr:nvSpPr>
        <xdr:cNvPr id="8" name="MENU6">
          <a:extLst>
            <a:ext uri="{FF2B5EF4-FFF2-40B4-BE49-F238E27FC236}">
              <a16:creationId xmlns:a16="http://schemas.microsoft.com/office/drawing/2014/main" id="{00000000-0008-0000-1100-000008000000}"/>
            </a:ext>
          </a:extLst>
        </xdr:cNvPr>
        <xdr:cNvSpPr/>
      </xdr:nvSpPr>
      <xdr:spPr>
        <a:xfrm>
          <a:off x="10058400" y="200025"/>
          <a:ext cx="1571626"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00B050"/>
              </a:solidFill>
            </a14:hiddenFill>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B12A3774-975E-4B41-A681-E085295C6D0E}" type="TxLink">
            <a:rPr lang="en-US" sz="1100" b="0" i="0" u="none" strike="noStrike">
              <a:noFill/>
              <a:latin typeface="Arial" panose="020B0604020202020204" pitchFamily="34" charset="0"/>
              <a:cs typeface="Arial" panose="020B0604020202020204" pitchFamily="34" charset="0"/>
            </a:rPr>
            <a:pPr algn="ctr"/>
            <a:t> </a:t>
          </a:fld>
          <a:endParaRPr lang="en-US" sz="1100">
            <a:noFill/>
            <a:latin typeface="Arial" panose="020B0604020202020204" pitchFamily="34" charset="0"/>
            <a:cs typeface="Arial" panose="020B0604020202020204" pitchFamily="34" charset="0"/>
          </a:endParaRPr>
        </a:p>
      </xdr:txBody>
    </xdr:sp>
    <xdr:clientData/>
  </xdr:twoCellAnchor>
  <xdr:twoCellAnchor>
    <xdr:from>
      <xdr:col>36</xdr:col>
      <xdr:colOff>314324</xdr:colOff>
      <xdr:row>1</xdr:row>
      <xdr:rowOff>0</xdr:rowOff>
    </xdr:from>
    <xdr:to>
      <xdr:col>41</xdr:col>
      <xdr:colOff>314324</xdr:colOff>
      <xdr:row>4</xdr:row>
      <xdr:rowOff>0</xdr:rowOff>
    </xdr:to>
    <xdr:sp macro="" textlink="MAIN7">
      <xdr:nvSpPr>
        <xdr:cNvPr id="9" name="MENU7">
          <a:extLst>
            <a:ext uri="{FF2B5EF4-FFF2-40B4-BE49-F238E27FC236}">
              <a16:creationId xmlns:a16="http://schemas.microsoft.com/office/drawing/2014/main" id="{00000000-0008-0000-1100-000009000000}"/>
            </a:ext>
          </a:extLst>
        </xdr:cNvPr>
        <xdr:cNvSpPr/>
      </xdr:nvSpPr>
      <xdr:spPr>
        <a:xfrm>
          <a:off x="11630024" y="200025"/>
          <a:ext cx="1571625"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00B050"/>
              </a:solidFill>
            </a14:hiddenFill>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 </a:t>
          </a:fld>
          <a:endParaRPr lang="en-US" sz="1100">
            <a:noFill/>
            <a:latin typeface="Arial" panose="020B0604020202020204" pitchFamily="34" charset="0"/>
            <a:cs typeface="Arial" panose="020B0604020202020204" pitchFamily="34" charset="0"/>
          </a:endParaRPr>
        </a:p>
      </xdr:txBody>
    </xdr:sp>
    <xdr:clientData/>
  </xdr:twoCellAnchor>
  <xdr:twoCellAnchor>
    <xdr:from>
      <xdr:col>2</xdr:col>
      <xdr:colOff>2720</xdr:colOff>
      <xdr:row>5</xdr:row>
      <xdr:rowOff>50800</xdr:rowOff>
    </xdr:from>
    <xdr:to>
      <xdr:col>6</xdr:col>
      <xdr:colOff>119261</xdr:colOff>
      <xdr:row>7</xdr:row>
      <xdr:rowOff>48602</xdr:rowOff>
    </xdr:to>
    <xdr:sp macro="" textlink="M3S1">
      <xdr:nvSpPr>
        <xdr:cNvPr id="11" name="SUBMENU1">
          <a:hlinkClick xmlns:r="http://schemas.openxmlformats.org/officeDocument/2006/relationships" r:id="rId1" tooltip=" "/>
          <a:extLst>
            <a:ext uri="{FF2B5EF4-FFF2-40B4-BE49-F238E27FC236}">
              <a16:creationId xmlns:a16="http://schemas.microsoft.com/office/drawing/2014/main" id="{00000000-0008-0000-1100-00000B000000}"/>
            </a:ext>
          </a:extLst>
        </xdr:cNvPr>
        <xdr:cNvSpPr/>
      </xdr:nvSpPr>
      <xdr:spPr>
        <a:xfrm>
          <a:off x="630249" y="1059329"/>
          <a:ext cx="1371600" cy="401214"/>
        </a:xfrm>
        <a:prstGeom prst="round2SameRect">
          <a:avLst/>
        </a:prstGeom>
        <a:solidFill>
          <a:srgbClr val="00334E"/>
        </a:solidFill>
        <a:ln w="28575">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ADF56A7A-CB83-4152-B95A-120E0363F7FB}" type="TxLink">
            <a:rPr lang="en-US" sz="1100" b="0" i="0" u="none" strike="noStrike">
              <a:solidFill>
                <a:srgbClr val="FFFFFF"/>
              </a:solidFill>
              <a:latin typeface="Arial" panose="020B0604020202020204" pitchFamily="34" charset="0"/>
              <a:cs typeface="Arial" panose="020B0604020202020204" pitchFamily="34" charset="0"/>
            </a:rPr>
            <a:pPr algn="ctr"/>
            <a:t>Lighting</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1</xdr:col>
      <xdr:colOff>558</xdr:colOff>
      <xdr:row>7</xdr:row>
      <xdr:rowOff>155200</xdr:rowOff>
    </xdr:from>
    <xdr:to>
      <xdr:col>44</xdr:col>
      <xdr:colOff>0</xdr:colOff>
      <xdr:row>45</xdr:row>
      <xdr:rowOff>0</xdr:rowOff>
    </xdr:to>
    <xdr:sp macro="" textlink="">
      <xdr:nvSpPr>
        <xdr:cNvPr id="19" name="BORDER">
          <a:extLst>
            <a:ext uri="{FF2B5EF4-FFF2-40B4-BE49-F238E27FC236}">
              <a16:creationId xmlns:a16="http://schemas.microsoft.com/office/drawing/2014/main" id="{00000000-0008-0000-1100-000013000000}"/>
            </a:ext>
          </a:extLst>
        </xdr:cNvPr>
        <xdr:cNvSpPr/>
      </xdr:nvSpPr>
      <xdr:spPr>
        <a:xfrm>
          <a:off x="314323" y="1567141"/>
          <a:ext cx="13491324" cy="7509624"/>
        </a:xfrm>
        <a:prstGeom prst="frame">
          <a:avLst>
            <a:gd name="adj1" fmla="val 97"/>
          </a:avLst>
        </a:prstGeom>
        <a:noFill/>
        <a:ln w="12700" cap="flat" cmpd="sng" algn="ctr">
          <a:solidFill>
            <a:srgbClr val="00334E"/>
          </a:solidFill>
          <a:prstDash val="solid"/>
          <a:miter lim="800000"/>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fPrintsWithSheet="0"/>
  </xdr:twoCellAnchor>
  <xdr:twoCellAnchor editAs="absolute">
    <xdr:from>
      <xdr:col>2</xdr:col>
      <xdr:colOff>2720</xdr:colOff>
      <xdr:row>9</xdr:row>
      <xdr:rowOff>1207</xdr:rowOff>
    </xdr:from>
    <xdr:to>
      <xdr:col>4</xdr:col>
      <xdr:colOff>960</xdr:colOff>
      <xdr:row>11</xdr:row>
      <xdr:rowOff>1207</xdr:rowOff>
    </xdr:to>
    <xdr:sp macro="" textlink="">
      <xdr:nvSpPr>
        <xdr:cNvPr id="20" name="BACK">
          <a:hlinkClick xmlns:r="http://schemas.openxmlformats.org/officeDocument/2006/relationships" r:id="rId15" tooltip=" "/>
          <a:extLst>
            <a:ext uri="{FF2B5EF4-FFF2-40B4-BE49-F238E27FC236}">
              <a16:creationId xmlns:a16="http://schemas.microsoft.com/office/drawing/2014/main" id="{00000000-0008-0000-1100-000014000000}"/>
            </a:ext>
          </a:extLst>
        </xdr:cNvPr>
        <xdr:cNvSpPr>
          <a:spLocks noChangeAspect="1"/>
        </xdr:cNvSpPr>
      </xdr:nvSpPr>
      <xdr:spPr>
        <a:xfrm>
          <a:off x="631370" y="1801432"/>
          <a:ext cx="626890" cy="400050"/>
        </a:xfrm>
        <a:prstGeom prst="leftArrow">
          <a:avLst/>
        </a:prstGeom>
        <a:solidFill>
          <a:srgbClr val="54BCEB"/>
        </a:solidFill>
        <a:ln>
          <a:solidFill>
            <a:srgbClr val="54BCEB"/>
          </a:solidFill>
        </a:ln>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editAs="oneCell">
    <xdr:from>
      <xdr:col>2</xdr:col>
      <xdr:colOff>102850</xdr:colOff>
      <xdr:row>0</xdr:row>
      <xdr:rowOff>156884</xdr:rowOff>
    </xdr:from>
    <xdr:to>
      <xdr:col>5</xdr:col>
      <xdr:colOff>30405</xdr:colOff>
      <xdr:row>2</xdr:row>
      <xdr:rowOff>195627</xdr:rowOff>
    </xdr:to>
    <xdr:pic>
      <xdr:nvPicPr>
        <xdr:cNvPr id="25" name="LOGO">
          <a:extLst>
            <a:ext uri="{FF2B5EF4-FFF2-40B4-BE49-F238E27FC236}">
              <a16:creationId xmlns:a16="http://schemas.microsoft.com/office/drawing/2014/main" id="{00000000-0008-0000-1100-000019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xdr:blipFill>
      <xdr:spPr>
        <a:xfrm>
          <a:off x="730379" y="156884"/>
          <a:ext cx="868850" cy="442155"/>
        </a:xfrm>
        <a:prstGeom prst="rect">
          <a:avLst/>
        </a:prstGeom>
      </xdr:spPr>
    </xdr:pic>
    <xdr:clientData/>
  </xdr:twoCellAnchor>
  <xdr:twoCellAnchor>
    <xdr:from>
      <xdr:col>1</xdr:col>
      <xdr:colOff>0</xdr:colOff>
      <xdr:row>7</xdr:row>
      <xdr:rowOff>0</xdr:rowOff>
    </xdr:from>
    <xdr:to>
      <xdr:col>44</xdr:col>
      <xdr:colOff>13806</xdr:colOff>
      <xdr:row>8</xdr:row>
      <xdr:rowOff>0</xdr:rowOff>
    </xdr:to>
    <xdr:sp macro="" textlink="">
      <xdr:nvSpPr>
        <xdr:cNvPr id="21" name="BOTTOMRIBBON">
          <a:extLst>
            <a:ext uri="{FF2B5EF4-FFF2-40B4-BE49-F238E27FC236}">
              <a16:creationId xmlns:a16="http://schemas.microsoft.com/office/drawing/2014/main" id="{00000000-0008-0000-1100-000015000000}"/>
            </a:ext>
          </a:extLst>
        </xdr:cNvPr>
        <xdr:cNvSpPr/>
      </xdr:nvSpPr>
      <xdr:spPr>
        <a:xfrm>
          <a:off x="313765" y="1411941"/>
          <a:ext cx="13505688" cy="201706"/>
        </a:xfrm>
        <a:prstGeom prst="rect">
          <a:avLst/>
        </a:prstGeom>
        <a:solidFill>
          <a:srgbClr val="00334E"/>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solidFill>
              <a:srgbClr val="FFFFFF"/>
            </a:solidFill>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0</xdr:colOff>
      <xdr:row>4</xdr:row>
      <xdr:rowOff>1</xdr:rowOff>
    </xdr:from>
    <xdr:to>
      <xdr:col>44</xdr:col>
      <xdr:colOff>13806</xdr:colOff>
      <xdr:row>7</xdr:row>
      <xdr:rowOff>0</xdr:rowOff>
    </xdr:to>
    <xdr:sp macro="" textlink="">
      <xdr:nvSpPr>
        <xdr:cNvPr id="10" name="TOPRIBBON">
          <a:extLst>
            <a:ext uri="{FF2B5EF4-FFF2-40B4-BE49-F238E27FC236}">
              <a16:creationId xmlns:a16="http://schemas.microsoft.com/office/drawing/2014/main" id="{00000000-0008-0000-1200-00000A000000}"/>
            </a:ext>
          </a:extLst>
        </xdr:cNvPr>
        <xdr:cNvSpPr/>
      </xdr:nvSpPr>
      <xdr:spPr>
        <a:xfrm>
          <a:off x="313765" y="806825"/>
          <a:ext cx="13505688" cy="605116"/>
        </a:xfrm>
        <a:prstGeom prst="round2SameRect">
          <a:avLst/>
        </a:prstGeom>
        <a:solidFill>
          <a:srgbClr val="A6A5A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p>
      </xdr:txBody>
    </xdr:sp>
    <xdr:clientData/>
  </xdr:twoCellAnchor>
  <xdr:twoCellAnchor>
    <xdr:from>
      <xdr:col>2</xdr:col>
      <xdr:colOff>2720</xdr:colOff>
      <xdr:row>5</xdr:row>
      <xdr:rowOff>0</xdr:rowOff>
    </xdr:from>
    <xdr:to>
      <xdr:col>6</xdr:col>
      <xdr:colOff>119261</xdr:colOff>
      <xdr:row>6</xdr:row>
      <xdr:rowOff>197827</xdr:rowOff>
    </xdr:to>
    <xdr:sp macro="" textlink="M3S1">
      <xdr:nvSpPr>
        <xdr:cNvPr id="11" name="SUBMENU1">
          <a:hlinkClick xmlns:r="http://schemas.openxmlformats.org/officeDocument/2006/relationships" r:id="rId1" tooltip=" "/>
          <a:extLst>
            <a:ext uri="{FF2B5EF4-FFF2-40B4-BE49-F238E27FC236}">
              <a16:creationId xmlns:a16="http://schemas.microsoft.com/office/drawing/2014/main" id="{00000000-0008-0000-1200-00000B000000}"/>
            </a:ext>
          </a:extLst>
        </xdr:cNvPr>
        <xdr:cNvSpPr/>
      </xdr:nvSpPr>
      <xdr:spPr>
        <a:xfrm>
          <a:off x="630249" y="1008529"/>
          <a:ext cx="1371600" cy="399533"/>
        </a:xfrm>
        <a:prstGeom prst="round2SameRect">
          <a:avLst/>
        </a:prstGeom>
        <a:solidFill>
          <a:srgbClr val="1A9DD8"/>
        </a:solidFill>
        <a:ln w="12700">
          <a:solidFill>
            <a:srgbClr val="1A9DD8"/>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ADF56A7A-CB83-4152-B95A-120E0363F7FB}" type="TxLink">
            <a:rPr lang="en-US" sz="1100" b="0" i="0" u="none" strike="noStrike">
              <a:solidFill>
                <a:srgbClr val="FFFFFF"/>
              </a:solidFill>
              <a:latin typeface="Arial" panose="020B0604020202020204" pitchFamily="34" charset="0"/>
              <a:cs typeface="Arial" panose="020B0604020202020204" pitchFamily="34" charset="0"/>
            </a:rPr>
            <a:pPr algn="ctr"/>
            <a:t>Lighting</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10</xdr:col>
      <xdr:colOff>271489</xdr:colOff>
      <xdr:row>4</xdr:row>
      <xdr:rowOff>200705</xdr:rowOff>
    </xdr:from>
    <xdr:to>
      <xdr:col>15</xdr:col>
      <xdr:colOff>74265</xdr:colOff>
      <xdr:row>7</xdr:row>
      <xdr:rowOff>0</xdr:rowOff>
    </xdr:to>
    <xdr:sp macro="" textlink="M3S3">
      <xdr:nvSpPr>
        <xdr:cNvPr id="13" name="SUBMENU3">
          <a:hlinkClick xmlns:r="http://schemas.openxmlformats.org/officeDocument/2006/relationships" r:id="rId2" tooltip=" "/>
          <a:extLst>
            <a:ext uri="{FF2B5EF4-FFF2-40B4-BE49-F238E27FC236}">
              <a16:creationId xmlns:a16="http://schemas.microsoft.com/office/drawing/2014/main" id="{00000000-0008-0000-1200-00000D000000}"/>
            </a:ext>
          </a:extLst>
        </xdr:cNvPr>
        <xdr:cNvSpPr/>
      </xdr:nvSpPr>
      <xdr:spPr>
        <a:xfrm>
          <a:off x="3409136" y="1007529"/>
          <a:ext cx="1371600" cy="404412"/>
        </a:xfrm>
        <a:prstGeom prst="round2SameRect">
          <a:avLst/>
        </a:prstGeom>
        <a:solidFill>
          <a:srgbClr val="1A9DD8"/>
        </a:solidFill>
        <a:ln w="12700">
          <a:solidFill>
            <a:srgbClr val="1A9DD8"/>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E60A9FB0-D7E6-4ADD-8A44-C9B2BE21324A}" type="TxLink">
            <a:rPr lang="en-US" sz="1100" b="0" i="0" u="none" strike="noStrike">
              <a:solidFill>
                <a:srgbClr val="FFFFFF"/>
              </a:solidFill>
              <a:latin typeface="Arial" panose="020B0604020202020204" pitchFamily="34" charset="0"/>
              <a:cs typeface="Arial" panose="020B0604020202020204" pitchFamily="34" charset="0"/>
            </a:rPr>
            <a:pPr algn="ctr"/>
            <a:t>HVAC (Electric)</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15</xdr:col>
      <xdr:colOff>92194</xdr:colOff>
      <xdr:row>4</xdr:row>
      <xdr:rowOff>200705</xdr:rowOff>
    </xdr:from>
    <xdr:to>
      <xdr:col>19</xdr:col>
      <xdr:colOff>208736</xdr:colOff>
      <xdr:row>7</xdr:row>
      <xdr:rowOff>0</xdr:rowOff>
    </xdr:to>
    <xdr:sp macro="" textlink="M3S4">
      <xdr:nvSpPr>
        <xdr:cNvPr id="14" name="SUBMENU4">
          <a:hlinkClick xmlns:r="http://schemas.openxmlformats.org/officeDocument/2006/relationships" r:id="rId3" tooltip=" "/>
          <a:extLst>
            <a:ext uri="{FF2B5EF4-FFF2-40B4-BE49-F238E27FC236}">
              <a16:creationId xmlns:a16="http://schemas.microsoft.com/office/drawing/2014/main" id="{00000000-0008-0000-1200-00000E000000}"/>
            </a:ext>
          </a:extLst>
        </xdr:cNvPr>
        <xdr:cNvSpPr/>
      </xdr:nvSpPr>
      <xdr:spPr>
        <a:xfrm>
          <a:off x="4798665" y="1007529"/>
          <a:ext cx="1371600" cy="404412"/>
        </a:xfrm>
        <a:prstGeom prst="round2SameRect">
          <a:avLst/>
        </a:prstGeom>
        <a:solidFill>
          <a:srgbClr val="1A9DD8"/>
        </a:solidFill>
        <a:ln w="12700">
          <a:solidFill>
            <a:srgbClr val="1A9DD8"/>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EC4D1991-C1D9-486E-95EB-30A9469B742C}" type="TxLink">
            <a:rPr lang="en-US" sz="1100" b="0" i="0" u="none" strike="noStrike">
              <a:solidFill>
                <a:srgbClr val="FFFFFF"/>
              </a:solidFill>
              <a:latin typeface="Arial" panose="020B0604020202020204" pitchFamily="34" charset="0"/>
              <a:cs typeface="Arial" panose="020B0604020202020204" pitchFamily="34" charset="0"/>
            </a:rPr>
            <a:pPr algn="ctr"/>
            <a:t>Refrigeration</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19</xdr:col>
      <xdr:colOff>226663</xdr:colOff>
      <xdr:row>4</xdr:row>
      <xdr:rowOff>200705</xdr:rowOff>
    </xdr:from>
    <xdr:to>
      <xdr:col>24</xdr:col>
      <xdr:colOff>29439</xdr:colOff>
      <xdr:row>7</xdr:row>
      <xdr:rowOff>0</xdr:rowOff>
    </xdr:to>
    <xdr:sp macro="" textlink="M3S5">
      <xdr:nvSpPr>
        <xdr:cNvPr id="15" name="SUBMENU5">
          <a:hlinkClick xmlns:r="http://schemas.openxmlformats.org/officeDocument/2006/relationships" r:id="rId4" tooltip=" "/>
          <a:extLst>
            <a:ext uri="{FF2B5EF4-FFF2-40B4-BE49-F238E27FC236}">
              <a16:creationId xmlns:a16="http://schemas.microsoft.com/office/drawing/2014/main" id="{00000000-0008-0000-1200-00000F000000}"/>
            </a:ext>
          </a:extLst>
        </xdr:cNvPr>
        <xdr:cNvSpPr/>
      </xdr:nvSpPr>
      <xdr:spPr>
        <a:xfrm>
          <a:off x="6188192" y="1007529"/>
          <a:ext cx="1371600" cy="404412"/>
        </a:xfrm>
        <a:prstGeom prst="round2SameRect">
          <a:avLst/>
        </a:prstGeom>
        <a:solidFill>
          <a:srgbClr val="1A9DD8"/>
        </a:solidFill>
        <a:ln w="12700">
          <a:solidFill>
            <a:srgbClr val="1A9DD8"/>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52BFCEF9-4B05-45FB-B7B3-9621E37C07CC}" type="TxLink">
            <a:rPr lang="en-US" sz="1100" b="0" i="0" u="none" strike="noStrike">
              <a:solidFill>
                <a:srgbClr val="FFFFFF"/>
              </a:solidFill>
              <a:latin typeface="Arial" panose="020B0604020202020204" pitchFamily="34" charset="0"/>
              <a:cs typeface="Arial" panose="020B0604020202020204" pitchFamily="34" charset="0"/>
            </a:rPr>
            <a:pPr algn="ctr"/>
            <a:t>Commercial Cooking (Elec/Gas)</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24</xdr:col>
      <xdr:colOff>56028</xdr:colOff>
      <xdr:row>5</xdr:row>
      <xdr:rowOff>11206</xdr:rowOff>
    </xdr:from>
    <xdr:to>
      <xdr:col>28</xdr:col>
      <xdr:colOff>172569</xdr:colOff>
      <xdr:row>7</xdr:row>
      <xdr:rowOff>12206</xdr:rowOff>
    </xdr:to>
    <xdr:sp macro="" textlink="M3S8">
      <xdr:nvSpPr>
        <xdr:cNvPr id="23" name="SUBMENU5">
          <a:hlinkClick xmlns:r="http://schemas.openxmlformats.org/officeDocument/2006/relationships" r:id="rId5" tooltip=" "/>
          <a:extLst>
            <a:ext uri="{FF2B5EF4-FFF2-40B4-BE49-F238E27FC236}">
              <a16:creationId xmlns:a16="http://schemas.microsoft.com/office/drawing/2014/main" id="{00000000-0008-0000-1200-000017000000}"/>
            </a:ext>
          </a:extLst>
        </xdr:cNvPr>
        <xdr:cNvSpPr/>
      </xdr:nvSpPr>
      <xdr:spPr>
        <a:xfrm>
          <a:off x="7586381" y="1019735"/>
          <a:ext cx="1371600" cy="404412"/>
        </a:xfrm>
        <a:prstGeom prst="round2SameRect">
          <a:avLst/>
        </a:prstGeom>
        <a:solidFill>
          <a:srgbClr val="1A9DD8"/>
        </a:solidFill>
        <a:ln w="28575">
          <a:solidFill>
            <a:srgbClr val="1A9DD8"/>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marL="0" indent="0" algn="ctr"/>
          <a:fld id="{BA865B98-DE37-4668-AF99-996484229397}" type="TxLink">
            <a:rPr lang="en-US" sz="1100" b="0" i="0" u="none" strike="noStrike">
              <a:solidFill>
                <a:srgbClr val="FFFFFF"/>
              </a:solidFill>
              <a:latin typeface="Arial" panose="020B0604020202020204" pitchFamily="34" charset="0"/>
              <a:ea typeface="+mn-ea"/>
              <a:cs typeface="Arial" panose="020B0604020202020204" pitchFamily="34" charset="0"/>
            </a:rPr>
            <a:pPr marL="0" indent="0" algn="ctr"/>
            <a:t>Misc / Compressed Air / VFDs</a:t>
          </a:fld>
          <a:endParaRPr lang="en-US" sz="1100" b="0" i="0" u="none" strike="noStrike">
            <a:solidFill>
              <a:srgbClr val="FFFFFF"/>
            </a:solidFill>
            <a:latin typeface="Arial" panose="020B0604020202020204" pitchFamily="34" charset="0"/>
            <a:ea typeface="+mn-ea"/>
            <a:cs typeface="Arial" panose="020B0604020202020204" pitchFamily="34" charset="0"/>
          </a:endParaRPr>
        </a:p>
      </xdr:txBody>
    </xdr:sp>
    <xdr:clientData/>
  </xdr:twoCellAnchor>
  <xdr:twoCellAnchor>
    <xdr:from>
      <xdr:col>28</xdr:col>
      <xdr:colOff>190499</xdr:colOff>
      <xdr:row>4</xdr:row>
      <xdr:rowOff>190500</xdr:rowOff>
    </xdr:from>
    <xdr:to>
      <xdr:col>32</xdr:col>
      <xdr:colOff>307040</xdr:colOff>
      <xdr:row>6</xdr:row>
      <xdr:rowOff>189821</xdr:rowOff>
    </xdr:to>
    <xdr:sp macro="" textlink="M3S9">
      <xdr:nvSpPr>
        <xdr:cNvPr id="25" name="SUBMENU5">
          <a:hlinkClick xmlns:r="http://schemas.openxmlformats.org/officeDocument/2006/relationships" r:id="rId6" tooltip=" "/>
          <a:extLst>
            <a:ext uri="{FF2B5EF4-FFF2-40B4-BE49-F238E27FC236}">
              <a16:creationId xmlns:a16="http://schemas.microsoft.com/office/drawing/2014/main" id="{00000000-0008-0000-1200-000019000000}"/>
            </a:ext>
          </a:extLst>
        </xdr:cNvPr>
        <xdr:cNvSpPr/>
      </xdr:nvSpPr>
      <xdr:spPr>
        <a:xfrm>
          <a:off x="8975911" y="997324"/>
          <a:ext cx="1371600" cy="402732"/>
        </a:xfrm>
        <a:prstGeom prst="round2SameRect">
          <a:avLst/>
        </a:prstGeom>
        <a:solidFill>
          <a:srgbClr val="1A9DD8"/>
        </a:solidFill>
        <a:ln w="12700">
          <a:solidFill>
            <a:srgbClr val="1A9DD8"/>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marL="0" indent="0" algn="ctr"/>
          <a:fld id="{FDE417D9-BB8B-470F-AFD8-9914571AC487}" type="TxLink">
            <a:rPr lang="en-US" sz="1100" b="0" i="0" u="none" strike="noStrike">
              <a:solidFill>
                <a:schemeClr val="bg1"/>
              </a:solidFill>
              <a:latin typeface="Arial" panose="020B0604020202020204" pitchFamily="34" charset="0"/>
              <a:ea typeface="+mn-ea"/>
              <a:cs typeface="Arial" panose="020B0604020202020204" pitchFamily="34" charset="0"/>
            </a:rPr>
            <a:pPr marL="0" indent="0" algn="ctr"/>
            <a:t>Agriculture (Elec/Gas)</a:t>
          </a:fld>
          <a:endParaRPr lang="en-US" sz="1100" b="0" i="0" u="none" strike="noStrike">
            <a:solidFill>
              <a:schemeClr val="bg1"/>
            </a:solidFill>
            <a:latin typeface="Arial" panose="020B0604020202020204" pitchFamily="34" charset="0"/>
            <a:ea typeface="+mn-ea"/>
            <a:cs typeface="Arial" panose="020B0604020202020204" pitchFamily="34" charset="0"/>
          </a:endParaRPr>
        </a:p>
      </xdr:txBody>
    </xdr:sp>
    <xdr:clientData/>
  </xdr:twoCellAnchor>
  <xdr:twoCellAnchor>
    <xdr:from>
      <xdr:col>33</xdr:col>
      <xdr:colOff>0</xdr:colOff>
      <xdr:row>4</xdr:row>
      <xdr:rowOff>200705</xdr:rowOff>
    </xdr:from>
    <xdr:to>
      <xdr:col>36</xdr:col>
      <xdr:colOff>302290</xdr:colOff>
      <xdr:row>7</xdr:row>
      <xdr:rowOff>0</xdr:rowOff>
    </xdr:to>
    <xdr:sp macro="" textlink="M3S6">
      <xdr:nvSpPr>
        <xdr:cNvPr id="16" name="SUBMENU6">
          <a:hlinkClick xmlns:r="http://schemas.openxmlformats.org/officeDocument/2006/relationships" r:id="rId7" tooltip=" "/>
          <a:extLst>
            <a:ext uri="{FF2B5EF4-FFF2-40B4-BE49-F238E27FC236}">
              <a16:creationId xmlns:a16="http://schemas.microsoft.com/office/drawing/2014/main" id="{00000000-0008-0000-1200-000010000000}"/>
            </a:ext>
          </a:extLst>
        </xdr:cNvPr>
        <xdr:cNvSpPr/>
      </xdr:nvSpPr>
      <xdr:spPr>
        <a:xfrm>
          <a:off x="10354235" y="1007529"/>
          <a:ext cx="1243584" cy="404412"/>
        </a:xfrm>
        <a:prstGeom prst="round2SameRect">
          <a:avLst/>
        </a:prstGeom>
        <a:solidFill>
          <a:srgbClr val="54BCEB"/>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30A5A5F-CF4B-4F90-A7E3-B223777D7BE2}" type="TxLink">
            <a:rPr lang="en-US" sz="1100" b="0" i="0" u="none" strike="noStrike">
              <a:solidFill>
                <a:srgbClr val="FFFFFF"/>
              </a:solidFill>
              <a:latin typeface="Arial" panose="020B0604020202020204" pitchFamily="34" charset="0"/>
              <a:cs typeface="Arial" panose="020B0604020202020204" pitchFamily="34" charset="0"/>
            </a:rPr>
            <a:pPr algn="ctr"/>
            <a:t>HVAC 
(Gas)</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37</xdr:col>
      <xdr:colOff>2863</xdr:colOff>
      <xdr:row>4</xdr:row>
      <xdr:rowOff>200705</xdr:rowOff>
    </xdr:from>
    <xdr:to>
      <xdr:col>40</xdr:col>
      <xdr:colOff>305153</xdr:colOff>
      <xdr:row>7</xdr:row>
      <xdr:rowOff>0</xdr:rowOff>
    </xdr:to>
    <xdr:sp macro="" textlink="M3S7">
      <xdr:nvSpPr>
        <xdr:cNvPr id="17" name="SUBMENU7">
          <a:hlinkClick xmlns:r="http://schemas.openxmlformats.org/officeDocument/2006/relationships" r:id="rId8" tooltip=" "/>
          <a:extLst>
            <a:ext uri="{FF2B5EF4-FFF2-40B4-BE49-F238E27FC236}">
              <a16:creationId xmlns:a16="http://schemas.microsoft.com/office/drawing/2014/main" id="{00000000-0008-0000-1200-000011000000}"/>
            </a:ext>
          </a:extLst>
        </xdr:cNvPr>
        <xdr:cNvSpPr/>
      </xdr:nvSpPr>
      <xdr:spPr>
        <a:xfrm>
          <a:off x="11612157" y="1007529"/>
          <a:ext cx="1243584" cy="404412"/>
        </a:xfrm>
        <a:prstGeom prst="round2SameRect">
          <a:avLst/>
        </a:prstGeom>
        <a:solidFill>
          <a:srgbClr val="54BCEB"/>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DBE1B27F-5FE8-4BDD-82FC-95C3FF9A200E}" type="TxLink">
            <a:rPr lang="en-US" sz="1100" b="0" i="0" u="none" strike="noStrike">
              <a:solidFill>
                <a:srgbClr val="FFFFFF"/>
              </a:solidFill>
              <a:latin typeface="Arial" panose="020B0604020202020204" pitchFamily="34" charset="0"/>
              <a:cs typeface="Arial" panose="020B0604020202020204" pitchFamily="34" charset="0"/>
            </a:rPr>
            <a:pPr algn="ctr"/>
            <a:t>Water Heating / Others (Gas)</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17</xdr:col>
      <xdr:colOff>0</xdr:colOff>
      <xdr:row>1</xdr:row>
      <xdr:rowOff>133350</xdr:rowOff>
    </xdr:from>
    <xdr:to>
      <xdr:col>22</xdr:col>
      <xdr:colOff>0</xdr:colOff>
      <xdr:row>4</xdr:row>
      <xdr:rowOff>133350</xdr:rowOff>
    </xdr:to>
    <xdr:sp macro="" textlink="MAIN3">
      <xdr:nvSpPr>
        <xdr:cNvPr id="5" name="MENU3">
          <a:hlinkClick xmlns:r="http://schemas.openxmlformats.org/officeDocument/2006/relationships" r:id="rId1" tooltip=" "/>
          <a:extLst>
            <a:ext uri="{FF2B5EF4-FFF2-40B4-BE49-F238E27FC236}">
              <a16:creationId xmlns:a16="http://schemas.microsoft.com/office/drawing/2014/main" id="{00000000-0008-0000-1200-000005000000}"/>
            </a:ext>
          </a:extLst>
        </xdr:cNvPr>
        <xdr:cNvSpPr/>
      </xdr:nvSpPr>
      <xdr:spPr>
        <a:xfrm>
          <a:off x="5343525" y="333375"/>
          <a:ext cx="1571625" cy="600075"/>
        </a:xfrm>
        <a:prstGeom prst="round2SameRect">
          <a:avLst/>
        </a:prstGeom>
        <a:solidFill>
          <a:srgbClr val="A6A5AA"/>
        </a:solidFill>
        <a:ln w="12700">
          <a:solidFill>
            <a:srgbClr val="A6A5AA"/>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06A037F-AE33-47CC-85C1-F6D62694F95D}" type="TxLink">
            <a:rPr lang="en-US" sz="1100" b="0" i="0" u="none" strike="noStrike">
              <a:solidFill>
                <a:schemeClr val="bg1"/>
              </a:solidFill>
              <a:latin typeface="Arial" panose="020B0604020202020204" pitchFamily="34" charset="0"/>
              <a:cs typeface="Arial" panose="020B0604020202020204" pitchFamily="34" charset="0"/>
            </a:rPr>
            <a:pPr algn="ctr"/>
            <a:t>PRESCRIPTIVE MEASURES INPUT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editAs="absolute">
    <xdr:from>
      <xdr:col>41</xdr:col>
      <xdr:colOff>0</xdr:colOff>
      <xdr:row>9</xdr:row>
      <xdr:rowOff>1047</xdr:rowOff>
    </xdr:from>
    <xdr:to>
      <xdr:col>43</xdr:col>
      <xdr:colOff>22963</xdr:colOff>
      <xdr:row>11</xdr:row>
      <xdr:rowOff>1046</xdr:rowOff>
    </xdr:to>
    <xdr:sp macro="" textlink="">
      <xdr:nvSpPr>
        <xdr:cNvPr id="2" name="NEXT">
          <a:hlinkClick xmlns:r="http://schemas.openxmlformats.org/officeDocument/2006/relationships" r:id="rId9" tooltip=" "/>
          <a:extLst>
            <a:ext uri="{FF2B5EF4-FFF2-40B4-BE49-F238E27FC236}">
              <a16:creationId xmlns:a16="http://schemas.microsoft.com/office/drawing/2014/main" id="{00000000-0008-0000-1200-000002000000}"/>
            </a:ext>
          </a:extLst>
        </xdr:cNvPr>
        <xdr:cNvSpPr>
          <a:spLocks noChangeAspect="1"/>
        </xdr:cNvSpPr>
      </xdr:nvSpPr>
      <xdr:spPr>
        <a:xfrm>
          <a:off x="12887325" y="1801272"/>
          <a:ext cx="627520" cy="400049"/>
        </a:xfrm>
        <a:prstGeom prst="rightArrow">
          <a:avLst/>
        </a:prstGeom>
        <a:solidFill>
          <a:srgbClr val="54BCEB"/>
        </a:solidFill>
        <a:ln>
          <a:solidFill>
            <a:srgbClr val="54BCEB"/>
          </a:solidFill>
        </a:ln>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7</xdr:col>
      <xdr:colOff>457</xdr:colOff>
      <xdr:row>1</xdr:row>
      <xdr:rowOff>0</xdr:rowOff>
    </xdr:from>
    <xdr:to>
      <xdr:col>12</xdr:col>
      <xdr:colOff>0</xdr:colOff>
      <xdr:row>4</xdr:row>
      <xdr:rowOff>0</xdr:rowOff>
    </xdr:to>
    <xdr:sp macro="" textlink="MAIN1">
      <xdr:nvSpPr>
        <xdr:cNvPr id="3" name="MENU1">
          <a:hlinkClick xmlns:r="http://schemas.openxmlformats.org/officeDocument/2006/relationships" r:id="rId10" tooltip=" "/>
          <a:extLst>
            <a:ext uri="{FF2B5EF4-FFF2-40B4-BE49-F238E27FC236}">
              <a16:creationId xmlns:a16="http://schemas.microsoft.com/office/drawing/2014/main" id="{00000000-0008-0000-1200-000003000000}"/>
            </a:ext>
          </a:extLst>
        </xdr:cNvPr>
        <xdr:cNvSpPr/>
      </xdr:nvSpPr>
      <xdr:spPr>
        <a:xfrm>
          <a:off x="2200732" y="200025"/>
          <a:ext cx="1571168" cy="600075"/>
        </a:xfrm>
        <a:prstGeom prst="round2SameRect">
          <a:avLst/>
        </a:prstGeom>
        <a:solidFill>
          <a:srgbClr val="00334E"/>
        </a:solidFill>
        <a:ln w="12700">
          <a:solidFill>
            <a:srgbClr val="00334E"/>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D6F2F067-2676-4601-ABCE-75BD5137E3D5}" type="TxLink">
            <a:rPr lang="en-US" sz="1100" b="0" i="0" u="none" strike="noStrike">
              <a:solidFill>
                <a:schemeClr val="bg1"/>
              </a:solidFill>
              <a:latin typeface="Arial" panose="020B0604020202020204" pitchFamily="34" charset="0"/>
              <a:cs typeface="Arial" panose="020B0604020202020204" pitchFamily="34" charset="0"/>
            </a:rPr>
            <a:pPr algn="ctr"/>
            <a:t>START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12</xdr:col>
      <xdr:colOff>0</xdr:colOff>
      <xdr:row>1</xdr:row>
      <xdr:rowOff>0</xdr:rowOff>
    </xdr:from>
    <xdr:to>
      <xdr:col>17</xdr:col>
      <xdr:colOff>0</xdr:colOff>
      <xdr:row>4</xdr:row>
      <xdr:rowOff>0</xdr:rowOff>
    </xdr:to>
    <xdr:sp macro="" textlink="MAIN2">
      <xdr:nvSpPr>
        <xdr:cNvPr id="4" name="MENU2">
          <a:hlinkClick xmlns:r="http://schemas.openxmlformats.org/officeDocument/2006/relationships" r:id="rId11" tooltip=" "/>
          <a:extLst>
            <a:ext uri="{FF2B5EF4-FFF2-40B4-BE49-F238E27FC236}">
              <a16:creationId xmlns:a16="http://schemas.microsoft.com/office/drawing/2014/main" id="{00000000-0008-0000-1200-000004000000}"/>
            </a:ext>
          </a:extLst>
        </xdr:cNvPr>
        <xdr:cNvSpPr/>
      </xdr:nvSpPr>
      <xdr:spPr>
        <a:xfrm>
          <a:off x="3771900" y="200025"/>
          <a:ext cx="1571625" cy="600075"/>
        </a:xfrm>
        <a:prstGeom prst="round2SameRect">
          <a:avLst/>
        </a:prstGeom>
        <a:solidFill>
          <a:srgbClr val="00334E"/>
        </a:solidFill>
        <a:ln w="12700">
          <a:solidFill>
            <a:srgbClr val="00334E"/>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59A035B9-F1D2-4E89-B262-AF2DF0C338A9}" type="TxLink">
            <a:rPr lang="en-US" sz="1100" b="0" i="0" u="none" strike="noStrike">
              <a:solidFill>
                <a:schemeClr val="bg1"/>
              </a:solidFill>
              <a:latin typeface="Arial" panose="020B0604020202020204" pitchFamily="34" charset="0"/>
              <a:cs typeface="Arial" panose="020B0604020202020204" pitchFamily="34" charset="0"/>
            </a:rPr>
            <a:pPr algn="ctr"/>
            <a:t>PROJECT INFORMATION</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22</xdr:col>
      <xdr:colOff>0</xdr:colOff>
      <xdr:row>1</xdr:row>
      <xdr:rowOff>0</xdr:rowOff>
    </xdr:from>
    <xdr:to>
      <xdr:col>27</xdr:col>
      <xdr:colOff>0</xdr:colOff>
      <xdr:row>4</xdr:row>
      <xdr:rowOff>0</xdr:rowOff>
    </xdr:to>
    <xdr:sp macro="" textlink="MAIN4">
      <xdr:nvSpPr>
        <xdr:cNvPr id="6" name="MENU4">
          <a:hlinkClick xmlns:r="http://schemas.openxmlformats.org/officeDocument/2006/relationships" r:id="rId12" tooltip=" "/>
          <a:extLst>
            <a:ext uri="{FF2B5EF4-FFF2-40B4-BE49-F238E27FC236}">
              <a16:creationId xmlns:a16="http://schemas.microsoft.com/office/drawing/2014/main" id="{00000000-0008-0000-1200-000006000000}"/>
            </a:ext>
          </a:extLst>
        </xdr:cNvPr>
        <xdr:cNvSpPr/>
      </xdr:nvSpPr>
      <xdr:spPr>
        <a:xfrm>
          <a:off x="6915150" y="200025"/>
          <a:ext cx="1571625" cy="600075"/>
        </a:xfrm>
        <a:prstGeom prst="round2SameRect">
          <a:avLst/>
        </a:prstGeom>
        <a:solidFill>
          <a:srgbClr val="00334E"/>
        </a:solidFill>
        <a:ln w="12700">
          <a:solidFill>
            <a:srgbClr val="00334E"/>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CB369157-CA5B-4E40-B1DE-604993B819B3}" type="TxLink">
            <a:rPr lang="en-US" sz="1100" b="0" i="0" u="none" strike="noStrike">
              <a:solidFill>
                <a:schemeClr val="bg1"/>
              </a:solidFill>
              <a:latin typeface="Arial" panose="020B0604020202020204" pitchFamily="34" charset="0"/>
              <a:cs typeface="Arial" panose="020B0604020202020204" pitchFamily="34" charset="0"/>
            </a:rPr>
            <a:pPr algn="ctr"/>
            <a:t>CUSTOM MEASURES INPUT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27</xdr:col>
      <xdr:colOff>0</xdr:colOff>
      <xdr:row>1</xdr:row>
      <xdr:rowOff>0</xdr:rowOff>
    </xdr:from>
    <xdr:to>
      <xdr:col>32</xdr:col>
      <xdr:colOff>0</xdr:colOff>
      <xdr:row>4</xdr:row>
      <xdr:rowOff>0</xdr:rowOff>
    </xdr:to>
    <xdr:sp macro="" textlink="MAIN5">
      <xdr:nvSpPr>
        <xdr:cNvPr id="7" name="MENU5">
          <a:hlinkClick xmlns:r="http://schemas.openxmlformats.org/officeDocument/2006/relationships" r:id="rId13" tooltip=" "/>
          <a:extLst>
            <a:ext uri="{FF2B5EF4-FFF2-40B4-BE49-F238E27FC236}">
              <a16:creationId xmlns:a16="http://schemas.microsoft.com/office/drawing/2014/main" id="{00000000-0008-0000-1200-000007000000}"/>
            </a:ext>
          </a:extLst>
        </xdr:cNvPr>
        <xdr:cNvSpPr/>
      </xdr:nvSpPr>
      <xdr:spPr>
        <a:xfrm>
          <a:off x="8486775" y="200025"/>
          <a:ext cx="1571625" cy="600075"/>
        </a:xfrm>
        <a:prstGeom prst="round2SameRect">
          <a:avLst/>
        </a:prstGeom>
        <a:solidFill>
          <a:srgbClr val="00334E"/>
        </a:solidFill>
        <a:ln w="12700">
          <a:solidFill>
            <a:srgbClr val="00334E"/>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F0EEDDA6-4934-49B4-972D-20D21D440D82}" type="TxLink">
            <a:rPr lang="en-US" sz="1100" b="0" i="0" u="none" strike="noStrike">
              <a:solidFill>
                <a:schemeClr val="bg1"/>
              </a:solidFill>
              <a:latin typeface="Arial" panose="020B0604020202020204" pitchFamily="34" charset="0"/>
              <a:cs typeface="Arial" panose="020B0604020202020204" pitchFamily="34" charset="0"/>
            </a:rPr>
            <a:pPr algn="ctr"/>
            <a:t>APPLICATION REVIEW</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32</xdr:col>
      <xdr:colOff>0</xdr:colOff>
      <xdr:row>1</xdr:row>
      <xdr:rowOff>0</xdr:rowOff>
    </xdr:from>
    <xdr:to>
      <xdr:col>37</xdr:col>
      <xdr:colOff>1</xdr:colOff>
      <xdr:row>4</xdr:row>
      <xdr:rowOff>0</xdr:rowOff>
    </xdr:to>
    <xdr:sp macro="" textlink="MAIN6">
      <xdr:nvSpPr>
        <xdr:cNvPr id="8" name="MENU6">
          <a:extLst>
            <a:ext uri="{FF2B5EF4-FFF2-40B4-BE49-F238E27FC236}">
              <a16:creationId xmlns:a16="http://schemas.microsoft.com/office/drawing/2014/main" id="{00000000-0008-0000-1200-000008000000}"/>
            </a:ext>
          </a:extLst>
        </xdr:cNvPr>
        <xdr:cNvSpPr/>
      </xdr:nvSpPr>
      <xdr:spPr>
        <a:xfrm>
          <a:off x="10058400" y="200025"/>
          <a:ext cx="1571626"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00B050"/>
              </a:solidFill>
            </a14:hiddenFill>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B12A3774-975E-4B41-A681-E085295C6D0E}" type="TxLink">
            <a:rPr lang="en-US" sz="1100" b="0" i="0" u="none" strike="noStrike">
              <a:noFill/>
              <a:latin typeface="Arial" panose="020B0604020202020204" pitchFamily="34" charset="0"/>
              <a:cs typeface="Arial" panose="020B0604020202020204" pitchFamily="34" charset="0"/>
            </a:rPr>
            <a:pPr algn="ctr"/>
            <a:t> </a:t>
          </a:fld>
          <a:endParaRPr lang="en-US" sz="1100">
            <a:noFill/>
            <a:latin typeface="Arial" panose="020B0604020202020204" pitchFamily="34" charset="0"/>
            <a:cs typeface="Arial" panose="020B0604020202020204" pitchFamily="34" charset="0"/>
          </a:endParaRPr>
        </a:p>
      </xdr:txBody>
    </xdr:sp>
    <xdr:clientData/>
  </xdr:twoCellAnchor>
  <xdr:twoCellAnchor>
    <xdr:from>
      <xdr:col>36</xdr:col>
      <xdr:colOff>314324</xdr:colOff>
      <xdr:row>1</xdr:row>
      <xdr:rowOff>0</xdr:rowOff>
    </xdr:from>
    <xdr:to>
      <xdr:col>41</xdr:col>
      <xdr:colOff>314324</xdr:colOff>
      <xdr:row>4</xdr:row>
      <xdr:rowOff>0</xdr:rowOff>
    </xdr:to>
    <xdr:sp macro="" textlink="MAIN7">
      <xdr:nvSpPr>
        <xdr:cNvPr id="9" name="MENU7">
          <a:extLst>
            <a:ext uri="{FF2B5EF4-FFF2-40B4-BE49-F238E27FC236}">
              <a16:creationId xmlns:a16="http://schemas.microsoft.com/office/drawing/2014/main" id="{00000000-0008-0000-1200-000009000000}"/>
            </a:ext>
          </a:extLst>
        </xdr:cNvPr>
        <xdr:cNvSpPr/>
      </xdr:nvSpPr>
      <xdr:spPr>
        <a:xfrm>
          <a:off x="11630024" y="200025"/>
          <a:ext cx="1571625"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00B050"/>
              </a:solidFill>
            </a14:hiddenFill>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 </a:t>
          </a:fld>
          <a:endParaRPr lang="en-US" sz="1100">
            <a:noFill/>
            <a:latin typeface="Arial" panose="020B0604020202020204" pitchFamily="34" charset="0"/>
            <a:cs typeface="Arial" panose="020B0604020202020204" pitchFamily="34" charset="0"/>
          </a:endParaRPr>
        </a:p>
      </xdr:txBody>
    </xdr:sp>
    <xdr:clientData/>
  </xdr:twoCellAnchor>
  <xdr:twoCellAnchor>
    <xdr:from>
      <xdr:col>6</xdr:col>
      <xdr:colOff>137020</xdr:colOff>
      <xdr:row>5</xdr:row>
      <xdr:rowOff>51480</xdr:rowOff>
    </xdr:from>
    <xdr:to>
      <xdr:col>10</xdr:col>
      <xdr:colOff>253561</xdr:colOff>
      <xdr:row>7</xdr:row>
      <xdr:rowOff>50800</xdr:rowOff>
    </xdr:to>
    <xdr:sp macro="" textlink="M3S2">
      <xdr:nvSpPr>
        <xdr:cNvPr id="12" name="SUBMENU2">
          <a:hlinkClick xmlns:r="http://schemas.openxmlformats.org/officeDocument/2006/relationships" r:id="rId14" tooltip=" "/>
          <a:extLst>
            <a:ext uri="{FF2B5EF4-FFF2-40B4-BE49-F238E27FC236}">
              <a16:creationId xmlns:a16="http://schemas.microsoft.com/office/drawing/2014/main" id="{00000000-0008-0000-1200-00000C000000}"/>
            </a:ext>
          </a:extLst>
        </xdr:cNvPr>
        <xdr:cNvSpPr/>
      </xdr:nvSpPr>
      <xdr:spPr>
        <a:xfrm>
          <a:off x="2019608" y="1060009"/>
          <a:ext cx="1371600" cy="402732"/>
        </a:xfrm>
        <a:prstGeom prst="round2SameRect">
          <a:avLst/>
        </a:prstGeom>
        <a:solidFill>
          <a:srgbClr val="00334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3F4CA6B-01F3-44D0-A0E3-D0AA753206B2}" type="TxLink">
            <a:rPr lang="en-US" sz="1100" b="0" i="0" u="none" strike="noStrike">
              <a:solidFill>
                <a:srgbClr val="FFFFFF"/>
              </a:solidFill>
              <a:latin typeface="Arial" panose="020B0604020202020204" pitchFamily="34" charset="0"/>
              <a:cs typeface="Arial" panose="020B0604020202020204" pitchFamily="34" charset="0"/>
            </a:rPr>
            <a:pPr algn="ctr"/>
            <a:t>Lighting Controls</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1</xdr:col>
      <xdr:colOff>558</xdr:colOff>
      <xdr:row>7</xdr:row>
      <xdr:rowOff>200023</xdr:rowOff>
    </xdr:from>
    <xdr:to>
      <xdr:col>44</xdr:col>
      <xdr:colOff>0</xdr:colOff>
      <xdr:row>34</xdr:row>
      <xdr:rowOff>201705</xdr:rowOff>
    </xdr:to>
    <xdr:sp macro="" textlink="">
      <xdr:nvSpPr>
        <xdr:cNvPr id="19" name="BORDER">
          <a:extLst>
            <a:ext uri="{FF2B5EF4-FFF2-40B4-BE49-F238E27FC236}">
              <a16:creationId xmlns:a16="http://schemas.microsoft.com/office/drawing/2014/main" id="{00000000-0008-0000-1200-000013000000}"/>
            </a:ext>
          </a:extLst>
        </xdr:cNvPr>
        <xdr:cNvSpPr/>
      </xdr:nvSpPr>
      <xdr:spPr>
        <a:xfrm>
          <a:off x="314323" y="1611964"/>
          <a:ext cx="13491324" cy="5447741"/>
        </a:xfrm>
        <a:prstGeom prst="frame">
          <a:avLst>
            <a:gd name="adj1" fmla="val 97"/>
          </a:avLst>
        </a:prstGeom>
        <a:noFill/>
        <a:ln w="12700" cap="flat" cmpd="sng" algn="ctr">
          <a:solidFill>
            <a:srgbClr val="00334E"/>
          </a:solidFill>
          <a:prstDash val="solid"/>
          <a:miter lim="800000"/>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fPrintsWithSheet="0"/>
  </xdr:twoCellAnchor>
  <xdr:twoCellAnchor editAs="absolute">
    <xdr:from>
      <xdr:col>2</xdr:col>
      <xdr:colOff>2720</xdr:colOff>
      <xdr:row>9</xdr:row>
      <xdr:rowOff>1207</xdr:rowOff>
    </xdr:from>
    <xdr:to>
      <xdr:col>4</xdr:col>
      <xdr:colOff>960</xdr:colOff>
      <xdr:row>10</xdr:row>
      <xdr:rowOff>184423</xdr:rowOff>
    </xdr:to>
    <xdr:sp macro="" textlink="">
      <xdr:nvSpPr>
        <xdr:cNvPr id="20" name="BACK">
          <a:hlinkClick xmlns:r="http://schemas.openxmlformats.org/officeDocument/2006/relationships" r:id="rId15" tooltip=" "/>
          <a:extLst>
            <a:ext uri="{FF2B5EF4-FFF2-40B4-BE49-F238E27FC236}">
              <a16:creationId xmlns:a16="http://schemas.microsoft.com/office/drawing/2014/main" id="{00000000-0008-0000-1200-000014000000}"/>
            </a:ext>
          </a:extLst>
        </xdr:cNvPr>
        <xdr:cNvSpPr>
          <a:spLocks noChangeAspect="1"/>
        </xdr:cNvSpPr>
      </xdr:nvSpPr>
      <xdr:spPr>
        <a:xfrm>
          <a:off x="631370" y="1801432"/>
          <a:ext cx="626890" cy="400050"/>
        </a:xfrm>
        <a:prstGeom prst="leftArrow">
          <a:avLst/>
        </a:prstGeom>
        <a:solidFill>
          <a:srgbClr val="54BCEB"/>
        </a:solidFill>
        <a:ln>
          <a:solidFill>
            <a:srgbClr val="54BCEB"/>
          </a:solidFill>
        </a:ln>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editAs="oneCell">
    <xdr:from>
      <xdr:col>2</xdr:col>
      <xdr:colOff>102850</xdr:colOff>
      <xdr:row>0</xdr:row>
      <xdr:rowOff>156884</xdr:rowOff>
    </xdr:from>
    <xdr:to>
      <xdr:col>5</xdr:col>
      <xdr:colOff>30405</xdr:colOff>
      <xdr:row>2</xdr:row>
      <xdr:rowOff>195627</xdr:rowOff>
    </xdr:to>
    <xdr:pic>
      <xdr:nvPicPr>
        <xdr:cNvPr id="24" name="LOGO">
          <a:extLst>
            <a:ext uri="{FF2B5EF4-FFF2-40B4-BE49-F238E27FC236}">
              <a16:creationId xmlns:a16="http://schemas.microsoft.com/office/drawing/2014/main" id="{00000000-0008-0000-1200-000018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xdr:blipFill>
      <xdr:spPr>
        <a:xfrm>
          <a:off x="730379" y="156884"/>
          <a:ext cx="868850" cy="442155"/>
        </a:xfrm>
        <a:prstGeom prst="rect">
          <a:avLst/>
        </a:prstGeom>
      </xdr:spPr>
    </xdr:pic>
    <xdr:clientData/>
  </xdr:twoCellAnchor>
  <xdr:twoCellAnchor>
    <xdr:from>
      <xdr:col>1</xdr:col>
      <xdr:colOff>0</xdr:colOff>
      <xdr:row>7</xdr:row>
      <xdr:rowOff>0</xdr:rowOff>
    </xdr:from>
    <xdr:to>
      <xdr:col>44</xdr:col>
      <xdr:colOff>13806</xdr:colOff>
      <xdr:row>8</xdr:row>
      <xdr:rowOff>0</xdr:rowOff>
    </xdr:to>
    <xdr:sp macro="" textlink="">
      <xdr:nvSpPr>
        <xdr:cNvPr id="21" name="BOTTOMRIBBON">
          <a:extLst>
            <a:ext uri="{FF2B5EF4-FFF2-40B4-BE49-F238E27FC236}">
              <a16:creationId xmlns:a16="http://schemas.microsoft.com/office/drawing/2014/main" id="{00000000-0008-0000-1200-000015000000}"/>
            </a:ext>
          </a:extLst>
        </xdr:cNvPr>
        <xdr:cNvSpPr/>
      </xdr:nvSpPr>
      <xdr:spPr>
        <a:xfrm>
          <a:off x="313765" y="1411941"/>
          <a:ext cx="13505688" cy="201706"/>
        </a:xfrm>
        <a:prstGeom prst="rect">
          <a:avLst/>
        </a:prstGeom>
        <a:solidFill>
          <a:srgbClr val="00334E"/>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solidFill>
              <a:srgbClr val="FFFFFF"/>
            </a:solidFill>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17</xdr:col>
      <xdr:colOff>0</xdr:colOff>
      <xdr:row>1</xdr:row>
      <xdr:rowOff>133350</xdr:rowOff>
    </xdr:from>
    <xdr:to>
      <xdr:col>22</xdr:col>
      <xdr:colOff>0</xdr:colOff>
      <xdr:row>4</xdr:row>
      <xdr:rowOff>133350</xdr:rowOff>
    </xdr:to>
    <xdr:sp macro="" textlink="MAIN3">
      <xdr:nvSpPr>
        <xdr:cNvPr id="5" name="MENU3">
          <a:hlinkClick xmlns:r="http://schemas.openxmlformats.org/officeDocument/2006/relationships" r:id="rId1" tooltip=" "/>
          <a:extLst>
            <a:ext uri="{FF2B5EF4-FFF2-40B4-BE49-F238E27FC236}">
              <a16:creationId xmlns:a16="http://schemas.microsoft.com/office/drawing/2014/main" id="{00000000-0008-0000-1300-000005000000}"/>
            </a:ext>
          </a:extLst>
        </xdr:cNvPr>
        <xdr:cNvSpPr/>
      </xdr:nvSpPr>
      <xdr:spPr>
        <a:xfrm>
          <a:off x="5343525" y="333375"/>
          <a:ext cx="1571625" cy="600075"/>
        </a:xfrm>
        <a:prstGeom prst="round2SameRect">
          <a:avLst/>
        </a:prstGeom>
        <a:solidFill>
          <a:srgbClr val="A6A5AA"/>
        </a:solidFill>
        <a:ln w="12700">
          <a:solidFill>
            <a:srgbClr val="A6A5AA"/>
          </a:solidFill>
        </a:ln>
        <a:effectLst>
          <a:outerShdw blurRad="25400" dist="508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06A037F-AE33-47CC-85C1-F6D62694F95D}" type="TxLink">
            <a:rPr lang="en-US" sz="1100" b="0" i="0" u="none" strike="noStrike">
              <a:solidFill>
                <a:schemeClr val="bg1"/>
              </a:solidFill>
              <a:latin typeface="Arial" panose="020B0604020202020204" pitchFamily="34" charset="0"/>
              <a:cs typeface="Arial" panose="020B0604020202020204" pitchFamily="34" charset="0"/>
            </a:rPr>
            <a:pPr algn="ctr"/>
            <a:t>PRESCRIPTIVE MEASURES INPUT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xdr:col>
      <xdr:colOff>0</xdr:colOff>
      <xdr:row>4</xdr:row>
      <xdr:rowOff>1</xdr:rowOff>
    </xdr:from>
    <xdr:to>
      <xdr:col>44</xdr:col>
      <xdr:colOff>13806</xdr:colOff>
      <xdr:row>7</xdr:row>
      <xdr:rowOff>0</xdr:rowOff>
    </xdr:to>
    <xdr:sp macro="" textlink="">
      <xdr:nvSpPr>
        <xdr:cNvPr id="10" name="TOPRIBBON">
          <a:extLst>
            <a:ext uri="{FF2B5EF4-FFF2-40B4-BE49-F238E27FC236}">
              <a16:creationId xmlns:a16="http://schemas.microsoft.com/office/drawing/2014/main" id="{00000000-0008-0000-1300-00000A000000}"/>
            </a:ext>
          </a:extLst>
        </xdr:cNvPr>
        <xdr:cNvSpPr/>
      </xdr:nvSpPr>
      <xdr:spPr>
        <a:xfrm>
          <a:off x="313765" y="806825"/>
          <a:ext cx="13505688" cy="605116"/>
        </a:xfrm>
        <a:prstGeom prst="round2SameRect">
          <a:avLst/>
        </a:prstGeom>
        <a:solidFill>
          <a:srgbClr val="A6A5A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p>
      </xdr:txBody>
    </xdr:sp>
    <xdr:clientData/>
  </xdr:twoCellAnchor>
  <xdr:twoCellAnchor>
    <xdr:from>
      <xdr:col>2</xdr:col>
      <xdr:colOff>2720</xdr:colOff>
      <xdr:row>5</xdr:row>
      <xdr:rowOff>0</xdr:rowOff>
    </xdr:from>
    <xdr:to>
      <xdr:col>6</xdr:col>
      <xdr:colOff>119261</xdr:colOff>
      <xdr:row>6</xdr:row>
      <xdr:rowOff>197827</xdr:rowOff>
    </xdr:to>
    <xdr:sp macro="" textlink="M3S1">
      <xdr:nvSpPr>
        <xdr:cNvPr id="11" name="SUBMENU1">
          <a:hlinkClick xmlns:r="http://schemas.openxmlformats.org/officeDocument/2006/relationships" r:id="rId1" tooltip=" "/>
          <a:extLst>
            <a:ext uri="{FF2B5EF4-FFF2-40B4-BE49-F238E27FC236}">
              <a16:creationId xmlns:a16="http://schemas.microsoft.com/office/drawing/2014/main" id="{00000000-0008-0000-1300-00000B000000}"/>
            </a:ext>
          </a:extLst>
        </xdr:cNvPr>
        <xdr:cNvSpPr/>
      </xdr:nvSpPr>
      <xdr:spPr>
        <a:xfrm>
          <a:off x="630249" y="1008529"/>
          <a:ext cx="1371600" cy="399533"/>
        </a:xfrm>
        <a:prstGeom prst="round2SameRect">
          <a:avLst/>
        </a:prstGeom>
        <a:solidFill>
          <a:srgbClr val="1A9DD8"/>
        </a:solidFill>
        <a:ln w="12700">
          <a:solidFill>
            <a:srgbClr val="1A9DD8"/>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ADF56A7A-CB83-4152-B95A-120E0363F7FB}" type="TxLink">
            <a:rPr lang="en-US" sz="1100" b="0" i="0" u="none" strike="noStrike">
              <a:solidFill>
                <a:srgbClr val="FFFFFF"/>
              </a:solidFill>
              <a:latin typeface="Arial" panose="020B0604020202020204" pitchFamily="34" charset="0"/>
              <a:cs typeface="Arial" panose="020B0604020202020204" pitchFamily="34" charset="0"/>
            </a:rPr>
            <a:pPr algn="ctr"/>
            <a:t>Lighting</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6</xdr:col>
      <xdr:colOff>137020</xdr:colOff>
      <xdr:row>5</xdr:row>
      <xdr:rowOff>680</xdr:rowOff>
    </xdr:from>
    <xdr:to>
      <xdr:col>10</xdr:col>
      <xdr:colOff>253561</xdr:colOff>
      <xdr:row>7</xdr:row>
      <xdr:rowOff>0</xdr:rowOff>
    </xdr:to>
    <xdr:sp macro="" textlink="M3S2">
      <xdr:nvSpPr>
        <xdr:cNvPr id="12" name="SUBMENU2">
          <a:hlinkClick xmlns:r="http://schemas.openxmlformats.org/officeDocument/2006/relationships" r:id="rId2" tooltip=" "/>
          <a:extLst>
            <a:ext uri="{FF2B5EF4-FFF2-40B4-BE49-F238E27FC236}">
              <a16:creationId xmlns:a16="http://schemas.microsoft.com/office/drawing/2014/main" id="{00000000-0008-0000-1300-00000C000000}"/>
            </a:ext>
          </a:extLst>
        </xdr:cNvPr>
        <xdr:cNvSpPr/>
      </xdr:nvSpPr>
      <xdr:spPr>
        <a:xfrm>
          <a:off x="2019608" y="1009209"/>
          <a:ext cx="1371600" cy="402732"/>
        </a:xfrm>
        <a:prstGeom prst="round2SameRect">
          <a:avLst/>
        </a:prstGeom>
        <a:solidFill>
          <a:srgbClr val="1A9DD8"/>
        </a:solidFill>
        <a:ln w="12700">
          <a:solidFill>
            <a:srgbClr val="1A9DD8"/>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3F4CA6B-01F3-44D0-A0E3-D0AA753206B2}" type="TxLink">
            <a:rPr lang="en-US" sz="1100" b="0" i="0" u="none" strike="noStrike">
              <a:solidFill>
                <a:srgbClr val="FFFFFF"/>
              </a:solidFill>
              <a:latin typeface="Arial" panose="020B0604020202020204" pitchFamily="34" charset="0"/>
              <a:cs typeface="Arial" panose="020B0604020202020204" pitchFamily="34" charset="0"/>
            </a:rPr>
            <a:pPr algn="ctr"/>
            <a:t>Lighting Controls</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15</xdr:col>
      <xdr:colOff>103398</xdr:colOff>
      <xdr:row>5</xdr:row>
      <xdr:rowOff>680</xdr:rowOff>
    </xdr:from>
    <xdr:to>
      <xdr:col>19</xdr:col>
      <xdr:colOff>219940</xdr:colOff>
      <xdr:row>7</xdr:row>
      <xdr:rowOff>0</xdr:rowOff>
    </xdr:to>
    <xdr:sp macro="" textlink="M3S4">
      <xdr:nvSpPr>
        <xdr:cNvPr id="14" name="SUBMENU4">
          <a:hlinkClick xmlns:r="http://schemas.openxmlformats.org/officeDocument/2006/relationships" r:id="rId3" tooltip=" "/>
          <a:extLst>
            <a:ext uri="{FF2B5EF4-FFF2-40B4-BE49-F238E27FC236}">
              <a16:creationId xmlns:a16="http://schemas.microsoft.com/office/drawing/2014/main" id="{00000000-0008-0000-1300-00000E000000}"/>
            </a:ext>
          </a:extLst>
        </xdr:cNvPr>
        <xdr:cNvSpPr/>
      </xdr:nvSpPr>
      <xdr:spPr>
        <a:xfrm>
          <a:off x="4809869" y="1009209"/>
          <a:ext cx="1371600" cy="402732"/>
        </a:xfrm>
        <a:prstGeom prst="round2SameRect">
          <a:avLst/>
        </a:prstGeom>
        <a:solidFill>
          <a:srgbClr val="1A9DD8"/>
        </a:solidFill>
        <a:ln w="12700">
          <a:solidFill>
            <a:srgbClr val="1A9DD8"/>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EC4D1991-C1D9-486E-95EB-30A9469B742C}" type="TxLink">
            <a:rPr lang="en-US" sz="1100" b="0" i="0" u="none" strike="noStrike">
              <a:solidFill>
                <a:srgbClr val="FFFFFF"/>
              </a:solidFill>
              <a:latin typeface="Arial" panose="020B0604020202020204" pitchFamily="34" charset="0"/>
              <a:cs typeface="Arial" panose="020B0604020202020204" pitchFamily="34" charset="0"/>
            </a:rPr>
            <a:pPr algn="ctr"/>
            <a:t>Refrigeration</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19</xdr:col>
      <xdr:colOff>237871</xdr:colOff>
      <xdr:row>5</xdr:row>
      <xdr:rowOff>680</xdr:rowOff>
    </xdr:from>
    <xdr:to>
      <xdr:col>24</xdr:col>
      <xdr:colOff>40647</xdr:colOff>
      <xdr:row>7</xdr:row>
      <xdr:rowOff>0</xdr:rowOff>
    </xdr:to>
    <xdr:sp macro="" textlink="M3S5">
      <xdr:nvSpPr>
        <xdr:cNvPr id="15" name="SUBMENU5">
          <a:hlinkClick xmlns:r="http://schemas.openxmlformats.org/officeDocument/2006/relationships" r:id="rId4" tooltip=" "/>
          <a:extLst>
            <a:ext uri="{FF2B5EF4-FFF2-40B4-BE49-F238E27FC236}">
              <a16:creationId xmlns:a16="http://schemas.microsoft.com/office/drawing/2014/main" id="{00000000-0008-0000-1300-00000F000000}"/>
            </a:ext>
          </a:extLst>
        </xdr:cNvPr>
        <xdr:cNvSpPr/>
      </xdr:nvSpPr>
      <xdr:spPr>
        <a:xfrm>
          <a:off x="6199400" y="1009209"/>
          <a:ext cx="1371600" cy="402732"/>
        </a:xfrm>
        <a:prstGeom prst="round2SameRect">
          <a:avLst/>
        </a:prstGeom>
        <a:solidFill>
          <a:srgbClr val="1A9DD8"/>
        </a:solidFill>
        <a:ln w="12700">
          <a:solidFill>
            <a:srgbClr val="1A9DD8"/>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52BFCEF9-4B05-45FB-B7B3-9621E37C07CC}" type="TxLink">
            <a:rPr lang="en-US" sz="1100" b="0" i="0" u="none" strike="noStrike">
              <a:solidFill>
                <a:srgbClr val="FFFFFF"/>
              </a:solidFill>
              <a:latin typeface="Arial" panose="020B0604020202020204" pitchFamily="34" charset="0"/>
              <a:cs typeface="Arial" panose="020B0604020202020204" pitchFamily="34" charset="0"/>
            </a:rPr>
            <a:pPr algn="ctr"/>
            <a:t>Commercial Cooking (Elec/Gas)</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24</xdr:col>
      <xdr:colOff>67233</xdr:colOff>
      <xdr:row>5</xdr:row>
      <xdr:rowOff>11206</xdr:rowOff>
    </xdr:from>
    <xdr:to>
      <xdr:col>28</xdr:col>
      <xdr:colOff>183774</xdr:colOff>
      <xdr:row>7</xdr:row>
      <xdr:rowOff>12206</xdr:rowOff>
    </xdr:to>
    <xdr:sp macro="" textlink="M3S8">
      <xdr:nvSpPr>
        <xdr:cNvPr id="23" name="SUBMENU5">
          <a:hlinkClick xmlns:r="http://schemas.openxmlformats.org/officeDocument/2006/relationships" r:id="rId5" tooltip=" "/>
          <a:extLst>
            <a:ext uri="{FF2B5EF4-FFF2-40B4-BE49-F238E27FC236}">
              <a16:creationId xmlns:a16="http://schemas.microsoft.com/office/drawing/2014/main" id="{00000000-0008-0000-1300-000017000000}"/>
            </a:ext>
          </a:extLst>
        </xdr:cNvPr>
        <xdr:cNvSpPr/>
      </xdr:nvSpPr>
      <xdr:spPr>
        <a:xfrm>
          <a:off x="7597586" y="1019735"/>
          <a:ext cx="1371600" cy="404412"/>
        </a:xfrm>
        <a:prstGeom prst="round2SameRect">
          <a:avLst/>
        </a:prstGeom>
        <a:solidFill>
          <a:srgbClr val="1A9DD8"/>
        </a:solidFill>
        <a:ln w="28575">
          <a:solidFill>
            <a:srgbClr val="1A9DD8"/>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marL="0" indent="0" algn="ctr"/>
          <a:fld id="{BA865B98-DE37-4668-AF99-996484229397}" type="TxLink">
            <a:rPr lang="en-US" sz="1100" b="0" i="0" u="none" strike="noStrike">
              <a:solidFill>
                <a:srgbClr val="FFFFFF"/>
              </a:solidFill>
              <a:latin typeface="Arial" panose="020B0604020202020204" pitchFamily="34" charset="0"/>
              <a:ea typeface="+mn-ea"/>
              <a:cs typeface="Arial" panose="020B0604020202020204" pitchFamily="34" charset="0"/>
            </a:rPr>
            <a:pPr marL="0" indent="0" algn="ctr"/>
            <a:t>Misc / Compressed Air / VFDs</a:t>
          </a:fld>
          <a:endParaRPr lang="en-US" sz="1100" b="0" i="0" u="none" strike="noStrike">
            <a:solidFill>
              <a:srgbClr val="FFFFFF"/>
            </a:solidFill>
            <a:latin typeface="Arial" panose="020B0604020202020204" pitchFamily="34" charset="0"/>
            <a:ea typeface="+mn-ea"/>
            <a:cs typeface="Arial" panose="020B0604020202020204" pitchFamily="34" charset="0"/>
          </a:endParaRPr>
        </a:p>
      </xdr:txBody>
    </xdr:sp>
    <xdr:clientData/>
  </xdr:twoCellAnchor>
  <xdr:twoCellAnchor>
    <xdr:from>
      <xdr:col>28</xdr:col>
      <xdr:colOff>201705</xdr:colOff>
      <xdr:row>5</xdr:row>
      <xdr:rowOff>1</xdr:rowOff>
    </xdr:from>
    <xdr:to>
      <xdr:col>33</xdr:col>
      <xdr:colOff>4482</xdr:colOff>
      <xdr:row>6</xdr:row>
      <xdr:rowOff>201027</xdr:rowOff>
    </xdr:to>
    <xdr:sp macro="" textlink="M3S9">
      <xdr:nvSpPr>
        <xdr:cNvPr id="25" name="SUBMENU5">
          <a:hlinkClick xmlns:r="http://schemas.openxmlformats.org/officeDocument/2006/relationships" r:id="rId6" tooltip=" "/>
          <a:extLst>
            <a:ext uri="{FF2B5EF4-FFF2-40B4-BE49-F238E27FC236}">
              <a16:creationId xmlns:a16="http://schemas.microsoft.com/office/drawing/2014/main" id="{00000000-0008-0000-1300-000019000000}"/>
            </a:ext>
          </a:extLst>
        </xdr:cNvPr>
        <xdr:cNvSpPr/>
      </xdr:nvSpPr>
      <xdr:spPr>
        <a:xfrm>
          <a:off x="8987117" y="1008530"/>
          <a:ext cx="1371600" cy="402732"/>
        </a:xfrm>
        <a:prstGeom prst="round2SameRect">
          <a:avLst/>
        </a:prstGeom>
        <a:solidFill>
          <a:srgbClr val="1A9DD8"/>
        </a:solidFill>
        <a:ln w="12700">
          <a:solidFill>
            <a:srgbClr val="1A9DD8"/>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marL="0" indent="0" algn="ctr"/>
          <a:fld id="{FDE417D9-BB8B-470F-AFD8-9914571AC487}" type="TxLink">
            <a:rPr lang="en-US" sz="1100" b="0" i="0" u="none" strike="noStrike">
              <a:solidFill>
                <a:schemeClr val="bg1"/>
              </a:solidFill>
              <a:latin typeface="Arial" panose="020B0604020202020204" pitchFamily="34" charset="0"/>
              <a:ea typeface="+mn-ea"/>
              <a:cs typeface="Arial" panose="020B0604020202020204" pitchFamily="34" charset="0"/>
            </a:rPr>
            <a:pPr marL="0" indent="0" algn="ctr"/>
            <a:t>Agriculture (Elec/Gas)</a:t>
          </a:fld>
          <a:endParaRPr lang="en-US" sz="1100" b="0" i="0" u="none" strike="noStrike">
            <a:solidFill>
              <a:schemeClr val="bg1"/>
            </a:solidFill>
            <a:latin typeface="Arial" panose="020B0604020202020204" pitchFamily="34" charset="0"/>
            <a:ea typeface="+mn-ea"/>
            <a:cs typeface="Arial" panose="020B0604020202020204" pitchFamily="34" charset="0"/>
          </a:endParaRPr>
        </a:p>
      </xdr:txBody>
    </xdr:sp>
    <xdr:clientData/>
  </xdr:twoCellAnchor>
  <xdr:twoCellAnchor>
    <xdr:from>
      <xdr:col>33</xdr:col>
      <xdr:colOff>11208</xdr:colOff>
      <xdr:row>5</xdr:row>
      <xdr:rowOff>680</xdr:rowOff>
    </xdr:from>
    <xdr:to>
      <xdr:col>36</xdr:col>
      <xdr:colOff>313498</xdr:colOff>
      <xdr:row>7</xdr:row>
      <xdr:rowOff>0</xdr:rowOff>
    </xdr:to>
    <xdr:sp macro="" textlink="M3S6">
      <xdr:nvSpPr>
        <xdr:cNvPr id="16" name="SUBMENU6">
          <a:hlinkClick xmlns:r="http://schemas.openxmlformats.org/officeDocument/2006/relationships" r:id="rId7" tooltip=" "/>
          <a:extLst>
            <a:ext uri="{FF2B5EF4-FFF2-40B4-BE49-F238E27FC236}">
              <a16:creationId xmlns:a16="http://schemas.microsoft.com/office/drawing/2014/main" id="{00000000-0008-0000-1300-000010000000}"/>
            </a:ext>
          </a:extLst>
        </xdr:cNvPr>
        <xdr:cNvSpPr/>
      </xdr:nvSpPr>
      <xdr:spPr>
        <a:xfrm>
          <a:off x="10365443" y="1009209"/>
          <a:ext cx="1243584" cy="402732"/>
        </a:xfrm>
        <a:prstGeom prst="round2SameRect">
          <a:avLst/>
        </a:prstGeom>
        <a:solidFill>
          <a:srgbClr val="54BCEB"/>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30A5A5F-CF4B-4F90-A7E3-B223777D7BE2}" type="TxLink">
            <a:rPr lang="en-US" sz="1100" b="0" i="0" u="none" strike="noStrike">
              <a:solidFill>
                <a:srgbClr val="FFFFFF"/>
              </a:solidFill>
              <a:latin typeface="Arial" panose="020B0604020202020204" pitchFamily="34" charset="0"/>
              <a:cs typeface="Arial" panose="020B0604020202020204" pitchFamily="34" charset="0"/>
            </a:rPr>
            <a:pPr algn="ctr"/>
            <a:t>HVAC 
(Gas)</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37</xdr:col>
      <xdr:colOff>14070</xdr:colOff>
      <xdr:row>5</xdr:row>
      <xdr:rowOff>680</xdr:rowOff>
    </xdr:from>
    <xdr:to>
      <xdr:col>41</xdr:col>
      <xdr:colOff>2595</xdr:colOff>
      <xdr:row>7</xdr:row>
      <xdr:rowOff>0</xdr:rowOff>
    </xdr:to>
    <xdr:sp macro="" textlink="M3S7">
      <xdr:nvSpPr>
        <xdr:cNvPr id="17" name="SUBMENU7">
          <a:hlinkClick xmlns:r="http://schemas.openxmlformats.org/officeDocument/2006/relationships" r:id="rId8" tooltip=" "/>
          <a:extLst>
            <a:ext uri="{FF2B5EF4-FFF2-40B4-BE49-F238E27FC236}">
              <a16:creationId xmlns:a16="http://schemas.microsoft.com/office/drawing/2014/main" id="{00000000-0008-0000-1300-000011000000}"/>
            </a:ext>
          </a:extLst>
        </xdr:cNvPr>
        <xdr:cNvSpPr/>
      </xdr:nvSpPr>
      <xdr:spPr>
        <a:xfrm>
          <a:off x="11623364" y="1009209"/>
          <a:ext cx="1243584" cy="402732"/>
        </a:xfrm>
        <a:prstGeom prst="round2SameRect">
          <a:avLst/>
        </a:prstGeom>
        <a:solidFill>
          <a:srgbClr val="54BCEB"/>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DBE1B27F-5FE8-4BDD-82FC-95C3FF9A200E}" type="TxLink">
            <a:rPr lang="en-US" sz="1100" b="0" i="0" u="none" strike="noStrike">
              <a:solidFill>
                <a:srgbClr val="FFFFFF"/>
              </a:solidFill>
              <a:latin typeface="Arial" panose="020B0604020202020204" pitchFamily="34" charset="0"/>
              <a:cs typeface="Arial" panose="020B0604020202020204" pitchFamily="34" charset="0"/>
            </a:rPr>
            <a:pPr algn="ctr"/>
            <a:t>Water Heating / Others (Gas)</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editAs="absolute">
    <xdr:from>
      <xdr:col>41</xdr:col>
      <xdr:colOff>0</xdr:colOff>
      <xdr:row>9</xdr:row>
      <xdr:rowOff>1047</xdr:rowOff>
    </xdr:from>
    <xdr:to>
      <xdr:col>42</xdr:col>
      <xdr:colOff>313195</xdr:colOff>
      <xdr:row>11</xdr:row>
      <xdr:rowOff>1046</xdr:rowOff>
    </xdr:to>
    <xdr:sp macro="" textlink="">
      <xdr:nvSpPr>
        <xdr:cNvPr id="2" name="NEXT">
          <a:hlinkClick xmlns:r="http://schemas.openxmlformats.org/officeDocument/2006/relationships" r:id="rId9" tooltip=" "/>
          <a:extLst>
            <a:ext uri="{FF2B5EF4-FFF2-40B4-BE49-F238E27FC236}">
              <a16:creationId xmlns:a16="http://schemas.microsoft.com/office/drawing/2014/main" id="{00000000-0008-0000-1300-000002000000}"/>
            </a:ext>
          </a:extLst>
        </xdr:cNvPr>
        <xdr:cNvSpPr>
          <a:spLocks noChangeAspect="1"/>
        </xdr:cNvSpPr>
      </xdr:nvSpPr>
      <xdr:spPr>
        <a:xfrm>
          <a:off x="12887325" y="1801272"/>
          <a:ext cx="627520" cy="400049"/>
        </a:xfrm>
        <a:prstGeom prst="rightArrow">
          <a:avLst/>
        </a:prstGeom>
        <a:solidFill>
          <a:srgbClr val="54BCEB"/>
        </a:solidFill>
        <a:ln>
          <a:solidFill>
            <a:srgbClr val="54BCEB"/>
          </a:solidFill>
        </a:ln>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7</xdr:col>
      <xdr:colOff>457</xdr:colOff>
      <xdr:row>1</xdr:row>
      <xdr:rowOff>0</xdr:rowOff>
    </xdr:from>
    <xdr:to>
      <xdr:col>12</xdr:col>
      <xdr:colOff>0</xdr:colOff>
      <xdr:row>4</xdr:row>
      <xdr:rowOff>0</xdr:rowOff>
    </xdr:to>
    <xdr:sp macro="" textlink="MAIN1">
      <xdr:nvSpPr>
        <xdr:cNvPr id="3" name="MENU1">
          <a:hlinkClick xmlns:r="http://schemas.openxmlformats.org/officeDocument/2006/relationships" r:id="rId10" tooltip=" "/>
          <a:extLst>
            <a:ext uri="{FF2B5EF4-FFF2-40B4-BE49-F238E27FC236}">
              <a16:creationId xmlns:a16="http://schemas.microsoft.com/office/drawing/2014/main" id="{00000000-0008-0000-1300-000003000000}"/>
            </a:ext>
          </a:extLst>
        </xdr:cNvPr>
        <xdr:cNvSpPr/>
      </xdr:nvSpPr>
      <xdr:spPr>
        <a:xfrm>
          <a:off x="2200732" y="200025"/>
          <a:ext cx="1571168" cy="600075"/>
        </a:xfrm>
        <a:prstGeom prst="round2SameRect">
          <a:avLst/>
        </a:prstGeom>
        <a:solidFill>
          <a:srgbClr val="00334E"/>
        </a:solidFill>
        <a:ln w="12700">
          <a:solidFill>
            <a:srgbClr val="00334E"/>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D6F2F067-2676-4601-ABCE-75BD5137E3D5}" type="TxLink">
            <a:rPr lang="en-US" sz="1100" b="0" i="0" u="none" strike="noStrike">
              <a:solidFill>
                <a:schemeClr val="bg1"/>
              </a:solidFill>
              <a:latin typeface="Arial" panose="020B0604020202020204" pitchFamily="34" charset="0"/>
              <a:cs typeface="Arial" panose="020B0604020202020204" pitchFamily="34" charset="0"/>
            </a:rPr>
            <a:pPr algn="ctr"/>
            <a:t>START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12</xdr:col>
      <xdr:colOff>0</xdr:colOff>
      <xdr:row>1</xdr:row>
      <xdr:rowOff>0</xdr:rowOff>
    </xdr:from>
    <xdr:to>
      <xdr:col>17</xdr:col>
      <xdr:colOff>0</xdr:colOff>
      <xdr:row>4</xdr:row>
      <xdr:rowOff>0</xdr:rowOff>
    </xdr:to>
    <xdr:sp macro="" textlink="MAIN2">
      <xdr:nvSpPr>
        <xdr:cNvPr id="4" name="MENU2">
          <a:hlinkClick xmlns:r="http://schemas.openxmlformats.org/officeDocument/2006/relationships" r:id="rId11" tooltip=" "/>
          <a:extLst>
            <a:ext uri="{FF2B5EF4-FFF2-40B4-BE49-F238E27FC236}">
              <a16:creationId xmlns:a16="http://schemas.microsoft.com/office/drawing/2014/main" id="{00000000-0008-0000-1300-000004000000}"/>
            </a:ext>
          </a:extLst>
        </xdr:cNvPr>
        <xdr:cNvSpPr/>
      </xdr:nvSpPr>
      <xdr:spPr>
        <a:xfrm>
          <a:off x="3771900" y="200025"/>
          <a:ext cx="1571625" cy="600075"/>
        </a:xfrm>
        <a:prstGeom prst="round2SameRect">
          <a:avLst/>
        </a:prstGeom>
        <a:solidFill>
          <a:srgbClr val="00334E"/>
        </a:solidFill>
        <a:ln w="12700">
          <a:solidFill>
            <a:srgbClr val="00334E"/>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59A035B9-F1D2-4E89-B262-AF2DF0C338A9}" type="TxLink">
            <a:rPr lang="en-US" sz="1100" b="0" i="0" u="none" strike="noStrike">
              <a:solidFill>
                <a:schemeClr val="bg1"/>
              </a:solidFill>
              <a:latin typeface="Arial" panose="020B0604020202020204" pitchFamily="34" charset="0"/>
              <a:cs typeface="Arial" panose="020B0604020202020204" pitchFamily="34" charset="0"/>
            </a:rPr>
            <a:pPr algn="ctr"/>
            <a:t>PROJECT INFORMATION</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22</xdr:col>
      <xdr:colOff>0</xdr:colOff>
      <xdr:row>1</xdr:row>
      <xdr:rowOff>0</xdr:rowOff>
    </xdr:from>
    <xdr:to>
      <xdr:col>27</xdr:col>
      <xdr:colOff>0</xdr:colOff>
      <xdr:row>4</xdr:row>
      <xdr:rowOff>0</xdr:rowOff>
    </xdr:to>
    <xdr:sp macro="" textlink="MAIN4">
      <xdr:nvSpPr>
        <xdr:cNvPr id="6" name="MENU4">
          <a:hlinkClick xmlns:r="http://schemas.openxmlformats.org/officeDocument/2006/relationships" r:id="rId12" tooltip=" "/>
          <a:extLst>
            <a:ext uri="{FF2B5EF4-FFF2-40B4-BE49-F238E27FC236}">
              <a16:creationId xmlns:a16="http://schemas.microsoft.com/office/drawing/2014/main" id="{00000000-0008-0000-1300-000006000000}"/>
            </a:ext>
          </a:extLst>
        </xdr:cNvPr>
        <xdr:cNvSpPr/>
      </xdr:nvSpPr>
      <xdr:spPr>
        <a:xfrm>
          <a:off x="6915150" y="200025"/>
          <a:ext cx="1571625" cy="600075"/>
        </a:xfrm>
        <a:prstGeom prst="round2SameRect">
          <a:avLst/>
        </a:prstGeom>
        <a:solidFill>
          <a:srgbClr val="00334E"/>
        </a:solidFill>
        <a:ln w="12700">
          <a:solidFill>
            <a:srgbClr val="00334E"/>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CB369157-CA5B-4E40-B1DE-604993B819B3}" type="TxLink">
            <a:rPr lang="en-US" sz="1100" b="0" i="0" u="none" strike="noStrike">
              <a:solidFill>
                <a:schemeClr val="bg1"/>
              </a:solidFill>
              <a:latin typeface="Arial" panose="020B0604020202020204" pitchFamily="34" charset="0"/>
              <a:cs typeface="Arial" panose="020B0604020202020204" pitchFamily="34" charset="0"/>
            </a:rPr>
            <a:pPr algn="ctr"/>
            <a:t>CUSTOM MEASURES INPUT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27</xdr:col>
      <xdr:colOff>0</xdr:colOff>
      <xdr:row>1</xdr:row>
      <xdr:rowOff>0</xdr:rowOff>
    </xdr:from>
    <xdr:to>
      <xdr:col>32</xdr:col>
      <xdr:colOff>0</xdr:colOff>
      <xdr:row>4</xdr:row>
      <xdr:rowOff>0</xdr:rowOff>
    </xdr:to>
    <xdr:sp macro="" textlink="MAIN5">
      <xdr:nvSpPr>
        <xdr:cNvPr id="7" name="MENU5">
          <a:hlinkClick xmlns:r="http://schemas.openxmlformats.org/officeDocument/2006/relationships" r:id="rId13" tooltip=" "/>
          <a:extLst>
            <a:ext uri="{FF2B5EF4-FFF2-40B4-BE49-F238E27FC236}">
              <a16:creationId xmlns:a16="http://schemas.microsoft.com/office/drawing/2014/main" id="{00000000-0008-0000-1300-000007000000}"/>
            </a:ext>
          </a:extLst>
        </xdr:cNvPr>
        <xdr:cNvSpPr/>
      </xdr:nvSpPr>
      <xdr:spPr>
        <a:xfrm>
          <a:off x="8486775" y="200025"/>
          <a:ext cx="1571625" cy="600075"/>
        </a:xfrm>
        <a:prstGeom prst="round2SameRect">
          <a:avLst/>
        </a:prstGeom>
        <a:solidFill>
          <a:srgbClr val="00334E"/>
        </a:solidFill>
        <a:ln w="12700">
          <a:solidFill>
            <a:srgbClr val="00334E"/>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F0EEDDA6-4934-49B4-972D-20D21D440D82}" type="TxLink">
            <a:rPr lang="en-US" sz="1100" b="0" i="0" u="none" strike="noStrike">
              <a:solidFill>
                <a:schemeClr val="bg1"/>
              </a:solidFill>
              <a:latin typeface="Arial" panose="020B0604020202020204" pitchFamily="34" charset="0"/>
              <a:cs typeface="Arial" panose="020B0604020202020204" pitchFamily="34" charset="0"/>
            </a:rPr>
            <a:pPr algn="ctr"/>
            <a:t>APPLICATION REVIEW</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32</xdr:col>
      <xdr:colOff>0</xdr:colOff>
      <xdr:row>1</xdr:row>
      <xdr:rowOff>0</xdr:rowOff>
    </xdr:from>
    <xdr:to>
      <xdr:col>37</xdr:col>
      <xdr:colOff>1</xdr:colOff>
      <xdr:row>4</xdr:row>
      <xdr:rowOff>0</xdr:rowOff>
    </xdr:to>
    <xdr:sp macro="" textlink="MAIN6">
      <xdr:nvSpPr>
        <xdr:cNvPr id="8" name="MENU6">
          <a:extLst>
            <a:ext uri="{FF2B5EF4-FFF2-40B4-BE49-F238E27FC236}">
              <a16:creationId xmlns:a16="http://schemas.microsoft.com/office/drawing/2014/main" id="{00000000-0008-0000-1300-000008000000}"/>
            </a:ext>
          </a:extLst>
        </xdr:cNvPr>
        <xdr:cNvSpPr/>
      </xdr:nvSpPr>
      <xdr:spPr>
        <a:xfrm>
          <a:off x="10058400" y="200025"/>
          <a:ext cx="1571626"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00B050"/>
              </a:solidFill>
            </a14:hiddenFill>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B12A3774-975E-4B41-A681-E085295C6D0E}" type="TxLink">
            <a:rPr lang="en-US" sz="1100" b="0" i="0" u="none" strike="noStrike">
              <a:noFill/>
              <a:latin typeface="Arial" panose="020B0604020202020204" pitchFamily="34" charset="0"/>
              <a:cs typeface="Arial" panose="020B0604020202020204" pitchFamily="34" charset="0"/>
            </a:rPr>
            <a:pPr algn="ctr"/>
            <a:t> </a:t>
          </a:fld>
          <a:endParaRPr lang="en-US" sz="1100">
            <a:noFill/>
            <a:latin typeface="Arial" panose="020B0604020202020204" pitchFamily="34" charset="0"/>
            <a:cs typeface="Arial" panose="020B0604020202020204" pitchFamily="34" charset="0"/>
          </a:endParaRPr>
        </a:p>
      </xdr:txBody>
    </xdr:sp>
    <xdr:clientData/>
  </xdr:twoCellAnchor>
  <xdr:twoCellAnchor>
    <xdr:from>
      <xdr:col>36</xdr:col>
      <xdr:colOff>314324</xdr:colOff>
      <xdr:row>1</xdr:row>
      <xdr:rowOff>0</xdr:rowOff>
    </xdr:from>
    <xdr:to>
      <xdr:col>41</xdr:col>
      <xdr:colOff>314324</xdr:colOff>
      <xdr:row>4</xdr:row>
      <xdr:rowOff>0</xdr:rowOff>
    </xdr:to>
    <xdr:sp macro="" textlink="MAIN7">
      <xdr:nvSpPr>
        <xdr:cNvPr id="9" name="MENU7">
          <a:extLst>
            <a:ext uri="{FF2B5EF4-FFF2-40B4-BE49-F238E27FC236}">
              <a16:creationId xmlns:a16="http://schemas.microsoft.com/office/drawing/2014/main" id="{00000000-0008-0000-1300-000009000000}"/>
            </a:ext>
          </a:extLst>
        </xdr:cNvPr>
        <xdr:cNvSpPr/>
      </xdr:nvSpPr>
      <xdr:spPr>
        <a:xfrm>
          <a:off x="11630024" y="200025"/>
          <a:ext cx="1571625"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00B050"/>
              </a:solidFill>
            </a14:hiddenFill>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 </a:t>
          </a:fld>
          <a:endParaRPr lang="en-US" sz="1100">
            <a:noFill/>
            <a:latin typeface="Arial" panose="020B0604020202020204" pitchFamily="34" charset="0"/>
            <a:cs typeface="Arial" panose="020B0604020202020204" pitchFamily="34" charset="0"/>
          </a:endParaRPr>
        </a:p>
      </xdr:txBody>
    </xdr:sp>
    <xdr:clientData/>
  </xdr:twoCellAnchor>
  <xdr:twoCellAnchor>
    <xdr:from>
      <xdr:col>10</xdr:col>
      <xdr:colOff>282695</xdr:colOff>
      <xdr:row>5</xdr:row>
      <xdr:rowOff>51480</xdr:rowOff>
    </xdr:from>
    <xdr:to>
      <xdr:col>15</xdr:col>
      <xdr:colOff>85471</xdr:colOff>
      <xdr:row>7</xdr:row>
      <xdr:rowOff>50800</xdr:rowOff>
    </xdr:to>
    <xdr:sp macro="" textlink="M3S3">
      <xdr:nvSpPr>
        <xdr:cNvPr id="13" name="SUBMENU3">
          <a:hlinkClick xmlns:r="http://schemas.openxmlformats.org/officeDocument/2006/relationships" r:id="rId14" tooltip="HVAC (Electric)"/>
          <a:extLst>
            <a:ext uri="{FF2B5EF4-FFF2-40B4-BE49-F238E27FC236}">
              <a16:creationId xmlns:a16="http://schemas.microsoft.com/office/drawing/2014/main" id="{00000000-0008-0000-1300-00000D000000}"/>
            </a:ext>
          </a:extLst>
        </xdr:cNvPr>
        <xdr:cNvSpPr/>
      </xdr:nvSpPr>
      <xdr:spPr>
        <a:xfrm>
          <a:off x="3420342" y="1060009"/>
          <a:ext cx="1371600" cy="402732"/>
        </a:xfrm>
        <a:prstGeom prst="round2SameRect">
          <a:avLst/>
        </a:prstGeom>
        <a:solidFill>
          <a:srgbClr val="00334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E60A9FB0-D7E6-4ADD-8A44-C9B2BE21324A}" type="TxLink">
            <a:rPr lang="en-US" sz="1100" b="0" i="0" u="none" strike="noStrike">
              <a:solidFill>
                <a:srgbClr val="FFFFFF"/>
              </a:solidFill>
              <a:latin typeface="Arial" panose="020B0604020202020204" pitchFamily="34" charset="0"/>
              <a:cs typeface="Arial" panose="020B0604020202020204" pitchFamily="34" charset="0"/>
            </a:rPr>
            <a:pPr algn="ctr"/>
            <a:t>HVAC (Electric)</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1</xdr:col>
      <xdr:colOff>1</xdr:colOff>
      <xdr:row>7</xdr:row>
      <xdr:rowOff>200023</xdr:rowOff>
    </xdr:from>
    <xdr:to>
      <xdr:col>44</xdr:col>
      <xdr:colOff>1</xdr:colOff>
      <xdr:row>199</xdr:row>
      <xdr:rowOff>11206</xdr:rowOff>
    </xdr:to>
    <xdr:sp macro="" textlink="">
      <xdr:nvSpPr>
        <xdr:cNvPr id="19" name="BORDER">
          <a:extLst>
            <a:ext uri="{FF2B5EF4-FFF2-40B4-BE49-F238E27FC236}">
              <a16:creationId xmlns:a16="http://schemas.microsoft.com/office/drawing/2014/main" id="{00000000-0008-0000-1300-000013000000}"/>
            </a:ext>
          </a:extLst>
        </xdr:cNvPr>
        <xdr:cNvSpPr/>
      </xdr:nvSpPr>
      <xdr:spPr>
        <a:xfrm>
          <a:off x="313766" y="1611964"/>
          <a:ext cx="13491882" cy="5458948"/>
        </a:xfrm>
        <a:prstGeom prst="frame">
          <a:avLst>
            <a:gd name="adj1" fmla="val 0"/>
          </a:avLst>
        </a:prstGeom>
        <a:noFill/>
        <a:ln w="12700" cap="flat" cmpd="sng" algn="ctr">
          <a:solidFill>
            <a:srgbClr val="00334E"/>
          </a:solidFill>
          <a:prstDash val="solid"/>
          <a:miter lim="800000"/>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fPrintsWithSheet="0"/>
  </xdr:twoCellAnchor>
  <xdr:twoCellAnchor editAs="absolute">
    <xdr:from>
      <xdr:col>2</xdr:col>
      <xdr:colOff>2720</xdr:colOff>
      <xdr:row>9</xdr:row>
      <xdr:rowOff>1207</xdr:rowOff>
    </xdr:from>
    <xdr:to>
      <xdr:col>4</xdr:col>
      <xdr:colOff>960</xdr:colOff>
      <xdr:row>11</xdr:row>
      <xdr:rowOff>1207</xdr:rowOff>
    </xdr:to>
    <xdr:sp macro="" textlink="">
      <xdr:nvSpPr>
        <xdr:cNvPr id="20" name="BACK">
          <a:hlinkClick xmlns:r="http://schemas.openxmlformats.org/officeDocument/2006/relationships" r:id="rId15" tooltip=" "/>
          <a:extLst>
            <a:ext uri="{FF2B5EF4-FFF2-40B4-BE49-F238E27FC236}">
              <a16:creationId xmlns:a16="http://schemas.microsoft.com/office/drawing/2014/main" id="{00000000-0008-0000-1300-000014000000}"/>
            </a:ext>
          </a:extLst>
        </xdr:cNvPr>
        <xdr:cNvSpPr>
          <a:spLocks noChangeAspect="1"/>
        </xdr:cNvSpPr>
      </xdr:nvSpPr>
      <xdr:spPr>
        <a:xfrm>
          <a:off x="631370" y="1801432"/>
          <a:ext cx="626890" cy="400050"/>
        </a:xfrm>
        <a:prstGeom prst="leftArrow">
          <a:avLst/>
        </a:prstGeom>
        <a:solidFill>
          <a:srgbClr val="54BCEB"/>
        </a:solidFill>
        <a:ln>
          <a:solidFill>
            <a:srgbClr val="54BCEB"/>
          </a:solidFill>
        </a:ln>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editAs="oneCell">
    <xdr:from>
      <xdr:col>2</xdr:col>
      <xdr:colOff>102850</xdr:colOff>
      <xdr:row>0</xdr:row>
      <xdr:rowOff>156884</xdr:rowOff>
    </xdr:from>
    <xdr:to>
      <xdr:col>5</xdr:col>
      <xdr:colOff>30405</xdr:colOff>
      <xdr:row>2</xdr:row>
      <xdr:rowOff>195627</xdr:rowOff>
    </xdr:to>
    <xdr:pic>
      <xdr:nvPicPr>
        <xdr:cNvPr id="24" name="LOGO">
          <a:extLst>
            <a:ext uri="{FF2B5EF4-FFF2-40B4-BE49-F238E27FC236}">
              <a16:creationId xmlns:a16="http://schemas.microsoft.com/office/drawing/2014/main" id="{00000000-0008-0000-1300-000018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xdr:blipFill>
      <xdr:spPr>
        <a:xfrm>
          <a:off x="730379" y="156884"/>
          <a:ext cx="868850" cy="442155"/>
        </a:xfrm>
        <a:prstGeom prst="rect">
          <a:avLst/>
        </a:prstGeom>
      </xdr:spPr>
    </xdr:pic>
    <xdr:clientData/>
  </xdr:twoCellAnchor>
  <xdr:twoCellAnchor>
    <xdr:from>
      <xdr:col>1</xdr:col>
      <xdr:colOff>0</xdr:colOff>
      <xdr:row>7</xdr:row>
      <xdr:rowOff>0</xdr:rowOff>
    </xdr:from>
    <xdr:to>
      <xdr:col>44</xdr:col>
      <xdr:colOff>13806</xdr:colOff>
      <xdr:row>8</xdr:row>
      <xdr:rowOff>0</xdr:rowOff>
    </xdr:to>
    <xdr:sp macro="" textlink="">
      <xdr:nvSpPr>
        <xdr:cNvPr id="21" name="BOTTOMRIBBON">
          <a:extLst>
            <a:ext uri="{FF2B5EF4-FFF2-40B4-BE49-F238E27FC236}">
              <a16:creationId xmlns:a16="http://schemas.microsoft.com/office/drawing/2014/main" id="{00000000-0008-0000-1300-000015000000}"/>
            </a:ext>
          </a:extLst>
        </xdr:cNvPr>
        <xdr:cNvSpPr/>
      </xdr:nvSpPr>
      <xdr:spPr>
        <a:xfrm>
          <a:off x="313765" y="1411941"/>
          <a:ext cx="13505688" cy="201706"/>
        </a:xfrm>
        <a:prstGeom prst="rect">
          <a:avLst/>
        </a:prstGeom>
        <a:solidFill>
          <a:srgbClr val="00334E"/>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solidFill>
              <a:srgbClr val="FFFFFF"/>
            </a:solidFill>
          </a:endParaRP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17</xdr:col>
      <xdr:colOff>0</xdr:colOff>
      <xdr:row>1</xdr:row>
      <xdr:rowOff>133350</xdr:rowOff>
    </xdr:from>
    <xdr:to>
      <xdr:col>22</xdr:col>
      <xdr:colOff>0</xdr:colOff>
      <xdr:row>4</xdr:row>
      <xdr:rowOff>133350</xdr:rowOff>
    </xdr:to>
    <xdr:sp macro="" textlink="MAIN3">
      <xdr:nvSpPr>
        <xdr:cNvPr id="5" name="MENU3">
          <a:hlinkClick xmlns:r="http://schemas.openxmlformats.org/officeDocument/2006/relationships" r:id="rId1" tooltip=" "/>
          <a:extLst>
            <a:ext uri="{FF2B5EF4-FFF2-40B4-BE49-F238E27FC236}">
              <a16:creationId xmlns:a16="http://schemas.microsoft.com/office/drawing/2014/main" id="{00000000-0008-0000-1400-000005000000}"/>
            </a:ext>
          </a:extLst>
        </xdr:cNvPr>
        <xdr:cNvSpPr/>
      </xdr:nvSpPr>
      <xdr:spPr>
        <a:xfrm>
          <a:off x="5343525" y="333375"/>
          <a:ext cx="1571625" cy="600075"/>
        </a:xfrm>
        <a:prstGeom prst="round2SameRect">
          <a:avLst/>
        </a:prstGeom>
        <a:solidFill>
          <a:srgbClr val="A6A5AA"/>
        </a:solidFill>
        <a:ln w="12700">
          <a:solidFill>
            <a:srgbClr val="A6A5AA"/>
          </a:solidFill>
        </a:ln>
        <a:effectLst>
          <a:outerShdw blurRad="25400" dist="508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06A037F-AE33-47CC-85C1-F6D62694F95D}" type="TxLink">
            <a:rPr lang="en-US" sz="1100" b="0" i="0" u="none" strike="noStrike">
              <a:solidFill>
                <a:schemeClr val="bg1"/>
              </a:solidFill>
              <a:latin typeface="Arial" panose="020B0604020202020204" pitchFamily="34" charset="0"/>
              <a:cs typeface="Arial" panose="020B0604020202020204" pitchFamily="34" charset="0"/>
            </a:rPr>
            <a:pPr algn="ctr"/>
            <a:t>PRESCRIPTIVE MEASURES INPUT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xdr:col>
      <xdr:colOff>0</xdr:colOff>
      <xdr:row>4</xdr:row>
      <xdr:rowOff>1</xdr:rowOff>
    </xdr:from>
    <xdr:to>
      <xdr:col>44</xdr:col>
      <xdr:colOff>13806</xdr:colOff>
      <xdr:row>7</xdr:row>
      <xdr:rowOff>0</xdr:rowOff>
    </xdr:to>
    <xdr:sp macro="" textlink="">
      <xdr:nvSpPr>
        <xdr:cNvPr id="10" name="TOPRIBBON">
          <a:extLst>
            <a:ext uri="{FF2B5EF4-FFF2-40B4-BE49-F238E27FC236}">
              <a16:creationId xmlns:a16="http://schemas.microsoft.com/office/drawing/2014/main" id="{00000000-0008-0000-1400-00000A000000}"/>
            </a:ext>
          </a:extLst>
        </xdr:cNvPr>
        <xdr:cNvSpPr/>
      </xdr:nvSpPr>
      <xdr:spPr>
        <a:xfrm>
          <a:off x="313765" y="806825"/>
          <a:ext cx="13505688" cy="605116"/>
        </a:xfrm>
        <a:prstGeom prst="round2SameRect">
          <a:avLst/>
        </a:prstGeom>
        <a:solidFill>
          <a:srgbClr val="A6A5A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p>
      </xdr:txBody>
    </xdr:sp>
    <xdr:clientData/>
  </xdr:twoCellAnchor>
  <xdr:twoCellAnchor>
    <xdr:from>
      <xdr:col>2</xdr:col>
      <xdr:colOff>2720</xdr:colOff>
      <xdr:row>5</xdr:row>
      <xdr:rowOff>0</xdr:rowOff>
    </xdr:from>
    <xdr:to>
      <xdr:col>6</xdr:col>
      <xdr:colOff>119261</xdr:colOff>
      <xdr:row>6</xdr:row>
      <xdr:rowOff>197827</xdr:rowOff>
    </xdr:to>
    <xdr:sp macro="" textlink="M3S1">
      <xdr:nvSpPr>
        <xdr:cNvPr id="11" name="SUBMENU1">
          <a:hlinkClick xmlns:r="http://schemas.openxmlformats.org/officeDocument/2006/relationships" r:id="rId1" tooltip=" "/>
          <a:extLst>
            <a:ext uri="{FF2B5EF4-FFF2-40B4-BE49-F238E27FC236}">
              <a16:creationId xmlns:a16="http://schemas.microsoft.com/office/drawing/2014/main" id="{00000000-0008-0000-1400-00000B000000}"/>
            </a:ext>
          </a:extLst>
        </xdr:cNvPr>
        <xdr:cNvSpPr/>
      </xdr:nvSpPr>
      <xdr:spPr>
        <a:xfrm>
          <a:off x="630249" y="1008529"/>
          <a:ext cx="1371600" cy="399533"/>
        </a:xfrm>
        <a:prstGeom prst="round2SameRect">
          <a:avLst/>
        </a:prstGeom>
        <a:solidFill>
          <a:srgbClr val="1A9DD8"/>
        </a:solidFill>
        <a:ln w="12700">
          <a:solidFill>
            <a:srgbClr val="1A9DD8"/>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ADF56A7A-CB83-4152-B95A-120E0363F7FB}" type="TxLink">
            <a:rPr lang="en-US" sz="1100" b="0" i="0" u="none" strike="noStrike">
              <a:solidFill>
                <a:srgbClr val="FFFFFF"/>
              </a:solidFill>
              <a:latin typeface="Arial" panose="020B0604020202020204" pitchFamily="34" charset="0"/>
              <a:cs typeface="Arial" panose="020B0604020202020204" pitchFamily="34" charset="0"/>
            </a:rPr>
            <a:pPr algn="ctr"/>
            <a:t>Lighting</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6</xdr:col>
      <xdr:colOff>137020</xdr:colOff>
      <xdr:row>4</xdr:row>
      <xdr:rowOff>200705</xdr:rowOff>
    </xdr:from>
    <xdr:to>
      <xdr:col>10</xdr:col>
      <xdr:colOff>253561</xdr:colOff>
      <xdr:row>7</xdr:row>
      <xdr:rowOff>0</xdr:rowOff>
    </xdr:to>
    <xdr:sp macro="" textlink="M3S2">
      <xdr:nvSpPr>
        <xdr:cNvPr id="12" name="SUBMENU2">
          <a:hlinkClick xmlns:r="http://schemas.openxmlformats.org/officeDocument/2006/relationships" r:id="rId2" tooltip=" "/>
          <a:extLst>
            <a:ext uri="{FF2B5EF4-FFF2-40B4-BE49-F238E27FC236}">
              <a16:creationId xmlns:a16="http://schemas.microsoft.com/office/drawing/2014/main" id="{00000000-0008-0000-1400-00000C000000}"/>
            </a:ext>
          </a:extLst>
        </xdr:cNvPr>
        <xdr:cNvSpPr/>
      </xdr:nvSpPr>
      <xdr:spPr>
        <a:xfrm>
          <a:off x="2019608" y="1007529"/>
          <a:ext cx="1371600" cy="404412"/>
        </a:xfrm>
        <a:prstGeom prst="round2SameRect">
          <a:avLst/>
        </a:prstGeom>
        <a:solidFill>
          <a:srgbClr val="1A9DD8"/>
        </a:solidFill>
        <a:ln w="12700">
          <a:solidFill>
            <a:srgbClr val="1A9DD8"/>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3F4CA6B-01F3-44D0-A0E3-D0AA753206B2}" type="TxLink">
            <a:rPr lang="en-US" sz="1100" b="0" i="0" u="none" strike="noStrike">
              <a:solidFill>
                <a:srgbClr val="FFFFFF"/>
              </a:solidFill>
              <a:latin typeface="Arial" panose="020B0604020202020204" pitchFamily="34" charset="0"/>
              <a:cs typeface="Arial" panose="020B0604020202020204" pitchFamily="34" charset="0"/>
            </a:rPr>
            <a:pPr algn="ctr"/>
            <a:t>Lighting Controls</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10</xdr:col>
      <xdr:colOff>271488</xdr:colOff>
      <xdr:row>4</xdr:row>
      <xdr:rowOff>200705</xdr:rowOff>
    </xdr:from>
    <xdr:to>
      <xdr:col>15</xdr:col>
      <xdr:colOff>74264</xdr:colOff>
      <xdr:row>7</xdr:row>
      <xdr:rowOff>0</xdr:rowOff>
    </xdr:to>
    <xdr:sp macro="" textlink="M3S3">
      <xdr:nvSpPr>
        <xdr:cNvPr id="13" name="SUBMENU3">
          <a:hlinkClick xmlns:r="http://schemas.openxmlformats.org/officeDocument/2006/relationships" r:id="rId3" tooltip=" "/>
          <a:extLst>
            <a:ext uri="{FF2B5EF4-FFF2-40B4-BE49-F238E27FC236}">
              <a16:creationId xmlns:a16="http://schemas.microsoft.com/office/drawing/2014/main" id="{00000000-0008-0000-1400-00000D000000}"/>
            </a:ext>
          </a:extLst>
        </xdr:cNvPr>
        <xdr:cNvSpPr/>
      </xdr:nvSpPr>
      <xdr:spPr>
        <a:xfrm>
          <a:off x="3409135" y="1007529"/>
          <a:ext cx="1371600" cy="404412"/>
        </a:xfrm>
        <a:prstGeom prst="round2SameRect">
          <a:avLst/>
        </a:prstGeom>
        <a:solidFill>
          <a:srgbClr val="1A9DD8"/>
        </a:solidFill>
        <a:ln w="12700">
          <a:solidFill>
            <a:srgbClr val="1A9DD8"/>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E60A9FB0-D7E6-4ADD-8A44-C9B2BE21324A}" type="TxLink">
            <a:rPr lang="en-US" sz="1100" b="0" i="0" u="none" strike="noStrike">
              <a:solidFill>
                <a:srgbClr val="FFFFFF"/>
              </a:solidFill>
              <a:latin typeface="Arial" panose="020B0604020202020204" pitchFamily="34" charset="0"/>
              <a:cs typeface="Arial" panose="020B0604020202020204" pitchFamily="34" charset="0"/>
            </a:rPr>
            <a:pPr algn="ctr"/>
            <a:t>HVAC (Electric)</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19</xdr:col>
      <xdr:colOff>237870</xdr:colOff>
      <xdr:row>4</xdr:row>
      <xdr:rowOff>200705</xdr:rowOff>
    </xdr:from>
    <xdr:to>
      <xdr:col>24</xdr:col>
      <xdr:colOff>40646</xdr:colOff>
      <xdr:row>7</xdr:row>
      <xdr:rowOff>0</xdr:rowOff>
    </xdr:to>
    <xdr:sp macro="" textlink="M3S5">
      <xdr:nvSpPr>
        <xdr:cNvPr id="15" name="SUBMENU5">
          <a:hlinkClick xmlns:r="http://schemas.openxmlformats.org/officeDocument/2006/relationships" r:id="rId4" tooltip=" "/>
          <a:extLst>
            <a:ext uri="{FF2B5EF4-FFF2-40B4-BE49-F238E27FC236}">
              <a16:creationId xmlns:a16="http://schemas.microsoft.com/office/drawing/2014/main" id="{00000000-0008-0000-1400-00000F000000}"/>
            </a:ext>
          </a:extLst>
        </xdr:cNvPr>
        <xdr:cNvSpPr/>
      </xdr:nvSpPr>
      <xdr:spPr>
        <a:xfrm>
          <a:off x="6199399" y="1007529"/>
          <a:ext cx="1371600" cy="404412"/>
        </a:xfrm>
        <a:prstGeom prst="round2SameRect">
          <a:avLst/>
        </a:prstGeom>
        <a:solidFill>
          <a:srgbClr val="1A9DD8"/>
        </a:solidFill>
        <a:ln w="12700">
          <a:solidFill>
            <a:srgbClr val="1A9DD8"/>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52BFCEF9-4B05-45FB-B7B3-9621E37C07CC}" type="TxLink">
            <a:rPr lang="en-US" sz="1100" b="0" i="0" u="none" strike="noStrike">
              <a:solidFill>
                <a:srgbClr val="FFFFFF"/>
              </a:solidFill>
              <a:latin typeface="Arial" panose="020B0604020202020204" pitchFamily="34" charset="0"/>
              <a:cs typeface="Arial" panose="020B0604020202020204" pitchFamily="34" charset="0"/>
            </a:rPr>
            <a:pPr algn="ctr"/>
            <a:t>Commercial Cooking (Elec/Gas)</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24</xdr:col>
      <xdr:colOff>67232</xdr:colOff>
      <xdr:row>5</xdr:row>
      <xdr:rowOff>2</xdr:rowOff>
    </xdr:from>
    <xdr:to>
      <xdr:col>28</xdr:col>
      <xdr:colOff>183773</xdr:colOff>
      <xdr:row>7</xdr:row>
      <xdr:rowOff>1002</xdr:rowOff>
    </xdr:to>
    <xdr:sp macro="" textlink="M3S8">
      <xdr:nvSpPr>
        <xdr:cNvPr id="24" name="SUBMENU5">
          <a:hlinkClick xmlns:r="http://schemas.openxmlformats.org/officeDocument/2006/relationships" r:id="rId5" tooltip=" "/>
          <a:extLst>
            <a:ext uri="{FF2B5EF4-FFF2-40B4-BE49-F238E27FC236}">
              <a16:creationId xmlns:a16="http://schemas.microsoft.com/office/drawing/2014/main" id="{00000000-0008-0000-1400-000018000000}"/>
            </a:ext>
          </a:extLst>
        </xdr:cNvPr>
        <xdr:cNvSpPr/>
      </xdr:nvSpPr>
      <xdr:spPr>
        <a:xfrm>
          <a:off x="7597585" y="1008531"/>
          <a:ext cx="1371600" cy="404412"/>
        </a:xfrm>
        <a:prstGeom prst="round2SameRect">
          <a:avLst/>
        </a:prstGeom>
        <a:solidFill>
          <a:srgbClr val="1A9DD8"/>
        </a:solidFill>
        <a:ln w="28575">
          <a:solidFill>
            <a:srgbClr val="1A9DD8"/>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marL="0" indent="0" algn="ctr"/>
          <a:fld id="{BA865B98-DE37-4668-AF99-996484229397}" type="TxLink">
            <a:rPr lang="en-US" sz="1100" b="0" i="0" u="none" strike="noStrike">
              <a:solidFill>
                <a:srgbClr val="FFFFFF"/>
              </a:solidFill>
              <a:latin typeface="Arial" panose="020B0604020202020204" pitchFamily="34" charset="0"/>
              <a:ea typeface="+mn-ea"/>
              <a:cs typeface="Arial" panose="020B0604020202020204" pitchFamily="34" charset="0"/>
            </a:rPr>
            <a:pPr marL="0" indent="0" algn="ctr"/>
            <a:t>Misc / Compressed Air / VFDs</a:t>
          </a:fld>
          <a:endParaRPr lang="en-US" sz="1100" b="0" i="0" u="none" strike="noStrike">
            <a:solidFill>
              <a:srgbClr val="FFFFFF"/>
            </a:solidFill>
            <a:latin typeface="Arial" panose="020B0604020202020204" pitchFamily="34" charset="0"/>
            <a:ea typeface="+mn-ea"/>
            <a:cs typeface="Arial" panose="020B0604020202020204" pitchFamily="34" charset="0"/>
          </a:endParaRPr>
        </a:p>
      </xdr:txBody>
    </xdr:sp>
    <xdr:clientData/>
  </xdr:twoCellAnchor>
  <xdr:twoCellAnchor>
    <xdr:from>
      <xdr:col>28</xdr:col>
      <xdr:colOff>190500</xdr:colOff>
      <xdr:row>4</xdr:row>
      <xdr:rowOff>190500</xdr:rowOff>
    </xdr:from>
    <xdr:to>
      <xdr:col>32</xdr:col>
      <xdr:colOff>307041</xdr:colOff>
      <xdr:row>6</xdr:row>
      <xdr:rowOff>189821</xdr:rowOff>
    </xdr:to>
    <xdr:sp macro="" textlink="M3S9">
      <xdr:nvSpPr>
        <xdr:cNvPr id="26" name="SUBMENU5">
          <a:hlinkClick xmlns:r="http://schemas.openxmlformats.org/officeDocument/2006/relationships" r:id="rId6" tooltip=" "/>
          <a:extLst>
            <a:ext uri="{FF2B5EF4-FFF2-40B4-BE49-F238E27FC236}">
              <a16:creationId xmlns:a16="http://schemas.microsoft.com/office/drawing/2014/main" id="{00000000-0008-0000-1400-00001A000000}"/>
            </a:ext>
          </a:extLst>
        </xdr:cNvPr>
        <xdr:cNvSpPr/>
      </xdr:nvSpPr>
      <xdr:spPr>
        <a:xfrm>
          <a:off x="8975912" y="997324"/>
          <a:ext cx="1371600" cy="402732"/>
        </a:xfrm>
        <a:prstGeom prst="round2SameRect">
          <a:avLst/>
        </a:prstGeom>
        <a:solidFill>
          <a:srgbClr val="1A9DD8"/>
        </a:solidFill>
        <a:ln w="12700">
          <a:solidFill>
            <a:srgbClr val="1A9DD8"/>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marL="0" indent="0" algn="ctr"/>
          <a:fld id="{FDE417D9-BB8B-470F-AFD8-9914571AC487}" type="TxLink">
            <a:rPr lang="en-US" sz="1100" b="0" i="0" u="none" strike="noStrike">
              <a:solidFill>
                <a:schemeClr val="bg1"/>
              </a:solidFill>
              <a:latin typeface="Arial" panose="020B0604020202020204" pitchFamily="34" charset="0"/>
              <a:ea typeface="+mn-ea"/>
              <a:cs typeface="Arial" panose="020B0604020202020204" pitchFamily="34" charset="0"/>
            </a:rPr>
            <a:pPr marL="0" indent="0" algn="ctr"/>
            <a:t>Agriculture (Elec/Gas)</a:t>
          </a:fld>
          <a:endParaRPr lang="en-US" sz="1100" b="0" i="0" u="none" strike="noStrike">
            <a:solidFill>
              <a:schemeClr val="bg1"/>
            </a:solidFill>
            <a:latin typeface="Arial" panose="020B0604020202020204" pitchFamily="34" charset="0"/>
            <a:ea typeface="+mn-ea"/>
            <a:cs typeface="Arial" panose="020B0604020202020204" pitchFamily="34" charset="0"/>
          </a:endParaRPr>
        </a:p>
      </xdr:txBody>
    </xdr:sp>
    <xdr:clientData/>
  </xdr:twoCellAnchor>
  <xdr:twoCellAnchor>
    <xdr:from>
      <xdr:col>33</xdr:col>
      <xdr:colOff>5</xdr:colOff>
      <xdr:row>4</xdr:row>
      <xdr:rowOff>189499</xdr:rowOff>
    </xdr:from>
    <xdr:to>
      <xdr:col>36</xdr:col>
      <xdr:colOff>302295</xdr:colOff>
      <xdr:row>6</xdr:row>
      <xdr:rowOff>190500</xdr:rowOff>
    </xdr:to>
    <xdr:sp macro="" textlink="M3S6">
      <xdr:nvSpPr>
        <xdr:cNvPr id="16" name="SUBMENU6">
          <a:hlinkClick xmlns:r="http://schemas.openxmlformats.org/officeDocument/2006/relationships" r:id="rId7" tooltip=" "/>
          <a:extLst>
            <a:ext uri="{FF2B5EF4-FFF2-40B4-BE49-F238E27FC236}">
              <a16:creationId xmlns:a16="http://schemas.microsoft.com/office/drawing/2014/main" id="{00000000-0008-0000-1400-000010000000}"/>
            </a:ext>
          </a:extLst>
        </xdr:cNvPr>
        <xdr:cNvSpPr/>
      </xdr:nvSpPr>
      <xdr:spPr>
        <a:xfrm>
          <a:off x="10354240" y="996323"/>
          <a:ext cx="1243584" cy="404412"/>
        </a:xfrm>
        <a:prstGeom prst="round2SameRect">
          <a:avLst/>
        </a:prstGeom>
        <a:solidFill>
          <a:srgbClr val="54BCEB"/>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30A5A5F-CF4B-4F90-A7E3-B223777D7BE2}" type="TxLink">
            <a:rPr lang="en-US" sz="1100" b="0" i="0" u="none" strike="noStrike">
              <a:solidFill>
                <a:srgbClr val="FFFFFF"/>
              </a:solidFill>
              <a:latin typeface="Arial" panose="020B0604020202020204" pitchFamily="34" charset="0"/>
              <a:cs typeface="Arial" panose="020B0604020202020204" pitchFamily="34" charset="0"/>
            </a:rPr>
            <a:pPr algn="ctr"/>
            <a:t>HVAC 
(Gas)</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37</xdr:col>
      <xdr:colOff>2865</xdr:colOff>
      <xdr:row>4</xdr:row>
      <xdr:rowOff>189499</xdr:rowOff>
    </xdr:from>
    <xdr:to>
      <xdr:col>40</xdr:col>
      <xdr:colOff>305155</xdr:colOff>
      <xdr:row>6</xdr:row>
      <xdr:rowOff>190500</xdr:rowOff>
    </xdr:to>
    <xdr:sp macro="" textlink="M3S7">
      <xdr:nvSpPr>
        <xdr:cNvPr id="17" name="SUBMENU7">
          <a:hlinkClick xmlns:r="http://schemas.openxmlformats.org/officeDocument/2006/relationships" r:id="rId8" tooltip=" "/>
          <a:extLst>
            <a:ext uri="{FF2B5EF4-FFF2-40B4-BE49-F238E27FC236}">
              <a16:creationId xmlns:a16="http://schemas.microsoft.com/office/drawing/2014/main" id="{00000000-0008-0000-1400-000011000000}"/>
            </a:ext>
          </a:extLst>
        </xdr:cNvPr>
        <xdr:cNvSpPr/>
      </xdr:nvSpPr>
      <xdr:spPr>
        <a:xfrm>
          <a:off x="11612159" y="996323"/>
          <a:ext cx="1243584" cy="404412"/>
        </a:xfrm>
        <a:prstGeom prst="round2SameRect">
          <a:avLst/>
        </a:prstGeom>
        <a:solidFill>
          <a:srgbClr val="54BCEB"/>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DBE1B27F-5FE8-4BDD-82FC-95C3FF9A200E}" type="TxLink">
            <a:rPr lang="en-US" sz="1100" b="0" i="0" u="none" strike="noStrike">
              <a:solidFill>
                <a:srgbClr val="FFFFFF"/>
              </a:solidFill>
              <a:latin typeface="Arial" panose="020B0604020202020204" pitchFamily="34" charset="0"/>
              <a:cs typeface="Arial" panose="020B0604020202020204" pitchFamily="34" charset="0"/>
            </a:rPr>
            <a:pPr algn="ctr"/>
            <a:t>Water Heating / Others (Gas)</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7</xdr:col>
      <xdr:colOff>457</xdr:colOff>
      <xdr:row>1</xdr:row>
      <xdr:rowOff>0</xdr:rowOff>
    </xdr:from>
    <xdr:to>
      <xdr:col>12</xdr:col>
      <xdr:colOff>0</xdr:colOff>
      <xdr:row>4</xdr:row>
      <xdr:rowOff>0</xdr:rowOff>
    </xdr:to>
    <xdr:sp macro="" textlink="MAIN1">
      <xdr:nvSpPr>
        <xdr:cNvPr id="3" name="MENU1">
          <a:hlinkClick xmlns:r="http://schemas.openxmlformats.org/officeDocument/2006/relationships" r:id="rId9" tooltip=" "/>
          <a:extLst>
            <a:ext uri="{FF2B5EF4-FFF2-40B4-BE49-F238E27FC236}">
              <a16:creationId xmlns:a16="http://schemas.microsoft.com/office/drawing/2014/main" id="{00000000-0008-0000-1400-000003000000}"/>
            </a:ext>
          </a:extLst>
        </xdr:cNvPr>
        <xdr:cNvSpPr/>
      </xdr:nvSpPr>
      <xdr:spPr>
        <a:xfrm>
          <a:off x="2200732" y="200025"/>
          <a:ext cx="1571168" cy="600075"/>
        </a:xfrm>
        <a:prstGeom prst="round2SameRect">
          <a:avLst/>
        </a:prstGeom>
        <a:solidFill>
          <a:srgbClr val="00334E"/>
        </a:solidFill>
        <a:ln w="12700">
          <a:solidFill>
            <a:srgbClr val="00334E"/>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D6F2F067-2676-4601-ABCE-75BD5137E3D5}" type="TxLink">
            <a:rPr lang="en-US" sz="1100" b="0" i="0" u="none" strike="noStrike">
              <a:solidFill>
                <a:schemeClr val="bg1"/>
              </a:solidFill>
              <a:latin typeface="Arial" panose="020B0604020202020204" pitchFamily="34" charset="0"/>
              <a:cs typeface="Arial" panose="020B0604020202020204" pitchFamily="34" charset="0"/>
            </a:rPr>
            <a:pPr algn="ctr"/>
            <a:t>START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12</xdr:col>
      <xdr:colOff>0</xdr:colOff>
      <xdr:row>1</xdr:row>
      <xdr:rowOff>0</xdr:rowOff>
    </xdr:from>
    <xdr:to>
      <xdr:col>17</xdr:col>
      <xdr:colOff>0</xdr:colOff>
      <xdr:row>4</xdr:row>
      <xdr:rowOff>0</xdr:rowOff>
    </xdr:to>
    <xdr:sp macro="" textlink="MAIN2">
      <xdr:nvSpPr>
        <xdr:cNvPr id="4" name="MENU2">
          <a:hlinkClick xmlns:r="http://schemas.openxmlformats.org/officeDocument/2006/relationships" r:id="rId10" tooltip=" "/>
          <a:extLst>
            <a:ext uri="{FF2B5EF4-FFF2-40B4-BE49-F238E27FC236}">
              <a16:creationId xmlns:a16="http://schemas.microsoft.com/office/drawing/2014/main" id="{00000000-0008-0000-1400-000004000000}"/>
            </a:ext>
          </a:extLst>
        </xdr:cNvPr>
        <xdr:cNvSpPr/>
      </xdr:nvSpPr>
      <xdr:spPr>
        <a:xfrm>
          <a:off x="3771900" y="200025"/>
          <a:ext cx="1571625" cy="600075"/>
        </a:xfrm>
        <a:prstGeom prst="round2SameRect">
          <a:avLst/>
        </a:prstGeom>
        <a:solidFill>
          <a:srgbClr val="00334E"/>
        </a:solidFill>
        <a:ln w="12700">
          <a:solidFill>
            <a:srgbClr val="00334E"/>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59A035B9-F1D2-4E89-B262-AF2DF0C338A9}" type="TxLink">
            <a:rPr lang="en-US" sz="1100" b="0" i="0" u="none" strike="noStrike">
              <a:solidFill>
                <a:schemeClr val="bg1"/>
              </a:solidFill>
              <a:latin typeface="Arial" panose="020B0604020202020204" pitchFamily="34" charset="0"/>
              <a:cs typeface="Arial" panose="020B0604020202020204" pitchFamily="34" charset="0"/>
            </a:rPr>
            <a:pPr algn="ctr"/>
            <a:t>PROJECT INFORMATION</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22</xdr:col>
      <xdr:colOff>0</xdr:colOff>
      <xdr:row>1</xdr:row>
      <xdr:rowOff>0</xdr:rowOff>
    </xdr:from>
    <xdr:to>
      <xdr:col>27</xdr:col>
      <xdr:colOff>0</xdr:colOff>
      <xdr:row>4</xdr:row>
      <xdr:rowOff>0</xdr:rowOff>
    </xdr:to>
    <xdr:sp macro="" textlink="MAIN4">
      <xdr:nvSpPr>
        <xdr:cNvPr id="6" name="MENU4">
          <a:hlinkClick xmlns:r="http://schemas.openxmlformats.org/officeDocument/2006/relationships" r:id="rId11" tooltip=" "/>
          <a:extLst>
            <a:ext uri="{FF2B5EF4-FFF2-40B4-BE49-F238E27FC236}">
              <a16:creationId xmlns:a16="http://schemas.microsoft.com/office/drawing/2014/main" id="{00000000-0008-0000-1400-000006000000}"/>
            </a:ext>
          </a:extLst>
        </xdr:cNvPr>
        <xdr:cNvSpPr/>
      </xdr:nvSpPr>
      <xdr:spPr>
        <a:xfrm>
          <a:off x="6915150" y="200025"/>
          <a:ext cx="1571625" cy="600075"/>
        </a:xfrm>
        <a:prstGeom prst="round2SameRect">
          <a:avLst/>
        </a:prstGeom>
        <a:solidFill>
          <a:srgbClr val="00334E"/>
        </a:solidFill>
        <a:ln w="12700">
          <a:solidFill>
            <a:srgbClr val="00334E"/>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CB369157-CA5B-4E40-B1DE-604993B819B3}" type="TxLink">
            <a:rPr lang="en-US" sz="1100" b="0" i="0" u="none" strike="noStrike">
              <a:solidFill>
                <a:schemeClr val="bg1"/>
              </a:solidFill>
              <a:latin typeface="Arial" panose="020B0604020202020204" pitchFamily="34" charset="0"/>
              <a:cs typeface="Arial" panose="020B0604020202020204" pitchFamily="34" charset="0"/>
            </a:rPr>
            <a:pPr algn="ctr"/>
            <a:t>CUSTOM MEASURES INPUT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27</xdr:col>
      <xdr:colOff>0</xdr:colOff>
      <xdr:row>1</xdr:row>
      <xdr:rowOff>0</xdr:rowOff>
    </xdr:from>
    <xdr:to>
      <xdr:col>32</xdr:col>
      <xdr:colOff>0</xdr:colOff>
      <xdr:row>4</xdr:row>
      <xdr:rowOff>0</xdr:rowOff>
    </xdr:to>
    <xdr:sp macro="" textlink="MAIN5">
      <xdr:nvSpPr>
        <xdr:cNvPr id="7" name="MENU5">
          <a:hlinkClick xmlns:r="http://schemas.openxmlformats.org/officeDocument/2006/relationships" r:id="rId12" tooltip=" "/>
          <a:extLst>
            <a:ext uri="{FF2B5EF4-FFF2-40B4-BE49-F238E27FC236}">
              <a16:creationId xmlns:a16="http://schemas.microsoft.com/office/drawing/2014/main" id="{00000000-0008-0000-1400-000007000000}"/>
            </a:ext>
          </a:extLst>
        </xdr:cNvPr>
        <xdr:cNvSpPr/>
      </xdr:nvSpPr>
      <xdr:spPr>
        <a:xfrm>
          <a:off x="8486775" y="200025"/>
          <a:ext cx="1571625" cy="600075"/>
        </a:xfrm>
        <a:prstGeom prst="round2SameRect">
          <a:avLst/>
        </a:prstGeom>
        <a:solidFill>
          <a:srgbClr val="00334E"/>
        </a:solidFill>
        <a:ln w="12700">
          <a:solidFill>
            <a:srgbClr val="00334E"/>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F0EEDDA6-4934-49B4-972D-20D21D440D82}" type="TxLink">
            <a:rPr lang="en-US" sz="1100" b="0" i="0" u="none" strike="noStrike">
              <a:solidFill>
                <a:schemeClr val="bg1"/>
              </a:solidFill>
              <a:latin typeface="Arial" panose="020B0604020202020204" pitchFamily="34" charset="0"/>
              <a:cs typeface="Arial" panose="020B0604020202020204" pitchFamily="34" charset="0"/>
            </a:rPr>
            <a:pPr algn="ctr"/>
            <a:t>APPLICATION REVIEW</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32</xdr:col>
      <xdr:colOff>0</xdr:colOff>
      <xdr:row>1</xdr:row>
      <xdr:rowOff>0</xdr:rowOff>
    </xdr:from>
    <xdr:to>
      <xdr:col>37</xdr:col>
      <xdr:colOff>1</xdr:colOff>
      <xdr:row>4</xdr:row>
      <xdr:rowOff>0</xdr:rowOff>
    </xdr:to>
    <xdr:sp macro="" textlink="MAIN6">
      <xdr:nvSpPr>
        <xdr:cNvPr id="8" name="MENU6">
          <a:extLst>
            <a:ext uri="{FF2B5EF4-FFF2-40B4-BE49-F238E27FC236}">
              <a16:creationId xmlns:a16="http://schemas.microsoft.com/office/drawing/2014/main" id="{00000000-0008-0000-1400-000008000000}"/>
            </a:ext>
          </a:extLst>
        </xdr:cNvPr>
        <xdr:cNvSpPr/>
      </xdr:nvSpPr>
      <xdr:spPr>
        <a:xfrm>
          <a:off x="10058400" y="200025"/>
          <a:ext cx="1571626"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00B050"/>
              </a:solidFill>
            </a14:hiddenFill>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B12A3774-975E-4B41-A681-E085295C6D0E}" type="TxLink">
            <a:rPr lang="en-US" sz="1100" b="0" i="0" u="none" strike="noStrike">
              <a:noFill/>
              <a:latin typeface="Arial" panose="020B0604020202020204" pitchFamily="34" charset="0"/>
              <a:cs typeface="Arial" panose="020B0604020202020204" pitchFamily="34" charset="0"/>
            </a:rPr>
            <a:pPr algn="ctr"/>
            <a:t> </a:t>
          </a:fld>
          <a:endParaRPr lang="en-US" sz="1100">
            <a:noFill/>
            <a:latin typeface="Arial" panose="020B0604020202020204" pitchFamily="34" charset="0"/>
            <a:cs typeface="Arial" panose="020B0604020202020204" pitchFamily="34" charset="0"/>
          </a:endParaRPr>
        </a:p>
      </xdr:txBody>
    </xdr:sp>
    <xdr:clientData/>
  </xdr:twoCellAnchor>
  <xdr:twoCellAnchor>
    <xdr:from>
      <xdr:col>37</xdr:col>
      <xdr:colOff>559</xdr:colOff>
      <xdr:row>1</xdr:row>
      <xdr:rowOff>0</xdr:rowOff>
    </xdr:from>
    <xdr:to>
      <xdr:col>42</xdr:col>
      <xdr:colOff>559</xdr:colOff>
      <xdr:row>4</xdr:row>
      <xdr:rowOff>0</xdr:rowOff>
    </xdr:to>
    <xdr:sp macro="" textlink="MAIN7">
      <xdr:nvSpPr>
        <xdr:cNvPr id="9" name="MENU7">
          <a:extLst>
            <a:ext uri="{FF2B5EF4-FFF2-40B4-BE49-F238E27FC236}">
              <a16:creationId xmlns:a16="http://schemas.microsoft.com/office/drawing/2014/main" id="{00000000-0008-0000-1400-000009000000}"/>
            </a:ext>
          </a:extLst>
        </xdr:cNvPr>
        <xdr:cNvSpPr/>
      </xdr:nvSpPr>
      <xdr:spPr>
        <a:xfrm>
          <a:off x="11609853" y="201706"/>
          <a:ext cx="1568824" cy="605118"/>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00B050"/>
              </a:solidFill>
            </a14:hiddenFill>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 </a:t>
          </a:fld>
          <a:endParaRPr lang="en-US" sz="1100">
            <a:noFill/>
            <a:latin typeface="Arial" panose="020B0604020202020204" pitchFamily="34" charset="0"/>
            <a:cs typeface="Arial" panose="020B0604020202020204" pitchFamily="34" charset="0"/>
          </a:endParaRPr>
        </a:p>
      </xdr:txBody>
    </xdr:sp>
    <xdr:clientData/>
  </xdr:twoCellAnchor>
  <xdr:twoCellAnchor>
    <xdr:from>
      <xdr:col>15</xdr:col>
      <xdr:colOff>103400</xdr:colOff>
      <xdr:row>5</xdr:row>
      <xdr:rowOff>51480</xdr:rowOff>
    </xdr:from>
    <xdr:to>
      <xdr:col>19</xdr:col>
      <xdr:colOff>219942</xdr:colOff>
      <xdr:row>7</xdr:row>
      <xdr:rowOff>50800</xdr:rowOff>
    </xdr:to>
    <xdr:sp macro="" textlink="M3S4">
      <xdr:nvSpPr>
        <xdr:cNvPr id="14" name="SUBMENU4">
          <a:hlinkClick xmlns:r="http://schemas.openxmlformats.org/officeDocument/2006/relationships" r:id="rId13" tooltip=" "/>
          <a:extLst>
            <a:ext uri="{FF2B5EF4-FFF2-40B4-BE49-F238E27FC236}">
              <a16:creationId xmlns:a16="http://schemas.microsoft.com/office/drawing/2014/main" id="{00000000-0008-0000-1400-00000E000000}"/>
            </a:ext>
          </a:extLst>
        </xdr:cNvPr>
        <xdr:cNvSpPr/>
      </xdr:nvSpPr>
      <xdr:spPr>
        <a:xfrm>
          <a:off x="4809871" y="1060009"/>
          <a:ext cx="1371600" cy="402732"/>
        </a:xfrm>
        <a:prstGeom prst="round2SameRect">
          <a:avLst/>
        </a:prstGeom>
        <a:solidFill>
          <a:srgbClr val="00334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EC4D1991-C1D9-486E-95EB-30A9469B742C}" type="TxLink">
            <a:rPr lang="en-US" sz="1100" b="0" i="0" u="none" strike="noStrike">
              <a:solidFill>
                <a:srgbClr val="FFFFFF"/>
              </a:solidFill>
              <a:latin typeface="Arial" panose="020B0604020202020204" pitchFamily="34" charset="0"/>
              <a:cs typeface="Arial" panose="020B0604020202020204" pitchFamily="34" charset="0"/>
            </a:rPr>
            <a:pPr algn="ctr"/>
            <a:t>Refrigeration</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0</xdr:col>
      <xdr:colOff>314323</xdr:colOff>
      <xdr:row>7</xdr:row>
      <xdr:rowOff>200024</xdr:rowOff>
    </xdr:from>
    <xdr:to>
      <xdr:col>44</xdr:col>
      <xdr:colOff>0</xdr:colOff>
      <xdr:row>199</xdr:row>
      <xdr:rowOff>0</xdr:rowOff>
    </xdr:to>
    <xdr:sp macro="" textlink="">
      <xdr:nvSpPr>
        <xdr:cNvPr id="19" name="BORDER">
          <a:extLst>
            <a:ext uri="{FF2B5EF4-FFF2-40B4-BE49-F238E27FC236}">
              <a16:creationId xmlns:a16="http://schemas.microsoft.com/office/drawing/2014/main" id="{00000000-0008-0000-1400-000013000000}"/>
            </a:ext>
          </a:extLst>
        </xdr:cNvPr>
        <xdr:cNvSpPr/>
      </xdr:nvSpPr>
      <xdr:spPr>
        <a:xfrm>
          <a:off x="314323" y="1600199"/>
          <a:ext cx="13515977" cy="37804726"/>
        </a:xfrm>
        <a:prstGeom prst="frame">
          <a:avLst>
            <a:gd name="adj1" fmla="val 97"/>
          </a:avLst>
        </a:prstGeom>
        <a:noFill/>
        <a:ln w="12700" cap="flat" cmpd="sng" algn="ctr">
          <a:solidFill>
            <a:srgbClr val="00334E"/>
          </a:solidFill>
          <a:prstDash val="solid"/>
          <a:miter lim="800000"/>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fPrintsWithSheet="0"/>
  </xdr:twoCellAnchor>
  <xdr:twoCellAnchor editAs="absolute">
    <xdr:from>
      <xdr:col>2</xdr:col>
      <xdr:colOff>0</xdr:colOff>
      <xdr:row>9</xdr:row>
      <xdr:rowOff>0</xdr:rowOff>
    </xdr:from>
    <xdr:to>
      <xdr:col>3</xdr:col>
      <xdr:colOff>312005</xdr:colOff>
      <xdr:row>11</xdr:row>
      <xdr:rowOff>1681</xdr:rowOff>
    </xdr:to>
    <xdr:sp macro="" textlink="">
      <xdr:nvSpPr>
        <xdr:cNvPr id="25" name="BACK">
          <a:hlinkClick xmlns:r="http://schemas.openxmlformats.org/officeDocument/2006/relationships" r:id="rId14" tooltip=" "/>
          <a:extLst>
            <a:ext uri="{FF2B5EF4-FFF2-40B4-BE49-F238E27FC236}">
              <a16:creationId xmlns:a16="http://schemas.microsoft.com/office/drawing/2014/main" id="{00000000-0008-0000-1400-000019000000}"/>
            </a:ext>
          </a:extLst>
        </xdr:cNvPr>
        <xdr:cNvSpPr>
          <a:spLocks noChangeAspect="1"/>
        </xdr:cNvSpPr>
      </xdr:nvSpPr>
      <xdr:spPr>
        <a:xfrm>
          <a:off x="627529" y="1815353"/>
          <a:ext cx="625770" cy="405093"/>
        </a:xfrm>
        <a:prstGeom prst="leftArrow">
          <a:avLst/>
        </a:prstGeom>
        <a:solidFill>
          <a:srgbClr val="54BCEB"/>
        </a:solidFill>
        <a:ln>
          <a:solidFill>
            <a:srgbClr val="54BCEB"/>
          </a:solidFill>
        </a:ln>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editAs="absolute">
    <xdr:from>
      <xdr:col>41</xdr:col>
      <xdr:colOff>0</xdr:colOff>
      <xdr:row>9</xdr:row>
      <xdr:rowOff>0</xdr:rowOff>
    </xdr:from>
    <xdr:to>
      <xdr:col>42</xdr:col>
      <xdr:colOff>313195</xdr:colOff>
      <xdr:row>11</xdr:row>
      <xdr:rowOff>1680</xdr:rowOff>
    </xdr:to>
    <xdr:sp macro="" textlink="">
      <xdr:nvSpPr>
        <xdr:cNvPr id="27" name="NEXT">
          <a:hlinkClick xmlns:r="http://schemas.openxmlformats.org/officeDocument/2006/relationships" r:id="rId15" tooltip=" "/>
          <a:extLst>
            <a:ext uri="{FF2B5EF4-FFF2-40B4-BE49-F238E27FC236}">
              <a16:creationId xmlns:a16="http://schemas.microsoft.com/office/drawing/2014/main" id="{00000000-0008-0000-1400-00001B000000}"/>
            </a:ext>
          </a:extLst>
        </xdr:cNvPr>
        <xdr:cNvSpPr>
          <a:spLocks noChangeAspect="1"/>
        </xdr:cNvSpPr>
      </xdr:nvSpPr>
      <xdr:spPr>
        <a:xfrm>
          <a:off x="12864353" y="1815353"/>
          <a:ext cx="626960" cy="403411"/>
        </a:xfrm>
        <a:prstGeom prst="rightArrow">
          <a:avLst/>
        </a:prstGeom>
        <a:solidFill>
          <a:srgbClr val="54BCEB"/>
        </a:solidFill>
        <a:ln>
          <a:solidFill>
            <a:srgbClr val="54BCEB"/>
          </a:solidFill>
        </a:ln>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editAs="oneCell">
    <xdr:from>
      <xdr:col>2</xdr:col>
      <xdr:colOff>102850</xdr:colOff>
      <xdr:row>0</xdr:row>
      <xdr:rowOff>156884</xdr:rowOff>
    </xdr:from>
    <xdr:to>
      <xdr:col>5</xdr:col>
      <xdr:colOff>30405</xdr:colOff>
      <xdr:row>2</xdr:row>
      <xdr:rowOff>195627</xdr:rowOff>
    </xdr:to>
    <xdr:pic>
      <xdr:nvPicPr>
        <xdr:cNvPr id="33" name="LOGO">
          <a:extLst>
            <a:ext uri="{FF2B5EF4-FFF2-40B4-BE49-F238E27FC236}">
              <a16:creationId xmlns:a16="http://schemas.microsoft.com/office/drawing/2014/main" id="{00000000-0008-0000-1400-000021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xdr:blipFill>
      <xdr:spPr>
        <a:xfrm>
          <a:off x="730379" y="156884"/>
          <a:ext cx="868850" cy="442155"/>
        </a:xfrm>
        <a:prstGeom prst="rect">
          <a:avLst/>
        </a:prstGeom>
      </xdr:spPr>
    </xdr:pic>
    <xdr:clientData/>
  </xdr:twoCellAnchor>
  <xdr:twoCellAnchor>
    <xdr:from>
      <xdr:col>1</xdr:col>
      <xdr:colOff>0</xdr:colOff>
      <xdr:row>7</xdr:row>
      <xdr:rowOff>0</xdr:rowOff>
    </xdr:from>
    <xdr:to>
      <xdr:col>44</xdr:col>
      <xdr:colOff>13806</xdr:colOff>
      <xdr:row>8</xdr:row>
      <xdr:rowOff>0</xdr:rowOff>
    </xdr:to>
    <xdr:sp macro="" textlink="">
      <xdr:nvSpPr>
        <xdr:cNvPr id="21" name="BOTTOMRIBBON">
          <a:extLst>
            <a:ext uri="{FF2B5EF4-FFF2-40B4-BE49-F238E27FC236}">
              <a16:creationId xmlns:a16="http://schemas.microsoft.com/office/drawing/2014/main" id="{00000000-0008-0000-1400-000015000000}"/>
            </a:ext>
          </a:extLst>
        </xdr:cNvPr>
        <xdr:cNvSpPr/>
      </xdr:nvSpPr>
      <xdr:spPr>
        <a:xfrm>
          <a:off x="313765" y="1411941"/>
          <a:ext cx="13505688" cy="201706"/>
        </a:xfrm>
        <a:prstGeom prst="rect">
          <a:avLst/>
        </a:prstGeom>
        <a:solidFill>
          <a:srgbClr val="00334E"/>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solidFill>
              <a:srgbClr val="FFFFFF"/>
            </a:solidFill>
          </a:endParaRP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17</xdr:col>
      <xdr:colOff>0</xdr:colOff>
      <xdr:row>1</xdr:row>
      <xdr:rowOff>133350</xdr:rowOff>
    </xdr:from>
    <xdr:to>
      <xdr:col>22</xdr:col>
      <xdr:colOff>0</xdr:colOff>
      <xdr:row>4</xdr:row>
      <xdr:rowOff>133350</xdr:rowOff>
    </xdr:to>
    <xdr:sp macro="" textlink="MAIN3">
      <xdr:nvSpPr>
        <xdr:cNvPr id="5" name="MENU3">
          <a:hlinkClick xmlns:r="http://schemas.openxmlformats.org/officeDocument/2006/relationships" r:id="rId1" tooltip=" "/>
          <a:extLst>
            <a:ext uri="{FF2B5EF4-FFF2-40B4-BE49-F238E27FC236}">
              <a16:creationId xmlns:a16="http://schemas.microsoft.com/office/drawing/2014/main" id="{00000000-0008-0000-1500-000005000000}"/>
            </a:ext>
          </a:extLst>
        </xdr:cNvPr>
        <xdr:cNvSpPr/>
      </xdr:nvSpPr>
      <xdr:spPr>
        <a:xfrm>
          <a:off x="5343525" y="333375"/>
          <a:ext cx="1571625" cy="600075"/>
        </a:xfrm>
        <a:prstGeom prst="round2SameRect">
          <a:avLst/>
        </a:prstGeom>
        <a:solidFill>
          <a:srgbClr val="A6A5AA"/>
        </a:solidFill>
        <a:ln w="12700">
          <a:solidFill>
            <a:srgbClr val="A6A5AA"/>
          </a:solidFill>
        </a:ln>
        <a:effectLst>
          <a:outerShdw blurRad="25400" dist="508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06A037F-AE33-47CC-85C1-F6D62694F95D}" type="TxLink">
            <a:rPr lang="en-US" sz="1100" b="0" i="0" u="none" strike="noStrike">
              <a:solidFill>
                <a:schemeClr val="bg1"/>
              </a:solidFill>
              <a:latin typeface="Arial" panose="020B0604020202020204" pitchFamily="34" charset="0"/>
              <a:cs typeface="Arial" panose="020B0604020202020204" pitchFamily="34" charset="0"/>
            </a:rPr>
            <a:pPr algn="ctr"/>
            <a:t>PRESCRIPTIVE MEASURES INPUT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xdr:col>
      <xdr:colOff>0</xdr:colOff>
      <xdr:row>4</xdr:row>
      <xdr:rowOff>1</xdr:rowOff>
    </xdr:from>
    <xdr:to>
      <xdr:col>44</xdr:col>
      <xdr:colOff>13806</xdr:colOff>
      <xdr:row>7</xdr:row>
      <xdr:rowOff>0</xdr:rowOff>
    </xdr:to>
    <xdr:sp macro="" textlink="">
      <xdr:nvSpPr>
        <xdr:cNvPr id="10" name="TOPRIBBON">
          <a:extLst>
            <a:ext uri="{FF2B5EF4-FFF2-40B4-BE49-F238E27FC236}">
              <a16:creationId xmlns:a16="http://schemas.microsoft.com/office/drawing/2014/main" id="{00000000-0008-0000-1500-00000A000000}"/>
            </a:ext>
          </a:extLst>
        </xdr:cNvPr>
        <xdr:cNvSpPr/>
      </xdr:nvSpPr>
      <xdr:spPr>
        <a:xfrm>
          <a:off x="313765" y="806825"/>
          <a:ext cx="13505688" cy="605116"/>
        </a:xfrm>
        <a:prstGeom prst="round2SameRect">
          <a:avLst/>
        </a:prstGeom>
        <a:solidFill>
          <a:srgbClr val="A6A5A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p>
      </xdr:txBody>
    </xdr:sp>
    <xdr:clientData/>
  </xdr:twoCellAnchor>
  <xdr:twoCellAnchor>
    <xdr:from>
      <xdr:col>2</xdr:col>
      <xdr:colOff>2720</xdr:colOff>
      <xdr:row>5</xdr:row>
      <xdr:rowOff>0</xdr:rowOff>
    </xdr:from>
    <xdr:to>
      <xdr:col>6</xdr:col>
      <xdr:colOff>119261</xdr:colOff>
      <xdr:row>6</xdr:row>
      <xdr:rowOff>197827</xdr:rowOff>
    </xdr:to>
    <xdr:sp macro="" textlink="M3S1">
      <xdr:nvSpPr>
        <xdr:cNvPr id="11" name="SUBMENU1">
          <a:hlinkClick xmlns:r="http://schemas.openxmlformats.org/officeDocument/2006/relationships" r:id="rId1" tooltip=" "/>
          <a:extLst>
            <a:ext uri="{FF2B5EF4-FFF2-40B4-BE49-F238E27FC236}">
              <a16:creationId xmlns:a16="http://schemas.microsoft.com/office/drawing/2014/main" id="{00000000-0008-0000-1500-00000B000000}"/>
            </a:ext>
          </a:extLst>
        </xdr:cNvPr>
        <xdr:cNvSpPr/>
      </xdr:nvSpPr>
      <xdr:spPr>
        <a:xfrm>
          <a:off x="630249" y="1008529"/>
          <a:ext cx="1371600" cy="399533"/>
        </a:xfrm>
        <a:prstGeom prst="round2SameRect">
          <a:avLst/>
        </a:prstGeom>
        <a:solidFill>
          <a:srgbClr val="1A9DD8"/>
        </a:solidFill>
        <a:ln w="12700">
          <a:solidFill>
            <a:srgbClr val="1A9DD8"/>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ADF56A7A-CB83-4152-B95A-120E0363F7FB}" type="TxLink">
            <a:rPr lang="en-US" sz="1100" b="0" i="0" u="none" strike="noStrike">
              <a:solidFill>
                <a:srgbClr val="FFFFFF"/>
              </a:solidFill>
              <a:latin typeface="Arial" panose="020B0604020202020204" pitchFamily="34" charset="0"/>
              <a:cs typeface="Arial" panose="020B0604020202020204" pitchFamily="34" charset="0"/>
            </a:rPr>
            <a:pPr algn="ctr"/>
            <a:t>Lighting</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6</xdr:col>
      <xdr:colOff>134851</xdr:colOff>
      <xdr:row>4</xdr:row>
      <xdr:rowOff>200705</xdr:rowOff>
    </xdr:from>
    <xdr:to>
      <xdr:col>10</xdr:col>
      <xdr:colOff>251392</xdr:colOff>
      <xdr:row>7</xdr:row>
      <xdr:rowOff>0</xdr:rowOff>
    </xdr:to>
    <xdr:sp macro="" textlink="M3S2">
      <xdr:nvSpPr>
        <xdr:cNvPr id="12" name="SUBMENU2">
          <a:hlinkClick xmlns:r="http://schemas.openxmlformats.org/officeDocument/2006/relationships" r:id="rId2" tooltip=" "/>
          <a:extLst>
            <a:ext uri="{FF2B5EF4-FFF2-40B4-BE49-F238E27FC236}">
              <a16:creationId xmlns:a16="http://schemas.microsoft.com/office/drawing/2014/main" id="{00000000-0008-0000-1500-00000C000000}"/>
            </a:ext>
          </a:extLst>
        </xdr:cNvPr>
        <xdr:cNvSpPr/>
      </xdr:nvSpPr>
      <xdr:spPr>
        <a:xfrm>
          <a:off x="2017439" y="1007529"/>
          <a:ext cx="1371600" cy="404412"/>
        </a:xfrm>
        <a:prstGeom prst="round2SameRect">
          <a:avLst/>
        </a:prstGeom>
        <a:solidFill>
          <a:srgbClr val="1A9DD8"/>
        </a:solidFill>
        <a:ln w="12700">
          <a:solidFill>
            <a:srgbClr val="1A9DD8"/>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3F4CA6B-01F3-44D0-A0E3-D0AA753206B2}" type="TxLink">
            <a:rPr lang="en-US" sz="1100" b="0" i="0" u="none" strike="noStrike">
              <a:solidFill>
                <a:srgbClr val="FFFFFF"/>
              </a:solidFill>
              <a:latin typeface="Arial" panose="020B0604020202020204" pitchFamily="34" charset="0"/>
              <a:cs typeface="Arial" panose="020B0604020202020204" pitchFamily="34" charset="0"/>
            </a:rPr>
            <a:pPr algn="ctr"/>
            <a:t>Lighting Controls</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10</xdr:col>
      <xdr:colOff>258037</xdr:colOff>
      <xdr:row>4</xdr:row>
      <xdr:rowOff>200705</xdr:rowOff>
    </xdr:from>
    <xdr:to>
      <xdr:col>15</xdr:col>
      <xdr:colOff>60813</xdr:colOff>
      <xdr:row>7</xdr:row>
      <xdr:rowOff>0</xdr:rowOff>
    </xdr:to>
    <xdr:sp macro="" textlink="M3S3">
      <xdr:nvSpPr>
        <xdr:cNvPr id="13" name="SUBMENU3">
          <a:hlinkClick xmlns:r="http://schemas.openxmlformats.org/officeDocument/2006/relationships" r:id="rId3" tooltip=" "/>
          <a:extLst>
            <a:ext uri="{FF2B5EF4-FFF2-40B4-BE49-F238E27FC236}">
              <a16:creationId xmlns:a16="http://schemas.microsoft.com/office/drawing/2014/main" id="{00000000-0008-0000-1500-00000D000000}"/>
            </a:ext>
          </a:extLst>
        </xdr:cNvPr>
        <xdr:cNvSpPr/>
      </xdr:nvSpPr>
      <xdr:spPr>
        <a:xfrm>
          <a:off x="3395684" y="1007529"/>
          <a:ext cx="1371600" cy="404412"/>
        </a:xfrm>
        <a:prstGeom prst="round2SameRect">
          <a:avLst/>
        </a:prstGeom>
        <a:solidFill>
          <a:srgbClr val="1A9DD8"/>
        </a:solidFill>
        <a:ln w="12700">
          <a:solidFill>
            <a:srgbClr val="1A9DD8"/>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E60A9FB0-D7E6-4ADD-8A44-C9B2BE21324A}" type="TxLink">
            <a:rPr lang="en-US" sz="1100" b="0" i="0" u="none" strike="noStrike">
              <a:solidFill>
                <a:srgbClr val="FFFFFF"/>
              </a:solidFill>
              <a:latin typeface="Arial" panose="020B0604020202020204" pitchFamily="34" charset="0"/>
              <a:cs typeface="Arial" panose="020B0604020202020204" pitchFamily="34" charset="0"/>
            </a:rPr>
            <a:pPr algn="ctr"/>
            <a:t>HVAC (Electric)</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15</xdr:col>
      <xdr:colOff>67462</xdr:colOff>
      <xdr:row>4</xdr:row>
      <xdr:rowOff>200705</xdr:rowOff>
    </xdr:from>
    <xdr:to>
      <xdr:col>19</xdr:col>
      <xdr:colOff>184004</xdr:colOff>
      <xdr:row>7</xdr:row>
      <xdr:rowOff>0</xdr:rowOff>
    </xdr:to>
    <xdr:sp macro="" textlink="M3S4">
      <xdr:nvSpPr>
        <xdr:cNvPr id="14" name="SUBMENU4">
          <a:hlinkClick xmlns:r="http://schemas.openxmlformats.org/officeDocument/2006/relationships" r:id="rId4" tooltip=" "/>
          <a:extLst>
            <a:ext uri="{FF2B5EF4-FFF2-40B4-BE49-F238E27FC236}">
              <a16:creationId xmlns:a16="http://schemas.microsoft.com/office/drawing/2014/main" id="{00000000-0008-0000-1500-00000E000000}"/>
            </a:ext>
          </a:extLst>
        </xdr:cNvPr>
        <xdr:cNvSpPr/>
      </xdr:nvSpPr>
      <xdr:spPr>
        <a:xfrm>
          <a:off x="4773933" y="1007529"/>
          <a:ext cx="1371600" cy="404412"/>
        </a:xfrm>
        <a:prstGeom prst="round2SameRect">
          <a:avLst/>
        </a:prstGeom>
        <a:solidFill>
          <a:srgbClr val="1A9DD8"/>
        </a:solidFill>
        <a:ln w="12700">
          <a:solidFill>
            <a:srgbClr val="1A9DD8"/>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EC4D1991-C1D9-486E-95EB-30A9469B742C}" type="TxLink">
            <a:rPr lang="en-US" sz="1100" b="0" i="0" u="none" strike="noStrike">
              <a:solidFill>
                <a:srgbClr val="FFFFFF"/>
              </a:solidFill>
              <a:latin typeface="Arial" panose="020B0604020202020204" pitchFamily="34" charset="0"/>
              <a:cs typeface="Arial" panose="020B0604020202020204" pitchFamily="34" charset="0"/>
            </a:rPr>
            <a:pPr algn="ctr"/>
            <a:t>Refrigeration</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24</xdr:col>
      <xdr:colOff>11203</xdr:colOff>
      <xdr:row>5</xdr:row>
      <xdr:rowOff>11206</xdr:rowOff>
    </xdr:from>
    <xdr:to>
      <xdr:col>28</xdr:col>
      <xdr:colOff>127744</xdr:colOff>
      <xdr:row>7</xdr:row>
      <xdr:rowOff>12206</xdr:rowOff>
    </xdr:to>
    <xdr:sp macro="" textlink="M3S8">
      <xdr:nvSpPr>
        <xdr:cNvPr id="24" name="SUBMENU5">
          <a:hlinkClick xmlns:r="http://schemas.openxmlformats.org/officeDocument/2006/relationships" r:id="rId5" tooltip=" "/>
          <a:extLst>
            <a:ext uri="{FF2B5EF4-FFF2-40B4-BE49-F238E27FC236}">
              <a16:creationId xmlns:a16="http://schemas.microsoft.com/office/drawing/2014/main" id="{00000000-0008-0000-1500-000018000000}"/>
            </a:ext>
          </a:extLst>
        </xdr:cNvPr>
        <xdr:cNvSpPr/>
      </xdr:nvSpPr>
      <xdr:spPr>
        <a:xfrm>
          <a:off x="7541556" y="1019735"/>
          <a:ext cx="1371600" cy="404412"/>
        </a:xfrm>
        <a:prstGeom prst="round2SameRect">
          <a:avLst/>
        </a:prstGeom>
        <a:solidFill>
          <a:srgbClr val="1A9DD8"/>
        </a:solidFill>
        <a:ln w="28575">
          <a:solidFill>
            <a:srgbClr val="1A9DD8"/>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marL="0" indent="0" algn="ctr"/>
          <a:fld id="{BA865B98-DE37-4668-AF99-996484229397}" type="TxLink">
            <a:rPr lang="en-US" sz="1100" b="0" i="0" u="none" strike="noStrike">
              <a:solidFill>
                <a:srgbClr val="FFFFFF"/>
              </a:solidFill>
              <a:latin typeface="Arial" panose="020B0604020202020204" pitchFamily="34" charset="0"/>
              <a:ea typeface="+mn-ea"/>
              <a:cs typeface="Arial" panose="020B0604020202020204" pitchFamily="34" charset="0"/>
            </a:rPr>
            <a:pPr marL="0" indent="0" algn="ctr"/>
            <a:t>Misc / Compressed Air / VFDs</a:t>
          </a:fld>
          <a:endParaRPr lang="en-US" sz="1100" b="0" i="0" u="none" strike="noStrike">
            <a:solidFill>
              <a:srgbClr val="FFFFFF"/>
            </a:solidFill>
            <a:latin typeface="Arial" panose="020B0604020202020204" pitchFamily="34" charset="0"/>
            <a:ea typeface="+mn-ea"/>
            <a:cs typeface="Arial" panose="020B0604020202020204" pitchFamily="34" charset="0"/>
          </a:endParaRPr>
        </a:p>
      </xdr:txBody>
    </xdr:sp>
    <xdr:clientData/>
  </xdr:twoCellAnchor>
  <xdr:twoCellAnchor>
    <xdr:from>
      <xdr:col>28</xdr:col>
      <xdr:colOff>145676</xdr:colOff>
      <xdr:row>5</xdr:row>
      <xdr:rowOff>0</xdr:rowOff>
    </xdr:from>
    <xdr:to>
      <xdr:col>32</xdr:col>
      <xdr:colOff>262217</xdr:colOff>
      <xdr:row>6</xdr:row>
      <xdr:rowOff>201026</xdr:rowOff>
    </xdr:to>
    <xdr:sp macro="" textlink="M3S9">
      <xdr:nvSpPr>
        <xdr:cNvPr id="25" name="SUBMENU5">
          <a:hlinkClick xmlns:r="http://schemas.openxmlformats.org/officeDocument/2006/relationships" r:id="rId6" tooltip=" "/>
          <a:extLst>
            <a:ext uri="{FF2B5EF4-FFF2-40B4-BE49-F238E27FC236}">
              <a16:creationId xmlns:a16="http://schemas.microsoft.com/office/drawing/2014/main" id="{00000000-0008-0000-1500-000019000000}"/>
            </a:ext>
          </a:extLst>
        </xdr:cNvPr>
        <xdr:cNvSpPr/>
      </xdr:nvSpPr>
      <xdr:spPr>
        <a:xfrm>
          <a:off x="8931088" y="1008529"/>
          <a:ext cx="1371600" cy="402732"/>
        </a:xfrm>
        <a:prstGeom prst="round2SameRect">
          <a:avLst/>
        </a:prstGeom>
        <a:solidFill>
          <a:srgbClr val="1A9DD8"/>
        </a:solidFill>
        <a:ln w="12700">
          <a:solidFill>
            <a:srgbClr val="1A9DD8"/>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marL="0" indent="0" algn="ctr"/>
          <a:fld id="{FDE417D9-BB8B-470F-AFD8-9914571AC487}" type="TxLink">
            <a:rPr lang="en-US" sz="1100" b="0" i="0" u="none" strike="noStrike">
              <a:solidFill>
                <a:schemeClr val="bg1"/>
              </a:solidFill>
              <a:latin typeface="Arial" panose="020B0604020202020204" pitchFamily="34" charset="0"/>
              <a:ea typeface="+mn-ea"/>
              <a:cs typeface="Arial" panose="020B0604020202020204" pitchFamily="34" charset="0"/>
            </a:rPr>
            <a:pPr marL="0" indent="0" algn="ctr"/>
            <a:t>Agriculture (Elec/Gas)</a:t>
          </a:fld>
          <a:endParaRPr lang="en-US" sz="1100" b="0" i="0" u="none" strike="noStrike">
            <a:solidFill>
              <a:schemeClr val="bg1"/>
            </a:solidFill>
            <a:latin typeface="Arial" panose="020B0604020202020204" pitchFamily="34" charset="0"/>
            <a:ea typeface="+mn-ea"/>
            <a:cs typeface="Arial" panose="020B0604020202020204" pitchFamily="34" charset="0"/>
          </a:endParaRPr>
        </a:p>
      </xdr:txBody>
    </xdr:sp>
    <xdr:clientData/>
  </xdr:twoCellAnchor>
  <xdr:twoCellAnchor>
    <xdr:from>
      <xdr:col>32</xdr:col>
      <xdr:colOff>269020</xdr:colOff>
      <xdr:row>4</xdr:row>
      <xdr:rowOff>200705</xdr:rowOff>
    </xdr:from>
    <xdr:to>
      <xdr:col>36</xdr:col>
      <xdr:colOff>257546</xdr:colOff>
      <xdr:row>7</xdr:row>
      <xdr:rowOff>0</xdr:rowOff>
    </xdr:to>
    <xdr:sp macro="" textlink="M3S6">
      <xdr:nvSpPr>
        <xdr:cNvPr id="16" name="SUBMENU6">
          <a:hlinkClick xmlns:r="http://schemas.openxmlformats.org/officeDocument/2006/relationships" r:id="rId7" tooltip=" "/>
          <a:extLst>
            <a:ext uri="{FF2B5EF4-FFF2-40B4-BE49-F238E27FC236}">
              <a16:creationId xmlns:a16="http://schemas.microsoft.com/office/drawing/2014/main" id="{00000000-0008-0000-1500-000010000000}"/>
            </a:ext>
          </a:extLst>
        </xdr:cNvPr>
        <xdr:cNvSpPr/>
      </xdr:nvSpPr>
      <xdr:spPr>
        <a:xfrm>
          <a:off x="10309491" y="1007529"/>
          <a:ext cx="1243584" cy="404412"/>
        </a:xfrm>
        <a:prstGeom prst="round2SameRect">
          <a:avLst/>
        </a:prstGeom>
        <a:solidFill>
          <a:srgbClr val="54BCEB"/>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30A5A5F-CF4B-4F90-A7E3-B223777D7BE2}" type="TxLink">
            <a:rPr lang="en-US" sz="1100" b="0" i="0" u="none" strike="noStrike">
              <a:solidFill>
                <a:srgbClr val="FFFFFF"/>
              </a:solidFill>
              <a:latin typeface="Arial" panose="020B0604020202020204" pitchFamily="34" charset="0"/>
              <a:cs typeface="Arial" panose="020B0604020202020204" pitchFamily="34" charset="0"/>
            </a:rPr>
            <a:pPr algn="ctr"/>
            <a:t>HVAC 
(Gas)</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36</xdr:col>
      <xdr:colOff>271806</xdr:colOff>
      <xdr:row>4</xdr:row>
      <xdr:rowOff>200705</xdr:rowOff>
    </xdr:from>
    <xdr:to>
      <xdr:col>40</xdr:col>
      <xdr:colOff>260331</xdr:colOff>
      <xdr:row>7</xdr:row>
      <xdr:rowOff>0</xdr:rowOff>
    </xdr:to>
    <xdr:sp macro="" textlink="M3S7">
      <xdr:nvSpPr>
        <xdr:cNvPr id="17" name="SUBMENU7">
          <a:hlinkClick xmlns:r="http://schemas.openxmlformats.org/officeDocument/2006/relationships" r:id="rId8" tooltip=" "/>
          <a:extLst>
            <a:ext uri="{FF2B5EF4-FFF2-40B4-BE49-F238E27FC236}">
              <a16:creationId xmlns:a16="http://schemas.microsoft.com/office/drawing/2014/main" id="{00000000-0008-0000-1500-000011000000}"/>
            </a:ext>
          </a:extLst>
        </xdr:cNvPr>
        <xdr:cNvSpPr/>
      </xdr:nvSpPr>
      <xdr:spPr>
        <a:xfrm>
          <a:off x="11567335" y="1007529"/>
          <a:ext cx="1243584" cy="404412"/>
        </a:xfrm>
        <a:prstGeom prst="round2SameRect">
          <a:avLst/>
        </a:prstGeom>
        <a:solidFill>
          <a:srgbClr val="54BCEB"/>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DBE1B27F-5FE8-4BDD-82FC-95C3FF9A200E}" type="TxLink">
            <a:rPr lang="en-US" sz="1100" b="0" i="0" u="none" strike="noStrike">
              <a:solidFill>
                <a:srgbClr val="FFFFFF"/>
              </a:solidFill>
              <a:latin typeface="Arial" panose="020B0604020202020204" pitchFamily="34" charset="0"/>
              <a:cs typeface="Arial" panose="020B0604020202020204" pitchFamily="34" charset="0"/>
            </a:rPr>
            <a:pPr algn="ctr"/>
            <a:t>Water Heating / Others (Gas)</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editAs="absolute">
    <xdr:from>
      <xdr:col>41</xdr:col>
      <xdr:colOff>0</xdr:colOff>
      <xdr:row>9</xdr:row>
      <xdr:rowOff>1047</xdr:rowOff>
    </xdr:from>
    <xdr:to>
      <xdr:col>42</xdr:col>
      <xdr:colOff>313195</xdr:colOff>
      <xdr:row>11</xdr:row>
      <xdr:rowOff>1046</xdr:rowOff>
    </xdr:to>
    <xdr:sp macro="" textlink="">
      <xdr:nvSpPr>
        <xdr:cNvPr id="2" name="NEXT">
          <a:hlinkClick xmlns:r="http://schemas.openxmlformats.org/officeDocument/2006/relationships" r:id="rId5" tooltip=" "/>
          <a:extLst>
            <a:ext uri="{FF2B5EF4-FFF2-40B4-BE49-F238E27FC236}">
              <a16:creationId xmlns:a16="http://schemas.microsoft.com/office/drawing/2014/main" id="{00000000-0008-0000-1500-000002000000}"/>
            </a:ext>
          </a:extLst>
        </xdr:cNvPr>
        <xdr:cNvSpPr>
          <a:spLocks noChangeAspect="1"/>
        </xdr:cNvSpPr>
      </xdr:nvSpPr>
      <xdr:spPr>
        <a:xfrm>
          <a:off x="12887325" y="1801272"/>
          <a:ext cx="627520" cy="400049"/>
        </a:xfrm>
        <a:prstGeom prst="rightArrow">
          <a:avLst/>
        </a:prstGeom>
        <a:solidFill>
          <a:srgbClr val="54BCEB"/>
        </a:solidFill>
        <a:ln>
          <a:solidFill>
            <a:srgbClr val="54BCEB"/>
          </a:solidFill>
        </a:ln>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7</xdr:col>
      <xdr:colOff>457</xdr:colOff>
      <xdr:row>1</xdr:row>
      <xdr:rowOff>0</xdr:rowOff>
    </xdr:from>
    <xdr:to>
      <xdr:col>12</xdr:col>
      <xdr:colOff>0</xdr:colOff>
      <xdr:row>4</xdr:row>
      <xdr:rowOff>0</xdr:rowOff>
    </xdr:to>
    <xdr:sp macro="" textlink="MAIN1">
      <xdr:nvSpPr>
        <xdr:cNvPr id="3" name="MENU1">
          <a:hlinkClick xmlns:r="http://schemas.openxmlformats.org/officeDocument/2006/relationships" r:id="rId9" tooltip=" "/>
          <a:extLst>
            <a:ext uri="{FF2B5EF4-FFF2-40B4-BE49-F238E27FC236}">
              <a16:creationId xmlns:a16="http://schemas.microsoft.com/office/drawing/2014/main" id="{00000000-0008-0000-1500-000003000000}"/>
            </a:ext>
          </a:extLst>
        </xdr:cNvPr>
        <xdr:cNvSpPr/>
      </xdr:nvSpPr>
      <xdr:spPr>
        <a:xfrm>
          <a:off x="2200732" y="200025"/>
          <a:ext cx="1571168" cy="600075"/>
        </a:xfrm>
        <a:prstGeom prst="round2SameRect">
          <a:avLst/>
        </a:prstGeom>
        <a:solidFill>
          <a:srgbClr val="00334E"/>
        </a:solidFill>
        <a:ln w="12700">
          <a:solidFill>
            <a:srgbClr val="00334E"/>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D6F2F067-2676-4601-ABCE-75BD5137E3D5}" type="TxLink">
            <a:rPr lang="en-US" sz="1100" b="0" i="0" u="none" strike="noStrike">
              <a:solidFill>
                <a:schemeClr val="bg1"/>
              </a:solidFill>
              <a:latin typeface="Arial" panose="020B0604020202020204" pitchFamily="34" charset="0"/>
              <a:cs typeface="Arial" panose="020B0604020202020204" pitchFamily="34" charset="0"/>
            </a:rPr>
            <a:pPr algn="ctr"/>
            <a:t>START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12</xdr:col>
      <xdr:colOff>0</xdr:colOff>
      <xdr:row>1</xdr:row>
      <xdr:rowOff>0</xdr:rowOff>
    </xdr:from>
    <xdr:to>
      <xdr:col>17</xdr:col>
      <xdr:colOff>0</xdr:colOff>
      <xdr:row>4</xdr:row>
      <xdr:rowOff>0</xdr:rowOff>
    </xdr:to>
    <xdr:sp macro="" textlink="MAIN2">
      <xdr:nvSpPr>
        <xdr:cNvPr id="4" name="MENU2">
          <a:hlinkClick xmlns:r="http://schemas.openxmlformats.org/officeDocument/2006/relationships" r:id="rId10" tooltip=" "/>
          <a:extLst>
            <a:ext uri="{FF2B5EF4-FFF2-40B4-BE49-F238E27FC236}">
              <a16:creationId xmlns:a16="http://schemas.microsoft.com/office/drawing/2014/main" id="{00000000-0008-0000-1500-000004000000}"/>
            </a:ext>
          </a:extLst>
        </xdr:cNvPr>
        <xdr:cNvSpPr/>
      </xdr:nvSpPr>
      <xdr:spPr>
        <a:xfrm>
          <a:off x="3771900" y="200025"/>
          <a:ext cx="1571625" cy="600075"/>
        </a:xfrm>
        <a:prstGeom prst="round2SameRect">
          <a:avLst/>
        </a:prstGeom>
        <a:solidFill>
          <a:srgbClr val="00334E"/>
        </a:solidFill>
        <a:ln w="12700">
          <a:solidFill>
            <a:srgbClr val="00334E"/>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59A035B9-F1D2-4E89-B262-AF2DF0C338A9}" type="TxLink">
            <a:rPr lang="en-US" sz="1100" b="0" i="0" u="none" strike="noStrike">
              <a:solidFill>
                <a:schemeClr val="bg1"/>
              </a:solidFill>
              <a:latin typeface="Arial" panose="020B0604020202020204" pitchFamily="34" charset="0"/>
              <a:cs typeface="Arial" panose="020B0604020202020204" pitchFamily="34" charset="0"/>
            </a:rPr>
            <a:pPr algn="ctr"/>
            <a:t>PROJECT INFORMATION</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22</xdr:col>
      <xdr:colOff>0</xdr:colOff>
      <xdr:row>1</xdr:row>
      <xdr:rowOff>0</xdr:rowOff>
    </xdr:from>
    <xdr:to>
      <xdr:col>27</xdr:col>
      <xdr:colOff>0</xdr:colOff>
      <xdr:row>4</xdr:row>
      <xdr:rowOff>0</xdr:rowOff>
    </xdr:to>
    <xdr:sp macro="" textlink="MAIN4">
      <xdr:nvSpPr>
        <xdr:cNvPr id="6" name="MENU4">
          <a:hlinkClick xmlns:r="http://schemas.openxmlformats.org/officeDocument/2006/relationships" r:id="rId11" tooltip=" "/>
          <a:extLst>
            <a:ext uri="{FF2B5EF4-FFF2-40B4-BE49-F238E27FC236}">
              <a16:creationId xmlns:a16="http://schemas.microsoft.com/office/drawing/2014/main" id="{00000000-0008-0000-1500-000006000000}"/>
            </a:ext>
          </a:extLst>
        </xdr:cNvPr>
        <xdr:cNvSpPr/>
      </xdr:nvSpPr>
      <xdr:spPr>
        <a:xfrm>
          <a:off x="6915150" y="200025"/>
          <a:ext cx="1571625" cy="600075"/>
        </a:xfrm>
        <a:prstGeom prst="round2SameRect">
          <a:avLst/>
        </a:prstGeom>
        <a:solidFill>
          <a:srgbClr val="00334E"/>
        </a:solidFill>
        <a:ln w="12700">
          <a:solidFill>
            <a:srgbClr val="00334E"/>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CB369157-CA5B-4E40-B1DE-604993B819B3}" type="TxLink">
            <a:rPr lang="en-US" sz="1100" b="0" i="0" u="none" strike="noStrike">
              <a:solidFill>
                <a:schemeClr val="bg1"/>
              </a:solidFill>
              <a:latin typeface="Arial" panose="020B0604020202020204" pitchFamily="34" charset="0"/>
              <a:cs typeface="Arial" panose="020B0604020202020204" pitchFamily="34" charset="0"/>
            </a:rPr>
            <a:pPr algn="ctr"/>
            <a:t>CUSTOM MEASURES INPUT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27</xdr:col>
      <xdr:colOff>0</xdr:colOff>
      <xdr:row>1</xdr:row>
      <xdr:rowOff>0</xdr:rowOff>
    </xdr:from>
    <xdr:to>
      <xdr:col>32</xdr:col>
      <xdr:colOff>0</xdr:colOff>
      <xdr:row>4</xdr:row>
      <xdr:rowOff>0</xdr:rowOff>
    </xdr:to>
    <xdr:sp macro="" textlink="MAIN5">
      <xdr:nvSpPr>
        <xdr:cNvPr id="7" name="MENU5">
          <a:hlinkClick xmlns:r="http://schemas.openxmlformats.org/officeDocument/2006/relationships" r:id="rId12" tooltip=" "/>
          <a:extLst>
            <a:ext uri="{FF2B5EF4-FFF2-40B4-BE49-F238E27FC236}">
              <a16:creationId xmlns:a16="http://schemas.microsoft.com/office/drawing/2014/main" id="{00000000-0008-0000-1500-000007000000}"/>
            </a:ext>
          </a:extLst>
        </xdr:cNvPr>
        <xdr:cNvSpPr/>
      </xdr:nvSpPr>
      <xdr:spPr>
        <a:xfrm>
          <a:off x="8486775" y="200025"/>
          <a:ext cx="1571625" cy="600075"/>
        </a:xfrm>
        <a:prstGeom prst="round2SameRect">
          <a:avLst/>
        </a:prstGeom>
        <a:solidFill>
          <a:srgbClr val="00334E"/>
        </a:solidFill>
        <a:ln w="12700">
          <a:solidFill>
            <a:srgbClr val="00334E"/>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F0EEDDA6-4934-49B4-972D-20D21D440D82}" type="TxLink">
            <a:rPr lang="en-US" sz="1100" b="0" i="0" u="none" strike="noStrike">
              <a:solidFill>
                <a:schemeClr val="bg1"/>
              </a:solidFill>
              <a:latin typeface="Arial" panose="020B0604020202020204" pitchFamily="34" charset="0"/>
              <a:cs typeface="Arial" panose="020B0604020202020204" pitchFamily="34" charset="0"/>
            </a:rPr>
            <a:pPr algn="ctr"/>
            <a:t>APPLICATION REVIEW</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32</xdr:col>
      <xdr:colOff>0</xdr:colOff>
      <xdr:row>1</xdr:row>
      <xdr:rowOff>0</xdr:rowOff>
    </xdr:from>
    <xdr:to>
      <xdr:col>37</xdr:col>
      <xdr:colOff>1</xdr:colOff>
      <xdr:row>4</xdr:row>
      <xdr:rowOff>0</xdr:rowOff>
    </xdr:to>
    <xdr:sp macro="" textlink="MAIN6">
      <xdr:nvSpPr>
        <xdr:cNvPr id="8" name="MENU6">
          <a:extLst>
            <a:ext uri="{FF2B5EF4-FFF2-40B4-BE49-F238E27FC236}">
              <a16:creationId xmlns:a16="http://schemas.microsoft.com/office/drawing/2014/main" id="{00000000-0008-0000-1500-000008000000}"/>
            </a:ext>
          </a:extLst>
        </xdr:cNvPr>
        <xdr:cNvSpPr/>
      </xdr:nvSpPr>
      <xdr:spPr>
        <a:xfrm>
          <a:off x="10058400" y="200025"/>
          <a:ext cx="1571626"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00B050"/>
              </a:solidFill>
            </a14:hiddenFill>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B12A3774-975E-4B41-A681-E085295C6D0E}" type="TxLink">
            <a:rPr lang="en-US" sz="1100" b="0" i="0" u="none" strike="noStrike">
              <a:noFill/>
              <a:latin typeface="Arial" panose="020B0604020202020204" pitchFamily="34" charset="0"/>
              <a:cs typeface="Arial" panose="020B0604020202020204" pitchFamily="34" charset="0"/>
            </a:rPr>
            <a:pPr algn="ctr"/>
            <a:t> </a:t>
          </a:fld>
          <a:endParaRPr lang="en-US" sz="1100">
            <a:noFill/>
            <a:latin typeface="Arial" panose="020B0604020202020204" pitchFamily="34" charset="0"/>
            <a:cs typeface="Arial" panose="020B0604020202020204" pitchFamily="34" charset="0"/>
          </a:endParaRPr>
        </a:p>
      </xdr:txBody>
    </xdr:sp>
    <xdr:clientData/>
  </xdr:twoCellAnchor>
  <xdr:twoCellAnchor>
    <xdr:from>
      <xdr:col>36</xdr:col>
      <xdr:colOff>314324</xdr:colOff>
      <xdr:row>1</xdr:row>
      <xdr:rowOff>0</xdr:rowOff>
    </xdr:from>
    <xdr:to>
      <xdr:col>41</xdr:col>
      <xdr:colOff>314324</xdr:colOff>
      <xdr:row>4</xdr:row>
      <xdr:rowOff>0</xdr:rowOff>
    </xdr:to>
    <xdr:sp macro="" textlink="MAIN7">
      <xdr:nvSpPr>
        <xdr:cNvPr id="9" name="MENU7">
          <a:extLst>
            <a:ext uri="{FF2B5EF4-FFF2-40B4-BE49-F238E27FC236}">
              <a16:creationId xmlns:a16="http://schemas.microsoft.com/office/drawing/2014/main" id="{00000000-0008-0000-1500-000009000000}"/>
            </a:ext>
          </a:extLst>
        </xdr:cNvPr>
        <xdr:cNvSpPr/>
      </xdr:nvSpPr>
      <xdr:spPr>
        <a:xfrm>
          <a:off x="11630024" y="200025"/>
          <a:ext cx="1571625"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00B050"/>
              </a:solidFill>
            </a14:hiddenFill>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 </a:t>
          </a:fld>
          <a:endParaRPr lang="en-US" sz="1100">
            <a:noFill/>
            <a:latin typeface="Arial" panose="020B0604020202020204" pitchFamily="34" charset="0"/>
            <a:cs typeface="Arial" panose="020B0604020202020204" pitchFamily="34" charset="0"/>
          </a:endParaRPr>
        </a:p>
      </xdr:txBody>
    </xdr:sp>
    <xdr:clientData/>
  </xdr:twoCellAnchor>
  <xdr:twoCellAnchor>
    <xdr:from>
      <xdr:col>19</xdr:col>
      <xdr:colOff>190651</xdr:colOff>
      <xdr:row>5</xdr:row>
      <xdr:rowOff>51480</xdr:rowOff>
    </xdr:from>
    <xdr:to>
      <xdr:col>23</xdr:col>
      <xdr:colOff>307192</xdr:colOff>
      <xdr:row>7</xdr:row>
      <xdr:rowOff>50800</xdr:rowOff>
    </xdr:to>
    <xdr:sp macro="" textlink="M3S5">
      <xdr:nvSpPr>
        <xdr:cNvPr id="15" name="SUBMENU5">
          <a:hlinkClick xmlns:r="http://schemas.openxmlformats.org/officeDocument/2006/relationships" r:id="rId13" tooltip=" "/>
          <a:extLst>
            <a:ext uri="{FF2B5EF4-FFF2-40B4-BE49-F238E27FC236}">
              <a16:creationId xmlns:a16="http://schemas.microsoft.com/office/drawing/2014/main" id="{00000000-0008-0000-1500-00000F000000}"/>
            </a:ext>
          </a:extLst>
        </xdr:cNvPr>
        <xdr:cNvSpPr/>
      </xdr:nvSpPr>
      <xdr:spPr>
        <a:xfrm>
          <a:off x="6152180" y="1060009"/>
          <a:ext cx="1371600" cy="402732"/>
        </a:xfrm>
        <a:prstGeom prst="round2SameRect">
          <a:avLst/>
        </a:prstGeom>
        <a:solidFill>
          <a:srgbClr val="00334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52BFCEF9-4B05-45FB-B7B3-9621E37C07CC}" type="TxLink">
            <a:rPr lang="en-US" sz="1100" b="0" i="0" u="none" strike="noStrike">
              <a:solidFill>
                <a:srgbClr val="FFFFFF"/>
              </a:solidFill>
              <a:latin typeface="Arial" panose="020B0604020202020204" pitchFamily="34" charset="0"/>
              <a:cs typeface="Arial" panose="020B0604020202020204" pitchFamily="34" charset="0"/>
            </a:rPr>
            <a:pPr algn="ctr"/>
            <a:t>Commercial Cooking (Elec/Gas)</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1</xdr:col>
      <xdr:colOff>558</xdr:colOff>
      <xdr:row>7</xdr:row>
      <xdr:rowOff>188818</xdr:rowOff>
    </xdr:from>
    <xdr:to>
      <xdr:col>44</xdr:col>
      <xdr:colOff>0</xdr:colOff>
      <xdr:row>199</xdr:row>
      <xdr:rowOff>11206</xdr:rowOff>
    </xdr:to>
    <xdr:sp macro="" textlink="">
      <xdr:nvSpPr>
        <xdr:cNvPr id="19" name="BORDER">
          <a:extLst>
            <a:ext uri="{FF2B5EF4-FFF2-40B4-BE49-F238E27FC236}">
              <a16:creationId xmlns:a16="http://schemas.microsoft.com/office/drawing/2014/main" id="{00000000-0008-0000-1500-000013000000}"/>
            </a:ext>
          </a:extLst>
        </xdr:cNvPr>
        <xdr:cNvSpPr/>
      </xdr:nvSpPr>
      <xdr:spPr>
        <a:xfrm>
          <a:off x="314323" y="1600759"/>
          <a:ext cx="13491324" cy="38549918"/>
        </a:xfrm>
        <a:prstGeom prst="frame">
          <a:avLst>
            <a:gd name="adj1" fmla="val 97"/>
          </a:avLst>
        </a:prstGeom>
        <a:noFill/>
        <a:ln w="12700" cap="flat" cmpd="sng" algn="ctr">
          <a:solidFill>
            <a:srgbClr val="00334E"/>
          </a:solidFill>
          <a:prstDash val="solid"/>
          <a:miter lim="800000"/>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fPrintsWithSheet="0"/>
  </xdr:twoCellAnchor>
  <xdr:twoCellAnchor editAs="absolute">
    <xdr:from>
      <xdr:col>2</xdr:col>
      <xdr:colOff>2720</xdr:colOff>
      <xdr:row>9</xdr:row>
      <xdr:rowOff>1207</xdr:rowOff>
    </xdr:from>
    <xdr:to>
      <xdr:col>4</xdr:col>
      <xdr:colOff>960</xdr:colOff>
      <xdr:row>11</xdr:row>
      <xdr:rowOff>1207</xdr:rowOff>
    </xdr:to>
    <xdr:sp macro="" textlink="">
      <xdr:nvSpPr>
        <xdr:cNvPr id="20" name="BACK">
          <a:hlinkClick xmlns:r="http://schemas.openxmlformats.org/officeDocument/2006/relationships" r:id="rId14" tooltip=" "/>
          <a:extLst>
            <a:ext uri="{FF2B5EF4-FFF2-40B4-BE49-F238E27FC236}">
              <a16:creationId xmlns:a16="http://schemas.microsoft.com/office/drawing/2014/main" id="{00000000-0008-0000-1500-000014000000}"/>
            </a:ext>
          </a:extLst>
        </xdr:cNvPr>
        <xdr:cNvSpPr>
          <a:spLocks noChangeAspect="1"/>
        </xdr:cNvSpPr>
      </xdr:nvSpPr>
      <xdr:spPr>
        <a:xfrm>
          <a:off x="631370" y="1801432"/>
          <a:ext cx="626890" cy="400050"/>
        </a:xfrm>
        <a:prstGeom prst="leftArrow">
          <a:avLst/>
        </a:prstGeom>
        <a:solidFill>
          <a:srgbClr val="54BCEB"/>
        </a:solidFill>
        <a:ln>
          <a:solidFill>
            <a:srgbClr val="54BCEB"/>
          </a:solidFill>
        </a:ln>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editAs="oneCell">
    <xdr:from>
      <xdr:col>2</xdr:col>
      <xdr:colOff>102850</xdr:colOff>
      <xdr:row>0</xdr:row>
      <xdr:rowOff>156884</xdr:rowOff>
    </xdr:from>
    <xdr:to>
      <xdr:col>5</xdr:col>
      <xdr:colOff>30405</xdr:colOff>
      <xdr:row>2</xdr:row>
      <xdr:rowOff>195627</xdr:rowOff>
    </xdr:to>
    <xdr:pic>
      <xdr:nvPicPr>
        <xdr:cNvPr id="23" name="LOGO">
          <a:extLst>
            <a:ext uri="{FF2B5EF4-FFF2-40B4-BE49-F238E27FC236}">
              <a16:creationId xmlns:a16="http://schemas.microsoft.com/office/drawing/2014/main" id="{00000000-0008-0000-1500-000017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xdr:blipFill>
      <xdr:spPr>
        <a:xfrm>
          <a:off x="730379" y="156884"/>
          <a:ext cx="868850" cy="442155"/>
        </a:xfrm>
        <a:prstGeom prst="rect">
          <a:avLst/>
        </a:prstGeom>
      </xdr:spPr>
    </xdr:pic>
    <xdr:clientData/>
  </xdr:twoCellAnchor>
  <xdr:twoCellAnchor>
    <xdr:from>
      <xdr:col>1</xdr:col>
      <xdr:colOff>0</xdr:colOff>
      <xdr:row>7</xdr:row>
      <xdr:rowOff>0</xdr:rowOff>
    </xdr:from>
    <xdr:to>
      <xdr:col>44</xdr:col>
      <xdr:colOff>13806</xdr:colOff>
      <xdr:row>8</xdr:row>
      <xdr:rowOff>0</xdr:rowOff>
    </xdr:to>
    <xdr:sp macro="" textlink="">
      <xdr:nvSpPr>
        <xdr:cNvPr id="21" name="BOTTOMRIBBON">
          <a:extLst>
            <a:ext uri="{FF2B5EF4-FFF2-40B4-BE49-F238E27FC236}">
              <a16:creationId xmlns:a16="http://schemas.microsoft.com/office/drawing/2014/main" id="{00000000-0008-0000-1500-000015000000}"/>
            </a:ext>
          </a:extLst>
        </xdr:cNvPr>
        <xdr:cNvSpPr/>
      </xdr:nvSpPr>
      <xdr:spPr>
        <a:xfrm>
          <a:off x="313765" y="1411941"/>
          <a:ext cx="13505688" cy="201706"/>
        </a:xfrm>
        <a:prstGeom prst="rect">
          <a:avLst/>
        </a:prstGeom>
        <a:solidFill>
          <a:srgbClr val="00334E"/>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solidFill>
              <a:srgbClr val="FFFFFF"/>
            </a:solidFill>
          </a:endParaRP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17</xdr:col>
      <xdr:colOff>0</xdr:colOff>
      <xdr:row>1</xdr:row>
      <xdr:rowOff>133350</xdr:rowOff>
    </xdr:from>
    <xdr:to>
      <xdr:col>22</xdr:col>
      <xdr:colOff>0</xdr:colOff>
      <xdr:row>4</xdr:row>
      <xdr:rowOff>133350</xdr:rowOff>
    </xdr:to>
    <xdr:sp macro="" textlink="MAIN3">
      <xdr:nvSpPr>
        <xdr:cNvPr id="3" name="MENU3">
          <a:hlinkClick xmlns:r="http://schemas.openxmlformats.org/officeDocument/2006/relationships" r:id="rId1" tooltip=" "/>
          <a:extLst>
            <a:ext uri="{FF2B5EF4-FFF2-40B4-BE49-F238E27FC236}">
              <a16:creationId xmlns:a16="http://schemas.microsoft.com/office/drawing/2014/main" id="{00000000-0008-0000-1600-000003000000}"/>
            </a:ext>
          </a:extLst>
        </xdr:cNvPr>
        <xdr:cNvSpPr/>
      </xdr:nvSpPr>
      <xdr:spPr>
        <a:xfrm>
          <a:off x="5343525" y="333375"/>
          <a:ext cx="1571625" cy="600075"/>
        </a:xfrm>
        <a:prstGeom prst="round2SameRect">
          <a:avLst/>
        </a:prstGeom>
        <a:solidFill>
          <a:srgbClr val="A6A5AA"/>
        </a:solidFill>
        <a:ln w="12700">
          <a:solidFill>
            <a:srgbClr val="A6A5AA"/>
          </a:solidFill>
        </a:ln>
        <a:effectLst>
          <a:outerShdw blurRad="25400" dist="508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06A037F-AE33-47CC-85C1-F6D62694F95D}" type="TxLink">
            <a:rPr lang="en-US" sz="1100" b="0" i="0" u="none" strike="noStrike">
              <a:solidFill>
                <a:schemeClr val="bg1"/>
              </a:solidFill>
              <a:latin typeface="Arial" panose="020B0604020202020204" pitchFamily="34" charset="0"/>
              <a:cs typeface="Arial" panose="020B0604020202020204" pitchFamily="34" charset="0"/>
            </a:rPr>
            <a:pPr algn="ctr"/>
            <a:t>PRESCRIPTIVE MEASURES INPUT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xdr:col>
      <xdr:colOff>0</xdr:colOff>
      <xdr:row>4</xdr:row>
      <xdr:rowOff>1</xdr:rowOff>
    </xdr:from>
    <xdr:to>
      <xdr:col>44</xdr:col>
      <xdr:colOff>13806</xdr:colOff>
      <xdr:row>7</xdr:row>
      <xdr:rowOff>0</xdr:rowOff>
    </xdr:to>
    <xdr:sp macro="" textlink="">
      <xdr:nvSpPr>
        <xdr:cNvPr id="4" name="TOPRIBBON">
          <a:extLst>
            <a:ext uri="{FF2B5EF4-FFF2-40B4-BE49-F238E27FC236}">
              <a16:creationId xmlns:a16="http://schemas.microsoft.com/office/drawing/2014/main" id="{00000000-0008-0000-1600-000004000000}"/>
            </a:ext>
          </a:extLst>
        </xdr:cNvPr>
        <xdr:cNvSpPr/>
      </xdr:nvSpPr>
      <xdr:spPr>
        <a:xfrm>
          <a:off x="314325" y="800101"/>
          <a:ext cx="13529781" cy="600074"/>
        </a:xfrm>
        <a:prstGeom prst="round2SameRect">
          <a:avLst/>
        </a:prstGeom>
        <a:solidFill>
          <a:srgbClr val="A6A5A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p>
      </xdr:txBody>
    </xdr:sp>
    <xdr:clientData/>
  </xdr:twoCellAnchor>
  <xdr:twoCellAnchor>
    <xdr:from>
      <xdr:col>2</xdr:col>
      <xdr:colOff>2720</xdr:colOff>
      <xdr:row>5</xdr:row>
      <xdr:rowOff>0</xdr:rowOff>
    </xdr:from>
    <xdr:to>
      <xdr:col>6</xdr:col>
      <xdr:colOff>119261</xdr:colOff>
      <xdr:row>6</xdr:row>
      <xdr:rowOff>197827</xdr:rowOff>
    </xdr:to>
    <xdr:sp macro="" textlink="M3S1">
      <xdr:nvSpPr>
        <xdr:cNvPr id="14" name="SUBMENU1">
          <a:hlinkClick xmlns:r="http://schemas.openxmlformats.org/officeDocument/2006/relationships" r:id="rId1" tooltip=" "/>
          <a:extLst>
            <a:ext uri="{FF2B5EF4-FFF2-40B4-BE49-F238E27FC236}">
              <a16:creationId xmlns:a16="http://schemas.microsoft.com/office/drawing/2014/main" id="{00000000-0008-0000-1600-00000E000000}"/>
            </a:ext>
          </a:extLst>
        </xdr:cNvPr>
        <xdr:cNvSpPr/>
      </xdr:nvSpPr>
      <xdr:spPr>
        <a:xfrm>
          <a:off x="630249" y="1008529"/>
          <a:ext cx="1371600" cy="399533"/>
        </a:xfrm>
        <a:prstGeom prst="round2SameRect">
          <a:avLst/>
        </a:prstGeom>
        <a:solidFill>
          <a:srgbClr val="1A9DD8"/>
        </a:solidFill>
        <a:ln w="12700">
          <a:solidFill>
            <a:srgbClr val="1A9DD8"/>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ADF56A7A-CB83-4152-B95A-120E0363F7FB}" type="TxLink">
            <a:rPr lang="en-US" sz="1100" b="0" i="0" u="none" strike="noStrike">
              <a:solidFill>
                <a:srgbClr val="FFFFFF"/>
              </a:solidFill>
              <a:latin typeface="Arial" panose="020B0604020202020204" pitchFamily="34" charset="0"/>
              <a:cs typeface="Arial" panose="020B0604020202020204" pitchFamily="34" charset="0"/>
            </a:rPr>
            <a:pPr algn="ctr"/>
            <a:t>Lighting</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6</xdr:col>
      <xdr:colOff>131115</xdr:colOff>
      <xdr:row>4</xdr:row>
      <xdr:rowOff>200705</xdr:rowOff>
    </xdr:from>
    <xdr:to>
      <xdr:col>10</xdr:col>
      <xdr:colOff>247656</xdr:colOff>
      <xdr:row>7</xdr:row>
      <xdr:rowOff>0</xdr:rowOff>
    </xdr:to>
    <xdr:sp macro="" textlink="M3S2">
      <xdr:nvSpPr>
        <xdr:cNvPr id="15" name="SUBMENU2">
          <a:hlinkClick xmlns:r="http://schemas.openxmlformats.org/officeDocument/2006/relationships" r:id="rId2" tooltip=" "/>
          <a:extLst>
            <a:ext uri="{FF2B5EF4-FFF2-40B4-BE49-F238E27FC236}">
              <a16:creationId xmlns:a16="http://schemas.microsoft.com/office/drawing/2014/main" id="{00000000-0008-0000-1600-00000F000000}"/>
            </a:ext>
          </a:extLst>
        </xdr:cNvPr>
        <xdr:cNvSpPr/>
      </xdr:nvSpPr>
      <xdr:spPr>
        <a:xfrm>
          <a:off x="2013703" y="1007529"/>
          <a:ext cx="1371600" cy="404412"/>
        </a:xfrm>
        <a:prstGeom prst="round2SameRect">
          <a:avLst/>
        </a:prstGeom>
        <a:solidFill>
          <a:srgbClr val="1A9DD8"/>
        </a:solidFill>
        <a:ln w="12700">
          <a:solidFill>
            <a:srgbClr val="1A9DD8"/>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3F4CA6B-01F3-44D0-A0E3-D0AA753206B2}" type="TxLink">
            <a:rPr lang="en-US" sz="1100" b="0" i="0" u="none" strike="noStrike">
              <a:solidFill>
                <a:srgbClr val="FFFFFF"/>
              </a:solidFill>
              <a:latin typeface="Arial" panose="020B0604020202020204" pitchFamily="34" charset="0"/>
              <a:cs typeface="Arial" panose="020B0604020202020204" pitchFamily="34" charset="0"/>
            </a:rPr>
            <a:pPr algn="ctr"/>
            <a:t>Lighting Controls</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10</xdr:col>
      <xdr:colOff>261771</xdr:colOff>
      <xdr:row>4</xdr:row>
      <xdr:rowOff>200705</xdr:rowOff>
    </xdr:from>
    <xdr:to>
      <xdr:col>15</xdr:col>
      <xdr:colOff>64547</xdr:colOff>
      <xdr:row>7</xdr:row>
      <xdr:rowOff>0</xdr:rowOff>
    </xdr:to>
    <xdr:sp macro="" textlink="M3S3">
      <xdr:nvSpPr>
        <xdr:cNvPr id="16" name="SUBMENU3">
          <a:hlinkClick xmlns:r="http://schemas.openxmlformats.org/officeDocument/2006/relationships" r:id="rId3" tooltip=" "/>
          <a:extLst>
            <a:ext uri="{FF2B5EF4-FFF2-40B4-BE49-F238E27FC236}">
              <a16:creationId xmlns:a16="http://schemas.microsoft.com/office/drawing/2014/main" id="{00000000-0008-0000-1600-000010000000}"/>
            </a:ext>
          </a:extLst>
        </xdr:cNvPr>
        <xdr:cNvSpPr/>
      </xdr:nvSpPr>
      <xdr:spPr>
        <a:xfrm>
          <a:off x="3399418" y="1007529"/>
          <a:ext cx="1371600" cy="404412"/>
        </a:xfrm>
        <a:prstGeom prst="round2SameRect">
          <a:avLst/>
        </a:prstGeom>
        <a:solidFill>
          <a:srgbClr val="1A9DD8"/>
        </a:solidFill>
        <a:ln w="12700">
          <a:solidFill>
            <a:srgbClr val="1A9DD8"/>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E60A9FB0-D7E6-4ADD-8A44-C9B2BE21324A}" type="TxLink">
            <a:rPr lang="en-US" sz="1100" b="0" i="0" u="none" strike="noStrike">
              <a:solidFill>
                <a:srgbClr val="FFFFFF"/>
              </a:solidFill>
              <a:latin typeface="Arial" panose="020B0604020202020204" pitchFamily="34" charset="0"/>
              <a:cs typeface="Arial" panose="020B0604020202020204" pitchFamily="34" charset="0"/>
            </a:rPr>
            <a:pPr algn="ctr"/>
            <a:t>HVAC (Electric)</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15</xdr:col>
      <xdr:colOff>78666</xdr:colOff>
      <xdr:row>4</xdr:row>
      <xdr:rowOff>200705</xdr:rowOff>
    </xdr:from>
    <xdr:to>
      <xdr:col>19</xdr:col>
      <xdr:colOff>195208</xdr:colOff>
      <xdr:row>7</xdr:row>
      <xdr:rowOff>0</xdr:rowOff>
    </xdr:to>
    <xdr:sp macro="" textlink="M3S4">
      <xdr:nvSpPr>
        <xdr:cNvPr id="17" name="SUBMENU4">
          <a:hlinkClick xmlns:r="http://schemas.openxmlformats.org/officeDocument/2006/relationships" r:id="rId4" tooltip=" "/>
          <a:extLst>
            <a:ext uri="{FF2B5EF4-FFF2-40B4-BE49-F238E27FC236}">
              <a16:creationId xmlns:a16="http://schemas.microsoft.com/office/drawing/2014/main" id="{00000000-0008-0000-1600-000011000000}"/>
            </a:ext>
          </a:extLst>
        </xdr:cNvPr>
        <xdr:cNvSpPr/>
      </xdr:nvSpPr>
      <xdr:spPr>
        <a:xfrm>
          <a:off x="4785137" y="1007529"/>
          <a:ext cx="1371600" cy="404412"/>
        </a:xfrm>
        <a:prstGeom prst="round2SameRect">
          <a:avLst/>
        </a:prstGeom>
        <a:solidFill>
          <a:srgbClr val="1A9DD8"/>
        </a:solidFill>
        <a:ln w="12700">
          <a:solidFill>
            <a:srgbClr val="1A9DD8"/>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marL="0" indent="0" algn="ctr"/>
          <a:fld id="{EC4D1991-C1D9-486E-95EB-30A9469B742C}" type="TxLink">
            <a:rPr lang="en-US" sz="1100" b="0" i="0" u="none" strike="noStrike">
              <a:solidFill>
                <a:srgbClr val="FFFFFF"/>
              </a:solidFill>
              <a:latin typeface="Arial" panose="020B0604020202020204" pitchFamily="34" charset="0"/>
              <a:ea typeface="+mn-ea"/>
              <a:cs typeface="Arial" panose="020B0604020202020204" pitchFamily="34" charset="0"/>
            </a:rPr>
            <a:pPr marL="0" indent="0" algn="ctr"/>
            <a:t>Refrigeration</a:t>
          </a:fld>
          <a:endParaRPr lang="en-US" sz="1100" b="0" i="0" u="none" strike="noStrike">
            <a:solidFill>
              <a:srgbClr val="FFFFFF"/>
            </a:solidFill>
            <a:latin typeface="Arial" panose="020B0604020202020204" pitchFamily="34" charset="0"/>
            <a:ea typeface="+mn-ea"/>
            <a:cs typeface="Arial" panose="020B0604020202020204" pitchFamily="34" charset="0"/>
          </a:endParaRPr>
        </a:p>
      </xdr:txBody>
    </xdr:sp>
    <xdr:clientData/>
  </xdr:twoCellAnchor>
  <xdr:twoCellAnchor>
    <xdr:from>
      <xdr:col>19</xdr:col>
      <xdr:colOff>198118</xdr:colOff>
      <xdr:row>4</xdr:row>
      <xdr:rowOff>197155</xdr:rowOff>
    </xdr:from>
    <xdr:to>
      <xdr:col>24</xdr:col>
      <xdr:colOff>894</xdr:colOff>
      <xdr:row>6</xdr:row>
      <xdr:rowOff>196476</xdr:rowOff>
    </xdr:to>
    <xdr:sp macro="" textlink="M3S5">
      <xdr:nvSpPr>
        <xdr:cNvPr id="18" name="SUBMENU5">
          <a:hlinkClick xmlns:r="http://schemas.openxmlformats.org/officeDocument/2006/relationships" r:id="rId5" tooltip=" "/>
          <a:extLst>
            <a:ext uri="{FF2B5EF4-FFF2-40B4-BE49-F238E27FC236}">
              <a16:creationId xmlns:a16="http://schemas.microsoft.com/office/drawing/2014/main" id="{00000000-0008-0000-1600-000012000000}"/>
            </a:ext>
          </a:extLst>
        </xdr:cNvPr>
        <xdr:cNvSpPr/>
      </xdr:nvSpPr>
      <xdr:spPr>
        <a:xfrm>
          <a:off x="6159647" y="1003979"/>
          <a:ext cx="1371600" cy="402732"/>
        </a:xfrm>
        <a:prstGeom prst="round2SameRect">
          <a:avLst/>
        </a:prstGeom>
        <a:solidFill>
          <a:srgbClr val="1A9DD8"/>
        </a:solidFill>
        <a:ln w="12700">
          <a:solidFill>
            <a:srgbClr val="1A9DD8"/>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marL="0" indent="0" algn="ctr"/>
          <a:fld id="{52BFCEF9-4B05-45FB-B7B3-9621E37C07CC}" type="TxLink">
            <a:rPr lang="en-US" sz="1100" b="0" i="0" u="none" strike="noStrike">
              <a:solidFill>
                <a:srgbClr val="FFFFFF"/>
              </a:solidFill>
              <a:latin typeface="Arial" panose="020B0604020202020204" pitchFamily="34" charset="0"/>
              <a:ea typeface="+mn-ea"/>
              <a:cs typeface="Arial" panose="020B0604020202020204" pitchFamily="34" charset="0"/>
            </a:rPr>
            <a:pPr marL="0" indent="0" algn="ctr"/>
            <a:t>Commercial Cooking (Elec/Gas)</a:t>
          </a:fld>
          <a:endParaRPr lang="en-US" sz="1100" b="0" i="0" u="none" strike="noStrike">
            <a:solidFill>
              <a:srgbClr val="FFFFFF"/>
            </a:solidFill>
            <a:latin typeface="Arial" panose="020B0604020202020204" pitchFamily="34" charset="0"/>
            <a:ea typeface="+mn-ea"/>
            <a:cs typeface="Arial" panose="020B0604020202020204" pitchFamily="34" charset="0"/>
          </a:endParaRPr>
        </a:p>
      </xdr:txBody>
    </xdr:sp>
    <xdr:clientData/>
  </xdr:twoCellAnchor>
  <xdr:twoCellAnchor>
    <xdr:from>
      <xdr:col>28</xdr:col>
      <xdr:colOff>137609</xdr:colOff>
      <xdr:row>5</xdr:row>
      <xdr:rowOff>2174</xdr:rowOff>
    </xdr:from>
    <xdr:to>
      <xdr:col>32</xdr:col>
      <xdr:colOff>254150</xdr:colOff>
      <xdr:row>7</xdr:row>
      <xdr:rowOff>1494</xdr:rowOff>
    </xdr:to>
    <xdr:sp macro="" textlink="M3S9">
      <xdr:nvSpPr>
        <xdr:cNvPr id="25" name="SUBMENU5">
          <a:hlinkClick xmlns:r="http://schemas.openxmlformats.org/officeDocument/2006/relationships" r:id="rId6" tooltip=" "/>
          <a:extLst>
            <a:ext uri="{FF2B5EF4-FFF2-40B4-BE49-F238E27FC236}">
              <a16:creationId xmlns:a16="http://schemas.microsoft.com/office/drawing/2014/main" id="{00000000-0008-0000-1600-000019000000}"/>
            </a:ext>
          </a:extLst>
        </xdr:cNvPr>
        <xdr:cNvSpPr/>
      </xdr:nvSpPr>
      <xdr:spPr>
        <a:xfrm>
          <a:off x="8923021" y="1010703"/>
          <a:ext cx="1371600" cy="402732"/>
        </a:xfrm>
        <a:prstGeom prst="round2SameRect">
          <a:avLst/>
        </a:prstGeom>
        <a:solidFill>
          <a:srgbClr val="1A9DD8"/>
        </a:solidFill>
        <a:ln w="12700">
          <a:solidFill>
            <a:srgbClr val="1A9DD8"/>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marL="0" indent="0" algn="ctr"/>
          <a:fld id="{FDE417D9-BB8B-470F-AFD8-9914571AC487}" type="TxLink">
            <a:rPr lang="en-US" sz="1100" b="0" i="0" u="none" strike="noStrike">
              <a:solidFill>
                <a:schemeClr val="bg1"/>
              </a:solidFill>
              <a:latin typeface="Arial" panose="020B0604020202020204" pitchFamily="34" charset="0"/>
              <a:ea typeface="+mn-ea"/>
              <a:cs typeface="Arial" panose="020B0604020202020204" pitchFamily="34" charset="0"/>
            </a:rPr>
            <a:pPr marL="0" indent="0" algn="ctr"/>
            <a:t>Agriculture (Elec/Gas)</a:t>
          </a:fld>
          <a:endParaRPr lang="en-US" sz="1100" b="0" i="0" u="none" strike="noStrike">
            <a:solidFill>
              <a:schemeClr val="bg1"/>
            </a:solidFill>
            <a:latin typeface="Arial" panose="020B0604020202020204" pitchFamily="34" charset="0"/>
            <a:ea typeface="+mn-ea"/>
            <a:cs typeface="Arial" panose="020B0604020202020204" pitchFamily="34" charset="0"/>
          </a:endParaRPr>
        </a:p>
      </xdr:txBody>
    </xdr:sp>
    <xdr:clientData/>
  </xdr:twoCellAnchor>
  <xdr:twoCellAnchor>
    <xdr:from>
      <xdr:col>32</xdr:col>
      <xdr:colOff>272757</xdr:colOff>
      <xdr:row>4</xdr:row>
      <xdr:rowOff>200705</xdr:rowOff>
    </xdr:from>
    <xdr:to>
      <xdr:col>36</xdr:col>
      <xdr:colOff>261283</xdr:colOff>
      <xdr:row>7</xdr:row>
      <xdr:rowOff>0</xdr:rowOff>
    </xdr:to>
    <xdr:sp macro="" textlink="M3S6">
      <xdr:nvSpPr>
        <xdr:cNvPr id="5" name="SUBMENU6">
          <a:hlinkClick xmlns:r="http://schemas.openxmlformats.org/officeDocument/2006/relationships" r:id="rId7" tooltip=" "/>
          <a:extLst>
            <a:ext uri="{FF2B5EF4-FFF2-40B4-BE49-F238E27FC236}">
              <a16:creationId xmlns:a16="http://schemas.microsoft.com/office/drawing/2014/main" id="{00000000-0008-0000-1600-000005000000}"/>
            </a:ext>
          </a:extLst>
        </xdr:cNvPr>
        <xdr:cNvSpPr/>
      </xdr:nvSpPr>
      <xdr:spPr>
        <a:xfrm>
          <a:off x="10313228" y="1007529"/>
          <a:ext cx="1243584" cy="404412"/>
        </a:xfrm>
        <a:prstGeom prst="round2SameRect">
          <a:avLst/>
        </a:prstGeom>
        <a:solidFill>
          <a:srgbClr val="54BCEB"/>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30A5A5F-CF4B-4F90-A7E3-B223777D7BE2}" type="TxLink">
            <a:rPr lang="en-US" sz="1100" b="0" i="0" u="none" strike="noStrike">
              <a:solidFill>
                <a:srgbClr val="FFFFFF"/>
              </a:solidFill>
              <a:latin typeface="Arial" panose="020B0604020202020204" pitchFamily="34" charset="0"/>
              <a:cs typeface="Arial" panose="020B0604020202020204" pitchFamily="34" charset="0"/>
            </a:rPr>
            <a:pPr algn="ctr"/>
            <a:t>HVAC 
(Gas)</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36</xdr:col>
      <xdr:colOff>280149</xdr:colOff>
      <xdr:row>5</xdr:row>
      <xdr:rowOff>1</xdr:rowOff>
    </xdr:from>
    <xdr:to>
      <xdr:col>40</xdr:col>
      <xdr:colOff>268674</xdr:colOff>
      <xdr:row>7</xdr:row>
      <xdr:rowOff>1001</xdr:rowOff>
    </xdr:to>
    <xdr:sp macro="" textlink="M3S7">
      <xdr:nvSpPr>
        <xdr:cNvPr id="24" name="SUBMENU7">
          <a:hlinkClick xmlns:r="http://schemas.openxmlformats.org/officeDocument/2006/relationships" r:id="rId8" tooltip=" "/>
          <a:extLst>
            <a:ext uri="{FF2B5EF4-FFF2-40B4-BE49-F238E27FC236}">
              <a16:creationId xmlns:a16="http://schemas.microsoft.com/office/drawing/2014/main" id="{00000000-0008-0000-1600-000018000000}"/>
            </a:ext>
          </a:extLst>
        </xdr:cNvPr>
        <xdr:cNvSpPr/>
      </xdr:nvSpPr>
      <xdr:spPr>
        <a:xfrm>
          <a:off x="11575678" y="1008530"/>
          <a:ext cx="1243584" cy="404412"/>
        </a:xfrm>
        <a:prstGeom prst="round2SameRect">
          <a:avLst/>
        </a:prstGeom>
        <a:solidFill>
          <a:srgbClr val="54BCEB"/>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DBE1B27F-5FE8-4BDD-82FC-95C3FF9A200E}"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Water Heating / Others (Gas)</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editAs="absolute">
    <xdr:from>
      <xdr:col>41</xdr:col>
      <xdr:colOff>0</xdr:colOff>
      <xdr:row>9</xdr:row>
      <xdr:rowOff>1047</xdr:rowOff>
    </xdr:from>
    <xdr:to>
      <xdr:col>43</xdr:col>
      <xdr:colOff>22963</xdr:colOff>
      <xdr:row>11</xdr:row>
      <xdr:rowOff>1046</xdr:rowOff>
    </xdr:to>
    <xdr:sp macro="" textlink="">
      <xdr:nvSpPr>
        <xdr:cNvPr id="7" name="NEXT">
          <a:hlinkClick xmlns:r="http://schemas.openxmlformats.org/officeDocument/2006/relationships" r:id="rId6" tooltip=" "/>
          <a:extLst>
            <a:ext uri="{FF2B5EF4-FFF2-40B4-BE49-F238E27FC236}">
              <a16:creationId xmlns:a16="http://schemas.microsoft.com/office/drawing/2014/main" id="{00000000-0008-0000-1600-000007000000}"/>
            </a:ext>
          </a:extLst>
        </xdr:cNvPr>
        <xdr:cNvSpPr>
          <a:spLocks noChangeAspect="1"/>
        </xdr:cNvSpPr>
      </xdr:nvSpPr>
      <xdr:spPr>
        <a:xfrm>
          <a:off x="12887325" y="1801272"/>
          <a:ext cx="627520" cy="400049"/>
        </a:xfrm>
        <a:prstGeom prst="rightArrow">
          <a:avLst/>
        </a:prstGeom>
        <a:solidFill>
          <a:srgbClr val="54BCEB"/>
        </a:solidFill>
        <a:ln>
          <a:solidFill>
            <a:srgbClr val="54BCEB"/>
          </a:solidFill>
        </a:ln>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7</xdr:col>
      <xdr:colOff>457</xdr:colOff>
      <xdr:row>1</xdr:row>
      <xdr:rowOff>0</xdr:rowOff>
    </xdr:from>
    <xdr:to>
      <xdr:col>12</xdr:col>
      <xdr:colOff>0</xdr:colOff>
      <xdr:row>4</xdr:row>
      <xdr:rowOff>0</xdr:rowOff>
    </xdr:to>
    <xdr:sp macro="" textlink="MAIN1">
      <xdr:nvSpPr>
        <xdr:cNvPr id="8" name="MENU1">
          <a:hlinkClick xmlns:r="http://schemas.openxmlformats.org/officeDocument/2006/relationships" r:id="rId9" tooltip=" "/>
          <a:extLst>
            <a:ext uri="{FF2B5EF4-FFF2-40B4-BE49-F238E27FC236}">
              <a16:creationId xmlns:a16="http://schemas.microsoft.com/office/drawing/2014/main" id="{00000000-0008-0000-1600-000008000000}"/>
            </a:ext>
          </a:extLst>
        </xdr:cNvPr>
        <xdr:cNvSpPr/>
      </xdr:nvSpPr>
      <xdr:spPr>
        <a:xfrm>
          <a:off x="2200732" y="200025"/>
          <a:ext cx="1571168" cy="600075"/>
        </a:xfrm>
        <a:prstGeom prst="round2SameRect">
          <a:avLst/>
        </a:prstGeom>
        <a:solidFill>
          <a:srgbClr val="00334E"/>
        </a:solidFill>
        <a:ln w="12700">
          <a:solidFill>
            <a:srgbClr val="00334E"/>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D6F2F067-2676-4601-ABCE-75BD5137E3D5}" type="TxLink">
            <a:rPr lang="en-US" sz="1100" b="0" i="0" u="none" strike="noStrike">
              <a:solidFill>
                <a:schemeClr val="bg1"/>
              </a:solidFill>
              <a:latin typeface="Arial" panose="020B0604020202020204" pitchFamily="34" charset="0"/>
              <a:cs typeface="Arial" panose="020B0604020202020204" pitchFamily="34" charset="0"/>
            </a:rPr>
            <a:pPr algn="ctr"/>
            <a:t>START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12</xdr:col>
      <xdr:colOff>0</xdr:colOff>
      <xdr:row>1</xdr:row>
      <xdr:rowOff>0</xdr:rowOff>
    </xdr:from>
    <xdr:to>
      <xdr:col>17</xdr:col>
      <xdr:colOff>0</xdr:colOff>
      <xdr:row>4</xdr:row>
      <xdr:rowOff>0</xdr:rowOff>
    </xdr:to>
    <xdr:sp macro="" textlink="MAIN2">
      <xdr:nvSpPr>
        <xdr:cNvPr id="9" name="MENU2">
          <a:hlinkClick xmlns:r="http://schemas.openxmlformats.org/officeDocument/2006/relationships" r:id="rId10" tooltip=" "/>
          <a:extLst>
            <a:ext uri="{FF2B5EF4-FFF2-40B4-BE49-F238E27FC236}">
              <a16:creationId xmlns:a16="http://schemas.microsoft.com/office/drawing/2014/main" id="{00000000-0008-0000-1600-000009000000}"/>
            </a:ext>
          </a:extLst>
        </xdr:cNvPr>
        <xdr:cNvSpPr/>
      </xdr:nvSpPr>
      <xdr:spPr>
        <a:xfrm>
          <a:off x="3771900" y="200025"/>
          <a:ext cx="1571625" cy="600075"/>
        </a:xfrm>
        <a:prstGeom prst="round2SameRect">
          <a:avLst/>
        </a:prstGeom>
        <a:solidFill>
          <a:srgbClr val="00334E"/>
        </a:solidFill>
        <a:ln w="12700">
          <a:solidFill>
            <a:srgbClr val="00334E"/>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59A035B9-F1D2-4E89-B262-AF2DF0C338A9}" type="TxLink">
            <a:rPr lang="en-US" sz="1100" b="0" i="0" u="none" strike="noStrike">
              <a:solidFill>
                <a:schemeClr val="bg1"/>
              </a:solidFill>
              <a:latin typeface="Arial" panose="020B0604020202020204" pitchFamily="34" charset="0"/>
              <a:cs typeface="Arial" panose="020B0604020202020204" pitchFamily="34" charset="0"/>
            </a:rPr>
            <a:pPr algn="ctr"/>
            <a:t>PROJECT INFORMATION</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22</xdr:col>
      <xdr:colOff>0</xdr:colOff>
      <xdr:row>1</xdr:row>
      <xdr:rowOff>0</xdr:rowOff>
    </xdr:from>
    <xdr:to>
      <xdr:col>27</xdr:col>
      <xdr:colOff>0</xdr:colOff>
      <xdr:row>4</xdr:row>
      <xdr:rowOff>0</xdr:rowOff>
    </xdr:to>
    <xdr:sp macro="" textlink="MAIN4">
      <xdr:nvSpPr>
        <xdr:cNvPr id="10" name="MENU4">
          <a:hlinkClick xmlns:r="http://schemas.openxmlformats.org/officeDocument/2006/relationships" r:id="rId11" tooltip=" "/>
          <a:extLst>
            <a:ext uri="{FF2B5EF4-FFF2-40B4-BE49-F238E27FC236}">
              <a16:creationId xmlns:a16="http://schemas.microsoft.com/office/drawing/2014/main" id="{00000000-0008-0000-1600-00000A000000}"/>
            </a:ext>
          </a:extLst>
        </xdr:cNvPr>
        <xdr:cNvSpPr/>
      </xdr:nvSpPr>
      <xdr:spPr>
        <a:xfrm>
          <a:off x="6915150" y="200025"/>
          <a:ext cx="1571625" cy="600075"/>
        </a:xfrm>
        <a:prstGeom prst="round2SameRect">
          <a:avLst/>
        </a:prstGeom>
        <a:solidFill>
          <a:srgbClr val="00334E"/>
        </a:solidFill>
        <a:ln w="12700">
          <a:solidFill>
            <a:srgbClr val="00334E"/>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CB369157-CA5B-4E40-B1DE-604993B819B3}" type="TxLink">
            <a:rPr lang="en-US" sz="1100" b="0" i="0" u="none" strike="noStrike">
              <a:solidFill>
                <a:schemeClr val="bg1"/>
              </a:solidFill>
              <a:latin typeface="Arial" panose="020B0604020202020204" pitchFamily="34" charset="0"/>
              <a:cs typeface="Arial" panose="020B0604020202020204" pitchFamily="34" charset="0"/>
            </a:rPr>
            <a:pPr algn="ctr"/>
            <a:t>CUSTOM MEASURES INPUT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27</xdr:col>
      <xdr:colOff>0</xdr:colOff>
      <xdr:row>1</xdr:row>
      <xdr:rowOff>0</xdr:rowOff>
    </xdr:from>
    <xdr:to>
      <xdr:col>32</xdr:col>
      <xdr:colOff>0</xdr:colOff>
      <xdr:row>4</xdr:row>
      <xdr:rowOff>0</xdr:rowOff>
    </xdr:to>
    <xdr:sp macro="" textlink="MAIN5">
      <xdr:nvSpPr>
        <xdr:cNvPr id="11" name="MENU5">
          <a:hlinkClick xmlns:r="http://schemas.openxmlformats.org/officeDocument/2006/relationships" r:id="rId12" tooltip=" "/>
          <a:extLst>
            <a:ext uri="{FF2B5EF4-FFF2-40B4-BE49-F238E27FC236}">
              <a16:creationId xmlns:a16="http://schemas.microsoft.com/office/drawing/2014/main" id="{00000000-0008-0000-1600-00000B000000}"/>
            </a:ext>
          </a:extLst>
        </xdr:cNvPr>
        <xdr:cNvSpPr/>
      </xdr:nvSpPr>
      <xdr:spPr>
        <a:xfrm>
          <a:off x="8486775" y="200025"/>
          <a:ext cx="1571625" cy="600075"/>
        </a:xfrm>
        <a:prstGeom prst="round2SameRect">
          <a:avLst/>
        </a:prstGeom>
        <a:solidFill>
          <a:srgbClr val="00334E"/>
        </a:solidFill>
        <a:ln w="12700">
          <a:solidFill>
            <a:srgbClr val="00334E"/>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F0EEDDA6-4934-49B4-972D-20D21D440D82}" type="TxLink">
            <a:rPr lang="en-US" sz="1100" b="0" i="0" u="none" strike="noStrike">
              <a:solidFill>
                <a:schemeClr val="bg1"/>
              </a:solidFill>
              <a:latin typeface="Arial" panose="020B0604020202020204" pitchFamily="34" charset="0"/>
              <a:cs typeface="Arial" panose="020B0604020202020204" pitchFamily="34" charset="0"/>
            </a:rPr>
            <a:pPr algn="ctr"/>
            <a:t>APPLICATION REVIEW</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32</xdr:col>
      <xdr:colOff>0</xdr:colOff>
      <xdr:row>1</xdr:row>
      <xdr:rowOff>0</xdr:rowOff>
    </xdr:from>
    <xdr:to>
      <xdr:col>37</xdr:col>
      <xdr:colOff>1</xdr:colOff>
      <xdr:row>4</xdr:row>
      <xdr:rowOff>0</xdr:rowOff>
    </xdr:to>
    <xdr:sp macro="" textlink="MAIN6">
      <xdr:nvSpPr>
        <xdr:cNvPr id="12" name="MENU6">
          <a:extLst>
            <a:ext uri="{FF2B5EF4-FFF2-40B4-BE49-F238E27FC236}">
              <a16:creationId xmlns:a16="http://schemas.microsoft.com/office/drawing/2014/main" id="{00000000-0008-0000-1600-00000C000000}"/>
            </a:ext>
          </a:extLst>
        </xdr:cNvPr>
        <xdr:cNvSpPr/>
      </xdr:nvSpPr>
      <xdr:spPr>
        <a:xfrm>
          <a:off x="10058400" y="200025"/>
          <a:ext cx="1571626"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00B050"/>
              </a:solidFill>
            </a14:hiddenFill>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B12A3774-975E-4B41-A681-E085295C6D0E}" type="TxLink">
            <a:rPr lang="en-US" sz="1100" b="0" i="0" u="none" strike="noStrike">
              <a:noFill/>
              <a:latin typeface="Arial" panose="020B0604020202020204" pitchFamily="34" charset="0"/>
              <a:cs typeface="Arial" panose="020B0604020202020204" pitchFamily="34" charset="0"/>
            </a:rPr>
            <a:pPr algn="ctr"/>
            <a:t> </a:t>
          </a:fld>
          <a:endParaRPr lang="en-US" sz="1100">
            <a:noFill/>
            <a:latin typeface="Arial" panose="020B0604020202020204" pitchFamily="34" charset="0"/>
            <a:cs typeface="Arial" panose="020B0604020202020204" pitchFamily="34" charset="0"/>
          </a:endParaRPr>
        </a:p>
      </xdr:txBody>
    </xdr:sp>
    <xdr:clientData/>
  </xdr:twoCellAnchor>
  <xdr:twoCellAnchor>
    <xdr:from>
      <xdr:col>36</xdr:col>
      <xdr:colOff>314324</xdr:colOff>
      <xdr:row>1</xdr:row>
      <xdr:rowOff>0</xdr:rowOff>
    </xdr:from>
    <xdr:to>
      <xdr:col>41</xdr:col>
      <xdr:colOff>314324</xdr:colOff>
      <xdr:row>4</xdr:row>
      <xdr:rowOff>0</xdr:rowOff>
    </xdr:to>
    <xdr:sp macro="" textlink="MAIN7">
      <xdr:nvSpPr>
        <xdr:cNvPr id="13" name="MENU7">
          <a:extLst>
            <a:ext uri="{FF2B5EF4-FFF2-40B4-BE49-F238E27FC236}">
              <a16:creationId xmlns:a16="http://schemas.microsoft.com/office/drawing/2014/main" id="{00000000-0008-0000-1600-00000D000000}"/>
            </a:ext>
          </a:extLst>
        </xdr:cNvPr>
        <xdr:cNvSpPr/>
      </xdr:nvSpPr>
      <xdr:spPr>
        <a:xfrm>
          <a:off x="11630024" y="200025"/>
          <a:ext cx="1571625"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00B050"/>
              </a:solidFill>
            </a14:hiddenFill>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 </a:t>
          </a:fld>
          <a:endParaRPr lang="en-US" sz="1100">
            <a:noFill/>
            <a:latin typeface="Arial" panose="020B0604020202020204" pitchFamily="34" charset="0"/>
            <a:cs typeface="Arial" panose="020B0604020202020204" pitchFamily="34" charset="0"/>
          </a:endParaRPr>
        </a:p>
      </xdr:txBody>
    </xdr:sp>
    <xdr:clientData/>
  </xdr:twoCellAnchor>
  <xdr:twoCellAnchor>
    <xdr:from>
      <xdr:col>1</xdr:col>
      <xdr:colOff>558</xdr:colOff>
      <xdr:row>7</xdr:row>
      <xdr:rowOff>200024</xdr:rowOff>
    </xdr:from>
    <xdr:to>
      <xdr:col>44</xdr:col>
      <xdr:colOff>0</xdr:colOff>
      <xdr:row>199</xdr:row>
      <xdr:rowOff>11206</xdr:rowOff>
    </xdr:to>
    <xdr:sp macro="" textlink="">
      <xdr:nvSpPr>
        <xdr:cNvPr id="19" name="BORDER">
          <a:extLst>
            <a:ext uri="{FF2B5EF4-FFF2-40B4-BE49-F238E27FC236}">
              <a16:creationId xmlns:a16="http://schemas.microsoft.com/office/drawing/2014/main" id="{00000000-0008-0000-1600-000013000000}"/>
            </a:ext>
          </a:extLst>
        </xdr:cNvPr>
        <xdr:cNvSpPr/>
      </xdr:nvSpPr>
      <xdr:spPr>
        <a:xfrm>
          <a:off x="314323" y="1611965"/>
          <a:ext cx="13491324" cy="4652123"/>
        </a:xfrm>
        <a:prstGeom prst="frame">
          <a:avLst>
            <a:gd name="adj1" fmla="val 97"/>
          </a:avLst>
        </a:prstGeom>
        <a:noFill/>
        <a:ln w="12700" cap="flat" cmpd="sng" algn="ctr">
          <a:solidFill>
            <a:srgbClr val="00334E"/>
          </a:solidFill>
          <a:prstDash val="solid"/>
          <a:miter lim="800000"/>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fPrintsWithSheet="0"/>
  </xdr:twoCellAnchor>
  <xdr:twoCellAnchor editAs="absolute">
    <xdr:from>
      <xdr:col>2</xdr:col>
      <xdr:colOff>2720</xdr:colOff>
      <xdr:row>9</xdr:row>
      <xdr:rowOff>1207</xdr:rowOff>
    </xdr:from>
    <xdr:to>
      <xdr:col>4</xdr:col>
      <xdr:colOff>960</xdr:colOff>
      <xdr:row>10</xdr:row>
      <xdr:rowOff>184423</xdr:rowOff>
    </xdr:to>
    <xdr:sp macro="" textlink="">
      <xdr:nvSpPr>
        <xdr:cNvPr id="20" name="BACK">
          <a:hlinkClick xmlns:r="http://schemas.openxmlformats.org/officeDocument/2006/relationships" r:id="rId13" tooltip=" "/>
          <a:extLst>
            <a:ext uri="{FF2B5EF4-FFF2-40B4-BE49-F238E27FC236}">
              <a16:creationId xmlns:a16="http://schemas.microsoft.com/office/drawing/2014/main" id="{00000000-0008-0000-1600-000014000000}"/>
            </a:ext>
          </a:extLst>
        </xdr:cNvPr>
        <xdr:cNvSpPr>
          <a:spLocks noChangeAspect="1"/>
        </xdr:cNvSpPr>
      </xdr:nvSpPr>
      <xdr:spPr>
        <a:xfrm>
          <a:off x="631370" y="1801432"/>
          <a:ext cx="626890" cy="400050"/>
        </a:xfrm>
        <a:prstGeom prst="leftArrow">
          <a:avLst/>
        </a:prstGeom>
        <a:solidFill>
          <a:srgbClr val="54BCEB"/>
        </a:solidFill>
        <a:ln>
          <a:solidFill>
            <a:srgbClr val="54BCEB"/>
          </a:solidFill>
        </a:ln>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editAs="oneCell">
    <xdr:from>
      <xdr:col>2</xdr:col>
      <xdr:colOff>102850</xdr:colOff>
      <xdr:row>0</xdr:row>
      <xdr:rowOff>156884</xdr:rowOff>
    </xdr:from>
    <xdr:to>
      <xdr:col>5</xdr:col>
      <xdr:colOff>30405</xdr:colOff>
      <xdr:row>2</xdr:row>
      <xdr:rowOff>195627</xdr:rowOff>
    </xdr:to>
    <xdr:pic>
      <xdr:nvPicPr>
        <xdr:cNvPr id="21" name="LOGO">
          <a:extLst>
            <a:ext uri="{FF2B5EF4-FFF2-40B4-BE49-F238E27FC236}">
              <a16:creationId xmlns:a16="http://schemas.microsoft.com/office/drawing/2014/main" id="{00000000-0008-0000-1600-000015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xdr:blipFill>
      <xdr:spPr>
        <a:xfrm>
          <a:off x="730379" y="156884"/>
          <a:ext cx="868850" cy="442155"/>
        </a:xfrm>
        <a:prstGeom prst="rect">
          <a:avLst/>
        </a:prstGeom>
      </xdr:spPr>
    </xdr:pic>
    <xdr:clientData/>
  </xdr:twoCellAnchor>
  <xdr:twoCellAnchor>
    <xdr:from>
      <xdr:col>1</xdr:col>
      <xdr:colOff>0</xdr:colOff>
      <xdr:row>7</xdr:row>
      <xdr:rowOff>0</xdr:rowOff>
    </xdr:from>
    <xdr:to>
      <xdr:col>44</xdr:col>
      <xdr:colOff>13806</xdr:colOff>
      <xdr:row>8</xdr:row>
      <xdr:rowOff>0</xdr:rowOff>
    </xdr:to>
    <xdr:sp macro="" textlink="">
      <xdr:nvSpPr>
        <xdr:cNvPr id="22" name="BOTTOMRIBBON">
          <a:extLst>
            <a:ext uri="{FF2B5EF4-FFF2-40B4-BE49-F238E27FC236}">
              <a16:creationId xmlns:a16="http://schemas.microsoft.com/office/drawing/2014/main" id="{00000000-0008-0000-1600-000016000000}"/>
            </a:ext>
          </a:extLst>
        </xdr:cNvPr>
        <xdr:cNvSpPr/>
      </xdr:nvSpPr>
      <xdr:spPr>
        <a:xfrm>
          <a:off x="314325" y="1400175"/>
          <a:ext cx="13529781" cy="200025"/>
        </a:xfrm>
        <a:prstGeom prst="rect">
          <a:avLst/>
        </a:prstGeom>
        <a:solidFill>
          <a:srgbClr val="00334E"/>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solidFill>
              <a:srgbClr val="FFFFFF"/>
            </a:solidFill>
          </a:endParaRPr>
        </a:p>
      </xdr:txBody>
    </xdr:sp>
    <xdr:clientData/>
  </xdr:twoCellAnchor>
  <xdr:twoCellAnchor>
    <xdr:from>
      <xdr:col>24</xdr:col>
      <xdr:colOff>11197</xdr:colOff>
      <xdr:row>5</xdr:row>
      <xdr:rowOff>56031</xdr:rowOff>
    </xdr:from>
    <xdr:to>
      <xdr:col>28</xdr:col>
      <xdr:colOff>127738</xdr:colOff>
      <xdr:row>7</xdr:row>
      <xdr:rowOff>55351</xdr:rowOff>
    </xdr:to>
    <xdr:sp macro="" textlink="M3S8">
      <xdr:nvSpPr>
        <xdr:cNvPr id="26" name="SUBMENU3">
          <a:hlinkClick xmlns:r="http://schemas.openxmlformats.org/officeDocument/2006/relationships" r:id="rId15" tooltip=" "/>
          <a:extLst>
            <a:ext uri="{FF2B5EF4-FFF2-40B4-BE49-F238E27FC236}">
              <a16:creationId xmlns:a16="http://schemas.microsoft.com/office/drawing/2014/main" id="{00000000-0008-0000-1600-00001A000000}"/>
            </a:ext>
          </a:extLst>
        </xdr:cNvPr>
        <xdr:cNvSpPr/>
      </xdr:nvSpPr>
      <xdr:spPr>
        <a:xfrm>
          <a:off x="7541550" y="1064560"/>
          <a:ext cx="1371600" cy="402732"/>
        </a:xfrm>
        <a:prstGeom prst="round2SameRect">
          <a:avLst/>
        </a:prstGeom>
        <a:solidFill>
          <a:srgbClr val="00334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EE541064-8193-4680-BB18-F1FA2C66ADA7}" type="TxLink">
            <a:rPr lang="en-US" sz="1100" b="0" i="0" u="none" strike="noStrike">
              <a:solidFill>
                <a:schemeClr val="bg1"/>
              </a:solidFill>
              <a:latin typeface="Arial" panose="020B0604020202020204" pitchFamily="34" charset="0"/>
              <a:cs typeface="Arial" panose="020B0604020202020204" pitchFamily="34" charset="0"/>
            </a:rPr>
            <a:pPr algn="ctr"/>
            <a:t>Misc / Compressed Air / VFDs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17</xdr:col>
      <xdr:colOff>0</xdr:colOff>
      <xdr:row>1</xdr:row>
      <xdr:rowOff>133350</xdr:rowOff>
    </xdr:from>
    <xdr:to>
      <xdr:col>22</xdr:col>
      <xdr:colOff>0</xdr:colOff>
      <xdr:row>4</xdr:row>
      <xdr:rowOff>133350</xdr:rowOff>
    </xdr:to>
    <xdr:sp macro="" textlink="MAIN3">
      <xdr:nvSpPr>
        <xdr:cNvPr id="2" name="MENU3">
          <a:hlinkClick xmlns:r="http://schemas.openxmlformats.org/officeDocument/2006/relationships" r:id="rId1"/>
          <a:extLst>
            <a:ext uri="{FF2B5EF4-FFF2-40B4-BE49-F238E27FC236}">
              <a16:creationId xmlns:a16="http://schemas.microsoft.com/office/drawing/2014/main" id="{00000000-0008-0000-1700-000002000000}"/>
            </a:ext>
          </a:extLst>
        </xdr:cNvPr>
        <xdr:cNvSpPr/>
      </xdr:nvSpPr>
      <xdr:spPr>
        <a:xfrm>
          <a:off x="5343525" y="333375"/>
          <a:ext cx="1571625" cy="600075"/>
        </a:xfrm>
        <a:prstGeom prst="round2SameRect">
          <a:avLst/>
        </a:prstGeom>
        <a:solidFill>
          <a:srgbClr val="A6A5AA"/>
        </a:solidFill>
        <a:ln w="12700">
          <a:solidFill>
            <a:srgbClr val="A6A5AA"/>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06A037F-AE33-47CC-85C1-F6D62694F95D}" type="TxLink">
            <a:rPr lang="en-US" sz="1100" b="0" i="0" u="none" strike="noStrike">
              <a:solidFill>
                <a:schemeClr val="bg1"/>
              </a:solidFill>
              <a:latin typeface="Arial" panose="020B0604020202020204" pitchFamily="34" charset="0"/>
              <a:cs typeface="Arial" panose="020B0604020202020204" pitchFamily="34" charset="0"/>
            </a:rPr>
            <a:pPr algn="ctr"/>
            <a:t>PRESCRIPTIVE MEASURES INPUT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xdr:col>
      <xdr:colOff>0</xdr:colOff>
      <xdr:row>4</xdr:row>
      <xdr:rowOff>1</xdr:rowOff>
    </xdr:from>
    <xdr:to>
      <xdr:col>44</xdr:col>
      <xdr:colOff>13806</xdr:colOff>
      <xdr:row>7</xdr:row>
      <xdr:rowOff>0</xdr:rowOff>
    </xdr:to>
    <xdr:sp macro="" textlink="">
      <xdr:nvSpPr>
        <xdr:cNvPr id="4" name="TOPRIBBON">
          <a:extLst>
            <a:ext uri="{FF2B5EF4-FFF2-40B4-BE49-F238E27FC236}">
              <a16:creationId xmlns:a16="http://schemas.microsoft.com/office/drawing/2014/main" id="{00000000-0008-0000-1700-000004000000}"/>
            </a:ext>
          </a:extLst>
        </xdr:cNvPr>
        <xdr:cNvSpPr/>
      </xdr:nvSpPr>
      <xdr:spPr>
        <a:xfrm>
          <a:off x="314325" y="800101"/>
          <a:ext cx="13529781" cy="600074"/>
        </a:xfrm>
        <a:prstGeom prst="round2SameRect">
          <a:avLst/>
        </a:prstGeom>
        <a:solidFill>
          <a:srgbClr val="A6A5A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p>
      </xdr:txBody>
    </xdr:sp>
    <xdr:clientData/>
  </xdr:twoCellAnchor>
  <xdr:twoCellAnchor>
    <xdr:from>
      <xdr:col>2</xdr:col>
      <xdr:colOff>11206</xdr:colOff>
      <xdr:row>4</xdr:row>
      <xdr:rowOff>179294</xdr:rowOff>
    </xdr:from>
    <xdr:to>
      <xdr:col>6</xdr:col>
      <xdr:colOff>127747</xdr:colOff>
      <xdr:row>7</xdr:row>
      <xdr:rowOff>7327</xdr:rowOff>
    </xdr:to>
    <xdr:sp macro="" textlink="M3S1">
      <xdr:nvSpPr>
        <xdr:cNvPr id="25" name="SUBMENU1">
          <a:hlinkClick xmlns:r="http://schemas.openxmlformats.org/officeDocument/2006/relationships" r:id="rId1" tooltip=" "/>
          <a:extLst>
            <a:ext uri="{FF2B5EF4-FFF2-40B4-BE49-F238E27FC236}">
              <a16:creationId xmlns:a16="http://schemas.microsoft.com/office/drawing/2014/main" id="{00000000-0008-0000-1700-000019000000}"/>
            </a:ext>
          </a:extLst>
        </xdr:cNvPr>
        <xdr:cNvSpPr/>
      </xdr:nvSpPr>
      <xdr:spPr>
        <a:xfrm>
          <a:off x="638735" y="963706"/>
          <a:ext cx="1371600" cy="399533"/>
        </a:xfrm>
        <a:prstGeom prst="round2SameRect">
          <a:avLst/>
        </a:prstGeom>
        <a:solidFill>
          <a:srgbClr val="1A9DD8"/>
        </a:solidFill>
        <a:ln w="12700" cap="flat" cmpd="sng" algn="ctr">
          <a:solidFill>
            <a:srgbClr val="1A9DD8"/>
          </a:solidFill>
          <a:prstDash val="solid"/>
          <a:miter lim="800000"/>
        </a:ln>
        <a:effectLst>
          <a:outerShdw blurRad="50800" dist="12700" dir="16200000" rotWithShape="0">
            <a:prstClr val="black">
              <a:alpha val="40000"/>
            </a:prstClr>
          </a:outerShdw>
        </a:effectLst>
      </xdr:spPr>
      <xdr:txBody>
        <a:bodyPr vertOverflow="overflow" horzOverflow="overflow" lIns="0" tIns="0" rIns="0" bIns="45720" rtlCol="0" anchor="t"/>
        <a:lstStyle/>
        <a:p>
          <a:pPr marL="0" marR="0" lvl="0" indent="0" algn="ctr" defTabSz="914400" eaLnBrk="1" fontAlgn="auto" latinLnBrk="0" hangingPunct="1">
            <a:lnSpc>
              <a:spcPct val="100000"/>
            </a:lnSpc>
            <a:spcBef>
              <a:spcPts val="0"/>
            </a:spcBef>
            <a:spcAft>
              <a:spcPts val="0"/>
            </a:spcAft>
            <a:buClrTx/>
            <a:buSzTx/>
            <a:buFontTx/>
            <a:buNone/>
            <a:tabLst/>
            <a:defRPr/>
          </a:pPr>
          <a:fld id="{ADF56A7A-CB83-4152-B95A-120E0363F7FB}" type="TxLink">
            <a:rPr kumimoji="0" lang="en-US" sz="1100" b="0" i="0" u="none" strike="noStrike" kern="0" cap="none" spc="0" normalizeH="0" baseline="0" noProof="0">
              <a:ln>
                <a:noFill/>
              </a:ln>
              <a:solidFill>
                <a:srgbClr val="FFFFFF"/>
              </a:solidFill>
              <a:effectLst/>
              <a:uLnTx/>
              <a:uFillTx/>
              <a:latin typeface="Arial" panose="020B0604020202020204" pitchFamily="34" charset="0"/>
              <a:ea typeface="+mn-ea"/>
              <a:cs typeface="Arial" panose="020B0604020202020204" pitchFamily="34" charset="0"/>
            </a:rPr>
            <a:pPr marL="0" marR="0" lvl="0" indent="0" algn="ctr" defTabSz="914400" eaLnBrk="1" fontAlgn="auto" latinLnBrk="0" hangingPunct="1">
              <a:lnSpc>
                <a:spcPct val="100000"/>
              </a:lnSpc>
              <a:spcBef>
                <a:spcPts val="0"/>
              </a:spcBef>
              <a:spcAft>
                <a:spcPts val="0"/>
              </a:spcAft>
              <a:buClrTx/>
              <a:buSzTx/>
              <a:buFontTx/>
              <a:buNone/>
              <a:tabLst/>
              <a:defRPr/>
            </a:pPr>
            <a:t>Lighting</a:t>
          </a:fld>
          <a:endParaRPr kumimoji="0" lang="en-US" sz="1100" b="0" i="0" u="none" strike="noStrike" kern="0" cap="none" spc="0" normalizeH="0" baseline="0" noProof="0">
            <a:ln>
              <a:noFill/>
            </a:ln>
            <a:solidFill>
              <a:srgbClr val="FFFFFF"/>
            </a:solidFill>
            <a:effectLst/>
            <a:uLnTx/>
            <a:uFillTx/>
            <a:latin typeface="Arial" panose="020B0604020202020204" pitchFamily="34" charset="0"/>
            <a:ea typeface="+mn-ea"/>
            <a:cs typeface="Arial" panose="020B0604020202020204" pitchFamily="34" charset="0"/>
          </a:endParaRPr>
        </a:p>
      </xdr:txBody>
    </xdr:sp>
    <xdr:clientData/>
  </xdr:twoCellAnchor>
  <xdr:twoCellAnchor>
    <xdr:from>
      <xdr:col>6</xdr:col>
      <xdr:colOff>146057</xdr:colOff>
      <xdr:row>5</xdr:row>
      <xdr:rowOff>10206</xdr:rowOff>
    </xdr:from>
    <xdr:to>
      <xdr:col>10</xdr:col>
      <xdr:colOff>262598</xdr:colOff>
      <xdr:row>7</xdr:row>
      <xdr:rowOff>11206</xdr:rowOff>
    </xdr:to>
    <xdr:sp macro="" textlink="M3S2">
      <xdr:nvSpPr>
        <xdr:cNvPr id="12" name="SUBMENU2">
          <a:hlinkClick xmlns:r="http://schemas.openxmlformats.org/officeDocument/2006/relationships" r:id="rId2" tooltip=" "/>
          <a:extLst>
            <a:ext uri="{FF2B5EF4-FFF2-40B4-BE49-F238E27FC236}">
              <a16:creationId xmlns:a16="http://schemas.microsoft.com/office/drawing/2014/main" id="{00000000-0008-0000-1700-00000C000000}"/>
            </a:ext>
          </a:extLst>
        </xdr:cNvPr>
        <xdr:cNvSpPr/>
      </xdr:nvSpPr>
      <xdr:spPr>
        <a:xfrm>
          <a:off x="2028645" y="985118"/>
          <a:ext cx="1371600" cy="382000"/>
        </a:xfrm>
        <a:prstGeom prst="round2SameRect">
          <a:avLst/>
        </a:prstGeom>
        <a:solidFill>
          <a:srgbClr val="1A9DD8"/>
        </a:solidFill>
        <a:ln w="28575">
          <a:solidFill>
            <a:srgbClr val="1A9DD8"/>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3F4CA6B-01F3-44D0-A0E3-D0AA753206B2}" type="TxLink">
            <a:rPr lang="en-US" sz="1100" b="0" i="0" u="none" strike="noStrike">
              <a:solidFill>
                <a:srgbClr val="FFFFFF"/>
              </a:solidFill>
              <a:latin typeface="Arial" panose="020B0604020202020204" pitchFamily="34" charset="0"/>
              <a:cs typeface="Arial" panose="020B0604020202020204" pitchFamily="34" charset="0"/>
            </a:rPr>
            <a:pPr algn="ctr"/>
            <a:t>Lighting Controls</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10</xdr:col>
      <xdr:colOff>291662</xdr:colOff>
      <xdr:row>5</xdr:row>
      <xdr:rowOff>10206</xdr:rowOff>
    </xdr:from>
    <xdr:to>
      <xdr:col>15</xdr:col>
      <xdr:colOff>94438</xdr:colOff>
      <xdr:row>7</xdr:row>
      <xdr:rowOff>11206</xdr:rowOff>
    </xdr:to>
    <xdr:sp macro="" textlink="M3S3">
      <xdr:nvSpPr>
        <xdr:cNvPr id="13" name="SUBMENU3">
          <a:hlinkClick xmlns:r="http://schemas.openxmlformats.org/officeDocument/2006/relationships" r:id="rId3" tooltip=" "/>
          <a:extLst>
            <a:ext uri="{FF2B5EF4-FFF2-40B4-BE49-F238E27FC236}">
              <a16:creationId xmlns:a16="http://schemas.microsoft.com/office/drawing/2014/main" id="{00000000-0008-0000-1700-00000D000000}"/>
            </a:ext>
          </a:extLst>
        </xdr:cNvPr>
        <xdr:cNvSpPr/>
      </xdr:nvSpPr>
      <xdr:spPr>
        <a:xfrm>
          <a:off x="3429309" y="985118"/>
          <a:ext cx="1371600" cy="382000"/>
        </a:xfrm>
        <a:prstGeom prst="round2SameRect">
          <a:avLst/>
        </a:prstGeom>
        <a:solidFill>
          <a:srgbClr val="1A9DD8"/>
        </a:solidFill>
        <a:ln w="28575">
          <a:solidFill>
            <a:srgbClr val="1A9DD8"/>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E60A9FB0-D7E6-4ADD-8A44-C9B2BE21324A}" type="TxLink">
            <a:rPr lang="en-US" sz="1100" b="0" i="0" u="none" strike="noStrike">
              <a:solidFill>
                <a:srgbClr val="FFFFFF"/>
              </a:solidFill>
              <a:latin typeface="Arial" panose="020B0604020202020204" pitchFamily="34" charset="0"/>
              <a:cs typeface="Arial" panose="020B0604020202020204" pitchFamily="34" charset="0"/>
            </a:rPr>
            <a:pPr algn="ctr"/>
            <a:t>HVAC (Electric)</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15</xdr:col>
      <xdr:colOff>123491</xdr:colOff>
      <xdr:row>5</xdr:row>
      <xdr:rowOff>10206</xdr:rowOff>
    </xdr:from>
    <xdr:to>
      <xdr:col>19</xdr:col>
      <xdr:colOff>240033</xdr:colOff>
      <xdr:row>7</xdr:row>
      <xdr:rowOff>11206</xdr:rowOff>
    </xdr:to>
    <xdr:sp macro="" textlink="M3S4">
      <xdr:nvSpPr>
        <xdr:cNvPr id="14" name="SUBMENU4">
          <a:hlinkClick xmlns:r="http://schemas.openxmlformats.org/officeDocument/2006/relationships" r:id="rId4" tooltip=" "/>
          <a:extLst>
            <a:ext uri="{FF2B5EF4-FFF2-40B4-BE49-F238E27FC236}">
              <a16:creationId xmlns:a16="http://schemas.microsoft.com/office/drawing/2014/main" id="{00000000-0008-0000-1700-00000E000000}"/>
            </a:ext>
          </a:extLst>
        </xdr:cNvPr>
        <xdr:cNvSpPr/>
      </xdr:nvSpPr>
      <xdr:spPr>
        <a:xfrm>
          <a:off x="4829962" y="985118"/>
          <a:ext cx="1371600" cy="382000"/>
        </a:xfrm>
        <a:prstGeom prst="round2SameRect">
          <a:avLst/>
        </a:prstGeom>
        <a:solidFill>
          <a:srgbClr val="1A9DD8"/>
        </a:solidFill>
        <a:ln w="28575">
          <a:solidFill>
            <a:srgbClr val="1A9DD8"/>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EC4D1991-C1D9-486E-95EB-30A9469B742C}" type="TxLink">
            <a:rPr lang="en-US" sz="1100" b="0" i="0" u="none" strike="noStrike">
              <a:solidFill>
                <a:srgbClr val="FFFFFF"/>
              </a:solidFill>
              <a:latin typeface="Arial" panose="020B0604020202020204" pitchFamily="34" charset="0"/>
              <a:cs typeface="Arial" panose="020B0604020202020204" pitchFamily="34" charset="0"/>
            </a:rPr>
            <a:pPr algn="ctr"/>
            <a:t>Refrigeration</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19</xdr:col>
      <xdr:colOff>273409</xdr:colOff>
      <xdr:row>5</xdr:row>
      <xdr:rowOff>10206</xdr:rowOff>
    </xdr:from>
    <xdr:to>
      <xdr:col>24</xdr:col>
      <xdr:colOff>76185</xdr:colOff>
      <xdr:row>7</xdr:row>
      <xdr:rowOff>11206</xdr:rowOff>
    </xdr:to>
    <xdr:sp macro="" textlink="M3S5">
      <xdr:nvSpPr>
        <xdr:cNvPr id="15" name="SUBMENU5">
          <a:hlinkClick xmlns:r="http://schemas.openxmlformats.org/officeDocument/2006/relationships" r:id="rId5" tooltip=" "/>
          <a:extLst>
            <a:ext uri="{FF2B5EF4-FFF2-40B4-BE49-F238E27FC236}">
              <a16:creationId xmlns:a16="http://schemas.microsoft.com/office/drawing/2014/main" id="{00000000-0008-0000-1700-00000F000000}"/>
            </a:ext>
          </a:extLst>
        </xdr:cNvPr>
        <xdr:cNvSpPr/>
      </xdr:nvSpPr>
      <xdr:spPr>
        <a:xfrm>
          <a:off x="6259505" y="984687"/>
          <a:ext cx="1378065" cy="382000"/>
        </a:xfrm>
        <a:prstGeom prst="round2SameRect">
          <a:avLst/>
        </a:prstGeom>
        <a:solidFill>
          <a:srgbClr val="1A9DD8"/>
        </a:solidFill>
        <a:ln w="28575">
          <a:solidFill>
            <a:srgbClr val="1A9DD8"/>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52BFCEF9-4B05-45FB-B7B3-9621E37C07CC}" type="TxLink">
            <a:rPr lang="en-US" sz="1100" b="0" i="0" u="none" strike="noStrike">
              <a:solidFill>
                <a:srgbClr val="FFFFFF"/>
              </a:solidFill>
              <a:latin typeface="Arial" panose="020B0604020202020204" pitchFamily="34" charset="0"/>
              <a:cs typeface="Arial" panose="020B0604020202020204" pitchFamily="34" charset="0"/>
            </a:rPr>
            <a:pPr algn="ctr"/>
            <a:t>Commercial Cooking (Elec/Gas)</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24</xdr:col>
      <xdr:colOff>106000</xdr:colOff>
      <xdr:row>5</xdr:row>
      <xdr:rowOff>5724</xdr:rowOff>
    </xdr:from>
    <xdr:to>
      <xdr:col>28</xdr:col>
      <xdr:colOff>222542</xdr:colOff>
      <xdr:row>7</xdr:row>
      <xdr:rowOff>6724</xdr:rowOff>
    </xdr:to>
    <xdr:sp macro="" textlink="M3S8">
      <xdr:nvSpPr>
        <xdr:cNvPr id="19" name="SUBMENU5">
          <a:hlinkClick xmlns:r="http://schemas.openxmlformats.org/officeDocument/2006/relationships" r:id="rId6" tooltip=" "/>
          <a:extLst>
            <a:ext uri="{FF2B5EF4-FFF2-40B4-BE49-F238E27FC236}">
              <a16:creationId xmlns:a16="http://schemas.microsoft.com/office/drawing/2014/main" id="{00000000-0008-0000-1700-000013000000}"/>
            </a:ext>
          </a:extLst>
        </xdr:cNvPr>
        <xdr:cNvSpPr/>
      </xdr:nvSpPr>
      <xdr:spPr>
        <a:xfrm>
          <a:off x="7667385" y="980205"/>
          <a:ext cx="1376772" cy="382000"/>
        </a:xfrm>
        <a:prstGeom prst="round2SameRect">
          <a:avLst/>
        </a:prstGeom>
        <a:solidFill>
          <a:srgbClr val="1A9DD8"/>
        </a:solidFill>
        <a:ln w="28575">
          <a:solidFill>
            <a:srgbClr val="1A9DD8"/>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marL="0" indent="0" algn="ctr"/>
          <a:fld id="{BA865B98-DE37-4668-AF99-996484229397}" type="TxLink">
            <a:rPr lang="en-US" sz="1100" b="0" i="0" u="none" strike="noStrike">
              <a:solidFill>
                <a:srgbClr val="FFFFFF"/>
              </a:solidFill>
              <a:latin typeface="Arial" panose="020B0604020202020204" pitchFamily="34" charset="0"/>
              <a:ea typeface="+mn-ea"/>
              <a:cs typeface="Arial" panose="020B0604020202020204" pitchFamily="34" charset="0"/>
            </a:rPr>
            <a:pPr marL="0" indent="0" algn="ctr"/>
            <a:t>Misc / Compressed Air / VFDs</a:t>
          </a:fld>
          <a:endParaRPr lang="en-US" sz="1100" b="0" i="0" u="none" strike="noStrike">
            <a:solidFill>
              <a:srgbClr val="FFFFFF"/>
            </a:solidFill>
            <a:latin typeface="Arial" panose="020B0604020202020204" pitchFamily="34" charset="0"/>
            <a:ea typeface="+mn-ea"/>
            <a:cs typeface="Arial" panose="020B0604020202020204" pitchFamily="34" charset="0"/>
          </a:endParaRPr>
        </a:p>
      </xdr:txBody>
    </xdr:sp>
    <xdr:clientData/>
  </xdr:twoCellAnchor>
  <xdr:twoCellAnchor>
    <xdr:from>
      <xdr:col>33</xdr:col>
      <xdr:colOff>89298</xdr:colOff>
      <xdr:row>5</xdr:row>
      <xdr:rowOff>10206</xdr:rowOff>
    </xdr:from>
    <xdr:to>
      <xdr:col>37</xdr:col>
      <xdr:colOff>77823</xdr:colOff>
      <xdr:row>7</xdr:row>
      <xdr:rowOff>11206</xdr:rowOff>
    </xdr:to>
    <xdr:sp macro="" textlink="M3S6">
      <xdr:nvSpPr>
        <xdr:cNvPr id="17" name="SUBMENU6">
          <a:hlinkClick xmlns:r="http://schemas.openxmlformats.org/officeDocument/2006/relationships" r:id="rId7" tooltip=" "/>
          <a:extLst>
            <a:ext uri="{FF2B5EF4-FFF2-40B4-BE49-F238E27FC236}">
              <a16:creationId xmlns:a16="http://schemas.microsoft.com/office/drawing/2014/main" id="{00000000-0008-0000-1700-000011000000}"/>
            </a:ext>
          </a:extLst>
        </xdr:cNvPr>
        <xdr:cNvSpPr/>
      </xdr:nvSpPr>
      <xdr:spPr>
        <a:xfrm>
          <a:off x="10486202" y="984687"/>
          <a:ext cx="1248756" cy="382000"/>
        </a:xfrm>
        <a:prstGeom prst="round2SameRect">
          <a:avLst/>
        </a:prstGeom>
        <a:solidFill>
          <a:srgbClr val="54BCEB"/>
        </a:solidFill>
        <a:ln w="28575">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30A5A5F-CF4B-4F90-A7E3-B223777D7BE2}" type="TxLink">
            <a:rPr lang="en-US" sz="1100" b="0" i="0" u="none" strike="noStrike">
              <a:solidFill>
                <a:srgbClr val="FFFFFF"/>
              </a:solidFill>
              <a:latin typeface="Arial" panose="020B0604020202020204" pitchFamily="34" charset="0"/>
              <a:cs typeface="Arial" panose="020B0604020202020204" pitchFamily="34" charset="0"/>
            </a:rPr>
            <a:pPr algn="ctr"/>
            <a:t>HVAC 
(Gas)</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37</xdr:col>
      <xdr:colOff>107168</xdr:colOff>
      <xdr:row>5</xdr:row>
      <xdr:rowOff>10206</xdr:rowOff>
    </xdr:from>
    <xdr:to>
      <xdr:col>41</xdr:col>
      <xdr:colOff>95693</xdr:colOff>
      <xdr:row>7</xdr:row>
      <xdr:rowOff>11206</xdr:rowOff>
    </xdr:to>
    <xdr:sp macro="" textlink="M3S7">
      <xdr:nvSpPr>
        <xdr:cNvPr id="18" name="SUBMENU7">
          <a:hlinkClick xmlns:r="http://schemas.openxmlformats.org/officeDocument/2006/relationships" r:id="rId8" tooltip=" "/>
          <a:extLst>
            <a:ext uri="{FF2B5EF4-FFF2-40B4-BE49-F238E27FC236}">
              <a16:creationId xmlns:a16="http://schemas.microsoft.com/office/drawing/2014/main" id="{00000000-0008-0000-1700-000012000000}"/>
            </a:ext>
          </a:extLst>
        </xdr:cNvPr>
        <xdr:cNvSpPr/>
      </xdr:nvSpPr>
      <xdr:spPr>
        <a:xfrm>
          <a:off x="11716462" y="985118"/>
          <a:ext cx="1243584" cy="382000"/>
        </a:xfrm>
        <a:prstGeom prst="round2SameRect">
          <a:avLst/>
        </a:prstGeom>
        <a:solidFill>
          <a:srgbClr val="54BCEB"/>
        </a:solidFill>
        <a:ln w="28575">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DBE1B27F-5FE8-4BDD-82FC-95C3FF9A200E}" type="TxLink">
            <a:rPr lang="en-US" sz="1100" b="0" i="0" u="none" strike="noStrike">
              <a:solidFill>
                <a:srgbClr val="FFFFFF"/>
              </a:solidFill>
              <a:latin typeface="Arial" panose="020B0604020202020204" pitchFamily="34" charset="0"/>
              <a:cs typeface="Arial" panose="020B0604020202020204" pitchFamily="34" charset="0"/>
            </a:rPr>
            <a:pPr algn="ctr"/>
            <a:t>Water Heating / Others (Gas)</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7</xdr:col>
      <xdr:colOff>457</xdr:colOff>
      <xdr:row>1</xdr:row>
      <xdr:rowOff>0</xdr:rowOff>
    </xdr:from>
    <xdr:to>
      <xdr:col>12</xdr:col>
      <xdr:colOff>0</xdr:colOff>
      <xdr:row>4</xdr:row>
      <xdr:rowOff>0</xdr:rowOff>
    </xdr:to>
    <xdr:sp macro="" textlink="MAIN1">
      <xdr:nvSpPr>
        <xdr:cNvPr id="5" name="MENU1">
          <a:hlinkClick xmlns:r="http://schemas.openxmlformats.org/officeDocument/2006/relationships" r:id="rId9" tooltip=" "/>
          <a:extLst>
            <a:ext uri="{FF2B5EF4-FFF2-40B4-BE49-F238E27FC236}">
              <a16:creationId xmlns:a16="http://schemas.microsoft.com/office/drawing/2014/main" id="{00000000-0008-0000-1700-000005000000}"/>
            </a:ext>
          </a:extLst>
        </xdr:cNvPr>
        <xdr:cNvSpPr/>
      </xdr:nvSpPr>
      <xdr:spPr>
        <a:xfrm>
          <a:off x="2200732" y="200025"/>
          <a:ext cx="1571168" cy="600075"/>
        </a:xfrm>
        <a:prstGeom prst="round2SameRect">
          <a:avLst/>
        </a:prstGeom>
        <a:solidFill>
          <a:srgbClr val="00334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D6F2F067-2676-4601-ABCE-75BD5137E3D5}"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START</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12</xdr:col>
      <xdr:colOff>0</xdr:colOff>
      <xdr:row>1</xdr:row>
      <xdr:rowOff>0</xdr:rowOff>
    </xdr:from>
    <xdr:to>
      <xdr:col>17</xdr:col>
      <xdr:colOff>0</xdr:colOff>
      <xdr:row>4</xdr:row>
      <xdr:rowOff>0</xdr:rowOff>
    </xdr:to>
    <xdr:sp macro="" textlink="MAIN2">
      <xdr:nvSpPr>
        <xdr:cNvPr id="6" name="MENU2">
          <a:hlinkClick xmlns:r="http://schemas.openxmlformats.org/officeDocument/2006/relationships" r:id="rId10" tooltip=" "/>
          <a:extLst>
            <a:ext uri="{FF2B5EF4-FFF2-40B4-BE49-F238E27FC236}">
              <a16:creationId xmlns:a16="http://schemas.microsoft.com/office/drawing/2014/main" id="{00000000-0008-0000-1700-000006000000}"/>
            </a:ext>
          </a:extLst>
        </xdr:cNvPr>
        <xdr:cNvSpPr/>
      </xdr:nvSpPr>
      <xdr:spPr>
        <a:xfrm>
          <a:off x="3771900" y="200025"/>
          <a:ext cx="1571625" cy="600075"/>
        </a:xfrm>
        <a:prstGeom prst="round2SameRect">
          <a:avLst/>
        </a:prstGeom>
        <a:solidFill>
          <a:srgbClr val="00334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59A035B9-F1D2-4E89-B262-AF2DF0C338A9}"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PROJECT INFORMATION</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22</xdr:col>
      <xdr:colOff>0</xdr:colOff>
      <xdr:row>1</xdr:row>
      <xdr:rowOff>0</xdr:rowOff>
    </xdr:from>
    <xdr:to>
      <xdr:col>27</xdr:col>
      <xdr:colOff>0</xdr:colOff>
      <xdr:row>4</xdr:row>
      <xdr:rowOff>0</xdr:rowOff>
    </xdr:to>
    <xdr:sp macro="" textlink="MAIN4">
      <xdr:nvSpPr>
        <xdr:cNvPr id="7" name="MENU4">
          <a:hlinkClick xmlns:r="http://schemas.openxmlformats.org/officeDocument/2006/relationships" r:id="rId11" tooltip=" "/>
          <a:extLst>
            <a:ext uri="{FF2B5EF4-FFF2-40B4-BE49-F238E27FC236}">
              <a16:creationId xmlns:a16="http://schemas.microsoft.com/office/drawing/2014/main" id="{00000000-0008-0000-1700-000007000000}"/>
            </a:ext>
          </a:extLst>
        </xdr:cNvPr>
        <xdr:cNvSpPr/>
      </xdr:nvSpPr>
      <xdr:spPr>
        <a:xfrm>
          <a:off x="6915150" y="200025"/>
          <a:ext cx="1571625" cy="600075"/>
        </a:xfrm>
        <a:prstGeom prst="round2SameRect">
          <a:avLst/>
        </a:prstGeom>
        <a:solidFill>
          <a:srgbClr val="00334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CB369157-CA5B-4E40-B1DE-604993B819B3}"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CUSTOM MEASURES INPUT</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27</xdr:col>
      <xdr:colOff>0</xdr:colOff>
      <xdr:row>1</xdr:row>
      <xdr:rowOff>0</xdr:rowOff>
    </xdr:from>
    <xdr:to>
      <xdr:col>32</xdr:col>
      <xdr:colOff>0</xdr:colOff>
      <xdr:row>4</xdr:row>
      <xdr:rowOff>0</xdr:rowOff>
    </xdr:to>
    <xdr:sp macro="" textlink="MAIN5">
      <xdr:nvSpPr>
        <xdr:cNvPr id="8" name="MENU5">
          <a:hlinkClick xmlns:r="http://schemas.openxmlformats.org/officeDocument/2006/relationships" r:id="rId12" tooltip=" "/>
          <a:extLst>
            <a:ext uri="{FF2B5EF4-FFF2-40B4-BE49-F238E27FC236}">
              <a16:creationId xmlns:a16="http://schemas.microsoft.com/office/drawing/2014/main" id="{00000000-0008-0000-1700-000008000000}"/>
            </a:ext>
          </a:extLst>
        </xdr:cNvPr>
        <xdr:cNvSpPr/>
      </xdr:nvSpPr>
      <xdr:spPr>
        <a:xfrm>
          <a:off x="8486775" y="200025"/>
          <a:ext cx="1571625" cy="600075"/>
        </a:xfrm>
        <a:prstGeom prst="round2SameRect">
          <a:avLst/>
        </a:prstGeom>
        <a:solidFill>
          <a:srgbClr val="00334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F0EEDDA6-4934-49B4-972D-20D21D440D82}"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APPLICATION REVIEW</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32</xdr:col>
      <xdr:colOff>0</xdr:colOff>
      <xdr:row>1</xdr:row>
      <xdr:rowOff>0</xdr:rowOff>
    </xdr:from>
    <xdr:to>
      <xdr:col>37</xdr:col>
      <xdr:colOff>1</xdr:colOff>
      <xdr:row>4</xdr:row>
      <xdr:rowOff>0</xdr:rowOff>
    </xdr:to>
    <xdr:sp macro="" textlink="MAIN6">
      <xdr:nvSpPr>
        <xdr:cNvPr id="9" name="MENU6">
          <a:extLst>
            <a:ext uri="{FF2B5EF4-FFF2-40B4-BE49-F238E27FC236}">
              <a16:creationId xmlns:a16="http://schemas.microsoft.com/office/drawing/2014/main" id="{00000000-0008-0000-1700-000009000000}"/>
            </a:ext>
          </a:extLst>
        </xdr:cNvPr>
        <xdr:cNvSpPr/>
      </xdr:nvSpPr>
      <xdr:spPr>
        <a:xfrm>
          <a:off x="10058400" y="200025"/>
          <a:ext cx="1571626"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00B050"/>
              </a:solidFill>
            </a14:hiddenFill>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B12A3774-975E-4B41-A681-E085295C6D0E}" type="TxLink">
            <a:rPr lang="en-US" sz="1100" b="0" i="0" u="none" strike="noStrike">
              <a:noFill/>
              <a:latin typeface="Arial" panose="020B0604020202020204" pitchFamily="34" charset="0"/>
              <a:cs typeface="Arial" panose="020B0604020202020204" pitchFamily="34" charset="0"/>
            </a:rPr>
            <a:pPr algn="ctr"/>
            <a:t> </a:t>
          </a:fld>
          <a:endParaRPr lang="en-US" sz="1100">
            <a:noFill/>
            <a:latin typeface="Arial" panose="020B0604020202020204" pitchFamily="34" charset="0"/>
            <a:cs typeface="Arial" panose="020B0604020202020204" pitchFamily="34" charset="0"/>
          </a:endParaRPr>
        </a:p>
      </xdr:txBody>
    </xdr:sp>
    <xdr:clientData/>
  </xdr:twoCellAnchor>
  <xdr:twoCellAnchor>
    <xdr:from>
      <xdr:col>36</xdr:col>
      <xdr:colOff>314324</xdr:colOff>
      <xdr:row>1</xdr:row>
      <xdr:rowOff>0</xdr:rowOff>
    </xdr:from>
    <xdr:to>
      <xdr:col>41</xdr:col>
      <xdr:colOff>314324</xdr:colOff>
      <xdr:row>4</xdr:row>
      <xdr:rowOff>0</xdr:rowOff>
    </xdr:to>
    <xdr:sp macro="" textlink="MAIN7">
      <xdr:nvSpPr>
        <xdr:cNvPr id="10" name="MENU7">
          <a:extLst>
            <a:ext uri="{FF2B5EF4-FFF2-40B4-BE49-F238E27FC236}">
              <a16:creationId xmlns:a16="http://schemas.microsoft.com/office/drawing/2014/main" id="{00000000-0008-0000-1700-00000A000000}"/>
            </a:ext>
          </a:extLst>
        </xdr:cNvPr>
        <xdr:cNvSpPr/>
      </xdr:nvSpPr>
      <xdr:spPr>
        <a:xfrm>
          <a:off x="11630024" y="200025"/>
          <a:ext cx="1571625"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00B050"/>
              </a:solidFill>
            </a14:hiddenFill>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 </a:t>
          </a:fld>
          <a:endParaRPr lang="en-US" sz="1100">
            <a:noFill/>
            <a:latin typeface="Arial" panose="020B0604020202020204" pitchFamily="34" charset="0"/>
            <a:cs typeface="Arial" panose="020B0604020202020204" pitchFamily="34" charset="0"/>
          </a:endParaRPr>
        </a:p>
      </xdr:txBody>
    </xdr:sp>
    <xdr:clientData/>
  </xdr:twoCellAnchor>
  <xdr:twoCellAnchor editAs="oneCell">
    <xdr:from>
      <xdr:col>2</xdr:col>
      <xdr:colOff>80771</xdr:colOff>
      <xdr:row>0</xdr:row>
      <xdr:rowOff>156884</xdr:rowOff>
    </xdr:from>
    <xdr:to>
      <xdr:col>5</xdr:col>
      <xdr:colOff>45759</xdr:colOff>
      <xdr:row>3</xdr:row>
      <xdr:rowOff>24177</xdr:rowOff>
    </xdr:to>
    <xdr:pic>
      <xdr:nvPicPr>
        <xdr:cNvPr id="16" name="LOGO">
          <a:extLst>
            <a:ext uri="{FF2B5EF4-FFF2-40B4-BE49-F238E27FC236}">
              <a16:creationId xmlns:a16="http://schemas.microsoft.com/office/drawing/2014/main" id="{00000000-0008-0000-1700-000010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xdr:blipFill>
      <xdr:spPr>
        <a:xfrm>
          <a:off x="708300" y="156884"/>
          <a:ext cx="906283" cy="461205"/>
        </a:xfrm>
        <a:prstGeom prst="rect">
          <a:avLst/>
        </a:prstGeom>
      </xdr:spPr>
    </xdr:pic>
    <xdr:clientData/>
  </xdr:twoCellAnchor>
  <xdr:twoCellAnchor>
    <xdr:from>
      <xdr:col>1</xdr:col>
      <xdr:colOff>0</xdr:colOff>
      <xdr:row>7</xdr:row>
      <xdr:rowOff>0</xdr:rowOff>
    </xdr:from>
    <xdr:to>
      <xdr:col>44</xdr:col>
      <xdr:colOff>13806</xdr:colOff>
      <xdr:row>8</xdr:row>
      <xdr:rowOff>0</xdr:rowOff>
    </xdr:to>
    <xdr:sp macro="" textlink="">
      <xdr:nvSpPr>
        <xdr:cNvPr id="20" name="BOTTOMRIBBON">
          <a:extLst>
            <a:ext uri="{FF2B5EF4-FFF2-40B4-BE49-F238E27FC236}">
              <a16:creationId xmlns:a16="http://schemas.microsoft.com/office/drawing/2014/main" id="{00000000-0008-0000-1700-000014000000}"/>
            </a:ext>
          </a:extLst>
        </xdr:cNvPr>
        <xdr:cNvSpPr/>
      </xdr:nvSpPr>
      <xdr:spPr>
        <a:xfrm>
          <a:off x="314325" y="1400175"/>
          <a:ext cx="13529781" cy="200025"/>
        </a:xfrm>
        <a:prstGeom prst="rect">
          <a:avLst/>
        </a:prstGeom>
        <a:solidFill>
          <a:srgbClr val="00334E"/>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solidFill>
              <a:srgbClr val="FFFFFF"/>
            </a:solidFill>
          </a:endParaRPr>
        </a:p>
      </xdr:txBody>
    </xdr:sp>
    <xdr:clientData/>
  </xdr:twoCellAnchor>
  <xdr:twoCellAnchor>
    <xdr:from>
      <xdr:col>28</xdr:col>
      <xdr:colOff>258129</xdr:colOff>
      <xdr:row>5</xdr:row>
      <xdr:rowOff>57523</xdr:rowOff>
    </xdr:from>
    <xdr:to>
      <xdr:col>33</xdr:col>
      <xdr:colOff>59612</xdr:colOff>
      <xdr:row>7</xdr:row>
      <xdr:rowOff>55325</xdr:rowOff>
    </xdr:to>
    <xdr:sp macro="" textlink="M3S9">
      <xdr:nvSpPr>
        <xdr:cNvPr id="22" name="SUBMENU1">
          <a:hlinkClick xmlns:r="http://schemas.openxmlformats.org/officeDocument/2006/relationships" r:id="rId14" tooltip=" "/>
          <a:extLst>
            <a:ext uri="{FF2B5EF4-FFF2-40B4-BE49-F238E27FC236}">
              <a16:creationId xmlns:a16="http://schemas.microsoft.com/office/drawing/2014/main" id="{00000000-0008-0000-1700-000016000000}"/>
            </a:ext>
          </a:extLst>
        </xdr:cNvPr>
        <xdr:cNvSpPr/>
      </xdr:nvSpPr>
      <xdr:spPr>
        <a:xfrm>
          <a:off x="9079744" y="1032004"/>
          <a:ext cx="1376772" cy="378802"/>
        </a:xfrm>
        <a:prstGeom prst="round2SameRect">
          <a:avLst/>
        </a:prstGeom>
        <a:solidFill>
          <a:srgbClr val="00334E"/>
        </a:solidFill>
        <a:ln w="28575">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DC9C4B8B-188D-4359-BD78-A8A357644415}" type="TxLink">
            <a:rPr lang="en-US" sz="1100" b="0" i="0" u="none" strike="noStrike">
              <a:solidFill>
                <a:schemeClr val="bg1"/>
              </a:solidFill>
              <a:latin typeface="Arial" panose="020B0604020202020204" pitchFamily="34" charset="0"/>
              <a:cs typeface="Arial" panose="020B0604020202020204" pitchFamily="34" charset="0"/>
            </a:rPr>
            <a:pPr algn="ctr"/>
            <a:t>Agriculture (Elec/Gas)</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xdr:col>
      <xdr:colOff>559</xdr:colOff>
      <xdr:row>7</xdr:row>
      <xdr:rowOff>161925</xdr:rowOff>
    </xdr:from>
    <xdr:to>
      <xdr:col>44</xdr:col>
      <xdr:colOff>559</xdr:colOff>
      <xdr:row>199</xdr:row>
      <xdr:rowOff>11206</xdr:rowOff>
    </xdr:to>
    <xdr:sp macro="" textlink="">
      <xdr:nvSpPr>
        <xdr:cNvPr id="26" name="BORDER">
          <a:extLst>
            <a:ext uri="{FF2B5EF4-FFF2-40B4-BE49-F238E27FC236}">
              <a16:creationId xmlns:a16="http://schemas.microsoft.com/office/drawing/2014/main" id="{00000000-0008-0000-1700-00001A000000}"/>
            </a:ext>
          </a:extLst>
        </xdr:cNvPr>
        <xdr:cNvSpPr/>
      </xdr:nvSpPr>
      <xdr:spPr>
        <a:xfrm>
          <a:off x="314324" y="1517837"/>
          <a:ext cx="13491882" cy="10943104"/>
        </a:xfrm>
        <a:prstGeom prst="frame">
          <a:avLst>
            <a:gd name="adj1" fmla="val 97"/>
          </a:avLst>
        </a:prstGeom>
        <a:noFill/>
        <a:ln w="12700" cap="flat" cmpd="sng" algn="ctr">
          <a:solidFill>
            <a:srgbClr val="00334E"/>
          </a:solidFill>
          <a:prstDash val="solid"/>
          <a:miter lim="800000"/>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fPrintsWithSheet="0"/>
  </xdr:twoCellAnchor>
  <xdr:twoCellAnchor editAs="absolute">
    <xdr:from>
      <xdr:col>40</xdr:col>
      <xdr:colOff>302559</xdr:colOff>
      <xdr:row>8</xdr:row>
      <xdr:rowOff>179293</xdr:rowOff>
    </xdr:from>
    <xdr:to>
      <xdr:col>43</xdr:col>
      <xdr:colOff>11757</xdr:colOff>
      <xdr:row>10</xdr:row>
      <xdr:rowOff>201704</xdr:rowOff>
    </xdr:to>
    <xdr:sp macro="" textlink="">
      <xdr:nvSpPr>
        <xdr:cNvPr id="28" name="NEXT">
          <a:hlinkClick xmlns:r="http://schemas.openxmlformats.org/officeDocument/2006/relationships" r:id="rId15" tooltip=" "/>
          <a:extLst>
            <a:ext uri="{FF2B5EF4-FFF2-40B4-BE49-F238E27FC236}">
              <a16:creationId xmlns:a16="http://schemas.microsoft.com/office/drawing/2014/main" id="{00000000-0008-0000-1700-00001C000000}"/>
            </a:ext>
          </a:extLst>
        </xdr:cNvPr>
        <xdr:cNvSpPr>
          <a:spLocks noChangeAspect="1"/>
        </xdr:cNvSpPr>
      </xdr:nvSpPr>
      <xdr:spPr>
        <a:xfrm>
          <a:off x="12853147" y="1725705"/>
          <a:ext cx="626960" cy="403411"/>
        </a:xfrm>
        <a:prstGeom prst="rightArrow">
          <a:avLst/>
        </a:prstGeom>
        <a:solidFill>
          <a:srgbClr val="54BCEB"/>
        </a:solidFill>
        <a:ln>
          <a:solidFill>
            <a:srgbClr val="54BCEB"/>
          </a:solidFill>
        </a:ln>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editAs="absolute">
    <xdr:from>
      <xdr:col>2</xdr:col>
      <xdr:colOff>23533</xdr:colOff>
      <xdr:row>8</xdr:row>
      <xdr:rowOff>179294</xdr:rowOff>
    </xdr:from>
    <xdr:to>
      <xdr:col>4</xdr:col>
      <xdr:colOff>20652</xdr:colOff>
      <xdr:row>10</xdr:row>
      <xdr:rowOff>198344</xdr:rowOff>
    </xdr:to>
    <xdr:sp macro="" textlink="">
      <xdr:nvSpPr>
        <xdr:cNvPr id="29" name="BACK">
          <a:hlinkClick xmlns:r="http://schemas.openxmlformats.org/officeDocument/2006/relationships" r:id="rId6" tooltip=" "/>
          <a:extLst>
            <a:ext uri="{FF2B5EF4-FFF2-40B4-BE49-F238E27FC236}">
              <a16:creationId xmlns:a16="http://schemas.microsoft.com/office/drawing/2014/main" id="{00000000-0008-0000-1700-00001D000000}"/>
            </a:ext>
          </a:extLst>
        </xdr:cNvPr>
        <xdr:cNvSpPr>
          <a:spLocks noChangeAspect="1"/>
        </xdr:cNvSpPr>
      </xdr:nvSpPr>
      <xdr:spPr>
        <a:xfrm>
          <a:off x="649941" y="1725706"/>
          <a:ext cx="625770" cy="403412"/>
        </a:xfrm>
        <a:prstGeom prst="leftArrow">
          <a:avLst/>
        </a:prstGeom>
        <a:solidFill>
          <a:srgbClr val="54BCEB"/>
        </a:solidFill>
        <a:ln>
          <a:solidFill>
            <a:srgbClr val="54BCEB"/>
          </a:solidFill>
        </a:ln>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wsDr>
</file>

<file path=xl/drawings/drawing17.xml><?xml version="1.0" encoding="utf-8"?>
<xdr:wsDr xmlns:xdr="http://schemas.openxmlformats.org/drawingml/2006/spreadsheetDrawing" xmlns:a="http://schemas.openxmlformats.org/drawingml/2006/main">
  <xdr:twoCellAnchor>
    <xdr:from>
      <xdr:col>17</xdr:col>
      <xdr:colOff>0</xdr:colOff>
      <xdr:row>1</xdr:row>
      <xdr:rowOff>133350</xdr:rowOff>
    </xdr:from>
    <xdr:to>
      <xdr:col>22</xdr:col>
      <xdr:colOff>0</xdr:colOff>
      <xdr:row>4</xdr:row>
      <xdr:rowOff>133350</xdr:rowOff>
    </xdr:to>
    <xdr:sp macro="" textlink="MAIN3">
      <xdr:nvSpPr>
        <xdr:cNvPr id="5" name="MENU3">
          <a:hlinkClick xmlns:r="http://schemas.openxmlformats.org/officeDocument/2006/relationships" r:id="rId1" tooltip=" "/>
          <a:extLst>
            <a:ext uri="{FF2B5EF4-FFF2-40B4-BE49-F238E27FC236}">
              <a16:creationId xmlns:a16="http://schemas.microsoft.com/office/drawing/2014/main" id="{00000000-0008-0000-1800-000005000000}"/>
            </a:ext>
          </a:extLst>
        </xdr:cNvPr>
        <xdr:cNvSpPr/>
      </xdr:nvSpPr>
      <xdr:spPr>
        <a:xfrm>
          <a:off x="5343525" y="333375"/>
          <a:ext cx="1571625" cy="600075"/>
        </a:xfrm>
        <a:prstGeom prst="round2SameRect">
          <a:avLst/>
        </a:prstGeom>
        <a:solidFill>
          <a:srgbClr val="A6A5AA"/>
        </a:solidFill>
        <a:ln w="12700">
          <a:solidFill>
            <a:srgbClr val="A6A5AA"/>
          </a:solidFill>
        </a:ln>
        <a:effectLst>
          <a:outerShdw blurRad="25400" dist="508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06A037F-AE33-47CC-85C1-F6D62694F95D}" type="TxLink">
            <a:rPr lang="en-US" sz="1100" b="0" i="0" u="none" strike="noStrike">
              <a:solidFill>
                <a:schemeClr val="bg1"/>
              </a:solidFill>
              <a:latin typeface="Arial" panose="020B0604020202020204" pitchFamily="34" charset="0"/>
              <a:cs typeface="Arial" panose="020B0604020202020204" pitchFamily="34" charset="0"/>
            </a:rPr>
            <a:pPr algn="ctr"/>
            <a:t>PRESCRIPTIVE MEASURES INPUT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xdr:col>
      <xdr:colOff>0</xdr:colOff>
      <xdr:row>4</xdr:row>
      <xdr:rowOff>1</xdr:rowOff>
    </xdr:from>
    <xdr:to>
      <xdr:col>44</xdr:col>
      <xdr:colOff>13806</xdr:colOff>
      <xdr:row>7</xdr:row>
      <xdr:rowOff>0</xdr:rowOff>
    </xdr:to>
    <xdr:sp macro="" textlink="">
      <xdr:nvSpPr>
        <xdr:cNvPr id="10" name="TOPRIBBON">
          <a:extLst>
            <a:ext uri="{FF2B5EF4-FFF2-40B4-BE49-F238E27FC236}">
              <a16:creationId xmlns:a16="http://schemas.microsoft.com/office/drawing/2014/main" id="{00000000-0008-0000-1800-00000A000000}"/>
            </a:ext>
          </a:extLst>
        </xdr:cNvPr>
        <xdr:cNvSpPr/>
      </xdr:nvSpPr>
      <xdr:spPr>
        <a:xfrm>
          <a:off x="313765" y="806825"/>
          <a:ext cx="13505688" cy="605116"/>
        </a:xfrm>
        <a:prstGeom prst="round2SameRect">
          <a:avLst/>
        </a:prstGeom>
        <a:solidFill>
          <a:srgbClr val="A6A5A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p>
      </xdr:txBody>
    </xdr:sp>
    <xdr:clientData/>
  </xdr:twoCellAnchor>
  <xdr:twoCellAnchor>
    <xdr:from>
      <xdr:col>2</xdr:col>
      <xdr:colOff>2720</xdr:colOff>
      <xdr:row>5</xdr:row>
      <xdr:rowOff>0</xdr:rowOff>
    </xdr:from>
    <xdr:to>
      <xdr:col>6</xdr:col>
      <xdr:colOff>119261</xdr:colOff>
      <xdr:row>6</xdr:row>
      <xdr:rowOff>197827</xdr:rowOff>
    </xdr:to>
    <xdr:sp macro="" textlink="M3S1">
      <xdr:nvSpPr>
        <xdr:cNvPr id="11" name="SUBMENU1">
          <a:hlinkClick xmlns:r="http://schemas.openxmlformats.org/officeDocument/2006/relationships" r:id="rId1" tooltip=" "/>
          <a:extLst>
            <a:ext uri="{FF2B5EF4-FFF2-40B4-BE49-F238E27FC236}">
              <a16:creationId xmlns:a16="http://schemas.microsoft.com/office/drawing/2014/main" id="{00000000-0008-0000-1800-00000B000000}"/>
            </a:ext>
          </a:extLst>
        </xdr:cNvPr>
        <xdr:cNvSpPr/>
      </xdr:nvSpPr>
      <xdr:spPr>
        <a:xfrm>
          <a:off x="630249" y="1008529"/>
          <a:ext cx="1371600" cy="399533"/>
        </a:xfrm>
        <a:prstGeom prst="round2SameRect">
          <a:avLst/>
        </a:prstGeom>
        <a:solidFill>
          <a:srgbClr val="1A9DD8"/>
        </a:solidFill>
        <a:ln w="12700">
          <a:solidFill>
            <a:srgbClr val="1A9DD8"/>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ADF56A7A-CB83-4152-B95A-120E0363F7FB}"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Lighting</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6</xdr:col>
      <xdr:colOff>134851</xdr:colOff>
      <xdr:row>4</xdr:row>
      <xdr:rowOff>200705</xdr:rowOff>
    </xdr:from>
    <xdr:to>
      <xdr:col>10</xdr:col>
      <xdr:colOff>251392</xdr:colOff>
      <xdr:row>7</xdr:row>
      <xdr:rowOff>0</xdr:rowOff>
    </xdr:to>
    <xdr:sp macro="" textlink="M3S2">
      <xdr:nvSpPr>
        <xdr:cNvPr id="12" name="SUBMENU2">
          <a:hlinkClick xmlns:r="http://schemas.openxmlformats.org/officeDocument/2006/relationships" r:id="rId2" tooltip=" "/>
          <a:extLst>
            <a:ext uri="{FF2B5EF4-FFF2-40B4-BE49-F238E27FC236}">
              <a16:creationId xmlns:a16="http://schemas.microsoft.com/office/drawing/2014/main" id="{00000000-0008-0000-1800-00000C000000}"/>
            </a:ext>
          </a:extLst>
        </xdr:cNvPr>
        <xdr:cNvSpPr/>
      </xdr:nvSpPr>
      <xdr:spPr>
        <a:xfrm>
          <a:off x="2017439" y="1007529"/>
          <a:ext cx="1371600" cy="404412"/>
        </a:xfrm>
        <a:prstGeom prst="round2SameRect">
          <a:avLst/>
        </a:prstGeom>
        <a:solidFill>
          <a:srgbClr val="1A9DD8"/>
        </a:solidFill>
        <a:ln w="12700">
          <a:solidFill>
            <a:srgbClr val="1A9DD8"/>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3F4CA6B-01F3-44D0-A0E3-D0AA753206B2}"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Lighting Controls</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10</xdr:col>
      <xdr:colOff>258037</xdr:colOff>
      <xdr:row>4</xdr:row>
      <xdr:rowOff>200705</xdr:rowOff>
    </xdr:from>
    <xdr:to>
      <xdr:col>15</xdr:col>
      <xdr:colOff>60813</xdr:colOff>
      <xdr:row>7</xdr:row>
      <xdr:rowOff>0</xdr:rowOff>
    </xdr:to>
    <xdr:sp macro="" textlink="M3S3">
      <xdr:nvSpPr>
        <xdr:cNvPr id="13" name="SUBMENU3">
          <a:hlinkClick xmlns:r="http://schemas.openxmlformats.org/officeDocument/2006/relationships" r:id="rId3" tooltip=" "/>
          <a:extLst>
            <a:ext uri="{FF2B5EF4-FFF2-40B4-BE49-F238E27FC236}">
              <a16:creationId xmlns:a16="http://schemas.microsoft.com/office/drawing/2014/main" id="{00000000-0008-0000-1800-00000D000000}"/>
            </a:ext>
          </a:extLst>
        </xdr:cNvPr>
        <xdr:cNvSpPr/>
      </xdr:nvSpPr>
      <xdr:spPr>
        <a:xfrm>
          <a:off x="3395684" y="1007529"/>
          <a:ext cx="1371600" cy="404412"/>
        </a:xfrm>
        <a:prstGeom prst="round2SameRect">
          <a:avLst/>
        </a:prstGeom>
        <a:solidFill>
          <a:srgbClr val="1A9DD8"/>
        </a:solidFill>
        <a:ln w="12700">
          <a:solidFill>
            <a:srgbClr val="1A9DD8"/>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E60A9FB0-D7E6-4ADD-8A44-C9B2BE21324A}"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HVAC (Electric)</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15</xdr:col>
      <xdr:colOff>67463</xdr:colOff>
      <xdr:row>4</xdr:row>
      <xdr:rowOff>200705</xdr:rowOff>
    </xdr:from>
    <xdr:to>
      <xdr:col>19</xdr:col>
      <xdr:colOff>184005</xdr:colOff>
      <xdr:row>7</xdr:row>
      <xdr:rowOff>0</xdr:rowOff>
    </xdr:to>
    <xdr:sp macro="" textlink="M3S4">
      <xdr:nvSpPr>
        <xdr:cNvPr id="14" name="SUBMENU4">
          <a:hlinkClick xmlns:r="http://schemas.openxmlformats.org/officeDocument/2006/relationships" r:id="rId4" tooltip=" "/>
          <a:extLst>
            <a:ext uri="{FF2B5EF4-FFF2-40B4-BE49-F238E27FC236}">
              <a16:creationId xmlns:a16="http://schemas.microsoft.com/office/drawing/2014/main" id="{00000000-0008-0000-1800-00000E000000}"/>
            </a:ext>
          </a:extLst>
        </xdr:cNvPr>
        <xdr:cNvSpPr/>
      </xdr:nvSpPr>
      <xdr:spPr>
        <a:xfrm>
          <a:off x="4773934" y="1007529"/>
          <a:ext cx="1371600" cy="404412"/>
        </a:xfrm>
        <a:prstGeom prst="round2SameRect">
          <a:avLst/>
        </a:prstGeom>
        <a:solidFill>
          <a:srgbClr val="1A9DD8"/>
        </a:solidFill>
        <a:ln w="12700">
          <a:solidFill>
            <a:srgbClr val="1A9DD8"/>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EC4D1991-C1D9-486E-95EB-30A9469B742C}"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Refrigeration</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19</xdr:col>
      <xdr:colOff>190648</xdr:colOff>
      <xdr:row>4</xdr:row>
      <xdr:rowOff>200705</xdr:rowOff>
    </xdr:from>
    <xdr:to>
      <xdr:col>23</xdr:col>
      <xdr:colOff>307189</xdr:colOff>
      <xdr:row>7</xdr:row>
      <xdr:rowOff>0</xdr:rowOff>
    </xdr:to>
    <xdr:sp macro="" textlink="M3S5">
      <xdr:nvSpPr>
        <xdr:cNvPr id="15" name="SUBMENU5">
          <a:hlinkClick xmlns:r="http://schemas.openxmlformats.org/officeDocument/2006/relationships" r:id="rId5" tooltip=" "/>
          <a:extLst>
            <a:ext uri="{FF2B5EF4-FFF2-40B4-BE49-F238E27FC236}">
              <a16:creationId xmlns:a16="http://schemas.microsoft.com/office/drawing/2014/main" id="{00000000-0008-0000-1800-00000F000000}"/>
            </a:ext>
          </a:extLst>
        </xdr:cNvPr>
        <xdr:cNvSpPr/>
      </xdr:nvSpPr>
      <xdr:spPr>
        <a:xfrm>
          <a:off x="6152177" y="1007529"/>
          <a:ext cx="1371600" cy="404412"/>
        </a:xfrm>
        <a:prstGeom prst="round2SameRect">
          <a:avLst/>
        </a:prstGeom>
        <a:solidFill>
          <a:srgbClr val="1A9DD8"/>
        </a:solidFill>
        <a:ln w="12700">
          <a:solidFill>
            <a:srgbClr val="1A9DD8"/>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52BFCEF9-4B05-45FB-B7B3-9621E37C07CC}"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Commercial Cooking (Elec/Gas)</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24</xdr:col>
      <xdr:colOff>11283</xdr:colOff>
      <xdr:row>4</xdr:row>
      <xdr:rowOff>197156</xdr:rowOff>
    </xdr:from>
    <xdr:to>
      <xdr:col>28</xdr:col>
      <xdr:colOff>127824</xdr:colOff>
      <xdr:row>6</xdr:row>
      <xdr:rowOff>198157</xdr:rowOff>
    </xdr:to>
    <xdr:sp macro="" textlink="M3S8">
      <xdr:nvSpPr>
        <xdr:cNvPr id="23" name="SUBMENU5">
          <a:hlinkClick xmlns:r="http://schemas.openxmlformats.org/officeDocument/2006/relationships" r:id="rId6" tooltip=" "/>
          <a:extLst>
            <a:ext uri="{FF2B5EF4-FFF2-40B4-BE49-F238E27FC236}">
              <a16:creationId xmlns:a16="http://schemas.microsoft.com/office/drawing/2014/main" id="{00000000-0008-0000-1800-000017000000}"/>
            </a:ext>
          </a:extLst>
        </xdr:cNvPr>
        <xdr:cNvSpPr/>
      </xdr:nvSpPr>
      <xdr:spPr>
        <a:xfrm>
          <a:off x="7541636" y="1003980"/>
          <a:ext cx="1371600" cy="404412"/>
        </a:xfrm>
        <a:prstGeom prst="round2SameRect">
          <a:avLst/>
        </a:prstGeom>
        <a:solidFill>
          <a:srgbClr val="1A9DD8"/>
        </a:solidFill>
        <a:ln w="28575">
          <a:solidFill>
            <a:srgbClr val="1A9DD8"/>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marL="0" indent="0" algn="ctr"/>
          <a:fld id="{BA865B98-DE37-4668-AF99-996484229397}" type="TxLink">
            <a:rPr lang="en-US" sz="1100" b="0" i="0" u="none" strike="noStrike">
              <a:solidFill>
                <a:srgbClr val="FFFFFF"/>
              </a:solidFill>
              <a:latin typeface="Arial" panose="020B0604020202020204" pitchFamily="34" charset="0"/>
              <a:ea typeface="+mn-ea"/>
              <a:cs typeface="Arial" panose="020B0604020202020204" pitchFamily="34" charset="0"/>
            </a:rPr>
            <a:pPr marL="0" indent="0" algn="ctr"/>
            <a:t>Misc / Compressed Air / VFDs</a:t>
          </a:fld>
          <a:endParaRPr lang="en-US" sz="1100" b="0" i="0" u="none" strike="noStrike">
            <a:solidFill>
              <a:srgbClr val="FFFFFF"/>
            </a:solidFill>
            <a:latin typeface="Arial" panose="020B0604020202020204" pitchFamily="34" charset="0"/>
            <a:ea typeface="+mn-ea"/>
            <a:cs typeface="Arial" panose="020B0604020202020204" pitchFamily="34" charset="0"/>
          </a:endParaRPr>
        </a:p>
      </xdr:txBody>
    </xdr:sp>
    <xdr:clientData/>
  </xdr:twoCellAnchor>
  <xdr:twoCellAnchor>
    <xdr:from>
      <xdr:col>28</xdr:col>
      <xdr:colOff>145676</xdr:colOff>
      <xdr:row>4</xdr:row>
      <xdr:rowOff>190500</xdr:rowOff>
    </xdr:from>
    <xdr:to>
      <xdr:col>32</xdr:col>
      <xdr:colOff>262217</xdr:colOff>
      <xdr:row>6</xdr:row>
      <xdr:rowOff>189821</xdr:rowOff>
    </xdr:to>
    <xdr:sp macro="" textlink="M3S9">
      <xdr:nvSpPr>
        <xdr:cNvPr id="24" name="SUBMENU5">
          <a:hlinkClick xmlns:r="http://schemas.openxmlformats.org/officeDocument/2006/relationships" r:id="rId7" tooltip=" "/>
          <a:extLst>
            <a:ext uri="{FF2B5EF4-FFF2-40B4-BE49-F238E27FC236}">
              <a16:creationId xmlns:a16="http://schemas.microsoft.com/office/drawing/2014/main" id="{00000000-0008-0000-1800-000018000000}"/>
            </a:ext>
          </a:extLst>
        </xdr:cNvPr>
        <xdr:cNvSpPr/>
      </xdr:nvSpPr>
      <xdr:spPr>
        <a:xfrm>
          <a:off x="8931088" y="997324"/>
          <a:ext cx="1371600" cy="402732"/>
        </a:xfrm>
        <a:prstGeom prst="round2SameRect">
          <a:avLst/>
        </a:prstGeom>
        <a:solidFill>
          <a:srgbClr val="1A9DD8"/>
        </a:solidFill>
        <a:ln w="12700">
          <a:solidFill>
            <a:srgbClr val="1A9DD8"/>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marL="0" indent="0" algn="ctr"/>
          <a:fld id="{FDE417D9-BB8B-470F-AFD8-9914571AC487}" type="TxLink">
            <a:rPr lang="en-US" sz="1100" b="0" i="0" u="none" strike="noStrike">
              <a:solidFill>
                <a:schemeClr val="bg1"/>
              </a:solidFill>
              <a:latin typeface="Arial" panose="020B0604020202020204" pitchFamily="34" charset="0"/>
              <a:ea typeface="+mn-ea"/>
              <a:cs typeface="Arial" panose="020B0604020202020204" pitchFamily="34" charset="0"/>
            </a:rPr>
            <a:pPr marL="0" indent="0" algn="ctr"/>
            <a:t>Agriculture (Elec/Gas)</a:t>
          </a:fld>
          <a:endParaRPr lang="en-US" sz="1100" b="0" i="0" u="none" strike="noStrike">
            <a:solidFill>
              <a:schemeClr val="bg1"/>
            </a:solidFill>
            <a:latin typeface="Arial" panose="020B0604020202020204" pitchFamily="34" charset="0"/>
            <a:ea typeface="+mn-ea"/>
            <a:cs typeface="Arial" panose="020B0604020202020204" pitchFamily="34" charset="0"/>
          </a:endParaRPr>
        </a:p>
      </xdr:txBody>
    </xdr:sp>
    <xdr:clientData/>
  </xdr:twoCellAnchor>
  <xdr:twoCellAnchor>
    <xdr:from>
      <xdr:col>36</xdr:col>
      <xdr:colOff>271807</xdr:colOff>
      <xdr:row>4</xdr:row>
      <xdr:rowOff>200705</xdr:rowOff>
    </xdr:from>
    <xdr:to>
      <xdr:col>40</xdr:col>
      <xdr:colOff>260332</xdr:colOff>
      <xdr:row>7</xdr:row>
      <xdr:rowOff>0</xdr:rowOff>
    </xdr:to>
    <xdr:sp macro="" textlink="M3S7">
      <xdr:nvSpPr>
        <xdr:cNvPr id="17" name="SUBMENU7">
          <a:hlinkClick xmlns:r="http://schemas.openxmlformats.org/officeDocument/2006/relationships" r:id="rId8" tooltip=" "/>
          <a:extLst>
            <a:ext uri="{FF2B5EF4-FFF2-40B4-BE49-F238E27FC236}">
              <a16:creationId xmlns:a16="http://schemas.microsoft.com/office/drawing/2014/main" id="{00000000-0008-0000-1800-000011000000}"/>
            </a:ext>
          </a:extLst>
        </xdr:cNvPr>
        <xdr:cNvSpPr/>
      </xdr:nvSpPr>
      <xdr:spPr>
        <a:xfrm>
          <a:off x="11567336" y="1007529"/>
          <a:ext cx="1243584" cy="404412"/>
        </a:xfrm>
        <a:prstGeom prst="round2SameRect">
          <a:avLst/>
        </a:prstGeom>
        <a:solidFill>
          <a:srgbClr val="54BCEB"/>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DBE1B27F-5FE8-4BDD-82FC-95C3FF9A200E}"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Water Heating / Others (Gas)</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editAs="absolute">
    <xdr:from>
      <xdr:col>41</xdr:col>
      <xdr:colOff>0</xdr:colOff>
      <xdr:row>9</xdr:row>
      <xdr:rowOff>1047</xdr:rowOff>
    </xdr:from>
    <xdr:to>
      <xdr:col>42</xdr:col>
      <xdr:colOff>313195</xdr:colOff>
      <xdr:row>11</xdr:row>
      <xdr:rowOff>1046</xdr:rowOff>
    </xdr:to>
    <xdr:sp macro="" textlink="">
      <xdr:nvSpPr>
        <xdr:cNvPr id="2" name="NEXT">
          <a:hlinkClick xmlns:r="http://schemas.openxmlformats.org/officeDocument/2006/relationships" r:id="rId9" tooltip=" "/>
          <a:extLst>
            <a:ext uri="{FF2B5EF4-FFF2-40B4-BE49-F238E27FC236}">
              <a16:creationId xmlns:a16="http://schemas.microsoft.com/office/drawing/2014/main" id="{00000000-0008-0000-1800-000002000000}"/>
            </a:ext>
          </a:extLst>
        </xdr:cNvPr>
        <xdr:cNvSpPr>
          <a:spLocks noChangeAspect="1"/>
        </xdr:cNvSpPr>
      </xdr:nvSpPr>
      <xdr:spPr>
        <a:xfrm>
          <a:off x="12887325" y="1801272"/>
          <a:ext cx="627520" cy="400049"/>
        </a:xfrm>
        <a:prstGeom prst="rightArrow">
          <a:avLst/>
        </a:prstGeom>
        <a:solidFill>
          <a:srgbClr val="54BCEB"/>
        </a:solidFill>
        <a:ln>
          <a:solidFill>
            <a:srgbClr val="54BCEB"/>
          </a:solidFill>
        </a:ln>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7</xdr:col>
      <xdr:colOff>457</xdr:colOff>
      <xdr:row>1</xdr:row>
      <xdr:rowOff>0</xdr:rowOff>
    </xdr:from>
    <xdr:to>
      <xdr:col>12</xdr:col>
      <xdr:colOff>0</xdr:colOff>
      <xdr:row>4</xdr:row>
      <xdr:rowOff>0</xdr:rowOff>
    </xdr:to>
    <xdr:sp macro="" textlink="MAIN1">
      <xdr:nvSpPr>
        <xdr:cNvPr id="3" name="MENU1">
          <a:hlinkClick xmlns:r="http://schemas.openxmlformats.org/officeDocument/2006/relationships" r:id="rId10" tooltip=" "/>
          <a:extLst>
            <a:ext uri="{FF2B5EF4-FFF2-40B4-BE49-F238E27FC236}">
              <a16:creationId xmlns:a16="http://schemas.microsoft.com/office/drawing/2014/main" id="{00000000-0008-0000-1800-000003000000}"/>
            </a:ext>
          </a:extLst>
        </xdr:cNvPr>
        <xdr:cNvSpPr/>
      </xdr:nvSpPr>
      <xdr:spPr>
        <a:xfrm>
          <a:off x="2200732" y="200025"/>
          <a:ext cx="1571168" cy="600075"/>
        </a:xfrm>
        <a:prstGeom prst="round2SameRect">
          <a:avLst/>
        </a:prstGeom>
        <a:solidFill>
          <a:srgbClr val="00334E"/>
        </a:solidFill>
        <a:ln w="12700">
          <a:solidFill>
            <a:srgbClr val="00334E"/>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D6F2F067-2676-4601-ABCE-75BD5137E3D5}" type="TxLink">
            <a:rPr lang="en-US" sz="1100" b="0" i="0" u="none" strike="noStrike">
              <a:solidFill>
                <a:schemeClr val="bg1"/>
              </a:solidFill>
              <a:latin typeface="Arial" panose="020B0604020202020204" pitchFamily="34" charset="0"/>
              <a:cs typeface="Arial" panose="020B0604020202020204" pitchFamily="34" charset="0"/>
            </a:rPr>
            <a:pPr algn="ctr"/>
            <a:t>START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12</xdr:col>
      <xdr:colOff>0</xdr:colOff>
      <xdr:row>1</xdr:row>
      <xdr:rowOff>0</xdr:rowOff>
    </xdr:from>
    <xdr:to>
      <xdr:col>17</xdr:col>
      <xdr:colOff>0</xdr:colOff>
      <xdr:row>4</xdr:row>
      <xdr:rowOff>0</xdr:rowOff>
    </xdr:to>
    <xdr:sp macro="" textlink="MAIN2">
      <xdr:nvSpPr>
        <xdr:cNvPr id="4" name="MENU2">
          <a:hlinkClick xmlns:r="http://schemas.openxmlformats.org/officeDocument/2006/relationships" r:id="rId11" tooltip=" "/>
          <a:extLst>
            <a:ext uri="{FF2B5EF4-FFF2-40B4-BE49-F238E27FC236}">
              <a16:creationId xmlns:a16="http://schemas.microsoft.com/office/drawing/2014/main" id="{00000000-0008-0000-1800-000004000000}"/>
            </a:ext>
          </a:extLst>
        </xdr:cNvPr>
        <xdr:cNvSpPr/>
      </xdr:nvSpPr>
      <xdr:spPr>
        <a:xfrm>
          <a:off x="3771900" y="200025"/>
          <a:ext cx="1571625" cy="600075"/>
        </a:xfrm>
        <a:prstGeom prst="round2SameRect">
          <a:avLst/>
        </a:prstGeom>
        <a:solidFill>
          <a:srgbClr val="00334E"/>
        </a:solidFill>
        <a:ln w="12700">
          <a:solidFill>
            <a:srgbClr val="00334E"/>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59A035B9-F1D2-4E89-B262-AF2DF0C338A9}" type="TxLink">
            <a:rPr lang="en-US" sz="1100" b="0" i="0" u="none" strike="noStrike">
              <a:solidFill>
                <a:schemeClr val="bg1"/>
              </a:solidFill>
              <a:latin typeface="Arial" panose="020B0604020202020204" pitchFamily="34" charset="0"/>
              <a:cs typeface="Arial" panose="020B0604020202020204" pitchFamily="34" charset="0"/>
            </a:rPr>
            <a:pPr algn="ctr"/>
            <a:t>PROJECT INFORMATION</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22</xdr:col>
      <xdr:colOff>0</xdr:colOff>
      <xdr:row>1</xdr:row>
      <xdr:rowOff>0</xdr:rowOff>
    </xdr:from>
    <xdr:to>
      <xdr:col>27</xdr:col>
      <xdr:colOff>0</xdr:colOff>
      <xdr:row>4</xdr:row>
      <xdr:rowOff>0</xdr:rowOff>
    </xdr:to>
    <xdr:sp macro="" textlink="MAIN4">
      <xdr:nvSpPr>
        <xdr:cNvPr id="6" name="MENU4">
          <a:hlinkClick xmlns:r="http://schemas.openxmlformats.org/officeDocument/2006/relationships" r:id="rId12" tooltip=" "/>
          <a:extLst>
            <a:ext uri="{FF2B5EF4-FFF2-40B4-BE49-F238E27FC236}">
              <a16:creationId xmlns:a16="http://schemas.microsoft.com/office/drawing/2014/main" id="{00000000-0008-0000-1800-000006000000}"/>
            </a:ext>
          </a:extLst>
        </xdr:cNvPr>
        <xdr:cNvSpPr/>
      </xdr:nvSpPr>
      <xdr:spPr>
        <a:xfrm>
          <a:off x="6915150" y="200025"/>
          <a:ext cx="1571625" cy="600075"/>
        </a:xfrm>
        <a:prstGeom prst="round2SameRect">
          <a:avLst/>
        </a:prstGeom>
        <a:solidFill>
          <a:srgbClr val="00334E"/>
        </a:solidFill>
        <a:ln w="12700">
          <a:solidFill>
            <a:srgbClr val="00334E"/>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CB369157-CA5B-4E40-B1DE-604993B819B3}" type="TxLink">
            <a:rPr lang="en-US" sz="1100" b="0" i="0" u="none" strike="noStrike">
              <a:solidFill>
                <a:schemeClr val="bg1"/>
              </a:solidFill>
              <a:latin typeface="Arial" panose="020B0604020202020204" pitchFamily="34" charset="0"/>
              <a:cs typeface="Arial" panose="020B0604020202020204" pitchFamily="34" charset="0"/>
            </a:rPr>
            <a:pPr algn="ctr"/>
            <a:t>CUSTOM MEASURES INPUT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27</xdr:col>
      <xdr:colOff>0</xdr:colOff>
      <xdr:row>1</xdr:row>
      <xdr:rowOff>0</xdr:rowOff>
    </xdr:from>
    <xdr:to>
      <xdr:col>32</xdr:col>
      <xdr:colOff>0</xdr:colOff>
      <xdr:row>4</xdr:row>
      <xdr:rowOff>0</xdr:rowOff>
    </xdr:to>
    <xdr:sp macro="" textlink="MAIN5">
      <xdr:nvSpPr>
        <xdr:cNvPr id="7" name="MENU5">
          <a:hlinkClick xmlns:r="http://schemas.openxmlformats.org/officeDocument/2006/relationships" r:id="rId13" tooltip=" "/>
          <a:extLst>
            <a:ext uri="{FF2B5EF4-FFF2-40B4-BE49-F238E27FC236}">
              <a16:creationId xmlns:a16="http://schemas.microsoft.com/office/drawing/2014/main" id="{00000000-0008-0000-1800-000007000000}"/>
            </a:ext>
          </a:extLst>
        </xdr:cNvPr>
        <xdr:cNvSpPr/>
      </xdr:nvSpPr>
      <xdr:spPr>
        <a:xfrm>
          <a:off x="8486775" y="200025"/>
          <a:ext cx="1571625" cy="600075"/>
        </a:xfrm>
        <a:prstGeom prst="round2SameRect">
          <a:avLst/>
        </a:prstGeom>
        <a:solidFill>
          <a:srgbClr val="00334E"/>
        </a:solidFill>
        <a:ln w="12700">
          <a:solidFill>
            <a:srgbClr val="00334E"/>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F0EEDDA6-4934-49B4-972D-20D21D440D82}" type="TxLink">
            <a:rPr lang="en-US" sz="1100" b="0" i="0" u="none" strike="noStrike">
              <a:solidFill>
                <a:schemeClr val="bg1"/>
              </a:solidFill>
              <a:latin typeface="Arial" panose="020B0604020202020204" pitchFamily="34" charset="0"/>
              <a:cs typeface="Arial" panose="020B0604020202020204" pitchFamily="34" charset="0"/>
            </a:rPr>
            <a:pPr algn="ctr"/>
            <a:t>APPLICATION REVIEW</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32</xdr:col>
      <xdr:colOff>0</xdr:colOff>
      <xdr:row>1</xdr:row>
      <xdr:rowOff>0</xdr:rowOff>
    </xdr:from>
    <xdr:to>
      <xdr:col>37</xdr:col>
      <xdr:colOff>1</xdr:colOff>
      <xdr:row>4</xdr:row>
      <xdr:rowOff>0</xdr:rowOff>
    </xdr:to>
    <xdr:sp macro="" textlink="MAIN6">
      <xdr:nvSpPr>
        <xdr:cNvPr id="8" name="MENU6">
          <a:extLst>
            <a:ext uri="{FF2B5EF4-FFF2-40B4-BE49-F238E27FC236}">
              <a16:creationId xmlns:a16="http://schemas.microsoft.com/office/drawing/2014/main" id="{00000000-0008-0000-1800-000008000000}"/>
            </a:ext>
          </a:extLst>
        </xdr:cNvPr>
        <xdr:cNvSpPr/>
      </xdr:nvSpPr>
      <xdr:spPr>
        <a:xfrm>
          <a:off x="10058400" y="200025"/>
          <a:ext cx="1571626"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54BCEB"/>
              </a:solidFill>
            </a14:hiddenFill>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B12A3774-975E-4B41-A681-E085295C6D0E}" type="TxLink">
            <a:rPr lang="en-US" sz="1100" b="0" i="0" u="none" strike="noStrike">
              <a:noFill/>
              <a:latin typeface="Arial" panose="020B0604020202020204" pitchFamily="34" charset="0"/>
              <a:cs typeface="Arial" panose="020B0604020202020204" pitchFamily="34" charset="0"/>
            </a:rPr>
            <a:pPr algn="ctr"/>
            <a:t> </a:t>
          </a:fld>
          <a:endParaRPr lang="en-US" sz="1100">
            <a:noFill/>
            <a:latin typeface="Arial" panose="020B0604020202020204" pitchFamily="34" charset="0"/>
            <a:cs typeface="Arial" panose="020B0604020202020204" pitchFamily="34" charset="0"/>
          </a:endParaRPr>
        </a:p>
      </xdr:txBody>
    </xdr:sp>
    <xdr:clientData/>
  </xdr:twoCellAnchor>
  <xdr:twoCellAnchor>
    <xdr:from>
      <xdr:col>36</xdr:col>
      <xdr:colOff>314324</xdr:colOff>
      <xdr:row>1</xdr:row>
      <xdr:rowOff>0</xdr:rowOff>
    </xdr:from>
    <xdr:to>
      <xdr:col>41</xdr:col>
      <xdr:colOff>314324</xdr:colOff>
      <xdr:row>4</xdr:row>
      <xdr:rowOff>0</xdr:rowOff>
    </xdr:to>
    <xdr:sp macro="" textlink="MAIN7">
      <xdr:nvSpPr>
        <xdr:cNvPr id="9" name="MENU7">
          <a:extLst>
            <a:ext uri="{FF2B5EF4-FFF2-40B4-BE49-F238E27FC236}">
              <a16:creationId xmlns:a16="http://schemas.microsoft.com/office/drawing/2014/main" id="{00000000-0008-0000-1800-000009000000}"/>
            </a:ext>
          </a:extLst>
        </xdr:cNvPr>
        <xdr:cNvSpPr/>
      </xdr:nvSpPr>
      <xdr:spPr>
        <a:xfrm>
          <a:off x="11630024" y="200025"/>
          <a:ext cx="1571625"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54BCEB"/>
              </a:solidFill>
            </a14:hiddenFill>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 </a:t>
          </a:fld>
          <a:endParaRPr lang="en-US" sz="1100">
            <a:noFill/>
            <a:latin typeface="Arial" panose="020B0604020202020204" pitchFamily="34" charset="0"/>
            <a:cs typeface="Arial" panose="020B0604020202020204" pitchFamily="34" charset="0"/>
          </a:endParaRPr>
        </a:p>
      </xdr:txBody>
    </xdr:sp>
    <xdr:clientData/>
  </xdr:twoCellAnchor>
  <xdr:twoCellAnchor>
    <xdr:from>
      <xdr:col>32</xdr:col>
      <xdr:colOff>269023</xdr:colOff>
      <xdr:row>5</xdr:row>
      <xdr:rowOff>51480</xdr:rowOff>
    </xdr:from>
    <xdr:to>
      <xdr:col>36</xdr:col>
      <xdr:colOff>257549</xdr:colOff>
      <xdr:row>7</xdr:row>
      <xdr:rowOff>50800</xdr:rowOff>
    </xdr:to>
    <xdr:sp macro="" textlink="M3S6">
      <xdr:nvSpPr>
        <xdr:cNvPr id="16" name="SUBMENU6">
          <a:hlinkClick xmlns:r="http://schemas.openxmlformats.org/officeDocument/2006/relationships" r:id="rId14" tooltip=" "/>
          <a:extLst>
            <a:ext uri="{FF2B5EF4-FFF2-40B4-BE49-F238E27FC236}">
              <a16:creationId xmlns:a16="http://schemas.microsoft.com/office/drawing/2014/main" id="{00000000-0008-0000-1800-000010000000}"/>
            </a:ext>
          </a:extLst>
        </xdr:cNvPr>
        <xdr:cNvSpPr/>
      </xdr:nvSpPr>
      <xdr:spPr>
        <a:xfrm>
          <a:off x="10309494" y="1060009"/>
          <a:ext cx="1243584" cy="402732"/>
        </a:xfrm>
        <a:prstGeom prst="round2SameRect">
          <a:avLst/>
        </a:prstGeom>
        <a:solidFill>
          <a:srgbClr val="00334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30A5A5F-CF4B-4F90-A7E3-B223777D7BE2}"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HVAC 
(Gas)</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xdr:col>
      <xdr:colOff>558</xdr:colOff>
      <xdr:row>7</xdr:row>
      <xdr:rowOff>200024</xdr:rowOff>
    </xdr:from>
    <xdr:to>
      <xdr:col>44</xdr:col>
      <xdr:colOff>11206</xdr:colOff>
      <xdr:row>199</xdr:row>
      <xdr:rowOff>44823</xdr:rowOff>
    </xdr:to>
    <xdr:sp macro="" textlink="">
      <xdr:nvSpPr>
        <xdr:cNvPr id="19" name="BORDER">
          <a:extLst>
            <a:ext uri="{FF2B5EF4-FFF2-40B4-BE49-F238E27FC236}">
              <a16:creationId xmlns:a16="http://schemas.microsoft.com/office/drawing/2014/main" id="{00000000-0008-0000-1800-000013000000}"/>
            </a:ext>
          </a:extLst>
        </xdr:cNvPr>
        <xdr:cNvSpPr/>
      </xdr:nvSpPr>
      <xdr:spPr>
        <a:xfrm>
          <a:off x="314323" y="1611965"/>
          <a:ext cx="13502530" cy="5492564"/>
        </a:xfrm>
        <a:prstGeom prst="frame">
          <a:avLst>
            <a:gd name="adj1" fmla="val 97"/>
          </a:avLst>
        </a:prstGeom>
        <a:noFill/>
        <a:ln w="12700" cap="flat" cmpd="sng" algn="ctr">
          <a:solidFill>
            <a:srgbClr val="00334E"/>
          </a:solidFill>
          <a:prstDash val="solid"/>
          <a:miter lim="800000"/>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fPrintsWithSheet="0"/>
  </xdr:twoCellAnchor>
  <xdr:twoCellAnchor editAs="absolute">
    <xdr:from>
      <xdr:col>2</xdr:col>
      <xdr:colOff>2720</xdr:colOff>
      <xdr:row>9</xdr:row>
      <xdr:rowOff>1207</xdr:rowOff>
    </xdr:from>
    <xdr:to>
      <xdr:col>4</xdr:col>
      <xdr:colOff>960</xdr:colOff>
      <xdr:row>11</xdr:row>
      <xdr:rowOff>1207</xdr:rowOff>
    </xdr:to>
    <xdr:sp macro="" textlink="">
      <xdr:nvSpPr>
        <xdr:cNvPr id="20" name="BACK">
          <a:hlinkClick xmlns:r="http://schemas.openxmlformats.org/officeDocument/2006/relationships" r:id="rId7" tooltip=" "/>
          <a:extLst>
            <a:ext uri="{FF2B5EF4-FFF2-40B4-BE49-F238E27FC236}">
              <a16:creationId xmlns:a16="http://schemas.microsoft.com/office/drawing/2014/main" id="{00000000-0008-0000-1800-000014000000}"/>
            </a:ext>
          </a:extLst>
        </xdr:cNvPr>
        <xdr:cNvSpPr>
          <a:spLocks noChangeAspect="1"/>
        </xdr:cNvSpPr>
      </xdr:nvSpPr>
      <xdr:spPr>
        <a:xfrm>
          <a:off x="631370" y="1801432"/>
          <a:ext cx="626890" cy="400050"/>
        </a:xfrm>
        <a:prstGeom prst="leftArrow">
          <a:avLst/>
        </a:prstGeom>
        <a:solidFill>
          <a:srgbClr val="54BCEB"/>
        </a:solidFill>
        <a:ln>
          <a:solidFill>
            <a:srgbClr val="54BCEB"/>
          </a:solidFill>
        </a:ln>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editAs="oneCell">
    <xdr:from>
      <xdr:col>2</xdr:col>
      <xdr:colOff>102850</xdr:colOff>
      <xdr:row>0</xdr:row>
      <xdr:rowOff>156884</xdr:rowOff>
    </xdr:from>
    <xdr:to>
      <xdr:col>5</xdr:col>
      <xdr:colOff>30405</xdr:colOff>
      <xdr:row>2</xdr:row>
      <xdr:rowOff>195627</xdr:rowOff>
    </xdr:to>
    <xdr:pic>
      <xdr:nvPicPr>
        <xdr:cNvPr id="22" name="LOGO">
          <a:extLst>
            <a:ext uri="{FF2B5EF4-FFF2-40B4-BE49-F238E27FC236}">
              <a16:creationId xmlns:a16="http://schemas.microsoft.com/office/drawing/2014/main" id="{00000000-0008-0000-1800-000016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xdr:blipFill>
      <xdr:spPr>
        <a:xfrm>
          <a:off x="730379" y="156884"/>
          <a:ext cx="868850" cy="442155"/>
        </a:xfrm>
        <a:prstGeom prst="rect">
          <a:avLst/>
        </a:prstGeom>
      </xdr:spPr>
    </xdr:pic>
    <xdr:clientData/>
  </xdr:twoCellAnchor>
  <xdr:twoCellAnchor>
    <xdr:from>
      <xdr:col>1</xdr:col>
      <xdr:colOff>0</xdr:colOff>
      <xdr:row>7</xdr:row>
      <xdr:rowOff>0</xdr:rowOff>
    </xdr:from>
    <xdr:to>
      <xdr:col>44</xdr:col>
      <xdr:colOff>13806</xdr:colOff>
      <xdr:row>8</xdr:row>
      <xdr:rowOff>0</xdr:rowOff>
    </xdr:to>
    <xdr:sp macro="" textlink="">
      <xdr:nvSpPr>
        <xdr:cNvPr id="21" name="BOTTOMRIBBON">
          <a:extLst>
            <a:ext uri="{FF2B5EF4-FFF2-40B4-BE49-F238E27FC236}">
              <a16:creationId xmlns:a16="http://schemas.microsoft.com/office/drawing/2014/main" id="{00000000-0008-0000-1800-000015000000}"/>
            </a:ext>
          </a:extLst>
        </xdr:cNvPr>
        <xdr:cNvSpPr/>
      </xdr:nvSpPr>
      <xdr:spPr>
        <a:xfrm>
          <a:off x="313765" y="1411941"/>
          <a:ext cx="13505688" cy="201706"/>
        </a:xfrm>
        <a:prstGeom prst="rect">
          <a:avLst/>
        </a:prstGeom>
        <a:solidFill>
          <a:srgbClr val="00334E"/>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solidFill>
              <a:srgbClr val="FFFFFF"/>
            </a:solidFill>
          </a:endParaRP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17</xdr:col>
      <xdr:colOff>0</xdr:colOff>
      <xdr:row>1</xdr:row>
      <xdr:rowOff>133350</xdr:rowOff>
    </xdr:from>
    <xdr:to>
      <xdr:col>22</xdr:col>
      <xdr:colOff>0</xdr:colOff>
      <xdr:row>4</xdr:row>
      <xdr:rowOff>133350</xdr:rowOff>
    </xdr:to>
    <xdr:sp macro="" textlink="MAIN3">
      <xdr:nvSpPr>
        <xdr:cNvPr id="8" name="MENU3">
          <a:hlinkClick xmlns:r="http://schemas.openxmlformats.org/officeDocument/2006/relationships" r:id="rId1" tooltip=" "/>
          <a:extLst>
            <a:ext uri="{FF2B5EF4-FFF2-40B4-BE49-F238E27FC236}">
              <a16:creationId xmlns:a16="http://schemas.microsoft.com/office/drawing/2014/main" id="{00000000-0008-0000-1900-000008000000}"/>
            </a:ext>
          </a:extLst>
        </xdr:cNvPr>
        <xdr:cNvSpPr/>
      </xdr:nvSpPr>
      <xdr:spPr>
        <a:xfrm>
          <a:off x="5343525" y="333375"/>
          <a:ext cx="1571625" cy="600075"/>
        </a:xfrm>
        <a:prstGeom prst="round2SameRect">
          <a:avLst/>
        </a:prstGeom>
        <a:solidFill>
          <a:srgbClr val="A6A5AA"/>
        </a:solidFill>
        <a:ln w="12700">
          <a:solidFill>
            <a:srgbClr val="A6A5AA"/>
          </a:solidFill>
        </a:ln>
        <a:effectLst>
          <a:outerShdw blurRad="25400" dist="508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06A037F-AE33-47CC-85C1-F6D62694F95D}" type="TxLink">
            <a:rPr lang="en-US" sz="1100" b="0" i="0" u="none" strike="noStrike">
              <a:solidFill>
                <a:schemeClr val="bg1"/>
              </a:solidFill>
              <a:latin typeface="Arial" panose="020B0604020202020204" pitchFamily="34" charset="0"/>
              <a:cs typeface="Arial" panose="020B0604020202020204" pitchFamily="34" charset="0"/>
            </a:rPr>
            <a:pPr algn="ctr"/>
            <a:t>PRESCRIPTIVE MEASURES INPUT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xdr:col>
      <xdr:colOff>0</xdr:colOff>
      <xdr:row>4</xdr:row>
      <xdr:rowOff>1</xdr:rowOff>
    </xdr:from>
    <xdr:to>
      <xdr:col>44</xdr:col>
      <xdr:colOff>13806</xdr:colOff>
      <xdr:row>7</xdr:row>
      <xdr:rowOff>0</xdr:rowOff>
    </xdr:to>
    <xdr:sp macro="" textlink="">
      <xdr:nvSpPr>
        <xdr:cNvPr id="13" name="TOPRIBBON">
          <a:extLst>
            <a:ext uri="{FF2B5EF4-FFF2-40B4-BE49-F238E27FC236}">
              <a16:creationId xmlns:a16="http://schemas.microsoft.com/office/drawing/2014/main" id="{00000000-0008-0000-1900-00000D000000}"/>
            </a:ext>
          </a:extLst>
        </xdr:cNvPr>
        <xdr:cNvSpPr/>
      </xdr:nvSpPr>
      <xdr:spPr>
        <a:xfrm>
          <a:off x="313765" y="806825"/>
          <a:ext cx="13505688" cy="605116"/>
        </a:xfrm>
        <a:prstGeom prst="round2SameRect">
          <a:avLst/>
        </a:prstGeom>
        <a:solidFill>
          <a:srgbClr val="A6A5A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p>
      </xdr:txBody>
    </xdr:sp>
    <xdr:clientData/>
  </xdr:twoCellAnchor>
  <xdr:twoCellAnchor>
    <xdr:from>
      <xdr:col>2</xdr:col>
      <xdr:colOff>2720</xdr:colOff>
      <xdr:row>5</xdr:row>
      <xdr:rowOff>0</xdr:rowOff>
    </xdr:from>
    <xdr:to>
      <xdr:col>6</xdr:col>
      <xdr:colOff>119261</xdr:colOff>
      <xdr:row>6</xdr:row>
      <xdr:rowOff>197827</xdr:rowOff>
    </xdr:to>
    <xdr:sp macro="" textlink="M3S1">
      <xdr:nvSpPr>
        <xdr:cNvPr id="14" name="SUBMENU1">
          <a:hlinkClick xmlns:r="http://schemas.openxmlformats.org/officeDocument/2006/relationships" r:id="rId1" tooltip=" "/>
          <a:extLst>
            <a:ext uri="{FF2B5EF4-FFF2-40B4-BE49-F238E27FC236}">
              <a16:creationId xmlns:a16="http://schemas.microsoft.com/office/drawing/2014/main" id="{00000000-0008-0000-1900-00000E000000}"/>
            </a:ext>
          </a:extLst>
        </xdr:cNvPr>
        <xdr:cNvSpPr/>
      </xdr:nvSpPr>
      <xdr:spPr>
        <a:xfrm>
          <a:off x="630249" y="1008529"/>
          <a:ext cx="1371600" cy="399533"/>
        </a:xfrm>
        <a:prstGeom prst="round2SameRect">
          <a:avLst/>
        </a:prstGeom>
        <a:solidFill>
          <a:srgbClr val="1A9DD8"/>
        </a:solidFill>
        <a:ln w="12700">
          <a:solidFill>
            <a:srgbClr val="1A9DD8"/>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ADF56A7A-CB83-4152-B95A-120E0363F7FB}" type="TxLink">
            <a:rPr lang="en-US" sz="1100" b="0" i="0" u="none" strike="noStrike">
              <a:solidFill>
                <a:srgbClr val="FFFFFF"/>
              </a:solidFill>
              <a:latin typeface="Arial" panose="020B0604020202020204" pitchFamily="34" charset="0"/>
              <a:cs typeface="Arial" panose="020B0604020202020204" pitchFamily="34" charset="0"/>
            </a:rPr>
            <a:pPr algn="ctr"/>
            <a:t>Lighting</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6</xdr:col>
      <xdr:colOff>131115</xdr:colOff>
      <xdr:row>4</xdr:row>
      <xdr:rowOff>200705</xdr:rowOff>
    </xdr:from>
    <xdr:to>
      <xdr:col>10</xdr:col>
      <xdr:colOff>247656</xdr:colOff>
      <xdr:row>7</xdr:row>
      <xdr:rowOff>0</xdr:rowOff>
    </xdr:to>
    <xdr:sp macro="" textlink="M3S2">
      <xdr:nvSpPr>
        <xdr:cNvPr id="15" name="SUBMENU2">
          <a:hlinkClick xmlns:r="http://schemas.openxmlformats.org/officeDocument/2006/relationships" r:id="rId2" tooltip=" "/>
          <a:extLst>
            <a:ext uri="{FF2B5EF4-FFF2-40B4-BE49-F238E27FC236}">
              <a16:creationId xmlns:a16="http://schemas.microsoft.com/office/drawing/2014/main" id="{00000000-0008-0000-1900-00000F000000}"/>
            </a:ext>
          </a:extLst>
        </xdr:cNvPr>
        <xdr:cNvSpPr/>
      </xdr:nvSpPr>
      <xdr:spPr>
        <a:xfrm>
          <a:off x="2013703" y="1007529"/>
          <a:ext cx="1371600" cy="404412"/>
        </a:xfrm>
        <a:prstGeom prst="round2SameRect">
          <a:avLst/>
        </a:prstGeom>
        <a:solidFill>
          <a:srgbClr val="1A9DD8"/>
        </a:solidFill>
        <a:ln w="12700">
          <a:solidFill>
            <a:srgbClr val="1A9DD8"/>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3F4CA6B-01F3-44D0-A0E3-D0AA753206B2}" type="TxLink">
            <a:rPr lang="en-US" sz="1100" b="0" i="0" u="none" strike="noStrike">
              <a:solidFill>
                <a:srgbClr val="FFFFFF"/>
              </a:solidFill>
              <a:latin typeface="Arial" panose="020B0604020202020204" pitchFamily="34" charset="0"/>
              <a:cs typeface="Arial" panose="020B0604020202020204" pitchFamily="34" charset="0"/>
            </a:rPr>
            <a:pPr algn="ctr"/>
            <a:t>Lighting Controls</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10</xdr:col>
      <xdr:colOff>261771</xdr:colOff>
      <xdr:row>4</xdr:row>
      <xdr:rowOff>200705</xdr:rowOff>
    </xdr:from>
    <xdr:to>
      <xdr:col>15</xdr:col>
      <xdr:colOff>64547</xdr:colOff>
      <xdr:row>7</xdr:row>
      <xdr:rowOff>0</xdr:rowOff>
    </xdr:to>
    <xdr:sp macro="" textlink="M3S3">
      <xdr:nvSpPr>
        <xdr:cNvPr id="16" name="SUBMENU3">
          <a:hlinkClick xmlns:r="http://schemas.openxmlformats.org/officeDocument/2006/relationships" r:id="rId3" tooltip=" "/>
          <a:extLst>
            <a:ext uri="{FF2B5EF4-FFF2-40B4-BE49-F238E27FC236}">
              <a16:creationId xmlns:a16="http://schemas.microsoft.com/office/drawing/2014/main" id="{00000000-0008-0000-1900-000010000000}"/>
            </a:ext>
          </a:extLst>
        </xdr:cNvPr>
        <xdr:cNvSpPr/>
      </xdr:nvSpPr>
      <xdr:spPr>
        <a:xfrm>
          <a:off x="3399418" y="1007529"/>
          <a:ext cx="1371600" cy="404412"/>
        </a:xfrm>
        <a:prstGeom prst="round2SameRect">
          <a:avLst/>
        </a:prstGeom>
        <a:solidFill>
          <a:srgbClr val="1A9DD8"/>
        </a:solidFill>
        <a:ln w="12700">
          <a:solidFill>
            <a:srgbClr val="1A9DD8"/>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E60A9FB0-D7E6-4ADD-8A44-C9B2BE21324A}" type="TxLink">
            <a:rPr lang="en-US" sz="1100" b="0" i="0" u="none" strike="noStrike">
              <a:solidFill>
                <a:srgbClr val="FFFFFF"/>
              </a:solidFill>
              <a:latin typeface="Arial" panose="020B0604020202020204" pitchFamily="34" charset="0"/>
              <a:cs typeface="Arial" panose="020B0604020202020204" pitchFamily="34" charset="0"/>
            </a:rPr>
            <a:pPr algn="ctr"/>
            <a:t>HVAC (Electric)</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15</xdr:col>
      <xdr:colOff>78665</xdr:colOff>
      <xdr:row>4</xdr:row>
      <xdr:rowOff>200705</xdr:rowOff>
    </xdr:from>
    <xdr:to>
      <xdr:col>19</xdr:col>
      <xdr:colOff>195207</xdr:colOff>
      <xdr:row>7</xdr:row>
      <xdr:rowOff>0</xdr:rowOff>
    </xdr:to>
    <xdr:sp macro="" textlink="M3S4">
      <xdr:nvSpPr>
        <xdr:cNvPr id="17" name="SUBMENU4">
          <a:hlinkClick xmlns:r="http://schemas.openxmlformats.org/officeDocument/2006/relationships" r:id="rId4" tooltip=" "/>
          <a:extLst>
            <a:ext uri="{FF2B5EF4-FFF2-40B4-BE49-F238E27FC236}">
              <a16:creationId xmlns:a16="http://schemas.microsoft.com/office/drawing/2014/main" id="{00000000-0008-0000-1900-000011000000}"/>
            </a:ext>
          </a:extLst>
        </xdr:cNvPr>
        <xdr:cNvSpPr/>
      </xdr:nvSpPr>
      <xdr:spPr>
        <a:xfrm>
          <a:off x="4785136" y="1007529"/>
          <a:ext cx="1371600" cy="404412"/>
        </a:xfrm>
        <a:prstGeom prst="round2SameRect">
          <a:avLst/>
        </a:prstGeom>
        <a:solidFill>
          <a:srgbClr val="1A9DD8"/>
        </a:solidFill>
        <a:ln w="12700">
          <a:solidFill>
            <a:srgbClr val="1A9DD8"/>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marL="0" indent="0" algn="ctr"/>
          <a:fld id="{EC4D1991-C1D9-486E-95EB-30A9469B742C}" type="TxLink">
            <a:rPr lang="en-US" sz="1100" b="0" i="0" u="none" strike="noStrike">
              <a:solidFill>
                <a:srgbClr val="FFFFFF"/>
              </a:solidFill>
              <a:latin typeface="Arial" panose="020B0604020202020204" pitchFamily="34" charset="0"/>
              <a:ea typeface="+mn-ea"/>
              <a:cs typeface="Arial" panose="020B0604020202020204" pitchFamily="34" charset="0"/>
            </a:rPr>
            <a:pPr marL="0" indent="0" algn="ctr"/>
            <a:t>Refrigeration</a:t>
          </a:fld>
          <a:endParaRPr lang="en-US" sz="1100" b="0" i="0" u="none" strike="noStrike">
            <a:solidFill>
              <a:srgbClr val="FFFFFF"/>
            </a:solidFill>
            <a:latin typeface="Arial" panose="020B0604020202020204" pitchFamily="34" charset="0"/>
            <a:ea typeface="+mn-ea"/>
            <a:cs typeface="Arial" panose="020B0604020202020204" pitchFamily="34" charset="0"/>
          </a:endParaRPr>
        </a:p>
      </xdr:txBody>
    </xdr:sp>
    <xdr:clientData/>
  </xdr:twoCellAnchor>
  <xdr:twoCellAnchor>
    <xdr:from>
      <xdr:col>19</xdr:col>
      <xdr:colOff>198121</xdr:colOff>
      <xdr:row>4</xdr:row>
      <xdr:rowOff>197155</xdr:rowOff>
    </xdr:from>
    <xdr:to>
      <xdr:col>24</xdr:col>
      <xdr:colOff>897</xdr:colOff>
      <xdr:row>6</xdr:row>
      <xdr:rowOff>196476</xdr:rowOff>
    </xdr:to>
    <xdr:sp macro="" textlink="M3S5">
      <xdr:nvSpPr>
        <xdr:cNvPr id="18" name="SUBMENU5">
          <a:hlinkClick xmlns:r="http://schemas.openxmlformats.org/officeDocument/2006/relationships" r:id="rId5" tooltip=" "/>
          <a:extLst>
            <a:ext uri="{FF2B5EF4-FFF2-40B4-BE49-F238E27FC236}">
              <a16:creationId xmlns:a16="http://schemas.microsoft.com/office/drawing/2014/main" id="{00000000-0008-0000-1900-000012000000}"/>
            </a:ext>
          </a:extLst>
        </xdr:cNvPr>
        <xdr:cNvSpPr/>
      </xdr:nvSpPr>
      <xdr:spPr>
        <a:xfrm>
          <a:off x="6159650" y="1003979"/>
          <a:ext cx="1371600" cy="402732"/>
        </a:xfrm>
        <a:prstGeom prst="round2SameRect">
          <a:avLst/>
        </a:prstGeom>
        <a:solidFill>
          <a:srgbClr val="1A9DD8"/>
        </a:solidFill>
        <a:ln w="12700">
          <a:solidFill>
            <a:srgbClr val="1A9DD8"/>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marL="0" indent="0" algn="ctr"/>
          <a:fld id="{52BFCEF9-4B05-45FB-B7B3-9621E37C07CC}" type="TxLink">
            <a:rPr lang="en-US" sz="1100" b="0" i="0" u="none" strike="noStrike">
              <a:solidFill>
                <a:srgbClr val="FFFFFF"/>
              </a:solidFill>
              <a:latin typeface="Arial" panose="020B0604020202020204" pitchFamily="34" charset="0"/>
              <a:ea typeface="+mn-ea"/>
              <a:cs typeface="Arial" panose="020B0604020202020204" pitchFamily="34" charset="0"/>
            </a:rPr>
            <a:pPr marL="0" indent="0" algn="ctr"/>
            <a:t>Commercial Cooking (Elec/Gas)</a:t>
          </a:fld>
          <a:endParaRPr lang="en-US" sz="1100" b="0" i="0" u="none" strike="noStrike">
            <a:solidFill>
              <a:srgbClr val="FFFFFF"/>
            </a:solidFill>
            <a:latin typeface="Arial" panose="020B0604020202020204" pitchFamily="34" charset="0"/>
            <a:ea typeface="+mn-ea"/>
            <a:cs typeface="Arial" panose="020B0604020202020204" pitchFamily="34" charset="0"/>
          </a:endParaRPr>
        </a:p>
      </xdr:txBody>
    </xdr:sp>
    <xdr:clientData/>
  </xdr:twoCellAnchor>
  <xdr:twoCellAnchor>
    <xdr:from>
      <xdr:col>24</xdr:col>
      <xdr:colOff>22408</xdr:colOff>
      <xdr:row>5</xdr:row>
      <xdr:rowOff>11206</xdr:rowOff>
    </xdr:from>
    <xdr:to>
      <xdr:col>28</xdr:col>
      <xdr:colOff>138949</xdr:colOff>
      <xdr:row>7</xdr:row>
      <xdr:rowOff>12206</xdr:rowOff>
    </xdr:to>
    <xdr:sp macro="" textlink="M3S8">
      <xdr:nvSpPr>
        <xdr:cNvPr id="24" name="SUBMENU5">
          <a:hlinkClick xmlns:r="http://schemas.openxmlformats.org/officeDocument/2006/relationships" r:id="rId6" tooltip=" "/>
          <a:extLst>
            <a:ext uri="{FF2B5EF4-FFF2-40B4-BE49-F238E27FC236}">
              <a16:creationId xmlns:a16="http://schemas.microsoft.com/office/drawing/2014/main" id="{00000000-0008-0000-1900-000018000000}"/>
            </a:ext>
          </a:extLst>
        </xdr:cNvPr>
        <xdr:cNvSpPr/>
      </xdr:nvSpPr>
      <xdr:spPr>
        <a:xfrm>
          <a:off x="7552761" y="1019735"/>
          <a:ext cx="1371600" cy="404412"/>
        </a:xfrm>
        <a:prstGeom prst="round2SameRect">
          <a:avLst/>
        </a:prstGeom>
        <a:solidFill>
          <a:srgbClr val="1A9DD8"/>
        </a:solidFill>
        <a:ln w="28575">
          <a:solidFill>
            <a:srgbClr val="1A9DD8"/>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marL="0" indent="0" algn="ctr"/>
          <a:fld id="{BA865B98-DE37-4668-AF99-996484229397}" type="TxLink">
            <a:rPr lang="en-US" sz="1100" b="0" i="0" u="none" strike="noStrike">
              <a:solidFill>
                <a:srgbClr val="FFFFFF"/>
              </a:solidFill>
              <a:latin typeface="Arial" panose="020B0604020202020204" pitchFamily="34" charset="0"/>
              <a:ea typeface="+mn-ea"/>
              <a:cs typeface="Arial" panose="020B0604020202020204" pitchFamily="34" charset="0"/>
            </a:rPr>
            <a:pPr marL="0" indent="0" algn="ctr"/>
            <a:t>Misc / Compressed Air / VFDs</a:t>
          </a:fld>
          <a:endParaRPr lang="en-US" sz="1100" b="0" i="0" u="none" strike="noStrike">
            <a:solidFill>
              <a:srgbClr val="FFFFFF"/>
            </a:solidFill>
            <a:latin typeface="Arial" panose="020B0604020202020204" pitchFamily="34" charset="0"/>
            <a:ea typeface="+mn-ea"/>
            <a:cs typeface="Arial" panose="020B0604020202020204" pitchFamily="34" charset="0"/>
          </a:endParaRPr>
        </a:p>
      </xdr:txBody>
    </xdr:sp>
    <xdr:clientData/>
  </xdr:twoCellAnchor>
  <xdr:twoCellAnchor>
    <xdr:from>
      <xdr:col>28</xdr:col>
      <xdr:colOff>156877</xdr:colOff>
      <xdr:row>5</xdr:row>
      <xdr:rowOff>1</xdr:rowOff>
    </xdr:from>
    <xdr:to>
      <xdr:col>32</xdr:col>
      <xdr:colOff>273418</xdr:colOff>
      <xdr:row>6</xdr:row>
      <xdr:rowOff>201027</xdr:rowOff>
    </xdr:to>
    <xdr:sp macro="" textlink="M3S9">
      <xdr:nvSpPr>
        <xdr:cNvPr id="25" name="SUBMENU5">
          <a:hlinkClick xmlns:r="http://schemas.openxmlformats.org/officeDocument/2006/relationships" r:id="rId7" tooltip=" "/>
          <a:extLst>
            <a:ext uri="{FF2B5EF4-FFF2-40B4-BE49-F238E27FC236}">
              <a16:creationId xmlns:a16="http://schemas.microsoft.com/office/drawing/2014/main" id="{00000000-0008-0000-1900-000019000000}"/>
            </a:ext>
          </a:extLst>
        </xdr:cNvPr>
        <xdr:cNvSpPr/>
      </xdr:nvSpPr>
      <xdr:spPr>
        <a:xfrm>
          <a:off x="8942289" y="1008530"/>
          <a:ext cx="1371600" cy="402732"/>
        </a:xfrm>
        <a:prstGeom prst="round2SameRect">
          <a:avLst/>
        </a:prstGeom>
        <a:solidFill>
          <a:srgbClr val="1A9DD8"/>
        </a:solidFill>
        <a:ln w="12700">
          <a:solidFill>
            <a:srgbClr val="1A9DD8"/>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marL="0" indent="0" algn="ctr"/>
          <a:fld id="{FDE417D9-BB8B-470F-AFD8-9914571AC487}" type="TxLink">
            <a:rPr lang="en-US" sz="1100" b="0" i="0" u="none" strike="noStrike">
              <a:solidFill>
                <a:schemeClr val="bg1"/>
              </a:solidFill>
              <a:latin typeface="Arial" panose="020B0604020202020204" pitchFamily="34" charset="0"/>
              <a:ea typeface="+mn-ea"/>
              <a:cs typeface="Arial" panose="020B0604020202020204" pitchFamily="34" charset="0"/>
            </a:rPr>
            <a:pPr marL="0" indent="0" algn="ctr"/>
            <a:t>Agriculture (Elec/Gas)</a:t>
          </a:fld>
          <a:endParaRPr lang="en-US" sz="1100" b="0" i="0" u="none" strike="noStrike">
            <a:solidFill>
              <a:schemeClr val="bg1"/>
            </a:solidFill>
            <a:latin typeface="Arial" panose="020B0604020202020204" pitchFamily="34" charset="0"/>
            <a:ea typeface="+mn-ea"/>
            <a:cs typeface="Arial" panose="020B0604020202020204" pitchFamily="34" charset="0"/>
          </a:endParaRPr>
        </a:p>
      </xdr:txBody>
    </xdr:sp>
    <xdr:clientData/>
  </xdr:twoCellAnchor>
  <xdr:twoCellAnchor>
    <xdr:from>
      <xdr:col>32</xdr:col>
      <xdr:colOff>283958</xdr:colOff>
      <xdr:row>4</xdr:row>
      <xdr:rowOff>200705</xdr:rowOff>
    </xdr:from>
    <xdr:to>
      <xdr:col>36</xdr:col>
      <xdr:colOff>272484</xdr:colOff>
      <xdr:row>7</xdr:row>
      <xdr:rowOff>0</xdr:rowOff>
    </xdr:to>
    <xdr:sp macro="" textlink="M3S6">
      <xdr:nvSpPr>
        <xdr:cNvPr id="2" name="SUBMENU6">
          <a:hlinkClick xmlns:r="http://schemas.openxmlformats.org/officeDocument/2006/relationships" r:id="rId8" tooltip=" "/>
          <a:extLst>
            <a:ext uri="{FF2B5EF4-FFF2-40B4-BE49-F238E27FC236}">
              <a16:creationId xmlns:a16="http://schemas.microsoft.com/office/drawing/2014/main" id="{00000000-0008-0000-1900-000002000000}"/>
            </a:ext>
          </a:extLst>
        </xdr:cNvPr>
        <xdr:cNvSpPr/>
      </xdr:nvSpPr>
      <xdr:spPr>
        <a:xfrm>
          <a:off x="10324429" y="1007529"/>
          <a:ext cx="1243584" cy="404412"/>
        </a:xfrm>
        <a:prstGeom prst="round2SameRect">
          <a:avLst/>
        </a:prstGeom>
        <a:solidFill>
          <a:srgbClr val="54BCEB"/>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30A5A5F-CF4B-4F90-A7E3-B223777D7BE2}" type="TxLink">
            <a:rPr lang="en-US" sz="1100" b="0" i="0" u="none" strike="noStrike">
              <a:solidFill>
                <a:srgbClr val="FFFFFF"/>
              </a:solidFill>
              <a:latin typeface="Arial" panose="020B0604020202020204" pitchFamily="34" charset="0"/>
              <a:cs typeface="Arial" panose="020B0604020202020204" pitchFamily="34" charset="0"/>
            </a:rPr>
            <a:pPr algn="ctr"/>
            <a:t>HVAC 
(Gas)</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36</xdr:col>
      <xdr:colOff>283013</xdr:colOff>
      <xdr:row>5</xdr:row>
      <xdr:rowOff>66236</xdr:rowOff>
    </xdr:from>
    <xdr:to>
      <xdr:col>40</xdr:col>
      <xdr:colOff>271538</xdr:colOff>
      <xdr:row>7</xdr:row>
      <xdr:rowOff>67236</xdr:rowOff>
    </xdr:to>
    <xdr:sp macro="" textlink="M3S7">
      <xdr:nvSpPr>
        <xdr:cNvPr id="3" name="SUBMENU7">
          <a:hlinkClick xmlns:r="http://schemas.openxmlformats.org/officeDocument/2006/relationships" r:id="rId9" tooltip=" "/>
          <a:extLst>
            <a:ext uri="{FF2B5EF4-FFF2-40B4-BE49-F238E27FC236}">
              <a16:creationId xmlns:a16="http://schemas.microsoft.com/office/drawing/2014/main" id="{00000000-0008-0000-1900-000003000000}"/>
            </a:ext>
          </a:extLst>
        </xdr:cNvPr>
        <xdr:cNvSpPr/>
      </xdr:nvSpPr>
      <xdr:spPr>
        <a:xfrm>
          <a:off x="11578542" y="1074765"/>
          <a:ext cx="1243584" cy="404412"/>
        </a:xfrm>
        <a:prstGeom prst="round2SameRect">
          <a:avLst/>
        </a:prstGeom>
        <a:solidFill>
          <a:srgbClr val="00334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marL="0" indent="0" algn="ctr"/>
          <a:fld id="{AD35455E-CC2D-4E9E-B2E9-FD62637F0D2F}" type="TxLink">
            <a:rPr lang="en-US" sz="1100" b="0" i="0" u="none" strike="noStrike">
              <a:solidFill>
                <a:schemeClr val="bg1"/>
              </a:solidFill>
              <a:latin typeface="Arial" panose="020B0604020202020204" pitchFamily="34" charset="0"/>
              <a:ea typeface="+mn-ea"/>
              <a:cs typeface="Arial" panose="020B0604020202020204" pitchFamily="34" charset="0"/>
            </a:rPr>
            <a:pPr marL="0" indent="0" algn="ctr"/>
            <a:t>Water Heating / Others (Gas)</a:t>
          </a:fld>
          <a:endParaRPr lang="en-US" sz="1100" b="0" i="0" u="none" strike="noStrike">
            <a:solidFill>
              <a:schemeClr val="bg1"/>
            </a:solidFill>
            <a:latin typeface="Arial" panose="020B0604020202020204" pitchFamily="34" charset="0"/>
            <a:ea typeface="+mn-ea"/>
            <a:cs typeface="Arial" panose="020B0604020202020204" pitchFamily="34" charset="0"/>
          </a:endParaRPr>
        </a:p>
      </xdr:txBody>
    </xdr:sp>
    <xdr:clientData/>
  </xdr:twoCellAnchor>
  <xdr:twoCellAnchor editAs="absolute">
    <xdr:from>
      <xdr:col>41</xdr:col>
      <xdr:colOff>0</xdr:colOff>
      <xdr:row>9</xdr:row>
      <xdr:rowOff>1047</xdr:rowOff>
    </xdr:from>
    <xdr:to>
      <xdr:col>42</xdr:col>
      <xdr:colOff>313195</xdr:colOff>
      <xdr:row>11</xdr:row>
      <xdr:rowOff>1046</xdr:rowOff>
    </xdr:to>
    <xdr:sp macro="" textlink="">
      <xdr:nvSpPr>
        <xdr:cNvPr id="5" name="NEXT">
          <a:hlinkClick xmlns:r="http://schemas.openxmlformats.org/officeDocument/2006/relationships" r:id="rId10" tooltip=" "/>
          <a:extLst>
            <a:ext uri="{FF2B5EF4-FFF2-40B4-BE49-F238E27FC236}">
              <a16:creationId xmlns:a16="http://schemas.microsoft.com/office/drawing/2014/main" id="{00000000-0008-0000-1900-000005000000}"/>
            </a:ext>
          </a:extLst>
        </xdr:cNvPr>
        <xdr:cNvSpPr>
          <a:spLocks noChangeAspect="1"/>
        </xdr:cNvSpPr>
      </xdr:nvSpPr>
      <xdr:spPr>
        <a:xfrm>
          <a:off x="12887325" y="1801272"/>
          <a:ext cx="627520" cy="400049"/>
        </a:xfrm>
        <a:prstGeom prst="rightArrow">
          <a:avLst/>
        </a:prstGeom>
        <a:solidFill>
          <a:srgbClr val="54BCEB"/>
        </a:solidFill>
        <a:ln>
          <a:solidFill>
            <a:srgbClr val="54BCEB"/>
          </a:solidFill>
        </a:ln>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7</xdr:col>
      <xdr:colOff>457</xdr:colOff>
      <xdr:row>1</xdr:row>
      <xdr:rowOff>0</xdr:rowOff>
    </xdr:from>
    <xdr:to>
      <xdr:col>12</xdr:col>
      <xdr:colOff>0</xdr:colOff>
      <xdr:row>4</xdr:row>
      <xdr:rowOff>0</xdr:rowOff>
    </xdr:to>
    <xdr:sp macro="" textlink="MAIN1">
      <xdr:nvSpPr>
        <xdr:cNvPr id="6" name="MENU1">
          <a:hlinkClick xmlns:r="http://schemas.openxmlformats.org/officeDocument/2006/relationships" r:id="rId11" tooltip=" "/>
          <a:extLst>
            <a:ext uri="{FF2B5EF4-FFF2-40B4-BE49-F238E27FC236}">
              <a16:creationId xmlns:a16="http://schemas.microsoft.com/office/drawing/2014/main" id="{00000000-0008-0000-1900-000006000000}"/>
            </a:ext>
          </a:extLst>
        </xdr:cNvPr>
        <xdr:cNvSpPr/>
      </xdr:nvSpPr>
      <xdr:spPr>
        <a:xfrm>
          <a:off x="2200732" y="200025"/>
          <a:ext cx="1571168" cy="600075"/>
        </a:xfrm>
        <a:prstGeom prst="round2SameRect">
          <a:avLst/>
        </a:prstGeom>
        <a:solidFill>
          <a:srgbClr val="00334E"/>
        </a:solidFill>
        <a:ln w="12700">
          <a:solidFill>
            <a:srgbClr val="00334E"/>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D6F2F067-2676-4601-ABCE-75BD5137E3D5}" type="TxLink">
            <a:rPr lang="en-US" sz="1100" b="0" i="0" u="none" strike="noStrike">
              <a:solidFill>
                <a:schemeClr val="bg1"/>
              </a:solidFill>
              <a:latin typeface="Arial" panose="020B0604020202020204" pitchFamily="34" charset="0"/>
              <a:cs typeface="Arial" panose="020B0604020202020204" pitchFamily="34" charset="0"/>
            </a:rPr>
            <a:pPr algn="ctr"/>
            <a:t>START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12</xdr:col>
      <xdr:colOff>0</xdr:colOff>
      <xdr:row>1</xdr:row>
      <xdr:rowOff>0</xdr:rowOff>
    </xdr:from>
    <xdr:to>
      <xdr:col>17</xdr:col>
      <xdr:colOff>0</xdr:colOff>
      <xdr:row>4</xdr:row>
      <xdr:rowOff>0</xdr:rowOff>
    </xdr:to>
    <xdr:sp macro="" textlink="MAIN2">
      <xdr:nvSpPr>
        <xdr:cNvPr id="7" name="MENU2">
          <a:hlinkClick xmlns:r="http://schemas.openxmlformats.org/officeDocument/2006/relationships" r:id="rId12" tooltip=" "/>
          <a:extLst>
            <a:ext uri="{FF2B5EF4-FFF2-40B4-BE49-F238E27FC236}">
              <a16:creationId xmlns:a16="http://schemas.microsoft.com/office/drawing/2014/main" id="{00000000-0008-0000-1900-000007000000}"/>
            </a:ext>
          </a:extLst>
        </xdr:cNvPr>
        <xdr:cNvSpPr/>
      </xdr:nvSpPr>
      <xdr:spPr>
        <a:xfrm>
          <a:off x="3771900" y="200025"/>
          <a:ext cx="1571625" cy="600075"/>
        </a:xfrm>
        <a:prstGeom prst="round2SameRect">
          <a:avLst/>
        </a:prstGeom>
        <a:solidFill>
          <a:srgbClr val="00334E"/>
        </a:solidFill>
        <a:ln w="12700">
          <a:solidFill>
            <a:srgbClr val="00334E"/>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59A035B9-F1D2-4E89-B262-AF2DF0C338A9}" type="TxLink">
            <a:rPr lang="en-US" sz="1100" b="0" i="0" u="none" strike="noStrike">
              <a:solidFill>
                <a:schemeClr val="bg1"/>
              </a:solidFill>
              <a:latin typeface="Arial" panose="020B0604020202020204" pitchFamily="34" charset="0"/>
              <a:cs typeface="Arial" panose="020B0604020202020204" pitchFamily="34" charset="0"/>
            </a:rPr>
            <a:pPr algn="ctr"/>
            <a:t>PROJECT INFORMATION</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22</xdr:col>
      <xdr:colOff>0</xdr:colOff>
      <xdr:row>1</xdr:row>
      <xdr:rowOff>0</xdr:rowOff>
    </xdr:from>
    <xdr:to>
      <xdr:col>27</xdr:col>
      <xdr:colOff>0</xdr:colOff>
      <xdr:row>4</xdr:row>
      <xdr:rowOff>0</xdr:rowOff>
    </xdr:to>
    <xdr:sp macro="" textlink="MAIN4">
      <xdr:nvSpPr>
        <xdr:cNvPr id="9" name="MENU4">
          <a:hlinkClick xmlns:r="http://schemas.openxmlformats.org/officeDocument/2006/relationships" r:id="rId13" tooltip=" "/>
          <a:extLst>
            <a:ext uri="{FF2B5EF4-FFF2-40B4-BE49-F238E27FC236}">
              <a16:creationId xmlns:a16="http://schemas.microsoft.com/office/drawing/2014/main" id="{00000000-0008-0000-1900-000009000000}"/>
            </a:ext>
          </a:extLst>
        </xdr:cNvPr>
        <xdr:cNvSpPr/>
      </xdr:nvSpPr>
      <xdr:spPr>
        <a:xfrm>
          <a:off x="6915150" y="200025"/>
          <a:ext cx="1571625" cy="600075"/>
        </a:xfrm>
        <a:prstGeom prst="round2SameRect">
          <a:avLst/>
        </a:prstGeom>
        <a:solidFill>
          <a:srgbClr val="00334E"/>
        </a:solidFill>
        <a:ln w="12700">
          <a:solidFill>
            <a:srgbClr val="00334E"/>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CB369157-CA5B-4E40-B1DE-604993B819B3}" type="TxLink">
            <a:rPr lang="en-US" sz="1100" b="0" i="0" u="none" strike="noStrike">
              <a:solidFill>
                <a:schemeClr val="bg1"/>
              </a:solidFill>
              <a:latin typeface="Arial" panose="020B0604020202020204" pitchFamily="34" charset="0"/>
              <a:cs typeface="Arial" panose="020B0604020202020204" pitchFamily="34" charset="0"/>
            </a:rPr>
            <a:pPr algn="ctr"/>
            <a:t>CUSTOM MEASURES INPUT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27</xdr:col>
      <xdr:colOff>0</xdr:colOff>
      <xdr:row>1</xdr:row>
      <xdr:rowOff>0</xdr:rowOff>
    </xdr:from>
    <xdr:to>
      <xdr:col>32</xdr:col>
      <xdr:colOff>0</xdr:colOff>
      <xdr:row>4</xdr:row>
      <xdr:rowOff>0</xdr:rowOff>
    </xdr:to>
    <xdr:sp macro="" textlink="MAIN5">
      <xdr:nvSpPr>
        <xdr:cNvPr id="10" name="MENU5">
          <a:hlinkClick xmlns:r="http://schemas.openxmlformats.org/officeDocument/2006/relationships" r:id="rId14" tooltip=" "/>
          <a:extLst>
            <a:ext uri="{FF2B5EF4-FFF2-40B4-BE49-F238E27FC236}">
              <a16:creationId xmlns:a16="http://schemas.microsoft.com/office/drawing/2014/main" id="{00000000-0008-0000-1900-00000A000000}"/>
            </a:ext>
          </a:extLst>
        </xdr:cNvPr>
        <xdr:cNvSpPr/>
      </xdr:nvSpPr>
      <xdr:spPr>
        <a:xfrm>
          <a:off x="8486775" y="200025"/>
          <a:ext cx="1571625" cy="600075"/>
        </a:xfrm>
        <a:prstGeom prst="round2SameRect">
          <a:avLst/>
        </a:prstGeom>
        <a:solidFill>
          <a:srgbClr val="00334E"/>
        </a:solidFill>
        <a:ln w="12700">
          <a:solidFill>
            <a:srgbClr val="00334E"/>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F0EEDDA6-4934-49B4-972D-20D21D440D82}" type="TxLink">
            <a:rPr lang="en-US" sz="1100" b="0" i="0" u="none" strike="noStrike">
              <a:solidFill>
                <a:schemeClr val="bg1"/>
              </a:solidFill>
              <a:latin typeface="Arial" panose="020B0604020202020204" pitchFamily="34" charset="0"/>
              <a:cs typeface="Arial" panose="020B0604020202020204" pitchFamily="34" charset="0"/>
            </a:rPr>
            <a:pPr algn="ctr"/>
            <a:t>APPLICATION REVIEW</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32</xdr:col>
      <xdr:colOff>0</xdr:colOff>
      <xdr:row>1</xdr:row>
      <xdr:rowOff>0</xdr:rowOff>
    </xdr:from>
    <xdr:to>
      <xdr:col>37</xdr:col>
      <xdr:colOff>1</xdr:colOff>
      <xdr:row>4</xdr:row>
      <xdr:rowOff>0</xdr:rowOff>
    </xdr:to>
    <xdr:sp macro="" textlink="MAIN6">
      <xdr:nvSpPr>
        <xdr:cNvPr id="11" name="MENU6">
          <a:extLst>
            <a:ext uri="{FF2B5EF4-FFF2-40B4-BE49-F238E27FC236}">
              <a16:creationId xmlns:a16="http://schemas.microsoft.com/office/drawing/2014/main" id="{00000000-0008-0000-1900-00000B000000}"/>
            </a:ext>
          </a:extLst>
        </xdr:cNvPr>
        <xdr:cNvSpPr/>
      </xdr:nvSpPr>
      <xdr:spPr>
        <a:xfrm>
          <a:off x="10058400" y="200025"/>
          <a:ext cx="1571626"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00B050"/>
              </a:solidFill>
            </a14:hiddenFill>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B12A3774-975E-4B41-A681-E085295C6D0E}" type="TxLink">
            <a:rPr lang="en-US" sz="1100" b="0" i="0" u="none" strike="noStrike">
              <a:noFill/>
              <a:latin typeface="Arial" panose="020B0604020202020204" pitchFamily="34" charset="0"/>
              <a:cs typeface="Arial" panose="020B0604020202020204" pitchFamily="34" charset="0"/>
            </a:rPr>
            <a:pPr algn="ctr"/>
            <a:t> </a:t>
          </a:fld>
          <a:endParaRPr lang="en-US" sz="1100">
            <a:noFill/>
            <a:latin typeface="Arial" panose="020B0604020202020204" pitchFamily="34" charset="0"/>
            <a:cs typeface="Arial" panose="020B0604020202020204" pitchFamily="34" charset="0"/>
          </a:endParaRPr>
        </a:p>
      </xdr:txBody>
    </xdr:sp>
    <xdr:clientData/>
  </xdr:twoCellAnchor>
  <xdr:twoCellAnchor>
    <xdr:from>
      <xdr:col>36</xdr:col>
      <xdr:colOff>314324</xdr:colOff>
      <xdr:row>1</xdr:row>
      <xdr:rowOff>0</xdr:rowOff>
    </xdr:from>
    <xdr:to>
      <xdr:col>41</xdr:col>
      <xdr:colOff>314324</xdr:colOff>
      <xdr:row>4</xdr:row>
      <xdr:rowOff>0</xdr:rowOff>
    </xdr:to>
    <xdr:sp macro="" textlink="MAIN7">
      <xdr:nvSpPr>
        <xdr:cNvPr id="12" name="MENU7">
          <a:extLst>
            <a:ext uri="{FF2B5EF4-FFF2-40B4-BE49-F238E27FC236}">
              <a16:creationId xmlns:a16="http://schemas.microsoft.com/office/drawing/2014/main" id="{00000000-0008-0000-1900-00000C000000}"/>
            </a:ext>
          </a:extLst>
        </xdr:cNvPr>
        <xdr:cNvSpPr/>
      </xdr:nvSpPr>
      <xdr:spPr>
        <a:xfrm>
          <a:off x="11630024" y="200025"/>
          <a:ext cx="1571625"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00B050"/>
              </a:solidFill>
            </a14:hiddenFill>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 </a:t>
          </a:fld>
          <a:endParaRPr lang="en-US" sz="1100">
            <a:noFill/>
            <a:latin typeface="Arial" panose="020B0604020202020204" pitchFamily="34" charset="0"/>
            <a:cs typeface="Arial" panose="020B0604020202020204" pitchFamily="34" charset="0"/>
          </a:endParaRPr>
        </a:p>
      </xdr:txBody>
    </xdr:sp>
    <xdr:clientData/>
  </xdr:twoCellAnchor>
  <xdr:twoCellAnchor>
    <xdr:from>
      <xdr:col>1</xdr:col>
      <xdr:colOff>558</xdr:colOff>
      <xdr:row>7</xdr:row>
      <xdr:rowOff>200024</xdr:rowOff>
    </xdr:from>
    <xdr:to>
      <xdr:col>44</xdr:col>
      <xdr:colOff>0</xdr:colOff>
      <xdr:row>199</xdr:row>
      <xdr:rowOff>11206</xdr:rowOff>
    </xdr:to>
    <xdr:sp macro="" textlink="">
      <xdr:nvSpPr>
        <xdr:cNvPr id="19" name="BORDER">
          <a:extLst>
            <a:ext uri="{FF2B5EF4-FFF2-40B4-BE49-F238E27FC236}">
              <a16:creationId xmlns:a16="http://schemas.microsoft.com/office/drawing/2014/main" id="{00000000-0008-0000-1900-000013000000}"/>
            </a:ext>
          </a:extLst>
        </xdr:cNvPr>
        <xdr:cNvSpPr/>
      </xdr:nvSpPr>
      <xdr:spPr>
        <a:xfrm>
          <a:off x="314323" y="1611965"/>
          <a:ext cx="13491324" cy="5458947"/>
        </a:xfrm>
        <a:prstGeom prst="frame">
          <a:avLst>
            <a:gd name="adj1" fmla="val 97"/>
          </a:avLst>
        </a:prstGeom>
        <a:noFill/>
        <a:ln w="12700" cap="flat" cmpd="sng" algn="ctr">
          <a:solidFill>
            <a:srgbClr val="00334E"/>
          </a:solidFill>
          <a:prstDash val="solid"/>
          <a:miter lim="800000"/>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fPrintsWithSheet="0"/>
  </xdr:twoCellAnchor>
  <xdr:twoCellAnchor editAs="absolute">
    <xdr:from>
      <xdr:col>2</xdr:col>
      <xdr:colOff>2720</xdr:colOff>
      <xdr:row>9</xdr:row>
      <xdr:rowOff>1207</xdr:rowOff>
    </xdr:from>
    <xdr:to>
      <xdr:col>4</xdr:col>
      <xdr:colOff>960</xdr:colOff>
      <xdr:row>11</xdr:row>
      <xdr:rowOff>1207</xdr:rowOff>
    </xdr:to>
    <xdr:sp macro="" textlink="">
      <xdr:nvSpPr>
        <xdr:cNvPr id="20" name="BACK">
          <a:hlinkClick xmlns:r="http://schemas.openxmlformats.org/officeDocument/2006/relationships" r:id="rId15" tooltip=" "/>
          <a:extLst>
            <a:ext uri="{FF2B5EF4-FFF2-40B4-BE49-F238E27FC236}">
              <a16:creationId xmlns:a16="http://schemas.microsoft.com/office/drawing/2014/main" id="{00000000-0008-0000-1900-000014000000}"/>
            </a:ext>
          </a:extLst>
        </xdr:cNvPr>
        <xdr:cNvSpPr>
          <a:spLocks noChangeAspect="1"/>
        </xdr:cNvSpPr>
      </xdr:nvSpPr>
      <xdr:spPr>
        <a:xfrm>
          <a:off x="631370" y="1801432"/>
          <a:ext cx="626890" cy="400050"/>
        </a:xfrm>
        <a:prstGeom prst="leftArrow">
          <a:avLst/>
        </a:prstGeom>
        <a:solidFill>
          <a:srgbClr val="54BCEB"/>
        </a:solidFill>
        <a:ln>
          <a:solidFill>
            <a:srgbClr val="54BCEB"/>
          </a:solidFill>
        </a:ln>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editAs="oneCell">
    <xdr:from>
      <xdr:col>2</xdr:col>
      <xdr:colOff>102850</xdr:colOff>
      <xdr:row>0</xdr:row>
      <xdr:rowOff>156884</xdr:rowOff>
    </xdr:from>
    <xdr:to>
      <xdr:col>5</xdr:col>
      <xdr:colOff>30405</xdr:colOff>
      <xdr:row>2</xdr:row>
      <xdr:rowOff>195627</xdr:rowOff>
    </xdr:to>
    <xdr:pic>
      <xdr:nvPicPr>
        <xdr:cNvPr id="23" name="LOGO">
          <a:extLst>
            <a:ext uri="{FF2B5EF4-FFF2-40B4-BE49-F238E27FC236}">
              <a16:creationId xmlns:a16="http://schemas.microsoft.com/office/drawing/2014/main" id="{00000000-0008-0000-1900-000017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xdr:blipFill>
      <xdr:spPr>
        <a:xfrm>
          <a:off x="730379" y="156884"/>
          <a:ext cx="868850" cy="442155"/>
        </a:xfrm>
        <a:prstGeom prst="rect">
          <a:avLst/>
        </a:prstGeom>
      </xdr:spPr>
    </xdr:pic>
    <xdr:clientData/>
  </xdr:twoCellAnchor>
  <xdr:twoCellAnchor>
    <xdr:from>
      <xdr:col>1</xdr:col>
      <xdr:colOff>0</xdr:colOff>
      <xdr:row>7</xdr:row>
      <xdr:rowOff>0</xdr:rowOff>
    </xdr:from>
    <xdr:to>
      <xdr:col>44</xdr:col>
      <xdr:colOff>13806</xdr:colOff>
      <xdr:row>8</xdr:row>
      <xdr:rowOff>0</xdr:rowOff>
    </xdr:to>
    <xdr:sp macro="" textlink="">
      <xdr:nvSpPr>
        <xdr:cNvPr id="21" name="BOTTOMRIBBON">
          <a:extLst>
            <a:ext uri="{FF2B5EF4-FFF2-40B4-BE49-F238E27FC236}">
              <a16:creationId xmlns:a16="http://schemas.microsoft.com/office/drawing/2014/main" id="{00000000-0008-0000-1900-000015000000}"/>
            </a:ext>
          </a:extLst>
        </xdr:cNvPr>
        <xdr:cNvSpPr/>
      </xdr:nvSpPr>
      <xdr:spPr>
        <a:xfrm>
          <a:off x="313765" y="1411941"/>
          <a:ext cx="13505688" cy="201706"/>
        </a:xfrm>
        <a:prstGeom prst="rect">
          <a:avLst/>
        </a:prstGeom>
        <a:solidFill>
          <a:srgbClr val="00334E"/>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solidFill>
              <a:srgbClr val="FFFFFF"/>
            </a:solidFill>
          </a:endParaRP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22</xdr:col>
      <xdr:colOff>0</xdr:colOff>
      <xdr:row>1</xdr:row>
      <xdr:rowOff>133350</xdr:rowOff>
    </xdr:from>
    <xdr:to>
      <xdr:col>27</xdr:col>
      <xdr:colOff>0</xdr:colOff>
      <xdr:row>4</xdr:row>
      <xdr:rowOff>133350</xdr:rowOff>
    </xdr:to>
    <xdr:sp macro="" textlink="MAIN4">
      <xdr:nvSpPr>
        <xdr:cNvPr id="6" name="MENU4">
          <a:hlinkClick xmlns:r="http://schemas.openxmlformats.org/officeDocument/2006/relationships" r:id="rId1" tooltip=" "/>
          <a:extLst>
            <a:ext uri="{FF2B5EF4-FFF2-40B4-BE49-F238E27FC236}">
              <a16:creationId xmlns:a16="http://schemas.microsoft.com/office/drawing/2014/main" id="{00000000-0008-0000-1A00-000006000000}"/>
            </a:ext>
          </a:extLst>
        </xdr:cNvPr>
        <xdr:cNvSpPr/>
      </xdr:nvSpPr>
      <xdr:spPr>
        <a:xfrm>
          <a:off x="6915150" y="333375"/>
          <a:ext cx="1571625" cy="600075"/>
        </a:xfrm>
        <a:prstGeom prst="round2SameRect">
          <a:avLst/>
        </a:prstGeom>
        <a:solidFill>
          <a:srgbClr val="A6A5AA"/>
        </a:solidFill>
        <a:ln w="12700">
          <a:solidFill>
            <a:srgbClr val="A6A5AA"/>
          </a:solidFill>
        </a:ln>
        <a:effectLst>
          <a:outerShdw blurRad="25400" dist="508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CB369157-CA5B-4E40-B1DE-604993B819B3}" type="TxLink">
            <a:rPr lang="en-US" sz="1100" b="0" i="0" u="none" strike="noStrike">
              <a:solidFill>
                <a:schemeClr val="bg1"/>
              </a:solidFill>
              <a:latin typeface="Arial" panose="020B0604020202020204" pitchFamily="34" charset="0"/>
              <a:cs typeface="Arial" panose="020B0604020202020204" pitchFamily="34" charset="0"/>
            </a:rPr>
            <a:pPr algn="ctr"/>
            <a:t>CUSTOM MEASURES INPUT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37</xdr:col>
      <xdr:colOff>2720</xdr:colOff>
      <xdr:row>4</xdr:row>
      <xdr:rowOff>200705</xdr:rowOff>
    </xdr:from>
    <xdr:to>
      <xdr:col>42</xdr:col>
      <xdr:colOff>0</xdr:colOff>
      <xdr:row>7</xdr:row>
      <xdr:rowOff>0</xdr:rowOff>
    </xdr:to>
    <xdr:sp macro="" textlink="M4S8">
      <xdr:nvSpPr>
        <xdr:cNvPr id="18" name="SUBMENU8">
          <a:hlinkClick xmlns:r="http://schemas.openxmlformats.org/officeDocument/2006/relationships" r:id="rId2"/>
          <a:extLst>
            <a:ext uri="{FF2B5EF4-FFF2-40B4-BE49-F238E27FC236}">
              <a16:creationId xmlns:a16="http://schemas.microsoft.com/office/drawing/2014/main" id="{00000000-0008-0000-1A00-000012000000}"/>
            </a:ext>
          </a:extLst>
        </xdr:cNvPr>
        <xdr:cNvSpPr/>
      </xdr:nvSpPr>
      <xdr:spPr>
        <a:xfrm>
          <a:off x="11632745" y="1000805"/>
          <a:ext cx="1568905" cy="399370"/>
        </a:xfrm>
        <a:prstGeom prst="round2SameRect">
          <a:avLst/>
        </a:prstGeom>
        <a:noFill/>
        <a:ln w="12700">
          <a:no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6C84327F-831A-4647-9A31-A800B051B1A8}" type="TxLink">
            <a:rPr lang="en-US" sz="1100" b="0" i="0" u="none" strike="noStrike">
              <a:solidFill>
                <a:srgbClr val="FFFFFF"/>
              </a:solidFill>
              <a:latin typeface="Arial" panose="020B0604020202020204" pitchFamily="34" charset="0"/>
              <a:cs typeface="Arial" panose="020B0604020202020204" pitchFamily="34" charset="0"/>
            </a:rPr>
            <a:pPr algn="ctr"/>
            <a:t> </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32</xdr:col>
      <xdr:colOff>2865</xdr:colOff>
      <xdr:row>4</xdr:row>
      <xdr:rowOff>200705</xdr:rowOff>
    </xdr:from>
    <xdr:to>
      <xdr:col>37</xdr:col>
      <xdr:colOff>2720</xdr:colOff>
      <xdr:row>7</xdr:row>
      <xdr:rowOff>0</xdr:rowOff>
    </xdr:to>
    <xdr:sp macro="" textlink="M4S7">
      <xdr:nvSpPr>
        <xdr:cNvPr id="17" name="SUBMENU7">
          <a:hlinkClick xmlns:r="http://schemas.openxmlformats.org/officeDocument/2006/relationships" r:id="rId3"/>
          <a:extLst>
            <a:ext uri="{FF2B5EF4-FFF2-40B4-BE49-F238E27FC236}">
              <a16:creationId xmlns:a16="http://schemas.microsoft.com/office/drawing/2014/main" id="{00000000-0008-0000-1A00-000011000000}"/>
            </a:ext>
          </a:extLst>
        </xdr:cNvPr>
        <xdr:cNvSpPr/>
      </xdr:nvSpPr>
      <xdr:spPr>
        <a:xfrm>
          <a:off x="10061265" y="1000805"/>
          <a:ext cx="1571480" cy="399370"/>
        </a:xfrm>
        <a:prstGeom prst="round2SameRect">
          <a:avLst/>
        </a:prstGeom>
        <a:noFill/>
        <a:ln w="12700">
          <a:no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5E6BC230-1975-4F34-BC48-A25EF66BC575}" type="TxLink">
            <a:rPr lang="en-US" sz="1100" b="0" i="0" u="none" strike="noStrike">
              <a:solidFill>
                <a:srgbClr val="FFFFFF"/>
              </a:solidFill>
              <a:latin typeface="Arial" panose="020B0604020202020204" pitchFamily="34" charset="0"/>
              <a:cs typeface="Arial" panose="020B0604020202020204" pitchFamily="34" charset="0"/>
            </a:rPr>
            <a:pPr algn="ctr"/>
            <a:t> </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27</xdr:col>
      <xdr:colOff>0</xdr:colOff>
      <xdr:row>4</xdr:row>
      <xdr:rowOff>200705</xdr:rowOff>
    </xdr:from>
    <xdr:to>
      <xdr:col>32</xdr:col>
      <xdr:colOff>2865</xdr:colOff>
      <xdr:row>7</xdr:row>
      <xdr:rowOff>0</xdr:rowOff>
    </xdr:to>
    <xdr:sp macro="" textlink="M4S6">
      <xdr:nvSpPr>
        <xdr:cNvPr id="16" name="SUBMENU6">
          <a:hlinkClick xmlns:r="http://schemas.openxmlformats.org/officeDocument/2006/relationships" r:id="rId4"/>
          <a:extLst>
            <a:ext uri="{FF2B5EF4-FFF2-40B4-BE49-F238E27FC236}">
              <a16:creationId xmlns:a16="http://schemas.microsoft.com/office/drawing/2014/main" id="{00000000-0008-0000-1A00-000010000000}"/>
            </a:ext>
          </a:extLst>
        </xdr:cNvPr>
        <xdr:cNvSpPr/>
      </xdr:nvSpPr>
      <xdr:spPr>
        <a:xfrm>
          <a:off x="8486775" y="1000805"/>
          <a:ext cx="1574490" cy="399370"/>
        </a:xfrm>
        <a:prstGeom prst="round2SameRect">
          <a:avLst/>
        </a:prstGeom>
        <a:noFill/>
        <a:ln w="12700">
          <a:no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5A1770A-87A5-453B-813D-9DB4232D4E5B}" type="TxLink">
            <a:rPr lang="en-US" sz="1100" b="0" i="0" u="none" strike="noStrike">
              <a:solidFill>
                <a:srgbClr val="FFFFFF"/>
              </a:solidFill>
              <a:latin typeface="Arial" panose="020B0604020202020204" pitchFamily="34" charset="0"/>
              <a:cs typeface="Arial" panose="020B0604020202020204" pitchFamily="34" charset="0"/>
            </a:rPr>
            <a:pPr algn="ctr"/>
            <a:t> </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25</xdr:col>
      <xdr:colOff>80993</xdr:colOff>
      <xdr:row>4</xdr:row>
      <xdr:rowOff>189499</xdr:rowOff>
    </xdr:from>
    <xdr:to>
      <xdr:col>30</xdr:col>
      <xdr:colOff>80991</xdr:colOff>
      <xdr:row>6</xdr:row>
      <xdr:rowOff>190500</xdr:rowOff>
    </xdr:to>
    <xdr:sp macro="" textlink="M4S5">
      <xdr:nvSpPr>
        <xdr:cNvPr id="15" name="SUBMENU5">
          <a:hlinkClick xmlns:r="http://schemas.openxmlformats.org/officeDocument/2006/relationships" r:id="rId5"/>
          <a:extLst>
            <a:ext uri="{FF2B5EF4-FFF2-40B4-BE49-F238E27FC236}">
              <a16:creationId xmlns:a16="http://schemas.microsoft.com/office/drawing/2014/main" id="{00000000-0008-0000-1A00-00000F000000}"/>
            </a:ext>
          </a:extLst>
        </xdr:cNvPr>
        <xdr:cNvSpPr/>
      </xdr:nvSpPr>
      <xdr:spPr>
        <a:xfrm>
          <a:off x="7925111" y="996323"/>
          <a:ext cx="1568821" cy="404412"/>
        </a:xfrm>
        <a:prstGeom prst="round2SameRect">
          <a:avLst/>
        </a:prstGeom>
        <a:noFill/>
        <a:ln w="12700">
          <a:no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E5F979BB-FDDE-4AD4-9F04-50C37B654C25}" type="TxLink">
            <a:rPr lang="en-US" sz="1100" b="0" i="0" u="none" strike="noStrike">
              <a:solidFill>
                <a:srgbClr val="FFFFFF"/>
              </a:solidFill>
              <a:latin typeface="Arial" panose="020B0604020202020204" pitchFamily="34" charset="0"/>
              <a:cs typeface="Arial" panose="020B0604020202020204" pitchFamily="34" charset="0"/>
            </a:rPr>
            <a:pPr algn="ctr"/>
            <a:t> </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1</xdr:col>
      <xdr:colOff>0</xdr:colOff>
      <xdr:row>4</xdr:row>
      <xdr:rowOff>1</xdr:rowOff>
    </xdr:from>
    <xdr:to>
      <xdr:col>44</xdr:col>
      <xdr:colOff>13806</xdr:colOff>
      <xdr:row>7</xdr:row>
      <xdr:rowOff>0</xdr:rowOff>
    </xdr:to>
    <xdr:sp macro="" textlink="">
      <xdr:nvSpPr>
        <xdr:cNvPr id="10" name="TOPRIBBON">
          <a:extLst>
            <a:ext uri="{FF2B5EF4-FFF2-40B4-BE49-F238E27FC236}">
              <a16:creationId xmlns:a16="http://schemas.microsoft.com/office/drawing/2014/main" id="{00000000-0008-0000-1A00-00000A000000}"/>
            </a:ext>
          </a:extLst>
        </xdr:cNvPr>
        <xdr:cNvSpPr/>
      </xdr:nvSpPr>
      <xdr:spPr>
        <a:xfrm>
          <a:off x="313765" y="806825"/>
          <a:ext cx="13505688" cy="605116"/>
        </a:xfrm>
        <a:prstGeom prst="round2SameRect">
          <a:avLst/>
        </a:prstGeom>
        <a:solidFill>
          <a:srgbClr val="A6A5A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p>
      </xdr:txBody>
    </xdr:sp>
    <xdr:clientData/>
  </xdr:twoCellAnchor>
  <xdr:twoCellAnchor>
    <xdr:from>
      <xdr:col>18</xdr:col>
      <xdr:colOff>293904</xdr:colOff>
      <xdr:row>5</xdr:row>
      <xdr:rowOff>680</xdr:rowOff>
    </xdr:from>
    <xdr:to>
      <xdr:col>25</xdr:col>
      <xdr:colOff>257735</xdr:colOff>
      <xdr:row>7</xdr:row>
      <xdr:rowOff>0</xdr:rowOff>
    </xdr:to>
    <xdr:sp macro="" textlink="M4S4">
      <xdr:nvSpPr>
        <xdr:cNvPr id="14" name="SUBMENU4">
          <a:hlinkClick xmlns:r="http://schemas.openxmlformats.org/officeDocument/2006/relationships" r:id="rId6" tooltip=" "/>
          <a:extLst>
            <a:ext uri="{FF2B5EF4-FFF2-40B4-BE49-F238E27FC236}">
              <a16:creationId xmlns:a16="http://schemas.microsoft.com/office/drawing/2014/main" id="{00000000-0008-0000-1A00-00000E000000}"/>
            </a:ext>
          </a:extLst>
        </xdr:cNvPr>
        <xdr:cNvSpPr/>
      </xdr:nvSpPr>
      <xdr:spPr>
        <a:xfrm>
          <a:off x="5941669" y="1009209"/>
          <a:ext cx="2160184" cy="402732"/>
        </a:xfrm>
        <a:prstGeom prst="round2SameRect">
          <a:avLst/>
        </a:prstGeom>
        <a:solidFill>
          <a:srgbClr val="54BCEB"/>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1050F369-33A9-41B8-BB9C-848C113C5B15}" type="TxLink">
            <a:rPr lang="en-US" sz="1100" b="0" i="0" u="none" strike="noStrike">
              <a:solidFill>
                <a:srgbClr val="FFFFFF"/>
              </a:solidFill>
              <a:latin typeface="Arial" panose="020B0604020202020204" pitchFamily="34" charset="0"/>
              <a:cs typeface="Arial" panose="020B0604020202020204" pitchFamily="34" charset="0"/>
            </a:rPr>
            <a:pPr algn="ctr"/>
            <a:t>Custom / RCx / New Construction
 (Gas)</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editAs="absolute">
    <xdr:from>
      <xdr:col>41</xdr:col>
      <xdr:colOff>0</xdr:colOff>
      <xdr:row>9</xdr:row>
      <xdr:rowOff>1047</xdr:rowOff>
    </xdr:from>
    <xdr:to>
      <xdr:col>43</xdr:col>
      <xdr:colOff>231</xdr:colOff>
      <xdr:row>11</xdr:row>
      <xdr:rowOff>1046</xdr:rowOff>
    </xdr:to>
    <xdr:sp macro="" textlink="">
      <xdr:nvSpPr>
        <xdr:cNvPr id="2" name="NEXT">
          <a:hlinkClick xmlns:r="http://schemas.openxmlformats.org/officeDocument/2006/relationships" r:id="rId7" tooltip=" "/>
          <a:extLst>
            <a:ext uri="{FF2B5EF4-FFF2-40B4-BE49-F238E27FC236}">
              <a16:creationId xmlns:a16="http://schemas.microsoft.com/office/drawing/2014/main" id="{00000000-0008-0000-1A00-000002000000}"/>
            </a:ext>
          </a:extLst>
        </xdr:cNvPr>
        <xdr:cNvSpPr>
          <a:spLocks noChangeAspect="1"/>
        </xdr:cNvSpPr>
      </xdr:nvSpPr>
      <xdr:spPr>
        <a:xfrm>
          <a:off x="12887325" y="1801272"/>
          <a:ext cx="627520" cy="400049"/>
        </a:xfrm>
        <a:prstGeom prst="rightArrow">
          <a:avLst/>
        </a:prstGeom>
        <a:solidFill>
          <a:srgbClr val="54BCEB"/>
        </a:solidFill>
        <a:ln>
          <a:solidFill>
            <a:srgbClr val="54BCEB"/>
          </a:solidFill>
        </a:ln>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7</xdr:col>
      <xdr:colOff>457</xdr:colOff>
      <xdr:row>1</xdr:row>
      <xdr:rowOff>0</xdr:rowOff>
    </xdr:from>
    <xdr:to>
      <xdr:col>12</xdr:col>
      <xdr:colOff>0</xdr:colOff>
      <xdr:row>4</xdr:row>
      <xdr:rowOff>0</xdr:rowOff>
    </xdr:to>
    <xdr:sp macro="" textlink="MAIN1">
      <xdr:nvSpPr>
        <xdr:cNvPr id="3" name="MENU1">
          <a:hlinkClick xmlns:r="http://schemas.openxmlformats.org/officeDocument/2006/relationships" r:id="rId8" tooltip=" "/>
          <a:extLst>
            <a:ext uri="{FF2B5EF4-FFF2-40B4-BE49-F238E27FC236}">
              <a16:creationId xmlns:a16="http://schemas.microsoft.com/office/drawing/2014/main" id="{00000000-0008-0000-1A00-000003000000}"/>
            </a:ext>
          </a:extLst>
        </xdr:cNvPr>
        <xdr:cNvSpPr/>
      </xdr:nvSpPr>
      <xdr:spPr>
        <a:xfrm>
          <a:off x="2200732" y="200025"/>
          <a:ext cx="1571168" cy="600075"/>
        </a:xfrm>
        <a:prstGeom prst="round2SameRect">
          <a:avLst/>
        </a:prstGeom>
        <a:solidFill>
          <a:srgbClr val="00334E"/>
        </a:solidFill>
        <a:ln w="12700">
          <a:solidFill>
            <a:srgbClr val="00334E"/>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D6F2F067-2676-4601-ABCE-75BD5137E3D5}" type="TxLink">
            <a:rPr lang="en-US" sz="1100" b="0" i="0" u="none" strike="noStrike">
              <a:solidFill>
                <a:schemeClr val="bg1"/>
              </a:solidFill>
              <a:latin typeface="Arial" panose="020B0604020202020204" pitchFamily="34" charset="0"/>
              <a:cs typeface="Arial" panose="020B0604020202020204" pitchFamily="34" charset="0"/>
            </a:rPr>
            <a:pPr algn="ctr"/>
            <a:t>START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12</xdr:col>
      <xdr:colOff>0</xdr:colOff>
      <xdr:row>1</xdr:row>
      <xdr:rowOff>0</xdr:rowOff>
    </xdr:from>
    <xdr:to>
      <xdr:col>17</xdr:col>
      <xdr:colOff>0</xdr:colOff>
      <xdr:row>4</xdr:row>
      <xdr:rowOff>0</xdr:rowOff>
    </xdr:to>
    <xdr:sp macro="" textlink="MAIN2">
      <xdr:nvSpPr>
        <xdr:cNvPr id="4" name="MENU2">
          <a:hlinkClick xmlns:r="http://schemas.openxmlformats.org/officeDocument/2006/relationships" r:id="rId9" tooltip=" "/>
          <a:extLst>
            <a:ext uri="{FF2B5EF4-FFF2-40B4-BE49-F238E27FC236}">
              <a16:creationId xmlns:a16="http://schemas.microsoft.com/office/drawing/2014/main" id="{00000000-0008-0000-1A00-000004000000}"/>
            </a:ext>
          </a:extLst>
        </xdr:cNvPr>
        <xdr:cNvSpPr/>
      </xdr:nvSpPr>
      <xdr:spPr>
        <a:xfrm>
          <a:off x="3771900" y="200025"/>
          <a:ext cx="1571625" cy="600075"/>
        </a:xfrm>
        <a:prstGeom prst="round2SameRect">
          <a:avLst/>
        </a:prstGeom>
        <a:solidFill>
          <a:srgbClr val="00334E"/>
        </a:solidFill>
        <a:ln w="12700">
          <a:solidFill>
            <a:srgbClr val="00334E"/>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59A035B9-F1D2-4E89-B262-AF2DF0C338A9}" type="TxLink">
            <a:rPr lang="en-US" sz="1100" b="0" i="0" u="none" strike="noStrike">
              <a:solidFill>
                <a:schemeClr val="bg1"/>
              </a:solidFill>
              <a:latin typeface="Arial" panose="020B0604020202020204" pitchFamily="34" charset="0"/>
              <a:cs typeface="Arial" panose="020B0604020202020204" pitchFamily="34" charset="0"/>
            </a:rPr>
            <a:pPr algn="ctr"/>
            <a:t>PROJECT INFORMATION</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17</xdr:col>
      <xdr:colOff>0</xdr:colOff>
      <xdr:row>1</xdr:row>
      <xdr:rowOff>0</xdr:rowOff>
    </xdr:from>
    <xdr:to>
      <xdr:col>22</xdr:col>
      <xdr:colOff>0</xdr:colOff>
      <xdr:row>4</xdr:row>
      <xdr:rowOff>0</xdr:rowOff>
    </xdr:to>
    <xdr:sp macro="" textlink="MAIN3">
      <xdr:nvSpPr>
        <xdr:cNvPr id="5" name="MENU3">
          <a:hlinkClick xmlns:r="http://schemas.openxmlformats.org/officeDocument/2006/relationships" r:id="rId10" tooltip=" "/>
          <a:extLst>
            <a:ext uri="{FF2B5EF4-FFF2-40B4-BE49-F238E27FC236}">
              <a16:creationId xmlns:a16="http://schemas.microsoft.com/office/drawing/2014/main" id="{00000000-0008-0000-1A00-000005000000}"/>
            </a:ext>
          </a:extLst>
        </xdr:cNvPr>
        <xdr:cNvSpPr/>
      </xdr:nvSpPr>
      <xdr:spPr>
        <a:xfrm>
          <a:off x="5343525" y="200025"/>
          <a:ext cx="1571625" cy="600075"/>
        </a:xfrm>
        <a:prstGeom prst="round2SameRect">
          <a:avLst/>
        </a:prstGeom>
        <a:solidFill>
          <a:srgbClr val="00334E"/>
        </a:solidFill>
        <a:ln w="12700">
          <a:solidFill>
            <a:srgbClr val="00334E"/>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06A037F-AE33-47CC-85C1-F6D62694F95D}" type="TxLink">
            <a:rPr lang="en-US" sz="1100" b="0" i="0" u="none" strike="noStrike">
              <a:solidFill>
                <a:schemeClr val="bg1"/>
              </a:solidFill>
              <a:latin typeface="Arial" panose="020B0604020202020204" pitchFamily="34" charset="0"/>
              <a:cs typeface="Arial" panose="020B0604020202020204" pitchFamily="34" charset="0"/>
            </a:rPr>
            <a:pPr algn="ctr"/>
            <a:t>PRESCRIPTIVE MEASURES INPUT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27</xdr:col>
      <xdr:colOff>0</xdr:colOff>
      <xdr:row>1</xdr:row>
      <xdr:rowOff>0</xdr:rowOff>
    </xdr:from>
    <xdr:to>
      <xdr:col>32</xdr:col>
      <xdr:colOff>0</xdr:colOff>
      <xdr:row>4</xdr:row>
      <xdr:rowOff>0</xdr:rowOff>
    </xdr:to>
    <xdr:sp macro="" textlink="MAIN5">
      <xdr:nvSpPr>
        <xdr:cNvPr id="7" name="MENU5">
          <a:hlinkClick xmlns:r="http://schemas.openxmlformats.org/officeDocument/2006/relationships" r:id="rId11" tooltip=" "/>
          <a:extLst>
            <a:ext uri="{FF2B5EF4-FFF2-40B4-BE49-F238E27FC236}">
              <a16:creationId xmlns:a16="http://schemas.microsoft.com/office/drawing/2014/main" id="{00000000-0008-0000-1A00-000007000000}"/>
            </a:ext>
          </a:extLst>
        </xdr:cNvPr>
        <xdr:cNvSpPr/>
      </xdr:nvSpPr>
      <xdr:spPr>
        <a:xfrm>
          <a:off x="8486775" y="200025"/>
          <a:ext cx="1571625" cy="600075"/>
        </a:xfrm>
        <a:prstGeom prst="round2SameRect">
          <a:avLst/>
        </a:prstGeom>
        <a:solidFill>
          <a:srgbClr val="00334E"/>
        </a:solidFill>
        <a:ln w="12700">
          <a:solidFill>
            <a:srgbClr val="00334E"/>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F0EEDDA6-4934-49B4-972D-20D21D440D82}" type="TxLink">
            <a:rPr lang="en-US" sz="1100" b="0" i="0" u="none" strike="noStrike">
              <a:solidFill>
                <a:schemeClr val="bg1"/>
              </a:solidFill>
              <a:latin typeface="Arial" panose="020B0604020202020204" pitchFamily="34" charset="0"/>
              <a:cs typeface="Arial" panose="020B0604020202020204" pitchFamily="34" charset="0"/>
            </a:rPr>
            <a:pPr algn="ctr"/>
            <a:t>APPLICATION REVIEW</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32</xdr:col>
      <xdr:colOff>0</xdr:colOff>
      <xdr:row>1</xdr:row>
      <xdr:rowOff>0</xdr:rowOff>
    </xdr:from>
    <xdr:to>
      <xdr:col>37</xdr:col>
      <xdr:colOff>1</xdr:colOff>
      <xdr:row>4</xdr:row>
      <xdr:rowOff>0</xdr:rowOff>
    </xdr:to>
    <xdr:sp macro="" textlink="MAIN6">
      <xdr:nvSpPr>
        <xdr:cNvPr id="8" name="MENU6">
          <a:extLst>
            <a:ext uri="{FF2B5EF4-FFF2-40B4-BE49-F238E27FC236}">
              <a16:creationId xmlns:a16="http://schemas.microsoft.com/office/drawing/2014/main" id="{00000000-0008-0000-1A00-000008000000}"/>
            </a:ext>
          </a:extLst>
        </xdr:cNvPr>
        <xdr:cNvSpPr/>
      </xdr:nvSpPr>
      <xdr:spPr>
        <a:xfrm>
          <a:off x="10058400" y="200025"/>
          <a:ext cx="1571626"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00B050"/>
              </a:solidFill>
            </a14:hiddenFill>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B12A3774-975E-4B41-A681-E085295C6D0E}" type="TxLink">
            <a:rPr lang="en-US" sz="1100" b="0" i="0" u="none" strike="noStrike">
              <a:noFill/>
              <a:latin typeface="Arial" panose="020B0604020202020204" pitchFamily="34" charset="0"/>
              <a:cs typeface="Arial" panose="020B0604020202020204" pitchFamily="34" charset="0"/>
            </a:rPr>
            <a:pPr algn="ctr"/>
            <a:t> </a:t>
          </a:fld>
          <a:endParaRPr lang="en-US" sz="1100">
            <a:noFill/>
            <a:latin typeface="Arial" panose="020B0604020202020204" pitchFamily="34" charset="0"/>
            <a:cs typeface="Arial" panose="020B0604020202020204" pitchFamily="34" charset="0"/>
          </a:endParaRPr>
        </a:p>
      </xdr:txBody>
    </xdr:sp>
    <xdr:clientData/>
  </xdr:twoCellAnchor>
  <xdr:twoCellAnchor>
    <xdr:from>
      <xdr:col>36</xdr:col>
      <xdr:colOff>314324</xdr:colOff>
      <xdr:row>1</xdr:row>
      <xdr:rowOff>0</xdr:rowOff>
    </xdr:from>
    <xdr:to>
      <xdr:col>41</xdr:col>
      <xdr:colOff>314324</xdr:colOff>
      <xdr:row>4</xdr:row>
      <xdr:rowOff>0</xdr:rowOff>
    </xdr:to>
    <xdr:sp macro="" textlink="MAIN7">
      <xdr:nvSpPr>
        <xdr:cNvPr id="9" name="MENU7">
          <a:extLst>
            <a:ext uri="{FF2B5EF4-FFF2-40B4-BE49-F238E27FC236}">
              <a16:creationId xmlns:a16="http://schemas.microsoft.com/office/drawing/2014/main" id="{00000000-0008-0000-1A00-000009000000}"/>
            </a:ext>
          </a:extLst>
        </xdr:cNvPr>
        <xdr:cNvSpPr/>
      </xdr:nvSpPr>
      <xdr:spPr>
        <a:xfrm>
          <a:off x="11630024" y="200025"/>
          <a:ext cx="1571625"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00B050"/>
              </a:solidFill>
            </a14:hiddenFill>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 </a:t>
          </a:fld>
          <a:endParaRPr lang="en-US" sz="1100">
            <a:noFill/>
            <a:latin typeface="Arial" panose="020B0604020202020204" pitchFamily="34" charset="0"/>
            <a:cs typeface="Arial" panose="020B0604020202020204" pitchFamily="34" charset="0"/>
          </a:endParaRPr>
        </a:p>
      </xdr:txBody>
    </xdr:sp>
    <xdr:clientData/>
  </xdr:twoCellAnchor>
  <xdr:twoCellAnchor>
    <xdr:from>
      <xdr:col>1</xdr:col>
      <xdr:colOff>557</xdr:colOff>
      <xdr:row>7</xdr:row>
      <xdr:rowOff>200024</xdr:rowOff>
    </xdr:from>
    <xdr:to>
      <xdr:col>43</xdr:col>
      <xdr:colOff>313764</xdr:colOff>
      <xdr:row>65</xdr:row>
      <xdr:rowOff>0</xdr:rowOff>
    </xdr:to>
    <xdr:sp macro="" textlink="">
      <xdr:nvSpPr>
        <xdr:cNvPr id="19" name="BORDER">
          <a:extLst>
            <a:ext uri="{FF2B5EF4-FFF2-40B4-BE49-F238E27FC236}">
              <a16:creationId xmlns:a16="http://schemas.microsoft.com/office/drawing/2014/main" id="{00000000-0008-0000-1A00-000013000000}"/>
            </a:ext>
          </a:extLst>
        </xdr:cNvPr>
        <xdr:cNvSpPr/>
      </xdr:nvSpPr>
      <xdr:spPr>
        <a:xfrm>
          <a:off x="314322" y="1611965"/>
          <a:ext cx="13491324" cy="11498917"/>
        </a:xfrm>
        <a:prstGeom prst="frame">
          <a:avLst>
            <a:gd name="adj1" fmla="val 97"/>
          </a:avLst>
        </a:prstGeom>
        <a:noFill/>
        <a:ln w="12700" cap="flat" cmpd="sng" algn="ctr">
          <a:solidFill>
            <a:srgbClr val="00334E"/>
          </a:solidFill>
          <a:prstDash val="solid"/>
          <a:miter lim="800000"/>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fPrintsWithSheet="0"/>
  </xdr:twoCellAnchor>
  <xdr:twoCellAnchor editAs="absolute">
    <xdr:from>
      <xdr:col>2</xdr:col>
      <xdr:colOff>2720</xdr:colOff>
      <xdr:row>9</xdr:row>
      <xdr:rowOff>1207</xdr:rowOff>
    </xdr:from>
    <xdr:to>
      <xdr:col>4</xdr:col>
      <xdr:colOff>960</xdr:colOff>
      <xdr:row>11</xdr:row>
      <xdr:rowOff>1207</xdr:rowOff>
    </xdr:to>
    <xdr:sp macro="" textlink="">
      <xdr:nvSpPr>
        <xdr:cNvPr id="20" name="BACK">
          <a:hlinkClick xmlns:r="http://schemas.openxmlformats.org/officeDocument/2006/relationships" r:id="rId12" tooltip=" "/>
          <a:extLst>
            <a:ext uri="{FF2B5EF4-FFF2-40B4-BE49-F238E27FC236}">
              <a16:creationId xmlns:a16="http://schemas.microsoft.com/office/drawing/2014/main" id="{00000000-0008-0000-1A00-000014000000}"/>
            </a:ext>
          </a:extLst>
        </xdr:cNvPr>
        <xdr:cNvSpPr>
          <a:spLocks noChangeAspect="1"/>
        </xdr:cNvSpPr>
      </xdr:nvSpPr>
      <xdr:spPr>
        <a:xfrm>
          <a:off x="631370" y="1801432"/>
          <a:ext cx="626890" cy="400050"/>
        </a:xfrm>
        <a:prstGeom prst="leftArrow">
          <a:avLst/>
        </a:prstGeom>
        <a:solidFill>
          <a:srgbClr val="54BCEB"/>
        </a:solidFill>
        <a:ln>
          <a:solidFill>
            <a:srgbClr val="54BCEB"/>
          </a:solidFill>
        </a:ln>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2</xdr:col>
      <xdr:colOff>2720</xdr:colOff>
      <xdr:row>5</xdr:row>
      <xdr:rowOff>73212</xdr:rowOff>
    </xdr:from>
    <xdr:to>
      <xdr:col>7</xdr:col>
      <xdr:colOff>457</xdr:colOff>
      <xdr:row>7</xdr:row>
      <xdr:rowOff>71014</xdr:rowOff>
    </xdr:to>
    <xdr:sp macro="" textlink="M4S1">
      <xdr:nvSpPr>
        <xdr:cNvPr id="11" name="SUBMENU1">
          <a:hlinkClick xmlns:r="http://schemas.openxmlformats.org/officeDocument/2006/relationships" r:id="rId1" tooltip=" "/>
          <a:extLst>
            <a:ext uri="{FF2B5EF4-FFF2-40B4-BE49-F238E27FC236}">
              <a16:creationId xmlns:a16="http://schemas.microsoft.com/office/drawing/2014/main" id="{00000000-0008-0000-1A00-00000B000000}"/>
            </a:ext>
          </a:extLst>
        </xdr:cNvPr>
        <xdr:cNvSpPr/>
      </xdr:nvSpPr>
      <xdr:spPr>
        <a:xfrm>
          <a:off x="630249" y="1081741"/>
          <a:ext cx="1566561" cy="401214"/>
        </a:xfrm>
        <a:prstGeom prst="round2SameRect">
          <a:avLst/>
        </a:prstGeom>
        <a:solidFill>
          <a:srgbClr val="00334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3664FD99-357F-4D59-894F-756F573EB972}" type="TxLink">
            <a:rPr lang="en-US" sz="1100" b="0" i="0" u="none" strike="noStrike">
              <a:solidFill>
                <a:srgbClr val="FFFFFF"/>
              </a:solidFill>
              <a:latin typeface="Arial" panose="020B0604020202020204" pitchFamily="34" charset="0"/>
              <a:cs typeface="Arial" panose="020B0604020202020204" pitchFamily="34" charset="0"/>
            </a:rPr>
            <a:pPr algn="ctr"/>
            <a:t>Custom Lighting</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7</xdr:col>
      <xdr:colOff>7325</xdr:colOff>
      <xdr:row>5</xdr:row>
      <xdr:rowOff>680</xdr:rowOff>
    </xdr:from>
    <xdr:to>
      <xdr:col>12</xdr:col>
      <xdr:colOff>4774</xdr:colOff>
      <xdr:row>7</xdr:row>
      <xdr:rowOff>0</xdr:rowOff>
    </xdr:to>
    <xdr:sp macro="" textlink="M4S2">
      <xdr:nvSpPr>
        <xdr:cNvPr id="12" name="SUBMENU2">
          <a:hlinkClick xmlns:r="http://schemas.openxmlformats.org/officeDocument/2006/relationships" r:id="rId13" tooltip=" "/>
          <a:extLst>
            <a:ext uri="{FF2B5EF4-FFF2-40B4-BE49-F238E27FC236}">
              <a16:creationId xmlns:a16="http://schemas.microsoft.com/office/drawing/2014/main" id="{00000000-0008-0000-1A00-00000C000000}"/>
            </a:ext>
          </a:extLst>
        </xdr:cNvPr>
        <xdr:cNvSpPr/>
      </xdr:nvSpPr>
      <xdr:spPr>
        <a:xfrm>
          <a:off x="2203678" y="1009209"/>
          <a:ext cx="1566272" cy="402732"/>
        </a:xfrm>
        <a:prstGeom prst="round2SameRect">
          <a:avLst/>
        </a:prstGeom>
        <a:solidFill>
          <a:srgbClr val="1A9DD8"/>
        </a:solidFill>
        <a:ln w="12700">
          <a:solidFill>
            <a:srgbClr val="1A9DD8"/>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5D0A4E02-9E12-41C2-BD00-10CC6F027B75}" type="TxLink">
            <a:rPr lang="en-US" sz="1100" b="0" i="0" u="none" strike="noStrike">
              <a:solidFill>
                <a:srgbClr val="FFFFFF"/>
              </a:solidFill>
              <a:latin typeface="Arial" panose="020B0604020202020204" pitchFamily="34" charset="0"/>
              <a:cs typeface="Arial" panose="020B0604020202020204" pitchFamily="34" charset="0"/>
            </a:rPr>
            <a:pPr algn="ctr"/>
            <a:t>New Construction Lighting</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12</xdr:col>
      <xdr:colOff>11642</xdr:colOff>
      <xdr:row>4</xdr:row>
      <xdr:rowOff>200705</xdr:rowOff>
    </xdr:from>
    <xdr:to>
      <xdr:col>18</xdr:col>
      <xdr:colOff>287037</xdr:colOff>
      <xdr:row>7</xdr:row>
      <xdr:rowOff>0</xdr:rowOff>
    </xdr:to>
    <xdr:sp macro="" textlink="M4S3">
      <xdr:nvSpPr>
        <xdr:cNvPr id="13" name="SUBMENU3">
          <a:hlinkClick xmlns:r="http://schemas.openxmlformats.org/officeDocument/2006/relationships" r:id="rId14" tooltip=" "/>
          <a:extLst>
            <a:ext uri="{FF2B5EF4-FFF2-40B4-BE49-F238E27FC236}">
              <a16:creationId xmlns:a16="http://schemas.microsoft.com/office/drawing/2014/main" id="{00000000-0008-0000-1A00-00000D000000}"/>
            </a:ext>
          </a:extLst>
        </xdr:cNvPr>
        <xdr:cNvSpPr/>
      </xdr:nvSpPr>
      <xdr:spPr>
        <a:xfrm>
          <a:off x="3776818" y="1007529"/>
          <a:ext cx="2157984" cy="404412"/>
        </a:xfrm>
        <a:prstGeom prst="round2SameRect">
          <a:avLst/>
        </a:prstGeom>
        <a:solidFill>
          <a:srgbClr val="1A9DD8"/>
        </a:solidFill>
        <a:ln w="12700">
          <a:solidFill>
            <a:srgbClr val="1A9DD8"/>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DC8E2C81-AACE-4DC5-9683-990BF5B93E88}" type="TxLink">
            <a:rPr lang="en-US" sz="1100" b="0" i="0" u="none" strike="noStrike">
              <a:solidFill>
                <a:srgbClr val="FFFFFF"/>
              </a:solidFill>
              <a:latin typeface="Arial" panose="020B0604020202020204" pitchFamily="34" charset="0"/>
              <a:cs typeface="Arial" panose="020B0604020202020204" pitchFamily="34" charset="0"/>
            </a:rPr>
            <a:pPr algn="ctr"/>
            <a:t>Custom / RCx / New Construction
 Non-Lighting (Electric)</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1</xdr:col>
      <xdr:colOff>0</xdr:colOff>
      <xdr:row>7</xdr:row>
      <xdr:rowOff>0</xdr:rowOff>
    </xdr:from>
    <xdr:to>
      <xdr:col>44</xdr:col>
      <xdr:colOff>13806</xdr:colOff>
      <xdr:row>8</xdr:row>
      <xdr:rowOff>0</xdr:rowOff>
    </xdr:to>
    <xdr:sp macro="" textlink="">
      <xdr:nvSpPr>
        <xdr:cNvPr id="21" name="BOTTOMRIBBON">
          <a:extLst>
            <a:ext uri="{FF2B5EF4-FFF2-40B4-BE49-F238E27FC236}">
              <a16:creationId xmlns:a16="http://schemas.microsoft.com/office/drawing/2014/main" id="{00000000-0008-0000-1A00-000015000000}"/>
            </a:ext>
          </a:extLst>
        </xdr:cNvPr>
        <xdr:cNvSpPr/>
      </xdr:nvSpPr>
      <xdr:spPr>
        <a:xfrm>
          <a:off x="313765" y="1411941"/>
          <a:ext cx="13505688" cy="201706"/>
        </a:xfrm>
        <a:prstGeom prst="rect">
          <a:avLst/>
        </a:prstGeom>
        <a:solidFill>
          <a:srgbClr val="00334E"/>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solidFill>
              <a:srgbClr val="FFFFFF"/>
            </a:solidFill>
          </a:endParaRPr>
        </a:p>
      </xdr:txBody>
    </xdr:sp>
    <xdr:clientData/>
  </xdr:twoCellAnchor>
  <xdr:twoCellAnchor editAs="oneCell">
    <xdr:from>
      <xdr:col>2</xdr:col>
      <xdr:colOff>102850</xdr:colOff>
      <xdr:row>0</xdr:row>
      <xdr:rowOff>156884</xdr:rowOff>
    </xdr:from>
    <xdr:to>
      <xdr:col>5</xdr:col>
      <xdr:colOff>30405</xdr:colOff>
      <xdr:row>2</xdr:row>
      <xdr:rowOff>195627</xdr:rowOff>
    </xdr:to>
    <xdr:pic>
      <xdr:nvPicPr>
        <xdr:cNvPr id="23" name="LOGO">
          <a:extLst>
            <a:ext uri="{FF2B5EF4-FFF2-40B4-BE49-F238E27FC236}">
              <a16:creationId xmlns:a16="http://schemas.microsoft.com/office/drawing/2014/main" id="{00000000-0008-0000-1A00-000017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xdr:blipFill>
      <xdr:spPr>
        <a:xfrm>
          <a:off x="730379" y="156884"/>
          <a:ext cx="868850" cy="44215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7</xdr:col>
      <xdr:colOff>3008</xdr:colOff>
      <xdr:row>1</xdr:row>
      <xdr:rowOff>133351</xdr:rowOff>
    </xdr:from>
    <xdr:to>
      <xdr:col>12</xdr:col>
      <xdr:colOff>2551</xdr:colOff>
      <xdr:row>4</xdr:row>
      <xdr:rowOff>133351</xdr:rowOff>
    </xdr:to>
    <xdr:sp macro="" textlink="MAIN1">
      <xdr:nvSpPr>
        <xdr:cNvPr id="2" name="MENU1">
          <a:hlinkClick xmlns:r="http://schemas.openxmlformats.org/officeDocument/2006/relationships" r:id="rId1" tooltip=" "/>
          <a:extLst>
            <a:ext uri="{FF2B5EF4-FFF2-40B4-BE49-F238E27FC236}">
              <a16:creationId xmlns:a16="http://schemas.microsoft.com/office/drawing/2014/main" id="{00000000-0008-0000-0900-000002000000}"/>
            </a:ext>
          </a:extLst>
        </xdr:cNvPr>
        <xdr:cNvSpPr/>
      </xdr:nvSpPr>
      <xdr:spPr>
        <a:xfrm>
          <a:off x="2203283" y="333376"/>
          <a:ext cx="1571168" cy="600075"/>
        </a:xfrm>
        <a:prstGeom prst="round2SameRect">
          <a:avLst/>
        </a:prstGeom>
        <a:solidFill>
          <a:srgbClr val="A6A5AA"/>
        </a:solidFill>
        <a:ln w="12700">
          <a:solidFill>
            <a:srgbClr val="A6A5AA"/>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marL="0" indent="0" algn="ctr"/>
          <a:fld id="{D6F2F067-2676-4601-ABCE-75BD5137E3D5}" type="TxLink">
            <a:rPr lang="en-US" sz="1100" b="0" i="0" u="none" strike="noStrike">
              <a:solidFill>
                <a:srgbClr val="FFFFFF">
                  <a:lumMod val="100000"/>
                </a:srgbClr>
              </a:solidFill>
              <a:latin typeface="Arial" panose="020B0604020202020204" pitchFamily="34" charset="0"/>
              <a:ea typeface="+mn-ea"/>
              <a:cs typeface="Arial" panose="020B0604020202020204" pitchFamily="34" charset="0"/>
            </a:rPr>
            <a:pPr marL="0" indent="0" algn="ctr"/>
            <a:t>START</a:t>
          </a:fld>
          <a:endParaRPr lang="en-US" sz="1100" b="0" i="0" u="none" strike="noStrike">
            <a:solidFill>
              <a:srgbClr val="FFFFFF">
                <a:lumMod val="100000"/>
              </a:srgbClr>
            </a:solidFill>
            <a:latin typeface="Arial" panose="020B0604020202020204" pitchFamily="34" charset="0"/>
            <a:ea typeface="+mn-ea"/>
            <a:cs typeface="Arial" panose="020B0604020202020204" pitchFamily="34" charset="0"/>
          </a:endParaRPr>
        </a:p>
      </xdr:txBody>
    </xdr:sp>
    <xdr:clientData/>
  </xdr:twoCellAnchor>
  <xdr:twoCellAnchor>
    <xdr:from>
      <xdr:col>27</xdr:col>
      <xdr:colOff>0</xdr:colOff>
      <xdr:row>4</xdr:row>
      <xdr:rowOff>200705</xdr:rowOff>
    </xdr:from>
    <xdr:to>
      <xdr:col>32</xdr:col>
      <xdr:colOff>2865</xdr:colOff>
      <xdr:row>7</xdr:row>
      <xdr:rowOff>0</xdr:rowOff>
    </xdr:to>
    <xdr:sp macro="" textlink="M1S6">
      <xdr:nvSpPr>
        <xdr:cNvPr id="3" name="SUBMENU6">
          <a:hlinkClick xmlns:r="http://schemas.openxmlformats.org/officeDocument/2006/relationships" r:id="rId2"/>
          <a:extLst>
            <a:ext uri="{FF2B5EF4-FFF2-40B4-BE49-F238E27FC236}">
              <a16:creationId xmlns:a16="http://schemas.microsoft.com/office/drawing/2014/main" id="{00000000-0008-0000-0900-000003000000}"/>
            </a:ext>
          </a:extLst>
        </xdr:cNvPr>
        <xdr:cNvSpPr/>
      </xdr:nvSpPr>
      <xdr:spPr>
        <a:xfrm>
          <a:off x="8486775" y="1000805"/>
          <a:ext cx="1574490" cy="399370"/>
        </a:xfrm>
        <a:prstGeom prst="round2SameRect">
          <a:avLst/>
        </a:prstGeom>
        <a:noFill/>
        <a:ln w="12700">
          <a:no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3895239F-CA13-455E-B384-0BD1EC0A3A85}" type="TxLink">
            <a:rPr lang="en-US" sz="1100" b="0" i="0" u="none" strike="noStrike">
              <a:solidFill>
                <a:srgbClr val="FFFFFF"/>
              </a:solidFill>
              <a:latin typeface="Arial" panose="020B0604020202020204" pitchFamily="34" charset="0"/>
              <a:cs typeface="Arial" panose="020B0604020202020204" pitchFamily="34" charset="0"/>
            </a:rPr>
            <a:pPr algn="ctr"/>
            <a:t> </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32</xdr:col>
      <xdr:colOff>2865</xdr:colOff>
      <xdr:row>4</xdr:row>
      <xdr:rowOff>200705</xdr:rowOff>
    </xdr:from>
    <xdr:to>
      <xdr:col>37</xdr:col>
      <xdr:colOff>2720</xdr:colOff>
      <xdr:row>7</xdr:row>
      <xdr:rowOff>0</xdr:rowOff>
    </xdr:to>
    <xdr:sp macro="" textlink="M1S7">
      <xdr:nvSpPr>
        <xdr:cNvPr id="4" name="SUBMENU7">
          <a:hlinkClick xmlns:r="http://schemas.openxmlformats.org/officeDocument/2006/relationships" r:id="rId3"/>
          <a:extLst>
            <a:ext uri="{FF2B5EF4-FFF2-40B4-BE49-F238E27FC236}">
              <a16:creationId xmlns:a16="http://schemas.microsoft.com/office/drawing/2014/main" id="{00000000-0008-0000-0900-000004000000}"/>
            </a:ext>
          </a:extLst>
        </xdr:cNvPr>
        <xdr:cNvSpPr/>
      </xdr:nvSpPr>
      <xdr:spPr>
        <a:xfrm>
          <a:off x="10061265" y="1000805"/>
          <a:ext cx="1571480" cy="399370"/>
        </a:xfrm>
        <a:prstGeom prst="round2SameRect">
          <a:avLst/>
        </a:prstGeom>
        <a:noFill/>
        <a:ln w="25400">
          <a:no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D599586B-580C-4649-BAE7-1A9160B03CD3}" type="TxLink">
            <a:rPr lang="en-US" sz="1100" b="0" i="0" u="none" strike="noStrike">
              <a:solidFill>
                <a:srgbClr val="FFFFFF"/>
              </a:solidFill>
              <a:latin typeface="Arial" panose="020B0604020202020204" pitchFamily="34" charset="0"/>
              <a:cs typeface="Arial" panose="020B0604020202020204" pitchFamily="34" charset="0"/>
            </a:rPr>
            <a:pPr algn="ctr"/>
            <a:t> </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37</xdr:col>
      <xdr:colOff>2720</xdr:colOff>
      <xdr:row>4</xdr:row>
      <xdr:rowOff>200705</xdr:rowOff>
    </xdr:from>
    <xdr:to>
      <xdr:col>42</xdr:col>
      <xdr:colOff>0</xdr:colOff>
      <xdr:row>7</xdr:row>
      <xdr:rowOff>0</xdr:rowOff>
    </xdr:to>
    <xdr:sp macro="" textlink="M1S8">
      <xdr:nvSpPr>
        <xdr:cNvPr id="5" name="SUBMENU8">
          <a:hlinkClick xmlns:r="http://schemas.openxmlformats.org/officeDocument/2006/relationships" r:id="rId4"/>
          <a:extLst>
            <a:ext uri="{FF2B5EF4-FFF2-40B4-BE49-F238E27FC236}">
              <a16:creationId xmlns:a16="http://schemas.microsoft.com/office/drawing/2014/main" id="{00000000-0008-0000-0900-000005000000}"/>
            </a:ext>
          </a:extLst>
        </xdr:cNvPr>
        <xdr:cNvSpPr/>
      </xdr:nvSpPr>
      <xdr:spPr>
        <a:xfrm>
          <a:off x="11632745" y="1000805"/>
          <a:ext cx="1568905" cy="399370"/>
        </a:xfrm>
        <a:prstGeom prst="round2SameRect">
          <a:avLst/>
        </a:prstGeom>
        <a:noFill/>
        <a:ln w="25400">
          <a:no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471F2687-6E45-4175-A81A-2816B725423B}" type="TxLink">
            <a:rPr lang="en-US" sz="1100" b="0" i="0" u="none" strike="noStrike">
              <a:solidFill>
                <a:srgbClr val="FFFFFF"/>
              </a:solidFill>
              <a:latin typeface="Arial" panose="020B0604020202020204" pitchFamily="34" charset="0"/>
              <a:cs typeface="Arial" panose="020B0604020202020204" pitchFamily="34" charset="0"/>
            </a:rPr>
            <a:pPr algn="ctr"/>
            <a:t> </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1</xdr:col>
      <xdr:colOff>0</xdr:colOff>
      <xdr:row>4</xdr:row>
      <xdr:rowOff>1</xdr:rowOff>
    </xdr:from>
    <xdr:to>
      <xdr:col>44</xdr:col>
      <xdr:colOff>11206</xdr:colOff>
      <xdr:row>7</xdr:row>
      <xdr:rowOff>0</xdr:rowOff>
    </xdr:to>
    <xdr:sp macro="" textlink="">
      <xdr:nvSpPr>
        <xdr:cNvPr id="6" name="TOPRIBBON">
          <a:extLst>
            <a:ext uri="{FF2B5EF4-FFF2-40B4-BE49-F238E27FC236}">
              <a16:creationId xmlns:a16="http://schemas.microsoft.com/office/drawing/2014/main" id="{00000000-0008-0000-0900-000006000000}"/>
            </a:ext>
          </a:extLst>
        </xdr:cNvPr>
        <xdr:cNvSpPr/>
      </xdr:nvSpPr>
      <xdr:spPr>
        <a:xfrm>
          <a:off x="314325" y="800101"/>
          <a:ext cx="13536706" cy="600074"/>
        </a:xfrm>
        <a:prstGeom prst="round2SameRect">
          <a:avLst/>
        </a:prstGeom>
        <a:solidFill>
          <a:srgbClr val="A6A5AA"/>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marL="0" indent="0" algn="l"/>
          <a:endParaRPr lang="en-US" sz="1100">
            <a:solidFill>
              <a:schemeClr val="lt1"/>
            </a:solidFill>
            <a:latin typeface="+mn-lt"/>
            <a:ea typeface="+mn-ea"/>
            <a:cs typeface="+mn-cs"/>
          </a:endParaRPr>
        </a:p>
      </xdr:txBody>
    </xdr:sp>
    <xdr:clientData/>
  </xdr:twoCellAnchor>
  <xdr:twoCellAnchor>
    <xdr:from>
      <xdr:col>12</xdr:col>
      <xdr:colOff>1913</xdr:colOff>
      <xdr:row>1</xdr:row>
      <xdr:rowOff>0</xdr:rowOff>
    </xdr:from>
    <xdr:to>
      <xdr:col>17</xdr:col>
      <xdr:colOff>1913</xdr:colOff>
      <xdr:row>4</xdr:row>
      <xdr:rowOff>0</xdr:rowOff>
    </xdr:to>
    <xdr:sp macro="" textlink="MAIN2">
      <xdr:nvSpPr>
        <xdr:cNvPr id="7" name="MENU2">
          <a:hlinkClick xmlns:r="http://schemas.openxmlformats.org/officeDocument/2006/relationships" r:id="rId5" tooltip=" "/>
          <a:extLst>
            <a:ext uri="{FF2B5EF4-FFF2-40B4-BE49-F238E27FC236}">
              <a16:creationId xmlns:a16="http://schemas.microsoft.com/office/drawing/2014/main" id="{00000000-0008-0000-0900-000007000000}"/>
            </a:ext>
          </a:extLst>
        </xdr:cNvPr>
        <xdr:cNvSpPr/>
      </xdr:nvSpPr>
      <xdr:spPr>
        <a:xfrm>
          <a:off x="3773813" y="200025"/>
          <a:ext cx="1571625" cy="600075"/>
        </a:xfrm>
        <a:prstGeom prst="round2SameRect">
          <a:avLst/>
        </a:prstGeom>
        <a:solidFill>
          <a:srgbClr val="00334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59A035B9-F1D2-4E89-B262-AF2DF0C338A9}"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PROJECT INFORMATION</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17</xdr:col>
      <xdr:colOff>1275</xdr:colOff>
      <xdr:row>1</xdr:row>
      <xdr:rowOff>0</xdr:rowOff>
    </xdr:from>
    <xdr:to>
      <xdr:col>22</xdr:col>
      <xdr:colOff>1275</xdr:colOff>
      <xdr:row>4</xdr:row>
      <xdr:rowOff>0</xdr:rowOff>
    </xdr:to>
    <xdr:sp macro="" textlink="MAIN3">
      <xdr:nvSpPr>
        <xdr:cNvPr id="8" name="MENU3">
          <a:hlinkClick xmlns:r="http://schemas.openxmlformats.org/officeDocument/2006/relationships" r:id="rId6" tooltip=" "/>
          <a:extLst>
            <a:ext uri="{FF2B5EF4-FFF2-40B4-BE49-F238E27FC236}">
              <a16:creationId xmlns:a16="http://schemas.microsoft.com/office/drawing/2014/main" id="{00000000-0008-0000-0900-000008000000}"/>
            </a:ext>
          </a:extLst>
        </xdr:cNvPr>
        <xdr:cNvSpPr/>
      </xdr:nvSpPr>
      <xdr:spPr>
        <a:xfrm>
          <a:off x="5344800" y="200025"/>
          <a:ext cx="1571625" cy="600075"/>
        </a:xfrm>
        <a:prstGeom prst="round2SameRect">
          <a:avLst/>
        </a:prstGeom>
        <a:solidFill>
          <a:srgbClr val="00334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06A037F-AE33-47CC-85C1-F6D62694F95D}"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PRESCRIPTIVE MEASURES INPUT</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22</xdr:col>
      <xdr:colOff>637</xdr:colOff>
      <xdr:row>1</xdr:row>
      <xdr:rowOff>0</xdr:rowOff>
    </xdr:from>
    <xdr:to>
      <xdr:col>27</xdr:col>
      <xdr:colOff>637</xdr:colOff>
      <xdr:row>4</xdr:row>
      <xdr:rowOff>0</xdr:rowOff>
    </xdr:to>
    <xdr:sp macro="" textlink="MAIN4">
      <xdr:nvSpPr>
        <xdr:cNvPr id="9" name="MENU4">
          <a:hlinkClick xmlns:r="http://schemas.openxmlformats.org/officeDocument/2006/relationships" r:id="rId7" tooltip=" "/>
          <a:extLst>
            <a:ext uri="{FF2B5EF4-FFF2-40B4-BE49-F238E27FC236}">
              <a16:creationId xmlns:a16="http://schemas.microsoft.com/office/drawing/2014/main" id="{00000000-0008-0000-0900-000009000000}"/>
            </a:ext>
          </a:extLst>
        </xdr:cNvPr>
        <xdr:cNvSpPr/>
      </xdr:nvSpPr>
      <xdr:spPr>
        <a:xfrm>
          <a:off x="6915787" y="200025"/>
          <a:ext cx="1571625" cy="600075"/>
        </a:xfrm>
        <a:prstGeom prst="round2SameRect">
          <a:avLst/>
        </a:prstGeom>
        <a:solidFill>
          <a:srgbClr val="00334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CB369157-CA5B-4E40-B1DE-604993B819B3}"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CUSTOM MEASURES INPUT</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27</xdr:col>
      <xdr:colOff>0</xdr:colOff>
      <xdr:row>1</xdr:row>
      <xdr:rowOff>0</xdr:rowOff>
    </xdr:from>
    <xdr:to>
      <xdr:col>32</xdr:col>
      <xdr:colOff>0</xdr:colOff>
      <xdr:row>4</xdr:row>
      <xdr:rowOff>0</xdr:rowOff>
    </xdr:to>
    <xdr:sp macro="" textlink="MAIN5">
      <xdr:nvSpPr>
        <xdr:cNvPr id="10" name="MENU5">
          <a:hlinkClick xmlns:r="http://schemas.openxmlformats.org/officeDocument/2006/relationships" r:id="rId8" tooltip=" "/>
          <a:extLst>
            <a:ext uri="{FF2B5EF4-FFF2-40B4-BE49-F238E27FC236}">
              <a16:creationId xmlns:a16="http://schemas.microsoft.com/office/drawing/2014/main" id="{00000000-0008-0000-0900-00000A000000}"/>
            </a:ext>
          </a:extLst>
        </xdr:cNvPr>
        <xdr:cNvSpPr/>
      </xdr:nvSpPr>
      <xdr:spPr>
        <a:xfrm>
          <a:off x="8486775" y="200025"/>
          <a:ext cx="1571625" cy="600075"/>
        </a:xfrm>
        <a:prstGeom prst="round2SameRect">
          <a:avLst/>
        </a:prstGeom>
        <a:solidFill>
          <a:srgbClr val="00334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F0EEDDA6-4934-49B4-972D-20D21D440D82}"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APPLICATION REVIEW</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2</xdr:col>
      <xdr:colOff>2720</xdr:colOff>
      <xdr:row>5</xdr:row>
      <xdr:rowOff>5976</xdr:rowOff>
    </xdr:from>
    <xdr:to>
      <xdr:col>7</xdr:col>
      <xdr:colOff>457</xdr:colOff>
      <xdr:row>7</xdr:row>
      <xdr:rowOff>3778</xdr:rowOff>
    </xdr:to>
    <xdr:sp macro="" textlink="M1S1">
      <xdr:nvSpPr>
        <xdr:cNvPr id="11" name="SUBMENU1">
          <a:hlinkClick xmlns:r="http://schemas.openxmlformats.org/officeDocument/2006/relationships" r:id="rId1" tooltip=" "/>
          <a:extLst>
            <a:ext uri="{FF2B5EF4-FFF2-40B4-BE49-F238E27FC236}">
              <a16:creationId xmlns:a16="http://schemas.microsoft.com/office/drawing/2014/main" id="{00000000-0008-0000-0900-00000B000000}"/>
            </a:ext>
          </a:extLst>
        </xdr:cNvPr>
        <xdr:cNvSpPr/>
      </xdr:nvSpPr>
      <xdr:spPr>
        <a:xfrm>
          <a:off x="630249" y="1014505"/>
          <a:ext cx="1566561" cy="401214"/>
        </a:xfrm>
        <a:prstGeom prst="round2SameRect">
          <a:avLst/>
        </a:prstGeom>
        <a:solidFill>
          <a:srgbClr val="54BCEB"/>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A75590B8-5031-4E33-8C48-A03FAAA6E80E}" type="TxLink">
            <a:rPr lang="en-US" sz="1100" b="0" i="0" u="none" strike="noStrike">
              <a:solidFill>
                <a:srgbClr val="FFFFFF"/>
              </a:solidFill>
              <a:latin typeface="Arial" panose="020B0604020202020204" pitchFamily="34" charset="0"/>
              <a:cs typeface="Arial" panose="020B0604020202020204" pitchFamily="34" charset="0"/>
            </a:rPr>
            <a:pPr algn="ctr"/>
            <a:t>Welcome</a:t>
          </a:fld>
          <a:endParaRPr lang="en-US" sz="1100" b="0">
            <a:solidFill>
              <a:srgbClr val="FFFFFF"/>
            </a:solidFill>
            <a:latin typeface="Arial" panose="020B0604020202020204" pitchFamily="34" charset="0"/>
            <a:cs typeface="Arial" panose="020B0604020202020204" pitchFamily="34" charset="0"/>
          </a:endParaRPr>
        </a:p>
      </xdr:txBody>
    </xdr:sp>
    <xdr:clientData/>
  </xdr:twoCellAnchor>
  <xdr:twoCellAnchor>
    <xdr:from>
      <xdr:col>7</xdr:col>
      <xdr:colOff>981</xdr:colOff>
      <xdr:row>5</xdr:row>
      <xdr:rowOff>43824</xdr:rowOff>
    </xdr:from>
    <xdr:to>
      <xdr:col>12</xdr:col>
      <xdr:colOff>980</xdr:colOff>
      <xdr:row>7</xdr:row>
      <xdr:rowOff>44824</xdr:rowOff>
    </xdr:to>
    <xdr:sp macro="" textlink="M1S2">
      <xdr:nvSpPr>
        <xdr:cNvPr id="12" name="SUBMENU2">
          <a:hlinkClick xmlns:r="http://schemas.openxmlformats.org/officeDocument/2006/relationships" r:id="rId9" tooltip=" "/>
          <a:extLst>
            <a:ext uri="{FF2B5EF4-FFF2-40B4-BE49-F238E27FC236}">
              <a16:creationId xmlns:a16="http://schemas.microsoft.com/office/drawing/2014/main" id="{00000000-0008-0000-0900-00000C000000}"/>
            </a:ext>
          </a:extLst>
        </xdr:cNvPr>
        <xdr:cNvSpPr/>
      </xdr:nvSpPr>
      <xdr:spPr>
        <a:xfrm>
          <a:off x="2197334" y="1052353"/>
          <a:ext cx="1568822" cy="404412"/>
        </a:xfrm>
        <a:prstGeom prst="round2SameRect">
          <a:avLst/>
        </a:prstGeom>
        <a:solidFill>
          <a:srgbClr val="00334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CF8290D4-6497-486F-BAC6-BA480F9F34D0}" type="TxLink">
            <a:rPr lang="en-US" sz="1100" b="0" i="0" u="none" strike="noStrike">
              <a:solidFill>
                <a:srgbClr val="FFFFFF"/>
              </a:solidFill>
              <a:latin typeface="Arial" panose="020B0604020202020204" pitchFamily="34" charset="0"/>
              <a:cs typeface="Arial" panose="020B0604020202020204" pitchFamily="34" charset="0"/>
            </a:rPr>
            <a:pPr algn="ctr"/>
            <a:t>Energy Efficiency Programs</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12</xdr:col>
      <xdr:colOff>1504</xdr:colOff>
      <xdr:row>4</xdr:row>
      <xdr:rowOff>200705</xdr:rowOff>
    </xdr:from>
    <xdr:to>
      <xdr:col>17</xdr:col>
      <xdr:colOff>1503</xdr:colOff>
      <xdr:row>7</xdr:row>
      <xdr:rowOff>0</xdr:rowOff>
    </xdr:to>
    <xdr:sp macro="" textlink="M1S3">
      <xdr:nvSpPr>
        <xdr:cNvPr id="13" name="SUBMENU3">
          <a:hlinkClick xmlns:r="http://schemas.openxmlformats.org/officeDocument/2006/relationships" r:id="rId10" tooltip=" "/>
          <a:extLst>
            <a:ext uri="{FF2B5EF4-FFF2-40B4-BE49-F238E27FC236}">
              <a16:creationId xmlns:a16="http://schemas.microsoft.com/office/drawing/2014/main" id="{00000000-0008-0000-0900-00000D000000}"/>
            </a:ext>
          </a:extLst>
        </xdr:cNvPr>
        <xdr:cNvSpPr/>
      </xdr:nvSpPr>
      <xdr:spPr>
        <a:xfrm>
          <a:off x="3773404" y="1000805"/>
          <a:ext cx="1571624" cy="399370"/>
        </a:xfrm>
        <a:prstGeom prst="round2SameRect">
          <a:avLst/>
        </a:prstGeom>
        <a:solidFill>
          <a:srgbClr val="54BCEB"/>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E71BE52B-FF38-412C-B4D1-421FD04CF2FA}" type="TxLink">
            <a:rPr lang="en-US" sz="1100" b="0" i="0" u="none" strike="noStrike">
              <a:solidFill>
                <a:srgbClr val="FFFFFF"/>
              </a:solidFill>
              <a:latin typeface="Arial" panose="020B0604020202020204" pitchFamily="34" charset="0"/>
              <a:cs typeface="Arial" panose="020B0604020202020204" pitchFamily="34" charset="0"/>
            </a:rPr>
            <a:pPr algn="ctr"/>
            <a:t>Information Links</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17</xdr:col>
      <xdr:colOff>2027</xdr:colOff>
      <xdr:row>4</xdr:row>
      <xdr:rowOff>200705</xdr:rowOff>
    </xdr:from>
    <xdr:to>
      <xdr:col>22</xdr:col>
      <xdr:colOff>2026</xdr:colOff>
      <xdr:row>7</xdr:row>
      <xdr:rowOff>0</xdr:rowOff>
    </xdr:to>
    <xdr:sp macro="" textlink="M1S4">
      <xdr:nvSpPr>
        <xdr:cNvPr id="14" name="SUBMENU4">
          <a:hlinkClick xmlns:r="http://schemas.openxmlformats.org/officeDocument/2006/relationships" r:id="rId11" tooltip=" "/>
          <a:extLst>
            <a:ext uri="{FF2B5EF4-FFF2-40B4-BE49-F238E27FC236}">
              <a16:creationId xmlns:a16="http://schemas.microsoft.com/office/drawing/2014/main" id="{00000000-0008-0000-0900-00000E000000}"/>
            </a:ext>
          </a:extLst>
        </xdr:cNvPr>
        <xdr:cNvSpPr/>
      </xdr:nvSpPr>
      <xdr:spPr>
        <a:xfrm>
          <a:off x="5345552" y="1000805"/>
          <a:ext cx="1571624" cy="399370"/>
        </a:xfrm>
        <a:prstGeom prst="round2SameRect">
          <a:avLst/>
        </a:prstGeom>
        <a:solidFill>
          <a:srgbClr val="54BCEB"/>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AE739B06-806C-41C1-AAD2-7D9DAB154007}" type="TxLink">
            <a:rPr lang="en-US" sz="1100" b="0" i="0" u="none" strike="noStrike">
              <a:solidFill>
                <a:srgbClr val="FFFFFF"/>
              </a:solidFill>
              <a:latin typeface="Arial" panose="020B0604020202020204" pitchFamily="34" charset="0"/>
              <a:cs typeface="Arial" panose="020B0604020202020204" pitchFamily="34" charset="0"/>
            </a:rPr>
            <a:pPr algn="ctr"/>
            <a:t>Prescriptive Measure List</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22</xdr:col>
      <xdr:colOff>2551</xdr:colOff>
      <xdr:row>4</xdr:row>
      <xdr:rowOff>200705</xdr:rowOff>
    </xdr:from>
    <xdr:to>
      <xdr:col>27</xdr:col>
      <xdr:colOff>2549</xdr:colOff>
      <xdr:row>7</xdr:row>
      <xdr:rowOff>0</xdr:rowOff>
    </xdr:to>
    <xdr:sp macro="" textlink="M1S5">
      <xdr:nvSpPr>
        <xdr:cNvPr id="15" name="SUBMENU5">
          <a:hlinkClick xmlns:r="http://schemas.openxmlformats.org/officeDocument/2006/relationships" r:id="rId12" tooltip=" "/>
          <a:extLst>
            <a:ext uri="{FF2B5EF4-FFF2-40B4-BE49-F238E27FC236}">
              <a16:creationId xmlns:a16="http://schemas.microsoft.com/office/drawing/2014/main" id="{00000000-0008-0000-0900-00000F000000}"/>
            </a:ext>
          </a:extLst>
        </xdr:cNvPr>
        <xdr:cNvSpPr/>
      </xdr:nvSpPr>
      <xdr:spPr>
        <a:xfrm>
          <a:off x="6917701" y="1000805"/>
          <a:ext cx="1571623" cy="399370"/>
        </a:xfrm>
        <a:prstGeom prst="round2SameRect">
          <a:avLst/>
        </a:prstGeom>
        <a:solidFill>
          <a:srgbClr val="54BCEB"/>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074B07D3-C7F5-42E2-8A6D-93CDE8EC2933}" type="TxLink">
            <a:rPr lang="en-US" sz="1100" b="0" i="0" u="none" strike="noStrike">
              <a:solidFill>
                <a:srgbClr val="FFFFFF"/>
              </a:solidFill>
              <a:latin typeface="Arial" panose="020B0604020202020204" pitchFamily="34" charset="0"/>
              <a:cs typeface="Arial" panose="020B0604020202020204" pitchFamily="34" charset="0"/>
            </a:rPr>
            <a:pPr algn="ctr"/>
            <a:t>Operating Hours Calculator</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1</xdr:col>
      <xdr:colOff>0</xdr:colOff>
      <xdr:row>7</xdr:row>
      <xdr:rowOff>0</xdr:rowOff>
    </xdr:from>
    <xdr:to>
      <xdr:col>44</xdr:col>
      <xdr:colOff>0</xdr:colOff>
      <xdr:row>8</xdr:row>
      <xdr:rowOff>0</xdr:rowOff>
    </xdr:to>
    <xdr:sp macro="" textlink="">
      <xdr:nvSpPr>
        <xdr:cNvPr id="16" name="BOTTOMRIBBON">
          <a:extLst>
            <a:ext uri="{FF2B5EF4-FFF2-40B4-BE49-F238E27FC236}">
              <a16:creationId xmlns:a16="http://schemas.microsoft.com/office/drawing/2014/main" id="{00000000-0008-0000-0900-000010000000}"/>
            </a:ext>
          </a:extLst>
        </xdr:cNvPr>
        <xdr:cNvSpPr/>
      </xdr:nvSpPr>
      <xdr:spPr>
        <a:xfrm>
          <a:off x="314325" y="1400175"/>
          <a:ext cx="13525500" cy="200025"/>
        </a:xfrm>
        <a:prstGeom prst="rect">
          <a:avLst/>
        </a:prstGeom>
        <a:solidFill>
          <a:srgbClr val="00334E"/>
        </a:solidFill>
        <a:ln>
          <a:solidFill>
            <a:srgbClr val="00334E"/>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solidFill>
              <a:srgbClr val="FFFFFF"/>
            </a:solidFill>
          </a:endParaRPr>
        </a:p>
      </xdr:txBody>
    </xdr:sp>
    <xdr:clientData/>
  </xdr:twoCellAnchor>
  <xdr:twoCellAnchor>
    <xdr:from>
      <xdr:col>37</xdr:col>
      <xdr:colOff>257736</xdr:colOff>
      <xdr:row>0</xdr:row>
      <xdr:rowOff>179295</xdr:rowOff>
    </xdr:from>
    <xdr:to>
      <xdr:col>42</xdr:col>
      <xdr:colOff>257735</xdr:colOff>
      <xdr:row>3</xdr:row>
      <xdr:rowOff>179295</xdr:rowOff>
    </xdr:to>
    <xdr:sp macro="" textlink="MAIN7">
      <xdr:nvSpPr>
        <xdr:cNvPr id="17" name="MENU7">
          <a:extLst>
            <a:ext uri="{FF2B5EF4-FFF2-40B4-BE49-F238E27FC236}">
              <a16:creationId xmlns:a16="http://schemas.microsoft.com/office/drawing/2014/main" id="{00000000-0008-0000-0900-000011000000}"/>
            </a:ext>
          </a:extLst>
        </xdr:cNvPr>
        <xdr:cNvSpPr/>
      </xdr:nvSpPr>
      <xdr:spPr>
        <a:xfrm>
          <a:off x="11887761" y="179295"/>
          <a:ext cx="1571624" cy="600075"/>
        </a:xfrm>
        <a:prstGeom prst="round2SameRect">
          <a:avLst/>
        </a:prstGeom>
        <a:noFill/>
        <a:ln w="25400" cap="flat" cmpd="sng" algn="ctr">
          <a:no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Calibri"/>
            </a:rPr>
            <a:pPr algn="ctr"/>
            <a:t> </a:t>
          </a:fld>
          <a:endParaRPr lang="en-US" sz="1100">
            <a:noFill/>
          </a:endParaRPr>
        </a:p>
      </xdr:txBody>
    </xdr:sp>
    <xdr:clientData/>
  </xdr:twoCellAnchor>
  <xdr:twoCellAnchor editAs="oneCell">
    <xdr:from>
      <xdr:col>2</xdr:col>
      <xdr:colOff>69761</xdr:colOff>
      <xdr:row>0</xdr:row>
      <xdr:rowOff>156884</xdr:rowOff>
    </xdr:from>
    <xdr:to>
      <xdr:col>5</xdr:col>
      <xdr:colOff>56770</xdr:colOff>
      <xdr:row>3</xdr:row>
      <xdr:rowOff>24177</xdr:rowOff>
    </xdr:to>
    <xdr:pic>
      <xdr:nvPicPr>
        <xdr:cNvPr id="18" name="LOGO">
          <a:extLst>
            <a:ext uri="{FF2B5EF4-FFF2-40B4-BE49-F238E27FC236}">
              <a16:creationId xmlns:a16="http://schemas.microsoft.com/office/drawing/2014/main" id="{00000000-0008-0000-0900-000012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xdr:blipFill>
      <xdr:spPr>
        <a:xfrm>
          <a:off x="697290" y="156884"/>
          <a:ext cx="928304" cy="472411"/>
        </a:xfrm>
        <a:prstGeom prst="rect">
          <a:avLst/>
        </a:prstGeom>
      </xdr:spPr>
    </xdr:pic>
    <xdr:clientData/>
  </xdr:twoCellAnchor>
  <xdr:twoCellAnchor>
    <xdr:from>
      <xdr:col>1</xdr:col>
      <xdr:colOff>0</xdr:colOff>
      <xdr:row>7</xdr:row>
      <xdr:rowOff>201704</xdr:rowOff>
    </xdr:from>
    <xdr:to>
      <xdr:col>44</xdr:col>
      <xdr:colOff>0</xdr:colOff>
      <xdr:row>199</xdr:row>
      <xdr:rowOff>33617</xdr:rowOff>
    </xdr:to>
    <xdr:sp macro="" textlink="">
      <xdr:nvSpPr>
        <xdr:cNvPr id="19" name="BORDER">
          <a:extLst>
            <a:ext uri="{FF2B5EF4-FFF2-40B4-BE49-F238E27FC236}">
              <a16:creationId xmlns:a16="http://schemas.microsoft.com/office/drawing/2014/main" id="{00000000-0008-0000-0900-000013000000}"/>
            </a:ext>
          </a:extLst>
        </xdr:cNvPr>
        <xdr:cNvSpPr/>
      </xdr:nvSpPr>
      <xdr:spPr>
        <a:xfrm>
          <a:off x="313765" y="1613645"/>
          <a:ext cx="13491882" cy="36419119"/>
        </a:xfrm>
        <a:prstGeom prst="frame">
          <a:avLst>
            <a:gd name="adj1" fmla="val 0"/>
          </a:avLst>
        </a:prstGeom>
        <a:solidFill>
          <a:srgbClr val="54BCEB"/>
        </a:solidFill>
        <a:ln w="12700" cap="flat" cmpd="sng" algn="ctr">
          <a:solidFill>
            <a:srgbClr val="00334E"/>
          </a:solidFill>
          <a:prstDash val="solid"/>
          <a:miter lim="800000"/>
          <a:headEnd type="none" w="med" len="med"/>
          <a:tailEnd type="none" w="med" len="me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fPrintsWithSheet="0"/>
  </xdr:twoCellAnchor>
  <xdr:twoCellAnchor editAs="oneCell">
    <xdr:from>
      <xdr:col>3</xdr:col>
      <xdr:colOff>312177</xdr:colOff>
      <xdr:row>11</xdr:row>
      <xdr:rowOff>15578</xdr:rowOff>
    </xdr:from>
    <xdr:to>
      <xdr:col>40</xdr:col>
      <xdr:colOff>292937</xdr:colOff>
      <xdr:row>75</xdr:row>
      <xdr:rowOff>89907</xdr:rowOff>
    </xdr:to>
    <xdr:pic>
      <xdr:nvPicPr>
        <xdr:cNvPr id="20" name="Picture 19">
          <a:extLst>
            <a:ext uri="{FF2B5EF4-FFF2-40B4-BE49-F238E27FC236}">
              <a16:creationId xmlns:a16="http://schemas.microsoft.com/office/drawing/2014/main" id="{00000000-0008-0000-0900-000014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xdr:blipFill>
      <xdr:spPr>
        <a:xfrm>
          <a:off x="1253471" y="2200725"/>
          <a:ext cx="11590054" cy="12266329"/>
        </a:xfrm>
        <a:prstGeom prst="rect">
          <a:avLst/>
        </a:prstGeom>
      </xdr:spPr>
    </xdr:pic>
    <xdr:clientData/>
  </xdr:twoCellAnchor>
  <xdr:twoCellAnchor editAs="oneCell">
    <xdr:from>
      <xdr:col>2</xdr:col>
      <xdr:colOff>2720</xdr:colOff>
      <xdr:row>8</xdr:row>
      <xdr:rowOff>201232</xdr:rowOff>
    </xdr:from>
    <xdr:to>
      <xdr:col>4</xdr:col>
      <xdr:colOff>960</xdr:colOff>
      <xdr:row>11</xdr:row>
      <xdr:rowOff>20257</xdr:rowOff>
    </xdr:to>
    <xdr:sp macro="" textlink="">
      <xdr:nvSpPr>
        <xdr:cNvPr id="21" name="BACK">
          <a:hlinkClick xmlns:r="http://schemas.openxmlformats.org/officeDocument/2006/relationships" r:id="rId15" tooltip=" "/>
          <a:extLst>
            <a:ext uri="{FF2B5EF4-FFF2-40B4-BE49-F238E27FC236}">
              <a16:creationId xmlns:a16="http://schemas.microsoft.com/office/drawing/2014/main" id="{00000000-0008-0000-0900-000015000000}"/>
            </a:ext>
          </a:extLst>
        </xdr:cNvPr>
        <xdr:cNvSpPr>
          <a:spLocks noChangeAspect="1"/>
        </xdr:cNvSpPr>
      </xdr:nvSpPr>
      <xdr:spPr>
        <a:xfrm>
          <a:off x="631370" y="1801432"/>
          <a:ext cx="626890" cy="400050"/>
        </a:xfrm>
        <a:prstGeom prst="leftArrow">
          <a:avLst/>
        </a:prstGeom>
        <a:solidFill>
          <a:srgbClr val="54BCEB"/>
        </a:solidFill>
        <a:ln>
          <a:solidFill>
            <a:srgbClr val="54BCEB"/>
          </a:solidFill>
        </a:ln>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editAs="oneCell">
    <xdr:from>
      <xdr:col>41</xdr:col>
      <xdr:colOff>0</xdr:colOff>
      <xdr:row>9</xdr:row>
      <xdr:rowOff>1047</xdr:rowOff>
    </xdr:from>
    <xdr:to>
      <xdr:col>42</xdr:col>
      <xdr:colOff>313195</xdr:colOff>
      <xdr:row>11</xdr:row>
      <xdr:rowOff>20096</xdr:rowOff>
    </xdr:to>
    <xdr:sp macro="" textlink="">
      <xdr:nvSpPr>
        <xdr:cNvPr id="22" name="NEXT">
          <a:hlinkClick xmlns:r="http://schemas.openxmlformats.org/officeDocument/2006/relationships" r:id="rId16" tooltip=" "/>
          <a:extLst>
            <a:ext uri="{FF2B5EF4-FFF2-40B4-BE49-F238E27FC236}">
              <a16:creationId xmlns:a16="http://schemas.microsoft.com/office/drawing/2014/main" id="{00000000-0008-0000-0900-000016000000}"/>
            </a:ext>
          </a:extLst>
        </xdr:cNvPr>
        <xdr:cNvSpPr>
          <a:spLocks noChangeAspect="1"/>
        </xdr:cNvSpPr>
      </xdr:nvSpPr>
      <xdr:spPr>
        <a:xfrm>
          <a:off x="12887325" y="1801272"/>
          <a:ext cx="627520" cy="400049"/>
        </a:xfrm>
        <a:prstGeom prst="rightArrow">
          <a:avLst/>
        </a:prstGeom>
        <a:solidFill>
          <a:srgbClr val="54BCEB"/>
        </a:solidFill>
        <a:ln>
          <a:solidFill>
            <a:srgbClr val="54BCEB"/>
          </a:solidFill>
        </a:ln>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22</xdr:col>
      <xdr:colOff>56029</xdr:colOff>
      <xdr:row>69</xdr:row>
      <xdr:rowOff>145677</xdr:rowOff>
    </xdr:from>
    <xdr:to>
      <xdr:col>33</xdr:col>
      <xdr:colOff>11206</xdr:colOff>
      <xdr:row>73</xdr:row>
      <xdr:rowOff>33618</xdr:rowOff>
    </xdr:to>
    <xdr:sp macro="" textlink="">
      <xdr:nvSpPr>
        <xdr:cNvPr id="23" name="Rectangle 22">
          <a:hlinkClick xmlns:r="http://schemas.openxmlformats.org/officeDocument/2006/relationships" r:id="rId17"/>
          <a:extLst>
            <a:ext uri="{FF2B5EF4-FFF2-40B4-BE49-F238E27FC236}">
              <a16:creationId xmlns:a16="http://schemas.microsoft.com/office/drawing/2014/main" id="{00000000-0008-0000-0900-000017000000}"/>
            </a:ext>
          </a:extLst>
        </xdr:cNvPr>
        <xdr:cNvSpPr/>
      </xdr:nvSpPr>
      <xdr:spPr>
        <a:xfrm>
          <a:off x="6958853" y="13379824"/>
          <a:ext cx="3406588" cy="64994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10</xdr:col>
      <xdr:colOff>11206</xdr:colOff>
      <xdr:row>27</xdr:row>
      <xdr:rowOff>0</xdr:rowOff>
    </xdr:from>
    <xdr:to>
      <xdr:col>11</xdr:col>
      <xdr:colOff>89647</xdr:colOff>
      <xdr:row>27</xdr:row>
      <xdr:rowOff>145677</xdr:rowOff>
    </xdr:to>
    <xdr:sp macro="" textlink="">
      <xdr:nvSpPr>
        <xdr:cNvPr id="24" name="Rectangle 23">
          <a:hlinkClick xmlns:r="http://schemas.openxmlformats.org/officeDocument/2006/relationships" r:id="rId11"/>
          <a:extLst>
            <a:ext uri="{FF2B5EF4-FFF2-40B4-BE49-F238E27FC236}">
              <a16:creationId xmlns:a16="http://schemas.microsoft.com/office/drawing/2014/main" id="{00000000-0008-0000-0900-000018000000}"/>
            </a:ext>
          </a:extLst>
        </xdr:cNvPr>
        <xdr:cNvSpPr/>
      </xdr:nvSpPr>
      <xdr:spPr>
        <a:xfrm>
          <a:off x="3148853" y="5233147"/>
          <a:ext cx="392206" cy="14567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22</xdr:col>
      <xdr:colOff>0</xdr:colOff>
      <xdr:row>1</xdr:row>
      <xdr:rowOff>133350</xdr:rowOff>
    </xdr:from>
    <xdr:to>
      <xdr:col>27</xdr:col>
      <xdr:colOff>0</xdr:colOff>
      <xdr:row>4</xdr:row>
      <xdr:rowOff>133350</xdr:rowOff>
    </xdr:to>
    <xdr:sp macro="" textlink="MAIN4">
      <xdr:nvSpPr>
        <xdr:cNvPr id="6" name="MENU4">
          <a:hlinkClick xmlns:r="http://schemas.openxmlformats.org/officeDocument/2006/relationships" r:id="rId1" tooltip=" "/>
          <a:extLst>
            <a:ext uri="{FF2B5EF4-FFF2-40B4-BE49-F238E27FC236}">
              <a16:creationId xmlns:a16="http://schemas.microsoft.com/office/drawing/2014/main" id="{00000000-0008-0000-1B00-000006000000}"/>
            </a:ext>
          </a:extLst>
        </xdr:cNvPr>
        <xdr:cNvSpPr/>
      </xdr:nvSpPr>
      <xdr:spPr>
        <a:xfrm>
          <a:off x="6915150" y="333375"/>
          <a:ext cx="1571625" cy="600075"/>
        </a:xfrm>
        <a:prstGeom prst="round2SameRect">
          <a:avLst/>
        </a:prstGeom>
        <a:solidFill>
          <a:srgbClr val="A6A5AA"/>
        </a:solidFill>
        <a:ln w="12700">
          <a:solidFill>
            <a:srgbClr val="A6A5AA"/>
          </a:solidFill>
        </a:ln>
        <a:effectLst>
          <a:outerShdw blurRad="25400" dist="508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CB369157-CA5B-4E40-B1DE-604993B819B3}" type="TxLink">
            <a:rPr lang="en-US" sz="1100" b="0" i="0" u="none" strike="noStrike">
              <a:solidFill>
                <a:schemeClr val="bg1"/>
              </a:solidFill>
              <a:latin typeface="Arial" panose="020B0604020202020204" pitchFamily="34" charset="0"/>
              <a:cs typeface="Arial" panose="020B0604020202020204" pitchFamily="34" charset="0"/>
            </a:rPr>
            <a:pPr algn="ctr"/>
            <a:t>CUSTOM MEASURES INPUT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24</xdr:col>
      <xdr:colOff>237875</xdr:colOff>
      <xdr:row>5</xdr:row>
      <xdr:rowOff>10205</xdr:rowOff>
    </xdr:from>
    <xdr:to>
      <xdr:col>29</xdr:col>
      <xdr:colOff>237873</xdr:colOff>
      <xdr:row>7</xdr:row>
      <xdr:rowOff>11205</xdr:rowOff>
    </xdr:to>
    <xdr:sp macro="" textlink="M4S5">
      <xdr:nvSpPr>
        <xdr:cNvPr id="15" name="SUBMENU5">
          <a:hlinkClick xmlns:r="http://schemas.openxmlformats.org/officeDocument/2006/relationships" r:id="rId2"/>
          <a:extLst>
            <a:ext uri="{FF2B5EF4-FFF2-40B4-BE49-F238E27FC236}">
              <a16:creationId xmlns:a16="http://schemas.microsoft.com/office/drawing/2014/main" id="{00000000-0008-0000-1B00-00000F000000}"/>
            </a:ext>
          </a:extLst>
        </xdr:cNvPr>
        <xdr:cNvSpPr/>
      </xdr:nvSpPr>
      <xdr:spPr>
        <a:xfrm>
          <a:off x="7768228" y="1018734"/>
          <a:ext cx="1568821" cy="404412"/>
        </a:xfrm>
        <a:prstGeom prst="round2SameRect">
          <a:avLst/>
        </a:prstGeom>
        <a:noFill/>
        <a:ln w="25400">
          <a:no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E5F979BB-FDDE-4AD4-9F04-50C37B654C25}" type="TxLink">
            <a:rPr lang="en-US" sz="1100" b="0" i="0" u="none" strike="noStrike">
              <a:solidFill>
                <a:srgbClr val="FFFFFF"/>
              </a:solidFill>
              <a:latin typeface="Arial" panose="020B0604020202020204" pitchFamily="34" charset="0"/>
              <a:cs typeface="Arial" panose="020B0604020202020204" pitchFamily="34" charset="0"/>
            </a:rPr>
            <a:pPr algn="ctr"/>
            <a:t> </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27</xdr:col>
      <xdr:colOff>0</xdr:colOff>
      <xdr:row>4</xdr:row>
      <xdr:rowOff>200705</xdr:rowOff>
    </xdr:from>
    <xdr:to>
      <xdr:col>32</xdr:col>
      <xdr:colOff>2865</xdr:colOff>
      <xdr:row>7</xdr:row>
      <xdr:rowOff>0</xdr:rowOff>
    </xdr:to>
    <xdr:sp macro="" textlink="M4S6">
      <xdr:nvSpPr>
        <xdr:cNvPr id="16" name="SUBMENU6">
          <a:hlinkClick xmlns:r="http://schemas.openxmlformats.org/officeDocument/2006/relationships" r:id="rId3"/>
          <a:extLst>
            <a:ext uri="{FF2B5EF4-FFF2-40B4-BE49-F238E27FC236}">
              <a16:creationId xmlns:a16="http://schemas.microsoft.com/office/drawing/2014/main" id="{00000000-0008-0000-1B00-000010000000}"/>
            </a:ext>
          </a:extLst>
        </xdr:cNvPr>
        <xdr:cNvSpPr/>
      </xdr:nvSpPr>
      <xdr:spPr>
        <a:xfrm>
          <a:off x="8486775" y="1000805"/>
          <a:ext cx="1574490" cy="399370"/>
        </a:xfrm>
        <a:prstGeom prst="round2SameRect">
          <a:avLst/>
        </a:prstGeom>
        <a:noFill/>
        <a:ln w="25400">
          <a:no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5A1770A-87A5-453B-813D-9DB4232D4E5B}" type="TxLink">
            <a:rPr lang="en-US" sz="1100" b="0" i="0" u="none" strike="noStrike">
              <a:solidFill>
                <a:srgbClr val="FFFFFF"/>
              </a:solidFill>
              <a:latin typeface="Arial" panose="020B0604020202020204" pitchFamily="34" charset="0"/>
              <a:cs typeface="Arial" panose="020B0604020202020204" pitchFamily="34" charset="0"/>
            </a:rPr>
            <a:pPr algn="ctr"/>
            <a:t> </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32</xdr:col>
      <xdr:colOff>2865</xdr:colOff>
      <xdr:row>4</xdr:row>
      <xdr:rowOff>200705</xdr:rowOff>
    </xdr:from>
    <xdr:to>
      <xdr:col>37</xdr:col>
      <xdr:colOff>2720</xdr:colOff>
      <xdr:row>7</xdr:row>
      <xdr:rowOff>0</xdr:rowOff>
    </xdr:to>
    <xdr:sp macro="" textlink="M4S7">
      <xdr:nvSpPr>
        <xdr:cNvPr id="17" name="SUBMENU7">
          <a:hlinkClick xmlns:r="http://schemas.openxmlformats.org/officeDocument/2006/relationships" r:id="rId4"/>
          <a:extLst>
            <a:ext uri="{FF2B5EF4-FFF2-40B4-BE49-F238E27FC236}">
              <a16:creationId xmlns:a16="http://schemas.microsoft.com/office/drawing/2014/main" id="{00000000-0008-0000-1B00-000011000000}"/>
            </a:ext>
          </a:extLst>
        </xdr:cNvPr>
        <xdr:cNvSpPr/>
      </xdr:nvSpPr>
      <xdr:spPr>
        <a:xfrm>
          <a:off x="10061265" y="1000805"/>
          <a:ext cx="1571480" cy="399370"/>
        </a:xfrm>
        <a:prstGeom prst="round2SameRect">
          <a:avLst/>
        </a:prstGeom>
        <a:noFill/>
        <a:ln w="25400">
          <a:no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5E6BC230-1975-4F34-BC48-A25EF66BC575}" type="TxLink">
            <a:rPr lang="en-US" sz="1100" b="0" i="0" u="none" strike="noStrike">
              <a:solidFill>
                <a:srgbClr val="FFFFFF"/>
              </a:solidFill>
              <a:latin typeface="Arial" panose="020B0604020202020204" pitchFamily="34" charset="0"/>
              <a:cs typeface="Arial" panose="020B0604020202020204" pitchFamily="34" charset="0"/>
            </a:rPr>
            <a:pPr algn="ctr"/>
            <a:t> </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37</xdr:col>
      <xdr:colOff>2720</xdr:colOff>
      <xdr:row>4</xdr:row>
      <xdr:rowOff>200705</xdr:rowOff>
    </xdr:from>
    <xdr:to>
      <xdr:col>42</xdr:col>
      <xdr:colOff>0</xdr:colOff>
      <xdr:row>7</xdr:row>
      <xdr:rowOff>0</xdr:rowOff>
    </xdr:to>
    <xdr:sp macro="" textlink="M4S8">
      <xdr:nvSpPr>
        <xdr:cNvPr id="18" name="SUBMENU8">
          <a:hlinkClick xmlns:r="http://schemas.openxmlformats.org/officeDocument/2006/relationships" r:id="rId5"/>
          <a:extLst>
            <a:ext uri="{FF2B5EF4-FFF2-40B4-BE49-F238E27FC236}">
              <a16:creationId xmlns:a16="http://schemas.microsoft.com/office/drawing/2014/main" id="{00000000-0008-0000-1B00-000012000000}"/>
            </a:ext>
          </a:extLst>
        </xdr:cNvPr>
        <xdr:cNvSpPr/>
      </xdr:nvSpPr>
      <xdr:spPr>
        <a:xfrm>
          <a:off x="11632745" y="1000805"/>
          <a:ext cx="1568905" cy="399370"/>
        </a:xfrm>
        <a:prstGeom prst="round2SameRect">
          <a:avLst/>
        </a:prstGeom>
        <a:noFill/>
        <a:ln w="25400">
          <a:no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6C84327F-831A-4647-9A31-A800B051B1A8}" type="TxLink">
            <a:rPr lang="en-US" sz="1100" b="0" i="0" u="none" strike="noStrike">
              <a:solidFill>
                <a:srgbClr val="FFFFFF"/>
              </a:solidFill>
              <a:latin typeface="Arial" panose="020B0604020202020204" pitchFamily="34" charset="0"/>
              <a:cs typeface="Arial" panose="020B0604020202020204" pitchFamily="34" charset="0"/>
            </a:rPr>
            <a:pPr algn="ctr"/>
            <a:t> </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1</xdr:col>
      <xdr:colOff>1</xdr:colOff>
      <xdr:row>4</xdr:row>
      <xdr:rowOff>1</xdr:rowOff>
    </xdr:from>
    <xdr:to>
      <xdr:col>44</xdr:col>
      <xdr:colOff>11207</xdr:colOff>
      <xdr:row>7</xdr:row>
      <xdr:rowOff>0</xdr:rowOff>
    </xdr:to>
    <xdr:sp macro="" textlink="">
      <xdr:nvSpPr>
        <xdr:cNvPr id="10" name="TOPRIBBON">
          <a:extLst>
            <a:ext uri="{FF2B5EF4-FFF2-40B4-BE49-F238E27FC236}">
              <a16:creationId xmlns:a16="http://schemas.microsoft.com/office/drawing/2014/main" id="{00000000-0008-0000-1B00-00000A000000}"/>
            </a:ext>
          </a:extLst>
        </xdr:cNvPr>
        <xdr:cNvSpPr/>
      </xdr:nvSpPr>
      <xdr:spPr>
        <a:xfrm>
          <a:off x="313766" y="806825"/>
          <a:ext cx="13503088" cy="605116"/>
        </a:xfrm>
        <a:prstGeom prst="round2SameRect">
          <a:avLst/>
        </a:prstGeom>
        <a:solidFill>
          <a:srgbClr val="A6A5A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p>
      </xdr:txBody>
    </xdr:sp>
    <xdr:clientData/>
  </xdr:twoCellAnchor>
  <xdr:twoCellAnchor>
    <xdr:from>
      <xdr:col>19</xdr:col>
      <xdr:colOff>2551</xdr:colOff>
      <xdr:row>5</xdr:row>
      <xdr:rowOff>10206</xdr:rowOff>
    </xdr:from>
    <xdr:to>
      <xdr:col>25</xdr:col>
      <xdr:colOff>277946</xdr:colOff>
      <xdr:row>7</xdr:row>
      <xdr:rowOff>11206</xdr:rowOff>
    </xdr:to>
    <xdr:sp macro="" textlink="M4S4">
      <xdr:nvSpPr>
        <xdr:cNvPr id="14" name="SUBMENU4">
          <a:hlinkClick xmlns:r="http://schemas.openxmlformats.org/officeDocument/2006/relationships" r:id="rId6" tooltip=" "/>
          <a:extLst>
            <a:ext uri="{FF2B5EF4-FFF2-40B4-BE49-F238E27FC236}">
              <a16:creationId xmlns:a16="http://schemas.microsoft.com/office/drawing/2014/main" id="{00000000-0008-0000-1B00-00000E000000}"/>
            </a:ext>
          </a:extLst>
        </xdr:cNvPr>
        <xdr:cNvSpPr/>
      </xdr:nvSpPr>
      <xdr:spPr>
        <a:xfrm>
          <a:off x="5964080" y="1018735"/>
          <a:ext cx="2157984" cy="404412"/>
        </a:xfrm>
        <a:prstGeom prst="round2SameRect">
          <a:avLst/>
        </a:prstGeom>
        <a:solidFill>
          <a:srgbClr val="54BCEB"/>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1050F369-33A9-41B8-BB9C-848C113C5B15}" type="TxLink">
            <a:rPr lang="en-US" sz="1100" b="0" i="0" u="none" strike="noStrike">
              <a:solidFill>
                <a:srgbClr val="FFFFFF"/>
              </a:solidFill>
              <a:latin typeface="Arial" panose="020B0604020202020204" pitchFamily="34" charset="0"/>
              <a:cs typeface="Arial" panose="020B0604020202020204" pitchFamily="34" charset="0"/>
            </a:rPr>
            <a:pPr algn="ctr"/>
            <a:t>Custom / RCx / New Construction
 (Gas)</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editAs="absolute">
    <xdr:from>
      <xdr:col>40</xdr:col>
      <xdr:colOff>302559</xdr:colOff>
      <xdr:row>9</xdr:row>
      <xdr:rowOff>1047</xdr:rowOff>
    </xdr:from>
    <xdr:to>
      <xdr:col>42</xdr:col>
      <xdr:colOff>280138</xdr:colOff>
      <xdr:row>11</xdr:row>
      <xdr:rowOff>19536</xdr:rowOff>
    </xdr:to>
    <xdr:sp macro="" textlink="">
      <xdr:nvSpPr>
        <xdr:cNvPr id="2" name="NEXT">
          <a:hlinkClick xmlns:r="http://schemas.openxmlformats.org/officeDocument/2006/relationships" r:id="rId7" tooltip=" "/>
          <a:extLst>
            <a:ext uri="{FF2B5EF4-FFF2-40B4-BE49-F238E27FC236}">
              <a16:creationId xmlns:a16="http://schemas.microsoft.com/office/drawing/2014/main" id="{00000000-0008-0000-1B00-000002000000}"/>
            </a:ext>
          </a:extLst>
        </xdr:cNvPr>
        <xdr:cNvSpPr/>
      </xdr:nvSpPr>
      <xdr:spPr>
        <a:xfrm>
          <a:off x="12887325" y="1801272"/>
          <a:ext cx="627520" cy="400049"/>
        </a:xfrm>
        <a:prstGeom prst="rightArrow">
          <a:avLst/>
        </a:prstGeom>
        <a:solidFill>
          <a:srgbClr val="54BCEB"/>
        </a:solidFill>
        <a:ln>
          <a:solidFill>
            <a:srgbClr val="54BCEB"/>
          </a:solidFill>
        </a:ln>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7</xdr:col>
      <xdr:colOff>457</xdr:colOff>
      <xdr:row>1</xdr:row>
      <xdr:rowOff>0</xdr:rowOff>
    </xdr:from>
    <xdr:to>
      <xdr:col>12</xdr:col>
      <xdr:colOff>0</xdr:colOff>
      <xdr:row>4</xdr:row>
      <xdr:rowOff>0</xdr:rowOff>
    </xdr:to>
    <xdr:sp macro="" textlink="MAIN1">
      <xdr:nvSpPr>
        <xdr:cNvPr id="3" name="MENU1">
          <a:hlinkClick xmlns:r="http://schemas.openxmlformats.org/officeDocument/2006/relationships" r:id="rId8" tooltip=" "/>
          <a:extLst>
            <a:ext uri="{FF2B5EF4-FFF2-40B4-BE49-F238E27FC236}">
              <a16:creationId xmlns:a16="http://schemas.microsoft.com/office/drawing/2014/main" id="{00000000-0008-0000-1B00-000003000000}"/>
            </a:ext>
          </a:extLst>
        </xdr:cNvPr>
        <xdr:cNvSpPr/>
      </xdr:nvSpPr>
      <xdr:spPr>
        <a:xfrm>
          <a:off x="2200732" y="200025"/>
          <a:ext cx="1571168" cy="600075"/>
        </a:xfrm>
        <a:prstGeom prst="round2SameRect">
          <a:avLst/>
        </a:prstGeom>
        <a:solidFill>
          <a:srgbClr val="00334E"/>
        </a:solidFill>
        <a:ln w="12700">
          <a:solidFill>
            <a:srgbClr val="00334E"/>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D6F2F067-2676-4601-ABCE-75BD5137E3D5}" type="TxLink">
            <a:rPr lang="en-US" sz="1100" b="0" i="0" u="none" strike="noStrike">
              <a:solidFill>
                <a:schemeClr val="bg1"/>
              </a:solidFill>
              <a:latin typeface="Arial" panose="020B0604020202020204" pitchFamily="34" charset="0"/>
              <a:cs typeface="Arial" panose="020B0604020202020204" pitchFamily="34" charset="0"/>
            </a:rPr>
            <a:pPr algn="ctr"/>
            <a:t>START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12</xdr:col>
      <xdr:colOff>0</xdr:colOff>
      <xdr:row>1</xdr:row>
      <xdr:rowOff>0</xdr:rowOff>
    </xdr:from>
    <xdr:to>
      <xdr:col>17</xdr:col>
      <xdr:colOff>0</xdr:colOff>
      <xdr:row>4</xdr:row>
      <xdr:rowOff>0</xdr:rowOff>
    </xdr:to>
    <xdr:sp macro="" textlink="MAIN2">
      <xdr:nvSpPr>
        <xdr:cNvPr id="4" name="MENU2">
          <a:hlinkClick xmlns:r="http://schemas.openxmlformats.org/officeDocument/2006/relationships" r:id="rId9" tooltip=" "/>
          <a:extLst>
            <a:ext uri="{FF2B5EF4-FFF2-40B4-BE49-F238E27FC236}">
              <a16:creationId xmlns:a16="http://schemas.microsoft.com/office/drawing/2014/main" id="{00000000-0008-0000-1B00-000004000000}"/>
            </a:ext>
          </a:extLst>
        </xdr:cNvPr>
        <xdr:cNvSpPr/>
      </xdr:nvSpPr>
      <xdr:spPr>
        <a:xfrm>
          <a:off x="3771900" y="200025"/>
          <a:ext cx="1571625" cy="600075"/>
        </a:xfrm>
        <a:prstGeom prst="round2SameRect">
          <a:avLst/>
        </a:prstGeom>
        <a:solidFill>
          <a:srgbClr val="00334E"/>
        </a:solidFill>
        <a:ln w="12700">
          <a:solidFill>
            <a:srgbClr val="00334E"/>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59A035B9-F1D2-4E89-B262-AF2DF0C338A9}" type="TxLink">
            <a:rPr lang="en-US" sz="1100" b="0" i="0" u="none" strike="noStrike">
              <a:solidFill>
                <a:schemeClr val="bg1"/>
              </a:solidFill>
              <a:latin typeface="Arial" panose="020B0604020202020204" pitchFamily="34" charset="0"/>
              <a:cs typeface="Arial" panose="020B0604020202020204" pitchFamily="34" charset="0"/>
            </a:rPr>
            <a:pPr algn="ctr"/>
            <a:t>PROJECT INFORMATION</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17</xdr:col>
      <xdr:colOff>0</xdr:colOff>
      <xdr:row>1</xdr:row>
      <xdr:rowOff>0</xdr:rowOff>
    </xdr:from>
    <xdr:to>
      <xdr:col>22</xdr:col>
      <xdr:colOff>0</xdr:colOff>
      <xdr:row>4</xdr:row>
      <xdr:rowOff>0</xdr:rowOff>
    </xdr:to>
    <xdr:sp macro="" textlink="MAIN3">
      <xdr:nvSpPr>
        <xdr:cNvPr id="5" name="MENU3">
          <a:hlinkClick xmlns:r="http://schemas.openxmlformats.org/officeDocument/2006/relationships" r:id="rId10" tooltip=" "/>
          <a:extLst>
            <a:ext uri="{FF2B5EF4-FFF2-40B4-BE49-F238E27FC236}">
              <a16:creationId xmlns:a16="http://schemas.microsoft.com/office/drawing/2014/main" id="{00000000-0008-0000-1B00-000005000000}"/>
            </a:ext>
          </a:extLst>
        </xdr:cNvPr>
        <xdr:cNvSpPr/>
      </xdr:nvSpPr>
      <xdr:spPr>
        <a:xfrm>
          <a:off x="5343525" y="200025"/>
          <a:ext cx="1571625" cy="600075"/>
        </a:xfrm>
        <a:prstGeom prst="round2SameRect">
          <a:avLst/>
        </a:prstGeom>
        <a:solidFill>
          <a:srgbClr val="00334E"/>
        </a:solidFill>
        <a:ln w="12700">
          <a:solidFill>
            <a:srgbClr val="00334E"/>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06A037F-AE33-47CC-85C1-F6D62694F95D}" type="TxLink">
            <a:rPr lang="en-US" sz="1100" b="0" i="0" u="none" strike="noStrike">
              <a:solidFill>
                <a:schemeClr val="bg1"/>
              </a:solidFill>
              <a:latin typeface="Arial" panose="020B0604020202020204" pitchFamily="34" charset="0"/>
              <a:cs typeface="Arial" panose="020B0604020202020204" pitchFamily="34" charset="0"/>
            </a:rPr>
            <a:pPr algn="ctr"/>
            <a:t>PRESCRIPTIVE MEASURES INPUT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27</xdr:col>
      <xdr:colOff>0</xdr:colOff>
      <xdr:row>1</xdr:row>
      <xdr:rowOff>0</xdr:rowOff>
    </xdr:from>
    <xdr:to>
      <xdr:col>32</xdr:col>
      <xdr:colOff>0</xdr:colOff>
      <xdr:row>4</xdr:row>
      <xdr:rowOff>0</xdr:rowOff>
    </xdr:to>
    <xdr:sp macro="" textlink="MAIN5">
      <xdr:nvSpPr>
        <xdr:cNvPr id="7" name="MENU5">
          <a:hlinkClick xmlns:r="http://schemas.openxmlformats.org/officeDocument/2006/relationships" r:id="rId11" tooltip=" "/>
          <a:extLst>
            <a:ext uri="{FF2B5EF4-FFF2-40B4-BE49-F238E27FC236}">
              <a16:creationId xmlns:a16="http://schemas.microsoft.com/office/drawing/2014/main" id="{00000000-0008-0000-1B00-000007000000}"/>
            </a:ext>
          </a:extLst>
        </xdr:cNvPr>
        <xdr:cNvSpPr/>
      </xdr:nvSpPr>
      <xdr:spPr>
        <a:xfrm>
          <a:off x="8486775" y="200025"/>
          <a:ext cx="1571625" cy="600075"/>
        </a:xfrm>
        <a:prstGeom prst="round2SameRect">
          <a:avLst/>
        </a:prstGeom>
        <a:solidFill>
          <a:srgbClr val="00334E"/>
        </a:solidFill>
        <a:ln w="12700">
          <a:solidFill>
            <a:srgbClr val="00334E"/>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F0EEDDA6-4934-49B4-972D-20D21D440D82}" type="TxLink">
            <a:rPr lang="en-US" sz="1100" b="0" i="0" u="none" strike="noStrike">
              <a:solidFill>
                <a:schemeClr val="bg1"/>
              </a:solidFill>
              <a:latin typeface="Arial" panose="020B0604020202020204" pitchFamily="34" charset="0"/>
              <a:cs typeface="Arial" panose="020B0604020202020204" pitchFamily="34" charset="0"/>
            </a:rPr>
            <a:pPr algn="ctr"/>
            <a:t>APPLICATION REVIEW</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32</xdr:col>
      <xdr:colOff>0</xdr:colOff>
      <xdr:row>1</xdr:row>
      <xdr:rowOff>0</xdr:rowOff>
    </xdr:from>
    <xdr:to>
      <xdr:col>37</xdr:col>
      <xdr:colOff>1</xdr:colOff>
      <xdr:row>4</xdr:row>
      <xdr:rowOff>0</xdr:rowOff>
    </xdr:to>
    <xdr:sp macro="" textlink="MAIN6">
      <xdr:nvSpPr>
        <xdr:cNvPr id="8" name="MENU6">
          <a:hlinkClick xmlns:r="http://schemas.openxmlformats.org/officeDocument/2006/relationships" r:id="rId12"/>
          <a:extLst>
            <a:ext uri="{FF2B5EF4-FFF2-40B4-BE49-F238E27FC236}">
              <a16:creationId xmlns:a16="http://schemas.microsoft.com/office/drawing/2014/main" id="{00000000-0008-0000-1B00-000008000000}"/>
            </a:ext>
          </a:extLst>
        </xdr:cNvPr>
        <xdr:cNvSpPr/>
      </xdr:nvSpPr>
      <xdr:spPr>
        <a:xfrm>
          <a:off x="10058400" y="200025"/>
          <a:ext cx="1571626" cy="600075"/>
        </a:xfrm>
        <a:prstGeom prst="round2SameRect">
          <a:avLst/>
        </a:prstGeom>
        <a:noFill/>
        <a:ln w="12700" cap="flat" cmpd="sng" algn="ctr">
          <a:noFill/>
          <a:prstDash val="solid"/>
          <a:miter lim="800000"/>
        </a:ln>
        <a:effectLst/>
        <a:extLst>
          <a:ext uri="{909E8E84-426E-40DD-AFC4-6F175D3DCCD1}">
            <a14:hiddenFill xmlns:a14="http://schemas.microsoft.com/office/drawing/2010/main">
              <a:solidFill>
                <a:srgbClr val="00B050"/>
              </a:solidFill>
            </a14:hiddenFill>
          </a:ext>
          <a:ext uri="{91240B29-F687-4F45-9708-019B960494DF}">
            <a14:hiddenLine xmlns:a14="http://schemas.microsoft.com/office/drawing/2010/main" w="12700" cap="flat" cmpd="sng" algn="ctr">
              <a:solidFill>
                <a:srgbClr val="7F7F7F"/>
              </a:solidFill>
              <a:prstDash val="solid"/>
              <a:miter lim="800000"/>
            </a14:hiddenLine>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B12A3774-975E-4B41-A681-E085295C6D0E}" type="TxLink">
            <a:rPr lang="en-US" sz="1100" b="0" i="0" u="none" strike="noStrike">
              <a:noFill/>
              <a:latin typeface="Arial" panose="020B0604020202020204" pitchFamily="34" charset="0"/>
              <a:cs typeface="Arial" panose="020B0604020202020204" pitchFamily="34" charset="0"/>
            </a:rPr>
            <a:pPr algn="ctr"/>
            <a:t> </a:t>
          </a:fld>
          <a:endParaRPr lang="en-US" sz="1100">
            <a:noFill/>
            <a:latin typeface="Arial" panose="020B0604020202020204" pitchFamily="34" charset="0"/>
            <a:cs typeface="Arial" panose="020B0604020202020204" pitchFamily="34" charset="0"/>
          </a:endParaRPr>
        </a:p>
      </xdr:txBody>
    </xdr:sp>
    <xdr:clientData/>
  </xdr:twoCellAnchor>
  <xdr:twoCellAnchor>
    <xdr:from>
      <xdr:col>36</xdr:col>
      <xdr:colOff>314324</xdr:colOff>
      <xdr:row>1</xdr:row>
      <xdr:rowOff>0</xdr:rowOff>
    </xdr:from>
    <xdr:to>
      <xdr:col>41</xdr:col>
      <xdr:colOff>314324</xdr:colOff>
      <xdr:row>4</xdr:row>
      <xdr:rowOff>0</xdr:rowOff>
    </xdr:to>
    <xdr:sp macro="" textlink="MAIN7">
      <xdr:nvSpPr>
        <xdr:cNvPr id="9" name="MENU7">
          <a:hlinkClick xmlns:r="http://schemas.openxmlformats.org/officeDocument/2006/relationships" r:id="rId13"/>
          <a:extLst>
            <a:ext uri="{FF2B5EF4-FFF2-40B4-BE49-F238E27FC236}">
              <a16:creationId xmlns:a16="http://schemas.microsoft.com/office/drawing/2014/main" id="{00000000-0008-0000-1B00-000009000000}"/>
            </a:ext>
          </a:extLst>
        </xdr:cNvPr>
        <xdr:cNvSpPr/>
      </xdr:nvSpPr>
      <xdr:spPr>
        <a:xfrm>
          <a:off x="11630024" y="200025"/>
          <a:ext cx="1571625" cy="600075"/>
        </a:xfrm>
        <a:prstGeom prst="round2SameRect">
          <a:avLst/>
        </a:prstGeom>
        <a:noFill/>
        <a:ln w="12700" cap="flat" cmpd="sng" algn="ctr">
          <a:noFill/>
          <a:prstDash val="solid"/>
          <a:miter lim="800000"/>
        </a:ln>
        <a:effectLst/>
        <a:extLst>
          <a:ext uri="{91240B29-F687-4F45-9708-019B960494DF}">
            <a14:hiddenLine xmlns:a14="http://schemas.microsoft.com/office/drawing/2010/main" w="12700" cap="flat" cmpd="sng" algn="ctr">
              <a:solidFill>
                <a:srgbClr val="7F7F7F"/>
              </a:solidFill>
              <a:prstDash val="solid"/>
              <a:miter lim="800000"/>
            </a14:hiddenLine>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 </a:t>
          </a:fld>
          <a:endParaRPr lang="en-US" sz="1100">
            <a:noFill/>
            <a:latin typeface="Arial" panose="020B0604020202020204" pitchFamily="34" charset="0"/>
            <a:cs typeface="Arial" panose="020B0604020202020204" pitchFamily="34" charset="0"/>
          </a:endParaRPr>
        </a:p>
      </xdr:txBody>
    </xdr:sp>
    <xdr:clientData/>
  </xdr:twoCellAnchor>
  <xdr:twoCellAnchor>
    <xdr:from>
      <xdr:col>2</xdr:col>
      <xdr:colOff>2720</xdr:colOff>
      <xdr:row>5</xdr:row>
      <xdr:rowOff>0</xdr:rowOff>
    </xdr:from>
    <xdr:to>
      <xdr:col>7</xdr:col>
      <xdr:colOff>457</xdr:colOff>
      <xdr:row>6</xdr:row>
      <xdr:rowOff>197827</xdr:rowOff>
    </xdr:to>
    <xdr:sp macro="" textlink="M4S1">
      <xdr:nvSpPr>
        <xdr:cNvPr id="11" name="SUBMENU1">
          <a:hlinkClick xmlns:r="http://schemas.openxmlformats.org/officeDocument/2006/relationships" r:id="rId1" tooltip=" "/>
          <a:extLst>
            <a:ext uri="{FF2B5EF4-FFF2-40B4-BE49-F238E27FC236}">
              <a16:creationId xmlns:a16="http://schemas.microsoft.com/office/drawing/2014/main" id="{00000000-0008-0000-1B00-00000B000000}"/>
            </a:ext>
          </a:extLst>
        </xdr:cNvPr>
        <xdr:cNvSpPr/>
      </xdr:nvSpPr>
      <xdr:spPr>
        <a:xfrm>
          <a:off x="631370" y="1000125"/>
          <a:ext cx="1569362" cy="397852"/>
        </a:xfrm>
        <a:prstGeom prst="round2SameRect">
          <a:avLst/>
        </a:prstGeom>
        <a:solidFill>
          <a:srgbClr val="54BCEB"/>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3664FD99-357F-4D59-894F-756F573EB972}" type="TxLink">
            <a:rPr lang="en-US" sz="1100" b="0" i="0" u="none" strike="noStrike">
              <a:solidFill>
                <a:srgbClr val="FFFFFF"/>
              </a:solidFill>
              <a:latin typeface="Arial" panose="020B0604020202020204" pitchFamily="34" charset="0"/>
              <a:cs typeface="Arial" panose="020B0604020202020204" pitchFamily="34" charset="0"/>
            </a:rPr>
            <a:pPr algn="ctr"/>
            <a:t>Custom Lighting</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7</xdr:col>
      <xdr:colOff>13945</xdr:colOff>
      <xdr:row>5</xdr:row>
      <xdr:rowOff>66236</xdr:rowOff>
    </xdr:from>
    <xdr:to>
      <xdr:col>12</xdr:col>
      <xdr:colOff>13944</xdr:colOff>
      <xdr:row>7</xdr:row>
      <xdr:rowOff>67236</xdr:rowOff>
    </xdr:to>
    <xdr:sp macro="" textlink="M4S2">
      <xdr:nvSpPr>
        <xdr:cNvPr id="12" name="SUBMENU2">
          <a:hlinkClick xmlns:r="http://schemas.openxmlformats.org/officeDocument/2006/relationships" r:id="rId14" tooltip=" "/>
          <a:extLst>
            <a:ext uri="{FF2B5EF4-FFF2-40B4-BE49-F238E27FC236}">
              <a16:creationId xmlns:a16="http://schemas.microsoft.com/office/drawing/2014/main" id="{00000000-0008-0000-1B00-00000C000000}"/>
            </a:ext>
          </a:extLst>
        </xdr:cNvPr>
        <xdr:cNvSpPr/>
      </xdr:nvSpPr>
      <xdr:spPr>
        <a:xfrm>
          <a:off x="2221504" y="1074765"/>
          <a:ext cx="1568822" cy="404412"/>
        </a:xfrm>
        <a:prstGeom prst="round2SameRect">
          <a:avLst/>
        </a:prstGeom>
        <a:solidFill>
          <a:srgbClr val="00334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marL="0" indent="0" algn="ctr"/>
          <a:fld id="{5D0A4E02-9E12-41C2-BD00-10CC6F027B75}" type="TxLink">
            <a:rPr lang="en-US" sz="1100" b="0" i="0" u="none" strike="noStrike">
              <a:solidFill>
                <a:srgbClr val="FFFFFF"/>
              </a:solidFill>
              <a:latin typeface="Arial" panose="020B0604020202020204" pitchFamily="34" charset="0"/>
              <a:ea typeface="+mn-ea"/>
              <a:cs typeface="Arial" panose="020B0604020202020204" pitchFamily="34" charset="0"/>
            </a:rPr>
            <a:pPr marL="0" indent="0" algn="ctr"/>
            <a:t>New Construction Lighting</a:t>
          </a:fld>
          <a:endParaRPr lang="en-US" sz="1100" b="0" i="0" u="none" strike="noStrike">
            <a:solidFill>
              <a:srgbClr val="FFFFFF"/>
            </a:solidFill>
            <a:latin typeface="Arial" panose="020B0604020202020204" pitchFamily="34" charset="0"/>
            <a:ea typeface="+mn-ea"/>
            <a:cs typeface="Arial" panose="020B0604020202020204" pitchFamily="34" charset="0"/>
          </a:endParaRPr>
        </a:p>
      </xdr:txBody>
    </xdr:sp>
    <xdr:clientData/>
  </xdr:twoCellAnchor>
  <xdr:twoCellAnchor>
    <xdr:from>
      <xdr:col>12</xdr:col>
      <xdr:colOff>27432</xdr:colOff>
      <xdr:row>5</xdr:row>
      <xdr:rowOff>4788</xdr:rowOff>
    </xdr:from>
    <xdr:to>
      <xdr:col>18</xdr:col>
      <xdr:colOff>302827</xdr:colOff>
      <xdr:row>7</xdr:row>
      <xdr:rowOff>4108</xdr:rowOff>
    </xdr:to>
    <xdr:sp macro="" textlink="M4S3">
      <xdr:nvSpPr>
        <xdr:cNvPr id="13" name="SUBMENU3">
          <a:hlinkClick xmlns:r="http://schemas.openxmlformats.org/officeDocument/2006/relationships" r:id="rId15" tooltip=" "/>
          <a:extLst>
            <a:ext uri="{FF2B5EF4-FFF2-40B4-BE49-F238E27FC236}">
              <a16:creationId xmlns:a16="http://schemas.microsoft.com/office/drawing/2014/main" id="{00000000-0008-0000-1B00-00000D000000}"/>
            </a:ext>
          </a:extLst>
        </xdr:cNvPr>
        <xdr:cNvSpPr/>
      </xdr:nvSpPr>
      <xdr:spPr>
        <a:xfrm>
          <a:off x="3803814" y="1013317"/>
          <a:ext cx="2157984" cy="402732"/>
        </a:xfrm>
        <a:prstGeom prst="round2SameRect">
          <a:avLst/>
        </a:prstGeom>
        <a:solidFill>
          <a:srgbClr val="54BCEB"/>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marL="0" indent="0" algn="ctr"/>
          <a:fld id="{DC8E2C81-AACE-4DC5-9683-990BF5B93E88}" type="TxLink">
            <a:rPr lang="en-US" sz="1100" b="0" i="0" u="none" strike="noStrike">
              <a:solidFill>
                <a:srgbClr val="FFFFFF"/>
              </a:solidFill>
              <a:latin typeface="Arial" panose="020B0604020202020204" pitchFamily="34" charset="0"/>
              <a:ea typeface="+mn-ea"/>
              <a:cs typeface="Arial" panose="020B0604020202020204" pitchFamily="34" charset="0"/>
            </a:rPr>
            <a:pPr marL="0" indent="0" algn="ctr"/>
            <a:t>Custom / RCx / New Construction
 Non-Lighting (Electric)</a:t>
          </a:fld>
          <a:endParaRPr lang="en-US" sz="1100" b="0" i="0" u="none" strike="noStrike">
            <a:solidFill>
              <a:srgbClr val="FFFFFF"/>
            </a:solidFill>
            <a:latin typeface="Arial" panose="020B0604020202020204" pitchFamily="34" charset="0"/>
            <a:ea typeface="+mn-ea"/>
            <a:cs typeface="Arial" panose="020B0604020202020204" pitchFamily="34" charset="0"/>
          </a:endParaRPr>
        </a:p>
      </xdr:txBody>
    </xdr:sp>
    <xdr:clientData/>
  </xdr:twoCellAnchor>
  <xdr:twoCellAnchor>
    <xdr:from>
      <xdr:col>1</xdr:col>
      <xdr:colOff>0</xdr:colOff>
      <xdr:row>7</xdr:row>
      <xdr:rowOff>0</xdr:rowOff>
    </xdr:from>
    <xdr:to>
      <xdr:col>44</xdr:col>
      <xdr:colOff>11206</xdr:colOff>
      <xdr:row>8</xdr:row>
      <xdr:rowOff>0</xdr:rowOff>
    </xdr:to>
    <xdr:sp macro="" textlink="">
      <xdr:nvSpPr>
        <xdr:cNvPr id="21" name="BOTTOMRIBBON">
          <a:extLst>
            <a:ext uri="{FF2B5EF4-FFF2-40B4-BE49-F238E27FC236}">
              <a16:creationId xmlns:a16="http://schemas.microsoft.com/office/drawing/2014/main" id="{00000000-0008-0000-1B00-000015000000}"/>
            </a:ext>
          </a:extLst>
        </xdr:cNvPr>
        <xdr:cNvSpPr/>
      </xdr:nvSpPr>
      <xdr:spPr>
        <a:xfrm>
          <a:off x="313765" y="1411941"/>
          <a:ext cx="13503088" cy="201706"/>
        </a:xfrm>
        <a:prstGeom prst="rect">
          <a:avLst/>
        </a:prstGeom>
        <a:solidFill>
          <a:srgbClr val="00334E"/>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solidFill>
              <a:srgbClr val="FFFFFF"/>
            </a:solidFill>
          </a:endParaRPr>
        </a:p>
      </xdr:txBody>
    </xdr:sp>
    <xdr:clientData/>
  </xdr:twoCellAnchor>
  <xdr:twoCellAnchor>
    <xdr:from>
      <xdr:col>1</xdr:col>
      <xdr:colOff>558</xdr:colOff>
      <xdr:row>7</xdr:row>
      <xdr:rowOff>200023</xdr:rowOff>
    </xdr:from>
    <xdr:to>
      <xdr:col>44</xdr:col>
      <xdr:colOff>0</xdr:colOff>
      <xdr:row>65</xdr:row>
      <xdr:rowOff>0</xdr:rowOff>
    </xdr:to>
    <xdr:sp macro="" textlink="">
      <xdr:nvSpPr>
        <xdr:cNvPr id="19" name="BORDER">
          <a:extLst>
            <a:ext uri="{FF2B5EF4-FFF2-40B4-BE49-F238E27FC236}">
              <a16:creationId xmlns:a16="http://schemas.microsoft.com/office/drawing/2014/main" id="{00000000-0008-0000-1B00-000013000000}"/>
            </a:ext>
          </a:extLst>
        </xdr:cNvPr>
        <xdr:cNvSpPr/>
      </xdr:nvSpPr>
      <xdr:spPr>
        <a:xfrm>
          <a:off x="314323" y="1611964"/>
          <a:ext cx="13502530" cy="11498918"/>
        </a:xfrm>
        <a:prstGeom prst="frame">
          <a:avLst>
            <a:gd name="adj1" fmla="val 97"/>
          </a:avLst>
        </a:prstGeom>
        <a:noFill/>
        <a:ln w="12700" cap="flat" cmpd="sng" algn="ctr">
          <a:solidFill>
            <a:srgbClr val="00334E"/>
          </a:solidFill>
          <a:prstDash val="solid"/>
          <a:miter lim="800000"/>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fPrintsWithSheet="0"/>
  </xdr:twoCellAnchor>
  <xdr:twoCellAnchor editAs="absolute">
    <xdr:from>
      <xdr:col>2</xdr:col>
      <xdr:colOff>2720</xdr:colOff>
      <xdr:row>9</xdr:row>
      <xdr:rowOff>149</xdr:rowOff>
    </xdr:from>
    <xdr:to>
      <xdr:col>4</xdr:col>
      <xdr:colOff>960</xdr:colOff>
      <xdr:row>11</xdr:row>
      <xdr:rowOff>148</xdr:rowOff>
    </xdr:to>
    <xdr:sp macro="" textlink="">
      <xdr:nvSpPr>
        <xdr:cNvPr id="20" name="BACK">
          <a:hlinkClick xmlns:r="http://schemas.openxmlformats.org/officeDocument/2006/relationships" r:id="rId16" tooltip=" "/>
          <a:extLst>
            <a:ext uri="{FF2B5EF4-FFF2-40B4-BE49-F238E27FC236}">
              <a16:creationId xmlns:a16="http://schemas.microsoft.com/office/drawing/2014/main" id="{00000000-0008-0000-1B00-000014000000}"/>
            </a:ext>
          </a:extLst>
        </xdr:cNvPr>
        <xdr:cNvSpPr/>
      </xdr:nvSpPr>
      <xdr:spPr>
        <a:xfrm>
          <a:off x="631370" y="1801432"/>
          <a:ext cx="626890" cy="400050"/>
        </a:xfrm>
        <a:prstGeom prst="leftArrow">
          <a:avLst/>
        </a:prstGeom>
        <a:solidFill>
          <a:srgbClr val="54BCEB"/>
        </a:solidFill>
        <a:ln>
          <a:solidFill>
            <a:srgbClr val="54BCEB"/>
          </a:solidFill>
        </a:ln>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13</xdr:col>
      <xdr:colOff>268940</xdr:colOff>
      <xdr:row>58</xdr:row>
      <xdr:rowOff>123301</xdr:rowOff>
    </xdr:from>
    <xdr:to>
      <xdr:col>31</xdr:col>
      <xdr:colOff>280147</xdr:colOff>
      <xdr:row>61</xdr:row>
      <xdr:rowOff>190536</xdr:rowOff>
    </xdr:to>
    <xdr:sp macro="" textlink="">
      <xdr:nvSpPr>
        <xdr:cNvPr id="24" name="Rounded Rectangle 23">
          <a:hlinkClick xmlns:r="http://schemas.openxmlformats.org/officeDocument/2006/relationships" r:id="rId17" tooltip=" "/>
          <a:extLst>
            <a:ext uri="{FF2B5EF4-FFF2-40B4-BE49-F238E27FC236}">
              <a16:creationId xmlns:a16="http://schemas.microsoft.com/office/drawing/2014/main" id="{00000000-0008-0000-1B00-000018000000}"/>
            </a:ext>
          </a:extLst>
        </xdr:cNvPr>
        <xdr:cNvSpPr/>
      </xdr:nvSpPr>
      <xdr:spPr>
        <a:xfrm>
          <a:off x="4359087" y="11822242"/>
          <a:ext cx="5658972" cy="672353"/>
        </a:xfrm>
        <a:prstGeom prst="roundRect">
          <a:avLst/>
        </a:prstGeom>
        <a:solidFill>
          <a:schemeClr val="accent2"/>
        </a:solidFill>
        <a:ln>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t>Step</a:t>
          </a:r>
          <a:r>
            <a:rPr lang="en-US" sz="2000" b="1" baseline="0"/>
            <a:t> 1: </a:t>
          </a:r>
          <a:r>
            <a:rPr lang="en-US" sz="2000" b="1"/>
            <a:t>Click to Add</a:t>
          </a:r>
          <a:r>
            <a:rPr lang="en-US" sz="2000" b="1" baseline="0"/>
            <a:t> </a:t>
          </a:r>
          <a:r>
            <a:rPr lang="en-US" sz="2000" b="1"/>
            <a:t>Lighting Schedule</a:t>
          </a:r>
        </a:p>
      </xdr:txBody>
    </xdr:sp>
    <xdr:clientData/>
  </xdr:twoCellAnchor>
  <xdr:twoCellAnchor editAs="oneCell">
    <xdr:from>
      <xdr:col>2</xdr:col>
      <xdr:colOff>103130</xdr:colOff>
      <xdr:row>0</xdr:row>
      <xdr:rowOff>156884</xdr:rowOff>
    </xdr:from>
    <xdr:to>
      <xdr:col>5</xdr:col>
      <xdr:colOff>19480</xdr:colOff>
      <xdr:row>2</xdr:row>
      <xdr:rowOff>195627</xdr:rowOff>
    </xdr:to>
    <xdr:pic>
      <xdr:nvPicPr>
        <xdr:cNvPr id="26" name="LOGO">
          <a:extLst>
            <a:ext uri="{FF2B5EF4-FFF2-40B4-BE49-F238E27FC236}">
              <a16:creationId xmlns:a16="http://schemas.microsoft.com/office/drawing/2014/main" id="{00000000-0008-0000-1B00-00001A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xdr:blipFill>
      <xdr:spPr>
        <a:xfrm>
          <a:off x="730659" y="156884"/>
          <a:ext cx="868850" cy="442155"/>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absolute">
    <xdr:from>
      <xdr:col>25</xdr:col>
      <xdr:colOff>11205</xdr:colOff>
      <xdr:row>1</xdr:row>
      <xdr:rowOff>44824</xdr:rowOff>
    </xdr:from>
    <xdr:to>
      <xdr:col>25</xdr:col>
      <xdr:colOff>582705</xdr:colOff>
      <xdr:row>2</xdr:row>
      <xdr:rowOff>166221</xdr:rowOff>
    </xdr:to>
    <xdr:sp macro="" textlink="">
      <xdr:nvSpPr>
        <xdr:cNvPr id="4" name="NEXT">
          <a:hlinkClick xmlns:r="http://schemas.openxmlformats.org/officeDocument/2006/relationships" r:id="rId1"/>
          <a:extLst>
            <a:ext uri="{FF2B5EF4-FFF2-40B4-BE49-F238E27FC236}">
              <a16:creationId xmlns:a16="http://schemas.microsoft.com/office/drawing/2014/main" id="{00000000-0008-0000-1C00-000004000000}"/>
            </a:ext>
          </a:extLst>
        </xdr:cNvPr>
        <xdr:cNvSpPr/>
      </xdr:nvSpPr>
      <xdr:spPr>
        <a:xfrm>
          <a:off x="15464117" y="268942"/>
          <a:ext cx="571500" cy="345514"/>
        </a:xfrm>
        <a:prstGeom prst="rightArrow">
          <a:avLst/>
        </a:prstGeom>
        <a:solidFill>
          <a:srgbClr val="898D8D"/>
        </a:solidFill>
        <a:ln>
          <a:solidFill>
            <a:srgbClr val="898D8D"/>
          </a:solidFill>
        </a:ln>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wsDr>
</file>

<file path=xl/drawings/drawing22.xml><?xml version="1.0" encoding="utf-8"?>
<xdr:wsDr xmlns:xdr="http://schemas.openxmlformats.org/drawingml/2006/spreadsheetDrawing" xmlns:a="http://schemas.openxmlformats.org/drawingml/2006/main">
  <xdr:twoCellAnchor>
    <xdr:from>
      <xdr:col>22</xdr:col>
      <xdr:colOff>0</xdr:colOff>
      <xdr:row>1</xdr:row>
      <xdr:rowOff>133350</xdr:rowOff>
    </xdr:from>
    <xdr:to>
      <xdr:col>27</xdr:col>
      <xdr:colOff>0</xdr:colOff>
      <xdr:row>4</xdr:row>
      <xdr:rowOff>133350</xdr:rowOff>
    </xdr:to>
    <xdr:sp macro="" textlink="MAIN4">
      <xdr:nvSpPr>
        <xdr:cNvPr id="6" name="MENU4">
          <a:hlinkClick xmlns:r="http://schemas.openxmlformats.org/officeDocument/2006/relationships" r:id="rId1" tooltip=" "/>
          <a:extLst>
            <a:ext uri="{FF2B5EF4-FFF2-40B4-BE49-F238E27FC236}">
              <a16:creationId xmlns:a16="http://schemas.microsoft.com/office/drawing/2014/main" id="{00000000-0008-0000-1D00-000006000000}"/>
            </a:ext>
          </a:extLst>
        </xdr:cNvPr>
        <xdr:cNvSpPr/>
      </xdr:nvSpPr>
      <xdr:spPr>
        <a:xfrm>
          <a:off x="6915150" y="333375"/>
          <a:ext cx="1571625" cy="600075"/>
        </a:xfrm>
        <a:prstGeom prst="round2SameRect">
          <a:avLst/>
        </a:prstGeom>
        <a:solidFill>
          <a:srgbClr val="A6A5AA"/>
        </a:solidFill>
        <a:ln w="12700">
          <a:solidFill>
            <a:srgbClr val="A6A5AA"/>
          </a:solidFill>
        </a:ln>
        <a:effectLst>
          <a:outerShdw blurRad="25400" dist="508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CB369157-CA5B-4E40-B1DE-604993B819B3}" type="TxLink">
            <a:rPr lang="en-US" sz="1100" b="0" i="0" u="none" strike="noStrike">
              <a:solidFill>
                <a:schemeClr val="bg1"/>
              </a:solidFill>
              <a:latin typeface="Arial" panose="020B0604020202020204" pitchFamily="34" charset="0"/>
              <a:cs typeface="Arial" panose="020B0604020202020204" pitchFamily="34" charset="0"/>
            </a:rPr>
            <a:pPr algn="ctr"/>
            <a:t>CUSTOM MEASURES INPUT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25</xdr:col>
      <xdr:colOff>13757</xdr:colOff>
      <xdr:row>4</xdr:row>
      <xdr:rowOff>200705</xdr:rowOff>
    </xdr:from>
    <xdr:to>
      <xdr:col>30</xdr:col>
      <xdr:colOff>13755</xdr:colOff>
      <xdr:row>7</xdr:row>
      <xdr:rowOff>0</xdr:rowOff>
    </xdr:to>
    <xdr:sp macro="" textlink="M4S5">
      <xdr:nvSpPr>
        <xdr:cNvPr id="15" name="SUBMENU5">
          <a:hlinkClick xmlns:r="http://schemas.openxmlformats.org/officeDocument/2006/relationships" r:id="rId2"/>
          <a:extLst>
            <a:ext uri="{FF2B5EF4-FFF2-40B4-BE49-F238E27FC236}">
              <a16:creationId xmlns:a16="http://schemas.microsoft.com/office/drawing/2014/main" id="{00000000-0008-0000-1D00-00000F000000}"/>
            </a:ext>
          </a:extLst>
        </xdr:cNvPr>
        <xdr:cNvSpPr/>
      </xdr:nvSpPr>
      <xdr:spPr>
        <a:xfrm>
          <a:off x="7857875" y="1007529"/>
          <a:ext cx="1568821" cy="404412"/>
        </a:xfrm>
        <a:prstGeom prst="round2SameRect">
          <a:avLst/>
        </a:prstGeom>
        <a:noFill/>
        <a:ln w="12700">
          <a:no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E5F979BB-FDDE-4AD4-9F04-50C37B654C25}" type="TxLink">
            <a:rPr lang="en-US" sz="1100" b="0" i="0" u="none" strike="noStrike">
              <a:solidFill>
                <a:srgbClr val="FFFFFF"/>
              </a:solidFill>
              <a:latin typeface="Arial" panose="020B0604020202020204" pitchFamily="34" charset="0"/>
              <a:cs typeface="Arial" panose="020B0604020202020204" pitchFamily="34" charset="0"/>
            </a:rPr>
            <a:pPr algn="ctr"/>
            <a:t> </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27</xdr:col>
      <xdr:colOff>0</xdr:colOff>
      <xdr:row>4</xdr:row>
      <xdr:rowOff>200705</xdr:rowOff>
    </xdr:from>
    <xdr:to>
      <xdr:col>32</xdr:col>
      <xdr:colOff>2865</xdr:colOff>
      <xdr:row>7</xdr:row>
      <xdr:rowOff>0</xdr:rowOff>
    </xdr:to>
    <xdr:sp macro="" textlink="M4S6">
      <xdr:nvSpPr>
        <xdr:cNvPr id="16" name="SUBMENU6">
          <a:hlinkClick xmlns:r="http://schemas.openxmlformats.org/officeDocument/2006/relationships" r:id="rId3"/>
          <a:extLst>
            <a:ext uri="{FF2B5EF4-FFF2-40B4-BE49-F238E27FC236}">
              <a16:creationId xmlns:a16="http://schemas.microsoft.com/office/drawing/2014/main" id="{00000000-0008-0000-1D00-000010000000}"/>
            </a:ext>
          </a:extLst>
        </xdr:cNvPr>
        <xdr:cNvSpPr/>
      </xdr:nvSpPr>
      <xdr:spPr>
        <a:xfrm>
          <a:off x="8486775" y="1000805"/>
          <a:ext cx="1574490" cy="399370"/>
        </a:xfrm>
        <a:prstGeom prst="round2SameRect">
          <a:avLst/>
        </a:prstGeom>
        <a:noFill/>
        <a:ln w="12700">
          <a:no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5A1770A-87A5-453B-813D-9DB4232D4E5B}" type="TxLink">
            <a:rPr lang="en-US" sz="1100" b="0" i="0" u="none" strike="noStrike">
              <a:solidFill>
                <a:srgbClr val="FFFFFF"/>
              </a:solidFill>
              <a:latin typeface="Arial" panose="020B0604020202020204" pitchFamily="34" charset="0"/>
              <a:cs typeface="Arial" panose="020B0604020202020204" pitchFamily="34" charset="0"/>
            </a:rPr>
            <a:pPr algn="ctr"/>
            <a:t> </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32</xdr:col>
      <xdr:colOff>2865</xdr:colOff>
      <xdr:row>4</xdr:row>
      <xdr:rowOff>200705</xdr:rowOff>
    </xdr:from>
    <xdr:to>
      <xdr:col>37</xdr:col>
      <xdr:colOff>2720</xdr:colOff>
      <xdr:row>7</xdr:row>
      <xdr:rowOff>0</xdr:rowOff>
    </xdr:to>
    <xdr:sp macro="" textlink="M4S7">
      <xdr:nvSpPr>
        <xdr:cNvPr id="17" name="SUBMENU7">
          <a:hlinkClick xmlns:r="http://schemas.openxmlformats.org/officeDocument/2006/relationships" r:id="rId4"/>
          <a:extLst>
            <a:ext uri="{FF2B5EF4-FFF2-40B4-BE49-F238E27FC236}">
              <a16:creationId xmlns:a16="http://schemas.microsoft.com/office/drawing/2014/main" id="{00000000-0008-0000-1D00-000011000000}"/>
            </a:ext>
          </a:extLst>
        </xdr:cNvPr>
        <xdr:cNvSpPr/>
      </xdr:nvSpPr>
      <xdr:spPr>
        <a:xfrm>
          <a:off x="10061265" y="1000805"/>
          <a:ext cx="1571480" cy="399370"/>
        </a:xfrm>
        <a:prstGeom prst="round2SameRect">
          <a:avLst/>
        </a:prstGeom>
        <a:noFill/>
        <a:ln w="12700">
          <a:no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5E6BC230-1975-4F34-BC48-A25EF66BC575}" type="TxLink">
            <a:rPr lang="en-US" sz="1100" b="0" i="0" u="none" strike="noStrike">
              <a:solidFill>
                <a:srgbClr val="FFFFFF"/>
              </a:solidFill>
              <a:latin typeface="Arial" panose="020B0604020202020204" pitchFamily="34" charset="0"/>
              <a:cs typeface="Arial" panose="020B0604020202020204" pitchFamily="34" charset="0"/>
            </a:rPr>
            <a:pPr algn="ctr"/>
            <a:t> </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37</xdr:col>
      <xdr:colOff>2720</xdr:colOff>
      <xdr:row>4</xdr:row>
      <xdr:rowOff>200705</xdr:rowOff>
    </xdr:from>
    <xdr:to>
      <xdr:col>42</xdr:col>
      <xdr:colOff>0</xdr:colOff>
      <xdr:row>7</xdr:row>
      <xdr:rowOff>0</xdr:rowOff>
    </xdr:to>
    <xdr:sp macro="" textlink="M4S8">
      <xdr:nvSpPr>
        <xdr:cNvPr id="18" name="SUBMENU8">
          <a:hlinkClick xmlns:r="http://schemas.openxmlformats.org/officeDocument/2006/relationships" r:id="rId5"/>
          <a:extLst>
            <a:ext uri="{FF2B5EF4-FFF2-40B4-BE49-F238E27FC236}">
              <a16:creationId xmlns:a16="http://schemas.microsoft.com/office/drawing/2014/main" id="{00000000-0008-0000-1D00-000012000000}"/>
            </a:ext>
          </a:extLst>
        </xdr:cNvPr>
        <xdr:cNvSpPr/>
      </xdr:nvSpPr>
      <xdr:spPr>
        <a:xfrm>
          <a:off x="11632745" y="1000805"/>
          <a:ext cx="1568905" cy="399370"/>
        </a:xfrm>
        <a:prstGeom prst="round2SameRect">
          <a:avLst/>
        </a:prstGeom>
        <a:noFill/>
        <a:ln w="12700">
          <a:no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6C84327F-831A-4647-9A31-A800B051B1A8}" type="TxLink">
            <a:rPr lang="en-US" sz="1100" b="0" i="0" u="none" strike="noStrike">
              <a:solidFill>
                <a:srgbClr val="FFFFFF"/>
              </a:solidFill>
              <a:latin typeface="Arial" panose="020B0604020202020204" pitchFamily="34" charset="0"/>
              <a:cs typeface="Arial" panose="020B0604020202020204" pitchFamily="34" charset="0"/>
            </a:rPr>
            <a:pPr algn="ctr"/>
            <a:t> </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1</xdr:col>
      <xdr:colOff>0</xdr:colOff>
      <xdr:row>4</xdr:row>
      <xdr:rowOff>1</xdr:rowOff>
    </xdr:from>
    <xdr:to>
      <xdr:col>44</xdr:col>
      <xdr:colOff>13806</xdr:colOff>
      <xdr:row>7</xdr:row>
      <xdr:rowOff>0</xdr:rowOff>
    </xdr:to>
    <xdr:sp macro="" textlink="">
      <xdr:nvSpPr>
        <xdr:cNvPr id="10" name="TOPRIBBON">
          <a:extLst>
            <a:ext uri="{FF2B5EF4-FFF2-40B4-BE49-F238E27FC236}">
              <a16:creationId xmlns:a16="http://schemas.microsoft.com/office/drawing/2014/main" id="{00000000-0008-0000-1D00-00000A000000}"/>
            </a:ext>
          </a:extLst>
        </xdr:cNvPr>
        <xdr:cNvSpPr/>
      </xdr:nvSpPr>
      <xdr:spPr>
        <a:xfrm>
          <a:off x="313765" y="806825"/>
          <a:ext cx="13505688" cy="605116"/>
        </a:xfrm>
        <a:prstGeom prst="round2SameRect">
          <a:avLst/>
        </a:prstGeom>
        <a:solidFill>
          <a:srgbClr val="A6A5A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p>
      </xdr:txBody>
    </xdr:sp>
    <xdr:clientData/>
  </xdr:twoCellAnchor>
  <xdr:twoCellAnchor>
    <xdr:from>
      <xdr:col>18</xdr:col>
      <xdr:colOff>305108</xdr:colOff>
      <xdr:row>5</xdr:row>
      <xdr:rowOff>680</xdr:rowOff>
    </xdr:from>
    <xdr:to>
      <xdr:col>25</xdr:col>
      <xdr:colOff>266739</xdr:colOff>
      <xdr:row>7</xdr:row>
      <xdr:rowOff>0</xdr:rowOff>
    </xdr:to>
    <xdr:sp macro="" textlink="M4S4">
      <xdr:nvSpPr>
        <xdr:cNvPr id="14" name="SUBMENU4">
          <a:hlinkClick xmlns:r="http://schemas.openxmlformats.org/officeDocument/2006/relationships" r:id="rId6" tooltip=" "/>
          <a:extLst>
            <a:ext uri="{FF2B5EF4-FFF2-40B4-BE49-F238E27FC236}">
              <a16:creationId xmlns:a16="http://schemas.microsoft.com/office/drawing/2014/main" id="{00000000-0008-0000-1D00-00000E000000}"/>
            </a:ext>
          </a:extLst>
        </xdr:cNvPr>
        <xdr:cNvSpPr/>
      </xdr:nvSpPr>
      <xdr:spPr>
        <a:xfrm>
          <a:off x="5952873" y="1009209"/>
          <a:ext cx="2157984" cy="402732"/>
        </a:xfrm>
        <a:prstGeom prst="round2SameRect">
          <a:avLst/>
        </a:prstGeom>
        <a:solidFill>
          <a:srgbClr val="54BCEB"/>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1050F369-33A9-41B8-BB9C-848C113C5B15}" type="TxLink">
            <a:rPr lang="en-US" sz="1100" b="0" i="0" u="none" strike="noStrike">
              <a:solidFill>
                <a:srgbClr val="FFFFFF"/>
              </a:solidFill>
              <a:latin typeface="Arial" panose="020B0604020202020204" pitchFamily="34" charset="0"/>
              <a:cs typeface="Arial" panose="020B0604020202020204" pitchFamily="34" charset="0"/>
            </a:rPr>
            <a:pPr algn="ctr"/>
            <a:t>Custom / RCx / New Construction
 (Gas)</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editAs="absolute">
    <xdr:from>
      <xdr:col>41</xdr:col>
      <xdr:colOff>0</xdr:colOff>
      <xdr:row>9</xdr:row>
      <xdr:rowOff>1047</xdr:rowOff>
    </xdr:from>
    <xdr:to>
      <xdr:col>43</xdr:col>
      <xdr:colOff>24324</xdr:colOff>
      <xdr:row>11</xdr:row>
      <xdr:rowOff>1046</xdr:rowOff>
    </xdr:to>
    <xdr:sp macro="" textlink="">
      <xdr:nvSpPr>
        <xdr:cNvPr id="2" name="NEXT">
          <a:hlinkClick xmlns:r="http://schemas.openxmlformats.org/officeDocument/2006/relationships" r:id="rId7" tooltip=" "/>
          <a:extLst>
            <a:ext uri="{FF2B5EF4-FFF2-40B4-BE49-F238E27FC236}">
              <a16:creationId xmlns:a16="http://schemas.microsoft.com/office/drawing/2014/main" id="{00000000-0008-0000-1D00-000002000000}"/>
            </a:ext>
          </a:extLst>
        </xdr:cNvPr>
        <xdr:cNvSpPr>
          <a:spLocks noChangeAspect="1"/>
        </xdr:cNvSpPr>
      </xdr:nvSpPr>
      <xdr:spPr>
        <a:xfrm>
          <a:off x="12887325" y="1801272"/>
          <a:ext cx="627520" cy="400049"/>
        </a:xfrm>
        <a:prstGeom prst="rightArrow">
          <a:avLst/>
        </a:prstGeom>
        <a:solidFill>
          <a:srgbClr val="54BCEB"/>
        </a:solidFill>
        <a:ln>
          <a:solidFill>
            <a:srgbClr val="54BCEB"/>
          </a:solidFill>
        </a:ln>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7</xdr:col>
      <xdr:colOff>457</xdr:colOff>
      <xdr:row>1</xdr:row>
      <xdr:rowOff>0</xdr:rowOff>
    </xdr:from>
    <xdr:to>
      <xdr:col>12</xdr:col>
      <xdr:colOff>0</xdr:colOff>
      <xdr:row>4</xdr:row>
      <xdr:rowOff>0</xdr:rowOff>
    </xdr:to>
    <xdr:sp macro="" textlink="MAIN1">
      <xdr:nvSpPr>
        <xdr:cNvPr id="3" name="MENU1">
          <a:hlinkClick xmlns:r="http://schemas.openxmlformats.org/officeDocument/2006/relationships" r:id="rId8" tooltip=" "/>
          <a:extLst>
            <a:ext uri="{FF2B5EF4-FFF2-40B4-BE49-F238E27FC236}">
              <a16:creationId xmlns:a16="http://schemas.microsoft.com/office/drawing/2014/main" id="{00000000-0008-0000-1D00-000003000000}"/>
            </a:ext>
          </a:extLst>
        </xdr:cNvPr>
        <xdr:cNvSpPr/>
      </xdr:nvSpPr>
      <xdr:spPr>
        <a:xfrm>
          <a:off x="2200732" y="200025"/>
          <a:ext cx="1571168" cy="600075"/>
        </a:xfrm>
        <a:prstGeom prst="round2SameRect">
          <a:avLst/>
        </a:prstGeom>
        <a:solidFill>
          <a:srgbClr val="00334E"/>
        </a:solidFill>
        <a:ln w="12700">
          <a:solidFill>
            <a:srgbClr val="00334E"/>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D6F2F067-2676-4601-ABCE-75BD5137E3D5}" type="TxLink">
            <a:rPr lang="en-US" sz="1100" b="0" i="0" u="none" strike="noStrike">
              <a:solidFill>
                <a:schemeClr val="bg1"/>
              </a:solidFill>
              <a:latin typeface="Arial" panose="020B0604020202020204" pitchFamily="34" charset="0"/>
              <a:cs typeface="Arial" panose="020B0604020202020204" pitchFamily="34" charset="0"/>
            </a:rPr>
            <a:pPr algn="ctr"/>
            <a:t>START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12</xdr:col>
      <xdr:colOff>0</xdr:colOff>
      <xdr:row>1</xdr:row>
      <xdr:rowOff>0</xdr:rowOff>
    </xdr:from>
    <xdr:to>
      <xdr:col>17</xdr:col>
      <xdr:colOff>0</xdr:colOff>
      <xdr:row>4</xdr:row>
      <xdr:rowOff>0</xdr:rowOff>
    </xdr:to>
    <xdr:sp macro="" textlink="MAIN2">
      <xdr:nvSpPr>
        <xdr:cNvPr id="4" name="MENU2">
          <a:hlinkClick xmlns:r="http://schemas.openxmlformats.org/officeDocument/2006/relationships" r:id="rId9" tooltip=" "/>
          <a:extLst>
            <a:ext uri="{FF2B5EF4-FFF2-40B4-BE49-F238E27FC236}">
              <a16:creationId xmlns:a16="http://schemas.microsoft.com/office/drawing/2014/main" id="{00000000-0008-0000-1D00-000004000000}"/>
            </a:ext>
          </a:extLst>
        </xdr:cNvPr>
        <xdr:cNvSpPr/>
      </xdr:nvSpPr>
      <xdr:spPr>
        <a:xfrm>
          <a:off x="3771900" y="200025"/>
          <a:ext cx="1571625" cy="600075"/>
        </a:xfrm>
        <a:prstGeom prst="round2SameRect">
          <a:avLst/>
        </a:prstGeom>
        <a:solidFill>
          <a:srgbClr val="00334E"/>
        </a:solidFill>
        <a:ln w="12700">
          <a:solidFill>
            <a:srgbClr val="00334E"/>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59A035B9-F1D2-4E89-B262-AF2DF0C338A9}" type="TxLink">
            <a:rPr lang="en-US" sz="1100" b="0" i="0" u="none" strike="noStrike">
              <a:solidFill>
                <a:schemeClr val="bg1"/>
              </a:solidFill>
              <a:latin typeface="Arial" panose="020B0604020202020204" pitchFamily="34" charset="0"/>
              <a:cs typeface="Arial" panose="020B0604020202020204" pitchFamily="34" charset="0"/>
            </a:rPr>
            <a:pPr algn="ctr"/>
            <a:t>PROJECT INFORMATION</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17</xdr:col>
      <xdr:colOff>0</xdr:colOff>
      <xdr:row>1</xdr:row>
      <xdr:rowOff>0</xdr:rowOff>
    </xdr:from>
    <xdr:to>
      <xdr:col>22</xdr:col>
      <xdr:colOff>0</xdr:colOff>
      <xdr:row>4</xdr:row>
      <xdr:rowOff>0</xdr:rowOff>
    </xdr:to>
    <xdr:sp macro="" textlink="MAIN3">
      <xdr:nvSpPr>
        <xdr:cNvPr id="5" name="MENU3">
          <a:hlinkClick xmlns:r="http://schemas.openxmlformats.org/officeDocument/2006/relationships" r:id="rId10" tooltip=" "/>
          <a:extLst>
            <a:ext uri="{FF2B5EF4-FFF2-40B4-BE49-F238E27FC236}">
              <a16:creationId xmlns:a16="http://schemas.microsoft.com/office/drawing/2014/main" id="{00000000-0008-0000-1D00-000005000000}"/>
            </a:ext>
          </a:extLst>
        </xdr:cNvPr>
        <xdr:cNvSpPr/>
      </xdr:nvSpPr>
      <xdr:spPr>
        <a:xfrm>
          <a:off x="5343525" y="200025"/>
          <a:ext cx="1571625" cy="600075"/>
        </a:xfrm>
        <a:prstGeom prst="round2SameRect">
          <a:avLst/>
        </a:prstGeom>
        <a:solidFill>
          <a:srgbClr val="00334E"/>
        </a:solidFill>
        <a:ln w="12700">
          <a:solidFill>
            <a:srgbClr val="00334E"/>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06A037F-AE33-47CC-85C1-F6D62694F95D}" type="TxLink">
            <a:rPr lang="en-US" sz="1100" b="0" i="0" u="none" strike="noStrike">
              <a:solidFill>
                <a:schemeClr val="bg1"/>
              </a:solidFill>
              <a:latin typeface="Arial" panose="020B0604020202020204" pitchFamily="34" charset="0"/>
              <a:cs typeface="Arial" panose="020B0604020202020204" pitchFamily="34" charset="0"/>
            </a:rPr>
            <a:pPr algn="ctr"/>
            <a:t>PRESCRIPTIVE MEASURES INPUT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27</xdr:col>
      <xdr:colOff>0</xdr:colOff>
      <xdr:row>1</xdr:row>
      <xdr:rowOff>0</xdr:rowOff>
    </xdr:from>
    <xdr:to>
      <xdr:col>32</xdr:col>
      <xdr:colOff>0</xdr:colOff>
      <xdr:row>4</xdr:row>
      <xdr:rowOff>0</xdr:rowOff>
    </xdr:to>
    <xdr:sp macro="" textlink="MAIN5">
      <xdr:nvSpPr>
        <xdr:cNvPr id="7" name="MENU5">
          <a:hlinkClick xmlns:r="http://schemas.openxmlformats.org/officeDocument/2006/relationships" r:id="rId11" tooltip=" "/>
          <a:extLst>
            <a:ext uri="{FF2B5EF4-FFF2-40B4-BE49-F238E27FC236}">
              <a16:creationId xmlns:a16="http://schemas.microsoft.com/office/drawing/2014/main" id="{00000000-0008-0000-1D00-000007000000}"/>
            </a:ext>
          </a:extLst>
        </xdr:cNvPr>
        <xdr:cNvSpPr/>
      </xdr:nvSpPr>
      <xdr:spPr>
        <a:xfrm>
          <a:off x="8486775" y="200025"/>
          <a:ext cx="1571625" cy="600075"/>
        </a:xfrm>
        <a:prstGeom prst="round2SameRect">
          <a:avLst/>
        </a:prstGeom>
        <a:solidFill>
          <a:srgbClr val="00334E"/>
        </a:solidFill>
        <a:ln w="12700">
          <a:solidFill>
            <a:srgbClr val="00334E"/>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F0EEDDA6-4934-49B4-972D-20D21D440D82}" type="TxLink">
            <a:rPr lang="en-US" sz="1100" b="0" i="0" u="none" strike="noStrike">
              <a:solidFill>
                <a:schemeClr val="bg1"/>
              </a:solidFill>
              <a:latin typeface="Arial" panose="020B0604020202020204" pitchFamily="34" charset="0"/>
              <a:cs typeface="Arial" panose="020B0604020202020204" pitchFamily="34" charset="0"/>
            </a:rPr>
            <a:pPr algn="ctr"/>
            <a:t>APPLICATION REVIEW</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32</xdr:col>
      <xdr:colOff>0</xdr:colOff>
      <xdr:row>1</xdr:row>
      <xdr:rowOff>0</xdr:rowOff>
    </xdr:from>
    <xdr:to>
      <xdr:col>37</xdr:col>
      <xdr:colOff>1</xdr:colOff>
      <xdr:row>4</xdr:row>
      <xdr:rowOff>0</xdr:rowOff>
    </xdr:to>
    <xdr:sp macro="" textlink="MAIN6">
      <xdr:nvSpPr>
        <xdr:cNvPr id="8" name="MENU6">
          <a:extLst>
            <a:ext uri="{FF2B5EF4-FFF2-40B4-BE49-F238E27FC236}">
              <a16:creationId xmlns:a16="http://schemas.microsoft.com/office/drawing/2014/main" id="{00000000-0008-0000-1D00-000008000000}"/>
            </a:ext>
          </a:extLst>
        </xdr:cNvPr>
        <xdr:cNvSpPr/>
      </xdr:nvSpPr>
      <xdr:spPr>
        <a:xfrm>
          <a:off x="10058400" y="200025"/>
          <a:ext cx="1571626"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00B050"/>
              </a:solidFill>
            </a14:hiddenFill>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B12A3774-975E-4B41-A681-E085295C6D0E}" type="TxLink">
            <a:rPr lang="en-US" sz="1100" b="0" i="0" u="none" strike="noStrike">
              <a:noFill/>
              <a:latin typeface="Arial" panose="020B0604020202020204" pitchFamily="34" charset="0"/>
              <a:cs typeface="Arial" panose="020B0604020202020204" pitchFamily="34" charset="0"/>
            </a:rPr>
            <a:pPr algn="ctr"/>
            <a:t> </a:t>
          </a:fld>
          <a:endParaRPr lang="en-US" sz="1100">
            <a:noFill/>
            <a:latin typeface="Arial" panose="020B0604020202020204" pitchFamily="34" charset="0"/>
            <a:cs typeface="Arial" panose="020B0604020202020204" pitchFamily="34" charset="0"/>
          </a:endParaRPr>
        </a:p>
      </xdr:txBody>
    </xdr:sp>
    <xdr:clientData/>
  </xdr:twoCellAnchor>
  <xdr:twoCellAnchor>
    <xdr:from>
      <xdr:col>36</xdr:col>
      <xdr:colOff>314324</xdr:colOff>
      <xdr:row>1</xdr:row>
      <xdr:rowOff>0</xdr:rowOff>
    </xdr:from>
    <xdr:to>
      <xdr:col>41</xdr:col>
      <xdr:colOff>314324</xdr:colOff>
      <xdr:row>4</xdr:row>
      <xdr:rowOff>0</xdr:rowOff>
    </xdr:to>
    <xdr:sp macro="" textlink="MAIN7">
      <xdr:nvSpPr>
        <xdr:cNvPr id="9" name="MENU7">
          <a:extLst>
            <a:ext uri="{FF2B5EF4-FFF2-40B4-BE49-F238E27FC236}">
              <a16:creationId xmlns:a16="http://schemas.microsoft.com/office/drawing/2014/main" id="{00000000-0008-0000-1D00-000009000000}"/>
            </a:ext>
          </a:extLst>
        </xdr:cNvPr>
        <xdr:cNvSpPr/>
      </xdr:nvSpPr>
      <xdr:spPr>
        <a:xfrm>
          <a:off x="11630024" y="200025"/>
          <a:ext cx="1571625"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00B050"/>
              </a:solidFill>
            </a14:hiddenFill>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 </a:t>
          </a:fld>
          <a:endParaRPr lang="en-US" sz="1100">
            <a:noFill/>
            <a:latin typeface="Arial" panose="020B0604020202020204" pitchFamily="34" charset="0"/>
            <a:cs typeface="Arial" panose="020B0604020202020204" pitchFamily="34" charset="0"/>
          </a:endParaRPr>
        </a:p>
      </xdr:txBody>
    </xdr:sp>
    <xdr:clientData/>
  </xdr:twoCellAnchor>
  <xdr:twoCellAnchor>
    <xdr:from>
      <xdr:col>2</xdr:col>
      <xdr:colOff>2720</xdr:colOff>
      <xdr:row>5</xdr:row>
      <xdr:rowOff>0</xdr:rowOff>
    </xdr:from>
    <xdr:to>
      <xdr:col>7</xdr:col>
      <xdr:colOff>457</xdr:colOff>
      <xdr:row>6</xdr:row>
      <xdr:rowOff>197827</xdr:rowOff>
    </xdr:to>
    <xdr:sp macro="" textlink="M4S1">
      <xdr:nvSpPr>
        <xdr:cNvPr id="11" name="SUBMENU1">
          <a:hlinkClick xmlns:r="http://schemas.openxmlformats.org/officeDocument/2006/relationships" r:id="rId1" tooltip=" "/>
          <a:extLst>
            <a:ext uri="{FF2B5EF4-FFF2-40B4-BE49-F238E27FC236}">
              <a16:creationId xmlns:a16="http://schemas.microsoft.com/office/drawing/2014/main" id="{00000000-0008-0000-1D00-00000B000000}"/>
            </a:ext>
          </a:extLst>
        </xdr:cNvPr>
        <xdr:cNvSpPr/>
      </xdr:nvSpPr>
      <xdr:spPr>
        <a:xfrm>
          <a:off x="631370" y="1000125"/>
          <a:ext cx="1569362" cy="397852"/>
        </a:xfrm>
        <a:prstGeom prst="round2SameRect">
          <a:avLst/>
        </a:prstGeom>
        <a:solidFill>
          <a:srgbClr val="54BCEB"/>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3664FD99-357F-4D59-894F-756F573EB972}" type="TxLink">
            <a:rPr lang="en-US" sz="1100" b="0" i="0" u="none" strike="noStrike">
              <a:solidFill>
                <a:srgbClr val="FFFFFF"/>
              </a:solidFill>
              <a:latin typeface="Arial" panose="020B0604020202020204" pitchFamily="34" charset="0"/>
              <a:cs typeface="Arial" panose="020B0604020202020204" pitchFamily="34" charset="0"/>
            </a:rPr>
            <a:pPr algn="ctr"/>
            <a:t>Custom Lighting</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7</xdr:col>
      <xdr:colOff>11059</xdr:colOff>
      <xdr:row>4</xdr:row>
      <xdr:rowOff>197155</xdr:rowOff>
    </xdr:from>
    <xdr:to>
      <xdr:col>12</xdr:col>
      <xdr:colOff>8509</xdr:colOff>
      <xdr:row>6</xdr:row>
      <xdr:rowOff>196476</xdr:rowOff>
    </xdr:to>
    <xdr:sp macro="" textlink="M4S2">
      <xdr:nvSpPr>
        <xdr:cNvPr id="12" name="SUBMENU2">
          <a:hlinkClick xmlns:r="http://schemas.openxmlformats.org/officeDocument/2006/relationships" r:id="rId12" tooltip=" "/>
          <a:extLst>
            <a:ext uri="{FF2B5EF4-FFF2-40B4-BE49-F238E27FC236}">
              <a16:creationId xmlns:a16="http://schemas.microsoft.com/office/drawing/2014/main" id="{00000000-0008-0000-1D00-00000C000000}"/>
            </a:ext>
          </a:extLst>
        </xdr:cNvPr>
        <xdr:cNvSpPr/>
      </xdr:nvSpPr>
      <xdr:spPr>
        <a:xfrm>
          <a:off x="2207412" y="1003979"/>
          <a:ext cx="1566273" cy="402732"/>
        </a:xfrm>
        <a:prstGeom prst="round2SameRect">
          <a:avLst/>
        </a:prstGeom>
        <a:solidFill>
          <a:srgbClr val="54BCEB"/>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marL="0" indent="0" algn="ctr"/>
          <a:fld id="{5D0A4E02-9E12-41C2-BD00-10CC6F027B75}" type="TxLink">
            <a:rPr lang="en-US" sz="1100" b="0" i="0" u="none" strike="noStrike">
              <a:solidFill>
                <a:srgbClr val="FFFFFF"/>
              </a:solidFill>
              <a:latin typeface="Arial" panose="020B0604020202020204" pitchFamily="34" charset="0"/>
              <a:ea typeface="+mn-ea"/>
              <a:cs typeface="Arial" panose="020B0604020202020204" pitchFamily="34" charset="0"/>
            </a:rPr>
            <a:pPr marL="0" indent="0" algn="ctr"/>
            <a:t>New Construction Lighting</a:t>
          </a:fld>
          <a:endParaRPr lang="en-US" sz="1100" b="0" i="0" u="none" strike="noStrike">
            <a:solidFill>
              <a:srgbClr val="FFFFFF"/>
            </a:solidFill>
            <a:latin typeface="Arial" panose="020B0604020202020204" pitchFamily="34" charset="0"/>
            <a:ea typeface="+mn-ea"/>
            <a:cs typeface="Arial" panose="020B0604020202020204" pitchFamily="34" charset="0"/>
          </a:endParaRPr>
        </a:p>
      </xdr:txBody>
    </xdr:sp>
    <xdr:clientData/>
  </xdr:twoCellAnchor>
  <xdr:twoCellAnchor>
    <xdr:from>
      <xdr:col>12</xdr:col>
      <xdr:colOff>19111</xdr:colOff>
      <xdr:row>5</xdr:row>
      <xdr:rowOff>55030</xdr:rowOff>
    </xdr:from>
    <xdr:to>
      <xdr:col>18</xdr:col>
      <xdr:colOff>294506</xdr:colOff>
      <xdr:row>7</xdr:row>
      <xdr:rowOff>56030</xdr:rowOff>
    </xdr:to>
    <xdr:sp macro="" textlink="M4S3">
      <xdr:nvSpPr>
        <xdr:cNvPr id="13" name="SUBMENU3">
          <a:hlinkClick xmlns:r="http://schemas.openxmlformats.org/officeDocument/2006/relationships" r:id="rId13" tooltip=" "/>
          <a:extLst>
            <a:ext uri="{FF2B5EF4-FFF2-40B4-BE49-F238E27FC236}">
              <a16:creationId xmlns:a16="http://schemas.microsoft.com/office/drawing/2014/main" id="{00000000-0008-0000-1D00-00000D000000}"/>
            </a:ext>
          </a:extLst>
        </xdr:cNvPr>
        <xdr:cNvSpPr/>
      </xdr:nvSpPr>
      <xdr:spPr>
        <a:xfrm>
          <a:off x="3784287" y="1063559"/>
          <a:ext cx="2157984" cy="404412"/>
        </a:xfrm>
        <a:prstGeom prst="round2SameRect">
          <a:avLst/>
        </a:prstGeom>
        <a:solidFill>
          <a:srgbClr val="00334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marL="0" indent="0" algn="ctr"/>
          <a:fld id="{DC8E2C81-AACE-4DC5-9683-990BF5B93E88}" type="TxLink">
            <a:rPr lang="en-US" sz="1100" b="0" i="0" u="none" strike="noStrike">
              <a:solidFill>
                <a:srgbClr val="FFFFFF"/>
              </a:solidFill>
              <a:latin typeface="Arial" panose="020B0604020202020204" pitchFamily="34" charset="0"/>
              <a:ea typeface="+mn-ea"/>
              <a:cs typeface="Arial" panose="020B0604020202020204" pitchFamily="34" charset="0"/>
            </a:rPr>
            <a:pPr marL="0" indent="0" algn="ctr"/>
            <a:t>Custom / RCx / New Construction
 Non-Lighting (Electric)</a:t>
          </a:fld>
          <a:endParaRPr lang="en-US" sz="1100" b="0" i="0" u="none" strike="noStrike">
            <a:solidFill>
              <a:srgbClr val="FFFFFF"/>
            </a:solidFill>
            <a:latin typeface="Arial" panose="020B0604020202020204" pitchFamily="34" charset="0"/>
            <a:ea typeface="+mn-ea"/>
            <a:cs typeface="Arial" panose="020B0604020202020204" pitchFamily="34" charset="0"/>
          </a:endParaRPr>
        </a:p>
      </xdr:txBody>
    </xdr:sp>
    <xdr:clientData/>
  </xdr:twoCellAnchor>
  <xdr:twoCellAnchor>
    <xdr:from>
      <xdr:col>1</xdr:col>
      <xdr:colOff>558</xdr:colOff>
      <xdr:row>7</xdr:row>
      <xdr:rowOff>200024</xdr:rowOff>
    </xdr:from>
    <xdr:to>
      <xdr:col>44</xdr:col>
      <xdr:colOff>0</xdr:colOff>
      <xdr:row>35</xdr:row>
      <xdr:rowOff>0</xdr:rowOff>
    </xdr:to>
    <xdr:sp macro="" textlink="">
      <xdr:nvSpPr>
        <xdr:cNvPr id="19" name="BORDER">
          <a:extLst>
            <a:ext uri="{FF2B5EF4-FFF2-40B4-BE49-F238E27FC236}">
              <a16:creationId xmlns:a16="http://schemas.microsoft.com/office/drawing/2014/main" id="{00000000-0008-0000-1D00-000013000000}"/>
            </a:ext>
          </a:extLst>
        </xdr:cNvPr>
        <xdr:cNvSpPr/>
      </xdr:nvSpPr>
      <xdr:spPr>
        <a:xfrm>
          <a:off x="314323" y="1611965"/>
          <a:ext cx="13491324" cy="5447741"/>
        </a:xfrm>
        <a:prstGeom prst="frame">
          <a:avLst>
            <a:gd name="adj1" fmla="val 97"/>
          </a:avLst>
        </a:prstGeom>
        <a:noFill/>
        <a:ln w="12700" cap="flat" cmpd="sng" algn="ctr">
          <a:solidFill>
            <a:srgbClr val="00334E"/>
          </a:solidFill>
          <a:prstDash val="solid"/>
          <a:miter lim="800000"/>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fPrintsWithSheet="0"/>
  </xdr:twoCellAnchor>
  <xdr:twoCellAnchor editAs="absolute">
    <xdr:from>
      <xdr:col>2</xdr:col>
      <xdr:colOff>2720</xdr:colOff>
      <xdr:row>9</xdr:row>
      <xdr:rowOff>149</xdr:rowOff>
    </xdr:from>
    <xdr:to>
      <xdr:col>4</xdr:col>
      <xdr:colOff>960</xdr:colOff>
      <xdr:row>10</xdr:row>
      <xdr:rowOff>184423</xdr:rowOff>
    </xdr:to>
    <xdr:sp macro="" textlink="">
      <xdr:nvSpPr>
        <xdr:cNvPr id="20" name="BACK">
          <a:hlinkClick xmlns:r="http://schemas.openxmlformats.org/officeDocument/2006/relationships" r:id="rId14" tooltip=" "/>
          <a:extLst>
            <a:ext uri="{FF2B5EF4-FFF2-40B4-BE49-F238E27FC236}">
              <a16:creationId xmlns:a16="http://schemas.microsoft.com/office/drawing/2014/main" id="{00000000-0008-0000-1D00-000014000000}"/>
            </a:ext>
          </a:extLst>
        </xdr:cNvPr>
        <xdr:cNvSpPr>
          <a:spLocks noChangeAspect="1"/>
        </xdr:cNvSpPr>
      </xdr:nvSpPr>
      <xdr:spPr>
        <a:xfrm>
          <a:off x="631370" y="1801432"/>
          <a:ext cx="626890" cy="400050"/>
        </a:xfrm>
        <a:prstGeom prst="leftArrow">
          <a:avLst/>
        </a:prstGeom>
        <a:solidFill>
          <a:srgbClr val="54BCEB"/>
        </a:solidFill>
        <a:ln>
          <a:solidFill>
            <a:srgbClr val="54BCEB"/>
          </a:solidFill>
        </a:ln>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1</xdr:col>
      <xdr:colOff>0</xdr:colOff>
      <xdr:row>7</xdr:row>
      <xdr:rowOff>0</xdr:rowOff>
    </xdr:from>
    <xdr:to>
      <xdr:col>44</xdr:col>
      <xdr:colOff>13806</xdr:colOff>
      <xdr:row>8</xdr:row>
      <xdr:rowOff>0</xdr:rowOff>
    </xdr:to>
    <xdr:sp macro="" textlink="">
      <xdr:nvSpPr>
        <xdr:cNvPr id="21" name="BOTTOMRIBBON">
          <a:extLst>
            <a:ext uri="{FF2B5EF4-FFF2-40B4-BE49-F238E27FC236}">
              <a16:creationId xmlns:a16="http://schemas.microsoft.com/office/drawing/2014/main" id="{00000000-0008-0000-1D00-000015000000}"/>
            </a:ext>
          </a:extLst>
        </xdr:cNvPr>
        <xdr:cNvSpPr/>
      </xdr:nvSpPr>
      <xdr:spPr>
        <a:xfrm>
          <a:off x="313765" y="1411941"/>
          <a:ext cx="13505688" cy="201706"/>
        </a:xfrm>
        <a:prstGeom prst="rect">
          <a:avLst/>
        </a:prstGeom>
        <a:solidFill>
          <a:srgbClr val="00334E"/>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solidFill>
              <a:srgbClr val="FFFFFF"/>
            </a:solidFill>
          </a:endParaRPr>
        </a:p>
      </xdr:txBody>
    </xdr:sp>
    <xdr:clientData/>
  </xdr:twoCellAnchor>
  <xdr:twoCellAnchor editAs="oneCell">
    <xdr:from>
      <xdr:col>2</xdr:col>
      <xdr:colOff>102850</xdr:colOff>
      <xdr:row>0</xdr:row>
      <xdr:rowOff>156884</xdr:rowOff>
    </xdr:from>
    <xdr:to>
      <xdr:col>5</xdr:col>
      <xdr:colOff>30405</xdr:colOff>
      <xdr:row>2</xdr:row>
      <xdr:rowOff>195627</xdr:rowOff>
    </xdr:to>
    <xdr:pic>
      <xdr:nvPicPr>
        <xdr:cNvPr id="24" name="LOGO">
          <a:extLst>
            <a:ext uri="{FF2B5EF4-FFF2-40B4-BE49-F238E27FC236}">
              <a16:creationId xmlns:a16="http://schemas.microsoft.com/office/drawing/2014/main" id="{00000000-0008-0000-1D00-000018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xdr:blipFill>
      <xdr:spPr>
        <a:xfrm>
          <a:off x="730379" y="156884"/>
          <a:ext cx="868850" cy="442155"/>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xdr:from>
      <xdr:col>37</xdr:col>
      <xdr:colOff>2720</xdr:colOff>
      <xdr:row>4</xdr:row>
      <xdr:rowOff>189499</xdr:rowOff>
    </xdr:from>
    <xdr:to>
      <xdr:col>42</xdr:col>
      <xdr:colOff>0</xdr:colOff>
      <xdr:row>6</xdr:row>
      <xdr:rowOff>190500</xdr:rowOff>
    </xdr:to>
    <xdr:sp macro="" textlink="M4S8">
      <xdr:nvSpPr>
        <xdr:cNvPr id="18" name="SUBMENU8">
          <a:hlinkClick xmlns:r="http://schemas.openxmlformats.org/officeDocument/2006/relationships" r:id="rId1"/>
          <a:extLst>
            <a:ext uri="{FF2B5EF4-FFF2-40B4-BE49-F238E27FC236}">
              <a16:creationId xmlns:a16="http://schemas.microsoft.com/office/drawing/2014/main" id="{00000000-0008-0000-1E00-000012000000}"/>
            </a:ext>
          </a:extLst>
        </xdr:cNvPr>
        <xdr:cNvSpPr/>
      </xdr:nvSpPr>
      <xdr:spPr>
        <a:xfrm>
          <a:off x="11612014" y="996323"/>
          <a:ext cx="1566104" cy="404412"/>
        </a:xfrm>
        <a:prstGeom prst="round2SameRect">
          <a:avLst/>
        </a:prstGeom>
        <a:noFill/>
        <a:ln w="12700">
          <a:no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6C84327F-831A-4647-9A31-A800B051B1A8}"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 </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32</xdr:col>
      <xdr:colOff>2865</xdr:colOff>
      <xdr:row>4</xdr:row>
      <xdr:rowOff>189499</xdr:rowOff>
    </xdr:from>
    <xdr:to>
      <xdr:col>37</xdr:col>
      <xdr:colOff>2720</xdr:colOff>
      <xdr:row>6</xdr:row>
      <xdr:rowOff>190500</xdr:rowOff>
    </xdr:to>
    <xdr:sp macro="" textlink="M4S7">
      <xdr:nvSpPr>
        <xdr:cNvPr id="17" name="SUBMENU7">
          <a:hlinkClick xmlns:r="http://schemas.openxmlformats.org/officeDocument/2006/relationships" r:id="rId2"/>
          <a:extLst>
            <a:ext uri="{FF2B5EF4-FFF2-40B4-BE49-F238E27FC236}">
              <a16:creationId xmlns:a16="http://schemas.microsoft.com/office/drawing/2014/main" id="{00000000-0008-0000-1E00-000011000000}"/>
            </a:ext>
          </a:extLst>
        </xdr:cNvPr>
        <xdr:cNvSpPr/>
      </xdr:nvSpPr>
      <xdr:spPr>
        <a:xfrm>
          <a:off x="10043336" y="996323"/>
          <a:ext cx="1568678" cy="404412"/>
        </a:xfrm>
        <a:prstGeom prst="round2SameRect">
          <a:avLst/>
        </a:prstGeom>
        <a:noFill/>
        <a:ln w="12700">
          <a:no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5E6BC230-1975-4F34-BC48-A25EF66BC575}"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 </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27</xdr:col>
      <xdr:colOff>0</xdr:colOff>
      <xdr:row>4</xdr:row>
      <xdr:rowOff>189499</xdr:rowOff>
    </xdr:from>
    <xdr:to>
      <xdr:col>32</xdr:col>
      <xdr:colOff>2865</xdr:colOff>
      <xdr:row>6</xdr:row>
      <xdr:rowOff>190500</xdr:rowOff>
    </xdr:to>
    <xdr:sp macro="" textlink="M4S6">
      <xdr:nvSpPr>
        <xdr:cNvPr id="16" name="SUBMENU6">
          <a:hlinkClick xmlns:r="http://schemas.openxmlformats.org/officeDocument/2006/relationships" r:id="rId3"/>
          <a:extLst>
            <a:ext uri="{FF2B5EF4-FFF2-40B4-BE49-F238E27FC236}">
              <a16:creationId xmlns:a16="http://schemas.microsoft.com/office/drawing/2014/main" id="{00000000-0008-0000-1E00-000010000000}"/>
            </a:ext>
          </a:extLst>
        </xdr:cNvPr>
        <xdr:cNvSpPr/>
      </xdr:nvSpPr>
      <xdr:spPr>
        <a:xfrm>
          <a:off x="8471647" y="996323"/>
          <a:ext cx="1571689" cy="404412"/>
        </a:xfrm>
        <a:prstGeom prst="round2SameRect">
          <a:avLst/>
        </a:prstGeom>
        <a:noFill/>
        <a:ln w="12700">
          <a:no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5A1770A-87A5-453B-813D-9DB4232D4E5B}"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 </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25</xdr:col>
      <xdr:colOff>268941</xdr:colOff>
      <xdr:row>4</xdr:row>
      <xdr:rowOff>189499</xdr:rowOff>
    </xdr:from>
    <xdr:to>
      <xdr:col>30</xdr:col>
      <xdr:colOff>201706</xdr:colOff>
      <xdr:row>6</xdr:row>
      <xdr:rowOff>190500</xdr:rowOff>
    </xdr:to>
    <xdr:sp macro="" textlink="M4S5">
      <xdr:nvSpPr>
        <xdr:cNvPr id="15" name="SUBMENU5">
          <a:hlinkClick xmlns:r="http://schemas.openxmlformats.org/officeDocument/2006/relationships" r:id="rId4"/>
          <a:extLst>
            <a:ext uri="{FF2B5EF4-FFF2-40B4-BE49-F238E27FC236}">
              <a16:creationId xmlns:a16="http://schemas.microsoft.com/office/drawing/2014/main" id="{00000000-0008-0000-1E00-00000F000000}"/>
            </a:ext>
          </a:extLst>
        </xdr:cNvPr>
        <xdr:cNvSpPr/>
      </xdr:nvSpPr>
      <xdr:spPr>
        <a:xfrm>
          <a:off x="8113059" y="996323"/>
          <a:ext cx="1501588" cy="404412"/>
        </a:xfrm>
        <a:prstGeom prst="round2SameRect">
          <a:avLst/>
        </a:prstGeom>
        <a:noFill/>
        <a:ln w="12700">
          <a:no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E5F979BB-FDDE-4AD4-9F04-50C37B654C25}"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 </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22</xdr:col>
      <xdr:colOff>0</xdr:colOff>
      <xdr:row>1</xdr:row>
      <xdr:rowOff>133350</xdr:rowOff>
    </xdr:from>
    <xdr:to>
      <xdr:col>27</xdr:col>
      <xdr:colOff>0</xdr:colOff>
      <xdr:row>4</xdr:row>
      <xdr:rowOff>133350</xdr:rowOff>
    </xdr:to>
    <xdr:sp macro="" textlink="MAIN4">
      <xdr:nvSpPr>
        <xdr:cNvPr id="6" name="MENU4">
          <a:hlinkClick xmlns:r="http://schemas.openxmlformats.org/officeDocument/2006/relationships" r:id="rId5" tooltip=" "/>
          <a:extLst>
            <a:ext uri="{FF2B5EF4-FFF2-40B4-BE49-F238E27FC236}">
              <a16:creationId xmlns:a16="http://schemas.microsoft.com/office/drawing/2014/main" id="{00000000-0008-0000-1E00-000006000000}"/>
            </a:ext>
          </a:extLst>
        </xdr:cNvPr>
        <xdr:cNvSpPr/>
      </xdr:nvSpPr>
      <xdr:spPr>
        <a:xfrm>
          <a:off x="6915150" y="333375"/>
          <a:ext cx="1571625" cy="600075"/>
        </a:xfrm>
        <a:prstGeom prst="round2SameRect">
          <a:avLst/>
        </a:prstGeom>
        <a:solidFill>
          <a:srgbClr val="A6A5AA"/>
        </a:solidFill>
        <a:ln w="12700">
          <a:solidFill>
            <a:srgbClr val="A6A5AA"/>
          </a:solidFill>
        </a:ln>
        <a:effectLst>
          <a:outerShdw blurRad="25400" dist="508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CB369157-CA5B-4E40-B1DE-604993B819B3}" type="TxLink">
            <a:rPr lang="en-US" sz="1100" b="0" i="0" u="none" strike="noStrike">
              <a:solidFill>
                <a:schemeClr val="bg1"/>
              </a:solidFill>
              <a:latin typeface="Arial" panose="020B0604020202020204" pitchFamily="34" charset="0"/>
              <a:cs typeface="Arial" panose="020B0604020202020204" pitchFamily="34" charset="0"/>
            </a:rPr>
            <a:pPr algn="ctr"/>
            <a:t>CUSTOM MEASURES INPUT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xdr:col>
      <xdr:colOff>0</xdr:colOff>
      <xdr:row>4</xdr:row>
      <xdr:rowOff>1</xdr:rowOff>
    </xdr:from>
    <xdr:to>
      <xdr:col>44</xdr:col>
      <xdr:colOff>13806</xdr:colOff>
      <xdr:row>7</xdr:row>
      <xdr:rowOff>0</xdr:rowOff>
    </xdr:to>
    <xdr:sp macro="" textlink="">
      <xdr:nvSpPr>
        <xdr:cNvPr id="10" name="TOPRIBBON">
          <a:extLst>
            <a:ext uri="{FF2B5EF4-FFF2-40B4-BE49-F238E27FC236}">
              <a16:creationId xmlns:a16="http://schemas.microsoft.com/office/drawing/2014/main" id="{00000000-0008-0000-1E00-00000A000000}"/>
            </a:ext>
          </a:extLst>
        </xdr:cNvPr>
        <xdr:cNvSpPr/>
      </xdr:nvSpPr>
      <xdr:spPr>
        <a:xfrm>
          <a:off x="313765" y="806825"/>
          <a:ext cx="13505688" cy="605116"/>
        </a:xfrm>
        <a:prstGeom prst="round2SameRect">
          <a:avLst/>
        </a:prstGeom>
        <a:solidFill>
          <a:srgbClr val="A6A5A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p>
      </xdr:txBody>
    </xdr:sp>
    <xdr:clientData/>
  </xdr:twoCellAnchor>
  <xdr:twoCellAnchor editAs="absolute">
    <xdr:from>
      <xdr:col>41</xdr:col>
      <xdr:colOff>0</xdr:colOff>
      <xdr:row>9</xdr:row>
      <xdr:rowOff>1047</xdr:rowOff>
    </xdr:from>
    <xdr:to>
      <xdr:col>43</xdr:col>
      <xdr:colOff>231</xdr:colOff>
      <xdr:row>11</xdr:row>
      <xdr:rowOff>1046</xdr:rowOff>
    </xdr:to>
    <xdr:sp macro="" textlink="">
      <xdr:nvSpPr>
        <xdr:cNvPr id="2" name="NEXT">
          <a:hlinkClick xmlns:r="http://schemas.openxmlformats.org/officeDocument/2006/relationships" r:id="rId6" tooltip=" "/>
          <a:extLst>
            <a:ext uri="{FF2B5EF4-FFF2-40B4-BE49-F238E27FC236}">
              <a16:creationId xmlns:a16="http://schemas.microsoft.com/office/drawing/2014/main" id="{00000000-0008-0000-1E00-000002000000}"/>
            </a:ext>
          </a:extLst>
        </xdr:cNvPr>
        <xdr:cNvSpPr>
          <a:spLocks noChangeAspect="1"/>
        </xdr:cNvSpPr>
      </xdr:nvSpPr>
      <xdr:spPr>
        <a:xfrm>
          <a:off x="12887325" y="1801272"/>
          <a:ext cx="627520" cy="400049"/>
        </a:xfrm>
        <a:prstGeom prst="rightArrow">
          <a:avLst/>
        </a:prstGeom>
        <a:solidFill>
          <a:srgbClr val="54BCEB"/>
        </a:solidFill>
        <a:ln>
          <a:solidFill>
            <a:srgbClr val="54BCEB"/>
          </a:solidFill>
        </a:ln>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7</xdr:col>
      <xdr:colOff>457</xdr:colOff>
      <xdr:row>1</xdr:row>
      <xdr:rowOff>0</xdr:rowOff>
    </xdr:from>
    <xdr:to>
      <xdr:col>12</xdr:col>
      <xdr:colOff>0</xdr:colOff>
      <xdr:row>4</xdr:row>
      <xdr:rowOff>0</xdr:rowOff>
    </xdr:to>
    <xdr:sp macro="" textlink="MAIN1">
      <xdr:nvSpPr>
        <xdr:cNvPr id="3" name="MENU1">
          <a:hlinkClick xmlns:r="http://schemas.openxmlformats.org/officeDocument/2006/relationships" r:id="rId7" tooltip=" "/>
          <a:extLst>
            <a:ext uri="{FF2B5EF4-FFF2-40B4-BE49-F238E27FC236}">
              <a16:creationId xmlns:a16="http://schemas.microsoft.com/office/drawing/2014/main" id="{00000000-0008-0000-1E00-000003000000}"/>
            </a:ext>
          </a:extLst>
        </xdr:cNvPr>
        <xdr:cNvSpPr/>
      </xdr:nvSpPr>
      <xdr:spPr>
        <a:xfrm>
          <a:off x="2200732" y="200025"/>
          <a:ext cx="1571168" cy="600075"/>
        </a:xfrm>
        <a:prstGeom prst="round2SameRect">
          <a:avLst/>
        </a:prstGeom>
        <a:solidFill>
          <a:srgbClr val="00334E"/>
        </a:solidFill>
        <a:ln w="12700">
          <a:solidFill>
            <a:srgbClr val="00334E"/>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D6F2F067-2676-4601-ABCE-75BD5137E3D5}" type="TxLink">
            <a:rPr lang="en-US" sz="1100" b="0" i="0" u="none" strike="noStrike">
              <a:solidFill>
                <a:schemeClr val="bg1"/>
              </a:solidFill>
              <a:latin typeface="Arial" panose="020B0604020202020204" pitchFamily="34" charset="0"/>
              <a:cs typeface="Arial" panose="020B0604020202020204" pitchFamily="34" charset="0"/>
            </a:rPr>
            <a:pPr algn="ctr"/>
            <a:t>START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12</xdr:col>
      <xdr:colOff>0</xdr:colOff>
      <xdr:row>1</xdr:row>
      <xdr:rowOff>0</xdr:rowOff>
    </xdr:from>
    <xdr:to>
      <xdr:col>17</xdr:col>
      <xdr:colOff>0</xdr:colOff>
      <xdr:row>4</xdr:row>
      <xdr:rowOff>0</xdr:rowOff>
    </xdr:to>
    <xdr:sp macro="" textlink="MAIN2">
      <xdr:nvSpPr>
        <xdr:cNvPr id="4" name="MENU2">
          <a:hlinkClick xmlns:r="http://schemas.openxmlformats.org/officeDocument/2006/relationships" r:id="rId8" tooltip=" "/>
          <a:extLst>
            <a:ext uri="{FF2B5EF4-FFF2-40B4-BE49-F238E27FC236}">
              <a16:creationId xmlns:a16="http://schemas.microsoft.com/office/drawing/2014/main" id="{00000000-0008-0000-1E00-000004000000}"/>
            </a:ext>
          </a:extLst>
        </xdr:cNvPr>
        <xdr:cNvSpPr/>
      </xdr:nvSpPr>
      <xdr:spPr>
        <a:xfrm>
          <a:off x="3765176" y="201706"/>
          <a:ext cx="1568824" cy="605118"/>
        </a:xfrm>
        <a:prstGeom prst="round2SameRect">
          <a:avLst/>
        </a:prstGeom>
        <a:solidFill>
          <a:srgbClr val="00334E"/>
        </a:solidFill>
        <a:ln w="12700">
          <a:solidFill>
            <a:srgbClr val="00334E"/>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59A035B9-F1D2-4E89-B262-AF2DF0C338A9}" type="TxLink">
            <a:rPr lang="en-US" sz="1100" b="0" i="0" u="none" strike="noStrike">
              <a:solidFill>
                <a:schemeClr val="bg1"/>
              </a:solidFill>
              <a:latin typeface="Arial" panose="020B0604020202020204" pitchFamily="34" charset="0"/>
              <a:cs typeface="Arial" panose="020B0604020202020204" pitchFamily="34" charset="0"/>
            </a:rPr>
            <a:pPr algn="ctr"/>
            <a:t>PROJECT INFORMATION</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17</xdr:col>
      <xdr:colOff>0</xdr:colOff>
      <xdr:row>1</xdr:row>
      <xdr:rowOff>0</xdr:rowOff>
    </xdr:from>
    <xdr:to>
      <xdr:col>22</xdr:col>
      <xdr:colOff>0</xdr:colOff>
      <xdr:row>4</xdr:row>
      <xdr:rowOff>0</xdr:rowOff>
    </xdr:to>
    <xdr:sp macro="" textlink="MAIN3">
      <xdr:nvSpPr>
        <xdr:cNvPr id="5" name="MENU3">
          <a:hlinkClick xmlns:r="http://schemas.openxmlformats.org/officeDocument/2006/relationships" r:id="rId9" tooltip=" "/>
          <a:extLst>
            <a:ext uri="{FF2B5EF4-FFF2-40B4-BE49-F238E27FC236}">
              <a16:creationId xmlns:a16="http://schemas.microsoft.com/office/drawing/2014/main" id="{00000000-0008-0000-1E00-000005000000}"/>
            </a:ext>
          </a:extLst>
        </xdr:cNvPr>
        <xdr:cNvSpPr/>
      </xdr:nvSpPr>
      <xdr:spPr>
        <a:xfrm>
          <a:off x="5343525" y="200025"/>
          <a:ext cx="1571625" cy="600075"/>
        </a:xfrm>
        <a:prstGeom prst="round2SameRect">
          <a:avLst/>
        </a:prstGeom>
        <a:solidFill>
          <a:srgbClr val="00334E"/>
        </a:solidFill>
        <a:ln w="12700">
          <a:solidFill>
            <a:srgbClr val="00334E"/>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06A037F-AE33-47CC-85C1-F6D62694F95D}" type="TxLink">
            <a:rPr lang="en-US" sz="1100" b="0" i="0" u="none" strike="noStrike">
              <a:solidFill>
                <a:schemeClr val="bg1"/>
              </a:solidFill>
              <a:latin typeface="Arial" panose="020B0604020202020204" pitchFamily="34" charset="0"/>
              <a:cs typeface="Arial" panose="020B0604020202020204" pitchFamily="34" charset="0"/>
            </a:rPr>
            <a:pPr algn="ctr"/>
            <a:t>PRESCRIPTIVE MEASURES INPUT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27</xdr:col>
      <xdr:colOff>0</xdr:colOff>
      <xdr:row>1</xdr:row>
      <xdr:rowOff>0</xdr:rowOff>
    </xdr:from>
    <xdr:to>
      <xdr:col>32</xdr:col>
      <xdr:colOff>0</xdr:colOff>
      <xdr:row>4</xdr:row>
      <xdr:rowOff>0</xdr:rowOff>
    </xdr:to>
    <xdr:sp macro="" textlink="MAIN5">
      <xdr:nvSpPr>
        <xdr:cNvPr id="7" name="MENU5">
          <a:hlinkClick xmlns:r="http://schemas.openxmlformats.org/officeDocument/2006/relationships" r:id="rId10" tooltip=" "/>
          <a:extLst>
            <a:ext uri="{FF2B5EF4-FFF2-40B4-BE49-F238E27FC236}">
              <a16:creationId xmlns:a16="http://schemas.microsoft.com/office/drawing/2014/main" id="{00000000-0008-0000-1E00-000007000000}"/>
            </a:ext>
          </a:extLst>
        </xdr:cNvPr>
        <xdr:cNvSpPr/>
      </xdr:nvSpPr>
      <xdr:spPr>
        <a:xfrm>
          <a:off x="8486775" y="200025"/>
          <a:ext cx="1571625" cy="600075"/>
        </a:xfrm>
        <a:prstGeom prst="round2SameRect">
          <a:avLst/>
        </a:prstGeom>
        <a:solidFill>
          <a:srgbClr val="00334E"/>
        </a:solidFill>
        <a:ln w="12700">
          <a:solidFill>
            <a:srgbClr val="00334E"/>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F0EEDDA6-4934-49B4-972D-20D21D440D82}" type="TxLink">
            <a:rPr lang="en-US" sz="1100" b="0" i="0" u="none" strike="noStrike">
              <a:solidFill>
                <a:schemeClr val="bg1"/>
              </a:solidFill>
              <a:latin typeface="Arial" panose="020B0604020202020204" pitchFamily="34" charset="0"/>
              <a:cs typeface="Arial" panose="020B0604020202020204" pitchFamily="34" charset="0"/>
            </a:rPr>
            <a:pPr algn="ctr"/>
            <a:t>APPLICATION REVIEW</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32</xdr:col>
      <xdr:colOff>0</xdr:colOff>
      <xdr:row>1</xdr:row>
      <xdr:rowOff>0</xdr:rowOff>
    </xdr:from>
    <xdr:to>
      <xdr:col>37</xdr:col>
      <xdr:colOff>1</xdr:colOff>
      <xdr:row>4</xdr:row>
      <xdr:rowOff>0</xdr:rowOff>
    </xdr:to>
    <xdr:sp macro="" textlink="MAIN6">
      <xdr:nvSpPr>
        <xdr:cNvPr id="8" name="MENU6">
          <a:extLst>
            <a:ext uri="{FF2B5EF4-FFF2-40B4-BE49-F238E27FC236}">
              <a16:creationId xmlns:a16="http://schemas.microsoft.com/office/drawing/2014/main" id="{00000000-0008-0000-1E00-000008000000}"/>
            </a:ext>
          </a:extLst>
        </xdr:cNvPr>
        <xdr:cNvSpPr/>
      </xdr:nvSpPr>
      <xdr:spPr>
        <a:xfrm>
          <a:off x="10058400" y="200025"/>
          <a:ext cx="1571626"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54BCEB"/>
              </a:solidFill>
            </a14:hiddenFill>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B12A3774-975E-4B41-A681-E085295C6D0E}" type="TxLink">
            <a:rPr lang="en-US" sz="1100" b="0" i="0" u="none" strike="noStrike">
              <a:noFill/>
              <a:latin typeface="Arial" panose="020B0604020202020204" pitchFamily="34" charset="0"/>
              <a:cs typeface="Arial" panose="020B0604020202020204" pitchFamily="34" charset="0"/>
            </a:rPr>
            <a:pPr algn="ctr"/>
            <a:t> </a:t>
          </a:fld>
          <a:endParaRPr lang="en-US" sz="1100">
            <a:noFill/>
            <a:latin typeface="Arial" panose="020B0604020202020204" pitchFamily="34" charset="0"/>
            <a:cs typeface="Arial" panose="020B0604020202020204" pitchFamily="34" charset="0"/>
          </a:endParaRPr>
        </a:p>
      </xdr:txBody>
    </xdr:sp>
    <xdr:clientData/>
  </xdr:twoCellAnchor>
  <xdr:twoCellAnchor>
    <xdr:from>
      <xdr:col>36</xdr:col>
      <xdr:colOff>314324</xdr:colOff>
      <xdr:row>1</xdr:row>
      <xdr:rowOff>0</xdr:rowOff>
    </xdr:from>
    <xdr:to>
      <xdr:col>41</xdr:col>
      <xdr:colOff>314324</xdr:colOff>
      <xdr:row>4</xdr:row>
      <xdr:rowOff>0</xdr:rowOff>
    </xdr:to>
    <xdr:sp macro="" textlink="MAIN7">
      <xdr:nvSpPr>
        <xdr:cNvPr id="9" name="MENU7">
          <a:extLst>
            <a:ext uri="{FF2B5EF4-FFF2-40B4-BE49-F238E27FC236}">
              <a16:creationId xmlns:a16="http://schemas.microsoft.com/office/drawing/2014/main" id="{00000000-0008-0000-1E00-000009000000}"/>
            </a:ext>
          </a:extLst>
        </xdr:cNvPr>
        <xdr:cNvSpPr/>
      </xdr:nvSpPr>
      <xdr:spPr>
        <a:xfrm>
          <a:off x="11630024" y="200025"/>
          <a:ext cx="1571625"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54BCEB"/>
              </a:solidFill>
            </a14:hiddenFill>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 </a:t>
          </a:fld>
          <a:endParaRPr lang="en-US" sz="1100">
            <a:noFill/>
            <a:latin typeface="Arial" panose="020B0604020202020204" pitchFamily="34" charset="0"/>
            <a:cs typeface="Arial" panose="020B0604020202020204" pitchFamily="34" charset="0"/>
          </a:endParaRPr>
        </a:p>
      </xdr:txBody>
    </xdr:sp>
    <xdr:clientData/>
  </xdr:twoCellAnchor>
  <xdr:twoCellAnchor>
    <xdr:from>
      <xdr:col>2</xdr:col>
      <xdr:colOff>2720</xdr:colOff>
      <xdr:row>5</xdr:row>
      <xdr:rowOff>0</xdr:rowOff>
    </xdr:from>
    <xdr:to>
      <xdr:col>7</xdr:col>
      <xdr:colOff>457</xdr:colOff>
      <xdr:row>6</xdr:row>
      <xdr:rowOff>197827</xdr:rowOff>
    </xdr:to>
    <xdr:sp macro="" textlink="M4S1">
      <xdr:nvSpPr>
        <xdr:cNvPr id="11" name="SUBMENU1">
          <a:hlinkClick xmlns:r="http://schemas.openxmlformats.org/officeDocument/2006/relationships" r:id="rId5" tooltip=" "/>
          <a:extLst>
            <a:ext uri="{FF2B5EF4-FFF2-40B4-BE49-F238E27FC236}">
              <a16:creationId xmlns:a16="http://schemas.microsoft.com/office/drawing/2014/main" id="{00000000-0008-0000-1E00-00000B000000}"/>
            </a:ext>
          </a:extLst>
        </xdr:cNvPr>
        <xdr:cNvSpPr/>
      </xdr:nvSpPr>
      <xdr:spPr>
        <a:xfrm>
          <a:off x="631370" y="1000125"/>
          <a:ext cx="1569362" cy="397852"/>
        </a:xfrm>
        <a:prstGeom prst="round2SameRect">
          <a:avLst/>
        </a:prstGeom>
        <a:solidFill>
          <a:srgbClr val="54BCEB"/>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3664FD99-357F-4D59-894F-756F573EB972}"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Custom Lighting</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7</xdr:col>
      <xdr:colOff>6474</xdr:colOff>
      <xdr:row>5</xdr:row>
      <xdr:rowOff>680</xdr:rowOff>
    </xdr:from>
    <xdr:to>
      <xdr:col>12</xdr:col>
      <xdr:colOff>6474</xdr:colOff>
      <xdr:row>7</xdr:row>
      <xdr:rowOff>0</xdr:rowOff>
    </xdr:to>
    <xdr:sp macro="" textlink="M4S2">
      <xdr:nvSpPr>
        <xdr:cNvPr id="12" name="SUBMENU2">
          <a:hlinkClick xmlns:r="http://schemas.openxmlformats.org/officeDocument/2006/relationships" r:id="rId11" tooltip=" "/>
          <a:extLst>
            <a:ext uri="{FF2B5EF4-FFF2-40B4-BE49-F238E27FC236}">
              <a16:creationId xmlns:a16="http://schemas.microsoft.com/office/drawing/2014/main" id="{00000000-0008-0000-1E00-00000C000000}"/>
            </a:ext>
          </a:extLst>
        </xdr:cNvPr>
        <xdr:cNvSpPr/>
      </xdr:nvSpPr>
      <xdr:spPr>
        <a:xfrm>
          <a:off x="2202827" y="1009209"/>
          <a:ext cx="1568823" cy="402732"/>
        </a:xfrm>
        <a:prstGeom prst="round2SameRect">
          <a:avLst/>
        </a:prstGeom>
        <a:solidFill>
          <a:srgbClr val="54BCEB"/>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5D0A4E02-9E12-41C2-BD00-10CC6F027B75}"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New Construction Lighting</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xdr:col>
      <xdr:colOff>558</xdr:colOff>
      <xdr:row>7</xdr:row>
      <xdr:rowOff>200024</xdr:rowOff>
    </xdr:from>
    <xdr:to>
      <xdr:col>44</xdr:col>
      <xdr:colOff>0</xdr:colOff>
      <xdr:row>35</xdr:row>
      <xdr:rowOff>0</xdr:rowOff>
    </xdr:to>
    <xdr:sp macro="" textlink="">
      <xdr:nvSpPr>
        <xdr:cNvPr id="19" name="BORDER">
          <a:extLst>
            <a:ext uri="{FF2B5EF4-FFF2-40B4-BE49-F238E27FC236}">
              <a16:creationId xmlns:a16="http://schemas.microsoft.com/office/drawing/2014/main" id="{00000000-0008-0000-1E00-000013000000}"/>
            </a:ext>
          </a:extLst>
        </xdr:cNvPr>
        <xdr:cNvSpPr/>
      </xdr:nvSpPr>
      <xdr:spPr>
        <a:xfrm>
          <a:off x="314323" y="1611965"/>
          <a:ext cx="13491324" cy="5447741"/>
        </a:xfrm>
        <a:prstGeom prst="frame">
          <a:avLst>
            <a:gd name="adj1" fmla="val 97"/>
          </a:avLst>
        </a:prstGeom>
        <a:noFill/>
        <a:ln w="12700" cap="flat" cmpd="sng" algn="ctr">
          <a:solidFill>
            <a:srgbClr val="00334E"/>
          </a:solidFill>
          <a:prstDash val="solid"/>
          <a:miter lim="800000"/>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fPrintsWithSheet="0"/>
  </xdr:twoCellAnchor>
  <xdr:twoCellAnchor editAs="absolute">
    <xdr:from>
      <xdr:col>2</xdr:col>
      <xdr:colOff>2720</xdr:colOff>
      <xdr:row>9</xdr:row>
      <xdr:rowOff>1207</xdr:rowOff>
    </xdr:from>
    <xdr:to>
      <xdr:col>4</xdr:col>
      <xdr:colOff>960</xdr:colOff>
      <xdr:row>11</xdr:row>
      <xdr:rowOff>1207</xdr:rowOff>
    </xdr:to>
    <xdr:sp macro="" textlink="">
      <xdr:nvSpPr>
        <xdr:cNvPr id="20" name="BACK">
          <a:hlinkClick xmlns:r="http://schemas.openxmlformats.org/officeDocument/2006/relationships" r:id="rId12" tooltip=" "/>
          <a:extLst>
            <a:ext uri="{FF2B5EF4-FFF2-40B4-BE49-F238E27FC236}">
              <a16:creationId xmlns:a16="http://schemas.microsoft.com/office/drawing/2014/main" id="{00000000-0008-0000-1E00-000014000000}"/>
            </a:ext>
          </a:extLst>
        </xdr:cNvPr>
        <xdr:cNvSpPr>
          <a:spLocks noChangeAspect="1"/>
        </xdr:cNvSpPr>
      </xdr:nvSpPr>
      <xdr:spPr>
        <a:xfrm>
          <a:off x="631370" y="1801432"/>
          <a:ext cx="626890" cy="400050"/>
        </a:xfrm>
        <a:prstGeom prst="leftArrow">
          <a:avLst/>
        </a:prstGeom>
        <a:solidFill>
          <a:srgbClr val="54BCEB"/>
        </a:solidFill>
        <a:ln>
          <a:solidFill>
            <a:srgbClr val="54BCEB"/>
          </a:solidFill>
        </a:ln>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12</xdr:col>
      <xdr:colOff>12491</xdr:colOff>
      <xdr:row>4</xdr:row>
      <xdr:rowOff>200705</xdr:rowOff>
    </xdr:from>
    <xdr:to>
      <xdr:col>18</xdr:col>
      <xdr:colOff>287886</xdr:colOff>
      <xdr:row>7</xdr:row>
      <xdr:rowOff>0</xdr:rowOff>
    </xdr:to>
    <xdr:sp macro="" textlink="M4S3">
      <xdr:nvSpPr>
        <xdr:cNvPr id="13" name="SUBMENU3">
          <a:hlinkClick xmlns:r="http://schemas.openxmlformats.org/officeDocument/2006/relationships" r:id="rId13" tooltip=" "/>
          <a:extLst>
            <a:ext uri="{FF2B5EF4-FFF2-40B4-BE49-F238E27FC236}">
              <a16:creationId xmlns:a16="http://schemas.microsoft.com/office/drawing/2014/main" id="{00000000-0008-0000-1E00-00000D000000}"/>
            </a:ext>
          </a:extLst>
        </xdr:cNvPr>
        <xdr:cNvSpPr/>
      </xdr:nvSpPr>
      <xdr:spPr>
        <a:xfrm>
          <a:off x="3777667" y="1007529"/>
          <a:ext cx="2157984" cy="404412"/>
        </a:xfrm>
        <a:prstGeom prst="round2SameRect">
          <a:avLst/>
        </a:prstGeom>
        <a:solidFill>
          <a:srgbClr val="54BCEB"/>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DC8E2C81-AACE-4DC5-9683-990BF5B93E88}"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Custom / RCx / New Construction
 Non-Lighting (Electric)</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18</xdr:col>
      <xdr:colOff>293904</xdr:colOff>
      <xdr:row>5</xdr:row>
      <xdr:rowOff>51481</xdr:rowOff>
    </xdr:from>
    <xdr:to>
      <xdr:col>25</xdr:col>
      <xdr:colOff>255535</xdr:colOff>
      <xdr:row>7</xdr:row>
      <xdr:rowOff>50801</xdr:rowOff>
    </xdr:to>
    <xdr:sp macro="" textlink="M4S4">
      <xdr:nvSpPr>
        <xdr:cNvPr id="14" name="SUBMENU4">
          <a:hlinkClick xmlns:r="http://schemas.openxmlformats.org/officeDocument/2006/relationships" r:id="rId14" tooltip=" "/>
          <a:extLst>
            <a:ext uri="{FF2B5EF4-FFF2-40B4-BE49-F238E27FC236}">
              <a16:creationId xmlns:a16="http://schemas.microsoft.com/office/drawing/2014/main" id="{00000000-0008-0000-1E00-00000E000000}"/>
            </a:ext>
          </a:extLst>
        </xdr:cNvPr>
        <xdr:cNvSpPr/>
      </xdr:nvSpPr>
      <xdr:spPr>
        <a:xfrm>
          <a:off x="5941669" y="1060010"/>
          <a:ext cx="2157984" cy="402732"/>
        </a:xfrm>
        <a:prstGeom prst="round2SameRect">
          <a:avLst/>
        </a:prstGeom>
        <a:solidFill>
          <a:srgbClr val="00334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marL="0" indent="0" algn="ctr"/>
          <a:fld id="{1050F369-33A9-41B8-BB9C-848C113C5B15}" type="TxLink">
            <a:rPr lang="en-US" sz="1100" b="0" i="0" u="none" strike="noStrike">
              <a:solidFill>
                <a:srgbClr val="FFFFFF"/>
              </a:solidFill>
              <a:latin typeface="Arial" panose="020B0604020202020204" pitchFamily="34" charset="0"/>
              <a:ea typeface="+mn-ea"/>
              <a:cs typeface="Arial" panose="020B0604020202020204" pitchFamily="34" charset="0"/>
            </a:rPr>
            <a:pPr marL="0" indent="0" algn="ctr"/>
            <a:t>Custom / RCx / New Construction
 (Gas)</a:t>
          </a:fld>
          <a:endParaRPr lang="en-US" sz="1100" b="0" i="0" u="none" strike="noStrike">
            <a:solidFill>
              <a:srgbClr val="FFFFFF"/>
            </a:solidFill>
            <a:latin typeface="Arial" panose="020B0604020202020204" pitchFamily="34" charset="0"/>
            <a:ea typeface="+mn-ea"/>
            <a:cs typeface="Arial" panose="020B0604020202020204" pitchFamily="34" charset="0"/>
          </a:endParaRPr>
        </a:p>
      </xdr:txBody>
    </xdr:sp>
    <xdr:clientData/>
  </xdr:twoCellAnchor>
  <xdr:twoCellAnchor>
    <xdr:from>
      <xdr:col>1</xdr:col>
      <xdr:colOff>0</xdr:colOff>
      <xdr:row>7</xdr:row>
      <xdr:rowOff>0</xdr:rowOff>
    </xdr:from>
    <xdr:to>
      <xdr:col>44</xdr:col>
      <xdr:colOff>13806</xdr:colOff>
      <xdr:row>8</xdr:row>
      <xdr:rowOff>0</xdr:rowOff>
    </xdr:to>
    <xdr:sp macro="" textlink="">
      <xdr:nvSpPr>
        <xdr:cNvPr id="21" name="BOTTOMRIBBON">
          <a:extLst>
            <a:ext uri="{FF2B5EF4-FFF2-40B4-BE49-F238E27FC236}">
              <a16:creationId xmlns:a16="http://schemas.microsoft.com/office/drawing/2014/main" id="{00000000-0008-0000-1E00-000015000000}"/>
            </a:ext>
          </a:extLst>
        </xdr:cNvPr>
        <xdr:cNvSpPr/>
      </xdr:nvSpPr>
      <xdr:spPr>
        <a:xfrm>
          <a:off x="313765" y="1411941"/>
          <a:ext cx="13505688" cy="201706"/>
        </a:xfrm>
        <a:prstGeom prst="rect">
          <a:avLst/>
        </a:prstGeom>
        <a:solidFill>
          <a:srgbClr val="00334E"/>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solidFill>
              <a:srgbClr val="FFFFFF"/>
            </a:solidFill>
          </a:endParaRPr>
        </a:p>
      </xdr:txBody>
    </xdr:sp>
    <xdr:clientData/>
  </xdr:twoCellAnchor>
  <xdr:twoCellAnchor editAs="oneCell">
    <xdr:from>
      <xdr:col>2</xdr:col>
      <xdr:colOff>102850</xdr:colOff>
      <xdr:row>0</xdr:row>
      <xdr:rowOff>156884</xdr:rowOff>
    </xdr:from>
    <xdr:to>
      <xdr:col>5</xdr:col>
      <xdr:colOff>30405</xdr:colOff>
      <xdr:row>2</xdr:row>
      <xdr:rowOff>195627</xdr:rowOff>
    </xdr:to>
    <xdr:pic>
      <xdr:nvPicPr>
        <xdr:cNvPr id="24" name="LOGO">
          <a:extLst>
            <a:ext uri="{FF2B5EF4-FFF2-40B4-BE49-F238E27FC236}">
              <a16:creationId xmlns:a16="http://schemas.microsoft.com/office/drawing/2014/main" id="{00000000-0008-0000-1E00-000018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xdr:blipFill>
      <xdr:spPr>
        <a:xfrm>
          <a:off x="730379" y="156884"/>
          <a:ext cx="868850" cy="442155"/>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xdr:from>
      <xdr:col>22</xdr:col>
      <xdr:colOff>2551</xdr:colOff>
      <xdr:row>4</xdr:row>
      <xdr:rowOff>200705</xdr:rowOff>
    </xdr:from>
    <xdr:to>
      <xdr:col>27</xdr:col>
      <xdr:colOff>2549</xdr:colOff>
      <xdr:row>7</xdr:row>
      <xdr:rowOff>0</xdr:rowOff>
    </xdr:to>
    <xdr:sp macro="" textlink="M5S5">
      <xdr:nvSpPr>
        <xdr:cNvPr id="15" name="SUBMENU5">
          <a:hlinkClick xmlns:r="http://schemas.openxmlformats.org/officeDocument/2006/relationships" r:id="rId1"/>
          <a:extLst>
            <a:ext uri="{FF2B5EF4-FFF2-40B4-BE49-F238E27FC236}">
              <a16:creationId xmlns:a16="http://schemas.microsoft.com/office/drawing/2014/main" id="{00000000-0008-0000-1F00-00000F000000}"/>
            </a:ext>
          </a:extLst>
        </xdr:cNvPr>
        <xdr:cNvSpPr/>
      </xdr:nvSpPr>
      <xdr:spPr>
        <a:xfrm>
          <a:off x="6917701" y="1000805"/>
          <a:ext cx="1571623" cy="399370"/>
        </a:xfrm>
        <a:prstGeom prst="round2SameRect">
          <a:avLst/>
        </a:prstGeom>
        <a:solidFill>
          <a:srgbClr val="54BCEB"/>
        </a:solidFill>
        <a:ln w="12700">
          <a:solidFill>
            <a:srgbClr val="54BCEB"/>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8ECB5FB8-9114-4770-BA69-C59ADB9DA12A}" type="TxLink">
            <a:rPr lang="en-US" sz="1100" b="0" i="0" u="none" strike="noStrike">
              <a:solidFill>
                <a:srgbClr val="FFFFFF"/>
              </a:solidFill>
              <a:latin typeface="Arial" panose="020B0604020202020204" pitchFamily="34" charset="0"/>
              <a:cs typeface="Arial" panose="020B0604020202020204" pitchFamily="34" charset="0"/>
            </a:rPr>
            <a:pPr algn="ctr"/>
            <a:t>Completion Form</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17</xdr:col>
      <xdr:colOff>2551</xdr:colOff>
      <xdr:row>4</xdr:row>
      <xdr:rowOff>200705</xdr:rowOff>
    </xdr:from>
    <xdr:to>
      <xdr:col>22</xdr:col>
      <xdr:colOff>2550</xdr:colOff>
      <xdr:row>7</xdr:row>
      <xdr:rowOff>0</xdr:rowOff>
    </xdr:to>
    <xdr:sp macro="" textlink="M5S4">
      <xdr:nvSpPr>
        <xdr:cNvPr id="14" name="SUBMENU4">
          <a:hlinkClick xmlns:r="http://schemas.openxmlformats.org/officeDocument/2006/relationships" r:id="rId2"/>
          <a:extLst>
            <a:ext uri="{FF2B5EF4-FFF2-40B4-BE49-F238E27FC236}">
              <a16:creationId xmlns:a16="http://schemas.microsoft.com/office/drawing/2014/main" id="{00000000-0008-0000-1F00-00000E000000}"/>
            </a:ext>
          </a:extLst>
        </xdr:cNvPr>
        <xdr:cNvSpPr/>
      </xdr:nvSpPr>
      <xdr:spPr>
        <a:xfrm>
          <a:off x="5346076" y="1000805"/>
          <a:ext cx="1571624" cy="399370"/>
        </a:xfrm>
        <a:prstGeom prst="round2SameRect">
          <a:avLst/>
        </a:prstGeom>
        <a:solidFill>
          <a:srgbClr val="54BCEB"/>
        </a:solidFill>
        <a:ln w="12700">
          <a:solidFill>
            <a:srgbClr val="54BCEB"/>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B7C45266-6E58-4EB8-84F4-252DC759ED99}" type="TxLink">
            <a:rPr lang="en-US" sz="1100" b="0" i="0" u="none" strike="noStrike">
              <a:solidFill>
                <a:srgbClr val="FFFFFF"/>
              </a:solidFill>
              <a:latin typeface="Arial" panose="020B0604020202020204" pitchFamily="34" charset="0"/>
              <a:cs typeface="Arial" panose="020B0604020202020204" pitchFamily="34" charset="0"/>
            </a:rPr>
            <a:pPr algn="ctr"/>
            <a:t>Offer Form</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27</xdr:col>
      <xdr:colOff>0</xdr:colOff>
      <xdr:row>4</xdr:row>
      <xdr:rowOff>200705</xdr:rowOff>
    </xdr:from>
    <xdr:to>
      <xdr:col>32</xdr:col>
      <xdr:colOff>2865</xdr:colOff>
      <xdr:row>7</xdr:row>
      <xdr:rowOff>0</xdr:rowOff>
    </xdr:to>
    <xdr:sp macro="" textlink="M5S6">
      <xdr:nvSpPr>
        <xdr:cNvPr id="16" name="SUBMENU6">
          <a:hlinkClick xmlns:r="http://schemas.openxmlformats.org/officeDocument/2006/relationships" r:id="rId3"/>
          <a:extLst>
            <a:ext uri="{FF2B5EF4-FFF2-40B4-BE49-F238E27FC236}">
              <a16:creationId xmlns:a16="http://schemas.microsoft.com/office/drawing/2014/main" id="{00000000-0008-0000-1F00-000010000000}"/>
            </a:ext>
          </a:extLst>
        </xdr:cNvPr>
        <xdr:cNvSpPr/>
      </xdr:nvSpPr>
      <xdr:spPr>
        <a:xfrm>
          <a:off x="8486775" y="1000805"/>
          <a:ext cx="1574490" cy="399370"/>
        </a:xfrm>
        <a:prstGeom prst="round2SameRect">
          <a:avLst/>
        </a:prstGeom>
        <a:solidFill>
          <a:srgbClr val="54BCEB"/>
        </a:solidFill>
        <a:ln w="12700">
          <a:solidFill>
            <a:srgbClr val="54BCEB"/>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2FFA63F3-7E4C-4DC1-BC79-0F66048F9B50}" type="TxLink">
            <a:rPr lang="en-US" sz="1100" b="0" i="0" u="none" strike="noStrike">
              <a:solidFill>
                <a:srgbClr val="FFFFFF"/>
              </a:solidFill>
              <a:latin typeface="Arial" panose="020B0604020202020204" pitchFamily="34" charset="0"/>
              <a:cs typeface="Arial" panose="020B0604020202020204" pitchFamily="34" charset="0"/>
            </a:rPr>
            <a:pPr algn="ctr"/>
            <a:t>Inspection Form</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7</xdr:col>
      <xdr:colOff>457</xdr:colOff>
      <xdr:row>1</xdr:row>
      <xdr:rowOff>0</xdr:rowOff>
    </xdr:from>
    <xdr:to>
      <xdr:col>12</xdr:col>
      <xdr:colOff>0</xdr:colOff>
      <xdr:row>4</xdr:row>
      <xdr:rowOff>0</xdr:rowOff>
    </xdr:to>
    <xdr:sp macro="" textlink="MAIN1">
      <xdr:nvSpPr>
        <xdr:cNvPr id="3" name="MENU1">
          <a:hlinkClick xmlns:r="http://schemas.openxmlformats.org/officeDocument/2006/relationships" r:id="rId4" tooltip=" "/>
          <a:extLst>
            <a:ext uri="{FF2B5EF4-FFF2-40B4-BE49-F238E27FC236}">
              <a16:creationId xmlns:a16="http://schemas.microsoft.com/office/drawing/2014/main" id="{00000000-0008-0000-1F00-000003000000}"/>
            </a:ext>
          </a:extLst>
        </xdr:cNvPr>
        <xdr:cNvSpPr/>
      </xdr:nvSpPr>
      <xdr:spPr>
        <a:xfrm>
          <a:off x="2200732" y="200025"/>
          <a:ext cx="1571168" cy="600075"/>
        </a:xfrm>
        <a:prstGeom prst="round2SameRect">
          <a:avLst/>
        </a:prstGeom>
        <a:solidFill>
          <a:srgbClr val="00334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D6F2F067-2676-4601-ABCE-75BD5137E3D5}" type="TxLink">
            <a:rPr lang="en-US" sz="1100" b="0" i="0" u="none" strike="noStrike">
              <a:solidFill>
                <a:schemeClr val="bg1"/>
              </a:solidFill>
              <a:latin typeface="Arial" panose="020B0604020202020204" pitchFamily="34" charset="0"/>
              <a:cs typeface="Arial" panose="020B0604020202020204" pitchFamily="34" charset="0"/>
            </a:rPr>
            <a:pPr algn="ctr"/>
            <a:t>START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12</xdr:col>
      <xdr:colOff>0</xdr:colOff>
      <xdr:row>1</xdr:row>
      <xdr:rowOff>0</xdr:rowOff>
    </xdr:from>
    <xdr:to>
      <xdr:col>17</xdr:col>
      <xdr:colOff>0</xdr:colOff>
      <xdr:row>4</xdr:row>
      <xdr:rowOff>0</xdr:rowOff>
    </xdr:to>
    <xdr:sp macro="" textlink="MAIN2">
      <xdr:nvSpPr>
        <xdr:cNvPr id="4" name="MENU2">
          <a:hlinkClick xmlns:r="http://schemas.openxmlformats.org/officeDocument/2006/relationships" r:id="rId5" tooltip=" "/>
          <a:extLst>
            <a:ext uri="{FF2B5EF4-FFF2-40B4-BE49-F238E27FC236}">
              <a16:creationId xmlns:a16="http://schemas.microsoft.com/office/drawing/2014/main" id="{00000000-0008-0000-1F00-000004000000}"/>
            </a:ext>
          </a:extLst>
        </xdr:cNvPr>
        <xdr:cNvSpPr/>
      </xdr:nvSpPr>
      <xdr:spPr>
        <a:xfrm>
          <a:off x="3765176" y="201706"/>
          <a:ext cx="1568824" cy="605118"/>
        </a:xfrm>
        <a:prstGeom prst="round2SameRect">
          <a:avLst/>
        </a:prstGeom>
        <a:solidFill>
          <a:srgbClr val="00334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59A035B9-F1D2-4E89-B262-AF2DF0C338A9}" type="TxLink">
            <a:rPr lang="en-US" sz="1100" b="0" i="0" u="none" strike="noStrike">
              <a:solidFill>
                <a:schemeClr val="bg1"/>
              </a:solidFill>
              <a:latin typeface="Arial" panose="020B0604020202020204" pitchFamily="34" charset="0"/>
              <a:cs typeface="Arial" panose="020B0604020202020204" pitchFamily="34" charset="0"/>
            </a:rPr>
            <a:pPr algn="ctr"/>
            <a:t>PROJECT INFORMATION</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17</xdr:col>
      <xdr:colOff>0</xdr:colOff>
      <xdr:row>1</xdr:row>
      <xdr:rowOff>0</xdr:rowOff>
    </xdr:from>
    <xdr:to>
      <xdr:col>22</xdr:col>
      <xdr:colOff>0</xdr:colOff>
      <xdr:row>4</xdr:row>
      <xdr:rowOff>0</xdr:rowOff>
    </xdr:to>
    <xdr:sp macro="" textlink="MAIN3">
      <xdr:nvSpPr>
        <xdr:cNvPr id="5" name="MENU3">
          <a:hlinkClick xmlns:r="http://schemas.openxmlformats.org/officeDocument/2006/relationships" r:id="rId6" tooltip=" "/>
          <a:extLst>
            <a:ext uri="{FF2B5EF4-FFF2-40B4-BE49-F238E27FC236}">
              <a16:creationId xmlns:a16="http://schemas.microsoft.com/office/drawing/2014/main" id="{00000000-0008-0000-1F00-000005000000}"/>
            </a:ext>
          </a:extLst>
        </xdr:cNvPr>
        <xdr:cNvSpPr/>
      </xdr:nvSpPr>
      <xdr:spPr>
        <a:xfrm>
          <a:off x="5334000" y="201706"/>
          <a:ext cx="1568824" cy="605118"/>
        </a:xfrm>
        <a:prstGeom prst="round2SameRect">
          <a:avLst/>
        </a:prstGeom>
        <a:solidFill>
          <a:srgbClr val="00334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06A037F-AE33-47CC-85C1-F6D62694F95D}" type="TxLink">
            <a:rPr lang="en-US" sz="1100" b="0" i="0" u="none" strike="noStrike">
              <a:solidFill>
                <a:schemeClr val="bg1"/>
              </a:solidFill>
              <a:latin typeface="Arial" panose="020B0604020202020204" pitchFamily="34" charset="0"/>
              <a:cs typeface="Arial" panose="020B0604020202020204" pitchFamily="34" charset="0"/>
            </a:rPr>
            <a:pPr algn="ctr"/>
            <a:t>PRESCRIPTIVE MEASURES INPUT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22</xdr:col>
      <xdr:colOff>0</xdr:colOff>
      <xdr:row>1</xdr:row>
      <xdr:rowOff>0</xdr:rowOff>
    </xdr:from>
    <xdr:to>
      <xdr:col>27</xdr:col>
      <xdr:colOff>0</xdr:colOff>
      <xdr:row>4</xdr:row>
      <xdr:rowOff>0</xdr:rowOff>
    </xdr:to>
    <xdr:sp macro="" textlink="MAIN4">
      <xdr:nvSpPr>
        <xdr:cNvPr id="6" name="MENU4">
          <a:hlinkClick xmlns:r="http://schemas.openxmlformats.org/officeDocument/2006/relationships" r:id="rId7" tooltip=" "/>
          <a:extLst>
            <a:ext uri="{FF2B5EF4-FFF2-40B4-BE49-F238E27FC236}">
              <a16:creationId xmlns:a16="http://schemas.microsoft.com/office/drawing/2014/main" id="{00000000-0008-0000-1F00-000006000000}"/>
            </a:ext>
          </a:extLst>
        </xdr:cNvPr>
        <xdr:cNvSpPr/>
      </xdr:nvSpPr>
      <xdr:spPr>
        <a:xfrm>
          <a:off x="6902824" y="201706"/>
          <a:ext cx="1568823" cy="605118"/>
        </a:xfrm>
        <a:prstGeom prst="round2SameRect">
          <a:avLst/>
        </a:prstGeom>
        <a:solidFill>
          <a:srgbClr val="00334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CB369157-CA5B-4E40-B1DE-604993B819B3}" type="TxLink">
            <a:rPr lang="en-US" sz="1100" b="0" i="0" u="none" strike="noStrike">
              <a:solidFill>
                <a:schemeClr val="bg1"/>
              </a:solidFill>
              <a:latin typeface="Arial" panose="020B0604020202020204" pitchFamily="34" charset="0"/>
              <a:cs typeface="Arial" panose="020B0604020202020204" pitchFamily="34" charset="0"/>
            </a:rPr>
            <a:pPr algn="ctr"/>
            <a:t>CUSTOM MEASURES INPUT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27</xdr:col>
      <xdr:colOff>0</xdr:colOff>
      <xdr:row>1</xdr:row>
      <xdr:rowOff>133350</xdr:rowOff>
    </xdr:from>
    <xdr:to>
      <xdr:col>32</xdr:col>
      <xdr:colOff>0</xdr:colOff>
      <xdr:row>4</xdr:row>
      <xdr:rowOff>133350</xdr:rowOff>
    </xdr:to>
    <xdr:sp macro="" textlink="MAIN5">
      <xdr:nvSpPr>
        <xdr:cNvPr id="7" name="MENU5">
          <a:hlinkClick xmlns:r="http://schemas.openxmlformats.org/officeDocument/2006/relationships" r:id="rId8" tooltip=" "/>
          <a:extLst>
            <a:ext uri="{FF2B5EF4-FFF2-40B4-BE49-F238E27FC236}">
              <a16:creationId xmlns:a16="http://schemas.microsoft.com/office/drawing/2014/main" id="{00000000-0008-0000-1F00-000007000000}"/>
            </a:ext>
          </a:extLst>
        </xdr:cNvPr>
        <xdr:cNvSpPr/>
      </xdr:nvSpPr>
      <xdr:spPr>
        <a:xfrm>
          <a:off x="8486775" y="333375"/>
          <a:ext cx="1571625" cy="600075"/>
        </a:xfrm>
        <a:prstGeom prst="round2SameRect">
          <a:avLst/>
        </a:prstGeom>
        <a:solidFill>
          <a:srgbClr val="A6A5AA"/>
        </a:solidFill>
        <a:ln w="12700">
          <a:solidFill>
            <a:srgbClr val="A6A5AA"/>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F0EEDDA6-4934-49B4-972D-20D21D440D82}" type="TxLink">
            <a:rPr lang="en-US" sz="1100" b="0" i="0" u="none" strike="noStrike">
              <a:solidFill>
                <a:schemeClr val="bg1"/>
              </a:solidFill>
              <a:latin typeface="Arial" panose="020B0604020202020204" pitchFamily="34" charset="0"/>
              <a:cs typeface="Arial" panose="020B0604020202020204" pitchFamily="34" charset="0"/>
            </a:rPr>
            <a:pPr algn="ctr"/>
            <a:t>APPLICATION REVIEW</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32</xdr:col>
      <xdr:colOff>2865</xdr:colOff>
      <xdr:row>4</xdr:row>
      <xdr:rowOff>200705</xdr:rowOff>
    </xdr:from>
    <xdr:to>
      <xdr:col>37</xdr:col>
      <xdr:colOff>2720</xdr:colOff>
      <xdr:row>7</xdr:row>
      <xdr:rowOff>0</xdr:rowOff>
    </xdr:to>
    <xdr:sp macro="" textlink="M5S7">
      <xdr:nvSpPr>
        <xdr:cNvPr id="17" name="SUBMENU7">
          <a:hlinkClick xmlns:r="http://schemas.openxmlformats.org/officeDocument/2006/relationships" r:id="rId9"/>
          <a:extLst>
            <a:ext uri="{FF2B5EF4-FFF2-40B4-BE49-F238E27FC236}">
              <a16:creationId xmlns:a16="http://schemas.microsoft.com/office/drawing/2014/main" id="{00000000-0008-0000-1F00-000011000000}"/>
            </a:ext>
          </a:extLst>
        </xdr:cNvPr>
        <xdr:cNvSpPr/>
      </xdr:nvSpPr>
      <xdr:spPr>
        <a:xfrm>
          <a:off x="10061265" y="1000805"/>
          <a:ext cx="1571480" cy="399370"/>
        </a:xfrm>
        <a:prstGeom prst="round2SameRect">
          <a:avLst/>
        </a:prstGeom>
        <a:solidFill>
          <a:srgbClr val="54BCEB"/>
        </a:solidFill>
        <a:ln w="12700">
          <a:solidFill>
            <a:srgbClr val="54BCEB"/>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6CAE8FA-B71D-4045-87A3-84E89034BDA3}" type="TxLink">
            <a:rPr lang="en-US" sz="1100" b="0" i="0" u="none" strike="noStrike">
              <a:solidFill>
                <a:srgbClr val="FFFFFF"/>
              </a:solidFill>
              <a:latin typeface="Arial" panose="020B0604020202020204" pitchFamily="34" charset="0"/>
              <a:cs typeface="Arial" panose="020B0604020202020204" pitchFamily="34" charset="0"/>
            </a:rPr>
            <a:pPr algn="ctr"/>
            <a:t>Summary Form</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1</xdr:col>
      <xdr:colOff>0</xdr:colOff>
      <xdr:row>4</xdr:row>
      <xdr:rowOff>1</xdr:rowOff>
    </xdr:from>
    <xdr:to>
      <xdr:col>44</xdr:col>
      <xdr:colOff>13806</xdr:colOff>
      <xdr:row>7</xdr:row>
      <xdr:rowOff>0</xdr:rowOff>
    </xdr:to>
    <xdr:sp macro="" textlink="">
      <xdr:nvSpPr>
        <xdr:cNvPr id="10" name="TOPRIBBON">
          <a:extLst>
            <a:ext uri="{FF2B5EF4-FFF2-40B4-BE49-F238E27FC236}">
              <a16:creationId xmlns:a16="http://schemas.microsoft.com/office/drawing/2014/main" id="{00000000-0008-0000-1F00-00000A000000}"/>
            </a:ext>
          </a:extLst>
        </xdr:cNvPr>
        <xdr:cNvSpPr/>
      </xdr:nvSpPr>
      <xdr:spPr>
        <a:xfrm>
          <a:off x="313765" y="806825"/>
          <a:ext cx="13505688" cy="605116"/>
        </a:xfrm>
        <a:prstGeom prst="round2SameRect">
          <a:avLst/>
        </a:prstGeom>
        <a:solidFill>
          <a:srgbClr val="A6A5A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p>
      </xdr:txBody>
    </xdr:sp>
    <xdr:clientData/>
  </xdr:twoCellAnchor>
  <xdr:twoCellAnchor>
    <xdr:from>
      <xdr:col>12</xdr:col>
      <xdr:colOff>2551</xdr:colOff>
      <xdr:row>4</xdr:row>
      <xdr:rowOff>200705</xdr:rowOff>
    </xdr:from>
    <xdr:to>
      <xdr:col>17</xdr:col>
      <xdr:colOff>2550</xdr:colOff>
      <xdr:row>7</xdr:row>
      <xdr:rowOff>0</xdr:rowOff>
    </xdr:to>
    <xdr:sp macro="" textlink="M5S3">
      <xdr:nvSpPr>
        <xdr:cNvPr id="13" name="SUBMENU3">
          <a:hlinkClick xmlns:r="http://schemas.openxmlformats.org/officeDocument/2006/relationships" r:id="rId10"/>
          <a:extLst>
            <a:ext uri="{FF2B5EF4-FFF2-40B4-BE49-F238E27FC236}">
              <a16:creationId xmlns:a16="http://schemas.microsoft.com/office/drawing/2014/main" id="{00000000-0008-0000-1F00-00000D000000}"/>
            </a:ext>
          </a:extLst>
        </xdr:cNvPr>
        <xdr:cNvSpPr/>
      </xdr:nvSpPr>
      <xdr:spPr>
        <a:xfrm>
          <a:off x="3774451" y="1000805"/>
          <a:ext cx="1571624" cy="399370"/>
        </a:xfrm>
        <a:prstGeom prst="round2SameRect">
          <a:avLst/>
        </a:prstGeom>
        <a:noFill/>
        <a:ln w="12700">
          <a:no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272C9A7E-800F-4AE6-95B1-8AFF5CAE57C5}" type="TxLink">
            <a:rPr lang="en-US" sz="1100" b="0" i="0" u="none" strike="noStrike">
              <a:solidFill>
                <a:srgbClr val="FFFFFF"/>
              </a:solidFill>
              <a:latin typeface="Arial" panose="020B0604020202020204" pitchFamily="34" charset="0"/>
              <a:cs typeface="Arial" panose="020B0604020202020204" pitchFamily="34" charset="0"/>
            </a:rPr>
            <a:pPr algn="ctr"/>
            <a:t> </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37</xdr:col>
      <xdr:colOff>2720</xdr:colOff>
      <xdr:row>4</xdr:row>
      <xdr:rowOff>200705</xdr:rowOff>
    </xdr:from>
    <xdr:to>
      <xdr:col>42</xdr:col>
      <xdr:colOff>0</xdr:colOff>
      <xdr:row>7</xdr:row>
      <xdr:rowOff>0</xdr:rowOff>
    </xdr:to>
    <xdr:sp macro="" textlink="M5S8">
      <xdr:nvSpPr>
        <xdr:cNvPr id="18" name="SUBMENU8">
          <a:hlinkClick xmlns:r="http://schemas.openxmlformats.org/officeDocument/2006/relationships" r:id="rId11"/>
          <a:extLst>
            <a:ext uri="{FF2B5EF4-FFF2-40B4-BE49-F238E27FC236}">
              <a16:creationId xmlns:a16="http://schemas.microsoft.com/office/drawing/2014/main" id="{00000000-0008-0000-1F00-000012000000}"/>
            </a:ext>
          </a:extLst>
        </xdr:cNvPr>
        <xdr:cNvSpPr/>
      </xdr:nvSpPr>
      <xdr:spPr>
        <a:xfrm>
          <a:off x="11632745" y="1000805"/>
          <a:ext cx="1568905" cy="399370"/>
        </a:xfrm>
        <a:prstGeom prst="round2SameRect">
          <a:avLst/>
        </a:prstGeom>
        <a:noFill/>
        <a:ln w="12700">
          <a:no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562C4A9D-BD10-4BFB-89D6-250DB3FCE105}" type="TxLink">
            <a:rPr lang="en-US" sz="1100" b="0" i="0" u="none" strike="noStrike">
              <a:solidFill>
                <a:srgbClr val="FFFFFF"/>
              </a:solidFill>
              <a:latin typeface="Arial" panose="020B0604020202020204" pitchFamily="34" charset="0"/>
              <a:cs typeface="Arial" panose="020B0604020202020204" pitchFamily="34" charset="0"/>
            </a:rPr>
            <a:pPr algn="ctr"/>
            <a:t> </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editAs="oneCell">
    <xdr:from>
      <xdr:col>41</xdr:col>
      <xdr:colOff>0</xdr:colOff>
      <xdr:row>9</xdr:row>
      <xdr:rowOff>1047</xdr:rowOff>
    </xdr:from>
    <xdr:to>
      <xdr:col>43</xdr:col>
      <xdr:colOff>231</xdr:colOff>
      <xdr:row>11</xdr:row>
      <xdr:rowOff>1046</xdr:rowOff>
    </xdr:to>
    <xdr:sp macro="" textlink="">
      <xdr:nvSpPr>
        <xdr:cNvPr id="2" name="NEXT">
          <a:hlinkClick xmlns:r="http://schemas.openxmlformats.org/officeDocument/2006/relationships" r:id="rId12" tooltip=" "/>
          <a:extLst>
            <a:ext uri="{FF2B5EF4-FFF2-40B4-BE49-F238E27FC236}">
              <a16:creationId xmlns:a16="http://schemas.microsoft.com/office/drawing/2014/main" id="{00000000-0008-0000-1F00-000002000000}"/>
            </a:ext>
          </a:extLst>
        </xdr:cNvPr>
        <xdr:cNvSpPr>
          <a:spLocks noChangeAspect="1"/>
        </xdr:cNvSpPr>
      </xdr:nvSpPr>
      <xdr:spPr>
        <a:xfrm>
          <a:off x="12887325" y="1801272"/>
          <a:ext cx="627520" cy="400049"/>
        </a:xfrm>
        <a:prstGeom prst="rightArrow">
          <a:avLst/>
        </a:prstGeom>
        <a:solidFill>
          <a:srgbClr val="54BCEB"/>
        </a:solidFill>
        <a:ln>
          <a:solidFill>
            <a:srgbClr val="54BCEB"/>
          </a:solidFill>
        </a:ln>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32</xdr:col>
      <xdr:colOff>0</xdr:colOff>
      <xdr:row>1</xdr:row>
      <xdr:rowOff>0</xdr:rowOff>
    </xdr:from>
    <xdr:to>
      <xdr:col>37</xdr:col>
      <xdr:colOff>1</xdr:colOff>
      <xdr:row>4</xdr:row>
      <xdr:rowOff>0</xdr:rowOff>
    </xdr:to>
    <xdr:sp macro="" textlink="MAIN6">
      <xdr:nvSpPr>
        <xdr:cNvPr id="8" name="MENU6">
          <a:extLst>
            <a:ext uri="{FF2B5EF4-FFF2-40B4-BE49-F238E27FC236}">
              <a16:creationId xmlns:a16="http://schemas.microsoft.com/office/drawing/2014/main" id="{00000000-0008-0000-1F00-000008000000}"/>
            </a:ext>
          </a:extLst>
        </xdr:cNvPr>
        <xdr:cNvSpPr/>
      </xdr:nvSpPr>
      <xdr:spPr>
        <a:xfrm>
          <a:off x="10058400" y="200025"/>
          <a:ext cx="1571626"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00B050"/>
              </a:solidFill>
            </a14:hiddenFill>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B12A3774-975E-4B41-A681-E085295C6D0E}" type="TxLink">
            <a:rPr lang="en-US" sz="1100" b="0" i="0" u="none" strike="noStrike">
              <a:noFill/>
              <a:latin typeface="Arial" panose="020B0604020202020204" pitchFamily="34" charset="0"/>
              <a:cs typeface="Arial" panose="020B0604020202020204" pitchFamily="34" charset="0"/>
            </a:rPr>
            <a:pPr algn="ctr"/>
            <a:t> </a:t>
          </a:fld>
          <a:endParaRPr lang="en-US" sz="1100">
            <a:noFill/>
            <a:latin typeface="Arial" panose="020B0604020202020204" pitchFamily="34" charset="0"/>
            <a:cs typeface="Arial" panose="020B0604020202020204" pitchFamily="34" charset="0"/>
          </a:endParaRPr>
        </a:p>
      </xdr:txBody>
    </xdr:sp>
    <xdr:clientData/>
  </xdr:twoCellAnchor>
  <xdr:twoCellAnchor>
    <xdr:from>
      <xdr:col>36</xdr:col>
      <xdr:colOff>314324</xdr:colOff>
      <xdr:row>1</xdr:row>
      <xdr:rowOff>0</xdr:rowOff>
    </xdr:from>
    <xdr:to>
      <xdr:col>41</xdr:col>
      <xdr:colOff>314324</xdr:colOff>
      <xdr:row>4</xdr:row>
      <xdr:rowOff>0</xdr:rowOff>
    </xdr:to>
    <xdr:sp macro="" textlink="MAIN7">
      <xdr:nvSpPr>
        <xdr:cNvPr id="9" name="MENU7">
          <a:extLst>
            <a:ext uri="{FF2B5EF4-FFF2-40B4-BE49-F238E27FC236}">
              <a16:creationId xmlns:a16="http://schemas.microsoft.com/office/drawing/2014/main" id="{00000000-0008-0000-1F00-000009000000}"/>
            </a:ext>
          </a:extLst>
        </xdr:cNvPr>
        <xdr:cNvSpPr/>
      </xdr:nvSpPr>
      <xdr:spPr>
        <a:xfrm>
          <a:off x="11630024" y="200025"/>
          <a:ext cx="1571625"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00B050"/>
              </a:solidFill>
            </a14:hiddenFill>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 </a:t>
          </a:fld>
          <a:endParaRPr lang="en-US" sz="1100">
            <a:noFill/>
            <a:latin typeface="Arial" panose="020B0604020202020204" pitchFamily="34" charset="0"/>
            <a:cs typeface="Arial" panose="020B0604020202020204" pitchFamily="34" charset="0"/>
          </a:endParaRPr>
        </a:p>
      </xdr:txBody>
    </xdr:sp>
    <xdr:clientData/>
  </xdr:twoCellAnchor>
  <xdr:twoCellAnchor>
    <xdr:from>
      <xdr:col>2</xdr:col>
      <xdr:colOff>2720</xdr:colOff>
      <xdr:row>5</xdr:row>
      <xdr:rowOff>50800</xdr:rowOff>
    </xdr:from>
    <xdr:to>
      <xdr:col>7</xdr:col>
      <xdr:colOff>457</xdr:colOff>
      <xdr:row>7</xdr:row>
      <xdr:rowOff>48602</xdr:rowOff>
    </xdr:to>
    <xdr:sp macro="" textlink="M5S1">
      <xdr:nvSpPr>
        <xdr:cNvPr id="11" name="SUBMENU1">
          <a:hlinkClick xmlns:r="http://schemas.openxmlformats.org/officeDocument/2006/relationships" r:id="rId8" tooltip=" "/>
          <a:extLst>
            <a:ext uri="{FF2B5EF4-FFF2-40B4-BE49-F238E27FC236}">
              <a16:creationId xmlns:a16="http://schemas.microsoft.com/office/drawing/2014/main" id="{00000000-0008-0000-1F00-00000B000000}"/>
            </a:ext>
          </a:extLst>
        </xdr:cNvPr>
        <xdr:cNvSpPr/>
      </xdr:nvSpPr>
      <xdr:spPr>
        <a:xfrm>
          <a:off x="631370" y="1050925"/>
          <a:ext cx="1569362" cy="397852"/>
        </a:xfrm>
        <a:prstGeom prst="round2SameRect">
          <a:avLst/>
        </a:prstGeom>
        <a:solidFill>
          <a:srgbClr val="00334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2A9D6AC0-5121-4C66-8D3B-0C4F60FE0219}" type="TxLink">
            <a:rPr lang="en-US" sz="1100" b="0" i="0" u="none" strike="noStrike">
              <a:solidFill>
                <a:srgbClr val="FFFFFF"/>
              </a:solidFill>
              <a:latin typeface="Arial" panose="020B0604020202020204" pitchFamily="34" charset="0"/>
              <a:cs typeface="Arial" panose="020B0604020202020204" pitchFamily="34" charset="0"/>
            </a:rPr>
            <a:pPr algn="ctr"/>
            <a:t>Project Summary</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7</xdr:col>
      <xdr:colOff>2551</xdr:colOff>
      <xdr:row>4</xdr:row>
      <xdr:rowOff>200705</xdr:rowOff>
    </xdr:from>
    <xdr:to>
      <xdr:col>12</xdr:col>
      <xdr:colOff>2550</xdr:colOff>
      <xdr:row>7</xdr:row>
      <xdr:rowOff>0</xdr:rowOff>
    </xdr:to>
    <xdr:sp macro="" textlink="M5S2">
      <xdr:nvSpPr>
        <xdr:cNvPr id="12" name="SUBMENU2">
          <a:hlinkClick xmlns:r="http://schemas.openxmlformats.org/officeDocument/2006/relationships" r:id="rId13" tooltip=" "/>
          <a:extLst>
            <a:ext uri="{FF2B5EF4-FFF2-40B4-BE49-F238E27FC236}">
              <a16:creationId xmlns:a16="http://schemas.microsoft.com/office/drawing/2014/main" id="{00000000-0008-0000-1F00-00000C000000}"/>
            </a:ext>
          </a:extLst>
        </xdr:cNvPr>
        <xdr:cNvSpPr/>
      </xdr:nvSpPr>
      <xdr:spPr>
        <a:xfrm>
          <a:off x="2202826" y="1000805"/>
          <a:ext cx="1571624" cy="399370"/>
        </a:xfrm>
        <a:prstGeom prst="round2SameRect">
          <a:avLst/>
        </a:prstGeom>
        <a:solidFill>
          <a:srgbClr val="54BCEB"/>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DB017B9-6E71-4874-AB31-EC7916DB256F}" type="TxLink">
            <a:rPr lang="en-US" sz="1100" b="0" i="0" u="none" strike="noStrike">
              <a:solidFill>
                <a:srgbClr val="FFFFFF"/>
              </a:solidFill>
              <a:latin typeface="Arial" panose="020B0604020202020204" pitchFamily="34" charset="0"/>
              <a:cs typeface="Arial" panose="020B0604020202020204" pitchFamily="34" charset="0"/>
            </a:rPr>
            <a:pPr algn="ctr"/>
            <a:t>Submit Application</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0</xdr:col>
      <xdr:colOff>314323</xdr:colOff>
      <xdr:row>7</xdr:row>
      <xdr:rowOff>200024</xdr:rowOff>
    </xdr:from>
    <xdr:to>
      <xdr:col>44</xdr:col>
      <xdr:colOff>0</xdr:colOff>
      <xdr:row>199</xdr:row>
      <xdr:rowOff>0</xdr:rowOff>
    </xdr:to>
    <xdr:sp macro="" textlink="">
      <xdr:nvSpPr>
        <xdr:cNvPr id="19" name="BORDER">
          <a:extLst>
            <a:ext uri="{FF2B5EF4-FFF2-40B4-BE49-F238E27FC236}">
              <a16:creationId xmlns:a16="http://schemas.microsoft.com/office/drawing/2014/main" id="{00000000-0008-0000-1F00-000013000000}"/>
            </a:ext>
          </a:extLst>
        </xdr:cNvPr>
        <xdr:cNvSpPr/>
      </xdr:nvSpPr>
      <xdr:spPr>
        <a:xfrm>
          <a:off x="314323" y="1600199"/>
          <a:ext cx="13515977" cy="37804726"/>
        </a:xfrm>
        <a:prstGeom prst="frame">
          <a:avLst>
            <a:gd name="adj1" fmla="val 97"/>
          </a:avLst>
        </a:prstGeom>
        <a:noFill/>
        <a:ln w="12700" cap="flat" cmpd="sng" algn="ctr">
          <a:solidFill>
            <a:srgbClr val="00334E"/>
          </a:solidFill>
          <a:prstDash val="solid"/>
          <a:miter lim="800000"/>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fPrintsWithSheet="0"/>
  </xdr:twoCellAnchor>
  <xdr:twoCellAnchor editAs="oneCell">
    <xdr:from>
      <xdr:col>2</xdr:col>
      <xdr:colOff>2720</xdr:colOff>
      <xdr:row>8</xdr:row>
      <xdr:rowOff>201232</xdr:rowOff>
    </xdr:from>
    <xdr:to>
      <xdr:col>4</xdr:col>
      <xdr:colOff>960</xdr:colOff>
      <xdr:row>11</xdr:row>
      <xdr:rowOff>1207</xdr:rowOff>
    </xdr:to>
    <xdr:sp macro="" textlink="">
      <xdr:nvSpPr>
        <xdr:cNvPr id="20" name="BACK">
          <a:hlinkClick xmlns:r="http://schemas.openxmlformats.org/officeDocument/2006/relationships" r:id="rId14" tooltip=" "/>
          <a:extLst>
            <a:ext uri="{FF2B5EF4-FFF2-40B4-BE49-F238E27FC236}">
              <a16:creationId xmlns:a16="http://schemas.microsoft.com/office/drawing/2014/main" id="{00000000-0008-0000-1F00-000014000000}"/>
            </a:ext>
          </a:extLst>
        </xdr:cNvPr>
        <xdr:cNvSpPr>
          <a:spLocks noChangeAspect="1"/>
        </xdr:cNvSpPr>
      </xdr:nvSpPr>
      <xdr:spPr>
        <a:xfrm>
          <a:off x="631370" y="1801432"/>
          <a:ext cx="626890" cy="400050"/>
        </a:xfrm>
        <a:prstGeom prst="leftArrow">
          <a:avLst/>
        </a:prstGeom>
        <a:solidFill>
          <a:srgbClr val="54BCEB"/>
        </a:solidFill>
        <a:ln>
          <a:solidFill>
            <a:srgbClr val="54BCEB"/>
          </a:solidFill>
        </a:ln>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editAs="oneCell">
    <xdr:from>
      <xdr:col>2</xdr:col>
      <xdr:colOff>91840</xdr:colOff>
      <xdr:row>0</xdr:row>
      <xdr:rowOff>156884</xdr:rowOff>
    </xdr:from>
    <xdr:to>
      <xdr:col>5</xdr:col>
      <xdr:colOff>41415</xdr:colOff>
      <xdr:row>3</xdr:row>
      <xdr:rowOff>5127</xdr:rowOff>
    </xdr:to>
    <xdr:pic>
      <xdr:nvPicPr>
        <xdr:cNvPr id="27" name="LOGO">
          <a:extLst>
            <a:ext uri="{FF2B5EF4-FFF2-40B4-BE49-F238E27FC236}">
              <a16:creationId xmlns:a16="http://schemas.microsoft.com/office/drawing/2014/main" id="{00000000-0008-0000-1F00-00001B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xdr:blipFill>
      <xdr:spPr>
        <a:xfrm>
          <a:off x="719369" y="156884"/>
          <a:ext cx="890870" cy="453361"/>
        </a:xfrm>
        <a:prstGeom prst="rect">
          <a:avLst/>
        </a:prstGeom>
      </xdr:spPr>
    </xdr:pic>
    <xdr:clientData/>
  </xdr:twoCellAnchor>
  <xdr:twoCellAnchor editAs="oneCell">
    <xdr:from>
      <xdr:col>18</xdr:col>
      <xdr:colOff>68020</xdr:colOff>
      <xdr:row>59</xdr:row>
      <xdr:rowOff>109362</xdr:rowOff>
    </xdr:from>
    <xdr:to>
      <xdr:col>20</xdr:col>
      <xdr:colOff>261879</xdr:colOff>
      <xdr:row>63</xdr:row>
      <xdr:rowOff>56654</xdr:rowOff>
    </xdr:to>
    <xdr:pic>
      <xdr:nvPicPr>
        <xdr:cNvPr id="29" name="Picture 28">
          <a:extLst>
            <a:ext uri="{FF2B5EF4-FFF2-40B4-BE49-F238E27FC236}">
              <a16:creationId xmlns:a16="http://schemas.microsoft.com/office/drawing/2014/main" id="{00000000-0008-0000-1F00-00001D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xdr:blipFill>
      <xdr:spPr>
        <a:xfrm>
          <a:off x="5640145" y="12087050"/>
          <a:ext cx="812984" cy="756917"/>
        </a:xfrm>
        <a:prstGeom prst="rect">
          <a:avLst/>
        </a:prstGeom>
      </xdr:spPr>
    </xdr:pic>
    <xdr:clientData/>
  </xdr:twoCellAnchor>
  <xdr:twoCellAnchor editAs="oneCell">
    <xdr:from>
      <xdr:col>27</xdr:col>
      <xdr:colOff>213210</xdr:colOff>
      <xdr:row>59</xdr:row>
      <xdr:rowOff>160906</xdr:rowOff>
    </xdr:from>
    <xdr:to>
      <xdr:col>29</xdr:col>
      <xdr:colOff>297656</xdr:colOff>
      <xdr:row>63</xdr:row>
      <xdr:rowOff>6331</xdr:rowOff>
    </xdr:to>
    <xdr:pic>
      <xdr:nvPicPr>
        <xdr:cNvPr id="30" name="Picture 29">
          <a:extLst>
            <a:ext uri="{FF2B5EF4-FFF2-40B4-BE49-F238E27FC236}">
              <a16:creationId xmlns:a16="http://schemas.microsoft.com/office/drawing/2014/main" id="{00000000-0008-0000-1F00-00001E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xdr:blipFill>
      <xdr:spPr>
        <a:xfrm>
          <a:off x="8571398" y="12138594"/>
          <a:ext cx="703571" cy="655050"/>
        </a:xfrm>
        <a:prstGeom prst="rect">
          <a:avLst/>
        </a:prstGeom>
      </xdr:spPr>
    </xdr:pic>
    <xdr:clientData/>
  </xdr:twoCellAnchor>
  <xdr:twoCellAnchor>
    <xdr:from>
      <xdr:col>9</xdr:col>
      <xdr:colOff>17076</xdr:colOff>
      <xdr:row>16</xdr:row>
      <xdr:rowOff>187188</xdr:rowOff>
    </xdr:from>
    <xdr:to>
      <xdr:col>27</xdr:col>
      <xdr:colOff>307925</xdr:colOff>
      <xdr:row>17</xdr:row>
      <xdr:rowOff>14094</xdr:rowOff>
    </xdr:to>
    <xdr:sp macro="" textlink="">
      <xdr:nvSpPr>
        <xdr:cNvPr id="31" name="Rectangle 30">
          <a:extLst>
            <a:ext uri="{FF2B5EF4-FFF2-40B4-BE49-F238E27FC236}">
              <a16:creationId xmlns:a16="http://schemas.microsoft.com/office/drawing/2014/main" id="{00000000-0008-0000-1F00-00001F000000}"/>
            </a:ext>
          </a:extLst>
        </xdr:cNvPr>
        <xdr:cNvSpPr/>
      </xdr:nvSpPr>
      <xdr:spPr>
        <a:xfrm flipV="1">
          <a:off x="2846001" y="3387588"/>
          <a:ext cx="5948699" cy="26931"/>
        </a:xfrm>
        <a:prstGeom prst="rect">
          <a:avLst/>
        </a:prstGeom>
        <a:gradFill flip="none" rotWithShape="1">
          <a:gsLst>
            <a:gs pos="0">
              <a:schemeClr val="accent3">
                <a:lumMod val="5000"/>
                <a:lumOff val="95000"/>
              </a:schemeClr>
            </a:gs>
            <a:gs pos="81000">
              <a:schemeClr val="accent3">
                <a:lumMod val="45000"/>
                <a:lumOff val="55000"/>
              </a:schemeClr>
            </a:gs>
            <a:gs pos="90000">
              <a:schemeClr val="accent3">
                <a:lumMod val="45000"/>
                <a:lumOff val="55000"/>
              </a:schemeClr>
            </a:gs>
            <a:gs pos="100000">
              <a:schemeClr val="accent3">
                <a:lumMod val="30000"/>
                <a:lumOff val="70000"/>
              </a:schemeClr>
            </a:gs>
          </a:gsLst>
          <a:lin ang="0" scaled="1"/>
          <a:tileRect/>
        </a:gra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17076</xdr:colOff>
      <xdr:row>16</xdr:row>
      <xdr:rowOff>187188</xdr:rowOff>
    </xdr:from>
    <xdr:to>
      <xdr:col>27</xdr:col>
      <xdr:colOff>307925</xdr:colOff>
      <xdr:row>17</xdr:row>
      <xdr:rowOff>14094</xdr:rowOff>
    </xdr:to>
    <xdr:sp macro="" textlink="">
      <xdr:nvSpPr>
        <xdr:cNvPr id="39" name="Rectangle 38">
          <a:extLst>
            <a:ext uri="{FF2B5EF4-FFF2-40B4-BE49-F238E27FC236}">
              <a16:creationId xmlns:a16="http://schemas.microsoft.com/office/drawing/2014/main" id="{00000000-0008-0000-1F00-000027000000}"/>
            </a:ext>
          </a:extLst>
        </xdr:cNvPr>
        <xdr:cNvSpPr/>
      </xdr:nvSpPr>
      <xdr:spPr>
        <a:xfrm flipV="1">
          <a:off x="2846001" y="3387588"/>
          <a:ext cx="5948699" cy="26931"/>
        </a:xfrm>
        <a:prstGeom prst="rect">
          <a:avLst/>
        </a:prstGeom>
        <a:gradFill flip="none" rotWithShape="1">
          <a:gsLst>
            <a:gs pos="0">
              <a:schemeClr val="accent3">
                <a:lumMod val="5000"/>
                <a:lumOff val="95000"/>
              </a:schemeClr>
            </a:gs>
            <a:gs pos="81000">
              <a:schemeClr val="accent3">
                <a:lumMod val="45000"/>
                <a:lumOff val="55000"/>
              </a:schemeClr>
            </a:gs>
            <a:gs pos="90000">
              <a:schemeClr val="accent3">
                <a:lumMod val="45000"/>
                <a:lumOff val="55000"/>
              </a:schemeClr>
            </a:gs>
            <a:gs pos="100000">
              <a:schemeClr val="accent3">
                <a:lumMod val="30000"/>
                <a:lumOff val="70000"/>
              </a:schemeClr>
            </a:gs>
          </a:gsLst>
          <a:lin ang="0" scaled="1"/>
          <a:tileRect/>
        </a:gra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17076</xdr:colOff>
      <xdr:row>16</xdr:row>
      <xdr:rowOff>187188</xdr:rowOff>
    </xdr:from>
    <xdr:to>
      <xdr:col>27</xdr:col>
      <xdr:colOff>307925</xdr:colOff>
      <xdr:row>17</xdr:row>
      <xdr:rowOff>14094</xdr:rowOff>
    </xdr:to>
    <xdr:sp macro="" textlink="">
      <xdr:nvSpPr>
        <xdr:cNvPr id="46" name="Rectangle 45">
          <a:extLst>
            <a:ext uri="{FF2B5EF4-FFF2-40B4-BE49-F238E27FC236}">
              <a16:creationId xmlns:a16="http://schemas.microsoft.com/office/drawing/2014/main" id="{00000000-0008-0000-1F00-00002E000000}"/>
            </a:ext>
          </a:extLst>
        </xdr:cNvPr>
        <xdr:cNvSpPr/>
      </xdr:nvSpPr>
      <xdr:spPr>
        <a:xfrm flipV="1">
          <a:off x="2846001" y="3387588"/>
          <a:ext cx="5948699" cy="26931"/>
        </a:xfrm>
        <a:prstGeom prst="rect">
          <a:avLst/>
        </a:prstGeom>
        <a:gradFill flip="none" rotWithShape="1">
          <a:gsLst>
            <a:gs pos="0">
              <a:schemeClr val="accent3">
                <a:lumMod val="5000"/>
                <a:lumOff val="95000"/>
              </a:schemeClr>
            </a:gs>
            <a:gs pos="81000">
              <a:schemeClr val="accent3">
                <a:lumMod val="45000"/>
                <a:lumOff val="55000"/>
              </a:schemeClr>
            </a:gs>
            <a:gs pos="90000">
              <a:schemeClr val="accent3">
                <a:lumMod val="45000"/>
                <a:lumOff val="55000"/>
              </a:schemeClr>
            </a:gs>
            <a:gs pos="100000">
              <a:schemeClr val="accent3">
                <a:lumMod val="30000"/>
                <a:lumOff val="70000"/>
              </a:schemeClr>
            </a:gs>
          </a:gsLst>
          <a:lin ang="0" scaled="1"/>
          <a:tileRect/>
        </a:gra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9</xdr:col>
      <xdr:colOff>218739</xdr:colOff>
      <xdr:row>59</xdr:row>
      <xdr:rowOff>193303</xdr:rowOff>
    </xdr:from>
    <xdr:to>
      <xdr:col>11</xdr:col>
      <xdr:colOff>297656</xdr:colOff>
      <xdr:row>63</xdr:row>
      <xdr:rowOff>33579</xdr:rowOff>
    </xdr:to>
    <xdr:pic>
      <xdr:nvPicPr>
        <xdr:cNvPr id="51" name="Picture 50">
          <a:extLst>
            <a:ext uri="{FF2B5EF4-FFF2-40B4-BE49-F238E27FC236}">
              <a16:creationId xmlns:a16="http://schemas.microsoft.com/office/drawing/2014/main" id="{00000000-0008-0000-1F00-000033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xdr:blipFill>
      <xdr:spPr>
        <a:xfrm>
          <a:off x="3004802" y="12170991"/>
          <a:ext cx="698042" cy="649901"/>
        </a:xfrm>
        <a:prstGeom prst="rect">
          <a:avLst/>
        </a:prstGeom>
      </xdr:spPr>
    </xdr:pic>
    <xdr:clientData/>
  </xdr:twoCellAnchor>
  <xdr:twoCellAnchor>
    <xdr:from>
      <xdr:col>9</xdr:col>
      <xdr:colOff>17076</xdr:colOff>
      <xdr:row>16</xdr:row>
      <xdr:rowOff>187188</xdr:rowOff>
    </xdr:from>
    <xdr:to>
      <xdr:col>27</xdr:col>
      <xdr:colOff>307925</xdr:colOff>
      <xdr:row>17</xdr:row>
      <xdr:rowOff>14094</xdr:rowOff>
    </xdr:to>
    <xdr:sp macro="" textlink="">
      <xdr:nvSpPr>
        <xdr:cNvPr id="54" name="Rectangle 53">
          <a:extLst>
            <a:ext uri="{FF2B5EF4-FFF2-40B4-BE49-F238E27FC236}">
              <a16:creationId xmlns:a16="http://schemas.microsoft.com/office/drawing/2014/main" id="{00000000-0008-0000-1F00-000036000000}"/>
            </a:ext>
          </a:extLst>
        </xdr:cNvPr>
        <xdr:cNvSpPr/>
      </xdr:nvSpPr>
      <xdr:spPr>
        <a:xfrm flipV="1">
          <a:off x="2846001" y="3387588"/>
          <a:ext cx="5948699" cy="26931"/>
        </a:xfrm>
        <a:prstGeom prst="rect">
          <a:avLst/>
        </a:prstGeom>
        <a:gradFill flip="none" rotWithShape="1">
          <a:gsLst>
            <a:gs pos="0">
              <a:schemeClr val="accent3">
                <a:lumMod val="5000"/>
                <a:lumOff val="95000"/>
              </a:schemeClr>
            </a:gs>
            <a:gs pos="81000">
              <a:schemeClr val="accent3">
                <a:lumMod val="45000"/>
                <a:lumOff val="55000"/>
              </a:schemeClr>
            </a:gs>
            <a:gs pos="90000">
              <a:schemeClr val="accent3">
                <a:lumMod val="45000"/>
                <a:lumOff val="55000"/>
              </a:schemeClr>
            </a:gs>
            <a:gs pos="100000">
              <a:schemeClr val="accent3">
                <a:lumMod val="30000"/>
                <a:lumOff val="70000"/>
              </a:schemeClr>
            </a:gs>
          </a:gsLst>
          <a:lin ang="0" scaled="1"/>
          <a:tileRect/>
        </a:gra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23</xdr:col>
      <xdr:colOff>33748</xdr:colOff>
      <xdr:row>50</xdr:row>
      <xdr:rowOff>40821</xdr:rowOff>
    </xdr:from>
    <xdr:to>
      <xdr:col>32</xdr:col>
      <xdr:colOff>181414</xdr:colOff>
      <xdr:row>56</xdr:row>
      <xdr:rowOff>129211</xdr:rowOff>
    </xdr:to>
    <xdr:pic>
      <xdr:nvPicPr>
        <xdr:cNvPr id="55" name="Picture 54">
          <a:extLst>
            <a:ext uri="{FF2B5EF4-FFF2-40B4-BE49-F238E27FC236}">
              <a16:creationId xmlns:a16="http://schemas.microsoft.com/office/drawing/2014/main" id="{00000000-0008-0000-1F00-000037000000}"/>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xdr:blipFill>
      <xdr:spPr>
        <a:xfrm>
          <a:off x="7153686" y="10196852"/>
          <a:ext cx="2933728" cy="1302828"/>
        </a:xfrm>
        <a:prstGeom prst="rect">
          <a:avLst/>
        </a:prstGeom>
      </xdr:spPr>
    </xdr:pic>
    <xdr:clientData/>
  </xdr:twoCellAnchor>
  <xdr:twoCellAnchor editAs="oneCell">
    <xdr:from>
      <xdr:col>32</xdr:col>
      <xdr:colOff>182125</xdr:colOff>
      <xdr:row>73</xdr:row>
      <xdr:rowOff>80127</xdr:rowOff>
    </xdr:from>
    <xdr:to>
      <xdr:col>35</xdr:col>
      <xdr:colOff>145299</xdr:colOff>
      <xdr:row>74</xdr:row>
      <xdr:rowOff>143402</xdr:rowOff>
    </xdr:to>
    <xdr:pic>
      <xdr:nvPicPr>
        <xdr:cNvPr id="56" name="Picture 55">
          <a:extLst>
            <a:ext uri="{FF2B5EF4-FFF2-40B4-BE49-F238E27FC236}">
              <a16:creationId xmlns:a16="http://schemas.microsoft.com/office/drawing/2014/main" id="{00000000-0008-0000-1F00-000038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10240525" y="14720052"/>
          <a:ext cx="906149" cy="263300"/>
        </a:xfrm>
        <a:prstGeom prst="rect">
          <a:avLst/>
        </a:prstGeom>
      </xdr:spPr>
    </xdr:pic>
    <xdr:clientData/>
  </xdr:twoCellAnchor>
  <xdr:twoCellAnchor editAs="oneCell">
    <xdr:from>
      <xdr:col>16</xdr:col>
      <xdr:colOff>118454</xdr:colOff>
      <xdr:row>32</xdr:row>
      <xdr:rowOff>157091</xdr:rowOff>
    </xdr:from>
    <xdr:to>
      <xdr:col>20</xdr:col>
      <xdr:colOff>227532</xdr:colOff>
      <xdr:row>39</xdr:row>
      <xdr:rowOff>34833</xdr:rowOff>
    </xdr:to>
    <xdr:pic>
      <xdr:nvPicPr>
        <xdr:cNvPr id="57" name="Picture 56">
          <a:extLst>
            <a:ext uri="{FF2B5EF4-FFF2-40B4-BE49-F238E27FC236}">
              <a16:creationId xmlns:a16="http://schemas.microsoft.com/office/drawing/2014/main" id="{00000000-0008-0000-1F00-000039000000}"/>
            </a:ext>
          </a:extLst>
        </xdr:cNvPr>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xdr:blipFill>
      <xdr:spPr>
        <a:xfrm>
          <a:off x="5071454" y="6634091"/>
          <a:ext cx="1347328" cy="1294586"/>
        </a:xfrm>
        <a:prstGeom prst="rect">
          <a:avLst/>
        </a:prstGeom>
      </xdr:spPr>
    </xdr:pic>
    <xdr:clientData/>
  </xdr:twoCellAnchor>
  <xdr:twoCellAnchor editAs="oneCell">
    <xdr:from>
      <xdr:col>29</xdr:col>
      <xdr:colOff>100858</xdr:colOff>
      <xdr:row>13</xdr:row>
      <xdr:rowOff>22412</xdr:rowOff>
    </xdr:from>
    <xdr:to>
      <xdr:col>35</xdr:col>
      <xdr:colOff>140587</xdr:colOff>
      <xdr:row>16</xdr:row>
      <xdr:rowOff>18267</xdr:rowOff>
    </xdr:to>
    <xdr:pic>
      <xdr:nvPicPr>
        <xdr:cNvPr id="58" name="Picture 57">
          <a:extLst>
            <a:ext uri="{FF2B5EF4-FFF2-40B4-BE49-F238E27FC236}">
              <a16:creationId xmlns:a16="http://schemas.microsoft.com/office/drawing/2014/main" id="{00000000-0008-0000-1F00-00003A00000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9216283" y="2622737"/>
          <a:ext cx="1925679" cy="595930"/>
        </a:xfrm>
        <a:prstGeom prst="rect">
          <a:avLst/>
        </a:prstGeom>
      </xdr:spPr>
    </xdr:pic>
    <xdr:clientData/>
  </xdr:twoCellAnchor>
  <xdr:twoCellAnchor>
    <xdr:from>
      <xdr:col>1</xdr:col>
      <xdr:colOff>0</xdr:colOff>
      <xdr:row>7</xdr:row>
      <xdr:rowOff>0</xdr:rowOff>
    </xdr:from>
    <xdr:to>
      <xdr:col>44</xdr:col>
      <xdr:colOff>13806</xdr:colOff>
      <xdr:row>8</xdr:row>
      <xdr:rowOff>0</xdr:rowOff>
    </xdr:to>
    <xdr:sp macro="" textlink="">
      <xdr:nvSpPr>
        <xdr:cNvPr id="21" name="BOTTOMRIBBON">
          <a:extLst>
            <a:ext uri="{FF2B5EF4-FFF2-40B4-BE49-F238E27FC236}">
              <a16:creationId xmlns:a16="http://schemas.microsoft.com/office/drawing/2014/main" id="{00000000-0008-0000-1F00-000015000000}"/>
            </a:ext>
          </a:extLst>
        </xdr:cNvPr>
        <xdr:cNvSpPr/>
      </xdr:nvSpPr>
      <xdr:spPr>
        <a:xfrm>
          <a:off x="313765" y="1411941"/>
          <a:ext cx="13505688" cy="201706"/>
        </a:xfrm>
        <a:prstGeom prst="rect">
          <a:avLst/>
        </a:prstGeom>
        <a:solidFill>
          <a:srgbClr val="00334E"/>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solidFill>
              <a:srgbClr val="FFFFFF"/>
            </a:solidFill>
          </a:endParaRP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22</xdr:col>
      <xdr:colOff>2551</xdr:colOff>
      <xdr:row>4</xdr:row>
      <xdr:rowOff>200705</xdr:rowOff>
    </xdr:from>
    <xdr:to>
      <xdr:col>27</xdr:col>
      <xdr:colOff>2549</xdr:colOff>
      <xdr:row>7</xdr:row>
      <xdr:rowOff>0</xdr:rowOff>
    </xdr:to>
    <xdr:sp macro="" textlink="M5S5">
      <xdr:nvSpPr>
        <xdr:cNvPr id="15" name="SUBMENU5">
          <a:hlinkClick xmlns:r="http://schemas.openxmlformats.org/officeDocument/2006/relationships" r:id="rId1"/>
          <a:extLst>
            <a:ext uri="{FF2B5EF4-FFF2-40B4-BE49-F238E27FC236}">
              <a16:creationId xmlns:a16="http://schemas.microsoft.com/office/drawing/2014/main" id="{00000000-0008-0000-2000-00000F000000}"/>
            </a:ext>
          </a:extLst>
        </xdr:cNvPr>
        <xdr:cNvSpPr/>
      </xdr:nvSpPr>
      <xdr:spPr>
        <a:xfrm>
          <a:off x="6917701" y="1000805"/>
          <a:ext cx="1571623" cy="399370"/>
        </a:xfrm>
        <a:prstGeom prst="round2SameRect">
          <a:avLst/>
        </a:prstGeom>
        <a:solidFill>
          <a:srgbClr val="54BCEB"/>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8ECB5FB8-9114-4770-BA69-C59ADB9DA12A}" type="TxLink">
            <a:rPr lang="en-US" sz="1100" b="0" i="0" u="none" strike="noStrike">
              <a:solidFill>
                <a:srgbClr val="FFFFFF"/>
              </a:solidFill>
              <a:latin typeface="Arial" panose="020B0604020202020204" pitchFamily="34" charset="0"/>
              <a:cs typeface="Arial" panose="020B0604020202020204" pitchFamily="34" charset="0"/>
            </a:rPr>
            <a:pPr algn="ctr"/>
            <a:t>Completion Form</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17</xdr:col>
      <xdr:colOff>2551</xdr:colOff>
      <xdr:row>4</xdr:row>
      <xdr:rowOff>200705</xdr:rowOff>
    </xdr:from>
    <xdr:to>
      <xdr:col>22</xdr:col>
      <xdr:colOff>2550</xdr:colOff>
      <xdr:row>7</xdr:row>
      <xdr:rowOff>0</xdr:rowOff>
    </xdr:to>
    <xdr:sp macro="" textlink="M5S4">
      <xdr:nvSpPr>
        <xdr:cNvPr id="14" name="SUBMENU4">
          <a:hlinkClick xmlns:r="http://schemas.openxmlformats.org/officeDocument/2006/relationships" r:id="rId2"/>
          <a:extLst>
            <a:ext uri="{FF2B5EF4-FFF2-40B4-BE49-F238E27FC236}">
              <a16:creationId xmlns:a16="http://schemas.microsoft.com/office/drawing/2014/main" id="{00000000-0008-0000-2000-00000E000000}"/>
            </a:ext>
          </a:extLst>
        </xdr:cNvPr>
        <xdr:cNvSpPr/>
      </xdr:nvSpPr>
      <xdr:spPr>
        <a:xfrm>
          <a:off x="5346076" y="1000805"/>
          <a:ext cx="1571624" cy="399370"/>
        </a:xfrm>
        <a:prstGeom prst="round2SameRect">
          <a:avLst/>
        </a:prstGeom>
        <a:solidFill>
          <a:srgbClr val="54BCEB"/>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B7C45266-6E58-4EB8-84F4-252DC759ED99}" type="TxLink">
            <a:rPr lang="en-US" sz="1100" b="0" i="0" u="none" strike="noStrike">
              <a:solidFill>
                <a:srgbClr val="FFFFFF"/>
              </a:solidFill>
              <a:latin typeface="Arial" panose="020B0604020202020204" pitchFamily="34" charset="0"/>
              <a:cs typeface="Arial" panose="020B0604020202020204" pitchFamily="34" charset="0"/>
            </a:rPr>
            <a:pPr algn="ctr"/>
            <a:t>Offer Form</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27</xdr:col>
      <xdr:colOff>0</xdr:colOff>
      <xdr:row>4</xdr:row>
      <xdr:rowOff>200705</xdr:rowOff>
    </xdr:from>
    <xdr:to>
      <xdr:col>32</xdr:col>
      <xdr:colOff>2865</xdr:colOff>
      <xdr:row>7</xdr:row>
      <xdr:rowOff>0</xdr:rowOff>
    </xdr:to>
    <xdr:sp macro="" textlink="M5S6">
      <xdr:nvSpPr>
        <xdr:cNvPr id="16" name="SUBMENU6">
          <a:hlinkClick xmlns:r="http://schemas.openxmlformats.org/officeDocument/2006/relationships" r:id="rId3"/>
          <a:extLst>
            <a:ext uri="{FF2B5EF4-FFF2-40B4-BE49-F238E27FC236}">
              <a16:creationId xmlns:a16="http://schemas.microsoft.com/office/drawing/2014/main" id="{00000000-0008-0000-2000-000010000000}"/>
            </a:ext>
          </a:extLst>
        </xdr:cNvPr>
        <xdr:cNvSpPr/>
      </xdr:nvSpPr>
      <xdr:spPr>
        <a:xfrm>
          <a:off x="8486775" y="1000805"/>
          <a:ext cx="1574490" cy="399370"/>
        </a:xfrm>
        <a:prstGeom prst="round2SameRect">
          <a:avLst/>
        </a:prstGeom>
        <a:solidFill>
          <a:srgbClr val="54BCEB"/>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2FFA63F3-7E4C-4DC1-BC79-0F66048F9B50}" type="TxLink">
            <a:rPr lang="en-US" sz="1100" b="0" i="0" u="none" strike="noStrike">
              <a:solidFill>
                <a:srgbClr val="FFFFFF"/>
              </a:solidFill>
              <a:latin typeface="Arial" panose="020B0604020202020204" pitchFamily="34" charset="0"/>
              <a:cs typeface="Arial" panose="020B0604020202020204" pitchFamily="34" charset="0"/>
            </a:rPr>
            <a:pPr algn="ctr"/>
            <a:t>Inspection Form</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7</xdr:col>
      <xdr:colOff>457</xdr:colOff>
      <xdr:row>1</xdr:row>
      <xdr:rowOff>0</xdr:rowOff>
    </xdr:from>
    <xdr:to>
      <xdr:col>12</xdr:col>
      <xdr:colOff>0</xdr:colOff>
      <xdr:row>4</xdr:row>
      <xdr:rowOff>0</xdr:rowOff>
    </xdr:to>
    <xdr:sp macro="" textlink="MAIN1">
      <xdr:nvSpPr>
        <xdr:cNvPr id="3" name="MENU1">
          <a:hlinkClick xmlns:r="http://schemas.openxmlformats.org/officeDocument/2006/relationships" r:id="rId4" tooltip=" "/>
          <a:extLst>
            <a:ext uri="{FF2B5EF4-FFF2-40B4-BE49-F238E27FC236}">
              <a16:creationId xmlns:a16="http://schemas.microsoft.com/office/drawing/2014/main" id="{00000000-0008-0000-2000-000003000000}"/>
            </a:ext>
          </a:extLst>
        </xdr:cNvPr>
        <xdr:cNvSpPr/>
      </xdr:nvSpPr>
      <xdr:spPr>
        <a:xfrm>
          <a:off x="2200732" y="200025"/>
          <a:ext cx="1571168" cy="600075"/>
        </a:xfrm>
        <a:prstGeom prst="round2SameRect">
          <a:avLst/>
        </a:prstGeom>
        <a:solidFill>
          <a:srgbClr val="00334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D6F2F067-2676-4601-ABCE-75BD5137E3D5}" type="TxLink">
            <a:rPr lang="en-US" sz="1100" b="0" i="0" u="none" strike="noStrike">
              <a:solidFill>
                <a:schemeClr val="bg1"/>
              </a:solidFill>
              <a:latin typeface="Arial" panose="020B0604020202020204" pitchFamily="34" charset="0"/>
              <a:cs typeface="Arial" panose="020B0604020202020204" pitchFamily="34" charset="0"/>
            </a:rPr>
            <a:pPr algn="ctr"/>
            <a:t>START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12</xdr:col>
      <xdr:colOff>0</xdr:colOff>
      <xdr:row>1</xdr:row>
      <xdr:rowOff>0</xdr:rowOff>
    </xdr:from>
    <xdr:to>
      <xdr:col>17</xdr:col>
      <xdr:colOff>0</xdr:colOff>
      <xdr:row>4</xdr:row>
      <xdr:rowOff>0</xdr:rowOff>
    </xdr:to>
    <xdr:sp macro="" textlink="MAIN2">
      <xdr:nvSpPr>
        <xdr:cNvPr id="4" name="MENU2">
          <a:hlinkClick xmlns:r="http://schemas.openxmlformats.org/officeDocument/2006/relationships" r:id="rId5" tooltip=" "/>
          <a:extLst>
            <a:ext uri="{FF2B5EF4-FFF2-40B4-BE49-F238E27FC236}">
              <a16:creationId xmlns:a16="http://schemas.microsoft.com/office/drawing/2014/main" id="{00000000-0008-0000-2000-000004000000}"/>
            </a:ext>
          </a:extLst>
        </xdr:cNvPr>
        <xdr:cNvSpPr/>
      </xdr:nvSpPr>
      <xdr:spPr>
        <a:xfrm>
          <a:off x="3765176" y="201706"/>
          <a:ext cx="1568824" cy="605118"/>
        </a:xfrm>
        <a:prstGeom prst="round2SameRect">
          <a:avLst/>
        </a:prstGeom>
        <a:solidFill>
          <a:srgbClr val="00334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59A035B9-F1D2-4E89-B262-AF2DF0C338A9}" type="TxLink">
            <a:rPr lang="en-US" sz="1100" b="0" i="0" u="none" strike="noStrike">
              <a:solidFill>
                <a:schemeClr val="bg1"/>
              </a:solidFill>
              <a:latin typeface="Arial" panose="020B0604020202020204" pitchFamily="34" charset="0"/>
              <a:cs typeface="Arial" panose="020B0604020202020204" pitchFamily="34" charset="0"/>
            </a:rPr>
            <a:pPr algn="ctr"/>
            <a:t>PROJECT INFORMATION</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17</xdr:col>
      <xdr:colOff>0</xdr:colOff>
      <xdr:row>1</xdr:row>
      <xdr:rowOff>0</xdr:rowOff>
    </xdr:from>
    <xdr:to>
      <xdr:col>22</xdr:col>
      <xdr:colOff>0</xdr:colOff>
      <xdr:row>4</xdr:row>
      <xdr:rowOff>0</xdr:rowOff>
    </xdr:to>
    <xdr:sp macro="" textlink="MAIN3">
      <xdr:nvSpPr>
        <xdr:cNvPr id="5" name="MENU3">
          <a:hlinkClick xmlns:r="http://schemas.openxmlformats.org/officeDocument/2006/relationships" r:id="rId6" tooltip=" "/>
          <a:extLst>
            <a:ext uri="{FF2B5EF4-FFF2-40B4-BE49-F238E27FC236}">
              <a16:creationId xmlns:a16="http://schemas.microsoft.com/office/drawing/2014/main" id="{00000000-0008-0000-2000-000005000000}"/>
            </a:ext>
          </a:extLst>
        </xdr:cNvPr>
        <xdr:cNvSpPr/>
      </xdr:nvSpPr>
      <xdr:spPr>
        <a:xfrm>
          <a:off x="5334000" y="201706"/>
          <a:ext cx="1568824" cy="605118"/>
        </a:xfrm>
        <a:prstGeom prst="round2SameRect">
          <a:avLst/>
        </a:prstGeom>
        <a:solidFill>
          <a:srgbClr val="00334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06A037F-AE33-47CC-85C1-F6D62694F95D}" type="TxLink">
            <a:rPr lang="en-US" sz="1100" b="0" i="0" u="none" strike="noStrike">
              <a:solidFill>
                <a:schemeClr val="bg1"/>
              </a:solidFill>
              <a:latin typeface="Arial" panose="020B0604020202020204" pitchFamily="34" charset="0"/>
              <a:cs typeface="Arial" panose="020B0604020202020204" pitchFamily="34" charset="0"/>
            </a:rPr>
            <a:pPr algn="ctr"/>
            <a:t>PRESCRIPTIVE MEASURES INPUT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22</xdr:col>
      <xdr:colOff>0</xdr:colOff>
      <xdr:row>1</xdr:row>
      <xdr:rowOff>0</xdr:rowOff>
    </xdr:from>
    <xdr:to>
      <xdr:col>27</xdr:col>
      <xdr:colOff>0</xdr:colOff>
      <xdr:row>4</xdr:row>
      <xdr:rowOff>0</xdr:rowOff>
    </xdr:to>
    <xdr:sp macro="" textlink="MAIN4">
      <xdr:nvSpPr>
        <xdr:cNvPr id="6" name="MENU4">
          <a:hlinkClick xmlns:r="http://schemas.openxmlformats.org/officeDocument/2006/relationships" r:id="rId7" tooltip=" "/>
          <a:extLst>
            <a:ext uri="{FF2B5EF4-FFF2-40B4-BE49-F238E27FC236}">
              <a16:creationId xmlns:a16="http://schemas.microsoft.com/office/drawing/2014/main" id="{00000000-0008-0000-2000-000006000000}"/>
            </a:ext>
          </a:extLst>
        </xdr:cNvPr>
        <xdr:cNvSpPr/>
      </xdr:nvSpPr>
      <xdr:spPr>
        <a:xfrm>
          <a:off x="6902824" y="201706"/>
          <a:ext cx="1568823" cy="605118"/>
        </a:xfrm>
        <a:prstGeom prst="round2SameRect">
          <a:avLst/>
        </a:prstGeom>
        <a:solidFill>
          <a:srgbClr val="00334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CB369157-CA5B-4E40-B1DE-604993B819B3}" type="TxLink">
            <a:rPr lang="en-US" sz="1100" b="0" i="0" u="none" strike="noStrike">
              <a:solidFill>
                <a:schemeClr val="bg1"/>
              </a:solidFill>
              <a:latin typeface="Arial" panose="020B0604020202020204" pitchFamily="34" charset="0"/>
              <a:cs typeface="Arial" panose="020B0604020202020204" pitchFamily="34" charset="0"/>
            </a:rPr>
            <a:pPr algn="ctr"/>
            <a:t>CUSTOM MEASURES INPUT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27</xdr:col>
      <xdr:colOff>0</xdr:colOff>
      <xdr:row>1</xdr:row>
      <xdr:rowOff>133350</xdr:rowOff>
    </xdr:from>
    <xdr:to>
      <xdr:col>32</xdr:col>
      <xdr:colOff>0</xdr:colOff>
      <xdr:row>4</xdr:row>
      <xdr:rowOff>133350</xdr:rowOff>
    </xdr:to>
    <xdr:sp macro="" textlink="MAIN5">
      <xdr:nvSpPr>
        <xdr:cNvPr id="7" name="MENU5">
          <a:hlinkClick xmlns:r="http://schemas.openxmlformats.org/officeDocument/2006/relationships" r:id="rId8" tooltip=" "/>
          <a:extLst>
            <a:ext uri="{FF2B5EF4-FFF2-40B4-BE49-F238E27FC236}">
              <a16:creationId xmlns:a16="http://schemas.microsoft.com/office/drawing/2014/main" id="{00000000-0008-0000-2000-000007000000}"/>
            </a:ext>
          </a:extLst>
        </xdr:cNvPr>
        <xdr:cNvSpPr/>
      </xdr:nvSpPr>
      <xdr:spPr>
        <a:xfrm>
          <a:off x="8486775" y="333375"/>
          <a:ext cx="1571625" cy="600075"/>
        </a:xfrm>
        <a:prstGeom prst="round2SameRect">
          <a:avLst/>
        </a:prstGeom>
        <a:solidFill>
          <a:srgbClr val="A6A5AA"/>
        </a:solidFill>
        <a:ln w="12700">
          <a:solidFill>
            <a:srgbClr val="A6A5AA"/>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F0EEDDA6-4934-49B4-972D-20D21D440D82}" type="TxLink">
            <a:rPr lang="en-US" sz="1100" b="0" i="0" u="none" strike="noStrike">
              <a:solidFill>
                <a:schemeClr val="bg1"/>
              </a:solidFill>
              <a:latin typeface="Arial" panose="020B0604020202020204" pitchFamily="34" charset="0"/>
              <a:cs typeface="Arial" panose="020B0604020202020204" pitchFamily="34" charset="0"/>
            </a:rPr>
            <a:pPr algn="ctr"/>
            <a:t>APPLICATION REVIEW</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32</xdr:col>
      <xdr:colOff>2865</xdr:colOff>
      <xdr:row>4</xdr:row>
      <xdr:rowOff>200705</xdr:rowOff>
    </xdr:from>
    <xdr:to>
      <xdr:col>37</xdr:col>
      <xdr:colOff>2720</xdr:colOff>
      <xdr:row>7</xdr:row>
      <xdr:rowOff>0</xdr:rowOff>
    </xdr:to>
    <xdr:sp macro="" textlink="M5S7">
      <xdr:nvSpPr>
        <xdr:cNvPr id="17" name="SUBMENU7">
          <a:hlinkClick xmlns:r="http://schemas.openxmlformats.org/officeDocument/2006/relationships" r:id="rId9"/>
          <a:extLst>
            <a:ext uri="{FF2B5EF4-FFF2-40B4-BE49-F238E27FC236}">
              <a16:creationId xmlns:a16="http://schemas.microsoft.com/office/drawing/2014/main" id="{00000000-0008-0000-2000-000011000000}"/>
            </a:ext>
          </a:extLst>
        </xdr:cNvPr>
        <xdr:cNvSpPr/>
      </xdr:nvSpPr>
      <xdr:spPr>
        <a:xfrm>
          <a:off x="10061265" y="1000805"/>
          <a:ext cx="1571480" cy="399370"/>
        </a:xfrm>
        <a:prstGeom prst="round2SameRect">
          <a:avLst/>
        </a:prstGeom>
        <a:solidFill>
          <a:srgbClr val="54BCEB"/>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6CAE8FA-B71D-4045-87A3-84E89034BDA3}" type="TxLink">
            <a:rPr lang="en-US" sz="1100" b="0" i="0" u="none" strike="noStrike">
              <a:solidFill>
                <a:srgbClr val="FFFFFF"/>
              </a:solidFill>
              <a:latin typeface="Arial" panose="020B0604020202020204" pitchFamily="34" charset="0"/>
              <a:cs typeface="Arial" panose="020B0604020202020204" pitchFamily="34" charset="0"/>
            </a:rPr>
            <a:pPr algn="ctr"/>
            <a:t>Summary Form</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1</xdr:col>
      <xdr:colOff>0</xdr:colOff>
      <xdr:row>4</xdr:row>
      <xdr:rowOff>1</xdr:rowOff>
    </xdr:from>
    <xdr:to>
      <xdr:col>44</xdr:col>
      <xdr:colOff>13806</xdr:colOff>
      <xdr:row>7</xdr:row>
      <xdr:rowOff>0</xdr:rowOff>
    </xdr:to>
    <xdr:sp macro="" textlink="">
      <xdr:nvSpPr>
        <xdr:cNvPr id="10" name="TOPRIBBON">
          <a:extLst>
            <a:ext uri="{FF2B5EF4-FFF2-40B4-BE49-F238E27FC236}">
              <a16:creationId xmlns:a16="http://schemas.microsoft.com/office/drawing/2014/main" id="{00000000-0008-0000-2000-00000A000000}"/>
            </a:ext>
          </a:extLst>
        </xdr:cNvPr>
        <xdr:cNvSpPr/>
      </xdr:nvSpPr>
      <xdr:spPr>
        <a:xfrm>
          <a:off x="313765" y="806825"/>
          <a:ext cx="13505688" cy="605116"/>
        </a:xfrm>
        <a:prstGeom prst="round2SameRect">
          <a:avLst/>
        </a:prstGeom>
        <a:solidFill>
          <a:srgbClr val="A6A5A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p>
      </xdr:txBody>
    </xdr:sp>
    <xdr:clientData/>
  </xdr:twoCellAnchor>
  <xdr:twoCellAnchor>
    <xdr:from>
      <xdr:col>37</xdr:col>
      <xdr:colOff>2720</xdr:colOff>
      <xdr:row>4</xdr:row>
      <xdr:rowOff>200705</xdr:rowOff>
    </xdr:from>
    <xdr:to>
      <xdr:col>42</xdr:col>
      <xdr:colOff>0</xdr:colOff>
      <xdr:row>7</xdr:row>
      <xdr:rowOff>0</xdr:rowOff>
    </xdr:to>
    <xdr:sp macro="" textlink="M5S8">
      <xdr:nvSpPr>
        <xdr:cNvPr id="18" name="SUBMENU8">
          <a:hlinkClick xmlns:r="http://schemas.openxmlformats.org/officeDocument/2006/relationships" r:id="rId10"/>
          <a:extLst>
            <a:ext uri="{FF2B5EF4-FFF2-40B4-BE49-F238E27FC236}">
              <a16:creationId xmlns:a16="http://schemas.microsoft.com/office/drawing/2014/main" id="{00000000-0008-0000-2000-000012000000}"/>
            </a:ext>
          </a:extLst>
        </xdr:cNvPr>
        <xdr:cNvSpPr/>
      </xdr:nvSpPr>
      <xdr:spPr>
        <a:xfrm>
          <a:off x="11632745" y="1000805"/>
          <a:ext cx="1568905" cy="399370"/>
        </a:xfrm>
        <a:prstGeom prst="round2SameRect">
          <a:avLst/>
        </a:prstGeom>
        <a:noFill/>
        <a:ln w="12700">
          <a:no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562C4A9D-BD10-4BFB-89D6-250DB3FCE105}" type="TxLink">
            <a:rPr lang="en-US" sz="1100" b="0" i="0" u="none" strike="noStrike">
              <a:solidFill>
                <a:srgbClr val="FFFFFF"/>
              </a:solidFill>
              <a:latin typeface="Arial" panose="020B0604020202020204" pitchFamily="34" charset="0"/>
              <a:cs typeface="Arial" panose="020B0604020202020204" pitchFamily="34" charset="0"/>
            </a:rPr>
            <a:pPr algn="ctr"/>
            <a:t> </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12</xdr:col>
      <xdr:colOff>2551</xdr:colOff>
      <xdr:row>4</xdr:row>
      <xdr:rowOff>200705</xdr:rowOff>
    </xdr:from>
    <xdr:to>
      <xdr:col>17</xdr:col>
      <xdr:colOff>2550</xdr:colOff>
      <xdr:row>7</xdr:row>
      <xdr:rowOff>0</xdr:rowOff>
    </xdr:to>
    <xdr:sp macro="" textlink="M5S3">
      <xdr:nvSpPr>
        <xdr:cNvPr id="13" name="SUBMENU3">
          <a:hlinkClick xmlns:r="http://schemas.openxmlformats.org/officeDocument/2006/relationships" r:id="rId11"/>
          <a:extLst>
            <a:ext uri="{FF2B5EF4-FFF2-40B4-BE49-F238E27FC236}">
              <a16:creationId xmlns:a16="http://schemas.microsoft.com/office/drawing/2014/main" id="{00000000-0008-0000-2000-00000D000000}"/>
            </a:ext>
          </a:extLst>
        </xdr:cNvPr>
        <xdr:cNvSpPr/>
      </xdr:nvSpPr>
      <xdr:spPr>
        <a:xfrm>
          <a:off x="3774451" y="1000805"/>
          <a:ext cx="1571624" cy="399370"/>
        </a:xfrm>
        <a:prstGeom prst="round2SameRect">
          <a:avLst/>
        </a:prstGeom>
        <a:noFill/>
        <a:ln w="12700">
          <a:noFill/>
        </a:ln>
        <a:effectLst>
          <a:outerShdw blurRad="50800" dist="127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272C9A7E-800F-4AE6-95B1-8AFF5CAE57C5}" type="TxLink">
            <a:rPr lang="en-US" sz="1100" b="0" i="0" u="none" strike="noStrike">
              <a:solidFill>
                <a:srgbClr val="FFFFFF"/>
              </a:solidFill>
              <a:latin typeface="Arial" panose="020B0604020202020204" pitchFamily="34" charset="0"/>
              <a:cs typeface="Arial" panose="020B0604020202020204" pitchFamily="34" charset="0"/>
            </a:rPr>
            <a:pPr algn="ctr"/>
            <a:t> </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32</xdr:col>
      <xdr:colOff>0</xdr:colOff>
      <xdr:row>1</xdr:row>
      <xdr:rowOff>0</xdr:rowOff>
    </xdr:from>
    <xdr:to>
      <xdr:col>37</xdr:col>
      <xdr:colOff>1</xdr:colOff>
      <xdr:row>4</xdr:row>
      <xdr:rowOff>0</xdr:rowOff>
    </xdr:to>
    <xdr:sp macro="" textlink="MAIN6">
      <xdr:nvSpPr>
        <xdr:cNvPr id="8" name="MENU6">
          <a:extLst>
            <a:ext uri="{FF2B5EF4-FFF2-40B4-BE49-F238E27FC236}">
              <a16:creationId xmlns:a16="http://schemas.microsoft.com/office/drawing/2014/main" id="{00000000-0008-0000-2000-000008000000}"/>
            </a:ext>
          </a:extLst>
        </xdr:cNvPr>
        <xdr:cNvSpPr/>
      </xdr:nvSpPr>
      <xdr:spPr>
        <a:xfrm>
          <a:off x="10058400" y="200025"/>
          <a:ext cx="1571626"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00B050"/>
              </a:solidFill>
            </a14:hiddenFill>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B12A3774-975E-4B41-A681-E085295C6D0E}" type="TxLink">
            <a:rPr lang="en-US" sz="1100" b="0" i="0" u="none" strike="noStrike">
              <a:noFill/>
              <a:latin typeface="Arial" panose="020B0604020202020204" pitchFamily="34" charset="0"/>
              <a:cs typeface="Arial" panose="020B0604020202020204" pitchFamily="34" charset="0"/>
            </a:rPr>
            <a:pPr algn="ctr"/>
            <a:t> </a:t>
          </a:fld>
          <a:endParaRPr lang="en-US" sz="1100">
            <a:noFill/>
            <a:latin typeface="Arial" panose="020B0604020202020204" pitchFamily="34" charset="0"/>
            <a:cs typeface="Arial" panose="020B0604020202020204" pitchFamily="34" charset="0"/>
          </a:endParaRPr>
        </a:p>
      </xdr:txBody>
    </xdr:sp>
    <xdr:clientData/>
  </xdr:twoCellAnchor>
  <xdr:twoCellAnchor>
    <xdr:from>
      <xdr:col>36</xdr:col>
      <xdr:colOff>314324</xdr:colOff>
      <xdr:row>1</xdr:row>
      <xdr:rowOff>0</xdr:rowOff>
    </xdr:from>
    <xdr:to>
      <xdr:col>41</xdr:col>
      <xdr:colOff>314324</xdr:colOff>
      <xdr:row>4</xdr:row>
      <xdr:rowOff>0</xdr:rowOff>
    </xdr:to>
    <xdr:sp macro="" textlink="MAIN7">
      <xdr:nvSpPr>
        <xdr:cNvPr id="9" name="MENU7">
          <a:extLst>
            <a:ext uri="{FF2B5EF4-FFF2-40B4-BE49-F238E27FC236}">
              <a16:creationId xmlns:a16="http://schemas.microsoft.com/office/drawing/2014/main" id="{00000000-0008-0000-2000-000009000000}"/>
            </a:ext>
          </a:extLst>
        </xdr:cNvPr>
        <xdr:cNvSpPr/>
      </xdr:nvSpPr>
      <xdr:spPr>
        <a:xfrm>
          <a:off x="11630024" y="200025"/>
          <a:ext cx="1571625"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00B050"/>
              </a:solidFill>
            </a14:hiddenFill>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 </a:t>
          </a:fld>
          <a:endParaRPr lang="en-US" sz="1100">
            <a:noFill/>
            <a:latin typeface="Arial" panose="020B0604020202020204" pitchFamily="34" charset="0"/>
            <a:cs typeface="Arial" panose="020B0604020202020204" pitchFamily="34" charset="0"/>
          </a:endParaRPr>
        </a:p>
      </xdr:txBody>
    </xdr:sp>
    <xdr:clientData/>
  </xdr:twoCellAnchor>
  <xdr:twoCellAnchor>
    <xdr:from>
      <xdr:col>2</xdr:col>
      <xdr:colOff>2720</xdr:colOff>
      <xdr:row>5</xdr:row>
      <xdr:rowOff>0</xdr:rowOff>
    </xdr:from>
    <xdr:to>
      <xdr:col>7</xdr:col>
      <xdr:colOff>457</xdr:colOff>
      <xdr:row>6</xdr:row>
      <xdr:rowOff>197827</xdr:rowOff>
    </xdr:to>
    <xdr:sp macro="" textlink="M5S1">
      <xdr:nvSpPr>
        <xdr:cNvPr id="11" name="SUBMENU1">
          <a:hlinkClick xmlns:r="http://schemas.openxmlformats.org/officeDocument/2006/relationships" r:id="rId8" tooltip=" "/>
          <a:extLst>
            <a:ext uri="{FF2B5EF4-FFF2-40B4-BE49-F238E27FC236}">
              <a16:creationId xmlns:a16="http://schemas.microsoft.com/office/drawing/2014/main" id="{00000000-0008-0000-2000-00000B000000}"/>
            </a:ext>
          </a:extLst>
        </xdr:cNvPr>
        <xdr:cNvSpPr/>
      </xdr:nvSpPr>
      <xdr:spPr>
        <a:xfrm>
          <a:off x="631370" y="1000125"/>
          <a:ext cx="1569362" cy="397852"/>
        </a:xfrm>
        <a:prstGeom prst="round2SameRect">
          <a:avLst/>
        </a:prstGeom>
        <a:solidFill>
          <a:srgbClr val="54BCEB"/>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2A9D6AC0-5121-4C66-8D3B-0C4F60FE0219}" type="TxLink">
            <a:rPr lang="en-US" sz="1100" b="0" i="0" u="none" strike="noStrike">
              <a:solidFill>
                <a:srgbClr val="FFFFFF"/>
              </a:solidFill>
              <a:latin typeface="Arial" panose="020B0604020202020204" pitchFamily="34" charset="0"/>
              <a:cs typeface="Arial" panose="020B0604020202020204" pitchFamily="34" charset="0"/>
            </a:rPr>
            <a:pPr algn="ctr"/>
            <a:t>Project Summary</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7</xdr:col>
      <xdr:colOff>2551</xdr:colOff>
      <xdr:row>5</xdr:row>
      <xdr:rowOff>51480</xdr:rowOff>
    </xdr:from>
    <xdr:to>
      <xdr:col>12</xdr:col>
      <xdr:colOff>2550</xdr:colOff>
      <xdr:row>7</xdr:row>
      <xdr:rowOff>50800</xdr:rowOff>
    </xdr:to>
    <xdr:sp macro="" textlink="M5S2">
      <xdr:nvSpPr>
        <xdr:cNvPr id="12" name="SUBMENU2">
          <a:hlinkClick xmlns:r="http://schemas.openxmlformats.org/officeDocument/2006/relationships" r:id="rId12" tooltip=" "/>
          <a:extLst>
            <a:ext uri="{FF2B5EF4-FFF2-40B4-BE49-F238E27FC236}">
              <a16:creationId xmlns:a16="http://schemas.microsoft.com/office/drawing/2014/main" id="{00000000-0008-0000-2000-00000C000000}"/>
            </a:ext>
          </a:extLst>
        </xdr:cNvPr>
        <xdr:cNvSpPr/>
      </xdr:nvSpPr>
      <xdr:spPr>
        <a:xfrm>
          <a:off x="2202826" y="1051605"/>
          <a:ext cx="1571624" cy="399370"/>
        </a:xfrm>
        <a:prstGeom prst="round2SameRect">
          <a:avLst/>
        </a:prstGeom>
        <a:solidFill>
          <a:srgbClr val="00334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DB017B9-6E71-4874-AB31-EC7916DB256F}" type="TxLink">
            <a:rPr lang="en-US" sz="1100" b="0" i="0" u="none" strike="noStrike">
              <a:solidFill>
                <a:srgbClr val="FFFFFF"/>
              </a:solidFill>
              <a:latin typeface="Arial" panose="020B0604020202020204" pitchFamily="34" charset="0"/>
              <a:cs typeface="Arial" panose="020B0604020202020204" pitchFamily="34" charset="0"/>
            </a:rPr>
            <a:pPr algn="ctr"/>
            <a:t>Submit Application</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0</xdr:col>
      <xdr:colOff>314323</xdr:colOff>
      <xdr:row>7</xdr:row>
      <xdr:rowOff>200024</xdr:rowOff>
    </xdr:from>
    <xdr:to>
      <xdr:col>44</xdr:col>
      <xdr:colOff>0</xdr:colOff>
      <xdr:row>199</xdr:row>
      <xdr:rowOff>0</xdr:rowOff>
    </xdr:to>
    <xdr:sp macro="" textlink="">
      <xdr:nvSpPr>
        <xdr:cNvPr id="19" name="BORDER">
          <a:extLst>
            <a:ext uri="{FF2B5EF4-FFF2-40B4-BE49-F238E27FC236}">
              <a16:creationId xmlns:a16="http://schemas.microsoft.com/office/drawing/2014/main" id="{00000000-0008-0000-2000-000013000000}"/>
            </a:ext>
          </a:extLst>
        </xdr:cNvPr>
        <xdr:cNvSpPr/>
      </xdr:nvSpPr>
      <xdr:spPr>
        <a:xfrm>
          <a:off x="314323" y="1600199"/>
          <a:ext cx="13515977" cy="37804726"/>
        </a:xfrm>
        <a:prstGeom prst="frame">
          <a:avLst>
            <a:gd name="adj1" fmla="val 97"/>
          </a:avLst>
        </a:prstGeom>
        <a:noFill/>
        <a:ln w="12700" cap="flat" cmpd="sng" algn="ctr">
          <a:solidFill>
            <a:srgbClr val="00334E"/>
          </a:solidFill>
          <a:prstDash val="solid"/>
          <a:miter lim="800000"/>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fPrintsWithSheet="0"/>
  </xdr:twoCellAnchor>
  <xdr:twoCellAnchor editAs="oneCell">
    <xdr:from>
      <xdr:col>2</xdr:col>
      <xdr:colOff>2720</xdr:colOff>
      <xdr:row>8</xdr:row>
      <xdr:rowOff>201232</xdr:rowOff>
    </xdr:from>
    <xdr:to>
      <xdr:col>4</xdr:col>
      <xdr:colOff>960</xdr:colOff>
      <xdr:row>11</xdr:row>
      <xdr:rowOff>1207</xdr:rowOff>
    </xdr:to>
    <xdr:sp macro="" textlink="">
      <xdr:nvSpPr>
        <xdr:cNvPr id="20" name="BACK">
          <a:hlinkClick xmlns:r="http://schemas.openxmlformats.org/officeDocument/2006/relationships" r:id="rId8" tooltip=" "/>
          <a:extLst>
            <a:ext uri="{FF2B5EF4-FFF2-40B4-BE49-F238E27FC236}">
              <a16:creationId xmlns:a16="http://schemas.microsoft.com/office/drawing/2014/main" id="{00000000-0008-0000-2000-000014000000}"/>
            </a:ext>
          </a:extLst>
        </xdr:cNvPr>
        <xdr:cNvSpPr>
          <a:spLocks noChangeAspect="1"/>
        </xdr:cNvSpPr>
      </xdr:nvSpPr>
      <xdr:spPr>
        <a:xfrm>
          <a:off x="631370" y="1801432"/>
          <a:ext cx="626890" cy="400050"/>
        </a:xfrm>
        <a:prstGeom prst="leftArrow">
          <a:avLst/>
        </a:prstGeom>
        <a:solidFill>
          <a:srgbClr val="54BCEB"/>
        </a:solidFill>
        <a:ln>
          <a:solidFill>
            <a:srgbClr val="54BCEB"/>
          </a:solidFill>
        </a:ln>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35</xdr:col>
      <xdr:colOff>0</xdr:colOff>
      <xdr:row>16</xdr:row>
      <xdr:rowOff>11207</xdr:rowOff>
    </xdr:from>
    <xdr:to>
      <xdr:col>42</xdr:col>
      <xdr:colOff>246529</xdr:colOff>
      <xdr:row>16</xdr:row>
      <xdr:rowOff>145677</xdr:rowOff>
    </xdr:to>
    <xdr:sp macro="" textlink="">
      <xdr:nvSpPr>
        <xdr:cNvPr id="34" name="Rectangle 33">
          <a:hlinkClick xmlns:r="http://schemas.openxmlformats.org/officeDocument/2006/relationships" r:id="rId13" tooltip=" "/>
          <a:extLst>
            <a:ext uri="{FF2B5EF4-FFF2-40B4-BE49-F238E27FC236}">
              <a16:creationId xmlns:a16="http://schemas.microsoft.com/office/drawing/2014/main" id="{00000000-0008-0000-2000-000022000000}"/>
            </a:ext>
          </a:extLst>
        </xdr:cNvPr>
        <xdr:cNvSpPr/>
      </xdr:nvSpPr>
      <xdr:spPr>
        <a:xfrm>
          <a:off x="10981765" y="3238501"/>
          <a:ext cx="2442882" cy="1344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xdr:col>
      <xdr:colOff>0</xdr:colOff>
      <xdr:row>14</xdr:row>
      <xdr:rowOff>0</xdr:rowOff>
    </xdr:from>
    <xdr:to>
      <xdr:col>10</xdr:col>
      <xdr:colOff>0</xdr:colOff>
      <xdr:row>15</xdr:row>
      <xdr:rowOff>190500</xdr:rowOff>
    </xdr:to>
    <xdr:sp macro="" textlink="">
      <xdr:nvSpPr>
        <xdr:cNvPr id="2" name="Rectangle 1">
          <a:hlinkClick xmlns:r="http://schemas.openxmlformats.org/officeDocument/2006/relationships" r:id="rId5" tooltip=" "/>
          <a:extLst>
            <a:ext uri="{FF2B5EF4-FFF2-40B4-BE49-F238E27FC236}">
              <a16:creationId xmlns:a16="http://schemas.microsoft.com/office/drawing/2014/main" id="{00000000-0008-0000-2000-000002000000}"/>
            </a:ext>
          </a:extLst>
        </xdr:cNvPr>
        <xdr:cNvSpPr/>
      </xdr:nvSpPr>
      <xdr:spPr>
        <a:xfrm>
          <a:off x="941294" y="2823882"/>
          <a:ext cx="2196353" cy="39220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xdr:col>
      <xdr:colOff>0</xdr:colOff>
      <xdr:row>17</xdr:row>
      <xdr:rowOff>0</xdr:rowOff>
    </xdr:from>
    <xdr:to>
      <xdr:col>10</xdr:col>
      <xdr:colOff>0</xdr:colOff>
      <xdr:row>18</xdr:row>
      <xdr:rowOff>0</xdr:rowOff>
    </xdr:to>
    <xdr:sp macro="" textlink="">
      <xdr:nvSpPr>
        <xdr:cNvPr id="36" name="Rectangle 35">
          <a:hlinkClick xmlns:r="http://schemas.openxmlformats.org/officeDocument/2006/relationships" r:id="rId14" tooltip=" "/>
          <a:extLst>
            <a:ext uri="{FF2B5EF4-FFF2-40B4-BE49-F238E27FC236}">
              <a16:creationId xmlns:a16="http://schemas.microsoft.com/office/drawing/2014/main" id="{00000000-0008-0000-2000-000024000000}"/>
            </a:ext>
          </a:extLst>
        </xdr:cNvPr>
        <xdr:cNvSpPr/>
      </xdr:nvSpPr>
      <xdr:spPr>
        <a:xfrm>
          <a:off x="941294" y="3429000"/>
          <a:ext cx="2196353" cy="20170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xdr:col>
      <xdr:colOff>0</xdr:colOff>
      <xdr:row>19</xdr:row>
      <xdr:rowOff>0</xdr:rowOff>
    </xdr:from>
    <xdr:to>
      <xdr:col>10</xdr:col>
      <xdr:colOff>0</xdr:colOff>
      <xdr:row>20</xdr:row>
      <xdr:rowOff>0</xdr:rowOff>
    </xdr:to>
    <xdr:sp macro="" textlink="">
      <xdr:nvSpPr>
        <xdr:cNvPr id="37" name="Rectangle 36">
          <a:hlinkClick xmlns:r="http://schemas.openxmlformats.org/officeDocument/2006/relationships" r:id="rId15" tooltip=" "/>
          <a:extLst>
            <a:ext uri="{FF2B5EF4-FFF2-40B4-BE49-F238E27FC236}">
              <a16:creationId xmlns:a16="http://schemas.microsoft.com/office/drawing/2014/main" id="{00000000-0008-0000-2000-000025000000}"/>
            </a:ext>
          </a:extLst>
        </xdr:cNvPr>
        <xdr:cNvSpPr/>
      </xdr:nvSpPr>
      <xdr:spPr>
        <a:xfrm>
          <a:off x="941294" y="3832412"/>
          <a:ext cx="2196353" cy="20170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xdr:col>
      <xdr:colOff>0</xdr:colOff>
      <xdr:row>21</xdr:row>
      <xdr:rowOff>0</xdr:rowOff>
    </xdr:from>
    <xdr:to>
      <xdr:col>10</xdr:col>
      <xdr:colOff>0</xdr:colOff>
      <xdr:row>22</xdr:row>
      <xdr:rowOff>1</xdr:rowOff>
    </xdr:to>
    <xdr:sp macro="" textlink="">
      <xdr:nvSpPr>
        <xdr:cNvPr id="38" name="Rectangle 37">
          <a:hlinkClick xmlns:r="http://schemas.openxmlformats.org/officeDocument/2006/relationships" r:id="rId16" tooltip=" "/>
          <a:extLst>
            <a:ext uri="{FF2B5EF4-FFF2-40B4-BE49-F238E27FC236}">
              <a16:creationId xmlns:a16="http://schemas.microsoft.com/office/drawing/2014/main" id="{00000000-0008-0000-2000-000026000000}"/>
            </a:ext>
          </a:extLst>
        </xdr:cNvPr>
        <xdr:cNvSpPr/>
      </xdr:nvSpPr>
      <xdr:spPr>
        <a:xfrm>
          <a:off x="941294" y="4235824"/>
          <a:ext cx="2196353" cy="20170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xdr:col>
      <xdr:colOff>0</xdr:colOff>
      <xdr:row>23</xdr:row>
      <xdr:rowOff>0</xdr:rowOff>
    </xdr:from>
    <xdr:to>
      <xdr:col>10</xdr:col>
      <xdr:colOff>0</xdr:colOff>
      <xdr:row>25</xdr:row>
      <xdr:rowOff>0</xdr:rowOff>
    </xdr:to>
    <xdr:sp macro="" textlink="">
      <xdr:nvSpPr>
        <xdr:cNvPr id="39" name="Rectangle 38">
          <a:hlinkClick xmlns:r="http://schemas.openxmlformats.org/officeDocument/2006/relationships" r:id="rId6" tooltip=" "/>
          <a:extLst>
            <a:ext uri="{FF2B5EF4-FFF2-40B4-BE49-F238E27FC236}">
              <a16:creationId xmlns:a16="http://schemas.microsoft.com/office/drawing/2014/main" id="{00000000-0008-0000-2000-000027000000}"/>
            </a:ext>
          </a:extLst>
        </xdr:cNvPr>
        <xdr:cNvSpPr/>
      </xdr:nvSpPr>
      <xdr:spPr>
        <a:xfrm>
          <a:off x="941294" y="4639235"/>
          <a:ext cx="2196353" cy="40341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xdr:col>
      <xdr:colOff>0</xdr:colOff>
      <xdr:row>26</xdr:row>
      <xdr:rowOff>0</xdr:rowOff>
    </xdr:from>
    <xdr:to>
      <xdr:col>10</xdr:col>
      <xdr:colOff>0</xdr:colOff>
      <xdr:row>27</xdr:row>
      <xdr:rowOff>1</xdr:rowOff>
    </xdr:to>
    <xdr:sp macro="" textlink="">
      <xdr:nvSpPr>
        <xdr:cNvPr id="48" name="Rectangle 47">
          <a:hlinkClick xmlns:r="http://schemas.openxmlformats.org/officeDocument/2006/relationships" r:id="rId17"/>
          <a:extLst>
            <a:ext uri="{FF2B5EF4-FFF2-40B4-BE49-F238E27FC236}">
              <a16:creationId xmlns:a16="http://schemas.microsoft.com/office/drawing/2014/main" id="{00000000-0008-0000-2000-000030000000}"/>
            </a:ext>
          </a:extLst>
        </xdr:cNvPr>
        <xdr:cNvSpPr/>
      </xdr:nvSpPr>
      <xdr:spPr>
        <a:xfrm>
          <a:off x="941294" y="4235824"/>
          <a:ext cx="2196353" cy="20170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2</xdr:col>
      <xdr:colOff>102850</xdr:colOff>
      <xdr:row>0</xdr:row>
      <xdr:rowOff>156884</xdr:rowOff>
    </xdr:from>
    <xdr:to>
      <xdr:col>5</xdr:col>
      <xdr:colOff>30405</xdr:colOff>
      <xdr:row>2</xdr:row>
      <xdr:rowOff>195627</xdr:rowOff>
    </xdr:to>
    <xdr:pic>
      <xdr:nvPicPr>
        <xdr:cNvPr id="30" name="LOGO">
          <a:extLst>
            <a:ext uri="{FF2B5EF4-FFF2-40B4-BE49-F238E27FC236}">
              <a16:creationId xmlns:a16="http://schemas.microsoft.com/office/drawing/2014/main" id="{00000000-0008-0000-2000-00001E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xdr:blipFill>
      <xdr:spPr>
        <a:xfrm>
          <a:off x="730379" y="156884"/>
          <a:ext cx="868850" cy="442155"/>
        </a:xfrm>
        <a:prstGeom prst="rect">
          <a:avLst/>
        </a:prstGeom>
      </xdr:spPr>
    </xdr:pic>
    <xdr:clientData/>
  </xdr:twoCellAnchor>
  <xdr:twoCellAnchor>
    <xdr:from>
      <xdr:col>1</xdr:col>
      <xdr:colOff>0</xdr:colOff>
      <xdr:row>7</xdr:row>
      <xdr:rowOff>0</xdr:rowOff>
    </xdr:from>
    <xdr:to>
      <xdr:col>44</xdr:col>
      <xdr:colOff>13806</xdr:colOff>
      <xdr:row>8</xdr:row>
      <xdr:rowOff>0</xdr:rowOff>
    </xdr:to>
    <xdr:sp macro="" textlink="">
      <xdr:nvSpPr>
        <xdr:cNvPr id="21" name="BOTTOMRIBBON">
          <a:extLst>
            <a:ext uri="{FF2B5EF4-FFF2-40B4-BE49-F238E27FC236}">
              <a16:creationId xmlns:a16="http://schemas.microsoft.com/office/drawing/2014/main" id="{00000000-0008-0000-2000-000015000000}"/>
            </a:ext>
          </a:extLst>
        </xdr:cNvPr>
        <xdr:cNvSpPr/>
      </xdr:nvSpPr>
      <xdr:spPr>
        <a:xfrm>
          <a:off x="313765" y="1411941"/>
          <a:ext cx="13505688" cy="201706"/>
        </a:xfrm>
        <a:prstGeom prst="rect">
          <a:avLst/>
        </a:prstGeom>
        <a:solidFill>
          <a:srgbClr val="00334E"/>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solidFill>
              <a:srgbClr val="FFFFFF"/>
            </a:solidFill>
          </a:endParaRP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22</xdr:col>
      <xdr:colOff>2551</xdr:colOff>
      <xdr:row>4</xdr:row>
      <xdr:rowOff>200705</xdr:rowOff>
    </xdr:from>
    <xdr:to>
      <xdr:col>27</xdr:col>
      <xdr:colOff>2549</xdr:colOff>
      <xdr:row>7</xdr:row>
      <xdr:rowOff>0</xdr:rowOff>
    </xdr:to>
    <xdr:sp macro="" textlink="M5S5">
      <xdr:nvSpPr>
        <xdr:cNvPr id="15" name="SUBMENU5">
          <a:hlinkClick xmlns:r="http://schemas.openxmlformats.org/officeDocument/2006/relationships" r:id="rId1"/>
          <a:extLst>
            <a:ext uri="{FF2B5EF4-FFF2-40B4-BE49-F238E27FC236}">
              <a16:creationId xmlns:a16="http://schemas.microsoft.com/office/drawing/2014/main" id="{00000000-0008-0000-2100-00000F000000}"/>
            </a:ext>
          </a:extLst>
        </xdr:cNvPr>
        <xdr:cNvSpPr/>
      </xdr:nvSpPr>
      <xdr:spPr>
        <a:xfrm>
          <a:off x="6905375" y="1007529"/>
          <a:ext cx="1568821" cy="404412"/>
        </a:xfrm>
        <a:prstGeom prst="round2SameRect">
          <a:avLst/>
        </a:prstGeom>
        <a:solidFill>
          <a:srgbClr val="54BCEB"/>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8ECB5FB8-9114-4770-BA69-C59ADB9DA12A}" type="TxLink">
            <a:rPr lang="en-US" sz="1100" b="0" i="0" u="none" strike="noStrike">
              <a:solidFill>
                <a:srgbClr val="FFFFFF"/>
              </a:solidFill>
              <a:latin typeface="Arial" panose="020B0604020202020204" pitchFamily="34" charset="0"/>
              <a:cs typeface="Arial" panose="020B0604020202020204" pitchFamily="34" charset="0"/>
            </a:rPr>
            <a:pPr algn="ctr"/>
            <a:t>Completion Form</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17</xdr:col>
      <xdr:colOff>2551</xdr:colOff>
      <xdr:row>5</xdr:row>
      <xdr:rowOff>51480</xdr:rowOff>
    </xdr:from>
    <xdr:to>
      <xdr:col>22</xdr:col>
      <xdr:colOff>2550</xdr:colOff>
      <xdr:row>7</xdr:row>
      <xdr:rowOff>50800</xdr:rowOff>
    </xdr:to>
    <xdr:sp macro="" textlink="M5S4">
      <xdr:nvSpPr>
        <xdr:cNvPr id="14" name="SUBMENU4">
          <a:hlinkClick xmlns:r="http://schemas.openxmlformats.org/officeDocument/2006/relationships" r:id="rId2" tooltip=" "/>
          <a:extLst>
            <a:ext uri="{FF2B5EF4-FFF2-40B4-BE49-F238E27FC236}">
              <a16:creationId xmlns:a16="http://schemas.microsoft.com/office/drawing/2014/main" id="{00000000-0008-0000-2100-00000E000000}"/>
            </a:ext>
          </a:extLst>
        </xdr:cNvPr>
        <xdr:cNvSpPr/>
      </xdr:nvSpPr>
      <xdr:spPr>
        <a:xfrm>
          <a:off x="5336551" y="1060009"/>
          <a:ext cx="1568823" cy="402732"/>
        </a:xfrm>
        <a:prstGeom prst="round2SameRect">
          <a:avLst/>
        </a:prstGeom>
        <a:solidFill>
          <a:srgbClr val="00334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B7C45266-6E58-4EB8-84F4-252DC759ED99}" type="TxLink">
            <a:rPr lang="en-US" sz="1100" b="0" i="0" u="none" strike="noStrike">
              <a:solidFill>
                <a:srgbClr val="FFFFFF"/>
              </a:solidFill>
              <a:latin typeface="Arial" panose="020B0604020202020204" pitchFamily="34" charset="0"/>
              <a:cs typeface="Arial" panose="020B0604020202020204" pitchFamily="34" charset="0"/>
            </a:rPr>
            <a:pPr algn="ctr"/>
            <a:t>Offer Form</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27</xdr:col>
      <xdr:colOff>0</xdr:colOff>
      <xdr:row>4</xdr:row>
      <xdr:rowOff>200705</xdr:rowOff>
    </xdr:from>
    <xdr:to>
      <xdr:col>32</xdr:col>
      <xdr:colOff>2865</xdr:colOff>
      <xdr:row>7</xdr:row>
      <xdr:rowOff>0</xdr:rowOff>
    </xdr:to>
    <xdr:sp macro="" textlink="M5S6">
      <xdr:nvSpPr>
        <xdr:cNvPr id="16" name="SUBMENU6">
          <a:hlinkClick xmlns:r="http://schemas.openxmlformats.org/officeDocument/2006/relationships" r:id="rId3"/>
          <a:extLst>
            <a:ext uri="{FF2B5EF4-FFF2-40B4-BE49-F238E27FC236}">
              <a16:creationId xmlns:a16="http://schemas.microsoft.com/office/drawing/2014/main" id="{00000000-0008-0000-2100-000010000000}"/>
            </a:ext>
          </a:extLst>
        </xdr:cNvPr>
        <xdr:cNvSpPr/>
      </xdr:nvSpPr>
      <xdr:spPr>
        <a:xfrm>
          <a:off x="8471647" y="1007529"/>
          <a:ext cx="1571689" cy="404412"/>
        </a:xfrm>
        <a:prstGeom prst="round2SameRect">
          <a:avLst/>
        </a:prstGeom>
        <a:solidFill>
          <a:srgbClr val="54BCEB"/>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2FFA63F3-7E4C-4DC1-BC79-0F66048F9B50}" type="TxLink">
            <a:rPr lang="en-US" sz="1100" b="0" i="0" u="none" strike="noStrike">
              <a:solidFill>
                <a:srgbClr val="FFFFFF"/>
              </a:solidFill>
              <a:latin typeface="Arial" panose="020B0604020202020204" pitchFamily="34" charset="0"/>
              <a:cs typeface="Arial" panose="020B0604020202020204" pitchFamily="34" charset="0"/>
            </a:rPr>
            <a:pPr algn="ctr"/>
            <a:t>Inspection Form</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32</xdr:col>
      <xdr:colOff>2865</xdr:colOff>
      <xdr:row>4</xdr:row>
      <xdr:rowOff>200705</xdr:rowOff>
    </xdr:from>
    <xdr:to>
      <xdr:col>37</xdr:col>
      <xdr:colOff>2720</xdr:colOff>
      <xdr:row>7</xdr:row>
      <xdr:rowOff>0</xdr:rowOff>
    </xdr:to>
    <xdr:sp macro="" textlink="M5S7">
      <xdr:nvSpPr>
        <xdr:cNvPr id="17" name="SUBMENU7">
          <a:hlinkClick xmlns:r="http://schemas.openxmlformats.org/officeDocument/2006/relationships" r:id="rId4" tooltip=" "/>
          <a:extLst>
            <a:ext uri="{FF2B5EF4-FFF2-40B4-BE49-F238E27FC236}">
              <a16:creationId xmlns:a16="http://schemas.microsoft.com/office/drawing/2014/main" id="{00000000-0008-0000-2100-000011000000}"/>
            </a:ext>
          </a:extLst>
        </xdr:cNvPr>
        <xdr:cNvSpPr/>
      </xdr:nvSpPr>
      <xdr:spPr>
        <a:xfrm>
          <a:off x="10061265" y="1000805"/>
          <a:ext cx="1571480" cy="399370"/>
        </a:xfrm>
        <a:prstGeom prst="round2SameRect">
          <a:avLst/>
        </a:prstGeom>
        <a:solidFill>
          <a:srgbClr val="54BCEB"/>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6CAE8FA-B71D-4045-87A3-84E89034BDA3}" type="TxLink">
            <a:rPr lang="en-US" sz="1100" b="0" i="0" u="none" strike="noStrike">
              <a:solidFill>
                <a:srgbClr val="FFFFFF"/>
              </a:solidFill>
              <a:latin typeface="Arial" panose="020B0604020202020204" pitchFamily="34" charset="0"/>
              <a:cs typeface="Arial" panose="020B0604020202020204" pitchFamily="34" charset="0"/>
            </a:rPr>
            <a:pPr algn="ctr"/>
            <a:t>Summary Form</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27</xdr:col>
      <xdr:colOff>0</xdr:colOff>
      <xdr:row>1</xdr:row>
      <xdr:rowOff>133350</xdr:rowOff>
    </xdr:from>
    <xdr:to>
      <xdr:col>32</xdr:col>
      <xdr:colOff>0</xdr:colOff>
      <xdr:row>4</xdr:row>
      <xdr:rowOff>133350</xdr:rowOff>
    </xdr:to>
    <xdr:sp macro="" textlink="MAIN5">
      <xdr:nvSpPr>
        <xdr:cNvPr id="7" name="MENU5">
          <a:hlinkClick xmlns:r="http://schemas.openxmlformats.org/officeDocument/2006/relationships" r:id="rId5" tooltip=" "/>
          <a:extLst>
            <a:ext uri="{FF2B5EF4-FFF2-40B4-BE49-F238E27FC236}">
              <a16:creationId xmlns:a16="http://schemas.microsoft.com/office/drawing/2014/main" id="{00000000-0008-0000-2100-000007000000}"/>
            </a:ext>
          </a:extLst>
        </xdr:cNvPr>
        <xdr:cNvSpPr/>
      </xdr:nvSpPr>
      <xdr:spPr>
        <a:xfrm>
          <a:off x="8486775" y="333375"/>
          <a:ext cx="1571625" cy="600075"/>
        </a:xfrm>
        <a:prstGeom prst="round2SameRect">
          <a:avLst/>
        </a:prstGeom>
        <a:solidFill>
          <a:srgbClr val="A6A5AA"/>
        </a:solidFill>
        <a:ln w="12700">
          <a:solidFill>
            <a:srgbClr val="A6A5AA"/>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F0EEDDA6-4934-49B4-972D-20D21D440D82}" type="TxLink">
            <a:rPr lang="en-US" sz="1100" b="0" i="0" u="none" strike="noStrike">
              <a:solidFill>
                <a:schemeClr val="bg1"/>
              </a:solidFill>
              <a:latin typeface="Arial" panose="020B0604020202020204" pitchFamily="34" charset="0"/>
              <a:cs typeface="Arial" panose="020B0604020202020204" pitchFamily="34" charset="0"/>
            </a:rPr>
            <a:pPr algn="ctr"/>
            <a:t>APPLICATION REVIEW</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7</xdr:col>
      <xdr:colOff>457</xdr:colOff>
      <xdr:row>1</xdr:row>
      <xdr:rowOff>0</xdr:rowOff>
    </xdr:from>
    <xdr:to>
      <xdr:col>12</xdr:col>
      <xdr:colOff>0</xdr:colOff>
      <xdr:row>4</xdr:row>
      <xdr:rowOff>0</xdr:rowOff>
    </xdr:to>
    <xdr:sp macro="" textlink="MAIN1">
      <xdr:nvSpPr>
        <xdr:cNvPr id="3" name="MENU1">
          <a:hlinkClick xmlns:r="http://schemas.openxmlformats.org/officeDocument/2006/relationships" r:id="rId6" tooltip=" "/>
          <a:extLst>
            <a:ext uri="{FF2B5EF4-FFF2-40B4-BE49-F238E27FC236}">
              <a16:creationId xmlns:a16="http://schemas.microsoft.com/office/drawing/2014/main" id="{00000000-0008-0000-2100-000003000000}"/>
            </a:ext>
          </a:extLst>
        </xdr:cNvPr>
        <xdr:cNvSpPr/>
      </xdr:nvSpPr>
      <xdr:spPr>
        <a:xfrm>
          <a:off x="2200732" y="200025"/>
          <a:ext cx="1571168" cy="600075"/>
        </a:xfrm>
        <a:prstGeom prst="round2SameRect">
          <a:avLst/>
        </a:prstGeom>
        <a:solidFill>
          <a:srgbClr val="00334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D6F2F067-2676-4601-ABCE-75BD5137E3D5}" type="TxLink">
            <a:rPr lang="en-US" sz="1100" b="0" i="0" u="none" strike="noStrike">
              <a:solidFill>
                <a:schemeClr val="bg1"/>
              </a:solidFill>
              <a:latin typeface="Arial" panose="020B0604020202020204" pitchFamily="34" charset="0"/>
              <a:cs typeface="Arial" panose="020B0604020202020204" pitchFamily="34" charset="0"/>
            </a:rPr>
            <a:pPr algn="ctr"/>
            <a:t>START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12</xdr:col>
      <xdr:colOff>0</xdr:colOff>
      <xdr:row>1</xdr:row>
      <xdr:rowOff>0</xdr:rowOff>
    </xdr:from>
    <xdr:to>
      <xdr:col>17</xdr:col>
      <xdr:colOff>0</xdr:colOff>
      <xdr:row>4</xdr:row>
      <xdr:rowOff>0</xdr:rowOff>
    </xdr:to>
    <xdr:sp macro="" textlink="MAIN2">
      <xdr:nvSpPr>
        <xdr:cNvPr id="4" name="MENU2">
          <a:hlinkClick xmlns:r="http://schemas.openxmlformats.org/officeDocument/2006/relationships" r:id="rId7" tooltip=" "/>
          <a:extLst>
            <a:ext uri="{FF2B5EF4-FFF2-40B4-BE49-F238E27FC236}">
              <a16:creationId xmlns:a16="http://schemas.microsoft.com/office/drawing/2014/main" id="{00000000-0008-0000-2100-000004000000}"/>
            </a:ext>
          </a:extLst>
        </xdr:cNvPr>
        <xdr:cNvSpPr/>
      </xdr:nvSpPr>
      <xdr:spPr>
        <a:xfrm>
          <a:off x="3765176" y="201706"/>
          <a:ext cx="1568824" cy="605118"/>
        </a:xfrm>
        <a:prstGeom prst="round2SameRect">
          <a:avLst/>
        </a:prstGeom>
        <a:solidFill>
          <a:srgbClr val="00334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59A035B9-F1D2-4E89-B262-AF2DF0C338A9}" type="TxLink">
            <a:rPr lang="en-US" sz="1100" b="0" i="0" u="none" strike="noStrike">
              <a:solidFill>
                <a:schemeClr val="bg1"/>
              </a:solidFill>
              <a:latin typeface="Arial" panose="020B0604020202020204" pitchFamily="34" charset="0"/>
              <a:cs typeface="Arial" panose="020B0604020202020204" pitchFamily="34" charset="0"/>
            </a:rPr>
            <a:pPr algn="ctr"/>
            <a:t>PROJECT INFORMATION</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17</xdr:col>
      <xdr:colOff>0</xdr:colOff>
      <xdr:row>1</xdr:row>
      <xdr:rowOff>0</xdr:rowOff>
    </xdr:from>
    <xdr:to>
      <xdr:col>22</xdr:col>
      <xdr:colOff>0</xdr:colOff>
      <xdr:row>4</xdr:row>
      <xdr:rowOff>0</xdr:rowOff>
    </xdr:to>
    <xdr:sp macro="" textlink="MAIN3">
      <xdr:nvSpPr>
        <xdr:cNvPr id="5" name="MENU3">
          <a:hlinkClick xmlns:r="http://schemas.openxmlformats.org/officeDocument/2006/relationships" r:id="rId8" tooltip=" "/>
          <a:extLst>
            <a:ext uri="{FF2B5EF4-FFF2-40B4-BE49-F238E27FC236}">
              <a16:creationId xmlns:a16="http://schemas.microsoft.com/office/drawing/2014/main" id="{00000000-0008-0000-2100-000005000000}"/>
            </a:ext>
          </a:extLst>
        </xdr:cNvPr>
        <xdr:cNvSpPr/>
      </xdr:nvSpPr>
      <xdr:spPr>
        <a:xfrm>
          <a:off x="5334000" y="201706"/>
          <a:ext cx="1568824" cy="605118"/>
        </a:xfrm>
        <a:prstGeom prst="round2SameRect">
          <a:avLst/>
        </a:prstGeom>
        <a:solidFill>
          <a:srgbClr val="00334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06A037F-AE33-47CC-85C1-F6D62694F95D}" type="TxLink">
            <a:rPr lang="en-US" sz="1100" b="0" i="0" u="none" strike="noStrike">
              <a:solidFill>
                <a:schemeClr val="bg1"/>
              </a:solidFill>
              <a:latin typeface="Arial" panose="020B0604020202020204" pitchFamily="34" charset="0"/>
              <a:cs typeface="Arial" panose="020B0604020202020204" pitchFamily="34" charset="0"/>
            </a:rPr>
            <a:pPr algn="ctr"/>
            <a:t>PRESCRIPTIVE MEASURES INPUT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22</xdr:col>
      <xdr:colOff>0</xdr:colOff>
      <xdr:row>1</xdr:row>
      <xdr:rowOff>0</xdr:rowOff>
    </xdr:from>
    <xdr:to>
      <xdr:col>27</xdr:col>
      <xdr:colOff>0</xdr:colOff>
      <xdr:row>4</xdr:row>
      <xdr:rowOff>0</xdr:rowOff>
    </xdr:to>
    <xdr:sp macro="" textlink="MAIN4">
      <xdr:nvSpPr>
        <xdr:cNvPr id="6" name="MENU4">
          <a:hlinkClick xmlns:r="http://schemas.openxmlformats.org/officeDocument/2006/relationships" r:id="rId9" tooltip=" "/>
          <a:extLst>
            <a:ext uri="{FF2B5EF4-FFF2-40B4-BE49-F238E27FC236}">
              <a16:creationId xmlns:a16="http://schemas.microsoft.com/office/drawing/2014/main" id="{00000000-0008-0000-2100-000006000000}"/>
            </a:ext>
          </a:extLst>
        </xdr:cNvPr>
        <xdr:cNvSpPr/>
      </xdr:nvSpPr>
      <xdr:spPr>
        <a:xfrm>
          <a:off x="6902824" y="201706"/>
          <a:ext cx="1568823" cy="605118"/>
        </a:xfrm>
        <a:prstGeom prst="round2SameRect">
          <a:avLst/>
        </a:prstGeom>
        <a:solidFill>
          <a:srgbClr val="00334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CB369157-CA5B-4E40-B1DE-604993B819B3}" type="TxLink">
            <a:rPr lang="en-US" sz="1100" b="0" i="0" u="none" strike="noStrike">
              <a:solidFill>
                <a:schemeClr val="bg1"/>
              </a:solidFill>
              <a:latin typeface="Arial" panose="020B0604020202020204" pitchFamily="34" charset="0"/>
              <a:cs typeface="Arial" panose="020B0604020202020204" pitchFamily="34" charset="0"/>
            </a:rPr>
            <a:pPr algn="ctr"/>
            <a:t>CUSTOM MEASURES INPUT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xdr:col>
      <xdr:colOff>0</xdr:colOff>
      <xdr:row>4</xdr:row>
      <xdr:rowOff>1</xdr:rowOff>
    </xdr:from>
    <xdr:to>
      <xdr:col>44</xdr:col>
      <xdr:colOff>13806</xdr:colOff>
      <xdr:row>7</xdr:row>
      <xdr:rowOff>0</xdr:rowOff>
    </xdr:to>
    <xdr:sp macro="" textlink="">
      <xdr:nvSpPr>
        <xdr:cNvPr id="10" name="TOPRIBBON">
          <a:extLst>
            <a:ext uri="{FF2B5EF4-FFF2-40B4-BE49-F238E27FC236}">
              <a16:creationId xmlns:a16="http://schemas.microsoft.com/office/drawing/2014/main" id="{00000000-0008-0000-2100-00000A000000}"/>
            </a:ext>
          </a:extLst>
        </xdr:cNvPr>
        <xdr:cNvSpPr/>
      </xdr:nvSpPr>
      <xdr:spPr>
        <a:xfrm>
          <a:off x="313765" y="806825"/>
          <a:ext cx="13505688" cy="605116"/>
        </a:xfrm>
        <a:prstGeom prst="round2SameRect">
          <a:avLst/>
        </a:prstGeom>
        <a:solidFill>
          <a:srgbClr val="A6A5A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p>
      </xdr:txBody>
    </xdr:sp>
    <xdr:clientData/>
  </xdr:twoCellAnchor>
  <xdr:twoCellAnchor>
    <xdr:from>
      <xdr:col>12</xdr:col>
      <xdr:colOff>2551</xdr:colOff>
      <xdr:row>4</xdr:row>
      <xdr:rowOff>200705</xdr:rowOff>
    </xdr:from>
    <xdr:to>
      <xdr:col>17</xdr:col>
      <xdr:colOff>2550</xdr:colOff>
      <xdr:row>7</xdr:row>
      <xdr:rowOff>0</xdr:rowOff>
    </xdr:to>
    <xdr:sp macro="" textlink="M5S3">
      <xdr:nvSpPr>
        <xdr:cNvPr id="13" name="SUBMENU3">
          <a:hlinkClick xmlns:r="http://schemas.openxmlformats.org/officeDocument/2006/relationships" r:id="rId10"/>
          <a:extLst>
            <a:ext uri="{FF2B5EF4-FFF2-40B4-BE49-F238E27FC236}">
              <a16:creationId xmlns:a16="http://schemas.microsoft.com/office/drawing/2014/main" id="{00000000-0008-0000-2100-00000D000000}"/>
            </a:ext>
          </a:extLst>
        </xdr:cNvPr>
        <xdr:cNvSpPr/>
      </xdr:nvSpPr>
      <xdr:spPr>
        <a:xfrm>
          <a:off x="3774451" y="1000805"/>
          <a:ext cx="1571624" cy="399370"/>
        </a:xfrm>
        <a:prstGeom prst="round2SameRect">
          <a:avLst/>
        </a:prstGeom>
        <a:noFill/>
        <a:ln w="12700">
          <a:no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272C9A7E-800F-4AE6-95B1-8AFF5CAE57C5}" type="TxLink">
            <a:rPr lang="en-US" sz="1100" b="0" i="0" u="none" strike="noStrike">
              <a:solidFill>
                <a:srgbClr val="FFFFFF"/>
              </a:solidFill>
              <a:latin typeface="Arial" panose="020B0604020202020204" pitchFamily="34" charset="0"/>
              <a:cs typeface="Arial" panose="020B0604020202020204" pitchFamily="34" charset="0"/>
            </a:rPr>
            <a:pPr algn="ctr"/>
            <a:t> </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37</xdr:col>
      <xdr:colOff>2720</xdr:colOff>
      <xdr:row>4</xdr:row>
      <xdr:rowOff>200705</xdr:rowOff>
    </xdr:from>
    <xdr:to>
      <xdr:col>42</xdr:col>
      <xdr:colOff>0</xdr:colOff>
      <xdr:row>7</xdr:row>
      <xdr:rowOff>0</xdr:rowOff>
    </xdr:to>
    <xdr:sp macro="" textlink="M5S8">
      <xdr:nvSpPr>
        <xdr:cNvPr id="18" name="SUBMENU8">
          <a:hlinkClick xmlns:r="http://schemas.openxmlformats.org/officeDocument/2006/relationships" r:id="rId11"/>
          <a:extLst>
            <a:ext uri="{FF2B5EF4-FFF2-40B4-BE49-F238E27FC236}">
              <a16:creationId xmlns:a16="http://schemas.microsoft.com/office/drawing/2014/main" id="{00000000-0008-0000-2100-000012000000}"/>
            </a:ext>
          </a:extLst>
        </xdr:cNvPr>
        <xdr:cNvSpPr/>
      </xdr:nvSpPr>
      <xdr:spPr>
        <a:xfrm>
          <a:off x="11632745" y="1000805"/>
          <a:ext cx="1568905" cy="399370"/>
        </a:xfrm>
        <a:prstGeom prst="round2SameRect">
          <a:avLst/>
        </a:prstGeom>
        <a:noFill/>
        <a:ln w="12700">
          <a:no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562C4A9D-BD10-4BFB-89D6-250DB3FCE105}" type="TxLink">
            <a:rPr lang="en-US" sz="1100" b="0" i="0" u="none" strike="noStrike">
              <a:solidFill>
                <a:srgbClr val="FFFFFF"/>
              </a:solidFill>
              <a:latin typeface="Arial" panose="020B0604020202020204" pitchFamily="34" charset="0"/>
              <a:cs typeface="Arial" panose="020B0604020202020204" pitchFamily="34" charset="0"/>
            </a:rPr>
            <a:pPr algn="ctr"/>
            <a:t> </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editAs="oneCell">
    <xdr:from>
      <xdr:col>41</xdr:col>
      <xdr:colOff>0</xdr:colOff>
      <xdr:row>9</xdr:row>
      <xdr:rowOff>1047</xdr:rowOff>
    </xdr:from>
    <xdr:to>
      <xdr:col>43</xdr:col>
      <xdr:colOff>3632</xdr:colOff>
      <xdr:row>11</xdr:row>
      <xdr:rowOff>1046</xdr:rowOff>
    </xdr:to>
    <xdr:sp macro="" textlink="">
      <xdr:nvSpPr>
        <xdr:cNvPr id="2" name="NEXT">
          <a:hlinkClick xmlns:r="http://schemas.openxmlformats.org/officeDocument/2006/relationships" r:id="rId1" tooltip=" "/>
          <a:extLst>
            <a:ext uri="{FF2B5EF4-FFF2-40B4-BE49-F238E27FC236}">
              <a16:creationId xmlns:a16="http://schemas.microsoft.com/office/drawing/2014/main" id="{00000000-0008-0000-2100-000002000000}"/>
            </a:ext>
          </a:extLst>
        </xdr:cNvPr>
        <xdr:cNvSpPr>
          <a:spLocks noChangeAspect="1"/>
        </xdr:cNvSpPr>
      </xdr:nvSpPr>
      <xdr:spPr>
        <a:xfrm>
          <a:off x="12887325" y="1801272"/>
          <a:ext cx="627520" cy="400049"/>
        </a:xfrm>
        <a:prstGeom prst="rightArrow">
          <a:avLst/>
        </a:prstGeom>
        <a:solidFill>
          <a:srgbClr val="54BCEB"/>
        </a:solidFill>
        <a:ln>
          <a:solidFill>
            <a:srgbClr val="54BCEB"/>
          </a:solidFill>
        </a:ln>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32</xdr:col>
      <xdr:colOff>0</xdr:colOff>
      <xdr:row>1</xdr:row>
      <xdr:rowOff>0</xdr:rowOff>
    </xdr:from>
    <xdr:to>
      <xdr:col>37</xdr:col>
      <xdr:colOff>1</xdr:colOff>
      <xdr:row>4</xdr:row>
      <xdr:rowOff>0</xdr:rowOff>
    </xdr:to>
    <xdr:sp macro="" textlink="MAIN6">
      <xdr:nvSpPr>
        <xdr:cNvPr id="8" name="MENU6">
          <a:extLst>
            <a:ext uri="{FF2B5EF4-FFF2-40B4-BE49-F238E27FC236}">
              <a16:creationId xmlns:a16="http://schemas.microsoft.com/office/drawing/2014/main" id="{00000000-0008-0000-2100-000008000000}"/>
            </a:ext>
          </a:extLst>
        </xdr:cNvPr>
        <xdr:cNvSpPr/>
      </xdr:nvSpPr>
      <xdr:spPr>
        <a:xfrm>
          <a:off x="10058400" y="200025"/>
          <a:ext cx="1571626"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00B050"/>
              </a:solidFill>
            </a14:hiddenFill>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B12A3774-975E-4B41-A681-E085295C6D0E}" type="TxLink">
            <a:rPr lang="en-US" sz="1100" b="0" i="0" u="none" strike="noStrike">
              <a:noFill/>
              <a:latin typeface="Arial" panose="020B0604020202020204" pitchFamily="34" charset="0"/>
              <a:cs typeface="Arial" panose="020B0604020202020204" pitchFamily="34" charset="0"/>
            </a:rPr>
            <a:pPr algn="ctr"/>
            <a:t> </a:t>
          </a:fld>
          <a:endParaRPr lang="en-US" sz="1100">
            <a:noFill/>
            <a:latin typeface="Arial" panose="020B0604020202020204" pitchFamily="34" charset="0"/>
            <a:cs typeface="Arial" panose="020B0604020202020204" pitchFamily="34" charset="0"/>
          </a:endParaRPr>
        </a:p>
      </xdr:txBody>
    </xdr:sp>
    <xdr:clientData/>
  </xdr:twoCellAnchor>
  <xdr:twoCellAnchor>
    <xdr:from>
      <xdr:col>36</xdr:col>
      <xdr:colOff>314324</xdr:colOff>
      <xdr:row>1</xdr:row>
      <xdr:rowOff>0</xdr:rowOff>
    </xdr:from>
    <xdr:to>
      <xdr:col>41</xdr:col>
      <xdr:colOff>314324</xdr:colOff>
      <xdr:row>4</xdr:row>
      <xdr:rowOff>0</xdr:rowOff>
    </xdr:to>
    <xdr:sp macro="" textlink="MAIN7">
      <xdr:nvSpPr>
        <xdr:cNvPr id="9" name="MENU7">
          <a:extLst>
            <a:ext uri="{FF2B5EF4-FFF2-40B4-BE49-F238E27FC236}">
              <a16:creationId xmlns:a16="http://schemas.microsoft.com/office/drawing/2014/main" id="{00000000-0008-0000-2100-000009000000}"/>
            </a:ext>
          </a:extLst>
        </xdr:cNvPr>
        <xdr:cNvSpPr/>
      </xdr:nvSpPr>
      <xdr:spPr>
        <a:xfrm>
          <a:off x="11630024" y="200025"/>
          <a:ext cx="1571625"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00B050"/>
              </a:solidFill>
            </a14:hiddenFill>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 </a:t>
          </a:fld>
          <a:endParaRPr lang="en-US" sz="1100">
            <a:noFill/>
            <a:latin typeface="Arial" panose="020B0604020202020204" pitchFamily="34" charset="0"/>
            <a:cs typeface="Arial" panose="020B0604020202020204" pitchFamily="34" charset="0"/>
          </a:endParaRPr>
        </a:p>
      </xdr:txBody>
    </xdr:sp>
    <xdr:clientData/>
  </xdr:twoCellAnchor>
  <xdr:twoCellAnchor>
    <xdr:from>
      <xdr:col>2</xdr:col>
      <xdr:colOff>2720</xdr:colOff>
      <xdr:row>5</xdr:row>
      <xdr:rowOff>0</xdr:rowOff>
    </xdr:from>
    <xdr:to>
      <xdr:col>7</xdr:col>
      <xdr:colOff>457</xdr:colOff>
      <xdr:row>6</xdr:row>
      <xdr:rowOff>197827</xdr:rowOff>
    </xdr:to>
    <xdr:sp macro="" textlink="M5S1">
      <xdr:nvSpPr>
        <xdr:cNvPr id="11" name="SUBMENU1">
          <a:hlinkClick xmlns:r="http://schemas.openxmlformats.org/officeDocument/2006/relationships" r:id="rId5" tooltip=" "/>
          <a:extLst>
            <a:ext uri="{FF2B5EF4-FFF2-40B4-BE49-F238E27FC236}">
              <a16:creationId xmlns:a16="http://schemas.microsoft.com/office/drawing/2014/main" id="{00000000-0008-0000-2100-00000B000000}"/>
            </a:ext>
          </a:extLst>
        </xdr:cNvPr>
        <xdr:cNvSpPr/>
      </xdr:nvSpPr>
      <xdr:spPr>
        <a:xfrm>
          <a:off x="631370" y="1000125"/>
          <a:ext cx="1569362" cy="397852"/>
        </a:xfrm>
        <a:prstGeom prst="round2SameRect">
          <a:avLst/>
        </a:prstGeom>
        <a:solidFill>
          <a:srgbClr val="54BCEB"/>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2A9D6AC0-5121-4C66-8D3B-0C4F60FE0219}" type="TxLink">
            <a:rPr lang="en-US" sz="1100" b="0" i="0" u="none" strike="noStrike">
              <a:solidFill>
                <a:srgbClr val="FFFFFF"/>
              </a:solidFill>
              <a:latin typeface="Arial" panose="020B0604020202020204" pitchFamily="34" charset="0"/>
              <a:cs typeface="Arial" panose="020B0604020202020204" pitchFamily="34" charset="0"/>
            </a:rPr>
            <a:pPr algn="ctr"/>
            <a:t>Project Summary</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7</xdr:col>
      <xdr:colOff>2551</xdr:colOff>
      <xdr:row>4</xdr:row>
      <xdr:rowOff>200705</xdr:rowOff>
    </xdr:from>
    <xdr:to>
      <xdr:col>12</xdr:col>
      <xdr:colOff>2550</xdr:colOff>
      <xdr:row>7</xdr:row>
      <xdr:rowOff>0</xdr:rowOff>
    </xdr:to>
    <xdr:sp macro="" textlink="M5S2">
      <xdr:nvSpPr>
        <xdr:cNvPr id="12" name="SUBMENU2">
          <a:hlinkClick xmlns:r="http://schemas.openxmlformats.org/officeDocument/2006/relationships" r:id="rId12" tooltip=" "/>
          <a:extLst>
            <a:ext uri="{FF2B5EF4-FFF2-40B4-BE49-F238E27FC236}">
              <a16:creationId xmlns:a16="http://schemas.microsoft.com/office/drawing/2014/main" id="{00000000-0008-0000-2100-00000C000000}"/>
            </a:ext>
          </a:extLst>
        </xdr:cNvPr>
        <xdr:cNvSpPr/>
      </xdr:nvSpPr>
      <xdr:spPr>
        <a:xfrm>
          <a:off x="2198904" y="1007529"/>
          <a:ext cx="1568822" cy="404412"/>
        </a:xfrm>
        <a:prstGeom prst="round2SameRect">
          <a:avLst/>
        </a:prstGeom>
        <a:solidFill>
          <a:srgbClr val="54BCEB"/>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DB017B9-6E71-4874-AB31-EC7916DB256F}" type="TxLink">
            <a:rPr lang="en-US" sz="1100" b="0" i="0" u="none" strike="noStrike">
              <a:solidFill>
                <a:srgbClr val="FFFFFF"/>
              </a:solidFill>
              <a:latin typeface="Arial" panose="020B0604020202020204" pitchFamily="34" charset="0"/>
              <a:cs typeface="Arial" panose="020B0604020202020204" pitchFamily="34" charset="0"/>
            </a:rPr>
            <a:pPr algn="ctr"/>
            <a:t>Submit Application</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1</xdr:col>
      <xdr:colOff>558</xdr:colOff>
      <xdr:row>7</xdr:row>
      <xdr:rowOff>200024</xdr:rowOff>
    </xdr:from>
    <xdr:to>
      <xdr:col>44</xdr:col>
      <xdr:colOff>0</xdr:colOff>
      <xdr:row>75</xdr:row>
      <xdr:rowOff>0</xdr:rowOff>
    </xdr:to>
    <xdr:sp macro="" textlink="">
      <xdr:nvSpPr>
        <xdr:cNvPr id="19" name="BORDER">
          <a:extLst>
            <a:ext uri="{FF2B5EF4-FFF2-40B4-BE49-F238E27FC236}">
              <a16:creationId xmlns:a16="http://schemas.microsoft.com/office/drawing/2014/main" id="{00000000-0008-0000-2100-000013000000}"/>
            </a:ext>
          </a:extLst>
        </xdr:cNvPr>
        <xdr:cNvSpPr/>
      </xdr:nvSpPr>
      <xdr:spPr>
        <a:xfrm>
          <a:off x="314323" y="1611965"/>
          <a:ext cx="13491324" cy="13549594"/>
        </a:xfrm>
        <a:prstGeom prst="frame">
          <a:avLst>
            <a:gd name="adj1" fmla="val 97"/>
          </a:avLst>
        </a:prstGeom>
        <a:noFill/>
        <a:ln w="12700" cap="flat" cmpd="sng" algn="ctr">
          <a:solidFill>
            <a:srgbClr val="00334E"/>
          </a:solidFill>
          <a:prstDash val="solid"/>
          <a:miter lim="800000"/>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fPrintsWithSheet="0"/>
  </xdr:twoCellAnchor>
  <xdr:twoCellAnchor editAs="oneCell">
    <xdr:from>
      <xdr:col>2</xdr:col>
      <xdr:colOff>2720</xdr:colOff>
      <xdr:row>8</xdr:row>
      <xdr:rowOff>201232</xdr:rowOff>
    </xdr:from>
    <xdr:to>
      <xdr:col>4</xdr:col>
      <xdr:colOff>960</xdr:colOff>
      <xdr:row>11</xdr:row>
      <xdr:rowOff>1207</xdr:rowOff>
    </xdr:to>
    <xdr:sp macro="" textlink="">
      <xdr:nvSpPr>
        <xdr:cNvPr id="20" name="BACK">
          <a:hlinkClick xmlns:r="http://schemas.openxmlformats.org/officeDocument/2006/relationships" r:id="rId12" tooltip=" "/>
          <a:extLst>
            <a:ext uri="{FF2B5EF4-FFF2-40B4-BE49-F238E27FC236}">
              <a16:creationId xmlns:a16="http://schemas.microsoft.com/office/drawing/2014/main" id="{00000000-0008-0000-2100-000014000000}"/>
            </a:ext>
          </a:extLst>
        </xdr:cNvPr>
        <xdr:cNvSpPr>
          <a:spLocks noChangeAspect="1"/>
        </xdr:cNvSpPr>
      </xdr:nvSpPr>
      <xdr:spPr>
        <a:xfrm>
          <a:off x="631370" y="1801432"/>
          <a:ext cx="626890" cy="400050"/>
        </a:xfrm>
        <a:prstGeom prst="leftArrow">
          <a:avLst/>
        </a:prstGeom>
        <a:solidFill>
          <a:srgbClr val="54BCEB"/>
        </a:solidFill>
        <a:ln>
          <a:solidFill>
            <a:srgbClr val="54BCEB"/>
          </a:solidFill>
        </a:ln>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editAs="oneCell">
    <xdr:from>
      <xdr:col>2</xdr:col>
      <xdr:colOff>102850</xdr:colOff>
      <xdr:row>0</xdr:row>
      <xdr:rowOff>156884</xdr:rowOff>
    </xdr:from>
    <xdr:to>
      <xdr:col>5</xdr:col>
      <xdr:colOff>30405</xdr:colOff>
      <xdr:row>2</xdr:row>
      <xdr:rowOff>195627</xdr:rowOff>
    </xdr:to>
    <xdr:pic>
      <xdr:nvPicPr>
        <xdr:cNvPr id="28" name="LOGO">
          <a:extLst>
            <a:ext uri="{FF2B5EF4-FFF2-40B4-BE49-F238E27FC236}">
              <a16:creationId xmlns:a16="http://schemas.microsoft.com/office/drawing/2014/main" id="{00000000-0008-0000-2100-00001C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xdr:blipFill>
      <xdr:spPr>
        <a:xfrm>
          <a:off x="730379" y="156884"/>
          <a:ext cx="868850" cy="442155"/>
        </a:xfrm>
        <a:prstGeom prst="rect">
          <a:avLst/>
        </a:prstGeom>
      </xdr:spPr>
    </xdr:pic>
    <xdr:clientData/>
  </xdr:twoCellAnchor>
  <xdr:twoCellAnchor>
    <xdr:from>
      <xdr:col>15</xdr:col>
      <xdr:colOff>11206</xdr:colOff>
      <xdr:row>35</xdr:row>
      <xdr:rowOff>15688</xdr:rowOff>
    </xdr:from>
    <xdr:to>
      <xdr:col>16</xdr:col>
      <xdr:colOff>221879</xdr:colOff>
      <xdr:row>35</xdr:row>
      <xdr:rowOff>181535</xdr:rowOff>
    </xdr:to>
    <xdr:sp macro="" textlink="">
      <xdr:nvSpPr>
        <xdr:cNvPr id="29" name="Rectangle 28">
          <a:hlinkClick xmlns:r="http://schemas.openxmlformats.org/officeDocument/2006/relationships" r:id="rId9"/>
          <a:extLst>
            <a:ext uri="{FF2B5EF4-FFF2-40B4-BE49-F238E27FC236}">
              <a16:creationId xmlns:a16="http://schemas.microsoft.com/office/drawing/2014/main" id="{00000000-0008-0000-2100-00001D000000}"/>
            </a:ext>
          </a:extLst>
        </xdr:cNvPr>
        <xdr:cNvSpPr/>
      </xdr:nvSpPr>
      <xdr:spPr>
        <a:xfrm>
          <a:off x="4726081" y="7216588"/>
          <a:ext cx="524998" cy="16584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15</xdr:col>
      <xdr:colOff>17927</xdr:colOff>
      <xdr:row>34</xdr:row>
      <xdr:rowOff>11205</xdr:rowOff>
    </xdr:from>
    <xdr:to>
      <xdr:col>17</xdr:col>
      <xdr:colOff>179294</xdr:colOff>
      <xdr:row>34</xdr:row>
      <xdr:rowOff>179294</xdr:rowOff>
    </xdr:to>
    <xdr:sp macro="" textlink="">
      <xdr:nvSpPr>
        <xdr:cNvPr id="30" name="Rectangle 29">
          <a:hlinkClick xmlns:r="http://schemas.openxmlformats.org/officeDocument/2006/relationships" r:id="rId8"/>
          <a:extLst>
            <a:ext uri="{FF2B5EF4-FFF2-40B4-BE49-F238E27FC236}">
              <a16:creationId xmlns:a16="http://schemas.microsoft.com/office/drawing/2014/main" id="{00000000-0008-0000-2100-00001E000000}"/>
            </a:ext>
          </a:extLst>
        </xdr:cNvPr>
        <xdr:cNvSpPr/>
      </xdr:nvSpPr>
      <xdr:spPr>
        <a:xfrm>
          <a:off x="4732802" y="7012080"/>
          <a:ext cx="790017" cy="16808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31</xdr:col>
      <xdr:colOff>71436</xdr:colOff>
      <xdr:row>14</xdr:row>
      <xdr:rowOff>4339</xdr:rowOff>
    </xdr:from>
    <xdr:to>
      <xdr:col>35</xdr:col>
      <xdr:colOff>227095</xdr:colOff>
      <xdr:row>16</xdr:row>
      <xdr:rowOff>34403</xdr:rowOff>
    </xdr:to>
    <xdr:pic>
      <xdr:nvPicPr>
        <xdr:cNvPr id="32" name="LOGO">
          <a:extLst>
            <a:ext uri="{FF2B5EF4-FFF2-40B4-BE49-F238E27FC236}">
              <a16:creationId xmlns:a16="http://schemas.microsoft.com/office/drawing/2014/main" id="{00000000-0008-0000-2100-000020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9667874" y="2838027"/>
          <a:ext cx="1393909" cy="434876"/>
        </a:xfrm>
        <a:prstGeom prst="rect">
          <a:avLst/>
        </a:prstGeom>
      </xdr:spPr>
    </xdr:pic>
    <xdr:clientData/>
  </xdr:twoCellAnchor>
  <xdr:twoCellAnchor editAs="oneCell">
    <xdr:from>
      <xdr:col>9</xdr:col>
      <xdr:colOff>201705</xdr:colOff>
      <xdr:row>13</xdr:row>
      <xdr:rowOff>156880</xdr:rowOff>
    </xdr:from>
    <xdr:to>
      <xdr:col>10</xdr:col>
      <xdr:colOff>308565</xdr:colOff>
      <xdr:row>16</xdr:row>
      <xdr:rowOff>109547</xdr:rowOff>
    </xdr:to>
    <xdr:pic>
      <xdr:nvPicPr>
        <xdr:cNvPr id="23" name="Picture 22">
          <a:extLst>
            <a:ext uri="{FF2B5EF4-FFF2-40B4-BE49-F238E27FC236}">
              <a16:creationId xmlns:a16="http://schemas.microsoft.com/office/drawing/2014/main" id="{00000000-0008-0000-2100-000017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3025587" y="2779056"/>
          <a:ext cx="420625" cy="557785"/>
        </a:xfrm>
        <a:prstGeom prst="rect">
          <a:avLst/>
        </a:prstGeom>
      </xdr:spPr>
    </xdr:pic>
    <xdr:clientData/>
  </xdr:twoCellAnchor>
  <xdr:twoCellAnchor>
    <xdr:from>
      <xdr:col>1</xdr:col>
      <xdr:colOff>0</xdr:colOff>
      <xdr:row>7</xdr:row>
      <xdr:rowOff>0</xdr:rowOff>
    </xdr:from>
    <xdr:to>
      <xdr:col>44</xdr:col>
      <xdr:colOff>13806</xdr:colOff>
      <xdr:row>8</xdr:row>
      <xdr:rowOff>0</xdr:rowOff>
    </xdr:to>
    <xdr:sp macro="" textlink="">
      <xdr:nvSpPr>
        <xdr:cNvPr id="21" name="BOTTOMRIBBON">
          <a:extLst>
            <a:ext uri="{FF2B5EF4-FFF2-40B4-BE49-F238E27FC236}">
              <a16:creationId xmlns:a16="http://schemas.microsoft.com/office/drawing/2014/main" id="{00000000-0008-0000-2100-000015000000}"/>
            </a:ext>
          </a:extLst>
        </xdr:cNvPr>
        <xdr:cNvSpPr/>
      </xdr:nvSpPr>
      <xdr:spPr>
        <a:xfrm>
          <a:off x="313765" y="1411941"/>
          <a:ext cx="13505688" cy="201706"/>
        </a:xfrm>
        <a:prstGeom prst="rect">
          <a:avLst/>
        </a:prstGeom>
        <a:solidFill>
          <a:srgbClr val="00334E"/>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solidFill>
              <a:srgbClr val="FFFFFF"/>
            </a:solidFill>
          </a:endParaRP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17</xdr:col>
      <xdr:colOff>2551</xdr:colOff>
      <xdr:row>4</xdr:row>
      <xdr:rowOff>200705</xdr:rowOff>
    </xdr:from>
    <xdr:to>
      <xdr:col>22</xdr:col>
      <xdr:colOff>2550</xdr:colOff>
      <xdr:row>7</xdr:row>
      <xdr:rowOff>0</xdr:rowOff>
    </xdr:to>
    <xdr:sp macro="" textlink="M5S4">
      <xdr:nvSpPr>
        <xdr:cNvPr id="14" name="SUBMENU4">
          <a:hlinkClick xmlns:r="http://schemas.openxmlformats.org/officeDocument/2006/relationships" r:id="rId1"/>
          <a:extLst>
            <a:ext uri="{FF2B5EF4-FFF2-40B4-BE49-F238E27FC236}">
              <a16:creationId xmlns:a16="http://schemas.microsoft.com/office/drawing/2014/main" id="{00000000-0008-0000-2200-00000E000000}"/>
            </a:ext>
          </a:extLst>
        </xdr:cNvPr>
        <xdr:cNvSpPr/>
      </xdr:nvSpPr>
      <xdr:spPr>
        <a:xfrm>
          <a:off x="5346076" y="1000805"/>
          <a:ext cx="1571624" cy="399370"/>
        </a:xfrm>
        <a:prstGeom prst="round2SameRect">
          <a:avLst/>
        </a:prstGeom>
        <a:solidFill>
          <a:srgbClr val="54BCEB"/>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B7C45266-6E58-4EB8-84F4-252DC759ED99}" type="TxLink">
            <a:rPr lang="en-US" sz="1100" b="0" i="0" u="none" strike="noStrike">
              <a:solidFill>
                <a:srgbClr val="FFFFFF"/>
              </a:solidFill>
              <a:latin typeface="Arial" panose="020B0604020202020204" pitchFamily="34" charset="0"/>
              <a:cs typeface="Arial" panose="020B0604020202020204" pitchFamily="34" charset="0"/>
            </a:rPr>
            <a:pPr algn="ctr"/>
            <a:t>Offer Form</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27</xdr:col>
      <xdr:colOff>0</xdr:colOff>
      <xdr:row>4</xdr:row>
      <xdr:rowOff>200705</xdr:rowOff>
    </xdr:from>
    <xdr:to>
      <xdr:col>32</xdr:col>
      <xdr:colOff>2865</xdr:colOff>
      <xdr:row>7</xdr:row>
      <xdr:rowOff>0</xdr:rowOff>
    </xdr:to>
    <xdr:sp macro="" textlink="M5S6">
      <xdr:nvSpPr>
        <xdr:cNvPr id="16" name="SUBMENU6">
          <a:hlinkClick xmlns:r="http://schemas.openxmlformats.org/officeDocument/2006/relationships" r:id="rId2"/>
          <a:extLst>
            <a:ext uri="{FF2B5EF4-FFF2-40B4-BE49-F238E27FC236}">
              <a16:creationId xmlns:a16="http://schemas.microsoft.com/office/drawing/2014/main" id="{00000000-0008-0000-2200-000010000000}"/>
            </a:ext>
          </a:extLst>
        </xdr:cNvPr>
        <xdr:cNvSpPr/>
      </xdr:nvSpPr>
      <xdr:spPr>
        <a:xfrm>
          <a:off x="8486775" y="1000805"/>
          <a:ext cx="1574490" cy="399370"/>
        </a:xfrm>
        <a:prstGeom prst="round2SameRect">
          <a:avLst/>
        </a:prstGeom>
        <a:solidFill>
          <a:srgbClr val="54BCEB"/>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2FFA63F3-7E4C-4DC1-BC79-0F66048F9B50}" type="TxLink">
            <a:rPr lang="en-US" sz="1100" b="0" i="0" u="none" strike="noStrike">
              <a:solidFill>
                <a:srgbClr val="FFFFFF"/>
              </a:solidFill>
              <a:latin typeface="Arial" panose="020B0604020202020204" pitchFamily="34" charset="0"/>
              <a:cs typeface="Arial" panose="020B0604020202020204" pitchFamily="34" charset="0"/>
            </a:rPr>
            <a:pPr algn="ctr"/>
            <a:t>Inspection Form</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32</xdr:col>
      <xdr:colOff>2865</xdr:colOff>
      <xdr:row>4</xdr:row>
      <xdr:rowOff>200705</xdr:rowOff>
    </xdr:from>
    <xdr:to>
      <xdr:col>37</xdr:col>
      <xdr:colOff>2720</xdr:colOff>
      <xdr:row>7</xdr:row>
      <xdr:rowOff>0</xdr:rowOff>
    </xdr:to>
    <xdr:sp macro="" textlink="M5S7">
      <xdr:nvSpPr>
        <xdr:cNvPr id="17" name="SUBMENU7">
          <a:hlinkClick xmlns:r="http://schemas.openxmlformats.org/officeDocument/2006/relationships" r:id="rId3" tooltip=" "/>
          <a:extLst>
            <a:ext uri="{FF2B5EF4-FFF2-40B4-BE49-F238E27FC236}">
              <a16:creationId xmlns:a16="http://schemas.microsoft.com/office/drawing/2014/main" id="{00000000-0008-0000-2200-000011000000}"/>
            </a:ext>
          </a:extLst>
        </xdr:cNvPr>
        <xdr:cNvSpPr/>
      </xdr:nvSpPr>
      <xdr:spPr>
        <a:xfrm>
          <a:off x="10061265" y="1000805"/>
          <a:ext cx="1571480" cy="399370"/>
        </a:xfrm>
        <a:prstGeom prst="round2SameRect">
          <a:avLst/>
        </a:prstGeom>
        <a:solidFill>
          <a:srgbClr val="54BCEB"/>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6CAE8FA-B71D-4045-87A3-84E89034BDA3}" type="TxLink">
            <a:rPr lang="en-US" sz="1100" b="0" i="0" u="none" strike="noStrike">
              <a:solidFill>
                <a:srgbClr val="FFFFFF"/>
              </a:solidFill>
              <a:latin typeface="Arial" panose="020B0604020202020204" pitchFamily="34" charset="0"/>
              <a:cs typeface="Arial" panose="020B0604020202020204" pitchFamily="34" charset="0"/>
            </a:rPr>
            <a:pPr algn="ctr"/>
            <a:t>Summary Form</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27</xdr:col>
      <xdr:colOff>0</xdr:colOff>
      <xdr:row>1</xdr:row>
      <xdr:rowOff>133350</xdr:rowOff>
    </xdr:from>
    <xdr:to>
      <xdr:col>32</xdr:col>
      <xdr:colOff>0</xdr:colOff>
      <xdr:row>4</xdr:row>
      <xdr:rowOff>133350</xdr:rowOff>
    </xdr:to>
    <xdr:sp macro="" textlink="MAIN5">
      <xdr:nvSpPr>
        <xdr:cNvPr id="7" name="MENU5">
          <a:hlinkClick xmlns:r="http://schemas.openxmlformats.org/officeDocument/2006/relationships" r:id="rId4" tooltip=" "/>
          <a:extLst>
            <a:ext uri="{FF2B5EF4-FFF2-40B4-BE49-F238E27FC236}">
              <a16:creationId xmlns:a16="http://schemas.microsoft.com/office/drawing/2014/main" id="{00000000-0008-0000-2200-000007000000}"/>
            </a:ext>
          </a:extLst>
        </xdr:cNvPr>
        <xdr:cNvSpPr/>
      </xdr:nvSpPr>
      <xdr:spPr>
        <a:xfrm>
          <a:off x="8486775" y="333375"/>
          <a:ext cx="1571625" cy="600075"/>
        </a:xfrm>
        <a:prstGeom prst="round2SameRect">
          <a:avLst/>
        </a:prstGeom>
        <a:solidFill>
          <a:srgbClr val="A6A5AA"/>
        </a:solidFill>
        <a:ln w="12700">
          <a:solidFill>
            <a:srgbClr val="A6A5AA"/>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F0EEDDA6-4934-49B4-972D-20D21D440D82}" type="TxLink">
            <a:rPr lang="en-US" sz="1100" b="0" i="0" u="none" strike="noStrike">
              <a:solidFill>
                <a:schemeClr val="bg1"/>
              </a:solidFill>
              <a:latin typeface="Arial" panose="020B0604020202020204" pitchFamily="34" charset="0"/>
              <a:cs typeface="Arial" panose="020B0604020202020204" pitchFamily="34" charset="0"/>
            </a:rPr>
            <a:pPr algn="ctr"/>
            <a:t>APPLICATION REVIEW</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7</xdr:col>
      <xdr:colOff>457</xdr:colOff>
      <xdr:row>1</xdr:row>
      <xdr:rowOff>0</xdr:rowOff>
    </xdr:from>
    <xdr:to>
      <xdr:col>12</xdr:col>
      <xdr:colOff>0</xdr:colOff>
      <xdr:row>4</xdr:row>
      <xdr:rowOff>0</xdr:rowOff>
    </xdr:to>
    <xdr:sp macro="" textlink="MAIN1">
      <xdr:nvSpPr>
        <xdr:cNvPr id="3" name="MENU1">
          <a:hlinkClick xmlns:r="http://schemas.openxmlformats.org/officeDocument/2006/relationships" r:id="rId5" tooltip=" "/>
          <a:extLst>
            <a:ext uri="{FF2B5EF4-FFF2-40B4-BE49-F238E27FC236}">
              <a16:creationId xmlns:a16="http://schemas.microsoft.com/office/drawing/2014/main" id="{00000000-0008-0000-2200-000003000000}"/>
            </a:ext>
          </a:extLst>
        </xdr:cNvPr>
        <xdr:cNvSpPr/>
      </xdr:nvSpPr>
      <xdr:spPr>
        <a:xfrm>
          <a:off x="2200732" y="200025"/>
          <a:ext cx="1571168" cy="600075"/>
        </a:xfrm>
        <a:prstGeom prst="round2SameRect">
          <a:avLst/>
        </a:prstGeom>
        <a:solidFill>
          <a:srgbClr val="00334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D6F2F067-2676-4601-ABCE-75BD5137E3D5}" type="TxLink">
            <a:rPr lang="en-US" sz="1100" b="0" i="0" u="none" strike="noStrike">
              <a:solidFill>
                <a:schemeClr val="bg1"/>
              </a:solidFill>
              <a:latin typeface="Arial" panose="020B0604020202020204" pitchFamily="34" charset="0"/>
              <a:cs typeface="Arial" panose="020B0604020202020204" pitchFamily="34" charset="0"/>
            </a:rPr>
            <a:pPr algn="ctr"/>
            <a:t>START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12</xdr:col>
      <xdr:colOff>0</xdr:colOff>
      <xdr:row>1</xdr:row>
      <xdr:rowOff>0</xdr:rowOff>
    </xdr:from>
    <xdr:to>
      <xdr:col>17</xdr:col>
      <xdr:colOff>0</xdr:colOff>
      <xdr:row>4</xdr:row>
      <xdr:rowOff>0</xdr:rowOff>
    </xdr:to>
    <xdr:sp macro="" textlink="MAIN2">
      <xdr:nvSpPr>
        <xdr:cNvPr id="4" name="MENU2">
          <a:hlinkClick xmlns:r="http://schemas.openxmlformats.org/officeDocument/2006/relationships" r:id="rId6" tooltip=" "/>
          <a:extLst>
            <a:ext uri="{FF2B5EF4-FFF2-40B4-BE49-F238E27FC236}">
              <a16:creationId xmlns:a16="http://schemas.microsoft.com/office/drawing/2014/main" id="{00000000-0008-0000-2200-000004000000}"/>
            </a:ext>
          </a:extLst>
        </xdr:cNvPr>
        <xdr:cNvSpPr/>
      </xdr:nvSpPr>
      <xdr:spPr>
        <a:xfrm>
          <a:off x="3765176" y="201706"/>
          <a:ext cx="1568824" cy="605118"/>
        </a:xfrm>
        <a:prstGeom prst="round2SameRect">
          <a:avLst/>
        </a:prstGeom>
        <a:solidFill>
          <a:srgbClr val="00334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59A035B9-F1D2-4E89-B262-AF2DF0C338A9}" type="TxLink">
            <a:rPr lang="en-US" sz="1100" b="0" i="0" u="none" strike="noStrike">
              <a:solidFill>
                <a:schemeClr val="bg1"/>
              </a:solidFill>
              <a:latin typeface="Arial" panose="020B0604020202020204" pitchFamily="34" charset="0"/>
              <a:cs typeface="Arial" panose="020B0604020202020204" pitchFamily="34" charset="0"/>
            </a:rPr>
            <a:pPr algn="ctr"/>
            <a:t>PROJECT INFORMATION</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17</xdr:col>
      <xdr:colOff>0</xdr:colOff>
      <xdr:row>1</xdr:row>
      <xdr:rowOff>0</xdr:rowOff>
    </xdr:from>
    <xdr:to>
      <xdr:col>22</xdr:col>
      <xdr:colOff>0</xdr:colOff>
      <xdr:row>4</xdr:row>
      <xdr:rowOff>0</xdr:rowOff>
    </xdr:to>
    <xdr:sp macro="" textlink="MAIN3">
      <xdr:nvSpPr>
        <xdr:cNvPr id="5" name="MENU3">
          <a:hlinkClick xmlns:r="http://schemas.openxmlformats.org/officeDocument/2006/relationships" r:id="rId7" tooltip=" "/>
          <a:extLst>
            <a:ext uri="{FF2B5EF4-FFF2-40B4-BE49-F238E27FC236}">
              <a16:creationId xmlns:a16="http://schemas.microsoft.com/office/drawing/2014/main" id="{00000000-0008-0000-2200-000005000000}"/>
            </a:ext>
          </a:extLst>
        </xdr:cNvPr>
        <xdr:cNvSpPr/>
      </xdr:nvSpPr>
      <xdr:spPr>
        <a:xfrm>
          <a:off x="5334000" y="201706"/>
          <a:ext cx="1568824" cy="605118"/>
        </a:xfrm>
        <a:prstGeom prst="round2SameRect">
          <a:avLst/>
        </a:prstGeom>
        <a:solidFill>
          <a:srgbClr val="00334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06A037F-AE33-47CC-85C1-F6D62694F95D}" type="TxLink">
            <a:rPr lang="en-US" sz="1100" b="0" i="0" u="none" strike="noStrike">
              <a:solidFill>
                <a:schemeClr val="bg1"/>
              </a:solidFill>
              <a:latin typeface="Arial" panose="020B0604020202020204" pitchFamily="34" charset="0"/>
              <a:cs typeface="Arial" panose="020B0604020202020204" pitchFamily="34" charset="0"/>
            </a:rPr>
            <a:pPr algn="ctr"/>
            <a:t>PRESCRIPTIVE MEASURES INPUT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22</xdr:col>
      <xdr:colOff>0</xdr:colOff>
      <xdr:row>1</xdr:row>
      <xdr:rowOff>0</xdr:rowOff>
    </xdr:from>
    <xdr:to>
      <xdr:col>27</xdr:col>
      <xdr:colOff>0</xdr:colOff>
      <xdr:row>4</xdr:row>
      <xdr:rowOff>0</xdr:rowOff>
    </xdr:to>
    <xdr:sp macro="" textlink="MAIN4">
      <xdr:nvSpPr>
        <xdr:cNvPr id="6" name="MENU4">
          <a:hlinkClick xmlns:r="http://schemas.openxmlformats.org/officeDocument/2006/relationships" r:id="rId8" tooltip=" "/>
          <a:extLst>
            <a:ext uri="{FF2B5EF4-FFF2-40B4-BE49-F238E27FC236}">
              <a16:creationId xmlns:a16="http://schemas.microsoft.com/office/drawing/2014/main" id="{00000000-0008-0000-2200-000006000000}"/>
            </a:ext>
          </a:extLst>
        </xdr:cNvPr>
        <xdr:cNvSpPr/>
      </xdr:nvSpPr>
      <xdr:spPr>
        <a:xfrm>
          <a:off x="6902824" y="201706"/>
          <a:ext cx="1568823" cy="605118"/>
        </a:xfrm>
        <a:prstGeom prst="round2SameRect">
          <a:avLst/>
        </a:prstGeom>
        <a:solidFill>
          <a:srgbClr val="00334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CB369157-CA5B-4E40-B1DE-604993B819B3}" type="TxLink">
            <a:rPr lang="en-US" sz="1100" b="0" i="0" u="none" strike="noStrike">
              <a:solidFill>
                <a:schemeClr val="bg1"/>
              </a:solidFill>
              <a:latin typeface="Arial" panose="020B0604020202020204" pitchFamily="34" charset="0"/>
              <a:cs typeface="Arial" panose="020B0604020202020204" pitchFamily="34" charset="0"/>
            </a:rPr>
            <a:pPr algn="ctr"/>
            <a:t>CUSTOM MEASURES INPUT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xdr:col>
      <xdr:colOff>0</xdr:colOff>
      <xdr:row>4</xdr:row>
      <xdr:rowOff>1</xdr:rowOff>
    </xdr:from>
    <xdr:to>
      <xdr:col>44</xdr:col>
      <xdr:colOff>13806</xdr:colOff>
      <xdr:row>7</xdr:row>
      <xdr:rowOff>0</xdr:rowOff>
    </xdr:to>
    <xdr:sp macro="" textlink="">
      <xdr:nvSpPr>
        <xdr:cNvPr id="10" name="TOPRIBBON">
          <a:extLst>
            <a:ext uri="{FF2B5EF4-FFF2-40B4-BE49-F238E27FC236}">
              <a16:creationId xmlns:a16="http://schemas.microsoft.com/office/drawing/2014/main" id="{00000000-0008-0000-2200-00000A000000}"/>
            </a:ext>
          </a:extLst>
        </xdr:cNvPr>
        <xdr:cNvSpPr/>
      </xdr:nvSpPr>
      <xdr:spPr>
        <a:xfrm>
          <a:off x="313765" y="806825"/>
          <a:ext cx="13505688" cy="605116"/>
        </a:xfrm>
        <a:prstGeom prst="round2SameRect">
          <a:avLst/>
        </a:prstGeom>
        <a:solidFill>
          <a:srgbClr val="A6A5AA"/>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p>
      </xdr:txBody>
    </xdr:sp>
    <xdr:clientData/>
  </xdr:twoCellAnchor>
  <xdr:twoCellAnchor>
    <xdr:from>
      <xdr:col>12</xdr:col>
      <xdr:colOff>2551</xdr:colOff>
      <xdr:row>4</xdr:row>
      <xdr:rowOff>200705</xdr:rowOff>
    </xdr:from>
    <xdr:to>
      <xdr:col>17</xdr:col>
      <xdr:colOff>2550</xdr:colOff>
      <xdr:row>7</xdr:row>
      <xdr:rowOff>0</xdr:rowOff>
    </xdr:to>
    <xdr:sp macro="" textlink="M5S3">
      <xdr:nvSpPr>
        <xdr:cNvPr id="13" name="SUBMENU3">
          <a:hlinkClick xmlns:r="http://schemas.openxmlformats.org/officeDocument/2006/relationships" r:id="rId9"/>
          <a:extLst>
            <a:ext uri="{FF2B5EF4-FFF2-40B4-BE49-F238E27FC236}">
              <a16:creationId xmlns:a16="http://schemas.microsoft.com/office/drawing/2014/main" id="{00000000-0008-0000-2200-00000D000000}"/>
            </a:ext>
          </a:extLst>
        </xdr:cNvPr>
        <xdr:cNvSpPr/>
      </xdr:nvSpPr>
      <xdr:spPr>
        <a:xfrm>
          <a:off x="3774451" y="1000805"/>
          <a:ext cx="1571624" cy="399370"/>
        </a:xfrm>
        <a:prstGeom prst="round2SameRect">
          <a:avLst/>
        </a:prstGeom>
        <a:noFill/>
        <a:ln w="12700">
          <a:no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272C9A7E-800F-4AE6-95B1-8AFF5CAE57C5}" type="TxLink">
            <a:rPr lang="en-US" sz="1100" b="0" i="0" u="none" strike="noStrike">
              <a:solidFill>
                <a:srgbClr val="FFFFFF"/>
              </a:solidFill>
              <a:latin typeface="Arial" panose="020B0604020202020204" pitchFamily="34" charset="0"/>
              <a:cs typeface="Arial" panose="020B0604020202020204" pitchFamily="34" charset="0"/>
            </a:rPr>
            <a:pPr algn="ctr"/>
            <a:t> </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37</xdr:col>
      <xdr:colOff>2720</xdr:colOff>
      <xdr:row>4</xdr:row>
      <xdr:rowOff>200705</xdr:rowOff>
    </xdr:from>
    <xdr:to>
      <xdr:col>42</xdr:col>
      <xdr:colOff>0</xdr:colOff>
      <xdr:row>7</xdr:row>
      <xdr:rowOff>0</xdr:rowOff>
    </xdr:to>
    <xdr:sp macro="" textlink="M5S8">
      <xdr:nvSpPr>
        <xdr:cNvPr id="18" name="SUBMENU8">
          <a:hlinkClick xmlns:r="http://schemas.openxmlformats.org/officeDocument/2006/relationships" r:id="rId10"/>
          <a:extLst>
            <a:ext uri="{FF2B5EF4-FFF2-40B4-BE49-F238E27FC236}">
              <a16:creationId xmlns:a16="http://schemas.microsoft.com/office/drawing/2014/main" id="{00000000-0008-0000-2200-000012000000}"/>
            </a:ext>
          </a:extLst>
        </xdr:cNvPr>
        <xdr:cNvSpPr/>
      </xdr:nvSpPr>
      <xdr:spPr>
        <a:xfrm>
          <a:off x="11632745" y="1000805"/>
          <a:ext cx="1568905" cy="399370"/>
        </a:xfrm>
        <a:prstGeom prst="round2SameRect">
          <a:avLst/>
        </a:prstGeom>
        <a:noFill/>
        <a:ln w="12700">
          <a:no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562C4A9D-BD10-4BFB-89D6-250DB3FCE105}" type="TxLink">
            <a:rPr lang="en-US" sz="1100" b="0" i="0" u="none" strike="noStrike">
              <a:solidFill>
                <a:srgbClr val="FFFFFF"/>
              </a:solidFill>
              <a:latin typeface="Arial" panose="020B0604020202020204" pitchFamily="34" charset="0"/>
              <a:cs typeface="Arial" panose="020B0604020202020204" pitchFamily="34" charset="0"/>
            </a:rPr>
            <a:pPr algn="ctr"/>
            <a:t> </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editAs="oneCell">
    <xdr:from>
      <xdr:col>41</xdr:col>
      <xdr:colOff>0</xdr:colOff>
      <xdr:row>9</xdr:row>
      <xdr:rowOff>1047</xdr:rowOff>
    </xdr:from>
    <xdr:to>
      <xdr:col>43</xdr:col>
      <xdr:colOff>3632</xdr:colOff>
      <xdr:row>11</xdr:row>
      <xdr:rowOff>0</xdr:rowOff>
    </xdr:to>
    <xdr:sp macro="" textlink="">
      <xdr:nvSpPr>
        <xdr:cNvPr id="2" name="NEXT">
          <a:hlinkClick xmlns:r="http://schemas.openxmlformats.org/officeDocument/2006/relationships" r:id="rId2"/>
          <a:extLst>
            <a:ext uri="{FF2B5EF4-FFF2-40B4-BE49-F238E27FC236}">
              <a16:creationId xmlns:a16="http://schemas.microsoft.com/office/drawing/2014/main" id="{00000000-0008-0000-2200-000002000000}"/>
            </a:ext>
          </a:extLst>
        </xdr:cNvPr>
        <xdr:cNvSpPr>
          <a:spLocks noChangeAspect="1"/>
        </xdr:cNvSpPr>
      </xdr:nvSpPr>
      <xdr:spPr>
        <a:xfrm>
          <a:off x="12887325" y="1801272"/>
          <a:ext cx="627520" cy="399003"/>
        </a:xfrm>
        <a:prstGeom prst="rightArrow">
          <a:avLst/>
        </a:prstGeom>
        <a:solidFill>
          <a:srgbClr val="54BCEB"/>
        </a:solidFill>
        <a:ln>
          <a:solidFill>
            <a:srgbClr val="54BCEB"/>
          </a:solidFill>
        </a:ln>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32</xdr:col>
      <xdr:colOff>0</xdr:colOff>
      <xdr:row>1</xdr:row>
      <xdr:rowOff>0</xdr:rowOff>
    </xdr:from>
    <xdr:to>
      <xdr:col>37</xdr:col>
      <xdr:colOff>1</xdr:colOff>
      <xdr:row>4</xdr:row>
      <xdr:rowOff>0</xdr:rowOff>
    </xdr:to>
    <xdr:sp macro="" textlink="MAIN6">
      <xdr:nvSpPr>
        <xdr:cNvPr id="8" name="MENU6">
          <a:extLst>
            <a:ext uri="{FF2B5EF4-FFF2-40B4-BE49-F238E27FC236}">
              <a16:creationId xmlns:a16="http://schemas.microsoft.com/office/drawing/2014/main" id="{00000000-0008-0000-2200-000008000000}"/>
            </a:ext>
          </a:extLst>
        </xdr:cNvPr>
        <xdr:cNvSpPr/>
      </xdr:nvSpPr>
      <xdr:spPr>
        <a:xfrm>
          <a:off x="10058400" y="200025"/>
          <a:ext cx="1571626"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00B050"/>
              </a:solidFill>
            </a14:hiddenFill>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B12A3774-975E-4B41-A681-E085295C6D0E}" type="TxLink">
            <a:rPr lang="en-US" sz="1100" b="0" i="0" u="none" strike="noStrike">
              <a:noFill/>
              <a:latin typeface="Arial" panose="020B0604020202020204" pitchFamily="34" charset="0"/>
              <a:cs typeface="Arial" panose="020B0604020202020204" pitchFamily="34" charset="0"/>
            </a:rPr>
            <a:pPr algn="ctr"/>
            <a:t> </a:t>
          </a:fld>
          <a:endParaRPr lang="en-US" sz="1100">
            <a:noFill/>
            <a:latin typeface="Arial" panose="020B0604020202020204" pitchFamily="34" charset="0"/>
            <a:cs typeface="Arial" panose="020B0604020202020204" pitchFamily="34" charset="0"/>
          </a:endParaRPr>
        </a:p>
      </xdr:txBody>
    </xdr:sp>
    <xdr:clientData/>
  </xdr:twoCellAnchor>
  <xdr:twoCellAnchor>
    <xdr:from>
      <xdr:col>36</xdr:col>
      <xdr:colOff>314324</xdr:colOff>
      <xdr:row>1</xdr:row>
      <xdr:rowOff>0</xdr:rowOff>
    </xdr:from>
    <xdr:to>
      <xdr:col>41</xdr:col>
      <xdr:colOff>314324</xdr:colOff>
      <xdr:row>4</xdr:row>
      <xdr:rowOff>0</xdr:rowOff>
    </xdr:to>
    <xdr:sp macro="" textlink="MAIN7">
      <xdr:nvSpPr>
        <xdr:cNvPr id="9" name="MENU7">
          <a:extLst>
            <a:ext uri="{FF2B5EF4-FFF2-40B4-BE49-F238E27FC236}">
              <a16:creationId xmlns:a16="http://schemas.microsoft.com/office/drawing/2014/main" id="{00000000-0008-0000-2200-000009000000}"/>
            </a:ext>
          </a:extLst>
        </xdr:cNvPr>
        <xdr:cNvSpPr/>
      </xdr:nvSpPr>
      <xdr:spPr>
        <a:xfrm>
          <a:off x="11630024" y="200025"/>
          <a:ext cx="1571625"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00B050"/>
              </a:solidFill>
            </a14:hiddenFill>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 </a:t>
          </a:fld>
          <a:endParaRPr lang="en-US" sz="1100">
            <a:noFill/>
            <a:latin typeface="Arial" panose="020B0604020202020204" pitchFamily="34" charset="0"/>
            <a:cs typeface="Arial" panose="020B0604020202020204" pitchFamily="34" charset="0"/>
          </a:endParaRPr>
        </a:p>
      </xdr:txBody>
    </xdr:sp>
    <xdr:clientData/>
  </xdr:twoCellAnchor>
  <xdr:twoCellAnchor>
    <xdr:from>
      <xdr:col>2</xdr:col>
      <xdr:colOff>2720</xdr:colOff>
      <xdr:row>5</xdr:row>
      <xdr:rowOff>0</xdr:rowOff>
    </xdr:from>
    <xdr:to>
      <xdr:col>7</xdr:col>
      <xdr:colOff>457</xdr:colOff>
      <xdr:row>6</xdr:row>
      <xdr:rowOff>197827</xdr:rowOff>
    </xdr:to>
    <xdr:sp macro="" textlink="M5S1">
      <xdr:nvSpPr>
        <xdr:cNvPr id="11" name="SUBMENU1">
          <a:hlinkClick xmlns:r="http://schemas.openxmlformats.org/officeDocument/2006/relationships" r:id="rId4" tooltip=" "/>
          <a:extLst>
            <a:ext uri="{FF2B5EF4-FFF2-40B4-BE49-F238E27FC236}">
              <a16:creationId xmlns:a16="http://schemas.microsoft.com/office/drawing/2014/main" id="{00000000-0008-0000-2200-00000B000000}"/>
            </a:ext>
          </a:extLst>
        </xdr:cNvPr>
        <xdr:cNvSpPr/>
      </xdr:nvSpPr>
      <xdr:spPr>
        <a:xfrm>
          <a:off x="631370" y="1000125"/>
          <a:ext cx="1569362" cy="397852"/>
        </a:xfrm>
        <a:prstGeom prst="round2SameRect">
          <a:avLst/>
        </a:prstGeom>
        <a:solidFill>
          <a:srgbClr val="54BCEB"/>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2A9D6AC0-5121-4C66-8D3B-0C4F60FE0219}" type="TxLink">
            <a:rPr lang="en-US" sz="1100" b="0" i="0" u="none" strike="noStrike">
              <a:solidFill>
                <a:srgbClr val="FFFFFF"/>
              </a:solidFill>
              <a:latin typeface="Arial" panose="020B0604020202020204" pitchFamily="34" charset="0"/>
              <a:cs typeface="Arial" panose="020B0604020202020204" pitchFamily="34" charset="0"/>
            </a:rPr>
            <a:pPr algn="ctr"/>
            <a:t>Project Summary</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7</xdr:col>
      <xdr:colOff>2551</xdr:colOff>
      <xdr:row>4</xdr:row>
      <xdr:rowOff>200705</xdr:rowOff>
    </xdr:from>
    <xdr:to>
      <xdr:col>12</xdr:col>
      <xdr:colOff>2550</xdr:colOff>
      <xdr:row>7</xdr:row>
      <xdr:rowOff>0</xdr:rowOff>
    </xdr:to>
    <xdr:sp macro="" textlink="M5S2">
      <xdr:nvSpPr>
        <xdr:cNvPr id="12" name="SUBMENU2">
          <a:hlinkClick xmlns:r="http://schemas.openxmlformats.org/officeDocument/2006/relationships" r:id="rId11" tooltip=" "/>
          <a:extLst>
            <a:ext uri="{FF2B5EF4-FFF2-40B4-BE49-F238E27FC236}">
              <a16:creationId xmlns:a16="http://schemas.microsoft.com/office/drawing/2014/main" id="{00000000-0008-0000-2200-00000C000000}"/>
            </a:ext>
          </a:extLst>
        </xdr:cNvPr>
        <xdr:cNvSpPr/>
      </xdr:nvSpPr>
      <xdr:spPr>
        <a:xfrm>
          <a:off x="2202826" y="1000805"/>
          <a:ext cx="1571624" cy="399370"/>
        </a:xfrm>
        <a:prstGeom prst="round2SameRect">
          <a:avLst/>
        </a:prstGeom>
        <a:solidFill>
          <a:srgbClr val="54BCEB"/>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DB017B9-6E71-4874-AB31-EC7916DB256F}" type="TxLink">
            <a:rPr lang="en-US" sz="1100" b="0" i="0" u="none" strike="noStrike">
              <a:solidFill>
                <a:srgbClr val="FFFFFF"/>
              </a:solidFill>
              <a:latin typeface="Arial" panose="020B0604020202020204" pitchFamily="34" charset="0"/>
              <a:cs typeface="Arial" panose="020B0604020202020204" pitchFamily="34" charset="0"/>
            </a:rPr>
            <a:pPr algn="ctr"/>
            <a:t>Submit Application</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22</xdr:col>
      <xdr:colOff>2551</xdr:colOff>
      <xdr:row>5</xdr:row>
      <xdr:rowOff>51480</xdr:rowOff>
    </xdr:from>
    <xdr:to>
      <xdr:col>27</xdr:col>
      <xdr:colOff>2549</xdr:colOff>
      <xdr:row>7</xdr:row>
      <xdr:rowOff>50800</xdr:rowOff>
    </xdr:to>
    <xdr:sp macro="" textlink="M5S5">
      <xdr:nvSpPr>
        <xdr:cNvPr id="15" name="SUBMENU5">
          <a:hlinkClick xmlns:r="http://schemas.openxmlformats.org/officeDocument/2006/relationships" r:id="rId12" tooltip=" "/>
          <a:extLst>
            <a:ext uri="{FF2B5EF4-FFF2-40B4-BE49-F238E27FC236}">
              <a16:creationId xmlns:a16="http://schemas.microsoft.com/office/drawing/2014/main" id="{00000000-0008-0000-2200-00000F000000}"/>
            </a:ext>
          </a:extLst>
        </xdr:cNvPr>
        <xdr:cNvSpPr/>
      </xdr:nvSpPr>
      <xdr:spPr>
        <a:xfrm>
          <a:off x="6917701" y="1051605"/>
          <a:ext cx="1571623" cy="399370"/>
        </a:xfrm>
        <a:prstGeom prst="round2SameRect">
          <a:avLst/>
        </a:prstGeom>
        <a:solidFill>
          <a:srgbClr val="00334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8ECB5FB8-9114-4770-BA69-C59ADB9DA12A}" type="TxLink">
            <a:rPr lang="en-US" sz="1100" b="0" i="0" u="none" strike="noStrike">
              <a:solidFill>
                <a:srgbClr val="FFFFFF"/>
              </a:solidFill>
              <a:latin typeface="Arial" panose="020B0604020202020204" pitchFamily="34" charset="0"/>
              <a:cs typeface="Arial" panose="020B0604020202020204" pitchFamily="34" charset="0"/>
            </a:rPr>
            <a:pPr algn="ctr"/>
            <a:t>Completion Form</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0</xdr:col>
      <xdr:colOff>314323</xdr:colOff>
      <xdr:row>7</xdr:row>
      <xdr:rowOff>200024</xdr:rowOff>
    </xdr:from>
    <xdr:to>
      <xdr:col>44</xdr:col>
      <xdr:colOff>0</xdr:colOff>
      <xdr:row>199</xdr:row>
      <xdr:rowOff>0</xdr:rowOff>
    </xdr:to>
    <xdr:sp macro="" textlink="">
      <xdr:nvSpPr>
        <xdr:cNvPr id="19" name="BORDER">
          <a:extLst>
            <a:ext uri="{FF2B5EF4-FFF2-40B4-BE49-F238E27FC236}">
              <a16:creationId xmlns:a16="http://schemas.microsoft.com/office/drawing/2014/main" id="{00000000-0008-0000-2200-000013000000}"/>
            </a:ext>
          </a:extLst>
        </xdr:cNvPr>
        <xdr:cNvSpPr/>
      </xdr:nvSpPr>
      <xdr:spPr>
        <a:xfrm>
          <a:off x="314323" y="1600199"/>
          <a:ext cx="13515977" cy="37804726"/>
        </a:xfrm>
        <a:prstGeom prst="frame">
          <a:avLst>
            <a:gd name="adj1" fmla="val 97"/>
          </a:avLst>
        </a:prstGeom>
        <a:noFill/>
        <a:ln w="12700" cap="flat" cmpd="sng" algn="ctr">
          <a:solidFill>
            <a:srgbClr val="00334E"/>
          </a:solidFill>
          <a:prstDash val="solid"/>
          <a:miter lim="800000"/>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fPrintsWithSheet="0"/>
  </xdr:twoCellAnchor>
  <xdr:twoCellAnchor editAs="oneCell">
    <xdr:from>
      <xdr:col>2</xdr:col>
      <xdr:colOff>2720</xdr:colOff>
      <xdr:row>8</xdr:row>
      <xdr:rowOff>201232</xdr:rowOff>
    </xdr:from>
    <xdr:to>
      <xdr:col>4</xdr:col>
      <xdr:colOff>960</xdr:colOff>
      <xdr:row>11</xdr:row>
      <xdr:rowOff>1207</xdr:rowOff>
    </xdr:to>
    <xdr:sp macro="" textlink="">
      <xdr:nvSpPr>
        <xdr:cNvPr id="20" name="BACK">
          <a:hlinkClick xmlns:r="http://schemas.openxmlformats.org/officeDocument/2006/relationships" r:id="rId1"/>
          <a:extLst>
            <a:ext uri="{FF2B5EF4-FFF2-40B4-BE49-F238E27FC236}">
              <a16:creationId xmlns:a16="http://schemas.microsoft.com/office/drawing/2014/main" id="{00000000-0008-0000-2200-000014000000}"/>
            </a:ext>
          </a:extLst>
        </xdr:cNvPr>
        <xdr:cNvSpPr>
          <a:spLocks noChangeAspect="1"/>
        </xdr:cNvSpPr>
      </xdr:nvSpPr>
      <xdr:spPr>
        <a:xfrm>
          <a:off x="631370" y="1801432"/>
          <a:ext cx="626890" cy="400050"/>
        </a:xfrm>
        <a:prstGeom prst="leftArrow">
          <a:avLst/>
        </a:prstGeom>
        <a:solidFill>
          <a:srgbClr val="54BCEB"/>
        </a:solidFill>
        <a:ln>
          <a:solidFill>
            <a:srgbClr val="54BCEB"/>
          </a:solidFill>
        </a:ln>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mc:AlternateContent xmlns:mc="http://schemas.openxmlformats.org/markup-compatibility/2006">
    <mc:Choice xmlns:a14="http://schemas.microsoft.com/office/drawing/2010/main" Requires="a14">
      <xdr:twoCellAnchor editAs="oneCell">
        <xdr:from>
          <xdr:col>24</xdr:col>
          <xdr:colOff>28575</xdr:colOff>
          <xdr:row>55</xdr:row>
          <xdr:rowOff>85725</xdr:rowOff>
        </xdr:from>
        <xdr:to>
          <xdr:col>25</xdr:col>
          <xdr:colOff>19050</xdr:colOff>
          <xdr:row>56</xdr:row>
          <xdr:rowOff>104775</xdr:rowOff>
        </xdr:to>
        <xdr:sp macro="" textlink="">
          <xdr:nvSpPr>
            <xdr:cNvPr id="40963" name="Check Box 3" hidden="1">
              <a:extLst>
                <a:ext uri="{63B3BB69-23CF-44E3-9099-C40C66FF867C}">
                  <a14:compatExt spid="_x0000_s40963"/>
                </a:ext>
                <a:ext uri="{FF2B5EF4-FFF2-40B4-BE49-F238E27FC236}">
                  <a16:creationId xmlns:a16="http://schemas.microsoft.com/office/drawing/2014/main" id="{00000000-0008-0000-2200-000003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57</xdr:row>
          <xdr:rowOff>85725</xdr:rowOff>
        </xdr:from>
        <xdr:to>
          <xdr:col>25</xdr:col>
          <xdr:colOff>19050</xdr:colOff>
          <xdr:row>58</xdr:row>
          <xdr:rowOff>104775</xdr:rowOff>
        </xdr:to>
        <xdr:sp macro="" textlink="">
          <xdr:nvSpPr>
            <xdr:cNvPr id="40964" name="Check Box 4" hidden="1">
              <a:extLst>
                <a:ext uri="{63B3BB69-23CF-44E3-9099-C40C66FF867C}">
                  <a14:compatExt spid="_x0000_s40964"/>
                </a:ext>
                <a:ext uri="{FF2B5EF4-FFF2-40B4-BE49-F238E27FC236}">
                  <a16:creationId xmlns:a16="http://schemas.microsoft.com/office/drawing/2014/main" id="{00000000-0008-0000-2200-000004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22</xdr:col>
      <xdr:colOff>313762</xdr:colOff>
      <xdr:row>52</xdr:row>
      <xdr:rowOff>190500</xdr:rowOff>
    </xdr:from>
    <xdr:to>
      <xdr:col>31</xdr:col>
      <xdr:colOff>0</xdr:colOff>
      <xdr:row>53</xdr:row>
      <xdr:rowOff>179294</xdr:rowOff>
    </xdr:to>
    <xdr:sp macro="" textlink="">
      <xdr:nvSpPr>
        <xdr:cNvPr id="33" name="Rectangle 32">
          <a:hlinkClick xmlns:r="http://schemas.openxmlformats.org/officeDocument/2006/relationships" r:id="rId13"/>
          <a:extLst>
            <a:ext uri="{FF2B5EF4-FFF2-40B4-BE49-F238E27FC236}">
              <a16:creationId xmlns:a16="http://schemas.microsoft.com/office/drawing/2014/main" id="{00000000-0008-0000-2200-000021000000}"/>
            </a:ext>
          </a:extLst>
        </xdr:cNvPr>
        <xdr:cNvSpPr/>
      </xdr:nvSpPr>
      <xdr:spPr>
        <a:xfrm>
          <a:off x="7216586" y="10679206"/>
          <a:ext cx="2510120" cy="190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26</xdr:col>
      <xdr:colOff>29134</xdr:colOff>
      <xdr:row>41</xdr:row>
      <xdr:rowOff>197224</xdr:rowOff>
    </xdr:from>
    <xdr:to>
      <xdr:col>27</xdr:col>
      <xdr:colOff>145677</xdr:colOff>
      <xdr:row>42</xdr:row>
      <xdr:rowOff>156883</xdr:rowOff>
    </xdr:to>
    <xdr:sp macro="" textlink="">
      <xdr:nvSpPr>
        <xdr:cNvPr id="34" name="Rectangle 33">
          <a:hlinkClick xmlns:r="http://schemas.openxmlformats.org/officeDocument/2006/relationships" r:id="rId14"/>
          <a:extLst>
            <a:ext uri="{FF2B5EF4-FFF2-40B4-BE49-F238E27FC236}">
              <a16:creationId xmlns:a16="http://schemas.microsoft.com/office/drawing/2014/main" id="{00000000-0008-0000-2200-000022000000}"/>
            </a:ext>
          </a:extLst>
        </xdr:cNvPr>
        <xdr:cNvSpPr/>
      </xdr:nvSpPr>
      <xdr:spPr>
        <a:xfrm>
          <a:off x="3794310" y="11492753"/>
          <a:ext cx="430308" cy="16136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13</xdr:col>
      <xdr:colOff>22413</xdr:colOff>
      <xdr:row>47</xdr:row>
      <xdr:rowOff>22413</xdr:rowOff>
    </xdr:from>
    <xdr:to>
      <xdr:col>14</xdr:col>
      <xdr:colOff>268942</xdr:colOff>
      <xdr:row>47</xdr:row>
      <xdr:rowOff>190500</xdr:rowOff>
    </xdr:to>
    <xdr:sp macro="" textlink="">
      <xdr:nvSpPr>
        <xdr:cNvPr id="36" name="Rectangle 35">
          <a:hlinkClick xmlns:r="http://schemas.openxmlformats.org/officeDocument/2006/relationships" r:id="rId8"/>
          <a:extLst>
            <a:ext uri="{FF2B5EF4-FFF2-40B4-BE49-F238E27FC236}">
              <a16:creationId xmlns:a16="http://schemas.microsoft.com/office/drawing/2014/main" id="{00000000-0008-0000-2200-000024000000}"/>
            </a:ext>
          </a:extLst>
        </xdr:cNvPr>
        <xdr:cNvSpPr/>
      </xdr:nvSpPr>
      <xdr:spPr>
        <a:xfrm>
          <a:off x="4101354" y="9502589"/>
          <a:ext cx="560294" cy="16808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13</xdr:col>
      <xdr:colOff>31375</xdr:colOff>
      <xdr:row>45</xdr:row>
      <xdr:rowOff>121022</xdr:rowOff>
    </xdr:from>
    <xdr:to>
      <xdr:col>15</xdr:col>
      <xdr:colOff>156882</xdr:colOff>
      <xdr:row>46</xdr:row>
      <xdr:rowOff>89647</xdr:rowOff>
    </xdr:to>
    <xdr:sp macro="" textlink="">
      <xdr:nvSpPr>
        <xdr:cNvPr id="37" name="Rectangle 36">
          <a:hlinkClick xmlns:r="http://schemas.openxmlformats.org/officeDocument/2006/relationships" r:id="rId7"/>
          <a:extLst>
            <a:ext uri="{FF2B5EF4-FFF2-40B4-BE49-F238E27FC236}">
              <a16:creationId xmlns:a16="http://schemas.microsoft.com/office/drawing/2014/main" id="{00000000-0008-0000-2200-000025000000}"/>
            </a:ext>
          </a:extLst>
        </xdr:cNvPr>
        <xdr:cNvSpPr/>
      </xdr:nvSpPr>
      <xdr:spPr>
        <a:xfrm>
          <a:off x="4110316" y="8794375"/>
          <a:ext cx="753037" cy="17033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accent5"/>
            </a:solidFill>
          </a:endParaRPr>
        </a:p>
      </xdr:txBody>
    </xdr:sp>
    <xdr:clientData/>
  </xdr:twoCellAnchor>
  <xdr:twoCellAnchor>
    <xdr:from>
      <xdr:col>15</xdr:col>
      <xdr:colOff>11206</xdr:colOff>
      <xdr:row>36</xdr:row>
      <xdr:rowOff>15688</xdr:rowOff>
    </xdr:from>
    <xdr:to>
      <xdr:col>16</xdr:col>
      <xdr:colOff>221879</xdr:colOff>
      <xdr:row>36</xdr:row>
      <xdr:rowOff>181535</xdr:rowOff>
    </xdr:to>
    <xdr:sp macro="" textlink="">
      <xdr:nvSpPr>
        <xdr:cNvPr id="35" name="Rectangle 34">
          <a:hlinkClick xmlns:r="http://schemas.openxmlformats.org/officeDocument/2006/relationships" r:id="rId8"/>
          <a:extLst>
            <a:ext uri="{FF2B5EF4-FFF2-40B4-BE49-F238E27FC236}">
              <a16:creationId xmlns:a16="http://schemas.microsoft.com/office/drawing/2014/main" id="{00000000-0008-0000-2200-000023000000}"/>
            </a:ext>
          </a:extLst>
        </xdr:cNvPr>
        <xdr:cNvSpPr/>
      </xdr:nvSpPr>
      <xdr:spPr>
        <a:xfrm>
          <a:off x="3148853" y="8689041"/>
          <a:ext cx="524438" cy="16584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15</xdr:col>
      <xdr:colOff>17927</xdr:colOff>
      <xdr:row>35</xdr:row>
      <xdr:rowOff>11205</xdr:rowOff>
    </xdr:from>
    <xdr:to>
      <xdr:col>17</xdr:col>
      <xdr:colOff>179294</xdr:colOff>
      <xdr:row>35</xdr:row>
      <xdr:rowOff>179294</xdr:rowOff>
    </xdr:to>
    <xdr:sp macro="" textlink="">
      <xdr:nvSpPr>
        <xdr:cNvPr id="39" name="Rectangle 38">
          <a:hlinkClick xmlns:r="http://schemas.openxmlformats.org/officeDocument/2006/relationships" r:id="rId7"/>
          <a:extLst>
            <a:ext uri="{FF2B5EF4-FFF2-40B4-BE49-F238E27FC236}">
              <a16:creationId xmlns:a16="http://schemas.microsoft.com/office/drawing/2014/main" id="{00000000-0008-0000-2200-000027000000}"/>
            </a:ext>
          </a:extLst>
        </xdr:cNvPr>
        <xdr:cNvSpPr/>
      </xdr:nvSpPr>
      <xdr:spPr>
        <a:xfrm>
          <a:off x="4724398" y="7272617"/>
          <a:ext cx="788896" cy="16808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mc:AlternateContent xmlns:mc="http://schemas.openxmlformats.org/markup-compatibility/2006">
    <mc:Choice xmlns:a14="http://schemas.microsoft.com/office/drawing/2010/main" Requires="a14">
      <xdr:twoCellAnchor editAs="oneCell">
        <xdr:from>
          <xdr:col>10</xdr:col>
          <xdr:colOff>28575</xdr:colOff>
          <xdr:row>45</xdr:row>
          <xdr:rowOff>95250</xdr:rowOff>
        </xdr:from>
        <xdr:to>
          <xdr:col>11</xdr:col>
          <xdr:colOff>19050</xdr:colOff>
          <xdr:row>46</xdr:row>
          <xdr:rowOff>114300</xdr:rowOff>
        </xdr:to>
        <xdr:sp macro="" textlink="">
          <xdr:nvSpPr>
            <xdr:cNvPr id="40967" name="Check Box 7" hidden="1">
              <a:extLst>
                <a:ext uri="{63B3BB69-23CF-44E3-9099-C40C66FF867C}">
                  <a14:compatExt spid="_x0000_s40967"/>
                </a:ext>
                <a:ext uri="{FF2B5EF4-FFF2-40B4-BE49-F238E27FC236}">
                  <a16:creationId xmlns:a16="http://schemas.microsoft.com/office/drawing/2014/main" id="{00000000-0008-0000-2200-000007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28575</xdr:colOff>
          <xdr:row>47</xdr:row>
          <xdr:rowOff>9525</xdr:rowOff>
        </xdr:from>
        <xdr:to>
          <xdr:col>11</xdr:col>
          <xdr:colOff>19050</xdr:colOff>
          <xdr:row>48</xdr:row>
          <xdr:rowOff>28575</xdr:rowOff>
        </xdr:to>
        <xdr:sp macro="" textlink="">
          <xdr:nvSpPr>
            <xdr:cNvPr id="40968" name="Check Box 8" hidden="1">
              <a:extLst>
                <a:ext uri="{63B3BB69-23CF-44E3-9099-C40C66FF867C}">
                  <a14:compatExt spid="_x0000_s40968"/>
                </a:ext>
                <a:ext uri="{FF2B5EF4-FFF2-40B4-BE49-F238E27FC236}">
                  <a16:creationId xmlns:a16="http://schemas.microsoft.com/office/drawing/2014/main" id="{00000000-0008-0000-2200-000008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27</xdr:col>
      <xdr:colOff>87404</xdr:colOff>
      <xdr:row>55</xdr:row>
      <xdr:rowOff>132227</xdr:rowOff>
    </xdr:from>
    <xdr:to>
      <xdr:col>29</xdr:col>
      <xdr:colOff>212912</xdr:colOff>
      <xdr:row>56</xdr:row>
      <xdr:rowOff>100852</xdr:rowOff>
    </xdr:to>
    <xdr:sp macro="" textlink="">
      <xdr:nvSpPr>
        <xdr:cNvPr id="38" name="Rectangle 37">
          <a:hlinkClick xmlns:r="http://schemas.openxmlformats.org/officeDocument/2006/relationships" r:id="rId15"/>
          <a:extLst>
            <a:ext uri="{FF2B5EF4-FFF2-40B4-BE49-F238E27FC236}">
              <a16:creationId xmlns:a16="http://schemas.microsoft.com/office/drawing/2014/main" id="{00000000-0008-0000-2200-000026000000}"/>
            </a:ext>
          </a:extLst>
        </xdr:cNvPr>
        <xdr:cNvSpPr/>
      </xdr:nvSpPr>
      <xdr:spPr>
        <a:xfrm>
          <a:off x="8559051" y="11226051"/>
          <a:ext cx="753037" cy="17033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accent5"/>
            </a:solidFill>
          </a:endParaRPr>
        </a:p>
      </xdr:txBody>
    </xdr:sp>
    <xdr:clientData/>
  </xdr:twoCellAnchor>
  <xdr:twoCellAnchor editAs="oneCell">
    <xdr:from>
      <xdr:col>1</xdr:col>
      <xdr:colOff>270934</xdr:colOff>
      <xdr:row>1</xdr:row>
      <xdr:rowOff>0</xdr:rowOff>
    </xdr:from>
    <xdr:to>
      <xdr:col>4</xdr:col>
      <xdr:colOff>198490</xdr:colOff>
      <xdr:row>3</xdr:row>
      <xdr:rowOff>38743</xdr:rowOff>
    </xdr:to>
    <xdr:pic>
      <xdr:nvPicPr>
        <xdr:cNvPr id="40" name="LOGO">
          <a:extLst>
            <a:ext uri="{FF2B5EF4-FFF2-40B4-BE49-F238E27FC236}">
              <a16:creationId xmlns:a16="http://schemas.microsoft.com/office/drawing/2014/main" id="{00000000-0008-0000-2200-000028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xdr:blipFill>
      <xdr:spPr>
        <a:xfrm>
          <a:off x="584699" y="201706"/>
          <a:ext cx="868850" cy="442155"/>
        </a:xfrm>
        <a:prstGeom prst="rect">
          <a:avLst/>
        </a:prstGeom>
      </xdr:spPr>
    </xdr:pic>
    <xdr:clientData/>
  </xdr:twoCellAnchor>
  <xdr:twoCellAnchor editAs="oneCell">
    <xdr:from>
      <xdr:col>31</xdr:col>
      <xdr:colOff>71436</xdr:colOff>
      <xdr:row>15</xdr:row>
      <xdr:rowOff>4339</xdr:rowOff>
    </xdr:from>
    <xdr:to>
      <xdr:col>35</xdr:col>
      <xdr:colOff>227095</xdr:colOff>
      <xdr:row>17</xdr:row>
      <xdr:rowOff>34403</xdr:rowOff>
    </xdr:to>
    <xdr:pic>
      <xdr:nvPicPr>
        <xdr:cNvPr id="44" name="LOGO">
          <a:extLst>
            <a:ext uri="{FF2B5EF4-FFF2-40B4-BE49-F238E27FC236}">
              <a16:creationId xmlns:a16="http://schemas.microsoft.com/office/drawing/2014/main" id="{00000000-0008-0000-2200-00002C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9667874" y="3040433"/>
          <a:ext cx="1393909" cy="434876"/>
        </a:xfrm>
        <a:prstGeom prst="rect">
          <a:avLst/>
        </a:prstGeom>
      </xdr:spPr>
    </xdr:pic>
    <xdr:clientData/>
  </xdr:twoCellAnchor>
  <xdr:twoCellAnchor editAs="oneCell">
    <xdr:from>
      <xdr:col>9</xdr:col>
      <xdr:colOff>238125</xdr:colOff>
      <xdr:row>14</xdr:row>
      <xdr:rowOff>190500</xdr:rowOff>
    </xdr:from>
    <xdr:to>
      <xdr:col>11</xdr:col>
      <xdr:colOff>249556</xdr:colOff>
      <xdr:row>17</xdr:row>
      <xdr:rowOff>184786</xdr:rowOff>
    </xdr:to>
    <xdr:pic>
      <xdr:nvPicPr>
        <xdr:cNvPr id="23" name="Picture 22">
          <a:extLst>
            <a:ext uri="{FF2B5EF4-FFF2-40B4-BE49-F238E27FC236}">
              <a16:creationId xmlns:a16="http://schemas.microsoft.com/office/drawing/2014/main" id="{00000000-0008-0000-2200-000017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3067050" y="2990850"/>
          <a:ext cx="640081" cy="594361"/>
        </a:xfrm>
        <a:prstGeom prst="rect">
          <a:avLst/>
        </a:prstGeom>
      </xdr:spPr>
    </xdr:pic>
    <xdr:clientData/>
  </xdr:twoCellAnchor>
  <xdr:twoCellAnchor>
    <xdr:from>
      <xdr:col>1</xdr:col>
      <xdr:colOff>0</xdr:colOff>
      <xdr:row>7</xdr:row>
      <xdr:rowOff>0</xdr:rowOff>
    </xdr:from>
    <xdr:to>
      <xdr:col>44</xdr:col>
      <xdr:colOff>13806</xdr:colOff>
      <xdr:row>8</xdr:row>
      <xdr:rowOff>0</xdr:rowOff>
    </xdr:to>
    <xdr:sp macro="" textlink="">
      <xdr:nvSpPr>
        <xdr:cNvPr id="21" name="BOTTOMRIBBON">
          <a:extLst>
            <a:ext uri="{FF2B5EF4-FFF2-40B4-BE49-F238E27FC236}">
              <a16:creationId xmlns:a16="http://schemas.microsoft.com/office/drawing/2014/main" id="{00000000-0008-0000-2200-000015000000}"/>
            </a:ext>
          </a:extLst>
        </xdr:cNvPr>
        <xdr:cNvSpPr/>
      </xdr:nvSpPr>
      <xdr:spPr>
        <a:xfrm>
          <a:off x="313765" y="1411941"/>
          <a:ext cx="13505688" cy="201706"/>
        </a:xfrm>
        <a:prstGeom prst="rect">
          <a:avLst/>
        </a:prstGeom>
        <a:solidFill>
          <a:srgbClr val="00334E"/>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solidFill>
              <a:srgbClr val="FFFFFF"/>
            </a:solidFill>
          </a:endParaRPr>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22</xdr:col>
      <xdr:colOff>2551</xdr:colOff>
      <xdr:row>4</xdr:row>
      <xdr:rowOff>200705</xdr:rowOff>
    </xdr:from>
    <xdr:to>
      <xdr:col>27</xdr:col>
      <xdr:colOff>2549</xdr:colOff>
      <xdr:row>7</xdr:row>
      <xdr:rowOff>0</xdr:rowOff>
    </xdr:to>
    <xdr:sp macro="" textlink="M5S5">
      <xdr:nvSpPr>
        <xdr:cNvPr id="15" name="SUBMENU5">
          <a:hlinkClick xmlns:r="http://schemas.openxmlformats.org/officeDocument/2006/relationships" r:id="rId1"/>
          <a:extLst>
            <a:ext uri="{FF2B5EF4-FFF2-40B4-BE49-F238E27FC236}">
              <a16:creationId xmlns:a16="http://schemas.microsoft.com/office/drawing/2014/main" id="{00000000-0008-0000-2300-00000F000000}"/>
            </a:ext>
          </a:extLst>
        </xdr:cNvPr>
        <xdr:cNvSpPr/>
      </xdr:nvSpPr>
      <xdr:spPr>
        <a:xfrm>
          <a:off x="6917701" y="1000805"/>
          <a:ext cx="1571623" cy="399370"/>
        </a:xfrm>
        <a:prstGeom prst="round2SameRect">
          <a:avLst/>
        </a:prstGeom>
        <a:solidFill>
          <a:srgbClr val="54BCEB"/>
        </a:solidFill>
        <a:ln w="12700">
          <a:solidFill>
            <a:srgbClr val="54BCEB"/>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8ECB5FB8-9114-4770-BA69-C59ADB9DA12A}" type="TxLink">
            <a:rPr lang="en-US" sz="1100" b="0" i="0" u="none" strike="noStrike">
              <a:solidFill>
                <a:srgbClr val="FFFFFF"/>
              </a:solidFill>
              <a:latin typeface="Arial" panose="020B0604020202020204" pitchFamily="34" charset="0"/>
              <a:cs typeface="Arial" panose="020B0604020202020204" pitchFamily="34" charset="0"/>
            </a:rPr>
            <a:pPr algn="ctr"/>
            <a:t>Completion Form</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17</xdr:col>
      <xdr:colOff>2551</xdr:colOff>
      <xdr:row>4</xdr:row>
      <xdr:rowOff>200705</xdr:rowOff>
    </xdr:from>
    <xdr:to>
      <xdr:col>22</xdr:col>
      <xdr:colOff>2550</xdr:colOff>
      <xdr:row>7</xdr:row>
      <xdr:rowOff>0</xdr:rowOff>
    </xdr:to>
    <xdr:sp macro="" textlink="M5S4">
      <xdr:nvSpPr>
        <xdr:cNvPr id="14" name="SUBMENU4">
          <a:hlinkClick xmlns:r="http://schemas.openxmlformats.org/officeDocument/2006/relationships" r:id="rId2"/>
          <a:extLst>
            <a:ext uri="{FF2B5EF4-FFF2-40B4-BE49-F238E27FC236}">
              <a16:creationId xmlns:a16="http://schemas.microsoft.com/office/drawing/2014/main" id="{00000000-0008-0000-2300-00000E000000}"/>
            </a:ext>
          </a:extLst>
        </xdr:cNvPr>
        <xdr:cNvSpPr/>
      </xdr:nvSpPr>
      <xdr:spPr>
        <a:xfrm>
          <a:off x="5346076" y="1000805"/>
          <a:ext cx="1571624" cy="399370"/>
        </a:xfrm>
        <a:prstGeom prst="round2SameRect">
          <a:avLst/>
        </a:prstGeom>
        <a:solidFill>
          <a:srgbClr val="54BCEB"/>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B7C45266-6E58-4EB8-84F4-252DC759ED99}" type="TxLink">
            <a:rPr lang="en-US" sz="1100" b="0" i="0" u="none" strike="noStrike">
              <a:solidFill>
                <a:srgbClr val="FFFFFF"/>
              </a:solidFill>
              <a:latin typeface="Arial" panose="020B0604020202020204" pitchFamily="34" charset="0"/>
              <a:cs typeface="Arial" panose="020B0604020202020204" pitchFamily="34" charset="0"/>
            </a:rPr>
            <a:pPr algn="ctr"/>
            <a:t>Offer Form</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27</xdr:col>
      <xdr:colOff>0</xdr:colOff>
      <xdr:row>1</xdr:row>
      <xdr:rowOff>133350</xdr:rowOff>
    </xdr:from>
    <xdr:to>
      <xdr:col>32</xdr:col>
      <xdr:colOff>0</xdr:colOff>
      <xdr:row>4</xdr:row>
      <xdr:rowOff>133350</xdr:rowOff>
    </xdr:to>
    <xdr:sp macro="" textlink="MAIN5">
      <xdr:nvSpPr>
        <xdr:cNvPr id="7" name="MENU5">
          <a:hlinkClick xmlns:r="http://schemas.openxmlformats.org/officeDocument/2006/relationships" r:id="rId3" tooltip=" "/>
          <a:extLst>
            <a:ext uri="{FF2B5EF4-FFF2-40B4-BE49-F238E27FC236}">
              <a16:creationId xmlns:a16="http://schemas.microsoft.com/office/drawing/2014/main" id="{00000000-0008-0000-2300-000007000000}"/>
            </a:ext>
          </a:extLst>
        </xdr:cNvPr>
        <xdr:cNvSpPr/>
      </xdr:nvSpPr>
      <xdr:spPr>
        <a:xfrm>
          <a:off x="8486775" y="333375"/>
          <a:ext cx="1571625" cy="600075"/>
        </a:xfrm>
        <a:prstGeom prst="round2SameRect">
          <a:avLst/>
        </a:prstGeom>
        <a:solidFill>
          <a:srgbClr val="A6A5AA"/>
        </a:solidFill>
        <a:ln w="12700">
          <a:solidFill>
            <a:srgbClr val="A6A5AA"/>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F0EEDDA6-4934-49B4-972D-20D21D440D82}" type="TxLink">
            <a:rPr lang="en-US" sz="1100" b="0" i="0" u="none" strike="noStrike">
              <a:solidFill>
                <a:schemeClr val="bg1"/>
              </a:solidFill>
              <a:latin typeface="Arial" panose="020B0604020202020204" pitchFamily="34" charset="0"/>
              <a:cs typeface="Arial" panose="020B0604020202020204" pitchFamily="34" charset="0"/>
            </a:rPr>
            <a:pPr algn="ctr"/>
            <a:t>APPLICATION REVIEW</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7</xdr:col>
      <xdr:colOff>457</xdr:colOff>
      <xdr:row>1</xdr:row>
      <xdr:rowOff>0</xdr:rowOff>
    </xdr:from>
    <xdr:to>
      <xdr:col>12</xdr:col>
      <xdr:colOff>0</xdr:colOff>
      <xdr:row>4</xdr:row>
      <xdr:rowOff>0</xdr:rowOff>
    </xdr:to>
    <xdr:sp macro="" textlink="MAIN1">
      <xdr:nvSpPr>
        <xdr:cNvPr id="3" name="MENU1">
          <a:hlinkClick xmlns:r="http://schemas.openxmlformats.org/officeDocument/2006/relationships" r:id="rId4" tooltip=" "/>
          <a:extLst>
            <a:ext uri="{FF2B5EF4-FFF2-40B4-BE49-F238E27FC236}">
              <a16:creationId xmlns:a16="http://schemas.microsoft.com/office/drawing/2014/main" id="{00000000-0008-0000-2300-000003000000}"/>
            </a:ext>
          </a:extLst>
        </xdr:cNvPr>
        <xdr:cNvSpPr/>
      </xdr:nvSpPr>
      <xdr:spPr>
        <a:xfrm>
          <a:off x="2200732" y="200025"/>
          <a:ext cx="1571168" cy="600075"/>
        </a:xfrm>
        <a:prstGeom prst="round2SameRect">
          <a:avLst/>
        </a:prstGeom>
        <a:solidFill>
          <a:srgbClr val="00334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D6F2F067-2676-4601-ABCE-75BD5137E3D5}" type="TxLink">
            <a:rPr lang="en-US" sz="1100" b="0" i="0" u="none" strike="noStrike">
              <a:solidFill>
                <a:schemeClr val="bg1"/>
              </a:solidFill>
              <a:latin typeface="Arial" panose="020B0604020202020204" pitchFamily="34" charset="0"/>
              <a:cs typeface="Arial" panose="020B0604020202020204" pitchFamily="34" charset="0"/>
            </a:rPr>
            <a:pPr algn="ctr"/>
            <a:t>START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12</xdr:col>
      <xdr:colOff>0</xdr:colOff>
      <xdr:row>1</xdr:row>
      <xdr:rowOff>0</xdr:rowOff>
    </xdr:from>
    <xdr:to>
      <xdr:col>17</xdr:col>
      <xdr:colOff>0</xdr:colOff>
      <xdr:row>4</xdr:row>
      <xdr:rowOff>0</xdr:rowOff>
    </xdr:to>
    <xdr:sp macro="" textlink="MAIN2">
      <xdr:nvSpPr>
        <xdr:cNvPr id="4" name="MENU2">
          <a:hlinkClick xmlns:r="http://schemas.openxmlformats.org/officeDocument/2006/relationships" r:id="rId5" tooltip=" "/>
          <a:extLst>
            <a:ext uri="{FF2B5EF4-FFF2-40B4-BE49-F238E27FC236}">
              <a16:creationId xmlns:a16="http://schemas.microsoft.com/office/drawing/2014/main" id="{00000000-0008-0000-2300-000004000000}"/>
            </a:ext>
          </a:extLst>
        </xdr:cNvPr>
        <xdr:cNvSpPr/>
      </xdr:nvSpPr>
      <xdr:spPr>
        <a:xfrm>
          <a:off x="3771900" y="200025"/>
          <a:ext cx="1571625" cy="600075"/>
        </a:xfrm>
        <a:prstGeom prst="round2SameRect">
          <a:avLst/>
        </a:prstGeom>
        <a:solidFill>
          <a:srgbClr val="00334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59A035B9-F1D2-4E89-B262-AF2DF0C338A9}" type="TxLink">
            <a:rPr lang="en-US" sz="1100" b="0" i="0" u="none" strike="noStrike">
              <a:solidFill>
                <a:schemeClr val="bg1"/>
              </a:solidFill>
              <a:latin typeface="Arial" panose="020B0604020202020204" pitchFamily="34" charset="0"/>
              <a:cs typeface="Arial" panose="020B0604020202020204" pitchFamily="34" charset="0"/>
            </a:rPr>
            <a:pPr algn="ctr"/>
            <a:t>PROJECT INFORMATION</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17</xdr:col>
      <xdr:colOff>0</xdr:colOff>
      <xdr:row>1</xdr:row>
      <xdr:rowOff>0</xdr:rowOff>
    </xdr:from>
    <xdr:to>
      <xdr:col>22</xdr:col>
      <xdr:colOff>0</xdr:colOff>
      <xdr:row>4</xdr:row>
      <xdr:rowOff>0</xdr:rowOff>
    </xdr:to>
    <xdr:sp macro="" textlink="MAIN3">
      <xdr:nvSpPr>
        <xdr:cNvPr id="5" name="MENU3">
          <a:hlinkClick xmlns:r="http://schemas.openxmlformats.org/officeDocument/2006/relationships" r:id="rId6" tooltip=" "/>
          <a:extLst>
            <a:ext uri="{FF2B5EF4-FFF2-40B4-BE49-F238E27FC236}">
              <a16:creationId xmlns:a16="http://schemas.microsoft.com/office/drawing/2014/main" id="{00000000-0008-0000-2300-000005000000}"/>
            </a:ext>
          </a:extLst>
        </xdr:cNvPr>
        <xdr:cNvSpPr/>
      </xdr:nvSpPr>
      <xdr:spPr>
        <a:xfrm>
          <a:off x="5343525" y="200025"/>
          <a:ext cx="1571625" cy="600075"/>
        </a:xfrm>
        <a:prstGeom prst="round2SameRect">
          <a:avLst/>
        </a:prstGeom>
        <a:solidFill>
          <a:srgbClr val="00334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06A037F-AE33-47CC-85C1-F6D62694F95D}" type="TxLink">
            <a:rPr lang="en-US" sz="1100" b="0" i="0" u="none" strike="noStrike">
              <a:solidFill>
                <a:schemeClr val="bg1"/>
              </a:solidFill>
              <a:latin typeface="Arial" panose="020B0604020202020204" pitchFamily="34" charset="0"/>
              <a:cs typeface="Arial" panose="020B0604020202020204" pitchFamily="34" charset="0"/>
            </a:rPr>
            <a:pPr algn="ctr"/>
            <a:t>PRESCRIPTIVE MEASURES INPUT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22</xdr:col>
      <xdr:colOff>0</xdr:colOff>
      <xdr:row>1</xdr:row>
      <xdr:rowOff>0</xdr:rowOff>
    </xdr:from>
    <xdr:to>
      <xdr:col>27</xdr:col>
      <xdr:colOff>0</xdr:colOff>
      <xdr:row>4</xdr:row>
      <xdr:rowOff>0</xdr:rowOff>
    </xdr:to>
    <xdr:sp macro="" textlink="MAIN4">
      <xdr:nvSpPr>
        <xdr:cNvPr id="6" name="MENU4">
          <a:hlinkClick xmlns:r="http://schemas.openxmlformats.org/officeDocument/2006/relationships" r:id="rId7" tooltip=" "/>
          <a:extLst>
            <a:ext uri="{FF2B5EF4-FFF2-40B4-BE49-F238E27FC236}">
              <a16:creationId xmlns:a16="http://schemas.microsoft.com/office/drawing/2014/main" id="{00000000-0008-0000-2300-000006000000}"/>
            </a:ext>
          </a:extLst>
        </xdr:cNvPr>
        <xdr:cNvSpPr/>
      </xdr:nvSpPr>
      <xdr:spPr>
        <a:xfrm>
          <a:off x="6915150" y="200025"/>
          <a:ext cx="1571625" cy="600075"/>
        </a:xfrm>
        <a:prstGeom prst="round2SameRect">
          <a:avLst/>
        </a:prstGeom>
        <a:solidFill>
          <a:srgbClr val="00334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CB369157-CA5B-4E40-B1DE-604993B819B3}" type="TxLink">
            <a:rPr lang="en-US" sz="1100" b="0" i="0" u="none" strike="noStrike">
              <a:solidFill>
                <a:schemeClr val="bg1"/>
              </a:solidFill>
              <a:latin typeface="Arial" panose="020B0604020202020204" pitchFamily="34" charset="0"/>
              <a:cs typeface="Arial" panose="020B0604020202020204" pitchFamily="34" charset="0"/>
            </a:rPr>
            <a:pPr algn="ctr"/>
            <a:t>CUSTOM MEASURES INPUT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xdr:col>
      <xdr:colOff>0</xdr:colOff>
      <xdr:row>4</xdr:row>
      <xdr:rowOff>1</xdr:rowOff>
    </xdr:from>
    <xdr:to>
      <xdr:col>44</xdr:col>
      <xdr:colOff>13806</xdr:colOff>
      <xdr:row>7</xdr:row>
      <xdr:rowOff>0</xdr:rowOff>
    </xdr:to>
    <xdr:sp macro="" textlink="">
      <xdr:nvSpPr>
        <xdr:cNvPr id="10" name="TOPRIBBON">
          <a:extLst>
            <a:ext uri="{FF2B5EF4-FFF2-40B4-BE49-F238E27FC236}">
              <a16:creationId xmlns:a16="http://schemas.microsoft.com/office/drawing/2014/main" id="{00000000-0008-0000-2300-00000A000000}"/>
            </a:ext>
          </a:extLst>
        </xdr:cNvPr>
        <xdr:cNvSpPr/>
      </xdr:nvSpPr>
      <xdr:spPr>
        <a:xfrm>
          <a:off x="313765" y="806825"/>
          <a:ext cx="13505688" cy="605116"/>
        </a:xfrm>
        <a:prstGeom prst="round2SameRect">
          <a:avLst/>
        </a:prstGeom>
        <a:solidFill>
          <a:srgbClr val="A6A5A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p>
      </xdr:txBody>
    </xdr:sp>
    <xdr:clientData/>
  </xdr:twoCellAnchor>
  <xdr:twoCellAnchor>
    <xdr:from>
      <xdr:col>12</xdr:col>
      <xdr:colOff>2551</xdr:colOff>
      <xdr:row>4</xdr:row>
      <xdr:rowOff>200705</xdr:rowOff>
    </xdr:from>
    <xdr:to>
      <xdr:col>17</xdr:col>
      <xdr:colOff>2550</xdr:colOff>
      <xdr:row>7</xdr:row>
      <xdr:rowOff>0</xdr:rowOff>
    </xdr:to>
    <xdr:sp macro="" textlink="M5S3">
      <xdr:nvSpPr>
        <xdr:cNvPr id="13" name="SUBMENU3">
          <a:hlinkClick xmlns:r="http://schemas.openxmlformats.org/officeDocument/2006/relationships" r:id="rId8"/>
          <a:extLst>
            <a:ext uri="{FF2B5EF4-FFF2-40B4-BE49-F238E27FC236}">
              <a16:creationId xmlns:a16="http://schemas.microsoft.com/office/drawing/2014/main" id="{00000000-0008-0000-2300-00000D000000}"/>
            </a:ext>
          </a:extLst>
        </xdr:cNvPr>
        <xdr:cNvSpPr/>
      </xdr:nvSpPr>
      <xdr:spPr>
        <a:xfrm>
          <a:off x="3774451" y="1000805"/>
          <a:ext cx="1571624" cy="399370"/>
        </a:xfrm>
        <a:prstGeom prst="round2SameRect">
          <a:avLst/>
        </a:prstGeom>
        <a:noFill/>
        <a:ln w="12700">
          <a:no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272C9A7E-800F-4AE6-95B1-8AFF5CAE57C5}" type="TxLink">
            <a:rPr lang="en-US" sz="1100" b="0" i="0" u="none" strike="noStrike">
              <a:solidFill>
                <a:srgbClr val="FFFFFF"/>
              </a:solidFill>
              <a:latin typeface="Arial" panose="020B0604020202020204" pitchFamily="34" charset="0"/>
              <a:cs typeface="Arial" panose="020B0604020202020204" pitchFamily="34" charset="0"/>
            </a:rPr>
            <a:pPr algn="ctr"/>
            <a:t> </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37</xdr:col>
      <xdr:colOff>2720</xdr:colOff>
      <xdr:row>4</xdr:row>
      <xdr:rowOff>200705</xdr:rowOff>
    </xdr:from>
    <xdr:to>
      <xdr:col>42</xdr:col>
      <xdr:colOff>0</xdr:colOff>
      <xdr:row>7</xdr:row>
      <xdr:rowOff>0</xdr:rowOff>
    </xdr:to>
    <xdr:sp macro="" textlink="M5S8">
      <xdr:nvSpPr>
        <xdr:cNvPr id="18" name="SUBMENU8">
          <a:hlinkClick xmlns:r="http://schemas.openxmlformats.org/officeDocument/2006/relationships" r:id="rId9"/>
          <a:extLst>
            <a:ext uri="{FF2B5EF4-FFF2-40B4-BE49-F238E27FC236}">
              <a16:creationId xmlns:a16="http://schemas.microsoft.com/office/drawing/2014/main" id="{00000000-0008-0000-2300-000012000000}"/>
            </a:ext>
          </a:extLst>
        </xdr:cNvPr>
        <xdr:cNvSpPr/>
      </xdr:nvSpPr>
      <xdr:spPr>
        <a:xfrm>
          <a:off x="11632745" y="1000805"/>
          <a:ext cx="1568905" cy="399370"/>
        </a:xfrm>
        <a:prstGeom prst="round2SameRect">
          <a:avLst/>
        </a:prstGeom>
        <a:noFill/>
        <a:ln w="12700">
          <a:no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562C4A9D-BD10-4BFB-89D6-250DB3FCE105}" type="TxLink">
            <a:rPr lang="en-US" sz="1100" b="0" i="0" u="none" strike="noStrike">
              <a:solidFill>
                <a:srgbClr val="FFFFFF"/>
              </a:solidFill>
              <a:latin typeface="Arial" panose="020B0604020202020204" pitchFamily="34" charset="0"/>
              <a:cs typeface="Arial" panose="020B0604020202020204" pitchFamily="34" charset="0"/>
            </a:rPr>
            <a:pPr algn="ctr"/>
            <a:t> </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editAs="oneCell">
    <xdr:from>
      <xdr:col>41</xdr:col>
      <xdr:colOff>0</xdr:colOff>
      <xdr:row>9</xdr:row>
      <xdr:rowOff>1047</xdr:rowOff>
    </xdr:from>
    <xdr:to>
      <xdr:col>42</xdr:col>
      <xdr:colOff>313195</xdr:colOff>
      <xdr:row>11</xdr:row>
      <xdr:rowOff>1046</xdr:rowOff>
    </xdr:to>
    <xdr:sp macro="" textlink="">
      <xdr:nvSpPr>
        <xdr:cNvPr id="2" name="NEXT">
          <a:hlinkClick xmlns:r="http://schemas.openxmlformats.org/officeDocument/2006/relationships" r:id="rId10" tooltip=" "/>
          <a:extLst>
            <a:ext uri="{FF2B5EF4-FFF2-40B4-BE49-F238E27FC236}">
              <a16:creationId xmlns:a16="http://schemas.microsoft.com/office/drawing/2014/main" id="{00000000-0008-0000-2300-000002000000}"/>
            </a:ext>
          </a:extLst>
        </xdr:cNvPr>
        <xdr:cNvSpPr>
          <a:spLocks noChangeAspect="1"/>
        </xdr:cNvSpPr>
      </xdr:nvSpPr>
      <xdr:spPr>
        <a:xfrm>
          <a:off x="12887325" y="1801272"/>
          <a:ext cx="627520" cy="400049"/>
        </a:xfrm>
        <a:prstGeom prst="rightArrow">
          <a:avLst/>
        </a:prstGeom>
        <a:solidFill>
          <a:srgbClr val="54BCEB"/>
        </a:solidFill>
        <a:ln>
          <a:solidFill>
            <a:srgbClr val="54BCEB"/>
          </a:solidFill>
        </a:ln>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32</xdr:col>
      <xdr:colOff>0</xdr:colOff>
      <xdr:row>1</xdr:row>
      <xdr:rowOff>0</xdr:rowOff>
    </xdr:from>
    <xdr:to>
      <xdr:col>37</xdr:col>
      <xdr:colOff>1</xdr:colOff>
      <xdr:row>4</xdr:row>
      <xdr:rowOff>0</xdr:rowOff>
    </xdr:to>
    <xdr:sp macro="" textlink="MAIN6">
      <xdr:nvSpPr>
        <xdr:cNvPr id="8" name="MENU6">
          <a:extLst>
            <a:ext uri="{FF2B5EF4-FFF2-40B4-BE49-F238E27FC236}">
              <a16:creationId xmlns:a16="http://schemas.microsoft.com/office/drawing/2014/main" id="{00000000-0008-0000-2300-000008000000}"/>
            </a:ext>
          </a:extLst>
        </xdr:cNvPr>
        <xdr:cNvSpPr/>
      </xdr:nvSpPr>
      <xdr:spPr>
        <a:xfrm>
          <a:off x="10058400" y="200025"/>
          <a:ext cx="1571626"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00B050"/>
              </a:solidFill>
            </a14:hiddenFill>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B12A3774-975E-4B41-A681-E085295C6D0E}" type="TxLink">
            <a:rPr lang="en-US" sz="1100" b="0" i="0" u="none" strike="noStrike">
              <a:noFill/>
              <a:latin typeface="Arial" panose="020B0604020202020204" pitchFamily="34" charset="0"/>
              <a:cs typeface="Arial" panose="020B0604020202020204" pitchFamily="34" charset="0"/>
            </a:rPr>
            <a:pPr algn="ctr"/>
            <a:t> </a:t>
          </a:fld>
          <a:endParaRPr lang="en-US" sz="1100">
            <a:noFill/>
            <a:latin typeface="Arial" panose="020B0604020202020204" pitchFamily="34" charset="0"/>
            <a:cs typeface="Arial" panose="020B0604020202020204" pitchFamily="34" charset="0"/>
          </a:endParaRPr>
        </a:p>
      </xdr:txBody>
    </xdr:sp>
    <xdr:clientData/>
  </xdr:twoCellAnchor>
  <xdr:twoCellAnchor>
    <xdr:from>
      <xdr:col>36</xdr:col>
      <xdr:colOff>314324</xdr:colOff>
      <xdr:row>1</xdr:row>
      <xdr:rowOff>0</xdr:rowOff>
    </xdr:from>
    <xdr:to>
      <xdr:col>41</xdr:col>
      <xdr:colOff>314324</xdr:colOff>
      <xdr:row>4</xdr:row>
      <xdr:rowOff>0</xdr:rowOff>
    </xdr:to>
    <xdr:sp macro="" textlink="MAIN7">
      <xdr:nvSpPr>
        <xdr:cNvPr id="9" name="MENU7">
          <a:extLst>
            <a:ext uri="{FF2B5EF4-FFF2-40B4-BE49-F238E27FC236}">
              <a16:creationId xmlns:a16="http://schemas.microsoft.com/office/drawing/2014/main" id="{00000000-0008-0000-2300-000009000000}"/>
            </a:ext>
          </a:extLst>
        </xdr:cNvPr>
        <xdr:cNvSpPr/>
      </xdr:nvSpPr>
      <xdr:spPr>
        <a:xfrm>
          <a:off x="11630024" y="200025"/>
          <a:ext cx="1571625"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00B050"/>
              </a:solidFill>
            </a14:hiddenFill>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 </a:t>
          </a:fld>
          <a:endParaRPr lang="en-US" sz="1100">
            <a:noFill/>
            <a:latin typeface="Arial" panose="020B0604020202020204" pitchFamily="34" charset="0"/>
            <a:cs typeface="Arial" panose="020B0604020202020204" pitchFamily="34" charset="0"/>
          </a:endParaRPr>
        </a:p>
      </xdr:txBody>
    </xdr:sp>
    <xdr:clientData/>
  </xdr:twoCellAnchor>
  <xdr:twoCellAnchor>
    <xdr:from>
      <xdr:col>2</xdr:col>
      <xdr:colOff>2720</xdr:colOff>
      <xdr:row>5</xdr:row>
      <xdr:rowOff>0</xdr:rowOff>
    </xdr:from>
    <xdr:to>
      <xdr:col>7</xdr:col>
      <xdr:colOff>457</xdr:colOff>
      <xdr:row>6</xdr:row>
      <xdr:rowOff>197827</xdr:rowOff>
    </xdr:to>
    <xdr:sp macro="" textlink="M5S1">
      <xdr:nvSpPr>
        <xdr:cNvPr id="11" name="SUBMENU1">
          <a:hlinkClick xmlns:r="http://schemas.openxmlformats.org/officeDocument/2006/relationships" r:id="rId3" tooltip=" "/>
          <a:extLst>
            <a:ext uri="{FF2B5EF4-FFF2-40B4-BE49-F238E27FC236}">
              <a16:creationId xmlns:a16="http://schemas.microsoft.com/office/drawing/2014/main" id="{00000000-0008-0000-2300-00000B000000}"/>
            </a:ext>
          </a:extLst>
        </xdr:cNvPr>
        <xdr:cNvSpPr/>
      </xdr:nvSpPr>
      <xdr:spPr>
        <a:xfrm>
          <a:off x="631370" y="1000125"/>
          <a:ext cx="1569362" cy="397852"/>
        </a:xfrm>
        <a:prstGeom prst="round2SameRect">
          <a:avLst/>
        </a:prstGeom>
        <a:solidFill>
          <a:srgbClr val="54BCEB"/>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2A9D6AC0-5121-4C66-8D3B-0C4F60FE0219}" type="TxLink">
            <a:rPr lang="en-US" sz="1100" b="0" i="0" u="none" strike="noStrike">
              <a:solidFill>
                <a:srgbClr val="FFFFFF"/>
              </a:solidFill>
              <a:latin typeface="Arial" panose="020B0604020202020204" pitchFamily="34" charset="0"/>
              <a:cs typeface="Arial" panose="020B0604020202020204" pitchFamily="34" charset="0"/>
            </a:rPr>
            <a:pPr algn="ctr"/>
            <a:t>Project Summary</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7</xdr:col>
      <xdr:colOff>2551</xdr:colOff>
      <xdr:row>4</xdr:row>
      <xdr:rowOff>200705</xdr:rowOff>
    </xdr:from>
    <xdr:to>
      <xdr:col>12</xdr:col>
      <xdr:colOff>2550</xdr:colOff>
      <xdr:row>7</xdr:row>
      <xdr:rowOff>0</xdr:rowOff>
    </xdr:to>
    <xdr:sp macro="" textlink="M5S2">
      <xdr:nvSpPr>
        <xdr:cNvPr id="12" name="SUBMENU2">
          <a:hlinkClick xmlns:r="http://schemas.openxmlformats.org/officeDocument/2006/relationships" r:id="rId11" tooltip=" "/>
          <a:extLst>
            <a:ext uri="{FF2B5EF4-FFF2-40B4-BE49-F238E27FC236}">
              <a16:creationId xmlns:a16="http://schemas.microsoft.com/office/drawing/2014/main" id="{00000000-0008-0000-2300-00000C000000}"/>
            </a:ext>
          </a:extLst>
        </xdr:cNvPr>
        <xdr:cNvSpPr/>
      </xdr:nvSpPr>
      <xdr:spPr>
        <a:xfrm>
          <a:off x="2202826" y="1000805"/>
          <a:ext cx="1571624" cy="399370"/>
        </a:xfrm>
        <a:prstGeom prst="round2SameRect">
          <a:avLst/>
        </a:prstGeom>
        <a:solidFill>
          <a:srgbClr val="54BCEB"/>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DB017B9-6E71-4874-AB31-EC7916DB256F}" type="TxLink">
            <a:rPr lang="en-US" sz="1100" b="0" i="0" u="none" strike="noStrike">
              <a:solidFill>
                <a:srgbClr val="FFFFFF"/>
              </a:solidFill>
              <a:latin typeface="Arial" panose="020B0604020202020204" pitchFamily="34" charset="0"/>
              <a:cs typeface="Arial" panose="020B0604020202020204" pitchFamily="34" charset="0"/>
            </a:rPr>
            <a:pPr algn="ctr"/>
            <a:t>Submit Application</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27</xdr:col>
      <xdr:colOff>0</xdr:colOff>
      <xdr:row>5</xdr:row>
      <xdr:rowOff>51480</xdr:rowOff>
    </xdr:from>
    <xdr:to>
      <xdr:col>32</xdr:col>
      <xdr:colOff>2865</xdr:colOff>
      <xdr:row>7</xdr:row>
      <xdr:rowOff>50800</xdr:rowOff>
    </xdr:to>
    <xdr:sp macro="" textlink="M5S6">
      <xdr:nvSpPr>
        <xdr:cNvPr id="16" name="SUBMENU6">
          <a:hlinkClick xmlns:r="http://schemas.openxmlformats.org/officeDocument/2006/relationships" r:id="rId12" tooltip=" "/>
          <a:extLst>
            <a:ext uri="{FF2B5EF4-FFF2-40B4-BE49-F238E27FC236}">
              <a16:creationId xmlns:a16="http://schemas.microsoft.com/office/drawing/2014/main" id="{00000000-0008-0000-2300-000010000000}"/>
            </a:ext>
          </a:extLst>
        </xdr:cNvPr>
        <xdr:cNvSpPr/>
      </xdr:nvSpPr>
      <xdr:spPr>
        <a:xfrm>
          <a:off x="8486775" y="1051605"/>
          <a:ext cx="1574490" cy="399370"/>
        </a:xfrm>
        <a:prstGeom prst="round2SameRect">
          <a:avLst/>
        </a:prstGeom>
        <a:solidFill>
          <a:srgbClr val="00334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2FFA63F3-7E4C-4DC1-BC79-0F66048F9B50}" type="TxLink">
            <a:rPr lang="en-US" sz="1100" b="0" i="0" u="none" strike="noStrike">
              <a:solidFill>
                <a:srgbClr val="FFFFFF"/>
              </a:solidFill>
              <a:latin typeface="Arial" panose="020B0604020202020204" pitchFamily="34" charset="0"/>
              <a:cs typeface="Arial" panose="020B0604020202020204" pitchFamily="34" charset="0"/>
            </a:rPr>
            <a:pPr algn="ctr"/>
            <a:t>Inspection Form</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0</xdr:col>
      <xdr:colOff>314323</xdr:colOff>
      <xdr:row>7</xdr:row>
      <xdr:rowOff>200024</xdr:rowOff>
    </xdr:from>
    <xdr:to>
      <xdr:col>44</xdr:col>
      <xdr:colOff>0</xdr:colOff>
      <xdr:row>199</xdr:row>
      <xdr:rowOff>0</xdr:rowOff>
    </xdr:to>
    <xdr:sp macro="" textlink="">
      <xdr:nvSpPr>
        <xdr:cNvPr id="19" name="BORDER">
          <a:extLst>
            <a:ext uri="{FF2B5EF4-FFF2-40B4-BE49-F238E27FC236}">
              <a16:creationId xmlns:a16="http://schemas.microsoft.com/office/drawing/2014/main" id="{00000000-0008-0000-2300-000013000000}"/>
            </a:ext>
          </a:extLst>
        </xdr:cNvPr>
        <xdr:cNvSpPr/>
      </xdr:nvSpPr>
      <xdr:spPr>
        <a:xfrm>
          <a:off x="314323" y="1600199"/>
          <a:ext cx="13515977" cy="37804726"/>
        </a:xfrm>
        <a:prstGeom prst="frame">
          <a:avLst>
            <a:gd name="adj1" fmla="val 97"/>
          </a:avLst>
        </a:prstGeom>
        <a:noFill/>
        <a:ln w="12700" cap="flat" cmpd="sng" algn="ctr">
          <a:solidFill>
            <a:srgbClr val="00334E"/>
          </a:solidFill>
          <a:prstDash val="solid"/>
          <a:miter lim="800000"/>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fPrintsWithSheet="0"/>
  </xdr:twoCellAnchor>
  <xdr:twoCellAnchor editAs="oneCell">
    <xdr:from>
      <xdr:col>2</xdr:col>
      <xdr:colOff>2720</xdr:colOff>
      <xdr:row>8</xdr:row>
      <xdr:rowOff>201232</xdr:rowOff>
    </xdr:from>
    <xdr:to>
      <xdr:col>4</xdr:col>
      <xdr:colOff>960</xdr:colOff>
      <xdr:row>11</xdr:row>
      <xdr:rowOff>1207</xdr:rowOff>
    </xdr:to>
    <xdr:sp macro="" textlink="">
      <xdr:nvSpPr>
        <xdr:cNvPr id="20" name="BACK">
          <a:hlinkClick xmlns:r="http://schemas.openxmlformats.org/officeDocument/2006/relationships" r:id="rId1" tooltip=" "/>
          <a:extLst>
            <a:ext uri="{FF2B5EF4-FFF2-40B4-BE49-F238E27FC236}">
              <a16:creationId xmlns:a16="http://schemas.microsoft.com/office/drawing/2014/main" id="{00000000-0008-0000-2300-000014000000}"/>
            </a:ext>
          </a:extLst>
        </xdr:cNvPr>
        <xdr:cNvSpPr>
          <a:spLocks noChangeAspect="1"/>
        </xdr:cNvSpPr>
      </xdr:nvSpPr>
      <xdr:spPr>
        <a:xfrm>
          <a:off x="631370" y="1801432"/>
          <a:ext cx="626890" cy="400050"/>
        </a:xfrm>
        <a:prstGeom prst="leftArrow">
          <a:avLst/>
        </a:prstGeom>
        <a:solidFill>
          <a:srgbClr val="54BCEB"/>
        </a:solidFill>
        <a:ln>
          <a:solidFill>
            <a:srgbClr val="54BCEB"/>
          </a:solidFill>
        </a:ln>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mc:AlternateContent xmlns:mc="http://schemas.openxmlformats.org/markup-compatibility/2006">
    <mc:Choice xmlns:a14="http://schemas.microsoft.com/office/drawing/2010/main" Requires="a14">
      <xdr:twoCellAnchor editAs="oneCell">
        <xdr:from>
          <xdr:col>10</xdr:col>
          <xdr:colOff>9525</xdr:colOff>
          <xdr:row>47</xdr:row>
          <xdr:rowOff>0</xdr:rowOff>
        </xdr:from>
        <xdr:to>
          <xdr:col>11</xdr:col>
          <xdr:colOff>0</xdr:colOff>
          <xdr:row>47</xdr:row>
          <xdr:rowOff>190500</xdr:rowOff>
        </xdr:to>
        <xdr:sp macro="" textlink="">
          <xdr:nvSpPr>
            <xdr:cNvPr id="41986" name="Check Box 2" hidden="1">
              <a:extLst>
                <a:ext uri="{63B3BB69-23CF-44E3-9099-C40C66FF867C}">
                  <a14:compatExt spid="_x0000_s41986"/>
                </a:ext>
                <a:ext uri="{FF2B5EF4-FFF2-40B4-BE49-F238E27FC236}">
                  <a16:creationId xmlns:a16="http://schemas.microsoft.com/office/drawing/2014/main" id="{00000000-0008-0000-2300-000002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48</xdr:row>
          <xdr:rowOff>0</xdr:rowOff>
        </xdr:from>
        <xdr:to>
          <xdr:col>11</xdr:col>
          <xdr:colOff>0</xdr:colOff>
          <xdr:row>48</xdr:row>
          <xdr:rowOff>190500</xdr:rowOff>
        </xdr:to>
        <xdr:sp macro="" textlink="">
          <xdr:nvSpPr>
            <xdr:cNvPr id="41987" name="Check Box 3" hidden="1">
              <a:extLst>
                <a:ext uri="{63B3BB69-23CF-44E3-9099-C40C66FF867C}">
                  <a14:compatExt spid="_x0000_s41987"/>
                </a:ext>
                <a:ext uri="{FF2B5EF4-FFF2-40B4-BE49-F238E27FC236}">
                  <a16:creationId xmlns:a16="http://schemas.microsoft.com/office/drawing/2014/main" id="{00000000-0008-0000-2300-000003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52</xdr:row>
          <xdr:rowOff>0</xdr:rowOff>
        </xdr:from>
        <xdr:to>
          <xdr:col>11</xdr:col>
          <xdr:colOff>0</xdr:colOff>
          <xdr:row>52</xdr:row>
          <xdr:rowOff>190500</xdr:rowOff>
        </xdr:to>
        <xdr:sp macro="" textlink="">
          <xdr:nvSpPr>
            <xdr:cNvPr id="41991" name="Check Box 7" hidden="1">
              <a:extLst>
                <a:ext uri="{63B3BB69-23CF-44E3-9099-C40C66FF867C}">
                  <a14:compatExt spid="_x0000_s41991"/>
                </a:ext>
                <a:ext uri="{FF2B5EF4-FFF2-40B4-BE49-F238E27FC236}">
                  <a16:creationId xmlns:a16="http://schemas.microsoft.com/office/drawing/2014/main" id="{00000000-0008-0000-2300-000007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53</xdr:row>
          <xdr:rowOff>0</xdr:rowOff>
        </xdr:from>
        <xdr:to>
          <xdr:col>11</xdr:col>
          <xdr:colOff>0</xdr:colOff>
          <xdr:row>53</xdr:row>
          <xdr:rowOff>190500</xdr:rowOff>
        </xdr:to>
        <xdr:sp macro="" textlink="">
          <xdr:nvSpPr>
            <xdr:cNvPr id="41992" name="Check Box 8" hidden="1">
              <a:extLst>
                <a:ext uri="{63B3BB69-23CF-44E3-9099-C40C66FF867C}">
                  <a14:compatExt spid="_x0000_s41992"/>
                </a:ext>
                <a:ext uri="{FF2B5EF4-FFF2-40B4-BE49-F238E27FC236}">
                  <a16:creationId xmlns:a16="http://schemas.microsoft.com/office/drawing/2014/main" id="{00000000-0008-0000-2300-000008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49</xdr:row>
          <xdr:rowOff>0</xdr:rowOff>
        </xdr:from>
        <xdr:to>
          <xdr:col>11</xdr:col>
          <xdr:colOff>0</xdr:colOff>
          <xdr:row>49</xdr:row>
          <xdr:rowOff>190500</xdr:rowOff>
        </xdr:to>
        <xdr:sp macro="" textlink="">
          <xdr:nvSpPr>
            <xdr:cNvPr id="41993" name="Check Box 9" hidden="1">
              <a:extLst>
                <a:ext uri="{63B3BB69-23CF-44E3-9099-C40C66FF867C}">
                  <a14:compatExt spid="_x0000_s41993"/>
                </a:ext>
                <a:ext uri="{FF2B5EF4-FFF2-40B4-BE49-F238E27FC236}">
                  <a16:creationId xmlns:a16="http://schemas.microsoft.com/office/drawing/2014/main" id="{00000000-0008-0000-2300-000009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50</xdr:row>
          <xdr:rowOff>0</xdr:rowOff>
        </xdr:from>
        <xdr:to>
          <xdr:col>11</xdr:col>
          <xdr:colOff>0</xdr:colOff>
          <xdr:row>50</xdr:row>
          <xdr:rowOff>190500</xdr:rowOff>
        </xdr:to>
        <xdr:sp macro="" textlink="">
          <xdr:nvSpPr>
            <xdr:cNvPr id="41994" name="Check Box 10" hidden="1">
              <a:extLst>
                <a:ext uri="{63B3BB69-23CF-44E3-9099-C40C66FF867C}">
                  <a14:compatExt spid="_x0000_s41994"/>
                </a:ext>
                <a:ext uri="{FF2B5EF4-FFF2-40B4-BE49-F238E27FC236}">
                  <a16:creationId xmlns:a16="http://schemas.microsoft.com/office/drawing/2014/main" id="{00000000-0008-0000-2300-00000A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54</xdr:row>
          <xdr:rowOff>0</xdr:rowOff>
        </xdr:from>
        <xdr:to>
          <xdr:col>11</xdr:col>
          <xdr:colOff>0</xdr:colOff>
          <xdr:row>54</xdr:row>
          <xdr:rowOff>190500</xdr:rowOff>
        </xdr:to>
        <xdr:sp macro="" textlink="">
          <xdr:nvSpPr>
            <xdr:cNvPr id="41995" name="Check Box 11" hidden="1">
              <a:extLst>
                <a:ext uri="{63B3BB69-23CF-44E3-9099-C40C66FF867C}">
                  <a14:compatExt spid="_x0000_s41995"/>
                </a:ext>
                <a:ext uri="{FF2B5EF4-FFF2-40B4-BE49-F238E27FC236}">
                  <a16:creationId xmlns:a16="http://schemas.microsoft.com/office/drawing/2014/main" id="{00000000-0008-0000-2300-00000B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55</xdr:row>
          <xdr:rowOff>0</xdr:rowOff>
        </xdr:from>
        <xdr:to>
          <xdr:col>11</xdr:col>
          <xdr:colOff>0</xdr:colOff>
          <xdr:row>55</xdr:row>
          <xdr:rowOff>190500</xdr:rowOff>
        </xdr:to>
        <xdr:sp macro="" textlink="">
          <xdr:nvSpPr>
            <xdr:cNvPr id="41996" name="Check Box 12" hidden="1">
              <a:extLst>
                <a:ext uri="{63B3BB69-23CF-44E3-9099-C40C66FF867C}">
                  <a14:compatExt spid="_x0000_s41996"/>
                </a:ext>
                <a:ext uri="{FF2B5EF4-FFF2-40B4-BE49-F238E27FC236}">
                  <a16:creationId xmlns:a16="http://schemas.microsoft.com/office/drawing/2014/main" id="{00000000-0008-0000-2300-00000CA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0</xdr:colOff>
      <xdr:row>1</xdr:row>
      <xdr:rowOff>0</xdr:rowOff>
    </xdr:from>
    <xdr:to>
      <xdr:col>5</xdr:col>
      <xdr:colOff>155659</xdr:colOff>
      <xdr:row>3</xdr:row>
      <xdr:rowOff>38743</xdr:rowOff>
    </xdr:to>
    <xdr:pic>
      <xdr:nvPicPr>
        <xdr:cNvPr id="33" name="LOGO">
          <a:extLst>
            <a:ext uri="{FF2B5EF4-FFF2-40B4-BE49-F238E27FC236}">
              <a16:creationId xmlns:a16="http://schemas.microsoft.com/office/drawing/2014/main" id="{00000000-0008-0000-2300-000021000000}"/>
            </a:ext>
          </a:extLst>
        </xdr:cNvPr>
        <xdr:cNvPicPr>
          <a:picLocks noChangeAspect="1"/>
        </xdr:cNvPicPr>
      </xdr:nvPicPr>
      <xdr:blipFill>
        <a:blip xmlns:r="http://schemas.openxmlformats.org/officeDocument/2006/relationships" r:embed="rId13" cstate="screen">
          <a:extLst>
            <a:ext uri="{28A0092B-C50C-407E-A947-70E740481C1C}">
              <a14:useLocalDpi xmlns:a14="http://schemas.microsoft.com/office/drawing/2010/main"/>
            </a:ext>
          </a:extLst>
        </a:blip>
        <a:stretch>
          <a:fillRect/>
        </a:stretch>
      </xdr:blipFill>
      <xdr:spPr>
        <a:xfrm>
          <a:off x="313765" y="201706"/>
          <a:ext cx="1410718" cy="442155"/>
        </a:xfrm>
        <a:prstGeom prst="rect">
          <a:avLst/>
        </a:prstGeom>
      </xdr:spPr>
    </xdr:pic>
    <xdr:clientData/>
  </xdr:twoCellAnchor>
  <xdr:twoCellAnchor editAs="oneCell">
    <xdr:from>
      <xdr:col>31</xdr:col>
      <xdr:colOff>168088</xdr:colOff>
      <xdr:row>13</xdr:row>
      <xdr:rowOff>0</xdr:rowOff>
    </xdr:from>
    <xdr:to>
      <xdr:col>36</xdr:col>
      <xdr:colOff>9983</xdr:colOff>
      <xdr:row>15</xdr:row>
      <xdr:rowOff>38743</xdr:rowOff>
    </xdr:to>
    <xdr:pic>
      <xdr:nvPicPr>
        <xdr:cNvPr id="35" name="LOGO">
          <a:extLst>
            <a:ext uri="{FF2B5EF4-FFF2-40B4-BE49-F238E27FC236}">
              <a16:creationId xmlns:a16="http://schemas.microsoft.com/office/drawing/2014/main" id="{00000000-0008-0000-2300-000023000000}"/>
            </a:ext>
          </a:extLst>
        </xdr:cNvPr>
        <xdr:cNvPicPr>
          <a:picLocks noChangeAspect="1"/>
        </xdr:cNvPicPr>
      </xdr:nvPicPr>
      <xdr:blipFill>
        <a:blip xmlns:r="http://schemas.openxmlformats.org/officeDocument/2006/relationships" r:embed="rId13" cstate="screen">
          <a:extLst>
            <a:ext uri="{28A0092B-C50C-407E-A947-70E740481C1C}">
              <a14:useLocalDpi xmlns:a14="http://schemas.microsoft.com/office/drawing/2010/main"/>
            </a:ext>
          </a:extLst>
        </a:blip>
        <a:stretch>
          <a:fillRect/>
        </a:stretch>
      </xdr:blipFill>
      <xdr:spPr>
        <a:xfrm>
          <a:off x="9894794" y="2622176"/>
          <a:ext cx="1410718" cy="442155"/>
        </a:xfrm>
        <a:prstGeom prst="rect">
          <a:avLst/>
        </a:prstGeom>
      </xdr:spPr>
    </xdr:pic>
    <xdr:clientData/>
  </xdr:twoCellAnchor>
  <xdr:twoCellAnchor>
    <xdr:from>
      <xdr:col>32</xdr:col>
      <xdr:colOff>2865</xdr:colOff>
      <xdr:row>4</xdr:row>
      <xdr:rowOff>200705</xdr:rowOff>
    </xdr:from>
    <xdr:to>
      <xdr:col>37</xdr:col>
      <xdr:colOff>2720</xdr:colOff>
      <xdr:row>7</xdr:row>
      <xdr:rowOff>0</xdr:rowOff>
    </xdr:to>
    <xdr:sp macro="" textlink="M5S7">
      <xdr:nvSpPr>
        <xdr:cNvPr id="17" name="SUBMENU7">
          <a:hlinkClick xmlns:r="http://schemas.openxmlformats.org/officeDocument/2006/relationships" r:id="rId10" tooltip=" "/>
          <a:extLst>
            <a:ext uri="{FF2B5EF4-FFF2-40B4-BE49-F238E27FC236}">
              <a16:creationId xmlns:a16="http://schemas.microsoft.com/office/drawing/2014/main" id="{00000000-0008-0000-2300-000011000000}"/>
            </a:ext>
          </a:extLst>
        </xdr:cNvPr>
        <xdr:cNvSpPr/>
      </xdr:nvSpPr>
      <xdr:spPr>
        <a:xfrm>
          <a:off x="10061265" y="1000805"/>
          <a:ext cx="1571480" cy="399370"/>
        </a:xfrm>
        <a:prstGeom prst="round2SameRect">
          <a:avLst/>
        </a:prstGeom>
        <a:solidFill>
          <a:srgbClr val="54BCEB"/>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6CAE8FA-B71D-4045-87A3-84E89034BDA3}" type="TxLink">
            <a:rPr lang="en-US" sz="1100" b="0" i="0" u="none" strike="noStrike">
              <a:solidFill>
                <a:srgbClr val="FFFFFF"/>
              </a:solidFill>
              <a:latin typeface="Arial" panose="020B0604020202020204" pitchFamily="34" charset="0"/>
              <a:cs typeface="Arial" panose="020B0604020202020204" pitchFamily="34" charset="0"/>
            </a:rPr>
            <a:pPr algn="ctr"/>
            <a:t>Summary Form</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1</xdr:col>
      <xdr:colOff>0</xdr:colOff>
      <xdr:row>7</xdr:row>
      <xdr:rowOff>0</xdr:rowOff>
    </xdr:from>
    <xdr:to>
      <xdr:col>44</xdr:col>
      <xdr:colOff>13806</xdr:colOff>
      <xdr:row>8</xdr:row>
      <xdr:rowOff>0</xdr:rowOff>
    </xdr:to>
    <xdr:sp macro="" textlink="">
      <xdr:nvSpPr>
        <xdr:cNvPr id="21" name="BOTTOMRIBBON">
          <a:extLst>
            <a:ext uri="{FF2B5EF4-FFF2-40B4-BE49-F238E27FC236}">
              <a16:creationId xmlns:a16="http://schemas.microsoft.com/office/drawing/2014/main" id="{00000000-0008-0000-2300-000015000000}"/>
            </a:ext>
          </a:extLst>
        </xdr:cNvPr>
        <xdr:cNvSpPr/>
      </xdr:nvSpPr>
      <xdr:spPr>
        <a:xfrm>
          <a:off x="313765" y="1411941"/>
          <a:ext cx="13505688" cy="201706"/>
        </a:xfrm>
        <a:prstGeom prst="rect">
          <a:avLst/>
        </a:prstGeom>
        <a:solidFill>
          <a:srgbClr val="00334E"/>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solidFill>
              <a:srgbClr val="FFFFFF"/>
            </a:solidFill>
          </a:endParaRPr>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22</xdr:col>
      <xdr:colOff>2551</xdr:colOff>
      <xdr:row>4</xdr:row>
      <xdr:rowOff>200705</xdr:rowOff>
    </xdr:from>
    <xdr:to>
      <xdr:col>27</xdr:col>
      <xdr:colOff>2549</xdr:colOff>
      <xdr:row>7</xdr:row>
      <xdr:rowOff>0</xdr:rowOff>
    </xdr:to>
    <xdr:sp macro="" textlink="M5S5">
      <xdr:nvSpPr>
        <xdr:cNvPr id="15" name="SUBMENU5">
          <a:hlinkClick xmlns:r="http://schemas.openxmlformats.org/officeDocument/2006/relationships" r:id="rId1"/>
          <a:extLst>
            <a:ext uri="{FF2B5EF4-FFF2-40B4-BE49-F238E27FC236}">
              <a16:creationId xmlns:a16="http://schemas.microsoft.com/office/drawing/2014/main" id="{00000000-0008-0000-2400-00000F000000}"/>
            </a:ext>
          </a:extLst>
        </xdr:cNvPr>
        <xdr:cNvSpPr/>
      </xdr:nvSpPr>
      <xdr:spPr>
        <a:xfrm>
          <a:off x="6917701" y="1000805"/>
          <a:ext cx="1571623" cy="399370"/>
        </a:xfrm>
        <a:prstGeom prst="round2SameRect">
          <a:avLst/>
        </a:prstGeom>
        <a:solidFill>
          <a:srgbClr val="54BCEB"/>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8ECB5FB8-9114-4770-BA69-C59ADB9DA12A}" type="TxLink">
            <a:rPr lang="en-US" sz="1100" b="0" i="0" u="none" strike="noStrike">
              <a:solidFill>
                <a:srgbClr val="FFFFFF"/>
              </a:solidFill>
              <a:latin typeface="Arial" panose="020B0604020202020204" pitchFamily="34" charset="0"/>
              <a:cs typeface="Arial" panose="020B0604020202020204" pitchFamily="34" charset="0"/>
            </a:rPr>
            <a:pPr algn="ctr"/>
            <a:t>Completion Form</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17</xdr:col>
      <xdr:colOff>2551</xdr:colOff>
      <xdr:row>4</xdr:row>
      <xdr:rowOff>200705</xdr:rowOff>
    </xdr:from>
    <xdr:to>
      <xdr:col>22</xdr:col>
      <xdr:colOff>2550</xdr:colOff>
      <xdr:row>7</xdr:row>
      <xdr:rowOff>0</xdr:rowOff>
    </xdr:to>
    <xdr:sp macro="" textlink="M5S4">
      <xdr:nvSpPr>
        <xdr:cNvPr id="14" name="SUBMENU4">
          <a:hlinkClick xmlns:r="http://schemas.openxmlformats.org/officeDocument/2006/relationships" r:id="rId2"/>
          <a:extLst>
            <a:ext uri="{FF2B5EF4-FFF2-40B4-BE49-F238E27FC236}">
              <a16:creationId xmlns:a16="http://schemas.microsoft.com/office/drawing/2014/main" id="{00000000-0008-0000-2400-00000E000000}"/>
            </a:ext>
          </a:extLst>
        </xdr:cNvPr>
        <xdr:cNvSpPr/>
      </xdr:nvSpPr>
      <xdr:spPr>
        <a:xfrm>
          <a:off x="5346076" y="1000805"/>
          <a:ext cx="1571624" cy="399370"/>
        </a:xfrm>
        <a:prstGeom prst="round2SameRect">
          <a:avLst/>
        </a:prstGeom>
        <a:solidFill>
          <a:srgbClr val="54BCEB"/>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B7C45266-6E58-4EB8-84F4-252DC759ED99}" type="TxLink">
            <a:rPr lang="en-US" sz="1100" b="0" i="0" u="none" strike="noStrike">
              <a:solidFill>
                <a:srgbClr val="FFFFFF"/>
              </a:solidFill>
              <a:latin typeface="Arial" panose="020B0604020202020204" pitchFamily="34" charset="0"/>
              <a:cs typeface="Arial" panose="020B0604020202020204" pitchFamily="34" charset="0"/>
            </a:rPr>
            <a:pPr algn="ctr"/>
            <a:t>Offer Form</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27</xdr:col>
      <xdr:colOff>0</xdr:colOff>
      <xdr:row>4</xdr:row>
      <xdr:rowOff>200705</xdr:rowOff>
    </xdr:from>
    <xdr:to>
      <xdr:col>32</xdr:col>
      <xdr:colOff>2865</xdr:colOff>
      <xdr:row>7</xdr:row>
      <xdr:rowOff>0</xdr:rowOff>
    </xdr:to>
    <xdr:sp macro="" textlink="M5S6">
      <xdr:nvSpPr>
        <xdr:cNvPr id="16" name="SUBMENU6">
          <a:hlinkClick xmlns:r="http://schemas.openxmlformats.org/officeDocument/2006/relationships" r:id="rId3"/>
          <a:extLst>
            <a:ext uri="{FF2B5EF4-FFF2-40B4-BE49-F238E27FC236}">
              <a16:creationId xmlns:a16="http://schemas.microsoft.com/office/drawing/2014/main" id="{00000000-0008-0000-2400-000010000000}"/>
            </a:ext>
          </a:extLst>
        </xdr:cNvPr>
        <xdr:cNvSpPr/>
      </xdr:nvSpPr>
      <xdr:spPr>
        <a:xfrm>
          <a:off x="8486775" y="1000805"/>
          <a:ext cx="1574490" cy="399370"/>
        </a:xfrm>
        <a:prstGeom prst="round2SameRect">
          <a:avLst/>
        </a:prstGeom>
        <a:solidFill>
          <a:srgbClr val="54BCEB"/>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2FFA63F3-7E4C-4DC1-BC79-0F66048F9B50}" type="TxLink">
            <a:rPr lang="en-US" sz="1100" b="0" i="0" u="none" strike="noStrike">
              <a:solidFill>
                <a:srgbClr val="FFFFFF"/>
              </a:solidFill>
              <a:latin typeface="Arial" panose="020B0604020202020204" pitchFamily="34" charset="0"/>
              <a:cs typeface="Arial" panose="020B0604020202020204" pitchFamily="34" charset="0"/>
            </a:rPr>
            <a:pPr algn="ctr"/>
            <a:t>Inspection Form</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27</xdr:col>
      <xdr:colOff>0</xdr:colOff>
      <xdr:row>1</xdr:row>
      <xdr:rowOff>133350</xdr:rowOff>
    </xdr:from>
    <xdr:to>
      <xdr:col>32</xdr:col>
      <xdr:colOff>0</xdr:colOff>
      <xdr:row>4</xdr:row>
      <xdr:rowOff>133350</xdr:rowOff>
    </xdr:to>
    <xdr:sp macro="" textlink="MAIN5">
      <xdr:nvSpPr>
        <xdr:cNvPr id="7" name="MENU5">
          <a:hlinkClick xmlns:r="http://schemas.openxmlformats.org/officeDocument/2006/relationships" r:id="rId4" tooltip=" "/>
          <a:extLst>
            <a:ext uri="{FF2B5EF4-FFF2-40B4-BE49-F238E27FC236}">
              <a16:creationId xmlns:a16="http://schemas.microsoft.com/office/drawing/2014/main" id="{00000000-0008-0000-2400-000007000000}"/>
            </a:ext>
          </a:extLst>
        </xdr:cNvPr>
        <xdr:cNvSpPr/>
      </xdr:nvSpPr>
      <xdr:spPr>
        <a:xfrm>
          <a:off x="8486775" y="333375"/>
          <a:ext cx="1571625" cy="600075"/>
        </a:xfrm>
        <a:prstGeom prst="round2SameRect">
          <a:avLst/>
        </a:prstGeom>
        <a:solidFill>
          <a:srgbClr val="A6A5AA"/>
        </a:solidFill>
        <a:ln w="12700">
          <a:solidFill>
            <a:srgbClr val="A6A5AA"/>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F0EEDDA6-4934-49B4-972D-20D21D440D82}" type="TxLink">
            <a:rPr lang="en-US" sz="1100" b="0" i="0" u="none" strike="noStrike">
              <a:solidFill>
                <a:schemeClr val="bg1"/>
              </a:solidFill>
              <a:latin typeface="Arial" panose="020B0604020202020204" pitchFamily="34" charset="0"/>
              <a:cs typeface="Arial" panose="020B0604020202020204" pitchFamily="34" charset="0"/>
            </a:rPr>
            <a:pPr algn="ctr"/>
            <a:t>APPLICATION REVIEW</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7</xdr:col>
      <xdr:colOff>457</xdr:colOff>
      <xdr:row>1</xdr:row>
      <xdr:rowOff>0</xdr:rowOff>
    </xdr:from>
    <xdr:to>
      <xdr:col>12</xdr:col>
      <xdr:colOff>0</xdr:colOff>
      <xdr:row>4</xdr:row>
      <xdr:rowOff>0</xdr:rowOff>
    </xdr:to>
    <xdr:sp macro="" textlink="MAIN1">
      <xdr:nvSpPr>
        <xdr:cNvPr id="3" name="MENU1">
          <a:hlinkClick xmlns:r="http://schemas.openxmlformats.org/officeDocument/2006/relationships" r:id="rId5" tooltip=" "/>
          <a:extLst>
            <a:ext uri="{FF2B5EF4-FFF2-40B4-BE49-F238E27FC236}">
              <a16:creationId xmlns:a16="http://schemas.microsoft.com/office/drawing/2014/main" id="{00000000-0008-0000-2400-000003000000}"/>
            </a:ext>
          </a:extLst>
        </xdr:cNvPr>
        <xdr:cNvSpPr/>
      </xdr:nvSpPr>
      <xdr:spPr>
        <a:xfrm>
          <a:off x="2200732" y="200025"/>
          <a:ext cx="1571168" cy="600075"/>
        </a:xfrm>
        <a:prstGeom prst="round2SameRect">
          <a:avLst/>
        </a:prstGeom>
        <a:solidFill>
          <a:srgbClr val="00334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D6F2F067-2676-4601-ABCE-75BD5137E3D5}" type="TxLink">
            <a:rPr lang="en-US" sz="1100" b="0" i="0" u="none" strike="noStrike">
              <a:solidFill>
                <a:schemeClr val="bg1"/>
              </a:solidFill>
              <a:latin typeface="Arial" panose="020B0604020202020204" pitchFamily="34" charset="0"/>
              <a:cs typeface="Arial" panose="020B0604020202020204" pitchFamily="34" charset="0"/>
            </a:rPr>
            <a:pPr algn="ctr"/>
            <a:t>START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12</xdr:col>
      <xdr:colOff>0</xdr:colOff>
      <xdr:row>1</xdr:row>
      <xdr:rowOff>0</xdr:rowOff>
    </xdr:from>
    <xdr:to>
      <xdr:col>17</xdr:col>
      <xdr:colOff>0</xdr:colOff>
      <xdr:row>4</xdr:row>
      <xdr:rowOff>0</xdr:rowOff>
    </xdr:to>
    <xdr:sp macro="" textlink="MAIN2">
      <xdr:nvSpPr>
        <xdr:cNvPr id="4" name="MENU2">
          <a:hlinkClick xmlns:r="http://schemas.openxmlformats.org/officeDocument/2006/relationships" r:id="rId6" tooltip=" "/>
          <a:extLst>
            <a:ext uri="{FF2B5EF4-FFF2-40B4-BE49-F238E27FC236}">
              <a16:creationId xmlns:a16="http://schemas.microsoft.com/office/drawing/2014/main" id="{00000000-0008-0000-2400-000004000000}"/>
            </a:ext>
          </a:extLst>
        </xdr:cNvPr>
        <xdr:cNvSpPr/>
      </xdr:nvSpPr>
      <xdr:spPr>
        <a:xfrm>
          <a:off x="3765176" y="201706"/>
          <a:ext cx="1568824" cy="605118"/>
        </a:xfrm>
        <a:prstGeom prst="round2SameRect">
          <a:avLst/>
        </a:prstGeom>
        <a:solidFill>
          <a:srgbClr val="00334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59A035B9-F1D2-4E89-B262-AF2DF0C338A9}" type="TxLink">
            <a:rPr lang="en-US" sz="1100" b="0" i="0" u="none" strike="noStrike">
              <a:solidFill>
                <a:schemeClr val="bg1"/>
              </a:solidFill>
              <a:latin typeface="Arial" panose="020B0604020202020204" pitchFamily="34" charset="0"/>
              <a:cs typeface="Arial" panose="020B0604020202020204" pitchFamily="34" charset="0"/>
            </a:rPr>
            <a:pPr algn="ctr"/>
            <a:t>PROJECT INFORMATION</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17</xdr:col>
      <xdr:colOff>0</xdr:colOff>
      <xdr:row>1</xdr:row>
      <xdr:rowOff>0</xdr:rowOff>
    </xdr:from>
    <xdr:to>
      <xdr:col>22</xdr:col>
      <xdr:colOff>0</xdr:colOff>
      <xdr:row>4</xdr:row>
      <xdr:rowOff>0</xdr:rowOff>
    </xdr:to>
    <xdr:sp macro="" textlink="MAIN3">
      <xdr:nvSpPr>
        <xdr:cNvPr id="5" name="MENU3">
          <a:hlinkClick xmlns:r="http://schemas.openxmlformats.org/officeDocument/2006/relationships" r:id="rId7" tooltip=" "/>
          <a:extLst>
            <a:ext uri="{FF2B5EF4-FFF2-40B4-BE49-F238E27FC236}">
              <a16:creationId xmlns:a16="http://schemas.microsoft.com/office/drawing/2014/main" id="{00000000-0008-0000-2400-000005000000}"/>
            </a:ext>
          </a:extLst>
        </xdr:cNvPr>
        <xdr:cNvSpPr/>
      </xdr:nvSpPr>
      <xdr:spPr>
        <a:xfrm>
          <a:off x="5334000" y="201706"/>
          <a:ext cx="1568824" cy="605118"/>
        </a:xfrm>
        <a:prstGeom prst="round2SameRect">
          <a:avLst/>
        </a:prstGeom>
        <a:solidFill>
          <a:srgbClr val="00334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06A037F-AE33-47CC-85C1-F6D62694F95D}" type="TxLink">
            <a:rPr lang="en-US" sz="1100" b="0" i="0" u="none" strike="noStrike">
              <a:solidFill>
                <a:schemeClr val="bg1"/>
              </a:solidFill>
              <a:latin typeface="Arial" panose="020B0604020202020204" pitchFamily="34" charset="0"/>
              <a:cs typeface="Arial" panose="020B0604020202020204" pitchFamily="34" charset="0"/>
            </a:rPr>
            <a:pPr algn="ctr"/>
            <a:t>PRESCRIPTIVE MEASURES INPUT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22</xdr:col>
      <xdr:colOff>0</xdr:colOff>
      <xdr:row>1</xdr:row>
      <xdr:rowOff>0</xdr:rowOff>
    </xdr:from>
    <xdr:to>
      <xdr:col>27</xdr:col>
      <xdr:colOff>0</xdr:colOff>
      <xdr:row>4</xdr:row>
      <xdr:rowOff>0</xdr:rowOff>
    </xdr:to>
    <xdr:sp macro="" textlink="MAIN4">
      <xdr:nvSpPr>
        <xdr:cNvPr id="6" name="MENU4">
          <a:hlinkClick xmlns:r="http://schemas.openxmlformats.org/officeDocument/2006/relationships" r:id="rId8" tooltip=" "/>
          <a:extLst>
            <a:ext uri="{FF2B5EF4-FFF2-40B4-BE49-F238E27FC236}">
              <a16:creationId xmlns:a16="http://schemas.microsoft.com/office/drawing/2014/main" id="{00000000-0008-0000-2400-000006000000}"/>
            </a:ext>
          </a:extLst>
        </xdr:cNvPr>
        <xdr:cNvSpPr/>
      </xdr:nvSpPr>
      <xdr:spPr>
        <a:xfrm>
          <a:off x="6902824" y="201706"/>
          <a:ext cx="1568823" cy="605118"/>
        </a:xfrm>
        <a:prstGeom prst="round2SameRect">
          <a:avLst/>
        </a:prstGeom>
        <a:solidFill>
          <a:srgbClr val="00334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CB369157-CA5B-4E40-B1DE-604993B819B3}" type="TxLink">
            <a:rPr lang="en-US" sz="1100" b="0" i="0" u="none" strike="noStrike">
              <a:solidFill>
                <a:schemeClr val="bg1"/>
              </a:solidFill>
              <a:latin typeface="Arial" panose="020B0604020202020204" pitchFamily="34" charset="0"/>
              <a:cs typeface="Arial" panose="020B0604020202020204" pitchFamily="34" charset="0"/>
            </a:rPr>
            <a:pPr algn="ctr"/>
            <a:t>CUSTOM MEASURES INPUT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xdr:col>
      <xdr:colOff>0</xdr:colOff>
      <xdr:row>4</xdr:row>
      <xdr:rowOff>1</xdr:rowOff>
    </xdr:from>
    <xdr:to>
      <xdr:col>44</xdr:col>
      <xdr:colOff>13806</xdr:colOff>
      <xdr:row>7</xdr:row>
      <xdr:rowOff>0</xdr:rowOff>
    </xdr:to>
    <xdr:sp macro="" textlink="">
      <xdr:nvSpPr>
        <xdr:cNvPr id="10" name="TOPRIBBON">
          <a:extLst>
            <a:ext uri="{FF2B5EF4-FFF2-40B4-BE49-F238E27FC236}">
              <a16:creationId xmlns:a16="http://schemas.microsoft.com/office/drawing/2014/main" id="{00000000-0008-0000-2400-00000A000000}"/>
            </a:ext>
          </a:extLst>
        </xdr:cNvPr>
        <xdr:cNvSpPr/>
      </xdr:nvSpPr>
      <xdr:spPr>
        <a:xfrm>
          <a:off x="313765" y="806825"/>
          <a:ext cx="13505688" cy="605116"/>
        </a:xfrm>
        <a:prstGeom prst="round2SameRect">
          <a:avLst/>
        </a:prstGeom>
        <a:solidFill>
          <a:srgbClr val="A6A5A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p>
      </xdr:txBody>
    </xdr:sp>
    <xdr:clientData/>
  </xdr:twoCellAnchor>
  <xdr:twoCellAnchor>
    <xdr:from>
      <xdr:col>12</xdr:col>
      <xdr:colOff>2551</xdr:colOff>
      <xdr:row>4</xdr:row>
      <xdr:rowOff>200705</xdr:rowOff>
    </xdr:from>
    <xdr:to>
      <xdr:col>17</xdr:col>
      <xdr:colOff>2550</xdr:colOff>
      <xdr:row>7</xdr:row>
      <xdr:rowOff>0</xdr:rowOff>
    </xdr:to>
    <xdr:sp macro="" textlink="M5S3">
      <xdr:nvSpPr>
        <xdr:cNvPr id="13" name="SUBMENU3">
          <a:hlinkClick xmlns:r="http://schemas.openxmlformats.org/officeDocument/2006/relationships" r:id="rId9"/>
          <a:extLst>
            <a:ext uri="{FF2B5EF4-FFF2-40B4-BE49-F238E27FC236}">
              <a16:creationId xmlns:a16="http://schemas.microsoft.com/office/drawing/2014/main" id="{00000000-0008-0000-2400-00000D000000}"/>
            </a:ext>
          </a:extLst>
        </xdr:cNvPr>
        <xdr:cNvSpPr/>
      </xdr:nvSpPr>
      <xdr:spPr>
        <a:xfrm>
          <a:off x="3774451" y="1000805"/>
          <a:ext cx="1571624" cy="399370"/>
        </a:xfrm>
        <a:prstGeom prst="round2SameRect">
          <a:avLst/>
        </a:prstGeom>
        <a:noFill/>
        <a:ln w="12700">
          <a:no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272C9A7E-800F-4AE6-95B1-8AFF5CAE57C5}" type="TxLink">
            <a:rPr lang="en-US" sz="1100" b="0" i="0" u="none" strike="noStrike">
              <a:solidFill>
                <a:srgbClr val="FFFFFF"/>
              </a:solidFill>
              <a:latin typeface="Arial" panose="020B0604020202020204" pitchFamily="34" charset="0"/>
              <a:cs typeface="Arial" panose="020B0604020202020204" pitchFamily="34" charset="0"/>
            </a:rPr>
            <a:pPr algn="ctr"/>
            <a:t> </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37</xdr:col>
      <xdr:colOff>2720</xdr:colOff>
      <xdr:row>4</xdr:row>
      <xdr:rowOff>200705</xdr:rowOff>
    </xdr:from>
    <xdr:to>
      <xdr:col>42</xdr:col>
      <xdr:colOff>0</xdr:colOff>
      <xdr:row>7</xdr:row>
      <xdr:rowOff>0</xdr:rowOff>
    </xdr:to>
    <xdr:sp macro="" textlink="M5S8">
      <xdr:nvSpPr>
        <xdr:cNvPr id="18" name="SUBMENU8">
          <a:hlinkClick xmlns:r="http://schemas.openxmlformats.org/officeDocument/2006/relationships" r:id="rId10"/>
          <a:extLst>
            <a:ext uri="{FF2B5EF4-FFF2-40B4-BE49-F238E27FC236}">
              <a16:creationId xmlns:a16="http://schemas.microsoft.com/office/drawing/2014/main" id="{00000000-0008-0000-2400-000012000000}"/>
            </a:ext>
          </a:extLst>
        </xdr:cNvPr>
        <xdr:cNvSpPr/>
      </xdr:nvSpPr>
      <xdr:spPr>
        <a:xfrm>
          <a:off x="11632745" y="1000805"/>
          <a:ext cx="1568905" cy="399370"/>
        </a:xfrm>
        <a:prstGeom prst="round2SameRect">
          <a:avLst/>
        </a:prstGeom>
        <a:noFill/>
        <a:ln w="12700">
          <a:no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562C4A9D-BD10-4BFB-89D6-250DB3FCE105}" type="TxLink">
            <a:rPr lang="en-US" sz="1100" b="0" i="0" u="none" strike="noStrike">
              <a:solidFill>
                <a:srgbClr val="FFFFFF"/>
              </a:solidFill>
              <a:latin typeface="Arial" panose="020B0604020202020204" pitchFamily="34" charset="0"/>
              <a:cs typeface="Arial" panose="020B0604020202020204" pitchFamily="34" charset="0"/>
            </a:rPr>
            <a:pPr algn="ctr"/>
            <a:t> </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32</xdr:col>
      <xdr:colOff>0</xdr:colOff>
      <xdr:row>1</xdr:row>
      <xdr:rowOff>0</xdr:rowOff>
    </xdr:from>
    <xdr:to>
      <xdr:col>37</xdr:col>
      <xdr:colOff>1</xdr:colOff>
      <xdr:row>4</xdr:row>
      <xdr:rowOff>0</xdr:rowOff>
    </xdr:to>
    <xdr:sp macro="" textlink="MAIN6">
      <xdr:nvSpPr>
        <xdr:cNvPr id="8" name="MENU6">
          <a:extLst>
            <a:ext uri="{FF2B5EF4-FFF2-40B4-BE49-F238E27FC236}">
              <a16:creationId xmlns:a16="http://schemas.microsoft.com/office/drawing/2014/main" id="{00000000-0008-0000-2400-000008000000}"/>
            </a:ext>
          </a:extLst>
        </xdr:cNvPr>
        <xdr:cNvSpPr/>
      </xdr:nvSpPr>
      <xdr:spPr>
        <a:xfrm>
          <a:off x="10058400" y="200025"/>
          <a:ext cx="1571626"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00B050"/>
              </a:solidFill>
            </a14:hiddenFill>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B12A3774-975E-4B41-A681-E085295C6D0E}" type="TxLink">
            <a:rPr lang="en-US" sz="1100" b="0" i="0" u="none" strike="noStrike">
              <a:noFill/>
              <a:latin typeface="Arial" panose="020B0604020202020204" pitchFamily="34" charset="0"/>
              <a:cs typeface="Arial" panose="020B0604020202020204" pitchFamily="34" charset="0"/>
            </a:rPr>
            <a:pPr algn="ctr"/>
            <a:t> </a:t>
          </a:fld>
          <a:endParaRPr lang="en-US" sz="1100">
            <a:noFill/>
            <a:latin typeface="Arial" panose="020B0604020202020204" pitchFamily="34" charset="0"/>
            <a:cs typeface="Arial" panose="020B0604020202020204" pitchFamily="34" charset="0"/>
          </a:endParaRPr>
        </a:p>
      </xdr:txBody>
    </xdr:sp>
    <xdr:clientData/>
  </xdr:twoCellAnchor>
  <xdr:twoCellAnchor>
    <xdr:from>
      <xdr:col>36</xdr:col>
      <xdr:colOff>314324</xdr:colOff>
      <xdr:row>1</xdr:row>
      <xdr:rowOff>0</xdr:rowOff>
    </xdr:from>
    <xdr:to>
      <xdr:col>41</xdr:col>
      <xdr:colOff>314324</xdr:colOff>
      <xdr:row>4</xdr:row>
      <xdr:rowOff>0</xdr:rowOff>
    </xdr:to>
    <xdr:sp macro="" textlink="MAIN7">
      <xdr:nvSpPr>
        <xdr:cNvPr id="9" name="MENU7">
          <a:extLst>
            <a:ext uri="{FF2B5EF4-FFF2-40B4-BE49-F238E27FC236}">
              <a16:creationId xmlns:a16="http://schemas.microsoft.com/office/drawing/2014/main" id="{00000000-0008-0000-2400-000009000000}"/>
            </a:ext>
          </a:extLst>
        </xdr:cNvPr>
        <xdr:cNvSpPr/>
      </xdr:nvSpPr>
      <xdr:spPr>
        <a:xfrm>
          <a:off x="11630024" y="200025"/>
          <a:ext cx="1571625"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00B050"/>
              </a:solidFill>
            </a14:hiddenFill>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 </a:t>
          </a:fld>
          <a:endParaRPr lang="en-US" sz="1100">
            <a:noFill/>
            <a:latin typeface="Arial" panose="020B0604020202020204" pitchFamily="34" charset="0"/>
            <a:cs typeface="Arial" panose="020B0604020202020204" pitchFamily="34" charset="0"/>
          </a:endParaRPr>
        </a:p>
      </xdr:txBody>
    </xdr:sp>
    <xdr:clientData/>
  </xdr:twoCellAnchor>
  <xdr:twoCellAnchor>
    <xdr:from>
      <xdr:col>2</xdr:col>
      <xdr:colOff>2720</xdr:colOff>
      <xdr:row>5</xdr:row>
      <xdr:rowOff>0</xdr:rowOff>
    </xdr:from>
    <xdr:to>
      <xdr:col>7</xdr:col>
      <xdr:colOff>457</xdr:colOff>
      <xdr:row>6</xdr:row>
      <xdr:rowOff>197827</xdr:rowOff>
    </xdr:to>
    <xdr:sp macro="" textlink="M5S1">
      <xdr:nvSpPr>
        <xdr:cNvPr id="11" name="SUBMENU1">
          <a:hlinkClick xmlns:r="http://schemas.openxmlformats.org/officeDocument/2006/relationships" r:id="rId4" tooltip=" "/>
          <a:extLst>
            <a:ext uri="{FF2B5EF4-FFF2-40B4-BE49-F238E27FC236}">
              <a16:creationId xmlns:a16="http://schemas.microsoft.com/office/drawing/2014/main" id="{00000000-0008-0000-2400-00000B000000}"/>
            </a:ext>
          </a:extLst>
        </xdr:cNvPr>
        <xdr:cNvSpPr/>
      </xdr:nvSpPr>
      <xdr:spPr>
        <a:xfrm>
          <a:off x="631370" y="1000125"/>
          <a:ext cx="1569362" cy="397852"/>
        </a:xfrm>
        <a:prstGeom prst="round2SameRect">
          <a:avLst/>
        </a:prstGeom>
        <a:solidFill>
          <a:srgbClr val="54BCEB"/>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2A9D6AC0-5121-4C66-8D3B-0C4F60FE0219}" type="TxLink">
            <a:rPr lang="en-US" sz="1100" b="0" i="0" u="none" strike="noStrike">
              <a:solidFill>
                <a:srgbClr val="FFFFFF"/>
              </a:solidFill>
              <a:latin typeface="Arial" panose="020B0604020202020204" pitchFamily="34" charset="0"/>
              <a:cs typeface="Arial" panose="020B0604020202020204" pitchFamily="34" charset="0"/>
            </a:rPr>
            <a:pPr algn="ctr"/>
            <a:t>Project Summary</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7</xdr:col>
      <xdr:colOff>2551</xdr:colOff>
      <xdr:row>4</xdr:row>
      <xdr:rowOff>200705</xdr:rowOff>
    </xdr:from>
    <xdr:to>
      <xdr:col>12</xdr:col>
      <xdr:colOff>2550</xdr:colOff>
      <xdr:row>7</xdr:row>
      <xdr:rowOff>0</xdr:rowOff>
    </xdr:to>
    <xdr:sp macro="" textlink="M5S2">
      <xdr:nvSpPr>
        <xdr:cNvPr id="12" name="SUBMENU2">
          <a:hlinkClick xmlns:r="http://schemas.openxmlformats.org/officeDocument/2006/relationships" r:id="rId11" tooltip=" "/>
          <a:extLst>
            <a:ext uri="{FF2B5EF4-FFF2-40B4-BE49-F238E27FC236}">
              <a16:creationId xmlns:a16="http://schemas.microsoft.com/office/drawing/2014/main" id="{00000000-0008-0000-2400-00000C000000}"/>
            </a:ext>
          </a:extLst>
        </xdr:cNvPr>
        <xdr:cNvSpPr/>
      </xdr:nvSpPr>
      <xdr:spPr>
        <a:xfrm>
          <a:off x="2202826" y="1000805"/>
          <a:ext cx="1571624" cy="399370"/>
        </a:xfrm>
        <a:prstGeom prst="round2SameRect">
          <a:avLst/>
        </a:prstGeom>
        <a:solidFill>
          <a:srgbClr val="54BCEB"/>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DB017B9-6E71-4874-AB31-EC7916DB256F}" type="TxLink">
            <a:rPr lang="en-US" sz="1100" b="0" i="0" u="none" strike="noStrike">
              <a:solidFill>
                <a:srgbClr val="FFFFFF"/>
              </a:solidFill>
              <a:latin typeface="Arial" panose="020B0604020202020204" pitchFamily="34" charset="0"/>
              <a:cs typeface="Arial" panose="020B0604020202020204" pitchFamily="34" charset="0"/>
            </a:rPr>
            <a:pPr algn="ctr"/>
            <a:t>Submit Application</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32</xdr:col>
      <xdr:colOff>2865</xdr:colOff>
      <xdr:row>5</xdr:row>
      <xdr:rowOff>51480</xdr:rowOff>
    </xdr:from>
    <xdr:to>
      <xdr:col>37</xdr:col>
      <xdr:colOff>2720</xdr:colOff>
      <xdr:row>7</xdr:row>
      <xdr:rowOff>50800</xdr:rowOff>
    </xdr:to>
    <xdr:sp macro="" textlink="M5S7">
      <xdr:nvSpPr>
        <xdr:cNvPr id="17" name="SUBMENU7">
          <a:hlinkClick xmlns:r="http://schemas.openxmlformats.org/officeDocument/2006/relationships" r:id="rId12" tooltip=" "/>
          <a:extLst>
            <a:ext uri="{FF2B5EF4-FFF2-40B4-BE49-F238E27FC236}">
              <a16:creationId xmlns:a16="http://schemas.microsoft.com/office/drawing/2014/main" id="{00000000-0008-0000-2400-000011000000}"/>
            </a:ext>
          </a:extLst>
        </xdr:cNvPr>
        <xdr:cNvSpPr/>
      </xdr:nvSpPr>
      <xdr:spPr>
        <a:xfrm>
          <a:off x="10061265" y="1051605"/>
          <a:ext cx="1571480" cy="399370"/>
        </a:xfrm>
        <a:prstGeom prst="round2SameRect">
          <a:avLst/>
        </a:prstGeom>
        <a:solidFill>
          <a:srgbClr val="00334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6CAE8FA-B71D-4045-87A3-84E89034BDA3}" type="TxLink">
            <a:rPr lang="en-US" sz="1100" b="0" i="0" u="none" strike="noStrike">
              <a:solidFill>
                <a:srgbClr val="FFFFFF"/>
              </a:solidFill>
              <a:latin typeface="Arial" panose="020B0604020202020204" pitchFamily="34" charset="0"/>
              <a:cs typeface="Arial" panose="020B0604020202020204" pitchFamily="34" charset="0"/>
            </a:rPr>
            <a:pPr algn="ctr"/>
            <a:t>Summary Form</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0</xdr:col>
      <xdr:colOff>314323</xdr:colOff>
      <xdr:row>7</xdr:row>
      <xdr:rowOff>200024</xdr:rowOff>
    </xdr:from>
    <xdr:to>
      <xdr:col>44</xdr:col>
      <xdr:colOff>0</xdr:colOff>
      <xdr:row>199</xdr:row>
      <xdr:rowOff>0</xdr:rowOff>
    </xdr:to>
    <xdr:sp macro="" textlink="">
      <xdr:nvSpPr>
        <xdr:cNvPr id="19" name="BORDER">
          <a:extLst>
            <a:ext uri="{FF2B5EF4-FFF2-40B4-BE49-F238E27FC236}">
              <a16:creationId xmlns:a16="http://schemas.microsoft.com/office/drawing/2014/main" id="{00000000-0008-0000-2400-000013000000}"/>
            </a:ext>
          </a:extLst>
        </xdr:cNvPr>
        <xdr:cNvSpPr/>
      </xdr:nvSpPr>
      <xdr:spPr>
        <a:xfrm>
          <a:off x="314323" y="1600199"/>
          <a:ext cx="13515977" cy="37804726"/>
        </a:xfrm>
        <a:prstGeom prst="frame">
          <a:avLst>
            <a:gd name="adj1" fmla="val 97"/>
          </a:avLst>
        </a:prstGeom>
        <a:noFill/>
        <a:ln w="12700" cap="flat" cmpd="sng" algn="ctr">
          <a:solidFill>
            <a:srgbClr val="00334E"/>
          </a:solidFill>
          <a:prstDash val="solid"/>
          <a:miter lim="800000"/>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fPrintsWithSheet="0"/>
  </xdr:twoCellAnchor>
  <xdr:twoCellAnchor editAs="oneCell">
    <xdr:from>
      <xdr:col>2</xdr:col>
      <xdr:colOff>2720</xdr:colOff>
      <xdr:row>8</xdr:row>
      <xdr:rowOff>201232</xdr:rowOff>
    </xdr:from>
    <xdr:to>
      <xdr:col>4</xdr:col>
      <xdr:colOff>960</xdr:colOff>
      <xdr:row>11</xdr:row>
      <xdr:rowOff>1207</xdr:rowOff>
    </xdr:to>
    <xdr:sp macro="" textlink="">
      <xdr:nvSpPr>
        <xdr:cNvPr id="20" name="BACK">
          <a:hlinkClick xmlns:r="http://schemas.openxmlformats.org/officeDocument/2006/relationships" r:id="rId11"/>
          <a:extLst>
            <a:ext uri="{FF2B5EF4-FFF2-40B4-BE49-F238E27FC236}">
              <a16:creationId xmlns:a16="http://schemas.microsoft.com/office/drawing/2014/main" id="{00000000-0008-0000-2400-000014000000}"/>
            </a:ext>
          </a:extLst>
        </xdr:cNvPr>
        <xdr:cNvSpPr>
          <a:spLocks noChangeAspect="1"/>
        </xdr:cNvSpPr>
      </xdr:nvSpPr>
      <xdr:spPr>
        <a:xfrm>
          <a:off x="631370" y="1801432"/>
          <a:ext cx="626890" cy="400050"/>
        </a:xfrm>
        <a:prstGeom prst="leftArrow">
          <a:avLst/>
        </a:prstGeom>
        <a:solidFill>
          <a:srgbClr val="54BCEB"/>
        </a:solidFill>
        <a:ln>
          <a:solidFill>
            <a:srgbClr val="54BCEB"/>
          </a:solidFill>
        </a:ln>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editAs="oneCell">
    <xdr:from>
      <xdr:col>1</xdr:col>
      <xdr:colOff>270934</xdr:colOff>
      <xdr:row>1</xdr:row>
      <xdr:rowOff>0</xdr:rowOff>
    </xdr:from>
    <xdr:to>
      <xdr:col>4</xdr:col>
      <xdr:colOff>198490</xdr:colOff>
      <xdr:row>3</xdr:row>
      <xdr:rowOff>38743</xdr:rowOff>
    </xdr:to>
    <xdr:pic>
      <xdr:nvPicPr>
        <xdr:cNvPr id="22" name="LOGO">
          <a:extLst>
            <a:ext uri="{FF2B5EF4-FFF2-40B4-BE49-F238E27FC236}">
              <a16:creationId xmlns:a16="http://schemas.microsoft.com/office/drawing/2014/main" id="{00000000-0008-0000-2400-000016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xdr:blipFill>
      <xdr:spPr>
        <a:xfrm>
          <a:off x="584699" y="201706"/>
          <a:ext cx="868850" cy="442155"/>
        </a:xfrm>
        <a:prstGeom prst="rect">
          <a:avLst/>
        </a:prstGeom>
      </xdr:spPr>
    </xdr:pic>
    <xdr:clientData/>
  </xdr:twoCellAnchor>
  <xdr:twoCellAnchor>
    <xdr:from>
      <xdr:col>1</xdr:col>
      <xdr:colOff>0</xdr:colOff>
      <xdr:row>7</xdr:row>
      <xdr:rowOff>0</xdr:rowOff>
    </xdr:from>
    <xdr:to>
      <xdr:col>44</xdr:col>
      <xdr:colOff>13806</xdr:colOff>
      <xdr:row>8</xdr:row>
      <xdr:rowOff>0</xdr:rowOff>
    </xdr:to>
    <xdr:sp macro="" textlink="">
      <xdr:nvSpPr>
        <xdr:cNvPr id="21" name="BOTTOMRIBBON">
          <a:extLst>
            <a:ext uri="{FF2B5EF4-FFF2-40B4-BE49-F238E27FC236}">
              <a16:creationId xmlns:a16="http://schemas.microsoft.com/office/drawing/2014/main" id="{00000000-0008-0000-2400-000015000000}"/>
            </a:ext>
          </a:extLst>
        </xdr:cNvPr>
        <xdr:cNvSpPr/>
      </xdr:nvSpPr>
      <xdr:spPr>
        <a:xfrm>
          <a:off x="313765" y="1411941"/>
          <a:ext cx="13505688" cy="201706"/>
        </a:xfrm>
        <a:prstGeom prst="rect">
          <a:avLst/>
        </a:prstGeom>
        <a:solidFill>
          <a:srgbClr val="00334E"/>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solidFill>
              <a:srgbClr val="FFFFFF"/>
            </a:solidFill>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5</xdr:col>
      <xdr:colOff>130629</xdr:colOff>
      <xdr:row>23</xdr:row>
      <xdr:rowOff>155390</xdr:rowOff>
    </xdr:from>
    <xdr:to>
      <xdr:col>11</xdr:col>
      <xdr:colOff>61301</xdr:colOff>
      <xdr:row>33</xdr:row>
      <xdr:rowOff>150011</xdr:rowOff>
    </xdr:to>
    <xdr:pic>
      <xdr:nvPicPr>
        <xdr:cNvPr id="32" name="Picture 31">
          <a:hlinkClick xmlns:r="http://schemas.openxmlformats.org/officeDocument/2006/relationships" r:id="rId1"/>
          <a:extLst>
            <a:ext uri="{FF2B5EF4-FFF2-40B4-BE49-F238E27FC236}">
              <a16:creationId xmlns:a16="http://schemas.microsoft.com/office/drawing/2014/main" id="{00000000-0008-0000-0A00-000020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699453" y="4794625"/>
          <a:ext cx="1813260" cy="2011680"/>
        </a:xfrm>
        <a:prstGeom prst="rect">
          <a:avLst/>
        </a:prstGeom>
        <a:noFill/>
      </xdr:spPr>
    </xdr:pic>
    <xdr:clientData/>
  </xdr:twoCellAnchor>
  <xdr:twoCellAnchor>
    <xdr:from>
      <xdr:col>27</xdr:col>
      <xdr:colOff>0</xdr:colOff>
      <xdr:row>1</xdr:row>
      <xdr:rowOff>0</xdr:rowOff>
    </xdr:from>
    <xdr:to>
      <xdr:col>32</xdr:col>
      <xdr:colOff>0</xdr:colOff>
      <xdr:row>4</xdr:row>
      <xdr:rowOff>0</xdr:rowOff>
    </xdr:to>
    <xdr:sp macro="" textlink="MAIN5">
      <xdr:nvSpPr>
        <xdr:cNvPr id="7" name="MENU5">
          <a:hlinkClick xmlns:r="http://schemas.openxmlformats.org/officeDocument/2006/relationships" r:id="rId3" tooltip=" "/>
          <a:extLst>
            <a:ext uri="{FF2B5EF4-FFF2-40B4-BE49-F238E27FC236}">
              <a16:creationId xmlns:a16="http://schemas.microsoft.com/office/drawing/2014/main" id="{00000000-0008-0000-0A00-000007000000}"/>
            </a:ext>
          </a:extLst>
        </xdr:cNvPr>
        <xdr:cNvSpPr/>
      </xdr:nvSpPr>
      <xdr:spPr>
        <a:xfrm>
          <a:off x="8471647" y="201706"/>
          <a:ext cx="1568824" cy="605118"/>
        </a:xfrm>
        <a:prstGeom prst="round2SameRect">
          <a:avLst/>
        </a:prstGeom>
        <a:solidFill>
          <a:srgbClr val="00334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F0EEDDA6-4934-49B4-972D-20D21D440D82}"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APPLICATION REVIEW</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27</xdr:col>
      <xdr:colOff>0</xdr:colOff>
      <xdr:row>4</xdr:row>
      <xdr:rowOff>200705</xdr:rowOff>
    </xdr:from>
    <xdr:to>
      <xdr:col>32</xdr:col>
      <xdr:colOff>2865</xdr:colOff>
      <xdr:row>7</xdr:row>
      <xdr:rowOff>0</xdr:rowOff>
    </xdr:to>
    <xdr:sp macro="" textlink="M1S6">
      <xdr:nvSpPr>
        <xdr:cNvPr id="16" name="SUBMENU6">
          <a:hlinkClick xmlns:r="http://schemas.openxmlformats.org/officeDocument/2006/relationships" r:id="rId4"/>
          <a:extLst>
            <a:ext uri="{FF2B5EF4-FFF2-40B4-BE49-F238E27FC236}">
              <a16:creationId xmlns:a16="http://schemas.microsoft.com/office/drawing/2014/main" id="{00000000-0008-0000-0A00-000010000000}"/>
            </a:ext>
          </a:extLst>
        </xdr:cNvPr>
        <xdr:cNvSpPr/>
      </xdr:nvSpPr>
      <xdr:spPr>
        <a:xfrm>
          <a:off x="8486775" y="1000805"/>
          <a:ext cx="1574490" cy="399370"/>
        </a:xfrm>
        <a:prstGeom prst="round2SameRect">
          <a:avLst/>
        </a:prstGeom>
        <a:noFill/>
        <a:ln w="12700">
          <a:no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3895239F-CA13-455E-B384-0BD1EC0A3A85}" type="TxLink">
            <a:rPr lang="en-US" sz="1100" b="0" i="0" u="none" strike="noStrike">
              <a:solidFill>
                <a:srgbClr val="FFFFFF"/>
              </a:solidFill>
              <a:latin typeface="Arial" panose="020B0604020202020204" pitchFamily="34" charset="0"/>
              <a:cs typeface="Arial" panose="020B0604020202020204" pitchFamily="34" charset="0"/>
            </a:rPr>
            <a:pPr algn="ctr"/>
            <a:t> </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32</xdr:col>
      <xdr:colOff>2865</xdr:colOff>
      <xdr:row>4</xdr:row>
      <xdr:rowOff>200705</xdr:rowOff>
    </xdr:from>
    <xdr:to>
      <xdr:col>37</xdr:col>
      <xdr:colOff>2720</xdr:colOff>
      <xdr:row>7</xdr:row>
      <xdr:rowOff>0</xdr:rowOff>
    </xdr:to>
    <xdr:sp macro="" textlink="M1S7">
      <xdr:nvSpPr>
        <xdr:cNvPr id="17" name="SUBMENU7">
          <a:hlinkClick xmlns:r="http://schemas.openxmlformats.org/officeDocument/2006/relationships" r:id="rId5"/>
          <a:extLst>
            <a:ext uri="{FF2B5EF4-FFF2-40B4-BE49-F238E27FC236}">
              <a16:creationId xmlns:a16="http://schemas.microsoft.com/office/drawing/2014/main" id="{00000000-0008-0000-0A00-000011000000}"/>
            </a:ext>
          </a:extLst>
        </xdr:cNvPr>
        <xdr:cNvSpPr/>
      </xdr:nvSpPr>
      <xdr:spPr>
        <a:xfrm>
          <a:off x="10061265" y="1000805"/>
          <a:ext cx="1571480" cy="399370"/>
        </a:xfrm>
        <a:prstGeom prst="round2SameRect">
          <a:avLst/>
        </a:prstGeom>
        <a:noFill/>
        <a:ln w="25400">
          <a:no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D599586B-580C-4649-BAE7-1A9160B03CD3}" type="TxLink">
            <a:rPr lang="en-US" sz="1100" b="0" i="0" u="none" strike="noStrike">
              <a:solidFill>
                <a:srgbClr val="FFFFFF"/>
              </a:solidFill>
              <a:latin typeface="Arial" panose="020B0604020202020204" pitchFamily="34" charset="0"/>
              <a:cs typeface="Arial" panose="020B0604020202020204" pitchFamily="34" charset="0"/>
            </a:rPr>
            <a:pPr algn="ctr"/>
            <a:t> </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37</xdr:col>
      <xdr:colOff>2720</xdr:colOff>
      <xdr:row>4</xdr:row>
      <xdr:rowOff>200705</xdr:rowOff>
    </xdr:from>
    <xdr:to>
      <xdr:col>42</xdr:col>
      <xdr:colOff>0</xdr:colOff>
      <xdr:row>7</xdr:row>
      <xdr:rowOff>0</xdr:rowOff>
    </xdr:to>
    <xdr:sp macro="" textlink="M1S8">
      <xdr:nvSpPr>
        <xdr:cNvPr id="18" name="SUBMENU8">
          <a:hlinkClick xmlns:r="http://schemas.openxmlformats.org/officeDocument/2006/relationships" r:id="rId6"/>
          <a:extLst>
            <a:ext uri="{FF2B5EF4-FFF2-40B4-BE49-F238E27FC236}">
              <a16:creationId xmlns:a16="http://schemas.microsoft.com/office/drawing/2014/main" id="{00000000-0008-0000-0A00-000012000000}"/>
            </a:ext>
          </a:extLst>
        </xdr:cNvPr>
        <xdr:cNvSpPr/>
      </xdr:nvSpPr>
      <xdr:spPr>
        <a:xfrm>
          <a:off x="11632745" y="1000805"/>
          <a:ext cx="1568905" cy="399370"/>
        </a:xfrm>
        <a:prstGeom prst="round2SameRect">
          <a:avLst/>
        </a:prstGeom>
        <a:noFill/>
        <a:ln w="25400">
          <a:no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471F2687-6E45-4175-A81A-2816B725423B}" type="TxLink">
            <a:rPr lang="en-US" sz="1100" b="0" i="0" u="none" strike="noStrike">
              <a:solidFill>
                <a:srgbClr val="FFFFFF"/>
              </a:solidFill>
              <a:latin typeface="Arial" panose="020B0604020202020204" pitchFamily="34" charset="0"/>
              <a:cs typeface="Arial" panose="020B0604020202020204" pitchFamily="34" charset="0"/>
            </a:rPr>
            <a:pPr algn="ctr"/>
            <a:t> </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7</xdr:col>
      <xdr:colOff>3008</xdr:colOff>
      <xdr:row>1</xdr:row>
      <xdr:rowOff>133351</xdr:rowOff>
    </xdr:from>
    <xdr:to>
      <xdr:col>12</xdr:col>
      <xdr:colOff>2551</xdr:colOff>
      <xdr:row>4</xdr:row>
      <xdr:rowOff>133351</xdr:rowOff>
    </xdr:to>
    <xdr:sp macro="" textlink="MAIN1">
      <xdr:nvSpPr>
        <xdr:cNvPr id="3" name="MENU1">
          <a:hlinkClick xmlns:r="http://schemas.openxmlformats.org/officeDocument/2006/relationships" r:id="rId7" tooltip=" "/>
          <a:extLst>
            <a:ext uri="{FF2B5EF4-FFF2-40B4-BE49-F238E27FC236}">
              <a16:creationId xmlns:a16="http://schemas.microsoft.com/office/drawing/2014/main" id="{00000000-0008-0000-0A00-000003000000}"/>
            </a:ext>
          </a:extLst>
        </xdr:cNvPr>
        <xdr:cNvSpPr/>
      </xdr:nvSpPr>
      <xdr:spPr>
        <a:xfrm>
          <a:off x="2203283" y="333376"/>
          <a:ext cx="1571168" cy="600075"/>
        </a:xfrm>
        <a:prstGeom prst="round2SameRect">
          <a:avLst/>
        </a:prstGeom>
        <a:solidFill>
          <a:srgbClr val="A6A5AA"/>
        </a:solidFill>
        <a:ln w="12700">
          <a:solidFill>
            <a:srgbClr val="A6A5AA"/>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D6F2F067-2676-4601-ABCE-75BD5137E3D5}" type="TxLink">
            <a:rPr lang="en-US" sz="1100" b="0" i="0" u="none" strike="noStrike">
              <a:solidFill>
                <a:srgbClr val="FFFFFF">
                  <a:lumMod val="100000"/>
                </a:srgbClr>
              </a:solidFill>
              <a:latin typeface="Arial" panose="020B0604020202020204" pitchFamily="34" charset="0"/>
              <a:cs typeface="Arial" panose="020B0604020202020204" pitchFamily="34" charset="0"/>
            </a:rPr>
            <a:pPr algn="ctr"/>
            <a:t>START</a:t>
          </a:fld>
          <a:endParaRPr lang="en-US" sz="1100">
            <a:solidFill>
              <a:srgbClr val="FFFFFF">
                <a:lumMod val="100000"/>
              </a:srgbClr>
            </a:solidFill>
            <a:latin typeface="Arial" panose="020B0604020202020204" pitchFamily="34" charset="0"/>
            <a:cs typeface="Arial" panose="020B0604020202020204" pitchFamily="34" charset="0"/>
          </a:endParaRPr>
        </a:p>
      </xdr:txBody>
    </xdr:sp>
    <xdr:clientData/>
  </xdr:twoCellAnchor>
  <xdr:twoCellAnchor>
    <xdr:from>
      <xdr:col>1</xdr:col>
      <xdr:colOff>0</xdr:colOff>
      <xdr:row>4</xdr:row>
      <xdr:rowOff>1</xdr:rowOff>
    </xdr:from>
    <xdr:to>
      <xdr:col>44</xdr:col>
      <xdr:colOff>11206</xdr:colOff>
      <xdr:row>7</xdr:row>
      <xdr:rowOff>0</xdr:rowOff>
    </xdr:to>
    <xdr:sp macro="" textlink="">
      <xdr:nvSpPr>
        <xdr:cNvPr id="10" name="TOPRIBBON">
          <a:extLst>
            <a:ext uri="{FF2B5EF4-FFF2-40B4-BE49-F238E27FC236}">
              <a16:creationId xmlns:a16="http://schemas.microsoft.com/office/drawing/2014/main" id="{00000000-0008-0000-0A00-00000A000000}"/>
            </a:ext>
          </a:extLst>
        </xdr:cNvPr>
        <xdr:cNvSpPr/>
      </xdr:nvSpPr>
      <xdr:spPr>
        <a:xfrm>
          <a:off x="313765" y="806825"/>
          <a:ext cx="13503088" cy="605116"/>
        </a:xfrm>
        <a:prstGeom prst="round2SameRect">
          <a:avLst/>
        </a:prstGeom>
        <a:solidFill>
          <a:srgbClr val="A6A5A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p>
      </xdr:txBody>
    </xdr:sp>
    <xdr:clientData/>
  </xdr:twoCellAnchor>
  <xdr:twoCellAnchor editAs="oneCell">
    <xdr:from>
      <xdr:col>41</xdr:col>
      <xdr:colOff>0</xdr:colOff>
      <xdr:row>9</xdr:row>
      <xdr:rowOff>1047</xdr:rowOff>
    </xdr:from>
    <xdr:to>
      <xdr:col>42</xdr:col>
      <xdr:colOff>313195</xdr:colOff>
      <xdr:row>11</xdr:row>
      <xdr:rowOff>1046</xdr:rowOff>
    </xdr:to>
    <xdr:sp macro="" textlink="">
      <xdr:nvSpPr>
        <xdr:cNvPr id="2" name="NEXT">
          <a:hlinkClick xmlns:r="http://schemas.openxmlformats.org/officeDocument/2006/relationships" r:id="rId8" tooltip=" "/>
          <a:extLst>
            <a:ext uri="{FF2B5EF4-FFF2-40B4-BE49-F238E27FC236}">
              <a16:creationId xmlns:a16="http://schemas.microsoft.com/office/drawing/2014/main" id="{00000000-0008-0000-0A00-000002000000}"/>
            </a:ext>
          </a:extLst>
        </xdr:cNvPr>
        <xdr:cNvSpPr>
          <a:spLocks noChangeAspect="1"/>
        </xdr:cNvSpPr>
      </xdr:nvSpPr>
      <xdr:spPr>
        <a:xfrm>
          <a:off x="12887325" y="1801272"/>
          <a:ext cx="627520" cy="400049"/>
        </a:xfrm>
        <a:prstGeom prst="rightArrow">
          <a:avLst/>
        </a:prstGeom>
        <a:solidFill>
          <a:srgbClr val="54BCEB"/>
        </a:solidFill>
        <a:ln>
          <a:solidFill>
            <a:srgbClr val="54BCEB"/>
          </a:solidFill>
        </a:ln>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12</xdr:col>
      <xdr:colOff>1913</xdr:colOff>
      <xdr:row>1</xdr:row>
      <xdr:rowOff>0</xdr:rowOff>
    </xdr:from>
    <xdr:to>
      <xdr:col>17</xdr:col>
      <xdr:colOff>1913</xdr:colOff>
      <xdr:row>4</xdr:row>
      <xdr:rowOff>0</xdr:rowOff>
    </xdr:to>
    <xdr:sp macro="" textlink="MAIN2">
      <xdr:nvSpPr>
        <xdr:cNvPr id="4" name="MENU2">
          <a:hlinkClick xmlns:r="http://schemas.openxmlformats.org/officeDocument/2006/relationships" r:id="rId9" tooltip=" "/>
          <a:extLst>
            <a:ext uri="{FF2B5EF4-FFF2-40B4-BE49-F238E27FC236}">
              <a16:creationId xmlns:a16="http://schemas.microsoft.com/office/drawing/2014/main" id="{00000000-0008-0000-0A00-000004000000}"/>
            </a:ext>
          </a:extLst>
        </xdr:cNvPr>
        <xdr:cNvSpPr/>
      </xdr:nvSpPr>
      <xdr:spPr>
        <a:xfrm>
          <a:off x="3767089" y="201706"/>
          <a:ext cx="1568824" cy="605118"/>
        </a:xfrm>
        <a:prstGeom prst="round2SameRect">
          <a:avLst/>
        </a:prstGeom>
        <a:solidFill>
          <a:srgbClr val="00334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59A035B9-F1D2-4E89-B262-AF2DF0C338A9}"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PROJECT INFORMATION</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17</xdr:col>
      <xdr:colOff>1275</xdr:colOff>
      <xdr:row>1</xdr:row>
      <xdr:rowOff>0</xdr:rowOff>
    </xdr:from>
    <xdr:to>
      <xdr:col>22</xdr:col>
      <xdr:colOff>1275</xdr:colOff>
      <xdr:row>4</xdr:row>
      <xdr:rowOff>0</xdr:rowOff>
    </xdr:to>
    <xdr:sp macro="" textlink="MAIN3">
      <xdr:nvSpPr>
        <xdr:cNvPr id="5" name="MENU3">
          <a:hlinkClick xmlns:r="http://schemas.openxmlformats.org/officeDocument/2006/relationships" r:id="rId10" tooltip=" "/>
          <a:extLst>
            <a:ext uri="{FF2B5EF4-FFF2-40B4-BE49-F238E27FC236}">
              <a16:creationId xmlns:a16="http://schemas.microsoft.com/office/drawing/2014/main" id="{00000000-0008-0000-0A00-000005000000}"/>
            </a:ext>
          </a:extLst>
        </xdr:cNvPr>
        <xdr:cNvSpPr/>
      </xdr:nvSpPr>
      <xdr:spPr>
        <a:xfrm>
          <a:off x="5335275" y="201706"/>
          <a:ext cx="1568824" cy="605118"/>
        </a:xfrm>
        <a:prstGeom prst="round2SameRect">
          <a:avLst/>
        </a:prstGeom>
        <a:solidFill>
          <a:srgbClr val="00334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06A037F-AE33-47CC-85C1-F6D62694F95D}"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PRESCRIPTIVE MEASURES INPUT</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22</xdr:col>
      <xdr:colOff>637</xdr:colOff>
      <xdr:row>1</xdr:row>
      <xdr:rowOff>0</xdr:rowOff>
    </xdr:from>
    <xdr:to>
      <xdr:col>27</xdr:col>
      <xdr:colOff>637</xdr:colOff>
      <xdr:row>4</xdr:row>
      <xdr:rowOff>0</xdr:rowOff>
    </xdr:to>
    <xdr:sp macro="" textlink="MAIN4">
      <xdr:nvSpPr>
        <xdr:cNvPr id="6" name="MENU4">
          <a:hlinkClick xmlns:r="http://schemas.openxmlformats.org/officeDocument/2006/relationships" r:id="rId11" tooltip=" "/>
          <a:extLst>
            <a:ext uri="{FF2B5EF4-FFF2-40B4-BE49-F238E27FC236}">
              <a16:creationId xmlns:a16="http://schemas.microsoft.com/office/drawing/2014/main" id="{00000000-0008-0000-0A00-000006000000}"/>
            </a:ext>
          </a:extLst>
        </xdr:cNvPr>
        <xdr:cNvSpPr/>
      </xdr:nvSpPr>
      <xdr:spPr>
        <a:xfrm>
          <a:off x="6903461" y="201706"/>
          <a:ext cx="1568823" cy="605118"/>
        </a:xfrm>
        <a:prstGeom prst="round2SameRect">
          <a:avLst/>
        </a:prstGeom>
        <a:solidFill>
          <a:srgbClr val="00334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CB369157-CA5B-4E40-B1DE-604993B819B3}"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CUSTOM MEASURES INPUT</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31</xdr:col>
      <xdr:colOff>314323</xdr:colOff>
      <xdr:row>1</xdr:row>
      <xdr:rowOff>1</xdr:rowOff>
    </xdr:from>
    <xdr:to>
      <xdr:col>36</xdr:col>
      <xdr:colOff>314324</xdr:colOff>
      <xdr:row>4</xdr:row>
      <xdr:rowOff>1</xdr:rowOff>
    </xdr:to>
    <xdr:sp macro="" textlink="MAIN6">
      <xdr:nvSpPr>
        <xdr:cNvPr id="8" name="MENU6">
          <a:extLst>
            <a:ext uri="{FF2B5EF4-FFF2-40B4-BE49-F238E27FC236}">
              <a16:creationId xmlns:a16="http://schemas.microsoft.com/office/drawing/2014/main" id="{00000000-0008-0000-0A00-000008000000}"/>
            </a:ext>
          </a:extLst>
        </xdr:cNvPr>
        <xdr:cNvSpPr/>
      </xdr:nvSpPr>
      <xdr:spPr>
        <a:xfrm>
          <a:off x="10058398" y="200026"/>
          <a:ext cx="1571626"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00B050"/>
              </a:solidFill>
            </a14:hiddenFill>
          </a:ext>
          <a:ext uri="{91240B29-F687-4F45-9708-019B960494DF}">
            <a14:hiddenLine xmlns:a14="http://schemas.microsoft.com/office/drawing/2010/main" w="25400" cap="flat" cmpd="sng" algn="ctr">
              <a:solidFill>
                <a:srgbClr val="7F7F7F"/>
              </a:solidFill>
              <a:prstDash val="solid"/>
              <a:miter lim="800000"/>
            </a14:hiddenLine>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B12A3774-975E-4B41-A681-E085295C6D0E}" type="TxLink">
            <a:rPr lang="en-US" sz="1100" b="0" i="0" u="none" strike="noStrike">
              <a:noFill/>
              <a:latin typeface="Arial" panose="020B0604020202020204" pitchFamily="34" charset="0"/>
              <a:cs typeface="Arial" panose="020B0604020202020204" pitchFamily="34" charset="0"/>
            </a:rPr>
            <a:pPr algn="ctr"/>
            <a:t> </a:t>
          </a:fld>
          <a:endParaRPr lang="en-US" sz="1100">
            <a:noFill/>
            <a:latin typeface="Arial" panose="020B0604020202020204" pitchFamily="34" charset="0"/>
            <a:cs typeface="Arial" panose="020B0604020202020204" pitchFamily="34" charset="0"/>
          </a:endParaRPr>
        </a:p>
      </xdr:txBody>
    </xdr:sp>
    <xdr:clientData/>
  </xdr:twoCellAnchor>
  <xdr:twoCellAnchor>
    <xdr:from>
      <xdr:col>36</xdr:col>
      <xdr:colOff>314324</xdr:colOff>
      <xdr:row>1</xdr:row>
      <xdr:rowOff>0</xdr:rowOff>
    </xdr:from>
    <xdr:to>
      <xdr:col>41</xdr:col>
      <xdr:colOff>314324</xdr:colOff>
      <xdr:row>4</xdr:row>
      <xdr:rowOff>0</xdr:rowOff>
    </xdr:to>
    <xdr:sp macro="" textlink="MAIN7">
      <xdr:nvSpPr>
        <xdr:cNvPr id="9" name="MENU7">
          <a:extLst>
            <a:ext uri="{FF2B5EF4-FFF2-40B4-BE49-F238E27FC236}">
              <a16:creationId xmlns:a16="http://schemas.microsoft.com/office/drawing/2014/main" id="{00000000-0008-0000-0A00-000009000000}"/>
            </a:ext>
          </a:extLst>
        </xdr:cNvPr>
        <xdr:cNvSpPr/>
      </xdr:nvSpPr>
      <xdr:spPr>
        <a:xfrm>
          <a:off x="11630024" y="200025"/>
          <a:ext cx="1571625"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00B050"/>
              </a:solidFill>
            </a14:hiddenFill>
          </a:ext>
          <a:ext uri="{91240B29-F687-4F45-9708-019B960494DF}">
            <a14:hiddenLine xmlns:a14="http://schemas.microsoft.com/office/drawing/2010/main" w="25400" cap="flat" cmpd="sng" algn="ctr">
              <a:solidFill>
                <a:srgbClr val="7F7F7F"/>
              </a:solidFill>
              <a:prstDash val="solid"/>
              <a:miter lim="800000"/>
            </a14:hiddenLine>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 </a:t>
          </a:fld>
          <a:endParaRPr lang="en-US" sz="1100">
            <a:noFill/>
            <a:latin typeface="Arial" panose="020B0604020202020204" pitchFamily="34" charset="0"/>
            <a:cs typeface="Arial" panose="020B0604020202020204" pitchFamily="34" charset="0"/>
          </a:endParaRPr>
        </a:p>
      </xdr:txBody>
    </xdr:sp>
    <xdr:clientData/>
  </xdr:twoCellAnchor>
  <xdr:twoCellAnchor>
    <xdr:from>
      <xdr:col>2</xdr:col>
      <xdr:colOff>2720</xdr:colOff>
      <xdr:row>5</xdr:row>
      <xdr:rowOff>0</xdr:rowOff>
    </xdr:from>
    <xdr:to>
      <xdr:col>7</xdr:col>
      <xdr:colOff>457</xdr:colOff>
      <xdr:row>6</xdr:row>
      <xdr:rowOff>197827</xdr:rowOff>
    </xdr:to>
    <xdr:sp macro="" textlink="M1S1">
      <xdr:nvSpPr>
        <xdr:cNvPr id="11" name="SUBMENU1">
          <a:hlinkClick xmlns:r="http://schemas.openxmlformats.org/officeDocument/2006/relationships" r:id="rId7" tooltip=" "/>
          <a:extLst>
            <a:ext uri="{FF2B5EF4-FFF2-40B4-BE49-F238E27FC236}">
              <a16:creationId xmlns:a16="http://schemas.microsoft.com/office/drawing/2014/main" id="{00000000-0008-0000-0A00-00000B000000}"/>
            </a:ext>
          </a:extLst>
        </xdr:cNvPr>
        <xdr:cNvSpPr/>
      </xdr:nvSpPr>
      <xdr:spPr>
        <a:xfrm>
          <a:off x="631370" y="1000125"/>
          <a:ext cx="1569362" cy="397852"/>
        </a:xfrm>
        <a:prstGeom prst="round2SameRect">
          <a:avLst/>
        </a:prstGeom>
        <a:solidFill>
          <a:srgbClr val="54BCEB"/>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5C76F627-6876-4600-9244-85A6705FD7EE}" type="TxLink">
            <a:rPr lang="en-US" sz="1100" b="0" i="0" u="none" strike="noStrike">
              <a:solidFill>
                <a:srgbClr val="FFFFFF"/>
              </a:solidFill>
              <a:latin typeface="Arial" panose="020B0604020202020204" pitchFamily="34" charset="0"/>
              <a:cs typeface="Arial" panose="020B0604020202020204" pitchFamily="34" charset="0"/>
            </a:rPr>
            <a:pPr algn="ctr"/>
            <a:t>Welcome</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7</xdr:col>
      <xdr:colOff>981</xdr:colOff>
      <xdr:row>4</xdr:row>
      <xdr:rowOff>200705</xdr:rowOff>
    </xdr:from>
    <xdr:to>
      <xdr:col>12</xdr:col>
      <xdr:colOff>980</xdr:colOff>
      <xdr:row>7</xdr:row>
      <xdr:rowOff>0</xdr:rowOff>
    </xdr:to>
    <xdr:sp macro="" textlink="M1S2">
      <xdr:nvSpPr>
        <xdr:cNvPr id="12" name="SUBMENU2">
          <a:hlinkClick xmlns:r="http://schemas.openxmlformats.org/officeDocument/2006/relationships" r:id="rId12" tooltip=" "/>
          <a:extLst>
            <a:ext uri="{FF2B5EF4-FFF2-40B4-BE49-F238E27FC236}">
              <a16:creationId xmlns:a16="http://schemas.microsoft.com/office/drawing/2014/main" id="{00000000-0008-0000-0A00-00000C000000}"/>
            </a:ext>
          </a:extLst>
        </xdr:cNvPr>
        <xdr:cNvSpPr/>
      </xdr:nvSpPr>
      <xdr:spPr>
        <a:xfrm>
          <a:off x="2197334" y="1007529"/>
          <a:ext cx="1568822" cy="404412"/>
        </a:xfrm>
        <a:prstGeom prst="round2SameRect">
          <a:avLst/>
        </a:prstGeom>
        <a:solidFill>
          <a:srgbClr val="54BCEB"/>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CF8290D4-6497-486F-BAC6-BA480F9F34D0}" type="TxLink">
            <a:rPr lang="en-US" sz="1100" b="0" i="0" u="none" strike="noStrike">
              <a:solidFill>
                <a:srgbClr val="FFFFFF"/>
              </a:solidFill>
              <a:latin typeface="Arial" panose="020B0604020202020204" pitchFamily="34" charset="0"/>
              <a:cs typeface="Arial" panose="020B0604020202020204" pitchFamily="34" charset="0"/>
            </a:rPr>
            <a:pPr algn="ctr"/>
            <a:t>Energy Efficiency Programs</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12</xdr:col>
      <xdr:colOff>1504</xdr:colOff>
      <xdr:row>5</xdr:row>
      <xdr:rowOff>51480</xdr:rowOff>
    </xdr:from>
    <xdr:to>
      <xdr:col>17</xdr:col>
      <xdr:colOff>1503</xdr:colOff>
      <xdr:row>7</xdr:row>
      <xdr:rowOff>50800</xdr:rowOff>
    </xdr:to>
    <xdr:sp macro="" textlink="M1S3">
      <xdr:nvSpPr>
        <xdr:cNvPr id="13" name="SUBMENU3">
          <a:hlinkClick xmlns:r="http://schemas.openxmlformats.org/officeDocument/2006/relationships" r:id="rId13" tooltip=" "/>
          <a:extLst>
            <a:ext uri="{FF2B5EF4-FFF2-40B4-BE49-F238E27FC236}">
              <a16:creationId xmlns:a16="http://schemas.microsoft.com/office/drawing/2014/main" id="{00000000-0008-0000-0A00-00000D000000}"/>
            </a:ext>
          </a:extLst>
        </xdr:cNvPr>
        <xdr:cNvSpPr/>
      </xdr:nvSpPr>
      <xdr:spPr>
        <a:xfrm>
          <a:off x="3766680" y="1060009"/>
          <a:ext cx="1568823" cy="402732"/>
        </a:xfrm>
        <a:prstGeom prst="round2SameRect">
          <a:avLst/>
        </a:prstGeom>
        <a:solidFill>
          <a:srgbClr val="00334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E71BE52B-FF38-412C-B4D1-421FD04CF2FA}" type="TxLink">
            <a:rPr lang="en-US" sz="1100" b="0" i="0" u="none" strike="noStrike">
              <a:solidFill>
                <a:srgbClr val="FFFFFF"/>
              </a:solidFill>
              <a:latin typeface="Arial" panose="020B0604020202020204" pitchFamily="34" charset="0"/>
              <a:cs typeface="Arial" panose="020B0604020202020204" pitchFamily="34" charset="0"/>
            </a:rPr>
            <a:pPr algn="ctr"/>
            <a:t>Information Links</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17</xdr:col>
      <xdr:colOff>2027</xdr:colOff>
      <xdr:row>4</xdr:row>
      <xdr:rowOff>200705</xdr:rowOff>
    </xdr:from>
    <xdr:to>
      <xdr:col>22</xdr:col>
      <xdr:colOff>2026</xdr:colOff>
      <xdr:row>7</xdr:row>
      <xdr:rowOff>0</xdr:rowOff>
    </xdr:to>
    <xdr:sp macro="" textlink="M1S4">
      <xdr:nvSpPr>
        <xdr:cNvPr id="14" name="SUBMENU4">
          <a:hlinkClick xmlns:r="http://schemas.openxmlformats.org/officeDocument/2006/relationships" r:id="rId14" tooltip=" "/>
          <a:extLst>
            <a:ext uri="{FF2B5EF4-FFF2-40B4-BE49-F238E27FC236}">
              <a16:creationId xmlns:a16="http://schemas.microsoft.com/office/drawing/2014/main" id="{00000000-0008-0000-0A00-00000E000000}"/>
            </a:ext>
          </a:extLst>
        </xdr:cNvPr>
        <xdr:cNvSpPr/>
      </xdr:nvSpPr>
      <xdr:spPr>
        <a:xfrm>
          <a:off x="5336027" y="1007529"/>
          <a:ext cx="1568823" cy="404412"/>
        </a:xfrm>
        <a:prstGeom prst="round2SameRect">
          <a:avLst/>
        </a:prstGeom>
        <a:solidFill>
          <a:srgbClr val="54BCEB"/>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AE739B06-806C-41C1-AAD2-7D9DAB154007}" type="TxLink">
            <a:rPr lang="en-US" sz="1100" b="0" i="0" u="none" strike="noStrike">
              <a:solidFill>
                <a:srgbClr val="FFFFFF"/>
              </a:solidFill>
              <a:latin typeface="Arial" panose="020B0604020202020204" pitchFamily="34" charset="0"/>
              <a:cs typeface="Arial" panose="020B0604020202020204" pitchFamily="34" charset="0"/>
            </a:rPr>
            <a:pPr algn="ctr"/>
            <a:t>Prescriptive Measure List</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22</xdr:col>
      <xdr:colOff>2551</xdr:colOff>
      <xdr:row>4</xdr:row>
      <xdr:rowOff>200705</xdr:rowOff>
    </xdr:from>
    <xdr:to>
      <xdr:col>27</xdr:col>
      <xdr:colOff>2549</xdr:colOff>
      <xdr:row>7</xdr:row>
      <xdr:rowOff>0</xdr:rowOff>
    </xdr:to>
    <xdr:sp macro="" textlink="M1S5">
      <xdr:nvSpPr>
        <xdr:cNvPr id="15" name="SUBMENU5">
          <a:hlinkClick xmlns:r="http://schemas.openxmlformats.org/officeDocument/2006/relationships" r:id="rId15" tooltip=" "/>
          <a:extLst>
            <a:ext uri="{FF2B5EF4-FFF2-40B4-BE49-F238E27FC236}">
              <a16:creationId xmlns:a16="http://schemas.microsoft.com/office/drawing/2014/main" id="{00000000-0008-0000-0A00-00000F000000}"/>
            </a:ext>
          </a:extLst>
        </xdr:cNvPr>
        <xdr:cNvSpPr/>
      </xdr:nvSpPr>
      <xdr:spPr>
        <a:xfrm>
          <a:off x="6917701" y="1000805"/>
          <a:ext cx="1571623" cy="399370"/>
        </a:xfrm>
        <a:prstGeom prst="round2SameRect">
          <a:avLst/>
        </a:prstGeom>
        <a:solidFill>
          <a:srgbClr val="54BCEB"/>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074B07D3-C7F5-42E2-8A6D-93CDE8EC2933}" type="TxLink">
            <a:rPr lang="en-US" sz="1100" b="0" i="0" u="none" strike="noStrike">
              <a:solidFill>
                <a:srgbClr val="FFFFFF"/>
              </a:solidFill>
              <a:latin typeface="Arial" panose="020B0604020202020204" pitchFamily="34" charset="0"/>
              <a:cs typeface="Arial" panose="020B0604020202020204" pitchFamily="34" charset="0"/>
            </a:rPr>
            <a:pPr algn="ctr"/>
            <a:t>Operating Hours Calculator</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1</xdr:col>
      <xdr:colOff>558</xdr:colOff>
      <xdr:row>7</xdr:row>
      <xdr:rowOff>200024</xdr:rowOff>
    </xdr:from>
    <xdr:to>
      <xdr:col>44</xdr:col>
      <xdr:colOff>0</xdr:colOff>
      <xdr:row>199</xdr:row>
      <xdr:rowOff>0</xdr:rowOff>
    </xdr:to>
    <xdr:sp macro="" textlink="">
      <xdr:nvSpPr>
        <xdr:cNvPr id="19" name="BORDER">
          <a:extLst>
            <a:ext uri="{FF2B5EF4-FFF2-40B4-BE49-F238E27FC236}">
              <a16:creationId xmlns:a16="http://schemas.microsoft.com/office/drawing/2014/main" id="{00000000-0008-0000-0A00-000013000000}"/>
            </a:ext>
          </a:extLst>
        </xdr:cNvPr>
        <xdr:cNvSpPr/>
      </xdr:nvSpPr>
      <xdr:spPr>
        <a:xfrm>
          <a:off x="314323" y="1611965"/>
          <a:ext cx="13491324" cy="6052859"/>
        </a:xfrm>
        <a:prstGeom prst="frame">
          <a:avLst>
            <a:gd name="adj1" fmla="val 97"/>
          </a:avLst>
        </a:prstGeom>
        <a:noFill/>
        <a:ln w="12700" cap="flat" cmpd="sng" algn="ctr">
          <a:solidFill>
            <a:srgbClr val="00334E"/>
          </a:solidFill>
          <a:prstDash val="solid"/>
          <a:miter lim="800000"/>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fPrintsWithSheet="0"/>
  </xdr:twoCellAnchor>
  <xdr:twoCellAnchor editAs="oneCell">
    <xdr:from>
      <xdr:col>2</xdr:col>
      <xdr:colOff>2720</xdr:colOff>
      <xdr:row>8</xdr:row>
      <xdr:rowOff>201232</xdr:rowOff>
    </xdr:from>
    <xdr:to>
      <xdr:col>4</xdr:col>
      <xdr:colOff>960</xdr:colOff>
      <xdr:row>11</xdr:row>
      <xdr:rowOff>1207</xdr:rowOff>
    </xdr:to>
    <xdr:sp macro="" textlink="">
      <xdr:nvSpPr>
        <xdr:cNvPr id="20" name="BACK">
          <a:hlinkClick xmlns:r="http://schemas.openxmlformats.org/officeDocument/2006/relationships" r:id="rId16" tooltip=" "/>
          <a:extLst>
            <a:ext uri="{FF2B5EF4-FFF2-40B4-BE49-F238E27FC236}">
              <a16:creationId xmlns:a16="http://schemas.microsoft.com/office/drawing/2014/main" id="{00000000-0008-0000-0A00-000014000000}"/>
            </a:ext>
          </a:extLst>
        </xdr:cNvPr>
        <xdr:cNvSpPr>
          <a:spLocks noChangeAspect="1"/>
        </xdr:cNvSpPr>
      </xdr:nvSpPr>
      <xdr:spPr>
        <a:xfrm>
          <a:off x="631370" y="1801432"/>
          <a:ext cx="626890" cy="400050"/>
        </a:xfrm>
        <a:prstGeom prst="leftArrow">
          <a:avLst/>
        </a:prstGeom>
        <a:solidFill>
          <a:srgbClr val="54BCEB"/>
        </a:solidFill>
        <a:ln>
          <a:solidFill>
            <a:srgbClr val="54BCEB"/>
          </a:solidFill>
        </a:ln>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1</xdr:col>
      <xdr:colOff>0</xdr:colOff>
      <xdr:row>7</xdr:row>
      <xdr:rowOff>0</xdr:rowOff>
    </xdr:from>
    <xdr:to>
      <xdr:col>44</xdr:col>
      <xdr:colOff>11206</xdr:colOff>
      <xdr:row>8</xdr:row>
      <xdr:rowOff>0</xdr:rowOff>
    </xdr:to>
    <xdr:sp macro="" textlink="">
      <xdr:nvSpPr>
        <xdr:cNvPr id="21" name="BOTTOMRIBBON">
          <a:extLst>
            <a:ext uri="{FF2B5EF4-FFF2-40B4-BE49-F238E27FC236}">
              <a16:creationId xmlns:a16="http://schemas.microsoft.com/office/drawing/2014/main" id="{00000000-0008-0000-0A00-000015000000}"/>
            </a:ext>
          </a:extLst>
        </xdr:cNvPr>
        <xdr:cNvSpPr/>
      </xdr:nvSpPr>
      <xdr:spPr>
        <a:xfrm>
          <a:off x="313765" y="1411941"/>
          <a:ext cx="13503088" cy="201706"/>
        </a:xfrm>
        <a:prstGeom prst="rect">
          <a:avLst/>
        </a:prstGeom>
        <a:solidFill>
          <a:srgbClr val="00334E"/>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solidFill>
              <a:srgbClr val="FFFFFF"/>
            </a:solidFill>
          </a:endParaRPr>
        </a:p>
      </xdr:txBody>
    </xdr:sp>
    <xdr:clientData/>
  </xdr:twoCellAnchor>
  <xdr:twoCellAnchor editAs="oneCell">
    <xdr:from>
      <xdr:col>2</xdr:col>
      <xdr:colOff>102850</xdr:colOff>
      <xdr:row>0</xdr:row>
      <xdr:rowOff>156884</xdr:rowOff>
    </xdr:from>
    <xdr:to>
      <xdr:col>5</xdr:col>
      <xdr:colOff>30405</xdr:colOff>
      <xdr:row>2</xdr:row>
      <xdr:rowOff>195627</xdr:rowOff>
    </xdr:to>
    <xdr:pic>
      <xdr:nvPicPr>
        <xdr:cNvPr id="72" name="LOGO">
          <a:extLst>
            <a:ext uri="{FF2B5EF4-FFF2-40B4-BE49-F238E27FC236}">
              <a16:creationId xmlns:a16="http://schemas.microsoft.com/office/drawing/2014/main" id="{00000000-0008-0000-0A00-000048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xdr:blipFill>
      <xdr:spPr>
        <a:xfrm>
          <a:off x="730379" y="156884"/>
          <a:ext cx="868850" cy="442155"/>
        </a:xfrm>
        <a:prstGeom prst="rect">
          <a:avLst/>
        </a:prstGeom>
      </xdr:spPr>
    </xdr:pic>
    <xdr:clientData/>
  </xdr:twoCellAnchor>
  <xdr:twoCellAnchor editAs="oneCell">
    <xdr:from>
      <xdr:col>12</xdr:col>
      <xdr:colOff>150518</xdr:colOff>
      <xdr:row>12</xdr:row>
      <xdr:rowOff>87806</xdr:rowOff>
    </xdr:from>
    <xdr:to>
      <xdr:col>18</xdr:col>
      <xdr:colOff>78441</xdr:colOff>
      <xdr:row>22</xdr:row>
      <xdr:rowOff>79380</xdr:rowOff>
    </xdr:to>
    <xdr:pic>
      <xdr:nvPicPr>
        <xdr:cNvPr id="24" name="Picture 23">
          <a:hlinkClick xmlns:r="http://schemas.openxmlformats.org/officeDocument/2006/relationships" r:id="rId18"/>
          <a:extLst>
            <a:ext uri="{FF2B5EF4-FFF2-40B4-BE49-F238E27FC236}">
              <a16:creationId xmlns:a16="http://schemas.microsoft.com/office/drawing/2014/main" id="{00000000-0008-0000-0A00-000018000000}"/>
            </a:ext>
          </a:extLst>
        </xdr:cNvPr>
        <xdr:cNvPicPr>
          <a:picLocks/>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xdr:blipFill>
      <xdr:spPr>
        <a:xfrm>
          <a:off x="3960518" y="2469056"/>
          <a:ext cx="1832923" cy="1975949"/>
        </a:xfrm>
        <a:prstGeom prst="rect">
          <a:avLst/>
        </a:prstGeom>
        <a:noFill/>
      </xdr:spPr>
    </xdr:pic>
    <xdr:clientData/>
  </xdr:twoCellAnchor>
  <xdr:twoCellAnchor editAs="oneCell">
    <xdr:from>
      <xdr:col>19</xdr:col>
      <xdr:colOff>123256</xdr:colOff>
      <xdr:row>12</xdr:row>
      <xdr:rowOff>67184</xdr:rowOff>
    </xdr:from>
    <xdr:to>
      <xdr:col>25</xdr:col>
      <xdr:colOff>51179</xdr:colOff>
      <xdr:row>22</xdr:row>
      <xdr:rowOff>58757</xdr:rowOff>
    </xdr:to>
    <xdr:pic>
      <xdr:nvPicPr>
        <xdr:cNvPr id="25" name="Picture 24">
          <a:hlinkClick xmlns:r="http://schemas.openxmlformats.org/officeDocument/2006/relationships" r:id="rId20"/>
          <a:extLst>
            <a:ext uri="{FF2B5EF4-FFF2-40B4-BE49-F238E27FC236}">
              <a16:creationId xmlns:a16="http://schemas.microsoft.com/office/drawing/2014/main" id="{00000000-0008-0000-0A00-000019000000}"/>
            </a:ext>
          </a:extLst>
        </xdr:cNvPr>
        <xdr:cNvPicPr>
          <a:picLocks/>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xdr:blipFill>
      <xdr:spPr>
        <a:xfrm>
          <a:off x="6155756" y="2448434"/>
          <a:ext cx="1832923" cy="1975948"/>
        </a:xfrm>
        <a:prstGeom prst="rect">
          <a:avLst/>
        </a:prstGeom>
        <a:noFill/>
      </xdr:spPr>
    </xdr:pic>
    <xdr:clientData/>
  </xdr:twoCellAnchor>
  <xdr:twoCellAnchor editAs="oneCell">
    <xdr:from>
      <xdr:col>26</xdr:col>
      <xdr:colOff>145203</xdr:colOff>
      <xdr:row>23</xdr:row>
      <xdr:rowOff>168296</xdr:rowOff>
    </xdr:from>
    <xdr:to>
      <xdr:col>32</xdr:col>
      <xdr:colOff>73126</xdr:colOff>
      <xdr:row>33</xdr:row>
      <xdr:rowOff>159869</xdr:rowOff>
    </xdr:to>
    <xdr:pic>
      <xdr:nvPicPr>
        <xdr:cNvPr id="26" name="Picture 25">
          <a:hlinkClick xmlns:r="http://schemas.openxmlformats.org/officeDocument/2006/relationships" r:id="rId22"/>
          <a:extLst>
            <a:ext uri="{FF2B5EF4-FFF2-40B4-BE49-F238E27FC236}">
              <a16:creationId xmlns:a16="http://schemas.microsoft.com/office/drawing/2014/main" id="{00000000-0008-0000-0A00-00001A000000}"/>
            </a:ext>
          </a:extLst>
        </xdr:cNvPr>
        <xdr:cNvPicPr>
          <a:picLocks/>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a:stretch/>
      </xdr:blipFill>
      <xdr:spPr>
        <a:xfrm>
          <a:off x="8400203" y="4732359"/>
          <a:ext cx="1832923" cy="1975948"/>
        </a:xfrm>
        <a:prstGeom prst="rect">
          <a:avLst/>
        </a:prstGeom>
        <a:noFill/>
      </xdr:spPr>
    </xdr:pic>
    <xdr:clientData/>
  </xdr:twoCellAnchor>
  <xdr:twoCellAnchor editAs="oneCell">
    <xdr:from>
      <xdr:col>33</xdr:col>
      <xdr:colOff>122521</xdr:colOff>
      <xdr:row>12</xdr:row>
      <xdr:rowOff>21672</xdr:rowOff>
    </xdr:from>
    <xdr:to>
      <xdr:col>39</xdr:col>
      <xdr:colOff>50444</xdr:colOff>
      <xdr:row>22</xdr:row>
      <xdr:rowOff>13245</xdr:rowOff>
    </xdr:to>
    <xdr:pic>
      <xdr:nvPicPr>
        <xdr:cNvPr id="27" name="Picture 26">
          <a:hlinkClick xmlns:r="http://schemas.openxmlformats.org/officeDocument/2006/relationships" r:id="rId24"/>
          <a:extLst>
            <a:ext uri="{FF2B5EF4-FFF2-40B4-BE49-F238E27FC236}">
              <a16:creationId xmlns:a16="http://schemas.microsoft.com/office/drawing/2014/main" id="{00000000-0008-0000-0A00-00001B000000}"/>
            </a:ext>
          </a:extLst>
        </xdr:cNvPr>
        <xdr:cNvPicPr>
          <a:picLocks/>
        </xdr:cNvPicPr>
      </xdr:nvPicPr>
      <xdr:blipFill>
        <a:blip xmlns:r="http://schemas.openxmlformats.org/officeDocument/2006/relationships" r:embed="rId25" cstate="print">
          <a:extLst>
            <a:ext uri="{28A0092B-C50C-407E-A947-70E740481C1C}">
              <a14:useLocalDpi xmlns:a14="http://schemas.microsoft.com/office/drawing/2010/main" val="0"/>
            </a:ext>
          </a:extLst>
        </a:blip>
        <a:srcRect/>
        <a:stretch/>
      </xdr:blipFill>
      <xdr:spPr>
        <a:xfrm>
          <a:off x="10600021" y="2402922"/>
          <a:ext cx="1832923" cy="1975948"/>
        </a:xfrm>
        <a:prstGeom prst="rect">
          <a:avLst/>
        </a:prstGeom>
        <a:noFill/>
      </xdr:spPr>
    </xdr:pic>
    <xdr:clientData/>
  </xdr:twoCellAnchor>
  <xdr:twoCellAnchor editAs="oneCell">
    <xdr:from>
      <xdr:col>12</xdr:col>
      <xdr:colOff>255493</xdr:colOff>
      <xdr:row>23</xdr:row>
      <xdr:rowOff>141986</xdr:rowOff>
    </xdr:from>
    <xdr:to>
      <xdr:col>17</xdr:col>
      <xdr:colOff>271881</xdr:colOff>
      <xdr:row>33</xdr:row>
      <xdr:rowOff>133559</xdr:rowOff>
    </xdr:to>
    <xdr:pic>
      <xdr:nvPicPr>
        <xdr:cNvPr id="28" name="Picture 27">
          <a:hlinkClick xmlns:r="http://schemas.openxmlformats.org/officeDocument/2006/relationships" r:id="rId26"/>
          <a:extLst>
            <a:ext uri="{FF2B5EF4-FFF2-40B4-BE49-F238E27FC236}">
              <a16:creationId xmlns:a16="http://schemas.microsoft.com/office/drawing/2014/main" id="{00000000-0008-0000-0A00-00001C000000}"/>
            </a:ext>
          </a:extLst>
        </xdr:cNvPr>
        <xdr:cNvPicPr>
          <a:picLocks/>
        </xdr:cNvPicPr>
      </xdr:nvPicPr>
      <xdr:blipFill>
        <a:blip xmlns:r="http://schemas.openxmlformats.org/officeDocument/2006/relationships" r:embed="rId27" cstate="print">
          <a:extLst>
            <a:ext uri="{28A0092B-C50C-407E-A947-70E740481C1C}">
              <a14:useLocalDpi xmlns:a14="http://schemas.microsoft.com/office/drawing/2010/main" val="0"/>
            </a:ext>
          </a:extLst>
        </a:blip>
        <a:srcRect l="6222" r="6222"/>
        <a:stretch/>
      </xdr:blipFill>
      <xdr:spPr>
        <a:xfrm>
          <a:off x="4020669" y="4781221"/>
          <a:ext cx="1585212" cy="2008632"/>
        </a:xfrm>
        <a:prstGeom prst="rect">
          <a:avLst/>
        </a:prstGeom>
        <a:noFill/>
      </xdr:spPr>
    </xdr:pic>
    <xdr:clientData/>
  </xdr:twoCellAnchor>
  <xdr:twoCellAnchor editAs="oneCell">
    <xdr:from>
      <xdr:col>5</xdr:col>
      <xdr:colOff>150517</xdr:colOff>
      <xdr:row>12</xdr:row>
      <xdr:rowOff>112058</xdr:rowOff>
    </xdr:from>
    <xdr:to>
      <xdr:col>11</xdr:col>
      <xdr:colOff>78441</xdr:colOff>
      <xdr:row>22</xdr:row>
      <xdr:rowOff>103632</xdr:rowOff>
    </xdr:to>
    <xdr:pic>
      <xdr:nvPicPr>
        <xdr:cNvPr id="30" name="Picture 29">
          <a:hlinkClick xmlns:r="http://schemas.openxmlformats.org/officeDocument/2006/relationships" r:id="rId28"/>
          <a:extLst>
            <a:ext uri="{FF2B5EF4-FFF2-40B4-BE49-F238E27FC236}">
              <a16:creationId xmlns:a16="http://schemas.microsoft.com/office/drawing/2014/main" id="{00000000-0008-0000-0A00-00001E000000}"/>
            </a:ext>
          </a:extLst>
        </xdr:cNvPr>
        <xdr:cNvPicPr>
          <a:picLocks/>
        </xdr:cNvPicPr>
      </xdr:nvPicPr>
      <xdr:blipFill>
        <a:blip xmlns:r="http://schemas.openxmlformats.org/officeDocument/2006/relationships" r:embed="rId29" cstate="print">
          <a:extLst>
            <a:ext uri="{28A0092B-C50C-407E-A947-70E740481C1C}">
              <a14:useLocalDpi xmlns:a14="http://schemas.microsoft.com/office/drawing/2010/main" val="0"/>
            </a:ext>
          </a:extLst>
        </a:blip>
        <a:srcRect/>
        <a:stretch/>
      </xdr:blipFill>
      <xdr:spPr>
        <a:xfrm>
          <a:off x="1719341" y="2532529"/>
          <a:ext cx="1810512" cy="2008632"/>
        </a:xfrm>
        <a:prstGeom prst="rect">
          <a:avLst/>
        </a:prstGeom>
        <a:noFill/>
      </xdr:spPr>
    </xdr:pic>
    <xdr:clientData/>
  </xdr:twoCellAnchor>
  <xdr:twoCellAnchor editAs="oneCell">
    <xdr:from>
      <xdr:col>26</xdr:col>
      <xdr:colOff>126370</xdr:colOff>
      <xdr:row>12</xdr:row>
      <xdr:rowOff>40497</xdr:rowOff>
    </xdr:from>
    <xdr:to>
      <xdr:col>32</xdr:col>
      <xdr:colOff>54293</xdr:colOff>
      <xdr:row>22</xdr:row>
      <xdr:rowOff>32071</xdr:rowOff>
    </xdr:to>
    <xdr:pic>
      <xdr:nvPicPr>
        <xdr:cNvPr id="31" name="Picture 30">
          <a:hlinkClick xmlns:r="http://schemas.openxmlformats.org/officeDocument/2006/relationships" r:id="rId30"/>
          <a:extLst>
            <a:ext uri="{FF2B5EF4-FFF2-40B4-BE49-F238E27FC236}">
              <a16:creationId xmlns:a16="http://schemas.microsoft.com/office/drawing/2014/main" id="{00000000-0008-0000-0A00-00001F000000}"/>
            </a:ext>
          </a:extLst>
        </xdr:cNvPr>
        <xdr:cNvPicPr>
          <a:picLocks/>
        </xdr:cNvPicPr>
      </xdr:nvPicPr>
      <xdr:blipFill>
        <a:blip xmlns:r="http://schemas.openxmlformats.org/officeDocument/2006/relationships" r:embed="rId31" cstate="print">
          <a:extLst>
            <a:ext uri="{28A0092B-C50C-407E-A947-70E740481C1C}">
              <a14:useLocalDpi xmlns:a14="http://schemas.microsoft.com/office/drawing/2010/main" val="0"/>
            </a:ext>
          </a:extLst>
        </a:blip>
        <a:srcRect/>
        <a:stretch/>
      </xdr:blipFill>
      <xdr:spPr>
        <a:xfrm>
          <a:off x="8381370" y="2421747"/>
          <a:ext cx="1832923" cy="1975949"/>
        </a:xfrm>
        <a:prstGeom prst="rect">
          <a:avLst/>
        </a:prstGeom>
        <a:noFill/>
      </xdr:spPr>
    </xdr:pic>
    <xdr:clientData/>
  </xdr:twoCellAnchor>
  <xdr:twoCellAnchor editAs="oneCell">
    <xdr:from>
      <xdr:col>33</xdr:col>
      <xdr:colOff>137732</xdr:colOff>
      <xdr:row>23</xdr:row>
      <xdr:rowOff>178119</xdr:rowOff>
    </xdr:from>
    <xdr:to>
      <xdr:col>39</xdr:col>
      <xdr:colOff>65655</xdr:colOff>
      <xdr:row>33</xdr:row>
      <xdr:rowOff>169692</xdr:rowOff>
    </xdr:to>
    <xdr:pic>
      <xdr:nvPicPr>
        <xdr:cNvPr id="33" name="Picture 32">
          <a:hlinkClick xmlns:r="http://schemas.openxmlformats.org/officeDocument/2006/relationships" r:id="rId32"/>
          <a:extLst>
            <a:ext uri="{FF2B5EF4-FFF2-40B4-BE49-F238E27FC236}">
              <a16:creationId xmlns:a16="http://schemas.microsoft.com/office/drawing/2014/main" id="{00000000-0008-0000-0A00-000021000000}"/>
            </a:ext>
          </a:extLst>
        </xdr:cNvPr>
        <xdr:cNvPicPr>
          <a:picLocks/>
        </xdr:cNvPicPr>
      </xdr:nvPicPr>
      <xdr:blipFill>
        <a:blip xmlns:r="http://schemas.openxmlformats.org/officeDocument/2006/relationships" r:embed="rId33" cstate="print">
          <a:extLst>
            <a:ext uri="{28A0092B-C50C-407E-A947-70E740481C1C}">
              <a14:useLocalDpi xmlns:a14="http://schemas.microsoft.com/office/drawing/2010/main" val="0"/>
            </a:ext>
          </a:extLst>
        </a:blip>
        <a:srcRect/>
        <a:stretch/>
      </xdr:blipFill>
      <xdr:spPr>
        <a:xfrm>
          <a:off x="10615232" y="4742182"/>
          <a:ext cx="1832923" cy="1975948"/>
        </a:xfrm>
        <a:prstGeom prst="rect">
          <a:avLst/>
        </a:prstGeom>
        <a:noFill/>
      </xdr:spPr>
    </xdr:pic>
    <xdr:clientData/>
  </xdr:twoCellAnchor>
  <xdr:twoCellAnchor editAs="oneCell">
    <xdr:from>
      <xdr:col>19</xdr:col>
      <xdr:colOff>127643</xdr:colOff>
      <xdr:row>23</xdr:row>
      <xdr:rowOff>167175</xdr:rowOff>
    </xdr:from>
    <xdr:to>
      <xdr:col>25</xdr:col>
      <xdr:colOff>55566</xdr:colOff>
      <xdr:row>33</xdr:row>
      <xdr:rowOff>158748</xdr:rowOff>
    </xdr:to>
    <xdr:pic>
      <xdr:nvPicPr>
        <xdr:cNvPr id="34" name="Picture 33">
          <a:hlinkClick xmlns:r="http://schemas.openxmlformats.org/officeDocument/2006/relationships" r:id="rId34"/>
          <a:extLst>
            <a:ext uri="{FF2B5EF4-FFF2-40B4-BE49-F238E27FC236}">
              <a16:creationId xmlns:a16="http://schemas.microsoft.com/office/drawing/2014/main" id="{00000000-0008-0000-0A00-000022000000}"/>
            </a:ext>
          </a:extLst>
        </xdr:cNvPr>
        <xdr:cNvPicPr>
          <a:picLocks/>
        </xdr:cNvPicPr>
      </xdr:nvPicPr>
      <xdr:blipFill>
        <a:blip xmlns:r="http://schemas.openxmlformats.org/officeDocument/2006/relationships" r:embed="rId35" cstate="print">
          <a:extLst>
            <a:ext uri="{28A0092B-C50C-407E-A947-70E740481C1C}">
              <a14:useLocalDpi xmlns:a14="http://schemas.microsoft.com/office/drawing/2010/main" val="0"/>
            </a:ext>
          </a:extLst>
        </a:blip>
        <a:srcRect/>
        <a:stretch/>
      </xdr:blipFill>
      <xdr:spPr>
        <a:xfrm>
          <a:off x="6089172" y="4806410"/>
          <a:ext cx="1810512" cy="2008632"/>
        </a:xfrm>
        <a:prstGeom prst="rect">
          <a:avLst/>
        </a:prstGeom>
        <a:noFill/>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9</xdr:col>
      <xdr:colOff>14694</xdr:colOff>
      <xdr:row>13</xdr:row>
      <xdr:rowOff>22411</xdr:rowOff>
    </xdr:from>
    <xdr:to>
      <xdr:col>36</xdr:col>
      <xdr:colOff>5432</xdr:colOff>
      <xdr:row>32</xdr:row>
      <xdr:rowOff>78441</xdr:rowOff>
    </xdr:to>
    <xdr:pic>
      <xdr:nvPicPr>
        <xdr:cNvPr id="22" name="Picture 21">
          <a:extLst>
            <a:ext uri="{FF2B5EF4-FFF2-40B4-BE49-F238E27FC236}">
              <a16:creationId xmlns:a16="http://schemas.microsoft.com/office/drawing/2014/main" id="{00000000-0008-0000-0B00-00001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t="1208" b="1208"/>
        <a:stretch/>
      </xdr:blipFill>
      <xdr:spPr>
        <a:xfrm>
          <a:off x="2838576" y="2644587"/>
          <a:ext cx="8462385" cy="3888442"/>
        </a:xfrm>
        <a:prstGeom prst="rect">
          <a:avLst/>
        </a:prstGeom>
      </xdr:spPr>
    </xdr:pic>
    <xdr:clientData/>
  </xdr:twoCellAnchor>
  <xdr:twoCellAnchor>
    <xdr:from>
      <xdr:col>10</xdr:col>
      <xdr:colOff>0</xdr:colOff>
      <xdr:row>24</xdr:row>
      <xdr:rowOff>156882</xdr:rowOff>
    </xdr:from>
    <xdr:to>
      <xdr:col>35</xdr:col>
      <xdr:colOff>0</xdr:colOff>
      <xdr:row>30</xdr:row>
      <xdr:rowOff>156882</xdr:rowOff>
    </xdr:to>
    <xdr:sp macro="" textlink="">
      <xdr:nvSpPr>
        <xdr:cNvPr id="23" name="Rectangle 22">
          <a:hlinkClick xmlns:r="http://schemas.openxmlformats.org/officeDocument/2006/relationships" r:id="rId2" tooltip="Prescriptive Incentive List"/>
          <a:extLst>
            <a:ext uri="{FF2B5EF4-FFF2-40B4-BE49-F238E27FC236}">
              <a16:creationId xmlns:a16="http://schemas.microsoft.com/office/drawing/2014/main" id="{00000000-0008-0000-0B00-000017000000}"/>
            </a:ext>
          </a:extLst>
        </xdr:cNvPr>
        <xdr:cNvSpPr/>
      </xdr:nvSpPr>
      <xdr:spPr>
        <a:xfrm>
          <a:off x="3137647" y="4997823"/>
          <a:ext cx="7844118" cy="121023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27</xdr:col>
      <xdr:colOff>0</xdr:colOff>
      <xdr:row>4</xdr:row>
      <xdr:rowOff>200705</xdr:rowOff>
    </xdr:from>
    <xdr:to>
      <xdr:col>32</xdr:col>
      <xdr:colOff>2865</xdr:colOff>
      <xdr:row>7</xdr:row>
      <xdr:rowOff>0</xdr:rowOff>
    </xdr:to>
    <xdr:sp macro="" textlink="M1S6">
      <xdr:nvSpPr>
        <xdr:cNvPr id="16" name="SUBMENU6">
          <a:hlinkClick xmlns:r="http://schemas.openxmlformats.org/officeDocument/2006/relationships" r:id="rId3"/>
          <a:extLst>
            <a:ext uri="{FF2B5EF4-FFF2-40B4-BE49-F238E27FC236}">
              <a16:creationId xmlns:a16="http://schemas.microsoft.com/office/drawing/2014/main" id="{00000000-0008-0000-0B00-000010000000}"/>
            </a:ext>
          </a:extLst>
        </xdr:cNvPr>
        <xdr:cNvSpPr/>
      </xdr:nvSpPr>
      <xdr:spPr>
        <a:xfrm>
          <a:off x="8486775" y="1000805"/>
          <a:ext cx="1574490" cy="399370"/>
        </a:xfrm>
        <a:prstGeom prst="round2SameRect">
          <a:avLst/>
        </a:prstGeom>
        <a:noFill/>
        <a:ln w="12700">
          <a:no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3895239F-CA13-455E-B384-0BD1EC0A3A85}" type="TxLink">
            <a:rPr lang="en-US" sz="1100" b="0" i="0" u="none" strike="noStrike">
              <a:solidFill>
                <a:srgbClr val="FFFFFF"/>
              </a:solidFill>
              <a:latin typeface="Arial" panose="020B0604020202020204" pitchFamily="34" charset="0"/>
              <a:cs typeface="Arial" panose="020B0604020202020204" pitchFamily="34" charset="0"/>
            </a:rPr>
            <a:pPr algn="ctr"/>
            <a:t> </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32</xdr:col>
      <xdr:colOff>2865</xdr:colOff>
      <xdr:row>4</xdr:row>
      <xdr:rowOff>200705</xdr:rowOff>
    </xdr:from>
    <xdr:to>
      <xdr:col>37</xdr:col>
      <xdr:colOff>2720</xdr:colOff>
      <xdr:row>7</xdr:row>
      <xdr:rowOff>0</xdr:rowOff>
    </xdr:to>
    <xdr:sp macro="" textlink="M1S7">
      <xdr:nvSpPr>
        <xdr:cNvPr id="17" name="SUBMENU7">
          <a:hlinkClick xmlns:r="http://schemas.openxmlformats.org/officeDocument/2006/relationships" r:id="rId4"/>
          <a:extLst>
            <a:ext uri="{FF2B5EF4-FFF2-40B4-BE49-F238E27FC236}">
              <a16:creationId xmlns:a16="http://schemas.microsoft.com/office/drawing/2014/main" id="{00000000-0008-0000-0B00-000011000000}"/>
            </a:ext>
          </a:extLst>
        </xdr:cNvPr>
        <xdr:cNvSpPr/>
      </xdr:nvSpPr>
      <xdr:spPr>
        <a:xfrm>
          <a:off x="10061265" y="1000805"/>
          <a:ext cx="1571480" cy="399370"/>
        </a:xfrm>
        <a:prstGeom prst="round2SameRect">
          <a:avLst/>
        </a:prstGeom>
        <a:noFill/>
        <a:ln w="25400">
          <a:no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D599586B-580C-4649-BAE7-1A9160B03CD3}" type="TxLink">
            <a:rPr lang="en-US" sz="1100" b="0" i="0" u="none" strike="noStrike">
              <a:solidFill>
                <a:srgbClr val="FFFFFF"/>
              </a:solidFill>
              <a:latin typeface="Arial" panose="020B0604020202020204" pitchFamily="34" charset="0"/>
              <a:cs typeface="Arial" panose="020B0604020202020204" pitchFamily="34" charset="0"/>
            </a:rPr>
            <a:pPr algn="ctr"/>
            <a:t> </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37</xdr:col>
      <xdr:colOff>2720</xdr:colOff>
      <xdr:row>4</xdr:row>
      <xdr:rowOff>200705</xdr:rowOff>
    </xdr:from>
    <xdr:to>
      <xdr:col>42</xdr:col>
      <xdr:colOff>0</xdr:colOff>
      <xdr:row>7</xdr:row>
      <xdr:rowOff>0</xdr:rowOff>
    </xdr:to>
    <xdr:sp macro="" textlink="M1S8">
      <xdr:nvSpPr>
        <xdr:cNvPr id="18" name="SUBMENU8">
          <a:hlinkClick xmlns:r="http://schemas.openxmlformats.org/officeDocument/2006/relationships" r:id="rId5"/>
          <a:extLst>
            <a:ext uri="{FF2B5EF4-FFF2-40B4-BE49-F238E27FC236}">
              <a16:creationId xmlns:a16="http://schemas.microsoft.com/office/drawing/2014/main" id="{00000000-0008-0000-0B00-000012000000}"/>
            </a:ext>
          </a:extLst>
        </xdr:cNvPr>
        <xdr:cNvSpPr/>
      </xdr:nvSpPr>
      <xdr:spPr>
        <a:xfrm>
          <a:off x="11632745" y="1000805"/>
          <a:ext cx="1568905" cy="399370"/>
        </a:xfrm>
        <a:prstGeom prst="round2SameRect">
          <a:avLst/>
        </a:prstGeom>
        <a:noFill/>
        <a:ln w="25400">
          <a:no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471F2687-6E45-4175-A81A-2816B725423B}" type="TxLink">
            <a:rPr lang="en-US" sz="1100" b="0" i="0" u="none" strike="noStrike">
              <a:solidFill>
                <a:srgbClr val="FFFFFF"/>
              </a:solidFill>
              <a:latin typeface="Arial" panose="020B0604020202020204" pitchFamily="34" charset="0"/>
              <a:cs typeface="Arial" panose="020B0604020202020204" pitchFamily="34" charset="0"/>
            </a:rPr>
            <a:pPr algn="ctr"/>
            <a:t> </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7</xdr:col>
      <xdr:colOff>3008</xdr:colOff>
      <xdr:row>1</xdr:row>
      <xdr:rowOff>133351</xdr:rowOff>
    </xdr:from>
    <xdr:to>
      <xdr:col>12</xdr:col>
      <xdr:colOff>2551</xdr:colOff>
      <xdr:row>4</xdr:row>
      <xdr:rowOff>133351</xdr:rowOff>
    </xdr:to>
    <xdr:sp macro="" textlink="MAIN1">
      <xdr:nvSpPr>
        <xdr:cNvPr id="3" name="MENU1">
          <a:hlinkClick xmlns:r="http://schemas.openxmlformats.org/officeDocument/2006/relationships" r:id="rId6" tooltip=" "/>
          <a:extLst>
            <a:ext uri="{FF2B5EF4-FFF2-40B4-BE49-F238E27FC236}">
              <a16:creationId xmlns:a16="http://schemas.microsoft.com/office/drawing/2014/main" id="{00000000-0008-0000-0B00-000003000000}"/>
            </a:ext>
          </a:extLst>
        </xdr:cNvPr>
        <xdr:cNvSpPr/>
      </xdr:nvSpPr>
      <xdr:spPr>
        <a:xfrm>
          <a:off x="2199361" y="335057"/>
          <a:ext cx="1568366" cy="605118"/>
        </a:xfrm>
        <a:prstGeom prst="round2SameRect">
          <a:avLst/>
        </a:prstGeom>
        <a:solidFill>
          <a:srgbClr val="A6A5AA"/>
        </a:solidFill>
        <a:ln w="12700">
          <a:solidFill>
            <a:srgbClr val="A6A5AA"/>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D6F2F067-2676-4601-ABCE-75BD5137E3D5}" type="TxLink">
            <a:rPr lang="en-US" sz="1100" b="0" i="0" u="none" strike="noStrike">
              <a:solidFill>
                <a:schemeClr val="bg1"/>
              </a:solidFill>
              <a:latin typeface="Arial" panose="020B0604020202020204" pitchFamily="34" charset="0"/>
              <a:cs typeface="Arial" panose="020B0604020202020204" pitchFamily="34" charset="0"/>
            </a:rPr>
            <a:pPr algn="ctr"/>
            <a:t>START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xdr:col>
      <xdr:colOff>0</xdr:colOff>
      <xdr:row>4</xdr:row>
      <xdr:rowOff>1</xdr:rowOff>
    </xdr:from>
    <xdr:to>
      <xdr:col>44</xdr:col>
      <xdr:colOff>13806</xdr:colOff>
      <xdr:row>7</xdr:row>
      <xdr:rowOff>0</xdr:rowOff>
    </xdr:to>
    <xdr:sp macro="" textlink="">
      <xdr:nvSpPr>
        <xdr:cNvPr id="10" name="TOPRIBBON">
          <a:extLst>
            <a:ext uri="{FF2B5EF4-FFF2-40B4-BE49-F238E27FC236}">
              <a16:creationId xmlns:a16="http://schemas.microsoft.com/office/drawing/2014/main" id="{00000000-0008-0000-0B00-00000A000000}"/>
            </a:ext>
          </a:extLst>
        </xdr:cNvPr>
        <xdr:cNvSpPr/>
      </xdr:nvSpPr>
      <xdr:spPr>
        <a:xfrm>
          <a:off x="313765" y="806825"/>
          <a:ext cx="13505688" cy="605116"/>
        </a:xfrm>
        <a:prstGeom prst="round2SameRect">
          <a:avLst/>
        </a:prstGeom>
        <a:solidFill>
          <a:srgbClr val="A6A5A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p>
      </xdr:txBody>
    </xdr:sp>
    <xdr:clientData/>
  </xdr:twoCellAnchor>
  <xdr:twoCellAnchor editAs="oneCell">
    <xdr:from>
      <xdr:col>41</xdr:col>
      <xdr:colOff>0</xdr:colOff>
      <xdr:row>9</xdr:row>
      <xdr:rowOff>1047</xdr:rowOff>
    </xdr:from>
    <xdr:to>
      <xdr:col>43</xdr:col>
      <xdr:colOff>231</xdr:colOff>
      <xdr:row>11</xdr:row>
      <xdr:rowOff>1046</xdr:rowOff>
    </xdr:to>
    <xdr:sp macro="" textlink="">
      <xdr:nvSpPr>
        <xdr:cNvPr id="2" name="NEXT">
          <a:hlinkClick xmlns:r="http://schemas.openxmlformats.org/officeDocument/2006/relationships" r:id="rId7" tooltip=" "/>
          <a:extLst>
            <a:ext uri="{FF2B5EF4-FFF2-40B4-BE49-F238E27FC236}">
              <a16:creationId xmlns:a16="http://schemas.microsoft.com/office/drawing/2014/main" id="{00000000-0008-0000-0B00-000002000000}"/>
            </a:ext>
          </a:extLst>
        </xdr:cNvPr>
        <xdr:cNvSpPr>
          <a:spLocks noChangeAspect="1"/>
        </xdr:cNvSpPr>
      </xdr:nvSpPr>
      <xdr:spPr>
        <a:xfrm>
          <a:off x="12887325" y="1801272"/>
          <a:ext cx="627520" cy="400049"/>
        </a:xfrm>
        <a:prstGeom prst="rightArrow">
          <a:avLst/>
        </a:prstGeom>
        <a:solidFill>
          <a:srgbClr val="54BCEB"/>
        </a:solidFill>
        <a:ln>
          <a:solidFill>
            <a:srgbClr val="54BCEB"/>
          </a:solidFill>
        </a:ln>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12</xdr:col>
      <xdr:colOff>1913</xdr:colOff>
      <xdr:row>1</xdr:row>
      <xdr:rowOff>0</xdr:rowOff>
    </xdr:from>
    <xdr:to>
      <xdr:col>17</xdr:col>
      <xdr:colOff>1913</xdr:colOff>
      <xdr:row>4</xdr:row>
      <xdr:rowOff>0</xdr:rowOff>
    </xdr:to>
    <xdr:sp macro="" textlink="MAIN2">
      <xdr:nvSpPr>
        <xdr:cNvPr id="4" name="MENU2">
          <a:hlinkClick xmlns:r="http://schemas.openxmlformats.org/officeDocument/2006/relationships" r:id="rId8" tooltip=" "/>
          <a:extLst>
            <a:ext uri="{FF2B5EF4-FFF2-40B4-BE49-F238E27FC236}">
              <a16:creationId xmlns:a16="http://schemas.microsoft.com/office/drawing/2014/main" id="{00000000-0008-0000-0B00-000004000000}"/>
            </a:ext>
          </a:extLst>
        </xdr:cNvPr>
        <xdr:cNvSpPr/>
      </xdr:nvSpPr>
      <xdr:spPr>
        <a:xfrm>
          <a:off x="3767089" y="201706"/>
          <a:ext cx="1568824" cy="605118"/>
        </a:xfrm>
        <a:prstGeom prst="round2SameRect">
          <a:avLst/>
        </a:prstGeom>
        <a:solidFill>
          <a:srgbClr val="00334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59A035B9-F1D2-4E89-B262-AF2DF0C338A9}"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PROJECT INFORMATION</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17</xdr:col>
      <xdr:colOff>1275</xdr:colOff>
      <xdr:row>1</xdr:row>
      <xdr:rowOff>0</xdr:rowOff>
    </xdr:from>
    <xdr:to>
      <xdr:col>22</xdr:col>
      <xdr:colOff>1275</xdr:colOff>
      <xdr:row>4</xdr:row>
      <xdr:rowOff>0</xdr:rowOff>
    </xdr:to>
    <xdr:sp macro="" textlink="MAIN3">
      <xdr:nvSpPr>
        <xdr:cNvPr id="5" name="MENU3">
          <a:hlinkClick xmlns:r="http://schemas.openxmlformats.org/officeDocument/2006/relationships" r:id="rId9" tooltip=" "/>
          <a:extLst>
            <a:ext uri="{FF2B5EF4-FFF2-40B4-BE49-F238E27FC236}">
              <a16:creationId xmlns:a16="http://schemas.microsoft.com/office/drawing/2014/main" id="{00000000-0008-0000-0B00-000005000000}"/>
            </a:ext>
          </a:extLst>
        </xdr:cNvPr>
        <xdr:cNvSpPr/>
      </xdr:nvSpPr>
      <xdr:spPr>
        <a:xfrm>
          <a:off x="5335275" y="201706"/>
          <a:ext cx="1568824" cy="605118"/>
        </a:xfrm>
        <a:prstGeom prst="round2SameRect">
          <a:avLst/>
        </a:prstGeom>
        <a:solidFill>
          <a:srgbClr val="00334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06A037F-AE33-47CC-85C1-F6D62694F95D}"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PRESCRIPTIVE MEASURES INPUT</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22</xdr:col>
      <xdr:colOff>637</xdr:colOff>
      <xdr:row>1</xdr:row>
      <xdr:rowOff>0</xdr:rowOff>
    </xdr:from>
    <xdr:to>
      <xdr:col>27</xdr:col>
      <xdr:colOff>637</xdr:colOff>
      <xdr:row>4</xdr:row>
      <xdr:rowOff>0</xdr:rowOff>
    </xdr:to>
    <xdr:sp macro="" textlink="MAIN4">
      <xdr:nvSpPr>
        <xdr:cNvPr id="6" name="MENU4">
          <a:hlinkClick xmlns:r="http://schemas.openxmlformats.org/officeDocument/2006/relationships" r:id="rId10" tooltip=" "/>
          <a:extLst>
            <a:ext uri="{FF2B5EF4-FFF2-40B4-BE49-F238E27FC236}">
              <a16:creationId xmlns:a16="http://schemas.microsoft.com/office/drawing/2014/main" id="{00000000-0008-0000-0B00-000006000000}"/>
            </a:ext>
          </a:extLst>
        </xdr:cNvPr>
        <xdr:cNvSpPr/>
      </xdr:nvSpPr>
      <xdr:spPr>
        <a:xfrm>
          <a:off x="6903461" y="201706"/>
          <a:ext cx="1568823" cy="605118"/>
        </a:xfrm>
        <a:prstGeom prst="round2SameRect">
          <a:avLst/>
        </a:prstGeom>
        <a:solidFill>
          <a:srgbClr val="00334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CB369157-CA5B-4E40-B1DE-604993B819B3}"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CUSTOM MEASURES INPUT</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27</xdr:col>
      <xdr:colOff>0</xdr:colOff>
      <xdr:row>1</xdr:row>
      <xdr:rowOff>0</xdr:rowOff>
    </xdr:from>
    <xdr:to>
      <xdr:col>32</xdr:col>
      <xdr:colOff>0</xdr:colOff>
      <xdr:row>4</xdr:row>
      <xdr:rowOff>0</xdr:rowOff>
    </xdr:to>
    <xdr:sp macro="" textlink="MAIN5">
      <xdr:nvSpPr>
        <xdr:cNvPr id="7" name="MENU5">
          <a:hlinkClick xmlns:r="http://schemas.openxmlformats.org/officeDocument/2006/relationships" r:id="rId11" tooltip=" "/>
          <a:extLst>
            <a:ext uri="{FF2B5EF4-FFF2-40B4-BE49-F238E27FC236}">
              <a16:creationId xmlns:a16="http://schemas.microsoft.com/office/drawing/2014/main" id="{00000000-0008-0000-0B00-000007000000}"/>
            </a:ext>
          </a:extLst>
        </xdr:cNvPr>
        <xdr:cNvSpPr/>
      </xdr:nvSpPr>
      <xdr:spPr>
        <a:xfrm>
          <a:off x="8486775" y="200025"/>
          <a:ext cx="1571625" cy="600075"/>
        </a:xfrm>
        <a:prstGeom prst="round2SameRect">
          <a:avLst/>
        </a:prstGeom>
        <a:solidFill>
          <a:srgbClr val="00334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F0EEDDA6-4934-49B4-972D-20D21D440D82}"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APPLICATION REVIEW</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31</xdr:col>
      <xdr:colOff>314323</xdr:colOff>
      <xdr:row>1</xdr:row>
      <xdr:rowOff>1</xdr:rowOff>
    </xdr:from>
    <xdr:to>
      <xdr:col>36</xdr:col>
      <xdr:colOff>314324</xdr:colOff>
      <xdr:row>4</xdr:row>
      <xdr:rowOff>1</xdr:rowOff>
    </xdr:to>
    <xdr:sp macro="" textlink="MAIN6">
      <xdr:nvSpPr>
        <xdr:cNvPr id="8" name="MENU6">
          <a:extLst>
            <a:ext uri="{FF2B5EF4-FFF2-40B4-BE49-F238E27FC236}">
              <a16:creationId xmlns:a16="http://schemas.microsoft.com/office/drawing/2014/main" id="{00000000-0008-0000-0B00-000008000000}"/>
            </a:ext>
          </a:extLst>
        </xdr:cNvPr>
        <xdr:cNvSpPr/>
      </xdr:nvSpPr>
      <xdr:spPr>
        <a:xfrm>
          <a:off x="10058398" y="200026"/>
          <a:ext cx="1571626"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00B050"/>
              </a:solidFill>
            </a14:hiddenFill>
          </a:ext>
          <a:ext uri="{91240B29-F687-4F45-9708-019B960494DF}">
            <a14:hiddenLine xmlns:a14="http://schemas.microsoft.com/office/drawing/2010/main" w="25400" cap="flat" cmpd="sng" algn="ctr">
              <a:solidFill>
                <a:srgbClr val="7F7F7F"/>
              </a:solidFill>
              <a:prstDash val="solid"/>
              <a:miter lim="800000"/>
            </a14:hiddenLine>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B12A3774-975E-4B41-A681-E085295C6D0E}" type="TxLink">
            <a:rPr lang="en-US" sz="1100" b="0" i="0" u="none" strike="noStrike">
              <a:noFill/>
              <a:latin typeface="Arial" panose="020B0604020202020204" pitchFamily="34" charset="0"/>
              <a:cs typeface="Arial" panose="020B0604020202020204" pitchFamily="34" charset="0"/>
            </a:rPr>
            <a:pPr algn="ctr"/>
            <a:t> </a:t>
          </a:fld>
          <a:endParaRPr lang="en-US" sz="1100">
            <a:noFill/>
            <a:latin typeface="Arial" panose="020B0604020202020204" pitchFamily="34" charset="0"/>
            <a:cs typeface="Arial" panose="020B0604020202020204" pitchFamily="34" charset="0"/>
          </a:endParaRPr>
        </a:p>
      </xdr:txBody>
    </xdr:sp>
    <xdr:clientData/>
  </xdr:twoCellAnchor>
  <xdr:twoCellAnchor>
    <xdr:from>
      <xdr:col>36</xdr:col>
      <xdr:colOff>314324</xdr:colOff>
      <xdr:row>1</xdr:row>
      <xdr:rowOff>0</xdr:rowOff>
    </xdr:from>
    <xdr:to>
      <xdr:col>41</xdr:col>
      <xdr:colOff>314324</xdr:colOff>
      <xdr:row>4</xdr:row>
      <xdr:rowOff>0</xdr:rowOff>
    </xdr:to>
    <xdr:sp macro="" textlink="MAIN7">
      <xdr:nvSpPr>
        <xdr:cNvPr id="9" name="MENU7">
          <a:extLst>
            <a:ext uri="{FF2B5EF4-FFF2-40B4-BE49-F238E27FC236}">
              <a16:creationId xmlns:a16="http://schemas.microsoft.com/office/drawing/2014/main" id="{00000000-0008-0000-0B00-000009000000}"/>
            </a:ext>
          </a:extLst>
        </xdr:cNvPr>
        <xdr:cNvSpPr/>
      </xdr:nvSpPr>
      <xdr:spPr>
        <a:xfrm>
          <a:off x="11630024" y="200025"/>
          <a:ext cx="1571625"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00B050"/>
              </a:solidFill>
            </a14:hiddenFill>
          </a:ext>
          <a:ext uri="{91240B29-F687-4F45-9708-019B960494DF}">
            <a14:hiddenLine xmlns:a14="http://schemas.microsoft.com/office/drawing/2010/main" w="25400" cap="flat" cmpd="sng" algn="ctr">
              <a:solidFill>
                <a:srgbClr val="7F7F7F"/>
              </a:solidFill>
              <a:prstDash val="solid"/>
              <a:miter lim="800000"/>
            </a14:hiddenLine>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 </a:t>
          </a:fld>
          <a:endParaRPr lang="en-US" sz="1100">
            <a:noFill/>
            <a:latin typeface="Arial" panose="020B0604020202020204" pitchFamily="34" charset="0"/>
            <a:cs typeface="Arial" panose="020B0604020202020204" pitchFamily="34" charset="0"/>
          </a:endParaRPr>
        </a:p>
      </xdr:txBody>
    </xdr:sp>
    <xdr:clientData/>
  </xdr:twoCellAnchor>
  <xdr:twoCellAnchor>
    <xdr:from>
      <xdr:col>2</xdr:col>
      <xdr:colOff>2720</xdr:colOff>
      <xdr:row>5</xdr:row>
      <xdr:rowOff>0</xdr:rowOff>
    </xdr:from>
    <xdr:to>
      <xdr:col>7</xdr:col>
      <xdr:colOff>457</xdr:colOff>
      <xdr:row>6</xdr:row>
      <xdr:rowOff>197827</xdr:rowOff>
    </xdr:to>
    <xdr:sp macro="" textlink="M1S1">
      <xdr:nvSpPr>
        <xdr:cNvPr id="11" name="SUBMENU1">
          <a:hlinkClick xmlns:r="http://schemas.openxmlformats.org/officeDocument/2006/relationships" r:id="rId6" tooltip=" "/>
          <a:extLst>
            <a:ext uri="{FF2B5EF4-FFF2-40B4-BE49-F238E27FC236}">
              <a16:creationId xmlns:a16="http://schemas.microsoft.com/office/drawing/2014/main" id="{00000000-0008-0000-0B00-00000B000000}"/>
            </a:ext>
          </a:extLst>
        </xdr:cNvPr>
        <xdr:cNvSpPr/>
      </xdr:nvSpPr>
      <xdr:spPr>
        <a:xfrm>
          <a:off x="631370" y="1000125"/>
          <a:ext cx="1569362" cy="397852"/>
        </a:xfrm>
        <a:prstGeom prst="round2SameRect">
          <a:avLst/>
        </a:prstGeom>
        <a:solidFill>
          <a:srgbClr val="54BCEB"/>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5C76F627-6876-4600-9244-85A6705FD7EE}" type="TxLink">
            <a:rPr lang="en-US" sz="1100" b="0" i="0" u="none" strike="noStrike">
              <a:solidFill>
                <a:srgbClr val="FFFFFF"/>
              </a:solidFill>
              <a:latin typeface="Arial" panose="020B0604020202020204" pitchFamily="34" charset="0"/>
              <a:cs typeface="Arial" panose="020B0604020202020204" pitchFamily="34" charset="0"/>
            </a:rPr>
            <a:pPr algn="ctr"/>
            <a:t>Welcome</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7</xdr:col>
      <xdr:colOff>981</xdr:colOff>
      <xdr:row>4</xdr:row>
      <xdr:rowOff>200705</xdr:rowOff>
    </xdr:from>
    <xdr:to>
      <xdr:col>12</xdr:col>
      <xdr:colOff>980</xdr:colOff>
      <xdr:row>7</xdr:row>
      <xdr:rowOff>0</xdr:rowOff>
    </xdr:to>
    <xdr:sp macro="" textlink="M1S2">
      <xdr:nvSpPr>
        <xdr:cNvPr id="12" name="SUBMENU2">
          <a:hlinkClick xmlns:r="http://schemas.openxmlformats.org/officeDocument/2006/relationships" r:id="rId12" tooltip=" "/>
          <a:extLst>
            <a:ext uri="{FF2B5EF4-FFF2-40B4-BE49-F238E27FC236}">
              <a16:creationId xmlns:a16="http://schemas.microsoft.com/office/drawing/2014/main" id="{00000000-0008-0000-0B00-00000C000000}"/>
            </a:ext>
          </a:extLst>
        </xdr:cNvPr>
        <xdr:cNvSpPr/>
      </xdr:nvSpPr>
      <xdr:spPr>
        <a:xfrm>
          <a:off x="2197334" y="1007529"/>
          <a:ext cx="1568822" cy="404412"/>
        </a:xfrm>
        <a:prstGeom prst="round2SameRect">
          <a:avLst/>
        </a:prstGeom>
        <a:solidFill>
          <a:srgbClr val="54BCEB"/>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CF8290D4-6497-486F-BAC6-BA480F9F34D0}" type="TxLink">
            <a:rPr lang="en-US" sz="1100" b="0" i="0" u="none" strike="noStrike">
              <a:solidFill>
                <a:srgbClr val="FFFFFF"/>
              </a:solidFill>
              <a:latin typeface="Arial" panose="020B0604020202020204" pitchFamily="34" charset="0"/>
              <a:cs typeface="Arial" panose="020B0604020202020204" pitchFamily="34" charset="0"/>
            </a:rPr>
            <a:pPr algn="ctr"/>
            <a:t>Energy Efficiency Programs</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12</xdr:col>
      <xdr:colOff>1504</xdr:colOff>
      <xdr:row>4</xdr:row>
      <xdr:rowOff>200705</xdr:rowOff>
    </xdr:from>
    <xdr:to>
      <xdr:col>17</xdr:col>
      <xdr:colOff>1503</xdr:colOff>
      <xdr:row>7</xdr:row>
      <xdr:rowOff>0</xdr:rowOff>
    </xdr:to>
    <xdr:sp macro="" textlink="M1S3">
      <xdr:nvSpPr>
        <xdr:cNvPr id="13" name="SUBMENU3">
          <a:hlinkClick xmlns:r="http://schemas.openxmlformats.org/officeDocument/2006/relationships" r:id="rId13" tooltip=" "/>
          <a:extLst>
            <a:ext uri="{FF2B5EF4-FFF2-40B4-BE49-F238E27FC236}">
              <a16:creationId xmlns:a16="http://schemas.microsoft.com/office/drawing/2014/main" id="{00000000-0008-0000-0B00-00000D000000}"/>
            </a:ext>
          </a:extLst>
        </xdr:cNvPr>
        <xdr:cNvSpPr/>
      </xdr:nvSpPr>
      <xdr:spPr>
        <a:xfrm>
          <a:off x="3766680" y="1007529"/>
          <a:ext cx="1568823" cy="404412"/>
        </a:xfrm>
        <a:prstGeom prst="round2SameRect">
          <a:avLst/>
        </a:prstGeom>
        <a:solidFill>
          <a:srgbClr val="54BCEB"/>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E71BE52B-FF38-412C-B4D1-421FD04CF2FA}" type="TxLink">
            <a:rPr lang="en-US" sz="1100" b="0" i="0" u="none" strike="noStrike">
              <a:solidFill>
                <a:srgbClr val="FFFFFF"/>
              </a:solidFill>
              <a:latin typeface="Arial" panose="020B0604020202020204" pitchFamily="34" charset="0"/>
              <a:cs typeface="Arial" panose="020B0604020202020204" pitchFamily="34" charset="0"/>
            </a:rPr>
            <a:pPr algn="ctr"/>
            <a:t>Information Links</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17</xdr:col>
      <xdr:colOff>2027</xdr:colOff>
      <xdr:row>5</xdr:row>
      <xdr:rowOff>51480</xdr:rowOff>
    </xdr:from>
    <xdr:to>
      <xdr:col>22</xdr:col>
      <xdr:colOff>2026</xdr:colOff>
      <xdr:row>7</xdr:row>
      <xdr:rowOff>50800</xdr:rowOff>
    </xdr:to>
    <xdr:sp macro="" textlink="M1S4">
      <xdr:nvSpPr>
        <xdr:cNvPr id="14" name="SUBMENU4">
          <a:hlinkClick xmlns:r="http://schemas.openxmlformats.org/officeDocument/2006/relationships" r:id="rId14" tooltip=" "/>
          <a:extLst>
            <a:ext uri="{FF2B5EF4-FFF2-40B4-BE49-F238E27FC236}">
              <a16:creationId xmlns:a16="http://schemas.microsoft.com/office/drawing/2014/main" id="{00000000-0008-0000-0B00-00000E000000}"/>
            </a:ext>
          </a:extLst>
        </xdr:cNvPr>
        <xdr:cNvSpPr/>
      </xdr:nvSpPr>
      <xdr:spPr>
        <a:xfrm>
          <a:off x="5336027" y="1060009"/>
          <a:ext cx="1568823" cy="402732"/>
        </a:xfrm>
        <a:prstGeom prst="round2SameRect">
          <a:avLst/>
        </a:prstGeom>
        <a:solidFill>
          <a:srgbClr val="00334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AE739B06-806C-41C1-AAD2-7D9DAB154007}" type="TxLink">
            <a:rPr lang="en-US" sz="1100" b="0" i="0" u="none" strike="noStrike">
              <a:solidFill>
                <a:srgbClr val="FFFFFF"/>
              </a:solidFill>
              <a:latin typeface="Arial" panose="020B0604020202020204" pitchFamily="34" charset="0"/>
              <a:cs typeface="Arial" panose="020B0604020202020204" pitchFamily="34" charset="0"/>
            </a:rPr>
            <a:pPr algn="ctr"/>
            <a:t>Prescriptive Measure List</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22</xdr:col>
      <xdr:colOff>2551</xdr:colOff>
      <xdr:row>4</xdr:row>
      <xdr:rowOff>200705</xdr:rowOff>
    </xdr:from>
    <xdr:to>
      <xdr:col>27</xdr:col>
      <xdr:colOff>2549</xdr:colOff>
      <xdr:row>7</xdr:row>
      <xdr:rowOff>0</xdr:rowOff>
    </xdr:to>
    <xdr:sp macro="" textlink="M1S5">
      <xdr:nvSpPr>
        <xdr:cNvPr id="15" name="SUBMENU5">
          <a:hlinkClick xmlns:r="http://schemas.openxmlformats.org/officeDocument/2006/relationships" r:id="rId15" tooltip=" "/>
          <a:extLst>
            <a:ext uri="{FF2B5EF4-FFF2-40B4-BE49-F238E27FC236}">
              <a16:creationId xmlns:a16="http://schemas.microsoft.com/office/drawing/2014/main" id="{00000000-0008-0000-0B00-00000F000000}"/>
            </a:ext>
          </a:extLst>
        </xdr:cNvPr>
        <xdr:cNvSpPr/>
      </xdr:nvSpPr>
      <xdr:spPr>
        <a:xfrm>
          <a:off x="6905375" y="1007529"/>
          <a:ext cx="1568821" cy="404412"/>
        </a:xfrm>
        <a:prstGeom prst="round2SameRect">
          <a:avLst/>
        </a:prstGeom>
        <a:solidFill>
          <a:srgbClr val="54BCEB"/>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074B07D3-C7F5-42E2-8A6D-93CDE8EC2933}" type="TxLink">
            <a:rPr lang="en-US" sz="1100" b="0" i="0" u="none" strike="noStrike">
              <a:solidFill>
                <a:srgbClr val="FFFFFF"/>
              </a:solidFill>
              <a:latin typeface="Arial" panose="020B0604020202020204" pitchFamily="34" charset="0"/>
              <a:cs typeface="Arial" panose="020B0604020202020204" pitchFamily="34" charset="0"/>
            </a:rPr>
            <a:pPr algn="ctr"/>
            <a:t>Operating Hours Calculator</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1</xdr:col>
      <xdr:colOff>0</xdr:colOff>
      <xdr:row>7</xdr:row>
      <xdr:rowOff>200024</xdr:rowOff>
    </xdr:from>
    <xdr:to>
      <xdr:col>44</xdr:col>
      <xdr:colOff>0</xdr:colOff>
      <xdr:row>199</xdr:row>
      <xdr:rowOff>22412</xdr:rowOff>
    </xdr:to>
    <xdr:sp macro="" textlink="">
      <xdr:nvSpPr>
        <xdr:cNvPr id="19" name="BORDER">
          <a:extLst>
            <a:ext uri="{FF2B5EF4-FFF2-40B4-BE49-F238E27FC236}">
              <a16:creationId xmlns:a16="http://schemas.microsoft.com/office/drawing/2014/main" id="{00000000-0008-0000-0B00-000013000000}"/>
            </a:ext>
          </a:extLst>
        </xdr:cNvPr>
        <xdr:cNvSpPr/>
      </xdr:nvSpPr>
      <xdr:spPr>
        <a:xfrm>
          <a:off x="313765" y="1611965"/>
          <a:ext cx="13491882" cy="27097506"/>
        </a:xfrm>
        <a:prstGeom prst="frame">
          <a:avLst>
            <a:gd name="adj1" fmla="val 97"/>
          </a:avLst>
        </a:prstGeom>
        <a:noFill/>
        <a:ln w="12700" cap="flat" cmpd="sng" algn="ctr">
          <a:solidFill>
            <a:srgbClr val="00334E"/>
          </a:solidFill>
          <a:prstDash val="solid"/>
          <a:miter lim="800000"/>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fPrintsWithSheet="0"/>
  </xdr:twoCellAnchor>
  <xdr:twoCellAnchor editAs="oneCell">
    <xdr:from>
      <xdr:col>2</xdr:col>
      <xdr:colOff>2720</xdr:colOff>
      <xdr:row>8</xdr:row>
      <xdr:rowOff>201232</xdr:rowOff>
    </xdr:from>
    <xdr:to>
      <xdr:col>4</xdr:col>
      <xdr:colOff>960</xdr:colOff>
      <xdr:row>11</xdr:row>
      <xdr:rowOff>1207</xdr:rowOff>
    </xdr:to>
    <xdr:sp macro="" textlink="">
      <xdr:nvSpPr>
        <xdr:cNvPr id="20" name="BACK">
          <a:hlinkClick xmlns:r="http://schemas.openxmlformats.org/officeDocument/2006/relationships" r:id="rId16" tooltip=" "/>
          <a:extLst>
            <a:ext uri="{FF2B5EF4-FFF2-40B4-BE49-F238E27FC236}">
              <a16:creationId xmlns:a16="http://schemas.microsoft.com/office/drawing/2014/main" id="{00000000-0008-0000-0B00-000014000000}"/>
            </a:ext>
          </a:extLst>
        </xdr:cNvPr>
        <xdr:cNvSpPr>
          <a:spLocks noChangeAspect="1"/>
        </xdr:cNvSpPr>
      </xdr:nvSpPr>
      <xdr:spPr>
        <a:xfrm>
          <a:off x="631370" y="1801432"/>
          <a:ext cx="626890" cy="400050"/>
        </a:xfrm>
        <a:prstGeom prst="leftArrow">
          <a:avLst/>
        </a:prstGeom>
        <a:solidFill>
          <a:srgbClr val="54BCEB"/>
        </a:solidFill>
        <a:ln>
          <a:solidFill>
            <a:srgbClr val="54BCEB"/>
          </a:solidFill>
        </a:ln>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1</xdr:col>
      <xdr:colOff>0</xdr:colOff>
      <xdr:row>7</xdr:row>
      <xdr:rowOff>0</xdr:rowOff>
    </xdr:from>
    <xdr:to>
      <xdr:col>44</xdr:col>
      <xdr:colOff>13806</xdr:colOff>
      <xdr:row>8</xdr:row>
      <xdr:rowOff>0</xdr:rowOff>
    </xdr:to>
    <xdr:sp macro="" textlink="">
      <xdr:nvSpPr>
        <xdr:cNvPr id="21" name="BOTTOMRIBBON">
          <a:extLst>
            <a:ext uri="{FF2B5EF4-FFF2-40B4-BE49-F238E27FC236}">
              <a16:creationId xmlns:a16="http://schemas.microsoft.com/office/drawing/2014/main" id="{00000000-0008-0000-0B00-000015000000}"/>
            </a:ext>
          </a:extLst>
        </xdr:cNvPr>
        <xdr:cNvSpPr/>
      </xdr:nvSpPr>
      <xdr:spPr>
        <a:xfrm>
          <a:off x="313765" y="1411941"/>
          <a:ext cx="13505688" cy="201706"/>
        </a:xfrm>
        <a:prstGeom prst="rect">
          <a:avLst/>
        </a:prstGeom>
        <a:solidFill>
          <a:srgbClr val="00334E"/>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solidFill>
              <a:srgbClr val="FFFFFF"/>
            </a:solidFill>
          </a:endParaRPr>
        </a:p>
      </xdr:txBody>
    </xdr:sp>
    <xdr:clientData/>
  </xdr:twoCellAnchor>
  <xdr:twoCellAnchor>
    <xdr:from>
      <xdr:col>36</xdr:col>
      <xdr:colOff>314324</xdr:colOff>
      <xdr:row>1</xdr:row>
      <xdr:rowOff>0</xdr:rowOff>
    </xdr:from>
    <xdr:to>
      <xdr:col>41</xdr:col>
      <xdr:colOff>314324</xdr:colOff>
      <xdr:row>4</xdr:row>
      <xdr:rowOff>0</xdr:rowOff>
    </xdr:to>
    <xdr:sp macro="" textlink="MAIN7">
      <xdr:nvSpPr>
        <xdr:cNvPr id="25" name="MENU7">
          <a:extLst>
            <a:ext uri="{FF2B5EF4-FFF2-40B4-BE49-F238E27FC236}">
              <a16:creationId xmlns:a16="http://schemas.microsoft.com/office/drawing/2014/main" id="{00000000-0008-0000-0B00-000019000000}"/>
            </a:ext>
          </a:extLst>
        </xdr:cNvPr>
        <xdr:cNvSpPr/>
      </xdr:nvSpPr>
      <xdr:spPr>
        <a:xfrm>
          <a:off x="11630024" y="200025"/>
          <a:ext cx="1571625"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00B050"/>
              </a:solidFill>
            </a14:hiddenFill>
          </a:ext>
          <a:ext uri="{91240B29-F687-4F45-9708-019B960494DF}">
            <a14:hiddenLine xmlns:a14="http://schemas.microsoft.com/office/drawing/2010/main" w="25400" cap="flat" cmpd="sng" algn="ctr">
              <a:solidFill>
                <a:srgbClr val="7F7F7F"/>
              </a:solidFill>
              <a:prstDash val="solid"/>
              <a:miter lim="800000"/>
            </a14:hiddenLine>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 </a:t>
          </a:fld>
          <a:endParaRPr lang="en-US" sz="1100">
            <a:noFill/>
            <a:latin typeface="Arial" panose="020B0604020202020204" pitchFamily="34" charset="0"/>
            <a:cs typeface="Arial" panose="020B0604020202020204" pitchFamily="34" charset="0"/>
          </a:endParaRPr>
        </a:p>
      </xdr:txBody>
    </xdr:sp>
    <xdr:clientData/>
  </xdr:twoCellAnchor>
  <xdr:twoCellAnchor editAs="oneCell">
    <xdr:from>
      <xdr:col>2</xdr:col>
      <xdr:colOff>91840</xdr:colOff>
      <xdr:row>0</xdr:row>
      <xdr:rowOff>156884</xdr:rowOff>
    </xdr:from>
    <xdr:to>
      <xdr:col>5</xdr:col>
      <xdr:colOff>41415</xdr:colOff>
      <xdr:row>3</xdr:row>
      <xdr:rowOff>5127</xdr:rowOff>
    </xdr:to>
    <xdr:pic>
      <xdr:nvPicPr>
        <xdr:cNvPr id="28" name="LOGO">
          <a:extLst>
            <a:ext uri="{FF2B5EF4-FFF2-40B4-BE49-F238E27FC236}">
              <a16:creationId xmlns:a16="http://schemas.microsoft.com/office/drawing/2014/main" id="{00000000-0008-0000-0B00-00001C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xdr:blipFill>
      <xdr:spPr>
        <a:xfrm>
          <a:off x="719369" y="156884"/>
          <a:ext cx="890870" cy="45336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27</xdr:col>
      <xdr:colOff>0</xdr:colOff>
      <xdr:row>4</xdr:row>
      <xdr:rowOff>200705</xdr:rowOff>
    </xdr:from>
    <xdr:to>
      <xdr:col>32</xdr:col>
      <xdr:colOff>2865</xdr:colOff>
      <xdr:row>7</xdr:row>
      <xdr:rowOff>0</xdr:rowOff>
    </xdr:to>
    <xdr:sp macro="" textlink="M1S6">
      <xdr:nvSpPr>
        <xdr:cNvPr id="16" name="SUBMENU6">
          <a:hlinkClick xmlns:r="http://schemas.openxmlformats.org/officeDocument/2006/relationships" r:id="rId1"/>
          <a:extLst>
            <a:ext uri="{FF2B5EF4-FFF2-40B4-BE49-F238E27FC236}">
              <a16:creationId xmlns:a16="http://schemas.microsoft.com/office/drawing/2014/main" id="{00000000-0008-0000-0C00-000010000000}"/>
            </a:ext>
          </a:extLst>
        </xdr:cNvPr>
        <xdr:cNvSpPr/>
      </xdr:nvSpPr>
      <xdr:spPr>
        <a:xfrm>
          <a:off x="8486775" y="1000805"/>
          <a:ext cx="1574490" cy="399370"/>
        </a:xfrm>
        <a:prstGeom prst="round2SameRect">
          <a:avLst/>
        </a:prstGeom>
        <a:noFill/>
        <a:ln w="12700">
          <a:no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3895239F-CA13-455E-B384-0BD1EC0A3A85}" type="TxLink">
            <a:rPr lang="en-US" sz="1100" b="0" i="0" u="none" strike="noStrike">
              <a:solidFill>
                <a:srgbClr val="FFFFFF"/>
              </a:solidFill>
              <a:latin typeface="Arial" panose="020B0604020202020204" pitchFamily="34" charset="0"/>
              <a:cs typeface="Arial" panose="020B0604020202020204" pitchFamily="34" charset="0"/>
            </a:rPr>
            <a:pPr algn="ctr"/>
            <a:t> </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32</xdr:col>
      <xdr:colOff>2865</xdr:colOff>
      <xdr:row>4</xdr:row>
      <xdr:rowOff>200705</xdr:rowOff>
    </xdr:from>
    <xdr:to>
      <xdr:col>37</xdr:col>
      <xdr:colOff>2720</xdr:colOff>
      <xdr:row>7</xdr:row>
      <xdr:rowOff>0</xdr:rowOff>
    </xdr:to>
    <xdr:sp macro="" textlink="M1S7">
      <xdr:nvSpPr>
        <xdr:cNvPr id="17" name="SUBMENU7">
          <a:hlinkClick xmlns:r="http://schemas.openxmlformats.org/officeDocument/2006/relationships" r:id="rId2"/>
          <a:extLst>
            <a:ext uri="{FF2B5EF4-FFF2-40B4-BE49-F238E27FC236}">
              <a16:creationId xmlns:a16="http://schemas.microsoft.com/office/drawing/2014/main" id="{00000000-0008-0000-0C00-000011000000}"/>
            </a:ext>
          </a:extLst>
        </xdr:cNvPr>
        <xdr:cNvSpPr/>
      </xdr:nvSpPr>
      <xdr:spPr>
        <a:xfrm>
          <a:off x="10061265" y="1000805"/>
          <a:ext cx="1571480" cy="399370"/>
        </a:xfrm>
        <a:prstGeom prst="round2SameRect">
          <a:avLst/>
        </a:prstGeom>
        <a:noFill/>
        <a:ln w="12700">
          <a:no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D599586B-580C-4649-BAE7-1A9160B03CD3}" type="TxLink">
            <a:rPr lang="en-US" sz="1100" b="0" i="0" u="none" strike="noStrike">
              <a:solidFill>
                <a:srgbClr val="FFFFFF"/>
              </a:solidFill>
              <a:latin typeface="Arial" panose="020B0604020202020204" pitchFamily="34" charset="0"/>
              <a:cs typeface="Arial" panose="020B0604020202020204" pitchFamily="34" charset="0"/>
            </a:rPr>
            <a:pPr algn="ctr"/>
            <a:t> </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37</xdr:col>
      <xdr:colOff>2720</xdr:colOff>
      <xdr:row>4</xdr:row>
      <xdr:rowOff>200705</xdr:rowOff>
    </xdr:from>
    <xdr:to>
      <xdr:col>42</xdr:col>
      <xdr:colOff>0</xdr:colOff>
      <xdr:row>7</xdr:row>
      <xdr:rowOff>0</xdr:rowOff>
    </xdr:to>
    <xdr:sp macro="" textlink="M1S8">
      <xdr:nvSpPr>
        <xdr:cNvPr id="18" name="SUBMENU8">
          <a:hlinkClick xmlns:r="http://schemas.openxmlformats.org/officeDocument/2006/relationships" r:id="rId3"/>
          <a:extLst>
            <a:ext uri="{FF2B5EF4-FFF2-40B4-BE49-F238E27FC236}">
              <a16:creationId xmlns:a16="http://schemas.microsoft.com/office/drawing/2014/main" id="{00000000-0008-0000-0C00-000012000000}"/>
            </a:ext>
          </a:extLst>
        </xdr:cNvPr>
        <xdr:cNvSpPr/>
      </xdr:nvSpPr>
      <xdr:spPr>
        <a:xfrm>
          <a:off x="11632745" y="1000805"/>
          <a:ext cx="1568905" cy="399370"/>
        </a:xfrm>
        <a:prstGeom prst="round2SameRect">
          <a:avLst/>
        </a:prstGeom>
        <a:noFill/>
        <a:ln w="12700">
          <a:no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471F2687-6E45-4175-A81A-2816B725423B}" type="TxLink">
            <a:rPr lang="en-US" sz="1100" b="0" i="0" u="none" strike="noStrike">
              <a:solidFill>
                <a:srgbClr val="FFFFFF"/>
              </a:solidFill>
              <a:latin typeface="Arial" panose="020B0604020202020204" pitchFamily="34" charset="0"/>
              <a:cs typeface="Arial" panose="020B0604020202020204" pitchFamily="34" charset="0"/>
            </a:rPr>
            <a:pPr algn="ctr"/>
            <a:t> </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7</xdr:col>
      <xdr:colOff>3008</xdr:colOff>
      <xdr:row>1</xdr:row>
      <xdr:rowOff>133351</xdr:rowOff>
    </xdr:from>
    <xdr:to>
      <xdr:col>12</xdr:col>
      <xdr:colOff>2551</xdr:colOff>
      <xdr:row>4</xdr:row>
      <xdr:rowOff>133351</xdr:rowOff>
    </xdr:to>
    <xdr:sp macro="" textlink="MAIN1">
      <xdr:nvSpPr>
        <xdr:cNvPr id="3" name="MENU1">
          <a:hlinkClick xmlns:r="http://schemas.openxmlformats.org/officeDocument/2006/relationships" r:id="rId4" tooltip=" "/>
          <a:extLst>
            <a:ext uri="{FF2B5EF4-FFF2-40B4-BE49-F238E27FC236}">
              <a16:creationId xmlns:a16="http://schemas.microsoft.com/office/drawing/2014/main" id="{00000000-0008-0000-0C00-000003000000}"/>
            </a:ext>
          </a:extLst>
        </xdr:cNvPr>
        <xdr:cNvSpPr/>
      </xdr:nvSpPr>
      <xdr:spPr>
        <a:xfrm>
          <a:off x="2203283" y="333376"/>
          <a:ext cx="1571168" cy="600075"/>
        </a:xfrm>
        <a:prstGeom prst="round2SameRect">
          <a:avLst/>
        </a:prstGeom>
        <a:solidFill>
          <a:srgbClr val="A6A5AA"/>
        </a:solidFill>
        <a:ln w="12700">
          <a:solidFill>
            <a:srgbClr val="A6A5AA"/>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D6F2F067-2676-4601-ABCE-75BD5137E3D5}" type="TxLink">
            <a:rPr lang="en-US" sz="1100" b="0" i="0" u="none" strike="noStrike">
              <a:solidFill>
                <a:schemeClr val="bg1"/>
              </a:solidFill>
              <a:latin typeface="Arial" panose="020B0604020202020204" pitchFamily="34" charset="0"/>
              <a:cs typeface="Arial" panose="020B0604020202020204" pitchFamily="34" charset="0"/>
            </a:rPr>
            <a:pPr algn="ctr"/>
            <a:t>START</a:t>
          </a:fld>
          <a:endParaRPr lang="en-US" sz="1100">
            <a:solidFill>
              <a:schemeClr val="bg1"/>
            </a:solidFill>
            <a:latin typeface="Arial" panose="020B0604020202020204" pitchFamily="34" charset="0"/>
            <a:cs typeface="Arial" panose="020B0604020202020204" pitchFamily="34" charset="0"/>
          </a:endParaRPr>
        </a:p>
      </xdr:txBody>
    </xdr:sp>
    <xdr:clientData/>
  </xdr:twoCellAnchor>
  <xdr:twoCellAnchor>
    <xdr:from>
      <xdr:col>1</xdr:col>
      <xdr:colOff>0</xdr:colOff>
      <xdr:row>4</xdr:row>
      <xdr:rowOff>1</xdr:rowOff>
    </xdr:from>
    <xdr:to>
      <xdr:col>44</xdr:col>
      <xdr:colOff>13806</xdr:colOff>
      <xdr:row>7</xdr:row>
      <xdr:rowOff>0</xdr:rowOff>
    </xdr:to>
    <xdr:sp macro="" textlink="">
      <xdr:nvSpPr>
        <xdr:cNvPr id="10" name="TOPRIBBON">
          <a:extLst>
            <a:ext uri="{FF2B5EF4-FFF2-40B4-BE49-F238E27FC236}">
              <a16:creationId xmlns:a16="http://schemas.microsoft.com/office/drawing/2014/main" id="{00000000-0008-0000-0C00-00000A000000}"/>
            </a:ext>
          </a:extLst>
        </xdr:cNvPr>
        <xdr:cNvSpPr/>
      </xdr:nvSpPr>
      <xdr:spPr>
        <a:xfrm>
          <a:off x="313765" y="806825"/>
          <a:ext cx="13505688" cy="605116"/>
        </a:xfrm>
        <a:prstGeom prst="round2SameRect">
          <a:avLst/>
        </a:prstGeom>
        <a:solidFill>
          <a:srgbClr val="A6A5A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p>
      </xdr:txBody>
    </xdr:sp>
    <xdr:clientData/>
  </xdr:twoCellAnchor>
  <xdr:twoCellAnchor>
    <xdr:from>
      <xdr:col>41</xdr:col>
      <xdr:colOff>0</xdr:colOff>
      <xdr:row>9</xdr:row>
      <xdr:rowOff>1047</xdr:rowOff>
    </xdr:from>
    <xdr:to>
      <xdr:col>42</xdr:col>
      <xdr:colOff>313195</xdr:colOff>
      <xdr:row>11</xdr:row>
      <xdr:rowOff>1046</xdr:rowOff>
    </xdr:to>
    <xdr:sp macro="" textlink="">
      <xdr:nvSpPr>
        <xdr:cNvPr id="2" name="NEXT">
          <a:hlinkClick xmlns:r="http://schemas.openxmlformats.org/officeDocument/2006/relationships" r:id="rId5" tooltip=" "/>
          <a:extLst>
            <a:ext uri="{FF2B5EF4-FFF2-40B4-BE49-F238E27FC236}">
              <a16:creationId xmlns:a16="http://schemas.microsoft.com/office/drawing/2014/main" id="{00000000-0008-0000-0C00-000002000000}"/>
            </a:ext>
          </a:extLst>
        </xdr:cNvPr>
        <xdr:cNvSpPr/>
      </xdr:nvSpPr>
      <xdr:spPr>
        <a:xfrm>
          <a:off x="12887325" y="1801272"/>
          <a:ext cx="627520" cy="400049"/>
        </a:xfrm>
        <a:prstGeom prst="rightArrow">
          <a:avLst/>
        </a:prstGeom>
        <a:solidFill>
          <a:srgbClr val="54BCEB"/>
        </a:solidFill>
        <a:ln>
          <a:solidFill>
            <a:srgbClr val="54BCEB"/>
          </a:solidFill>
        </a:ln>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12</xdr:col>
      <xdr:colOff>2551</xdr:colOff>
      <xdr:row>1</xdr:row>
      <xdr:rowOff>0</xdr:rowOff>
    </xdr:from>
    <xdr:to>
      <xdr:col>17</xdr:col>
      <xdr:colOff>2551</xdr:colOff>
      <xdr:row>4</xdr:row>
      <xdr:rowOff>0</xdr:rowOff>
    </xdr:to>
    <xdr:sp macro="" textlink="MAIN2">
      <xdr:nvSpPr>
        <xdr:cNvPr id="4" name="MENU2">
          <a:hlinkClick xmlns:r="http://schemas.openxmlformats.org/officeDocument/2006/relationships" r:id="rId6" tooltip=" "/>
          <a:extLst>
            <a:ext uri="{FF2B5EF4-FFF2-40B4-BE49-F238E27FC236}">
              <a16:creationId xmlns:a16="http://schemas.microsoft.com/office/drawing/2014/main" id="{00000000-0008-0000-0C00-000004000000}"/>
            </a:ext>
          </a:extLst>
        </xdr:cNvPr>
        <xdr:cNvSpPr/>
      </xdr:nvSpPr>
      <xdr:spPr>
        <a:xfrm>
          <a:off x="3774451" y="200025"/>
          <a:ext cx="1571625" cy="600075"/>
        </a:xfrm>
        <a:prstGeom prst="round2SameRect">
          <a:avLst/>
        </a:prstGeom>
        <a:solidFill>
          <a:srgbClr val="00334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59A035B9-F1D2-4E89-B262-AF2DF0C338A9}"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PROJECT INFORMATION</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17</xdr:col>
      <xdr:colOff>0</xdr:colOff>
      <xdr:row>1</xdr:row>
      <xdr:rowOff>0</xdr:rowOff>
    </xdr:from>
    <xdr:to>
      <xdr:col>22</xdr:col>
      <xdr:colOff>0</xdr:colOff>
      <xdr:row>4</xdr:row>
      <xdr:rowOff>0</xdr:rowOff>
    </xdr:to>
    <xdr:sp macro="" textlink="MAIN3">
      <xdr:nvSpPr>
        <xdr:cNvPr id="5" name="MENU3">
          <a:hlinkClick xmlns:r="http://schemas.openxmlformats.org/officeDocument/2006/relationships" r:id="rId7" tooltip=" "/>
          <a:extLst>
            <a:ext uri="{FF2B5EF4-FFF2-40B4-BE49-F238E27FC236}">
              <a16:creationId xmlns:a16="http://schemas.microsoft.com/office/drawing/2014/main" id="{00000000-0008-0000-0C00-000005000000}"/>
            </a:ext>
          </a:extLst>
        </xdr:cNvPr>
        <xdr:cNvSpPr/>
      </xdr:nvSpPr>
      <xdr:spPr>
        <a:xfrm>
          <a:off x="5343525" y="200025"/>
          <a:ext cx="1571625" cy="600075"/>
        </a:xfrm>
        <a:prstGeom prst="round2SameRect">
          <a:avLst/>
        </a:prstGeom>
        <a:solidFill>
          <a:srgbClr val="00334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06A037F-AE33-47CC-85C1-F6D62694F95D}"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PRESCRIPTIVE MEASURES INPUT</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22</xdr:col>
      <xdr:colOff>0</xdr:colOff>
      <xdr:row>1</xdr:row>
      <xdr:rowOff>0</xdr:rowOff>
    </xdr:from>
    <xdr:to>
      <xdr:col>27</xdr:col>
      <xdr:colOff>0</xdr:colOff>
      <xdr:row>4</xdr:row>
      <xdr:rowOff>0</xdr:rowOff>
    </xdr:to>
    <xdr:sp macro="" textlink="MAIN4">
      <xdr:nvSpPr>
        <xdr:cNvPr id="6" name="MENU4">
          <a:hlinkClick xmlns:r="http://schemas.openxmlformats.org/officeDocument/2006/relationships" r:id="rId8" tooltip=" "/>
          <a:extLst>
            <a:ext uri="{FF2B5EF4-FFF2-40B4-BE49-F238E27FC236}">
              <a16:creationId xmlns:a16="http://schemas.microsoft.com/office/drawing/2014/main" id="{00000000-0008-0000-0C00-000006000000}"/>
            </a:ext>
          </a:extLst>
        </xdr:cNvPr>
        <xdr:cNvSpPr/>
      </xdr:nvSpPr>
      <xdr:spPr>
        <a:xfrm>
          <a:off x="6915150" y="200025"/>
          <a:ext cx="1571625" cy="600075"/>
        </a:xfrm>
        <a:prstGeom prst="round2SameRect">
          <a:avLst/>
        </a:prstGeom>
        <a:solidFill>
          <a:srgbClr val="00334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CB369157-CA5B-4E40-B1DE-604993B819B3}"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CUSTOM MEASURES INPUT</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27</xdr:col>
      <xdr:colOff>0</xdr:colOff>
      <xdr:row>1</xdr:row>
      <xdr:rowOff>0</xdr:rowOff>
    </xdr:from>
    <xdr:to>
      <xdr:col>32</xdr:col>
      <xdr:colOff>0</xdr:colOff>
      <xdr:row>4</xdr:row>
      <xdr:rowOff>0</xdr:rowOff>
    </xdr:to>
    <xdr:sp macro="" textlink="MAIN5">
      <xdr:nvSpPr>
        <xdr:cNvPr id="7" name="MENU5">
          <a:hlinkClick xmlns:r="http://schemas.openxmlformats.org/officeDocument/2006/relationships" r:id="rId9" tooltip=" "/>
          <a:extLst>
            <a:ext uri="{FF2B5EF4-FFF2-40B4-BE49-F238E27FC236}">
              <a16:creationId xmlns:a16="http://schemas.microsoft.com/office/drawing/2014/main" id="{00000000-0008-0000-0C00-000007000000}"/>
            </a:ext>
          </a:extLst>
        </xdr:cNvPr>
        <xdr:cNvSpPr/>
      </xdr:nvSpPr>
      <xdr:spPr>
        <a:xfrm>
          <a:off x="8486775" y="200025"/>
          <a:ext cx="1571625" cy="600075"/>
        </a:xfrm>
        <a:prstGeom prst="round2SameRect">
          <a:avLst/>
        </a:prstGeom>
        <a:solidFill>
          <a:srgbClr val="00334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F0EEDDA6-4934-49B4-972D-20D21D440D82}"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APPLICATION REVIEW</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31</xdr:col>
      <xdr:colOff>314323</xdr:colOff>
      <xdr:row>1</xdr:row>
      <xdr:rowOff>1</xdr:rowOff>
    </xdr:from>
    <xdr:to>
      <xdr:col>36</xdr:col>
      <xdr:colOff>314324</xdr:colOff>
      <xdr:row>4</xdr:row>
      <xdr:rowOff>1</xdr:rowOff>
    </xdr:to>
    <xdr:sp macro="" textlink="MAIN6">
      <xdr:nvSpPr>
        <xdr:cNvPr id="8" name="MENU6">
          <a:extLst>
            <a:ext uri="{FF2B5EF4-FFF2-40B4-BE49-F238E27FC236}">
              <a16:creationId xmlns:a16="http://schemas.microsoft.com/office/drawing/2014/main" id="{00000000-0008-0000-0C00-000008000000}"/>
            </a:ext>
          </a:extLst>
        </xdr:cNvPr>
        <xdr:cNvSpPr/>
      </xdr:nvSpPr>
      <xdr:spPr>
        <a:xfrm>
          <a:off x="10058398" y="200026"/>
          <a:ext cx="1571626" cy="600075"/>
        </a:xfrm>
        <a:prstGeom prst="round2SameRect">
          <a:avLst/>
        </a:prstGeom>
        <a:noFill/>
        <a:ln w="12700" cap="flat" cmpd="sng" algn="ctr">
          <a:noFill/>
          <a:prstDash val="solid"/>
          <a:miter lim="800000"/>
        </a:ln>
        <a:effectLst/>
        <a:extLst>
          <a:ext uri="{909E8E84-426E-40DD-AFC4-6F175D3DCCD1}">
            <a14:hiddenFill xmlns:a14="http://schemas.microsoft.com/office/drawing/2010/main">
              <a:solidFill>
                <a:srgbClr val="00B050"/>
              </a:solidFill>
            </a14:hiddenFill>
          </a:ext>
          <a:ext uri="{91240B29-F687-4F45-9708-019B960494DF}">
            <a14:hiddenLine xmlns:a14="http://schemas.microsoft.com/office/drawing/2010/main" w="12700" cap="flat" cmpd="sng" algn="ctr">
              <a:solidFill>
                <a:srgbClr val="7F7F7F"/>
              </a:solidFill>
              <a:prstDash val="solid"/>
              <a:miter lim="800000"/>
            </a14:hiddenLine>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B12A3774-975E-4B41-A681-E085295C6D0E}" type="TxLink">
            <a:rPr lang="en-US" sz="1100" b="0" i="0" u="none" strike="noStrike">
              <a:noFill/>
              <a:latin typeface="Arial" panose="020B0604020202020204" pitchFamily="34" charset="0"/>
              <a:cs typeface="Arial" panose="020B0604020202020204" pitchFamily="34" charset="0"/>
            </a:rPr>
            <a:pPr algn="ctr"/>
            <a:t> </a:t>
          </a:fld>
          <a:endParaRPr lang="en-US" sz="1100">
            <a:noFill/>
            <a:latin typeface="Arial" panose="020B0604020202020204" pitchFamily="34" charset="0"/>
            <a:cs typeface="Arial" panose="020B0604020202020204" pitchFamily="34" charset="0"/>
          </a:endParaRPr>
        </a:p>
      </xdr:txBody>
    </xdr:sp>
    <xdr:clientData/>
  </xdr:twoCellAnchor>
  <xdr:twoCellAnchor>
    <xdr:from>
      <xdr:col>36</xdr:col>
      <xdr:colOff>314324</xdr:colOff>
      <xdr:row>1</xdr:row>
      <xdr:rowOff>0</xdr:rowOff>
    </xdr:from>
    <xdr:to>
      <xdr:col>41</xdr:col>
      <xdr:colOff>314324</xdr:colOff>
      <xdr:row>4</xdr:row>
      <xdr:rowOff>0</xdr:rowOff>
    </xdr:to>
    <xdr:sp macro="" textlink="MAIN7">
      <xdr:nvSpPr>
        <xdr:cNvPr id="9" name="MENU7">
          <a:extLst>
            <a:ext uri="{FF2B5EF4-FFF2-40B4-BE49-F238E27FC236}">
              <a16:creationId xmlns:a16="http://schemas.microsoft.com/office/drawing/2014/main" id="{00000000-0008-0000-0C00-000009000000}"/>
            </a:ext>
          </a:extLst>
        </xdr:cNvPr>
        <xdr:cNvSpPr/>
      </xdr:nvSpPr>
      <xdr:spPr>
        <a:xfrm>
          <a:off x="11630024" y="200025"/>
          <a:ext cx="1571625" cy="600075"/>
        </a:xfrm>
        <a:prstGeom prst="round2SameRect">
          <a:avLst/>
        </a:prstGeom>
        <a:noFill/>
        <a:ln w="12700" cap="flat" cmpd="sng" algn="ctr">
          <a:noFill/>
          <a:prstDash val="solid"/>
          <a:miter lim="800000"/>
        </a:ln>
        <a:effectLst/>
        <a:extLst>
          <a:ext uri="{909E8E84-426E-40DD-AFC4-6F175D3DCCD1}">
            <a14:hiddenFill xmlns:a14="http://schemas.microsoft.com/office/drawing/2010/main">
              <a:solidFill>
                <a:srgbClr val="00B050"/>
              </a:solidFill>
            </a14:hiddenFill>
          </a:ext>
          <a:ext uri="{91240B29-F687-4F45-9708-019B960494DF}">
            <a14:hiddenLine xmlns:a14="http://schemas.microsoft.com/office/drawing/2010/main" w="12700" cap="flat" cmpd="sng" algn="ctr">
              <a:solidFill>
                <a:srgbClr val="7F7F7F"/>
              </a:solidFill>
              <a:prstDash val="solid"/>
              <a:miter lim="800000"/>
            </a14:hiddenLine>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 </a:t>
          </a:fld>
          <a:endParaRPr lang="en-US" sz="1100">
            <a:noFill/>
            <a:latin typeface="Arial" panose="020B0604020202020204" pitchFamily="34" charset="0"/>
            <a:cs typeface="Arial" panose="020B0604020202020204" pitchFamily="34" charset="0"/>
          </a:endParaRPr>
        </a:p>
      </xdr:txBody>
    </xdr:sp>
    <xdr:clientData/>
  </xdr:twoCellAnchor>
  <xdr:twoCellAnchor>
    <xdr:from>
      <xdr:col>2</xdr:col>
      <xdr:colOff>2720</xdr:colOff>
      <xdr:row>5</xdr:row>
      <xdr:rowOff>0</xdr:rowOff>
    </xdr:from>
    <xdr:to>
      <xdr:col>7</xdr:col>
      <xdr:colOff>457</xdr:colOff>
      <xdr:row>6</xdr:row>
      <xdr:rowOff>197827</xdr:rowOff>
    </xdr:to>
    <xdr:sp macro="" textlink="M1S1">
      <xdr:nvSpPr>
        <xdr:cNvPr id="11" name="SUBMENU1">
          <a:hlinkClick xmlns:r="http://schemas.openxmlformats.org/officeDocument/2006/relationships" r:id="rId4" tooltip=" "/>
          <a:extLst>
            <a:ext uri="{FF2B5EF4-FFF2-40B4-BE49-F238E27FC236}">
              <a16:creationId xmlns:a16="http://schemas.microsoft.com/office/drawing/2014/main" id="{00000000-0008-0000-0C00-00000B000000}"/>
            </a:ext>
          </a:extLst>
        </xdr:cNvPr>
        <xdr:cNvSpPr/>
      </xdr:nvSpPr>
      <xdr:spPr>
        <a:xfrm>
          <a:off x="631370" y="1000125"/>
          <a:ext cx="1569362" cy="397852"/>
        </a:xfrm>
        <a:prstGeom prst="round2SameRect">
          <a:avLst/>
        </a:prstGeom>
        <a:solidFill>
          <a:srgbClr val="54BCEB"/>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5C76F627-6876-4600-9244-85A6705FD7EE}" type="TxLink">
            <a:rPr lang="en-US" sz="1100" b="0" i="0" u="none" strike="noStrike">
              <a:solidFill>
                <a:srgbClr val="FFFFFF"/>
              </a:solidFill>
              <a:latin typeface="Arial" panose="020B0604020202020204" pitchFamily="34" charset="0"/>
              <a:cs typeface="Arial" panose="020B0604020202020204" pitchFamily="34" charset="0"/>
            </a:rPr>
            <a:pPr algn="ctr"/>
            <a:t>Welcome</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7</xdr:col>
      <xdr:colOff>6584</xdr:colOff>
      <xdr:row>4</xdr:row>
      <xdr:rowOff>200705</xdr:rowOff>
    </xdr:from>
    <xdr:to>
      <xdr:col>12</xdr:col>
      <xdr:colOff>6583</xdr:colOff>
      <xdr:row>7</xdr:row>
      <xdr:rowOff>0</xdr:rowOff>
    </xdr:to>
    <xdr:sp macro="" textlink="M1S2">
      <xdr:nvSpPr>
        <xdr:cNvPr id="12" name="SUBMENU2">
          <a:hlinkClick xmlns:r="http://schemas.openxmlformats.org/officeDocument/2006/relationships" r:id="rId10" tooltip=" "/>
          <a:extLst>
            <a:ext uri="{FF2B5EF4-FFF2-40B4-BE49-F238E27FC236}">
              <a16:creationId xmlns:a16="http://schemas.microsoft.com/office/drawing/2014/main" id="{00000000-0008-0000-0C00-00000C000000}"/>
            </a:ext>
          </a:extLst>
        </xdr:cNvPr>
        <xdr:cNvSpPr/>
      </xdr:nvSpPr>
      <xdr:spPr>
        <a:xfrm>
          <a:off x="2202937" y="1007529"/>
          <a:ext cx="1568822" cy="404412"/>
        </a:xfrm>
        <a:prstGeom prst="round2SameRect">
          <a:avLst/>
        </a:prstGeom>
        <a:solidFill>
          <a:srgbClr val="54BCEB"/>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CF8290D4-6497-486F-BAC6-BA480F9F34D0}" type="TxLink">
            <a:rPr lang="en-US" sz="1100" b="0" i="0" u="none" strike="noStrike">
              <a:solidFill>
                <a:srgbClr val="FFFFFF"/>
              </a:solidFill>
              <a:latin typeface="Arial" panose="020B0604020202020204" pitchFamily="34" charset="0"/>
              <a:cs typeface="Arial" panose="020B0604020202020204" pitchFamily="34" charset="0"/>
            </a:rPr>
            <a:pPr algn="ctr"/>
            <a:t>Energy Efficiency Programs</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12</xdr:col>
      <xdr:colOff>12710</xdr:colOff>
      <xdr:row>4</xdr:row>
      <xdr:rowOff>200705</xdr:rowOff>
    </xdr:from>
    <xdr:to>
      <xdr:col>17</xdr:col>
      <xdr:colOff>12709</xdr:colOff>
      <xdr:row>7</xdr:row>
      <xdr:rowOff>0</xdr:rowOff>
    </xdr:to>
    <xdr:sp macro="" textlink="M1S3">
      <xdr:nvSpPr>
        <xdr:cNvPr id="13" name="SUBMENU3">
          <a:hlinkClick xmlns:r="http://schemas.openxmlformats.org/officeDocument/2006/relationships" r:id="rId11" tooltip=" "/>
          <a:extLst>
            <a:ext uri="{FF2B5EF4-FFF2-40B4-BE49-F238E27FC236}">
              <a16:creationId xmlns:a16="http://schemas.microsoft.com/office/drawing/2014/main" id="{00000000-0008-0000-0C00-00000D000000}"/>
            </a:ext>
          </a:extLst>
        </xdr:cNvPr>
        <xdr:cNvSpPr/>
      </xdr:nvSpPr>
      <xdr:spPr>
        <a:xfrm>
          <a:off x="3777886" y="1007529"/>
          <a:ext cx="1568823" cy="404412"/>
        </a:xfrm>
        <a:prstGeom prst="round2SameRect">
          <a:avLst/>
        </a:prstGeom>
        <a:solidFill>
          <a:srgbClr val="54BCEB"/>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E71BE52B-FF38-412C-B4D1-421FD04CF2FA}" type="TxLink">
            <a:rPr lang="en-US" sz="1100" b="0" i="0" u="none" strike="noStrike">
              <a:solidFill>
                <a:srgbClr val="FFFFFF"/>
              </a:solidFill>
              <a:latin typeface="Arial" panose="020B0604020202020204" pitchFamily="34" charset="0"/>
              <a:cs typeface="Arial" panose="020B0604020202020204" pitchFamily="34" charset="0"/>
            </a:rPr>
            <a:pPr algn="ctr"/>
            <a:t>Information Links</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17</xdr:col>
      <xdr:colOff>18836</xdr:colOff>
      <xdr:row>4</xdr:row>
      <xdr:rowOff>200705</xdr:rowOff>
    </xdr:from>
    <xdr:to>
      <xdr:col>22</xdr:col>
      <xdr:colOff>18835</xdr:colOff>
      <xdr:row>7</xdr:row>
      <xdr:rowOff>0</xdr:rowOff>
    </xdr:to>
    <xdr:sp macro="" textlink="M1S4">
      <xdr:nvSpPr>
        <xdr:cNvPr id="14" name="SUBMENU4">
          <a:hlinkClick xmlns:r="http://schemas.openxmlformats.org/officeDocument/2006/relationships" r:id="rId12" tooltip=" "/>
          <a:extLst>
            <a:ext uri="{FF2B5EF4-FFF2-40B4-BE49-F238E27FC236}">
              <a16:creationId xmlns:a16="http://schemas.microsoft.com/office/drawing/2014/main" id="{00000000-0008-0000-0C00-00000E000000}"/>
            </a:ext>
          </a:extLst>
        </xdr:cNvPr>
        <xdr:cNvSpPr/>
      </xdr:nvSpPr>
      <xdr:spPr>
        <a:xfrm>
          <a:off x="5352836" y="1007529"/>
          <a:ext cx="1568823" cy="404412"/>
        </a:xfrm>
        <a:prstGeom prst="round2SameRect">
          <a:avLst/>
        </a:prstGeom>
        <a:solidFill>
          <a:srgbClr val="54BCEB"/>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AE739B06-806C-41C1-AAD2-7D9DAB154007}" type="TxLink">
            <a:rPr lang="en-US" sz="1100" b="0" i="0" u="none" strike="noStrike">
              <a:solidFill>
                <a:srgbClr val="FFFFFF"/>
              </a:solidFill>
              <a:latin typeface="Arial" panose="020B0604020202020204" pitchFamily="34" charset="0"/>
              <a:cs typeface="Arial" panose="020B0604020202020204" pitchFamily="34" charset="0"/>
            </a:rPr>
            <a:pPr algn="ctr"/>
            <a:t>Prescriptive Measure List</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22</xdr:col>
      <xdr:colOff>24963</xdr:colOff>
      <xdr:row>5</xdr:row>
      <xdr:rowOff>49612</xdr:rowOff>
    </xdr:from>
    <xdr:to>
      <xdr:col>27</xdr:col>
      <xdr:colOff>24961</xdr:colOff>
      <xdr:row>7</xdr:row>
      <xdr:rowOff>48932</xdr:rowOff>
    </xdr:to>
    <xdr:sp macro="" textlink="M1S5">
      <xdr:nvSpPr>
        <xdr:cNvPr id="15" name="SUBMENU5">
          <a:hlinkClick xmlns:r="http://schemas.openxmlformats.org/officeDocument/2006/relationships" r:id="rId13" tooltip=" "/>
          <a:extLst>
            <a:ext uri="{FF2B5EF4-FFF2-40B4-BE49-F238E27FC236}">
              <a16:creationId xmlns:a16="http://schemas.microsoft.com/office/drawing/2014/main" id="{00000000-0008-0000-0C00-00000F000000}"/>
            </a:ext>
          </a:extLst>
        </xdr:cNvPr>
        <xdr:cNvSpPr/>
      </xdr:nvSpPr>
      <xdr:spPr>
        <a:xfrm>
          <a:off x="6927787" y="1058141"/>
          <a:ext cx="1568821" cy="402732"/>
        </a:xfrm>
        <a:prstGeom prst="round2SameRect">
          <a:avLst/>
        </a:prstGeom>
        <a:solidFill>
          <a:srgbClr val="00334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074B07D3-C7F5-42E2-8A6D-93CDE8EC2933}" type="TxLink">
            <a:rPr lang="en-US" sz="1100" b="0" i="0" u="none" strike="noStrike">
              <a:solidFill>
                <a:srgbClr val="FFFFFF"/>
              </a:solidFill>
              <a:latin typeface="Arial" panose="020B0604020202020204" pitchFamily="34" charset="0"/>
              <a:cs typeface="Arial" panose="020B0604020202020204" pitchFamily="34" charset="0"/>
            </a:rPr>
            <a:pPr algn="ctr"/>
            <a:t>Operating Hours Calculator</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1</xdr:col>
      <xdr:colOff>558</xdr:colOff>
      <xdr:row>7</xdr:row>
      <xdr:rowOff>200023</xdr:rowOff>
    </xdr:from>
    <xdr:to>
      <xdr:col>43</xdr:col>
      <xdr:colOff>302559</xdr:colOff>
      <xdr:row>34</xdr:row>
      <xdr:rowOff>201705</xdr:rowOff>
    </xdr:to>
    <xdr:sp macro="" textlink="">
      <xdr:nvSpPr>
        <xdr:cNvPr id="19" name="BORDER">
          <a:extLst>
            <a:ext uri="{FF2B5EF4-FFF2-40B4-BE49-F238E27FC236}">
              <a16:creationId xmlns:a16="http://schemas.microsoft.com/office/drawing/2014/main" id="{00000000-0008-0000-0C00-000013000000}"/>
            </a:ext>
          </a:extLst>
        </xdr:cNvPr>
        <xdr:cNvSpPr/>
      </xdr:nvSpPr>
      <xdr:spPr>
        <a:xfrm>
          <a:off x="314323" y="1611964"/>
          <a:ext cx="13480118" cy="5447741"/>
        </a:xfrm>
        <a:prstGeom prst="frame">
          <a:avLst>
            <a:gd name="adj1" fmla="val 97"/>
          </a:avLst>
        </a:prstGeom>
        <a:noFill/>
        <a:ln w="12700" cap="flat" cmpd="sng" algn="ctr">
          <a:solidFill>
            <a:srgbClr val="00334E"/>
          </a:solidFill>
          <a:prstDash val="solid"/>
          <a:miter lim="800000"/>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fPrintsWithSheet="0"/>
  </xdr:twoCellAnchor>
  <xdr:twoCellAnchor>
    <xdr:from>
      <xdr:col>2</xdr:col>
      <xdr:colOff>2720</xdr:colOff>
      <xdr:row>8</xdr:row>
      <xdr:rowOff>201232</xdr:rowOff>
    </xdr:from>
    <xdr:to>
      <xdr:col>4</xdr:col>
      <xdr:colOff>960</xdr:colOff>
      <xdr:row>10</xdr:row>
      <xdr:rowOff>201232</xdr:rowOff>
    </xdr:to>
    <xdr:sp macro="" textlink="">
      <xdr:nvSpPr>
        <xdr:cNvPr id="20" name="BACK">
          <a:hlinkClick xmlns:r="http://schemas.openxmlformats.org/officeDocument/2006/relationships" r:id="rId14" tooltip=" "/>
          <a:extLst>
            <a:ext uri="{FF2B5EF4-FFF2-40B4-BE49-F238E27FC236}">
              <a16:creationId xmlns:a16="http://schemas.microsoft.com/office/drawing/2014/main" id="{00000000-0008-0000-0C00-000014000000}"/>
            </a:ext>
          </a:extLst>
        </xdr:cNvPr>
        <xdr:cNvSpPr/>
      </xdr:nvSpPr>
      <xdr:spPr>
        <a:xfrm>
          <a:off x="631370" y="1801432"/>
          <a:ext cx="626890" cy="400050"/>
        </a:xfrm>
        <a:prstGeom prst="leftArrow">
          <a:avLst/>
        </a:prstGeom>
        <a:solidFill>
          <a:srgbClr val="54BCEB"/>
        </a:solidFill>
        <a:ln>
          <a:solidFill>
            <a:srgbClr val="54BCEB"/>
          </a:solidFill>
        </a:ln>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1</xdr:col>
      <xdr:colOff>0</xdr:colOff>
      <xdr:row>7</xdr:row>
      <xdr:rowOff>0</xdr:rowOff>
    </xdr:from>
    <xdr:to>
      <xdr:col>44</xdr:col>
      <xdr:colOff>13806</xdr:colOff>
      <xdr:row>8</xdr:row>
      <xdr:rowOff>0</xdr:rowOff>
    </xdr:to>
    <xdr:sp macro="" textlink="">
      <xdr:nvSpPr>
        <xdr:cNvPr id="21" name="BOTTOMRIBBON">
          <a:extLst>
            <a:ext uri="{FF2B5EF4-FFF2-40B4-BE49-F238E27FC236}">
              <a16:creationId xmlns:a16="http://schemas.microsoft.com/office/drawing/2014/main" id="{00000000-0008-0000-0C00-000015000000}"/>
            </a:ext>
          </a:extLst>
        </xdr:cNvPr>
        <xdr:cNvSpPr/>
      </xdr:nvSpPr>
      <xdr:spPr>
        <a:xfrm>
          <a:off x="313765" y="1411941"/>
          <a:ext cx="13505688" cy="201706"/>
        </a:xfrm>
        <a:prstGeom prst="rect">
          <a:avLst/>
        </a:prstGeom>
        <a:solidFill>
          <a:srgbClr val="00334E"/>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solidFill>
              <a:srgbClr val="FFFFFF"/>
            </a:solidFill>
          </a:endParaRPr>
        </a:p>
      </xdr:txBody>
    </xdr:sp>
    <xdr:clientData/>
  </xdr:twoCellAnchor>
  <mc:AlternateContent xmlns:mc="http://schemas.openxmlformats.org/markup-compatibility/2006">
    <mc:Choice xmlns:a14="http://schemas.microsoft.com/office/drawing/2010/main" Requires="a14">
      <xdr:twoCellAnchor editAs="oneCell">
        <xdr:from>
          <xdr:col>21</xdr:col>
          <xdr:colOff>152400</xdr:colOff>
          <xdr:row>17</xdr:row>
          <xdr:rowOff>0</xdr:rowOff>
        </xdr:from>
        <xdr:to>
          <xdr:col>22</xdr:col>
          <xdr:colOff>57150</xdr:colOff>
          <xdr:row>18</xdr:row>
          <xdr:rowOff>9525</xdr:rowOff>
        </xdr:to>
        <xdr:sp macro="" textlink="">
          <xdr:nvSpPr>
            <xdr:cNvPr id="141313" name="Check Box 1" hidden="1">
              <a:extLst>
                <a:ext uri="{63B3BB69-23CF-44E3-9099-C40C66FF867C}">
                  <a14:compatExt spid="_x0000_s141313"/>
                </a:ext>
                <a:ext uri="{FF2B5EF4-FFF2-40B4-BE49-F238E27FC236}">
                  <a16:creationId xmlns:a16="http://schemas.microsoft.com/office/drawing/2014/main" id="{00000000-0008-0000-0C00-0000012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152400</xdr:colOff>
          <xdr:row>18</xdr:row>
          <xdr:rowOff>0</xdr:rowOff>
        </xdr:from>
        <xdr:to>
          <xdr:col>22</xdr:col>
          <xdr:colOff>57150</xdr:colOff>
          <xdr:row>19</xdr:row>
          <xdr:rowOff>9525</xdr:rowOff>
        </xdr:to>
        <xdr:sp macro="" textlink="">
          <xdr:nvSpPr>
            <xdr:cNvPr id="141314" name="Check Box 2" hidden="1">
              <a:extLst>
                <a:ext uri="{63B3BB69-23CF-44E3-9099-C40C66FF867C}">
                  <a14:compatExt spid="_x0000_s141314"/>
                </a:ext>
                <a:ext uri="{FF2B5EF4-FFF2-40B4-BE49-F238E27FC236}">
                  <a16:creationId xmlns:a16="http://schemas.microsoft.com/office/drawing/2014/main" id="{00000000-0008-0000-0C00-0000022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152400</xdr:colOff>
          <xdr:row>19</xdr:row>
          <xdr:rowOff>0</xdr:rowOff>
        </xdr:from>
        <xdr:to>
          <xdr:col>22</xdr:col>
          <xdr:colOff>57150</xdr:colOff>
          <xdr:row>20</xdr:row>
          <xdr:rowOff>9525</xdr:rowOff>
        </xdr:to>
        <xdr:sp macro="" textlink="">
          <xdr:nvSpPr>
            <xdr:cNvPr id="141315" name="Check Box 3" hidden="1">
              <a:extLst>
                <a:ext uri="{63B3BB69-23CF-44E3-9099-C40C66FF867C}">
                  <a14:compatExt spid="_x0000_s141315"/>
                </a:ext>
                <a:ext uri="{FF2B5EF4-FFF2-40B4-BE49-F238E27FC236}">
                  <a16:creationId xmlns:a16="http://schemas.microsoft.com/office/drawing/2014/main" id="{00000000-0008-0000-0C00-0000032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152400</xdr:colOff>
          <xdr:row>20</xdr:row>
          <xdr:rowOff>0</xdr:rowOff>
        </xdr:from>
        <xdr:to>
          <xdr:col>22</xdr:col>
          <xdr:colOff>57150</xdr:colOff>
          <xdr:row>21</xdr:row>
          <xdr:rowOff>9525</xdr:rowOff>
        </xdr:to>
        <xdr:sp macro="" textlink="">
          <xdr:nvSpPr>
            <xdr:cNvPr id="141316" name="Check Box 4" hidden="1">
              <a:extLst>
                <a:ext uri="{63B3BB69-23CF-44E3-9099-C40C66FF867C}">
                  <a14:compatExt spid="_x0000_s141316"/>
                </a:ext>
                <a:ext uri="{FF2B5EF4-FFF2-40B4-BE49-F238E27FC236}">
                  <a16:creationId xmlns:a16="http://schemas.microsoft.com/office/drawing/2014/main" id="{00000000-0008-0000-0C00-0000042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152400</xdr:colOff>
          <xdr:row>21</xdr:row>
          <xdr:rowOff>0</xdr:rowOff>
        </xdr:from>
        <xdr:to>
          <xdr:col>22</xdr:col>
          <xdr:colOff>57150</xdr:colOff>
          <xdr:row>22</xdr:row>
          <xdr:rowOff>9525</xdr:rowOff>
        </xdr:to>
        <xdr:sp macro="" textlink="">
          <xdr:nvSpPr>
            <xdr:cNvPr id="141317" name="Check Box 5" hidden="1">
              <a:extLst>
                <a:ext uri="{63B3BB69-23CF-44E3-9099-C40C66FF867C}">
                  <a14:compatExt spid="_x0000_s141317"/>
                </a:ext>
                <a:ext uri="{FF2B5EF4-FFF2-40B4-BE49-F238E27FC236}">
                  <a16:creationId xmlns:a16="http://schemas.microsoft.com/office/drawing/2014/main" id="{00000000-0008-0000-0C00-0000052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152400</xdr:colOff>
          <xdr:row>22</xdr:row>
          <xdr:rowOff>0</xdr:rowOff>
        </xdr:from>
        <xdr:to>
          <xdr:col>22</xdr:col>
          <xdr:colOff>57150</xdr:colOff>
          <xdr:row>23</xdr:row>
          <xdr:rowOff>9525</xdr:rowOff>
        </xdr:to>
        <xdr:sp macro="" textlink="">
          <xdr:nvSpPr>
            <xdr:cNvPr id="141318" name="Check Box 6" hidden="1">
              <a:extLst>
                <a:ext uri="{63B3BB69-23CF-44E3-9099-C40C66FF867C}">
                  <a14:compatExt spid="_x0000_s141318"/>
                </a:ext>
                <a:ext uri="{FF2B5EF4-FFF2-40B4-BE49-F238E27FC236}">
                  <a16:creationId xmlns:a16="http://schemas.microsoft.com/office/drawing/2014/main" id="{00000000-0008-0000-0C00-0000062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152400</xdr:colOff>
          <xdr:row>23</xdr:row>
          <xdr:rowOff>0</xdr:rowOff>
        </xdr:from>
        <xdr:to>
          <xdr:col>22</xdr:col>
          <xdr:colOff>57150</xdr:colOff>
          <xdr:row>24</xdr:row>
          <xdr:rowOff>9525</xdr:rowOff>
        </xdr:to>
        <xdr:sp macro="" textlink="">
          <xdr:nvSpPr>
            <xdr:cNvPr id="141319" name="Check Box 7" hidden="1">
              <a:extLst>
                <a:ext uri="{63B3BB69-23CF-44E3-9099-C40C66FF867C}">
                  <a14:compatExt spid="_x0000_s141319"/>
                </a:ext>
                <a:ext uri="{FF2B5EF4-FFF2-40B4-BE49-F238E27FC236}">
                  <a16:creationId xmlns:a16="http://schemas.microsoft.com/office/drawing/2014/main" id="{00000000-0008-0000-0C00-0000072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152400</xdr:colOff>
          <xdr:row>24</xdr:row>
          <xdr:rowOff>0</xdr:rowOff>
        </xdr:from>
        <xdr:to>
          <xdr:col>22</xdr:col>
          <xdr:colOff>57150</xdr:colOff>
          <xdr:row>25</xdr:row>
          <xdr:rowOff>9525</xdr:rowOff>
        </xdr:to>
        <xdr:sp macro="" textlink="">
          <xdr:nvSpPr>
            <xdr:cNvPr id="141320" name="Check Box 8" hidden="1">
              <a:extLst>
                <a:ext uri="{63B3BB69-23CF-44E3-9099-C40C66FF867C}">
                  <a14:compatExt spid="_x0000_s141320"/>
                </a:ext>
                <a:ext uri="{FF2B5EF4-FFF2-40B4-BE49-F238E27FC236}">
                  <a16:creationId xmlns:a16="http://schemas.microsoft.com/office/drawing/2014/main" id="{00000000-0008-0000-0C00-0000082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152400</xdr:colOff>
          <xdr:row>25</xdr:row>
          <xdr:rowOff>0</xdr:rowOff>
        </xdr:from>
        <xdr:to>
          <xdr:col>22</xdr:col>
          <xdr:colOff>57150</xdr:colOff>
          <xdr:row>26</xdr:row>
          <xdr:rowOff>9525</xdr:rowOff>
        </xdr:to>
        <xdr:sp macro="" textlink="">
          <xdr:nvSpPr>
            <xdr:cNvPr id="141321" name="Check Box 9" hidden="1">
              <a:extLst>
                <a:ext uri="{63B3BB69-23CF-44E3-9099-C40C66FF867C}">
                  <a14:compatExt spid="_x0000_s141321"/>
                </a:ext>
                <a:ext uri="{FF2B5EF4-FFF2-40B4-BE49-F238E27FC236}">
                  <a16:creationId xmlns:a16="http://schemas.microsoft.com/office/drawing/2014/main" id="{00000000-0008-0000-0C00-0000092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152400</xdr:colOff>
          <xdr:row>26</xdr:row>
          <xdr:rowOff>0</xdr:rowOff>
        </xdr:from>
        <xdr:to>
          <xdr:col>22</xdr:col>
          <xdr:colOff>57150</xdr:colOff>
          <xdr:row>27</xdr:row>
          <xdr:rowOff>9525</xdr:rowOff>
        </xdr:to>
        <xdr:sp macro="" textlink="">
          <xdr:nvSpPr>
            <xdr:cNvPr id="141322" name="Check Box 10" hidden="1">
              <a:extLst>
                <a:ext uri="{63B3BB69-23CF-44E3-9099-C40C66FF867C}">
                  <a14:compatExt spid="_x0000_s141322"/>
                </a:ext>
                <a:ext uri="{FF2B5EF4-FFF2-40B4-BE49-F238E27FC236}">
                  <a16:creationId xmlns:a16="http://schemas.microsoft.com/office/drawing/2014/main" id="{00000000-0008-0000-0C00-00000A2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152400</xdr:colOff>
          <xdr:row>26</xdr:row>
          <xdr:rowOff>200025</xdr:rowOff>
        </xdr:from>
        <xdr:to>
          <xdr:col>22</xdr:col>
          <xdr:colOff>57150</xdr:colOff>
          <xdr:row>28</xdr:row>
          <xdr:rowOff>9525</xdr:rowOff>
        </xdr:to>
        <xdr:sp macro="" textlink="">
          <xdr:nvSpPr>
            <xdr:cNvPr id="141323" name="Check Box 11" hidden="1">
              <a:extLst>
                <a:ext uri="{63B3BB69-23CF-44E3-9099-C40C66FF867C}">
                  <a14:compatExt spid="_x0000_s141323"/>
                </a:ext>
                <a:ext uri="{FF2B5EF4-FFF2-40B4-BE49-F238E27FC236}">
                  <a16:creationId xmlns:a16="http://schemas.microsoft.com/office/drawing/2014/main" id="{00000000-0008-0000-0C00-00000B2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2</xdr:col>
      <xdr:colOff>102850</xdr:colOff>
      <xdr:row>0</xdr:row>
      <xdr:rowOff>156884</xdr:rowOff>
    </xdr:from>
    <xdr:to>
      <xdr:col>5</xdr:col>
      <xdr:colOff>30405</xdr:colOff>
      <xdr:row>2</xdr:row>
      <xdr:rowOff>195627</xdr:rowOff>
    </xdr:to>
    <xdr:pic>
      <xdr:nvPicPr>
        <xdr:cNvPr id="57" name="LOGO">
          <a:extLst>
            <a:ext uri="{FF2B5EF4-FFF2-40B4-BE49-F238E27FC236}">
              <a16:creationId xmlns:a16="http://schemas.microsoft.com/office/drawing/2014/main" id="{00000000-0008-0000-0C00-000039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xdr:blipFill>
      <xdr:spPr>
        <a:xfrm>
          <a:off x="730379" y="156884"/>
          <a:ext cx="868850" cy="44215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22</xdr:col>
      <xdr:colOff>2551</xdr:colOff>
      <xdr:row>4</xdr:row>
      <xdr:rowOff>200705</xdr:rowOff>
    </xdr:from>
    <xdr:to>
      <xdr:col>27</xdr:col>
      <xdr:colOff>2549</xdr:colOff>
      <xdr:row>7</xdr:row>
      <xdr:rowOff>0</xdr:rowOff>
    </xdr:to>
    <xdr:sp macro="" textlink="M2S5">
      <xdr:nvSpPr>
        <xdr:cNvPr id="2" name="SUBMENU5">
          <a:hlinkClick xmlns:r="http://schemas.openxmlformats.org/officeDocument/2006/relationships" r:id="rId1"/>
          <a:extLst>
            <a:ext uri="{FF2B5EF4-FFF2-40B4-BE49-F238E27FC236}">
              <a16:creationId xmlns:a16="http://schemas.microsoft.com/office/drawing/2014/main" id="{00000000-0008-0000-0D00-000002000000}"/>
            </a:ext>
          </a:extLst>
        </xdr:cNvPr>
        <xdr:cNvSpPr/>
      </xdr:nvSpPr>
      <xdr:spPr>
        <a:xfrm>
          <a:off x="6917701" y="1000805"/>
          <a:ext cx="1571623" cy="399370"/>
        </a:xfrm>
        <a:prstGeom prst="round2SameRect">
          <a:avLst/>
        </a:prstGeom>
        <a:noFill/>
        <a:ln w="12700">
          <a:no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0EF88A6-2636-4086-A650-C932DE98DE91}" type="TxLink">
            <a:rPr lang="en-US" sz="1100" b="0" i="0" u="none" strike="noStrike">
              <a:solidFill>
                <a:srgbClr val="FFFFFF"/>
              </a:solidFill>
              <a:latin typeface="Arial" panose="020B0604020202020204" pitchFamily="34" charset="0"/>
              <a:cs typeface="Arial" panose="020B0604020202020204" pitchFamily="34" charset="0"/>
            </a:rPr>
            <a:pPr algn="ctr"/>
            <a:t> </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27</xdr:col>
      <xdr:colOff>0</xdr:colOff>
      <xdr:row>4</xdr:row>
      <xdr:rowOff>200705</xdr:rowOff>
    </xdr:from>
    <xdr:to>
      <xdr:col>32</xdr:col>
      <xdr:colOff>2865</xdr:colOff>
      <xdr:row>7</xdr:row>
      <xdr:rowOff>0</xdr:rowOff>
    </xdr:to>
    <xdr:sp macro="" textlink="M2S6">
      <xdr:nvSpPr>
        <xdr:cNvPr id="3" name="SUBMENU6">
          <a:hlinkClick xmlns:r="http://schemas.openxmlformats.org/officeDocument/2006/relationships" r:id="rId2"/>
          <a:extLst>
            <a:ext uri="{FF2B5EF4-FFF2-40B4-BE49-F238E27FC236}">
              <a16:creationId xmlns:a16="http://schemas.microsoft.com/office/drawing/2014/main" id="{00000000-0008-0000-0D00-000003000000}"/>
            </a:ext>
          </a:extLst>
        </xdr:cNvPr>
        <xdr:cNvSpPr/>
      </xdr:nvSpPr>
      <xdr:spPr>
        <a:xfrm>
          <a:off x="8486775" y="1000805"/>
          <a:ext cx="1574490" cy="399370"/>
        </a:xfrm>
        <a:prstGeom prst="round2SameRect">
          <a:avLst/>
        </a:prstGeom>
        <a:noFill/>
        <a:ln w="12700">
          <a:no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BD6B52D5-D031-4BC0-AFAB-829122150994}" type="TxLink">
            <a:rPr lang="en-US" sz="1100" b="0" i="0" u="none" strike="noStrike">
              <a:solidFill>
                <a:srgbClr val="FFFFFF"/>
              </a:solidFill>
              <a:latin typeface="Arial" panose="020B0604020202020204" pitchFamily="34" charset="0"/>
              <a:cs typeface="Arial" panose="020B0604020202020204" pitchFamily="34" charset="0"/>
            </a:rPr>
            <a:pPr algn="ctr"/>
            <a:t> </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32</xdr:col>
      <xdr:colOff>2865</xdr:colOff>
      <xdr:row>4</xdr:row>
      <xdr:rowOff>200705</xdr:rowOff>
    </xdr:from>
    <xdr:to>
      <xdr:col>37</xdr:col>
      <xdr:colOff>2720</xdr:colOff>
      <xdr:row>7</xdr:row>
      <xdr:rowOff>0</xdr:rowOff>
    </xdr:to>
    <xdr:sp macro="" textlink="M2S7">
      <xdr:nvSpPr>
        <xdr:cNvPr id="4" name="SUBMENU7">
          <a:hlinkClick xmlns:r="http://schemas.openxmlformats.org/officeDocument/2006/relationships" r:id="rId3"/>
          <a:extLst>
            <a:ext uri="{FF2B5EF4-FFF2-40B4-BE49-F238E27FC236}">
              <a16:creationId xmlns:a16="http://schemas.microsoft.com/office/drawing/2014/main" id="{00000000-0008-0000-0D00-000004000000}"/>
            </a:ext>
          </a:extLst>
        </xdr:cNvPr>
        <xdr:cNvSpPr/>
      </xdr:nvSpPr>
      <xdr:spPr>
        <a:xfrm>
          <a:off x="10061265" y="1000805"/>
          <a:ext cx="1571480" cy="399370"/>
        </a:xfrm>
        <a:prstGeom prst="round2SameRect">
          <a:avLst/>
        </a:prstGeom>
        <a:noFill/>
        <a:ln w="25400">
          <a:no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B073450E-5F1A-40FE-917D-F5188E72474C}" type="TxLink">
            <a:rPr lang="en-US" sz="1100" b="0" i="0" u="none" strike="noStrike">
              <a:solidFill>
                <a:srgbClr val="FFFFFF"/>
              </a:solidFill>
              <a:latin typeface="Arial" panose="020B0604020202020204" pitchFamily="34" charset="0"/>
              <a:cs typeface="Arial" panose="020B0604020202020204" pitchFamily="34" charset="0"/>
            </a:rPr>
            <a:pPr algn="ctr"/>
            <a:t> </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37</xdr:col>
      <xdr:colOff>2720</xdr:colOff>
      <xdr:row>4</xdr:row>
      <xdr:rowOff>200705</xdr:rowOff>
    </xdr:from>
    <xdr:to>
      <xdr:col>42</xdr:col>
      <xdr:colOff>0</xdr:colOff>
      <xdr:row>7</xdr:row>
      <xdr:rowOff>0</xdr:rowOff>
    </xdr:to>
    <xdr:sp macro="" textlink="M2S8">
      <xdr:nvSpPr>
        <xdr:cNvPr id="5" name="SUBMENU8">
          <a:hlinkClick xmlns:r="http://schemas.openxmlformats.org/officeDocument/2006/relationships" r:id="rId4"/>
          <a:extLst>
            <a:ext uri="{FF2B5EF4-FFF2-40B4-BE49-F238E27FC236}">
              <a16:creationId xmlns:a16="http://schemas.microsoft.com/office/drawing/2014/main" id="{00000000-0008-0000-0D00-000005000000}"/>
            </a:ext>
          </a:extLst>
        </xdr:cNvPr>
        <xdr:cNvSpPr/>
      </xdr:nvSpPr>
      <xdr:spPr>
        <a:xfrm>
          <a:off x="11632745" y="1000805"/>
          <a:ext cx="1568905" cy="399370"/>
        </a:xfrm>
        <a:prstGeom prst="round2SameRect">
          <a:avLst/>
        </a:prstGeom>
        <a:noFill/>
        <a:ln w="25400">
          <a:no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05D9615E-C5D6-4F54-94DF-ADF81FF77BE6}" type="TxLink">
            <a:rPr lang="en-US" sz="1100" b="0" i="0" u="none" strike="noStrike">
              <a:solidFill>
                <a:srgbClr val="FFFFFF"/>
              </a:solidFill>
              <a:latin typeface="Arial" panose="020B0604020202020204" pitchFamily="34" charset="0"/>
              <a:cs typeface="Arial" panose="020B0604020202020204" pitchFamily="34" charset="0"/>
            </a:rPr>
            <a:pPr algn="ctr"/>
            <a:t> </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12</xdr:col>
      <xdr:colOff>0</xdr:colOff>
      <xdr:row>1</xdr:row>
      <xdr:rowOff>133350</xdr:rowOff>
    </xdr:from>
    <xdr:to>
      <xdr:col>17</xdr:col>
      <xdr:colOff>0</xdr:colOff>
      <xdr:row>4</xdr:row>
      <xdr:rowOff>133350</xdr:rowOff>
    </xdr:to>
    <xdr:sp macro="" textlink="MAIN2">
      <xdr:nvSpPr>
        <xdr:cNvPr id="6" name="MENU2">
          <a:hlinkClick xmlns:r="http://schemas.openxmlformats.org/officeDocument/2006/relationships" r:id="rId5" tooltip=" "/>
          <a:extLst>
            <a:ext uri="{FF2B5EF4-FFF2-40B4-BE49-F238E27FC236}">
              <a16:creationId xmlns:a16="http://schemas.microsoft.com/office/drawing/2014/main" id="{00000000-0008-0000-0D00-000006000000}"/>
            </a:ext>
          </a:extLst>
        </xdr:cNvPr>
        <xdr:cNvSpPr/>
      </xdr:nvSpPr>
      <xdr:spPr>
        <a:xfrm>
          <a:off x="3771900" y="333375"/>
          <a:ext cx="1571625" cy="600075"/>
        </a:xfrm>
        <a:prstGeom prst="round2SameRect">
          <a:avLst/>
        </a:prstGeom>
        <a:solidFill>
          <a:srgbClr val="A6A5AA"/>
        </a:solidFill>
        <a:ln w="12700">
          <a:solidFill>
            <a:srgbClr val="A6A5AA"/>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59A035B9-F1D2-4E89-B262-AF2DF0C338A9}"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PROJECT INFORMATION</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xdr:col>
      <xdr:colOff>0</xdr:colOff>
      <xdr:row>4</xdr:row>
      <xdr:rowOff>1</xdr:rowOff>
    </xdr:from>
    <xdr:to>
      <xdr:col>44</xdr:col>
      <xdr:colOff>13806</xdr:colOff>
      <xdr:row>7</xdr:row>
      <xdr:rowOff>0</xdr:rowOff>
    </xdr:to>
    <xdr:sp macro="" textlink="">
      <xdr:nvSpPr>
        <xdr:cNvPr id="7" name="TOPRIBBON">
          <a:extLst>
            <a:ext uri="{FF2B5EF4-FFF2-40B4-BE49-F238E27FC236}">
              <a16:creationId xmlns:a16="http://schemas.microsoft.com/office/drawing/2014/main" id="{00000000-0008-0000-0D00-000007000000}"/>
            </a:ext>
          </a:extLst>
        </xdr:cNvPr>
        <xdr:cNvSpPr/>
      </xdr:nvSpPr>
      <xdr:spPr>
        <a:xfrm>
          <a:off x="314325" y="800101"/>
          <a:ext cx="13529781" cy="600074"/>
        </a:xfrm>
        <a:prstGeom prst="round2SameRect">
          <a:avLst/>
        </a:prstGeom>
        <a:solidFill>
          <a:srgbClr val="A6A5A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p>
      </xdr:txBody>
    </xdr:sp>
    <xdr:clientData/>
  </xdr:twoCellAnchor>
  <xdr:twoCellAnchor>
    <xdr:from>
      <xdr:col>7</xdr:col>
      <xdr:colOff>457</xdr:colOff>
      <xdr:row>1</xdr:row>
      <xdr:rowOff>0</xdr:rowOff>
    </xdr:from>
    <xdr:to>
      <xdr:col>12</xdr:col>
      <xdr:colOff>0</xdr:colOff>
      <xdr:row>4</xdr:row>
      <xdr:rowOff>0</xdr:rowOff>
    </xdr:to>
    <xdr:sp macro="" textlink="MAIN1">
      <xdr:nvSpPr>
        <xdr:cNvPr id="8" name="MENU1">
          <a:hlinkClick xmlns:r="http://schemas.openxmlformats.org/officeDocument/2006/relationships" r:id="rId6" tooltip=" "/>
          <a:extLst>
            <a:ext uri="{FF2B5EF4-FFF2-40B4-BE49-F238E27FC236}">
              <a16:creationId xmlns:a16="http://schemas.microsoft.com/office/drawing/2014/main" id="{00000000-0008-0000-0D00-000008000000}"/>
            </a:ext>
          </a:extLst>
        </xdr:cNvPr>
        <xdr:cNvSpPr/>
      </xdr:nvSpPr>
      <xdr:spPr>
        <a:xfrm>
          <a:off x="2200732" y="200025"/>
          <a:ext cx="1571168" cy="600075"/>
        </a:xfrm>
        <a:prstGeom prst="round2SameRect">
          <a:avLst/>
        </a:prstGeom>
        <a:solidFill>
          <a:srgbClr val="00334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D6F2F067-2676-4601-ABCE-75BD5137E3D5}"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START</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17</xdr:col>
      <xdr:colOff>0</xdr:colOff>
      <xdr:row>1</xdr:row>
      <xdr:rowOff>0</xdr:rowOff>
    </xdr:from>
    <xdr:to>
      <xdr:col>22</xdr:col>
      <xdr:colOff>0</xdr:colOff>
      <xdr:row>4</xdr:row>
      <xdr:rowOff>0</xdr:rowOff>
    </xdr:to>
    <xdr:sp macro="" textlink="MAIN3">
      <xdr:nvSpPr>
        <xdr:cNvPr id="9" name="MENU3">
          <a:hlinkClick xmlns:r="http://schemas.openxmlformats.org/officeDocument/2006/relationships" r:id="rId7" tooltip=" "/>
          <a:extLst>
            <a:ext uri="{FF2B5EF4-FFF2-40B4-BE49-F238E27FC236}">
              <a16:creationId xmlns:a16="http://schemas.microsoft.com/office/drawing/2014/main" id="{00000000-0008-0000-0D00-000009000000}"/>
            </a:ext>
          </a:extLst>
        </xdr:cNvPr>
        <xdr:cNvSpPr/>
      </xdr:nvSpPr>
      <xdr:spPr>
        <a:xfrm>
          <a:off x="5343525" y="200025"/>
          <a:ext cx="1571625" cy="600075"/>
        </a:xfrm>
        <a:prstGeom prst="round2SameRect">
          <a:avLst/>
        </a:prstGeom>
        <a:solidFill>
          <a:srgbClr val="00334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06A037F-AE33-47CC-85C1-F6D62694F95D}"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PRESCRIPTIVE MEASURES INPUT</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22</xdr:col>
      <xdr:colOff>0</xdr:colOff>
      <xdr:row>1</xdr:row>
      <xdr:rowOff>0</xdr:rowOff>
    </xdr:from>
    <xdr:to>
      <xdr:col>27</xdr:col>
      <xdr:colOff>0</xdr:colOff>
      <xdr:row>4</xdr:row>
      <xdr:rowOff>0</xdr:rowOff>
    </xdr:to>
    <xdr:sp macro="" textlink="MAIN4">
      <xdr:nvSpPr>
        <xdr:cNvPr id="10" name="MENU4">
          <a:hlinkClick xmlns:r="http://schemas.openxmlformats.org/officeDocument/2006/relationships" r:id="rId8" tooltip=" "/>
          <a:extLst>
            <a:ext uri="{FF2B5EF4-FFF2-40B4-BE49-F238E27FC236}">
              <a16:creationId xmlns:a16="http://schemas.microsoft.com/office/drawing/2014/main" id="{00000000-0008-0000-0D00-00000A000000}"/>
            </a:ext>
          </a:extLst>
        </xdr:cNvPr>
        <xdr:cNvSpPr/>
      </xdr:nvSpPr>
      <xdr:spPr>
        <a:xfrm>
          <a:off x="6915150" y="200025"/>
          <a:ext cx="1571625" cy="600075"/>
        </a:xfrm>
        <a:prstGeom prst="round2SameRect">
          <a:avLst/>
        </a:prstGeom>
        <a:solidFill>
          <a:srgbClr val="00334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CB369157-CA5B-4E40-B1DE-604993B819B3}"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CUSTOM MEASURES INPUT</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27</xdr:col>
      <xdr:colOff>0</xdr:colOff>
      <xdr:row>1</xdr:row>
      <xdr:rowOff>0</xdr:rowOff>
    </xdr:from>
    <xdr:to>
      <xdr:col>32</xdr:col>
      <xdr:colOff>0</xdr:colOff>
      <xdr:row>4</xdr:row>
      <xdr:rowOff>0</xdr:rowOff>
    </xdr:to>
    <xdr:sp macro="" textlink="MAIN5">
      <xdr:nvSpPr>
        <xdr:cNvPr id="11" name="MENU5">
          <a:hlinkClick xmlns:r="http://schemas.openxmlformats.org/officeDocument/2006/relationships" r:id="rId9" tooltip=" "/>
          <a:extLst>
            <a:ext uri="{FF2B5EF4-FFF2-40B4-BE49-F238E27FC236}">
              <a16:creationId xmlns:a16="http://schemas.microsoft.com/office/drawing/2014/main" id="{00000000-0008-0000-0D00-00000B000000}"/>
            </a:ext>
          </a:extLst>
        </xdr:cNvPr>
        <xdr:cNvSpPr/>
      </xdr:nvSpPr>
      <xdr:spPr>
        <a:xfrm>
          <a:off x="8486775" y="200025"/>
          <a:ext cx="1571625" cy="600075"/>
        </a:xfrm>
        <a:prstGeom prst="round2SameRect">
          <a:avLst/>
        </a:prstGeom>
        <a:solidFill>
          <a:srgbClr val="00334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F0EEDDA6-4934-49B4-972D-20D21D440D82}"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APPLICATION REVIEW</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32</xdr:col>
      <xdr:colOff>0</xdr:colOff>
      <xdr:row>1</xdr:row>
      <xdr:rowOff>0</xdr:rowOff>
    </xdr:from>
    <xdr:to>
      <xdr:col>37</xdr:col>
      <xdr:colOff>1</xdr:colOff>
      <xdr:row>4</xdr:row>
      <xdr:rowOff>0</xdr:rowOff>
    </xdr:to>
    <xdr:sp macro="" textlink="MAIN6">
      <xdr:nvSpPr>
        <xdr:cNvPr id="12" name="MENU6">
          <a:extLst>
            <a:ext uri="{FF2B5EF4-FFF2-40B4-BE49-F238E27FC236}">
              <a16:creationId xmlns:a16="http://schemas.microsoft.com/office/drawing/2014/main" id="{00000000-0008-0000-0D00-00000C000000}"/>
            </a:ext>
          </a:extLst>
        </xdr:cNvPr>
        <xdr:cNvSpPr/>
      </xdr:nvSpPr>
      <xdr:spPr>
        <a:xfrm>
          <a:off x="10058400" y="200025"/>
          <a:ext cx="1571626"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00B050"/>
              </a:solidFill>
            </a14:hiddenFill>
          </a:ext>
          <a:ext uri="{91240B29-F687-4F45-9708-019B960494DF}">
            <a14:hiddenLine xmlns:a14="http://schemas.microsoft.com/office/drawing/2010/main" w="25400" cap="flat" cmpd="sng" algn="ctr">
              <a:solidFill>
                <a:srgbClr val="7F7F7F"/>
              </a:solidFill>
              <a:prstDash val="solid"/>
              <a:miter lim="800000"/>
            </a14:hiddenLine>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B12A3774-975E-4B41-A681-E085295C6D0E}" type="TxLink">
            <a:rPr lang="en-US" sz="1100" b="0" i="0" u="none" strike="noStrike">
              <a:noFill/>
              <a:latin typeface="Arial" panose="020B0604020202020204" pitchFamily="34" charset="0"/>
              <a:cs typeface="Arial" panose="020B0604020202020204" pitchFamily="34" charset="0"/>
            </a:rPr>
            <a:pPr algn="ctr"/>
            <a:t> </a:t>
          </a:fld>
          <a:endParaRPr lang="en-US" sz="1100">
            <a:noFill/>
            <a:latin typeface="Arial" panose="020B0604020202020204" pitchFamily="34" charset="0"/>
            <a:cs typeface="Arial" panose="020B0604020202020204" pitchFamily="34" charset="0"/>
          </a:endParaRPr>
        </a:p>
      </xdr:txBody>
    </xdr:sp>
    <xdr:clientData/>
  </xdr:twoCellAnchor>
  <xdr:twoCellAnchor>
    <xdr:from>
      <xdr:col>37</xdr:col>
      <xdr:colOff>559</xdr:colOff>
      <xdr:row>1</xdr:row>
      <xdr:rowOff>0</xdr:rowOff>
    </xdr:from>
    <xdr:to>
      <xdr:col>42</xdr:col>
      <xdr:colOff>559</xdr:colOff>
      <xdr:row>4</xdr:row>
      <xdr:rowOff>0</xdr:rowOff>
    </xdr:to>
    <xdr:sp macro="" textlink="MAIN7">
      <xdr:nvSpPr>
        <xdr:cNvPr id="13" name="MENU7">
          <a:extLst>
            <a:ext uri="{FF2B5EF4-FFF2-40B4-BE49-F238E27FC236}">
              <a16:creationId xmlns:a16="http://schemas.microsoft.com/office/drawing/2014/main" id="{00000000-0008-0000-0D00-00000D000000}"/>
            </a:ext>
          </a:extLst>
        </xdr:cNvPr>
        <xdr:cNvSpPr/>
      </xdr:nvSpPr>
      <xdr:spPr>
        <a:xfrm>
          <a:off x="11630584" y="200025"/>
          <a:ext cx="1571625"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00B050"/>
              </a:solidFill>
            </a14:hiddenFill>
          </a:ext>
          <a:ext uri="{91240B29-F687-4F45-9708-019B960494DF}">
            <a14:hiddenLine xmlns:a14="http://schemas.microsoft.com/office/drawing/2010/main" w="25400" cap="flat" cmpd="sng" algn="ctr">
              <a:solidFill>
                <a:srgbClr val="7F7F7F"/>
              </a:solidFill>
              <a:prstDash val="solid"/>
              <a:miter lim="800000"/>
            </a14:hiddenLine>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 </a:t>
          </a:fld>
          <a:endParaRPr lang="en-US" sz="1100">
            <a:noFill/>
            <a:latin typeface="Arial" panose="020B0604020202020204" pitchFamily="34" charset="0"/>
            <a:cs typeface="Arial" panose="020B0604020202020204" pitchFamily="34" charset="0"/>
          </a:endParaRPr>
        </a:p>
      </xdr:txBody>
    </xdr:sp>
    <xdr:clientData/>
  </xdr:twoCellAnchor>
  <xdr:twoCellAnchor>
    <xdr:from>
      <xdr:col>7</xdr:col>
      <xdr:colOff>1156</xdr:colOff>
      <xdr:row>4</xdr:row>
      <xdr:rowOff>200705</xdr:rowOff>
    </xdr:from>
    <xdr:to>
      <xdr:col>12</xdr:col>
      <xdr:colOff>1155</xdr:colOff>
      <xdr:row>7</xdr:row>
      <xdr:rowOff>0</xdr:rowOff>
    </xdr:to>
    <xdr:sp macro="" textlink="M2S2">
      <xdr:nvSpPr>
        <xdr:cNvPr id="14" name="SUBMENU2">
          <a:hlinkClick xmlns:r="http://schemas.openxmlformats.org/officeDocument/2006/relationships" r:id="rId10" tooltip=" "/>
          <a:extLst>
            <a:ext uri="{FF2B5EF4-FFF2-40B4-BE49-F238E27FC236}">
              <a16:creationId xmlns:a16="http://schemas.microsoft.com/office/drawing/2014/main" id="{00000000-0008-0000-0D00-00000E000000}"/>
            </a:ext>
          </a:extLst>
        </xdr:cNvPr>
        <xdr:cNvSpPr/>
      </xdr:nvSpPr>
      <xdr:spPr>
        <a:xfrm>
          <a:off x="2201431" y="1000805"/>
          <a:ext cx="1571624" cy="399370"/>
        </a:xfrm>
        <a:prstGeom prst="round2SameRect">
          <a:avLst/>
        </a:prstGeom>
        <a:solidFill>
          <a:srgbClr val="54BCEB"/>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3F46A332-CB6C-444B-A98C-4A2C16E11A97}" type="TxLink">
            <a:rPr lang="en-US" sz="1100" b="0" i="0" u="none" strike="noStrike">
              <a:solidFill>
                <a:srgbClr val="FFFFFF"/>
              </a:solidFill>
              <a:latin typeface="Arial" panose="020B0604020202020204" pitchFamily="34" charset="0"/>
              <a:cs typeface="Arial" panose="020B0604020202020204" pitchFamily="34" charset="0"/>
            </a:rPr>
            <a:pPr algn="ctr"/>
            <a:t>Company and Site Information</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12</xdr:col>
      <xdr:colOff>1854</xdr:colOff>
      <xdr:row>4</xdr:row>
      <xdr:rowOff>200705</xdr:rowOff>
    </xdr:from>
    <xdr:to>
      <xdr:col>17</xdr:col>
      <xdr:colOff>1853</xdr:colOff>
      <xdr:row>7</xdr:row>
      <xdr:rowOff>0</xdr:rowOff>
    </xdr:to>
    <xdr:sp macro="" textlink="M2S3">
      <xdr:nvSpPr>
        <xdr:cNvPr id="15" name="SUBMENU3">
          <a:hlinkClick xmlns:r="http://schemas.openxmlformats.org/officeDocument/2006/relationships" r:id="rId11" tooltip=" "/>
          <a:extLst>
            <a:ext uri="{FF2B5EF4-FFF2-40B4-BE49-F238E27FC236}">
              <a16:creationId xmlns:a16="http://schemas.microsoft.com/office/drawing/2014/main" id="{00000000-0008-0000-0D00-00000F000000}"/>
            </a:ext>
          </a:extLst>
        </xdr:cNvPr>
        <xdr:cNvSpPr/>
      </xdr:nvSpPr>
      <xdr:spPr>
        <a:xfrm>
          <a:off x="3773754" y="1000805"/>
          <a:ext cx="1571624" cy="399370"/>
        </a:xfrm>
        <a:prstGeom prst="round2SameRect">
          <a:avLst/>
        </a:prstGeom>
        <a:solidFill>
          <a:srgbClr val="54BCEB"/>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6CF1307D-ECA4-4693-9752-43732259D37B}" type="TxLink">
            <a:rPr lang="en-US" sz="1100" b="0" i="0" u="none" strike="noStrike">
              <a:solidFill>
                <a:srgbClr val="FFFFFF"/>
              </a:solidFill>
              <a:latin typeface="Arial" panose="020B0604020202020204" pitchFamily="34" charset="0"/>
              <a:cs typeface="Arial" panose="020B0604020202020204" pitchFamily="34" charset="0"/>
            </a:rPr>
            <a:pPr algn="ctr"/>
            <a:t>Trade Ally / Vendor Information</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17</xdr:col>
      <xdr:colOff>2551</xdr:colOff>
      <xdr:row>4</xdr:row>
      <xdr:rowOff>200705</xdr:rowOff>
    </xdr:from>
    <xdr:to>
      <xdr:col>22</xdr:col>
      <xdr:colOff>2550</xdr:colOff>
      <xdr:row>7</xdr:row>
      <xdr:rowOff>0</xdr:rowOff>
    </xdr:to>
    <xdr:sp macro="" textlink="M2S4">
      <xdr:nvSpPr>
        <xdr:cNvPr id="16" name="SUBMENU4">
          <a:hlinkClick xmlns:r="http://schemas.openxmlformats.org/officeDocument/2006/relationships" r:id="rId12" tooltip=" "/>
          <a:extLst>
            <a:ext uri="{FF2B5EF4-FFF2-40B4-BE49-F238E27FC236}">
              <a16:creationId xmlns:a16="http://schemas.microsoft.com/office/drawing/2014/main" id="{00000000-0008-0000-0D00-000010000000}"/>
            </a:ext>
          </a:extLst>
        </xdr:cNvPr>
        <xdr:cNvSpPr/>
      </xdr:nvSpPr>
      <xdr:spPr>
        <a:xfrm>
          <a:off x="5346076" y="1000805"/>
          <a:ext cx="1571624" cy="399370"/>
        </a:xfrm>
        <a:prstGeom prst="round2SameRect">
          <a:avLst/>
        </a:prstGeom>
        <a:solidFill>
          <a:srgbClr val="54BCEB"/>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2DCA9913-F62F-4A39-A8F2-B5B0B6900AE5}" type="TxLink">
            <a:rPr lang="en-US" sz="1100" b="0" i="0" u="none" strike="noStrike">
              <a:solidFill>
                <a:srgbClr val="FFFFFF"/>
              </a:solidFill>
              <a:latin typeface="Arial" panose="020B0604020202020204" pitchFamily="34" charset="0"/>
              <a:cs typeface="Arial" panose="020B0604020202020204" pitchFamily="34" charset="0"/>
            </a:rPr>
            <a:pPr algn="ctr"/>
            <a:t>Payment Information</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1</xdr:col>
      <xdr:colOff>0</xdr:colOff>
      <xdr:row>7</xdr:row>
      <xdr:rowOff>0</xdr:rowOff>
    </xdr:from>
    <xdr:to>
      <xdr:col>44</xdr:col>
      <xdr:colOff>13806</xdr:colOff>
      <xdr:row>8</xdr:row>
      <xdr:rowOff>0</xdr:rowOff>
    </xdr:to>
    <xdr:sp macro="" textlink="">
      <xdr:nvSpPr>
        <xdr:cNvPr id="17" name="BOTTOMRIBBON">
          <a:extLst>
            <a:ext uri="{FF2B5EF4-FFF2-40B4-BE49-F238E27FC236}">
              <a16:creationId xmlns:a16="http://schemas.microsoft.com/office/drawing/2014/main" id="{00000000-0008-0000-0D00-000011000000}"/>
            </a:ext>
          </a:extLst>
        </xdr:cNvPr>
        <xdr:cNvSpPr/>
      </xdr:nvSpPr>
      <xdr:spPr>
        <a:xfrm>
          <a:off x="314325" y="1400175"/>
          <a:ext cx="13529781" cy="200025"/>
        </a:xfrm>
        <a:prstGeom prst="rect">
          <a:avLst/>
        </a:prstGeom>
        <a:solidFill>
          <a:srgbClr val="00334E"/>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solidFill>
              <a:srgbClr val="FFFFFF"/>
            </a:solidFill>
          </a:endParaRPr>
        </a:p>
      </xdr:txBody>
    </xdr:sp>
    <xdr:clientData/>
  </xdr:twoCellAnchor>
  <xdr:twoCellAnchor editAs="oneCell">
    <xdr:from>
      <xdr:col>2</xdr:col>
      <xdr:colOff>84133</xdr:colOff>
      <xdr:row>0</xdr:row>
      <xdr:rowOff>156884</xdr:rowOff>
    </xdr:from>
    <xdr:to>
      <xdr:col>5</xdr:col>
      <xdr:colOff>49121</xdr:colOff>
      <xdr:row>3</xdr:row>
      <xdr:rowOff>24177</xdr:rowOff>
    </xdr:to>
    <xdr:pic>
      <xdr:nvPicPr>
        <xdr:cNvPr id="18" name="LOGO">
          <a:extLst>
            <a:ext uri="{FF2B5EF4-FFF2-40B4-BE49-F238E27FC236}">
              <a16:creationId xmlns:a16="http://schemas.microsoft.com/office/drawing/2014/main" id="{00000000-0008-0000-0D00-000012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xdr:blipFill>
      <xdr:spPr>
        <a:xfrm>
          <a:off x="711662" y="156884"/>
          <a:ext cx="906283" cy="461205"/>
        </a:xfrm>
        <a:prstGeom prst="rect">
          <a:avLst/>
        </a:prstGeom>
      </xdr:spPr>
    </xdr:pic>
    <xdr:clientData/>
  </xdr:twoCellAnchor>
  <xdr:twoCellAnchor>
    <xdr:from>
      <xdr:col>2</xdr:col>
      <xdr:colOff>2720</xdr:colOff>
      <xdr:row>5</xdr:row>
      <xdr:rowOff>62006</xdr:rowOff>
    </xdr:from>
    <xdr:to>
      <xdr:col>7</xdr:col>
      <xdr:colOff>457</xdr:colOff>
      <xdr:row>7</xdr:row>
      <xdr:rowOff>59808</xdr:rowOff>
    </xdr:to>
    <xdr:sp macro="" textlink="M2S1">
      <xdr:nvSpPr>
        <xdr:cNvPr id="19" name="SUBMENU1">
          <a:hlinkClick xmlns:r="http://schemas.openxmlformats.org/officeDocument/2006/relationships" r:id="rId5" tooltip=" "/>
          <a:extLst>
            <a:ext uri="{FF2B5EF4-FFF2-40B4-BE49-F238E27FC236}">
              <a16:creationId xmlns:a16="http://schemas.microsoft.com/office/drawing/2014/main" id="{00000000-0008-0000-0D00-000013000000}"/>
            </a:ext>
          </a:extLst>
        </xdr:cNvPr>
        <xdr:cNvSpPr/>
      </xdr:nvSpPr>
      <xdr:spPr>
        <a:xfrm>
          <a:off x="631370" y="1062131"/>
          <a:ext cx="1569362" cy="397852"/>
        </a:xfrm>
        <a:prstGeom prst="round2SameRect">
          <a:avLst/>
        </a:prstGeom>
        <a:solidFill>
          <a:srgbClr val="00334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E4B740A-9522-487C-91EC-6CD2F94D6A48}" type="TxLink">
            <a:rPr lang="en-US" sz="1100" b="0" i="0" u="none" strike="noStrike">
              <a:solidFill>
                <a:srgbClr val="FFFFFF"/>
              </a:solidFill>
              <a:latin typeface="Arial" panose="020B0604020202020204" pitchFamily="34" charset="0"/>
              <a:cs typeface="Arial" panose="020B0604020202020204" pitchFamily="34" charset="0"/>
            </a:rPr>
            <a:pPr algn="ctr"/>
            <a:t>Terms &amp; Conditions</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1</xdr:col>
      <xdr:colOff>0</xdr:colOff>
      <xdr:row>8</xdr:row>
      <xdr:rowOff>0</xdr:rowOff>
    </xdr:from>
    <xdr:to>
      <xdr:col>44</xdr:col>
      <xdr:colOff>0</xdr:colOff>
      <xdr:row>199</xdr:row>
      <xdr:rowOff>22412</xdr:rowOff>
    </xdr:to>
    <xdr:sp macro="" textlink="">
      <xdr:nvSpPr>
        <xdr:cNvPr id="20" name="BORDER">
          <a:extLst>
            <a:ext uri="{FF2B5EF4-FFF2-40B4-BE49-F238E27FC236}">
              <a16:creationId xmlns:a16="http://schemas.microsoft.com/office/drawing/2014/main" id="{00000000-0008-0000-0D00-000014000000}"/>
            </a:ext>
          </a:extLst>
        </xdr:cNvPr>
        <xdr:cNvSpPr/>
      </xdr:nvSpPr>
      <xdr:spPr>
        <a:xfrm>
          <a:off x="313765" y="1546412"/>
          <a:ext cx="13491882" cy="36542382"/>
        </a:xfrm>
        <a:prstGeom prst="frame">
          <a:avLst>
            <a:gd name="adj1" fmla="val 97"/>
          </a:avLst>
        </a:prstGeom>
        <a:noFill/>
        <a:ln w="12700" cap="flat" cmpd="sng" algn="ctr">
          <a:solidFill>
            <a:srgbClr val="00334E"/>
          </a:solidFill>
          <a:prstDash val="solid"/>
          <a:miter lim="800000"/>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fPrintsWithSheet="0"/>
  </xdr:twoCellAnchor>
  <xdr:twoCellAnchor>
    <xdr:from>
      <xdr:col>2</xdr:col>
      <xdr:colOff>0</xdr:colOff>
      <xdr:row>11</xdr:row>
      <xdr:rowOff>67232</xdr:rowOff>
    </xdr:from>
    <xdr:to>
      <xdr:col>42</xdr:col>
      <xdr:colOff>310475</xdr:colOff>
      <xdr:row>110</xdr:row>
      <xdr:rowOff>56029</xdr:rowOff>
    </xdr:to>
    <xdr:sp macro="" textlink="">
      <xdr:nvSpPr>
        <xdr:cNvPr id="21" name="TextBox 20">
          <a:extLst>
            <a:ext uri="{FF2B5EF4-FFF2-40B4-BE49-F238E27FC236}">
              <a16:creationId xmlns:a16="http://schemas.microsoft.com/office/drawing/2014/main" id="{00000000-0008-0000-0D00-000015000000}"/>
            </a:ext>
          </a:extLst>
        </xdr:cNvPr>
        <xdr:cNvSpPr txBox="1"/>
      </xdr:nvSpPr>
      <xdr:spPr>
        <a:xfrm>
          <a:off x="627529" y="2252379"/>
          <a:ext cx="12861064" cy="18848297"/>
        </a:xfrm>
        <a:prstGeom prst="rect">
          <a:avLst/>
        </a:prstGeom>
        <a:solidFill>
          <a:schemeClr val="bg1">
            <a:lumMod val="8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chemeClr val="dk1"/>
              </a:solidFill>
              <a:effectLst/>
              <a:latin typeface="+mn-lt"/>
              <a:ea typeface="+mn-ea"/>
              <a:cs typeface="+mn-cs"/>
            </a:rPr>
            <a:t>1. Definitions:</a:t>
          </a:r>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a. Eligibility for Custom (including retro-commissioning measures)/Prescriptive/New Construction Programs:  Customers include those currently billed under NIPSCO electric rates 520, 521, 522, 523, 524, 525, 526, 531 Tier 1, 532, 533, 541, 543, or 544 and those who have not opted out of participation in NIPSCO’s Energy Efficiency Program, and non-transport only natural gas rates 321, 325 or 351 (NIPSCO’s DependaBill rate).  Customer shall not include individuals, sites or locations served under a NIPSCO residential tariff.</a:t>
          </a:r>
        </a:p>
        <a:p>
          <a:r>
            <a:rPr lang="en-US" sz="1100">
              <a:solidFill>
                <a:schemeClr val="dk1"/>
              </a:solidFill>
              <a:effectLst/>
              <a:latin typeface="+mn-lt"/>
              <a:ea typeface="+mn-ea"/>
              <a:cs typeface="+mn-cs"/>
            </a:rPr>
            <a:t>b. Eligibility for the Small Business Direct Install (SBDI) Program: Customers include those currently billed under NIPSCO electric rates 520, 521, 522 or 523, who have not had a billing demand of 200 kW or greater in any month during the previous 12 months. Eligible NIPSCO natural gas customers are those served under rates 321, 325 or 351 (NIPSCO’s DependaBill rate). SBDI measures/projects must be installed by a program approved SBDI Trade Ally.</a:t>
          </a:r>
        </a:p>
        <a:p>
          <a:r>
            <a:rPr lang="en-US" sz="1100">
              <a:solidFill>
                <a:schemeClr val="dk1"/>
              </a:solidFill>
              <a:effectLst/>
              <a:latin typeface="+mn-lt"/>
              <a:ea typeface="+mn-ea"/>
              <a:cs typeface="+mn-cs"/>
            </a:rPr>
            <a:t>c. General Project Pool: The total amount of funds available from NIPSCO on an annual basis to be awarded as Incentive Amounts.</a:t>
          </a:r>
        </a:p>
        <a:p>
          <a:r>
            <a:rPr lang="en-US" sz="1100">
              <a:solidFill>
                <a:schemeClr val="dk1"/>
              </a:solidFill>
              <a:effectLst/>
              <a:latin typeface="+mn-lt"/>
              <a:ea typeface="+mn-ea"/>
              <a:cs typeface="+mn-cs"/>
            </a:rPr>
            <a:t>d. Incentive Amount: The dollar figure of the incentive to be provided by the NIPSCO Commercial and Industrial Custom (including retro-commissioning measures), New Construction, SBDI or Prescriptive Program to the Customer if Customer’s Project is approved and the Project is completed in accordance with the terms and conditions of the Program.</a:t>
          </a:r>
        </a:p>
        <a:p>
          <a:r>
            <a:rPr lang="en-US" sz="1100">
              <a:solidFill>
                <a:schemeClr val="dk1"/>
              </a:solidFill>
              <a:effectLst/>
              <a:latin typeface="+mn-lt"/>
              <a:ea typeface="+mn-ea"/>
              <a:cs typeface="+mn-cs"/>
            </a:rPr>
            <a:t>e. Program: The Incentive Amounts provided by the NIPSCO Commercial and Industrial Custom (including retro-commissioning measures), New Construction, SBDI or Prescriptive Program to Customers installing qualifying cost-effective energy equipment that reduces electricity usage (kWh) or gas usage (Therm).</a:t>
          </a:r>
        </a:p>
        <a:p>
          <a:r>
            <a:rPr lang="en-US" sz="1100">
              <a:solidFill>
                <a:schemeClr val="dk1"/>
              </a:solidFill>
              <a:effectLst/>
              <a:latin typeface="+mn-lt"/>
              <a:ea typeface="+mn-ea"/>
              <a:cs typeface="+mn-cs"/>
            </a:rPr>
            <a:t>f: Project: Customer’s retrofit or replacement of existing Equipment with high energy efficiency equipment that will reduce the use of electricity or gas as described in Customer’s application.</a:t>
          </a:r>
        </a:p>
        <a:p>
          <a:r>
            <a:rPr lang="en-US" sz="1100">
              <a:solidFill>
                <a:schemeClr val="dk1"/>
              </a:solidFill>
              <a:effectLst/>
              <a:latin typeface="+mn-lt"/>
              <a:ea typeface="+mn-ea"/>
              <a:cs typeface="+mn-cs"/>
            </a:rPr>
            <a:t>g. If the customer participates in the Midstream Channel by purchasing qualifying equipment from a participating distributor, they are not eligible to participate in the Prescriptive, SBDI, Custom, New Construction, or any other programs for an incentive on the same piece of equipment.</a:t>
          </a:r>
        </a:p>
        <a:p>
          <a:r>
            <a:rPr lang="en-US" sz="1100" b="1">
              <a:solidFill>
                <a:schemeClr val="dk1"/>
              </a:solidFill>
              <a:effectLst/>
              <a:latin typeface="+mn-lt"/>
              <a:ea typeface="+mn-ea"/>
              <a:cs typeface="+mn-cs"/>
            </a:rPr>
            <a:t>2. Incentive Offer:</a:t>
          </a:r>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a. Custom/New Construction Program - A qualified Project involves the retrofit or replacement of existing equipment with high-efficiency equipment by a Customer or Trade Ally. The Incentive Amount is a one-time payment calculated by multiplying the Incentive rate per Program (Custom (including retro-commissioning measures)/New Construction Electric Lighting $.10/kWh, Custom (including retro-commissioning measures)/New Construction Electric Non-Lighting $.15/kWh, Custom (RCx Study) $.01/kWh, Custom (including retro-commissioning measures) Natural Gas $1.00/therm, New Construction Natural Gas $1.00/therm; Prescriptive &amp; SBDI measures are paid on a per unit basis, not per unit of savings) by the first year annual kWh/therm savings. Beginning a Project prior to approval by TRC Companies (TRC) is at Customer’s sole risk. Project approval is required before incentive eligibility will be granted. The proposed Project simple payback without Incentive Amount must be one (1) year or greater and have a benefit/cost ratio of greater than 1. The simple payback requirement does not apply to retro-commissioning measures. A Customer shall complete a project no later than 18 months (6 months for retro-commissioning measures) from project approval by NIPSCO's program administrator TRC or by November 16, 2025, whichever occurs earlier. Projects that are not completed within 18 months or by November 16, 2025 shall forfeit their position in the queue for program funds unless otherwise agreed by the Company in its sole reasonable discretion based upon consideration of Customer’s completion of project milestones and/or construction activity to begin the project. Such a waiver by the Company shall not exceed 90 days in length, although the Customer may request additional extension(s) so long as each request does not exceed 90 days. The signed Incentive Offer form must be delivered to NIPSCO Commercial and Industrial program administrator, TRC as indicated in this Agreement before a Project begins. Incentive Offers are valid for 30 days, Incentive Offers not returned within 30 days may not qualify for an Incentive Amount. Please keep a copy for your records. An approved Incentive Offer is not a guarantee of being awarded any Incentive Amount. Project proposals that do not reduce electric use (kWh) or natural gas use (therms) will not qualify to be awarded any Incentive Amount.</a:t>
          </a:r>
        </a:p>
        <a:p>
          <a:r>
            <a:rPr lang="en-US" sz="1100">
              <a:solidFill>
                <a:schemeClr val="dk1"/>
              </a:solidFill>
              <a:effectLst/>
              <a:latin typeface="+mn-lt"/>
              <a:ea typeface="+mn-ea"/>
              <a:cs typeface="+mn-cs"/>
            </a:rPr>
            <a:t>b. Prescriptive/SBDI Program - Projects that do not reduce natural gas use (therms) or electric use (kWh) will not qualify to be awarded any Incentive Amounts. All measures must be installed and operational with applications received by TRC within 90 days of measure installation or no later than November 16, 2025, whichever is earlier. Prescriptive and/or SBDI projects with an estimated Incentive Amount of greater than or equal to $10,000 require pre- approval from the Program prior to the purchase or installation of any energy efficiency measures.</a:t>
          </a:r>
        </a:p>
        <a:p>
          <a:r>
            <a:rPr lang="en-US" sz="1100" b="1">
              <a:solidFill>
                <a:schemeClr val="dk1"/>
              </a:solidFill>
              <a:effectLst/>
              <a:latin typeface="+mn-lt"/>
              <a:ea typeface="+mn-ea"/>
              <a:cs typeface="+mn-cs"/>
            </a:rPr>
            <a:t>3. General:</a:t>
          </a:r>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These Programs are valid for Customers that meet the definition of Customer above and who are in good standing and in compliance with the creditworthiness requirements set forth in NIPSCO’s tariff. The Customer must provide the correct taxpayer identification number. Incentive Amounts are reserved on a first come, first-served basis. Incentive Amounts are reserved for each Project at the time an Incentive application is approved and executed. Incentive Amounts are returned to the General Project Pool if the Project is disqualified, or not completed by the completion date, or completion date is not extended by the NIPSCO Commercial and Industrial Custom Program.</a:t>
          </a:r>
        </a:p>
        <a:p>
          <a:r>
            <a:rPr lang="en-US" sz="1100" b="1">
              <a:solidFill>
                <a:schemeClr val="dk1"/>
              </a:solidFill>
              <a:effectLst/>
              <a:latin typeface="+mn-lt"/>
              <a:ea typeface="+mn-ea"/>
              <a:cs typeface="+mn-cs"/>
            </a:rPr>
            <a:t>4. Proof of Purchase:</a:t>
          </a:r>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a. Custom (including retro-commissioning measures)/New Construction Program - The Project Completion Form must have complete information and be submitted with the invoice and manufacturer specification sheets. The invoice must include date of purchase or installation, itemized material cost including quantity, size (if applicable), manufacturer and model number, and total Project cost. A Contractor proposal cannot be used as a paid invoice. The Project Completion Form must be submitted no more than 30 days after Project installation, or no later than November 16, 2025, whichever is earlier to be eligible for the Incentive Amount unless an extension has been granted.</a:t>
          </a:r>
        </a:p>
        <a:p>
          <a:r>
            <a:rPr lang="en-US" sz="1100">
              <a:solidFill>
                <a:schemeClr val="dk1"/>
              </a:solidFill>
              <a:effectLst/>
              <a:latin typeface="+mn-lt"/>
              <a:ea typeface="+mn-ea"/>
              <a:cs typeface="+mn-cs"/>
            </a:rPr>
            <a:t>b. Prescriptive/SBDI Program - The Prescriptive Incentive Application must have complete information and be submitted with the invoice and manufacturer specification sheets. The invoice must include date of purchase or installation, itemized material cost including quantity, size (if applicable), manufacturer and model number, and total Project cost. Total Incentive Amount paid cannot exceed 100% of the total installed measure cost. A contractor proposal cannot be used as a paid invoice. The Prescriptive Incentive Application must be submitted no more than 90 days after measure(s) installed, or by November 16, 2025, whichever is earlier, to be eligible. Prescriptive or SBDI projects with an estimated Incentive Amount of greater than or equal to $10,000 require pre-approval from the Program prior to the purchase or installation of any energy efficiency measures.</a:t>
          </a:r>
        </a:p>
        <a:p>
          <a:r>
            <a:rPr lang="en-US" sz="1100" b="1">
              <a:solidFill>
                <a:schemeClr val="dk1"/>
              </a:solidFill>
              <a:effectLst/>
              <a:latin typeface="+mn-lt"/>
              <a:ea typeface="+mn-ea"/>
              <a:cs typeface="+mn-cs"/>
            </a:rPr>
            <a:t>5. Compliance:</a:t>
          </a:r>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a. All Projects are expected to comply with federal, state and local codes.</a:t>
          </a:r>
        </a:p>
        <a:p>
          <a:r>
            <a:rPr lang="en-US" sz="1100">
              <a:solidFill>
                <a:schemeClr val="dk1"/>
              </a:solidFill>
              <a:effectLst/>
              <a:latin typeface="+mn-lt"/>
              <a:ea typeface="+mn-ea"/>
              <a:cs typeface="+mn-cs"/>
            </a:rPr>
            <a:t>b. All equipment must be new or retrofitted with new components per the Program specifications (with the exception of studies or surveys). Used or rebuilt equipment is not eligible for an incentive. Existing equipment must be removed or permanently disconnected.</a:t>
          </a:r>
        </a:p>
        <a:p>
          <a:r>
            <a:rPr lang="en-US" sz="1100">
              <a:solidFill>
                <a:schemeClr val="dk1"/>
              </a:solidFill>
              <a:effectLst/>
              <a:latin typeface="+mn-lt"/>
              <a:ea typeface="+mn-ea"/>
              <a:cs typeface="+mn-cs"/>
            </a:rPr>
            <a:t>c. Equipment must meet approved specification requirements (new, saves energy, meets local state and federal codes) and must be purchased and operating no more than 90 days prior to submitting a Project Completion Form for payment of Incentive Amount. Prescriptive &amp; SBDI Incentive Applications must be submitted within 90 days of measure installation, or by November 16, 2025, whichever is earlier.</a:t>
          </a:r>
        </a:p>
        <a:p>
          <a:r>
            <a:rPr lang="en-US" sz="1100">
              <a:solidFill>
                <a:schemeClr val="dk1"/>
              </a:solidFill>
              <a:effectLst/>
              <a:latin typeface="+mn-lt"/>
              <a:ea typeface="+mn-ea"/>
              <a:cs typeface="+mn-cs"/>
            </a:rPr>
            <a:t>d. Only one NIPSCO Incentive will be granted for each Project.</a:t>
          </a:r>
        </a:p>
        <a:p>
          <a:r>
            <a:rPr lang="en-US" sz="1100">
              <a:solidFill>
                <a:schemeClr val="dk1"/>
              </a:solidFill>
              <a:effectLst/>
              <a:latin typeface="+mn-lt"/>
              <a:ea typeface="+mn-ea"/>
              <a:cs typeface="+mn-cs"/>
            </a:rPr>
            <a:t>e. A Project must be complete within 18 months, or no later than November 16, 2025 whichever is earlier, from the date that the Incentive Offer was approved.</a:t>
          </a:r>
        </a:p>
        <a:p>
          <a:r>
            <a:rPr lang="en-US" sz="1100" b="1">
              <a:solidFill>
                <a:schemeClr val="dk1"/>
              </a:solidFill>
              <a:effectLst/>
              <a:latin typeface="+mn-lt"/>
              <a:ea typeface="+mn-ea"/>
              <a:cs typeface="+mn-cs"/>
            </a:rPr>
            <a:t>6. Verifications:</a:t>
          </a:r>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TRC staff may conduct a pre and/or post installation inspection to verify installations and savings prior to the Incentive Offer issuance or payment of Incentive Amount. NIPSCO reserves the right to verify sales receipts and/or installations of equipment and that the equipment installed meets Program requirements before payment of Incentive Amount. Any Customer receiving a payment of Incentive Amount may be contacted and required to comply with a third-party Evaluation, Measurement &amp; Verification (EM&amp;V) evaluator to verify service/equipment installation or be asked to complete a questionnaire. EM&amp;V may be someone other than TRC or NIPSCO.</a:t>
          </a:r>
        </a:p>
        <a:p>
          <a:r>
            <a:rPr lang="en-US" sz="1100" b="1">
              <a:solidFill>
                <a:schemeClr val="dk1"/>
              </a:solidFill>
              <a:effectLst/>
              <a:latin typeface="+mn-lt"/>
              <a:ea typeface="+mn-ea"/>
              <a:cs typeface="+mn-cs"/>
            </a:rPr>
            <a:t>7. Payment:</a:t>
          </a:r>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a. Custom (including retro-commissioning measures)/New Construction Program - Once final paperwork is submitted (Completion Form) and Project inspection completed (as applicable), payment of Incentive Payments are made within forty-five (45) business days. Incomplete applications will delay payment. NIPSCO reserves the right to refuse payment and participation if the Customer or Contractor violates Program terms, conditions, rules or specifications. </a:t>
          </a:r>
        </a:p>
        <a:p>
          <a:r>
            <a:rPr lang="en-US" sz="1100">
              <a:solidFill>
                <a:schemeClr val="dk1"/>
              </a:solidFill>
              <a:effectLst/>
              <a:latin typeface="+mn-lt"/>
              <a:ea typeface="+mn-ea"/>
              <a:cs typeface="+mn-cs"/>
            </a:rPr>
            <a:t>b. Prescriptive/SBDI Program - Once a Prescriptive or SBDI Incentive Application is submitted, approved and Project inspection completed (as applicable), Incentive Amount payments are made within forty-five (45) business days. Incomplete applications will delay payment. NIPSCO reserves the right to refuse payment and participation if the Customer or Contractor violates Program rules.</a:t>
          </a:r>
        </a:p>
        <a:p>
          <a:r>
            <a:rPr lang="en-US" sz="1100" b="1">
              <a:solidFill>
                <a:schemeClr val="dk1"/>
              </a:solidFill>
              <a:effectLst/>
              <a:latin typeface="+mn-lt"/>
              <a:ea typeface="+mn-ea"/>
              <a:cs typeface="+mn-cs"/>
            </a:rPr>
            <a:t>8. Total Incentive Amounts:</a:t>
          </a:r>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a. Custom Program (including retro-commissioning measures) - The total Incentive Amount paid to a Customer on a Project cannot exceed 100 percent of the incremental measure cost and 75 percent of the total measure cost or 100 percent of the total measure cost for RCx. Total costs can include materials, any applicable taxes, labor (internal or external), and shipping.  The definition of incremental measure cost depends on whether the measure being installed is considered to be a replacement or a retrofit. For replacement measures, the incremental measure cost is defined as the cost to purchase and install the energy efficient equipment minus the cost to purchase and install similar equipment that would meet federal and local energy standards but not qualify for Incentive Amounts under this Program. For retrofit measures, the incremental measure cost is simply the cost to purchase and install the qualifying measures.</a:t>
          </a:r>
        </a:p>
        <a:p>
          <a:r>
            <a:rPr lang="en-US" sz="1100">
              <a:solidFill>
                <a:schemeClr val="dk1"/>
              </a:solidFill>
              <a:effectLst/>
              <a:latin typeface="+mn-lt"/>
              <a:ea typeface="+mn-ea"/>
              <a:cs typeface="+mn-cs"/>
            </a:rPr>
            <a:t>b. RCx custom electric projects that include an RCx study will be eligible for a separate RCx Study Incentive that will be paid to the TRC approved RCx provider who completes the study*.  This incentive will be paid in addition to the custom incentive, eligible for only electric RCx measures and capped at the RCx study cost.  The RCx Study Incentive will be paid after the installation of the RCx electric measures.</a:t>
          </a:r>
        </a:p>
        <a:p>
          <a:r>
            <a:rPr lang="en-US" sz="1100">
              <a:solidFill>
                <a:schemeClr val="dk1"/>
              </a:solidFill>
              <a:effectLst/>
              <a:latin typeface="+mn-lt"/>
              <a:ea typeface="+mn-ea"/>
              <a:cs typeface="+mn-cs"/>
            </a:rPr>
            <a:t>*Please contact TRC to learn how to become an RCx approved Trade Ally or visit trcsavesenergy.com/TradeAlly/BecomeTradeAlly. </a:t>
          </a:r>
        </a:p>
        <a:p>
          <a:r>
            <a:rPr lang="en-US" sz="1100">
              <a:solidFill>
                <a:schemeClr val="dk1"/>
              </a:solidFill>
              <a:effectLst/>
              <a:latin typeface="+mn-lt"/>
              <a:ea typeface="+mn-ea"/>
              <a:cs typeface="+mn-cs"/>
            </a:rPr>
            <a:t>c. Prescriptive / SBDI Program - The total Incentive Amount paid to a Customer on a Project cannot exceed the total purchase price of the equipment, product or service. Total costs can include materials, any applicable taxes, labor (internal or external), and shipping.</a:t>
          </a:r>
        </a:p>
        <a:p>
          <a:r>
            <a:rPr lang="en-US" sz="1100">
              <a:solidFill>
                <a:schemeClr val="dk1"/>
              </a:solidFill>
              <a:effectLst/>
              <a:latin typeface="+mn-lt"/>
              <a:ea typeface="+mn-ea"/>
              <a:cs typeface="+mn-cs"/>
            </a:rPr>
            <a:t>d. New Construction Program - The total Incentive Amount to a Customer on a Project paid cannot exceed the total purchase price of the equipment, product or service. Total costs can include materials, any applicable taxes, labor (internal or external), and shipping.</a:t>
          </a:r>
        </a:p>
        <a:p>
          <a:r>
            <a:rPr lang="en-US" sz="1100">
              <a:solidFill>
                <a:schemeClr val="dk1"/>
              </a:solidFill>
              <a:effectLst/>
              <a:latin typeface="+mn-lt"/>
              <a:ea typeface="+mn-ea"/>
              <a:cs typeface="+mn-cs"/>
            </a:rPr>
            <a:t>e. Program Incentive Cap: Per Project $500,000 per year per fuel and Program absolute Incentive Amount cap per Customer is $1,000,000 per year per fuel.</a:t>
          </a:r>
        </a:p>
        <a:p>
          <a:r>
            <a:rPr lang="en-US" sz="1100" b="1">
              <a:solidFill>
                <a:schemeClr val="dk1"/>
              </a:solidFill>
              <a:effectLst/>
              <a:latin typeface="+mn-lt"/>
              <a:ea typeface="+mn-ea"/>
              <a:cs typeface="+mn-cs"/>
            </a:rPr>
            <a:t>9. </a:t>
          </a:r>
          <a:r>
            <a:rPr lang="en-US" sz="1100">
              <a:solidFill>
                <a:schemeClr val="dk1"/>
              </a:solidFill>
              <a:effectLst/>
              <a:latin typeface="+mn-lt"/>
              <a:ea typeface="+mn-ea"/>
              <a:cs typeface="+mn-cs"/>
            </a:rPr>
            <a:t>Projects financially supported by other funding sources will be evaluated on a case-by-case basis for potential partial funding from NIPSCO.</a:t>
          </a:r>
        </a:p>
        <a:p>
          <a:r>
            <a:rPr lang="en-US" sz="1100" b="1">
              <a:solidFill>
                <a:schemeClr val="dk1"/>
              </a:solidFill>
              <a:effectLst/>
              <a:latin typeface="+mn-lt"/>
              <a:ea typeface="+mn-ea"/>
              <a:cs typeface="+mn-cs"/>
            </a:rPr>
            <a:t>10. </a:t>
          </a:r>
          <a:r>
            <a:rPr lang="en-US" sz="1100">
              <a:solidFill>
                <a:schemeClr val="dk1"/>
              </a:solidFill>
              <a:effectLst/>
              <a:latin typeface="+mn-lt"/>
              <a:ea typeface="+mn-ea"/>
              <a:cs typeface="+mn-cs"/>
            </a:rPr>
            <a:t>NIPSCO may terminate the Agreement at any time for any reason. If the Agreement is terminated, NIPSCO shall not be liable to the Customer for damages or compensation of any kind.</a:t>
          </a:r>
        </a:p>
        <a:p>
          <a:r>
            <a:rPr lang="en-US" sz="1100" b="1">
              <a:solidFill>
                <a:schemeClr val="dk1"/>
              </a:solidFill>
              <a:effectLst/>
              <a:latin typeface="+mn-lt"/>
              <a:ea typeface="+mn-ea"/>
              <a:cs typeface="+mn-cs"/>
            </a:rPr>
            <a:t>11.</a:t>
          </a:r>
          <a:r>
            <a:rPr lang="en-US" sz="1100">
              <a:solidFill>
                <a:schemeClr val="dk1"/>
              </a:solidFill>
              <a:effectLst/>
              <a:latin typeface="+mn-lt"/>
              <a:ea typeface="+mn-ea"/>
              <a:cs typeface="+mn-cs"/>
            </a:rPr>
            <a:t> Approved Incentive Amounts are valid from the date communicated to the Customer by NIPSCO. NIPSCO retains the right to adjust or rescind the approved Incentive Amount due to regulatory requirements, measurement, verification and evaluation results, or any business reason in the reasonable exercise of NIPSCO’s judgment including, but not limited to, Customer failing to remain a Customer in good standing and/or comply with applicable creditworthy requirements in NIPSCO’s tariff.</a:t>
          </a:r>
        </a:p>
        <a:p>
          <a:r>
            <a:rPr lang="en-US" sz="1100" b="1">
              <a:solidFill>
                <a:schemeClr val="dk1"/>
              </a:solidFill>
              <a:effectLst/>
              <a:latin typeface="+mn-lt"/>
              <a:ea typeface="+mn-ea"/>
              <a:cs typeface="+mn-cs"/>
            </a:rPr>
            <a:t>12.</a:t>
          </a:r>
          <a:r>
            <a:rPr lang="en-US" sz="1100">
              <a:solidFill>
                <a:schemeClr val="dk1"/>
              </a:solidFill>
              <a:effectLst/>
              <a:latin typeface="+mn-lt"/>
              <a:ea typeface="+mn-ea"/>
              <a:cs typeface="+mn-cs"/>
            </a:rPr>
            <a:t> If the approved Incentive Amount needs to be adjusted, TRC will notify the Customer of the adjustment as soon as possible.</a:t>
          </a:r>
        </a:p>
        <a:p>
          <a:r>
            <a:rPr lang="en-US" sz="1100" b="1">
              <a:solidFill>
                <a:schemeClr val="dk1"/>
              </a:solidFill>
              <a:effectLst/>
              <a:latin typeface="+mn-lt"/>
              <a:ea typeface="+mn-ea"/>
              <a:cs typeface="+mn-cs"/>
            </a:rPr>
            <a:t>13.</a:t>
          </a:r>
          <a:r>
            <a:rPr lang="en-US" sz="1100">
              <a:solidFill>
                <a:schemeClr val="dk1"/>
              </a:solidFill>
              <a:effectLst/>
              <a:latin typeface="+mn-lt"/>
              <a:ea typeface="+mn-ea"/>
              <a:cs typeface="+mn-cs"/>
            </a:rPr>
            <a:t> Contractors, engineering firms, vendors and other service providers are required to be registered with the Program for administrative purposes.</a:t>
          </a:r>
        </a:p>
        <a:p>
          <a:r>
            <a:rPr lang="en-US" sz="1100" b="1">
              <a:solidFill>
                <a:schemeClr val="dk1"/>
              </a:solidFill>
              <a:effectLst/>
              <a:latin typeface="+mn-lt"/>
              <a:ea typeface="+mn-ea"/>
              <a:cs typeface="+mn-cs"/>
            </a:rPr>
            <a:t>14.</a:t>
          </a:r>
          <a:r>
            <a:rPr lang="en-US" sz="1100">
              <a:solidFill>
                <a:schemeClr val="dk1"/>
              </a:solidFill>
              <a:effectLst/>
              <a:latin typeface="+mn-lt"/>
              <a:ea typeface="+mn-ea"/>
              <a:cs typeface="+mn-cs"/>
            </a:rPr>
            <a:t> </a:t>
          </a:r>
          <a:r>
            <a:rPr lang="en-US" sz="1100" b="1">
              <a:solidFill>
                <a:schemeClr val="dk1"/>
              </a:solidFill>
              <a:effectLst/>
              <a:latin typeface="+mn-lt"/>
              <a:ea typeface="+mn-ea"/>
              <a:cs typeface="+mn-cs"/>
            </a:rPr>
            <a:t>Publicity: </a:t>
          </a:r>
          <a:r>
            <a:rPr lang="en-US" sz="1100">
              <a:solidFill>
                <a:schemeClr val="dk1"/>
              </a:solidFill>
              <a:effectLst/>
              <a:latin typeface="+mn-lt"/>
              <a:ea typeface="+mn-ea"/>
              <a:cs typeface="+mn-cs"/>
            </a:rPr>
            <a:t>NIPSCO reserves the right to name the Customer as a participant in public releases, subject to Customer approval, which shall not be unreasonably withheld.</a:t>
          </a:r>
        </a:p>
        <a:p>
          <a:r>
            <a:rPr lang="en-US" sz="1100" b="1">
              <a:solidFill>
                <a:schemeClr val="dk1"/>
              </a:solidFill>
              <a:effectLst/>
              <a:latin typeface="+mn-lt"/>
              <a:ea typeface="+mn-ea"/>
              <a:cs typeface="+mn-cs"/>
            </a:rPr>
            <a:t>15.</a:t>
          </a:r>
          <a:r>
            <a:rPr lang="en-US" sz="1100">
              <a:solidFill>
                <a:schemeClr val="dk1"/>
              </a:solidFill>
              <a:effectLst/>
              <a:latin typeface="+mn-lt"/>
              <a:ea typeface="+mn-ea"/>
              <a:cs typeface="+mn-cs"/>
            </a:rPr>
            <a:t> </a:t>
          </a:r>
          <a:r>
            <a:rPr lang="en-US" sz="1100" b="1">
              <a:solidFill>
                <a:schemeClr val="dk1"/>
              </a:solidFill>
              <a:effectLst/>
              <a:latin typeface="+mn-lt"/>
              <a:ea typeface="+mn-ea"/>
              <a:cs typeface="+mn-cs"/>
            </a:rPr>
            <a:t>Program Discretion: </a:t>
          </a:r>
          <a:r>
            <a:rPr lang="en-US" sz="1100">
              <a:solidFill>
                <a:schemeClr val="dk1"/>
              </a:solidFill>
              <a:effectLst/>
              <a:latin typeface="+mn-lt"/>
              <a:ea typeface="+mn-ea"/>
              <a:cs typeface="+mn-cs"/>
            </a:rPr>
            <a:t>Incentive Amounts are available on a first-come, first-served basis. The Incentive Amount is subject to change or terminate at any time without notice at the discretion of NIPSCO.</a:t>
          </a:r>
        </a:p>
        <a:p>
          <a:r>
            <a:rPr lang="en-US" sz="1100" b="1">
              <a:solidFill>
                <a:schemeClr val="dk1"/>
              </a:solidFill>
              <a:effectLst/>
              <a:latin typeface="+mn-lt"/>
              <a:ea typeface="+mn-ea"/>
              <a:cs typeface="+mn-cs"/>
            </a:rPr>
            <a:t>16.</a:t>
          </a:r>
          <a:r>
            <a:rPr lang="en-US" sz="1100">
              <a:solidFill>
                <a:schemeClr val="dk1"/>
              </a:solidFill>
              <a:effectLst/>
              <a:latin typeface="+mn-lt"/>
              <a:ea typeface="+mn-ea"/>
              <a:cs typeface="+mn-cs"/>
            </a:rPr>
            <a:t> </a:t>
          </a:r>
          <a:r>
            <a:rPr lang="en-US" sz="1100" b="1">
              <a:solidFill>
                <a:schemeClr val="dk1"/>
              </a:solidFill>
              <a:effectLst/>
              <a:latin typeface="+mn-lt"/>
              <a:ea typeface="+mn-ea"/>
              <a:cs typeface="+mn-cs"/>
            </a:rPr>
            <a:t>Logo Use: </a:t>
          </a:r>
          <a:r>
            <a:rPr lang="en-US" sz="1100">
              <a:solidFill>
                <a:schemeClr val="dk1"/>
              </a:solidFill>
              <a:effectLst/>
              <a:latin typeface="+mn-lt"/>
              <a:ea typeface="+mn-ea"/>
              <a:cs typeface="+mn-cs"/>
            </a:rPr>
            <a:t>Customers or Contractors may not use the NIPSCO name or logo in any marketing, advertising or promotional material.</a:t>
          </a:r>
        </a:p>
        <a:p>
          <a:r>
            <a:rPr lang="en-US" sz="1100" b="1">
              <a:solidFill>
                <a:schemeClr val="dk1"/>
              </a:solidFill>
              <a:effectLst/>
              <a:latin typeface="+mn-lt"/>
              <a:ea typeface="+mn-ea"/>
              <a:cs typeface="+mn-cs"/>
            </a:rPr>
            <a:t>17. Disclaimers:</a:t>
          </a:r>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a. Customer and/or Contractor hereby agrees to indemnify, hold harmless and release NIPSCO, TRC and its affiliates from any and all actions or claims in regard to the installation, operation and disposal of equipment (and related materials) covered herein including liability from incidental or consequential damages. NIPSCO does not endorse any particular Contractor registered with the Program, manufacturer, product, labor or system design by offering these Programs.</a:t>
          </a:r>
        </a:p>
        <a:p>
          <a:r>
            <a:rPr lang="en-US" sz="1100">
              <a:solidFill>
                <a:schemeClr val="dk1"/>
              </a:solidFill>
              <a:effectLst/>
              <a:latin typeface="+mn-lt"/>
              <a:ea typeface="+mn-ea"/>
              <a:cs typeface="+mn-cs"/>
            </a:rPr>
            <a:t>b. NIPSCO will not be responsible for any tax liability imposed on the Customer as a result of the payment of Incentive Amounts.</a:t>
          </a:r>
        </a:p>
        <a:p>
          <a:r>
            <a:rPr lang="en-US" sz="1100">
              <a:solidFill>
                <a:schemeClr val="dk1"/>
              </a:solidFill>
              <a:effectLst/>
              <a:latin typeface="+mn-lt"/>
              <a:ea typeface="+mn-ea"/>
              <a:cs typeface="+mn-cs"/>
            </a:rPr>
            <a:t>c. NIPSCO does not expressly or implicitly warrant the performance of installed equipment or Contractor’s quality of work (Customer should contact Trade Ally for detailed warranties).</a:t>
          </a:r>
        </a:p>
        <a:p>
          <a:r>
            <a:rPr lang="en-US" sz="1100">
              <a:solidFill>
                <a:schemeClr val="dk1"/>
              </a:solidFill>
              <a:effectLst/>
              <a:latin typeface="+mn-lt"/>
              <a:ea typeface="+mn-ea"/>
              <a:cs typeface="+mn-cs"/>
            </a:rPr>
            <a:t>d. NIPSCO is not responsible for the proper disposal/recycling of any waste generated as a result of the Project. The proper disposal/recycling of any waste generated as a result of the Project shall be the sole responsibility of the Customer or its Contractor.</a:t>
          </a:r>
        </a:p>
        <a:p>
          <a:r>
            <a:rPr lang="en-US" sz="1100">
              <a:solidFill>
                <a:schemeClr val="dk1"/>
              </a:solidFill>
              <a:effectLst/>
              <a:latin typeface="+mn-lt"/>
              <a:ea typeface="+mn-ea"/>
              <a:cs typeface="+mn-cs"/>
            </a:rPr>
            <a:t>e. NIPSCO is not liable for any damage caused by the installation of the equipment or for any damage caused by the malfunction of the installed equipment.</a:t>
          </a:r>
        </a:p>
        <a:p>
          <a:r>
            <a:rPr lang="en-US" sz="1100">
              <a:solidFill>
                <a:schemeClr val="dk1"/>
              </a:solidFill>
              <a:effectLst/>
              <a:latin typeface="+mn-lt"/>
              <a:ea typeface="+mn-ea"/>
              <a:cs typeface="+mn-cs"/>
            </a:rPr>
            <a:t>f. NIPSCO does not guarantee that energy efficiency equipment purchased and installed or services provided through the Program will result in energy and costs savings.</a:t>
          </a:r>
        </a:p>
        <a:p>
          <a:r>
            <a:rPr lang="en-US" sz="1100">
              <a:solidFill>
                <a:schemeClr val="dk1"/>
              </a:solidFill>
              <a:effectLst/>
              <a:latin typeface="+mn-lt"/>
              <a:ea typeface="+mn-ea"/>
              <a:cs typeface="+mn-cs"/>
            </a:rPr>
            <a:t>g. NIPSCO reserves the right to change or discontinue the Program at any time without any liability to Customer. The approval of applications is determined by NIPSCO in its sole discretion.</a:t>
          </a:r>
        </a:p>
        <a:p>
          <a:r>
            <a:rPr lang="en-US" sz="1100" b="1">
              <a:solidFill>
                <a:schemeClr val="dk1"/>
              </a:solidFill>
              <a:effectLst/>
              <a:latin typeface="+mn-lt"/>
              <a:ea typeface="+mn-ea"/>
              <a:cs typeface="+mn-cs"/>
            </a:rPr>
            <a:t>18. </a:t>
          </a:r>
          <a:r>
            <a:rPr lang="en-US" sz="1100">
              <a:solidFill>
                <a:schemeClr val="dk1"/>
              </a:solidFill>
              <a:effectLst/>
              <a:latin typeface="+mn-lt"/>
              <a:ea typeface="+mn-ea"/>
              <a:cs typeface="+mn-cs"/>
            </a:rPr>
            <a:t>Incentive Amounts are payable to either the Customer or a third party. Payment assigned to a third party require Customer signature. Incentive Amounts for Projects are calculated by multiplying the Incentive rate per Program (Custom (including retro-commissioning measures)/New Construction Electric Lighting $0.10/kWh, Custom (including retro-commissioning measures)/New Construction Electric Non-Lighting $0.15/kWh, Custom (including retro-commissioning measures) Natural Gas $1.00/therm, New Construction Natural Gas $1.00/therm; Prescriptive &amp; SBDI measures are paid on a per unit basis, not per unit of savings) by the first year annual kWh/therm savings. Equipment that is eligible for a Standard Incentive via more than one processing channel (Fast-Track, Pre-Approval, Midstream) may only receive </a:t>
          </a:r>
          <a:r>
            <a:rPr lang="en-US" sz="1100" b="1">
              <a:solidFill>
                <a:schemeClr val="dk1"/>
              </a:solidFill>
              <a:effectLst/>
              <a:latin typeface="+mn-lt"/>
              <a:ea typeface="+mn-ea"/>
              <a:cs typeface="+mn-cs"/>
            </a:rPr>
            <a:t>one</a:t>
          </a:r>
          <a:r>
            <a:rPr lang="en-US" sz="1100">
              <a:solidFill>
                <a:schemeClr val="dk1"/>
              </a:solidFill>
              <a:effectLst/>
              <a:latin typeface="+mn-lt"/>
              <a:ea typeface="+mn-ea"/>
              <a:cs typeface="+mn-cs"/>
            </a:rPr>
            <a:t> incentive.</a:t>
          </a:r>
        </a:p>
        <a:p>
          <a:r>
            <a:rPr lang="en-US" sz="1100" b="1">
              <a:solidFill>
                <a:schemeClr val="dk1"/>
              </a:solidFill>
              <a:effectLst/>
              <a:latin typeface="+mn-lt"/>
              <a:ea typeface="+mn-ea"/>
              <a:cs typeface="+mn-cs"/>
            </a:rPr>
            <a:t>19. Taxes</a:t>
          </a:r>
          <a:r>
            <a:rPr lang="en-US" sz="1100">
              <a:solidFill>
                <a:schemeClr val="dk1"/>
              </a:solidFill>
              <a:effectLst/>
              <a:latin typeface="+mn-lt"/>
              <a:ea typeface="+mn-ea"/>
              <a:cs typeface="+mn-cs"/>
            </a:rPr>
            <a:t>:</a:t>
          </a:r>
        </a:p>
        <a:p>
          <a:r>
            <a:rPr lang="en-US" sz="1100">
              <a:solidFill>
                <a:schemeClr val="dk1"/>
              </a:solidFill>
              <a:effectLst/>
              <a:latin typeface="+mn-lt"/>
              <a:ea typeface="+mn-ea"/>
              <a:cs typeface="+mn-cs"/>
            </a:rPr>
            <a:t>NIPSCO is not responsible for any taxes that may be imposed on you as a result of your receipt of this incentive. Incentive Amounts could be taxable to you if greater than $600. You should consult your tax advisor for any questions concerning the taxability of incentives.</a:t>
          </a:r>
        </a:p>
        <a:p>
          <a:r>
            <a:rPr lang="en-US" sz="1100" b="1">
              <a:solidFill>
                <a:schemeClr val="dk1"/>
              </a:solidFill>
              <a:effectLst/>
              <a:latin typeface="+mn-lt"/>
              <a:ea typeface="+mn-ea"/>
              <a:cs typeface="+mn-cs"/>
            </a:rPr>
            <a:t>20.</a:t>
          </a:r>
          <a:r>
            <a:rPr lang="en-US" sz="1100">
              <a:solidFill>
                <a:schemeClr val="dk1"/>
              </a:solidFill>
              <a:effectLst/>
              <a:latin typeface="+mn-lt"/>
              <a:ea typeface="+mn-ea"/>
              <a:cs typeface="+mn-cs"/>
            </a:rPr>
            <a:t> </a:t>
          </a:r>
          <a:r>
            <a:rPr lang="en-US" sz="1100" b="1">
              <a:solidFill>
                <a:schemeClr val="dk1"/>
              </a:solidFill>
              <a:effectLst/>
              <a:latin typeface="+mn-lt"/>
              <a:ea typeface="+mn-ea"/>
              <a:cs typeface="+mn-cs"/>
            </a:rPr>
            <a:t>Submission of Duplicate Measures:</a:t>
          </a:r>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If TRC receives submissions or inquiries from Customers regarding downstream (i.e., Fast-track, Pre-approval channels) incentives for equipment incented through the Midstream Channel, TRC will clarify that equipment is ineligible for midstream incentives and redirect Customers to the participating distributor for resolution.</a:t>
          </a:r>
        </a:p>
        <a:p>
          <a:r>
            <a:rPr lang="en-US" sz="1100" b="1">
              <a:solidFill>
                <a:schemeClr val="bg1">
                  <a:lumMod val="85000"/>
                </a:schemeClr>
              </a:solidFill>
              <a:effectLst/>
              <a:latin typeface="+mn-lt"/>
              <a:ea typeface="+mn-ea"/>
              <a:cs typeface="+mn-cs"/>
            </a:rPr>
            <a:t>21.  Bonus Incentive</a:t>
          </a:r>
          <a:endParaRPr lang="en-US" sz="1100">
            <a:solidFill>
              <a:schemeClr val="bg1">
                <a:lumMod val="85000"/>
              </a:schemeClr>
            </a:solidFill>
            <a:effectLst/>
            <a:latin typeface="+mn-lt"/>
            <a:ea typeface="+mn-ea"/>
            <a:cs typeface="+mn-cs"/>
          </a:endParaRPr>
        </a:p>
        <a:p>
          <a:r>
            <a:rPr lang="en-US" sz="1100">
              <a:solidFill>
                <a:schemeClr val="bg1">
                  <a:lumMod val="85000"/>
                </a:schemeClr>
              </a:solidFill>
              <a:effectLst/>
              <a:latin typeface="+mn-lt"/>
              <a:ea typeface="+mn-ea"/>
              <a:cs typeface="+mn-cs"/>
            </a:rPr>
            <a:t>Only new projects submitted after October 1, 2024 and completed by December 31, 2024 are eligible for the bonus incentive.  The bonus incentive is 20% for Prescriptive/Custom/SBDI electric measures, 20% for Prescriptive/SBDI boiler tune-up measures, and 40% for Prescriptive/SBDI refrigeration measures.  Refrigeration measures are not eligible for the 20% bonus incentive.  All other program rules apply to the bonus incentive.</a:t>
          </a:r>
        </a:p>
        <a:p>
          <a:r>
            <a:rPr lang="en-US" sz="1100" b="1">
              <a:solidFill>
                <a:schemeClr val="bg1">
                  <a:lumMod val="85000"/>
                </a:schemeClr>
              </a:solidFill>
              <a:effectLst/>
              <a:latin typeface="+mn-lt"/>
              <a:ea typeface="+mn-ea"/>
              <a:cs typeface="+mn-cs"/>
            </a:rPr>
            <a:t>22.  Increased Incentives</a:t>
          </a:r>
          <a:endParaRPr lang="en-US" sz="1100">
            <a:solidFill>
              <a:schemeClr val="bg1">
                <a:lumMod val="85000"/>
              </a:schemeClr>
            </a:solidFill>
            <a:effectLst/>
            <a:latin typeface="+mn-lt"/>
            <a:ea typeface="+mn-ea"/>
            <a:cs typeface="+mn-cs"/>
          </a:endParaRPr>
        </a:p>
        <a:p>
          <a:r>
            <a:rPr lang="en-US" sz="1100">
              <a:solidFill>
                <a:schemeClr val="bg1">
                  <a:lumMod val="85000"/>
                </a:schemeClr>
              </a:solidFill>
              <a:effectLst/>
              <a:latin typeface="+mn-lt"/>
              <a:ea typeface="+mn-ea"/>
              <a:cs typeface="+mn-cs"/>
            </a:rPr>
            <a:t>Only new projects submitted after October 1, 2024 and completed by December 31, 2024 are eligible for increased incentives.  Prescriptive and SBDI LED Tube Relamp Replacing 4 Ft Fluorescent measures are eligible for a $2 increased incentive.  These measures are also eligible for the 20% bonus incentive.  All other program rules apply to the increased incentives.</a:t>
          </a:r>
        </a:p>
        <a:p>
          <a:r>
            <a:rPr lang="en-US" sz="1100">
              <a:solidFill>
                <a:schemeClr val="bg1">
                  <a:lumMod val="85000"/>
                </a:schemeClr>
              </a:solidFill>
              <a:effectLst/>
              <a:latin typeface="+mn-lt"/>
              <a:ea typeface="+mn-ea"/>
              <a:cs typeface="+mn-cs"/>
            </a:rPr>
            <a:t> </a:t>
          </a:r>
        </a:p>
        <a:p>
          <a:r>
            <a:rPr lang="en-US" sz="1100">
              <a:solidFill>
                <a:schemeClr val="dk1"/>
              </a:solidFill>
              <a:effectLst/>
              <a:latin typeface="+mn-lt"/>
              <a:ea typeface="+mn-ea"/>
              <a:cs typeface="+mn-cs"/>
            </a:rPr>
            <a:t> </a:t>
          </a:r>
        </a:p>
      </xdr:txBody>
    </xdr:sp>
    <xdr:clientData/>
  </xdr:twoCellAnchor>
  <xdr:twoCellAnchor editAs="oneCell">
    <xdr:from>
      <xdr:col>2</xdr:col>
      <xdr:colOff>2720</xdr:colOff>
      <xdr:row>8</xdr:row>
      <xdr:rowOff>201232</xdr:rowOff>
    </xdr:from>
    <xdr:to>
      <xdr:col>4</xdr:col>
      <xdr:colOff>960</xdr:colOff>
      <xdr:row>10</xdr:row>
      <xdr:rowOff>144082</xdr:rowOff>
    </xdr:to>
    <xdr:sp macro="" textlink="">
      <xdr:nvSpPr>
        <xdr:cNvPr id="22" name="BACK">
          <a:hlinkClick xmlns:r="http://schemas.openxmlformats.org/officeDocument/2006/relationships" r:id="rId14" tooltip=" "/>
          <a:extLst>
            <a:ext uri="{FF2B5EF4-FFF2-40B4-BE49-F238E27FC236}">
              <a16:creationId xmlns:a16="http://schemas.microsoft.com/office/drawing/2014/main" id="{00000000-0008-0000-0D00-000016000000}"/>
            </a:ext>
          </a:extLst>
        </xdr:cNvPr>
        <xdr:cNvSpPr>
          <a:spLocks noChangeAspect="1"/>
        </xdr:cNvSpPr>
      </xdr:nvSpPr>
      <xdr:spPr>
        <a:xfrm>
          <a:off x="631370" y="1801432"/>
          <a:ext cx="626890" cy="400050"/>
        </a:xfrm>
        <a:prstGeom prst="leftArrow">
          <a:avLst/>
        </a:prstGeom>
        <a:solidFill>
          <a:srgbClr val="54BCEB"/>
        </a:solidFill>
        <a:ln>
          <a:solidFill>
            <a:srgbClr val="54BCEB"/>
          </a:solidFill>
        </a:ln>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editAs="oneCell">
    <xdr:from>
      <xdr:col>41</xdr:col>
      <xdr:colOff>0</xdr:colOff>
      <xdr:row>9</xdr:row>
      <xdr:rowOff>1047</xdr:rowOff>
    </xdr:from>
    <xdr:to>
      <xdr:col>42</xdr:col>
      <xdr:colOff>313195</xdr:colOff>
      <xdr:row>10</xdr:row>
      <xdr:rowOff>143921</xdr:rowOff>
    </xdr:to>
    <xdr:sp macro="" textlink="">
      <xdr:nvSpPr>
        <xdr:cNvPr id="23" name="NEXT">
          <a:hlinkClick xmlns:r="http://schemas.openxmlformats.org/officeDocument/2006/relationships" r:id="rId15" tooltip=" "/>
          <a:extLst>
            <a:ext uri="{FF2B5EF4-FFF2-40B4-BE49-F238E27FC236}">
              <a16:creationId xmlns:a16="http://schemas.microsoft.com/office/drawing/2014/main" id="{00000000-0008-0000-0D00-000017000000}"/>
            </a:ext>
          </a:extLst>
        </xdr:cNvPr>
        <xdr:cNvSpPr>
          <a:spLocks noChangeAspect="1"/>
        </xdr:cNvSpPr>
      </xdr:nvSpPr>
      <xdr:spPr>
        <a:xfrm>
          <a:off x="12887325" y="1801272"/>
          <a:ext cx="627520" cy="400049"/>
        </a:xfrm>
        <a:prstGeom prst="rightArrow">
          <a:avLst/>
        </a:prstGeom>
        <a:solidFill>
          <a:srgbClr val="54BCEB"/>
        </a:solidFill>
        <a:ln>
          <a:solidFill>
            <a:srgbClr val="54BCEB"/>
          </a:solidFill>
        </a:ln>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wsDr>
</file>

<file path=xl/drawings/drawing7.xml><?xml version="1.0" encoding="utf-8"?>
<xdr:wsDr xmlns:xdr="http://schemas.openxmlformats.org/drawingml/2006/spreadsheetDrawing" xmlns:a="http://schemas.openxmlformats.org/drawingml/2006/main">
  <xdr:twoCellAnchor>
    <xdr:from>
      <xdr:col>22</xdr:col>
      <xdr:colOff>2551</xdr:colOff>
      <xdr:row>4</xdr:row>
      <xdr:rowOff>200705</xdr:rowOff>
    </xdr:from>
    <xdr:to>
      <xdr:col>27</xdr:col>
      <xdr:colOff>2549</xdr:colOff>
      <xdr:row>7</xdr:row>
      <xdr:rowOff>0</xdr:rowOff>
    </xdr:to>
    <xdr:sp macro="" textlink="M2S5">
      <xdr:nvSpPr>
        <xdr:cNvPr id="15" name="SUBMENU5">
          <a:hlinkClick xmlns:r="http://schemas.openxmlformats.org/officeDocument/2006/relationships" r:id="rId1"/>
          <a:extLst>
            <a:ext uri="{FF2B5EF4-FFF2-40B4-BE49-F238E27FC236}">
              <a16:creationId xmlns:a16="http://schemas.microsoft.com/office/drawing/2014/main" id="{00000000-0008-0000-0E00-00000F000000}"/>
            </a:ext>
          </a:extLst>
        </xdr:cNvPr>
        <xdr:cNvSpPr/>
      </xdr:nvSpPr>
      <xdr:spPr>
        <a:xfrm>
          <a:off x="6917701" y="1000805"/>
          <a:ext cx="1571623" cy="399370"/>
        </a:xfrm>
        <a:prstGeom prst="round2SameRect">
          <a:avLst/>
        </a:prstGeom>
        <a:noFill/>
        <a:ln w="12700">
          <a:no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0EF88A6-2636-4086-A650-C932DE98DE91}" type="TxLink">
            <a:rPr lang="en-US" sz="1100" b="0" i="0" u="none" strike="noStrike">
              <a:solidFill>
                <a:srgbClr val="FFFFFF"/>
              </a:solidFill>
              <a:latin typeface="Arial" panose="020B0604020202020204" pitchFamily="34" charset="0"/>
              <a:cs typeface="Arial" panose="020B0604020202020204" pitchFamily="34" charset="0"/>
            </a:rPr>
            <a:pPr algn="ctr"/>
            <a:t> </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27</xdr:col>
      <xdr:colOff>0</xdr:colOff>
      <xdr:row>4</xdr:row>
      <xdr:rowOff>200705</xdr:rowOff>
    </xdr:from>
    <xdr:to>
      <xdr:col>32</xdr:col>
      <xdr:colOff>2865</xdr:colOff>
      <xdr:row>7</xdr:row>
      <xdr:rowOff>0</xdr:rowOff>
    </xdr:to>
    <xdr:sp macro="" textlink="M2S6">
      <xdr:nvSpPr>
        <xdr:cNvPr id="16" name="SUBMENU6">
          <a:hlinkClick xmlns:r="http://schemas.openxmlformats.org/officeDocument/2006/relationships" r:id="rId2"/>
          <a:extLst>
            <a:ext uri="{FF2B5EF4-FFF2-40B4-BE49-F238E27FC236}">
              <a16:creationId xmlns:a16="http://schemas.microsoft.com/office/drawing/2014/main" id="{00000000-0008-0000-0E00-000010000000}"/>
            </a:ext>
          </a:extLst>
        </xdr:cNvPr>
        <xdr:cNvSpPr/>
      </xdr:nvSpPr>
      <xdr:spPr>
        <a:xfrm>
          <a:off x="8486775" y="1000805"/>
          <a:ext cx="1574490" cy="399370"/>
        </a:xfrm>
        <a:prstGeom prst="round2SameRect">
          <a:avLst/>
        </a:prstGeom>
        <a:noFill/>
        <a:ln w="12700">
          <a:no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BD6B52D5-D031-4BC0-AFAB-829122150994}" type="TxLink">
            <a:rPr lang="en-US" sz="1100" b="0" i="0" u="none" strike="noStrike">
              <a:solidFill>
                <a:srgbClr val="FFFFFF"/>
              </a:solidFill>
              <a:latin typeface="Arial" panose="020B0604020202020204" pitchFamily="34" charset="0"/>
              <a:cs typeface="Arial" panose="020B0604020202020204" pitchFamily="34" charset="0"/>
            </a:rPr>
            <a:pPr algn="ctr"/>
            <a:t> </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32</xdr:col>
      <xdr:colOff>2865</xdr:colOff>
      <xdr:row>4</xdr:row>
      <xdr:rowOff>200705</xdr:rowOff>
    </xdr:from>
    <xdr:to>
      <xdr:col>37</xdr:col>
      <xdr:colOff>2720</xdr:colOff>
      <xdr:row>7</xdr:row>
      <xdr:rowOff>0</xdr:rowOff>
    </xdr:to>
    <xdr:sp macro="" textlink="M2S7">
      <xdr:nvSpPr>
        <xdr:cNvPr id="17" name="SUBMENU7">
          <a:hlinkClick xmlns:r="http://schemas.openxmlformats.org/officeDocument/2006/relationships" r:id="rId3"/>
          <a:extLst>
            <a:ext uri="{FF2B5EF4-FFF2-40B4-BE49-F238E27FC236}">
              <a16:creationId xmlns:a16="http://schemas.microsoft.com/office/drawing/2014/main" id="{00000000-0008-0000-0E00-000011000000}"/>
            </a:ext>
          </a:extLst>
        </xdr:cNvPr>
        <xdr:cNvSpPr/>
      </xdr:nvSpPr>
      <xdr:spPr>
        <a:xfrm>
          <a:off x="10061265" y="1000805"/>
          <a:ext cx="1571480" cy="399370"/>
        </a:xfrm>
        <a:prstGeom prst="round2SameRect">
          <a:avLst/>
        </a:prstGeom>
        <a:noFill/>
        <a:ln w="25400">
          <a:no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B073450E-5F1A-40FE-917D-F5188E72474C}" type="TxLink">
            <a:rPr lang="en-US" sz="1100" b="0" i="0" u="none" strike="noStrike">
              <a:solidFill>
                <a:srgbClr val="FFFFFF"/>
              </a:solidFill>
              <a:latin typeface="Arial" panose="020B0604020202020204" pitchFamily="34" charset="0"/>
              <a:cs typeface="Arial" panose="020B0604020202020204" pitchFamily="34" charset="0"/>
            </a:rPr>
            <a:pPr algn="ctr"/>
            <a:t> </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37</xdr:col>
      <xdr:colOff>2720</xdr:colOff>
      <xdr:row>4</xdr:row>
      <xdr:rowOff>200705</xdr:rowOff>
    </xdr:from>
    <xdr:to>
      <xdr:col>42</xdr:col>
      <xdr:colOff>0</xdr:colOff>
      <xdr:row>7</xdr:row>
      <xdr:rowOff>0</xdr:rowOff>
    </xdr:to>
    <xdr:sp macro="" textlink="M2S8">
      <xdr:nvSpPr>
        <xdr:cNvPr id="18" name="SUBMENU8">
          <a:hlinkClick xmlns:r="http://schemas.openxmlformats.org/officeDocument/2006/relationships" r:id="rId4"/>
          <a:extLst>
            <a:ext uri="{FF2B5EF4-FFF2-40B4-BE49-F238E27FC236}">
              <a16:creationId xmlns:a16="http://schemas.microsoft.com/office/drawing/2014/main" id="{00000000-0008-0000-0E00-000012000000}"/>
            </a:ext>
          </a:extLst>
        </xdr:cNvPr>
        <xdr:cNvSpPr/>
      </xdr:nvSpPr>
      <xdr:spPr>
        <a:xfrm>
          <a:off x="11632745" y="1000805"/>
          <a:ext cx="1568905" cy="399370"/>
        </a:xfrm>
        <a:prstGeom prst="round2SameRect">
          <a:avLst/>
        </a:prstGeom>
        <a:noFill/>
        <a:ln w="25400">
          <a:no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05D9615E-C5D6-4F54-94DF-ADF81FF77BE6}" type="TxLink">
            <a:rPr lang="en-US" sz="1100" b="0" i="0" u="none" strike="noStrike">
              <a:solidFill>
                <a:srgbClr val="FFFFFF"/>
              </a:solidFill>
              <a:latin typeface="Arial" panose="020B0604020202020204" pitchFamily="34" charset="0"/>
              <a:cs typeface="Arial" panose="020B0604020202020204" pitchFamily="34" charset="0"/>
            </a:rPr>
            <a:pPr algn="ctr"/>
            <a:t> </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12</xdr:col>
      <xdr:colOff>0</xdr:colOff>
      <xdr:row>1</xdr:row>
      <xdr:rowOff>133350</xdr:rowOff>
    </xdr:from>
    <xdr:to>
      <xdr:col>17</xdr:col>
      <xdr:colOff>0</xdr:colOff>
      <xdr:row>4</xdr:row>
      <xdr:rowOff>133350</xdr:rowOff>
    </xdr:to>
    <xdr:sp macro="" textlink="MAIN2">
      <xdr:nvSpPr>
        <xdr:cNvPr id="4" name="MENU2">
          <a:hlinkClick xmlns:r="http://schemas.openxmlformats.org/officeDocument/2006/relationships" r:id="rId5" tooltip=" "/>
          <a:extLst>
            <a:ext uri="{FF2B5EF4-FFF2-40B4-BE49-F238E27FC236}">
              <a16:creationId xmlns:a16="http://schemas.microsoft.com/office/drawing/2014/main" id="{00000000-0008-0000-0E00-000004000000}"/>
            </a:ext>
          </a:extLst>
        </xdr:cNvPr>
        <xdr:cNvSpPr/>
      </xdr:nvSpPr>
      <xdr:spPr>
        <a:xfrm>
          <a:off x="3765176" y="335056"/>
          <a:ext cx="1568824" cy="605118"/>
        </a:xfrm>
        <a:prstGeom prst="round2SameRect">
          <a:avLst/>
        </a:prstGeom>
        <a:solidFill>
          <a:srgbClr val="A6A5AA"/>
        </a:solidFill>
        <a:ln w="12700">
          <a:solidFill>
            <a:srgbClr val="A6A5AA"/>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59A035B9-F1D2-4E89-B262-AF2DF0C338A9}"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PROJECT INFORMATION</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xdr:col>
      <xdr:colOff>0</xdr:colOff>
      <xdr:row>4</xdr:row>
      <xdr:rowOff>1</xdr:rowOff>
    </xdr:from>
    <xdr:to>
      <xdr:col>44</xdr:col>
      <xdr:colOff>13806</xdr:colOff>
      <xdr:row>7</xdr:row>
      <xdr:rowOff>0</xdr:rowOff>
    </xdr:to>
    <xdr:sp macro="" textlink="">
      <xdr:nvSpPr>
        <xdr:cNvPr id="10" name="TOPRIBBON">
          <a:extLst>
            <a:ext uri="{FF2B5EF4-FFF2-40B4-BE49-F238E27FC236}">
              <a16:creationId xmlns:a16="http://schemas.microsoft.com/office/drawing/2014/main" id="{00000000-0008-0000-0E00-00000A000000}"/>
            </a:ext>
          </a:extLst>
        </xdr:cNvPr>
        <xdr:cNvSpPr/>
      </xdr:nvSpPr>
      <xdr:spPr>
        <a:xfrm>
          <a:off x="313765" y="806825"/>
          <a:ext cx="13505688" cy="605116"/>
        </a:xfrm>
        <a:prstGeom prst="round2SameRect">
          <a:avLst/>
        </a:prstGeom>
        <a:solidFill>
          <a:srgbClr val="A6A5A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p>
      </xdr:txBody>
    </xdr:sp>
    <xdr:clientData/>
  </xdr:twoCellAnchor>
  <xdr:twoCellAnchor editAs="oneCell">
    <xdr:from>
      <xdr:col>41</xdr:col>
      <xdr:colOff>0</xdr:colOff>
      <xdr:row>9</xdr:row>
      <xdr:rowOff>1047</xdr:rowOff>
    </xdr:from>
    <xdr:to>
      <xdr:col>42</xdr:col>
      <xdr:colOff>313195</xdr:colOff>
      <xdr:row>11</xdr:row>
      <xdr:rowOff>1046</xdr:rowOff>
    </xdr:to>
    <xdr:sp macro="" textlink="">
      <xdr:nvSpPr>
        <xdr:cNvPr id="2" name="NEXT">
          <a:hlinkClick xmlns:r="http://schemas.openxmlformats.org/officeDocument/2006/relationships" r:id="rId6" tooltip=" "/>
          <a:extLst>
            <a:ext uri="{FF2B5EF4-FFF2-40B4-BE49-F238E27FC236}">
              <a16:creationId xmlns:a16="http://schemas.microsoft.com/office/drawing/2014/main" id="{00000000-0008-0000-0E00-000002000000}"/>
            </a:ext>
          </a:extLst>
        </xdr:cNvPr>
        <xdr:cNvSpPr>
          <a:spLocks noChangeAspect="1"/>
        </xdr:cNvSpPr>
      </xdr:nvSpPr>
      <xdr:spPr>
        <a:xfrm>
          <a:off x="12887325" y="1801272"/>
          <a:ext cx="627520" cy="400049"/>
        </a:xfrm>
        <a:prstGeom prst="rightArrow">
          <a:avLst/>
        </a:prstGeom>
        <a:solidFill>
          <a:srgbClr val="54BCEB"/>
        </a:solidFill>
        <a:ln>
          <a:solidFill>
            <a:srgbClr val="54BCEB"/>
          </a:solidFill>
        </a:ln>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7</xdr:col>
      <xdr:colOff>457</xdr:colOff>
      <xdr:row>1</xdr:row>
      <xdr:rowOff>0</xdr:rowOff>
    </xdr:from>
    <xdr:to>
      <xdr:col>12</xdr:col>
      <xdr:colOff>0</xdr:colOff>
      <xdr:row>4</xdr:row>
      <xdr:rowOff>0</xdr:rowOff>
    </xdr:to>
    <xdr:sp macro="" textlink="MAIN1">
      <xdr:nvSpPr>
        <xdr:cNvPr id="3" name="MENU1">
          <a:hlinkClick xmlns:r="http://schemas.openxmlformats.org/officeDocument/2006/relationships" r:id="rId7" tooltip=" "/>
          <a:extLst>
            <a:ext uri="{FF2B5EF4-FFF2-40B4-BE49-F238E27FC236}">
              <a16:creationId xmlns:a16="http://schemas.microsoft.com/office/drawing/2014/main" id="{00000000-0008-0000-0E00-000003000000}"/>
            </a:ext>
          </a:extLst>
        </xdr:cNvPr>
        <xdr:cNvSpPr/>
      </xdr:nvSpPr>
      <xdr:spPr>
        <a:xfrm>
          <a:off x="2200732" y="200025"/>
          <a:ext cx="1571168" cy="600075"/>
        </a:xfrm>
        <a:prstGeom prst="round2SameRect">
          <a:avLst/>
        </a:prstGeom>
        <a:solidFill>
          <a:srgbClr val="00334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D6F2F067-2676-4601-ABCE-75BD5137E3D5}"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START</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17</xdr:col>
      <xdr:colOff>0</xdr:colOff>
      <xdr:row>1</xdr:row>
      <xdr:rowOff>0</xdr:rowOff>
    </xdr:from>
    <xdr:to>
      <xdr:col>22</xdr:col>
      <xdr:colOff>0</xdr:colOff>
      <xdr:row>4</xdr:row>
      <xdr:rowOff>0</xdr:rowOff>
    </xdr:to>
    <xdr:sp macro="" textlink="MAIN3">
      <xdr:nvSpPr>
        <xdr:cNvPr id="5" name="MENU3">
          <a:hlinkClick xmlns:r="http://schemas.openxmlformats.org/officeDocument/2006/relationships" r:id="rId8" tooltip=" "/>
          <a:extLst>
            <a:ext uri="{FF2B5EF4-FFF2-40B4-BE49-F238E27FC236}">
              <a16:creationId xmlns:a16="http://schemas.microsoft.com/office/drawing/2014/main" id="{00000000-0008-0000-0E00-000005000000}"/>
            </a:ext>
          </a:extLst>
        </xdr:cNvPr>
        <xdr:cNvSpPr/>
      </xdr:nvSpPr>
      <xdr:spPr>
        <a:xfrm>
          <a:off x="5334000" y="201706"/>
          <a:ext cx="1568824" cy="605118"/>
        </a:xfrm>
        <a:prstGeom prst="round2SameRect">
          <a:avLst/>
        </a:prstGeom>
        <a:solidFill>
          <a:srgbClr val="00334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06A037F-AE33-47CC-85C1-F6D62694F95D}"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PRESCRIPTIVE MEASURES INPUT</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22</xdr:col>
      <xdr:colOff>0</xdr:colOff>
      <xdr:row>1</xdr:row>
      <xdr:rowOff>0</xdr:rowOff>
    </xdr:from>
    <xdr:to>
      <xdr:col>27</xdr:col>
      <xdr:colOff>0</xdr:colOff>
      <xdr:row>4</xdr:row>
      <xdr:rowOff>0</xdr:rowOff>
    </xdr:to>
    <xdr:sp macro="" textlink="MAIN4">
      <xdr:nvSpPr>
        <xdr:cNvPr id="6" name="MENU4">
          <a:hlinkClick xmlns:r="http://schemas.openxmlformats.org/officeDocument/2006/relationships" r:id="rId9" tooltip=" "/>
          <a:extLst>
            <a:ext uri="{FF2B5EF4-FFF2-40B4-BE49-F238E27FC236}">
              <a16:creationId xmlns:a16="http://schemas.microsoft.com/office/drawing/2014/main" id="{00000000-0008-0000-0E00-000006000000}"/>
            </a:ext>
          </a:extLst>
        </xdr:cNvPr>
        <xdr:cNvSpPr/>
      </xdr:nvSpPr>
      <xdr:spPr>
        <a:xfrm>
          <a:off x="6902824" y="201706"/>
          <a:ext cx="1568823" cy="605118"/>
        </a:xfrm>
        <a:prstGeom prst="round2SameRect">
          <a:avLst/>
        </a:prstGeom>
        <a:solidFill>
          <a:srgbClr val="00334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CB369157-CA5B-4E40-B1DE-604993B819B3}"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CUSTOM MEASURES INPUT</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27</xdr:col>
      <xdr:colOff>0</xdr:colOff>
      <xdr:row>1</xdr:row>
      <xdr:rowOff>0</xdr:rowOff>
    </xdr:from>
    <xdr:to>
      <xdr:col>32</xdr:col>
      <xdr:colOff>0</xdr:colOff>
      <xdr:row>4</xdr:row>
      <xdr:rowOff>0</xdr:rowOff>
    </xdr:to>
    <xdr:sp macro="" textlink="MAIN5">
      <xdr:nvSpPr>
        <xdr:cNvPr id="7" name="MENU5">
          <a:hlinkClick xmlns:r="http://schemas.openxmlformats.org/officeDocument/2006/relationships" r:id="rId10" tooltip=" "/>
          <a:extLst>
            <a:ext uri="{FF2B5EF4-FFF2-40B4-BE49-F238E27FC236}">
              <a16:creationId xmlns:a16="http://schemas.microsoft.com/office/drawing/2014/main" id="{00000000-0008-0000-0E00-000007000000}"/>
            </a:ext>
          </a:extLst>
        </xdr:cNvPr>
        <xdr:cNvSpPr/>
      </xdr:nvSpPr>
      <xdr:spPr>
        <a:xfrm>
          <a:off x="8486775" y="200025"/>
          <a:ext cx="1571625" cy="600075"/>
        </a:xfrm>
        <a:prstGeom prst="round2SameRect">
          <a:avLst/>
        </a:prstGeom>
        <a:solidFill>
          <a:srgbClr val="00334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F0EEDDA6-4934-49B4-972D-20D21D440D82}"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APPLICATION REVIEW</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32</xdr:col>
      <xdr:colOff>0</xdr:colOff>
      <xdr:row>1</xdr:row>
      <xdr:rowOff>0</xdr:rowOff>
    </xdr:from>
    <xdr:to>
      <xdr:col>37</xdr:col>
      <xdr:colOff>1</xdr:colOff>
      <xdr:row>4</xdr:row>
      <xdr:rowOff>0</xdr:rowOff>
    </xdr:to>
    <xdr:sp macro="" textlink="MAIN6">
      <xdr:nvSpPr>
        <xdr:cNvPr id="8" name="MENU6">
          <a:extLst>
            <a:ext uri="{FF2B5EF4-FFF2-40B4-BE49-F238E27FC236}">
              <a16:creationId xmlns:a16="http://schemas.microsoft.com/office/drawing/2014/main" id="{00000000-0008-0000-0E00-000008000000}"/>
            </a:ext>
          </a:extLst>
        </xdr:cNvPr>
        <xdr:cNvSpPr/>
      </xdr:nvSpPr>
      <xdr:spPr>
        <a:xfrm>
          <a:off x="10058400" y="200025"/>
          <a:ext cx="1571626"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00B050"/>
              </a:solidFill>
            </a14:hiddenFill>
          </a:ext>
          <a:ext uri="{91240B29-F687-4F45-9708-019B960494DF}">
            <a14:hiddenLine xmlns:a14="http://schemas.microsoft.com/office/drawing/2010/main" w="25400" cap="flat" cmpd="sng" algn="ctr">
              <a:solidFill>
                <a:srgbClr val="7F7F7F"/>
              </a:solidFill>
              <a:prstDash val="solid"/>
              <a:miter lim="800000"/>
            </a14:hiddenLine>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B12A3774-975E-4B41-A681-E085295C6D0E}" type="TxLink">
            <a:rPr lang="en-US" sz="1100" b="0" i="0" u="none" strike="noStrike">
              <a:noFill/>
              <a:latin typeface="Arial" panose="020B0604020202020204" pitchFamily="34" charset="0"/>
              <a:cs typeface="Arial" panose="020B0604020202020204" pitchFamily="34" charset="0"/>
            </a:rPr>
            <a:pPr algn="ctr"/>
            <a:t> </a:t>
          </a:fld>
          <a:endParaRPr lang="en-US" sz="1100">
            <a:noFill/>
            <a:latin typeface="Arial" panose="020B0604020202020204" pitchFamily="34" charset="0"/>
            <a:cs typeface="Arial" panose="020B0604020202020204" pitchFamily="34" charset="0"/>
          </a:endParaRPr>
        </a:p>
      </xdr:txBody>
    </xdr:sp>
    <xdr:clientData/>
  </xdr:twoCellAnchor>
  <xdr:twoCellAnchor>
    <xdr:from>
      <xdr:col>36</xdr:col>
      <xdr:colOff>314324</xdr:colOff>
      <xdr:row>1</xdr:row>
      <xdr:rowOff>0</xdr:rowOff>
    </xdr:from>
    <xdr:to>
      <xdr:col>41</xdr:col>
      <xdr:colOff>314324</xdr:colOff>
      <xdr:row>4</xdr:row>
      <xdr:rowOff>0</xdr:rowOff>
    </xdr:to>
    <xdr:sp macro="" textlink="MAIN7">
      <xdr:nvSpPr>
        <xdr:cNvPr id="9" name="MENU7">
          <a:extLst>
            <a:ext uri="{FF2B5EF4-FFF2-40B4-BE49-F238E27FC236}">
              <a16:creationId xmlns:a16="http://schemas.microsoft.com/office/drawing/2014/main" id="{00000000-0008-0000-0E00-000009000000}"/>
            </a:ext>
          </a:extLst>
        </xdr:cNvPr>
        <xdr:cNvSpPr/>
      </xdr:nvSpPr>
      <xdr:spPr>
        <a:xfrm>
          <a:off x="11630024" y="200025"/>
          <a:ext cx="1571625"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00B050"/>
              </a:solidFill>
            </a14:hiddenFill>
          </a:ext>
          <a:ext uri="{91240B29-F687-4F45-9708-019B960494DF}">
            <a14:hiddenLine xmlns:a14="http://schemas.microsoft.com/office/drawing/2010/main" w="25400" cap="flat" cmpd="sng" algn="ctr">
              <a:solidFill>
                <a:srgbClr val="7F7F7F"/>
              </a:solidFill>
              <a:prstDash val="solid"/>
              <a:miter lim="800000"/>
            </a14:hiddenLine>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 </a:t>
          </a:fld>
          <a:endParaRPr lang="en-US" sz="1100">
            <a:noFill/>
            <a:latin typeface="Arial" panose="020B0604020202020204" pitchFamily="34" charset="0"/>
            <a:cs typeface="Arial" panose="020B0604020202020204" pitchFamily="34" charset="0"/>
          </a:endParaRPr>
        </a:p>
      </xdr:txBody>
    </xdr:sp>
    <xdr:clientData/>
  </xdr:twoCellAnchor>
  <xdr:twoCellAnchor>
    <xdr:from>
      <xdr:col>2</xdr:col>
      <xdr:colOff>2720</xdr:colOff>
      <xdr:row>5</xdr:row>
      <xdr:rowOff>0</xdr:rowOff>
    </xdr:from>
    <xdr:to>
      <xdr:col>7</xdr:col>
      <xdr:colOff>457</xdr:colOff>
      <xdr:row>6</xdr:row>
      <xdr:rowOff>197827</xdr:rowOff>
    </xdr:to>
    <xdr:sp macro="" textlink="M2S1">
      <xdr:nvSpPr>
        <xdr:cNvPr id="11" name="SUBMENU1">
          <a:hlinkClick xmlns:r="http://schemas.openxmlformats.org/officeDocument/2006/relationships" r:id="rId5" tooltip=" "/>
          <a:extLst>
            <a:ext uri="{FF2B5EF4-FFF2-40B4-BE49-F238E27FC236}">
              <a16:creationId xmlns:a16="http://schemas.microsoft.com/office/drawing/2014/main" id="{00000000-0008-0000-0E00-00000B000000}"/>
            </a:ext>
          </a:extLst>
        </xdr:cNvPr>
        <xdr:cNvSpPr/>
      </xdr:nvSpPr>
      <xdr:spPr>
        <a:xfrm>
          <a:off x="631370" y="1000125"/>
          <a:ext cx="1569362" cy="397852"/>
        </a:xfrm>
        <a:prstGeom prst="round2SameRect">
          <a:avLst/>
        </a:prstGeom>
        <a:solidFill>
          <a:srgbClr val="54BCEB"/>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E4B740A-9522-487C-91EC-6CD2F94D6A48}" type="TxLink">
            <a:rPr lang="en-US" sz="1100" b="0" i="0" u="none" strike="noStrike">
              <a:solidFill>
                <a:srgbClr val="FFFFFF"/>
              </a:solidFill>
              <a:latin typeface="Arial" panose="020B0604020202020204" pitchFamily="34" charset="0"/>
              <a:cs typeface="Arial" panose="020B0604020202020204" pitchFamily="34" charset="0"/>
            </a:rPr>
            <a:pPr algn="ctr"/>
            <a:t>Terms &amp; Conditions</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7</xdr:col>
      <xdr:colOff>1156</xdr:colOff>
      <xdr:row>5</xdr:row>
      <xdr:rowOff>51480</xdr:rowOff>
    </xdr:from>
    <xdr:to>
      <xdr:col>12</xdr:col>
      <xdr:colOff>1155</xdr:colOff>
      <xdr:row>7</xdr:row>
      <xdr:rowOff>50800</xdr:rowOff>
    </xdr:to>
    <xdr:sp macro="" textlink="M2S2">
      <xdr:nvSpPr>
        <xdr:cNvPr id="12" name="SUBMENU2">
          <a:hlinkClick xmlns:r="http://schemas.openxmlformats.org/officeDocument/2006/relationships" r:id="rId11" tooltip=" "/>
          <a:extLst>
            <a:ext uri="{FF2B5EF4-FFF2-40B4-BE49-F238E27FC236}">
              <a16:creationId xmlns:a16="http://schemas.microsoft.com/office/drawing/2014/main" id="{00000000-0008-0000-0E00-00000C000000}"/>
            </a:ext>
          </a:extLst>
        </xdr:cNvPr>
        <xdr:cNvSpPr/>
      </xdr:nvSpPr>
      <xdr:spPr>
        <a:xfrm>
          <a:off x="2197509" y="1060009"/>
          <a:ext cx="1568822" cy="402732"/>
        </a:xfrm>
        <a:prstGeom prst="round2SameRect">
          <a:avLst/>
        </a:prstGeom>
        <a:solidFill>
          <a:srgbClr val="00334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3F46A332-CB6C-444B-A98C-4A2C16E11A97}" type="TxLink">
            <a:rPr lang="en-US" sz="1100" b="0" i="0" u="none" strike="noStrike">
              <a:solidFill>
                <a:srgbClr val="FFFFFF"/>
              </a:solidFill>
              <a:latin typeface="Arial" panose="020B0604020202020204" pitchFamily="34" charset="0"/>
              <a:cs typeface="Arial" panose="020B0604020202020204" pitchFamily="34" charset="0"/>
            </a:rPr>
            <a:pPr algn="ctr"/>
            <a:t>Company and Site Information</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12</xdr:col>
      <xdr:colOff>1854</xdr:colOff>
      <xdr:row>4</xdr:row>
      <xdr:rowOff>200705</xdr:rowOff>
    </xdr:from>
    <xdr:to>
      <xdr:col>17</xdr:col>
      <xdr:colOff>1853</xdr:colOff>
      <xdr:row>7</xdr:row>
      <xdr:rowOff>0</xdr:rowOff>
    </xdr:to>
    <xdr:sp macro="" textlink="M2S3">
      <xdr:nvSpPr>
        <xdr:cNvPr id="13" name="SUBMENU3">
          <a:hlinkClick xmlns:r="http://schemas.openxmlformats.org/officeDocument/2006/relationships" r:id="rId12" tooltip=" "/>
          <a:extLst>
            <a:ext uri="{FF2B5EF4-FFF2-40B4-BE49-F238E27FC236}">
              <a16:creationId xmlns:a16="http://schemas.microsoft.com/office/drawing/2014/main" id="{00000000-0008-0000-0E00-00000D000000}"/>
            </a:ext>
          </a:extLst>
        </xdr:cNvPr>
        <xdr:cNvSpPr/>
      </xdr:nvSpPr>
      <xdr:spPr>
        <a:xfrm>
          <a:off x="3767030" y="1007529"/>
          <a:ext cx="1568823" cy="404412"/>
        </a:xfrm>
        <a:prstGeom prst="round2SameRect">
          <a:avLst/>
        </a:prstGeom>
        <a:solidFill>
          <a:srgbClr val="54BCEB"/>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6CF1307D-ECA4-4693-9752-43732259D37B}" type="TxLink">
            <a:rPr lang="en-US" sz="1100" b="0" i="0" u="none" strike="noStrike">
              <a:solidFill>
                <a:srgbClr val="FFFFFF"/>
              </a:solidFill>
              <a:latin typeface="Arial" panose="020B0604020202020204" pitchFamily="34" charset="0"/>
              <a:cs typeface="Arial" panose="020B0604020202020204" pitchFamily="34" charset="0"/>
            </a:rPr>
            <a:pPr algn="ctr"/>
            <a:t>Trade Ally / Vendor Information</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17</xdr:col>
      <xdr:colOff>2551</xdr:colOff>
      <xdr:row>4</xdr:row>
      <xdr:rowOff>200705</xdr:rowOff>
    </xdr:from>
    <xdr:to>
      <xdr:col>22</xdr:col>
      <xdr:colOff>2550</xdr:colOff>
      <xdr:row>7</xdr:row>
      <xdr:rowOff>0</xdr:rowOff>
    </xdr:to>
    <xdr:sp macro="" textlink="M2S4">
      <xdr:nvSpPr>
        <xdr:cNvPr id="14" name="SUBMENU4">
          <a:hlinkClick xmlns:r="http://schemas.openxmlformats.org/officeDocument/2006/relationships" r:id="rId13" tooltip=" "/>
          <a:extLst>
            <a:ext uri="{FF2B5EF4-FFF2-40B4-BE49-F238E27FC236}">
              <a16:creationId xmlns:a16="http://schemas.microsoft.com/office/drawing/2014/main" id="{00000000-0008-0000-0E00-00000E000000}"/>
            </a:ext>
          </a:extLst>
        </xdr:cNvPr>
        <xdr:cNvSpPr/>
      </xdr:nvSpPr>
      <xdr:spPr>
        <a:xfrm>
          <a:off x="5346076" y="1000805"/>
          <a:ext cx="1571624" cy="399370"/>
        </a:xfrm>
        <a:prstGeom prst="round2SameRect">
          <a:avLst/>
        </a:prstGeom>
        <a:solidFill>
          <a:srgbClr val="54BCEB"/>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2DCA9913-F62F-4A39-A8F2-B5B0B6900AE5}" type="TxLink">
            <a:rPr lang="en-US" sz="1100" b="0" i="0" u="none" strike="noStrike">
              <a:solidFill>
                <a:srgbClr val="FFFFFF"/>
              </a:solidFill>
              <a:latin typeface="Arial" panose="020B0604020202020204" pitchFamily="34" charset="0"/>
              <a:cs typeface="Arial" panose="020B0604020202020204" pitchFamily="34" charset="0"/>
            </a:rPr>
            <a:pPr algn="ctr"/>
            <a:t>Payment Information</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0</xdr:col>
      <xdr:colOff>314323</xdr:colOff>
      <xdr:row>7</xdr:row>
      <xdr:rowOff>200024</xdr:rowOff>
    </xdr:from>
    <xdr:to>
      <xdr:col>44</xdr:col>
      <xdr:colOff>0</xdr:colOff>
      <xdr:row>199</xdr:row>
      <xdr:rowOff>0</xdr:rowOff>
    </xdr:to>
    <xdr:sp macro="" textlink="">
      <xdr:nvSpPr>
        <xdr:cNvPr id="19" name="BORDER">
          <a:extLst>
            <a:ext uri="{FF2B5EF4-FFF2-40B4-BE49-F238E27FC236}">
              <a16:creationId xmlns:a16="http://schemas.microsoft.com/office/drawing/2014/main" id="{00000000-0008-0000-0E00-000013000000}"/>
            </a:ext>
          </a:extLst>
        </xdr:cNvPr>
        <xdr:cNvSpPr/>
      </xdr:nvSpPr>
      <xdr:spPr>
        <a:xfrm>
          <a:off x="314323" y="1600199"/>
          <a:ext cx="13515977" cy="37804726"/>
        </a:xfrm>
        <a:prstGeom prst="frame">
          <a:avLst>
            <a:gd name="adj1" fmla="val 97"/>
          </a:avLst>
        </a:prstGeom>
        <a:noFill/>
        <a:ln w="12700" cap="flat" cmpd="sng" algn="ctr">
          <a:solidFill>
            <a:srgbClr val="00334E"/>
          </a:solidFill>
          <a:prstDash val="solid"/>
          <a:miter lim="800000"/>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fPrintsWithSheet="0"/>
  </xdr:twoCellAnchor>
  <xdr:twoCellAnchor editAs="oneCell">
    <xdr:from>
      <xdr:col>2</xdr:col>
      <xdr:colOff>2720</xdr:colOff>
      <xdr:row>8</xdr:row>
      <xdr:rowOff>201232</xdr:rowOff>
    </xdr:from>
    <xdr:to>
      <xdr:col>4</xdr:col>
      <xdr:colOff>960</xdr:colOff>
      <xdr:row>11</xdr:row>
      <xdr:rowOff>1207</xdr:rowOff>
    </xdr:to>
    <xdr:sp macro="" textlink="">
      <xdr:nvSpPr>
        <xdr:cNvPr id="20" name="BACK">
          <a:hlinkClick xmlns:r="http://schemas.openxmlformats.org/officeDocument/2006/relationships" r:id="rId14" tooltip=" "/>
          <a:extLst>
            <a:ext uri="{FF2B5EF4-FFF2-40B4-BE49-F238E27FC236}">
              <a16:creationId xmlns:a16="http://schemas.microsoft.com/office/drawing/2014/main" id="{00000000-0008-0000-0E00-000014000000}"/>
            </a:ext>
          </a:extLst>
        </xdr:cNvPr>
        <xdr:cNvSpPr>
          <a:spLocks noChangeAspect="1"/>
        </xdr:cNvSpPr>
      </xdr:nvSpPr>
      <xdr:spPr>
        <a:xfrm>
          <a:off x="631370" y="1801432"/>
          <a:ext cx="626890" cy="400050"/>
        </a:xfrm>
        <a:prstGeom prst="leftArrow">
          <a:avLst/>
        </a:prstGeom>
        <a:solidFill>
          <a:srgbClr val="54BCEB"/>
        </a:solidFill>
        <a:ln>
          <a:solidFill>
            <a:srgbClr val="54BCEB"/>
          </a:solidFill>
        </a:ln>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1</xdr:col>
      <xdr:colOff>0</xdr:colOff>
      <xdr:row>7</xdr:row>
      <xdr:rowOff>0</xdr:rowOff>
    </xdr:from>
    <xdr:to>
      <xdr:col>44</xdr:col>
      <xdr:colOff>13806</xdr:colOff>
      <xdr:row>8</xdr:row>
      <xdr:rowOff>0</xdr:rowOff>
    </xdr:to>
    <xdr:sp macro="" textlink="">
      <xdr:nvSpPr>
        <xdr:cNvPr id="21" name="BOTTOMRIBBON">
          <a:extLst>
            <a:ext uri="{FF2B5EF4-FFF2-40B4-BE49-F238E27FC236}">
              <a16:creationId xmlns:a16="http://schemas.microsoft.com/office/drawing/2014/main" id="{00000000-0008-0000-0E00-000015000000}"/>
            </a:ext>
          </a:extLst>
        </xdr:cNvPr>
        <xdr:cNvSpPr/>
      </xdr:nvSpPr>
      <xdr:spPr>
        <a:xfrm>
          <a:off x="313765" y="1411941"/>
          <a:ext cx="13505688" cy="201706"/>
        </a:xfrm>
        <a:prstGeom prst="rect">
          <a:avLst/>
        </a:prstGeom>
        <a:solidFill>
          <a:srgbClr val="00334E"/>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solidFill>
              <a:srgbClr val="FFFFFF"/>
            </a:solidFill>
          </a:endParaRPr>
        </a:p>
      </xdr:txBody>
    </xdr:sp>
    <xdr:clientData/>
  </xdr:twoCellAnchor>
  <xdr:twoCellAnchor editAs="oneCell">
    <xdr:from>
      <xdr:col>2</xdr:col>
      <xdr:colOff>107554</xdr:colOff>
      <xdr:row>0</xdr:row>
      <xdr:rowOff>156884</xdr:rowOff>
    </xdr:from>
    <xdr:to>
      <xdr:col>5</xdr:col>
      <xdr:colOff>28502</xdr:colOff>
      <xdr:row>2</xdr:row>
      <xdr:rowOff>192265</xdr:rowOff>
    </xdr:to>
    <xdr:pic>
      <xdr:nvPicPr>
        <xdr:cNvPr id="25" name="LOGO">
          <a:extLst>
            <a:ext uri="{FF2B5EF4-FFF2-40B4-BE49-F238E27FC236}">
              <a16:creationId xmlns:a16="http://schemas.microsoft.com/office/drawing/2014/main" id="{00000000-0008-0000-0E00-000019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xdr:blipFill>
      <xdr:spPr>
        <a:xfrm>
          <a:off x="735083" y="156884"/>
          <a:ext cx="862243" cy="43879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22</xdr:col>
      <xdr:colOff>2551</xdr:colOff>
      <xdr:row>4</xdr:row>
      <xdr:rowOff>200705</xdr:rowOff>
    </xdr:from>
    <xdr:to>
      <xdr:col>27</xdr:col>
      <xdr:colOff>2549</xdr:colOff>
      <xdr:row>7</xdr:row>
      <xdr:rowOff>0</xdr:rowOff>
    </xdr:to>
    <xdr:sp macro="" textlink="M2S5">
      <xdr:nvSpPr>
        <xdr:cNvPr id="15" name="SUBMENU5">
          <a:hlinkClick xmlns:r="http://schemas.openxmlformats.org/officeDocument/2006/relationships" r:id="rId1"/>
          <a:extLst>
            <a:ext uri="{FF2B5EF4-FFF2-40B4-BE49-F238E27FC236}">
              <a16:creationId xmlns:a16="http://schemas.microsoft.com/office/drawing/2014/main" id="{00000000-0008-0000-0F00-00000F000000}"/>
            </a:ext>
          </a:extLst>
        </xdr:cNvPr>
        <xdr:cNvSpPr/>
      </xdr:nvSpPr>
      <xdr:spPr>
        <a:xfrm>
          <a:off x="6917701" y="1000805"/>
          <a:ext cx="1571623" cy="399370"/>
        </a:xfrm>
        <a:prstGeom prst="round2SameRect">
          <a:avLst/>
        </a:prstGeom>
        <a:noFill/>
        <a:ln w="12700">
          <a:no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0EF88A6-2636-4086-A650-C932DE98DE91}" type="TxLink">
            <a:rPr lang="en-US" sz="1100" b="0" i="0" u="none" strike="noStrike">
              <a:solidFill>
                <a:srgbClr val="FFFFFF"/>
              </a:solidFill>
              <a:latin typeface="Arial" panose="020B0604020202020204" pitchFamily="34" charset="0"/>
              <a:cs typeface="Arial" panose="020B0604020202020204" pitchFamily="34" charset="0"/>
            </a:rPr>
            <a:pPr algn="ctr"/>
            <a:t> </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27</xdr:col>
      <xdr:colOff>0</xdr:colOff>
      <xdr:row>4</xdr:row>
      <xdr:rowOff>200705</xdr:rowOff>
    </xdr:from>
    <xdr:to>
      <xdr:col>32</xdr:col>
      <xdr:colOff>2865</xdr:colOff>
      <xdr:row>7</xdr:row>
      <xdr:rowOff>0</xdr:rowOff>
    </xdr:to>
    <xdr:sp macro="" textlink="M2S6">
      <xdr:nvSpPr>
        <xdr:cNvPr id="16" name="SUBMENU6">
          <a:hlinkClick xmlns:r="http://schemas.openxmlformats.org/officeDocument/2006/relationships" r:id="rId2"/>
          <a:extLst>
            <a:ext uri="{FF2B5EF4-FFF2-40B4-BE49-F238E27FC236}">
              <a16:creationId xmlns:a16="http://schemas.microsoft.com/office/drawing/2014/main" id="{00000000-0008-0000-0F00-000010000000}"/>
            </a:ext>
          </a:extLst>
        </xdr:cNvPr>
        <xdr:cNvSpPr/>
      </xdr:nvSpPr>
      <xdr:spPr>
        <a:xfrm>
          <a:off x="8486775" y="1000805"/>
          <a:ext cx="1574490" cy="399370"/>
        </a:xfrm>
        <a:prstGeom prst="round2SameRect">
          <a:avLst/>
        </a:prstGeom>
        <a:noFill/>
        <a:ln w="12700">
          <a:no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BD6B52D5-D031-4BC0-AFAB-829122150994}" type="TxLink">
            <a:rPr lang="en-US" sz="1100" b="0" i="0" u="none" strike="noStrike">
              <a:solidFill>
                <a:srgbClr val="FFFFFF"/>
              </a:solidFill>
              <a:latin typeface="Arial" panose="020B0604020202020204" pitchFamily="34" charset="0"/>
              <a:cs typeface="Arial" panose="020B0604020202020204" pitchFamily="34" charset="0"/>
            </a:rPr>
            <a:pPr algn="ctr"/>
            <a:t> </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32</xdr:col>
      <xdr:colOff>2865</xdr:colOff>
      <xdr:row>4</xdr:row>
      <xdr:rowOff>200705</xdr:rowOff>
    </xdr:from>
    <xdr:to>
      <xdr:col>37</xdr:col>
      <xdr:colOff>2720</xdr:colOff>
      <xdr:row>7</xdr:row>
      <xdr:rowOff>0</xdr:rowOff>
    </xdr:to>
    <xdr:sp macro="" textlink="M2S7">
      <xdr:nvSpPr>
        <xdr:cNvPr id="17" name="SUBMENU7">
          <a:hlinkClick xmlns:r="http://schemas.openxmlformats.org/officeDocument/2006/relationships" r:id="rId3"/>
          <a:extLst>
            <a:ext uri="{FF2B5EF4-FFF2-40B4-BE49-F238E27FC236}">
              <a16:creationId xmlns:a16="http://schemas.microsoft.com/office/drawing/2014/main" id="{00000000-0008-0000-0F00-000011000000}"/>
            </a:ext>
          </a:extLst>
        </xdr:cNvPr>
        <xdr:cNvSpPr/>
      </xdr:nvSpPr>
      <xdr:spPr>
        <a:xfrm>
          <a:off x="10061265" y="1000805"/>
          <a:ext cx="1571480" cy="399370"/>
        </a:xfrm>
        <a:prstGeom prst="round2SameRect">
          <a:avLst/>
        </a:prstGeom>
        <a:noFill/>
        <a:ln w="25400">
          <a:no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B073450E-5F1A-40FE-917D-F5188E72474C}" type="TxLink">
            <a:rPr lang="en-US" sz="1100" b="0" i="0" u="none" strike="noStrike">
              <a:solidFill>
                <a:srgbClr val="FFFFFF"/>
              </a:solidFill>
              <a:latin typeface="Arial" panose="020B0604020202020204" pitchFamily="34" charset="0"/>
              <a:cs typeface="Arial" panose="020B0604020202020204" pitchFamily="34" charset="0"/>
            </a:rPr>
            <a:pPr algn="ctr"/>
            <a:t> </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37</xdr:col>
      <xdr:colOff>2720</xdr:colOff>
      <xdr:row>4</xdr:row>
      <xdr:rowOff>200705</xdr:rowOff>
    </xdr:from>
    <xdr:to>
      <xdr:col>42</xdr:col>
      <xdr:colOff>0</xdr:colOff>
      <xdr:row>7</xdr:row>
      <xdr:rowOff>0</xdr:rowOff>
    </xdr:to>
    <xdr:sp macro="" textlink="M2S8">
      <xdr:nvSpPr>
        <xdr:cNvPr id="18" name="SUBMENU8">
          <a:hlinkClick xmlns:r="http://schemas.openxmlformats.org/officeDocument/2006/relationships" r:id="rId4"/>
          <a:extLst>
            <a:ext uri="{FF2B5EF4-FFF2-40B4-BE49-F238E27FC236}">
              <a16:creationId xmlns:a16="http://schemas.microsoft.com/office/drawing/2014/main" id="{00000000-0008-0000-0F00-000012000000}"/>
            </a:ext>
          </a:extLst>
        </xdr:cNvPr>
        <xdr:cNvSpPr/>
      </xdr:nvSpPr>
      <xdr:spPr>
        <a:xfrm>
          <a:off x="11632745" y="1000805"/>
          <a:ext cx="1568905" cy="399370"/>
        </a:xfrm>
        <a:prstGeom prst="round2SameRect">
          <a:avLst/>
        </a:prstGeom>
        <a:noFill/>
        <a:ln w="25400">
          <a:no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05D9615E-C5D6-4F54-94DF-ADF81FF77BE6}" type="TxLink">
            <a:rPr lang="en-US" sz="1100" b="0" i="0" u="none" strike="noStrike">
              <a:solidFill>
                <a:srgbClr val="FFFFFF"/>
              </a:solidFill>
              <a:latin typeface="Arial" panose="020B0604020202020204" pitchFamily="34" charset="0"/>
              <a:cs typeface="Arial" panose="020B0604020202020204" pitchFamily="34" charset="0"/>
            </a:rPr>
            <a:pPr algn="ctr"/>
            <a:t> </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12</xdr:col>
      <xdr:colOff>0</xdr:colOff>
      <xdr:row>1</xdr:row>
      <xdr:rowOff>133350</xdr:rowOff>
    </xdr:from>
    <xdr:to>
      <xdr:col>17</xdr:col>
      <xdr:colOff>0</xdr:colOff>
      <xdr:row>4</xdr:row>
      <xdr:rowOff>133350</xdr:rowOff>
    </xdr:to>
    <xdr:sp macro="" textlink="MAIN2">
      <xdr:nvSpPr>
        <xdr:cNvPr id="4" name="MENU2">
          <a:hlinkClick xmlns:r="http://schemas.openxmlformats.org/officeDocument/2006/relationships" r:id="rId5" tooltip=" "/>
          <a:extLst>
            <a:ext uri="{FF2B5EF4-FFF2-40B4-BE49-F238E27FC236}">
              <a16:creationId xmlns:a16="http://schemas.microsoft.com/office/drawing/2014/main" id="{00000000-0008-0000-0F00-000004000000}"/>
            </a:ext>
          </a:extLst>
        </xdr:cNvPr>
        <xdr:cNvSpPr/>
      </xdr:nvSpPr>
      <xdr:spPr>
        <a:xfrm>
          <a:off x="3765176" y="335056"/>
          <a:ext cx="1568824" cy="605118"/>
        </a:xfrm>
        <a:prstGeom prst="round2SameRect">
          <a:avLst/>
        </a:prstGeom>
        <a:solidFill>
          <a:srgbClr val="A6A5AA"/>
        </a:solidFill>
        <a:ln w="12700">
          <a:solidFill>
            <a:srgbClr val="A6A5AA"/>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59A035B9-F1D2-4E89-B262-AF2DF0C338A9}"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PROJECT INFORMATION</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xdr:col>
      <xdr:colOff>0</xdr:colOff>
      <xdr:row>4</xdr:row>
      <xdr:rowOff>2</xdr:rowOff>
    </xdr:from>
    <xdr:to>
      <xdr:col>44</xdr:col>
      <xdr:colOff>13806</xdr:colOff>
      <xdr:row>7</xdr:row>
      <xdr:rowOff>1</xdr:rowOff>
    </xdr:to>
    <xdr:sp macro="" textlink="">
      <xdr:nvSpPr>
        <xdr:cNvPr id="10" name="TOPRIBBON">
          <a:extLst>
            <a:ext uri="{FF2B5EF4-FFF2-40B4-BE49-F238E27FC236}">
              <a16:creationId xmlns:a16="http://schemas.microsoft.com/office/drawing/2014/main" id="{00000000-0008-0000-0F00-00000A000000}"/>
            </a:ext>
          </a:extLst>
        </xdr:cNvPr>
        <xdr:cNvSpPr/>
      </xdr:nvSpPr>
      <xdr:spPr>
        <a:xfrm>
          <a:off x="313765" y="806826"/>
          <a:ext cx="13505688" cy="605116"/>
        </a:xfrm>
        <a:prstGeom prst="round2SameRect">
          <a:avLst/>
        </a:prstGeom>
        <a:solidFill>
          <a:srgbClr val="A6A5A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p>
      </xdr:txBody>
    </xdr:sp>
    <xdr:clientData/>
  </xdr:twoCellAnchor>
  <xdr:twoCellAnchor editAs="oneCell">
    <xdr:from>
      <xdr:col>41</xdr:col>
      <xdr:colOff>0</xdr:colOff>
      <xdr:row>9</xdr:row>
      <xdr:rowOff>1047</xdr:rowOff>
    </xdr:from>
    <xdr:to>
      <xdr:col>42</xdr:col>
      <xdr:colOff>313195</xdr:colOff>
      <xdr:row>11</xdr:row>
      <xdr:rowOff>1046</xdr:rowOff>
    </xdr:to>
    <xdr:sp macro="" textlink="">
      <xdr:nvSpPr>
        <xdr:cNvPr id="2" name="NEXT">
          <a:hlinkClick xmlns:r="http://schemas.openxmlformats.org/officeDocument/2006/relationships" r:id="rId6" tooltip=" "/>
          <a:extLst>
            <a:ext uri="{FF2B5EF4-FFF2-40B4-BE49-F238E27FC236}">
              <a16:creationId xmlns:a16="http://schemas.microsoft.com/office/drawing/2014/main" id="{00000000-0008-0000-0F00-000002000000}"/>
            </a:ext>
          </a:extLst>
        </xdr:cNvPr>
        <xdr:cNvSpPr>
          <a:spLocks noChangeAspect="1"/>
        </xdr:cNvSpPr>
      </xdr:nvSpPr>
      <xdr:spPr>
        <a:xfrm>
          <a:off x="12887325" y="1801272"/>
          <a:ext cx="627520" cy="400049"/>
        </a:xfrm>
        <a:prstGeom prst="rightArrow">
          <a:avLst/>
        </a:prstGeom>
        <a:solidFill>
          <a:srgbClr val="54BCEB"/>
        </a:solidFill>
        <a:ln>
          <a:solidFill>
            <a:srgbClr val="54BCEB"/>
          </a:solidFill>
        </a:ln>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7</xdr:col>
      <xdr:colOff>457</xdr:colOff>
      <xdr:row>1</xdr:row>
      <xdr:rowOff>0</xdr:rowOff>
    </xdr:from>
    <xdr:to>
      <xdr:col>12</xdr:col>
      <xdr:colOff>0</xdr:colOff>
      <xdr:row>4</xdr:row>
      <xdr:rowOff>0</xdr:rowOff>
    </xdr:to>
    <xdr:sp macro="" textlink="MAIN1">
      <xdr:nvSpPr>
        <xdr:cNvPr id="3" name="MENU1">
          <a:hlinkClick xmlns:r="http://schemas.openxmlformats.org/officeDocument/2006/relationships" r:id="rId7" tooltip=" "/>
          <a:extLst>
            <a:ext uri="{FF2B5EF4-FFF2-40B4-BE49-F238E27FC236}">
              <a16:creationId xmlns:a16="http://schemas.microsoft.com/office/drawing/2014/main" id="{00000000-0008-0000-0F00-000003000000}"/>
            </a:ext>
          </a:extLst>
        </xdr:cNvPr>
        <xdr:cNvSpPr/>
      </xdr:nvSpPr>
      <xdr:spPr>
        <a:xfrm>
          <a:off x="2200732" y="200025"/>
          <a:ext cx="1571168" cy="600075"/>
        </a:xfrm>
        <a:prstGeom prst="round2SameRect">
          <a:avLst/>
        </a:prstGeom>
        <a:solidFill>
          <a:srgbClr val="00334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D6F2F067-2676-4601-ABCE-75BD5137E3D5}"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START</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17</xdr:col>
      <xdr:colOff>0</xdr:colOff>
      <xdr:row>1</xdr:row>
      <xdr:rowOff>0</xdr:rowOff>
    </xdr:from>
    <xdr:to>
      <xdr:col>22</xdr:col>
      <xdr:colOff>0</xdr:colOff>
      <xdr:row>4</xdr:row>
      <xdr:rowOff>0</xdr:rowOff>
    </xdr:to>
    <xdr:sp macro="" textlink="MAIN3">
      <xdr:nvSpPr>
        <xdr:cNvPr id="5" name="MENU3">
          <a:hlinkClick xmlns:r="http://schemas.openxmlformats.org/officeDocument/2006/relationships" r:id="rId8" tooltip=" "/>
          <a:extLst>
            <a:ext uri="{FF2B5EF4-FFF2-40B4-BE49-F238E27FC236}">
              <a16:creationId xmlns:a16="http://schemas.microsoft.com/office/drawing/2014/main" id="{00000000-0008-0000-0F00-000005000000}"/>
            </a:ext>
          </a:extLst>
        </xdr:cNvPr>
        <xdr:cNvSpPr/>
      </xdr:nvSpPr>
      <xdr:spPr>
        <a:xfrm>
          <a:off x="5334000" y="201706"/>
          <a:ext cx="1568824" cy="605118"/>
        </a:xfrm>
        <a:prstGeom prst="round2SameRect">
          <a:avLst/>
        </a:prstGeom>
        <a:solidFill>
          <a:srgbClr val="00334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06A037F-AE33-47CC-85C1-F6D62694F95D}"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PRESCRIPTIVE MEASURES INPUT</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22</xdr:col>
      <xdr:colOff>0</xdr:colOff>
      <xdr:row>1</xdr:row>
      <xdr:rowOff>0</xdr:rowOff>
    </xdr:from>
    <xdr:to>
      <xdr:col>27</xdr:col>
      <xdr:colOff>0</xdr:colOff>
      <xdr:row>4</xdr:row>
      <xdr:rowOff>0</xdr:rowOff>
    </xdr:to>
    <xdr:sp macro="" textlink="MAIN4">
      <xdr:nvSpPr>
        <xdr:cNvPr id="6" name="MENU4">
          <a:hlinkClick xmlns:r="http://schemas.openxmlformats.org/officeDocument/2006/relationships" r:id="rId9" tooltip=" "/>
          <a:extLst>
            <a:ext uri="{FF2B5EF4-FFF2-40B4-BE49-F238E27FC236}">
              <a16:creationId xmlns:a16="http://schemas.microsoft.com/office/drawing/2014/main" id="{00000000-0008-0000-0F00-000006000000}"/>
            </a:ext>
          </a:extLst>
        </xdr:cNvPr>
        <xdr:cNvSpPr/>
      </xdr:nvSpPr>
      <xdr:spPr>
        <a:xfrm>
          <a:off x="6902824" y="201706"/>
          <a:ext cx="1568823" cy="605118"/>
        </a:xfrm>
        <a:prstGeom prst="round2SameRect">
          <a:avLst/>
        </a:prstGeom>
        <a:solidFill>
          <a:srgbClr val="00334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CB369157-CA5B-4E40-B1DE-604993B819B3}"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CUSTOM MEASURES INPUT</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27</xdr:col>
      <xdr:colOff>0</xdr:colOff>
      <xdr:row>1</xdr:row>
      <xdr:rowOff>0</xdr:rowOff>
    </xdr:from>
    <xdr:to>
      <xdr:col>32</xdr:col>
      <xdr:colOff>0</xdr:colOff>
      <xdr:row>4</xdr:row>
      <xdr:rowOff>0</xdr:rowOff>
    </xdr:to>
    <xdr:sp macro="" textlink="MAIN5">
      <xdr:nvSpPr>
        <xdr:cNvPr id="7" name="MENU5">
          <a:hlinkClick xmlns:r="http://schemas.openxmlformats.org/officeDocument/2006/relationships" r:id="rId10" tooltip=" "/>
          <a:extLst>
            <a:ext uri="{FF2B5EF4-FFF2-40B4-BE49-F238E27FC236}">
              <a16:creationId xmlns:a16="http://schemas.microsoft.com/office/drawing/2014/main" id="{00000000-0008-0000-0F00-000007000000}"/>
            </a:ext>
          </a:extLst>
        </xdr:cNvPr>
        <xdr:cNvSpPr/>
      </xdr:nvSpPr>
      <xdr:spPr>
        <a:xfrm>
          <a:off x="8486775" y="200025"/>
          <a:ext cx="1571625" cy="600075"/>
        </a:xfrm>
        <a:prstGeom prst="round2SameRect">
          <a:avLst/>
        </a:prstGeom>
        <a:solidFill>
          <a:srgbClr val="00334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F0EEDDA6-4934-49B4-972D-20D21D440D82}"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APPLICATION REVIEW</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32</xdr:col>
      <xdr:colOff>0</xdr:colOff>
      <xdr:row>1</xdr:row>
      <xdr:rowOff>0</xdr:rowOff>
    </xdr:from>
    <xdr:to>
      <xdr:col>37</xdr:col>
      <xdr:colOff>1</xdr:colOff>
      <xdr:row>4</xdr:row>
      <xdr:rowOff>0</xdr:rowOff>
    </xdr:to>
    <xdr:sp macro="" textlink="MAIN6">
      <xdr:nvSpPr>
        <xdr:cNvPr id="8" name="MENU6">
          <a:extLst>
            <a:ext uri="{FF2B5EF4-FFF2-40B4-BE49-F238E27FC236}">
              <a16:creationId xmlns:a16="http://schemas.microsoft.com/office/drawing/2014/main" id="{00000000-0008-0000-0F00-000008000000}"/>
            </a:ext>
          </a:extLst>
        </xdr:cNvPr>
        <xdr:cNvSpPr/>
      </xdr:nvSpPr>
      <xdr:spPr>
        <a:xfrm>
          <a:off x="10058400" y="200025"/>
          <a:ext cx="1571626"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00B050"/>
              </a:solidFill>
            </a14:hiddenFill>
          </a:ext>
          <a:ext uri="{91240B29-F687-4F45-9708-019B960494DF}">
            <a14:hiddenLine xmlns:a14="http://schemas.microsoft.com/office/drawing/2010/main" w="25400" cap="flat" cmpd="sng" algn="ctr">
              <a:solidFill>
                <a:srgbClr val="7F7F7F"/>
              </a:solidFill>
              <a:prstDash val="solid"/>
              <a:miter lim="800000"/>
            </a14:hiddenLine>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B12A3774-975E-4B41-A681-E085295C6D0E}" type="TxLink">
            <a:rPr lang="en-US" sz="1100" b="0" i="0" u="none" strike="noStrike">
              <a:noFill/>
              <a:latin typeface="Arial" panose="020B0604020202020204" pitchFamily="34" charset="0"/>
              <a:cs typeface="Arial" panose="020B0604020202020204" pitchFamily="34" charset="0"/>
            </a:rPr>
            <a:pPr algn="ctr"/>
            <a:t> </a:t>
          </a:fld>
          <a:endParaRPr lang="en-US" sz="1100">
            <a:noFill/>
            <a:latin typeface="Arial" panose="020B0604020202020204" pitchFamily="34" charset="0"/>
            <a:cs typeface="Arial" panose="020B0604020202020204" pitchFamily="34" charset="0"/>
          </a:endParaRPr>
        </a:p>
      </xdr:txBody>
    </xdr:sp>
    <xdr:clientData/>
  </xdr:twoCellAnchor>
  <xdr:twoCellAnchor>
    <xdr:from>
      <xdr:col>36</xdr:col>
      <xdr:colOff>314324</xdr:colOff>
      <xdr:row>1</xdr:row>
      <xdr:rowOff>0</xdr:rowOff>
    </xdr:from>
    <xdr:to>
      <xdr:col>41</xdr:col>
      <xdr:colOff>314324</xdr:colOff>
      <xdr:row>4</xdr:row>
      <xdr:rowOff>0</xdr:rowOff>
    </xdr:to>
    <xdr:sp macro="" textlink="MAIN7">
      <xdr:nvSpPr>
        <xdr:cNvPr id="9" name="MENU7">
          <a:extLst>
            <a:ext uri="{FF2B5EF4-FFF2-40B4-BE49-F238E27FC236}">
              <a16:creationId xmlns:a16="http://schemas.microsoft.com/office/drawing/2014/main" id="{00000000-0008-0000-0F00-000009000000}"/>
            </a:ext>
          </a:extLst>
        </xdr:cNvPr>
        <xdr:cNvSpPr/>
      </xdr:nvSpPr>
      <xdr:spPr>
        <a:xfrm>
          <a:off x="11630024" y="200025"/>
          <a:ext cx="1571625"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00B050"/>
              </a:solidFill>
            </a14:hiddenFill>
          </a:ext>
          <a:ext uri="{91240B29-F687-4F45-9708-019B960494DF}">
            <a14:hiddenLine xmlns:a14="http://schemas.microsoft.com/office/drawing/2010/main" w="25400" cap="flat" cmpd="sng" algn="ctr">
              <a:solidFill>
                <a:srgbClr val="7F7F7F"/>
              </a:solidFill>
              <a:prstDash val="solid"/>
              <a:miter lim="800000"/>
            </a14:hiddenLine>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 </a:t>
          </a:fld>
          <a:endParaRPr lang="en-US" sz="1100">
            <a:noFill/>
            <a:latin typeface="Arial" panose="020B0604020202020204" pitchFamily="34" charset="0"/>
            <a:cs typeface="Arial" panose="020B0604020202020204" pitchFamily="34" charset="0"/>
          </a:endParaRPr>
        </a:p>
      </xdr:txBody>
    </xdr:sp>
    <xdr:clientData/>
  </xdr:twoCellAnchor>
  <xdr:twoCellAnchor>
    <xdr:from>
      <xdr:col>2</xdr:col>
      <xdr:colOff>2720</xdr:colOff>
      <xdr:row>5</xdr:row>
      <xdr:rowOff>0</xdr:rowOff>
    </xdr:from>
    <xdr:to>
      <xdr:col>7</xdr:col>
      <xdr:colOff>457</xdr:colOff>
      <xdr:row>6</xdr:row>
      <xdr:rowOff>197827</xdr:rowOff>
    </xdr:to>
    <xdr:sp macro="" textlink="M2S1">
      <xdr:nvSpPr>
        <xdr:cNvPr id="11" name="SUBMENU1">
          <a:hlinkClick xmlns:r="http://schemas.openxmlformats.org/officeDocument/2006/relationships" r:id="rId5" tooltip=" "/>
          <a:extLst>
            <a:ext uri="{FF2B5EF4-FFF2-40B4-BE49-F238E27FC236}">
              <a16:creationId xmlns:a16="http://schemas.microsoft.com/office/drawing/2014/main" id="{00000000-0008-0000-0F00-00000B000000}"/>
            </a:ext>
          </a:extLst>
        </xdr:cNvPr>
        <xdr:cNvSpPr/>
      </xdr:nvSpPr>
      <xdr:spPr>
        <a:xfrm>
          <a:off x="631370" y="1000125"/>
          <a:ext cx="1569362" cy="397852"/>
        </a:xfrm>
        <a:prstGeom prst="round2SameRect">
          <a:avLst/>
        </a:prstGeom>
        <a:solidFill>
          <a:srgbClr val="54BCEB"/>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E4B740A-9522-487C-91EC-6CD2F94D6A48}" type="TxLink">
            <a:rPr lang="en-US" sz="1100" b="0" i="0" u="none" strike="noStrike">
              <a:solidFill>
                <a:srgbClr val="FFFFFF"/>
              </a:solidFill>
              <a:latin typeface="Arial" panose="020B0604020202020204" pitchFamily="34" charset="0"/>
              <a:cs typeface="Arial" panose="020B0604020202020204" pitchFamily="34" charset="0"/>
            </a:rPr>
            <a:pPr algn="ctr"/>
            <a:t>Terms &amp; Conditions</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7</xdr:col>
      <xdr:colOff>1156</xdr:colOff>
      <xdr:row>4</xdr:row>
      <xdr:rowOff>200705</xdr:rowOff>
    </xdr:from>
    <xdr:to>
      <xdr:col>12</xdr:col>
      <xdr:colOff>1155</xdr:colOff>
      <xdr:row>7</xdr:row>
      <xdr:rowOff>0</xdr:rowOff>
    </xdr:to>
    <xdr:sp macro="" textlink="M2S2">
      <xdr:nvSpPr>
        <xdr:cNvPr id="12" name="SUBMENU2">
          <a:hlinkClick xmlns:r="http://schemas.openxmlformats.org/officeDocument/2006/relationships" r:id="rId11" tooltip=" "/>
          <a:extLst>
            <a:ext uri="{FF2B5EF4-FFF2-40B4-BE49-F238E27FC236}">
              <a16:creationId xmlns:a16="http://schemas.microsoft.com/office/drawing/2014/main" id="{00000000-0008-0000-0F00-00000C000000}"/>
            </a:ext>
          </a:extLst>
        </xdr:cNvPr>
        <xdr:cNvSpPr/>
      </xdr:nvSpPr>
      <xdr:spPr>
        <a:xfrm>
          <a:off x="2197509" y="1007529"/>
          <a:ext cx="1568822" cy="404412"/>
        </a:xfrm>
        <a:prstGeom prst="round2SameRect">
          <a:avLst/>
        </a:prstGeom>
        <a:solidFill>
          <a:srgbClr val="54BCEB"/>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3F46A332-CB6C-444B-A98C-4A2C16E11A97}" type="TxLink">
            <a:rPr lang="en-US" sz="1100" b="0" i="0" u="none" strike="noStrike">
              <a:solidFill>
                <a:srgbClr val="FFFFFF"/>
              </a:solidFill>
              <a:latin typeface="Arial" panose="020B0604020202020204" pitchFamily="34" charset="0"/>
              <a:cs typeface="Arial" panose="020B0604020202020204" pitchFamily="34" charset="0"/>
            </a:rPr>
            <a:pPr algn="ctr"/>
            <a:t>Company and Site Information</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12</xdr:col>
      <xdr:colOff>1854</xdr:colOff>
      <xdr:row>5</xdr:row>
      <xdr:rowOff>51480</xdr:rowOff>
    </xdr:from>
    <xdr:to>
      <xdr:col>17</xdr:col>
      <xdr:colOff>1853</xdr:colOff>
      <xdr:row>7</xdr:row>
      <xdr:rowOff>50800</xdr:rowOff>
    </xdr:to>
    <xdr:sp macro="" textlink="M2S3">
      <xdr:nvSpPr>
        <xdr:cNvPr id="13" name="SUBMENU3">
          <a:hlinkClick xmlns:r="http://schemas.openxmlformats.org/officeDocument/2006/relationships" r:id="rId12" tooltip=" "/>
          <a:extLst>
            <a:ext uri="{FF2B5EF4-FFF2-40B4-BE49-F238E27FC236}">
              <a16:creationId xmlns:a16="http://schemas.microsoft.com/office/drawing/2014/main" id="{00000000-0008-0000-0F00-00000D000000}"/>
            </a:ext>
          </a:extLst>
        </xdr:cNvPr>
        <xdr:cNvSpPr/>
      </xdr:nvSpPr>
      <xdr:spPr>
        <a:xfrm>
          <a:off x="3767030" y="1060009"/>
          <a:ext cx="1568823" cy="402732"/>
        </a:xfrm>
        <a:prstGeom prst="round2SameRect">
          <a:avLst/>
        </a:prstGeom>
        <a:solidFill>
          <a:srgbClr val="00334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6CF1307D-ECA4-4693-9752-43732259D37B}" type="TxLink">
            <a:rPr lang="en-US" sz="1100" b="0" i="0" u="none" strike="noStrike">
              <a:solidFill>
                <a:srgbClr val="FFFFFF"/>
              </a:solidFill>
              <a:latin typeface="Arial" panose="020B0604020202020204" pitchFamily="34" charset="0"/>
              <a:cs typeface="Arial" panose="020B0604020202020204" pitchFamily="34" charset="0"/>
            </a:rPr>
            <a:pPr algn="ctr"/>
            <a:t>Trade Ally / Vendor Information</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17</xdr:col>
      <xdr:colOff>2551</xdr:colOff>
      <xdr:row>4</xdr:row>
      <xdr:rowOff>200705</xdr:rowOff>
    </xdr:from>
    <xdr:to>
      <xdr:col>22</xdr:col>
      <xdr:colOff>2550</xdr:colOff>
      <xdr:row>7</xdr:row>
      <xdr:rowOff>0</xdr:rowOff>
    </xdr:to>
    <xdr:sp macro="" textlink="M2S4">
      <xdr:nvSpPr>
        <xdr:cNvPr id="14" name="SUBMENU4">
          <a:hlinkClick xmlns:r="http://schemas.openxmlformats.org/officeDocument/2006/relationships" r:id="rId13" tooltip=" "/>
          <a:extLst>
            <a:ext uri="{FF2B5EF4-FFF2-40B4-BE49-F238E27FC236}">
              <a16:creationId xmlns:a16="http://schemas.microsoft.com/office/drawing/2014/main" id="{00000000-0008-0000-0F00-00000E000000}"/>
            </a:ext>
          </a:extLst>
        </xdr:cNvPr>
        <xdr:cNvSpPr/>
      </xdr:nvSpPr>
      <xdr:spPr>
        <a:xfrm>
          <a:off x="5346076" y="1000805"/>
          <a:ext cx="1571624" cy="399370"/>
        </a:xfrm>
        <a:prstGeom prst="round2SameRect">
          <a:avLst/>
        </a:prstGeom>
        <a:solidFill>
          <a:srgbClr val="54BCEB"/>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2DCA9913-F62F-4A39-A8F2-B5B0B6900AE5}" type="TxLink">
            <a:rPr lang="en-US" sz="1100" b="0" i="0" u="none" strike="noStrike">
              <a:solidFill>
                <a:srgbClr val="FFFFFF"/>
              </a:solidFill>
              <a:latin typeface="Arial" panose="020B0604020202020204" pitchFamily="34" charset="0"/>
              <a:cs typeface="Arial" panose="020B0604020202020204" pitchFamily="34" charset="0"/>
            </a:rPr>
            <a:pPr algn="ctr"/>
            <a:t>Payment Information</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0</xdr:col>
      <xdr:colOff>314323</xdr:colOff>
      <xdr:row>7</xdr:row>
      <xdr:rowOff>200024</xdr:rowOff>
    </xdr:from>
    <xdr:to>
      <xdr:col>44</xdr:col>
      <xdr:colOff>0</xdr:colOff>
      <xdr:row>199</xdr:row>
      <xdr:rowOff>0</xdr:rowOff>
    </xdr:to>
    <xdr:sp macro="" textlink="">
      <xdr:nvSpPr>
        <xdr:cNvPr id="19" name="BORDER">
          <a:extLst>
            <a:ext uri="{FF2B5EF4-FFF2-40B4-BE49-F238E27FC236}">
              <a16:creationId xmlns:a16="http://schemas.microsoft.com/office/drawing/2014/main" id="{00000000-0008-0000-0F00-000013000000}"/>
            </a:ext>
          </a:extLst>
        </xdr:cNvPr>
        <xdr:cNvSpPr/>
      </xdr:nvSpPr>
      <xdr:spPr>
        <a:xfrm>
          <a:off x="314323" y="1600199"/>
          <a:ext cx="13515977" cy="37804726"/>
        </a:xfrm>
        <a:prstGeom prst="frame">
          <a:avLst>
            <a:gd name="adj1" fmla="val 97"/>
          </a:avLst>
        </a:prstGeom>
        <a:noFill/>
        <a:ln w="12700" cap="flat" cmpd="sng" algn="ctr">
          <a:solidFill>
            <a:srgbClr val="00334E"/>
          </a:solidFill>
          <a:prstDash val="solid"/>
          <a:miter lim="800000"/>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fPrintsWithSheet="0"/>
  </xdr:twoCellAnchor>
  <xdr:twoCellAnchor editAs="oneCell">
    <xdr:from>
      <xdr:col>2</xdr:col>
      <xdr:colOff>2720</xdr:colOff>
      <xdr:row>8</xdr:row>
      <xdr:rowOff>201232</xdr:rowOff>
    </xdr:from>
    <xdr:to>
      <xdr:col>4</xdr:col>
      <xdr:colOff>960</xdr:colOff>
      <xdr:row>11</xdr:row>
      <xdr:rowOff>1207</xdr:rowOff>
    </xdr:to>
    <xdr:sp macro="" textlink="">
      <xdr:nvSpPr>
        <xdr:cNvPr id="20" name="BACK">
          <a:hlinkClick xmlns:r="http://schemas.openxmlformats.org/officeDocument/2006/relationships" r:id="rId14" tooltip=" "/>
          <a:extLst>
            <a:ext uri="{FF2B5EF4-FFF2-40B4-BE49-F238E27FC236}">
              <a16:creationId xmlns:a16="http://schemas.microsoft.com/office/drawing/2014/main" id="{00000000-0008-0000-0F00-000014000000}"/>
            </a:ext>
          </a:extLst>
        </xdr:cNvPr>
        <xdr:cNvSpPr>
          <a:spLocks noChangeAspect="1"/>
        </xdr:cNvSpPr>
      </xdr:nvSpPr>
      <xdr:spPr>
        <a:xfrm>
          <a:off x="631370" y="1801432"/>
          <a:ext cx="626890" cy="400050"/>
        </a:xfrm>
        <a:prstGeom prst="leftArrow">
          <a:avLst/>
        </a:prstGeom>
        <a:solidFill>
          <a:srgbClr val="54BCEB"/>
        </a:solidFill>
        <a:ln>
          <a:solidFill>
            <a:srgbClr val="54BCEB"/>
          </a:solidFill>
        </a:ln>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1</xdr:col>
      <xdr:colOff>0</xdr:colOff>
      <xdr:row>7</xdr:row>
      <xdr:rowOff>0</xdr:rowOff>
    </xdr:from>
    <xdr:to>
      <xdr:col>44</xdr:col>
      <xdr:colOff>13806</xdr:colOff>
      <xdr:row>8</xdr:row>
      <xdr:rowOff>0</xdr:rowOff>
    </xdr:to>
    <xdr:sp macro="" textlink="">
      <xdr:nvSpPr>
        <xdr:cNvPr id="21" name="BOTTOMRIBBON">
          <a:extLst>
            <a:ext uri="{FF2B5EF4-FFF2-40B4-BE49-F238E27FC236}">
              <a16:creationId xmlns:a16="http://schemas.microsoft.com/office/drawing/2014/main" id="{00000000-0008-0000-0F00-000015000000}"/>
            </a:ext>
          </a:extLst>
        </xdr:cNvPr>
        <xdr:cNvSpPr/>
      </xdr:nvSpPr>
      <xdr:spPr>
        <a:xfrm>
          <a:off x="313765" y="1411941"/>
          <a:ext cx="13505688" cy="201706"/>
        </a:xfrm>
        <a:prstGeom prst="rect">
          <a:avLst/>
        </a:prstGeom>
        <a:solidFill>
          <a:srgbClr val="00334E"/>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solidFill>
              <a:srgbClr val="FFFFFF"/>
            </a:solidFill>
          </a:endParaRPr>
        </a:p>
      </xdr:txBody>
    </xdr:sp>
    <xdr:clientData/>
  </xdr:twoCellAnchor>
  <xdr:twoCellAnchor editAs="oneCell">
    <xdr:from>
      <xdr:col>2</xdr:col>
      <xdr:colOff>102850</xdr:colOff>
      <xdr:row>0</xdr:row>
      <xdr:rowOff>156884</xdr:rowOff>
    </xdr:from>
    <xdr:to>
      <xdr:col>5</xdr:col>
      <xdr:colOff>30405</xdr:colOff>
      <xdr:row>2</xdr:row>
      <xdr:rowOff>195627</xdr:rowOff>
    </xdr:to>
    <xdr:pic>
      <xdr:nvPicPr>
        <xdr:cNvPr id="25" name="LOGO">
          <a:extLst>
            <a:ext uri="{FF2B5EF4-FFF2-40B4-BE49-F238E27FC236}">
              <a16:creationId xmlns:a16="http://schemas.microsoft.com/office/drawing/2014/main" id="{00000000-0008-0000-0F00-000019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xdr:blipFill>
      <xdr:spPr>
        <a:xfrm>
          <a:off x="730379" y="156884"/>
          <a:ext cx="868850" cy="44215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12</xdr:col>
      <xdr:colOff>0</xdr:colOff>
      <xdr:row>1</xdr:row>
      <xdr:rowOff>133350</xdr:rowOff>
    </xdr:from>
    <xdr:to>
      <xdr:col>17</xdr:col>
      <xdr:colOff>0</xdr:colOff>
      <xdr:row>4</xdr:row>
      <xdr:rowOff>133350</xdr:rowOff>
    </xdr:to>
    <xdr:sp macro="" textlink="MAIN2">
      <xdr:nvSpPr>
        <xdr:cNvPr id="4" name="MENU2">
          <a:hlinkClick xmlns:r="http://schemas.openxmlformats.org/officeDocument/2006/relationships" r:id="rId1" tooltip=" "/>
          <a:extLst>
            <a:ext uri="{FF2B5EF4-FFF2-40B4-BE49-F238E27FC236}">
              <a16:creationId xmlns:a16="http://schemas.microsoft.com/office/drawing/2014/main" id="{00000000-0008-0000-1000-000004000000}"/>
            </a:ext>
          </a:extLst>
        </xdr:cNvPr>
        <xdr:cNvSpPr/>
      </xdr:nvSpPr>
      <xdr:spPr>
        <a:xfrm>
          <a:off x="3771900" y="333375"/>
          <a:ext cx="1571625" cy="600075"/>
        </a:xfrm>
        <a:prstGeom prst="round2SameRect">
          <a:avLst/>
        </a:prstGeom>
        <a:solidFill>
          <a:srgbClr val="A6A5AA"/>
        </a:solidFill>
        <a:ln w="12700">
          <a:solidFill>
            <a:srgbClr val="A6A5AA"/>
          </a:solidFill>
        </a:ln>
        <a:effectLst>
          <a:outerShdw blurRad="25400" dist="50800" dir="18899999"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59A035B9-F1D2-4E89-B262-AF2DF0C338A9}" type="TxLink">
            <a:rPr lang="en-US" sz="1100" b="0" i="0" u="none" strike="noStrike">
              <a:solidFill>
                <a:srgbClr val="FFFFFF">
                  <a:lumMod val="100000"/>
                </a:srgbClr>
              </a:solidFill>
              <a:latin typeface="Arial" panose="020B0604020202020204" pitchFamily="34" charset="0"/>
              <a:cs typeface="Arial" panose="020B0604020202020204" pitchFamily="34" charset="0"/>
            </a:rPr>
            <a:pPr algn="ctr"/>
            <a:t>PROJECT INFORMATION</a:t>
          </a:fld>
          <a:endParaRPr lang="en-US" sz="1100">
            <a:solidFill>
              <a:srgbClr val="FFFFFF">
                <a:lumMod val="100000"/>
              </a:srgbClr>
            </a:solidFill>
            <a:latin typeface="Arial" panose="020B0604020202020204" pitchFamily="34" charset="0"/>
            <a:cs typeface="Arial" panose="020B0604020202020204" pitchFamily="34" charset="0"/>
          </a:endParaRPr>
        </a:p>
      </xdr:txBody>
    </xdr:sp>
    <xdr:clientData/>
  </xdr:twoCellAnchor>
  <xdr:twoCellAnchor>
    <xdr:from>
      <xdr:col>22</xdr:col>
      <xdr:colOff>2551</xdr:colOff>
      <xdr:row>4</xdr:row>
      <xdr:rowOff>200705</xdr:rowOff>
    </xdr:from>
    <xdr:to>
      <xdr:col>27</xdr:col>
      <xdr:colOff>2549</xdr:colOff>
      <xdr:row>7</xdr:row>
      <xdr:rowOff>0</xdr:rowOff>
    </xdr:to>
    <xdr:sp macro="" textlink="M2S5">
      <xdr:nvSpPr>
        <xdr:cNvPr id="15" name="SUBMENU5">
          <a:hlinkClick xmlns:r="http://schemas.openxmlformats.org/officeDocument/2006/relationships" r:id="rId2"/>
          <a:extLst>
            <a:ext uri="{FF2B5EF4-FFF2-40B4-BE49-F238E27FC236}">
              <a16:creationId xmlns:a16="http://schemas.microsoft.com/office/drawing/2014/main" id="{00000000-0008-0000-1000-00000F000000}"/>
            </a:ext>
          </a:extLst>
        </xdr:cNvPr>
        <xdr:cNvSpPr/>
      </xdr:nvSpPr>
      <xdr:spPr>
        <a:xfrm>
          <a:off x="6917701" y="1000805"/>
          <a:ext cx="1571623" cy="399370"/>
        </a:xfrm>
        <a:prstGeom prst="round2SameRect">
          <a:avLst/>
        </a:prstGeom>
        <a:noFill/>
        <a:ln w="12700">
          <a:no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0EF88A6-2636-4086-A650-C932DE98DE91}" type="TxLink">
            <a:rPr lang="en-US" sz="1100" b="0" i="0" u="none" strike="noStrike">
              <a:solidFill>
                <a:srgbClr val="FFFFFF"/>
              </a:solidFill>
              <a:latin typeface="Arial" panose="020B0604020202020204" pitchFamily="34" charset="0"/>
              <a:cs typeface="Arial" panose="020B0604020202020204" pitchFamily="34" charset="0"/>
            </a:rPr>
            <a:pPr algn="ctr"/>
            <a:t> </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27</xdr:col>
      <xdr:colOff>0</xdr:colOff>
      <xdr:row>4</xdr:row>
      <xdr:rowOff>200705</xdr:rowOff>
    </xdr:from>
    <xdr:to>
      <xdr:col>32</xdr:col>
      <xdr:colOff>2865</xdr:colOff>
      <xdr:row>7</xdr:row>
      <xdr:rowOff>0</xdr:rowOff>
    </xdr:to>
    <xdr:sp macro="" textlink="M2S6">
      <xdr:nvSpPr>
        <xdr:cNvPr id="16" name="SUBMENU6">
          <a:hlinkClick xmlns:r="http://schemas.openxmlformats.org/officeDocument/2006/relationships" r:id="rId3"/>
          <a:extLst>
            <a:ext uri="{FF2B5EF4-FFF2-40B4-BE49-F238E27FC236}">
              <a16:creationId xmlns:a16="http://schemas.microsoft.com/office/drawing/2014/main" id="{00000000-0008-0000-1000-000010000000}"/>
            </a:ext>
          </a:extLst>
        </xdr:cNvPr>
        <xdr:cNvSpPr/>
      </xdr:nvSpPr>
      <xdr:spPr>
        <a:xfrm>
          <a:off x="8486775" y="1000805"/>
          <a:ext cx="1574490" cy="399370"/>
        </a:xfrm>
        <a:prstGeom prst="round2SameRect">
          <a:avLst/>
        </a:prstGeom>
        <a:noFill/>
        <a:ln w="12700">
          <a:no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BD6B52D5-D031-4BC0-AFAB-829122150994}" type="TxLink">
            <a:rPr lang="en-US" sz="1100" b="0" i="0" u="none" strike="noStrike">
              <a:solidFill>
                <a:srgbClr val="FFFFFF"/>
              </a:solidFill>
              <a:latin typeface="Arial" panose="020B0604020202020204" pitchFamily="34" charset="0"/>
              <a:cs typeface="Arial" panose="020B0604020202020204" pitchFamily="34" charset="0"/>
            </a:rPr>
            <a:pPr algn="ctr"/>
            <a:t> </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32</xdr:col>
      <xdr:colOff>2865</xdr:colOff>
      <xdr:row>4</xdr:row>
      <xdr:rowOff>200705</xdr:rowOff>
    </xdr:from>
    <xdr:to>
      <xdr:col>37</xdr:col>
      <xdr:colOff>2720</xdr:colOff>
      <xdr:row>7</xdr:row>
      <xdr:rowOff>0</xdr:rowOff>
    </xdr:to>
    <xdr:sp macro="" textlink="M2S7">
      <xdr:nvSpPr>
        <xdr:cNvPr id="17" name="SUBMENU7">
          <a:hlinkClick xmlns:r="http://schemas.openxmlformats.org/officeDocument/2006/relationships" r:id="rId4"/>
          <a:extLst>
            <a:ext uri="{FF2B5EF4-FFF2-40B4-BE49-F238E27FC236}">
              <a16:creationId xmlns:a16="http://schemas.microsoft.com/office/drawing/2014/main" id="{00000000-0008-0000-1000-000011000000}"/>
            </a:ext>
          </a:extLst>
        </xdr:cNvPr>
        <xdr:cNvSpPr/>
      </xdr:nvSpPr>
      <xdr:spPr>
        <a:xfrm>
          <a:off x="10061265" y="1000805"/>
          <a:ext cx="1571480" cy="399370"/>
        </a:xfrm>
        <a:prstGeom prst="round2SameRect">
          <a:avLst/>
        </a:prstGeom>
        <a:noFill/>
        <a:ln w="25400">
          <a:no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B073450E-5F1A-40FE-917D-F5188E72474C}" type="TxLink">
            <a:rPr lang="en-US" sz="1100" b="0" i="0" u="none" strike="noStrike">
              <a:solidFill>
                <a:srgbClr val="FFFFFF"/>
              </a:solidFill>
              <a:latin typeface="Arial" panose="020B0604020202020204" pitchFamily="34" charset="0"/>
              <a:cs typeface="Arial" panose="020B0604020202020204" pitchFamily="34" charset="0"/>
            </a:rPr>
            <a:pPr algn="ctr"/>
            <a:t> </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37</xdr:col>
      <xdr:colOff>2720</xdr:colOff>
      <xdr:row>4</xdr:row>
      <xdr:rowOff>200705</xdr:rowOff>
    </xdr:from>
    <xdr:to>
      <xdr:col>42</xdr:col>
      <xdr:colOff>0</xdr:colOff>
      <xdr:row>7</xdr:row>
      <xdr:rowOff>0</xdr:rowOff>
    </xdr:to>
    <xdr:sp macro="" textlink="M2S8">
      <xdr:nvSpPr>
        <xdr:cNvPr id="18" name="SUBMENU8">
          <a:hlinkClick xmlns:r="http://schemas.openxmlformats.org/officeDocument/2006/relationships" r:id="rId5"/>
          <a:extLst>
            <a:ext uri="{FF2B5EF4-FFF2-40B4-BE49-F238E27FC236}">
              <a16:creationId xmlns:a16="http://schemas.microsoft.com/office/drawing/2014/main" id="{00000000-0008-0000-1000-000012000000}"/>
            </a:ext>
          </a:extLst>
        </xdr:cNvPr>
        <xdr:cNvSpPr/>
      </xdr:nvSpPr>
      <xdr:spPr>
        <a:xfrm>
          <a:off x="11632745" y="1000805"/>
          <a:ext cx="1568905" cy="399370"/>
        </a:xfrm>
        <a:prstGeom prst="round2SameRect">
          <a:avLst/>
        </a:prstGeom>
        <a:noFill/>
        <a:ln w="25400">
          <a:no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05D9615E-C5D6-4F54-94DF-ADF81FF77BE6}" type="TxLink">
            <a:rPr lang="en-US" sz="1100" b="0" i="0" u="none" strike="noStrike">
              <a:solidFill>
                <a:srgbClr val="FFFFFF"/>
              </a:solidFill>
              <a:latin typeface="Arial" panose="020B0604020202020204" pitchFamily="34" charset="0"/>
              <a:cs typeface="Arial" panose="020B0604020202020204" pitchFamily="34" charset="0"/>
            </a:rPr>
            <a:pPr algn="ctr"/>
            <a:t> </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1</xdr:col>
      <xdr:colOff>0</xdr:colOff>
      <xdr:row>4</xdr:row>
      <xdr:rowOff>1</xdr:rowOff>
    </xdr:from>
    <xdr:to>
      <xdr:col>44</xdr:col>
      <xdr:colOff>13806</xdr:colOff>
      <xdr:row>7</xdr:row>
      <xdr:rowOff>0</xdr:rowOff>
    </xdr:to>
    <xdr:sp macro="" textlink="">
      <xdr:nvSpPr>
        <xdr:cNvPr id="10" name="TOPRIBBON">
          <a:extLst>
            <a:ext uri="{FF2B5EF4-FFF2-40B4-BE49-F238E27FC236}">
              <a16:creationId xmlns:a16="http://schemas.microsoft.com/office/drawing/2014/main" id="{00000000-0008-0000-1000-00000A000000}"/>
            </a:ext>
          </a:extLst>
        </xdr:cNvPr>
        <xdr:cNvSpPr/>
      </xdr:nvSpPr>
      <xdr:spPr>
        <a:xfrm>
          <a:off x="313765" y="806825"/>
          <a:ext cx="13505688" cy="605116"/>
        </a:xfrm>
        <a:prstGeom prst="round2SameRect">
          <a:avLst/>
        </a:prstGeom>
        <a:solidFill>
          <a:srgbClr val="A6A5A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p>
      </xdr:txBody>
    </xdr:sp>
    <xdr:clientData/>
  </xdr:twoCellAnchor>
  <xdr:twoCellAnchor editAs="oneCell">
    <xdr:from>
      <xdr:col>41</xdr:col>
      <xdr:colOff>0</xdr:colOff>
      <xdr:row>9</xdr:row>
      <xdr:rowOff>1047</xdr:rowOff>
    </xdr:from>
    <xdr:to>
      <xdr:col>42</xdr:col>
      <xdr:colOff>313195</xdr:colOff>
      <xdr:row>11</xdr:row>
      <xdr:rowOff>1046</xdr:rowOff>
    </xdr:to>
    <xdr:sp macro="" textlink="">
      <xdr:nvSpPr>
        <xdr:cNvPr id="2" name="NEXT">
          <a:hlinkClick xmlns:r="http://schemas.openxmlformats.org/officeDocument/2006/relationships" r:id="rId6" tooltip=" "/>
          <a:extLst>
            <a:ext uri="{FF2B5EF4-FFF2-40B4-BE49-F238E27FC236}">
              <a16:creationId xmlns:a16="http://schemas.microsoft.com/office/drawing/2014/main" id="{00000000-0008-0000-1000-000002000000}"/>
            </a:ext>
          </a:extLst>
        </xdr:cNvPr>
        <xdr:cNvSpPr>
          <a:spLocks noChangeAspect="1"/>
        </xdr:cNvSpPr>
      </xdr:nvSpPr>
      <xdr:spPr>
        <a:xfrm>
          <a:off x="12887325" y="1801272"/>
          <a:ext cx="627520" cy="400049"/>
        </a:xfrm>
        <a:prstGeom prst="rightArrow">
          <a:avLst/>
        </a:prstGeom>
        <a:solidFill>
          <a:srgbClr val="54BCEB"/>
        </a:solidFill>
        <a:ln>
          <a:solidFill>
            <a:srgbClr val="54BCEB"/>
          </a:solidFill>
        </a:ln>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7</xdr:col>
      <xdr:colOff>457</xdr:colOff>
      <xdr:row>1</xdr:row>
      <xdr:rowOff>0</xdr:rowOff>
    </xdr:from>
    <xdr:to>
      <xdr:col>12</xdr:col>
      <xdr:colOff>0</xdr:colOff>
      <xdr:row>4</xdr:row>
      <xdr:rowOff>0</xdr:rowOff>
    </xdr:to>
    <xdr:sp macro="" textlink="MAIN1">
      <xdr:nvSpPr>
        <xdr:cNvPr id="3" name="MENU1">
          <a:hlinkClick xmlns:r="http://schemas.openxmlformats.org/officeDocument/2006/relationships" r:id="rId7" tooltip=" "/>
          <a:extLst>
            <a:ext uri="{FF2B5EF4-FFF2-40B4-BE49-F238E27FC236}">
              <a16:creationId xmlns:a16="http://schemas.microsoft.com/office/drawing/2014/main" id="{00000000-0008-0000-1000-000003000000}"/>
            </a:ext>
          </a:extLst>
        </xdr:cNvPr>
        <xdr:cNvSpPr/>
      </xdr:nvSpPr>
      <xdr:spPr>
        <a:xfrm>
          <a:off x="2200732" y="200025"/>
          <a:ext cx="1571168" cy="600075"/>
        </a:xfrm>
        <a:prstGeom prst="round2SameRect">
          <a:avLst/>
        </a:prstGeom>
        <a:solidFill>
          <a:srgbClr val="00334E"/>
        </a:solidFill>
        <a:ln w="12700">
          <a:solidFill>
            <a:srgbClr val="00334E"/>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D6F2F067-2676-4601-ABCE-75BD5137E3D5}"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START</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17</xdr:col>
      <xdr:colOff>0</xdr:colOff>
      <xdr:row>1</xdr:row>
      <xdr:rowOff>0</xdr:rowOff>
    </xdr:from>
    <xdr:to>
      <xdr:col>22</xdr:col>
      <xdr:colOff>0</xdr:colOff>
      <xdr:row>4</xdr:row>
      <xdr:rowOff>0</xdr:rowOff>
    </xdr:to>
    <xdr:sp macro="" textlink="MAIN3">
      <xdr:nvSpPr>
        <xdr:cNvPr id="5" name="MENU3">
          <a:hlinkClick xmlns:r="http://schemas.openxmlformats.org/officeDocument/2006/relationships" r:id="rId8" tooltip=" "/>
          <a:extLst>
            <a:ext uri="{FF2B5EF4-FFF2-40B4-BE49-F238E27FC236}">
              <a16:creationId xmlns:a16="http://schemas.microsoft.com/office/drawing/2014/main" id="{00000000-0008-0000-1000-000005000000}"/>
            </a:ext>
          </a:extLst>
        </xdr:cNvPr>
        <xdr:cNvSpPr/>
      </xdr:nvSpPr>
      <xdr:spPr>
        <a:xfrm>
          <a:off x="5343525" y="200025"/>
          <a:ext cx="1571625" cy="600075"/>
        </a:xfrm>
        <a:prstGeom prst="round2SameRect">
          <a:avLst/>
        </a:prstGeom>
        <a:solidFill>
          <a:srgbClr val="00334E"/>
        </a:solidFill>
        <a:ln w="12700">
          <a:solidFill>
            <a:srgbClr val="00334E"/>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06A037F-AE33-47CC-85C1-F6D62694F95D}"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PRESCRIPTIVE MEASURES INPUT</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22</xdr:col>
      <xdr:colOff>0</xdr:colOff>
      <xdr:row>1</xdr:row>
      <xdr:rowOff>0</xdr:rowOff>
    </xdr:from>
    <xdr:to>
      <xdr:col>27</xdr:col>
      <xdr:colOff>0</xdr:colOff>
      <xdr:row>4</xdr:row>
      <xdr:rowOff>0</xdr:rowOff>
    </xdr:to>
    <xdr:sp macro="" textlink="MAIN4">
      <xdr:nvSpPr>
        <xdr:cNvPr id="6" name="MENU4">
          <a:hlinkClick xmlns:r="http://schemas.openxmlformats.org/officeDocument/2006/relationships" r:id="rId9" tooltip=" "/>
          <a:extLst>
            <a:ext uri="{FF2B5EF4-FFF2-40B4-BE49-F238E27FC236}">
              <a16:creationId xmlns:a16="http://schemas.microsoft.com/office/drawing/2014/main" id="{00000000-0008-0000-1000-000006000000}"/>
            </a:ext>
          </a:extLst>
        </xdr:cNvPr>
        <xdr:cNvSpPr/>
      </xdr:nvSpPr>
      <xdr:spPr>
        <a:xfrm>
          <a:off x="6915150" y="200025"/>
          <a:ext cx="1571625" cy="600075"/>
        </a:xfrm>
        <a:prstGeom prst="round2SameRect">
          <a:avLst/>
        </a:prstGeom>
        <a:solidFill>
          <a:srgbClr val="00334E"/>
        </a:solidFill>
        <a:ln w="12700">
          <a:solidFill>
            <a:srgbClr val="00334E"/>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CB369157-CA5B-4E40-B1DE-604993B819B3}"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CUSTOM MEASURES INPUT</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27</xdr:col>
      <xdr:colOff>0</xdr:colOff>
      <xdr:row>1</xdr:row>
      <xdr:rowOff>0</xdr:rowOff>
    </xdr:from>
    <xdr:to>
      <xdr:col>32</xdr:col>
      <xdr:colOff>0</xdr:colOff>
      <xdr:row>4</xdr:row>
      <xdr:rowOff>0</xdr:rowOff>
    </xdr:to>
    <xdr:sp macro="" textlink="MAIN5">
      <xdr:nvSpPr>
        <xdr:cNvPr id="7" name="MENU5">
          <a:hlinkClick xmlns:r="http://schemas.openxmlformats.org/officeDocument/2006/relationships" r:id="rId10" tooltip=" "/>
          <a:extLst>
            <a:ext uri="{FF2B5EF4-FFF2-40B4-BE49-F238E27FC236}">
              <a16:creationId xmlns:a16="http://schemas.microsoft.com/office/drawing/2014/main" id="{00000000-0008-0000-1000-000007000000}"/>
            </a:ext>
          </a:extLst>
        </xdr:cNvPr>
        <xdr:cNvSpPr/>
      </xdr:nvSpPr>
      <xdr:spPr>
        <a:xfrm>
          <a:off x="8486775" y="200025"/>
          <a:ext cx="1571625" cy="600075"/>
        </a:xfrm>
        <a:prstGeom prst="round2SameRect">
          <a:avLst/>
        </a:prstGeom>
        <a:solidFill>
          <a:srgbClr val="00334E"/>
        </a:solidFill>
        <a:ln w="12700">
          <a:solidFill>
            <a:srgbClr val="00334E"/>
          </a:solidFill>
        </a:ln>
        <a:effectLst>
          <a:outerShdw blurRad="50800" dist="12700" dir="18899991" rotWithShape="0">
            <a:srgbClr val="000000">
              <a:alpha val="40000"/>
            </a:srgb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F0EEDDA6-4934-49B4-972D-20D21D440D82}" type="TxLink">
            <a:rPr lang="en-US" sz="1100" b="0" i="0" u="none" strike="noStrike">
              <a:solidFill>
                <a:schemeClr val="bg1">
                  <a:lumMod val="100000"/>
                </a:schemeClr>
              </a:solidFill>
              <a:latin typeface="Arial" panose="020B0604020202020204" pitchFamily="34" charset="0"/>
              <a:cs typeface="Arial" panose="020B0604020202020204" pitchFamily="34" charset="0"/>
            </a:rPr>
            <a:pPr algn="ctr"/>
            <a:t>APPLICATION REVIEW</a:t>
          </a:fld>
          <a:endParaRPr lang="en-US" sz="1100">
            <a:solidFill>
              <a:schemeClr val="bg1">
                <a:lumMod val="100000"/>
              </a:schemeClr>
            </a:solidFill>
            <a:latin typeface="Arial" panose="020B0604020202020204" pitchFamily="34" charset="0"/>
            <a:cs typeface="Arial" panose="020B0604020202020204" pitchFamily="34" charset="0"/>
          </a:endParaRPr>
        </a:p>
      </xdr:txBody>
    </xdr:sp>
    <xdr:clientData/>
  </xdr:twoCellAnchor>
  <xdr:twoCellAnchor>
    <xdr:from>
      <xdr:col>32</xdr:col>
      <xdr:colOff>0</xdr:colOff>
      <xdr:row>1</xdr:row>
      <xdr:rowOff>0</xdr:rowOff>
    </xdr:from>
    <xdr:to>
      <xdr:col>37</xdr:col>
      <xdr:colOff>1</xdr:colOff>
      <xdr:row>4</xdr:row>
      <xdr:rowOff>0</xdr:rowOff>
    </xdr:to>
    <xdr:sp macro="" textlink="MAIN6">
      <xdr:nvSpPr>
        <xdr:cNvPr id="8" name="MENU6">
          <a:extLst>
            <a:ext uri="{FF2B5EF4-FFF2-40B4-BE49-F238E27FC236}">
              <a16:creationId xmlns:a16="http://schemas.microsoft.com/office/drawing/2014/main" id="{00000000-0008-0000-1000-000008000000}"/>
            </a:ext>
          </a:extLst>
        </xdr:cNvPr>
        <xdr:cNvSpPr/>
      </xdr:nvSpPr>
      <xdr:spPr>
        <a:xfrm>
          <a:off x="10058400" y="200025"/>
          <a:ext cx="1571626"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00B050"/>
              </a:solidFill>
            </a14:hiddenFill>
          </a:ext>
          <a:ext uri="{91240B29-F687-4F45-9708-019B960494DF}">
            <a14:hiddenLine xmlns:a14="http://schemas.microsoft.com/office/drawing/2010/main" w="25400" cap="flat" cmpd="sng" algn="ctr">
              <a:solidFill>
                <a:srgbClr val="7F7F7F"/>
              </a:solidFill>
              <a:prstDash val="solid"/>
              <a:miter lim="800000"/>
            </a14:hiddenLine>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B12A3774-975E-4B41-A681-E085295C6D0E}" type="TxLink">
            <a:rPr lang="en-US" sz="1100" b="0" i="0" u="none" strike="noStrike">
              <a:noFill/>
              <a:latin typeface="Arial" panose="020B0604020202020204" pitchFamily="34" charset="0"/>
              <a:cs typeface="Arial" panose="020B0604020202020204" pitchFamily="34" charset="0"/>
            </a:rPr>
            <a:pPr algn="ctr"/>
            <a:t> </a:t>
          </a:fld>
          <a:endParaRPr lang="en-US" sz="1100">
            <a:noFill/>
            <a:latin typeface="Arial" panose="020B0604020202020204" pitchFamily="34" charset="0"/>
            <a:cs typeface="Arial" panose="020B0604020202020204" pitchFamily="34" charset="0"/>
          </a:endParaRPr>
        </a:p>
      </xdr:txBody>
    </xdr:sp>
    <xdr:clientData/>
  </xdr:twoCellAnchor>
  <xdr:twoCellAnchor>
    <xdr:from>
      <xdr:col>36</xdr:col>
      <xdr:colOff>314324</xdr:colOff>
      <xdr:row>1</xdr:row>
      <xdr:rowOff>0</xdr:rowOff>
    </xdr:from>
    <xdr:to>
      <xdr:col>41</xdr:col>
      <xdr:colOff>314324</xdr:colOff>
      <xdr:row>4</xdr:row>
      <xdr:rowOff>0</xdr:rowOff>
    </xdr:to>
    <xdr:sp macro="" textlink="MAIN7">
      <xdr:nvSpPr>
        <xdr:cNvPr id="9" name="MENU7">
          <a:extLst>
            <a:ext uri="{FF2B5EF4-FFF2-40B4-BE49-F238E27FC236}">
              <a16:creationId xmlns:a16="http://schemas.microsoft.com/office/drawing/2014/main" id="{00000000-0008-0000-1000-000009000000}"/>
            </a:ext>
          </a:extLst>
        </xdr:cNvPr>
        <xdr:cNvSpPr/>
      </xdr:nvSpPr>
      <xdr:spPr>
        <a:xfrm>
          <a:off x="11630024" y="200025"/>
          <a:ext cx="1571625" cy="600075"/>
        </a:xfrm>
        <a:prstGeom prst="round2SameRect">
          <a:avLst/>
        </a:prstGeom>
        <a:noFill/>
        <a:ln w="25400" cap="flat" cmpd="sng" algn="ctr">
          <a:noFill/>
          <a:prstDash val="solid"/>
          <a:miter lim="800000"/>
        </a:ln>
        <a:effectLst/>
        <a:extLst>
          <a:ext uri="{909E8E84-426E-40DD-AFC4-6F175D3DCCD1}">
            <a14:hiddenFill xmlns:a14="http://schemas.microsoft.com/office/drawing/2010/main">
              <a:solidFill>
                <a:srgbClr val="00B050"/>
              </a:solidFill>
            </a14:hiddenFill>
          </a:ext>
          <a:ext uri="{91240B29-F687-4F45-9708-019B960494DF}">
            <a14:hiddenLine xmlns:a14="http://schemas.microsoft.com/office/drawing/2010/main" w="25400" cap="flat" cmpd="sng" algn="ctr">
              <a:solidFill>
                <a:srgbClr val="7F7F7F"/>
              </a:solidFill>
              <a:prstDash val="solid"/>
              <a:miter lim="800000"/>
            </a14:hiddenLine>
          </a:ext>
          <a:ext uri="{AF507438-7753-43E0-B8FC-AC1667EBCBE1}">
            <a14:hiddenEffects xmlns:a14="http://schemas.microsoft.com/office/drawing/2010/main">
              <a:effectLst>
                <a:outerShdw blurRad="50800" dist="12700" dir="18899991" rotWithShape="0">
                  <a:srgbClr val="000000">
                    <a:alpha val="40000"/>
                  </a:srgbClr>
                </a:outerShdw>
              </a:effectLst>
            </a14:hiddenEffects>
          </a:ext>
        </a:ex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ctr"/>
          <a:fld id="{9F61C797-6A0F-4BAC-929A-417D3EEDC239}" type="TxLink">
            <a:rPr lang="en-US" sz="1100" b="0" i="0" u="none" strike="noStrike">
              <a:noFill/>
              <a:latin typeface="Arial" panose="020B0604020202020204" pitchFamily="34" charset="0"/>
              <a:cs typeface="Arial" panose="020B0604020202020204" pitchFamily="34" charset="0"/>
            </a:rPr>
            <a:pPr algn="ctr"/>
            <a:t> </a:t>
          </a:fld>
          <a:endParaRPr lang="en-US" sz="1100">
            <a:noFill/>
            <a:latin typeface="Arial" panose="020B0604020202020204" pitchFamily="34" charset="0"/>
            <a:cs typeface="Arial" panose="020B0604020202020204" pitchFamily="34" charset="0"/>
          </a:endParaRPr>
        </a:p>
      </xdr:txBody>
    </xdr:sp>
    <xdr:clientData/>
  </xdr:twoCellAnchor>
  <xdr:twoCellAnchor>
    <xdr:from>
      <xdr:col>2</xdr:col>
      <xdr:colOff>2720</xdr:colOff>
      <xdr:row>5</xdr:row>
      <xdr:rowOff>0</xdr:rowOff>
    </xdr:from>
    <xdr:to>
      <xdr:col>7</xdr:col>
      <xdr:colOff>457</xdr:colOff>
      <xdr:row>6</xdr:row>
      <xdr:rowOff>197827</xdr:rowOff>
    </xdr:to>
    <xdr:sp macro="" textlink="M2S1">
      <xdr:nvSpPr>
        <xdr:cNvPr id="11" name="SUBMENU1">
          <a:hlinkClick xmlns:r="http://schemas.openxmlformats.org/officeDocument/2006/relationships" r:id="rId1" tooltip=" "/>
          <a:extLst>
            <a:ext uri="{FF2B5EF4-FFF2-40B4-BE49-F238E27FC236}">
              <a16:creationId xmlns:a16="http://schemas.microsoft.com/office/drawing/2014/main" id="{00000000-0008-0000-1000-00000B000000}"/>
            </a:ext>
          </a:extLst>
        </xdr:cNvPr>
        <xdr:cNvSpPr/>
      </xdr:nvSpPr>
      <xdr:spPr>
        <a:xfrm>
          <a:off x="631370" y="1000125"/>
          <a:ext cx="1569362" cy="397852"/>
        </a:xfrm>
        <a:prstGeom prst="round2SameRect">
          <a:avLst/>
        </a:prstGeom>
        <a:solidFill>
          <a:srgbClr val="54BCEB"/>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7E4B740A-9522-487C-91EC-6CD2F94D6A48}" type="TxLink">
            <a:rPr lang="en-US" sz="1100" b="0" i="0" u="none" strike="noStrike">
              <a:solidFill>
                <a:srgbClr val="FFFFFF"/>
              </a:solidFill>
              <a:latin typeface="Arial" panose="020B0604020202020204" pitchFamily="34" charset="0"/>
              <a:cs typeface="Arial" panose="020B0604020202020204" pitchFamily="34" charset="0"/>
            </a:rPr>
            <a:pPr algn="ctr"/>
            <a:t>Terms &amp; Conditions</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7</xdr:col>
      <xdr:colOff>1156</xdr:colOff>
      <xdr:row>4</xdr:row>
      <xdr:rowOff>200705</xdr:rowOff>
    </xdr:from>
    <xdr:to>
      <xdr:col>12</xdr:col>
      <xdr:colOff>1155</xdr:colOff>
      <xdr:row>7</xdr:row>
      <xdr:rowOff>0</xdr:rowOff>
    </xdr:to>
    <xdr:sp macro="" textlink="M2S2">
      <xdr:nvSpPr>
        <xdr:cNvPr id="12" name="SUBMENU2">
          <a:hlinkClick xmlns:r="http://schemas.openxmlformats.org/officeDocument/2006/relationships" r:id="rId11" tooltip=" "/>
          <a:extLst>
            <a:ext uri="{FF2B5EF4-FFF2-40B4-BE49-F238E27FC236}">
              <a16:creationId xmlns:a16="http://schemas.microsoft.com/office/drawing/2014/main" id="{00000000-0008-0000-1000-00000C000000}"/>
            </a:ext>
          </a:extLst>
        </xdr:cNvPr>
        <xdr:cNvSpPr/>
      </xdr:nvSpPr>
      <xdr:spPr>
        <a:xfrm>
          <a:off x="2197509" y="1007529"/>
          <a:ext cx="1568822" cy="404412"/>
        </a:xfrm>
        <a:prstGeom prst="round2SameRect">
          <a:avLst/>
        </a:prstGeom>
        <a:solidFill>
          <a:srgbClr val="54BCEB"/>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3F46A332-CB6C-444B-A98C-4A2C16E11A97}" type="TxLink">
            <a:rPr lang="en-US" sz="1100" b="0" i="0" u="none" strike="noStrike">
              <a:solidFill>
                <a:srgbClr val="FFFFFF"/>
              </a:solidFill>
              <a:latin typeface="Arial" panose="020B0604020202020204" pitchFamily="34" charset="0"/>
              <a:cs typeface="Arial" panose="020B0604020202020204" pitchFamily="34" charset="0"/>
            </a:rPr>
            <a:pPr algn="ctr"/>
            <a:t>Company and Site Information</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12</xdr:col>
      <xdr:colOff>1854</xdr:colOff>
      <xdr:row>4</xdr:row>
      <xdr:rowOff>200705</xdr:rowOff>
    </xdr:from>
    <xdr:to>
      <xdr:col>17</xdr:col>
      <xdr:colOff>1853</xdr:colOff>
      <xdr:row>7</xdr:row>
      <xdr:rowOff>0</xdr:rowOff>
    </xdr:to>
    <xdr:sp macro="" textlink="M2S3">
      <xdr:nvSpPr>
        <xdr:cNvPr id="13" name="SUBMENU3">
          <a:hlinkClick xmlns:r="http://schemas.openxmlformats.org/officeDocument/2006/relationships" r:id="rId12" tooltip=" "/>
          <a:extLst>
            <a:ext uri="{FF2B5EF4-FFF2-40B4-BE49-F238E27FC236}">
              <a16:creationId xmlns:a16="http://schemas.microsoft.com/office/drawing/2014/main" id="{00000000-0008-0000-1000-00000D000000}"/>
            </a:ext>
          </a:extLst>
        </xdr:cNvPr>
        <xdr:cNvSpPr/>
      </xdr:nvSpPr>
      <xdr:spPr>
        <a:xfrm>
          <a:off x="3767030" y="1007529"/>
          <a:ext cx="1568823" cy="404412"/>
        </a:xfrm>
        <a:prstGeom prst="round2SameRect">
          <a:avLst/>
        </a:prstGeom>
        <a:solidFill>
          <a:srgbClr val="54BCEB"/>
        </a:solidFill>
        <a:ln w="12700">
          <a:solidFill>
            <a:srgbClr val="54BCEB"/>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6CF1307D-ECA4-4693-9752-43732259D37B}" type="TxLink">
            <a:rPr lang="en-US" sz="1100" b="0" i="0" u="none" strike="noStrike">
              <a:solidFill>
                <a:srgbClr val="FFFFFF"/>
              </a:solidFill>
              <a:latin typeface="Arial" panose="020B0604020202020204" pitchFamily="34" charset="0"/>
              <a:cs typeface="Arial" panose="020B0604020202020204" pitchFamily="34" charset="0"/>
            </a:rPr>
            <a:pPr algn="ctr"/>
            <a:t>Trade Ally / Vendor Information</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17</xdr:col>
      <xdr:colOff>2551</xdr:colOff>
      <xdr:row>5</xdr:row>
      <xdr:rowOff>51480</xdr:rowOff>
    </xdr:from>
    <xdr:to>
      <xdr:col>22</xdr:col>
      <xdr:colOff>2550</xdr:colOff>
      <xdr:row>7</xdr:row>
      <xdr:rowOff>50800</xdr:rowOff>
    </xdr:to>
    <xdr:sp macro="" textlink="M2S4">
      <xdr:nvSpPr>
        <xdr:cNvPr id="14" name="SUBMENU4">
          <a:hlinkClick xmlns:r="http://schemas.openxmlformats.org/officeDocument/2006/relationships" r:id="rId13" tooltip=" "/>
          <a:extLst>
            <a:ext uri="{FF2B5EF4-FFF2-40B4-BE49-F238E27FC236}">
              <a16:creationId xmlns:a16="http://schemas.microsoft.com/office/drawing/2014/main" id="{00000000-0008-0000-1000-00000E000000}"/>
            </a:ext>
          </a:extLst>
        </xdr:cNvPr>
        <xdr:cNvSpPr/>
      </xdr:nvSpPr>
      <xdr:spPr>
        <a:xfrm>
          <a:off x="5346076" y="1051605"/>
          <a:ext cx="1571624" cy="399370"/>
        </a:xfrm>
        <a:prstGeom prst="round2SameRect">
          <a:avLst/>
        </a:prstGeom>
        <a:solidFill>
          <a:srgbClr val="00334E"/>
        </a:solidFill>
        <a:ln w="12700">
          <a:solidFill>
            <a:srgbClr val="00334E"/>
          </a:solidFill>
        </a:ln>
        <a:effectLst>
          <a:outerShdw blurRad="50800" dist="12700" dir="16200000"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lIns="0" tIns="0" rIns="0" bIns="45720" rtlCol="0" anchor="t"/>
        <a:lstStyle/>
        <a:p>
          <a:pPr algn="ctr"/>
          <a:fld id="{2DCA9913-F62F-4A39-A8F2-B5B0B6900AE5}" type="TxLink">
            <a:rPr lang="en-US" sz="1100" b="0" i="0" u="none" strike="noStrike">
              <a:solidFill>
                <a:srgbClr val="FFFFFF"/>
              </a:solidFill>
              <a:latin typeface="Arial" panose="020B0604020202020204" pitchFamily="34" charset="0"/>
              <a:cs typeface="Arial" panose="020B0604020202020204" pitchFamily="34" charset="0"/>
            </a:rPr>
            <a:pPr algn="ctr"/>
            <a:t>Payment Information</a:t>
          </a:fld>
          <a:endParaRPr lang="en-US" sz="1100">
            <a:solidFill>
              <a:srgbClr val="FFFFFF"/>
            </a:solidFill>
            <a:latin typeface="Arial" panose="020B0604020202020204" pitchFamily="34" charset="0"/>
            <a:cs typeface="Arial" panose="020B0604020202020204" pitchFamily="34" charset="0"/>
          </a:endParaRPr>
        </a:p>
      </xdr:txBody>
    </xdr:sp>
    <xdr:clientData/>
  </xdr:twoCellAnchor>
  <xdr:twoCellAnchor>
    <xdr:from>
      <xdr:col>0</xdr:col>
      <xdr:colOff>314323</xdr:colOff>
      <xdr:row>7</xdr:row>
      <xdr:rowOff>200024</xdr:rowOff>
    </xdr:from>
    <xdr:to>
      <xdr:col>44</xdr:col>
      <xdr:colOff>0</xdr:colOff>
      <xdr:row>199</xdr:row>
      <xdr:rowOff>0</xdr:rowOff>
    </xdr:to>
    <xdr:sp macro="" textlink="">
      <xdr:nvSpPr>
        <xdr:cNvPr id="19" name="BORDER">
          <a:extLst>
            <a:ext uri="{FF2B5EF4-FFF2-40B4-BE49-F238E27FC236}">
              <a16:creationId xmlns:a16="http://schemas.microsoft.com/office/drawing/2014/main" id="{00000000-0008-0000-1000-000013000000}"/>
            </a:ext>
          </a:extLst>
        </xdr:cNvPr>
        <xdr:cNvSpPr/>
      </xdr:nvSpPr>
      <xdr:spPr>
        <a:xfrm>
          <a:off x="314323" y="1600199"/>
          <a:ext cx="13515977" cy="37804726"/>
        </a:xfrm>
        <a:prstGeom prst="frame">
          <a:avLst>
            <a:gd name="adj1" fmla="val 97"/>
          </a:avLst>
        </a:prstGeom>
        <a:noFill/>
        <a:ln w="12700" cap="flat" cmpd="sng" algn="ctr">
          <a:solidFill>
            <a:srgbClr val="00334E"/>
          </a:solidFill>
          <a:prstDash val="solid"/>
          <a:miter lim="800000"/>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fPrintsWithSheet="0"/>
  </xdr:twoCellAnchor>
  <xdr:twoCellAnchor editAs="oneCell">
    <xdr:from>
      <xdr:col>2</xdr:col>
      <xdr:colOff>2720</xdr:colOff>
      <xdr:row>8</xdr:row>
      <xdr:rowOff>201232</xdr:rowOff>
    </xdr:from>
    <xdr:to>
      <xdr:col>4</xdr:col>
      <xdr:colOff>960</xdr:colOff>
      <xdr:row>11</xdr:row>
      <xdr:rowOff>1207</xdr:rowOff>
    </xdr:to>
    <xdr:sp macro="" textlink="">
      <xdr:nvSpPr>
        <xdr:cNvPr id="20" name="BACK">
          <a:hlinkClick xmlns:r="http://schemas.openxmlformats.org/officeDocument/2006/relationships" r:id="rId14" tooltip=" "/>
          <a:extLst>
            <a:ext uri="{FF2B5EF4-FFF2-40B4-BE49-F238E27FC236}">
              <a16:creationId xmlns:a16="http://schemas.microsoft.com/office/drawing/2014/main" id="{00000000-0008-0000-1000-000014000000}"/>
            </a:ext>
          </a:extLst>
        </xdr:cNvPr>
        <xdr:cNvSpPr>
          <a:spLocks noChangeAspect="1"/>
        </xdr:cNvSpPr>
      </xdr:nvSpPr>
      <xdr:spPr>
        <a:xfrm>
          <a:off x="631370" y="1801432"/>
          <a:ext cx="626890" cy="400050"/>
        </a:xfrm>
        <a:prstGeom prst="leftArrow">
          <a:avLst/>
        </a:prstGeom>
        <a:solidFill>
          <a:srgbClr val="54BCEB"/>
        </a:solidFill>
        <a:ln>
          <a:solidFill>
            <a:srgbClr val="54BCEB"/>
          </a:solidFill>
        </a:ln>
        <a:scene3d>
          <a:camera prst="orthographicFront"/>
          <a:lightRig rig="threePt" dir="t"/>
        </a:scene3d>
        <a:sp3d>
          <a:bevelT w="508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fPrintsWithSheet="0"/>
  </xdr:twoCellAnchor>
  <xdr:twoCellAnchor>
    <xdr:from>
      <xdr:col>1</xdr:col>
      <xdr:colOff>0</xdr:colOff>
      <xdr:row>7</xdr:row>
      <xdr:rowOff>0</xdr:rowOff>
    </xdr:from>
    <xdr:to>
      <xdr:col>44</xdr:col>
      <xdr:colOff>13806</xdr:colOff>
      <xdr:row>8</xdr:row>
      <xdr:rowOff>0</xdr:rowOff>
    </xdr:to>
    <xdr:sp macro="" textlink="">
      <xdr:nvSpPr>
        <xdr:cNvPr id="21" name="BOTTOMRIBBON">
          <a:extLst>
            <a:ext uri="{FF2B5EF4-FFF2-40B4-BE49-F238E27FC236}">
              <a16:creationId xmlns:a16="http://schemas.microsoft.com/office/drawing/2014/main" id="{00000000-0008-0000-1000-000015000000}"/>
            </a:ext>
          </a:extLst>
        </xdr:cNvPr>
        <xdr:cNvSpPr/>
      </xdr:nvSpPr>
      <xdr:spPr>
        <a:xfrm>
          <a:off x="313765" y="1411941"/>
          <a:ext cx="13505688" cy="201706"/>
        </a:xfrm>
        <a:prstGeom prst="rect">
          <a:avLst/>
        </a:prstGeom>
        <a:solidFill>
          <a:srgbClr val="00334E"/>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overflow" horzOverflow="overflow" rtlCol="0" anchor="t"/>
        <a:lstStyle/>
        <a:p>
          <a:pPr algn="l"/>
          <a:endParaRPr lang="en-US" sz="1100">
            <a:solidFill>
              <a:srgbClr val="FFFFFF"/>
            </a:solidFill>
          </a:endParaRPr>
        </a:p>
      </xdr:txBody>
    </xdr:sp>
    <xdr:clientData/>
  </xdr:twoCellAnchor>
  <mc:AlternateContent xmlns:mc="http://schemas.openxmlformats.org/markup-compatibility/2006">
    <mc:Choice xmlns:a14="http://schemas.microsoft.com/office/drawing/2010/main" Requires="a14">
      <xdr:twoCellAnchor editAs="oneCell">
        <xdr:from>
          <xdr:col>2</xdr:col>
          <xdr:colOff>38100</xdr:colOff>
          <xdr:row>30</xdr:row>
          <xdr:rowOff>200025</xdr:rowOff>
        </xdr:from>
        <xdr:to>
          <xdr:col>3</xdr:col>
          <xdr:colOff>38100</xdr:colOff>
          <xdr:row>32</xdr:row>
          <xdr:rowOff>180975</xdr:rowOff>
        </xdr:to>
        <xdr:sp macro="" textlink="">
          <xdr:nvSpPr>
            <xdr:cNvPr id="15361" name="M02S04TB1" hidden="1">
              <a:extLst>
                <a:ext uri="{63B3BB69-23CF-44E3-9099-C40C66FF867C}">
                  <a14:compatExt spid="_x0000_s15361"/>
                </a:ext>
                <a:ext uri="{FF2B5EF4-FFF2-40B4-BE49-F238E27FC236}">
                  <a16:creationId xmlns:a16="http://schemas.microsoft.com/office/drawing/2014/main" id="{00000000-0008-0000-1000-00000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2</xdr:col>
      <xdr:colOff>102850</xdr:colOff>
      <xdr:row>0</xdr:row>
      <xdr:rowOff>156884</xdr:rowOff>
    </xdr:from>
    <xdr:to>
      <xdr:col>5</xdr:col>
      <xdr:colOff>30405</xdr:colOff>
      <xdr:row>2</xdr:row>
      <xdr:rowOff>195627</xdr:rowOff>
    </xdr:to>
    <xdr:pic>
      <xdr:nvPicPr>
        <xdr:cNvPr id="26" name="LOGO">
          <a:extLst>
            <a:ext uri="{FF2B5EF4-FFF2-40B4-BE49-F238E27FC236}">
              <a16:creationId xmlns:a16="http://schemas.microsoft.com/office/drawing/2014/main" id="{00000000-0008-0000-1000-00001A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xdr:blipFill>
      <xdr:spPr>
        <a:xfrm>
          <a:off x="730379" y="156884"/>
          <a:ext cx="868850" cy="442155"/>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03000000}" name="ELECCB" displayName="ELECCB" ref="A9:J39" totalsRowShown="0" headerRowDxfId="838">
  <autoFilter ref="A9:J39" xr:uid="{00000000-0009-0000-0100-00000E000000}"/>
  <tableColumns count="10">
    <tableColumn id="1" xr3:uid="{00000000-0010-0000-0300-000001000000}" name="Year"/>
    <tableColumn id="2" xr3:uid="{00000000-0010-0000-0300-000002000000}" name="Year Number"/>
    <tableColumn id="3" xr3:uid="{00000000-0010-0000-0300-000003000000}" name="Elec. AEC Factor" dataDxfId="837"/>
    <tableColumn id="4" xr3:uid="{00000000-0010-0000-0300-000004000000}" name="Avoid Energy Cost $/kWh" dataDxfId="836"/>
    <tableColumn id="5" xr3:uid="{00000000-0010-0000-0300-000005000000}" name="Elec. ACC Factor" dataDxfId="835"/>
    <tableColumn id="6" xr3:uid="{00000000-0010-0000-0300-000006000000}" name="Avoided Capacity Cost $/kW" dataDxfId="834"/>
    <tableColumn id="7" xr3:uid="{00000000-0010-0000-0300-000007000000}" name="AT&amp;D Factor" dataDxfId="833"/>
    <tableColumn id="8" xr3:uid="{00000000-0010-0000-0300-000008000000}" name="Avoided T&amp;D $/kW" dataDxfId="832"/>
    <tableColumn id="9" xr3:uid="{00000000-0010-0000-0300-000009000000}" name="NPV AEC $/kWh" dataDxfId="831"/>
    <tableColumn id="10" xr3:uid="{00000000-0010-0000-0300-00000A000000}" name="NPV ACC+T&amp;D $/kW" dataDxfId="830"/>
  </tableColumns>
  <tableStyleInfo name="TableStyleMedium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00000000-000C-0000-FFFF-FFFF0C000000}" name="TAXENTITY" displayName="TAXENTITY" ref="J47:K53" totalsRowShown="0">
  <autoFilter ref="J47:K53" xr:uid="{00000000-0009-0000-0100-00001E000000}"/>
  <sortState xmlns:xlrd2="http://schemas.microsoft.com/office/spreadsheetml/2017/richdata2" ref="J48:K53">
    <sortCondition ref="J47:J53"/>
  </sortState>
  <tableColumns count="2">
    <tableColumn id="1" xr3:uid="{00000000-0010-0000-0C00-000001000000}" name="Tax Entity"/>
    <tableColumn id="2" xr3:uid="{00000000-0010-0000-0C00-000002000000}" name="System Text"/>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00000000-000C-0000-FFFF-FFFF0D000000}" name="ENDUSEALL" displayName="ENDUSEALL" ref="J12:K23" totalsRowShown="0" headerRowDxfId="825" dataDxfId="824">
  <autoFilter ref="J12:K23" xr:uid="{00000000-0009-0000-0100-000017000000}"/>
  <sortState xmlns:xlrd2="http://schemas.microsoft.com/office/spreadsheetml/2017/richdata2" ref="J13:M25">
    <sortCondition ref="J12:J25"/>
  </sortState>
  <tableColumns count="2">
    <tableColumn id="1" xr3:uid="{00000000-0010-0000-0D00-000001000000}" name="End Use" dataDxfId="823"/>
    <tableColumn id="2" xr3:uid="{00000000-0010-0000-0D00-000002000000}" name="Lighting Coincidence Factor" dataDxfId="822"/>
  </tableColumns>
  <tableStyleInfo name="TableStyleMedium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0000000-000C-0000-FFFF-FFFF0E000000}" name="DIVERSITYTYPE" displayName="DIVERSITYTYPE" ref="A58:A65" totalsRowShown="0" headerRowDxfId="821">
  <autoFilter ref="A58:A65" xr:uid="{00000000-0009-0000-0100-00001F000000}"/>
  <tableColumns count="1">
    <tableColumn id="1" xr3:uid="{00000000-0010-0000-0E00-000001000000}" name="Diversity Business Type"/>
  </tableColumns>
  <tableStyleInfo name="TableStyleMedium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00000000-000C-0000-FFFF-FFFF0F000000}" name="DIVERSITYISSUED" displayName="DIVERSITYISSUED" ref="A68:A72" totalsRowShown="0">
  <autoFilter ref="A68:A72" xr:uid="{00000000-0009-0000-0100-000028000000}"/>
  <tableColumns count="1">
    <tableColumn id="1" xr3:uid="{00000000-0010-0000-0F00-000001000000}" name="Diversity Issued Org"/>
  </tableColumns>
  <tableStyleInfo name="TableStyleMedium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00000000-000C-0000-FFFF-FFFF10000000}" name="PROJSTAT" displayName="PROJSTAT" ref="A75:A84" totalsRowShown="0">
  <autoFilter ref="A75:A84" xr:uid="{00000000-0009-0000-0100-000029000000}"/>
  <tableColumns count="1">
    <tableColumn id="1" xr3:uid="{00000000-0010-0000-1000-000001000000}" name="Project Status"/>
  </tableColumns>
  <tableStyleInfo name="TableStyleMedium2"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00000000-000C-0000-FFFF-FFFF11000000}" name="SPILLOVER" displayName="SPILLOVER" ref="J28:K37" totalsRowShown="0">
  <autoFilter ref="J28:K37" xr:uid="{00000000-0009-0000-0100-00002A000000}"/>
  <tableColumns count="2">
    <tableColumn id="1" xr3:uid="{00000000-0010-0000-1100-000001000000}" name="Spillover Text"/>
    <tableColumn id="2" xr3:uid="{00000000-0010-0000-1100-000002000000}" name="Spillover Reason"/>
  </tableColumns>
  <tableStyleInfo name="TableStyleMedium2"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00000000-000C-0000-FFFF-FFFF12000000}" name="RATECLASS" displayName="RATECLASS" ref="J39:K44" totalsRowShown="0" dataDxfId="820">
  <autoFilter ref="J39:K44" xr:uid="{00000000-0009-0000-0100-00002B000000}"/>
  <tableColumns count="2">
    <tableColumn id="1" xr3:uid="{00000000-0010-0000-1200-000001000000}" name="Rate Schedules" dataDxfId="819"/>
    <tableColumn id="2" xr3:uid="{00000000-0010-0000-1200-000002000000}" name="Rate" dataDxfId="818"/>
  </tableColumns>
  <tableStyleInfo name="TableStyleMedium2"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00000000-000C-0000-FFFF-FFFF13000000}" name="IMPLSPEC" displayName="IMPLSPEC" ref="A43:A47" totalsRowShown="0">
  <autoFilter ref="A43:A47" xr:uid="{00000000-0009-0000-0100-00002C000000}"/>
  <tableColumns count="1">
    <tableColumn id="1" xr3:uid="{00000000-0010-0000-1300-000001000000}" name="Impl. Specialist"/>
  </tableColumns>
  <tableStyleInfo name="TableStyleMedium2"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00000000-000C-0000-FFFF-FFFF14000000}" name="ENGINEERZ" displayName="ENGINEERZ" ref="A50:A54" totalsRowShown="0">
  <autoFilter ref="A50:A54" xr:uid="{00000000-0009-0000-0100-00002F000000}"/>
  <tableColumns count="1">
    <tableColumn id="1" xr3:uid="{00000000-0010-0000-1400-000001000000}" name="Engineer"/>
  </tableColumns>
  <tableStyleInfo name="TableStyleMedium2"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15000000}" name="CUSTINFO" displayName="CUSTINFO" ref="A86:A96" totalsRowShown="0">
  <autoFilter ref="A86:A96" xr:uid="{00000000-0009-0000-0100-000008000000}"/>
  <tableColumns count="1">
    <tableColumn id="1" xr3:uid="{00000000-0010-0000-1500-000001000000}" name="Customer Info"/>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04000000}" name="GASCB" displayName="GASCB" ref="M9:Q39" totalsRowShown="0">
  <autoFilter ref="M9:Q39" xr:uid="{00000000-0009-0000-0100-000011000000}"/>
  <tableColumns count="5">
    <tableColumn id="1" xr3:uid="{00000000-0010-0000-0400-000001000000}" name="Year"/>
    <tableColumn id="2" xr3:uid="{00000000-0010-0000-0400-000002000000}" name="Year Number"/>
    <tableColumn id="3" xr3:uid="{00000000-0010-0000-0400-000003000000}" name="Gas AEC Factor" dataDxfId="829"/>
    <tableColumn id="4" xr3:uid="{00000000-0010-0000-0400-000004000000}" name="Avoided Energy Cost $/therm" dataDxfId="828"/>
    <tableColumn id="5" xr3:uid="{00000000-0010-0000-0400-000005000000}" name="NPV GAEC $/therm" dataDxfId="827"/>
  </tableColumns>
  <tableStyleInfo name="TableStyleMedium2"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00000000-000C-0000-FFFF-FFFF16000000}" name="LPDWATT" displayName="LPDWATT" ref="J60:U100" totalsRowShown="0" headerRowDxfId="817">
  <autoFilter ref="J60:U100" xr:uid="{00000000-0009-0000-0100-00002E000000}"/>
  <sortState xmlns:xlrd2="http://schemas.microsoft.com/office/spreadsheetml/2017/richdata2" ref="J61:U100">
    <sortCondition ref="J60:J100"/>
  </sortState>
  <tableColumns count="12">
    <tableColumn id="1" xr3:uid="{00000000-0010-0000-1600-000001000000}" name="Building Area Type"/>
    <tableColumn id="2" xr3:uid="{00000000-0010-0000-1600-000002000000}" name="IECC 2018  (Watts/ Sq. Ft.)"/>
    <tableColumn id="5" xr3:uid="{00000000-0010-0000-1600-000005000000}" name="Lighting Coincidence Factor" dataDxfId="816"/>
    <tableColumn id="4" xr3:uid="{00000000-0010-0000-1600-000004000000}" name="Indiana July 2015 v2.2 TRM Building Type"/>
    <tableColumn id="3" xr3:uid="{00000000-0010-0000-1600-000003000000}" name="Fixture Annual Operating Hours" dataDxfId="815" dataCellStyle="Comma"/>
    <tableColumn id="6" xr3:uid="{48A7057E-90EF-4D9C-883F-CC6ED0104400}" name="Screw Based Bulb Annual Operating Hours"/>
    <tableColumn id="7" xr3:uid="{358647F8-2E98-4DE6-94DA-67774510F1EB}" name="Waste Heat Cooling Energy WHFe"/>
    <tableColumn id="8" xr3:uid="{8B701161-E7AB-4B14-822C-C44376871464}" name="Waste Heat Cooling Demand WHFd"/>
    <tableColumn id="9" xr3:uid="{90D1A2AC-D891-448F-9D39-03FEA66959C1}" name="Coincidence Factor CF"/>
    <tableColumn id="10" xr3:uid="{F99D5B93-6018-4143-9101-A0ADA8B9EC48}" name="Waste Heat Gas Heating IFTherms"/>
    <tableColumn id="11" xr3:uid="{B1036AC9-9F67-4D3B-83BC-6D9C215A9E53}" name="Waste Heat Electric Resistance Heating IFkWh"/>
    <tableColumn id="12" xr3:uid="{255C1508-80E5-441B-A425-249A0D5E142E}" name="Waste Heat Electric Heat Pump Heating IFkWh"/>
  </tableColumns>
  <tableStyleInfo name="TableStyleMedium2"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F205CBF2-D4A8-4BF6-B492-CE6F9A37C5A6}" name="LightingWHF" displayName="LightingWHF" ref="W60:AK114" totalsRowShown="0">
  <autoFilter ref="W60:AK114" xr:uid="{F205CBF2-D4A8-4BF6-B492-CE6F9A37C5A6}"/>
  <sortState xmlns:xlrd2="http://schemas.microsoft.com/office/spreadsheetml/2017/richdata2" ref="W61:AJ114">
    <sortCondition ref="W60:W114"/>
  </sortState>
  <tableColumns count="15">
    <tableColumn id="1" xr3:uid="{121EFC8A-7131-490E-B344-67B66916AB6B}" name="Building/Space Type"/>
    <tableColumn id="14" xr3:uid="{589277E9-6ABD-4233-A3C1-C47B91F4402C}" name="ASHRAE Standard 90.1 – 2007  (Watts/ Sq. Ft.)"/>
    <tableColumn id="2" xr3:uid="{E85DB836-5B56-441B-8B28-22BA315EEDF7}" name="Fixture Annual Operating Hours"/>
    <tableColumn id="3" xr3:uid="{F1E32D35-71B7-42F7-80DE-1FDCBE147416}" name="Screw Based Bulb Annual Operating Hours"/>
    <tableColumn id="4" xr3:uid="{7FF4CC6D-9EF6-4F03-88E3-D737ADD714D8}" name="Waste Heat Cooling Energy WHFe"/>
    <tableColumn id="5" xr3:uid="{B7B13E0C-71D4-474B-A18C-E235600B309F}" name="Waste Heat Cooling Demand WHFd"/>
    <tableColumn id="6" xr3:uid="{FC5D298F-29FD-400E-9113-EDBB04E7891A}" name="Coincidence Factor CF"/>
    <tableColumn id="7" xr3:uid="{43B1A494-5CED-40C4-AF17-4D5C8457B3C6}" name="Waste Heat Gas Heating IFTherms"/>
    <tableColumn id="8" xr3:uid="{FB539988-9553-4E6E-8832-51B539C4BB9E}" name="Waste Heat Electric Resistance Heating IFkWh"/>
    <tableColumn id="9" xr3:uid="{B47D73A3-72C1-47DA-B072-FA004D83CF2C}" name="Waste Heat Electric Heat Pump Heating IFkWh"/>
    <tableColumn id="10" xr3:uid="{6E0B0599-F474-4E97-B98A-294612410B0F}" name="Heating Run Hours"/>
    <tableColumn id="11" xr3:uid="{0A8AEAAB-F693-42A8-82CF-2DF784FF38A4}" name="Cooling Run Hours"/>
    <tableColumn id="12" xr3:uid="{A1D317E9-95AD-4C9A-AA66-BA3755BF04A6}" name="Heating EFLH"/>
    <tableColumn id="13" xr3:uid="{3DDB1FEF-30EB-4E81-A824-8F912C448B6F}" name="Cooling EFLH"/>
    <tableColumn id="15" xr3:uid="{91EA9672-203E-4ACB-979E-AA4118A8FF7D}" name="Total Fan Run Hours"/>
  </tableColumns>
  <tableStyleInfo name="TableStyleMedium2"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6C620481-7874-4B71-8FB1-8A13C3744125}" name="AccountType" displayName="AccountType" ref="A99:A102" totalsRowShown="0">
  <autoFilter ref="A99:A102" xr:uid="{6C620481-7874-4B71-8FB1-8A13C3744125}"/>
  <tableColumns count="1">
    <tableColumn id="1" xr3:uid="{F054E7D1-A7AC-4F8F-BBF6-B66129F6C0C5}" name="Account Type"/>
  </tableColumns>
  <tableStyleInfo name="TableStyleMedium2"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3A20FF7B-B339-4DA0-8E63-B0984C5EACDE}" name="EQUIPMENTORDERED" displayName="EQUIPMENTORDERED" ref="A104:A106" totalsRowShown="0" headerRowDxfId="814" headerRowBorderDxfId="813" tableBorderDxfId="812" totalsRowBorderDxfId="811">
  <autoFilter ref="A104:A106" xr:uid="{3A20FF7B-B339-4DA0-8E63-B0984C5EACDE}"/>
  <tableColumns count="1">
    <tableColumn id="1" xr3:uid="{89BAACD3-D339-40D5-AF3C-7C9C9845FABA}" name="Equipment Ordered"/>
  </tableColumns>
  <tableStyleInfo name="TableStyleMedium2"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BB9D48BB-B352-46D6-B6F0-FBBAF8D01BC0}" name="BLDGSPCType" displayName="BLDGSPCType" ref="AO3:AP371" totalsRowShown="0">
  <autoFilter ref="AO3:AP371" xr:uid="{BB9D48BB-B352-46D6-B6F0-FBBAF8D01BC0}"/>
  <sortState xmlns:xlrd2="http://schemas.microsoft.com/office/spreadsheetml/2017/richdata2" ref="AO4:AP317">
    <sortCondition ref="AO3:AO317"/>
  </sortState>
  <tableColumns count="2">
    <tableColumn id="1" xr3:uid="{45996A40-FECA-4A59-8E0A-E8F958C2C14F}" name="Building Type"/>
    <tableColumn id="2" xr3:uid="{5DA7B93F-D2CB-4B48-AA0B-91B31A2516FE}" name="Space Type"/>
  </tableColumns>
  <tableStyleInfo name="TableStyleLight9"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77ED47A7-35F6-44B3-9575-6C5B5D445AB9}" name="LPDValues" displayName="LPDValues" ref="H104:U219" totalsRowShown="0" headerRowDxfId="810" headerRowBorderDxfId="809" tableBorderDxfId="808">
  <autoFilter ref="H104:U219" xr:uid="{77ED47A7-35F6-44B3-9575-6C5B5D445AB9}"/>
  <sortState xmlns:xlrd2="http://schemas.microsoft.com/office/spreadsheetml/2017/richdata2" ref="H105:L219">
    <sortCondition ref="J104:J219"/>
  </sortState>
  <tableColumns count="14">
    <tableColumn id="4" xr3:uid="{55E077EE-DB4C-4A65-B7CB-B8BA6D04115A}" name="Method"/>
    <tableColumn id="3" xr3:uid="{AEFFE4D6-523B-4355-A74C-2AF365736ABA}" name="Building_Area_Method"/>
    <tableColumn id="1" xr3:uid="{2F03A431-B339-4694-9389-AE14EB7A273D}" name="Space_By_Space_Method"/>
    <tableColumn id="2" xr3:uid="{10DBEF86-E22F-450D-BF56-3B64BAAF469F}" name="SBS IECC 2018  (Watts/ Sq. Ft.)"/>
    <tableColumn id="5" xr3:uid="{FD84C5F7-3CD4-4F84-A03C-284837315AA9}" name="BA IECC 2018  (Watts/ Sq. Ft.)"/>
    <tableColumn id="6" xr3:uid="{4B3E1A71-3C53-42B2-9326-A1D8E2344091}" name="BA IECC 2018  (Watts/ Sq. Ft.)2"/>
    <tableColumn id="7" xr3:uid="{8441630A-D35B-4622-B102-2CC0CFB9CEFF}" name="Lighting Coincidence Factor"/>
    <tableColumn id="8" xr3:uid="{48653E20-4545-46D4-8150-5723FA8FB047}" name="Fixture Annual Operating Hours"/>
    <tableColumn id="9" xr3:uid="{2A32B415-CA13-4813-87EC-B18D25EAE77F}" name="Waste Heat Cooling Energy WHFe"/>
    <tableColumn id="10" xr3:uid="{EE42B50B-30DE-4B07-8A5F-59431BD3CFCA}" name="Waste Heat Cooling Demand WHFd"/>
    <tableColumn id="11" xr3:uid="{BCB6346D-AADA-47E2-85ED-CCA765E39514}" name="Coincidence Factor CF"/>
    <tableColumn id="12" xr3:uid="{7EBD6930-1813-4F28-8554-6AC6480AF81C}" name="Waste Heat Gas Heating IFTherms"/>
    <tableColumn id="13" xr3:uid="{4F1D7140-44D4-484D-8106-4F7F79C40BC5}" name="Waste Heat Electric Resistance Heating IFkWh"/>
    <tableColumn id="14" xr3:uid="{8EA1F8BD-DE78-448A-8077-AD9ED0FCE9D4}" name="Waste Heat Electric Heat Pump Heating IFkWh"/>
  </tableColumns>
  <tableStyleInfo name="TableStyleMedium2"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17000000}" name="PMELIGHT" displayName="PMELIGHT" ref="A1:AM42" totalsRowShown="0" headerRowDxfId="807" dataDxfId="806" headerRowCellStyle="Normal 2" dataCellStyle="Normal 2">
  <autoFilter ref="A1:AM42" xr:uid="{00000000-0009-0000-0100-000007000000}"/>
  <sortState xmlns:xlrd2="http://schemas.microsoft.com/office/spreadsheetml/2017/richdata2" ref="A2:AM42">
    <sortCondition ref="AD1:AD42"/>
  </sortState>
  <tableColumns count="39">
    <tableColumn id="1" xr3:uid="{00000000-0010-0000-1700-000001000000}" name="Measure #" dataDxfId="805" dataCellStyle="Normal 2"/>
    <tableColumn id="2" xr3:uid="{00000000-0010-0000-1700-000002000000}" name="Measure Name" dataDxfId="804" dataCellStyle="Normal 2"/>
    <tableColumn id="3" xr3:uid="{00000000-0010-0000-1700-000003000000}" name="Equipment Description" dataDxfId="803" dataCellStyle="Normal 2"/>
    <tableColumn id="4" xr3:uid="{00000000-0010-0000-1700-000004000000}" name="Eff Category" dataDxfId="802" dataCellStyle="Normal 2"/>
    <tableColumn id="5" xr3:uid="{00000000-0010-0000-1700-000005000000}" name="Eff Measure Group" dataDxfId="801" dataCellStyle="Normal 2"/>
    <tableColumn id="6" xr3:uid="{00000000-0010-0000-1700-000006000000}" name="Eff Equip Descr" dataDxfId="800" dataCellStyle="Normal 2"/>
    <tableColumn id="7" xr3:uid="{00000000-0010-0000-1700-000007000000}" name="Base Category" dataDxfId="799" dataCellStyle="Normal 2"/>
    <tableColumn id="8" xr3:uid="{00000000-0010-0000-1700-000008000000}" name="Base Measure Group" dataDxfId="798" dataCellStyle="Normal 2"/>
    <tableColumn id="9" xr3:uid="{00000000-0010-0000-1700-000009000000}" name="Base Equip Descr" dataDxfId="797" dataCellStyle="Normal 2"/>
    <tableColumn id="10" xr3:uid="{00000000-0010-0000-1700-00000A000000}" name="Program Design" dataDxfId="796" dataCellStyle="Normal 2"/>
    <tableColumn id="11" xr3:uid="{00000000-0010-0000-1700-00000B000000}" name="TRM Reference No." dataDxfId="795" dataCellStyle="Normal 2"/>
    <tableColumn id="12" xr3:uid="{00000000-0010-0000-1700-00000C000000}" name="Measure Life" dataDxfId="794" dataCellStyle="Normal 2"/>
    <tableColumn id="13" xr3:uid="{00000000-0010-0000-1700-00000D000000}" name="Created On" dataDxfId="793" dataCellStyle="Normal 2"/>
    <tableColumn id="14" xr3:uid="{00000000-0010-0000-1700-00000E000000}" name="Source" dataDxfId="792" dataCellStyle="Normal 2"/>
    <tableColumn id="15" xr3:uid="{00000000-0010-0000-1700-00000F000000}" name="End Use Category" dataDxfId="791" dataCellStyle="Normal 2"/>
    <tableColumn id="16" xr3:uid="{00000000-0010-0000-1700-000010000000}" name="Inc Rate Unit" dataDxfId="790" dataCellStyle="Normal 2"/>
    <tableColumn id="17" xr3:uid="{00000000-0010-0000-1700-000011000000}" name="Savings per Unit kWh" dataDxfId="789" dataCellStyle="Normal 2"/>
    <tableColumn id="18" xr3:uid="{00000000-0010-0000-1700-000012000000}" name="Savings per Unit kW" dataDxfId="788" dataCellStyle="Normal 2"/>
    <tableColumn id="19" xr3:uid="{00000000-0010-0000-1700-000013000000}" name="Inc Rate kWh" dataDxfId="787" dataCellStyle="Normal 2"/>
    <tableColumn id="20" xr3:uid="{00000000-0010-0000-1700-000014000000}" name="Inc Rate kW" dataDxfId="786" dataCellStyle="Normal 2"/>
    <tableColumn id="21" xr3:uid="{00000000-0010-0000-1700-000015000000}" name="Energy Type" dataDxfId="785" dataCellStyle="Normal 2"/>
    <tableColumn id="30" xr3:uid="{00000000-0010-0000-1700-00001E000000}" name="Program" dataDxfId="784" dataCellStyle="Normal 2"/>
    <tableColumn id="36" xr3:uid="{00000000-0010-0000-1700-000024000000}" name="Lighting vs Non Lighting" dataDxfId="783" dataCellStyle="Normal 2"/>
    <tableColumn id="35" xr3:uid="{00000000-0010-0000-1700-000023000000}" name="Status" dataDxfId="782" dataCellStyle="Normal 2"/>
    <tableColumn id="37" xr3:uid="{00000000-0010-0000-1700-000025000000}" name="SUTO" dataDxfId="781" dataCellStyle="Normal 2"/>
    <tableColumn id="34" xr3:uid="{00000000-0010-0000-1700-000022000000}" name="Cost Basis" dataDxfId="780" dataCellStyle="Normal 2"/>
    <tableColumn id="39" xr3:uid="{00000000-0010-0000-1700-000027000000}" name="Incremental Cost" dataDxfId="779" dataCellStyle="Normal 2"/>
    <tableColumn id="33" xr3:uid="{00000000-0010-0000-1700-000021000000}" name="Typical Unit Size" dataDxfId="778" dataCellStyle="Normal 2"/>
    <tableColumn id="31" xr3:uid="{00000000-0010-0000-1700-00001F000000}" name="Unit of Measure" dataDxfId="777" dataCellStyle="Normal 2"/>
    <tableColumn id="22" xr3:uid="{00000000-0010-0000-1700-000016000000}" name="Base Desc 1" dataDxfId="776" dataCellStyle="Normal 2"/>
    <tableColumn id="23" xr3:uid="{00000000-0010-0000-1700-000017000000}" name="Base Desc 2" dataDxfId="775" dataCellStyle="Normal 2"/>
    <tableColumn id="24" xr3:uid="{00000000-0010-0000-1700-000018000000}" name="Base Watt" dataDxfId="774" dataCellStyle="Normal 2"/>
    <tableColumn id="28" xr3:uid="{00000000-0010-0000-1700-00001C000000}" name="Base Watt 2" dataDxfId="773" dataCellStyle="Normal 2"/>
    <tableColumn id="25" xr3:uid="{00000000-0010-0000-1700-000019000000}" name="Eff Desc 1" dataDxfId="772" dataCellStyle="Normal 2"/>
    <tableColumn id="26" xr3:uid="{00000000-0010-0000-1700-00001A000000}" name="Eff Desc 2" dataDxfId="771" dataCellStyle="Normal 2"/>
    <tableColumn id="27" xr3:uid="{00000000-0010-0000-1700-00001B000000}" name="Eff Watt" dataDxfId="770" dataCellStyle="Normal 2"/>
    <tableColumn id="29" xr3:uid="{00000000-0010-0000-1700-00001D000000}" name="Eff Watt 2" dataDxfId="769" dataCellStyle="Normal 2"/>
    <tableColumn id="32" xr3:uid="{00000000-0010-0000-1700-000020000000}" name="Op Hr 1" dataDxfId="768" dataCellStyle="Normal 2"/>
    <tableColumn id="38" xr3:uid="{00000000-0010-0000-1700-000026000000}" name="Order" dataDxfId="767" dataCellStyle="Normal 2"/>
  </tableColumns>
  <tableStyleInfo name="TableStyleMedium1"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18000000}" name="PMEREFRI" displayName="PMEREFRI" ref="A53:AK89" totalsRowShown="0" headerRowDxfId="766" dataDxfId="765" headerRowCellStyle="Normal 2" dataCellStyle="Normal 2">
  <autoFilter ref="A53:AK89" xr:uid="{00000000-0009-0000-0100-000009000000}"/>
  <sortState xmlns:xlrd2="http://schemas.microsoft.com/office/spreadsheetml/2017/richdata2" ref="A54:AK89">
    <sortCondition ref="AH53:AH89"/>
  </sortState>
  <tableColumns count="37">
    <tableColumn id="1" xr3:uid="{00000000-0010-0000-1800-000001000000}" name="Measure #" dataDxfId="764" dataCellStyle="Normal 2"/>
    <tableColumn id="2" xr3:uid="{00000000-0010-0000-1800-000002000000}" name="Measure Name" dataDxfId="763" dataCellStyle="Normal 2"/>
    <tableColumn id="3" xr3:uid="{00000000-0010-0000-1800-000003000000}" name="Equipment Description" dataDxfId="762" dataCellStyle="Normal 2"/>
    <tableColumn id="4" xr3:uid="{00000000-0010-0000-1800-000004000000}" name="Eff Category" dataDxfId="761" dataCellStyle="Normal 2"/>
    <tableColumn id="5" xr3:uid="{00000000-0010-0000-1800-000005000000}" name="Eff Measure Group" dataDxfId="760" dataCellStyle="Normal 2"/>
    <tableColumn id="6" xr3:uid="{00000000-0010-0000-1800-000006000000}" name="Eff Equip Descr" dataDxfId="759" dataCellStyle="Normal 2"/>
    <tableColumn id="7" xr3:uid="{00000000-0010-0000-1800-000007000000}" name="Base Category" dataDxfId="758" dataCellStyle="Normal 2"/>
    <tableColumn id="8" xr3:uid="{00000000-0010-0000-1800-000008000000}" name="Base Measure Group" dataDxfId="757" dataCellStyle="Normal 2"/>
    <tableColumn id="9" xr3:uid="{00000000-0010-0000-1800-000009000000}" name="Base Equip Descr" dataDxfId="756" dataCellStyle="Normal 2"/>
    <tableColumn id="10" xr3:uid="{00000000-0010-0000-1800-00000A000000}" name="Program Design" dataDxfId="755" dataCellStyle="Normal 2"/>
    <tableColumn id="11" xr3:uid="{00000000-0010-0000-1800-00000B000000}" name="TRM Reference No." dataDxfId="754" dataCellStyle="Normal 2"/>
    <tableColumn id="12" xr3:uid="{00000000-0010-0000-1800-00000C000000}" name="Measure Life" dataDxfId="753" dataCellStyle="Normal 2"/>
    <tableColumn id="13" xr3:uid="{00000000-0010-0000-1800-00000D000000}" name="Created On" dataDxfId="752" dataCellStyle="Normal 2"/>
    <tableColumn id="14" xr3:uid="{00000000-0010-0000-1800-00000E000000}" name="Source" dataDxfId="751" dataCellStyle="Normal 2"/>
    <tableColumn id="15" xr3:uid="{00000000-0010-0000-1800-00000F000000}" name="End Use Category" dataDxfId="750" dataCellStyle="Normal 2"/>
    <tableColumn id="16" xr3:uid="{00000000-0010-0000-1800-000010000000}" name="Inc Rate Unit" dataDxfId="749" dataCellStyle="Normal 2"/>
    <tableColumn id="17" xr3:uid="{00000000-0010-0000-1800-000011000000}" name="Savings per Unit kWh" dataDxfId="748" dataCellStyle="Normal 2"/>
    <tableColumn id="18" xr3:uid="{00000000-0010-0000-1800-000012000000}" name="Savings per Unit kW" dataDxfId="747" dataCellStyle="Normal 2"/>
    <tableColumn id="19" xr3:uid="{00000000-0010-0000-1800-000013000000}" name="Inc Rate kWh" dataDxfId="746" dataCellStyle="Normal 2"/>
    <tableColumn id="30" xr3:uid="{00000000-0010-0000-1800-00001E000000}" name="Inc Rate kW" dataDxfId="745" dataCellStyle="Normal 2"/>
    <tableColumn id="31" xr3:uid="{00000000-0010-0000-1800-00001F000000}" name="Energy Type" dataDxfId="744" dataCellStyle="Normal 2"/>
    <tableColumn id="36" xr3:uid="{00000000-0010-0000-1800-000024000000}" name="Program" dataDxfId="743" dataCellStyle="Normal 2"/>
    <tableColumn id="35" xr3:uid="{00000000-0010-0000-1800-000023000000}" name="Lighting vs Non Lighting" dataDxfId="742" dataCellStyle="Normal 2"/>
    <tableColumn id="34" xr3:uid="{00000000-0010-0000-1800-000022000000}" name="Status" dataDxfId="741" dataCellStyle="Normal 2"/>
    <tableColumn id="33" xr3:uid="{00000000-0010-0000-1800-000021000000}" name="SUTO" dataDxfId="740" dataCellStyle="Normal 2"/>
    <tableColumn id="32" xr3:uid="{00000000-0010-0000-1800-000020000000}" name="Cost Basis" dataDxfId="739" dataCellStyle="Normal 2"/>
    <tableColumn id="37" xr3:uid="{00000000-0010-0000-1800-000025000000}" name="Incremental Cost" dataDxfId="738" dataCellStyle="Normal 2"/>
    <tableColumn id="20" xr3:uid="{00000000-0010-0000-1800-000014000000}" name="Typical Unit Size" dataDxfId="737" dataCellStyle="Normal 2"/>
    <tableColumn id="21" xr3:uid="{00000000-0010-0000-1800-000015000000}" name="Unit of Measure" dataDxfId="736" dataCellStyle="Normal 2"/>
    <tableColumn id="22" xr3:uid="{00000000-0010-0000-1800-000016000000}" name="Base Desc 1" dataDxfId="735" dataCellStyle="Normal 2"/>
    <tableColumn id="23" xr3:uid="{00000000-0010-0000-1800-000017000000}" name="Base Desc 2" dataDxfId="734" dataCellStyle="Normal 2"/>
    <tableColumn id="24" xr3:uid="{00000000-0010-0000-1800-000018000000}" name="Base Watt" dataDxfId="733" dataCellStyle="Normal 2"/>
    <tableColumn id="28" xr3:uid="{00000000-0010-0000-1800-00001C000000}" name="Base Watt 2" dataDxfId="732" dataCellStyle="Normal 2"/>
    <tableColumn id="25" xr3:uid="{00000000-0010-0000-1800-000019000000}" name="Eff Desc 1" dataDxfId="731" dataCellStyle="Normal 2"/>
    <tableColumn id="26" xr3:uid="{00000000-0010-0000-1800-00001A000000}" name="Eff Desc 2" dataDxfId="730" dataCellStyle="Normal 2"/>
    <tableColumn id="27" xr3:uid="{00000000-0010-0000-1800-00001B000000}" name="Eff Watt" dataDxfId="729" dataCellStyle="Normal 2"/>
    <tableColumn id="29" xr3:uid="{00000000-0010-0000-1800-00001D000000}" name="Eff Watt 2" dataDxfId="728" dataCellStyle="Normal 2"/>
  </tableColumns>
  <tableStyleInfo name="TableStyleMedium3"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19000000}" name="PMEHVAC" displayName="PMEHVAC" ref="A92:AN113" totalsRowShown="0" headerRowDxfId="727" dataDxfId="726" headerRowCellStyle="Normal 2" dataCellStyle="Normal 2">
  <autoFilter ref="A92:AN113" xr:uid="{00000000-0009-0000-0100-00000A000000}"/>
  <sortState xmlns:xlrd2="http://schemas.microsoft.com/office/spreadsheetml/2017/richdata2" ref="A93:AN113">
    <sortCondition ref="AH92:AH113"/>
  </sortState>
  <tableColumns count="40">
    <tableColumn id="1" xr3:uid="{00000000-0010-0000-1900-000001000000}" name="Measure #" dataDxfId="725" dataCellStyle="Normal 2"/>
    <tableColumn id="2" xr3:uid="{00000000-0010-0000-1900-000002000000}" name="Measure Name" dataDxfId="724" dataCellStyle="Normal 2"/>
    <tableColumn id="3" xr3:uid="{00000000-0010-0000-1900-000003000000}" name="Equipment Description" dataDxfId="723" dataCellStyle="Normal 2"/>
    <tableColumn id="4" xr3:uid="{00000000-0010-0000-1900-000004000000}" name="Eff Category" dataDxfId="722" dataCellStyle="Normal 2"/>
    <tableColumn id="5" xr3:uid="{00000000-0010-0000-1900-000005000000}" name="Eff Measure Group" dataDxfId="721" dataCellStyle="Normal 2"/>
    <tableColumn id="6" xr3:uid="{00000000-0010-0000-1900-000006000000}" name="Eff Equip Descr" dataDxfId="720" dataCellStyle="Normal 2"/>
    <tableColumn id="7" xr3:uid="{00000000-0010-0000-1900-000007000000}" name="Base Category" dataDxfId="719" dataCellStyle="Normal 2"/>
    <tableColumn id="8" xr3:uid="{00000000-0010-0000-1900-000008000000}" name="Base Measure Group" dataDxfId="718" dataCellStyle="Normal 2"/>
    <tableColumn id="9" xr3:uid="{00000000-0010-0000-1900-000009000000}" name="Base Equip Descr" dataDxfId="717" dataCellStyle="Normal 2"/>
    <tableColumn id="10" xr3:uid="{00000000-0010-0000-1900-00000A000000}" name="Program Design" dataDxfId="716" dataCellStyle="Normal 2"/>
    <tableColumn id="11" xr3:uid="{00000000-0010-0000-1900-00000B000000}" name="TRM Reference No." dataDxfId="715" dataCellStyle="Normal 2"/>
    <tableColumn id="12" xr3:uid="{00000000-0010-0000-1900-00000C000000}" name="Measure Life" dataDxfId="714" dataCellStyle="Normal 2"/>
    <tableColumn id="13" xr3:uid="{00000000-0010-0000-1900-00000D000000}" name="Created On" dataDxfId="713" dataCellStyle="Normal 2"/>
    <tableColumn id="14" xr3:uid="{00000000-0010-0000-1900-00000E000000}" name="Source" dataDxfId="712" dataCellStyle="Normal 2"/>
    <tableColumn id="15" xr3:uid="{00000000-0010-0000-1900-00000F000000}" name="End Use Category" dataDxfId="711" dataCellStyle="Normal 2"/>
    <tableColumn id="16" xr3:uid="{00000000-0010-0000-1900-000010000000}" name="Inc Rate Unit" dataDxfId="710" dataCellStyle="Normal 2"/>
    <tableColumn id="17" xr3:uid="{00000000-0010-0000-1900-000011000000}" name="Savings per Unit kWh" dataDxfId="709" dataCellStyle="Normal 2"/>
    <tableColumn id="18" xr3:uid="{00000000-0010-0000-1900-000012000000}" name="Savings per Unit kW" dataDxfId="708" dataCellStyle="Normal 2"/>
    <tableColumn id="19" xr3:uid="{00000000-0010-0000-1900-000013000000}" name="Inc Rate kWh" dataDxfId="707" dataCellStyle="Normal 2"/>
    <tableColumn id="20" xr3:uid="{00000000-0010-0000-1900-000014000000}" name="Inc Rate kW" dataDxfId="706" dataCellStyle="Normal 2"/>
    <tableColumn id="32" xr3:uid="{00000000-0010-0000-1900-000020000000}" name="Energy Type" dataDxfId="705" dataCellStyle="Normal 2"/>
    <tableColumn id="36" xr3:uid="{00000000-0010-0000-1900-000024000000}" name="Program" dataDxfId="704" dataCellStyle="Normal 2"/>
    <tableColumn id="35" xr3:uid="{00000000-0010-0000-1900-000023000000}" name="Lighting vs Non Lighting" dataDxfId="703" dataCellStyle="Normal 2"/>
    <tableColumn id="34" xr3:uid="{00000000-0010-0000-1900-000022000000}" name="Status" dataDxfId="702" dataCellStyle="Normal 2"/>
    <tableColumn id="33" xr3:uid="{00000000-0010-0000-1900-000021000000}" name="SUTO" dataDxfId="701" dataCellStyle="Normal 2"/>
    <tableColumn id="30" xr3:uid="{00000000-0010-0000-1900-00001E000000}" name="Cost Basis" dataDxfId="700" dataCellStyle="Normal 2"/>
    <tableColumn id="37" xr3:uid="{00000000-0010-0000-1900-000025000000}" name="Incremental Cost" dataDxfId="699" dataCellStyle="Normal 2"/>
    <tableColumn id="31" xr3:uid="{00000000-0010-0000-1900-00001F000000}" name="Typical Unit Size" dataDxfId="698" dataCellStyle="Normal 2"/>
    <tableColumn id="21" xr3:uid="{00000000-0010-0000-1900-000015000000}" name="Unit of Measure" dataDxfId="697" dataCellStyle="Normal 2"/>
    <tableColumn id="22" xr3:uid="{00000000-0010-0000-1900-000016000000}" name="Base Desc 1" dataDxfId="696" dataCellStyle="Normal 2"/>
    <tableColumn id="23" xr3:uid="{00000000-0010-0000-1900-000017000000}" name="Base Desc 2" dataDxfId="695" dataCellStyle="Normal 2"/>
    <tableColumn id="24" xr3:uid="{00000000-0010-0000-1900-000018000000}" name="Base Watt" dataDxfId="694" dataCellStyle="Normal 2"/>
    <tableColumn id="28" xr3:uid="{00000000-0010-0000-1900-00001C000000}" name="Base Watt 2" dataDxfId="693" dataCellStyle="Normal 2"/>
    <tableColumn id="25" xr3:uid="{00000000-0010-0000-1900-000019000000}" name="Eff Desc 1" dataDxfId="692" dataCellStyle="Normal 2"/>
    <tableColumn id="26" xr3:uid="{00000000-0010-0000-1900-00001A000000}" name="Eff Desc 2" dataDxfId="691" dataCellStyle="Normal 2"/>
    <tableColumn id="27" xr3:uid="{00000000-0010-0000-1900-00001B000000}" name="Eff Watt" dataDxfId="690" dataCellStyle="Normal 2"/>
    <tableColumn id="29" xr3:uid="{00000000-0010-0000-1900-00001D000000}" name="Eff Watt 2" dataDxfId="689" dataCellStyle="Normal 2"/>
    <tableColumn id="38" xr3:uid="{AEEDEE38-701F-4E1B-9070-E2B3435F53D5}" name="EFLHcool" dataDxfId="688" dataCellStyle="Normal 2"/>
    <tableColumn id="39" xr3:uid="{270DF925-76C1-4D36-BB4C-ED3472D01D9B}" name="EFLHheat" dataDxfId="687" dataCellStyle="Normal 2"/>
    <tableColumn id="40" xr3:uid="{8F36D5F3-AF21-460B-8D09-61CEE1822C03}" name="Therms" dataDxfId="686" dataCellStyle="Normal 2"/>
  </tableColumns>
  <tableStyleInfo name="TableStyleMedium4"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1A000000}" name="PMEKITCHEN" displayName="PMEKITCHEN" ref="A116:AK134" totalsRowShown="0" headerRowDxfId="685" dataDxfId="684" headerRowCellStyle="Normal 2" dataCellStyle="Normal 2">
  <autoFilter ref="A116:AK134" xr:uid="{00000000-0009-0000-0100-00000B000000}"/>
  <sortState xmlns:xlrd2="http://schemas.microsoft.com/office/spreadsheetml/2017/richdata2" ref="A117:AK134">
    <sortCondition ref="AH116:AH134"/>
  </sortState>
  <tableColumns count="37">
    <tableColumn id="1" xr3:uid="{00000000-0010-0000-1A00-000001000000}" name="Measure #" dataDxfId="683" dataCellStyle="Normal 2"/>
    <tableColumn id="2" xr3:uid="{00000000-0010-0000-1A00-000002000000}" name="Measure Name" dataDxfId="682" dataCellStyle="Normal 2"/>
    <tableColumn id="3" xr3:uid="{00000000-0010-0000-1A00-000003000000}" name="Equipment Description" dataDxfId="681" dataCellStyle="Normal 2"/>
    <tableColumn id="4" xr3:uid="{00000000-0010-0000-1A00-000004000000}" name="Eff Category" dataDxfId="680" dataCellStyle="Normal 2"/>
    <tableColumn id="5" xr3:uid="{00000000-0010-0000-1A00-000005000000}" name="Eff Measure Group" dataDxfId="679" dataCellStyle="Normal 2"/>
    <tableColumn id="6" xr3:uid="{00000000-0010-0000-1A00-000006000000}" name="Eff Equip Descr" dataDxfId="678" dataCellStyle="Normal 2"/>
    <tableColumn id="7" xr3:uid="{00000000-0010-0000-1A00-000007000000}" name="Base Category" dataDxfId="677" dataCellStyle="Normal 2"/>
    <tableColumn id="8" xr3:uid="{00000000-0010-0000-1A00-000008000000}" name="Base Measure Group" dataDxfId="676" dataCellStyle="Normal 2"/>
    <tableColumn id="9" xr3:uid="{00000000-0010-0000-1A00-000009000000}" name="Base Equip Descr" dataDxfId="675" dataCellStyle="Normal 2"/>
    <tableColumn id="10" xr3:uid="{00000000-0010-0000-1A00-00000A000000}" name="Program Design" dataDxfId="674" dataCellStyle="Normal 2"/>
    <tableColumn id="11" xr3:uid="{00000000-0010-0000-1A00-00000B000000}" name="TRM Reference No." dataDxfId="673" dataCellStyle="Normal 2"/>
    <tableColumn id="12" xr3:uid="{00000000-0010-0000-1A00-00000C000000}" name="Measure Life" dataDxfId="672" dataCellStyle="Normal 2"/>
    <tableColumn id="13" xr3:uid="{00000000-0010-0000-1A00-00000D000000}" name="Created On" dataDxfId="671" dataCellStyle="Normal 2"/>
    <tableColumn id="14" xr3:uid="{00000000-0010-0000-1A00-00000E000000}" name="Source" dataDxfId="670" dataCellStyle="Normal 2"/>
    <tableColumn id="15" xr3:uid="{00000000-0010-0000-1A00-00000F000000}" name="End Use Category" dataDxfId="669" dataCellStyle="Normal 2"/>
    <tableColumn id="16" xr3:uid="{00000000-0010-0000-1A00-000010000000}" name="Inc Rate Unit" dataDxfId="668" dataCellStyle="Normal 2"/>
    <tableColumn id="17" xr3:uid="{00000000-0010-0000-1A00-000011000000}" name="Savings per Unit kWh" dataDxfId="667" dataCellStyle="Normal 2"/>
    <tableColumn id="18" xr3:uid="{00000000-0010-0000-1A00-000012000000}" name="Savings per Unit kW" dataDxfId="666" dataCellStyle="Normal 2"/>
    <tableColumn id="19" xr3:uid="{00000000-0010-0000-1A00-000013000000}" name="Inc Rate kWh" dataDxfId="665" dataCellStyle="Normal 2"/>
    <tableColumn id="20" xr3:uid="{00000000-0010-0000-1A00-000014000000}" name="Inc Rate kW" dataDxfId="664" dataCellStyle="Normal 2"/>
    <tableColumn id="21" xr3:uid="{00000000-0010-0000-1A00-000015000000}" name="Energy Type" dataDxfId="663" dataCellStyle="Normal 2"/>
    <tableColumn id="34" xr3:uid="{00000000-0010-0000-1A00-000022000000}" name="Program" dataDxfId="662" dataCellStyle="Normal 2"/>
    <tableColumn id="33" xr3:uid="{00000000-0010-0000-1A00-000021000000}" name="Lighting vs Non Lighting" dataDxfId="661" dataCellStyle="Normal 2"/>
    <tableColumn id="32" xr3:uid="{00000000-0010-0000-1A00-000020000000}" name="Status" dataDxfId="660" dataCellStyle="Normal 2"/>
    <tableColumn id="35" xr3:uid="{00000000-0010-0000-1A00-000023000000}" name="SUTO" dataDxfId="659" dataCellStyle="Normal 2"/>
    <tableColumn id="36" xr3:uid="{00000000-0010-0000-1A00-000024000000}" name="Cost Basis" dataDxfId="658" dataCellStyle="Normal 2"/>
    <tableColumn id="37" xr3:uid="{00000000-0010-0000-1A00-000025000000}" name="Incremental Cost" dataDxfId="657" dataCellStyle="Normal 2"/>
    <tableColumn id="31" xr3:uid="{00000000-0010-0000-1A00-00001F000000}" name="Typical Unit Size" dataDxfId="656" dataCellStyle="Normal 2"/>
    <tableColumn id="30" xr3:uid="{00000000-0010-0000-1A00-00001E000000}" name="Unit of Measure" dataDxfId="655" dataCellStyle="Normal 2"/>
    <tableColumn id="22" xr3:uid="{00000000-0010-0000-1A00-000016000000}" name="Base Desc 1" dataDxfId="654" dataCellStyle="Normal 2"/>
    <tableColumn id="23" xr3:uid="{00000000-0010-0000-1A00-000017000000}" name="Base Desc 2" dataDxfId="653" dataCellStyle="Normal 2"/>
    <tableColumn id="24" xr3:uid="{00000000-0010-0000-1A00-000018000000}" name="Base Watt" dataDxfId="652" dataCellStyle="Normal 2"/>
    <tableColumn id="28" xr3:uid="{00000000-0010-0000-1A00-00001C000000}" name="Base Watt 2" dataDxfId="651" dataCellStyle="Normal 2"/>
    <tableColumn id="25" xr3:uid="{00000000-0010-0000-1A00-000019000000}" name="Eff Desc 1" dataDxfId="650" dataCellStyle="Normal 2"/>
    <tableColumn id="26" xr3:uid="{00000000-0010-0000-1A00-00001A000000}" name="Eff Desc 2" dataDxfId="649" dataCellStyle="Normal 2"/>
    <tableColumn id="27" xr3:uid="{00000000-0010-0000-1A00-00001B000000}" name="Eff Watt" dataDxfId="648" dataCellStyle="Normal 2"/>
    <tableColumn id="29" xr3:uid="{00000000-0010-0000-1A00-00001D000000}" name="Eff Watt 2" dataDxfId="647" dataCellStyle="Normal 2"/>
  </tableColumns>
  <tableStyleInfo name="TableStyleMedium5"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05000000}" name="BUILDINGTYPE" displayName="BUILDINGTYPE" ref="A4:B21" totalsRowShown="0">
  <autoFilter ref="A4:B21" xr:uid="{00000000-0009-0000-0100-000016000000}"/>
  <sortState xmlns:xlrd2="http://schemas.microsoft.com/office/spreadsheetml/2017/richdata2" ref="A5:B21">
    <sortCondition ref="A4:A21"/>
  </sortState>
  <tableColumns count="2">
    <tableColumn id="1" xr3:uid="{00000000-0010-0000-0500-000001000000}" name="Building Type"/>
    <tableColumn id="2" xr3:uid="{00000000-0010-0000-0500-000002000000}" name="Lighting Coincidence Factor" dataDxfId="826"/>
  </tableColumns>
  <tableStyleInfo name="TableStyleMedium2"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1B000000}" name="PMELIGHTTYPE" displayName="PMELIGHTTYPE" ref="AO1:AS18" totalsRowShown="0" headerRowDxfId="646" dataDxfId="644" headerRowBorderDxfId="645" tableBorderDxfId="643" totalsRowBorderDxfId="642" headerRowCellStyle="Normal 2" dataCellStyle="Normal 2">
  <autoFilter ref="AO1:AS18" xr:uid="{00000000-0009-0000-0100-00000F000000}"/>
  <sortState xmlns:xlrd2="http://schemas.microsoft.com/office/spreadsheetml/2017/richdata2" ref="AO2:AS18">
    <sortCondition ref="AS1:AS18"/>
  </sortState>
  <tableColumns count="5">
    <tableColumn id="1" xr3:uid="{00000000-0010-0000-1B00-000001000000}" name="Base Desc 1" dataDxfId="641" dataCellStyle="Normal 2"/>
    <tableColumn id="2" xr3:uid="{00000000-0010-0000-1B00-000002000000}" name="Base Autofill" dataDxfId="640" dataCellStyle="Normal 2"/>
    <tableColumn id="3" xr3:uid="{00000000-0010-0000-1B00-000003000000}" name="Base Watt" dataDxfId="639" dataCellStyle="Normal 2"/>
    <tableColumn id="4" xr3:uid="{00000000-0010-0000-1B00-000004000000}" name="Base W 2" dataDxfId="638" dataCellStyle="Normal 2"/>
    <tableColumn id="5" xr3:uid="{00000000-0010-0000-1B00-000005000000}" name="Order" dataDxfId="637" dataCellStyle="Normal 2"/>
  </tableColumns>
  <tableStyleInfo name="TableStyleMedium5"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1C000000}" name="PMELIGHTCON" displayName="PMELIGHTCON" ref="A46:AK50" totalsRowShown="0" headerRowDxfId="636" dataDxfId="634" headerRowBorderDxfId="635" tableBorderDxfId="633" headerRowCellStyle="Normal 2">
  <autoFilter ref="A46:AK50" xr:uid="{00000000-0009-0000-0100-000010000000}"/>
  <sortState xmlns:xlrd2="http://schemas.microsoft.com/office/spreadsheetml/2017/richdata2" ref="A47:AK50">
    <sortCondition ref="AH46:AH50"/>
  </sortState>
  <tableColumns count="37">
    <tableColumn id="1" xr3:uid="{00000000-0010-0000-1C00-000001000000}" name="Measure #" dataDxfId="632" dataCellStyle="Normal 2"/>
    <tableColumn id="2" xr3:uid="{00000000-0010-0000-1C00-000002000000}" name="Measure Name" dataDxfId="631" dataCellStyle="Normal 2"/>
    <tableColumn id="3" xr3:uid="{00000000-0010-0000-1C00-000003000000}" name="Equipment Description" dataDxfId="630" dataCellStyle="Normal 2"/>
    <tableColumn id="4" xr3:uid="{00000000-0010-0000-1C00-000004000000}" name="Eff Category" dataDxfId="629" dataCellStyle="Normal 2"/>
    <tableColumn id="5" xr3:uid="{00000000-0010-0000-1C00-000005000000}" name="Eff Measure Group" dataDxfId="628" dataCellStyle="Normal 2"/>
    <tableColumn id="6" xr3:uid="{00000000-0010-0000-1C00-000006000000}" name="Eff Equip Descr" dataDxfId="627" dataCellStyle="Normal 2"/>
    <tableColumn id="7" xr3:uid="{00000000-0010-0000-1C00-000007000000}" name="Base Category" dataDxfId="626" dataCellStyle="Normal 2"/>
    <tableColumn id="8" xr3:uid="{00000000-0010-0000-1C00-000008000000}" name="Base Measure Group" dataDxfId="625" dataCellStyle="Normal 2"/>
    <tableColumn id="9" xr3:uid="{00000000-0010-0000-1C00-000009000000}" name="Base Equip Descr" dataDxfId="624" dataCellStyle="Normal 2"/>
    <tableColumn id="10" xr3:uid="{00000000-0010-0000-1C00-00000A000000}" name="Program Design" dataDxfId="623" dataCellStyle="Normal 2"/>
    <tableColumn id="11" xr3:uid="{00000000-0010-0000-1C00-00000B000000}" name="TRM Reference No." dataDxfId="622" dataCellStyle="Normal 2"/>
    <tableColumn id="12" xr3:uid="{00000000-0010-0000-1C00-00000C000000}" name="Measure Life" dataDxfId="621" dataCellStyle="Normal 2"/>
    <tableColumn id="13" xr3:uid="{00000000-0010-0000-1C00-00000D000000}" name="Created On" dataDxfId="620" dataCellStyle="Normal 2"/>
    <tableColumn id="14" xr3:uid="{00000000-0010-0000-1C00-00000E000000}" name="Source" dataDxfId="619" dataCellStyle="Normal 2"/>
    <tableColumn id="15" xr3:uid="{00000000-0010-0000-1C00-00000F000000}" name="End Use Category" dataDxfId="618" dataCellStyle="Normal 2"/>
    <tableColumn id="16" xr3:uid="{00000000-0010-0000-1C00-000010000000}" name="Inc Rate Unit" dataDxfId="617" dataCellStyle="Normal 2"/>
    <tableColumn id="17" xr3:uid="{00000000-0010-0000-1C00-000011000000}" name="Savings per Unit kWh" dataDxfId="616" dataCellStyle="Normal 2"/>
    <tableColumn id="18" xr3:uid="{00000000-0010-0000-1C00-000012000000}" name="Savings per Unit kW" dataDxfId="615" dataCellStyle="Normal 2"/>
    <tableColumn id="19" xr3:uid="{00000000-0010-0000-1C00-000013000000}" name="Inc Rate kWh" dataDxfId="614" dataCellStyle="Normal 2"/>
    <tableColumn id="20" xr3:uid="{00000000-0010-0000-1C00-000014000000}" name="Inc Rate kW" dataDxfId="613" dataCellStyle="Normal 2"/>
    <tableColumn id="21" xr3:uid="{00000000-0010-0000-1C00-000015000000}" name="Energy Type" dataDxfId="612" dataCellStyle="Normal 2"/>
    <tableColumn id="36" xr3:uid="{00000000-0010-0000-1C00-000024000000}" name="Program" dataDxfId="611" dataCellStyle="Normal 2"/>
    <tableColumn id="35" xr3:uid="{00000000-0010-0000-1C00-000023000000}" name="Lighting vs Non Lighting" dataDxfId="610" dataCellStyle="Normal 2"/>
    <tableColumn id="34" xr3:uid="{00000000-0010-0000-1C00-000022000000}" name="Status" dataDxfId="609" dataCellStyle="Normal 2"/>
    <tableColumn id="33" xr3:uid="{00000000-0010-0000-1C00-000021000000}" name="SUTO" dataDxfId="608" dataCellStyle="Normal 2"/>
    <tableColumn id="32" xr3:uid="{00000000-0010-0000-1C00-000020000000}" name="Cost Basis" dataDxfId="607" dataCellStyle="Normal 2"/>
    <tableColumn id="37" xr3:uid="{00000000-0010-0000-1C00-000025000000}" name="Incremental Cost" dataDxfId="606" dataCellStyle="Normal 2"/>
    <tableColumn id="31" xr3:uid="{00000000-0010-0000-1C00-00001F000000}" name="Typical Unit Size" dataDxfId="605" dataCellStyle="Normal 2"/>
    <tableColumn id="30" xr3:uid="{00000000-0010-0000-1C00-00001E000000}" name="Unit of Measure" dataDxfId="604" dataCellStyle="Normal 2"/>
    <tableColumn id="22" xr3:uid="{00000000-0010-0000-1C00-000016000000}" name="Base Desc 1" dataDxfId="603"/>
    <tableColumn id="23" xr3:uid="{00000000-0010-0000-1C00-000017000000}" name="Base Desc 2" dataDxfId="602"/>
    <tableColumn id="24" xr3:uid="{00000000-0010-0000-1C00-000018000000}" name="Base Watt" dataDxfId="601"/>
    <tableColumn id="28" xr3:uid="{00000000-0010-0000-1C00-00001C000000}" name="Base Watt 2" dataDxfId="600"/>
    <tableColumn id="25" xr3:uid="{00000000-0010-0000-1C00-000019000000}" name="Eff Desc 1" dataDxfId="599" dataCellStyle="Normal 2"/>
    <tableColumn id="26" xr3:uid="{00000000-0010-0000-1C00-00001A000000}" name="Eff Desc 2" dataDxfId="598"/>
    <tableColumn id="27" xr3:uid="{00000000-0010-0000-1C00-00001B000000}" name="Eff Watt" dataDxfId="597"/>
    <tableColumn id="29" xr3:uid="{00000000-0010-0000-1C00-00001D000000}" name="Eff Watt 2" dataDxfId="596"/>
  </tableColumns>
  <tableStyleInfo name="TableStyleMedium2"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00000000-000C-0000-FFFF-FFFF1D000000}" name="PMELIGHTLIN" displayName="PMELIGHTLIN" ref="AU1:BB9" totalsRowShown="0" headerRowDxfId="595" dataDxfId="593" headerRowBorderDxfId="594" tableBorderDxfId="592" totalsRowBorderDxfId="591" headerRowCellStyle="Normal 2" dataCellStyle="Normal 2">
  <autoFilter ref="AU1:BB9" xr:uid="{00000000-0009-0000-0100-00002D000000}"/>
  <sortState xmlns:xlrd2="http://schemas.microsoft.com/office/spreadsheetml/2017/richdata2" ref="AY2:BF9">
    <sortCondition ref="BF1:BF9"/>
  </sortState>
  <tableColumns count="8">
    <tableColumn id="1" xr3:uid="{00000000-0010-0000-1D00-000001000000}" name="Measure Validator" dataDxfId="590" dataCellStyle="Normal 2"/>
    <tableColumn id="3" xr3:uid="{00000000-0010-0000-1D00-000003000000}" name="Measure #" dataDxfId="589"/>
    <tableColumn id="2" xr3:uid="{00000000-0010-0000-1D00-000002000000}" name="Inc Rate Unit" dataDxfId="588" dataCellStyle="Normal 2"/>
    <tableColumn id="4" xr3:uid="{00000000-0010-0000-1D00-000004000000}" name="Base Watt 1" dataDxfId="587" dataCellStyle="Normal 2"/>
    <tableColumn id="5" xr3:uid="{00000000-0010-0000-1D00-000005000000}" name="Eff Watt 1" dataDxfId="586" dataCellStyle="Normal 2"/>
    <tableColumn id="6" xr3:uid="{00000000-0010-0000-1D00-000006000000}" name="Op Hr 1" dataDxfId="585" dataCellStyle="Normal 2"/>
    <tableColumn id="7" xr3:uid="{00000000-0010-0000-1D00-000007000000}" name="Op Hr 2" dataDxfId="584" dataCellStyle="Normal 2"/>
    <tableColumn id="8" xr3:uid="{00000000-0010-0000-1D00-000008000000}" name="End Use Category" dataDxfId="583" dataCellStyle="Normal 2"/>
  </tableColumns>
  <tableStyleInfo name="TableStyleMedium5"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1E000000}" name="PMGHVAC" displayName="PMGHVAC" ref="A136:AK152" totalsRowShown="0" headerRowDxfId="582" dataDxfId="580" headerRowBorderDxfId="581" tableBorderDxfId="579" headerRowCellStyle="Normal 2" dataCellStyle="Normal 2">
  <autoFilter ref="A136:AK152" xr:uid="{00000000-0009-0000-0100-00000C000000}"/>
  <sortState xmlns:xlrd2="http://schemas.microsoft.com/office/spreadsheetml/2017/richdata2" ref="A137:AK152">
    <sortCondition ref="AH136:AH152"/>
  </sortState>
  <tableColumns count="37">
    <tableColumn id="1" xr3:uid="{00000000-0010-0000-1E00-000001000000}" name="Measure #" dataDxfId="578"/>
    <tableColumn id="2" xr3:uid="{00000000-0010-0000-1E00-000002000000}" name="Measure Name" dataDxfId="577"/>
    <tableColumn id="3" xr3:uid="{00000000-0010-0000-1E00-000003000000}" name="Equipment Description" dataDxfId="576" dataCellStyle="Normal 2"/>
    <tableColumn id="4" xr3:uid="{00000000-0010-0000-1E00-000004000000}" name="Eff Category" dataDxfId="575"/>
    <tableColumn id="5" xr3:uid="{00000000-0010-0000-1E00-000005000000}" name="Eff Measure Group" dataDxfId="574"/>
    <tableColumn id="6" xr3:uid="{00000000-0010-0000-1E00-000006000000}" name="Eff Equip Descr" dataDxfId="573" dataCellStyle="Normal 2"/>
    <tableColumn id="7" xr3:uid="{00000000-0010-0000-1E00-000007000000}" name="Base Category" dataDxfId="572"/>
    <tableColumn id="8" xr3:uid="{00000000-0010-0000-1E00-000008000000}" name="Base Measure Group" dataDxfId="571"/>
    <tableColumn id="9" xr3:uid="{00000000-0010-0000-1E00-000009000000}" name="Base Equip Descr" dataDxfId="570" dataCellStyle="Normal 2"/>
    <tableColumn id="10" xr3:uid="{00000000-0010-0000-1E00-00000A000000}" name="Program Design" dataDxfId="569" dataCellStyle="Normal 2"/>
    <tableColumn id="11" xr3:uid="{00000000-0010-0000-1E00-00000B000000}" name="TRM Reference No." dataDxfId="568" dataCellStyle="Normal 2"/>
    <tableColumn id="12" xr3:uid="{00000000-0010-0000-1E00-00000C000000}" name="Measure Life" dataDxfId="567" dataCellStyle="Normal 2"/>
    <tableColumn id="13" xr3:uid="{00000000-0010-0000-1E00-00000D000000}" name="Created On" dataDxfId="566" dataCellStyle="Normal 2"/>
    <tableColumn id="14" xr3:uid="{00000000-0010-0000-1E00-00000E000000}" name="Source" dataDxfId="565" dataCellStyle="Normal 2"/>
    <tableColumn id="15" xr3:uid="{00000000-0010-0000-1E00-00000F000000}" name="End Use Category" dataDxfId="564" dataCellStyle="Normal 2"/>
    <tableColumn id="16" xr3:uid="{00000000-0010-0000-1E00-000010000000}" name="Inc Rate Unit" dataDxfId="563" dataCellStyle="Normal 2"/>
    <tableColumn id="17" xr3:uid="{00000000-0010-0000-1E00-000011000000}" name="Savings per Unit Therm" dataDxfId="562" dataCellStyle="Normal 2"/>
    <tableColumn id="18" xr3:uid="{00000000-0010-0000-1E00-000012000000}" name="NA" dataDxfId="561" dataCellStyle="Normal 2"/>
    <tableColumn id="19" xr3:uid="{00000000-0010-0000-1E00-000013000000}" name="NA2" dataDxfId="560" dataCellStyle="Normal 2"/>
    <tableColumn id="20" xr3:uid="{00000000-0010-0000-1E00-000014000000}" name="NA3" dataDxfId="559" dataCellStyle="Normal 2"/>
    <tableColumn id="21" xr3:uid="{00000000-0010-0000-1E00-000015000000}" name="Energy Type" dataDxfId="558" dataCellStyle="Normal 2"/>
    <tableColumn id="22" xr3:uid="{00000000-0010-0000-1E00-000016000000}" name="Program" dataDxfId="557" dataCellStyle="Normal 2"/>
    <tableColumn id="23" xr3:uid="{00000000-0010-0000-1E00-000017000000}" name="Lighting vs Non Lighting" dataDxfId="556" dataCellStyle="Normal 2"/>
    <tableColumn id="24" xr3:uid="{00000000-0010-0000-1E00-000018000000}" name="Status" dataDxfId="555" dataCellStyle="Normal 2"/>
    <tableColumn id="25" xr3:uid="{00000000-0010-0000-1E00-000019000000}" name="SUTO" dataDxfId="554" dataCellStyle="Normal 2"/>
    <tableColumn id="26" xr3:uid="{00000000-0010-0000-1E00-00001A000000}" name="Cost Basis" dataDxfId="553" dataCellStyle="Normal 2"/>
    <tableColumn id="27" xr3:uid="{00000000-0010-0000-1E00-00001B000000}" name="Incremental Cost" dataDxfId="552" dataCellStyle="Normal 2"/>
    <tableColumn id="28" xr3:uid="{00000000-0010-0000-1E00-00001C000000}" name="Typical Unit Size" dataDxfId="551" dataCellStyle="Normal 2"/>
    <tableColumn id="29" xr3:uid="{00000000-0010-0000-1E00-00001D000000}" name="Unit of Measure" dataDxfId="550" dataCellStyle="Normal 2"/>
    <tableColumn id="30" xr3:uid="{00000000-0010-0000-1E00-00001E000000}" name="Base Desc 1" dataDxfId="549" dataCellStyle="Normal 2"/>
    <tableColumn id="31" xr3:uid="{00000000-0010-0000-1E00-00001F000000}" name="Base Desc 2" dataDxfId="548" dataCellStyle="Normal 2"/>
    <tableColumn id="32" xr3:uid="{00000000-0010-0000-1E00-000020000000}" name="Base Watt" dataDxfId="547" dataCellStyle="Normal 2"/>
    <tableColumn id="33" xr3:uid="{00000000-0010-0000-1E00-000021000000}" name="Base Watt 2" dataDxfId="546" dataCellStyle="Normal 2"/>
    <tableColumn id="34" xr3:uid="{00000000-0010-0000-1E00-000022000000}" name="Eff Desc 1" dataDxfId="545" dataCellStyle="Normal 2"/>
    <tableColumn id="35" xr3:uid="{00000000-0010-0000-1E00-000023000000}" name="Eff Desc 2" dataDxfId="544" dataCellStyle="Normal 2"/>
    <tableColumn id="36" xr3:uid="{00000000-0010-0000-1E00-000024000000}" name="Eff Watt" dataDxfId="543" dataCellStyle="Normal 2"/>
    <tableColumn id="37" xr3:uid="{00000000-0010-0000-1E00-000025000000}" name="Eff Watt 2" dataDxfId="542" dataCellStyle="Normal 2"/>
  </tableColumns>
  <tableStyleInfo name="TableStyleMedium7"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1F000000}" name="PMGWATER" displayName="PMGWATER" ref="A155:AK163" totalsRowShown="0" headerRowDxfId="541" dataDxfId="540" headerRowCellStyle="Normal 2" dataCellStyle="Normal 2">
  <autoFilter ref="A155:AK163" xr:uid="{00000000-0009-0000-0100-00000D000000}"/>
  <sortState xmlns:xlrd2="http://schemas.microsoft.com/office/spreadsheetml/2017/richdata2" ref="A156:AK163">
    <sortCondition ref="AH155:AH163"/>
  </sortState>
  <tableColumns count="37">
    <tableColumn id="1" xr3:uid="{00000000-0010-0000-1F00-000001000000}" name="Measure #" dataDxfId="539" dataCellStyle="Normal 2"/>
    <tableColumn id="2" xr3:uid="{00000000-0010-0000-1F00-000002000000}" name="Measure Name" dataDxfId="538" dataCellStyle="Normal 2"/>
    <tableColumn id="3" xr3:uid="{00000000-0010-0000-1F00-000003000000}" name="Equipment Description" dataDxfId="537"/>
    <tableColumn id="4" xr3:uid="{00000000-0010-0000-1F00-000004000000}" name="Eff Category" dataDxfId="536" dataCellStyle="Normal 2"/>
    <tableColumn id="5" xr3:uid="{00000000-0010-0000-1F00-000005000000}" name="Eff Measure Group" dataDxfId="535" dataCellStyle="Normal 2"/>
    <tableColumn id="6" xr3:uid="{00000000-0010-0000-1F00-000006000000}" name="Eff Equip Descr" dataDxfId="534" dataCellStyle="Normal 2"/>
    <tableColumn id="7" xr3:uid="{00000000-0010-0000-1F00-000007000000}" name="Base Category" dataDxfId="533" dataCellStyle="Normal 2"/>
    <tableColumn id="8" xr3:uid="{00000000-0010-0000-1F00-000008000000}" name="Base Measure Group" dataDxfId="532" dataCellStyle="Normal 2"/>
    <tableColumn id="9" xr3:uid="{00000000-0010-0000-1F00-000009000000}" name="Base Equip Descr" dataDxfId="531" dataCellStyle="Normal 2"/>
    <tableColumn id="10" xr3:uid="{00000000-0010-0000-1F00-00000A000000}" name="Program Design" dataDxfId="530" dataCellStyle="Normal 2"/>
    <tableColumn id="11" xr3:uid="{00000000-0010-0000-1F00-00000B000000}" name="TRM Reference No." dataDxfId="529" dataCellStyle="Normal 2"/>
    <tableColumn id="12" xr3:uid="{00000000-0010-0000-1F00-00000C000000}" name="Measure Life" dataDxfId="528" dataCellStyle="Normal 2"/>
    <tableColumn id="13" xr3:uid="{00000000-0010-0000-1F00-00000D000000}" name="Created On" dataDxfId="527" dataCellStyle="Normal 2"/>
    <tableColumn id="14" xr3:uid="{00000000-0010-0000-1F00-00000E000000}" name="Source" dataDxfId="526" dataCellStyle="Normal 2"/>
    <tableColumn id="15" xr3:uid="{00000000-0010-0000-1F00-00000F000000}" name="End Use Category" dataDxfId="525" dataCellStyle="Normal 2"/>
    <tableColumn id="16" xr3:uid="{00000000-0010-0000-1F00-000010000000}" name="Inc Rate Unit" dataDxfId="524" dataCellStyle="Normal 2"/>
    <tableColumn id="17" xr3:uid="{00000000-0010-0000-1F00-000011000000}" name="Savings per Unit Therm" dataDxfId="523" dataCellStyle="Normal 2"/>
    <tableColumn id="18" xr3:uid="{00000000-0010-0000-1F00-000012000000}" name="NA" dataDxfId="522" dataCellStyle="Normal 2"/>
    <tableColumn id="19" xr3:uid="{00000000-0010-0000-1F00-000013000000}" name="NA2" dataDxfId="521" dataCellStyle="Normal 2"/>
    <tableColumn id="20" xr3:uid="{00000000-0010-0000-1F00-000014000000}" name="NA3" dataDxfId="520" dataCellStyle="Normal 2"/>
    <tableColumn id="21" xr3:uid="{00000000-0010-0000-1F00-000015000000}" name="Energy Type" dataDxfId="519" dataCellStyle="Normal 2"/>
    <tableColumn id="22" xr3:uid="{00000000-0010-0000-1F00-000016000000}" name="Program" dataDxfId="518" dataCellStyle="Normal 2"/>
    <tableColumn id="23" xr3:uid="{00000000-0010-0000-1F00-000017000000}" name="Lighting vs Non Lighting" dataDxfId="517" dataCellStyle="Normal 2"/>
    <tableColumn id="24" xr3:uid="{00000000-0010-0000-1F00-000018000000}" name="Status" dataDxfId="516" dataCellStyle="Normal 2"/>
    <tableColumn id="25" xr3:uid="{00000000-0010-0000-1F00-000019000000}" name="SUTO" dataDxfId="515" dataCellStyle="Normal 2"/>
    <tableColumn id="26" xr3:uid="{00000000-0010-0000-1F00-00001A000000}" name="Cost Basis" dataDxfId="514" dataCellStyle="Normal 2"/>
    <tableColumn id="27" xr3:uid="{00000000-0010-0000-1F00-00001B000000}" name="Incremental Cost" dataDxfId="513" dataCellStyle="Normal 2"/>
    <tableColumn id="28" xr3:uid="{00000000-0010-0000-1F00-00001C000000}" name="Typical Unit Size" dataDxfId="512" dataCellStyle="Normal 2"/>
    <tableColumn id="29" xr3:uid="{00000000-0010-0000-1F00-00001D000000}" name="Unit of Measure" dataDxfId="511" dataCellStyle="Normal 2"/>
    <tableColumn id="30" xr3:uid="{00000000-0010-0000-1F00-00001E000000}" name="Base Desc 1" dataDxfId="510" dataCellStyle="Normal 2"/>
    <tableColumn id="31" xr3:uid="{00000000-0010-0000-1F00-00001F000000}" name="Base Desc 2" dataDxfId="509" dataCellStyle="Normal 2"/>
    <tableColumn id="32" xr3:uid="{00000000-0010-0000-1F00-000020000000}" name="Base Watt" dataDxfId="508" dataCellStyle="Normal 2"/>
    <tableColumn id="33" xr3:uid="{00000000-0010-0000-1F00-000021000000}" name="Base Watt 2" dataDxfId="507" dataCellStyle="Normal 2"/>
    <tableColumn id="34" xr3:uid="{00000000-0010-0000-1F00-000022000000}" name="Eff Desc 1" dataDxfId="506" dataCellStyle="Normal 2"/>
    <tableColumn id="35" xr3:uid="{00000000-0010-0000-1F00-000023000000}" name="Eff Desc 2" dataDxfId="505" dataCellStyle="Normal 2"/>
    <tableColumn id="36" xr3:uid="{00000000-0010-0000-1F00-000024000000}" name="Eff Watt" dataDxfId="504" dataCellStyle="Normal 2"/>
    <tableColumn id="37" xr3:uid="{00000000-0010-0000-1F00-000025000000}" name="Eff Watt 2" dataDxfId="503" dataCellStyle="Normal 2"/>
  </tableColumns>
  <tableStyleInfo name="TableStyleMedium1"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81AFE924-E873-46A1-9896-574AE87C02E7}" name="PMECA" displayName="PMECA" ref="A165:AK179" totalsRowShown="0" headerRowDxfId="502" dataDxfId="500" headerRowBorderDxfId="501" tableBorderDxfId="499" headerRowCellStyle="Normal 2" dataCellStyle="Normal 2">
  <autoFilter ref="A165:AK179" xr:uid="{FB091EB9-BDDA-480F-B01F-B457721FE2FA}"/>
  <sortState xmlns:xlrd2="http://schemas.microsoft.com/office/spreadsheetml/2017/richdata2" ref="A166:AK179">
    <sortCondition ref="AH165:AH179"/>
  </sortState>
  <tableColumns count="37">
    <tableColumn id="1" xr3:uid="{3198A5A7-A309-428E-9EB6-CEF9247FBE87}" name="Measure #" dataDxfId="498" dataCellStyle="Normal 2"/>
    <tableColumn id="2" xr3:uid="{6551910A-7496-44C9-A6C3-7A5269C85B86}" name="Measure Name" dataDxfId="497" dataCellStyle="Normal 2"/>
    <tableColumn id="3" xr3:uid="{B7A015CE-6EB0-49EF-A43C-263B0BEB4FAC}" name="Equipment Description" dataDxfId="496" dataCellStyle="Normal 2"/>
    <tableColumn id="4" xr3:uid="{06AD3926-6596-4704-96B8-DD24D526756C}" name="Eff Category" dataDxfId="495" dataCellStyle="Normal 2"/>
    <tableColumn id="5" xr3:uid="{8F7FF7EC-47B6-458F-AC20-5D8F1561E45E}" name="Eff Measure Group" dataDxfId="494" dataCellStyle="Normal 2"/>
    <tableColumn id="6" xr3:uid="{7EB16E55-648F-462E-B4D9-50336B09963A}" name="Eff Equip Descr" dataDxfId="493" dataCellStyle="Normal 2"/>
    <tableColumn id="7" xr3:uid="{760AB1B6-5D00-435E-9519-642E10C2534B}" name="Base Category" dataDxfId="492" dataCellStyle="Normal 2"/>
    <tableColumn id="8" xr3:uid="{8B9784D3-A8B7-4DA5-BEE3-8B2BEFE3224F}" name="Base Measure Group" dataDxfId="491" dataCellStyle="Normal 2"/>
    <tableColumn id="9" xr3:uid="{40E48D39-CA2F-4529-99B0-34BD5743F801}" name="Base Equip Descr" dataDxfId="490" dataCellStyle="Normal 2"/>
    <tableColumn id="10" xr3:uid="{08D2D467-C901-4D65-A36D-0338A57FA67C}" name="Program Design" dataDxfId="489" dataCellStyle="Normal 2"/>
    <tableColumn id="11" xr3:uid="{5ACAC394-711A-448E-B14A-8250FEFC297F}" name="TRM Reference No." dataDxfId="488" dataCellStyle="Normal 2"/>
    <tableColumn id="12" xr3:uid="{BA65C083-1E4B-45CF-9347-5049C1A842B7}" name="Measure Life" dataDxfId="487"/>
    <tableColumn id="13" xr3:uid="{C8EA8E44-8803-4C7C-A47D-03AA8A9A7114}" name="Created On" dataDxfId="486" dataCellStyle="Normal 2"/>
    <tableColumn id="14" xr3:uid="{1E9332B9-5184-4D98-A4D5-962FEB7908D8}" name="Source" dataDxfId="485" dataCellStyle="Normal 2"/>
    <tableColumn id="15" xr3:uid="{949B5FB1-FA12-4E87-931D-0D83E11146F1}" name="End Use Category" dataDxfId="484" dataCellStyle="Normal 2"/>
    <tableColumn id="16" xr3:uid="{756C8938-7369-499B-A364-507D3EFE997A}" name="Inc Rate Unit" dataDxfId="483" dataCellStyle="Normal 2"/>
    <tableColumn id="17" xr3:uid="{9EDD36A4-EC7D-40CD-A752-A8FE7703D6AD}" name="Savings per Unit kWh" dataDxfId="482" dataCellStyle="Normal 2"/>
    <tableColumn id="18" xr3:uid="{C7A1A6D2-72EF-4109-B437-A92784D2BA77}" name="Savings per Unit kW" dataDxfId="481" dataCellStyle="Normal 2"/>
    <tableColumn id="19" xr3:uid="{BC54F2B2-8BA3-45D5-ACC7-9FCE7F85F7AF}" name="Inc Rate kWh" dataDxfId="480" dataCellStyle="Normal 2"/>
    <tableColumn id="20" xr3:uid="{0CCFBCFF-8211-4D7C-9BAF-90661039A8CC}" name="Inc Rate kW" dataDxfId="479" dataCellStyle="Normal 2"/>
    <tableColumn id="21" xr3:uid="{9FEE89C1-361B-4D9D-ADAF-BF40AEC04BDB}" name="Energy Type" dataDxfId="478" dataCellStyle="Normal 2"/>
    <tableColumn id="22" xr3:uid="{D0E49C17-ED4B-4A18-8731-53F514A388E1}" name="Program" dataDxfId="477" dataCellStyle="Normal 2"/>
    <tableColumn id="23" xr3:uid="{A4CC2650-7414-404A-807D-205A10BB88D9}" name="Lighting vs Non Lighting" dataDxfId="476" dataCellStyle="Normal 2"/>
    <tableColumn id="24" xr3:uid="{A58BD1E7-4099-4208-AC64-D93E1FB2F785}" name="Status" dataDxfId="475" dataCellStyle="Normal 2"/>
    <tableColumn id="25" xr3:uid="{B68A67B5-C5E2-4ED0-BD11-980BB273522D}" name="SUTO" dataDxfId="474" dataCellStyle="Normal 2"/>
    <tableColumn id="26" xr3:uid="{5E17E1DE-E09A-4B07-89AF-701162C0F4A3}" name="Cost Basis" dataDxfId="473" dataCellStyle="Normal 2"/>
    <tableColumn id="27" xr3:uid="{696480E7-C44F-42AE-930B-CECE6A8450DD}" name="Incremental Cost" dataDxfId="472" dataCellStyle="Normal 2"/>
    <tableColumn id="28" xr3:uid="{24153C20-7423-4703-B1F4-9D9722176AF5}" name="Typical Unit Size" dataDxfId="471" dataCellStyle="Normal 2"/>
    <tableColumn id="29" xr3:uid="{D76A29CC-BBA2-48A5-AD6B-B6B64DC14B05}" name="Unit of Measure" dataDxfId="470" dataCellStyle="Normal 2"/>
    <tableColumn id="30" xr3:uid="{4634C7EA-B713-4A66-A7E3-1B237C8A1168}" name="Base Desc 1" dataDxfId="469"/>
    <tableColumn id="31" xr3:uid="{BD61B8C0-D160-438B-8A9B-5B4C8AEFFA16}" name="Base Desc 2" dataDxfId="468" dataCellStyle="Normal 2"/>
    <tableColumn id="32" xr3:uid="{3DB22C83-95C6-4908-B2E2-927495EA90F3}" name="Base Watt" dataDxfId="467"/>
    <tableColumn id="33" xr3:uid="{ACA4BEF8-EF1B-4141-B006-B39DCB8B701A}" name="Base Watt 2" dataDxfId="466" dataCellStyle="Normal 2"/>
    <tableColumn id="34" xr3:uid="{740D893C-51E9-4A80-A793-0E260AD37019}" name="Eff Desc 1" dataDxfId="465" dataCellStyle="Normal 2"/>
    <tableColumn id="35" xr3:uid="{E5CA8CC9-53DA-4F6D-9C23-2287EE16D4BA}" name="Eff Desc 2" dataDxfId="464" dataCellStyle="Normal 2"/>
    <tableColumn id="36" xr3:uid="{7CB6D641-929C-4DBF-96AA-04B7E7F898DB}" name="Eff Watt" dataDxfId="463"/>
    <tableColumn id="37" xr3:uid="{19F9AC17-B369-4BC1-93A7-7204EFC187A3}" name="Eff Watt 2" dataDxfId="462"/>
  </tableColumns>
  <tableStyleInfo name="TableStyleMedium2"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46407FEE-C95D-4709-B6A3-6F9471CF2483}" name="CABaseline" displayName="CABaseline" ref="AO153:AS207" totalsRowShown="0">
  <autoFilter ref="AO153:AS207" xr:uid="{2C5D7F23-E199-4190-B498-245445B9C187}"/>
  <sortState xmlns:xlrd2="http://schemas.microsoft.com/office/spreadsheetml/2017/richdata2" ref="AO154:AS207">
    <sortCondition ref="AO153:AO207"/>
  </sortState>
  <tableColumns count="5">
    <tableColumn id="4" xr3:uid="{AEED5FBC-BF9F-4B11-A193-279546810DDB}" name="Option"/>
    <tableColumn id="1" xr3:uid="{6D3453D7-B74C-4C29-96E6-D73EA127FC0E}" name="Baseline"/>
    <tableColumn id="2" xr3:uid="{92399A49-D38A-4F9F-903E-DB67257C5C78}" name="CFb (≤ 40 HP)"/>
    <tableColumn id="3" xr3:uid="{93F27BCD-8602-4BEF-8E1F-17C96662B647}" name="CFb (50-200HP)"/>
    <tableColumn id="5" xr3:uid="{727050C4-C205-46CB-9E04-8CDDCDDD5F03}" name="Column1" dataDxfId="461"/>
  </tableColumns>
  <tableStyleInfo name="TableStyleMedium2"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5195BE8A-D7E1-4839-B2AE-BC8E28F416DC}" name="CAShifts" displayName="CAShifts" ref="AV172:AX177" totalsRowShown="0">
  <autoFilter ref="AV172:AX177" xr:uid="{F1368B31-C3A5-48CA-BE11-5E93C9A230A3}"/>
  <tableColumns count="3">
    <tableColumn id="1" xr3:uid="{7CFC91DB-DFFA-4D6C-B0F1-92EFD49DB651}" name="Shift" dataDxfId="460"/>
    <tableColumn id="2" xr3:uid="{34F8E5CA-41EA-4700-A9DC-3CBB04AD97C3}" name="Hours"/>
    <tableColumn id="3" xr3:uid="{A0D45D45-9FB7-4592-958D-701F3D0A3D5C}" name="CF"/>
  </tableColumns>
  <tableStyleInfo name="TableStyleMedium2"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4F34B116-1C84-4B12-BC02-F7099AD4AD15}" name="PMEBONUS" displayName="PMEBONUS" ref="A181:AK200" totalsRowShown="0" headerRowDxfId="459" headerRowBorderDxfId="458" tableBorderDxfId="457" headerRowCellStyle="Normal 2">
  <autoFilter ref="A181:AK200" xr:uid="{90FB1B47-F706-4F99-A404-745E912FB8DA}"/>
  <sortState xmlns:xlrd2="http://schemas.microsoft.com/office/spreadsheetml/2017/richdata2" ref="A182:AK184">
    <sortCondition ref="AD181:AD184"/>
  </sortState>
  <tableColumns count="37">
    <tableColumn id="1" xr3:uid="{318F5559-1AE2-485B-A770-EF17CD207D3E}" name="Measure #"/>
    <tableColumn id="2" xr3:uid="{C31805E9-5406-4A66-8E5E-D55E73682D6E}" name="Measure Name" dataDxfId="456"/>
    <tableColumn id="3" xr3:uid="{CBE2957B-A745-4B02-B822-909DFE0DB17C}" name="Equipment Description"/>
    <tableColumn id="4" xr3:uid="{CD8428C1-5430-47B9-8A00-3E4DC128415E}" name="Eff Category"/>
    <tableColumn id="5" xr3:uid="{2AB53746-5A72-440B-B593-7C87820A0AD2}" name="Eff Measure Group"/>
    <tableColumn id="6" xr3:uid="{08F5BEC3-F7B6-47FB-B340-94273339D2FA}" name="Eff Equip Descr"/>
    <tableColumn id="7" xr3:uid="{60C5EC19-8057-4FD4-B264-FF13FFCE3929}" name="Base Category"/>
    <tableColumn id="8" xr3:uid="{69C260DD-CD12-42B2-8870-1910AC4AF0E0}" name="Base Measure Group"/>
    <tableColumn id="9" xr3:uid="{44D569A3-4B0B-4C51-AE49-2818EDCD41BB}" name="Base Equip Descr"/>
    <tableColumn id="10" xr3:uid="{9532149C-BA8C-4A33-AD62-56DB8F4E2D31}" name="Program Design"/>
    <tableColumn id="11" xr3:uid="{B2BE5B5C-268F-4B5E-A939-86A3AAC1693F}" name="TRM Reference No."/>
    <tableColumn id="12" xr3:uid="{B30987E2-FE05-495B-B9FE-0445050AB6B8}" name="Measure Life"/>
    <tableColumn id="13" xr3:uid="{5E69429E-668A-440E-9CBB-3375E89F147D}" name="Created On"/>
    <tableColumn id="14" xr3:uid="{B67ADB63-A621-4160-84FA-3E100AE5677B}" name="Source"/>
    <tableColumn id="15" xr3:uid="{4EB8B1C3-B1B9-4590-8846-50CC5597563F}" name="End Use Category"/>
    <tableColumn id="16" xr3:uid="{25446CE6-94F8-4085-89E3-EA279318EFEA}" name="Inc Rate Unit"/>
    <tableColumn id="17" xr3:uid="{757D033E-DBAC-4FA8-8B5F-B60E33F61C68}" name="Savings per Unit kWh"/>
    <tableColumn id="18" xr3:uid="{A2F12A8A-DD79-4DFE-9792-1F672EDFB19F}" name="Savings per Unit kW"/>
    <tableColumn id="19" xr3:uid="{C9328F80-F076-4257-8F8C-7133C94120FE}" name="Inc Rate kWh"/>
    <tableColumn id="20" xr3:uid="{40C186F9-E158-45B3-8F80-3E8E7ED244AE}" name="Inc Rate kW"/>
    <tableColumn id="21" xr3:uid="{47C187E4-DCC0-4763-81F0-01B71B0BF0F9}" name="Energy Type"/>
    <tableColumn id="22" xr3:uid="{9F1F5D28-3F13-4D79-B469-C833C8E1A2BB}" name="Program"/>
    <tableColumn id="23" xr3:uid="{B5DD5BC7-5DA8-4741-991C-D8B3811A2306}" name="Lighting vs Non Lighting"/>
    <tableColumn id="24" xr3:uid="{35087941-707B-427B-AECC-B81A05622C23}" name="Status"/>
    <tableColumn id="25" xr3:uid="{C92CDCBC-96FB-446A-A9CD-7F75CF3E134A}" name="SUTO"/>
    <tableColumn id="26" xr3:uid="{ED3E063C-AA8F-4178-952E-DBA1F7C10DAC}" name="Cost Basis"/>
    <tableColumn id="27" xr3:uid="{83AFD895-5D13-4719-8DF8-6579465535B8}" name="Incremental Cost"/>
    <tableColumn id="28" xr3:uid="{79163537-6F84-410C-923B-74DA14D6041C}" name="Typical Unit Size"/>
    <tableColumn id="29" xr3:uid="{E098FA24-609C-4C2A-87E9-DAD5508D4E76}" name="Unit of Measure"/>
    <tableColumn id="30" xr3:uid="{CDC4D564-78F7-4E56-9DB9-C1489A435336}" name="Base Desc 1"/>
    <tableColumn id="31" xr3:uid="{277B9C33-0BD6-440E-BE4B-109C7CFC6209}" name="Base Desc 2"/>
    <tableColumn id="32" xr3:uid="{1A3BB26D-7000-4818-98A5-4D349BD3BF21}" name="Base Watt"/>
    <tableColumn id="33" xr3:uid="{7D3C8A70-05FE-428B-8CF0-3B6095FBE813}" name="Base Watt 2"/>
    <tableColumn id="34" xr3:uid="{40621C9B-08B9-4AAC-BC2E-F818580D68D9}" name="Eff Desc 1"/>
    <tableColumn id="35" xr3:uid="{1C470F08-DF7A-4D2E-9830-A393816821F3}" name="Eff Desc 2"/>
    <tableColumn id="36" xr3:uid="{FA11A297-8463-4150-810D-D538DFA07CB3}" name="Eff Watt"/>
    <tableColumn id="37" xr3:uid="{92E14079-C15A-4BEA-9923-8AF6938EA0AD}" name="Eff Watt 2"/>
  </tableColumns>
  <tableStyleInfo name="TableStyleMedium3"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6465B4CC-531C-4E78-AD84-448D544081EF}" name="AHSD" displayName="AHSD" ref="A221:S224" totalsRowShown="0">
  <autoFilter ref="A221:S224" xr:uid="{6465B4CC-531C-4E78-AD84-448D544081EF}"/>
  <sortState xmlns:xlrd2="http://schemas.microsoft.com/office/spreadsheetml/2017/richdata2" ref="E222:O224">
    <sortCondition ref="E6:E9"/>
  </sortState>
  <tableColumns count="19">
    <tableColumn id="31" xr3:uid="{5E1B7AD9-2CED-4816-BF61-281A62928987}" name="Measure #" dataDxfId="455"/>
    <tableColumn id="32" xr3:uid="{3F5E8FA4-49A4-4FE1-9BA7-94154DBB72BC}" name="Measure Name"/>
    <tableColumn id="33" xr3:uid="{DB322EF9-7CDC-46B2-8DFC-F9B064FDE8E0}" name="Equipment Description"/>
    <tableColumn id="34" xr3:uid="{4697EA46-602B-4005-8419-7D63FD99DB44}" name="Program Design"/>
    <tableColumn id="1" xr3:uid="{EE69243D-7427-4261-89A9-C66DB764FDA0}" name="Type"/>
    <tableColumn id="2" xr3:uid="{9BB53BCB-079F-4D61-91F2-B2A3AB165346}" name="Qs/A"/>
    <tableColumn id="3" xr3:uid="{8324C536-7B97-4981-AD78-FB43A8E27BA2}" name="Rs"/>
    <tableColumn id="4" xr3:uid="{7303EDEB-B0E4-4729-8204-A5C510A645A8}" name="Df"/>
    <tableColumn id="11" xr3:uid="{3D0ABBDB-79E7-4857-A8BF-5263B7CBAE09}" name="Efficiency"/>
    <tableColumn id="5" xr3:uid="{8F5AD8A3-42D7-40C9-8CD2-0E58D5CB1AB3}" name="Dtb"/>
    <tableColumn id="6" xr3:uid="{1A623F49-8CFD-4346-9401-B4F1CB7E7EBC}" name="Dte">
      <calculatedColumnFormula>((5.9*7.5+60*3)/(3600*1))</calculatedColumnFormula>
    </tableColumn>
    <tableColumn id="7" xr3:uid="{68C9BB3E-E866-455E-82AA-78756E72F537}" name="Dtm">
      <calculatedColumnFormula>5.9*7.5/3600*1</calculatedColumnFormula>
    </tableColumn>
    <tableColumn id="8" xr3:uid="{14BACDA4-8822-4856-9C67-37E760E8AFC5}" name="Eb"/>
    <tableColumn id="9" xr3:uid="{4689585A-5A3A-4C37-8922-7B8527A9F66F}" name="Ee"/>
    <tableColumn id="10" xr3:uid="{FA3EF24B-3401-468A-A11F-3E946CA2C0FD}" name="t"/>
    <tableColumn id="12" xr3:uid="{4E193A64-C5E0-41A3-BCDC-B30B3DC1CFF3}" name="Base Desc 1"/>
    <tableColumn id="15" xr3:uid="{CB88354F-A3F8-4DF5-91DD-233BCA9093D1}" name="Unit of Measure"/>
    <tableColumn id="14" xr3:uid="{F9D9EA74-3F17-4CC7-90DB-18A2B7AA17C0}" name="Inc Rate Unit"/>
    <tableColumn id="13" xr3:uid="{866F02AE-1420-4BC7-80A1-3B749AED9AC5}" name="Incremental Cost"/>
  </tableColumns>
  <tableStyleInfo name="TableStyleMedium5"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00000000-000C-0000-FFFF-FFFF06000000}" name="STATES" displayName="STATES" ref="E4:F54" totalsRowShown="0">
  <autoFilter ref="E4:F54" xr:uid="{00000000-0009-0000-0100-000018000000}"/>
  <tableColumns count="2">
    <tableColumn id="1" xr3:uid="{00000000-0010-0000-0600-000001000000}" name="States"/>
    <tableColumn id="2" xr3:uid="{00000000-0010-0000-0600-000002000000}" name="Abbrev"/>
  </tableColumns>
  <tableStyleInfo name="TableStyleMedium2"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B342C2FE-C723-4C0E-9EA9-7EE1B0604A1F}" name="PMEAGG" displayName="PMEAGG" ref="A203:AK215" totalsRowShown="0" headerRowDxfId="454" dataDxfId="452" headerRowBorderDxfId="453" tableBorderDxfId="451" headerRowCellStyle="Normal 2">
  <autoFilter ref="A203:AK215" xr:uid="{B342C2FE-C723-4C0E-9EA9-7EE1B0604A1F}"/>
  <sortState xmlns:xlrd2="http://schemas.microsoft.com/office/spreadsheetml/2017/richdata2" ref="A204:AK215">
    <sortCondition ref="AH203:AH215"/>
  </sortState>
  <tableColumns count="37">
    <tableColumn id="1" xr3:uid="{2C6E3C62-2AC4-4AFD-ADEC-71E0F2D5FE47}" name="Measure #" dataDxfId="450"/>
    <tableColumn id="2" xr3:uid="{B3CB1D74-4414-4E73-8D9E-3B2C9CE9FC04}" name="Measure Name" dataDxfId="449"/>
    <tableColumn id="3" xr3:uid="{25A5A94B-31C0-4A0E-AA1F-329023E080B0}" name="Equipment Description" dataDxfId="448"/>
    <tableColumn id="4" xr3:uid="{BA480103-3786-4CC2-B42D-316F0BE44872}" name="Eff Category" dataDxfId="447"/>
    <tableColumn id="5" xr3:uid="{7F5243ED-CFC8-42DD-A92E-5BAF6ED601E2}" name="Eff Measure Group" dataDxfId="446"/>
    <tableColumn id="6" xr3:uid="{514FE9CE-6644-4905-A4DD-81116C1E8883}" name="Eff Equip Descr" dataDxfId="445"/>
    <tableColumn id="7" xr3:uid="{30F23DA2-F5F6-4BA3-9472-F542631668D3}" name="Base Category" dataDxfId="444"/>
    <tableColumn id="8" xr3:uid="{ACE0CC89-E037-49C8-9ED8-380FB23BA6F1}" name="Base Measure Group" dataDxfId="443"/>
    <tableColumn id="9" xr3:uid="{1E3BD3BF-62C5-4813-9AC0-7450E8CCBA48}" name="Base Equip Descr" dataDxfId="442"/>
    <tableColumn id="10" xr3:uid="{C6BB160E-AB84-4D49-AFBC-815B46DDBA42}" name="Program Design" dataDxfId="441"/>
    <tableColumn id="11" xr3:uid="{C4121897-D956-4E32-AA01-E1F8044F8813}" name="TRM Reference No." dataDxfId="440"/>
    <tableColumn id="12" xr3:uid="{84368A82-F75A-4175-9935-6433CBC781D8}" name="Measure Life" dataDxfId="439"/>
    <tableColumn id="13" xr3:uid="{DB79BC2B-9C6F-4641-A6B5-489E3432CBBE}" name="Created On" dataDxfId="438"/>
    <tableColumn id="14" xr3:uid="{A5F07F2A-8EEA-410B-8A1B-2B9A761F9B24}" name="Source" dataDxfId="437"/>
    <tableColumn id="15" xr3:uid="{3F98277A-ACE9-4061-9A18-4A2EB55C9BAC}" name="End Use Category" dataDxfId="436"/>
    <tableColumn id="16" xr3:uid="{2C625A50-B202-4B1B-8A31-CB016AE96D38}" name="Inc Rate Unit" dataDxfId="435"/>
    <tableColumn id="17" xr3:uid="{A1F597A6-120A-49D2-9101-78B7C5E7E4B9}" name="Savings per Unit kWh" dataDxfId="434"/>
    <tableColumn id="18" xr3:uid="{C6399B43-2BAE-48BB-8D6D-E74FE8FAC929}" name="Savings per Unit kW" dataDxfId="433"/>
    <tableColumn id="19" xr3:uid="{81D69726-C780-4CE6-8F7B-3EFBD1FF20D2}" name="Inc Rate kWh" dataDxfId="432"/>
    <tableColumn id="20" xr3:uid="{498F4495-7D5F-4453-BA14-61B57BC75C06}" name="Inc Rate kW" dataDxfId="431"/>
    <tableColumn id="21" xr3:uid="{707284E3-39E6-4746-B7EA-E3A0985C840D}" name="Energy Type" dataDxfId="430"/>
    <tableColumn id="22" xr3:uid="{CF93506B-D47E-4F46-AE2D-106D851A0E31}" name="Program" dataDxfId="429"/>
    <tableColumn id="23" xr3:uid="{8958FC11-81AA-4A6E-B47C-49785508465F}" name="Lighting vs Non Lighting" dataDxfId="428"/>
    <tableColumn id="24" xr3:uid="{2DB7C8E5-7219-4106-B09B-1BC50D8ADFA8}" name="Status" dataDxfId="427"/>
    <tableColumn id="25" xr3:uid="{C1A6C798-6F76-4EB4-AD1F-AD8FEB4C06F8}" name="SUTO" dataDxfId="426"/>
    <tableColumn id="26" xr3:uid="{FAC3FCE2-17A8-4E28-98E8-01D026665E87}" name="Cost Basis" dataDxfId="425"/>
    <tableColumn id="27" xr3:uid="{616B89A0-8AF2-4D69-8D99-7D6E36EF78E9}" name="Incremental Cost" dataDxfId="424"/>
    <tableColumn id="28" xr3:uid="{BAFBAEB9-554D-4428-8AAD-262C121ADD3D}" name="Typical Unit Size" dataDxfId="423"/>
    <tableColumn id="29" xr3:uid="{F9DFBF03-B499-4715-B4E8-9C8C1997B6E3}" name="Unit of Measure" dataDxfId="422"/>
    <tableColumn id="30" xr3:uid="{F4F3E81A-455A-4697-B448-312D72B84033}" name="Base Desc 1" dataDxfId="421"/>
    <tableColumn id="31" xr3:uid="{8BEDEE37-492F-41B5-AAD1-E292A838D666}" name="Base Desc 2" dataDxfId="420"/>
    <tableColumn id="32" xr3:uid="{B13928A7-F0E9-4DDC-A759-3E017807677D}" name="Base Watt" dataDxfId="419"/>
    <tableColumn id="33" xr3:uid="{948972D8-B617-474C-9424-67C4A04C63A5}" name="Base Watt 2" dataDxfId="418"/>
    <tableColumn id="34" xr3:uid="{571B09B5-B479-4D3C-B0B9-C5C99EF2F878}" name="Eff Desc 1" dataDxfId="417"/>
    <tableColumn id="35" xr3:uid="{A8948024-7DB3-4DBC-AAA3-49F6B83EC842}" name="Eff Desc 2" dataDxfId="416"/>
    <tableColumn id="36" xr3:uid="{864E2ED5-6B57-4608-A8C2-E0EA5728AA4F}" name="Eff Watt" dataDxfId="415"/>
    <tableColumn id="37" xr3:uid="{3F458D36-E1DF-4056-A464-75833C79CD92}" name="Eff Watt 2" dataDxfId="414"/>
  </tableColumns>
  <tableStyleInfo name="TableStyleMedium1"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03D1F474-5DDF-40CD-84CB-DE362BE9A5EF}" name="PMGAGG" displayName="PMGAGG" ref="A227:AK230" totalsRowShown="0" headerRowDxfId="413" headerRowBorderDxfId="412" tableBorderDxfId="411" totalsRowBorderDxfId="410" headerRowCellStyle="Normal 2">
  <autoFilter ref="A227:AK230" xr:uid="{03D1F474-5DDF-40CD-84CB-DE362BE9A5EF}"/>
  <sortState xmlns:xlrd2="http://schemas.microsoft.com/office/spreadsheetml/2017/richdata2" ref="A228:AK230">
    <sortCondition ref="AH227:AH230"/>
  </sortState>
  <tableColumns count="37">
    <tableColumn id="1" xr3:uid="{C31557D6-6007-4061-AEF8-9BA40132E06C}" name="Measure #"/>
    <tableColumn id="2" xr3:uid="{9837D308-C362-40C2-9B2A-C4E1A94FB622}" name="Measure Name"/>
    <tableColumn id="3" xr3:uid="{2D974A63-70B6-4E47-B676-3D4B08C1A828}" name="Equipment Description"/>
    <tableColumn id="4" xr3:uid="{4721DEED-0EE0-427E-A8FF-61FBEBE6992B}" name="Eff Category"/>
    <tableColumn id="5" xr3:uid="{C2B85532-0ABD-4089-A50A-126730302ADA}" name="Eff Measure Group"/>
    <tableColumn id="6" xr3:uid="{D1E862EE-16D0-40CA-8282-73D1D1BCBC72}" name="Eff Equip Descr"/>
    <tableColumn id="7" xr3:uid="{AA03A1DA-4C5A-4E40-95A7-C5F92FE795A5}" name="Base Category"/>
    <tableColumn id="8" xr3:uid="{B0B502F8-22A4-4CBD-96EE-3EF23C0971E5}" name="Base Measure Group"/>
    <tableColumn id="9" xr3:uid="{19C9C157-F1C9-4BB6-AB17-87318E72550C}" name="Base Equip Descr"/>
    <tableColumn id="10" xr3:uid="{CCED746B-FD68-4EB5-8B3D-4174993B2993}" name="Program Design"/>
    <tableColumn id="11" xr3:uid="{4B9C4F8C-E344-4F91-9BC8-BA815EEE94AD}" name="TRM Reference No."/>
    <tableColumn id="12" xr3:uid="{904260D4-6258-43B9-8C73-09C7DCC56237}" name="Measure Life"/>
    <tableColumn id="13" xr3:uid="{AB5E4621-5029-41A9-85C5-C89E6F60E258}" name="Created On"/>
    <tableColumn id="14" xr3:uid="{6F9F073D-1816-4460-B3F7-9B5160843A48}" name="Source"/>
    <tableColumn id="15" xr3:uid="{69A5AAB4-30EE-4A81-9325-C8401808F715}" name="End Use Category"/>
    <tableColumn id="16" xr3:uid="{D1FAB52B-63B2-4AD1-B3FD-87F7D15D8F30}" name="Inc Rate Unit"/>
    <tableColumn id="17" xr3:uid="{7B57E77B-2DEB-4CD6-A0AF-1C617BDC94BF}" name="Savings per Unit Therm"/>
    <tableColumn id="18" xr3:uid="{58AB469B-46E5-4812-A45E-5AE105868E41}" name="NA"/>
    <tableColumn id="19" xr3:uid="{1F7AFE09-5C88-4839-8829-12D616CC0476}" name="NA2"/>
    <tableColumn id="20" xr3:uid="{6352D238-D9AB-4300-91F2-20C7494053A8}" name="NA3"/>
    <tableColumn id="21" xr3:uid="{6DFC4E17-39C8-4A99-AA6C-406CF5DD8212}" name="Energy Type"/>
    <tableColumn id="22" xr3:uid="{FBF71331-24A8-43F5-B29A-D4B5EA3276DF}" name="Program"/>
    <tableColumn id="23" xr3:uid="{C99C1A73-092F-450C-937B-E35FF477CE02}" name="Lighting vs Non Lighting"/>
    <tableColumn id="24" xr3:uid="{D7D7CB07-1968-4193-B4BF-3686BFFC2D9F}" name="Status"/>
    <tableColumn id="25" xr3:uid="{564B0D9A-139F-4E37-867A-D6661B498B82}" name="SUTO"/>
    <tableColumn id="26" xr3:uid="{34979C01-36C4-4845-960D-C83FBA9F1556}" name="Cost Basis"/>
    <tableColumn id="27" xr3:uid="{C59E823D-0A07-4476-82E6-7F69BBDE1918}" name="Incremental Cost"/>
    <tableColumn id="28" xr3:uid="{6933A161-E394-473C-BE4F-D61B52FBB6C5}" name="Typical Unit Size"/>
    <tableColumn id="29" xr3:uid="{02856FEE-0B33-4DF8-9C82-890E3EAE772C}" name="Unit of Measure"/>
    <tableColumn id="30" xr3:uid="{7A2AEE99-6D51-41D8-9EB5-54D552EF88F9}" name="Base Desc 1"/>
    <tableColumn id="31" xr3:uid="{5229C905-959D-48D1-A7FA-7C075EB0A6E9}" name="Base Desc 2"/>
    <tableColumn id="32" xr3:uid="{DDEED84E-2EB8-4F7C-BC06-42BA7724E54B}" name="Base Watt"/>
    <tableColumn id="33" xr3:uid="{38249A24-0FB1-45F7-8857-8D7621C7D09A}" name="Base Watt 2"/>
    <tableColumn id="34" xr3:uid="{92762F52-20F6-4DDA-9A3A-72C3783CFB9D}" name="Eff Desc 1"/>
    <tableColumn id="35" xr3:uid="{94D72307-D4E5-4281-BC8C-53AE0457EB09}" name="Eff Desc 2"/>
    <tableColumn id="36" xr3:uid="{B0B507C1-80A0-4BEA-9CE3-0D0B0968FA64}" name="Eff Watt"/>
    <tableColumn id="37" xr3:uid="{3135D2E1-7925-4D61-8D3F-219303D0F2C7}" name="Eff Watt 2"/>
  </tableColumns>
  <tableStyleInfo name="TableStyleMedium2"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4ECC762E-4D4C-4839-9795-A4FDCD346E10}" name="PMGKITCHEN" displayName="PMGKITCHEN" ref="A233:AK244" totalsRowShown="0" headerRowDxfId="409" dataDxfId="407" headerRowBorderDxfId="408" tableBorderDxfId="406" totalsRowBorderDxfId="405" headerRowCellStyle="Normal 2" dataCellStyle="Normal 2">
  <autoFilter ref="A233:AK244" xr:uid="{4ECC762E-4D4C-4839-9795-A4FDCD346E10}"/>
  <sortState xmlns:xlrd2="http://schemas.microsoft.com/office/spreadsheetml/2017/richdata2" ref="A234:AK244">
    <sortCondition ref="AH233:AH244"/>
  </sortState>
  <tableColumns count="37">
    <tableColumn id="1" xr3:uid="{58C3EC57-E1AC-4234-ACD9-0447FFCF9C80}" name="Measure #"/>
    <tableColumn id="2" xr3:uid="{81D2D130-8069-4B0B-B695-FBF427DD82CF}" name="Measure Name" dataDxfId="404" dataCellStyle="Normal 2"/>
    <tableColumn id="3" xr3:uid="{6F6660FC-3E22-4FD6-9AB6-5A701247645C}" name="Equipment Description" dataDxfId="403"/>
    <tableColumn id="4" xr3:uid="{15569C12-049D-4F0C-9482-13F9A714C61E}" name="Eff Category" dataDxfId="402" dataCellStyle="Normal 2"/>
    <tableColumn id="5" xr3:uid="{DB57B8D2-35A5-447F-B9E3-4C918BF58628}" name="Eff Measure Group" dataDxfId="401" dataCellStyle="Normal 2"/>
    <tableColumn id="6" xr3:uid="{CE897375-CBDA-4CDB-885E-BC9DC68EFFBC}" name="Eff Equip Descr" dataDxfId="400"/>
    <tableColumn id="7" xr3:uid="{A252A4D4-C59A-4EF3-B466-F50B95EE2D0C}" name="Base Category" dataDxfId="399" dataCellStyle="Normal 2"/>
    <tableColumn id="8" xr3:uid="{DCA50089-A1C3-4BFC-ACAA-4E5096963010}" name="Base Measure Group" dataDxfId="398"/>
    <tableColumn id="9" xr3:uid="{284CBE14-35F0-4417-B63D-DCCD2D76FAB5}" name="Base Equip Descr" dataDxfId="397"/>
    <tableColumn id="10" xr3:uid="{9EFFC607-7EEC-4BCE-9538-EEB3E6D50704}" name="Program Design" dataDxfId="396" dataCellStyle="Normal 2"/>
    <tableColumn id="11" xr3:uid="{3834D104-735F-4418-87FE-EB4EF71D392C}" name="TRM Reference No." dataDxfId="395" dataCellStyle="Normal 2"/>
    <tableColumn id="12" xr3:uid="{9A30B398-FB07-49CF-95FB-ABE1078E2827}" name="Measure Life" dataDxfId="394"/>
    <tableColumn id="13" xr3:uid="{9E036794-E5C2-43DF-A649-E2289F9809B6}" name="Created On" dataDxfId="393" dataCellStyle="Normal 2"/>
    <tableColumn id="14" xr3:uid="{7B62954C-29D5-439D-9B0F-C9B000F15D83}" name="Source" dataDxfId="392" dataCellStyle="Normal 2"/>
    <tableColumn id="15" xr3:uid="{4C3F049F-D802-42FE-8FB4-5FFF9A626340}" name="End Use Category" dataDxfId="391" dataCellStyle="Normal 2"/>
    <tableColumn id="16" xr3:uid="{DBF58D8D-F9AB-4FDB-BE1D-DB15EA397B85}" name="Inc Rate Unit" dataDxfId="390"/>
    <tableColumn id="17" xr3:uid="{BA4714A1-A4CD-409B-854C-209A4D3E1FC8}" name="Savings per Unit Therm" dataDxfId="389"/>
    <tableColumn id="18" xr3:uid="{282889D1-B13B-4DD6-8A65-76432D63F2D4}" name="NA" dataDxfId="388" dataCellStyle="Normal 2"/>
    <tableColumn id="19" xr3:uid="{0F78CF59-5ECB-4865-B837-86B090C24D78}" name="NA2" dataDxfId="387" dataCellStyle="Normal 2"/>
    <tableColumn id="20" xr3:uid="{0327D9D1-1461-4B68-90BD-A7D0C674ED5F}" name="NA3" dataDxfId="386" dataCellStyle="Normal 2"/>
    <tableColumn id="21" xr3:uid="{DF4AEA76-A4F4-4AC4-B9B7-C814AB0F141A}" name="Energy Type" dataDxfId="385"/>
    <tableColumn id="22" xr3:uid="{A806B9C1-A36A-4A4C-8613-261DE16E7DE5}" name="Program" dataDxfId="384" dataCellStyle="Normal 2"/>
    <tableColumn id="23" xr3:uid="{12B04103-6AC2-4A3A-983A-A951F740D3CD}" name="Lighting vs Non Lighting" dataDxfId="383" dataCellStyle="Normal 2"/>
    <tableColumn id="24" xr3:uid="{493AAFF3-2391-4CA8-8FE0-59B3F76260A4}" name="Status" dataDxfId="382" dataCellStyle="Normal 2"/>
    <tableColumn id="25" xr3:uid="{C80324AE-B6D4-422C-963B-F5273EEE5899}" name="SUTO" dataDxfId="381" dataCellStyle="Normal 2"/>
    <tableColumn id="26" xr3:uid="{798DE1AA-6B1E-4A5D-8421-5AD32580C413}" name="Cost Basis" dataDxfId="380" dataCellStyle="Normal 2"/>
    <tableColumn id="27" xr3:uid="{ADF1EC6C-D349-4B11-83CC-9FBB0EC47D45}" name="Incremental Cost" dataDxfId="379"/>
    <tableColumn id="28" xr3:uid="{3A665893-50AE-4B7C-98DF-3A23C23799DD}" name="Typical Unit Size" dataDxfId="378"/>
    <tableColumn id="29" xr3:uid="{9B030CA6-9680-4433-B77D-9D677C53B485}" name="Unit of Measure" dataDxfId="377"/>
    <tableColumn id="30" xr3:uid="{14A35D7F-BFCE-4B61-AC37-EC7EA0AA122F}" name="Base Desc 1" dataDxfId="376"/>
    <tableColumn id="31" xr3:uid="{791EE015-EEC1-4DCA-913B-EFD80C72E8DD}" name="Base Desc 2" dataDxfId="375" dataCellStyle="Normal 2"/>
    <tableColumn id="32" xr3:uid="{8C2767A3-3F18-4186-BB39-B2932DC83CDA}" name="Base Watt" dataDxfId="374" dataCellStyle="Normal 2"/>
    <tableColumn id="33" xr3:uid="{F2B894C2-1175-4668-89BB-903AD0E51C27}" name="Base Watt 2" dataDxfId="373" dataCellStyle="Normal 2"/>
    <tableColumn id="34" xr3:uid="{27CC24F6-7FA8-486E-B5BA-DA40F6F6E87E}" name="Eff Desc 1" dataDxfId="372"/>
    <tableColumn id="35" xr3:uid="{5DDF8237-31B1-46CC-BA1B-F430F6FF7545}" name="Eff Desc 2" dataDxfId="371" dataCellStyle="Normal 2"/>
    <tableColumn id="36" xr3:uid="{4F85DEDF-C614-43E1-8710-93B30AEDF703}" name="Eff Watt" dataDxfId="370" dataCellStyle="Normal 2"/>
    <tableColumn id="37" xr3:uid="{3F8F008A-E886-41EA-8EB9-FF5DA24372F1}" name="Eff Watt 2" dataDxfId="369" dataCellStyle="Normal 2"/>
  </tableColumns>
  <tableStyleInfo name="TableStyleMedium2"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20000000}" name="CMLIGHTBASE" displayName="CMLIGHTBASE" ref="A1:L95" totalsRowShown="0" headerRowDxfId="368" dataDxfId="367" headerRowCellStyle="Normal 2">
  <autoFilter ref="A1:L95" xr:uid="{00000000-0009-0000-0100-000001000000}"/>
  <sortState xmlns:xlrd2="http://schemas.microsoft.com/office/spreadsheetml/2017/richdata2" ref="A2:L95">
    <sortCondition ref="J1:J95"/>
  </sortState>
  <tableColumns count="12">
    <tableColumn id="5" xr3:uid="{00000000-0010-0000-2000-000005000000}" name="Measure Number" dataDxfId="366"/>
    <tableColumn id="1" xr3:uid="{00000000-0010-0000-2000-000001000000}" name="Base Desc 1" dataDxfId="365"/>
    <tableColumn id="2" xr3:uid="{00000000-0010-0000-2000-000002000000}" name="Base Desc 2" dataDxfId="364"/>
    <tableColumn id="3" xr3:uid="{00000000-0010-0000-2000-000003000000}" name="Base Watt 1" dataDxfId="363"/>
    <tableColumn id="4" xr3:uid="{00000000-0010-0000-2000-000004000000}" name="Base Watt 2" dataDxfId="362"/>
    <tableColumn id="7" xr3:uid="{00000000-0010-0000-2000-000007000000}" name="Measure Group" dataDxfId="361"/>
    <tableColumn id="8" xr3:uid="{00000000-0010-0000-2000-000008000000}" name="Measure Subgroup 1" dataDxfId="360"/>
    <tableColumn id="6" xr3:uid="{00000000-0010-0000-2000-000006000000}" name="Measure Subgroup 2" dataDxfId="359"/>
    <tableColumn id="9" xr3:uid="{00000000-0010-0000-2000-000009000000}" name="Unit" dataDxfId="358"/>
    <tableColumn id="10" xr3:uid="{00000000-0010-0000-2000-00000A000000}" name="Order" dataDxfId="357"/>
    <tableColumn id="11" xr3:uid="{00000000-0010-0000-2000-00000B000000}" name="Source (Standard Wattage Table)" dataDxfId="356"/>
    <tableColumn id="12" xr3:uid="{00000000-0010-0000-2000-00000C000000}" name="Inc Rate" dataDxfId="355"/>
  </tableColumns>
  <tableStyleInfo name="TableStyleMedium5"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21000000}" name="CMLIGHTEFF" displayName="CMLIGHTEFF" ref="N1:Z17" totalsRowShown="0" headerRowDxfId="354" dataDxfId="353" headerRowCellStyle="Normal 2">
  <autoFilter ref="N1:Z17" xr:uid="{00000000-0009-0000-0100-000002000000}"/>
  <tableColumns count="13">
    <tableColumn id="10" xr3:uid="{00000000-0010-0000-2100-00000A000000}" name="Measure Number" dataDxfId="352"/>
    <tableColumn id="1" xr3:uid="{00000000-0010-0000-2100-000001000000}" name="Eff Desc 1" dataDxfId="351"/>
    <tableColumn id="2" xr3:uid="{00000000-0010-0000-2100-000002000000}" name="Eff Desc 2" dataDxfId="350"/>
    <tableColumn id="13" xr3:uid="{00000000-0010-0000-2100-00000D000000}" name="Eff Desc 3" dataDxfId="349"/>
    <tableColumn id="3" xr3:uid="{00000000-0010-0000-2100-000003000000}" name="Eff Watt 1" dataDxfId="348"/>
    <tableColumn id="4" xr3:uid="{00000000-0010-0000-2100-000004000000}" name="Eff Watt 2" dataDxfId="347"/>
    <tableColumn id="5" xr3:uid="{00000000-0010-0000-2100-000005000000}" name="Measure Group" dataDxfId="346"/>
    <tableColumn id="6" xr3:uid="{00000000-0010-0000-2100-000006000000}" name="Measure Subgroup 1" dataDxfId="345"/>
    <tableColumn id="7" xr3:uid="{00000000-0010-0000-2100-000007000000}" name="Measure Subgroup 2" dataDxfId="344"/>
    <tableColumn id="8" xr3:uid="{00000000-0010-0000-2100-000008000000}" name="Unit" dataDxfId="343"/>
    <tableColumn id="9" xr3:uid="{00000000-0010-0000-2100-000009000000}" name="Order" dataDxfId="342"/>
    <tableColumn id="11" xr3:uid="{00000000-0010-0000-2100-00000B000000}" name="Source (Standard Wattage Table)" dataDxfId="341"/>
    <tableColumn id="12" xr3:uid="{00000000-0010-0000-2100-00000C000000}" name="Inc Rate" dataDxfId="340"/>
  </tableColumns>
  <tableStyleInfo name="TableStyleMedium5"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BDC14DF9-B277-4272-BF2B-C6EE975366F5}" name="NCLIGHTINCCOST" displayName="NCLIGHTINCCOST" ref="AC1:AD5" totalsRowShown="0" headerRowDxfId="339" dataDxfId="338">
  <autoFilter ref="AC1:AD5" xr:uid="{FEB1B81D-D518-4BE7-9056-157DC18B8D78}"/>
  <tableColumns count="2">
    <tableColumn id="1" xr3:uid="{7FFF3028-EBA5-4B8B-97E5-E7CA05FFF4BA}" name="% Below Code" dataDxfId="337"/>
    <tableColumn id="2" xr3:uid="{4BDC496E-3D24-4A19-82A8-BCF8A3CF5294}" name="WI Incremental Cost ($/sq ft)" dataDxfId="336"/>
  </tableColumns>
  <tableStyleInfo name="TableStyleMedium2"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22000000}" name="PROGRAMTYPE" displayName="PROGRAMTYPE" ref="A1:A4" totalsRowShown="0" headerRowDxfId="335" dataDxfId="334" headerRowCellStyle="Normal 2">
  <autoFilter ref="A1:A4" xr:uid="{00000000-0009-0000-0100-000003000000}"/>
  <sortState xmlns:xlrd2="http://schemas.microsoft.com/office/spreadsheetml/2017/richdata2" ref="H2:H5">
    <sortCondition ref="H1:H5"/>
  </sortState>
  <tableColumns count="1">
    <tableColumn id="1" xr3:uid="{00000000-0010-0000-2200-000001000000}" name="Program" dataDxfId="333"/>
  </tableColumns>
  <tableStyleInfo name="TableStyleMedium4"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23000000}" name="PROGRAMECAT" displayName="PROGRAMECAT" ref="E1:K30" totalsRowShown="0" headerRowDxfId="332" dataDxfId="331">
  <autoFilter ref="E1:K30" xr:uid="{00000000-0009-0000-0100-000014000000}"/>
  <sortState xmlns:xlrd2="http://schemas.microsoft.com/office/spreadsheetml/2017/richdata2" ref="E2:J29">
    <sortCondition ref="H1:H29"/>
  </sortState>
  <tableColumns count="7">
    <tableColumn id="1" xr3:uid="{00000000-0010-0000-2300-000001000000}" name="Program" dataDxfId="330"/>
    <tableColumn id="2" xr3:uid="{00000000-0010-0000-2300-000002000000}" name="Category 1" dataDxfId="329"/>
    <tableColumn id="3" xr3:uid="{00000000-0010-0000-2300-000003000000}" name="Category 2" dataDxfId="328"/>
    <tableColumn id="4" xr3:uid="{00000000-0010-0000-2300-000004000000}" name="Measure Number" dataDxfId="327"/>
    <tableColumn id="7" xr3:uid="{00000000-0010-0000-2300-000007000000}" name="Unit" dataDxfId="326"/>
    <tableColumn id="5" xr3:uid="{00000000-0010-0000-2300-000005000000}" name="EUL" dataDxfId="325"/>
    <tableColumn id="6" xr3:uid="{00000000-0010-0000-2300-000006000000}" name="Lighting Coincidence Factor" dataDxfId="324"/>
  </tableColumns>
  <tableStyleInfo name="TableStyleMedium2"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24000000}" name="PROGRAMGCAT" displayName="PROGRAMGCAT" ref="M1:R21" totalsRowShown="0" headerRowDxfId="323" dataDxfId="322">
  <autoFilter ref="M1:R21" xr:uid="{00000000-0009-0000-0100-000015000000}"/>
  <sortState xmlns:xlrd2="http://schemas.microsoft.com/office/spreadsheetml/2017/richdata2" ref="M2:R20">
    <sortCondition ref="P1:P20"/>
  </sortState>
  <tableColumns count="6">
    <tableColumn id="1" xr3:uid="{00000000-0010-0000-2400-000001000000}" name="Program" dataDxfId="321"/>
    <tableColumn id="2" xr3:uid="{00000000-0010-0000-2400-000002000000}" name="Category 1" dataDxfId="320"/>
    <tableColumn id="3" xr3:uid="{00000000-0010-0000-2400-000003000000}" name="Category 2" dataDxfId="319"/>
    <tableColumn id="4" xr3:uid="{00000000-0010-0000-2400-000004000000}" name="Measure Number" dataDxfId="318"/>
    <tableColumn id="6" xr3:uid="{00000000-0010-0000-2400-000006000000}" name="Unit" dataDxfId="317"/>
    <tableColumn id="5" xr3:uid="{00000000-0010-0000-2400-000005000000}" name="EUL" dataDxfId="316"/>
  </tableColumns>
  <tableStyleInfo name="TableStyleMedium3"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25000000}" name="INCRATE" displayName="INCRATE" ref="A9:C15" totalsRowShown="0" headerRowDxfId="315" dataDxfId="314">
  <autoFilter ref="A9:C15" xr:uid="{00000000-0009-0000-0100-000013000000}"/>
  <sortState xmlns:xlrd2="http://schemas.microsoft.com/office/spreadsheetml/2017/richdata2" ref="A10:C15">
    <sortCondition ref="A9:A15"/>
  </sortState>
  <tableColumns count="3">
    <tableColumn id="1" xr3:uid="{00000000-0010-0000-2500-000001000000}" name="Incentive Type" dataDxfId="313"/>
    <tableColumn id="2" xr3:uid="{00000000-0010-0000-2500-000002000000}" name="Electric" dataDxfId="312"/>
    <tableColumn id="3" xr3:uid="{00000000-0010-0000-2500-000003000000}" name="Gas" dataDxfId="311"/>
  </tableColumns>
  <tableStyleInfo name="TableStyleMedium4"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07000000}" name="SPACEHEAT" displayName="SPACEHEAT" ref="J4:K10" totalsRowShown="0">
  <autoFilter ref="J4:K10" xr:uid="{00000000-0009-0000-0100-000019000000}"/>
  <tableColumns count="2">
    <tableColumn id="1" xr3:uid="{00000000-0010-0000-0700-000001000000}" name="Space Conditioning"/>
    <tableColumn id="2" xr3:uid="{00000000-0010-0000-0700-000002000000}" name="Multiplier"/>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00000000-000C-0000-FFFF-FFFF08000000}" name="WATERHEAT" displayName="WATERHEAT" ref="A24:A31" totalsRowShown="0">
  <autoFilter ref="A24:A31" xr:uid="{00000000-0009-0000-0100-00001A000000}"/>
  <tableColumns count="1">
    <tableColumn id="1" xr3:uid="{00000000-0010-0000-0800-000001000000}" name="Water Heating"/>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00000000-000C-0000-FFFF-FFFF09000000}" name="PROGRAMS" displayName="PROGRAMS" ref="A33:A36" totalsRowShown="0">
  <autoFilter ref="A33:A36" xr:uid="{00000000-0009-0000-0100-00001B000000}"/>
  <tableColumns count="1">
    <tableColumn id="1" xr3:uid="{00000000-0010-0000-0900-000001000000}" name="Program"/>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00000000-000C-0000-FFFF-FFFF0A000000}" name="INSTALLER" displayName="INSTALLER" ref="A38:A40" totalsRowShown="0">
  <autoFilter ref="A38:A40" xr:uid="{00000000-0009-0000-0100-00001C000000}"/>
  <tableColumns count="1">
    <tableColumn id="1" xr3:uid="{00000000-0010-0000-0A00-000001000000}" name="Installer"/>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0B000000}" name="PAYMENT" displayName="PAYMENT" ref="O4:Z8" totalsRowShown="0">
  <autoFilter ref="O4:Z8" xr:uid="{00000000-0009-0000-0100-00001D000000}"/>
  <sortState xmlns:xlrd2="http://schemas.microsoft.com/office/spreadsheetml/2017/richdata2" ref="P5:AA9">
    <sortCondition ref="P4:P9"/>
  </sortState>
  <tableColumns count="12">
    <tableColumn id="1" xr3:uid="{00000000-0010-0000-0B00-000001000000}" name="Payment to"/>
    <tableColumn id="2" xr3:uid="{00000000-0010-0000-0B00-000002000000}" name="Company"/>
    <tableColumn id="3" xr3:uid="{00000000-0010-0000-0B00-000003000000}" name="First"/>
    <tableColumn id="4" xr3:uid="{00000000-0010-0000-0B00-000004000000}" name="Last"/>
    <tableColumn id="7" xr3:uid="{F8D012C9-4686-456A-9D7F-2CAFCB6458CF}" name="Phone"/>
    <tableColumn id="6" xr3:uid="{6D575495-B220-4701-AE56-D156462D8F64}" name="Email"/>
    <tableColumn id="8" xr3:uid="{24B833F3-AA59-4D3E-8E7A-E3E33E6EB0A1}" name="Address"/>
    <tableColumn id="5" xr3:uid="{149DE545-00F2-48A5-AD5E-8D3A2685FFB5}" name="City"/>
    <tableColumn id="9" xr3:uid="{00000000-0010-0000-0B00-000009000000}" name="State"/>
    <tableColumn id="10" xr3:uid="{00000000-0010-0000-0B00-00000A000000}" name="Zip"/>
    <tableColumn id="11" xr3:uid="{00000000-0010-0000-0B00-00000B000000}" name="Terms"/>
    <tableColumn id="12" xr3:uid="{00000000-0010-0000-0B00-00000C000000}" name="Payment Preference"/>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hyperlink" Target="mailto:NIPSCO.Savings@TRCcompanies.com"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10.bin"/><Relationship Id="rId1" Type="http://schemas.openxmlformats.org/officeDocument/2006/relationships/hyperlink" Target="mailto:NIPSCO.Savings@TRCcompanies.com" TargetMode="Externa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11.bin"/><Relationship Id="rId1" Type="http://schemas.openxmlformats.org/officeDocument/2006/relationships/hyperlink" Target="mailto:NIPSCO.Savings@TRCcompanies.com" TargetMode="External"/></Relationships>
</file>

<file path=xl/worksheets/_rels/sheet13.xml.rels><?xml version="1.0" encoding="UTF-8" standalone="yes"?>
<Relationships xmlns="http://schemas.openxmlformats.org/package/2006/relationships"><Relationship Id="rId8" Type="http://schemas.openxmlformats.org/officeDocument/2006/relationships/ctrlProp" Target="../ctrlProps/ctrlProp4.xml"/><Relationship Id="rId13" Type="http://schemas.openxmlformats.org/officeDocument/2006/relationships/ctrlProp" Target="../ctrlProps/ctrlProp9.xml"/><Relationship Id="rId3" Type="http://schemas.openxmlformats.org/officeDocument/2006/relationships/drawing" Target="../drawings/drawing5.xml"/><Relationship Id="rId7" Type="http://schemas.openxmlformats.org/officeDocument/2006/relationships/ctrlProp" Target="../ctrlProps/ctrlProp3.xml"/><Relationship Id="rId12" Type="http://schemas.openxmlformats.org/officeDocument/2006/relationships/ctrlProp" Target="../ctrlProps/ctrlProp8.xml"/><Relationship Id="rId2" Type="http://schemas.openxmlformats.org/officeDocument/2006/relationships/printerSettings" Target="../printerSettings/printerSettings12.bin"/><Relationship Id="rId1" Type="http://schemas.openxmlformats.org/officeDocument/2006/relationships/hyperlink" Target="mailto:NIPSCO.Savings@TRCcompanies.com" TargetMode="External"/><Relationship Id="rId6" Type="http://schemas.openxmlformats.org/officeDocument/2006/relationships/ctrlProp" Target="../ctrlProps/ctrlProp2.xml"/><Relationship Id="rId11" Type="http://schemas.openxmlformats.org/officeDocument/2006/relationships/ctrlProp" Target="../ctrlProps/ctrlProp7.xml"/><Relationship Id="rId5" Type="http://schemas.openxmlformats.org/officeDocument/2006/relationships/ctrlProp" Target="../ctrlProps/ctrlProp1.xml"/><Relationship Id="rId15" Type="http://schemas.openxmlformats.org/officeDocument/2006/relationships/ctrlProp" Target="../ctrlProps/ctrlProp11.xml"/><Relationship Id="rId10" Type="http://schemas.openxmlformats.org/officeDocument/2006/relationships/ctrlProp" Target="../ctrlProps/ctrlProp6.xml"/><Relationship Id="rId4" Type="http://schemas.openxmlformats.org/officeDocument/2006/relationships/vmlDrawing" Target="../drawings/vmlDrawing1.vml"/><Relationship Id="rId9" Type="http://schemas.openxmlformats.org/officeDocument/2006/relationships/ctrlProp" Target="../ctrlProps/ctrlProp5.xml"/><Relationship Id="rId14" Type="http://schemas.openxmlformats.org/officeDocument/2006/relationships/ctrlProp" Target="../ctrlProps/ctrlProp10.xml"/></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3.bin"/><Relationship Id="rId1" Type="http://schemas.openxmlformats.org/officeDocument/2006/relationships/hyperlink" Target="mailto:NIPSCO.Savings@TRCcompanies.com" TargetMode="External"/></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4.bin"/><Relationship Id="rId1" Type="http://schemas.openxmlformats.org/officeDocument/2006/relationships/hyperlink" Target="mailto:NIPSCO.Savings@TRCcompanies.com" TargetMode="External"/></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15.bin"/><Relationship Id="rId1" Type="http://schemas.openxmlformats.org/officeDocument/2006/relationships/hyperlink" Target="mailto:NIPSCO.Savings@TRCcompanies.com" TargetMode="External"/></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6.bin"/><Relationship Id="rId1" Type="http://schemas.openxmlformats.org/officeDocument/2006/relationships/hyperlink" Target="mailto:NIPSCO.Savings@TRCcompanies.com" TargetMode="External"/><Relationship Id="rId5" Type="http://schemas.openxmlformats.org/officeDocument/2006/relationships/ctrlProp" Target="../ctrlProps/ctrlProp12.xml"/><Relationship Id="rId4" Type="http://schemas.openxmlformats.org/officeDocument/2006/relationships/vmlDrawing" Target="../drawings/vmlDrawing2.vml"/></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7.bin"/><Relationship Id="rId1" Type="http://schemas.openxmlformats.org/officeDocument/2006/relationships/hyperlink" Target="mailto:NIPSCO.Savings@TRCcompanies.com" TargetMode="External"/></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8.bin"/><Relationship Id="rId1" Type="http://schemas.openxmlformats.org/officeDocument/2006/relationships/hyperlink" Target="mailto:NIPSCO.Savings@TRCcompanies.com" TargetMode="External"/></Relationships>
</file>

<file path=xl/worksheets/_rels/sheet2.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9.bin"/><Relationship Id="rId1" Type="http://schemas.openxmlformats.org/officeDocument/2006/relationships/hyperlink" Target="mailto:NIPSCO.Savings@TRCcompanies.com" TargetMode="External"/></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20.bin"/><Relationship Id="rId1" Type="http://schemas.openxmlformats.org/officeDocument/2006/relationships/hyperlink" Target="mailto:NIPSCO.Savings@TRCcompanies.com" TargetMode="External"/></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21.bin"/><Relationship Id="rId1" Type="http://schemas.openxmlformats.org/officeDocument/2006/relationships/hyperlink" Target="mailto:NIPSCO.Savings@TRCcompanies.com" TargetMode="External"/></Relationships>
</file>

<file path=xl/worksheets/_rels/sheet23.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printerSettings" Target="../printerSettings/printerSettings22.bin"/><Relationship Id="rId1" Type="http://schemas.openxmlformats.org/officeDocument/2006/relationships/hyperlink" Target="mailto:NIPSCO.Savings@TRCcompanies.com" TargetMode="External"/></Relationships>
</file>

<file path=xl/worksheets/_rels/sheet24.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printerSettings" Target="../printerSettings/printerSettings23.bin"/><Relationship Id="rId1" Type="http://schemas.openxmlformats.org/officeDocument/2006/relationships/hyperlink" Target="mailto:NIPSCO.Savings@TRCcompanies.com" TargetMode="External"/></Relationships>
</file>

<file path=xl/worksheets/_rels/sheet25.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printerSettings" Target="../printerSettings/printerSettings24.bin"/><Relationship Id="rId1" Type="http://schemas.openxmlformats.org/officeDocument/2006/relationships/hyperlink" Target="mailto:NIPSCO.Savings@TRCcompanies.com" TargetMode="External"/></Relationships>
</file>

<file path=xl/worksheets/_rels/sheet26.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printerSettings" Target="../printerSettings/printerSettings25.bin"/><Relationship Id="rId1" Type="http://schemas.openxmlformats.org/officeDocument/2006/relationships/hyperlink" Target="mailto:NIPSCO.Savings@TRCcompanies.com" TargetMode="External"/></Relationships>
</file>

<file path=xl/worksheets/_rels/sheet27.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printerSettings" Target="../printerSettings/printerSettings26.bin"/><Relationship Id="rId1" Type="http://schemas.openxmlformats.org/officeDocument/2006/relationships/hyperlink" Target="mailto:NIPSCO.Savings@TRCcompanies.com" TargetMode="External"/></Relationships>
</file>

<file path=xl/worksheets/_rels/sheet28.xml.rels><?xml version="1.0" encoding="UTF-8" standalone="yes"?>
<Relationships xmlns="http://schemas.openxmlformats.org/package/2006/relationships"><Relationship Id="rId3" Type="http://schemas.openxmlformats.org/officeDocument/2006/relationships/drawing" Target="../drawings/drawing20.xml"/><Relationship Id="rId2" Type="http://schemas.openxmlformats.org/officeDocument/2006/relationships/printerSettings" Target="../printerSettings/printerSettings27.bin"/><Relationship Id="rId1" Type="http://schemas.openxmlformats.org/officeDocument/2006/relationships/hyperlink" Target="mailto:NIPSCO.Savings@TRCcompanies.com" TargetMode="Externa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drawing" Target="../drawings/drawing22.xml"/><Relationship Id="rId2" Type="http://schemas.openxmlformats.org/officeDocument/2006/relationships/printerSettings" Target="../printerSettings/printerSettings29.bin"/><Relationship Id="rId1" Type="http://schemas.openxmlformats.org/officeDocument/2006/relationships/hyperlink" Target="mailto:NIPSCO.Savings@TRCcompanies.com" TargetMode="External"/></Relationships>
</file>

<file path=xl/worksheets/_rels/sheet31.xml.rels><?xml version="1.0" encoding="UTF-8" standalone="yes"?>
<Relationships xmlns="http://schemas.openxmlformats.org/package/2006/relationships"><Relationship Id="rId3" Type="http://schemas.openxmlformats.org/officeDocument/2006/relationships/drawing" Target="../drawings/drawing23.xml"/><Relationship Id="rId2" Type="http://schemas.openxmlformats.org/officeDocument/2006/relationships/printerSettings" Target="../printerSettings/printerSettings30.bin"/><Relationship Id="rId1" Type="http://schemas.openxmlformats.org/officeDocument/2006/relationships/hyperlink" Target="mailto:NIPSCO.Savings@TRCcompanies.com" TargetMode="External"/><Relationship Id="rId4" Type="http://schemas.openxmlformats.org/officeDocument/2006/relationships/vmlDrawing" Target="../drawings/vmlDrawing3.vml"/></Relationships>
</file>

<file path=xl/worksheets/_rels/sheet32.xml.rels><?xml version="1.0" encoding="UTF-8" standalone="yes"?>
<Relationships xmlns="http://schemas.openxmlformats.org/package/2006/relationships"><Relationship Id="rId3" Type="http://schemas.openxmlformats.org/officeDocument/2006/relationships/hyperlink" Target="mailto:NIPSCO.Savings@TRCcompanies.com" TargetMode="External"/><Relationship Id="rId2" Type="http://schemas.openxmlformats.org/officeDocument/2006/relationships/hyperlink" Target="http://www.nipsco.com/save-energy" TargetMode="External"/><Relationship Id="rId1" Type="http://schemas.openxmlformats.org/officeDocument/2006/relationships/hyperlink" Target="mailto:NIPSCO.Savings@TRCcompanies.com" TargetMode="External"/><Relationship Id="rId5" Type="http://schemas.openxmlformats.org/officeDocument/2006/relationships/drawing" Target="../drawings/drawing24.xml"/><Relationship Id="rId4"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drawing" Target="../drawings/drawing25.xml"/><Relationship Id="rId2" Type="http://schemas.openxmlformats.org/officeDocument/2006/relationships/printerSettings" Target="../printerSettings/printerSettings32.bin"/><Relationship Id="rId1" Type="http://schemas.openxmlformats.org/officeDocument/2006/relationships/hyperlink" Target="mailto:NIPSCO.Savings@TRCcompanies.com" TargetMode="External"/></Relationships>
</file>

<file path=xl/worksheets/_rels/sheet34.xml.rels><?xml version="1.0" encoding="UTF-8" standalone="yes"?>
<Relationships xmlns="http://schemas.openxmlformats.org/package/2006/relationships"><Relationship Id="rId3" Type="http://schemas.openxmlformats.org/officeDocument/2006/relationships/drawing" Target="../drawings/drawing26.xml"/><Relationship Id="rId2" Type="http://schemas.openxmlformats.org/officeDocument/2006/relationships/printerSettings" Target="../printerSettings/printerSettings33.bin"/><Relationship Id="rId1" Type="http://schemas.openxmlformats.org/officeDocument/2006/relationships/hyperlink" Target="mailto:NIPSCO.Savings@TRCcompanies.com" TargetMode="External"/></Relationships>
</file>

<file path=xl/worksheets/_rels/sheet35.xml.rels><?xml version="1.0" encoding="UTF-8" standalone="yes"?>
<Relationships xmlns="http://schemas.openxmlformats.org/package/2006/relationships"><Relationship Id="rId8" Type="http://schemas.openxmlformats.org/officeDocument/2006/relationships/ctrlProp" Target="../ctrlProps/ctrlProp16.xml"/><Relationship Id="rId3" Type="http://schemas.openxmlformats.org/officeDocument/2006/relationships/drawing" Target="../drawings/drawing27.xml"/><Relationship Id="rId7" Type="http://schemas.openxmlformats.org/officeDocument/2006/relationships/ctrlProp" Target="../ctrlProps/ctrlProp15.xml"/><Relationship Id="rId2" Type="http://schemas.openxmlformats.org/officeDocument/2006/relationships/printerSettings" Target="../printerSettings/printerSettings34.bin"/><Relationship Id="rId1" Type="http://schemas.openxmlformats.org/officeDocument/2006/relationships/hyperlink" Target="mailto:NIPSCO.Savings@TRCcompanies.com" TargetMode="External"/><Relationship Id="rId6" Type="http://schemas.openxmlformats.org/officeDocument/2006/relationships/ctrlProp" Target="../ctrlProps/ctrlProp14.xml"/><Relationship Id="rId5" Type="http://schemas.openxmlformats.org/officeDocument/2006/relationships/ctrlProp" Target="../ctrlProps/ctrlProp13.xml"/><Relationship Id="rId4" Type="http://schemas.openxmlformats.org/officeDocument/2006/relationships/vmlDrawing" Target="../drawings/vmlDrawing4.vml"/></Relationships>
</file>

<file path=xl/worksheets/_rels/sheet36.xml.rels><?xml version="1.0" encoding="UTF-8" standalone="yes"?>
<Relationships xmlns="http://schemas.openxmlformats.org/package/2006/relationships"><Relationship Id="rId8" Type="http://schemas.openxmlformats.org/officeDocument/2006/relationships/ctrlProp" Target="../ctrlProps/ctrlProp20.xml"/><Relationship Id="rId3" Type="http://schemas.openxmlformats.org/officeDocument/2006/relationships/drawing" Target="../drawings/drawing28.xml"/><Relationship Id="rId7" Type="http://schemas.openxmlformats.org/officeDocument/2006/relationships/ctrlProp" Target="../ctrlProps/ctrlProp19.xml"/><Relationship Id="rId12" Type="http://schemas.openxmlformats.org/officeDocument/2006/relationships/ctrlProp" Target="../ctrlProps/ctrlProp24.xml"/><Relationship Id="rId2" Type="http://schemas.openxmlformats.org/officeDocument/2006/relationships/printerSettings" Target="../printerSettings/printerSettings35.bin"/><Relationship Id="rId1" Type="http://schemas.openxmlformats.org/officeDocument/2006/relationships/hyperlink" Target="mailto:NIPSCO.Savings@LMCO.com" TargetMode="External"/><Relationship Id="rId6" Type="http://schemas.openxmlformats.org/officeDocument/2006/relationships/ctrlProp" Target="../ctrlProps/ctrlProp18.xml"/><Relationship Id="rId11" Type="http://schemas.openxmlformats.org/officeDocument/2006/relationships/ctrlProp" Target="../ctrlProps/ctrlProp23.xml"/><Relationship Id="rId5" Type="http://schemas.openxmlformats.org/officeDocument/2006/relationships/ctrlProp" Target="../ctrlProps/ctrlProp17.xml"/><Relationship Id="rId10" Type="http://schemas.openxmlformats.org/officeDocument/2006/relationships/ctrlProp" Target="../ctrlProps/ctrlProp22.xml"/><Relationship Id="rId4" Type="http://schemas.openxmlformats.org/officeDocument/2006/relationships/vmlDrawing" Target="../drawings/vmlDrawing5.vml"/><Relationship Id="rId9" Type="http://schemas.openxmlformats.org/officeDocument/2006/relationships/ctrlProp" Target="../ctrlProps/ctrlProp21.xml"/></Relationships>
</file>

<file path=xl/worksheets/_rels/sheet37.xml.rels><?xml version="1.0" encoding="UTF-8" standalone="yes"?>
<Relationships xmlns="http://schemas.openxmlformats.org/package/2006/relationships"><Relationship Id="rId3" Type="http://schemas.openxmlformats.org/officeDocument/2006/relationships/printerSettings" Target="../printerSettings/printerSettings36.bin"/><Relationship Id="rId2" Type="http://schemas.openxmlformats.org/officeDocument/2006/relationships/hyperlink" Target="mailto:IM.EnergyEfficiency@TRCcompanies.com" TargetMode="External"/><Relationship Id="rId1" Type="http://schemas.openxmlformats.org/officeDocument/2006/relationships/hyperlink" Target="mailto:NIPSCO.Savings@LMCO.com" TargetMode="External"/><Relationship Id="rId4" Type="http://schemas.openxmlformats.org/officeDocument/2006/relationships/drawing" Target="../drawings/drawing29.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table" Target="../tables/table9.xml"/><Relationship Id="rId13" Type="http://schemas.openxmlformats.org/officeDocument/2006/relationships/table" Target="../tables/table14.xml"/><Relationship Id="rId18" Type="http://schemas.openxmlformats.org/officeDocument/2006/relationships/table" Target="../tables/table19.xml"/><Relationship Id="rId3" Type="http://schemas.openxmlformats.org/officeDocument/2006/relationships/table" Target="../tables/table4.xml"/><Relationship Id="rId21" Type="http://schemas.openxmlformats.org/officeDocument/2006/relationships/table" Target="../tables/table22.xml"/><Relationship Id="rId7" Type="http://schemas.openxmlformats.org/officeDocument/2006/relationships/table" Target="../tables/table8.xml"/><Relationship Id="rId12" Type="http://schemas.openxmlformats.org/officeDocument/2006/relationships/table" Target="../tables/table13.xml"/><Relationship Id="rId17" Type="http://schemas.openxmlformats.org/officeDocument/2006/relationships/table" Target="../tables/table18.xml"/><Relationship Id="rId2" Type="http://schemas.openxmlformats.org/officeDocument/2006/relationships/table" Target="../tables/table3.xml"/><Relationship Id="rId16" Type="http://schemas.openxmlformats.org/officeDocument/2006/relationships/table" Target="../tables/table17.xml"/><Relationship Id="rId20" Type="http://schemas.openxmlformats.org/officeDocument/2006/relationships/table" Target="../tables/table21.xml"/><Relationship Id="rId1" Type="http://schemas.openxmlformats.org/officeDocument/2006/relationships/printerSettings" Target="../printerSettings/printerSettings5.bin"/><Relationship Id="rId6" Type="http://schemas.openxmlformats.org/officeDocument/2006/relationships/table" Target="../tables/table7.xml"/><Relationship Id="rId11" Type="http://schemas.openxmlformats.org/officeDocument/2006/relationships/table" Target="../tables/table12.xml"/><Relationship Id="rId24" Type="http://schemas.openxmlformats.org/officeDocument/2006/relationships/table" Target="../tables/table25.xml"/><Relationship Id="rId5" Type="http://schemas.openxmlformats.org/officeDocument/2006/relationships/table" Target="../tables/table6.xml"/><Relationship Id="rId15" Type="http://schemas.openxmlformats.org/officeDocument/2006/relationships/table" Target="../tables/table16.xml"/><Relationship Id="rId23" Type="http://schemas.openxmlformats.org/officeDocument/2006/relationships/table" Target="../tables/table24.xml"/><Relationship Id="rId10" Type="http://schemas.openxmlformats.org/officeDocument/2006/relationships/table" Target="../tables/table11.xml"/><Relationship Id="rId19" Type="http://schemas.openxmlformats.org/officeDocument/2006/relationships/table" Target="../tables/table20.xml"/><Relationship Id="rId4" Type="http://schemas.openxmlformats.org/officeDocument/2006/relationships/table" Target="../tables/table5.xml"/><Relationship Id="rId9" Type="http://schemas.openxmlformats.org/officeDocument/2006/relationships/table" Target="../tables/table10.xml"/><Relationship Id="rId14" Type="http://schemas.openxmlformats.org/officeDocument/2006/relationships/table" Target="../tables/table15.xml"/><Relationship Id="rId22" Type="http://schemas.openxmlformats.org/officeDocument/2006/relationships/table" Target="../tables/table23.xml"/></Relationships>
</file>

<file path=xl/worksheets/_rels/sheet6.xml.rels><?xml version="1.0" encoding="UTF-8" standalone="yes"?>
<Relationships xmlns="http://schemas.openxmlformats.org/package/2006/relationships"><Relationship Id="rId8" Type="http://schemas.openxmlformats.org/officeDocument/2006/relationships/table" Target="../tables/table32.xml"/><Relationship Id="rId13" Type="http://schemas.openxmlformats.org/officeDocument/2006/relationships/table" Target="../tables/table37.xml"/><Relationship Id="rId18" Type="http://schemas.openxmlformats.org/officeDocument/2006/relationships/table" Target="../tables/table42.xml"/><Relationship Id="rId3" Type="http://schemas.openxmlformats.org/officeDocument/2006/relationships/table" Target="../tables/table27.xml"/><Relationship Id="rId7" Type="http://schemas.openxmlformats.org/officeDocument/2006/relationships/table" Target="../tables/table31.xml"/><Relationship Id="rId12" Type="http://schemas.openxmlformats.org/officeDocument/2006/relationships/table" Target="../tables/table36.xml"/><Relationship Id="rId17" Type="http://schemas.openxmlformats.org/officeDocument/2006/relationships/table" Target="../tables/table41.xml"/><Relationship Id="rId2" Type="http://schemas.openxmlformats.org/officeDocument/2006/relationships/table" Target="../tables/table26.xml"/><Relationship Id="rId16" Type="http://schemas.openxmlformats.org/officeDocument/2006/relationships/table" Target="../tables/table40.xml"/><Relationship Id="rId1" Type="http://schemas.openxmlformats.org/officeDocument/2006/relationships/printerSettings" Target="../printerSettings/printerSettings6.bin"/><Relationship Id="rId6" Type="http://schemas.openxmlformats.org/officeDocument/2006/relationships/table" Target="../tables/table30.xml"/><Relationship Id="rId11" Type="http://schemas.openxmlformats.org/officeDocument/2006/relationships/table" Target="../tables/table35.xml"/><Relationship Id="rId5" Type="http://schemas.openxmlformats.org/officeDocument/2006/relationships/table" Target="../tables/table29.xml"/><Relationship Id="rId15" Type="http://schemas.openxmlformats.org/officeDocument/2006/relationships/table" Target="../tables/table39.xml"/><Relationship Id="rId10" Type="http://schemas.openxmlformats.org/officeDocument/2006/relationships/table" Target="../tables/table34.xml"/><Relationship Id="rId4" Type="http://schemas.openxmlformats.org/officeDocument/2006/relationships/table" Target="../tables/table28.xml"/><Relationship Id="rId9" Type="http://schemas.openxmlformats.org/officeDocument/2006/relationships/table" Target="../tables/table33.xml"/><Relationship Id="rId14" Type="http://schemas.openxmlformats.org/officeDocument/2006/relationships/table" Target="../tables/table38.xml"/></Relationships>
</file>

<file path=xl/worksheets/_rels/sheet7.xml.rels><?xml version="1.0" encoding="UTF-8" standalone="yes"?>
<Relationships xmlns="http://schemas.openxmlformats.org/package/2006/relationships"><Relationship Id="rId3" Type="http://schemas.openxmlformats.org/officeDocument/2006/relationships/table" Target="../tables/table44.xml"/><Relationship Id="rId2" Type="http://schemas.openxmlformats.org/officeDocument/2006/relationships/table" Target="../tables/table43.xml"/><Relationship Id="rId1" Type="http://schemas.openxmlformats.org/officeDocument/2006/relationships/printerSettings" Target="../printerSettings/printerSettings7.bin"/><Relationship Id="rId4" Type="http://schemas.openxmlformats.org/officeDocument/2006/relationships/table" Target="../tables/table45.xml"/></Relationships>
</file>

<file path=xl/worksheets/_rels/sheet8.xml.rels><?xml version="1.0" encoding="UTF-8" standalone="yes"?>
<Relationships xmlns="http://schemas.openxmlformats.org/package/2006/relationships"><Relationship Id="rId3" Type="http://schemas.openxmlformats.org/officeDocument/2006/relationships/table" Target="../tables/table47.xml"/><Relationship Id="rId2" Type="http://schemas.openxmlformats.org/officeDocument/2006/relationships/table" Target="../tables/table46.xml"/><Relationship Id="rId1" Type="http://schemas.openxmlformats.org/officeDocument/2006/relationships/printerSettings" Target="../printerSettings/printerSettings8.bin"/><Relationship Id="rId5" Type="http://schemas.openxmlformats.org/officeDocument/2006/relationships/table" Target="../tables/table49.xml"/><Relationship Id="rId4" Type="http://schemas.openxmlformats.org/officeDocument/2006/relationships/table" Target="../tables/table48.xm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9.bin"/><Relationship Id="rId1" Type="http://schemas.openxmlformats.org/officeDocument/2006/relationships/hyperlink" Target="mailto:NIPSCO.Savings@TRCcompanies.co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63">
    <tabColor rgb="FF7030A0"/>
  </sheetPr>
  <dimension ref="A1:G300"/>
  <sheetViews>
    <sheetView showRowColHeaders="0" topLeftCell="A63" zoomScaleNormal="100" workbookViewId="0">
      <selection activeCell="D85" sqref="D85"/>
    </sheetView>
  </sheetViews>
  <sheetFormatPr defaultRowHeight="15.75"/>
  <cols>
    <col min="1" max="1" width="14.140625" style="21" bestFit="1" customWidth="1"/>
    <col min="2" max="2" width="16.28515625" style="21" customWidth="1"/>
    <col min="3" max="3" width="8.28515625" style="21" bestFit="1" customWidth="1"/>
    <col min="4" max="4" width="116.5703125" style="21" customWidth="1"/>
  </cols>
  <sheetData>
    <row r="1" spans="1:7" ht="15">
      <c r="A1" s="648" t="s">
        <v>175</v>
      </c>
      <c r="B1" s="648"/>
      <c r="C1" s="648"/>
      <c r="D1" s="648"/>
    </row>
    <row r="2" spans="1:7" ht="15">
      <c r="A2" s="648"/>
      <c r="B2" s="648"/>
      <c r="C2" s="648"/>
      <c r="D2" s="648"/>
    </row>
    <row r="3" spans="1:7" ht="15">
      <c r="A3" s="648"/>
      <c r="B3" s="648"/>
      <c r="C3" s="648"/>
      <c r="D3" s="648"/>
    </row>
    <row r="4" spans="1:7" ht="15">
      <c r="A4" s="15" t="s">
        <v>178</v>
      </c>
      <c r="B4" s="15" t="s">
        <v>176</v>
      </c>
      <c r="C4" s="15" t="s">
        <v>177</v>
      </c>
      <c r="D4" s="16" t="s">
        <v>179</v>
      </c>
      <c r="F4" s="15" t="s">
        <v>921</v>
      </c>
    </row>
    <row r="5" spans="1:7">
      <c r="A5" s="17">
        <v>42136</v>
      </c>
      <c r="B5" s="18" t="s">
        <v>1283</v>
      </c>
      <c r="C5" s="19" t="s">
        <v>1284</v>
      </c>
      <c r="D5" s="20" t="s">
        <v>1285</v>
      </c>
      <c r="F5" t="s">
        <v>917</v>
      </c>
      <c r="G5" t="s">
        <v>920</v>
      </c>
    </row>
    <row r="6" spans="1:7">
      <c r="A6" s="17">
        <v>42401</v>
      </c>
      <c r="B6" s="18" t="s">
        <v>1283</v>
      </c>
      <c r="C6" s="19" t="s">
        <v>1286</v>
      </c>
      <c r="D6" s="20" t="s">
        <v>1287</v>
      </c>
      <c r="F6" t="s">
        <v>918</v>
      </c>
      <c r="G6" t="s">
        <v>924</v>
      </c>
    </row>
    <row r="7" spans="1:7">
      <c r="A7" s="17">
        <v>42411</v>
      </c>
      <c r="B7" s="18" t="s">
        <v>1283</v>
      </c>
      <c r="C7" s="19" t="s">
        <v>1288</v>
      </c>
      <c r="D7" s="20" t="s">
        <v>1289</v>
      </c>
      <c r="F7" t="s">
        <v>919</v>
      </c>
      <c r="G7" t="s">
        <v>922</v>
      </c>
    </row>
    <row r="8" spans="1:7">
      <c r="A8" s="17">
        <v>42411</v>
      </c>
      <c r="B8" s="18" t="s">
        <v>1283</v>
      </c>
      <c r="C8" s="19" t="s">
        <v>1290</v>
      </c>
      <c r="D8" s="20" t="s">
        <v>1291</v>
      </c>
    </row>
    <row r="9" spans="1:7">
      <c r="A9" s="17">
        <v>42415</v>
      </c>
      <c r="B9" s="18" t="s">
        <v>1283</v>
      </c>
      <c r="C9" s="19" t="s">
        <v>1292</v>
      </c>
      <c r="D9" s="20" t="s">
        <v>1293</v>
      </c>
    </row>
    <row r="10" spans="1:7">
      <c r="A10" s="17">
        <v>42416</v>
      </c>
      <c r="B10" s="18" t="s">
        <v>1283</v>
      </c>
      <c r="C10" s="19" t="s">
        <v>1294</v>
      </c>
      <c r="D10" s="20" t="s">
        <v>1295</v>
      </c>
    </row>
    <row r="11" spans="1:7">
      <c r="A11" s="17">
        <v>42419</v>
      </c>
      <c r="B11" s="18" t="s">
        <v>1283</v>
      </c>
      <c r="C11" s="19" t="s">
        <v>1296</v>
      </c>
      <c r="D11" s="20" t="s">
        <v>1297</v>
      </c>
    </row>
    <row r="12" spans="1:7">
      <c r="A12" s="17">
        <v>42423</v>
      </c>
      <c r="B12" s="18" t="s">
        <v>1283</v>
      </c>
      <c r="C12" s="19" t="s">
        <v>1298</v>
      </c>
      <c r="D12" s="20" t="s">
        <v>1299</v>
      </c>
    </row>
    <row r="13" spans="1:7">
      <c r="A13" s="17">
        <v>42425</v>
      </c>
      <c r="B13" s="18" t="s">
        <v>1283</v>
      </c>
      <c r="C13" s="19" t="s">
        <v>1300</v>
      </c>
      <c r="D13" s="20" t="s">
        <v>1301</v>
      </c>
    </row>
    <row r="14" spans="1:7" ht="189">
      <c r="A14" s="17">
        <v>42536</v>
      </c>
      <c r="B14" s="18" t="s">
        <v>1283</v>
      </c>
      <c r="C14" s="19" t="s">
        <v>1302</v>
      </c>
      <c r="D14" s="20" t="s">
        <v>1303</v>
      </c>
    </row>
    <row r="15" spans="1:7">
      <c r="A15" s="17">
        <v>42542</v>
      </c>
      <c r="B15" s="18" t="s">
        <v>1283</v>
      </c>
      <c r="C15" s="19" t="s">
        <v>1304</v>
      </c>
      <c r="D15" s="20" t="s">
        <v>1305</v>
      </c>
    </row>
    <row r="16" spans="1:7">
      <c r="A16" s="17">
        <v>42667</v>
      </c>
      <c r="B16" s="18" t="s">
        <v>1038</v>
      </c>
      <c r="C16" s="19" t="s">
        <v>1306</v>
      </c>
      <c r="D16" s="20" t="s">
        <v>1307</v>
      </c>
    </row>
    <row r="17" spans="1:4">
      <c r="A17" s="17">
        <v>42720</v>
      </c>
      <c r="B17" s="18" t="s">
        <v>1038</v>
      </c>
      <c r="C17" s="19" t="s">
        <v>1308</v>
      </c>
      <c r="D17" s="20" t="s">
        <v>1309</v>
      </c>
    </row>
    <row r="18" spans="1:4">
      <c r="A18" s="17">
        <v>42734</v>
      </c>
      <c r="B18" s="18" t="s">
        <v>1038</v>
      </c>
      <c r="C18" s="19" t="s">
        <v>1310</v>
      </c>
      <c r="D18" s="20" t="s">
        <v>1311</v>
      </c>
    </row>
    <row r="19" spans="1:4">
      <c r="A19" s="17">
        <v>42453</v>
      </c>
      <c r="B19" s="18" t="s">
        <v>1038</v>
      </c>
      <c r="C19" s="19" t="s">
        <v>1312</v>
      </c>
      <c r="D19" s="20" t="s">
        <v>1313</v>
      </c>
    </row>
    <row r="20" spans="1:4" ht="27">
      <c r="A20" s="17">
        <v>42506</v>
      </c>
      <c r="B20" s="18" t="s">
        <v>1038</v>
      </c>
      <c r="C20" s="19" t="s">
        <v>1314</v>
      </c>
      <c r="D20" s="20" t="s">
        <v>1315</v>
      </c>
    </row>
    <row r="21" spans="1:4" ht="27">
      <c r="A21" s="17">
        <v>43100</v>
      </c>
      <c r="B21" s="18" t="s">
        <v>1056</v>
      </c>
      <c r="C21" s="19" t="s">
        <v>1316</v>
      </c>
      <c r="D21" s="20" t="s">
        <v>1317</v>
      </c>
    </row>
    <row r="22" spans="1:4" ht="148.5">
      <c r="A22" s="17">
        <v>43136</v>
      </c>
      <c r="B22" s="18" t="s">
        <v>1322</v>
      </c>
      <c r="C22" s="19" t="s">
        <v>1039</v>
      </c>
      <c r="D22" s="20" t="s">
        <v>1323</v>
      </c>
    </row>
    <row r="23" spans="1:4">
      <c r="A23" s="17">
        <v>43154</v>
      </c>
      <c r="B23" s="18" t="s">
        <v>1056</v>
      </c>
      <c r="C23" s="19"/>
      <c r="D23" s="20" t="s">
        <v>1371</v>
      </c>
    </row>
    <row r="24" spans="1:4">
      <c r="A24" s="17">
        <v>43157</v>
      </c>
      <c r="B24" s="18" t="s">
        <v>1056</v>
      </c>
      <c r="C24" s="19" t="s">
        <v>1372</v>
      </c>
      <c r="D24" s="20" t="s">
        <v>1373</v>
      </c>
    </row>
    <row r="25" spans="1:4">
      <c r="A25" s="17">
        <v>43158</v>
      </c>
      <c r="B25" s="18" t="s">
        <v>1056</v>
      </c>
      <c r="C25" s="19" t="s">
        <v>1374</v>
      </c>
      <c r="D25" s="20" t="s">
        <v>1375</v>
      </c>
    </row>
    <row r="26" spans="1:4">
      <c r="A26" s="17">
        <v>43160</v>
      </c>
      <c r="B26" s="18" t="s">
        <v>1056</v>
      </c>
      <c r="C26" s="19" t="s">
        <v>1376</v>
      </c>
      <c r="D26" s="20" t="s">
        <v>1377</v>
      </c>
    </row>
    <row r="27" spans="1:4" ht="40.5">
      <c r="A27" s="17">
        <v>43269</v>
      </c>
      <c r="B27" s="18" t="s">
        <v>1056</v>
      </c>
      <c r="C27" s="19" t="s">
        <v>1382</v>
      </c>
      <c r="D27" s="20" t="s">
        <v>1383</v>
      </c>
    </row>
    <row r="28" spans="1:4" ht="148.5">
      <c r="A28" s="17">
        <v>43270</v>
      </c>
      <c r="B28" s="18" t="s">
        <v>1056</v>
      </c>
      <c r="C28" s="19"/>
      <c r="D28" s="20" t="s">
        <v>1398</v>
      </c>
    </row>
    <row r="29" spans="1:4" ht="121.5">
      <c r="A29" s="17">
        <v>43271</v>
      </c>
      <c r="B29" s="18" t="s">
        <v>1400</v>
      </c>
      <c r="C29" s="19"/>
      <c r="D29" s="20" t="s">
        <v>1402</v>
      </c>
    </row>
    <row r="30" spans="1:4">
      <c r="A30" s="17">
        <v>43272</v>
      </c>
      <c r="B30" s="18" t="s">
        <v>1400</v>
      </c>
      <c r="C30" s="19"/>
      <c r="D30" s="20" t="s">
        <v>1404</v>
      </c>
    </row>
    <row r="31" spans="1:4" ht="54">
      <c r="A31" s="17">
        <v>43276</v>
      </c>
      <c r="B31" s="18" t="s">
        <v>1056</v>
      </c>
      <c r="C31" s="19"/>
      <c r="D31" s="20" t="s">
        <v>1447</v>
      </c>
    </row>
    <row r="32" spans="1:4" ht="54">
      <c r="A32" s="17">
        <v>43304</v>
      </c>
      <c r="B32" s="18" t="s">
        <v>1400</v>
      </c>
      <c r="C32" s="19" t="s">
        <v>1448</v>
      </c>
      <c r="D32" s="396" t="s">
        <v>1449</v>
      </c>
    </row>
    <row r="33" spans="1:4" ht="40.5">
      <c r="A33" s="17">
        <v>43312</v>
      </c>
      <c r="B33" s="18" t="s">
        <v>1056</v>
      </c>
      <c r="C33" s="19"/>
      <c r="D33" s="20" t="s">
        <v>1452</v>
      </c>
    </row>
    <row r="34" spans="1:4">
      <c r="A34" s="17">
        <v>43335</v>
      </c>
      <c r="B34" s="18" t="s">
        <v>1400</v>
      </c>
      <c r="C34" s="19" t="s">
        <v>1453</v>
      </c>
      <c r="D34" s="20" t="s">
        <v>1454</v>
      </c>
    </row>
    <row r="35" spans="1:4" ht="27">
      <c r="A35" s="17">
        <v>43335</v>
      </c>
      <c r="B35" s="18" t="s">
        <v>1056</v>
      </c>
      <c r="C35" s="19"/>
      <c r="D35" s="20" t="s">
        <v>1456</v>
      </c>
    </row>
    <row r="36" spans="1:4" ht="108">
      <c r="A36" s="17">
        <v>43451</v>
      </c>
      <c r="B36" s="18" t="s">
        <v>1400</v>
      </c>
      <c r="C36" s="19" t="s">
        <v>1457</v>
      </c>
      <c r="D36" s="20" t="s">
        <v>1497</v>
      </c>
    </row>
    <row r="37" spans="1:4">
      <c r="A37" s="17"/>
      <c r="B37" s="18" t="s">
        <v>1056</v>
      </c>
      <c r="C37" s="19"/>
      <c r="D37" s="20" t="s">
        <v>1489</v>
      </c>
    </row>
    <row r="38" spans="1:4" ht="27">
      <c r="A38" s="17">
        <v>43454</v>
      </c>
      <c r="B38" s="18" t="s">
        <v>1056</v>
      </c>
      <c r="C38" s="19"/>
      <c r="D38" s="20" t="s">
        <v>1503</v>
      </c>
    </row>
    <row r="39" spans="1:4">
      <c r="A39" s="17">
        <v>43460</v>
      </c>
      <c r="B39" s="18" t="s">
        <v>1056</v>
      </c>
      <c r="C39" s="19"/>
      <c r="D39" s="20" t="s">
        <v>1507</v>
      </c>
    </row>
    <row r="40" spans="1:4" ht="54">
      <c r="A40" s="17">
        <v>43465</v>
      </c>
      <c r="B40" s="18" t="s">
        <v>1400</v>
      </c>
      <c r="C40" s="19"/>
      <c r="D40" s="20" t="s">
        <v>1510</v>
      </c>
    </row>
    <row r="41" spans="1:4" ht="40.5">
      <c r="A41" s="17">
        <v>43475</v>
      </c>
      <c r="B41" s="18" t="s">
        <v>1400</v>
      </c>
      <c r="C41" s="19" t="s">
        <v>1513</v>
      </c>
      <c r="D41" s="20" t="s">
        <v>1514</v>
      </c>
    </row>
    <row r="42" spans="1:4" ht="40.5">
      <c r="A42" s="17">
        <v>43503</v>
      </c>
      <c r="B42" s="18" t="s">
        <v>1051</v>
      </c>
      <c r="C42" s="19" t="s">
        <v>1516</v>
      </c>
      <c r="D42" s="20" t="s">
        <v>1518</v>
      </c>
    </row>
    <row r="43" spans="1:4" ht="81">
      <c r="A43" s="17">
        <v>43507</v>
      </c>
      <c r="B43" s="18" t="s">
        <v>1051</v>
      </c>
      <c r="C43" s="19"/>
      <c r="D43" s="20" t="s">
        <v>1529</v>
      </c>
    </row>
    <row r="44" spans="1:4" ht="27">
      <c r="A44" s="17">
        <v>43510</v>
      </c>
      <c r="B44" s="18" t="s">
        <v>1051</v>
      </c>
      <c r="C44" s="19"/>
      <c r="D44" s="20" t="s">
        <v>1533</v>
      </c>
    </row>
    <row r="45" spans="1:4" ht="27">
      <c r="A45" s="17">
        <v>43516</v>
      </c>
      <c r="B45" s="18" t="s">
        <v>1051</v>
      </c>
      <c r="C45" s="19"/>
      <c r="D45" s="20" t="s">
        <v>1535</v>
      </c>
    </row>
    <row r="46" spans="1:4">
      <c r="A46" s="17">
        <v>43517</v>
      </c>
      <c r="B46" s="18" t="s">
        <v>1051</v>
      </c>
      <c r="C46" s="19"/>
      <c r="D46" s="20" t="s">
        <v>1536</v>
      </c>
    </row>
    <row r="47" spans="1:4" ht="27">
      <c r="A47" s="17">
        <v>43518</v>
      </c>
      <c r="B47" s="18" t="s">
        <v>1051</v>
      </c>
      <c r="C47" s="19"/>
      <c r="D47" s="20" t="s">
        <v>1540</v>
      </c>
    </row>
    <row r="48" spans="1:4">
      <c r="A48" s="17">
        <v>43535</v>
      </c>
      <c r="B48" s="18" t="s">
        <v>1051</v>
      </c>
      <c r="C48" s="19" t="s">
        <v>1541</v>
      </c>
      <c r="D48" s="20" t="s">
        <v>1542</v>
      </c>
    </row>
    <row r="49" spans="1:4" ht="27">
      <c r="A49" s="17">
        <v>43699</v>
      </c>
      <c r="B49" s="18" t="s">
        <v>1050</v>
      </c>
      <c r="C49" s="19" t="s">
        <v>1544</v>
      </c>
      <c r="D49" s="20" t="s">
        <v>1545</v>
      </c>
    </row>
    <row r="50" spans="1:4" ht="40.5">
      <c r="A50" s="17">
        <v>43804</v>
      </c>
      <c r="B50" s="18" t="s">
        <v>1050</v>
      </c>
      <c r="C50" s="19" t="s">
        <v>1546</v>
      </c>
      <c r="D50" s="20" t="s">
        <v>1561</v>
      </c>
    </row>
    <row r="51" spans="1:4">
      <c r="A51" s="17">
        <v>43892</v>
      </c>
      <c r="B51" s="18" t="s">
        <v>1050</v>
      </c>
      <c r="C51" s="19" t="s">
        <v>1566</v>
      </c>
      <c r="D51" s="20" t="s">
        <v>1567</v>
      </c>
    </row>
    <row r="52" spans="1:4" ht="27">
      <c r="A52" s="17">
        <v>43901</v>
      </c>
      <c r="B52" s="18" t="s">
        <v>1050</v>
      </c>
      <c r="C52" s="19" t="s">
        <v>1568</v>
      </c>
      <c r="D52" s="20" t="s">
        <v>1569</v>
      </c>
    </row>
    <row r="53" spans="1:4">
      <c r="A53" s="17">
        <v>43901</v>
      </c>
      <c r="B53" s="18" t="s">
        <v>1050</v>
      </c>
      <c r="C53" s="19" t="s">
        <v>1570</v>
      </c>
      <c r="D53" s="20" t="s">
        <v>1571</v>
      </c>
    </row>
    <row r="54" spans="1:4">
      <c r="A54" s="17">
        <v>43916</v>
      </c>
      <c r="B54" s="18" t="s">
        <v>1050</v>
      </c>
      <c r="C54" s="19" t="s">
        <v>1572</v>
      </c>
      <c r="D54" s="20" t="s">
        <v>1573</v>
      </c>
    </row>
    <row r="55" spans="1:4">
      <c r="A55" s="17">
        <v>43917</v>
      </c>
      <c r="B55" s="18" t="s">
        <v>1050</v>
      </c>
      <c r="C55" s="19" t="s">
        <v>1574</v>
      </c>
      <c r="D55" s="20" t="s">
        <v>1575</v>
      </c>
    </row>
    <row r="56" spans="1:4" ht="27">
      <c r="A56" s="17">
        <v>44202</v>
      </c>
      <c r="B56" s="18" t="s">
        <v>1050</v>
      </c>
      <c r="C56" s="19" t="s">
        <v>1613</v>
      </c>
      <c r="D56" s="20" t="s">
        <v>1614</v>
      </c>
    </row>
    <row r="57" spans="1:4" ht="54">
      <c r="A57" s="17">
        <v>44336</v>
      </c>
      <c r="B57" s="18" t="s">
        <v>1050</v>
      </c>
      <c r="C57" s="19" t="s">
        <v>1631</v>
      </c>
      <c r="D57" s="20" t="s">
        <v>1632</v>
      </c>
    </row>
    <row r="58" spans="1:4" ht="27">
      <c r="A58" s="17">
        <v>44355</v>
      </c>
      <c r="B58" s="18" t="s">
        <v>1050</v>
      </c>
      <c r="C58" s="19" t="s">
        <v>1634</v>
      </c>
      <c r="D58" s="20" t="s">
        <v>1635</v>
      </c>
    </row>
    <row r="59" spans="1:4" ht="27">
      <c r="A59" s="17">
        <v>44393</v>
      </c>
      <c r="B59" s="18" t="s">
        <v>1050</v>
      </c>
      <c r="C59" s="19" t="s">
        <v>1636</v>
      </c>
      <c r="D59" s="20" t="s">
        <v>1637</v>
      </c>
    </row>
    <row r="60" spans="1:4" ht="27">
      <c r="A60" s="17">
        <v>44543</v>
      </c>
      <c r="B60" s="18" t="s">
        <v>1050</v>
      </c>
      <c r="C60" s="19" t="s">
        <v>1639</v>
      </c>
      <c r="D60" s="20" t="s">
        <v>1640</v>
      </c>
    </row>
    <row r="61" spans="1:4" ht="27">
      <c r="A61" s="17">
        <v>44581</v>
      </c>
      <c r="B61" s="18" t="s">
        <v>1050</v>
      </c>
      <c r="C61" s="19" t="s">
        <v>2003</v>
      </c>
      <c r="D61" s="20" t="s">
        <v>2004</v>
      </c>
    </row>
    <row r="62" spans="1:4">
      <c r="A62" s="17">
        <v>44595</v>
      </c>
      <c r="B62" s="18" t="s">
        <v>1050</v>
      </c>
      <c r="C62" s="19" t="s">
        <v>2006</v>
      </c>
      <c r="D62" s="20" t="s">
        <v>2005</v>
      </c>
    </row>
    <row r="63" spans="1:4" ht="40.5">
      <c r="A63" s="17">
        <v>44628</v>
      </c>
      <c r="B63" s="18" t="s">
        <v>1050</v>
      </c>
      <c r="C63" s="19" t="s">
        <v>2007</v>
      </c>
      <c r="D63" s="20" t="s">
        <v>2015</v>
      </c>
    </row>
    <row r="64" spans="1:4" ht="27">
      <c r="A64" s="17">
        <v>44650</v>
      </c>
      <c r="B64" s="18" t="s">
        <v>1050</v>
      </c>
      <c r="C64" s="19" t="s">
        <v>2019</v>
      </c>
      <c r="D64" s="20" t="s">
        <v>2020</v>
      </c>
    </row>
    <row r="65" spans="1:4" ht="40.5">
      <c r="A65" s="17">
        <v>44659</v>
      </c>
      <c r="B65" s="18" t="s">
        <v>1050</v>
      </c>
      <c r="C65" s="19" t="s">
        <v>2042</v>
      </c>
      <c r="D65" s="20" t="s">
        <v>2043</v>
      </c>
    </row>
    <row r="66" spans="1:4" ht="27">
      <c r="A66" s="17">
        <v>44659</v>
      </c>
      <c r="B66" s="18" t="s">
        <v>1050</v>
      </c>
      <c r="C66" s="19" t="s">
        <v>2049</v>
      </c>
      <c r="D66" s="20" t="s">
        <v>2050</v>
      </c>
    </row>
    <row r="67" spans="1:4">
      <c r="A67" s="17">
        <v>44699</v>
      </c>
      <c r="B67" s="18" t="s">
        <v>1050</v>
      </c>
      <c r="C67" s="19" t="s">
        <v>2069</v>
      </c>
      <c r="D67" s="20" t="s">
        <v>2070</v>
      </c>
    </row>
    <row r="68" spans="1:4">
      <c r="A68" s="17">
        <v>44720</v>
      </c>
      <c r="B68" s="18" t="s">
        <v>2071</v>
      </c>
      <c r="C68" s="19" t="s">
        <v>2069</v>
      </c>
      <c r="D68" s="20" t="s">
        <v>2072</v>
      </c>
    </row>
    <row r="69" spans="1:4">
      <c r="A69" s="17">
        <v>44741</v>
      </c>
      <c r="B69" s="18" t="s">
        <v>1050</v>
      </c>
      <c r="C69" s="19" t="s">
        <v>2093</v>
      </c>
      <c r="D69" s="20" t="s">
        <v>2094</v>
      </c>
    </row>
    <row r="70" spans="1:4" ht="27">
      <c r="A70" s="17">
        <v>44866</v>
      </c>
      <c r="B70" s="18" t="s">
        <v>1050</v>
      </c>
      <c r="C70" s="19" t="s">
        <v>2114</v>
      </c>
      <c r="D70" s="20" t="s">
        <v>2117</v>
      </c>
    </row>
    <row r="71" spans="1:4" ht="40.5">
      <c r="A71" s="17">
        <v>44896</v>
      </c>
      <c r="B71" s="18" t="s">
        <v>1050</v>
      </c>
      <c r="C71" s="19" t="s">
        <v>2124</v>
      </c>
      <c r="D71" s="20" t="s">
        <v>2123</v>
      </c>
    </row>
    <row r="72" spans="1:4" ht="40.5">
      <c r="A72" s="17">
        <v>44907</v>
      </c>
      <c r="B72" s="18" t="s">
        <v>1050</v>
      </c>
      <c r="C72" s="19" t="s">
        <v>2129</v>
      </c>
      <c r="D72" s="20" t="s">
        <v>2130</v>
      </c>
    </row>
    <row r="73" spans="1:4">
      <c r="A73" s="17">
        <v>44981</v>
      </c>
      <c r="B73" s="18" t="s">
        <v>1050</v>
      </c>
      <c r="C73" s="19" t="s">
        <v>2140</v>
      </c>
      <c r="D73" s="20" t="s">
        <v>2141</v>
      </c>
    </row>
    <row r="74" spans="1:4">
      <c r="A74" s="17">
        <v>44999</v>
      </c>
      <c r="B74" s="18" t="s">
        <v>1050</v>
      </c>
      <c r="C74" s="19" t="s">
        <v>2146</v>
      </c>
      <c r="D74" s="20" t="s">
        <v>2147</v>
      </c>
    </row>
    <row r="75" spans="1:4">
      <c r="A75" s="17">
        <v>45069</v>
      </c>
      <c r="B75" s="18" t="s">
        <v>1050</v>
      </c>
      <c r="C75" s="19" t="s">
        <v>2148</v>
      </c>
      <c r="D75" s="20" t="s">
        <v>2149</v>
      </c>
    </row>
    <row r="76" spans="1:4" ht="40.5">
      <c r="A76" s="17">
        <v>45179</v>
      </c>
      <c r="B76" s="18" t="s">
        <v>1050</v>
      </c>
      <c r="C76" s="19" t="s">
        <v>2151</v>
      </c>
      <c r="D76" s="20" t="s">
        <v>2152</v>
      </c>
    </row>
    <row r="77" spans="1:4" ht="40.5">
      <c r="A77" s="17">
        <v>45272</v>
      </c>
      <c r="B77" s="18" t="s">
        <v>1050</v>
      </c>
      <c r="C77" s="19" t="s">
        <v>2364</v>
      </c>
      <c r="D77" s="20" t="s">
        <v>2365</v>
      </c>
    </row>
    <row r="78" spans="1:4">
      <c r="A78" s="17">
        <v>45278</v>
      </c>
      <c r="B78" s="18" t="s">
        <v>1050</v>
      </c>
      <c r="C78" s="19" t="s">
        <v>2364</v>
      </c>
      <c r="D78" s="20" t="s">
        <v>2382</v>
      </c>
    </row>
    <row r="79" spans="1:4" ht="27">
      <c r="A79" s="17">
        <v>45393</v>
      </c>
      <c r="B79" s="18" t="s">
        <v>1050</v>
      </c>
      <c r="C79" s="19" t="s">
        <v>2386</v>
      </c>
      <c r="D79" s="20" t="s">
        <v>2388</v>
      </c>
    </row>
    <row r="80" spans="1:4">
      <c r="A80" s="17">
        <v>45446</v>
      </c>
      <c r="B80" s="18" t="s">
        <v>1050</v>
      </c>
      <c r="C80" s="19" t="s">
        <v>2409</v>
      </c>
      <c r="D80" s="20" t="s">
        <v>2408</v>
      </c>
    </row>
    <row r="81" spans="1:4" ht="27">
      <c r="A81" s="17">
        <v>45533</v>
      </c>
      <c r="B81" s="18" t="s">
        <v>1050</v>
      </c>
      <c r="C81" s="19" t="s">
        <v>2410</v>
      </c>
      <c r="D81" s="20" t="s">
        <v>2411</v>
      </c>
    </row>
    <row r="82" spans="1:4" ht="27">
      <c r="A82" s="17">
        <v>45561</v>
      </c>
      <c r="B82" s="18" t="s">
        <v>1050</v>
      </c>
      <c r="C82" s="19" t="s">
        <v>2429</v>
      </c>
      <c r="D82" s="20" t="s">
        <v>2421</v>
      </c>
    </row>
    <row r="83" spans="1:4" ht="27">
      <c r="A83" s="17">
        <v>45568</v>
      </c>
      <c r="B83" s="18" t="s">
        <v>1050</v>
      </c>
      <c r="C83" s="19" t="s">
        <v>2430</v>
      </c>
      <c r="D83" s="20" t="s">
        <v>2431</v>
      </c>
    </row>
    <row r="84" spans="1:4" ht="27">
      <c r="A84" s="17">
        <v>45635</v>
      </c>
      <c r="B84" s="18" t="s">
        <v>1050</v>
      </c>
      <c r="C84" s="19" t="s">
        <v>2585</v>
      </c>
      <c r="D84" s="20" t="s">
        <v>2586</v>
      </c>
    </row>
    <row r="85" spans="1:4">
      <c r="A85" s="17"/>
      <c r="B85" s="18"/>
      <c r="C85" s="19"/>
      <c r="D85" s="20"/>
    </row>
    <row r="86" spans="1:4">
      <c r="A86" s="17"/>
      <c r="B86" s="18"/>
      <c r="C86" s="19"/>
      <c r="D86" s="20"/>
    </row>
    <row r="87" spans="1:4">
      <c r="A87" s="17"/>
      <c r="B87" s="18"/>
      <c r="C87" s="19"/>
      <c r="D87" s="20"/>
    </row>
    <row r="88" spans="1:4">
      <c r="A88" s="17"/>
      <c r="B88" s="18"/>
      <c r="C88" s="19"/>
      <c r="D88" s="20"/>
    </row>
    <row r="89" spans="1:4">
      <c r="A89" s="17"/>
      <c r="B89" s="18"/>
      <c r="C89" s="19"/>
      <c r="D89" s="20"/>
    </row>
    <row r="90" spans="1:4">
      <c r="A90" s="17"/>
      <c r="B90" s="18"/>
      <c r="C90" s="19"/>
      <c r="D90" s="20"/>
    </row>
    <row r="91" spans="1:4">
      <c r="A91" s="17"/>
      <c r="B91" s="18"/>
      <c r="C91" s="19"/>
      <c r="D91" s="20"/>
    </row>
    <row r="92" spans="1:4">
      <c r="A92" s="17"/>
      <c r="B92" s="18"/>
      <c r="C92" s="19"/>
      <c r="D92" s="20"/>
    </row>
    <row r="93" spans="1:4">
      <c r="A93" s="17"/>
      <c r="B93" s="18"/>
      <c r="C93" s="19"/>
      <c r="D93" s="20"/>
    </row>
    <row r="94" spans="1:4">
      <c r="A94" s="17"/>
      <c r="B94" s="18"/>
      <c r="C94" s="19"/>
      <c r="D94" s="20"/>
    </row>
    <row r="95" spans="1:4">
      <c r="A95" s="17"/>
      <c r="B95" s="18"/>
      <c r="C95" s="19"/>
      <c r="D95" s="20"/>
    </row>
    <row r="96" spans="1:4">
      <c r="A96" s="17"/>
      <c r="B96" s="18"/>
      <c r="C96" s="19"/>
      <c r="D96" s="20"/>
    </row>
    <row r="97" spans="1:4">
      <c r="A97" s="17"/>
      <c r="B97" s="18"/>
      <c r="C97" s="19"/>
      <c r="D97" s="20"/>
    </row>
    <row r="98" spans="1:4">
      <c r="A98" s="17"/>
      <c r="B98" s="18"/>
      <c r="C98" s="19"/>
      <c r="D98" s="20"/>
    </row>
    <row r="99" spans="1:4">
      <c r="A99" s="17"/>
      <c r="B99" s="18"/>
      <c r="C99" s="19"/>
      <c r="D99" s="20"/>
    </row>
    <row r="100" spans="1:4">
      <c r="A100" s="17"/>
      <c r="B100" s="18"/>
      <c r="C100" s="19"/>
      <c r="D100" s="20"/>
    </row>
    <row r="101" spans="1:4">
      <c r="A101" s="17"/>
      <c r="B101" s="18"/>
      <c r="C101" s="19"/>
      <c r="D101" s="20"/>
    </row>
    <row r="102" spans="1:4">
      <c r="A102" s="17"/>
      <c r="B102" s="18"/>
      <c r="C102" s="19"/>
      <c r="D102" s="20"/>
    </row>
    <row r="103" spans="1:4">
      <c r="A103" s="17"/>
      <c r="B103" s="18"/>
      <c r="C103" s="19"/>
      <c r="D103" s="20"/>
    </row>
    <row r="104" spans="1:4">
      <c r="A104" s="17"/>
      <c r="B104" s="18"/>
      <c r="C104" s="19"/>
      <c r="D104" s="20"/>
    </row>
    <row r="105" spans="1:4">
      <c r="A105" s="17"/>
      <c r="B105" s="18"/>
      <c r="C105" s="19"/>
      <c r="D105" s="20"/>
    </row>
    <row r="106" spans="1:4">
      <c r="A106" s="17"/>
      <c r="B106" s="18"/>
      <c r="C106" s="19"/>
      <c r="D106" s="20"/>
    </row>
    <row r="107" spans="1:4">
      <c r="A107" s="17"/>
      <c r="B107" s="18"/>
      <c r="C107" s="19"/>
      <c r="D107" s="20"/>
    </row>
    <row r="108" spans="1:4">
      <c r="A108" s="17"/>
      <c r="B108" s="18"/>
      <c r="C108" s="19"/>
      <c r="D108" s="20"/>
    </row>
    <row r="109" spans="1:4">
      <c r="A109" s="17"/>
      <c r="B109" s="18"/>
      <c r="C109" s="19"/>
      <c r="D109" s="20"/>
    </row>
    <row r="110" spans="1:4">
      <c r="A110" s="17"/>
      <c r="B110" s="18"/>
      <c r="C110" s="19"/>
      <c r="D110" s="20"/>
    </row>
    <row r="111" spans="1:4">
      <c r="A111" s="17"/>
      <c r="B111" s="18"/>
      <c r="C111" s="19"/>
      <c r="D111" s="20"/>
    </row>
    <row r="112" spans="1:4">
      <c r="A112" s="17"/>
      <c r="B112" s="18"/>
      <c r="C112" s="19"/>
      <c r="D112" s="20"/>
    </row>
    <row r="113" spans="1:4">
      <c r="A113" s="17"/>
      <c r="B113" s="18"/>
      <c r="C113" s="19"/>
      <c r="D113" s="20"/>
    </row>
    <row r="114" spans="1:4">
      <c r="A114" s="17"/>
      <c r="B114" s="18"/>
      <c r="C114" s="19"/>
      <c r="D114" s="20"/>
    </row>
    <row r="115" spans="1:4">
      <c r="A115" s="17"/>
      <c r="B115" s="18"/>
      <c r="C115" s="19"/>
      <c r="D115" s="20"/>
    </row>
    <row r="116" spans="1:4">
      <c r="A116" s="17"/>
      <c r="B116" s="18"/>
      <c r="C116" s="19"/>
      <c r="D116" s="20"/>
    </row>
    <row r="117" spans="1:4">
      <c r="A117" s="17"/>
      <c r="B117" s="18"/>
      <c r="C117" s="19"/>
      <c r="D117" s="20"/>
    </row>
    <row r="118" spans="1:4">
      <c r="A118" s="17"/>
      <c r="B118" s="18"/>
      <c r="C118" s="19"/>
      <c r="D118" s="20"/>
    </row>
    <row r="119" spans="1:4">
      <c r="A119" s="17"/>
      <c r="B119" s="18"/>
      <c r="C119" s="19"/>
      <c r="D119" s="20"/>
    </row>
    <row r="120" spans="1:4">
      <c r="A120" s="17"/>
      <c r="B120" s="18"/>
      <c r="C120" s="19"/>
      <c r="D120" s="20"/>
    </row>
    <row r="121" spans="1:4">
      <c r="A121" s="17"/>
      <c r="B121" s="18"/>
      <c r="C121" s="19"/>
      <c r="D121" s="20"/>
    </row>
    <row r="122" spans="1:4">
      <c r="A122" s="17"/>
      <c r="B122" s="18"/>
      <c r="C122" s="19"/>
      <c r="D122" s="20"/>
    </row>
    <row r="123" spans="1:4">
      <c r="A123" s="17"/>
      <c r="B123" s="18"/>
      <c r="C123" s="19"/>
      <c r="D123" s="20"/>
    </row>
    <row r="124" spans="1:4">
      <c r="A124" s="17"/>
      <c r="B124" s="18"/>
      <c r="C124" s="19"/>
      <c r="D124" s="20"/>
    </row>
    <row r="125" spans="1:4">
      <c r="A125" s="17"/>
      <c r="B125" s="18"/>
      <c r="C125" s="19"/>
      <c r="D125" s="20"/>
    </row>
    <row r="126" spans="1:4">
      <c r="A126" s="17"/>
      <c r="B126" s="18"/>
      <c r="C126" s="19"/>
      <c r="D126" s="20"/>
    </row>
    <row r="127" spans="1:4">
      <c r="A127" s="17"/>
      <c r="B127" s="18"/>
      <c r="C127" s="19"/>
      <c r="D127" s="20"/>
    </row>
    <row r="128" spans="1:4">
      <c r="A128" s="17"/>
      <c r="B128" s="18"/>
      <c r="C128" s="19"/>
      <c r="D128" s="20"/>
    </row>
    <row r="129" spans="1:4">
      <c r="A129" s="17"/>
      <c r="B129" s="18"/>
      <c r="C129" s="19"/>
      <c r="D129" s="20"/>
    </row>
    <row r="130" spans="1:4">
      <c r="A130" s="17"/>
      <c r="B130" s="18"/>
      <c r="C130" s="19"/>
      <c r="D130" s="20"/>
    </row>
    <row r="131" spans="1:4">
      <c r="A131" s="17"/>
      <c r="B131" s="18"/>
      <c r="C131" s="19"/>
      <c r="D131" s="20"/>
    </row>
    <row r="132" spans="1:4">
      <c r="A132" s="17"/>
      <c r="B132" s="18"/>
      <c r="C132" s="19"/>
      <c r="D132" s="20"/>
    </row>
    <row r="133" spans="1:4">
      <c r="A133" s="17"/>
      <c r="B133" s="18"/>
      <c r="C133" s="19"/>
      <c r="D133" s="20"/>
    </row>
    <row r="134" spans="1:4">
      <c r="A134" s="17"/>
      <c r="B134" s="18"/>
      <c r="C134" s="19"/>
      <c r="D134" s="20"/>
    </row>
    <row r="135" spans="1:4">
      <c r="A135" s="17"/>
      <c r="B135" s="18"/>
      <c r="C135" s="19"/>
      <c r="D135" s="20"/>
    </row>
    <row r="136" spans="1:4">
      <c r="A136" s="17"/>
      <c r="B136" s="18"/>
      <c r="C136" s="19"/>
      <c r="D136" s="20"/>
    </row>
    <row r="137" spans="1:4">
      <c r="A137" s="17"/>
      <c r="B137" s="18"/>
      <c r="C137" s="19"/>
      <c r="D137" s="20"/>
    </row>
    <row r="138" spans="1:4">
      <c r="A138" s="17"/>
      <c r="B138" s="18"/>
      <c r="C138" s="19"/>
      <c r="D138" s="20"/>
    </row>
    <row r="139" spans="1:4">
      <c r="A139" s="17"/>
      <c r="B139" s="18"/>
      <c r="C139" s="19"/>
      <c r="D139" s="20"/>
    </row>
    <row r="140" spans="1:4">
      <c r="A140" s="17"/>
      <c r="B140" s="18"/>
      <c r="C140" s="19"/>
      <c r="D140" s="20"/>
    </row>
    <row r="141" spans="1:4">
      <c r="A141" s="17"/>
      <c r="B141" s="18"/>
      <c r="C141" s="19"/>
      <c r="D141" s="20"/>
    </row>
    <row r="142" spans="1:4">
      <c r="A142" s="17"/>
      <c r="B142" s="18"/>
      <c r="C142" s="19"/>
      <c r="D142" s="20"/>
    </row>
    <row r="143" spans="1:4">
      <c r="A143" s="17"/>
      <c r="B143" s="18"/>
      <c r="C143" s="19"/>
      <c r="D143" s="20"/>
    </row>
    <row r="144" spans="1:4">
      <c r="A144" s="17"/>
      <c r="B144" s="18"/>
      <c r="C144" s="19"/>
      <c r="D144" s="20"/>
    </row>
    <row r="145" spans="1:4">
      <c r="A145" s="17"/>
      <c r="B145" s="18"/>
      <c r="C145" s="19"/>
      <c r="D145" s="20"/>
    </row>
    <row r="146" spans="1:4">
      <c r="A146" s="17"/>
      <c r="B146" s="18"/>
      <c r="C146" s="19"/>
      <c r="D146" s="20"/>
    </row>
    <row r="147" spans="1:4">
      <c r="A147" s="17"/>
      <c r="B147" s="18"/>
      <c r="C147" s="19"/>
      <c r="D147" s="20"/>
    </row>
    <row r="148" spans="1:4">
      <c r="A148" s="17"/>
      <c r="B148" s="18"/>
      <c r="C148" s="19"/>
      <c r="D148" s="20"/>
    </row>
    <row r="149" spans="1:4">
      <c r="A149" s="17"/>
      <c r="B149" s="18"/>
      <c r="C149" s="19"/>
      <c r="D149" s="20"/>
    </row>
    <row r="150" spans="1:4">
      <c r="A150" s="17"/>
      <c r="B150" s="18"/>
      <c r="C150" s="19"/>
      <c r="D150" s="20"/>
    </row>
    <row r="151" spans="1:4">
      <c r="A151" s="17"/>
      <c r="B151" s="18"/>
      <c r="C151" s="19"/>
      <c r="D151" s="20"/>
    </row>
    <row r="152" spans="1:4">
      <c r="A152" s="17"/>
      <c r="B152" s="18"/>
      <c r="C152" s="19"/>
      <c r="D152" s="20"/>
    </row>
    <row r="153" spans="1:4">
      <c r="A153" s="17"/>
      <c r="B153" s="18"/>
      <c r="C153" s="19"/>
      <c r="D153" s="20"/>
    </row>
    <row r="154" spans="1:4">
      <c r="A154" s="17"/>
      <c r="B154" s="18"/>
      <c r="C154" s="19"/>
      <c r="D154" s="20"/>
    </row>
    <row r="155" spans="1:4">
      <c r="A155" s="17"/>
      <c r="B155" s="18"/>
      <c r="C155" s="19"/>
      <c r="D155" s="20"/>
    </row>
    <row r="156" spans="1:4">
      <c r="A156" s="17"/>
      <c r="B156" s="18"/>
      <c r="C156" s="19"/>
      <c r="D156" s="20"/>
    </row>
    <row r="157" spans="1:4">
      <c r="A157" s="17"/>
      <c r="B157" s="18"/>
      <c r="C157" s="19"/>
      <c r="D157" s="20"/>
    </row>
    <row r="158" spans="1:4">
      <c r="A158" s="17"/>
      <c r="B158" s="18"/>
      <c r="C158" s="19"/>
      <c r="D158" s="20"/>
    </row>
    <row r="159" spans="1:4">
      <c r="A159" s="17"/>
      <c r="B159" s="18"/>
      <c r="C159" s="19"/>
      <c r="D159" s="20"/>
    </row>
    <row r="160" spans="1:4">
      <c r="A160" s="17"/>
      <c r="B160" s="18"/>
      <c r="C160" s="19"/>
      <c r="D160" s="20"/>
    </row>
    <row r="161" spans="1:4">
      <c r="A161" s="17"/>
      <c r="B161" s="18"/>
      <c r="C161" s="19"/>
      <c r="D161" s="20"/>
    </row>
    <row r="162" spans="1:4">
      <c r="A162" s="17"/>
      <c r="B162" s="18"/>
      <c r="C162" s="19"/>
      <c r="D162" s="20"/>
    </row>
    <row r="163" spans="1:4">
      <c r="A163" s="17"/>
      <c r="B163" s="18"/>
      <c r="C163" s="19"/>
      <c r="D163" s="20"/>
    </row>
    <row r="164" spans="1:4">
      <c r="A164" s="17"/>
      <c r="B164" s="18"/>
      <c r="C164" s="19"/>
      <c r="D164" s="20"/>
    </row>
    <row r="165" spans="1:4">
      <c r="A165" s="17"/>
      <c r="B165" s="18"/>
      <c r="C165" s="19"/>
      <c r="D165" s="20"/>
    </row>
    <row r="166" spans="1:4">
      <c r="A166" s="17"/>
      <c r="B166" s="18"/>
      <c r="C166" s="19"/>
      <c r="D166" s="20"/>
    </row>
    <row r="167" spans="1:4">
      <c r="A167" s="17"/>
      <c r="B167" s="18"/>
      <c r="C167" s="19"/>
      <c r="D167" s="20"/>
    </row>
    <row r="168" spans="1:4">
      <c r="A168" s="17"/>
      <c r="B168" s="18"/>
      <c r="C168" s="19"/>
      <c r="D168" s="20"/>
    </row>
    <row r="169" spans="1:4">
      <c r="A169" s="17"/>
      <c r="B169" s="18"/>
      <c r="C169" s="19"/>
      <c r="D169" s="20"/>
    </row>
    <row r="170" spans="1:4">
      <c r="A170" s="17"/>
      <c r="B170" s="18"/>
      <c r="C170" s="19"/>
      <c r="D170" s="20"/>
    </row>
    <row r="171" spans="1:4">
      <c r="A171" s="17"/>
      <c r="B171" s="18"/>
      <c r="C171" s="19"/>
      <c r="D171" s="20"/>
    </row>
    <row r="172" spans="1:4">
      <c r="A172" s="17"/>
      <c r="B172" s="18"/>
      <c r="C172" s="19"/>
      <c r="D172" s="20"/>
    </row>
    <row r="173" spans="1:4">
      <c r="A173" s="17"/>
      <c r="B173" s="18"/>
      <c r="C173" s="19"/>
      <c r="D173" s="20"/>
    </row>
    <row r="174" spans="1:4">
      <c r="A174" s="17"/>
      <c r="B174" s="18"/>
      <c r="C174" s="19"/>
      <c r="D174" s="20"/>
    </row>
    <row r="175" spans="1:4">
      <c r="A175" s="17"/>
      <c r="B175" s="18"/>
      <c r="C175" s="19"/>
      <c r="D175" s="20"/>
    </row>
    <row r="176" spans="1:4">
      <c r="A176" s="17"/>
      <c r="B176" s="18"/>
      <c r="C176" s="19"/>
      <c r="D176" s="20"/>
    </row>
    <row r="177" spans="1:4">
      <c r="A177" s="17"/>
      <c r="B177" s="18"/>
      <c r="C177" s="19"/>
      <c r="D177" s="20"/>
    </row>
    <row r="178" spans="1:4">
      <c r="A178" s="17"/>
      <c r="B178" s="18"/>
      <c r="C178" s="19"/>
      <c r="D178" s="20"/>
    </row>
    <row r="179" spans="1:4">
      <c r="A179" s="17"/>
      <c r="B179" s="18"/>
      <c r="C179" s="19"/>
      <c r="D179" s="20"/>
    </row>
    <row r="180" spans="1:4">
      <c r="A180" s="17"/>
      <c r="B180" s="18"/>
      <c r="C180" s="19"/>
      <c r="D180" s="20"/>
    </row>
    <row r="181" spans="1:4">
      <c r="A181" s="17"/>
      <c r="B181" s="18"/>
      <c r="C181" s="19"/>
      <c r="D181" s="20"/>
    </row>
    <row r="182" spans="1:4">
      <c r="A182" s="17"/>
      <c r="B182" s="18"/>
      <c r="C182" s="19"/>
      <c r="D182" s="20"/>
    </row>
    <row r="183" spans="1:4">
      <c r="A183" s="17"/>
      <c r="B183" s="18"/>
      <c r="C183" s="19"/>
      <c r="D183" s="20"/>
    </row>
    <row r="184" spans="1:4">
      <c r="A184" s="17"/>
      <c r="B184" s="18"/>
      <c r="C184" s="19"/>
      <c r="D184" s="20"/>
    </row>
    <row r="185" spans="1:4">
      <c r="A185" s="17"/>
      <c r="B185" s="18"/>
      <c r="C185" s="19"/>
      <c r="D185" s="20"/>
    </row>
    <row r="186" spans="1:4">
      <c r="A186" s="17"/>
      <c r="B186" s="18"/>
      <c r="C186" s="19"/>
      <c r="D186" s="20"/>
    </row>
    <row r="187" spans="1:4">
      <c r="A187" s="17"/>
      <c r="B187" s="18"/>
      <c r="C187" s="19"/>
      <c r="D187" s="20"/>
    </row>
    <row r="188" spans="1:4">
      <c r="A188" s="17"/>
      <c r="B188" s="18"/>
      <c r="C188" s="19"/>
      <c r="D188" s="20"/>
    </row>
    <row r="189" spans="1:4">
      <c r="A189" s="17"/>
      <c r="B189" s="18"/>
      <c r="C189" s="19"/>
      <c r="D189" s="20"/>
    </row>
    <row r="190" spans="1:4">
      <c r="A190" s="17"/>
      <c r="B190" s="18"/>
      <c r="C190" s="19"/>
      <c r="D190" s="20"/>
    </row>
    <row r="191" spans="1:4">
      <c r="A191" s="17"/>
      <c r="B191" s="18"/>
      <c r="C191" s="19"/>
      <c r="D191" s="20"/>
    </row>
    <row r="192" spans="1:4">
      <c r="A192" s="17"/>
      <c r="B192" s="18"/>
      <c r="C192" s="19"/>
      <c r="D192" s="20"/>
    </row>
    <row r="193" spans="1:4">
      <c r="A193" s="17"/>
      <c r="B193" s="18"/>
      <c r="C193" s="19"/>
      <c r="D193" s="20"/>
    </row>
    <row r="194" spans="1:4">
      <c r="A194" s="17"/>
      <c r="B194" s="18"/>
      <c r="C194" s="19"/>
      <c r="D194" s="20"/>
    </row>
    <row r="195" spans="1:4">
      <c r="A195" s="17"/>
      <c r="B195" s="18"/>
      <c r="C195" s="19"/>
      <c r="D195" s="20"/>
    </row>
    <row r="196" spans="1:4">
      <c r="A196" s="17"/>
      <c r="B196" s="18"/>
      <c r="C196" s="19"/>
      <c r="D196" s="20"/>
    </row>
    <row r="197" spans="1:4">
      <c r="A197" s="17"/>
      <c r="B197" s="18"/>
      <c r="C197" s="19"/>
      <c r="D197" s="20"/>
    </row>
    <row r="198" spans="1:4">
      <c r="A198" s="17"/>
      <c r="B198" s="18"/>
      <c r="C198" s="19"/>
      <c r="D198" s="20"/>
    </row>
    <row r="199" spans="1:4">
      <c r="A199" s="17"/>
      <c r="B199" s="18"/>
      <c r="C199" s="19"/>
      <c r="D199" s="20"/>
    </row>
    <row r="200" spans="1:4">
      <c r="A200" s="17"/>
      <c r="B200" s="18"/>
      <c r="C200" s="19"/>
      <c r="D200" s="20"/>
    </row>
    <row r="201" spans="1:4">
      <c r="A201" s="17"/>
      <c r="B201" s="18"/>
      <c r="C201" s="19"/>
      <c r="D201" s="20"/>
    </row>
    <row r="202" spans="1:4">
      <c r="A202" s="17"/>
      <c r="B202" s="18"/>
      <c r="C202" s="19"/>
      <c r="D202" s="20"/>
    </row>
    <row r="203" spans="1:4">
      <c r="A203" s="17"/>
      <c r="B203" s="18"/>
      <c r="C203" s="19"/>
      <c r="D203" s="20"/>
    </row>
    <row r="204" spans="1:4">
      <c r="A204" s="17"/>
      <c r="B204" s="18"/>
      <c r="C204" s="19"/>
      <c r="D204" s="20"/>
    </row>
    <row r="205" spans="1:4">
      <c r="A205" s="17"/>
      <c r="B205" s="18"/>
      <c r="C205" s="19"/>
      <c r="D205" s="20"/>
    </row>
    <row r="206" spans="1:4">
      <c r="A206" s="17"/>
      <c r="B206" s="18"/>
      <c r="C206" s="19"/>
      <c r="D206" s="20"/>
    </row>
    <row r="207" spans="1:4">
      <c r="A207" s="17"/>
      <c r="B207" s="18"/>
      <c r="C207" s="19"/>
      <c r="D207" s="20"/>
    </row>
    <row r="208" spans="1:4">
      <c r="A208" s="17"/>
      <c r="B208" s="18"/>
      <c r="C208" s="19"/>
      <c r="D208" s="20"/>
    </row>
    <row r="209" spans="1:4">
      <c r="A209" s="17"/>
      <c r="B209" s="18"/>
      <c r="C209" s="19"/>
      <c r="D209" s="20"/>
    </row>
    <row r="210" spans="1:4">
      <c r="A210" s="17"/>
      <c r="B210" s="18"/>
      <c r="C210" s="19"/>
      <c r="D210" s="20"/>
    </row>
    <row r="211" spans="1:4">
      <c r="A211" s="17"/>
      <c r="B211" s="18"/>
      <c r="C211" s="19"/>
      <c r="D211" s="20"/>
    </row>
    <row r="212" spans="1:4">
      <c r="A212" s="17"/>
      <c r="B212" s="18"/>
      <c r="C212" s="19"/>
      <c r="D212" s="20"/>
    </row>
    <row r="213" spans="1:4">
      <c r="A213" s="17"/>
      <c r="B213" s="18"/>
      <c r="C213" s="19"/>
      <c r="D213" s="20"/>
    </row>
    <row r="214" spans="1:4">
      <c r="A214" s="17"/>
      <c r="B214" s="18"/>
      <c r="C214" s="19"/>
      <c r="D214" s="20"/>
    </row>
    <row r="215" spans="1:4">
      <c r="A215" s="17"/>
      <c r="B215" s="18"/>
      <c r="C215" s="19"/>
      <c r="D215" s="20"/>
    </row>
    <row r="216" spans="1:4">
      <c r="A216" s="17"/>
      <c r="B216" s="18"/>
      <c r="C216" s="19"/>
      <c r="D216" s="20"/>
    </row>
    <row r="217" spans="1:4">
      <c r="A217" s="17"/>
      <c r="B217" s="18"/>
      <c r="C217" s="19"/>
      <c r="D217" s="20"/>
    </row>
    <row r="218" spans="1:4">
      <c r="A218" s="17"/>
      <c r="B218" s="18"/>
      <c r="C218" s="19"/>
      <c r="D218" s="20"/>
    </row>
    <row r="219" spans="1:4">
      <c r="A219" s="17"/>
      <c r="B219" s="18"/>
      <c r="C219" s="19"/>
      <c r="D219" s="20"/>
    </row>
    <row r="220" spans="1:4">
      <c r="A220" s="17"/>
      <c r="B220" s="18"/>
      <c r="C220" s="19"/>
      <c r="D220" s="20"/>
    </row>
    <row r="221" spans="1:4">
      <c r="A221" s="17"/>
      <c r="B221" s="18"/>
      <c r="C221" s="19"/>
      <c r="D221" s="20"/>
    </row>
    <row r="222" spans="1:4">
      <c r="A222" s="17"/>
      <c r="B222" s="18"/>
      <c r="C222" s="19"/>
      <c r="D222" s="20"/>
    </row>
    <row r="223" spans="1:4">
      <c r="A223" s="17"/>
      <c r="B223" s="18"/>
      <c r="C223" s="19"/>
      <c r="D223" s="20"/>
    </row>
    <row r="224" spans="1:4">
      <c r="A224" s="17"/>
      <c r="B224" s="18"/>
      <c r="C224" s="19"/>
      <c r="D224" s="20"/>
    </row>
    <row r="225" spans="1:4">
      <c r="A225" s="17"/>
      <c r="B225" s="18"/>
      <c r="C225" s="19"/>
      <c r="D225" s="20"/>
    </row>
    <row r="226" spans="1:4">
      <c r="A226" s="17"/>
      <c r="B226" s="18"/>
      <c r="C226" s="19"/>
      <c r="D226" s="20"/>
    </row>
    <row r="227" spans="1:4">
      <c r="A227" s="17"/>
      <c r="B227" s="18"/>
      <c r="C227" s="19"/>
      <c r="D227" s="20"/>
    </row>
    <row r="228" spans="1:4">
      <c r="A228" s="17"/>
      <c r="B228" s="18"/>
      <c r="C228" s="19"/>
      <c r="D228" s="20"/>
    </row>
    <row r="229" spans="1:4">
      <c r="A229" s="17"/>
      <c r="B229" s="18"/>
      <c r="C229" s="19"/>
      <c r="D229" s="20"/>
    </row>
    <row r="230" spans="1:4">
      <c r="A230" s="17"/>
      <c r="B230" s="18"/>
      <c r="C230" s="19"/>
      <c r="D230" s="20"/>
    </row>
    <row r="231" spans="1:4">
      <c r="A231" s="17"/>
      <c r="B231" s="18"/>
      <c r="C231" s="19"/>
      <c r="D231" s="20"/>
    </row>
    <row r="232" spans="1:4">
      <c r="A232" s="17"/>
      <c r="B232" s="18"/>
      <c r="C232" s="19"/>
      <c r="D232" s="20"/>
    </row>
    <row r="233" spans="1:4">
      <c r="A233" s="17"/>
      <c r="B233" s="18"/>
      <c r="C233" s="19"/>
      <c r="D233" s="20"/>
    </row>
    <row r="234" spans="1:4">
      <c r="A234" s="17"/>
      <c r="B234" s="18"/>
      <c r="C234" s="19"/>
      <c r="D234" s="20"/>
    </row>
    <row r="235" spans="1:4">
      <c r="A235" s="17"/>
      <c r="B235" s="18"/>
      <c r="C235" s="19"/>
      <c r="D235" s="20"/>
    </row>
    <row r="236" spans="1:4">
      <c r="A236" s="17"/>
      <c r="B236" s="18"/>
      <c r="C236" s="19"/>
      <c r="D236" s="20"/>
    </row>
    <row r="237" spans="1:4">
      <c r="A237" s="17"/>
      <c r="B237" s="18"/>
      <c r="C237" s="19"/>
      <c r="D237" s="20"/>
    </row>
    <row r="238" spans="1:4">
      <c r="A238" s="17"/>
      <c r="B238" s="18"/>
      <c r="C238" s="19"/>
      <c r="D238" s="20"/>
    </row>
    <row r="239" spans="1:4">
      <c r="A239" s="17"/>
      <c r="B239" s="18"/>
      <c r="C239" s="19"/>
      <c r="D239" s="20"/>
    </row>
    <row r="240" spans="1:4">
      <c r="A240" s="17"/>
      <c r="B240" s="18"/>
      <c r="C240" s="19"/>
      <c r="D240" s="20"/>
    </row>
    <row r="241" spans="1:4">
      <c r="A241" s="17"/>
      <c r="B241" s="18"/>
      <c r="C241" s="19"/>
      <c r="D241" s="20"/>
    </row>
    <row r="242" spans="1:4">
      <c r="A242" s="17"/>
      <c r="B242" s="18"/>
      <c r="C242" s="19"/>
      <c r="D242" s="20"/>
    </row>
    <row r="243" spans="1:4">
      <c r="A243" s="17"/>
      <c r="B243" s="18"/>
      <c r="C243" s="19"/>
      <c r="D243" s="20"/>
    </row>
    <row r="244" spans="1:4">
      <c r="A244" s="17"/>
      <c r="B244" s="18"/>
      <c r="C244" s="19"/>
      <c r="D244" s="20"/>
    </row>
    <row r="245" spans="1:4">
      <c r="A245" s="17"/>
      <c r="B245" s="18"/>
      <c r="C245" s="19"/>
      <c r="D245" s="20"/>
    </row>
    <row r="246" spans="1:4">
      <c r="A246" s="17"/>
      <c r="B246" s="18"/>
      <c r="C246" s="19"/>
      <c r="D246" s="20"/>
    </row>
    <row r="247" spans="1:4">
      <c r="A247" s="17"/>
      <c r="B247" s="18"/>
      <c r="C247" s="19"/>
      <c r="D247" s="20"/>
    </row>
    <row r="248" spans="1:4">
      <c r="A248" s="17"/>
      <c r="B248" s="18"/>
      <c r="C248" s="19"/>
      <c r="D248" s="20"/>
    </row>
    <row r="249" spans="1:4">
      <c r="A249" s="17"/>
      <c r="B249" s="18"/>
      <c r="C249" s="19"/>
      <c r="D249" s="20"/>
    </row>
    <row r="250" spans="1:4">
      <c r="A250" s="17"/>
      <c r="B250" s="18"/>
      <c r="C250" s="19"/>
      <c r="D250" s="20"/>
    </row>
    <row r="251" spans="1:4">
      <c r="A251" s="17"/>
      <c r="B251" s="18"/>
      <c r="C251" s="19"/>
      <c r="D251" s="20"/>
    </row>
    <row r="252" spans="1:4">
      <c r="A252" s="17"/>
      <c r="B252" s="18"/>
      <c r="C252" s="19"/>
      <c r="D252" s="20"/>
    </row>
    <row r="253" spans="1:4">
      <c r="A253" s="17"/>
      <c r="B253" s="18"/>
      <c r="C253" s="19"/>
      <c r="D253" s="20"/>
    </row>
    <row r="254" spans="1:4">
      <c r="A254" s="17"/>
      <c r="B254" s="18"/>
      <c r="C254" s="19"/>
      <c r="D254" s="20"/>
    </row>
    <row r="255" spans="1:4">
      <c r="A255" s="17"/>
      <c r="B255" s="18"/>
      <c r="C255" s="19"/>
      <c r="D255" s="20"/>
    </row>
    <row r="256" spans="1:4">
      <c r="A256" s="17"/>
      <c r="B256" s="18"/>
      <c r="C256" s="19"/>
      <c r="D256" s="20"/>
    </row>
    <row r="257" spans="1:4">
      <c r="A257" s="17"/>
      <c r="B257" s="18"/>
      <c r="C257" s="19"/>
      <c r="D257" s="20"/>
    </row>
    <row r="258" spans="1:4">
      <c r="A258" s="17"/>
      <c r="B258" s="18"/>
      <c r="C258" s="19"/>
      <c r="D258" s="20"/>
    </row>
    <row r="259" spans="1:4">
      <c r="A259" s="17"/>
      <c r="B259" s="18"/>
      <c r="C259" s="19"/>
      <c r="D259" s="20"/>
    </row>
    <row r="260" spans="1:4">
      <c r="A260" s="17"/>
      <c r="B260" s="18"/>
      <c r="C260" s="19"/>
      <c r="D260" s="20"/>
    </row>
    <row r="261" spans="1:4">
      <c r="A261" s="17"/>
      <c r="B261" s="18"/>
      <c r="C261" s="19"/>
      <c r="D261" s="20"/>
    </row>
    <row r="262" spans="1:4">
      <c r="A262" s="17"/>
      <c r="B262" s="18"/>
      <c r="C262" s="19"/>
      <c r="D262" s="20"/>
    </row>
    <row r="263" spans="1:4">
      <c r="A263" s="17"/>
      <c r="B263" s="18"/>
      <c r="C263" s="19"/>
      <c r="D263" s="20"/>
    </row>
    <row r="264" spans="1:4">
      <c r="A264" s="17"/>
      <c r="B264" s="18"/>
      <c r="C264" s="19"/>
      <c r="D264" s="20"/>
    </row>
    <row r="265" spans="1:4">
      <c r="A265" s="17"/>
      <c r="B265" s="18"/>
      <c r="C265" s="19"/>
      <c r="D265" s="20"/>
    </row>
    <row r="266" spans="1:4">
      <c r="A266" s="17"/>
      <c r="B266" s="18"/>
      <c r="C266" s="19"/>
      <c r="D266" s="20"/>
    </row>
    <row r="267" spans="1:4">
      <c r="A267" s="17"/>
      <c r="B267" s="18"/>
      <c r="C267" s="19"/>
      <c r="D267" s="20"/>
    </row>
    <row r="268" spans="1:4">
      <c r="A268" s="17"/>
      <c r="B268" s="18"/>
      <c r="C268" s="19"/>
      <c r="D268" s="20"/>
    </row>
    <row r="269" spans="1:4">
      <c r="A269" s="17"/>
      <c r="B269" s="18"/>
      <c r="C269" s="19"/>
      <c r="D269" s="20"/>
    </row>
    <row r="270" spans="1:4">
      <c r="A270" s="17"/>
      <c r="B270" s="18"/>
      <c r="C270" s="19"/>
      <c r="D270" s="20"/>
    </row>
    <row r="271" spans="1:4">
      <c r="A271" s="17"/>
      <c r="B271" s="18"/>
      <c r="C271" s="19"/>
      <c r="D271" s="20"/>
    </row>
    <row r="272" spans="1:4">
      <c r="A272" s="17"/>
      <c r="B272" s="18"/>
      <c r="C272" s="19"/>
      <c r="D272" s="20"/>
    </row>
    <row r="273" spans="1:4">
      <c r="A273" s="17"/>
      <c r="B273" s="18"/>
      <c r="C273" s="19"/>
      <c r="D273" s="20"/>
    </row>
    <row r="274" spans="1:4">
      <c r="A274" s="17"/>
      <c r="B274" s="18"/>
      <c r="C274" s="19"/>
      <c r="D274" s="20"/>
    </row>
    <row r="275" spans="1:4">
      <c r="A275" s="17"/>
      <c r="B275" s="18"/>
      <c r="C275" s="19"/>
      <c r="D275" s="20"/>
    </row>
    <row r="276" spans="1:4">
      <c r="A276" s="17"/>
      <c r="B276" s="18"/>
      <c r="C276" s="19"/>
      <c r="D276" s="20"/>
    </row>
    <row r="277" spans="1:4">
      <c r="A277" s="17"/>
      <c r="B277" s="18"/>
      <c r="C277" s="19"/>
      <c r="D277" s="20"/>
    </row>
    <row r="278" spans="1:4">
      <c r="A278" s="17"/>
      <c r="B278" s="18"/>
      <c r="C278" s="19"/>
      <c r="D278" s="20"/>
    </row>
    <row r="279" spans="1:4">
      <c r="A279" s="17"/>
      <c r="B279" s="18"/>
      <c r="C279" s="19"/>
      <c r="D279" s="20"/>
    </row>
    <row r="280" spans="1:4">
      <c r="A280" s="17"/>
      <c r="B280" s="18"/>
      <c r="C280" s="19"/>
      <c r="D280" s="20"/>
    </row>
    <row r="281" spans="1:4">
      <c r="A281" s="17"/>
      <c r="B281" s="18"/>
      <c r="C281" s="19"/>
      <c r="D281" s="20"/>
    </row>
    <row r="282" spans="1:4">
      <c r="A282" s="17"/>
      <c r="B282" s="18"/>
      <c r="C282" s="19"/>
      <c r="D282" s="20"/>
    </row>
    <row r="283" spans="1:4">
      <c r="A283" s="17"/>
      <c r="B283" s="18"/>
      <c r="C283" s="19"/>
      <c r="D283" s="20"/>
    </row>
    <row r="284" spans="1:4">
      <c r="A284" s="17"/>
      <c r="B284" s="18"/>
      <c r="C284" s="19"/>
      <c r="D284" s="20"/>
    </row>
    <row r="285" spans="1:4">
      <c r="A285" s="17"/>
      <c r="B285" s="18"/>
      <c r="C285" s="19"/>
      <c r="D285" s="20"/>
    </row>
    <row r="286" spans="1:4">
      <c r="A286" s="17"/>
      <c r="B286" s="18"/>
      <c r="C286" s="19"/>
      <c r="D286" s="20"/>
    </row>
    <row r="287" spans="1:4">
      <c r="A287" s="17"/>
      <c r="B287" s="18"/>
      <c r="C287" s="19"/>
      <c r="D287" s="20"/>
    </row>
    <row r="288" spans="1:4">
      <c r="A288" s="17"/>
      <c r="B288" s="18"/>
      <c r="C288" s="19"/>
      <c r="D288" s="20"/>
    </row>
    <row r="289" spans="1:4">
      <c r="A289" s="17"/>
      <c r="B289" s="18"/>
      <c r="C289" s="19"/>
      <c r="D289" s="20"/>
    </row>
    <row r="290" spans="1:4">
      <c r="A290" s="17"/>
      <c r="B290" s="18"/>
      <c r="C290" s="19"/>
      <c r="D290" s="20"/>
    </row>
    <row r="291" spans="1:4">
      <c r="A291" s="17"/>
      <c r="B291" s="18"/>
      <c r="C291" s="19"/>
      <c r="D291" s="20"/>
    </row>
    <row r="292" spans="1:4">
      <c r="A292" s="17"/>
      <c r="B292" s="18"/>
      <c r="C292" s="19"/>
      <c r="D292" s="20"/>
    </row>
    <row r="293" spans="1:4">
      <c r="A293" s="17"/>
      <c r="B293" s="18"/>
      <c r="C293" s="19"/>
      <c r="D293" s="20"/>
    </row>
    <row r="294" spans="1:4">
      <c r="A294" s="17"/>
      <c r="B294" s="18"/>
      <c r="C294" s="19"/>
      <c r="D294" s="20"/>
    </row>
    <row r="295" spans="1:4">
      <c r="A295" s="17"/>
      <c r="B295" s="18"/>
      <c r="C295" s="19"/>
      <c r="D295" s="20"/>
    </row>
    <row r="296" spans="1:4">
      <c r="A296" s="17"/>
      <c r="B296" s="18"/>
      <c r="C296" s="19"/>
      <c r="D296" s="20"/>
    </row>
    <row r="297" spans="1:4">
      <c r="A297" s="17"/>
      <c r="B297" s="18"/>
      <c r="C297" s="19"/>
      <c r="D297" s="20"/>
    </row>
    <row r="298" spans="1:4">
      <c r="A298" s="17"/>
      <c r="B298" s="18"/>
      <c r="C298" s="19"/>
      <c r="D298" s="20"/>
    </row>
    <row r="299" spans="1:4">
      <c r="A299" s="17"/>
      <c r="B299" s="18"/>
      <c r="C299" s="19"/>
      <c r="D299" s="20"/>
    </row>
    <row r="300" spans="1:4">
      <c r="A300" s="17"/>
      <c r="B300" s="18"/>
      <c r="C300" s="19"/>
      <c r="D300" s="20"/>
    </row>
  </sheetData>
  <sheetProtection algorithmName="SHA-512" hashValue="7VvKBUhNHf8BGD5/SUKFPHo4q3uuQE0LwZeJinQO9gHvNt8AHqGvp0VrcPHU+Se5BTAR1Ksb9L4LDeGTq8iFOQ==" saltValue="EfXJ7LdGFZJy7lfXNo22wg==" spinCount="100000" sheet="1" objects="1" scenarios="1"/>
  <mergeCells count="1">
    <mergeCell ref="A1:D3"/>
  </mergeCell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C8A8B7-0ED0-423D-93F2-BAE826F10989}">
  <sheetPr codeName="Sheet4"/>
  <dimension ref="A1:AS202"/>
  <sheetViews>
    <sheetView showGridLines="0" showRowColHeaders="0" zoomScale="85" zoomScaleNormal="85" workbookViewId="0">
      <selection activeCell="C6" sqref="C6"/>
    </sheetView>
  </sheetViews>
  <sheetFormatPr defaultColWidth="0" defaultRowHeight="15" zeroHeight="1"/>
  <cols>
    <col min="1" max="45" width="4.7109375" customWidth="1"/>
    <col min="46" max="16384" width="9.140625" hidden="1"/>
  </cols>
  <sheetData>
    <row r="1" spans="34:44" ht="15.95" customHeight="1">
      <c r="AH1" s="675" t="s">
        <v>471</v>
      </c>
      <c r="AI1" s="676"/>
      <c r="AJ1" s="676"/>
      <c r="AK1" s="677"/>
      <c r="AL1" s="669" t="s">
        <v>736</v>
      </c>
      <c r="AM1" s="670"/>
      <c r="AN1" s="670"/>
      <c r="AO1" s="670"/>
      <c r="AP1" s="671"/>
      <c r="AQ1" s="663" t="s">
        <v>474</v>
      </c>
      <c r="AR1" s="664"/>
    </row>
    <row r="2" spans="34:44" ht="15.95" customHeight="1">
      <c r="AH2" s="678" t="str">
        <f ca="1">INCENSTATUS</f>
        <v>---</v>
      </c>
      <c r="AI2" s="679"/>
      <c r="AJ2" s="679"/>
      <c r="AK2" s="679"/>
      <c r="AL2" s="672" t="str">
        <f ca="1">PROJSTATUS</f>
        <v>Enter Measures</v>
      </c>
      <c r="AM2" s="672"/>
      <c r="AN2" s="672"/>
      <c r="AO2" s="672"/>
      <c r="AP2" s="672"/>
      <c r="AQ2" s="665">
        <f ca="1">PROGRESSSTATUS</f>
        <v>2.8985507246376812E-2</v>
      </c>
      <c r="AR2" s="666"/>
    </row>
    <row r="3" spans="34:44" ht="15.95" customHeight="1">
      <c r="AH3" s="680"/>
      <c r="AI3" s="681"/>
      <c r="AJ3" s="681"/>
      <c r="AK3" s="681"/>
      <c r="AL3" s="673"/>
      <c r="AM3" s="673"/>
      <c r="AN3" s="673"/>
      <c r="AO3" s="673"/>
      <c r="AP3" s="673"/>
      <c r="AQ3" s="667"/>
      <c r="AR3" s="668"/>
    </row>
    <row r="4" spans="34:44" ht="15.95" customHeight="1">
      <c r="AR4" s="171"/>
    </row>
    <row r="5" spans="34:44" ht="15.95" customHeight="1"/>
    <row r="6" spans="34:44" ht="15.95" customHeight="1"/>
    <row r="7" spans="34:44" ht="15.95" customHeight="1"/>
    <row r="8" spans="34:44" ht="15.95" customHeight="1"/>
    <row r="9" spans="34:44"/>
    <row r="10" spans="34:44"/>
    <row r="11" spans="34:44"/>
    <row r="12" spans="34:44"/>
    <row r="13" spans="34:44"/>
    <row r="14" spans="34:44"/>
    <row r="15" spans="34:44"/>
    <row r="16" spans="34:44"/>
    <row r="17"/>
    <row r="18"/>
    <row r="19"/>
    <row r="20"/>
    <row r="21"/>
    <row r="22"/>
    <row r="23"/>
    <row r="24"/>
    <row r="25"/>
    <row r="26"/>
    <row r="27"/>
    <row r="28"/>
    <row r="29"/>
    <row r="30"/>
    <row r="31"/>
    <row r="32"/>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200" spans="2:44">
      <c r="B200" s="272" t="str">
        <f>FOOT1</f>
        <v>NIPSCO Energy Efficiency Program</v>
      </c>
      <c r="C200" s="272"/>
      <c r="D200" s="272"/>
      <c r="E200" s="272"/>
      <c r="F200" s="272"/>
      <c r="G200" s="272"/>
      <c r="H200" s="272"/>
      <c r="I200" s="272"/>
      <c r="J200" s="272"/>
      <c r="K200" s="272"/>
      <c r="L200" s="272"/>
      <c r="M200" s="661" t="str">
        <f>FOOT4</f>
        <v>NIPSCO’s energy efficiency programs are administered by TRC, a third‐party implementation specialist that helps homes and businesses save energy.</v>
      </c>
      <c r="N200" s="661"/>
      <c r="O200" s="661"/>
      <c r="P200" s="661"/>
      <c r="Q200" s="661"/>
      <c r="R200" s="661"/>
      <c r="S200" s="661"/>
      <c r="T200" s="661"/>
      <c r="U200" s="661"/>
      <c r="V200" s="661"/>
      <c r="W200" s="661"/>
      <c r="X200" s="661"/>
      <c r="Y200" s="661"/>
      <c r="Z200" s="661"/>
      <c r="AA200" s="661"/>
      <c r="AB200" s="661"/>
      <c r="AC200" s="661"/>
      <c r="AD200" s="661"/>
      <c r="AE200" s="661"/>
      <c r="AF200" s="661"/>
      <c r="AG200" s="661"/>
      <c r="AH200" s="272"/>
      <c r="AI200" s="272"/>
      <c r="AJ200" s="272"/>
      <c r="AK200" s="272"/>
      <c r="AL200" s="272"/>
      <c r="AM200" s="272"/>
      <c r="AN200" s="272"/>
      <c r="AO200" s="272"/>
      <c r="AP200" s="272"/>
      <c r="AQ200" s="272"/>
      <c r="AR200" s="273" t="str">
        <f>FOOTDISCLAIM</f>
        <v/>
      </c>
    </row>
    <row r="201" spans="2:44">
      <c r="B201" s="272" t="str">
        <f>FOOT2</f>
        <v>Toll-Free 800-299-2501</v>
      </c>
      <c r="C201" s="272"/>
      <c r="D201" s="272"/>
      <c r="E201" s="272"/>
      <c r="F201" s="272"/>
      <c r="G201" s="272"/>
      <c r="H201" s="272"/>
      <c r="I201" s="272"/>
      <c r="J201" s="272"/>
      <c r="K201" s="272"/>
      <c r="L201" s="272"/>
      <c r="M201" s="661"/>
      <c r="N201" s="661"/>
      <c r="O201" s="661"/>
      <c r="P201" s="661"/>
      <c r="Q201" s="661"/>
      <c r="R201" s="661"/>
      <c r="S201" s="661"/>
      <c r="T201" s="661"/>
      <c r="U201" s="661"/>
      <c r="V201" s="661"/>
      <c r="W201" s="661"/>
      <c r="X201" s="661"/>
      <c r="Y201" s="661"/>
      <c r="Z201" s="661"/>
      <c r="AA201" s="661"/>
      <c r="AB201" s="661"/>
      <c r="AC201" s="661"/>
      <c r="AD201" s="661"/>
      <c r="AE201" s="661"/>
      <c r="AF201" s="661"/>
      <c r="AG201" s="661"/>
      <c r="AH201" s="272"/>
      <c r="AI201" s="272"/>
      <c r="AJ201" s="272"/>
      <c r="AK201" s="272"/>
      <c r="AL201" s="272"/>
      <c r="AM201" s="272"/>
      <c r="AN201" s="272"/>
      <c r="AO201" s="272"/>
      <c r="AP201" s="272"/>
      <c r="AQ201" s="272"/>
      <c r="AR201" s="273" t="str">
        <f>FOOT5</f>
        <v/>
      </c>
    </row>
    <row r="202" spans="2:44">
      <c r="B202" s="281" t="s">
        <v>1547</v>
      </c>
      <c r="C202" s="272"/>
      <c r="D202" s="272"/>
      <c r="E202" s="272"/>
      <c r="F202" s="272"/>
      <c r="G202" s="272"/>
      <c r="H202" s="272"/>
      <c r="I202" s="272"/>
      <c r="J202" s="272"/>
      <c r="K202" s="272"/>
      <c r="L202" s="272"/>
      <c r="M202" s="274"/>
      <c r="N202" s="272"/>
      <c r="O202" s="272"/>
      <c r="P202" s="274"/>
      <c r="Q202" s="274"/>
      <c r="R202" s="274"/>
      <c r="S202" s="274"/>
      <c r="T202" s="274"/>
      <c r="U202" s="274"/>
      <c r="V202" s="274"/>
      <c r="W202" s="275" t="str">
        <f>VERSION</f>
        <v>Custom Prescriptive Application v3.7.1</v>
      </c>
      <c r="X202" s="274"/>
      <c r="Y202" s="274"/>
      <c r="Z202" s="274"/>
      <c r="AA202" s="274"/>
      <c r="AB202" s="274"/>
      <c r="AC202" s="274"/>
      <c r="AD202" s="274"/>
      <c r="AE202" s="272"/>
      <c r="AF202" s="272"/>
      <c r="AG202" s="272"/>
      <c r="AH202" s="272"/>
      <c r="AI202" s="272"/>
      <c r="AJ202" s="272"/>
      <c r="AK202" s="272"/>
      <c r="AL202" s="272"/>
      <c r="AM202" s="272"/>
      <c r="AN202" s="272"/>
      <c r="AO202" s="272"/>
      <c r="AP202" s="272"/>
      <c r="AQ202" s="272"/>
      <c r="AR202" s="273" t="str">
        <f>FOOT6</f>
        <v>Product of TRC</v>
      </c>
    </row>
  </sheetData>
  <sheetProtection algorithmName="SHA-512" hashValue="Ul3tSWXbBcULJwoh9YEtY1cpgzkyd80Pq+80p8PztJRbn57WjYUIj268WV0vQ7WG5Hkq7omYHj1X8dgV9DgWSg==" saltValue="Qa0QimTVL42ACC2sl7ulPA==" spinCount="100000" sheet="1" objects="1" scenarios="1" selectLockedCells="1"/>
  <mergeCells count="7">
    <mergeCell ref="M200:AG201"/>
    <mergeCell ref="AH1:AK1"/>
    <mergeCell ref="AL1:AP1"/>
    <mergeCell ref="AQ1:AR1"/>
    <mergeCell ref="AH2:AK3"/>
    <mergeCell ref="AL2:AP3"/>
    <mergeCell ref="AQ2:AR3"/>
  </mergeCells>
  <conditionalFormatting sqref="AH2 AL2">
    <cfRule type="expression" dxfId="296" priority="1">
      <formula>PROJSTATUS=PROJSTATELI</formula>
    </cfRule>
    <cfRule type="expression" dxfId="295" priority="2">
      <formula>PROJSTATUS=PROJSTATREVIEW</formula>
    </cfRule>
    <cfRule type="expression" dxfId="294" priority="6">
      <formula>PROJSTATUS=PROJSTATPREAPPROVE</formula>
    </cfRule>
    <cfRule type="expression" dxfId="293" priority="7">
      <formula>PROJSTATUS=PROJSTATSTANDARD</formula>
    </cfRule>
    <cfRule type="expression" dxfId="292" priority="8">
      <formula>PROJSTATUS=PROJSTATEXP</formula>
    </cfRule>
  </conditionalFormatting>
  <conditionalFormatting sqref="AQ2:AR3">
    <cfRule type="cellIs" dxfId="291" priority="3" operator="equal">
      <formula>1</formula>
    </cfRule>
    <cfRule type="cellIs" dxfId="290" priority="4" operator="between">
      <formula>0.51</formula>
      <formula>0.99</formula>
    </cfRule>
    <cfRule type="cellIs" dxfId="289" priority="5" operator="lessThanOrEqual">
      <formula>0.5</formula>
    </cfRule>
  </conditionalFormatting>
  <hyperlinks>
    <hyperlink ref="B202" r:id="rId1" xr:uid="{4B4B54DB-09CB-471B-A663-131493D65390}"/>
  </hyperlinks>
  <pageMargins left="0.7" right="0.7" top="0.75" bottom="0.75" header="0.3" footer="0.3"/>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4">
    <pageSetUpPr fitToPage="1"/>
  </sheetPr>
  <dimension ref="A1:AS202"/>
  <sheetViews>
    <sheetView showGridLines="0" showRowColHeaders="0" zoomScale="85" zoomScaleNormal="85" workbookViewId="0">
      <selection activeCell="C6" sqref="C6"/>
    </sheetView>
  </sheetViews>
  <sheetFormatPr defaultColWidth="0" defaultRowHeight="15" customHeight="1" zeroHeight="1"/>
  <cols>
    <col min="1" max="45" width="4.7109375" customWidth="1"/>
    <col min="46" max="78" width="9.140625" hidden="1" customWidth="1"/>
    <col min="79" max="16384" width="9.140625" hidden="1"/>
  </cols>
  <sheetData>
    <row r="1" spans="6:44" ht="15.95" customHeight="1">
      <c r="AH1" s="686" t="s">
        <v>471</v>
      </c>
      <c r="AI1" s="686"/>
      <c r="AJ1" s="686"/>
      <c r="AK1" s="686"/>
      <c r="AL1" s="687" t="s">
        <v>736</v>
      </c>
      <c r="AM1" s="687"/>
      <c r="AN1" s="687"/>
      <c r="AO1" s="687"/>
      <c r="AP1" s="687"/>
      <c r="AQ1" s="683" t="s">
        <v>474</v>
      </c>
      <c r="AR1" s="683"/>
    </row>
    <row r="2" spans="6:44" ht="15.95" customHeight="1">
      <c r="AH2" s="688" t="str">
        <f ca="1">INCENSTATUS</f>
        <v>---</v>
      </c>
      <c r="AI2" s="689"/>
      <c r="AJ2" s="689"/>
      <c r="AK2" s="689"/>
      <c r="AL2" s="690" t="str">
        <f ca="1">PROJSTATUS</f>
        <v>Enter Measures</v>
      </c>
      <c r="AM2" s="690"/>
      <c r="AN2" s="690"/>
      <c r="AO2" s="690"/>
      <c r="AP2" s="690"/>
      <c r="AQ2" s="684">
        <f ca="1">PROGRESSSTATUS</f>
        <v>2.8985507246376812E-2</v>
      </c>
      <c r="AR2" s="685"/>
    </row>
    <row r="3" spans="6:44" ht="15.95" customHeight="1">
      <c r="AH3" s="680"/>
      <c r="AI3" s="681"/>
      <c r="AJ3" s="681"/>
      <c r="AK3" s="681"/>
      <c r="AL3" s="673"/>
      <c r="AM3" s="673"/>
      <c r="AN3" s="673"/>
      <c r="AO3" s="673"/>
      <c r="AP3" s="673"/>
      <c r="AQ3" s="667"/>
      <c r="AR3" s="668"/>
    </row>
    <row r="4" spans="6:44" ht="15.95" customHeight="1">
      <c r="AR4" s="171"/>
    </row>
    <row r="5" spans="6:44" ht="15.95" customHeight="1"/>
    <row r="6" spans="6:44" ht="15.95" customHeight="1"/>
    <row r="7" spans="6:44" ht="15.95" customHeight="1"/>
    <row r="8" spans="6:44" ht="15.95" customHeight="1"/>
    <row r="9" spans="6:44" ht="15.95" customHeight="1"/>
    <row r="10" spans="6:44" ht="15.95" customHeight="1">
      <c r="F10" s="691" t="s">
        <v>809</v>
      </c>
      <c r="G10" s="691"/>
      <c r="H10" s="691"/>
      <c r="I10" s="691"/>
      <c r="J10" s="691"/>
      <c r="K10" s="691"/>
      <c r="L10" s="691"/>
      <c r="M10" s="691"/>
      <c r="N10" s="691"/>
      <c r="O10" s="691"/>
      <c r="P10" s="691"/>
      <c r="Q10" s="691"/>
      <c r="R10" s="691"/>
      <c r="S10" s="691"/>
      <c r="T10" s="691"/>
      <c r="U10" s="691"/>
      <c r="V10" s="691"/>
      <c r="W10" s="691"/>
      <c r="X10" s="691"/>
      <c r="Y10" s="691"/>
      <c r="Z10" s="691"/>
      <c r="AA10" s="691"/>
      <c r="AB10" s="691"/>
      <c r="AC10" s="691"/>
      <c r="AD10" s="691"/>
      <c r="AE10" s="691"/>
      <c r="AF10" s="691"/>
      <c r="AG10" s="691"/>
      <c r="AH10" s="691"/>
      <c r="AI10" s="691"/>
      <c r="AJ10" s="691"/>
      <c r="AK10" s="691"/>
      <c r="AL10" s="691"/>
      <c r="AM10" s="691"/>
      <c r="AN10" s="691"/>
    </row>
    <row r="11" spans="6:44" ht="15.95" customHeight="1">
      <c r="F11" s="271"/>
      <c r="G11" s="271"/>
      <c r="H11" s="271"/>
      <c r="I11" s="271"/>
      <c r="J11" s="271"/>
      <c r="K11" s="271"/>
      <c r="L11" s="271"/>
      <c r="M11" s="271"/>
      <c r="N11" s="271"/>
      <c r="O11" s="271"/>
      <c r="P11" s="271"/>
      <c r="Q11" s="271"/>
      <c r="R11" s="271"/>
      <c r="S11" s="271"/>
      <c r="T11" s="271"/>
      <c r="U11" s="271"/>
      <c r="V11" s="271"/>
      <c r="W11" s="271"/>
      <c r="X11" s="271"/>
      <c r="Y11" s="271"/>
      <c r="Z11" s="271"/>
      <c r="AA11" s="271"/>
      <c r="AB11" s="271"/>
      <c r="AC11" s="271"/>
      <c r="AD11" s="271"/>
      <c r="AE11" s="271"/>
      <c r="AF11" s="271"/>
      <c r="AG11" s="271"/>
      <c r="AH11" s="271"/>
      <c r="AI11" s="271"/>
      <c r="AJ11" s="271"/>
      <c r="AK11" s="271"/>
      <c r="AL11" s="271"/>
      <c r="AM11" s="271"/>
      <c r="AN11" s="271"/>
    </row>
    <row r="12" spans="6:44" ht="15.95" customHeight="1"/>
    <row r="13" spans="6:44" ht="15.95" customHeight="1"/>
    <row r="14" spans="6:44" ht="15.95" customHeight="1"/>
    <row r="15" spans="6:44" ht="15.95" customHeight="1"/>
    <row r="16" spans="6:44" ht="15.95" customHeight="1"/>
    <row r="17" spans="6:40" ht="15.95" customHeight="1"/>
    <row r="18" spans="6:40" ht="15.95" customHeight="1"/>
    <row r="19" spans="6:40" ht="15.95" customHeight="1"/>
    <row r="20" spans="6:40" ht="15.95" customHeight="1"/>
    <row r="21" spans="6:40" ht="15.95" customHeight="1"/>
    <row r="22" spans="6:40" ht="15.95" customHeight="1">
      <c r="F22" s="692"/>
      <c r="G22" s="692"/>
      <c r="H22" s="692"/>
      <c r="I22" s="692"/>
      <c r="J22" s="692"/>
      <c r="K22" s="692"/>
      <c r="L22" s="692"/>
      <c r="M22" s="692"/>
      <c r="N22" s="692"/>
      <c r="O22" s="692"/>
      <c r="P22" s="692"/>
      <c r="Q22" s="692"/>
      <c r="R22" s="692"/>
      <c r="S22" s="692"/>
      <c r="T22" s="692"/>
      <c r="U22" s="692"/>
      <c r="V22" s="692"/>
      <c r="W22" s="692"/>
      <c r="X22" s="692"/>
      <c r="Y22" s="692"/>
      <c r="Z22" s="692"/>
      <c r="AA22" s="692"/>
      <c r="AB22" s="692"/>
      <c r="AC22" s="692"/>
      <c r="AD22" s="692"/>
      <c r="AE22" s="692"/>
      <c r="AF22" s="692"/>
      <c r="AG22" s="692"/>
      <c r="AH22" s="692"/>
      <c r="AI22" s="692"/>
      <c r="AJ22" s="692"/>
      <c r="AK22" s="692"/>
      <c r="AL22" s="692"/>
      <c r="AM22" s="692"/>
      <c r="AN22" s="692"/>
    </row>
    <row r="23" spans="6:40" ht="15.95" customHeight="1">
      <c r="F23" s="693"/>
      <c r="G23" s="693"/>
      <c r="H23" s="693"/>
      <c r="I23" s="693"/>
      <c r="J23" s="693"/>
      <c r="K23" s="693"/>
      <c r="L23" s="693"/>
      <c r="M23" s="693"/>
      <c r="N23" s="693"/>
      <c r="O23" s="693"/>
      <c r="P23" s="693"/>
      <c r="Q23" s="693"/>
      <c r="R23" s="693"/>
      <c r="S23" s="693"/>
      <c r="T23" s="693"/>
      <c r="U23" s="693"/>
      <c r="V23" s="693"/>
      <c r="W23" s="693"/>
      <c r="X23" s="693"/>
      <c r="Y23" s="693"/>
      <c r="Z23" s="693"/>
      <c r="AA23" s="693"/>
      <c r="AB23" s="693"/>
      <c r="AC23" s="693"/>
      <c r="AD23" s="693"/>
      <c r="AE23" s="693"/>
      <c r="AF23" s="693"/>
      <c r="AG23" s="693"/>
      <c r="AH23" s="693"/>
      <c r="AI23" s="693"/>
      <c r="AJ23" s="693"/>
      <c r="AK23" s="693"/>
      <c r="AL23" s="693"/>
      <c r="AM23" s="693"/>
      <c r="AN23" s="693"/>
    </row>
    <row r="24" spans="6:40" ht="15.95" customHeight="1"/>
    <row r="25" spans="6:40" ht="15.95" customHeight="1"/>
    <row r="26" spans="6:40" ht="15.95" customHeight="1"/>
    <row r="27" spans="6:40" ht="15.95" customHeight="1"/>
    <row r="28" spans="6:40" ht="15.95" customHeight="1"/>
    <row r="29" spans="6:40" ht="15.95" customHeight="1"/>
    <row r="30" spans="6:40" ht="15.95" customHeight="1"/>
    <row r="31" spans="6:40" ht="15.95" customHeight="1"/>
    <row r="32" spans="6:40" ht="15.95" customHeight="1"/>
    <row r="33" spans="6:40" ht="15.95" customHeight="1"/>
    <row r="34" spans="6:40" ht="15.95" customHeight="1">
      <c r="F34" s="692"/>
      <c r="G34" s="692"/>
      <c r="H34" s="692"/>
      <c r="I34" s="692"/>
      <c r="J34" s="692"/>
      <c r="K34" s="692"/>
      <c r="L34" s="692"/>
      <c r="M34" s="692"/>
      <c r="N34" s="692"/>
      <c r="O34" s="692"/>
      <c r="P34" s="692"/>
      <c r="Q34" s="692"/>
      <c r="R34" s="692"/>
      <c r="S34" s="692"/>
      <c r="T34" s="692"/>
      <c r="U34" s="692"/>
      <c r="V34" s="692"/>
      <c r="W34" s="692"/>
      <c r="X34" s="692"/>
      <c r="Y34" s="692"/>
      <c r="Z34" s="692"/>
      <c r="AA34" s="692"/>
      <c r="AB34" s="692"/>
      <c r="AC34" s="692"/>
      <c r="AD34" s="692"/>
      <c r="AE34" s="692"/>
      <c r="AF34" s="692"/>
      <c r="AG34" s="692"/>
      <c r="AH34" s="692"/>
      <c r="AI34" s="692"/>
      <c r="AJ34" s="692"/>
      <c r="AK34" s="692"/>
      <c r="AL34" s="692"/>
      <c r="AM34" s="692"/>
      <c r="AN34" s="692"/>
    </row>
    <row r="35" spans="6:40" ht="15.95" customHeight="1">
      <c r="F35" s="260"/>
      <c r="G35" s="260"/>
      <c r="H35" s="260"/>
      <c r="I35" s="260"/>
      <c r="J35" s="260"/>
      <c r="K35" s="260"/>
      <c r="L35" s="260"/>
      <c r="M35" s="260"/>
      <c r="N35" s="260"/>
      <c r="O35" s="260"/>
      <c r="P35" s="260"/>
      <c r="Q35" s="260"/>
      <c r="R35" s="260"/>
      <c r="S35" s="260"/>
      <c r="T35" s="260"/>
      <c r="U35" s="260"/>
      <c r="V35" s="260"/>
      <c r="W35" s="260"/>
      <c r="X35" s="260"/>
      <c r="Y35" s="260"/>
      <c r="Z35" s="260"/>
      <c r="AA35" s="260"/>
      <c r="AB35" s="260"/>
      <c r="AC35" s="260"/>
      <c r="AD35" s="260"/>
      <c r="AE35" s="260"/>
      <c r="AF35" s="260"/>
      <c r="AG35" s="260"/>
      <c r="AH35" s="260"/>
      <c r="AI35" s="260"/>
      <c r="AJ35" s="260"/>
      <c r="AK35" s="260"/>
      <c r="AL35" s="260"/>
      <c r="AM35" s="260"/>
      <c r="AN35" s="260"/>
    </row>
    <row r="36" spans="6:40" ht="15.95" customHeight="1"/>
    <row r="37" spans="6:40" ht="15.95" customHeight="1"/>
    <row r="38" spans="6:40" ht="24" hidden="1" customHeight="1"/>
    <row r="39" spans="6:40" ht="15.95" hidden="1" customHeight="1"/>
    <row r="40" spans="6:40" ht="15.95" hidden="1" customHeight="1"/>
    <row r="41" spans="6:40" ht="15.95" hidden="1" customHeight="1"/>
    <row r="42" spans="6:40" ht="15.95" hidden="1" customHeight="1"/>
    <row r="43" spans="6:40" ht="15.95" hidden="1" customHeight="1"/>
    <row r="44" spans="6:40" ht="15.95" hidden="1" customHeight="1"/>
    <row r="45" spans="6:40" ht="15.95" hidden="1" customHeight="1"/>
    <row r="46" spans="6:40" ht="15.95" hidden="1" customHeight="1"/>
    <row r="47" spans="6:40" ht="15.95" hidden="1" customHeight="1"/>
    <row r="48" spans="6:40" ht="15.95" hidden="1" customHeight="1"/>
    <row r="49" ht="15.95" hidden="1" customHeight="1"/>
    <row r="50" ht="15.95" hidden="1" customHeight="1"/>
    <row r="51" ht="15.95" hidden="1" customHeight="1"/>
    <row r="52" ht="15.95" hidden="1" customHeight="1"/>
    <row r="53" ht="15.95" hidden="1" customHeight="1"/>
    <row r="54" ht="15.95" hidden="1" customHeight="1"/>
    <row r="55" ht="15.95" hidden="1" customHeight="1"/>
    <row r="56" ht="15.95" hidden="1" customHeight="1"/>
    <row r="57" ht="15.95" hidden="1" customHeight="1"/>
    <row r="58" ht="15.95" hidden="1" customHeight="1"/>
    <row r="59" ht="15.95" hidden="1" customHeight="1"/>
    <row r="60" ht="15.95" hidden="1" customHeight="1"/>
    <row r="61" ht="15.95" hidden="1" customHeight="1"/>
    <row r="62" ht="15.95" hidden="1" customHeight="1"/>
    <row r="63" ht="15.95" hidden="1" customHeight="1"/>
    <row r="64" ht="15.95" hidden="1" customHeight="1"/>
    <row r="65" ht="15.95" hidden="1" customHeight="1"/>
    <row r="66" ht="15.95" hidden="1" customHeight="1"/>
    <row r="67" ht="15.95" hidden="1" customHeight="1"/>
    <row r="68" ht="15.95" hidden="1" customHeight="1"/>
    <row r="69" ht="15.95" hidden="1" customHeight="1"/>
    <row r="70" ht="15.95" hidden="1" customHeight="1"/>
    <row r="71" ht="15.95" hidden="1" customHeight="1"/>
    <row r="72" ht="15.95" hidden="1" customHeight="1"/>
    <row r="73" ht="15.95" hidden="1" customHeight="1"/>
    <row r="74" ht="15.95" hidden="1" customHeight="1"/>
    <row r="75" ht="15.95" hidden="1" customHeight="1"/>
    <row r="76" ht="15.95" hidden="1" customHeight="1"/>
    <row r="77" ht="15.95" hidden="1" customHeight="1"/>
    <row r="78" ht="15.95" hidden="1" customHeight="1"/>
    <row r="79" ht="15.95" hidden="1" customHeight="1"/>
    <row r="80" ht="15.95" hidden="1" customHeight="1"/>
    <row r="81" ht="15.95" hidden="1" customHeight="1"/>
    <row r="82" ht="15.95" hidden="1" customHeight="1"/>
    <row r="83" ht="15.95" hidden="1" customHeight="1"/>
    <row r="84" ht="15.95" hidden="1" customHeight="1"/>
    <row r="85" ht="15.95" hidden="1" customHeight="1"/>
    <row r="86" ht="15.95" hidden="1" customHeight="1"/>
    <row r="87" ht="15.95" hidden="1" customHeight="1"/>
    <row r="88" ht="15.95" hidden="1" customHeight="1"/>
    <row r="89" ht="15.95" hidden="1" customHeight="1"/>
    <row r="90" ht="15.95" hidden="1" customHeight="1"/>
    <row r="91" ht="15.95" hidden="1" customHeight="1"/>
    <row r="92" ht="15.95" hidden="1" customHeight="1"/>
    <row r="93" ht="15.95" hidden="1" customHeight="1"/>
    <row r="94" ht="15.95" hidden="1" customHeight="1"/>
    <row r="95" ht="15.95" hidden="1" customHeight="1"/>
    <row r="96" ht="15.95" hidden="1" customHeight="1"/>
    <row r="97" ht="15.95" hidden="1" customHeight="1"/>
    <row r="98" ht="15.95" hidden="1" customHeight="1"/>
    <row r="99" ht="15.95" hidden="1" customHeight="1"/>
    <row r="100" ht="15.95" hidden="1" customHeight="1"/>
    <row r="101" ht="15.95" hidden="1" customHeight="1"/>
    <row r="102" ht="15.95" hidden="1" customHeight="1"/>
    <row r="103" ht="15.95" hidden="1" customHeight="1"/>
    <row r="104" ht="15.95" hidden="1" customHeight="1"/>
    <row r="105" ht="15.95" hidden="1" customHeight="1"/>
    <row r="106" ht="15.95" hidden="1" customHeight="1"/>
    <row r="107" ht="15.95" hidden="1" customHeight="1"/>
    <row r="108" ht="15.95" hidden="1" customHeight="1"/>
    <row r="109" ht="15.95" hidden="1" customHeight="1"/>
    <row r="110" ht="15.95" hidden="1" customHeight="1"/>
    <row r="111" ht="15.95" hidden="1" customHeight="1"/>
    <row r="112" ht="15.95" hidden="1" customHeight="1"/>
    <row r="113" ht="15.95" hidden="1" customHeight="1"/>
    <row r="114" ht="15.95" hidden="1" customHeight="1"/>
    <row r="115" ht="15.95" hidden="1" customHeight="1"/>
    <row r="116" ht="15.95" hidden="1" customHeight="1"/>
    <row r="117" ht="15.95" hidden="1" customHeight="1"/>
    <row r="118" ht="15.95" hidden="1" customHeight="1"/>
    <row r="119" ht="15.95" hidden="1" customHeight="1"/>
    <row r="120" ht="15.95" hidden="1" customHeight="1"/>
    <row r="121" ht="15.95" hidden="1" customHeight="1"/>
    <row r="122" ht="15.95" hidden="1" customHeight="1"/>
    <row r="123" ht="15.95" hidden="1" customHeight="1"/>
    <row r="124" ht="15.95" hidden="1" customHeight="1"/>
    <row r="125" ht="15.95" hidden="1" customHeight="1"/>
    <row r="126" ht="15.95" hidden="1" customHeight="1"/>
    <row r="127" ht="15.95" hidden="1" customHeight="1"/>
    <row r="128" ht="15.95" hidden="1" customHeight="1"/>
    <row r="129" ht="15.95" hidden="1" customHeight="1"/>
    <row r="130" ht="15.95" hidden="1" customHeight="1"/>
    <row r="131" ht="15.95" hidden="1" customHeight="1"/>
    <row r="132" ht="15.95" hidden="1" customHeight="1"/>
    <row r="133" ht="15.95" hidden="1" customHeight="1"/>
    <row r="134" ht="15.95" hidden="1" customHeight="1"/>
    <row r="135" ht="15.95" hidden="1" customHeight="1"/>
    <row r="136" ht="15.95" hidden="1" customHeight="1"/>
    <row r="137" ht="15.95" hidden="1" customHeight="1"/>
    <row r="138" ht="15.95" hidden="1" customHeight="1"/>
    <row r="139" ht="15.95" hidden="1" customHeight="1"/>
    <row r="140" ht="15.95" hidden="1" customHeight="1"/>
    <row r="141" ht="15.95" hidden="1" customHeight="1"/>
    <row r="142" ht="15.95" hidden="1" customHeight="1"/>
    <row r="143" ht="15.95" hidden="1" customHeight="1"/>
    <row r="144" ht="15.95" hidden="1" customHeight="1"/>
    <row r="145" ht="15.95" hidden="1" customHeight="1"/>
    <row r="146" ht="15.95" hidden="1" customHeight="1"/>
    <row r="147" ht="15.95" hidden="1" customHeight="1"/>
    <row r="148" ht="15.95" hidden="1" customHeight="1"/>
    <row r="149" ht="15.95" hidden="1" customHeight="1"/>
    <row r="150" ht="15.95" hidden="1" customHeight="1"/>
    <row r="151" ht="15.95" hidden="1" customHeight="1"/>
    <row r="152" ht="15.95" hidden="1" customHeight="1"/>
    <row r="153" ht="15.95" hidden="1" customHeight="1"/>
    <row r="154" ht="15.95" hidden="1" customHeight="1"/>
    <row r="155" ht="15.95" hidden="1" customHeight="1"/>
    <row r="156" ht="15.95" hidden="1" customHeight="1"/>
    <row r="157" ht="15.95" hidden="1" customHeight="1"/>
    <row r="158" ht="15.95" hidden="1" customHeight="1"/>
    <row r="159" ht="15.95" hidden="1" customHeight="1"/>
    <row r="160" ht="15.95" hidden="1" customHeight="1"/>
    <row r="161" ht="15.95" hidden="1" customHeight="1"/>
    <row r="162" ht="15.95" hidden="1" customHeight="1"/>
    <row r="163" ht="15.95" hidden="1" customHeight="1"/>
    <row r="164" ht="15.95" hidden="1" customHeight="1"/>
    <row r="165" ht="15.95" hidden="1" customHeight="1"/>
    <row r="166" ht="15.95" hidden="1" customHeight="1"/>
    <row r="167" ht="15.95" hidden="1" customHeight="1"/>
    <row r="168" ht="15.95" hidden="1" customHeight="1"/>
    <row r="169" ht="15.95" hidden="1" customHeight="1"/>
    <row r="170" ht="15.95" hidden="1" customHeight="1"/>
    <row r="171" ht="15.95" hidden="1" customHeight="1"/>
    <row r="172" ht="15.95" hidden="1" customHeight="1"/>
    <row r="173" ht="15.95" hidden="1" customHeight="1"/>
    <row r="174" ht="15.95" hidden="1" customHeight="1"/>
    <row r="175" ht="15.95" hidden="1" customHeight="1"/>
    <row r="176" ht="15.95" hidden="1" customHeight="1"/>
    <row r="177" ht="15.95" hidden="1" customHeight="1"/>
    <row r="178" ht="15.95" hidden="1" customHeight="1"/>
    <row r="179" ht="15.95" hidden="1" customHeight="1"/>
    <row r="180" ht="15.95" hidden="1" customHeight="1"/>
    <row r="181" ht="15.95" hidden="1" customHeight="1"/>
    <row r="182" ht="15.95" hidden="1" customHeight="1"/>
    <row r="183" ht="15.95" hidden="1" customHeight="1"/>
    <row r="184" ht="15.95" hidden="1" customHeight="1"/>
    <row r="185" ht="15.95" hidden="1" customHeight="1"/>
    <row r="186" ht="15.95" hidden="1" customHeight="1"/>
    <row r="187" ht="15.95" hidden="1" customHeight="1"/>
    <row r="188" ht="15.95" hidden="1" customHeight="1"/>
    <row r="189" ht="15.95" hidden="1" customHeight="1"/>
    <row r="190" ht="15.95" hidden="1" customHeight="1"/>
    <row r="191" ht="15.95" hidden="1" customHeight="1"/>
    <row r="192" ht="15.95" hidden="1" customHeight="1"/>
    <row r="193" spans="2:44" ht="15.95" hidden="1" customHeight="1"/>
    <row r="194" spans="2:44" ht="15.95" hidden="1" customHeight="1"/>
    <row r="195" spans="2:44" ht="15.95" hidden="1" customHeight="1"/>
    <row r="196" spans="2:44" ht="15.95" hidden="1" customHeight="1"/>
    <row r="197" spans="2:44" ht="15.95" hidden="1" customHeight="1"/>
    <row r="198" spans="2:44" ht="15.95" hidden="1" customHeight="1"/>
    <row r="199" spans="2:44" ht="15.95" customHeight="1"/>
    <row r="200" spans="2:44" ht="15.95" customHeight="1">
      <c r="B200" s="272" t="str">
        <f>FOOT1</f>
        <v>NIPSCO Energy Efficiency Program</v>
      </c>
      <c r="C200" s="272"/>
      <c r="D200" s="272"/>
      <c r="E200" s="272"/>
      <c r="F200" s="272"/>
      <c r="G200" s="272"/>
      <c r="H200" s="272"/>
      <c r="I200" s="272"/>
      <c r="J200" s="272"/>
      <c r="K200" s="272"/>
      <c r="L200" s="272"/>
      <c r="M200" s="661" t="str">
        <f>FOOT4</f>
        <v>NIPSCO’s energy efficiency programs are administered by TRC, a third‐party implementation specialist that helps homes and businesses save energy.</v>
      </c>
      <c r="N200" s="661"/>
      <c r="O200" s="661"/>
      <c r="P200" s="661"/>
      <c r="Q200" s="661"/>
      <c r="R200" s="661"/>
      <c r="S200" s="661"/>
      <c r="T200" s="661"/>
      <c r="U200" s="661"/>
      <c r="V200" s="661"/>
      <c r="W200" s="661"/>
      <c r="X200" s="661"/>
      <c r="Y200" s="661"/>
      <c r="Z200" s="661"/>
      <c r="AA200" s="661"/>
      <c r="AB200" s="661"/>
      <c r="AC200" s="661"/>
      <c r="AD200" s="661"/>
      <c r="AE200" s="661"/>
      <c r="AF200" s="661"/>
      <c r="AG200" s="661"/>
      <c r="AH200" s="272"/>
      <c r="AI200" s="272"/>
      <c r="AJ200" s="272"/>
      <c r="AK200" s="272"/>
      <c r="AL200" s="272"/>
      <c r="AM200" s="272"/>
      <c r="AN200" s="272"/>
      <c r="AO200" s="272"/>
      <c r="AP200" s="272"/>
      <c r="AQ200" s="272"/>
      <c r="AR200" s="273" t="str">
        <f>FOOTDISCLAIM</f>
        <v/>
      </c>
    </row>
    <row r="201" spans="2:44" ht="15.95" customHeight="1">
      <c r="B201" s="272" t="str">
        <f>FOOT2</f>
        <v>Toll-Free 800-299-2501</v>
      </c>
      <c r="C201" s="272"/>
      <c r="D201" s="272"/>
      <c r="E201" s="272"/>
      <c r="F201" s="272"/>
      <c r="G201" s="272"/>
      <c r="H201" s="272"/>
      <c r="I201" s="272"/>
      <c r="J201" s="272"/>
      <c r="K201" s="272"/>
      <c r="L201" s="272"/>
      <c r="M201" s="661"/>
      <c r="N201" s="661"/>
      <c r="O201" s="661"/>
      <c r="P201" s="661"/>
      <c r="Q201" s="661"/>
      <c r="R201" s="661"/>
      <c r="S201" s="661"/>
      <c r="T201" s="661"/>
      <c r="U201" s="661"/>
      <c r="V201" s="661"/>
      <c r="W201" s="661"/>
      <c r="X201" s="661"/>
      <c r="Y201" s="661"/>
      <c r="Z201" s="661"/>
      <c r="AA201" s="661"/>
      <c r="AB201" s="661"/>
      <c r="AC201" s="661"/>
      <c r="AD201" s="661"/>
      <c r="AE201" s="661"/>
      <c r="AF201" s="661"/>
      <c r="AG201" s="661"/>
      <c r="AH201" s="272"/>
      <c r="AI201" s="272"/>
      <c r="AJ201" s="272"/>
      <c r="AK201" s="272"/>
      <c r="AL201" s="272"/>
      <c r="AM201" s="272"/>
      <c r="AN201" s="272"/>
      <c r="AO201" s="272"/>
      <c r="AP201" s="272"/>
      <c r="AQ201" s="272"/>
      <c r="AR201" s="273" t="str">
        <f>FOOT5</f>
        <v/>
      </c>
    </row>
    <row r="202" spans="2:44" ht="15.95" customHeight="1">
      <c r="B202" s="281" t="s">
        <v>1547</v>
      </c>
      <c r="C202" s="272"/>
      <c r="D202" s="272"/>
      <c r="E202" s="272"/>
      <c r="F202" s="272"/>
      <c r="G202" s="272"/>
      <c r="H202" s="272"/>
      <c r="I202" s="272"/>
      <c r="J202" s="272"/>
      <c r="K202" s="272"/>
      <c r="L202" s="272"/>
      <c r="M202" s="274"/>
      <c r="N202" s="272"/>
      <c r="O202" s="272"/>
      <c r="P202" s="274"/>
      <c r="Q202" s="274"/>
      <c r="R202" s="274"/>
      <c r="S202" s="274"/>
      <c r="T202" s="274"/>
      <c r="U202" s="274"/>
      <c r="V202" s="274"/>
      <c r="W202" s="275" t="str">
        <f>VERSION</f>
        <v>Custom Prescriptive Application v3.7.1</v>
      </c>
      <c r="X202" s="274"/>
      <c r="Y202" s="274"/>
      <c r="Z202" s="274"/>
      <c r="AA202" s="274"/>
      <c r="AB202" s="274"/>
      <c r="AC202" s="274"/>
      <c r="AD202" s="274"/>
      <c r="AE202" s="272"/>
      <c r="AF202" s="272"/>
      <c r="AG202" s="272"/>
      <c r="AH202" s="272"/>
      <c r="AI202" s="272"/>
      <c r="AJ202" s="272"/>
      <c r="AK202" s="272"/>
      <c r="AL202" s="272"/>
      <c r="AM202" s="272"/>
      <c r="AN202" s="272"/>
      <c r="AO202" s="272"/>
      <c r="AP202" s="272"/>
      <c r="AQ202" s="272"/>
      <c r="AR202" s="273" t="str">
        <f>FOOT6</f>
        <v>Product of TRC</v>
      </c>
    </row>
  </sheetData>
  <sheetProtection algorithmName="SHA-512" hashValue="8ULEuvSczYsUR8MOjiVfnrWoZi8LEPDVjJP6BGYGs7amznALp1Zpw8e3Oq+wTPDfDm8Bb4/AoJqC24uAxyfDHg==" saltValue="+mo/tBMYvDN1/xtLdOWBPA==" spinCount="100000" sheet="1" objects="1" scenarios="1" selectLockedCells="1"/>
  <mergeCells count="11">
    <mergeCell ref="M200:AG201"/>
    <mergeCell ref="F10:AN10"/>
    <mergeCell ref="F22:AN22"/>
    <mergeCell ref="F23:AN23"/>
    <mergeCell ref="F34:AN34"/>
    <mergeCell ref="AQ1:AR1"/>
    <mergeCell ref="AQ2:AR3"/>
    <mergeCell ref="AH1:AK1"/>
    <mergeCell ref="AL1:AP1"/>
    <mergeCell ref="AH2:AK3"/>
    <mergeCell ref="AL2:AP3"/>
  </mergeCells>
  <conditionalFormatting sqref="AH2 AL2">
    <cfRule type="expression" dxfId="288" priority="1">
      <formula>PROJSTATUS=PROJSTATELI</formula>
    </cfRule>
    <cfRule type="expression" dxfId="287" priority="2">
      <formula>PROJSTATUS=PROJSTATREVIEW</formula>
    </cfRule>
    <cfRule type="expression" dxfId="286" priority="6">
      <formula>PROJSTATUS=PROJSTATPREAPPROVE</formula>
    </cfRule>
    <cfRule type="expression" dxfId="285" priority="7">
      <formula>PROJSTATUS=PROJSTATSTANDARD</formula>
    </cfRule>
    <cfRule type="expression" dxfId="284" priority="8">
      <formula>PROJSTATUS=PROJSTATEXP</formula>
    </cfRule>
  </conditionalFormatting>
  <conditionalFormatting sqref="AQ2:AR3">
    <cfRule type="cellIs" dxfId="283" priority="3" operator="equal">
      <formula>1</formula>
    </cfRule>
    <cfRule type="cellIs" dxfId="282" priority="4" operator="between">
      <formula>0.51</formula>
      <formula>0.99</formula>
    </cfRule>
    <cfRule type="cellIs" dxfId="281" priority="5" operator="lessThanOrEqual">
      <formula>0.5</formula>
    </cfRule>
  </conditionalFormatting>
  <hyperlinks>
    <hyperlink ref="B202" r:id="rId1" xr:uid="{71673E40-3A9A-41DD-8580-A510B0E47824}"/>
  </hyperlinks>
  <pageMargins left="0.25" right="0.25" top="0.25" bottom="0.25" header="0.25" footer="0.25"/>
  <pageSetup scale="62" fitToHeight="0" orientation="landscape" r:id="rId2"/>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5">
    <pageSetUpPr fitToPage="1"/>
  </sheetPr>
  <dimension ref="A1:XFC279"/>
  <sheetViews>
    <sheetView showGridLines="0" showRowColHeaders="0" zoomScale="85" zoomScaleNormal="85" workbookViewId="0">
      <selection activeCell="C6" sqref="C6"/>
    </sheetView>
  </sheetViews>
  <sheetFormatPr defaultColWidth="0" defaultRowHeight="0" customHeight="1" zeroHeight="1"/>
  <cols>
    <col min="1" max="2" width="4.7109375" customWidth="1"/>
    <col min="3" max="33" width="4.7109375" style="56" customWidth="1"/>
    <col min="34" max="38" width="4.7109375" style="9" customWidth="1"/>
    <col min="39" max="39" width="4.7109375" customWidth="1"/>
    <col min="40" max="40" width="5.28515625" customWidth="1"/>
    <col min="41" max="43" width="4.7109375" customWidth="1"/>
    <col min="44" max="44" width="4.140625" customWidth="1"/>
    <col min="45" max="45" width="4.5703125" customWidth="1"/>
    <col min="46" max="16383" width="9.140625" hidden="1"/>
    <col min="16384" max="16384" width="2.7109375" hidden="1"/>
  </cols>
  <sheetData>
    <row r="1" spans="2:44" ht="15.95" customHeight="1">
      <c r="C1"/>
      <c r="D1"/>
      <c r="E1"/>
      <c r="F1"/>
      <c r="G1"/>
      <c r="AH1" s="686" t="s">
        <v>471</v>
      </c>
      <c r="AI1" s="686"/>
      <c r="AJ1" s="686"/>
      <c r="AK1" s="686"/>
      <c r="AL1" s="687" t="s">
        <v>736</v>
      </c>
      <c r="AM1" s="687"/>
      <c r="AN1" s="687"/>
      <c r="AO1" s="687"/>
      <c r="AP1" s="687"/>
      <c r="AQ1" s="683" t="s">
        <v>474</v>
      </c>
      <c r="AR1" s="683"/>
    </row>
    <row r="2" spans="2:44" ht="15.95" customHeight="1">
      <c r="C2"/>
      <c r="D2"/>
      <c r="E2"/>
      <c r="F2"/>
      <c r="G2"/>
      <c r="AH2" s="688" t="str">
        <f ca="1">INCENSTATUS</f>
        <v>---</v>
      </c>
      <c r="AI2" s="689"/>
      <c r="AJ2" s="689"/>
      <c r="AK2" s="689"/>
      <c r="AL2" s="690" t="str">
        <f ca="1">PROJSTATUS</f>
        <v>Enter Measures</v>
      </c>
      <c r="AM2" s="690"/>
      <c r="AN2" s="690"/>
      <c r="AO2" s="690"/>
      <c r="AP2" s="690"/>
      <c r="AQ2" s="684">
        <f ca="1">PROGRESSSTATUS</f>
        <v>2.8985507246376812E-2</v>
      </c>
      <c r="AR2" s="685"/>
    </row>
    <row r="3" spans="2:44" ht="15.95" customHeight="1">
      <c r="C3"/>
      <c r="D3"/>
      <c r="E3"/>
      <c r="F3"/>
      <c r="G3"/>
      <c r="AH3" s="680"/>
      <c r="AI3" s="681"/>
      <c r="AJ3" s="681"/>
      <c r="AK3" s="681"/>
      <c r="AL3" s="673"/>
      <c r="AM3" s="673"/>
      <c r="AN3" s="673"/>
      <c r="AO3" s="673"/>
      <c r="AP3" s="673"/>
      <c r="AQ3" s="667"/>
      <c r="AR3" s="668"/>
    </row>
    <row r="4" spans="2:44" ht="15.95" customHeight="1">
      <c r="C4"/>
      <c r="D4"/>
      <c r="E4"/>
      <c r="F4"/>
      <c r="G4"/>
      <c r="AR4" s="171"/>
    </row>
    <row r="5" spans="2:44" ht="15.95" customHeight="1"/>
    <row r="6" spans="2:44" ht="15.95" customHeight="1"/>
    <row r="7" spans="2:44" ht="15.95" customHeight="1"/>
    <row r="8" spans="2:44" ht="15.95" customHeight="1"/>
    <row r="9" spans="2:44" ht="15.95" customHeight="1">
      <c r="B9" s="59"/>
      <c r="C9" s="61"/>
      <c r="D9" s="61"/>
      <c r="E9" s="61"/>
      <c r="F9" s="61"/>
      <c r="G9" s="61"/>
      <c r="H9" s="61"/>
      <c r="I9" s="61"/>
      <c r="J9" s="61"/>
      <c r="K9" s="61"/>
      <c r="L9" s="61"/>
      <c r="M9" s="61"/>
      <c r="N9" s="61"/>
      <c r="O9" s="61"/>
      <c r="P9" s="61"/>
      <c r="Q9" s="61"/>
      <c r="R9" s="61"/>
      <c r="S9" s="61"/>
      <c r="T9" s="61"/>
      <c r="U9" s="61"/>
      <c r="V9" s="61"/>
      <c r="W9" s="61"/>
      <c r="X9" s="61"/>
      <c r="Y9" s="61"/>
      <c r="Z9" s="61"/>
      <c r="AA9" s="61"/>
      <c r="AB9" s="61"/>
      <c r="AC9" s="61"/>
      <c r="AD9" s="61"/>
      <c r="AE9" s="61"/>
      <c r="AF9" s="61"/>
      <c r="AG9" s="61"/>
      <c r="AH9" s="161"/>
      <c r="AI9" s="161"/>
      <c r="AJ9" s="161"/>
      <c r="AK9" s="161"/>
      <c r="AL9" s="161"/>
      <c r="AM9" s="59"/>
      <c r="AN9" s="59"/>
      <c r="AO9" s="59"/>
      <c r="AP9" s="59"/>
      <c r="AQ9" s="59"/>
      <c r="AR9" s="59"/>
    </row>
    <row r="10" spans="2:44" ht="15.95" customHeight="1">
      <c r="B10" s="59"/>
      <c r="C10" s="61"/>
      <c r="D10" s="61"/>
      <c r="E10" s="61"/>
      <c r="F10" s="691" t="s">
        <v>964</v>
      </c>
      <c r="G10" s="691"/>
      <c r="H10" s="691"/>
      <c r="I10" s="691"/>
      <c r="J10" s="691"/>
      <c r="K10" s="691"/>
      <c r="L10" s="691"/>
      <c r="M10" s="691"/>
      <c r="N10" s="691"/>
      <c r="O10" s="691"/>
      <c r="P10" s="691"/>
      <c r="Q10" s="691"/>
      <c r="R10" s="691"/>
      <c r="S10" s="691"/>
      <c r="T10" s="691"/>
      <c r="U10" s="691"/>
      <c r="V10" s="691"/>
      <c r="W10" s="691"/>
      <c r="X10" s="691"/>
      <c r="Y10" s="691"/>
      <c r="Z10" s="691"/>
      <c r="AA10" s="691"/>
      <c r="AB10" s="691"/>
      <c r="AC10" s="691"/>
      <c r="AD10" s="691"/>
      <c r="AE10" s="691"/>
      <c r="AF10" s="691"/>
      <c r="AG10" s="691"/>
      <c r="AH10" s="691"/>
      <c r="AI10" s="691"/>
      <c r="AJ10" s="691"/>
      <c r="AK10" s="691"/>
      <c r="AL10" s="691"/>
      <c r="AM10" s="691"/>
      <c r="AN10" s="691"/>
      <c r="AO10" s="59"/>
      <c r="AP10" s="59"/>
      <c r="AQ10" s="59"/>
      <c r="AR10" s="59"/>
    </row>
    <row r="11" spans="2:44" ht="15.95" customHeight="1">
      <c r="B11" s="59"/>
      <c r="C11" s="61"/>
      <c r="D11" s="61"/>
      <c r="E11" s="61"/>
      <c r="F11" s="187"/>
      <c r="G11" s="187"/>
      <c r="H11" s="187"/>
      <c r="I11" s="187"/>
      <c r="J11" s="187"/>
      <c r="K11" s="187"/>
      <c r="L11" s="187"/>
      <c r="M11" s="187"/>
      <c r="N11" s="187"/>
      <c r="O11" s="187"/>
      <c r="P11" s="187"/>
      <c r="Q11" s="187"/>
      <c r="R11" s="187"/>
      <c r="S11" s="187"/>
      <c r="T11" s="187"/>
      <c r="U11" s="187"/>
      <c r="V11" s="187"/>
      <c r="W11" s="187"/>
      <c r="X11" s="187"/>
      <c r="Y11" s="187"/>
      <c r="Z11" s="187"/>
      <c r="AA11" s="187"/>
      <c r="AB11" s="187"/>
      <c r="AC11" s="187"/>
      <c r="AD11" s="187"/>
      <c r="AE11" s="187"/>
      <c r="AF11" s="187"/>
      <c r="AG11" s="187"/>
      <c r="AH11" s="187"/>
      <c r="AI11" s="187"/>
      <c r="AJ11" s="187"/>
      <c r="AK11" s="187"/>
      <c r="AL11" s="187"/>
      <c r="AM11" s="187"/>
      <c r="AN11" s="187"/>
      <c r="AO11" s="59"/>
      <c r="AP11" s="59"/>
      <c r="AQ11" s="59"/>
      <c r="AR11" s="59"/>
    </row>
    <row r="12" spans="2:44" ht="15.95" customHeight="1">
      <c r="B12" s="59"/>
      <c r="C12"/>
      <c r="D12"/>
      <c r="E12"/>
      <c r="F12"/>
      <c r="G12"/>
      <c r="H12"/>
      <c r="I12"/>
      <c r="J12"/>
      <c r="K12"/>
      <c r="L12"/>
      <c r="M12"/>
      <c r="N12"/>
      <c r="O12"/>
      <c r="P12"/>
      <c r="Q12"/>
      <c r="R12"/>
      <c r="S12"/>
      <c r="T12"/>
      <c r="U12"/>
      <c r="V12"/>
      <c r="W12"/>
      <c r="X12"/>
      <c r="Y12"/>
      <c r="Z12"/>
      <c r="AA12"/>
      <c r="AB12"/>
      <c r="AC12"/>
      <c r="AD12"/>
      <c r="AE12"/>
      <c r="AF12"/>
      <c r="AG12"/>
      <c r="AH12"/>
      <c r="AI12"/>
      <c r="AJ12"/>
      <c r="AK12"/>
      <c r="AL12"/>
    </row>
    <row r="13" spans="2:44" ht="15.75" customHeight="1">
      <c r="B13" s="59"/>
      <c r="C13"/>
      <c r="D13"/>
      <c r="E13"/>
      <c r="F13"/>
      <c r="G13"/>
      <c r="H13"/>
      <c r="I13"/>
      <c r="J13"/>
      <c r="K13"/>
      <c r="L13"/>
      <c r="M13"/>
      <c r="N13"/>
      <c r="O13"/>
      <c r="P13"/>
      <c r="Q13"/>
      <c r="R13"/>
      <c r="S13"/>
      <c r="T13"/>
      <c r="U13"/>
      <c r="V13"/>
      <c r="W13"/>
      <c r="X13"/>
      <c r="Y13"/>
      <c r="Z13"/>
      <c r="AA13"/>
      <c r="AB13"/>
      <c r="AC13"/>
      <c r="AD13"/>
      <c r="AE13"/>
      <c r="AF13"/>
      <c r="AG13"/>
      <c r="AH13"/>
      <c r="AI13"/>
      <c r="AJ13"/>
      <c r="AK13"/>
      <c r="AL13"/>
    </row>
    <row r="14" spans="2:44" ht="15.95" customHeight="1">
      <c r="B14" s="59"/>
      <c r="C14"/>
      <c r="D14"/>
      <c r="E14"/>
      <c r="F14"/>
      <c r="G14"/>
      <c r="H14"/>
      <c r="I14"/>
      <c r="J14"/>
      <c r="K14"/>
      <c r="L14"/>
      <c r="M14"/>
      <c r="N14"/>
      <c r="O14"/>
      <c r="P14"/>
      <c r="Q14"/>
      <c r="R14"/>
      <c r="S14"/>
      <c r="T14"/>
      <c r="U14"/>
      <c r="V14"/>
      <c r="W14"/>
      <c r="X14"/>
      <c r="Y14"/>
      <c r="Z14"/>
      <c r="AA14"/>
      <c r="AB14"/>
      <c r="AC14"/>
      <c r="AD14"/>
      <c r="AE14"/>
      <c r="AF14"/>
      <c r="AG14"/>
      <c r="AH14"/>
      <c r="AI14"/>
      <c r="AJ14"/>
      <c r="AK14"/>
      <c r="AL14"/>
    </row>
    <row r="15" spans="2:44" ht="15.95" customHeight="1">
      <c r="B15" s="59"/>
      <c r="C15"/>
      <c r="D15"/>
      <c r="E15"/>
      <c r="F15"/>
      <c r="G15"/>
      <c r="H15"/>
      <c r="I15"/>
      <c r="J15"/>
      <c r="K15"/>
      <c r="L15"/>
      <c r="M15"/>
      <c r="N15"/>
      <c r="O15"/>
      <c r="P15"/>
      <c r="Q15"/>
      <c r="R15"/>
      <c r="S15"/>
      <c r="T15"/>
      <c r="U15"/>
      <c r="V15"/>
      <c r="W15"/>
      <c r="X15"/>
      <c r="Y15"/>
      <c r="Z15"/>
      <c r="AA15"/>
      <c r="AB15"/>
      <c r="AC15"/>
      <c r="AD15"/>
      <c r="AE15"/>
      <c r="AF15"/>
      <c r="AG15"/>
      <c r="AH15"/>
      <c r="AI15"/>
      <c r="AJ15"/>
      <c r="AK15"/>
      <c r="AL15"/>
    </row>
    <row r="16" spans="2:44" ht="15.95" customHeight="1">
      <c r="B16" s="59"/>
      <c r="C16"/>
      <c r="D16"/>
      <c r="E16"/>
      <c r="F16"/>
      <c r="G16"/>
      <c r="H16"/>
      <c r="I16"/>
      <c r="J16"/>
      <c r="K16"/>
      <c r="L16"/>
      <c r="M16"/>
      <c r="N16"/>
      <c r="O16"/>
      <c r="P16"/>
      <c r="Q16"/>
      <c r="R16"/>
      <c r="S16"/>
      <c r="T16"/>
      <c r="U16"/>
      <c r="V16"/>
      <c r="W16"/>
      <c r="X16"/>
      <c r="Y16"/>
      <c r="Z16"/>
      <c r="AA16"/>
      <c r="AB16"/>
      <c r="AC16"/>
      <c r="AD16"/>
      <c r="AE16"/>
      <c r="AF16"/>
      <c r="AG16"/>
      <c r="AH16"/>
      <c r="AI16"/>
      <c r="AJ16"/>
      <c r="AK16"/>
      <c r="AL16"/>
    </row>
    <row r="17" spans="2:38" ht="15.95" customHeight="1">
      <c r="B17" s="59"/>
      <c r="C17"/>
      <c r="D17"/>
      <c r="E17"/>
      <c r="F17"/>
      <c r="G17"/>
      <c r="H17"/>
      <c r="I17"/>
      <c r="J17"/>
      <c r="K17"/>
      <c r="L17"/>
      <c r="M17"/>
      <c r="N17"/>
      <c r="O17"/>
      <c r="P17"/>
      <c r="Q17"/>
      <c r="R17"/>
      <c r="S17"/>
      <c r="T17"/>
      <c r="U17"/>
      <c r="V17"/>
      <c r="W17"/>
      <c r="X17"/>
      <c r="Y17"/>
      <c r="Z17"/>
      <c r="AA17"/>
      <c r="AB17"/>
      <c r="AC17"/>
      <c r="AD17"/>
      <c r="AE17"/>
      <c r="AF17"/>
      <c r="AG17"/>
      <c r="AH17"/>
      <c r="AI17"/>
      <c r="AJ17"/>
      <c r="AK17"/>
      <c r="AL17"/>
    </row>
    <row r="18" spans="2:38" ht="15.95" customHeight="1">
      <c r="B18" s="59"/>
      <c r="C18"/>
      <c r="D18"/>
      <c r="E18"/>
      <c r="F18"/>
      <c r="G18"/>
      <c r="H18"/>
      <c r="I18"/>
      <c r="J18"/>
      <c r="K18"/>
      <c r="L18"/>
      <c r="M18"/>
      <c r="N18"/>
      <c r="O18"/>
      <c r="P18"/>
      <c r="Q18"/>
      <c r="R18"/>
      <c r="S18"/>
      <c r="T18"/>
      <c r="U18"/>
      <c r="V18"/>
      <c r="W18"/>
      <c r="X18"/>
      <c r="Y18"/>
      <c r="Z18"/>
      <c r="AA18"/>
      <c r="AB18"/>
      <c r="AC18"/>
      <c r="AD18"/>
      <c r="AE18"/>
      <c r="AF18"/>
      <c r="AG18"/>
      <c r="AH18"/>
      <c r="AI18"/>
      <c r="AJ18"/>
      <c r="AK18"/>
      <c r="AL18"/>
    </row>
    <row r="19" spans="2:38" ht="15.95" customHeight="1">
      <c r="B19" s="59"/>
      <c r="C19"/>
      <c r="D19"/>
      <c r="E19"/>
      <c r="F19"/>
      <c r="G19"/>
      <c r="H19"/>
      <c r="I19"/>
      <c r="J19"/>
      <c r="K19"/>
      <c r="L19"/>
      <c r="M19"/>
      <c r="N19"/>
      <c r="O19"/>
      <c r="P19"/>
      <c r="Q19"/>
      <c r="R19"/>
      <c r="S19"/>
      <c r="T19"/>
      <c r="U19"/>
      <c r="V19"/>
      <c r="W19"/>
      <c r="X19"/>
      <c r="Y19"/>
      <c r="Z19"/>
      <c r="AA19"/>
      <c r="AB19"/>
      <c r="AC19"/>
      <c r="AD19"/>
      <c r="AE19"/>
      <c r="AF19"/>
      <c r="AG19"/>
      <c r="AH19"/>
      <c r="AI19"/>
      <c r="AJ19"/>
      <c r="AK19"/>
      <c r="AL19"/>
    </row>
    <row r="20" spans="2:38" ht="15.95" customHeight="1">
      <c r="B20" s="59"/>
      <c r="C20"/>
      <c r="D20"/>
      <c r="E20"/>
      <c r="F20"/>
      <c r="G20"/>
      <c r="H20"/>
      <c r="I20"/>
      <c r="J20"/>
      <c r="K20"/>
      <c r="L20"/>
      <c r="M20"/>
      <c r="N20"/>
      <c r="O20"/>
      <c r="P20"/>
      <c r="Q20"/>
      <c r="R20"/>
      <c r="S20"/>
      <c r="T20"/>
      <c r="U20"/>
      <c r="V20"/>
      <c r="W20"/>
      <c r="X20"/>
      <c r="Y20"/>
      <c r="Z20"/>
      <c r="AA20"/>
      <c r="AB20"/>
      <c r="AC20"/>
      <c r="AD20"/>
      <c r="AE20"/>
      <c r="AF20"/>
      <c r="AG20"/>
      <c r="AH20"/>
      <c r="AI20"/>
      <c r="AJ20"/>
      <c r="AK20"/>
      <c r="AL20"/>
    </row>
    <row r="21" spans="2:38" ht="15.95" customHeight="1">
      <c r="B21" s="59"/>
      <c r="C21"/>
      <c r="D21"/>
      <c r="E21"/>
      <c r="F21"/>
      <c r="G21"/>
      <c r="H21"/>
      <c r="I21"/>
      <c r="J21"/>
      <c r="K21"/>
      <c r="L21"/>
      <c r="M21"/>
      <c r="N21"/>
      <c r="O21"/>
      <c r="P21"/>
      <c r="Q21"/>
      <c r="R21"/>
      <c r="S21"/>
      <c r="T21"/>
      <c r="U21"/>
      <c r="V21"/>
      <c r="W21"/>
      <c r="X21"/>
      <c r="Y21"/>
      <c r="Z21"/>
      <c r="AA21"/>
      <c r="AB21"/>
      <c r="AC21"/>
      <c r="AD21"/>
      <c r="AE21"/>
      <c r="AF21"/>
      <c r="AG21"/>
      <c r="AH21"/>
      <c r="AI21"/>
      <c r="AJ21"/>
      <c r="AK21"/>
      <c r="AL21"/>
    </row>
    <row r="22" spans="2:38" ht="15.95" customHeight="1">
      <c r="B22" s="59"/>
      <c r="C22"/>
      <c r="D22"/>
      <c r="E22"/>
      <c r="F22"/>
      <c r="G22"/>
      <c r="H22"/>
      <c r="I22"/>
      <c r="J22"/>
      <c r="K22"/>
      <c r="L22"/>
      <c r="M22"/>
      <c r="N22"/>
      <c r="O22"/>
      <c r="P22"/>
      <c r="Q22"/>
      <c r="R22"/>
      <c r="S22"/>
      <c r="T22"/>
      <c r="U22"/>
      <c r="V22"/>
      <c r="W22"/>
      <c r="X22"/>
      <c r="Y22"/>
      <c r="Z22"/>
      <c r="AA22"/>
      <c r="AB22"/>
      <c r="AC22"/>
      <c r="AD22"/>
      <c r="AE22"/>
      <c r="AF22"/>
      <c r="AG22"/>
      <c r="AH22"/>
      <c r="AI22"/>
      <c r="AJ22"/>
      <c r="AK22"/>
      <c r="AL22"/>
    </row>
    <row r="23" spans="2:38" ht="15.95" customHeight="1">
      <c r="B23" s="59"/>
      <c r="C23"/>
      <c r="D23"/>
      <c r="E23"/>
      <c r="F23"/>
      <c r="G23"/>
      <c r="H23"/>
      <c r="I23"/>
      <c r="J23"/>
      <c r="K23"/>
      <c r="L23"/>
      <c r="M23"/>
      <c r="N23"/>
      <c r="O23"/>
      <c r="P23"/>
      <c r="Q23"/>
      <c r="R23"/>
      <c r="S23"/>
      <c r="T23"/>
      <c r="U23"/>
      <c r="V23"/>
      <c r="W23"/>
      <c r="X23"/>
      <c r="Y23"/>
      <c r="Z23"/>
      <c r="AA23"/>
      <c r="AB23"/>
      <c r="AC23"/>
      <c r="AD23"/>
      <c r="AE23"/>
      <c r="AF23"/>
      <c r="AG23"/>
      <c r="AH23"/>
      <c r="AI23"/>
      <c r="AJ23"/>
      <c r="AK23"/>
      <c r="AL23"/>
    </row>
    <row r="24" spans="2:38" ht="15.95" customHeight="1">
      <c r="B24" s="59"/>
      <c r="C24"/>
      <c r="D24"/>
      <c r="E24"/>
      <c r="F24"/>
      <c r="G24"/>
      <c r="H24"/>
      <c r="I24"/>
      <c r="J24"/>
      <c r="K24"/>
      <c r="L24"/>
      <c r="M24"/>
      <c r="N24"/>
      <c r="O24"/>
      <c r="P24"/>
      <c r="Q24"/>
      <c r="R24"/>
      <c r="S24"/>
      <c r="T24"/>
      <c r="U24"/>
      <c r="V24"/>
      <c r="W24"/>
      <c r="X24"/>
      <c r="Y24"/>
      <c r="Z24"/>
      <c r="AA24"/>
      <c r="AB24"/>
      <c r="AC24"/>
      <c r="AD24"/>
      <c r="AE24"/>
      <c r="AF24"/>
      <c r="AG24"/>
      <c r="AH24"/>
      <c r="AI24"/>
      <c r="AJ24"/>
      <c r="AK24"/>
      <c r="AL24"/>
    </row>
    <row r="25" spans="2:38" ht="15.95" customHeight="1">
      <c r="B25" s="59"/>
      <c r="C25"/>
      <c r="D25"/>
      <c r="E25"/>
      <c r="F25"/>
      <c r="G25"/>
      <c r="H25"/>
      <c r="I25"/>
      <c r="J25"/>
      <c r="K25"/>
      <c r="L25"/>
      <c r="M25"/>
      <c r="N25"/>
      <c r="O25"/>
      <c r="P25"/>
      <c r="Q25"/>
      <c r="R25"/>
      <c r="S25"/>
      <c r="T25"/>
      <c r="U25"/>
      <c r="V25"/>
      <c r="W25"/>
      <c r="X25"/>
      <c r="Y25"/>
      <c r="Z25"/>
      <c r="AA25"/>
      <c r="AB25"/>
      <c r="AC25"/>
      <c r="AD25"/>
      <c r="AE25"/>
      <c r="AF25"/>
      <c r="AG25"/>
      <c r="AH25"/>
      <c r="AI25"/>
      <c r="AJ25"/>
      <c r="AK25"/>
      <c r="AL25"/>
    </row>
    <row r="26" spans="2:38" ht="15.95" customHeight="1">
      <c r="B26" s="59"/>
      <c r="C26"/>
      <c r="D26"/>
      <c r="E26"/>
      <c r="F26"/>
      <c r="G26"/>
      <c r="H26"/>
      <c r="I26"/>
      <c r="J26"/>
      <c r="K26"/>
      <c r="L26"/>
      <c r="M26"/>
      <c r="N26"/>
      <c r="O26"/>
      <c r="P26"/>
      <c r="Q26"/>
      <c r="R26"/>
      <c r="S26"/>
      <c r="T26"/>
      <c r="U26"/>
      <c r="V26"/>
      <c r="W26"/>
      <c r="X26"/>
      <c r="Y26"/>
      <c r="Z26"/>
      <c r="AA26"/>
      <c r="AB26"/>
      <c r="AC26"/>
      <c r="AD26"/>
      <c r="AE26"/>
      <c r="AF26"/>
      <c r="AG26"/>
      <c r="AH26"/>
      <c r="AI26"/>
      <c r="AJ26"/>
      <c r="AK26"/>
      <c r="AL26"/>
    </row>
    <row r="27" spans="2:38" ht="15.95" customHeight="1">
      <c r="B27" s="59"/>
      <c r="C27"/>
      <c r="D27"/>
      <c r="E27"/>
      <c r="F27"/>
      <c r="G27"/>
      <c r="H27"/>
      <c r="I27"/>
      <c r="J27"/>
      <c r="K27"/>
      <c r="L27"/>
      <c r="M27"/>
      <c r="N27"/>
      <c r="O27"/>
      <c r="P27"/>
      <c r="Q27"/>
      <c r="R27"/>
      <c r="S27"/>
      <c r="T27"/>
      <c r="U27"/>
      <c r="V27"/>
      <c r="W27"/>
      <c r="X27"/>
      <c r="Y27"/>
      <c r="Z27"/>
      <c r="AA27"/>
      <c r="AB27"/>
      <c r="AC27"/>
      <c r="AD27"/>
      <c r="AE27"/>
      <c r="AF27"/>
      <c r="AG27"/>
      <c r="AH27"/>
      <c r="AI27"/>
      <c r="AJ27"/>
      <c r="AK27"/>
      <c r="AL27"/>
    </row>
    <row r="28" spans="2:38" ht="15.95" customHeight="1">
      <c r="B28" s="59"/>
      <c r="C28"/>
      <c r="D28"/>
      <c r="E28"/>
      <c r="F28"/>
      <c r="G28"/>
      <c r="H28"/>
      <c r="I28"/>
      <c r="J28"/>
      <c r="K28"/>
      <c r="L28"/>
      <c r="M28"/>
      <c r="N28"/>
      <c r="O28"/>
      <c r="P28"/>
      <c r="Q28"/>
      <c r="R28"/>
      <c r="S28"/>
      <c r="T28"/>
      <c r="U28"/>
      <c r="V28"/>
      <c r="W28"/>
      <c r="X28"/>
      <c r="Y28"/>
      <c r="Z28"/>
      <c r="AA28"/>
      <c r="AB28"/>
      <c r="AC28"/>
      <c r="AD28"/>
      <c r="AE28"/>
      <c r="AF28"/>
      <c r="AG28"/>
      <c r="AH28"/>
      <c r="AI28"/>
      <c r="AJ28"/>
      <c r="AK28"/>
      <c r="AL28"/>
    </row>
    <row r="29" spans="2:38" ht="15.95" customHeight="1">
      <c r="B29" s="59"/>
      <c r="C29"/>
      <c r="D29"/>
      <c r="E29"/>
      <c r="F29"/>
      <c r="G29"/>
      <c r="H29"/>
      <c r="I29"/>
      <c r="J29"/>
      <c r="K29"/>
      <c r="L29"/>
      <c r="M29"/>
      <c r="N29"/>
      <c r="O29"/>
      <c r="P29"/>
      <c r="Q29"/>
      <c r="R29"/>
      <c r="S29"/>
      <c r="T29"/>
      <c r="U29"/>
      <c r="V29"/>
      <c r="W29"/>
      <c r="X29"/>
      <c r="Y29"/>
      <c r="Z29"/>
      <c r="AA29"/>
      <c r="AB29"/>
      <c r="AC29"/>
      <c r="AD29"/>
      <c r="AE29"/>
      <c r="AF29"/>
      <c r="AG29"/>
      <c r="AH29"/>
      <c r="AI29"/>
      <c r="AJ29"/>
      <c r="AK29"/>
      <c r="AL29"/>
    </row>
    <row r="30" spans="2:38" ht="15.95" customHeight="1">
      <c r="B30" s="59"/>
      <c r="C30"/>
      <c r="D30"/>
      <c r="E30"/>
      <c r="F30"/>
      <c r="G30"/>
      <c r="H30"/>
      <c r="I30"/>
      <c r="J30"/>
      <c r="K30"/>
      <c r="L30"/>
      <c r="M30"/>
      <c r="N30"/>
      <c r="O30"/>
      <c r="P30"/>
      <c r="Q30"/>
      <c r="R30"/>
      <c r="S30"/>
      <c r="T30"/>
      <c r="U30"/>
      <c r="V30"/>
      <c r="W30"/>
      <c r="X30"/>
      <c r="Y30"/>
      <c r="Z30"/>
      <c r="AA30"/>
      <c r="AB30"/>
      <c r="AC30"/>
      <c r="AD30"/>
      <c r="AE30"/>
      <c r="AF30"/>
      <c r="AG30"/>
      <c r="AH30"/>
      <c r="AI30"/>
      <c r="AJ30"/>
      <c r="AK30"/>
      <c r="AL30"/>
    </row>
    <row r="31" spans="2:38" ht="15.95" customHeight="1">
      <c r="B31" s="59"/>
      <c r="C31"/>
      <c r="D31"/>
      <c r="E31"/>
      <c r="F31"/>
      <c r="G31"/>
      <c r="H31"/>
      <c r="I31"/>
      <c r="J31"/>
      <c r="K31"/>
      <c r="L31"/>
      <c r="M31"/>
      <c r="N31"/>
      <c r="O31"/>
      <c r="P31"/>
      <c r="Q31"/>
      <c r="R31"/>
      <c r="S31"/>
      <c r="T31"/>
      <c r="U31"/>
      <c r="V31"/>
      <c r="W31"/>
      <c r="X31"/>
      <c r="Y31"/>
      <c r="Z31"/>
      <c r="AA31"/>
      <c r="AB31"/>
      <c r="AC31"/>
      <c r="AD31"/>
      <c r="AE31"/>
      <c r="AF31"/>
      <c r="AG31"/>
      <c r="AH31"/>
      <c r="AI31"/>
      <c r="AJ31"/>
      <c r="AK31"/>
      <c r="AL31"/>
    </row>
    <row r="32" spans="2:38" ht="15.95" customHeight="1">
      <c r="B32" s="59"/>
      <c r="C32"/>
      <c r="D32"/>
      <c r="E32"/>
      <c r="F32"/>
      <c r="G32"/>
      <c r="H32"/>
      <c r="I32"/>
      <c r="J32"/>
      <c r="K32"/>
      <c r="L32"/>
      <c r="M32"/>
      <c r="N32"/>
      <c r="O32"/>
      <c r="P32"/>
      <c r="Q32"/>
      <c r="R32"/>
      <c r="S32"/>
      <c r="T32"/>
      <c r="U32"/>
      <c r="V32"/>
      <c r="W32"/>
      <c r="X32"/>
      <c r="Y32"/>
      <c r="Z32"/>
      <c r="AA32"/>
      <c r="AB32"/>
      <c r="AC32"/>
      <c r="AD32"/>
      <c r="AE32"/>
      <c r="AF32"/>
      <c r="AG32"/>
      <c r="AH32"/>
      <c r="AI32"/>
      <c r="AJ32"/>
      <c r="AK32"/>
      <c r="AL32"/>
    </row>
    <row r="33" spans="2:38" ht="15.95" customHeight="1">
      <c r="B33" s="59"/>
      <c r="C33"/>
      <c r="D33"/>
      <c r="E33"/>
      <c r="F33"/>
      <c r="G33"/>
      <c r="H33"/>
      <c r="I33"/>
      <c r="J33"/>
      <c r="K33"/>
      <c r="L33"/>
      <c r="M33"/>
      <c r="N33"/>
      <c r="O33"/>
      <c r="P33"/>
      <c r="Q33"/>
      <c r="R33"/>
      <c r="S33"/>
      <c r="T33"/>
      <c r="U33"/>
      <c r="V33"/>
      <c r="W33"/>
      <c r="X33"/>
      <c r="Y33"/>
      <c r="Z33"/>
      <c r="AA33"/>
      <c r="AB33"/>
      <c r="AC33"/>
      <c r="AD33"/>
      <c r="AE33"/>
      <c r="AF33"/>
      <c r="AG33"/>
      <c r="AH33"/>
      <c r="AI33"/>
      <c r="AJ33"/>
      <c r="AK33"/>
      <c r="AL33"/>
    </row>
    <row r="34" spans="2:38" ht="15.95" customHeight="1">
      <c r="B34" s="59"/>
      <c r="C34"/>
      <c r="D34"/>
      <c r="E34"/>
      <c r="F34"/>
      <c r="G34"/>
      <c r="H34"/>
      <c r="I34"/>
      <c r="J34"/>
      <c r="K34"/>
      <c r="L34"/>
      <c r="M34"/>
      <c r="N34"/>
      <c r="O34"/>
      <c r="P34"/>
      <c r="Q34"/>
      <c r="R34"/>
      <c r="S34"/>
      <c r="T34"/>
      <c r="U34"/>
      <c r="V34"/>
      <c r="W34"/>
      <c r="X34"/>
      <c r="Y34"/>
      <c r="Z34"/>
      <c r="AA34"/>
      <c r="AB34"/>
      <c r="AC34"/>
      <c r="AD34"/>
      <c r="AE34"/>
      <c r="AF34"/>
      <c r="AG34"/>
      <c r="AH34"/>
      <c r="AI34"/>
      <c r="AJ34"/>
      <c r="AK34"/>
      <c r="AL34"/>
    </row>
    <row r="35" spans="2:38" ht="15.95" customHeight="1">
      <c r="B35" s="59"/>
      <c r="C35"/>
      <c r="D35"/>
      <c r="E35"/>
      <c r="F35"/>
      <c r="G35"/>
      <c r="H35"/>
      <c r="I35"/>
      <c r="J35"/>
      <c r="K35"/>
      <c r="L35"/>
      <c r="M35"/>
      <c r="N35"/>
      <c r="O35"/>
      <c r="P35"/>
      <c r="Q35"/>
      <c r="R35"/>
      <c r="S35"/>
      <c r="T35"/>
      <c r="U35"/>
      <c r="V35"/>
      <c r="W35"/>
      <c r="X35"/>
      <c r="Y35"/>
      <c r="Z35"/>
      <c r="AA35"/>
      <c r="AB35"/>
      <c r="AC35"/>
      <c r="AD35"/>
      <c r="AE35"/>
      <c r="AF35"/>
      <c r="AG35"/>
      <c r="AH35"/>
      <c r="AI35"/>
      <c r="AJ35"/>
      <c r="AK35"/>
      <c r="AL35"/>
    </row>
    <row r="36" spans="2:38" ht="15.95" customHeight="1">
      <c r="B36" s="59"/>
      <c r="C36"/>
      <c r="D36"/>
      <c r="E36"/>
      <c r="F36"/>
      <c r="G36"/>
      <c r="H36"/>
      <c r="I36"/>
      <c r="J36"/>
      <c r="K36"/>
      <c r="L36"/>
      <c r="M36"/>
      <c r="N36"/>
      <c r="O36"/>
      <c r="P36"/>
      <c r="Q36"/>
      <c r="R36"/>
      <c r="S36"/>
      <c r="T36"/>
      <c r="U36"/>
      <c r="V36"/>
      <c r="W36"/>
      <c r="X36"/>
      <c r="Y36"/>
      <c r="Z36"/>
      <c r="AA36"/>
      <c r="AB36"/>
      <c r="AC36"/>
      <c r="AD36"/>
      <c r="AE36"/>
      <c r="AF36"/>
      <c r="AG36"/>
      <c r="AH36"/>
      <c r="AI36"/>
      <c r="AJ36"/>
      <c r="AK36"/>
      <c r="AL36"/>
    </row>
    <row r="37" spans="2:38" ht="15.95" customHeight="1">
      <c r="B37" s="59"/>
      <c r="C37"/>
      <c r="D37"/>
      <c r="E37"/>
      <c r="F37"/>
      <c r="G37"/>
      <c r="H37"/>
      <c r="I37"/>
      <c r="J37"/>
      <c r="K37"/>
      <c r="L37"/>
      <c r="M37"/>
      <c r="N37"/>
      <c r="O37"/>
      <c r="P37"/>
      <c r="Q37"/>
      <c r="R37"/>
      <c r="S37"/>
      <c r="T37"/>
      <c r="U37"/>
      <c r="V37"/>
      <c r="W37"/>
      <c r="X37"/>
      <c r="Y37"/>
      <c r="Z37"/>
      <c r="AA37"/>
      <c r="AB37"/>
      <c r="AC37"/>
      <c r="AD37"/>
      <c r="AE37"/>
      <c r="AF37"/>
      <c r="AG37"/>
      <c r="AH37"/>
      <c r="AI37"/>
      <c r="AJ37"/>
      <c r="AK37"/>
      <c r="AL37"/>
    </row>
    <row r="38" spans="2:38" ht="15.95" hidden="1" customHeight="1">
      <c r="B38" s="59"/>
      <c r="C38"/>
      <c r="D38"/>
      <c r="E38"/>
      <c r="F38"/>
      <c r="G38"/>
      <c r="H38"/>
      <c r="I38"/>
      <c r="J38"/>
      <c r="K38"/>
      <c r="L38"/>
      <c r="M38"/>
      <c r="N38"/>
      <c r="O38"/>
      <c r="P38"/>
      <c r="Q38"/>
      <c r="R38"/>
      <c r="S38"/>
      <c r="T38"/>
      <c r="U38"/>
      <c r="V38"/>
      <c r="W38"/>
      <c r="X38"/>
      <c r="Y38"/>
      <c r="Z38"/>
      <c r="AA38"/>
      <c r="AB38"/>
      <c r="AC38"/>
      <c r="AD38"/>
      <c r="AE38"/>
      <c r="AF38"/>
      <c r="AG38"/>
      <c r="AH38"/>
      <c r="AI38"/>
      <c r="AJ38"/>
      <c r="AK38"/>
      <c r="AL38"/>
    </row>
    <row r="39" spans="2:38" ht="15.95" hidden="1" customHeight="1">
      <c r="B39" s="59"/>
      <c r="C39"/>
      <c r="D39"/>
      <c r="E39"/>
      <c r="F39"/>
      <c r="G39"/>
      <c r="H39"/>
      <c r="I39"/>
      <c r="J39"/>
      <c r="K39"/>
      <c r="L39"/>
      <c r="M39"/>
      <c r="N39"/>
      <c r="O39"/>
      <c r="P39"/>
      <c r="Q39"/>
      <c r="R39"/>
      <c r="S39"/>
      <c r="T39"/>
      <c r="U39"/>
      <c r="V39"/>
      <c r="W39"/>
      <c r="X39"/>
      <c r="Y39"/>
      <c r="Z39"/>
      <c r="AA39"/>
      <c r="AB39"/>
      <c r="AC39"/>
      <c r="AD39"/>
      <c r="AE39"/>
      <c r="AF39"/>
      <c r="AG39"/>
      <c r="AH39"/>
      <c r="AI39"/>
      <c r="AJ39"/>
      <c r="AK39"/>
      <c r="AL39"/>
    </row>
    <row r="40" spans="2:38" ht="15.95" hidden="1" customHeight="1">
      <c r="B40" s="59"/>
      <c r="C40"/>
      <c r="D40"/>
      <c r="E40"/>
      <c r="F40"/>
      <c r="G40"/>
      <c r="H40"/>
      <c r="I40"/>
      <c r="J40"/>
      <c r="K40"/>
      <c r="L40"/>
      <c r="M40"/>
      <c r="N40"/>
      <c r="O40"/>
      <c r="P40"/>
      <c r="Q40"/>
      <c r="R40"/>
      <c r="S40"/>
      <c r="T40"/>
      <c r="U40"/>
      <c r="V40"/>
      <c r="W40"/>
      <c r="X40"/>
      <c r="Y40"/>
      <c r="Z40"/>
      <c r="AA40"/>
      <c r="AB40"/>
      <c r="AC40"/>
      <c r="AD40"/>
      <c r="AE40"/>
      <c r="AF40"/>
      <c r="AG40"/>
      <c r="AH40"/>
      <c r="AI40"/>
      <c r="AJ40"/>
      <c r="AK40"/>
      <c r="AL40"/>
    </row>
    <row r="41" spans="2:38" ht="15.95" hidden="1" customHeight="1">
      <c r="B41" s="59"/>
      <c r="C41"/>
      <c r="D41"/>
      <c r="E41"/>
      <c r="F41"/>
      <c r="G41"/>
      <c r="H41"/>
      <c r="I41"/>
      <c r="J41"/>
      <c r="K41"/>
      <c r="L41"/>
      <c r="M41"/>
      <c r="N41"/>
      <c r="O41"/>
      <c r="P41"/>
      <c r="Q41"/>
      <c r="R41"/>
      <c r="S41"/>
      <c r="T41"/>
      <c r="U41"/>
      <c r="V41"/>
      <c r="W41"/>
      <c r="X41"/>
      <c r="Y41"/>
      <c r="Z41"/>
      <c r="AA41"/>
      <c r="AB41"/>
      <c r="AC41"/>
      <c r="AD41"/>
      <c r="AE41"/>
      <c r="AF41"/>
      <c r="AG41"/>
      <c r="AH41"/>
      <c r="AI41"/>
      <c r="AJ41"/>
      <c r="AK41"/>
      <c r="AL41"/>
    </row>
    <row r="42" spans="2:38" ht="15.95" hidden="1" customHeight="1">
      <c r="B42" s="59"/>
      <c r="C42"/>
      <c r="D42"/>
      <c r="E42"/>
      <c r="F42"/>
      <c r="G42"/>
      <c r="H42"/>
      <c r="I42"/>
      <c r="J42"/>
      <c r="K42"/>
      <c r="L42"/>
      <c r="M42"/>
      <c r="N42"/>
      <c r="O42"/>
      <c r="P42"/>
      <c r="Q42"/>
      <c r="R42"/>
      <c r="S42"/>
      <c r="T42"/>
      <c r="U42"/>
      <c r="V42"/>
      <c r="W42"/>
      <c r="X42"/>
      <c r="Y42"/>
      <c r="Z42"/>
      <c r="AA42"/>
      <c r="AB42"/>
      <c r="AC42"/>
      <c r="AD42"/>
      <c r="AE42"/>
      <c r="AF42"/>
      <c r="AG42"/>
      <c r="AH42"/>
      <c r="AI42"/>
      <c r="AJ42"/>
      <c r="AK42"/>
      <c r="AL42"/>
    </row>
    <row r="43" spans="2:38" ht="15.95" hidden="1" customHeight="1">
      <c r="B43" s="59"/>
      <c r="C43"/>
      <c r="D43"/>
      <c r="E43"/>
      <c r="F43"/>
      <c r="G43"/>
      <c r="H43"/>
      <c r="I43"/>
      <c r="J43"/>
      <c r="K43"/>
      <c r="L43"/>
      <c r="M43"/>
      <c r="N43"/>
      <c r="O43"/>
      <c r="P43"/>
      <c r="Q43"/>
      <c r="R43"/>
      <c r="S43"/>
      <c r="T43"/>
      <c r="U43"/>
      <c r="V43"/>
      <c r="W43"/>
      <c r="X43"/>
      <c r="Y43"/>
      <c r="Z43"/>
      <c r="AA43"/>
      <c r="AB43"/>
      <c r="AC43"/>
      <c r="AD43"/>
      <c r="AE43"/>
      <c r="AF43"/>
      <c r="AG43"/>
      <c r="AH43"/>
      <c r="AI43"/>
      <c r="AJ43"/>
      <c r="AK43"/>
      <c r="AL43"/>
    </row>
    <row r="44" spans="2:38" ht="15.95" hidden="1" customHeight="1">
      <c r="B44" s="59"/>
      <c r="C44"/>
      <c r="D44"/>
      <c r="E44"/>
      <c r="F44"/>
      <c r="G44"/>
      <c r="H44"/>
      <c r="I44"/>
      <c r="J44"/>
      <c r="K44"/>
      <c r="L44"/>
      <c r="M44"/>
      <c r="N44"/>
      <c r="O44"/>
      <c r="P44"/>
      <c r="Q44"/>
      <c r="R44"/>
      <c r="S44"/>
      <c r="T44"/>
      <c r="U44"/>
      <c r="V44"/>
      <c r="W44"/>
      <c r="X44"/>
      <c r="Y44"/>
      <c r="Z44"/>
      <c r="AA44"/>
      <c r="AB44"/>
      <c r="AC44"/>
      <c r="AD44"/>
      <c r="AE44"/>
      <c r="AF44"/>
      <c r="AG44"/>
      <c r="AH44"/>
      <c r="AI44"/>
      <c r="AJ44"/>
      <c r="AK44"/>
      <c r="AL44"/>
    </row>
    <row r="45" spans="2:38" ht="15.95" hidden="1" customHeight="1">
      <c r="B45" s="59"/>
      <c r="C45"/>
      <c r="D45"/>
      <c r="E45"/>
      <c r="F45"/>
      <c r="G45"/>
      <c r="H45"/>
      <c r="I45"/>
      <c r="J45"/>
      <c r="K45"/>
      <c r="L45"/>
      <c r="M45"/>
      <c r="N45"/>
      <c r="O45"/>
      <c r="P45"/>
      <c r="Q45"/>
      <c r="R45"/>
      <c r="S45"/>
      <c r="T45"/>
      <c r="U45"/>
      <c r="V45"/>
      <c r="W45"/>
      <c r="X45"/>
      <c r="Y45"/>
      <c r="Z45"/>
      <c r="AA45"/>
      <c r="AB45"/>
      <c r="AC45"/>
      <c r="AD45"/>
      <c r="AE45"/>
      <c r="AF45"/>
      <c r="AG45"/>
      <c r="AH45"/>
      <c r="AI45"/>
      <c r="AJ45"/>
      <c r="AK45"/>
      <c r="AL45"/>
    </row>
    <row r="46" spans="2:38" ht="15.95" hidden="1" customHeight="1">
      <c r="B46" s="59"/>
      <c r="C46"/>
      <c r="D46"/>
      <c r="E46"/>
      <c r="F46"/>
      <c r="G46"/>
      <c r="H46"/>
      <c r="I46"/>
      <c r="J46"/>
      <c r="K46"/>
      <c r="L46"/>
      <c r="M46"/>
      <c r="N46"/>
      <c r="O46"/>
      <c r="P46"/>
      <c r="Q46"/>
      <c r="R46"/>
      <c r="S46"/>
      <c r="T46"/>
      <c r="U46"/>
      <c r="V46"/>
      <c r="W46"/>
      <c r="X46"/>
      <c r="Y46"/>
      <c r="Z46"/>
      <c r="AA46"/>
      <c r="AB46"/>
      <c r="AC46"/>
      <c r="AD46"/>
      <c r="AE46"/>
      <c r="AF46"/>
      <c r="AG46"/>
      <c r="AH46"/>
      <c r="AI46"/>
      <c r="AJ46"/>
      <c r="AK46"/>
      <c r="AL46"/>
    </row>
    <row r="47" spans="2:38" ht="15.95" hidden="1" customHeight="1">
      <c r="B47" s="59"/>
      <c r="C47"/>
      <c r="D47"/>
      <c r="E47"/>
      <c r="F47"/>
      <c r="G47"/>
      <c r="H47"/>
      <c r="I47"/>
      <c r="J47"/>
      <c r="K47"/>
      <c r="L47"/>
      <c r="M47"/>
      <c r="N47"/>
      <c r="O47"/>
      <c r="P47"/>
      <c r="Q47"/>
      <c r="R47"/>
      <c r="S47"/>
      <c r="T47"/>
      <c r="U47"/>
      <c r="V47"/>
      <c r="W47"/>
      <c r="X47"/>
      <c r="Y47"/>
      <c r="Z47"/>
      <c r="AA47"/>
      <c r="AB47"/>
      <c r="AC47"/>
      <c r="AD47"/>
      <c r="AE47"/>
      <c r="AF47"/>
      <c r="AG47"/>
      <c r="AH47"/>
      <c r="AI47"/>
      <c r="AJ47"/>
      <c r="AK47"/>
      <c r="AL47"/>
    </row>
    <row r="48" spans="2:38" ht="15.95" hidden="1" customHeight="1">
      <c r="B48" s="59"/>
      <c r="C48"/>
      <c r="D48"/>
      <c r="E48"/>
      <c r="F48"/>
      <c r="G48"/>
      <c r="H48"/>
      <c r="I48"/>
      <c r="J48"/>
      <c r="K48"/>
      <c r="L48"/>
      <c r="M48"/>
      <c r="N48"/>
      <c r="O48"/>
      <c r="P48"/>
      <c r="Q48"/>
      <c r="R48"/>
      <c r="S48"/>
      <c r="T48"/>
      <c r="U48"/>
      <c r="V48"/>
      <c r="W48"/>
      <c r="X48"/>
      <c r="Y48"/>
      <c r="Z48"/>
      <c r="AA48"/>
      <c r="AB48"/>
      <c r="AC48"/>
      <c r="AD48"/>
      <c r="AE48"/>
      <c r="AF48"/>
      <c r="AG48"/>
      <c r="AH48"/>
      <c r="AI48"/>
      <c r="AJ48"/>
      <c r="AK48"/>
      <c r="AL48"/>
    </row>
    <row r="49" spans="2:38" ht="15.95" hidden="1" customHeight="1">
      <c r="B49" s="59"/>
      <c r="C49"/>
      <c r="D49"/>
      <c r="E49"/>
      <c r="F49"/>
      <c r="G49"/>
      <c r="H49"/>
      <c r="I49"/>
      <c r="J49"/>
      <c r="K49"/>
      <c r="L49"/>
      <c r="M49"/>
      <c r="N49"/>
      <c r="O49"/>
      <c r="P49"/>
      <c r="Q49"/>
      <c r="R49"/>
      <c r="S49"/>
      <c r="T49"/>
      <c r="U49"/>
      <c r="V49"/>
      <c r="W49"/>
      <c r="X49"/>
      <c r="Y49"/>
      <c r="Z49"/>
      <c r="AA49"/>
      <c r="AB49"/>
      <c r="AC49"/>
      <c r="AD49"/>
      <c r="AE49"/>
      <c r="AF49"/>
      <c r="AG49"/>
      <c r="AH49"/>
      <c r="AI49"/>
      <c r="AJ49"/>
      <c r="AK49"/>
      <c r="AL49"/>
    </row>
    <row r="50" spans="2:38" ht="15.95" hidden="1" customHeight="1">
      <c r="B50" s="59"/>
      <c r="C50"/>
      <c r="D50"/>
      <c r="E50"/>
      <c r="F50"/>
      <c r="G50"/>
      <c r="H50"/>
      <c r="I50"/>
      <c r="J50"/>
      <c r="K50"/>
      <c r="L50"/>
      <c r="M50"/>
      <c r="N50"/>
      <c r="O50"/>
      <c r="P50"/>
      <c r="Q50"/>
      <c r="R50"/>
      <c r="S50"/>
      <c r="T50"/>
      <c r="U50"/>
      <c r="V50"/>
      <c r="W50"/>
      <c r="X50"/>
      <c r="Y50"/>
      <c r="Z50"/>
      <c r="AA50"/>
      <c r="AB50"/>
      <c r="AC50"/>
      <c r="AD50"/>
      <c r="AE50"/>
      <c r="AF50"/>
      <c r="AG50"/>
      <c r="AH50"/>
      <c r="AI50"/>
      <c r="AJ50"/>
      <c r="AK50"/>
      <c r="AL50"/>
    </row>
    <row r="51" spans="2:38" ht="15.95" hidden="1" customHeight="1">
      <c r="B51" s="59"/>
      <c r="C51"/>
      <c r="D51"/>
      <c r="E51"/>
      <c r="F51"/>
      <c r="G51"/>
      <c r="H51"/>
      <c r="I51"/>
      <c r="J51"/>
      <c r="K51"/>
      <c r="L51"/>
      <c r="M51"/>
      <c r="N51"/>
      <c r="O51"/>
      <c r="P51"/>
      <c r="Q51"/>
      <c r="R51"/>
      <c r="S51"/>
      <c r="T51"/>
      <c r="U51"/>
      <c r="V51"/>
      <c r="W51"/>
      <c r="X51"/>
      <c r="Y51"/>
      <c r="Z51"/>
      <c r="AA51"/>
      <c r="AB51"/>
      <c r="AC51"/>
      <c r="AD51"/>
      <c r="AE51"/>
      <c r="AF51"/>
      <c r="AG51"/>
      <c r="AH51"/>
      <c r="AI51"/>
      <c r="AJ51"/>
      <c r="AK51"/>
      <c r="AL51"/>
    </row>
    <row r="52" spans="2:38" ht="15.95" hidden="1" customHeight="1">
      <c r="B52" s="59"/>
      <c r="C52"/>
      <c r="D52"/>
      <c r="E52"/>
      <c r="F52"/>
      <c r="G52"/>
      <c r="H52"/>
      <c r="I52"/>
      <c r="J52"/>
      <c r="K52"/>
      <c r="L52"/>
      <c r="M52"/>
      <c r="N52"/>
      <c r="O52"/>
      <c r="P52"/>
      <c r="Q52"/>
      <c r="R52"/>
      <c r="S52"/>
      <c r="T52"/>
      <c r="U52"/>
      <c r="V52"/>
      <c r="W52"/>
      <c r="X52"/>
      <c r="Y52"/>
      <c r="Z52"/>
      <c r="AA52"/>
      <c r="AB52"/>
      <c r="AC52"/>
      <c r="AD52"/>
      <c r="AE52"/>
      <c r="AF52"/>
      <c r="AG52"/>
      <c r="AH52"/>
      <c r="AI52"/>
      <c r="AJ52"/>
      <c r="AK52"/>
      <c r="AL52"/>
    </row>
    <row r="53" spans="2:38" ht="15.95" hidden="1" customHeight="1">
      <c r="B53" s="59"/>
      <c r="C53"/>
      <c r="D53"/>
      <c r="E53"/>
      <c r="F53"/>
      <c r="G53"/>
      <c r="H53"/>
      <c r="I53"/>
      <c r="J53"/>
      <c r="K53"/>
      <c r="L53"/>
      <c r="M53"/>
      <c r="N53"/>
      <c r="O53"/>
      <c r="P53"/>
      <c r="Q53"/>
      <c r="R53"/>
      <c r="S53"/>
      <c r="T53"/>
      <c r="U53"/>
      <c r="V53"/>
      <c r="W53"/>
      <c r="X53"/>
      <c r="Y53"/>
      <c r="Z53"/>
      <c r="AA53"/>
      <c r="AB53"/>
      <c r="AC53"/>
      <c r="AD53"/>
      <c r="AE53"/>
      <c r="AF53"/>
      <c r="AG53"/>
      <c r="AH53"/>
      <c r="AI53"/>
      <c r="AJ53"/>
      <c r="AK53"/>
      <c r="AL53"/>
    </row>
    <row r="54" spans="2:38" ht="15.95" hidden="1" customHeight="1">
      <c r="B54" s="59"/>
      <c r="C54"/>
      <c r="D54"/>
      <c r="E54"/>
      <c r="F54"/>
      <c r="G54"/>
      <c r="H54"/>
      <c r="I54"/>
      <c r="J54"/>
      <c r="K54"/>
      <c r="L54"/>
      <c r="M54"/>
      <c r="N54"/>
      <c r="O54"/>
      <c r="P54"/>
      <c r="Q54"/>
      <c r="R54"/>
      <c r="S54"/>
      <c r="T54"/>
      <c r="U54"/>
      <c r="V54"/>
      <c r="W54"/>
      <c r="X54"/>
      <c r="Y54"/>
      <c r="Z54"/>
      <c r="AA54"/>
      <c r="AB54"/>
      <c r="AC54"/>
      <c r="AD54"/>
      <c r="AE54"/>
      <c r="AF54"/>
      <c r="AG54"/>
      <c r="AH54"/>
      <c r="AI54"/>
      <c r="AJ54"/>
      <c r="AK54"/>
      <c r="AL54"/>
    </row>
    <row r="55" spans="2:38" ht="15.95" hidden="1" customHeight="1">
      <c r="B55" s="59"/>
      <c r="C55"/>
      <c r="D55"/>
      <c r="E55"/>
      <c r="F55"/>
      <c r="G55"/>
      <c r="H55"/>
      <c r="I55"/>
      <c r="J55"/>
      <c r="K55"/>
      <c r="L55"/>
      <c r="M55"/>
      <c r="N55"/>
      <c r="O55"/>
      <c r="P55"/>
      <c r="Q55"/>
      <c r="R55"/>
      <c r="S55"/>
      <c r="T55"/>
      <c r="U55"/>
      <c r="V55"/>
      <c r="W55"/>
      <c r="X55"/>
      <c r="Y55"/>
      <c r="Z55"/>
      <c r="AA55"/>
      <c r="AB55"/>
      <c r="AC55"/>
      <c r="AD55"/>
      <c r="AE55"/>
      <c r="AF55"/>
      <c r="AG55"/>
      <c r="AH55"/>
      <c r="AI55"/>
      <c r="AJ55"/>
      <c r="AK55"/>
      <c r="AL55"/>
    </row>
    <row r="56" spans="2:38" ht="15.95" hidden="1" customHeight="1">
      <c r="B56" s="59"/>
      <c r="C56"/>
      <c r="D56"/>
      <c r="E56"/>
      <c r="F56"/>
      <c r="G56"/>
      <c r="H56"/>
      <c r="I56"/>
      <c r="J56"/>
      <c r="K56"/>
      <c r="L56"/>
      <c r="M56"/>
      <c r="N56"/>
      <c r="O56"/>
      <c r="P56"/>
      <c r="Q56"/>
      <c r="R56"/>
      <c r="S56"/>
      <c r="T56"/>
      <c r="U56"/>
      <c r="V56"/>
      <c r="W56"/>
      <c r="X56"/>
      <c r="Y56"/>
      <c r="Z56"/>
      <c r="AA56"/>
      <c r="AB56"/>
      <c r="AC56"/>
      <c r="AD56"/>
      <c r="AE56"/>
      <c r="AF56"/>
      <c r="AG56"/>
      <c r="AH56"/>
      <c r="AI56"/>
      <c r="AJ56"/>
      <c r="AK56"/>
      <c r="AL56"/>
    </row>
    <row r="57" spans="2:38" ht="15.95" hidden="1" customHeight="1">
      <c r="B57" s="59"/>
      <c r="C57"/>
      <c r="D57"/>
      <c r="E57"/>
      <c r="F57"/>
      <c r="G57"/>
      <c r="H57"/>
      <c r="I57"/>
      <c r="J57"/>
      <c r="K57"/>
      <c r="L57"/>
      <c r="M57"/>
      <c r="N57"/>
      <c r="O57"/>
      <c r="P57"/>
      <c r="Q57"/>
      <c r="R57"/>
      <c r="S57"/>
      <c r="T57"/>
      <c r="U57"/>
      <c r="V57"/>
      <c r="W57"/>
      <c r="X57"/>
      <c r="Y57"/>
      <c r="Z57"/>
      <c r="AA57"/>
      <c r="AB57"/>
      <c r="AC57"/>
      <c r="AD57"/>
      <c r="AE57"/>
      <c r="AF57"/>
      <c r="AG57"/>
      <c r="AH57"/>
      <c r="AI57"/>
      <c r="AJ57"/>
      <c r="AK57"/>
      <c r="AL57"/>
    </row>
    <row r="58" spans="2:38" ht="27" hidden="1" customHeight="1">
      <c r="B58" s="59"/>
      <c r="C58"/>
      <c r="D58"/>
      <c r="E58"/>
      <c r="F58"/>
      <c r="G58"/>
      <c r="H58"/>
      <c r="I58"/>
      <c r="J58"/>
      <c r="K58"/>
      <c r="L58"/>
      <c r="M58"/>
      <c r="N58"/>
      <c r="O58"/>
      <c r="P58"/>
      <c r="Q58"/>
      <c r="R58"/>
      <c r="S58"/>
      <c r="T58"/>
      <c r="U58"/>
      <c r="V58"/>
      <c r="W58"/>
      <c r="X58"/>
      <c r="Y58"/>
      <c r="Z58"/>
      <c r="AA58"/>
      <c r="AB58"/>
      <c r="AC58"/>
      <c r="AD58"/>
      <c r="AE58"/>
      <c r="AF58"/>
      <c r="AG58"/>
      <c r="AH58"/>
      <c r="AI58"/>
      <c r="AJ58"/>
      <c r="AK58"/>
      <c r="AL58"/>
    </row>
    <row r="59" spans="2:38" ht="27" hidden="1" customHeight="1">
      <c r="B59" s="59"/>
      <c r="C59"/>
      <c r="D59"/>
      <c r="E59"/>
      <c r="F59"/>
      <c r="G59"/>
      <c r="H59"/>
      <c r="I59"/>
      <c r="J59"/>
      <c r="K59"/>
      <c r="L59"/>
      <c r="M59"/>
      <c r="N59"/>
      <c r="O59"/>
      <c r="P59"/>
      <c r="Q59"/>
      <c r="R59"/>
      <c r="S59"/>
      <c r="T59"/>
      <c r="U59"/>
      <c r="V59"/>
      <c r="W59"/>
      <c r="X59"/>
      <c r="Y59"/>
      <c r="Z59"/>
      <c r="AA59"/>
      <c r="AB59"/>
      <c r="AC59"/>
      <c r="AD59"/>
      <c r="AE59"/>
      <c r="AF59"/>
      <c r="AG59"/>
      <c r="AH59"/>
      <c r="AI59"/>
      <c r="AJ59"/>
      <c r="AK59"/>
      <c r="AL59"/>
    </row>
    <row r="60" spans="2:38" ht="27" hidden="1" customHeight="1">
      <c r="B60" s="59"/>
      <c r="C60"/>
      <c r="D60"/>
      <c r="E60"/>
      <c r="F60"/>
      <c r="G60"/>
      <c r="H60"/>
      <c r="I60"/>
      <c r="J60"/>
      <c r="K60"/>
      <c r="L60"/>
      <c r="M60"/>
      <c r="N60"/>
      <c r="O60"/>
      <c r="P60"/>
      <c r="Q60"/>
      <c r="R60"/>
      <c r="S60"/>
      <c r="T60"/>
      <c r="U60"/>
      <c r="V60"/>
      <c r="W60"/>
      <c r="X60"/>
      <c r="Y60"/>
      <c r="Z60"/>
      <c r="AA60"/>
      <c r="AB60"/>
      <c r="AC60"/>
      <c r="AD60"/>
      <c r="AE60"/>
      <c r="AF60"/>
      <c r="AG60"/>
      <c r="AH60"/>
      <c r="AI60"/>
      <c r="AJ60"/>
      <c r="AK60"/>
      <c r="AL60"/>
    </row>
    <row r="61" spans="2:38" ht="15.95" hidden="1" customHeight="1">
      <c r="B61" s="59"/>
      <c r="C61"/>
      <c r="D61"/>
      <c r="E61"/>
      <c r="F61"/>
      <c r="G61"/>
      <c r="H61"/>
      <c r="I61"/>
      <c r="J61"/>
      <c r="K61"/>
      <c r="L61"/>
      <c r="M61"/>
      <c r="N61"/>
      <c r="O61"/>
      <c r="P61"/>
      <c r="Q61"/>
      <c r="R61"/>
      <c r="S61"/>
      <c r="T61"/>
      <c r="U61"/>
      <c r="V61"/>
      <c r="W61"/>
      <c r="X61"/>
      <c r="Y61"/>
      <c r="Z61"/>
      <c r="AA61"/>
      <c r="AB61"/>
      <c r="AC61"/>
      <c r="AD61"/>
      <c r="AE61"/>
      <c r="AF61"/>
      <c r="AG61"/>
      <c r="AH61"/>
      <c r="AI61"/>
      <c r="AJ61"/>
      <c r="AK61"/>
      <c r="AL61"/>
    </row>
    <row r="62" spans="2:38" ht="15.95" hidden="1" customHeight="1">
      <c r="B62" s="59"/>
      <c r="C62"/>
      <c r="D62"/>
      <c r="E62"/>
      <c r="F62"/>
      <c r="G62"/>
      <c r="H62"/>
      <c r="I62"/>
      <c r="J62"/>
      <c r="K62"/>
      <c r="L62"/>
      <c r="M62"/>
      <c r="N62"/>
      <c r="O62"/>
      <c r="P62"/>
      <c r="Q62"/>
      <c r="R62"/>
      <c r="S62"/>
      <c r="T62"/>
      <c r="U62"/>
      <c r="V62"/>
      <c r="W62"/>
      <c r="X62"/>
      <c r="Y62"/>
      <c r="Z62"/>
      <c r="AA62"/>
      <c r="AB62"/>
      <c r="AC62"/>
      <c r="AD62"/>
      <c r="AE62"/>
      <c r="AF62"/>
      <c r="AG62"/>
      <c r="AH62"/>
      <c r="AI62"/>
      <c r="AJ62"/>
      <c r="AK62"/>
      <c r="AL62"/>
    </row>
    <row r="63" spans="2:38" ht="15.95" hidden="1" customHeight="1">
      <c r="B63" s="59"/>
      <c r="C63"/>
      <c r="D63"/>
      <c r="E63"/>
      <c r="F63"/>
      <c r="G63"/>
      <c r="H63"/>
      <c r="I63"/>
      <c r="J63"/>
      <c r="K63"/>
      <c r="L63"/>
      <c r="M63"/>
      <c r="N63"/>
      <c r="O63"/>
      <c r="P63"/>
      <c r="Q63"/>
      <c r="R63"/>
      <c r="S63"/>
      <c r="T63"/>
      <c r="U63"/>
      <c r="V63"/>
      <c r="W63"/>
      <c r="X63"/>
      <c r="Y63"/>
      <c r="Z63"/>
      <c r="AA63"/>
      <c r="AB63"/>
      <c r="AC63"/>
      <c r="AD63"/>
      <c r="AE63"/>
      <c r="AF63"/>
      <c r="AG63"/>
      <c r="AH63"/>
      <c r="AI63"/>
      <c r="AJ63"/>
      <c r="AK63"/>
      <c r="AL63"/>
    </row>
    <row r="64" spans="2:38" ht="15.95" hidden="1" customHeight="1">
      <c r="B64" s="59"/>
      <c r="C64"/>
      <c r="D64"/>
      <c r="E64"/>
      <c r="F64"/>
      <c r="G64"/>
      <c r="H64"/>
      <c r="I64"/>
      <c r="J64"/>
      <c r="K64"/>
      <c r="L64"/>
      <c r="M64"/>
      <c r="N64"/>
      <c r="O64"/>
      <c r="P64"/>
      <c r="Q64"/>
      <c r="R64"/>
      <c r="S64"/>
      <c r="T64"/>
      <c r="U64"/>
      <c r="V64"/>
      <c r="W64"/>
      <c r="X64"/>
      <c r="Y64"/>
      <c r="Z64"/>
      <c r="AA64"/>
      <c r="AB64"/>
      <c r="AC64"/>
      <c r="AD64"/>
      <c r="AE64"/>
      <c r="AF64"/>
      <c r="AG64"/>
      <c r="AH64"/>
      <c r="AI64"/>
      <c r="AJ64"/>
      <c r="AK64"/>
      <c r="AL64"/>
    </row>
    <row r="65" spans="2:38" ht="27" hidden="1" customHeight="1">
      <c r="B65" s="59"/>
      <c r="C65"/>
      <c r="D65"/>
      <c r="E65"/>
      <c r="F65"/>
      <c r="G65"/>
      <c r="H65"/>
      <c r="I65"/>
      <c r="J65"/>
      <c r="K65"/>
      <c r="L65"/>
      <c r="M65"/>
      <c r="N65"/>
      <c r="O65"/>
      <c r="P65"/>
      <c r="Q65"/>
      <c r="R65"/>
      <c r="S65"/>
      <c r="T65"/>
      <c r="U65"/>
      <c r="V65"/>
      <c r="W65"/>
      <c r="X65"/>
      <c r="Y65"/>
      <c r="Z65"/>
      <c r="AA65"/>
      <c r="AB65"/>
      <c r="AC65"/>
      <c r="AD65"/>
      <c r="AE65"/>
      <c r="AF65"/>
      <c r="AG65"/>
      <c r="AH65"/>
      <c r="AI65"/>
      <c r="AJ65"/>
      <c r="AK65"/>
      <c r="AL65"/>
    </row>
    <row r="66" spans="2:38" ht="27" hidden="1" customHeight="1">
      <c r="B66" s="59"/>
      <c r="C66"/>
      <c r="D66"/>
      <c r="E66"/>
      <c r="F66"/>
      <c r="G66"/>
      <c r="H66"/>
      <c r="I66"/>
      <c r="J66"/>
      <c r="K66"/>
      <c r="L66"/>
      <c r="M66"/>
      <c r="N66"/>
      <c r="O66"/>
      <c r="P66"/>
      <c r="Q66"/>
      <c r="R66"/>
      <c r="S66"/>
      <c r="T66"/>
      <c r="U66"/>
      <c r="V66"/>
      <c r="W66"/>
      <c r="X66"/>
      <c r="Y66"/>
      <c r="Z66"/>
      <c r="AA66"/>
      <c r="AB66"/>
      <c r="AC66"/>
      <c r="AD66"/>
      <c r="AE66"/>
      <c r="AF66"/>
      <c r="AG66"/>
      <c r="AH66"/>
      <c r="AI66"/>
      <c r="AJ66"/>
      <c r="AK66"/>
      <c r="AL66"/>
    </row>
    <row r="67" spans="2:38" ht="27" hidden="1" customHeight="1">
      <c r="B67" s="59"/>
      <c r="C67"/>
      <c r="D67"/>
      <c r="E67"/>
      <c r="F67"/>
      <c r="G67"/>
      <c r="H67"/>
      <c r="I67"/>
      <c r="J67"/>
      <c r="K67"/>
      <c r="L67"/>
      <c r="M67"/>
      <c r="N67"/>
      <c r="O67"/>
      <c r="P67"/>
      <c r="Q67"/>
      <c r="R67"/>
      <c r="S67"/>
      <c r="T67"/>
      <c r="U67"/>
      <c r="V67"/>
      <c r="W67"/>
      <c r="X67"/>
      <c r="Y67"/>
      <c r="Z67"/>
      <c r="AA67"/>
      <c r="AB67"/>
      <c r="AC67"/>
      <c r="AD67"/>
      <c r="AE67"/>
      <c r="AF67"/>
      <c r="AG67"/>
      <c r="AH67"/>
      <c r="AI67"/>
      <c r="AJ67"/>
      <c r="AK67"/>
      <c r="AL67"/>
    </row>
    <row r="68" spans="2:38" ht="15.95" hidden="1" customHeight="1">
      <c r="B68" s="59"/>
      <c r="C68"/>
      <c r="D68"/>
      <c r="E68"/>
      <c r="F68"/>
      <c r="G68"/>
      <c r="H68"/>
      <c r="I68"/>
      <c r="J68"/>
      <c r="K68"/>
      <c r="L68"/>
      <c r="M68"/>
      <c r="N68"/>
      <c r="O68"/>
      <c r="P68"/>
      <c r="Q68"/>
      <c r="R68"/>
      <c r="S68"/>
      <c r="T68"/>
      <c r="U68"/>
      <c r="V68"/>
      <c r="W68"/>
      <c r="X68"/>
      <c r="Y68"/>
      <c r="Z68"/>
      <c r="AA68"/>
      <c r="AB68"/>
      <c r="AC68"/>
      <c r="AD68"/>
      <c r="AE68"/>
      <c r="AF68"/>
      <c r="AG68"/>
      <c r="AH68"/>
      <c r="AI68"/>
      <c r="AJ68"/>
      <c r="AK68"/>
      <c r="AL68"/>
    </row>
    <row r="69" spans="2:38" ht="15.95" hidden="1" customHeight="1">
      <c r="B69" s="59"/>
      <c r="C69"/>
      <c r="D69"/>
      <c r="E69"/>
      <c r="F69"/>
      <c r="G69"/>
      <c r="H69"/>
      <c r="I69"/>
      <c r="J69"/>
      <c r="K69"/>
      <c r="L69"/>
      <c r="M69"/>
      <c r="N69"/>
      <c r="O69"/>
      <c r="P69"/>
      <c r="Q69"/>
      <c r="R69"/>
      <c r="S69"/>
      <c r="T69"/>
      <c r="U69"/>
      <c r="V69"/>
      <c r="W69"/>
      <c r="X69"/>
      <c r="Y69"/>
      <c r="Z69"/>
      <c r="AA69"/>
      <c r="AB69"/>
      <c r="AC69"/>
      <c r="AD69"/>
      <c r="AE69"/>
      <c r="AF69"/>
      <c r="AG69"/>
      <c r="AH69"/>
      <c r="AI69"/>
      <c r="AJ69"/>
      <c r="AK69"/>
      <c r="AL69"/>
    </row>
    <row r="70" spans="2:38" ht="15.95" hidden="1" customHeight="1">
      <c r="B70" s="59"/>
      <c r="C70"/>
      <c r="D70"/>
      <c r="E70"/>
      <c r="F70"/>
      <c r="G70"/>
      <c r="H70"/>
      <c r="I70"/>
      <c r="J70"/>
      <c r="K70"/>
      <c r="L70"/>
      <c r="M70"/>
      <c r="N70"/>
      <c r="O70"/>
      <c r="P70"/>
      <c r="Q70"/>
      <c r="R70"/>
      <c r="S70"/>
      <c r="T70"/>
      <c r="U70"/>
      <c r="V70"/>
      <c r="W70"/>
      <c r="X70"/>
      <c r="Y70"/>
      <c r="Z70"/>
      <c r="AA70"/>
      <c r="AB70"/>
      <c r="AC70"/>
      <c r="AD70"/>
      <c r="AE70"/>
      <c r="AF70"/>
      <c r="AG70"/>
      <c r="AH70"/>
      <c r="AI70"/>
      <c r="AJ70"/>
      <c r="AK70"/>
      <c r="AL70"/>
    </row>
    <row r="71" spans="2:38" ht="15.95" hidden="1" customHeight="1">
      <c r="B71" s="59"/>
      <c r="C71"/>
      <c r="D71"/>
      <c r="E71"/>
      <c r="F71"/>
      <c r="G71"/>
      <c r="H71"/>
      <c r="I71"/>
      <c r="J71"/>
      <c r="K71"/>
      <c r="L71"/>
      <c r="M71"/>
      <c r="N71"/>
      <c r="O71"/>
      <c r="P71"/>
      <c r="Q71"/>
      <c r="R71"/>
      <c r="S71"/>
      <c r="T71"/>
      <c r="U71"/>
      <c r="V71"/>
      <c r="W71"/>
      <c r="X71"/>
      <c r="Y71"/>
      <c r="Z71"/>
      <c r="AA71"/>
      <c r="AB71"/>
      <c r="AC71"/>
      <c r="AD71"/>
      <c r="AE71"/>
      <c r="AF71"/>
      <c r="AG71"/>
      <c r="AH71"/>
      <c r="AI71"/>
      <c r="AJ71"/>
      <c r="AK71"/>
      <c r="AL71"/>
    </row>
    <row r="72" spans="2:38" ht="15.95" hidden="1" customHeight="1">
      <c r="B72" s="59"/>
      <c r="C72"/>
      <c r="D72"/>
      <c r="E72"/>
      <c r="F72"/>
      <c r="G72"/>
      <c r="H72"/>
      <c r="I72"/>
      <c r="J72"/>
      <c r="K72"/>
      <c r="L72"/>
      <c r="M72"/>
      <c r="N72"/>
      <c r="O72"/>
      <c r="P72"/>
      <c r="Q72"/>
      <c r="R72"/>
      <c r="S72"/>
      <c r="T72"/>
      <c r="U72"/>
      <c r="V72"/>
      <c r="W72"/>
      <c r="X72"/>
      <c r="Y72"/>
      <c r="Z72"/>
      <c r="AA72"/>
      <c r="AB72"/>
      <c r="AC72"/>
      <c r="AD72"/>
      <c r="AE72"/>
      <c r="AF72"/>
      <c r="AG72"/>
      <c r="AH72"/>
      <c r="AI72"/>
      <c r="AJ72"/>
      <c r="AK72"/>
      <c r="AL72"/>
    </row>
    <row r="73" spans="2:38" ht="15.95" hidden="1" customHeight="1">
      <c r="B73" s="59"/>
      <c r="C73"/>
      <c r="D73"/>
      <c r="E73"/>
      <c r="F73"/>
      <c r="G73"/>
      <c r="H73"/>
      <c r="I73"/>
      <c r="J73"/>
      <c r="K73"/>
      <c r="L73"/>
      <c r="M73"/>
      <c r="N73"/>
      <c r="O73"/>
      <c r="P73"/>
      <c r="Q73"/>
      <c r="R73"/>
      <c r="S73"/>
      <c r="T73"/>
      <c r="U73"/>
      <c r="V73"/>
      <c r="W73"/>
      <c r="X73"/>
      <c r="Y73"/>
      <c r="Z73"/>
      <c r="AA73"/>
      <c r="AB73"/>
      <c r="AC73"/>
      <c r="AD73"/>
      <c r="AE73"/>
      <c r="AF73"/>
      <c r="AG73"/>
      <c r="AH73"/>
      <c r="AI73"/>
      <c r="AJ73"/>
      <c r="AK73"/>
      <c r="AL73"/>
    </row>
    <row r="74" spans="2:38" ht="15.95" hidden="1" customHeight="1">
      <c r="B74" s="59"/>
      <c r="C74"/>
      <c r="D74"/>
      <c r="E74"/>
      <c r="F74"/>
      <c r="G74"/>
      <c r="H74"/>
      <c r="I74"/>
      <c r="J74"/>
      <c r="K74"/>
      <c r="L74"/>
      <c r="M74"/>
      <c r="N74"/>
      <c r="O74"/>
      <c r="P74"/>
      <c r="Q74"/>
      <c r="R74"/>
      <c r="S74"/>
      <c r="T74"/>
      <c r="U74"/>
      <c r="V74"/>
      <c r="W74"/>
      <c r="X74"/>
      <c r="Y74"/>
      <c r="Z74"/>
      <c r="AA74"/>
      <c r="AB74"/>
      <c r="AC74"/>
      <c r="AD74"/>
      <c r="AE74"/>
      <c r="AF74"/>
      <c r="AG74"/>
      <c r="AH74"/>
      <c r="AI74"/>
      <c r="AJ74"/>
      <c r="AK74"/>
      <c r="AL74"/>
    </row>
    <row r="75" spans="2:38" ht="15.95" hidden="1" customHeight="1">
      <c r="B75" s="59"/>
      <c r="C75"/>
      <c r="D75"/>
      <c r="E75"/>
      <c r="F75"/>
      <c r="G75"/>
      <c r="H75"/>
      <c r="I75"/>
      <c r="J75"/>
      <c r="K75"/>
      <c r="L75"/>
      <c r="M75"/>
      <c r="N75"/>
      <c r="O75"/>
      <c r="P75"/>
      <c r="Q75"/>
      <c r="R75"/>
      <c r="S75"/>
      <c r="T75"/>
      <c r="U75"/>
      <c r="V75"/>
      <c r="W75"/>
      <c r="X75"/>
      <c r="Y75"/>
      <c r="Z75"/>
      <c r="AA75"/>
      <c r="AB75"/>
      <c r="AC75"/>
      <c r="AD75"/>
      <c r="AE75"/>
      <c r="AF75"/>
      <c r="AG75"/>
      <c r="AH75"/>
      <c r="AI75"/>
      <c r="AJ75"/>
      <c r="AK75"/>
      <c r="AL75"/>
    </row>
    <row r="76" spans="2:38" ht="15.95" hidden="1" customHeight="1">
      <c r="B76" s="59"/>
      <c r="C76"/>
      <c r="D76"/>
      <c r="E76"/>
      <c r="F76"/>
      <c r="G76"/>
      <c r="H76"/>
      <c r="I76"/>
      <c r="J76"/>
      <c r="K76"/>
      <c r="L76"/>
      <c r="M76"/>
      <c r="N76"/>
      <c r="O76"/>
      <c r="P76"/>
      <c r="Q76"/>
      <c r="R76"/>
      <c r="S76"/>
      <c r="T76"/>
      <c r="U76"/>
      <c r="V76"/>
      <c r="W76"/>
      <c r="X76"/>
      <c r="Y76"/>
      <c r="Z76"/>
      <c r="AA76"/>
      <c r="AB76"/>
      <c r="AC76"/>
      <c r="AD76"/>
      <c r="AE76"/>
      <c r="AF76"/>
      <c r="AG76"/>
      <c r="AH76"/>
      <c r="AI76"/>
      <c r="AJ76"/>
      <c r="AK76"/>
      <c r="AL76"/>
    </row>
    <row r="77" spans="2:38" ht="15.95" hidden="1" customHeight="1">
      <c r="B77" s="59"/>
      <c r="C77"/>
      <c r="D77"/>
      <c r="E77"/>
      <c r="F77"/>
      <c r="G77"/>
      <c r="H77"/>
      <c r="I77"/>
      <c r="J77"/>
      <c r="K77"/>
      <c r="L77"/>
      <c r="M77"/>
      <c r="N77"/>
      <c r="O77"/>
      <c r="P77"/>
      <c r="Q77"/>
      <c r="R77"/>
      <c r="S77"/>
      <c r="T77"/>
      <c r="U77"/>
      <c r="V77"/>
      <c r="W77"/>
      <c r="X77"/>
      <c r="Y77"/>
      <c r="Z77"/>
      <c r="AA77"/>
      <c r="AB77"/>
      <c r="AC77"/>
      <c r="AD77"/>
      <c r="AE77"/>
      <c r="AF77"/>
      <c r="AG77"/>
      <c r="AH77"/>
      <c r="AI77"/>
      <c r="AJ77"/>
      <c r="AK77"/>
      <c r="AL77"/>
    </row>
    <row r="78" spans="2:38" ht="15.95" hidden="1" customHeight="1">
      <c r="B78" s="59"/>
      <c r="C78"/>
      <c r="D78"/>
      <c r="E78"/>
      <c r="F78"/>
      <c r="G78"/>
      <c r="H78"/>
      <c r="I78"/>
      <c r="J78"/>
      <c r="K78"/>
      <c r="L78"/>
      <c r="M78"/>
      <c r="N78"/>
      <c r="O78"/>
      <c r="P78"/>
      <c r="Q78"/>
      <c r="R78"/>
      <c r="S78"/>
      <c r="T78"/>
      <c r="U78"/>
      <c r="V78"/>
      <c r="W78"/>
      <c r="X78"/>
      <c r="Y78"/>
      <c r="Z78"/>
      <c r="AA78"/>
      <c r="AB78"/>
      <c r="AC78"/>
      <c r="AD78"/>
      <c r="AE78"/>
      <c r="AF78"/>
      <c r="AG78"/>
      <c r="AH78"/>
      <c r="AI78"/>
      <c r="AJ78"/>
      <c r="AK78"/>
      <c r="AL78"/>
    </row>
    <row r="79" spans="2:38" ht="15.95" hidden="1" customHeight="1">
      <c r="B79" s="59"/>
      <c r="C79"/>
      <c r="D79"/>
      <c r="E79"/>
      <c r="F79"/>
      <c r="G79"/>
      <c r="H79"/>
      <c r="I79"/>
      <c r="J79"/>
      <c r="K79"/>
      <c r="L79"/>
      <c r="M79"/>
      <c r="N79"/>
      <c r="O79"/>
      <c r="P79"/>
      <c r="Q79"/>
      <c r="R79"/>
      <c r="S79"/>
      <c r="T79"/>
      <c r="U79"/>
      <c r="V79"/>
      <c r="W79"/>
      <c r="X79"/>
      <c r="Y79"/>
      <c r="Z79"/>
      <c r="AA79"/>
      <c r="AB79"/>
      <c r="AC79"/>
      <c r="AD79"/>
      <c r="AE79"/>
      <c r="AF79"/>
      <c r="AG79"/>
      <c r="AH79"/>
      <c r="AI79"/>
      <c r="AJ79"/>
      <c r="AK79"/>
      <c r="AL79"/>
    </row>
    <row r="80" spans="2:38" ht="15.95" hidden="1" customHeight="1">
      <c r="B80" s="59"/>
      <c r="C80"/>
      <c r="D80"/>
      <c r="E80"/>
      <c r="F80"/>
      <c r="G80"/>
      <c r="H80"/>
      <c r="I80"/>
      <c r="J80"/>
      <c r="K80"/>
      <c r="L80"/>
      <c r="M80"/>
      <c r="N80"/>
      <c r="O80"/>
      <c r="P80"/>
      <c r="Q80"/>
      <c r="R80"/>
      <c r="S80"/>
      <c r="T80"/>
      <c r="U80"/>
      <c r="V80"/>
      <c r="W80"/>
      <c r="X80"/>
      <c r="Y80"/>
      <c r="Z80"/>
      <c r="AA80"/>
      <c r="AB80"/>
      <c r="AC80"/>
      <c r="AD80"/>
      <c r="AE80"/>
      <c r="AF80"/>
      <c r="AG80"/>
      <c r="AH80"/>
      <c r="AI80"/>
      <c r="AJ80"/>
      <c r="AK80"/>
      <c r="AL80"/>
    </row>
    <row r="81" spans="2:38" ht="15.95" hidden="1" customHeight="1">
      <c r="B81" s="59"/>
      <c r="C81"/>
      <c r="D81"/>
      <c r="E81"/>
      <c r="F81"/>
      <c r="G81"/>
      <c r="H81"/>
      <c r="I81"/>
      <c r="J81"/>
      <c r="K81"/>
      <c r="L81"/>
      <c r="M81"/>
      <c r="N81"/>
      <c r="O81"/>
      <c r="P81"/>
      <c r="Q81"/>
      <c r="R81"/>
      <c r="S81"/>
      <c r="T81"/>
      <c r="U81"/>
      <c r="V81"/>
      <c r="W81"/>
      <c r="X81"/>
      <c r="Y81"/>
      <c r="Z81"/>
      <c r="AA81"/>
      <c r="AB81"/>
      <c r="AC81"/>
      <c r="AD81"/>
      <c r="AE81"/>
      <c r="AF81"/>
      <c r="AG81"/>
      <c r="AH81"/>
      <c r="AI81"/>
      <c r="AJ81"/>
      <c r="AK81"/>
      <c r="AL81"/>
    </row>
    <row r="82" spans="2:38" ht="15.95" hidden="1" customHeight="1">
      <c r="B82" s="59"/>
      <c r="C82"/>
      <c r="D82"/>
      <c r="E82"/>
      <c r="F82"/>
      <c r="G82"/>
      <c r="H82"/>
      <c r="I82"/>
      <c r="J82"/>
      <c r="K82"/>
      <c r="L82"/>
      <c r="M82"/>
      <c r="N82"/>
      <c r="O82"/>
      <c r="P82"/>
      <c r="Q82"/>
      <c r="R82"/>
      <c r="S82"/>
      <c r="T82"/>
      <c r="U82"/>
      <c r="V82"/>
      <c r="W82"/>
      <c r="X82"/>
      <c r="Y82"/>
      <c r="Z82"/>
      <c r="AA82"/>
      <c r="AB82"/>
      <c r="AC82"/>
      <c r="AD82"/>
      <c r="AE82"/>
      <c r="AF82"/>
      <c r="AG82"/>
      <c r="AH82"/>
      <c r="AI82"/>
      <c r="AJ82"/>
      <c r="AK82"/>
      <c r="AL82"/>
    </row>
    <row r="83" spans="2:38" ht="15.95" hidden="1" customHeight="1">
      <c r="B83" s="59"/>
      <c r="C83"/>
      <c r="D83"/>
      <c r="E83"/>
      <c r="F83"/>
      <c r="G83"/>
      <c r="H83"/>
      <c r="I83"/>
      <c r="J83"/>
      <c r="K83"/>
      <c r="L83"/>
      <c r="M83"/>
      <c r="N83"/>
      <c r="O83"/>
      <c r="P83"/>
      <c r="Q83"/>
      <c r="R83"/>
      <c r="S83"/>
      <c r="T83"/>
      <c r="U83"/>
      <c r="V83"/>
      <c r="W83"/>
      <c r="X83"/>
      <c r="Y83"/>
      <c r="Z83"/>
      <c r="AA83"/>
      <c r="AB83"/>
      <c r="AC83"/>
      <c r="AD83"/>
      <c r="AE83"/>
      <c r="AF83"/>
      <c r="AG83"/>
      <c r="AH83"/>
      <c r="AI83"/>
      <c r="AJ83"/>
      <c r="AK83"/>
      <c r="AL83"/>
    </row>
    <row r="84" spans="2:38" ht="15.95" hidden="1" customHeight="1">
      <c r="B84" s="59"/>
      <c r="C84"/>
      <c r="D84"/>
      <c r="E84"/>
      <c r="F84"/>
      <c r="G84"/>
      <c r="H84"/>
      <c r="I84"/>
      <c r="J84"/>
      <c r="K84"/>
      <c r="L84"/>
      <c r="M84"/>
      <c r="N84"/>
      <c r="O84"/>
      <c r="P84"/>
      <c r="Q84"/>
      <c r="R84"/>
      <c r="S84"/>
      <c r="T84"/>
      <c r="U84"/>
      <c r="V84"/>
      <c r="W84"/>
      <c r="X84"/>
      <c r="Y84"/>
      <c r="Z84"/>
      <c r="AA84"/>
      <c r="AB84"/>
      <c r="AC84"/>
      <c r="AD84"/>
      <c r="AE84"/>
      <c r="AF84"/>
      <c r="AG84"/>
      <c r="AH84"/>
      <c r="AI84"/>
      <c r="AJ84"/>
      <c r="AK84"/>
      <c r="AL84"/>
    </row>
    <row r="85" spans="2:38" ht="15.95" hidden="1" customHeight="1">
      <c r="B85" s="59"/>
      <c r="C85"/>
      <c r="D85"/>
      <c r="E85"/>
      <c r="F85"/>
      <c r="G85"/>
      <c r="H85"/>
      <c r="I85"/>
      <c r="J85"/>
      <c r="K85"/>
      <c r="L85"/>
      <c r="M85"/>
      <c r="N85"/>
      <c r="O85"/>
      <c r="P85"/>
      <c r="Q85"/>
      <c r="R85"/>
      <c r="S85"/>
      <c r="T85"/>
      <c r="U85"/>
      <c r="V85"/>
      <c r="W85"/>
      <c r="X85"/>
      <c r="Y85"/>
      <c r="Z85"/>
      <c r="AA85"/>
      <c r="AB85"/>
      <c r="AC85"/>
      <c r="AD85"/>
      <c r="AE85"/>
      <c r="AF85"/>
      <c r="AG85"/>
      <c r="AH85"/>
      <c r="AI85"/>
      <c r="AJ85"/>
      <c r="AK85"/>
      <c r="AL85"/>
    </row>
    <row r="86" spans="2:38" ht="15.95" hidden="1" customHeight="1">
      <c r="B86" s="59"/>
      <c r="C86"/>
      <c r="D86"/>
      <c r="E86"/>
      <c r="F86"/>
      <c r="G86"/>
      <c r="H86"/>
      <c r="I86"/>
      <c r="J86"/>
      <c r="K86"/>
      <c r="L86"/>
      <c r="M86"/>
      <c r="N86"/>
      <c r="O86"/>
      <c r="P86"/>
      <c r="Q86"/>
      <c r="R86"/>
      <c r="S86"/>
      <c r="T86"/>
      <c r="U86"/>
      <c r="V86"/>
      <c r="W86"/>
      <c r="X86"/>
      <c r="Y86"/>
      <c r="Z86"/>
      <c r="AA86"/>
      <c r="AB86"/>
      <c r="AC86"/>
      <c r="AD86"/>
      <c r="AE86"/>
      <c r="AF86"/>
      <c r="AG86"/>
      <c r="AH86"/>
      <c r="AI86"/>
      <c r="AJ86"/>
      <c r="AK86"/>
      <c r="AL86"/>
    </row>
    <row r="87" spans="2:38" ht="15.95" hidden="1" customHeight="1">
      <c r="B87" s="59"/>
      <c r="C87"/>
      <c r="D87"/>
      <c r="E87"/>
      <c r="F87"/>
      <c r="G87"/>
      <c r="H87"/>
      <c r="I87"/>
      <c r="J87"/>
      <c r="K87"/>
      <c r="L87"/>
      <c r="M87"/>
      <c r="N87"/>
      <c r="O87"/>
      <c r="P87"/>
      <c r="Q87"/>
      <c r="R87"/>
      <c r="S87"/>
      <c r="T87"/>
      <c r="U87"/>
      <c r="V87"/>
      <c r="W87"/>
      <c r="X87"/>
      <c r="Y87"/>
      <c r="Z87"/>
      <c r="AA87"/>
      <c r="AB87"/>
      <c r="AC87"/>
      <c r="AD87"/>
      <c r="AE87"/>
      <c r="AF87"/>
      <c r="AG87"/>
      <c r="AH87"/>
      <c r="AI87"/>
      <c r="AJ87"/>
      <c r="AK87"/>
      <c r="AL87"/>
    </row>
    <row r="88" spans="2:38" ht="15.95" hidden="1" customHeight="1">
      <c r="B88" s="59"/>
      <c r="C88"/>
      <c r="D88"/>
      <c r="E88"/>
      <c r="F88"/>
      <c r="G88"/>
      <c r="H88"/>
      <c r="I88"/>
      <c r="J88"/>
      <c r="K88"/>
      <c r="L88"/>
      <c r="M88"/>
      <c r="N88"/>
      <c r="O88"/>
      <c r="P88"/>
      <c r="Q88"/>
      <c r="R88"/>
      <c r="S88"/>
      <c r="T88"/>
      <c r="U88"/>
      <c r="V88"/>
      <c r="W88"/>
      <c r="X88"/>
      <c r="Y88"/>
      <c r="Z88"/>
      <c r="AA88"/>
      <c r="AB88"/>
      <c r="AC88"/>
      <c r="AD88"/>
      <c r="AE88"/>
      <c r="AF88"/>
      <c r="AG88"/>
      <c r="AH88"/>
      <c r="AI88"/>
      <c r="AJ88"/>
      <c r="AK88"/>
      <c r="AL88"/>
    </row>
    <row r="89" spans="2:38" ht="18.75" hidden="1" customHeight="1">
      <c r="B89" s="59"/>
      <c r="C89"/>
      <c r="D89"/>
      <c r="E89"/>
      <c r="F89"/>
      <c r="G89"/>
      <c r="H89"/>
      <c r="I89"/>
      <c r="J89"/>
      <c r="K89"/>
      <c r="L89"/>
      <c r="M89"/>
      <c r="N89"/>
      <c r="O89"/>
      <c r="P89"/>
      <c r="Q89"/>
      <c r="R89"/>
      <c r="S89"/>
      <c r="T89"/>
      <c r="U89"/>
      <c r="V89"/>
      <c r="W89"/>
      <c r="X89"/>
      <c r="Y89"/>
      <c r="Z89"/>
      <c r="AA89"/>
      <c r="AB89"/>
      <c r="AC89"/>
      <c r="AD89"/>
      <c r="AE89"/>
      <c r="AF89"/>
      <c r="AG89"/>
      <c r="AH89"/>
      <c r="AI89"/>
      <c r="AJ89"/>
      <c r="AK89"/>
      <c r="AL89"/>
    </row>
    <row r="90" spans="2:38" ht="15.95" hidden="1" customHeight="1">
      <c r="B90" s="59"/>
      <c r="C90"/>
      <c r="D90"/>
      <c r="E90"/>
      <c r="F90"/>
      <c r="G90"/>
      <c r="H90"/>
      <c r="I90"/>
      <c r="J90"/>
      <c r="K90"/>
      <c r="L90"/>
      <c r="M90"/>
      <c r="N90"/>
      <c r="O90"/>
      <c r="P90"/>
      <c r="Q90"/>
      <c r="R90"/>
      <c r="S90"/>
      <c r="T90"/>
      <c r="U90"/>
      <c r="V90"/>
      <c r="W90"/>
      <c r="X90"/>
      <c r="Y90"/>
      <c r="Z90"/>
      <c r="AA90"/>
      <c r="AB90"/>
      <c r="AC90"/>
      <c r="AD90"/>
      <c r="AE90"/>
      <c r="AF90"/>
      <c r="AG90"/>
      <c r="AH90"/>
      <c r="AI90"/>
      <c r="AJ90"/>
      <c r="AK90"/>
      <c r="AL90"/>
    </row>
    <row r="91" spans="2:38" ht="15.95" hidden="1" customHeight="1">
      <c r="B91" s="59"/>
      <c r="C91"/>
      <c r="D91"/>
      <c r="E91"/>
      <c r="F91"/>
      <c r="G91"/>
      <c r="H91"/>
      <c r="I91"/>
      <c r="J91"/>
      <c r="K91"/>
      <c r="L91"/>
      <c r="M91"/>
      <c r="N91"/>
      <c r="O91"/>
      <c r="P91"/>
      <c r="Q91"/>
      <c r="R91"/>
      <c r="S91"/>
      <c r="T91"/>
      <c r="U91"/>
      <c r="V91"/>
      <c r="W91"/>
      <c r="X91"/>
      <c r="Y91"/>
      <c r="Z91"/>
      <c r="AA91"/>
      <c r="AB91"/>
      <c r="AC91"/>
      <c r="AD91"/>
      <c r="AE91"/>
      <c r="AF91"/>
      <c r="AG91"/>
      <c r="AH91"/>
      <c r="AI91"/>
      <c r="AJ91"/>
      <c r="AK91"/>
      <c r="AL91"/>
    </row>
    <row r="92" spans="2:38" ht="15.95" hidden="1" customHeight="1">
      <c r="B92" s="59"/>
      <c r="C92"/>
      <c r="D92"/>
      <c r="E92"/>
      <c r="F92"/>
      <c r="G92"/>
      <c r="H92"/>
      <c r="I92"/>
      <c r="J92"/>
      <c r="K92"/>
      <c r="L92"/>
      <c r="M92"/>
      <c r="N92"/>
      <c r="O92"/>
      <c r="P92"/>
      <c r="Q92"/>
      <c r="R92"/>
      <c r="S92"/>
      <c r="T92"/>
      <c r="U92"/>
      <c r="V92"/>
      <c r="W92"/>
      <c r="X92"/>
      <c r="Y92"/>
      <c r="Z92"/>
      <c r="AA92"/>
      <c r="AB92"/>
      <c r="AC92"/>
      <c r="AD92"/>
      <c r="AE92"/>
      <c r="AF92"/>
      <c r="AG92"/>
      <c r="AH92"/>
      <c r="AI92"/>
      <c r="AJ92"/>
      <c r="AK92"/>
      <c r="AL92"/>
    </row>
    <row r="93" spans="2:38" ht="15.95" hidden="1" customHeight="1">
      <c r="B93" s="59"/>
      <c r="C93"/>
      <c r="D93"/>
      <c r="E93"/>
      <c r="F93"/>
      <c r="G93"/>
      <c r="H93"/>
      <c r="I93"/>
      <c r="J93"/>
      <c r="K93"/>
      <c r="L93"/>
      <c r="M93"/>
      <c r="N93"/>
      <c r="O93"/>
      <c r="P93"/>
      <c r="Q93"/>
      <c r="R93"/>
      <c r="S93"/>
      <c r="T93"/>
      <c r="U93"/>
      <c r="V93"/>
      <c r="W93"/>
      <c r="X93"/>
      <c r="Y93"/>
      <c r="Z93"/>
      <c r="AA93"/>
      <c r="AB93"/>
      <c r="AC93"/>
      <c r="AD93"/>
      <c r="AE93"/>
      <c r="AF93"/>
      <c r="AG93"/>
      <c r="AH93"/>
      <c r="AI93"/>
      <c r="AJ93"/>
      <c r="AK93"/>
      <c r="AL93"/>
    </row>
    <row r="94" spans="2:38" ht="15.95" hidden="1" customHeight="1">
      <c r="B94" s="59"/>
      <c r="C94"/>
      <c r="D94"/>
      <c r="E94"/>
      <c r="F94"/>
      <c r="G94"/>
      <c r="H94"/>
      <c r="I94"/>
      <c r="J94"/>
      <c r="K94"/>
      <c r="L94"/>
      <c r="M94"/>
      <c r="N94"/>
      <c r="O94"/>
      <c r="P94"/>
      <c r="Q94"/>
      <c r="R94"/>
      <c r="S94"/>
      <c r="T94"/>
      <c r="U94"/>
      <c r="V94"/>
      <c r="W94"/>
      <c r="X94"/>
      <c r="Y94"/>
      <c r="Z94"/>
      <c r="AA94"/>
      <c r="AB94"/>
      <c r="AC94"/>
      <c r="AD94"/>
      <c r="AE94"/>
      <c r="AF94"/>
      <c r="AG94"/>
      <c r="AH94"/>
      <c r="AI94"/>
      <c r="AJ94"/>
      <c r="AK94"/>
      <c r="AL94"/>
    </row>
    <row r="95" spans="2:38" ht="15.95" hidden="1" customHeight="1">
      <c r="B95" s="59"/>
      <c r="C95"/>
      <c r="D95"/>
      <c r="E95"/>
      <c r="F95"/>
      <c r="G95"/>
      <c r="H95"/>
      <c r="I95"/>
      <c r="J95"/>
      <c r="K95"/>
      <c r="L95"/>
      <c r="M95"/>
      <c r="N95"/>
      <c r="O95"/>
      <c r="P95"/>
      <c r="Q95"/>
      <c r="R95"/>
      <c r="S95"/>
      <c r="T95"/>
      <c r="U95"/>
      <c r="V95"/>
      <c r="W95"/>
      <c r="X95"/>
      <c r="Y95"/>
      <c r="Z95"/>
      <c r="AA95"/>
      <c r="AB95"/>
      <c r="AC95"/>
      <c r="AD95"/>
      <c r="AE95"/>
      <c r="AF95"/>
      <c r="AG95"/>
      <c r="AH95"/>
      <c r="AI95"/>
      <c r="AJ95"/>
      <c r="AK95"/>
      <c r="AL95"/>
    </row>
    <row r="96" spans="2:38" ht="15.95" hidden="1" customHeight="1">
      <c r="B96" s="59"/>
      <c r="C96"/>
      <c r="D96"/>
      <c r="E96"/>
      <c r="F96"/>
      <c r="G96"/>
      <c r="H96"/>
      <c r="I96"/>
      <c r="J96"/>
      <c r="K96"/>
      <c r="L96"/>
      <c r="M96"/>
      <c r="N96"/>
      <c r="O96"/>
      <c r="P96"/>
      <c r="Q96"/>
      <c r="R96"/>
      <c r="S96"/>
      <c r="T96"/>
      <c r="U96"/>
      <c r="V96"/>
      <c r="W96"/>
      <c r="X96"/>
      <c r="Y96"/>
      <c r="Z96"/>
      <c r="AA96"/>
      <c r="AB96"/>
      <c r="AC96"/>
      <c r="AD96"/>
      <c r="AE96"/>
      <c r="AF96"/>
      <c r="AG96"/>
      <c r="AH96"/>
      <c r="AI96"/>
      <c r="AJ96"/>
      <c r="AK96"/>
      <c r="AL96"/>
    </row>
    <row r="97" spans="2:38" ht="15.95" hidden="1" customHeight="1">
      <c r="B97" s="59"/>
      <c r="C97"/>
      <c r="D97"/>
      <c r="E97"/>
      <c r="F97"/>
      <c r="G97"/>
      <c r="H97"/>
      <c r="I97"/>
      <c r="J97"/>
      <c r="K97"/>
      <c r="L97"/>
      <c r="M97"/>
      <c r="N97"/>
      <c r="O97"/>
      <c r="P97"/>
      <c r="Q97"/>
      <c r="R97"/>
      <c r="S97"/>
      <c r="T97"/>
      <c r="U97"/>
      <c r="V97"/>
      <c r="W97"/>
      <c r="X97"/>
      <c r="Y97"/>
      <c r="Z97"/>
      <c r="AA97"/>
      <c r="AB97"/>
      <c r="AC97"/>
      <c r="AD97"/>
      <c r="AE97"/>
      <c r="AF97"/>
      <c r="AG97"/>
      <c r="AH97"/>
      <c r="AI97"/>
      <c r="AJ97"/>
      <c r="AK97"/>
      <c r="AL97"/>
    </row>
    <row r="98" spans="2:38" ht="15.95" hidden="1" customHeight="1">
      <c r="B98" s="59"/>
      <c r="C98"/>
      <c r="D98"/>
      <c r="E98"/>
      <c r="F98"/>
      <c r="G98"/>
      <c r="H98"/>
      <c r="I98"/>
      <c r="J98"/>
      <c r="K98"/>
      <c r="L98"/>
      <c r="M98"/>
      <c r="N98"/>
      <c r="O98"/>
      <c r="P98"/>
      <c r="Q98"/>
      <c r="R98"/>
      <c r="S98"/>
      <c r="T98"/>
      <c r="U98"/>
      <c r="V98"/>
      <c r="W98"/>
      <c r="X98"/>
      <c r="Y98"/>
      <c r="Z98"/>
      <c r="AA98"/>
      <c r="AB98"/>
      <c r="AC98"/>
      <c r="AD98"/>
      <c r="AE98"/>
      <c r="AF98"/>
      <c r="AG98"/>
      <c r="AH98"/>
      <c r="AI98"/>
      <c r="AJ98"/>
      <c r="AK98"/>
      <c r="AL98"/>
    </row>
    <row r="99" spans="2:38" ht="15.95" hidden="1" customHeight="1">
      <c r="B99" s="59"/>
      <c r="C99"/>
      <c r="D99"/>
      <c r="E99"/>
      <c r="F99"/>
      <c r="G99"/>
      <c r="H99"/>
      <c r="I99"/>
      <c r="J99"/>
      <c r="K99"/>
      <c r="L99"/>
      <c r="M99"/>
      <c r="N99"/>
      <c r="O99"/>
      <c r="P99"/>
      <c r="Q99"/>
      <c r="R99"/>
      <c r="S99"/>
      <c r="T99"/>
      <c r="U99"/>
      <c r="V99"/>
      <c r="W99"/>
      <c r="X99"/>
      <c r="Y99"/>
      <c r="Z99"/>
      <c r="AA99"/>
      <c r="AB99"/>
      <c r="AC99"/>
      <c r="AD99"/>
      <c r="AE99"/>
      <c r="AF99"/>
      <c r="AG99"/>
      <c r="AH99"/>
      <c r="AI99"/>
      <c r="AJ99"/>
      <c r="AK99"/>
      <c r="AL99"/>
    </row>
    <row r="100" spans="2:38" ht="15.95" hidden="1" customHeight="1">
      <c r="B100" s="59"/>
      <c r="C100"/>
      <c r="D100"/>
      <c r="E100"/>
      <c r="F100"/>
      <c r="G100"/>
      <c r="H100"/>
      <c r="I100"/>
      <c r="J100"/>
      <c r="K100"/>
      <c r="L100"/>
      <c r="M100"/>
      <c r="N100"/>
      <c r="O100"/>
      <c r="P100"/>
      <c r="Q100"/>
      <c r="R100"/>
      <c r="S100"/>
      <c r="T100"/>
      <c r="U100"/>
      <c r="V100"/>
      <c r="W100"/>
      <c r="X100"/>
      <c r="Y100"/>
      <c r="Z100"/>
      <c r="AA100"/>
      <c r="AB100"/>
      <c r="AC100"/>
      <c r="AD100"/>
      <c r="AE100"/>
      <c r="AF100"/>
      <c r="AG100"/>
      <c r="AH100"/>
      <c r="AI100"/>
      <c r="AJ100"/>
      <c r="AK100"/>
      <c r="AL100"/>
    </row>
    <row r="101" spans="2:38" ht="15.95" hidden="1" customHeight="1">
      <c r="B101" s="59"/>
      <c r="C101"/>
      <c r="D101"/>
      <c r="E101"/>
      <c r="F101"/>
      <c r="G101"/>
      <c r="H101"/>
      <c r="I101"/>
      <c r="J101"/>
      <c r="K101"/>
      <c r="L101"/>
      <c r="M101"/>
      <c r="N101"/>
      <c r="O101"/>
      <c r="P101"/>
      <c r="Q101"/>
      <c r="R101"/>
      <c r="S101"/>
      <c r="T101"/>
      <c r="U101"/>
      <c r="V101"/>
      <c r="W101"/>
      <c r="X101"/>
      <c r="Y101"/>
      <c r="Z101"/>
      <c r="AA101"/>
      <c r="AB101"/>
      <c r="AC101"/>
      <c r="AD101"/>
      <c r="AE101"/>
      <c r="AF101"/>
      <c r="AG101"/>
      <c r="AH101"/>
      <c r="AI101"/>
      <c r="AJ101"/>
      <c r="AK101"/>
      <c r="AL101"/>
    </row>
    <row r="102" spans="2:38" ht="15.95" hidden="1" customHeight="1">
      <c r="B102" s="59"/>
      <c r="C102"/>
      <c r="D102"/>
      <c r="E102"/>
      <c r="F102"/>
      <c r="G102"/>
      <c r="H102"/>
      <c r="I102"/>
      <c r="J102"/>
      <c r="K102"/>
      <c r="L102"/>
      <c r="M102"/>
      <c r="N102"/>
      <c r="O102"/>
      <c r="P102"/>
      <c r="Q102"/>
      <c r="R102"/>
      <c r="S102"/>
      <c r="T102"/>
      <c r="U102"/>
      <c r="V102"/>
      <c r="W102"/>
      <c r="X102"/>
      <c r="Y102"/>
      <c r="Z102"/>
      <c r="AA102"/>
      <c r="AB102"/>
      <c r="AC102"/>
      <c r="AD102"/>
      <c r="AE102"/>
      <c r="AF102"/>
      <c r="AG102"/>
      <c r="AH102"/>
      <c r="AI102"/>
      <c r="AJ102"/>
      <c r="AK102"/>
      <c r="AL102"/>
    </row>
    <row r="103" spans="2:38" ht="15.95" hidden="1" customHeight="1">
      <c r="B103" s="59"/>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c r="AK103"/>
      <c r="AL103"/>
    </row>
    <row r="104" spans="2:38" ht="15.95" hidden="1" customHeight="1">
      <c r="B104" s="59"/>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c r="AK104"/>
      <c r="AL104"/>
    </row>
    <row r="105" spans="2:38" ht="15.95" hidden="1" customHeight="1">
      <c r="B105" s="59"/>
      <c r="C105"/>
      <c r="D105"/>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L105"/>
    </row>
    <row r="106" spans="2:38" ht="27.75" hidden="1" customHeight="1">
      <c r="B106" s="59"/>
      <c r="C106"/>
      <c r="D106"/>
      <c r="E106"/>
      <c r="F106"/>
      <c r="G106"/>
      <c r="H106"/>
      <c r="I106"/>
      <c r="J106"/>
      <c r="K106"/>
      <c r="L106"/>
      <c r="M106"/>
      <c r="N106"/>
      <c r="O106"/>
      <c r="P106"/>
      <c r="Q106"/>
      <c r="R106"/>
      <c r="S106"/>
      <c r="T106"/>
      <c r="U106"/>
      <c r="V106"/>
      <c r="W106"/>
      <c r="X106"/>
      <c r="Y106"/>
      <c r="Z106"/>
      <c r="AA106"/>
      <c r="AB106"/>
      <c r="AC106"/>
      <c r="AD106"/>
      <c r="AE106"/>
      <c r="AF106"/>
      <c r="AG106"/>
      <c r="AH106"/>
      <c r="AI106"/>
      <c r="AJ106"/>
      <c r="AK106"/>
      <c r="AL106"/>
    </row>
    <row r="107" spans="2:38" ht="15.95" hidden="1" customHeight="1">
      <c r="B107" s="59"/>
      <c r="C107"/>
      <c r="D107"/>
      <c r="E107"/>
      <c r="F107"/>
      <c r="G107"/>
      <c r="H107"/>
      <c r="I107"/>
      <c r="J107"/>
      <c r="K107"/>
      <c r="L107"/>
      <c r="M107"/>
      <c r="N107"/>
      <c r="O107"/>
      <c r="P107"/>
      <c r="Q107"/>
      <c r="R107"/>
      <c r="S107"/>
      <c r="T107"/>
      <c r="U107"/>
      <c r="V107"/>
      <c r="W107"/>
      <c r="X107"/>
      <c r="Y107"/>
      <c r="Z107"/>
      <c r="AA107"/>
      <c r="AB107"/>
      <c r="AC107"/>
      <c r="AD107"/>
      <c r="AE107"/>
      <c r="AF107"/>
      <c r="AG107"/>
      <c r="AH107"/>
      <c r="AI107"/>
      <c r="AJ107"/>
      <c r="AK107"/>
      <c r="AL107"/>
    </row>
    <row r="108" spans="2:38" ht="15.95" hidden="1" customHeight="1">
      <c r="B108" s="59"/>
      <c r="C108"/>
      <c r="D108"/>
      <c r="E108"/>
      <c r="F108"/>
      <c r="G108"/>
      <c r="H108"/>
      <c r="I108"/>
      <c r="J108"/>
      <c r="K108"/>
      <c r="L108"/>
      <c r="M108"/>
      <c r="N108"/>
      <c r="O108"/>
      <c r="P108"/>
      <c r="Q108"/>
      <c r="R108"/>
      <c r="S108"/>
      <c r="T108"/>
      <c r="U108"/>
      <c r="V108"/>
      <c r="W108"/>
      <c r="X108"/>
      <c r="Y108"/>
      <c r="Z108"/>
      <c r="AA108"/>
      <c r="AB108"/>
      <c r="AC108"/>
      <c r="AD108"/>
      <c r="AE108"/>
      <c r="AF108"/>
      <c r="AG108"/>
      <c r="AH108"/>
      <c r="AI108"/>
      <c r="AJ108"/>
      <c r="AK108"/>
      <c r="AL108"/>
    </row>
    <row r="109" spans="2:38" ht="15.95" hidden="1" customHeight="1">
      <c r="B109" s="59"/>
      <c r="C109"/>
      <c r="D109"/>
      <c r="E109"/>
      <c r="F109"/>
      <c r="G109"/>
      <c r="H109"/>
      <c r="I109"/>
      <c r="J109"/>
      <c r="K109"/>
      <c r="L109"/>
      <c r="M109"/>
      <c r="N109"/>
      <c r="O109"/>
      <c r="P109"/>
      <c r="Q109"/>
      <c r="R109"/>
      <c r="S109"/>
      <c r="T109"/>
      <c r="U109"/>
      <c r="V109"/>
      <c r="W109"/>
      <c r="X109"/>
      <c r="Y109"/>
      <c r="Z109"/>
      <c r="AA109"/>
      <c r="AB109"/>
      <c r="AC109"/>
      <c r="AD109"/>
      <c r="AE109"/>
      <c r="AF109"/>
      <c r="AG109"/>
      <c r="AH109"/>
      <c r="AI109"/>
      <c r="AJ109"/>
      <c r="AK109"/>
      <c r="AL109"/>
    </row>
    <row r="110" spans="2:38" ht="15.95" hidden="1" customHeight="1">
      <c r="B110" s="59"/>
      <c r="C110"/>
      <c r="D110"/>
      <c r="E110"/>
      <c r="F110"/>
      <c r="G110"/>
      <c r="H110"/>
      <c r="I110"/>
      <c r="J110"/>
      <c r="K110"/>
      <c r="L110"/>
      <c r="M110"/>
      <c r="N110"/>
      <c r="O110"/>
      <c r="P110"/>
      <c r="Q110"/>
      <c r="R110"/>
      <c r="S110"/>
      <c r="T110"/>
      <c r="U110"/>
      <c r="V110"/>
      <c r="W110"/>
      <c r="X110"/>
      <c r="Y110"/>
      <c r="Z110"/>
      <c r="AA110"/>
      <c r="AB110"/>
      <c r="AC110"/>
      <c r="AD110"/>
      <c r="AE110"/>
      <c r="AF110"/>
      <c r="AG110"/>
      <c r="AH110"/>
      <c r="AI110"/>
      <c r="AJ110"/>
      <c r="AK110"/>
      <c r="AL110"/>
    </row>
    <row r="111" spans="2:38" ht="15.95" hidden="1" customHeight="1">
      <c r="B111" s="59"/>
      <c r="C111"/>
      <c r="D111"/>
      <c r="E111"/>
      <c r="F111"/>
      <c r="G111"/>
      <c r="H111"/>
      <c r="I111"/>
      <c r="J111"/>
      <c r="K111"/>
      <c r="L111"/>
      <c r="M111"/>
      <c r="N111"/>
      <c r="O111"/>
      <c r="P111"/>
      <c r="Q111"/>
      <c r="R111"/>
      <c r="S111"/>
      <c r="T111"/>
      <c r="U111"/>
      <c r="V111"/>
      <c r="W111"/>
      <c r="X111"/>
      <c r="Y111"/>
      <c r="Z111"/>
      <c r="AA111"/>
      <c r="AB111"/>
      <c r="AC111"/>
      <c r="AD111"/>
      <c r="AE111"/>
      <c r="AF111"/>
      <c r="AG111"/>
      <c r="AH111"/>
      <c r="AI111"/>
      <c r="AJ111"/>
      <c r="AK111"/>
      <c r="AL111"/>
    </row>
    <row r="112" spans="2:38" ht="15.95" hidden="1" customHeight="1">
      <c r="B112" s="59"/>
      <c r="C112"/>
      <c r="D112"/>
      <c r="E112"/>
      <c r="F112"/>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2:38" ht="15.95" hidden="1" customHeight="1">
      <c r="B113" s="59"/>
      <c r="C113"/>
      <c r="D113"/>
      <c r="E113"/>
      <c r="F113"/>
      <c r="G113"/>
      <c r="H113"/>
      <c r="I113"/>
      <c r="J113"/>
      <c r="K113"/>
      <c r="L113"/>
      <c r="M113"/>
      <c r="N113"/>
      <c r="O113"/>
      <c r="P113"/>
      <c r="Q113"/>
      <c r="R113"/>
      <c r="S113"/>
      <c r="T113"/>
      <c r="U113"/>
      <c r="V113"/>
      <c r="W113"/>
      <c r="X113"/>
      <c r="Y113"/>
      <c r="Z113"/>
      <c r="AA113"/>
      <c r="AB113"/>
      <c r="AC113"/>
      <c r="AD113"/>
      <c r="AE113"/>
      <c r="AF113"/>
      <c r="AG113"/>
      <c r="AH113"/>
      <c r="AI113"/>
      <c r="AJ113"/>
      <c r="AK113"/>
      <c r="AL113"/>
    </row>
    <row r="114" spans="2:38" ht="15.95" hidden="1" customHeight="1">
      <c r="B114" s="59"/>
      <c r="C114"/>
      <c r="D114"/>
      <c r="E114"/>
      <c r="F114"/>
      <c r="G114"/>
      <c r="H114"/>
      <c r="I114"/>
      <c r="J114"/>
      <c r="K114"/>
      <c r="L114"/>
      <c r="M114"/>
      <c r="N114"/>
      <c r="O114"/>
      <c r="P114"/>
      <c r="Q114"/>
      <c r="R114"/>
      <c r="S114"/>
      <c r="T114"/>
      <c r="U114"/>
      <c r="V114"/>
      <c r="W114"/>
      <c r="X114"/>
      <c r="Y114"/>
      <c r="Z114"/>
      <c r="AA114"/>
      <c r="AB114"/>
      <c r="AC114"/>
      <c r="AD114"/>
      <c r="AE114"/>
      <c r="AF114"/>
      <c r="AG114"/>
      <c r="AH114"/>
      <c r="AI114"/>
      <c r="AJ114"/>
      <c r="AK114"/>
      <c r="AL114"/>
    </row>
    <row r="115" spans="2:38" ht="15.95" hidden="1" customHeight="1">
      <c r="B115" s="59"/>
      <c r="C115"/>
      <c r="D115"/>
      <c r="E115"/>
      <c r="F115"/>
      <c r="G115"/>
      <c r="H115"/>
      <c r="I115"/>
      <c r="J115"/>
      <c r="K115"/>
      <c r="L115"/>
      <c r="M115"/>
      <c r="N115"/>
      <c r="O115"/>
      <c r="P115"/>
      <c r="Q115"/>
      <c r="R115"/>
      <c r="S115"/>
      <c r="T115"/>
      <c r="U115"/>
      <c r="V115"/>
      <c r="W115"/>
      <c r="X115"/>
      <c r="Y115"/>
      <c r="Z115"/>
      <c r="AA115"/>
      <c r="AB115"/>
      <c r="AC115"/>
      <c r="AD115"/>
      <c r="AE115"/>
      <c r="AF115"/>
      <c r="AG115"/>
      <c r="AH115"/>
      <c r="AI115"/>
      <c r="AJ115"/>
      <c r="AK115"/>
      <c r="AL115"/>
    </row>
    <row r="116" spans="2:38" ht="15.95" hidden="1" customHeight="1">
      <c r="B116" s="59"/>
      <c r="C116"/>
      <c r="D116"/>
      <c r="E116"/>
      <c r="F116"/>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2:38" ht="15.95" hidden="1" customHeight="1">
      <c r="B117" s="59"/>
      <c r="C117"/>
      <c r="D117"/>
      <c r="E117"/>
      <c r="F117"/>
      <c r="G117"/>
      <c r="H117"/>
      <c r="I117"/>
      <c r="J117"/>
      <c r="K117"/>
      <c r="L117"/>
      <c r="M117"/>
      <c r="N117"/>
      <c r="O117"/>
      <c r="P117"/>
      <c r="Q117"/>
      <c r="R117"/>
      <c r="S117"/>
      <c r="T117"/>
      <c r="U117"/>
      <c r="V117"/>
      <c r="W117"/>
      <c r="X117"/>
      <c r="Y117"/>
      <c r="Z117"/>
      <c r="AA117"/>
      <c r="AB117"/>
      <c r="AC117"/>
      <c r="AD117"/>
      <c r="AE117"/>
      <c r="AF117"/>
      <c r="AG117"/>
      <c r="AH117"/>
      <c r="AI117"/>
      <c r="AJ117"/>
      <c r="AK117"/>
      <c r="AL117"/>
    </row>
    <row r="118" spans="2:38" ht="15.95" hidden="1" customHeight="1">
      <c r="B118" s="59"/>
      <c r="C118"/>
      <c r="D118"/>
      <c r="E118"/>
      <c r="F118"/>
      <c r="G118"/>
      <c r="H118"/>
      <c r="I118"/>
      <c r="J118"/>
      <c r="K118"/>
      <c r="L118"/>
      <c r="M118"/>
      <c r="N118"/>
      <c r="O118"/>
      <c r="P118"/>
      <c r="Q118"/>
      <c r="R118"/>
      <c r="S118"/>
      <c r="T118"/>
      <c r="U118"/>
      <c r="V118"/>
      <c r="W118"/>
      <c r="X118"/>
      <c r="Y118"/>
      <c r="Z118"/>
      <c r="AA118"/>
      <c r="AB118"/>
      <c r="AC118"/>
      <c r="AD118"/>
      <c r="AE118"/>
      <c r="AF118"/>
      <c r="AG118"/>
      <c r="AH118"/>
      <c r="AI118"/>
      <c r="AJ118"/>
      <c r="AK118"/>
      <c r="AL118"/>
    </row>
    <row r="119" spans="2:38" ht="15.95" hidden="1" customHeight="1">
      <c r="B119" s="59"/>
      <c r="C119"/>
      <c r="D119"/>
      <c r="E119"/>
      <c r="F119"/>
      <c r="G119"/>
      <c r="H119"/>
      <c r="I119"/>
      <c r="J119"/>
      <c r="K119"/>
      <c r="L119"/>
      <c r="M119"/>
      <c r="N119"/>
      <c r="O119"/>
      <c r="P119"/>
      <c r="Q119"/>
      <c r="R119"/>
      <c r="S119"/>
      <c r="T119"/>
      <c r="U119"/>
      <c r="V119"/>
      <c r="W119"/>
      <c r="X119"/>
      <c r="Y119"/>
      <c r="Z119"/>
      <c r="AA119"/>
      <c r="AB119"/>
      <c r="AC119"/>
      <c r="AD119"/>
      <c r="AE119"/>
      <c r="AF119"/>
      <c r="AG119"/>
      <c r="AH119"/>
      <c r="AI119"/>
      <c r="AJ119"/>
      <c r="AK119"/>
      <c r="AL119"/>
    </row>
    <row r="120" spans="2:38" ht="15.95" hidden="1" customHeight="1">
      <c r="C120"/>
      <c r="D120"/>
      <c r="E120"/>
      <c r="F120"/>
      <c r="G120"/>
      <c r="H120"/>
      <c r="I120"/>
      <c r="J120"/>
      <c r="K120"/>
      <c r="L120"/>
      <c r="M120"/>
      <c r="N120"/>
      <c r="O120"/>
      <c r="P120"/>
      <c r="Q120"/>
      <c r="R120"/>
      <c r="S120"/>
      <c r="T120"/>
      <c r="U120"/>
      <c r="V120"/>
      <c r="W120"/>
      <c r="X120"/>
      <c r="Y120"/>
      <c r="Z120"/>
      <c r="AA120"/>
      <c r="AB120"/>
      <c r="AC120"/>
      <c r="AD120"/>
      <c r="AE120"/>
      <c r="AF120"/>
      <c r="AG120"/>
      <c r="AH120"/>
      <c r="AI120"/>
      <c r="AJ120"/>
      <c r="AK120"/>
      <c r="AL120"/>
    </row>
    <row r="121" spans="2:38" ht="15.95" hidden="1" customHeight="1">
      <c r="B121" s="59"/>
      <c r="C121"/>
      <c r="D121"/>
      <c r="E121"/>
      <c r="F121"/>
      <c r="G121"/>
      <c r="H121"/>
      <c r="I121"/>
      <c r="J121"/>
      <c r="K121"/>
      <c r="L121"/>
      <c r="M121"/>
      <c r="N121"/>
      <c r="O121"/>
      <c r="P121"/>
      <c r="Q121"/>
      <c r="R121"/>
      <c r="S121"/>
      <c r="T121"/>
      <c r="U121"/>
      <c r="V121"/>
      <c r="W121"/>
      <c r="X121"/>
      <c r="Y121"/>
      <c r="Z121"/>
      <c r="AA121"/>
      <c r="AB121"/>
      <c r="AC121"/>
      <c r="AD121"/>
      <c r="AE121"/>
      <c r="AF121"/>
      <c r="AG121"/>
      <c r="AH121"/>
      <c r="AI121"/>
      <c r="AJ121"/>
      <c r="AK121"/>
      <c r="AL121"/>
    </row>
    <row r="122" spans="2:38" ht="15.95" hidden="1" customHeight="1">
      <c r="B122" s="59"/>
      <c r="C122"/>
      <c r="D122"/>
      <c r="E122"/>
      <c r="F122"/>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2:38" ht="15.95" hidden="1" customHeight="1">
      <c r="B123" s="59"/>
      <c r="C123"/>
      <c r="D123"/>
      <c r="E123"/>
      <c r="F123"/>
      <c r="G123"/>
      <c r="H123"/>
      <c r="I123"/>
      <c r="J123"/>
      <c r="K123"/>
      <c r="L123"/>
      <c r="M123"/>
      <c r="N123"/>
      <c r="O123"/>
      <c r="P123"/>
      <c r="Q123"/>
      <c r="R123"/>
      <c r="S123"/>
      <c r="T123"/>
      <c r="U123"/>
      <c r="V123"/>
      <c r="W123"/>
      <c r="X123"/>
      <c r="Y123"/>
      <c r="Z123"/>
      <c r="AA123"/>
      <c r="AB123"/>
      <c r="AC123"/>
      <c r="AD123"/>
      <c r="AE123"/>
      <c r="AF123"/>
      <c r="AG123"/>
      <c r="AH123"/>
      <c r="AI123"/>
      <c r="AJ123"/>
      <c r="AK123"/>
      <c r="AL123"/>
    </row>
    <row r="124" spans="2:38" ht="15.95" hidden="1" customHeight="1">
      <c r="B124" s="59"/>
      <c r="C124"/>
      <c r="D124"/>
      <c r="E124"/>
      <c r="F124"/>
      <c r="G124"/>
      <c r="H124"/>
      <c r="I124"/>
      <c r="J124"/>
      <c r="K124"/>
      <c r="L124"/>
      <c r="M124"/>
      <c r="N124"/>
      <c r="O124"/>
      <c r="P124"/>
      <c r="Q124"/>
      <c r="R124"/>
      <c r="S124"/>
      <c r="T124"/>
      <c r="U124"/>
      <c r="V124"/>
      <c r="W124"/>
      <c r="X124"/>
      <c r="Y124"/>
      <c r="Z124"/>
      <c r="AA124"/>
      <c r="AB124"/>
      <c r="AC124"/>
      <c r="AD124"/>
      <c r="AE124"/>
      <c r="AF124"/>
      <c r="AG124"/>
      <c r="AH124"/>
      <c r="AI124"/>
      <c r="AJ124"/>
      <c r="AK124"/>
      <c r="AL124"/>
    </row>
    <row r="125" spans="2:38" ht="15.95" hidden="1" customHeight="1">
      <c r="B125" s="59"/>
      <c r="C125"/>
      <c r="D125"/>
      <c r="E125"/>
      <c r="F125"/>
      <c r="G125"/>
      <c r="H125"/>
      <c r="I125"/>
      <c r="J125"/>
      <c r="K125"/>
      <c r="L125"/>
      <c r="M125"/>
      <c r="N125"/>
      <c r="O125"/>
      <c r="P125"/>
      <c r="Q125"/>
      <c r="R125"/>
      <c r="S125"/>
      <c r="T125"/>
      <c r="U125"/>
      <c r="V125"/>
      <c r="W125"/>
      <c r="X125"/>
      <c r="Y125"/>
      <c r="Z125"/>
      <c r="AA125"/>
      <c r="AB125"/>
      <c r="AC125"/>
      <c r="AD125"/>
      <c r="AE125"/>
      <c r="AF125"/>
      <c r="AG125"/>
      <c r="AH125"/>
      <c r="AI125"/>
      <c r="AJ125"/>
      <c r="AK125"/>
      <c r="AL125"/>
    </row>
    <row r="126" spans="2:38" ht="15.95" hidden="1" customHeight="1">
      <c r="B126" s="59"/>
      <c r="C126"/>
      <c r="D126"/>
      <c r="E126"/>
      <c r="F126"/>
      <c r="G126"/>
      <c r="H126"/>
      <c r="I126"/>
      <c r="J126"/>
      <c r="K126"/>
      <c r="L126"/>
      <c r="M126"/>
      <c r="N126"/>
      <c r="O126"/>
      <c r="P126"/>
      <c r="Q126"/>
      <c r="R126"/>
      <c r="S126"/>
      <c r="T126"/>
      <c r="U126"/>
      <c r="V126"/>
      <c r="W126"/>
      <c r="X126"/>
      <c r="Y126"/>
      <c r="Z126"/>
      <c r="AA126"/>
      <c r="AB126"/>
      <c r="AC126"/>
      <c r="AD126"/>
      <c r="AE126"/>
      <c r="AF126"/>
      <c r="AG126"/>
      <c r="AH126"/>
      <c r="AI126"/>
      <c r="AJ126"/>
      <c r="AK126"/>
      <c r="AL126"/>
    </row>
    <row r="127" spans="2:38" ht="15.95" hidden="1" customHeight="1">
      <c r="B127" s="59"/>
      <c r="C127"/>
      <c r="D127"/>
      <c r="E127"/>
      <c r="F127"/>
      <c r="G127"/>
      <c r="H127"/>
      <c r="I127"/>
      <c r="J127"/>
      <c r="K127"/>
      <c r="L127"/>
      <c r="M127"/>
      <c r="N127"/>
      <c r="O127"/>
      <c r="P127"/>
      <c r="Q127"/>
      <c r="R127"/>
      <c r="S127"/>
      <c r="T127"/>
      <c r="U127"/>
      <c r="V127"/>
      <c r="W127"/>
      <c r="X127"/>
      <c r="Y127"/>
      <c r="Z127"/>
      <c r="AA127"/>
      <c r="AB127"/>
      <c r="AC127"/>
      <c r="AD127"/>
      <c r="AE127"/>
      <c r="AF127"/>
      <c r="AG127"/>
      <c r="AH127"/>
      <c r="AI127"/>
      <c r="AJ127"/>
      <c r="AK127"/>
      <c r="AL127"/>
    </row>
    <row r="128" spans="2:38" ht="15.95" hidden="1" customHeight="1">
      <c r="B128" s="59"/>
      <c r="C128"/>
      <c r="D128"/>
      <c r="E128"/>
      <c r="F128"/>
      <c r="G128"/>
      <c r="H128"/>
      <c r="I128"/>
      <c r="J128"/>
      <c r="K128"/>
      <c r="L128"/>
      <c r="M128"/>
      <c r="N128"/>
      <c r="O128"/>
      <c r="P128"/>
      <c r="Q128"/>
      <c r="R128"/>
      <c r="S128"/>
      <c r="T128"/>
      <c r="U128"/>
      <c r="V128"/>
      <c r="W128"/>
      <c r="X128"/>
      <c r="Y128"/>
      <c r="Z128"/>
      <c r="AA128"/>
      <c r="AB128"/>
      <c r="AC128"/>
      <c r="AD128"/>
      <c r="AE128"/>
      <c r="AF128"/>
      <c r="AG128"/>
      <c r="AH128"/>
      <c r="AI128"/>
      <c r="AJ128"/>
      <c r="AK128"/>
      <c r="AL128"/>
    </row>
    <row r="129" spans="2:44" ht="15.75" hidden="1" customHeight="1">
      <c r="B129" s="59"/>
      <c r="C129"/>
      <c r="D129"/>
      <c r="E129"/>
      <c r="F129"/>
      <c r="G129"/>
      <c r="H129"/>
      <c r="I129"/>
      <c r="J129"/>
      <c r="K129"/>
      <c r="L129"/>
      <c r="M129"/>
      <c r="N129"/>
      <c r="O129"/>
      <c r="P129"/>
      <c r="Q129"/>
      <c r="R129"/>
      <c r="S129"/>
      <c r="T129"/>
      <c r="U129"/>
      <c r="V129"/>
      <c r="W129"/>
      <c r="X129"/>
      <c r="Y129"/>
      <c r="Z129"/>
      <c r="AA129"/>
      <c r="AB129"/>
      <c r="AC129"/>
      <c r="AD129"/>
      <c r="AE129"/>
      <c r="AF129"/>
      <c r="AG129"/>
      <c r="AH129"/>
      <c r="AI129"/>
      <c r="AJ129"/>
      <c r="AK129"/>
      <c r="AL129"/>
    </row>
    <row r="130" spans="2:44" ht="15.95" hidden="1" customHeight="1">
      <c r="B130" s="59"/>
      <c r="C130"/>
      <c r="D130"/>
      <c r="E130"/>
      <c r="F130"/>
      <c r="G130"/>
      <c r="H130"/>
      <c r="I130"/>
      <c r="J130"/>
      <c r="K130"/>
      <c r="L130"/>
      <c r="M130"/>
      <c r="N130"/>
      <c r="O130"/>
      <c r="P130"/>
      <c r="Q130"/>
      <c r="R130"/>
      <c r="S130"/>
      <c r="T130"/>
      <c r="U130"/>
      <c r="V130"/>
      <c r="W130"/>
      <c r="X130"/>
      <c r="Y130"/>
      <c r="Z130"/>
      <c r="AA130"/>
      <c r="AB130"/>
      <c r="AC130"/>
      <c r="AD130"/>
      <c r="AE130"/>
      <c r="AF130"/>
      <c r="AG130"/>
      <c r="AH130"/>
      <c r="AI130"/>
      <c r="AJ130"/>
      <c r="AK130"/>
      <c r="AL130"/>
    </row>
    <row r="131" spans="2:44" ht="15.95" hidden="1" customHeight="1">
      <c r="B131" s="59"/>
      <c r="C131"/>
      <c r="D131"/>
      <c r="E131"/>
      <c r="F131"/>
      <c r="G131"/>
      <c r="H131"/>
      <c r="I131"/>
      <c r="J131"/>
      <c r="K131"/>
      <c r="L131"/>
      <c r="M131"/>
      <c r="N131"/>
      <c r="O131"/>
      <c r="P131"/>
      <c r="Q131"/>
      <c r="R131"/>
      <c r="S131"/>
      <c r="T131"/>
      <c r="U131"/>
      <c r="V131"/>
      <c r="W131"/>
      <c r="X131"/>
      <c r="Y131"/>
      <c r="Z131"/>
      <c r="AA131"/>
      <c r="AB131"/>
      <c r="AC131"/>
      <c r="AD131"/>
      <c r="AE131"/>
      <c r="AF131"/>
      <c r="AG131"/>
      <c r="AH131"/>
      <c r="AI131"/>
      <c r="AJ131"/>
      <c r="AK131"/>
      <c r="AL131"/>
    </row>
    <row r="132" spans="2:44" ht="15.95" hidden="1" customHeight="1">
      <c r="B132" s="59"/>
      <c r="C132"/>
      <c r="D132"/>
      <c r="E132"/>
      <c r="F132"/>
      <c r="G132"/>
      <c r="H132"/>
      <c r="I132"/>
      <c r="J132"/>
      <c r="K132"/>
      <c r="L132"/>
      <c r="M132"/>
      <c r="N132"/>
      <c r="O132"/>
      <c r="P132"/>
      <c r="Q132"/>
      <c r="R132"/>
      <c r="S132"/>
      <c r="T132"/>
      <c r="U132"/>
      <c r="V132"/>
      <c r="W132"/>
      <c r="X132"/>
      <c r="Y132"/>
      <c r="Z132"/>
      <c r="AA132"/>
      <c r="AB132"/>
      <c r="AC132"/>
      <c r="AD132"/>
      <c r="AE132"/>
      <c r="AF132"/>
      <c r="AG132"/>
      <c r="AH132"/>
      <c r="AI132"/>
      <c r="AJ132"/>
      <c r="AK132"/>
      <c r="AL132"/>
    </row>
    <row r="133" spans="2:44" ht="15.95" hidden="1" customHeight="1">
      <c r="B133" s="59"/>
      <c r="C133"/>
      <c r="D133"/>
      <c r="E133"/>
      <c r="F133"/>
      <c r="G133"/>
      <c r="H133"/>
      <c r="I133"/>
      <c r="J133"/>
      <c r="K133"/>
      <c r="L133"/>
      <c r="M133"/>
      <c r="N133"/>
      <c r="O133"/>
      <c r="P133"/>
      <c r="Q133"/>
      <c r="R133"/>
      <c r="S133"/>
      <c r="T133"/>
      <c r="U133"/>
      <c r="V133"/>
      <c r="W133"/>
      <c r="X133"/>
      <c r="Y133"/>
      <c r="Z133"/>
      <c r="AA133"/>
      <c r="AB133"/>
      <c r="AC133"/>
      <c r="AD133"/>
      <c r="AE133"/>
      <c r="AF133"/>
      <c r="AG133"/>
      <c r="AH133"/>
      <c r="AI133"/>
      <c r="AJ133"/>
      <c r="AK133"/>
      <c r="AL133"/>
    </row>
    <row r="134" spans="2:44" ht="15.95" hidden="1" customHeight="1">
      <c r="B134" s="59"/>
      <c r="C134"/>
      <c r="D134"/>
      <c r="E134"/>
      <c r="F134"/>
      <c r="G134"/>
      <c r="H134"/>
      <c r="I134"/>
      <c r="J134"/>
      <c r="K134"/>
      <c r="L134"/>
      <c r="M134"/>
      <c r="N134"/>
      <c r="O134"/>
      <c r="P134"/>
      <c r="Q134"/>
      <c r="R134"/>
      <c r="S134"/>
      <c r="T134"/>
      <c r="U134"/>
      <c r="V134"/>
      <c r="W134"/>
      <c r="X134"/>
      <c r="Y134"/>
      <c r="Z134"/>
      <c r="AA134"/>
      <c r="AB134"/>
      <c r="AC134"/>
      <c r="AD134"/>
      <c r="AE134"/>
      <c r="AF134"/>
      <c r="AG134"/>
      <c r="AH134"/>
      <c r="AI134"/>
      <c r="AJ134"/>
      <c r="AK134"/>
      <c r="AL134"/>
    </row>
    <row r="135" spans="2:44" ht="15.95" hidden="1" customHeight="1">
      <c r="B135" s="59"/>
      <c r="C135"/>
      <c r="D135"/>
      <c r="E135"/>
      <c r="F135"/>
      <c r="G135"/>
      <c r="H135"/>
      <c r="I135"/>
      <c r="J135"/>
      <c r="K135"/>
      <c r="L135"/>
      <c r="M135"/>
      <c r="N135"/>
      <c r="O135"/>
      <c r="P135"/>
      <c r="Q135"/>
      <c r="R135"/>
      <c r="S135"/>
      <c r="T135"/>
      <c r="U135"/>
      <c r="V135"/>
      <c r="W135"/>
      <c r="X135"/>
      <c r="Y135"/>
      <c r="Z135"/>
      <c r="AA135"/>
      <c r="AB135"/>
      <c r="AC135"/>
      <c r="AD135"/>
      <c r="AE135"/>
      <c r="AF135"/>
      <c r="AG135"/>
      <c r="AH135"/>
      <c r="AI135"/>
      <c r="AJ135"/>
      <c r="AK135"/>
      <c r="AL135"/>
    </row>
    <row r="136" spans="2:44" ht="15.95" hidden="1" customHeight="1">
      <c r="B136" s="59"/>
      <c r="C136"/>
      <c r="D136"/>
      <c r="E136"/>
      <c r="F136"/>
      <c r="G136"/>
      <c r="H136"/>
      <c r="I136"/>
      <c r="J136"/>
      <c r="K136"/>
      <c r="L136"/>
      <c r="M136"/>
      <c r="N136"/>
      <c r="O136"/>
      <c r="P136"/>
      <c r="Q136"/>
      <c r="R136"/>
      <c r="S136"/>
      <c r="T136"/>
      <c r="U136"/>
      <c r="V136"/>
      <c r="W136"/>
      <c r="X136"/>
      <c r="Y136"/>
      <c r="Z136"/>
      <c r="AA136"/>
      <c r="AB136"/>
      <c r="AC136"/>
      <c r="AD136"/>
      <c r="AE136"/>
      <c r="AF136"/>
      <c r="AG136"/>
      <c r="AH136"/>
      <c r="AI136"/>
      <c r="AJ136"/>
      <c r="AK136"/>
      <c r="AL136"/>
    </row>
    <row r="137" spans="2:44" ht="15.95" hidden="1" customHeight="1">
      <c r="B137" s="59"/>
      <c r="C137"/>
      <c r="D137"/>
      <c r="E137"/>
      <c r="F137"/>
      <c r="G137"/>
      <c r="H137"/>
      <c r="I137"/>
      <c r="J137"/>
      <c r="K137"/>
      <c r="L137"/>
      <c r="M137"/>
      <c r="N137"/>
      <c r="O137"/>
      <c r="P137"/>
      <c r="Q137"/>
      <c r="R137"/>
      <c r="S137"/>
      <c r="T137"/>
      <c r="U137"/>
      <c r="V137"/>
      <c r="W137"/>
      <c r="X137"/>
      <c r="Y137"/>
      <c r="Z137"/>
      <c r="AA137"/>
      <c r="AB137"/>
      <c r="AC137"/>
      <c r="AD137"/>
      <c r="AE137"/>
      <c r="AF137"/>
      <c r="AG137"/>
      <c r="AH137"/>
      <c r="AI137"/>
      <c r="AJ137"/>
      <c r="AK137"/>
      <c r="AL137"/>
    </row>
    <row r="138" spans="2:44" ht="15.95" hidden="1" customHeight="1">
      <c r="B138" s="59"/>
      <c r="C138"/>
      <c r="D138"/>
      <c r="E138"/>
      <c r="F138"/>
      <c r="G138"/>
      <c r="H138"/>
      <c r="I138"/>
      <c r="J138"/>
      <c r="K138"/>
      <c r="L138"/>
      <c r="M138"/>
      <c r="N138"/>
      <c r="O138"/>
      <c r="P138"/>
      <c r="Q138"/>
      <c r="R138"/>
      <c r="S138"/>
      <c r="T138"/>
      <c r="U138"/>
      <c r="V138"/>
      <c r="W138"/>
      <c r="X138"/>
      <c r="Y138"/>
      <c r="Z138"/>
      <c r="AA138"/>
      <c r="AB138"/>
      <c r="AC138"/>
      <c r="AD138"/>
      <c r="AE138"/>
      <c r="AF138"/>
      <c r="AG138"/>
      <c r="AH138"/>
      <c r="AI138"/>
      <c r="AJ138"/>
      <c r="AK138"/>
      <c r="AL138"/>
    </row>
    <row r="139" spans="2:44" ht="15.95" hidden="1" customHeight="1">
      <c r="B139" s="59"/>
      <c r="C139" s="61"/>
      <c r="E139" s="162"/>
      <c r="F139"/>
      <c r="G139"/>
      <c r="H139"/>
      <c r="I139"/>
      <c r="J139"/>
      <c r="K139"/>
      <c r="L139"/>
      <c r="M139"/>
      <c r="N139"/>
      <c r="O139"/>
      <c r="P139"/>
      <c r="Q139"/>
      <c r="R139"/>
      <c r="S139"/>
      <c r="T139"/>
      <c r="U139"/>
      <c r="V139"/>
      <c r="W139"/>
      <c r="X139"/>
      <c r="Y139"/>
      <c r="Z139"/>
      <c r="AA139"/>
      <c r="AB139"/>
      <c r="AC139"/>
      <c r="AD139"/>
      <c r="AE139"/>
      <c r="AF139"/>
      <c r="AG139"/>
      <c r="AH139"/>
      <c r="AI139"/>
      <c r="AJ139"/>
      <c r="AK139"/>
      <c r="AL139"/>
      <c r="AP139" s="59"/>
      <c r="AQ139" s="59"/>
      <c r="AR139" s="59"/>
    </row>
    <row r="140" spans="2:44" ht="15.95" hidden="1" customHeight="1">
      <c r="B140" s="59"/>
      <c r="C140" s="61"/>
      <c r="E140" s="162"/>
      <c r="F140"/>
      <c r="G140"/>
      <c r="H140"/>
      <c r="I140"/>
      <c r="J140"/>
      <c r="K140"/>
      <c r="L140"/>
      <c r="M140"/>
      <c r="N140"/>
      <c r="O140"/>
      <c r="P140"/>
      <c r="Q140"/>
      <c r="R140"/>
      <c r="S140"/>
      <c r="T140"/>
      <c r="U140"/>
      <c r="V140"/>
      <c r="W140"/>
      <c r="X140"/>
      <c r="Y140"/>
      <c r="Z140"/>
      <c r="AA140"/>
      <c r="AB140"/>
      <c r="AC140"/>
      <c r="AD140"/>
      <c r="AE140"/>
      <c r="AF140"/>
      <c r="AG140"/>
      <c r="AH140"/>
      <c r="AI140"/>
      <c r="AJ140"/>
      <c r="AK140"/>
      <c r="AL140"/>
      <c r="AP140" s="59"/>
      <c r="AQ140" s="59"/>
      <c r="AR140" s="59"/>
    </row>
    <row r="141" spans="2:44" ht="15.95" hidden="1" customHeight="1">
      <c r="B141" s="59"/>
      <c r="C141" s="61"/>
      <c r="E141" s="162"/>
      <c r="F141"/>
      <c r="G141"/>
      <c r="H141"/>
      <c r="I141"/>
      <c r="J141"/>
      <c r="K141"/>
      <c r="L141"/>
      <c r="M141"/>
      <c r="N141"/>
      <c r="O141"/>
      <c r="P141"/>
      <c r="Q141"/>
      <c r="R141"/>
      <c r="S141"/>
      <c r="T141"/>
      <c r="U141"/>
      <c r="V141"/>
      <c r="W141"/>
      <c r="X141"/>
      <c r="Y141"/>
      <c r="Z141"/>
      <c r="AA141"/>
      <c r="AB141"/>
      <c r="AC141"/>
      <c r="AD141"/>
      <c r="AE141"/>
      <c r="AF141"/>
      <c r="AG141"/>
      <c r="AH141"/>
      <c r="AI141"/>
      <c r="AJ141"/>
      <c r="AK141"/>
      <c r="AL141"/>
      <c r="AP141" s="59"/>
      <c r="AQ141" s="59"/>
      <c r="AR141" s="59"/>
    </row>
    <row r="142" spans="2:44" ht="15.95" hidden="1" customHeight="1">
      <c r="B142" s="59"/>
      <c r="C142" s="61"/>
      <c r="E142" s="162"/>
      <c r="F142"/>
      <c r="G142"/>
      <c r="H142"/>
      <c r="I142"/>
      <c r="J142"/>
      <c r="K142"/>
      <c r="L142"/>
      <c r="M142"/>
      <c r="N142"/>
      <c r="O142"/>
      <c r="P142"/>
      <c r="Q142"/>
      <c r="R142"/>
      <c r="S142"/>
      <c r="T142"/>
      <c r="U142"/>
      <c r="V142"/>
      <c r="W142"/>
      <c r="X142"/>
      <c r="Y142"/>
      <c r="Z142"/>
      <c r="AA142"/>
      <c r="AB142"/>
      <c r="AC142"/>
      <c r="AD142"/>
      <c r="AE142"/>
      <c r="AF142"/>
      <c r="AG142"/>
      <c r="AH142"/>
      <c r="AI142"/>
      <c r="AJ142"/>
      <c r="AK142"/>
      <c r="AL142"/>
      <c r="AP142" s="59"/>
      <c r="AQ142" s="59"/>
      <c r="AR142" s="59"/>
    </row>
    <row r="143" spans="2:44" ht="15.95" hidden="1" customHeight="1">
      <c r="B143" s="59"/>
      <c r="C143" s="61"/>
      <c r="E143" s="162"/>
      <c r="F143"/>
      <c r="G143"/>
      <c r="H143"/>
      <c r="I143"/>
      <c r="J143"/>
      <c r="K143"/>
      <c r="L143"/>
      <c r="M143"/>
      <c r="N143"/>
      <c r="O143"/>
      <c r="P143"/>
      <c r="Q143"/>
      <c r="R143"/>
      <c r="S143"/>
      <c r="T143"/>
      <c r="U143"/>
      <c r="V143"/>
      <c r="W143"/>
      <c r="X143"/>
      <c r="Y143"/>
      <c r="Z143"/>
      <c r="AA143"/>
      <c r="AB143"/>
      <c r="AC143"/>
      <c r="AD143"/>
      <c r="AE143"/>
      <c r="AF143"/>
      <c r="AG143"/>
      <c r="AH143"/>
      <c r="AI143"/>
      <c r="AJ143"/>
      <c r="AK143"/>
      <c r="AL143"/>
      <c r="AP143" s="59"/>
      <c r="AQ143" s="59"/>
      <c r="AR143" s="59"/>
    </row>
    <row r="144" spans="2:44" ht="15.95" hidden="1" customHeight="1">
      <c r="B144" s="59"/>
      <c r="C144" s="61"/>
      <c r="E144" s="162"/>
      <c r="F144"/>
      <c r="G144"/>
      <c r="H144"/>
      <c r="I144"/>
      <c r="J144"/>
      <c r="K144"/>
      <c r="L144"/>
      <c r="M144"/>
      <c r="N144"/>
      <c r="O144"/>
      <c r="P144"/>
      <c r="Q144"/>
      <c r="R144"/>
      <c r="S144"/>
      <c r="T144"/>
      <c r="U144"/>
      <c r="V144"/>
      <c r="W144"/>
      <c r="X144"/>
      <c r="Y144"/>
      <c r="Z144"/>
      <c r="AA144"/>
      <c r="AB144"/>
      <c r="AC144"/>
      <c r="AD144"/>
      <c r="AE144"/>
      <c r="AF144"/>
      <c r="AG144"/>
      <c r="AH144"/>
      <c r="AI144"/>
      <c r="AJ144"/>
      <c r="AK144"/>
      <c r="AL144"/>
      <c r="AP144" s="59"/>
      <c r="AQ144" s="59"/>
      <c r="AR144" s="59"/>
    </row>
    <row r="145" spans="2:44" ht="15.95" hidden="1" customHeight="1">
      <c r="B145" s="59"/>
      <c r="C145" s="61"/>
      <c r="E145" s="162"/>
      <c r="F145"/>
      <c r="G145"/>
      <c r="H145"/>
      <c r="I145"/>
      <c r="J145"/>
      <c r="K145"/>
      <c r="L145"/>
      <c r="M145"/>
      <c r="N145"/>
      <c r="O145"/>
      <c r="P145"/>
      <c r="Q145"/>
      <c r="R145"/>
      <c r="S145"/>
      <c r="T145"/>
      <c r="U145"/>
      <c r="V145"/>
      <c r="W145"/>
      <c r="X145"/>
      <c r="Y145"/>
      <c r="Z145"/>
      <c r="AA145"/>
      <c r="AB145"/>
      <c r="AC145"/>
      <c r="AD145"/>
      <c r="AE145"/>
      <c r="AF145"/>
      <c r="AG145"/>
      <c r="AH145"/>
      <c r="AI145"/>
      <c r="AJ145"/>
      <c r="AK145"/>
      <c r="AL145"/>
      <c r="AP145" s="59"/>
      <c r="AQ145" s="59"/>
      <c r="AR145" s="59"/>
    </row>
    <row r="146" spans="2:44" ht="15.95" hidden="1" customHeight="1">
      <c r="B146" s="59"/>
      <c r="C146" s="61"/>
      <c r="E146" s="162"/>
      <c r="F146"/>
      <c r="G146"/>
      <c r="H146"/>
      <c r="I146"/>
      <c r="J146"/>
      <c r="K146"/>
      <c r="L146"/>
      <c r="M146"/>
      <c r="N146"/>
      <c r="O146"/>
      <c r="P146"/>
      <c r="Q146"/>
      <c r="R146"/>
      <c r="S146"/>
      <c r="T146"/>
      <c r="U146"/>
      <c r="V146"/>
      <c r="W146"/>
      <c r="X146"/>
      <c r="Y146"/>
      <c r="Z146"/>
      <c r="AA146"/>
      <c r="AB146"/>
      <c r="AC146"/>
      <c r="AD146"/>
      <c r="AE146"/>
      <c r="AF146"/>
      <c r="AG146"/>
      <c r="AH146"/>
      <c r="AI146"/>
      <c r="AJ146"/>
      <c r="AK146"/>
      <c r="AL146"/>
      <c r="AP146" s="59"/>
      <c r="AQ146" s="59"/>
      <c r="AR146" s="59"/>
    </row>
    <row r="147" spans="2:44" ht="15.95" hidden="1" customHeight="1">
      <c r="B147" s="59"/>
      <c r="C147" s="61"/>
      <c r="E147" s="162"/>
      <c r="F147"/>
      <c r="G147"/>
      <c r="H147"/>
      <c r="I147"/>
      <c r="J147"/>
      <c r="K147"/>
      <c r="L147"/>
      <c r="M147"/>
      <c r="N147"/>
      <c r="O147"/>
      <c r="P147"/>
      <c r="Q147"/>
      <c r="R147"/>
      <c r="S147"/>
      <c r="T147"/>
      <c r="U147"/>
      <c r="V147"/>
      <c r="W147"/>
      <c r="X147"/>
      <c r="Y147"/>
      <c r="Z147"/>
      <c r="AA147"/>
      <c r="AB147"/>
      <c r="AC147"/>
      <c r="AD147"/>
      <c r="AE147"/>
      <c r="AF147"/>
      <c r="AG147"/>
      <c r="AH147"/>
      <c r="AI147"/>
      <c r="AJ147"/>
      <c r="AK147"/>
      <c r="AL147"/>
      <c r="AP147" s="59"/>
      <c r="AQ147" s="59"/>
      <c r="AR147" s="59"/>
    </row>
    <row r="148" spans="2:44" ht="15.95" hidden="1" customHeight="1">
      <c r="B148" s="59"/>
      <c r="C148" s="61"/>
      <c r="E148" s="162"/>
      <c r="F148"/>
      <c r="G148"/>
      <c r="H148"/>
      <c r="I148"/>
      <c r="J148"/>
      <c r="K148"/>
      <c r="L148"/>
      <c r="M148"/>
      <c r="N148"/>
      <c r="O148"/>
      <c r="P148"/>
      <c r="Q148"/>
      <c r="R148"/>
      <c r="S148"/>
      <c r="T148"/>
      <c r="U148"/>
      <c r="V148"/>
      <c r="W148"/>
      <c r="X148"/>
      <c r="Y148"/>
      <c r="Z148"/>
      <c r="AA148"/>
      <c r="AB148"/>
      <c r="AC148"/>
      <c r="AD148"/>
      <c r="AE148"/>
      <c r="AF148"/>
      <c r="AG148"/>
      <c r="AH148"/>
      <c r="AI148"/>
      <c r="AJ148"/>
      <c r="AK148"/>
      <c r="AL148"/>
      <c r="AP148" s="59"/>
      <c r="AQ148" s="59"/>
      <c r="AR148" s="59"/>
    </row>
    <row r="149" spans="2:44" ht="15.95" hidden="1" customHeight="1">
      <c r="B149" s="59"/>
      <c r="C149" s="61"/>
      <c r="E149" s="162"/>
      <c r="F149"/>
      <c r="G149"/>
      <c r="H149"/>
      <c r="I149"/>
      <c r="J149"/>
      <c r="K149"/>
      <c r="L149"/>
      <c r="M149"/>
      <c r="N149"/>
      <c r="O149"/>
      <c r="P149"/>
      <c r="Q149"/>
      <c r="R149"/>
      <c r="S149"/>
      <c r="T149"/>
      <c r="U149"/>
      <c r="V149"/>
      <c r="W149"/>
      <c r="X149"/>
      <c r="Y149"/>
      <c r="Z149"/>
      <c r="AA149"/>
      <c r="AB149"/>
      <c r="AC149"/>
      <c r="AD149"/>
      <c r="AE149"/>
      <c r="AF149"/>
      <c r="AG149"/>
      <c r="AH149"/>
      <c r="AI149"/>
      <c r="AJ149"/>
      <c r="AK149"/>
      <c r="AL149"/>
      <c r="AP149" s="59"/>
      <c r="AQ149" s="59"/>
      <c r="AR149" s="59"/>
    </row>
    <row r="150" spans="2:44" ht="15.95" hidden="1" customHeight="1">
      <c r="B150" s="59"/>
      <c r="C150" s="61"/>
      <c r="E150" s="162"/>
      <c r="F150"/>
      <c r="G150"/>
      <c r="H150"/>
      <c r="I150"/>
      <c r="J150"/>
      <c r="K150"/>
      <c r="L150"/>
      <c r="M150"/>
      <c r="N150"/>
      <c r="O150"/>
      <c r="P150"/>
      <c r="Q150"/>
      <c r="R150"/>
      <c r="S150"/>
      <c r="T150"/>
      <c r="U150"/>
      <c r="V150"/>
      <c r="W150"/>
      <c r="X150"/>
      <c r="Y150"/>
      <c r="Z150"/>
      <c r="AA150"/>
      <c r="AB150"/>
      <c r="AC150"/>
      <c r="AD150"/>
      <c r="AE150"/>
      <c r="AF150"/>
      <c r="AG150"/>
      <c r="AH150"/>
      <c r="AI150"/>
      <c r="AJ150"/>
      <c r="AK150"/>
      <c r="AL150"/>
      <c r="AP150" s="59"/>
      <c r="AQ150" s="59"/>
      <c r="AR150" s="59"/>
    </row>
    <row r="151" spans="2:44" ht="15.95" hidden="1" customHeight="1">
      <c r="B151" s="59"/>
      <c r="C151" s="61"/>
      <c r="E151" s="162"/>
      <c r="F151"/>
      <c r="G151"/>
      <c r="H151"/>
      <c r="I151"/>
      <c r="J151"/>
      <c r="K151"/>
      <c r="L151"/>
      <c r="M151"/>
      <c r="N151"/>
      <c r="O151"/>
      <c r="P151"/>
      <c r="Q151"/>
      <c r="R151"/>
      <c r="S151"/>
      <c r="T151"/>
      <c r="U151"/>
      <c r="V151"/>
      <c r="W151"/>
      <c r="X151"/>
      <c r="Y151"/>
      <c r="Z151"/>
      <c r="AA151"/>
      <c r="AB151"/>
      <c r="AC151"/>
      <c r="AD151"/>
      <c r="AE151"/>
      <c r="AF151"/>
      <c r="AG151"/>
      <c r="AH151"/>
      <c r="AI151"/>
      <c r="AJ151"/>
      <c r="AK151"/>
      <c r="AL151"/>
      <c r="AP151" s="59"/>
      <c r="AQ151" s="59"/>
      <c r="AR151" s="59"/>
    </row>
    <row r="152" spans="2:44" ht="15.95" hidden="1" customHeight="1">
      <c r="B152" s="59"/>
      <c r="C152" s="61"/>
      <c r="E152" s="162"/>
      <c r="F152"/>
      <c r="G152"/>
      <c r="H152"/>
      <c r="I152"/>
      <c r="J152"/>
      <c r="K152"/>
      <c r="L152"/>
      <c r="M152"/>
      <c r="N152"/>
      <c r="O152"/>
      <c r="P152"/>
      <c r="Q152"/>
      <c r="R152"/>
      <c r="S152"/>
      <c r="T152"/>
      <c r="U152"/>
      <c r="V152"/>
      <c r="W152"/>
      <c r="X152"/>
      <c r="Y152"/>
      <c r="Z152"/>
      <c r="AA152"/>
      <c r="AB152"/>
      <c r="AC152"/>
      <c r="AD152"/>
      <c r="AE152"/>
      <c r="AF152"/>
      <c r="AG152"/>
      <c r="AH152"/>
      <c r="AI152"/>
      <c r="AJ152"/>
      <c r="AK152"/>
      <c r="AL152"/>
      <c r="AP152" s="59"/>
      <c r="AQ152" s="59"/>
      <c r="AR152" s="59"/>
    </row>
    <row r="153" spans="2:44" ht="15.95" hidden="1" customHeight="1">
      <c r="B153" s="59"/>
      <c r="C153" s="61"/>
      <c r="E153" s="162"/>
      <c r="F153"/>
      <c r="G153"/>
      <c r="H153"/>
      <c r="I153"/>
      <c r="J153"/>
      <c r="K153"/>
      <c r="L153"/>
      <c r="M153"/>
      <c r="N153"/>
      <c r="O153"/>
      <c r="P153"/>
      <c r="Q153"/>
      <c r="R153"/>
      <c r="S153"/>
      <c r="T153"/>
      <c r="U153"/>
      <c r="V153"/>
      <c r="W153"/>
      <c r="X153"/>
      <c r="Y153"/>
      <c r="Z153"/>
      <c r="AA153"/>
      <c r="AB153"/>
      <c r="AC153"/>
      <c r="AD153"/>
      <c r="AE153"/>
      <c r="AF153"/>
      <c r="AG153"/>
      <c r="AH153"/>
      <c r="AI153"/>
      <c r="AJ153"/>
      <c r="AK153"/>
      <c r="AL153"/>
      <c r="AP153" s="59"/>
      <c r="AQ153" s="59"/>
      <c r="AR153" s="59"/>
    </row>
    <row r="154" spans="2:44" ht="15.95" hidden="1" customHeight="1">
      <c r="B154" s="59"/>
      <c r="C154" s="61"/>
      <c r="E154" s="162"/>
      <c r="F154"/>
      <c r="G154"/>
      <c r="H154"/>
      <c r="I154"/>
      <c r="J154"/>
      <c r="K154"/>
      <c r="L154"/>
      <c r="M154"/>
      <c r="N154"/>
      <c r="O154"/>
      <c r="P154"/>
      <c r="Q154"/>
      <c r="R154"/>
      <c r="S154"/>
      <c r="T154"/>
      <c r="U154"/>
      <c r="V154"/>
      <c r="W154"/>
      <c r="X154"/>
      <c r="Y154"/>
      <c r="Z154"/>
      <c r="AA154"/>
      <c r="AB154"/>
      <c r="AC154"/>
      <c r="AD154"/>
      <c r="AE154"/>
      <c r="AF154"/>
      <c r="AG154"/>
      <c r="AH154"/>
      <c r="AI154"/>
      <c r="AJ154"/>
      <c r="AK154"/>
      <c r="AL154"/>
      <c r="AP154" s="59"/>
      <c r="AQ154" s="59"/>
      <c r="AR154" s="59"/>
    </row>
    <row r="155" spans="2:44" ht="15.95" hidden="1" customHeight="1">
      <c r="B155" s="59"/>
      <c r="C155" s="61"/>
      <c r="E155" s="162"/>
      <c r="F155"/>
      <c r="G155"/>
      <c r="H155"/>
      <c r="I155"/>
      <c r="J155"/>
      <c r="K155"/>
      <c r="L155"/>
      <c r="M155"/>
      <c r="N155"/>
      <c r="O155"/>
      <c r="P155"/>
      <c r="Q155"/>
      <c r="R155"/>
      <c r="S155"/>
      <c r="T155"/>
      <c r="U155"/>
      <c r="V155"/>
      <c r="W155"/>
      <c r="X155"/>
      <c r="Y155"/>
      <c r="Z155"/>
      <c r="AA155"/>
      <c r="AB155"/>
      <c r="AC155"/>
      <c r="AD155"/>
      <c r="AE155"/>
      <c r="AF155"/>
      <c r="AG155"/>
      <c r="AH155"/>
      <c r="AI155"/>
      <c r="AJ155"/>
      <c r="AK155"/>
      <c r="AL155"/>
      <c r="AP155" s="59"/>
      <c r="AQ155" s="59"/>
      <c r="AR155" s="59"/>
    </row>
    <row r="156" spans="2:44" ht="15.95" hidden="1" customHeight="1">
      <c r="B156" s="59"/>
      <c r="C156" s="61"/>
      <c r="D156" s="61"/>
      <c r="E156" s="162"/>
      <c r="F156"/>
      <c r="G156"/>
      <c r="H156"/>
      <c r="I156"/>
      <c r="J156"/>
      <c r="K156"/>
      <c r="L156"/>
      <c r="M156"/>
      <c r="N156"/>
      <c r="O156"/>
      <c r="P156"/>
      <c r="Q156"/>
      <c r="R156"/>
      <c r="S156"/>
      <c r="T156"/>
      <c r="U156"/>
      <c r="V156"/>
      <c r="W156"/>
      <c r="X156"/>
      <c r="Y156"/>
      <c r="Z156"/>
      <c r="AA156"/>
      <c r="AB156"/>
      <c r="AC156"/>
      <c r="AD156"/>
      <c r="AE156"/>
      <c r="AF156"/>
      <c r="AG156"/>
      <c r="AH156"/>
      <c r="AI156"/>
      <c r="AJ156"/>
      <c r="AK156"/>
      <c r="AL156"/>
      <c r="AP156" s="59"/>
      <c r="AQ156" s="59"/>
      <c r="AR156" s="59"/>
    </row>
    <row r="157" spans="2:44" ht="15.95" hidden="1" customHeight="1">
      <c r="B157" s="59"/>
      <c r="C157" s="61"/>
      <c r="D157" s="61"/>
      <c r="E157" s="162"/>
      <c r="F157"/>
      <c r="G157"/>
      <c r="H157"/>
      <c r="I157"/>
      <c r="J157"/>
      <c r="K157"/>
      <c r="L157"/>
      <c r="M157"/>
      <c r="N157"/>
      <c r="O157"/>
      <c r="P157"/>
      <c r="Q157"/>
      <c r="R157"/>
      <c r="S157"/>
      <c r="T157"/>
      <c r="U157"/>
      <c r="V157"/>
      <c r="W157"/>
      <c r="X157"/>
      <c r="Y157"/>
      <c r="Z157"/>
      <c r="AA157"/>
      <c r="AB157"/>
      <c r="AC157"/>
      <c r="AD157"/>
      <c r="AE157"/>
      <c r="AF157"/>
      <c r="AG157"/>
      <c r="AH157"/>
      <c r="AI157"/>
      <c r="AJ157"/>
      <c r="AK157"/>
      <c r="AL157"/>
      <c r="AP157" s="59"/>
      <c r="AQ157" s="59"/>
      <c r="AR157" s="59"/>
    </row>
    <row r="158" spans="2:44" ht="15.95" hidden="1" customHeight="1">
      <c r="B158" s="59"/>
      <c r="C158" s="61"/>
      <c r="D158" s="61"/>
      <c r="E158" s="162"/>
      <c r="F158"/>
      <c r="G158"/>
      <c r="H158"/>
      <c r="I158"/>
      <c r="J158"/>
      <c r="K158"/>
      <c r="L158"/>
      <c r="M158"/>
      <c r="N158"/>
      <c r="O158"/>
      <c r="P158"/>
      <c r="Q158"/>
      <c r="R158"/>
      <c r="S158"/>
      <c r="T158"/>
      <c r="U158"/>
      <c r="V158"/>
      <c r="W158"/>
      <c r="X158"/>
      <c r="Y158"/>
      <c r="Z158"/>
      <c r="AA158"/>
      <c r="AB158"/>
      <c r="AC158"/>
      <c r="AD158"/>
      <c r="AE158"/>
      <c r="AF158"/>
      <c r="AG158"/>
      <c r="AH158"/>
      <c r="AI158"/>
      <c r="AJ158"/>
      <c r="AK158"/>
      <c r="AL158"/>
      <c r="AP158" s="59"/>
      <c r="AQ158" s="59"/>
      <c r="AR158" s="59"/>
    </row>
    <row r="159" spans="2:44" ht="15.95" hidden="1" customHeight="1">
      <c r="B159" s="59"/>
      <c r="C159" s="61"/>
      <c r="D159" s="61"/>
      <c r="E159" s="162"/>
      <c r="F159"/>
      <c r="G159"/>
      <c r="H159"/>
      <c r="I159"/>
      <c r="J159"/>
      <c r="K159"/>
      <c r="L159"/>
      <c r="M159"/>
      <c r="N159"/>
      <c r="O159"/>
      <c r="P159"/>
      <c r="Q159"/>
      <c r="R159"/>
      <c r="S159"/>
      <c r="T159"/>
      <c r="U159"/>
      <c r="V159"/>
      <c r="W159"/>
      <c r="X159"/>
      <c r="Y159"/>
      <c r="Z159"/>
      <c r="AA159"/>
      <c r="AB159"/>
      <c r="AC159"/>
      <c r="AD159"/>
      <c r="AE159"/>
      <c r="AF159"/>
      <c r="AG159"/>
      <c r="AH159"/>
      <c r="AI159"/>
      <c r="AJ159"/>
      <c r="AK159"/>
      <c r="AL159"/>
      <c r="AP159" s="59"/>
      <c r="AQ159" s="59"/>
      <c r="AR159" s="59"/>
    </row>
    <row r="160" spans="2:44" ht="15.95" hidden="1" customHeight="1">
      <c r="B160" s="59"/>
      <c r="C160" s="61"/>
      <c r="D160" s="61"/>
      <c r="E160" s="162"/>
      <c r="F160"/>
      <c r="G160"/>
      <c r="H160"/>
      <c r="I160"/>
      <c r="J160"/>
      <c r="K160"/>
      <c r="L160"/>
      <c r="M160"/>
      <c r="N160"/>
      <c r="O160"/>
      <c r="P160"/>
      <c r="Q160"/>
      <c r="R160"/>
      <c r="S160"/>
      <c r="T160"/>
      <c r="U160"/>
      <c r="V160"/>
      <c r="W160"/>
      <c r="X160"/>
      <c r="Y160"/>
      <c r="Z160"/>
      <c r="AA160"/>
      <c r="AB160"/>
      <c r="AC160"/>
      <c r="AD160"/>
      <c r="AE160"/>
      <c r="AF160"/>
      <c r="AG160"/>
      <c r="AH160"/>
      <c r="AI160"/>
      <c r="AJ160"/>
      <c r="AK160"/>
      <c r="AL160"/>
      <c r="AP160" s="59"/>
      <c r="AQ160" s="59"/>
      <c r="AR160" s="59"/>
    </row>
    <row r="161" spans="2:44" ht="15.95" hidden="1" customHeight="1">
      <c r="B161" s="59"/>
      <c r="C161" s="61"/>
      <c r="D161" s="61"/>
      <c r="E161" s="162"/>
      <c r="F161"/>
      <c r="G161"/>
      <c r="H161"/>
      <c r="I161"/>
      <c r="J161"/>
      <c r="K161"/>
      <c r="L161"/>
      <c r="M161"/>
      <c r="N161"/>
      <c r="O161"/>
      <c r="P161"/>
      <c r="Q161"/>
      <c r="R161"/>
      <c r="S161"/>
      <c r="T161"/>
      <c r="U161"/>
      <c r="V161"/>
      <c r="W161"/>
      <c r="X161"/>
      <c r="Y161"/>
      <c r="Z161"/>
      <c r="AA161"/>
      <c r="AB161"/>
      <c r="AC161"/>
      <c r="AD161"/>
      <c r="AE161"/>
      <c r="AF161"/>
      <c r="AG161"/>
      <c r="AH161"/>
      <c r="AI161"/>
      <c r="AJ161"/>
      <c r="AK161"/>
      <c r="AL161"/>
      <c r="AP161" s="59"/>
      <c r="AQ161" s="59"/>
      <c r="AR161" s="59"/>
    </row>
    <row r="162" spans="2:44" ht="15.95" hidden="1" customHeight="1">
      <c r="B162" s="59"/>
      <c r="C162" s="61"/>
      <c r="D162" s="61"/>
      <c r="E162" s="162"/>
      <c r="F162"/>
      <c r="G162"/>
      <c r="H162"/>
      <c r="I162"/>
      <c r="J162"/>
      <c r="K162"/>
      <c r="L162"/>
      <c r="M162"/>
      <c r="N162"/>
      <c r="O162"/>
      <c r="P162"/>
      <c r="Q162"/>
      <c r="R162"/>
      <c r="S162"/>
      <c r="T162"/>
      <c r="U162"/>
      <c r="V162"/>
      <c r="W162"/>
      <c r="X162"/>
      <c r="Y162"/>
      <c r="Z162"/>
      <c r="AA162"/>
      <c r="AB162"/>
      <c r="AC162"/>
      <c r="AD162"/>
      <c r="AE162"/>
      <c r="AF162"/>
      <c r="AG162"/>
      <c r="AH162"/>
      <c r="AI162"/>
      <c r="AJ162"/>
      <c r="AK162"/>
      <c r="AL162"/>
      <c r="AP162" s="59"/>
      <c r="AQ162" s="59"/>
      <c r="AR162" s="59"/>
    </row>
    <row r="163" spans="2:44" ht="15.95" hidden="1" customHeight="1">
      <c r="B163" s="59"/>
      <c r="C163" s="61"/>
      <c r="D163" s="61"/>
      <c r="E163" s="162"/>
      <c r="F163"/>
      <c r="G163"/>
      <c r="H163"/>
      <c r="I163"/>
      <c r="J163"/>
      <c r="K163"/>
      <c r="L163"/>
      <c r="M163"/>
      <c r="N163"/>
      <c r="O163"/>
      <c r="P163"/>
      <c r="Q163"/>
      <c r="R163"/>
      <c r="S163"/>
      <c r="T163"/>
      <c r="U163"/>
      <c r="V163"/>
      <c r="W163"/>
      <c r="X163"/>
      <c r="Y163"/>
      <c r="Z163"/>
      <c r="AA163"/>
      <c r="AB163"/>
      <c r="AC163"/>
      <c r="AD163"/>
      <c r="AE163"/>
      <c r="AF163"/>
      <c r="AG163"/>
      <c r="AH163"/>
      <c r="AI163"/>
      <c r="AJ163"/>
      <c r="AK163"/>
      <c r="AL163"/>
      <c r="AP163" s="59"/>
      <c r="AQ163" s="59"/>
      <c r="AR163" s="59"/>
    </row>
    <row r="164" spans="2:44" ht="15.95" hidden="1" customHeight="1">
      <c r="B164" s="59"/>
      <c r="C164" s="61"/>
      <c r="D164" s="61"/>
      <c r="E164" s="162"/>
      <c r="F164"/>
      <c r="G164"/>
      <c r="H164"/>
      <c r="I164"/>
      <c r="J164"/>
      <c r="K164"/>
      <c r="L164"/>
      <c r="M164"/>
      <c r="N164"/>
      <c r="O164"/>
      <c r="P164"/>
      <c r="Q164"/>
      <c r="R164"/>
      <c r="S164"/>
      <c r="T164"/>
      <c r="U164"/>
      <c r="V164"/>
      <c r="W164"/>
      <c r="X164"/>
      <c r="Y164"/>
      <c r="Z164"/>
      <c r="AA164"/>
      <c r="AB164"/>
      <c r="AC164"/>
      <c r="AD164"/>
      <c r="AE164"/>
      <c r="AF164"/>
      <c r="AG164"/>
      <c r="AH164"/>
      <c r="AI164"/>
      <c r="AJ164"/>
      <c r="AK164"/>
      <c r="AL164"/>
      <c r="AP164" s="59"/>
      <c r="AQ164" s="59"/>
      <c r="AR164" s="59"/>
    </row>
    <row r="165" spans="2:44" ht="15.95" hidden="1" customHeight="1">
      <c r="B165" s="59"/>
      <c r="C165" s="61"/>
      <c r="D165" s="61"/>
      <c r="E165" s="162"/>
      <c r="F165"/>
      <c r="G165"/>
      <c r="H165"/>
      <c r="I165"/>
      <c r="J165"/>
      <c r="K165"/>
      <c r="L165"/>
      <c r="M165"/>
      <c r="N165"/>
      <c r="O165"/>
      <c r="P165"/>
      <c r="Q165"/>
      <c r="R165"/>
      <c r="S165"/>
      <c r="T165"/>
      <c r="U165"/>
      <c r="V165"/>
      <c r="W165"/>
      <c r="X165"/>
      <c r="Y165"/>
      <c r="Z165"/>
      <c r="AA165"/>
      <c r="AB165"/>
      <c r="AC165"/>
      <c r="AD165"/>
      <c r="AE165"/>
      <c r="AF165"/>
      <c r="AG165"/>
      <c r="AH165"/>
      <c r="AI165"/>
      <c r="AJ165"/>
      <c r="AK165"/>
      <c r="AL165"/>
      <c r="AP165" s="59"/>
      <c r="AQ165" s="59"/>
      <c r="AR165" s="59"/>
    </row>
    <row r="166" spans="2:44" ht="15.95" hidden="1" customHeight="1">
      <c r="B166" s="59"/>
      <c r="C166" s="61"/>
      <c r="D166" s="61"/>
      <c r="E166" s="162"/>
      <c r="F166"/>
      <c r="G166"/>
      <c r="H166"/>
      <c r="I166"/>
      <c r="J166"/>
      <c r="K166"/>
      <c r="L166"/>
      <c r="M166"/>
      <c r="N166"/>
      <c r="O166"/>
      <c r="P166"/>
      <c r="Q166"/>
      <c r="R166"/>
      <c r="S166"/>
      <c r="T166"/>
      <c r="U166"/>
      <c r="V166"/>
      <c r="W166"/>
      <c r="X166"/>
      <c r="Y166"/>
      <c r="Z166"/>
      <c r="AA166"/>
      <c r="AB166"/>
      <c r="AC166"/>
      <c r="AD166"/>
      <c r="AE166"/>
      <c r="AF166"/>
      <c r="AG166"/>
      <c r="AH166"/>
      <c r="AI166"/>
      <c r="AJ166"/>
      <c r="AK166"/>
      <c r="AL166"/>
      <c r="AP166" s="59"/>
      <c r="AQ166" s="59"/>
      <c r="AR166" s="59"/>
    </row>
    <row r="167" spans="2:44" ht="15.95" hidden="1" customHeight="1">
      <c r="B167" s="59"/>
      <c r="C167" s="61"/>
      <c r="D167" s="61"/>
      <c r="E167" s="162"/>
      <c r="F167"/>
      <c r="G167"/>
      <c r="H167"/>
      <c r="I167"/>
      <c r="J167"/>
      <c r="K167"/>
      <c r="L167"/>
      <c r="M167"/>
      <c r="N167"/>
      <c r="O167"/>
      <c r="P167"/>
      <c r="Q167"/>
      <c r="R167"/>
      <c r="S167"/>
      <c r="T167"/>
      <c r="U167"/>
      <c r="V167"/>
      <c r="W167"/>
      <c r="X167"/>
      <c r="Y167"/>
      <c r="Z167"/>
      <c r="AA167"/>
      <c r="AB167"/>
      <c r="AC167"/>
      <c r="AD167"/>
      <c r="AE167"/>
      <c r="AF167"/>
      <c r="AG167"/>
      <c r="AH167"/>
      <c r="AI167"/>
      <c r="AJ167"/>
      <c r="AK167"/>
      <c r="AL167"/>
      <c r="AP167" s="59"/>
      <c r="AQ167" s="59"/>
      <c r="AR167" s="59"/>
    </row>
    <row r="168" spans="2:44" ht="15.95" hidden="1" customHeight="1">
      <c r="B168" s="59"/>
      <c r="C168" s="61"/>
      <c r="D168" s="61"/>
      <c r="E168" s="162"/>
      <c r="F168"/>
      <c r="G168"/>
      <c r="H168"/>
      <c r="I168"/>
      <c r="J168"/>
      <c r="K168"/>
      <c r="L168"/>
      <c r="M168"/>
      <c r="N168"/>
      <c r="O168"/>
      <c r="P168"/>
      <c r="Q168"/>
      <c r="R168"/>
      <c r="S168"/>
      <c r="T168"/>
      <c r="U168"/>
      <c r="V168"/>
      <c r="W168"/>
      <c r="X168"/>
      <c r="Y168"/>
      <c r="Z168"/>
      <c r="AA168"/>
      <c r="AB168"/>
      <c r="AC168"/>
      <c r="AD168"/>
      <c r="AE168"/>
      <c r="AF168"/>
      <c r="AG168"/>
      <c r="AH168"/>
      <c r="AI168"/>
      <c r="AJ168"/>
      <c r="AK168"/>
      <c r="AL168"/>
      <c r="AO168" s="119"/>
      <c r="AP168" s="59"/>
      <c r="AQ168" s="59"/>
      <c r="AR168" s="59"/>
    </row>
    <row r="169" spans="2:44" ht="15.95" hidden="1" customHeight="1">
      <c r="B169" s="59"/>
      <c r="C169" s="61"/>
      <c r="D169" s="61"/>
      <c r="E169" s="162"/>
      <c r="F169"/>
      <c r="G169"/>
      <c r="H169"/>
      <c r="I169"/>
      <c r="J169"/>
      <c r="K169"/>
      <c r="L169"/>
      <c r="M169"/>
      <c r="N169"/>
      <c r="O169"/>
      <c r="P169"/>
      <c r="Q169"/>
      <c r="R169"/>
      <c r="S169"/>
      <c r="T169"/>
      <c r="U169"/>
      <c r="V169"/>
      <c r="W169"/>
      <c r="X169"/>
      <c r="Y169"/>
      <c r="Z169"/>
      <c r="AA169"/>
      <c r="AB169"/>
      <c r="AC169"/>
      <c r="AD169"/>
      <c r="AE169"/>
      <c r="AF169"/>
      <c r="AG169"/>
      <c r="AH169"/>
      <c r="AI169"/>
      <c r="AJ169"/>
      <c r="AK169"/>
      <c r="AL169"/>
      <c r="AO169" s="119"/>
      <c r="AP169" s="59"/>
      <c r="AQ169" s="59"/>
      <c r="AR169" s="59"/>
    </row>
    <row r="170" spans="2:44" ht="15.95" hidden="1" customHeight="1">
      <c r="B170" s="59"/>
      <c r="C170" s="61"/>
      <c r="D170" s="61"/>
      <c r="E170" s="162"/>
      <c r="F170"/>
      <c r="G170"/>
      <c r="H170"/>
      <c r="I170"/>
      <c r="J170"/>
      <c r="K170"/>
      <c r="L170"/>
      <c r="M170"/>
      <c r="N170"/>
      <c r="O170"/>
      <c r="P170"/>
      <c r="Q170"/>
      <c r="R170"/>
      <c r="S170"/>
      <c r="T170"/>
      <c r="U170"/>
      <c r="V170"/>
      <c r="W170"/>
      <c r="X170"/>
      <c r="Y170"/>
      <c r="Z170"/>
      <c r="AA170"/>
      <c r="AB170"/>
      <c r="AC170"/>
      <c r="AD170"/>
      <c r="AE170"/>
      <c r="AF170"/>
      <c r="AG170"/>
      <c r="AH170"/>
      <c r="AI170"/>
      <c r="AJ170"/>
      <c r="AK170"/>
      <c r="AL170"/>
      <c r="AO170" s="59"/>
      <c r="AP170" s="59"/>
      <c r="AQ170" s="59"/>
      <c r="AR170" s="59"/>
    </row>
    <row r="171" spans="2:44" ht="15.95" hidden="1" customHeight="1">
      <c r="B171" s="59"/>
      <c r="C171" s="61"/>
      <c r="D171" s="61"/>
      <c r="E171" s="61"/>
      <c r="F171"/>
      <c r="G171"/>
      <c r="H171"/>
      <c r="I171"/>
      <c r="J171"/>
      <c r="K171"/>
      <c r="L171"/>
      <c r="M171"/>
      <c r="N171"/>
      <c r="O171"/>
      <c r="P171"/>
      <c r="Q171"/>
      <c r="R171"/>
      <c r="S171"/>
      <c r="T171"/>
      <c r="U171"/>
      <c r="V171"/>
      <c r="W171"/>
      <c r="X171"/>
      <c r="Y171"/>
      <c r="Z171"/>
      <c r="AA171"/>
      <c r="AB171"/>
      <c r="AC171"/>
      <c r="AD171"/>
      <c r="AE171"/>
      <c r="AF171"/>
      <c r="AG171"/>
      <c r="AH171"/>
      <c r="AI171"/>
      <c r="AJ171"/>
      <c r="AK171"/>
      <c r="AL171"/>
      <c r="AO171" s="59"/>
      <c r="AP171" s="59"/>
      <c r="AQ171" s="59"/>
      <c r="AR171" s="59"/>
    </row>
    <row r="172" spans="2:44" ht="15.95" hidden="1" customHeight="1">
      <c r="B172" s="59"/>
      <c r="C172" s="61"/>
      <c r="D172" s="61"/>
      <c r="E172" s="61"/>
      <c r="F172"/>
      <c r="G172"/>
      <c r="H172"/>
      <c r="I172"/>
      <c r="J172"/>
      <c r="K172"/>
      <c r="L172"/>
      <c r="M172"/>
      <c r="N172"/>
      <c r="O172"/>
      <c r="P172"/>
      <c r="Q172"/>
      <c r="R172"/>
      <c r="S172"/>
      <c r="T172"/>
      <c r="U172"/>
      <c r="V172"/>
      <c r="W172"/>
      <c r="X172"/>
      <c r="Y172"/>
      <c r="Z172"/>
      <c r="AA172"/>
      <c r="AB172"/>
      <c r="AC172"/>
      <c r="AD172"/>
      <c r="AE172"/>
      <c r="AF172"/>
      <c r="AG172"/>
      <c r="AH172"/>
      <c r="AI172"/>
      <c r="AJ172"/>
      <c r="AK172"/>
      <c r="AL172"/>
      <c r="AO172" s="59"/>
      <c r="AP172" s="59"/>
      <c r="AQ172" s="59"/>
      <c r="AR172" s="59"/>
    </row>
    <row r="173" spans="2:44" ht="15.95" hidden="1" customHeight="1">
      <c r="B173" s="59"/>
      <c r="C173" s="61"/>
      <c r="D173" s="61"/>
      <c r="E173" s="61"/>
      <c r="F173"/>
      <c r="G173"/>
      <c r="H173"/>
      <c r="I173"/>
      <c r="J173"/>
      <c r="K173"/>
      <c r="L173"/>
      <c r="M173"/>
      <c r="N173"/>
      <c r="O173"/>
      <c r="P173"/>
      <c r="Q173"/>
      <c r="R173"/>
      <c r="S173"/>
      <c r="T173"/>
      <c r="U173"/>
      <c r="V173"/>
      <c r="W173"/>
      <c r="X173"/>
      <c r="Y173"/>
      <c r="Z173"/>
      <c r="AA173"/>
      <c r="AB173"/>
      <c r="AC173"/>
      <c r="AD173"/>
      <c r="AE173"/>
      <c r="AF173"/>
      <c r="AG173"/>
      <c r="AH173"/>
      <c r="AI173"/>
      <c r="AJ173"/>
      <c r="AK173"/>
      <c r="AL173"/>
      <c r="AO173" s="59"/>
      <c r="AP173" s="59"/>
      <c r="AQ173" s="59"/>
      <c r="AR173" s="59"/>
    </row>
    <row r="174" spans="2:44" ht="15.95" hidden="1" customHeight="1">
      <c r="B174" s="59"/>
      <c r="C174" s="61"/>
      <c r="D174" s="61"/>
      <c r="E174" s="61"/>
      <c r="F174"/>
      <c r="G174"/>
      <c r="H174"/>
      <c r="I174"/>
      <c r="J174"/>
      <c r="K174"/>
      <c r="L174"/>
      <c r="M174"/>
      <c r="N174"/>
      <c r="O174"/>
      <c r="P174"/>
      <c r="Q174"/>
      <c r="R174"/>
      <c r="S174"/>
      <c r="T174"/>
      <c r="U174"/>
      <c r="V174"/>
      <c r="W174"/>
      <c r="X174"/>
      <c r="Y174"/>
      <c r="Z174"/>
      <c r="AA174"/>
      <c r="AB174"/>
      <c r="AC174"/>
      <c r="AD174"/>
      <c r="AE174"/>
      <c r="AF174"/>
      <c r="AG174"/>
      <c r="AH174"/>
      <c r="AI174"/>
      <c r="AJ174"/>
      <c r="AK174"/>
      <c r="AL174"/>
      <c r="AO174" s="59"/>
      <c r="AP174" s="59"/>
      <c r="AQ174" s="59"/>
      <c r="AR174" s="59"/>
    </row>
    <row r="175" spans="2:44" ht="15.95" hidden="1" customHeight="1">
      <c r="B175" s="59"/>
      <c r="C175" s="61"/>
      <c r="D175" s="61"/>
      <c r="E175" s="61"/>
      <c r="F175"/>
      <c r="G175"/>
      <c r="H175"/>
      <c r="I175"/>
      <c r="J175"/>
      <c r="K175"/>
      <c r="L175"/>
      <c r="M175"/>
      <c r="N175"/>
      <c r="O175"/>
      <c r="P175"/>
      <c r="Q175"/>
      <c r="R175"/>
      <c r="S175"/>
      <c r="T175"/>
      <c r="U175"/>
      <c r="V175"/>
      <c r="W175"/>
      <c r="X175"/>
      <c r="Y175"/>
      <c r="Z175"/>
      <c r="AA175"/>
      <c r="AB175"/>
      <c r="AC175"/>
      <c r="AD175"/>
      <c r="AE175"/>
      <c r="AF175"/>
      <c r="AG175"/>
      <c r="AH175"/>
      <c r="AI175"/>
      <c r="AJ175"/>
      <c r="AK175"/>
      <c r="AL175"/>
      <c r="AO175" s="59"/>
      <c r="AP175" s="59"/>
      <c r="AQ175" s="59"/>
      <c r="AR175" s="59"/>
    </row>
    <row r="176" spans="2:44" ht="15.95" hidden="1" customHeight="1">
      <c r="B176" s="59"/>
      <c r="C176" s="61"/>
      <c r="D176" s="61"/>
      <c r="E176" s="61"/>
      <c r="F176"/>
      <c r="G176"/>
      <c r="H176"/>
      <c r="I176"/>
      <c r="J176"/>
      <c r="K176"/>
      <c r="L176"/>
      <c r="M176"/>
      <c r="N176"/>
      <c r="O176"/>
      <c r="P176"/>
      <c r="Q176"/>
      <c r="R176"/>
      <c r="S176"/>
      <c r="T176"/>
      <c r="U176"/>
      <c r="V176"/>
      <c r="W176"/>
      <c r="X176"/>
      <c r="Y176"/>
      <c r="Z176"/>
      <c r="AA176"/>
      <c r="AB176"/>
      <c r="AC176"/>
      <c r="AD176"/>
      <c r="AE176"/>
      <c r="AF176"/>
      <c r="AG176"/>
      <c r="AH176"/>
      <c r="AI176"/>
      <c r="AJ176"/>
      <c r="AK176"/>
      <c r="AL176"/>
      <c r="AO176" s="59"/>
      <c r="AP176" s="59"/>
      <c r="AQ176" s="59"/>
      <c r="AR176" s="59"/>
    </row>
    <row r="177" spans="2:44" ht="15.95" hidden="1" customHeight="1">
      <c r="B177" s="59"/>
      <c r="C177" s="61"/>
      <c r="D177" s="61"/>
      <c r="E177" s="61"/>
      <c r="F177"/>
      <c r="G177"/>
      <c r="H177"/>
      <c r="I177"/>
      <c r="J177"/>
      <c r="K177"/>
      <c r="L177"/>
      <c r="M177"/>
      <c r="N177"/>
      <c r="O177"/>
      <c r="P177"/>
      <c r="Q177"/>
      <c r="R177"/>
      <c r="S177"/>
      <c r="T177"/>
      <c r="U177"/>
      <c r="V177"/>
      <c r="W177"/>
      <c r="X177"/>
      <c r="Y177"/>
      <c r="Z177"/>
      <c r="AA177"/>
      <c r="AB177"/>
      <c r="AC177"/>
      <c r="AD177"/>
      <c r="AE177"/>
      <c r="AF177"/>
      <c r="AG177"/>
      <c r="AH177"/>
      <c r="AI177"/>
      <c r="AJ177"/>
      <c r="AK177"/>
      <c r="AL177"/>
      <c r="AO177" s="59"/>
      <c r="AP177" s="59"/>
      <c r="AQ177" s="59"/>
      <c r="AR177" s="59"/>
    </row>
    <row r="178" spans="2:44" ht="15.95" hidden="1" customHeight="1">
      <c r="B178" s="59"/>
      <c r="C178" s="61"/>
      <c r="D178" s="61"/>
      <c r="E178" s="61"/>
      <c r="F178"/>
      <c r="G178"/>
      <c r="H178"/>
      <c r="I178"/>
      <c r="J178"/>
      <c r="K178"/>
      <c r="L178"/>
      <c r="M178"/>
      <c r="N178"/>
      <c r="O178"/>
      <c r="P178"/>
      <c r="Q178"/>
      <c r="R178"/>
      <c r="S178"/>
      <c r="T178"/>
      <c r="U178"/>
      <c r="V178"/>
      <c r="W178"/>
      <c r="X178"/>
      <c r="Y178"/>
      <c r="Z178"/>
      <c r="AA178"/>
      <c r="AB178"/>
      <c r="AC178"/>
      <c r="AD178"/>
      <c r="AE178"/>
      <c r="AF178"/>
      <c r="AG178"/>
      <c r="AH178"/>
      <c r="AI178"/>
      <c r="AJ178"/>
      <c r="AK178"/>
      <c r="AL178"/>
      <c r="AO178" s="59"/>
      <c r="AP178" s="59"/>
      <c r="AQ178" s="59"/>
      <c r="AR178" s="59"/>
    </row>
    <row r="179" spans="2:44" ht="15.95" hidden="1" customHeight="1">
      <c r="B179" s="59"/>
      <c r="C179" s="61"/>
      <c r="D179" s="61"/>
      <c r="E179" s="61"/>
      <c r="F179"/>
      <c r="G179"/>
      <c r="H179"/>
      <c r="I179"/>
      <c r="J179"/>
      <c r="K179"/>
      <c r="L179"/>
      <c r="M179"/>
      <c r="N179"/>
      <c r="O179"/>
      <c r="P179"/>
      <c r="Q179"/>
      <c r="R179"/>
      <c r="S179"/>
      <c r="T179"/>
      <c r="U179"/>
      <c r="V179"/>
      <c r="W179"/>
      <c r="X179"/>
      <c r="Y179"/>
      <c r="Z179"/>
      <c r="AA179"/>
      <c r="AB179"/>
      <c r="AC179"/>
      <c r="AD179"/>
      <c r="AE179"/>
      <c r="AF179"/>
      <c r="AG179"/>
      <c r="AH179"/>
      <c r="AI179"/>
      <c r="AJ179"/>
      <c r="AK179"/>
      <c r="AL179"/>
      <c r="AO179" s="59"/>
      <c r="AP179" s="59"/>
      <c r="AQ179" s="59"/>
      <c r="AR179" s="59"/>
    </row>
    <row r="180" spans="2:44" ht="15.95" hidden="1" customHeight="1">
      <c r="B180" s="59"/>
      <c r="C180" s="61"/>
      <c r="D180" s="61"/>
      <c r="E180" s="61"/>
      <c r="F180"/>
      <c r="G180"/>
      <c r="H180"/>
      <c r="I180"/>
      <c r="J180"/>
      <c r="K180"/>
      <c r="L180"/>
      <c r="M180"/>
      <c r="N180"/>
      <c r="O180"/>
      <c r="P180"/>
      <c r="Q180"/>
      <c r="R180"/>
      <c r="S180"/>
      <c r="T180"/>
      <c r="U180"/>
      <c r="V180"/>
      <c r="W180"/>
      <c r="X180"/>
      <c r="Y180"/>
      <c r="Z180"/>
      <c r="AA180"/>
      <c r="AB180"/>
      <c r="AC180"/>
      <c r="AD180"/>
      <c r="AE180"/>
      <c r="AF180"/>
      <c r="AG180"/>
      <c r="AH180"/>
      <c r="AI180"/>
      <c r="AJ180"/>
      <c r="AK180"/>
      <c r="AL180"/>
      <c r="AO180" s="59"/>
      <c r="AP180" s="59"/>
      <c r="AQ180" s="59"/>
      <c r="AR180" s="59"/>
    </row>
    <row r="181" spans="2:44" ht="15.95" hidden="1" customHeight="1">
      <c r="B181" s="59"/>
      <c r="C181" s="61"/>
      <c r="D181" s="61"/>
      <c r="E181" s="61"/>
      <c r="F181"/>
      <c r="G181"/>
      <c r="H181"/>
      <c r="I181"/>
      <c r="J181"/>
      <c r="K181"/>
      <c r="L181"/>
      <c r="M181"/>
      <c r="N181"/>
      <c r="O181"/>
      <c r="P181"/>
      <c r="Q181"/>
      <c r="R181"/>
      <c r="S181"/>
      <c r="T181"/>
      <c r="U181"/>
      <c r="V181"/>
      <c r="W181"/>
      <c r="X181"/>
      <c r="Y181"/>
      <c r="Z181"/>
      <c r="AA181"/>
      <c r="AB181"/>
      <c r="AC181"/>
      <c r="AD181"/>
      <c r="AE181"/>
      <c r="AF181"/>
      <c r="AG181"/>
      <c r="AH181"/>
      <c r="AI181"/>
      <c r="AJ181"/>
      <c r="AK181"/>
      <c r="AL181"/>
      <c r="AO181" s="59"/>
      <c r="AP181" s="59"/>
      <c r="AQ181" s="59"/>
      <c r="AR181" s="59"/>
    </row>
    <row r="182" spans="2:44" ht="15.95" hidden="1" customHeight="1">
      <c r="B182" s="59"/>
      <c r="C182" s="61"/>
      <c r="D182" s="61"/>
      <c r="E182" s="61"/>
      <c r="F182"/>
      <c r="G182"/>
      <c r="H182"/>
      <c r="I182"/>
      <c r="J182"/>
      <c r="K182"/>
      <c r="L182"/>
      <c r="M182"/>
      <c r="N182"/>
      <c r="O182"/>
      <c r="P182"/>
      <c r="Q182"/>
      <c r="R182"/>
      <c r="S182"/>
      <c r="T182"/>
      <c r="U182"/>
      <c r="V182"/>
      <c r="W182"/>
      <c r="X182"/>
      <c r="Y182"/>
      <c r="Z182"/>
      <c r="AA182"/>
      <c r="AB182"/>
      <c r="AC182"/>
      <c r="AD182"/>
      <c r="AE182"/>
      <c r="AF182"/>
      <c r="AG182"/>
      <c r="AH182"/>
      <c r="AI182"/>
      <c r="AJ182"/>
      <c r="AK182"/>
      <c r="AL182"/>
      <c r="AO182" s="59"/>
      <c r="AP182" s="59"/>
      <c r="AQ182" s="59"/>
      <c r="AR182" s="59"/>
    </row>
    <row r="183" spans="2:44" ht="15.95" hidden="1" customHeight="1">
      <c r="B183" s="59"/>
      <c r="C183" s="61"/>
      <c r="D183" s="61"/>
      <c r="E183" s="61"/>
      <c r="F183"/>
      <c r="G183"/>
      <c r="H183"/>
      <c r="I183"/>
      <c r="J183"/>
      <c r="K183"/>
      <c r="L183"/>
      <c r="M183"/>
      <c r="N183"/>
      <c r="O183"/>
      <c r="P183"/>
      <c r="Q183"/>
      <c r="R183"/>
      <c r="S183"/>
      <c r="T183"/>
      <c r="U183"/>
      <c r="V183"/>
      <c r="W183"/>
      <c r="X183"/>
      <c r="Y183"/>
      <c r="Z183"/>
      <c r="AA183"/>
      <c r="AB183"/>
      <c r="AC183"/>
      <c r="AD183"/>
      <c r="AE183"/>
      <c r="AF183"/>
      <c r="AG183"/>
      <c r="AH183"/>
      <c r="AI183"/>
      <c r="AJ183"/>
      <c r="AK183"/>
      <c r="AL183"/>
      <c r="AO183" s="59"/>
      <c r="AP183" s="59"/>
      <c r="AQ183" s="59"/>
      <c r="AR183" s="59"/>
    </row>
    <row r="184" spans="2:44" ht="15.95" hidden="1" customHeight="1">
      <c r="B184" s="59"/>
      <c r="C184" s="61"/>
      <c r="D184" s="61"/>
      <c r="E184" s="61"/>
      <c r="F184"/>
      <c r="G184"/>
      <c r="H184"/>
      <c r="I184"/>
      <c r="J184"/>
      <c r="K184"/>
      <c r="L184"/>
      <c r="M184"/>
      <c r="N184"/>
      <c r="O184"/>
      <c r="P184"/>
      <c r="Q184"/>
      <c r="R184"/>
      <c r="S184"/>
      <c r="T184"/>
      <c r="U184"/>
      <c r="V184"/>
      <c r="W184"/>
      <c r="X184"/>
      <c r="Y184"/>
      <c r="Z184"/>
      <c r="AA184"/>
      <c r="AB184"/>
      <c r="AC184"/>
      <c r="AD184"/>
      <c r="AE184"/>
      <c r="AF184"/>
      <c r="AG184"/>
      <c r="AH184"/>
      <c r="AI184"/>
      <c r="AJ184"/>
      <c r="AK184"/>
      <c r="AL184"/>
      <c r="AO184" s="59"/>
      <c r="AP184" s="59"/>
      <c r="AQ184" s="59"/>
      <c r="AR184" s="59"/>
    </row>
    <row r="185" spans="2:44" ht="15.95" hidden="1" customHeight="1">
      <c r="B185" s="59"/>
      <c r="C185" s="61"/>
      <c r="D185" s="61"/>
      <c r="E185" s="61"/>
      <c r="F185"/>
      <c r="G185"/>
      <c r="H185"/>
      <c r="I185"/>
      <c r="J185"/>
      <c r="K185"/>
      <c r="L185"/>
      <c r="M185"/>
      <c r="N185"/>
      <c r="O185"/>
      <c r="P185"/>
      <c r="Q185"/>
      <c r="R185"/>
      <c r="S185"/>
      <c r="T185"/>
      <c r="U185"/>
      <c r="V185"/>
      <c r="W185"/>
      <c r="X185"/>
      <c r="Y185"/>
      <c r="Z185"/>
      <c r="AA185"/>
      <c r="AB185"/>
      <c r="AC185"/>
      <c r="AD185"/>
      <c r="AE185"/>
      <c r="AF185"/>
      <c r="AG185"/>
      <c r="AH185"/>
      <c r="AI185"/>
      <c r="AJ185"/>
      <c r="AK185"/>
      <c r="AL185"/>
      <c r="AO185" s="59"/>
      <c r="AP185" s="59"/>
      <c r="AQ185" s="59"/>
      <c r="AR185" s="59"/>
    </row>
    <row r="186" spans="2:44" ht="15.95" hidden="1" customHeight="1">
      <c r="B186" s="59"/>
      <c r="C186" s="61"/>
      <c r="D186" s="61"/>
      <c r="E186" s="61"/>
      <c r="F186"/>
      <c r="G186"/>
      <c r="H186"/>
      <c r="I186"/>
      <c r="J186"/>
      <c r="K186"/>
      <c r="L186"/>
      <c r="M186"/>
      <c r="N186"/>
      <c r="O186"/>
      <c r="P186"/>
      <c r="Q186"/>
      <c r="R186"/>
      <c r="S186"/>
      <c r="T186"/>
      <c r="U186"/>
      <c r="V186"/>
      <c r="W186"/>
      <c r="X186"/>
      <c r="Y186"/>
      <c r="Z186"/>
      <c r="AA186"/>
      <c r="AB186"/>
      <c r="AC186"/>
      <c r="AD186"/>
      <c r="AE186"/>
      <c r="AF186"/>
      <c r="AG186"/>
      <c r="AH186"/>
      <c r="AI186"/>
      <c r="AJ186"/>
      <c r="AK186"/>
      <c r="AL186"/>
      <c r="AO186" s="59"/>
      <c r="AP186" s="59"/>
      <c r="AQ186" s="59"/>
      <c r="AR186" s="59"/>
    </row>
    <row r="187" spans="2:44" ht="15.95" hidden="1" customHeight="1">
      <c r="B187" s="59"/>
      <c r="C187" s="61"/>
      <c r="D187" s="61"/>
      <c r="E187" s="61"/>
      <c r="F187"/>
      <c r="G187"/>
      <c r="H187"/>
      <c r="I187"/>
      <c r="J187"/>
      <c r="K187"/>
      <c r="L187"/>
      <c r="M187"/>
      <c r="N187"/>
      <c r="O187"/>
      <c r="P187"/>
      <c r="Q187"/>
      <c r="R187"/>
      <c r="S187"/>
      <c r="T187"/>
      <c r="U187"/>
      <c r="V187"/>
      <c r="W187"/>
      <c r="X187"/>
      <c r="Y187"/>
      <c r="Z187"/>
      <c r="AA187"/>
      <c r="AB187"/>
      <c r="AC187"/>
      <c r="AD187"/>
      <c r="AE187"/>
      <c r="AF187"/>
      <c r="AG187"/>
      <c r="AH187"/>
      <c r="AI187"/>
      <c r="AJ187"/>
      <c r="AK187"/>
      <c r="AL187"/>
      <c r="AO187" s="59"/>
      <c r="AP187" s="59"/>
      <c r="AQ187" s="59"/>
      <c r="AR187" s="59"/>
    </row>
    <row r="188" spans="2:44" ht="15.75" hidden="1" customHeight="1">
      <c r="B188" s="59"/>
      <c r="C188" s="61"/>
      <c r="D188" s="61"/>
      <c r="E188" s="61"/>
      <c r="F188"/>
      <c r="G188"/>
      <c r="H188"/>
      <c r="I188"/>
      <c r="J188"/>
      <c r="K188"/>
      <c r="L188"/>
      <c r="M188"/>
      <c r="N188"/>
      <c r="O188"/>
      <c r="P188"/>
      <c r="Q188"/>
      <c r="R188"/>
      <c r="S188"/>
      <c r="T188"/>
      <c r="U188"/>
      <c r="V188"/>
      <c r="W188"/>
      <c r="X188"/>
      <c r="Y188"/>
      <c r="Z188"/>
      <c r="AA188"/>
      <c r="AB188"/>
      <c r="AC188"/>
      <c r="AD188"/>
      <c r="AE188"/>
      <c r="AF188"/>
      <c r="AG188"/>
      <c r="AH188"/>
      <c r="AI188"/>
      <c r="AJ188"/>
      <c r="AK188"/>
      <c r="AL188"/>
      <c r="AO188" s="166"/>
      <c r="AP188" s="59"/>
      <c r="AQ188" s="59"/>
      <c r="AR188" s="59"/>
    </row>
    <row r="189" spans="2:44" ht="15.75" hidden="1" customHeight="1">
      <c r="B189" s="59"/>
      <c r="C189" s="61"/>
      <c r="D189" s="61"/>
      <c r="E189" s="61"/>
      <c r="F189"/>
      <c r="G189"/>
      <c r="H189"/>
      <c r="I189"/>
      <c r="J189"/>
      <c r="K189"/>
      <c r="L189"/>
      <c r="M189"/>
      <c r="N189"/>
      <c r="O189"/>
      <c r="P189"/>
      <c r="Q189"/>
      <c r="R189"/>
      <c r="S189"/>
      <c r="T189"/>
      <c r="U189"/>
      <c r="V189"/>
      <c r="W189"/>
      <c r="X189"/>
      <c r="Y189"/>
      <c r="Z189"/>
      <c r="AA189"/>
      <c r="AB189"/>
      <c r="AC189"/>
      <c r="AD189"/>
      <c r="AE189"/>
      <c r="AF189"/>
      <c r="AG189"/>
      <c r="AH189"/>
      <c r="AI189"/>
      <c r="AJ189"/>
      <c r="AK189"/>
      <c r="AL189"/>
      <c r="AO189" s="166"/>
      <c r="AP189" s="59"/>
      <c r="AQ189" s="59"/>
      <c r="AR189" s="59"/>
    </row>
    <row r="190" spans="2:44" ht="15.75" hidden="1" customHeight="1">
      <c r="B190" s="59"/>
      <c r="C190" s="61"/>
      <c r="D190" s="61"/>
      <c r="E190" s="61"/>
      <c r="F190"/>
      <c r="G190"/>
      <c r="H190"/>
      <c r="I190"/>
      <c r="J190"/>
      <c r="K190"/>
      <c r="L190"/>
      <c r="M190"/>
      <c r="N190"/>
      <c r="O190"/>
      <c r="P190"/>
      <c r="Q190"/>
      <c r="R190"/>
      <c r="S190"/>
      <c r="T190"/>
      <c r="U190"/>
      <c r="V190"/>
      <c r="W190"/>
      <c r="X190"/>
      <c r="Y190"/>
      <c r="Z190"/>
      <c r="AA190"/>
      <c r="AB190"/>
      <c r="AC190"/>
      <c r="AD190"/>
      <c r="AE190"/>
      <c r="AF190"/>
      <c r="AG190"/>
      <c r="AH190"/>
      <c r="AI190"/>
      <c r="AJ190"/>
      <c r="AK190"/>
      <c r="AL190"/>
      <c r="AO190" s="166"/>
      <c r="AP190" s="59"/>
      <c r="AQ190" s="59"/>
      <c r="AR190" s="59"/>
    </row>
    <row r="191" spans="2:44" ht="15.75" hidden="1" customHeight="1">
      <c r="B191" s="59"/>
      <c r="C191" s="61"/>
      <c r="D191" s="61"/>
      <c r="E191" s="61"/>
      <c r="F191"/>
      <c r="G191"/>
      <c r="H191"/>
      <c r="I191"/>
      <c r="J191"/>
      <c r="K191"/>
      <c r="L191"/>
      <c r="M191"/>
      <c r="N191"/>
      <c r="O191"/>
      <c r="P191"/>
      <c r="Q191"/>
      <c r="R191"/>
      <c r="S191"/>
      <c r="T191"/>
      <c r="U191"/>
      <c r="V191"/>
      <c r="W191"/>
      <c r="X191"/>
      <c r="Y191"/>
      <c r="Z191"/>
      <c r="AA191"/>
      <c r="AB191"/>
      <c r="AC191"/>
      <c r="AD191"/>
      <c r="AE191"/>
      <c r="AF191"/>
      <c r="AG191"/>
      <c r="AH191"/>
      <c r="AI191"/>
      <c r="AJ191"/>
      <c r="AK191"/>
      <c r="AL191"/>
      <c r="AO191" s="166"/>
      <c r="AP191" s="59"/>
      <c r="AQ191" s="59"/>
      <c r="AR191" s="59"/>
    </row>
    <row r="192" spans="2:44" ht="15.75" hidden="1" customHeight="1">
      <c r="B192" s="59"/>
      <c r="C192" s="61"/>
      <c r="D192" s="61"/>
      <c r="E192" s="61"/>
      <c r="F192"/>
      <c r="G192"/>
      <c r="H192"/>
      <c r="I192"/>
      <c r="J192"/>
      <c r="K192"/>
      <c r="L192"/>
      <c r="M192"/>
      <c r="N192"/>
      <c r="O192"/>
      <c r="P192"/>
      <c r="Q192"/>
      <c r="R192"/>
      <c r="S192"/>
      <c r="T192"/>
      <c r="U192"/>
      <c r="V192"/>
      <c r="W192"/>
      <c r="X192"/>
      <c r="Y192"/>
      <c r="Z192"/>
      <c r="AA192"/>
      <c r="AB192"/>
      <c r="AC192"/>
      <c r="AD192"/>
      <c r="AE192"/>
      <c r="AF192"/>
      <c r="AG192"/>
      <c r="AH192"/>
      <c r="AI192"/>
      <c r="AJ192"/>
      <c r="AK192"/>
      <c r="AL192"/>
      <c r="AO192" s="166"/>
      <c r="AP192" s="59"/>
      <c r="AQ192" s="59"/>
      <c r="AR192" s="59"/>
    </row>
    <row r="193" spans="2:44" ht="15.75" hidden="1" customHeight="1">
      <c r="B193" s="59"/>
      <c r="C193" s="61"/>
      <c r="D193" s="61"/>
      <c r="E193" s="61"/>
      <c r="F193"/>
      <c r="G193"/>
      <c r="H193"/>
      <c r="I193"/>
      <c r="J193"/>
      <c r="K193"/>
      <c r="L193"/>
      <c r="M193"/>
      <c r="N193"/>
      <c r="O193"/>
      <c r="P193"/>
      <c r="Q193"/>
      <c r="R193"/>
      <c r="S193"/>
      <c r="T193"/>
      <c r="U193"/>
      <c r="V193"/>
      <c r="W193"/>
      <c r="X193"/>
      <c r="Y193"/>
      <c r="Z193"/>
      <c r="AA193"/>
      <c r="AB193"/>
      <c r="AC193"/>
      <c r="AD193"/>
      <c r="AE193"/>
      <c r="AF193"/>
      <c r="AG193"/>
      <c r="AH193"/>
      <c r="AI193"/>
      <c r="AJ193"/>
      <c r="AK193"/>
      <c r="AL193"/>
      <c r="AO193" s="166"/>
      <c r="AP193" s="59"/>
      <c r="AQ193" s="59"/>
      <c r="AR193" s="59"/>
    </row>
    <row r="194" spans="2:44" ht="15.75" hidden="1" customHeight="1">
      <c r="B194" s="59"/>
      <c r="C194" s="61"/>
      <c r="D194" s="61"/>
      <c r="E194" s="61"/>
      <c r="F194"/>
      <c r="G194"/>
      <c r="H194"/>
      <c r="I194"/>
      <c r="J194"/>
      <c r="K194"/>
      <c r="L194"/>
      <c r="M194"/>
      <c r="N194"/>
      <c r="O194"/>
      <c r="P194"/>
      <c r="Q194"/>
      <c r="R194"/>
      <c r="S194"/>
      <c r="T194"/>
      <c r="U194"/>
      <c r="V194"/>
      <c r="W194"/>
      <c r="X194"/>
      <c r="Y194"/>
      <c r="Z194"/>
      <c r="AA194"/>
      <c r="AB194"/>
      <c r="AC194"/>
      <c r="AD194"/>
      <c r="AE194"/>
      <c r="AF194"/>
      <c r="AG194"/>
      <c r="AH194"/>
      <c r="AI194"/>
      <c r="AJ194"/>
      <c r="AK194"/>
      <c r="AL194"/>
      <c r="AO194" s="166"/>
      <c r="AP194" s="59"/>
      <c r="AQ194" s="59"/>
      <c r="AR194" s="59"/>
    </row>
    <row r="195" spans="2:44" ht="15.75" hidden="1" customHeight="1">
      <c r="B195" s="59"/>
      <c r="C195" s="61"/>
      <c r="D195" s="61"/>
      <c r="E195" s="61"/>
      <c r="F195"/>
      <c r="G195"/>
      <c r="H195"/>
      <c r="I195"/>
      <c r="J195"/>
      <c r="K195"/>
      <c r="L195"/>
      <c r="M195"/>
      <c r="N195"/>
      <c r="O195"/>
      <c r="P195"/>
      <c r="Q195"/>
      <c r="R195"/>
      <c r="S195"/>
      <c r="T195"/>
      <c r="U195"/>
      <c r="V195"/>
      <c r="W195"/>
      <c r="X195"/>
      <c r="Y195"/>
      <c r="Z195"/>
      <c r="AA195"/>
      <c r="AB195"/>
      <c r="AC195"/>
      <c r="AD195"/>
      <c r="AE195"/>
      <c r="AF195"/>
      <c r="AG195"/>
      <c r="AH195"/>
      <c r="AI195"/>
      <c r="AJ195"/>
      <c r="AK195"/>
      <c r="AL195"/>
      <c r="AO195" s="166"/>
      <c r="AP195" s="59"/>
      <c r="AQ195" s="59"/>
      <c r="AR195" s="59"/>
    </row>
    <row r="196" spans="2:44" ht="15.75" hidden="1" customHeight="1">
      <c r="B196" s="59"/>
      <c r="C196" s="61"/>
      <c r="D196" s="61"/>
      <c r="E196" s="61"/>
      <c r="F196" s="61"/>
      <c r="G196" s="61"/>
      <c r="H196" s="61"/>
      <c r="I196" s="61"/>
      <c r="J196" s="61"/>
      <c r="K196" s="61"/>
      <c r="L196" s="61"/>
      <c r="M196" s="61"/>
      <c r="N196" s="61"/>
      <c r="O196" s="61"/>
      <c r="P196" s="61"/>
      <c r="Q196" s="61"/>
      <c r="R196" s="61"/>
      <c r="S196" s="61"/>
      <c r="T196" s="61"/>
      <c r="U196" s="61"/>
      <c r="V196" s="61"/>
      <c r="W196" s="61"/>
      <c r="X196" s="61"/>
      <c r="Y196" s="61"/>
      <c r="Z196" s="61"/>
      <c r="AA196" s="61"/>
      <c r="AB196" s="61"/>
      <c r="AC196" s="61"/>
      <c r="AD196" s="61"/>
      <c r="AE196" s="61"/>
      <c r="AF196" s="61"/>
      <c r="AG196" s="61"/>
      <c r="AM196" s="59"/>
      <c r="AN196" s="59"/>
      <c r="AO196" s="166"/>
      <c r="AP196" s="59"/>
      <c r="AQ196" s="59"/>
      <c r="AR196" s="59"/>
    </row>
    <row r="197" spans="2:44" ht="15.75" hidden="1" customHeight="1">
      <c r="B197" s="59"/>
      <c r="C197" s="61"/>
      <c r="D197" s="61"/>
      <c r="E197" s="61"/>
      <c r="F197" s="61"/>
      <c r="G197" s="61"/>
      <c r="H197" s="61"/>
      <c r="I197" s="61"/>
      <c r="J197" s="61"/>
      <c r="K197" s="61"/>
      <c r="L197" s="61"/>
      <c r="M197" s="61"/>
      <c r="N197" s="61"/>
      <c r="O197" s="61"/>
      <c r="P197" s="61"/>
      <c r="Q197" s="61"/>
      <c r="R197" s="61"/>
      <c r="S197" s="61"/>
      <c r="T197" s="61"/>
      <c r="U197" s="61"/>
      <c r="V197" s="61"/>
      <c r="W197" s="61"/>
      <c r="X197" s="61"/>
      <c r="Y197" s="61"/>
      <c r="Z197" s="61"/>
      <c r="AA197" s="61"/>
      <c r="AB197" s="61"/>
      <c r="AC197" s="61"/>
      <c r="AD197" s="61"/>
      <c r="AE197" s="61"/>
      <c r="AF197" s="61"/>
      <c r="AG197" s="61"/>
      <c r="AM197" s="59"/>
      <c r="AN197" s="59"/>
      <c r="AO197" s="166"/>
      <c r="AP197" s="59"/>
      <c r="AQ197" s="59"/>
      <c r="AR197" s="59"/>
    </row>
    <row r="198" spans="2:44" ht="15.75" hidden="1" customHeight="1">
      <c r="B198" s="59"/>
      <c r="C198" s="61"/>
      <c r="D198" s="61"/>
      <c r="E198" s="61"/>
      <c r="F198" s="61"/>
      <c r="G198" s="61"/>
      <c r="H198" s="61"/>
      <c r="I198" s="61"/>
      <c r="J198" s="61"/>
      <c r="K198" s="61"/>
      <c r="L198" s="61"/>
      <c r="M198" s="61"/>
      <c r="N198" s="61"/>
      <c r="O198" s="61"/>
      <c r="P198" s="61"/>
      <c r="Q198" s="61"/>
      <c r="R198" s="61"/>
      <c r="S198" s="61"/>
      <c r="T198" s="61"/>
      <c r="U198" s="61"/>
      <c r="V198" s="61"/>
      <c r="W198" s="61"/>
      <c r="X198" s="61"/>
      <c r="Y198" s="61"/>
      <c r="Z198" s="61"/>
      <c r="AA198" s="61"/>
      <c r="AB198" s="61"/>
      <c r="AC198" s="61"/>
      <c r="AD198" s="61"/>
      <c r="AE198" s="61"/>
      <c r="AF198" s="61"/>
      <c r="AG198" s="61"/>
      <c r="AM198" s="59"/>
      <c r="AN198" s="59"/>
      <c r="AO198" s="166"/>
      <c r="AP198" s="59"/>
      <c r="AQ198" s="59"/>
      <c r="AR198" s="59"/>
    </row>
    <row r="199" spans="2:44" ht="15.95" hidden="1" customHeight="1">
      <c r="B199" s="59"/>
      <c r="C199" s="61"/>
      <c r="D199" s="61"/>
      <c r="E199" s="61"/>
      <c r="F199" s="61"/>
      <c r="G199" s="61"/>
      <c r="H199" s="61"/>
      <c r="I199" s="61"/>
      <c r="J199" s="61"/>
      <c r="K199" s="61"/>
      <c r="L199" s="61"/>
      <c r="M199" s="61"/>
      <c r="N199" s="61"/>
      <c r="O199" s="61"/>
      <c r="P199" s="61"/>
      <c r="Q199" s="61"/>
      <c r="R199" s="61"/>
      <c r="S199" s="61"/>
      <c r="T199" s="61"/>
      <c r="U199" s="61"/>
      <c r="V199" s="61"/>
      <c r="W199" s="61"/>
      <c r="X199" s="61"/>
      <c r="Y199" s="61"/>
      <c r="Z199" s="61"/>
      <c r="AA199" s="61"/>
      <c r="AB199" s="61"/>
      <c r="AC199" s="61"/>
      <c r="AD199" s="61"/>
      <c r="AE199" s="61"/>
      <c r="AF199" s="61"/>
      <c r="AG199" s="61"/>
      <c r="AM199" s="59"/>
      <c r="AN199" s="59"/>
      <c r="AO199" s="59"/>
      <c r="AP199" s="59"/>
      <c r="AQ199" s="59"/>
      <c r="AR199" s="59"/>
    </row>
    <row r="200" spans="2:44" ht="15.95" customHeight="1">
      <c r="B200" s="277" t="str">
        <f>FOOT1</f>
        <v>NIPSCO Energy Efficiency Program</v>
      </c>
      <c r="C200" s="278"/>
      <c r="D200" s="278"/>
      <c r="E200" s="278"/>
      <c r="F200" s="278"/>
      <c r="G200" s="278"/>
      <c r="H200" s="278"/>
      <c r="I200" s="278"/>
      <c r="J200" s="278"/>
      <c r="K200" s="278"/>
      <c r="L200" s="278"/>
      <c r="M200" s="694" t="str">
        <f>FOOT4</f>
        <v>NIPSCO’s energy efficiency programs are administered by TRC, a third‐party implementation specialist that helps homes and businesses save energy.</v>
      </c>
      <c r="N200" s="694"/>
      <c r="O200" s="694"/>
      <c r="P200" s="694"/>
      <c r="Q200" s="694"/>
      <c r="R200" s="694"/>
      <c r="S200" s="694"/>
      <c r="T200" s="694"/>
      <c r="U200" s="694"/>
      <c r="V200" s="694"/>
      <c r="W200" s="694"/>
      <c r="X200" s="694"/>
      <c r="Y200" s="694"/>
      <c r="Z200" s="694"/>
      <c r="AA200" s="694"/>
      <c r="AB200" s="694"/>
      <c r="AC200" s="694"/>
      <c r="AD200" s="694"/>
      <c r="AE200" s="694"/>
      <c r="AF200" s="694"/>
      <c r="AG200" s="694"/>
      <c r="AH200" s="279"/>
      <c r="AI200" s="279"/>
      <c r="AJ200" s="279"/>
      <c r="AK200" s="279"/>
      <c r="AL200" s="279"/>
      <c r="AM200" s="277"/>
      <c r="AN200" s="277"/>
      <c r="AO200" s="277"/>
      <c r="AP200" s="277"/>
      <c r="AQ200" s="277"/>
      <c r="AR200" s="280" t="str">
        <f>FOOTDISCLAIM</f>
        <v/>
      </c>
    </row>
    <row r="201" spans="2:44" ht="15.75" customHeight="1">
      <c r="B201" s="277" t="str">
        <f>FOOT2</f>
        <v>Toll-Free 800-299-2501</v>
      </c>
      <c r="C201" s="278"/>
      <c r="D201" s="278"/>
      <c r="E201" s="278"/>
      <c r="F201" s="278"/>
      <c r="G201" s="278"/>
      <c r="H201" s="278"/>
      <c r="I201" s="278"/>
      <c r="J201" s="278"/>
      <c r="K201" s="278"/>
      <c r="L201" s="278"/>
      <c r="M201" s="694"/>
      <c r="N201" s="694"/>
      <c r="O201" s="694"/>
      <c r="P201" s="694"/>
      <c r="Q201" s="694"/>
      <c r="R201" s="694"/>
      <c r="S201" s="694"/>
      <c r="T201" s="694"/>
      <c r="U201" s="694"/>
      <c r="V201" s="694"/>
      <c r="W201" s="694"/>
      <c r="X201" s="694"/>
      <c r="Y201" s="694"/>
      <c r="Z201" s="694"/>
      <c r="AA201" s="694"/>
      <c r="AB201" s="694"/>
      <c r="AC201" s="694"/>
      <c r="AD201" s="694"/>
      <c r="AE201" s="694"/>
      <c r="AF201" s="694"/>
      <c r="AG201" s="694"/>
      <c r="AH201" s="279"/>
      <c r="AI201" s="279"/>
      <c r="AJ201" s="279"/>
      <c r="AK201" s="279"/>
      <c r="AL201" s="279"/>
      <c r="AM201" s="277"/>
      <c r="AN201" s="277"/>
      <c r="AO201" s="277"/>
      <c r="AP201" s="277"/>
      <c r="AQ201" s="277"/>
      <c r="AR201" s="280" t="str">
        <f>FOOT5</f>
        <v/>
      </c>
    </row>
    <row r="202" spans="2:44" ht="15" customHeight="1">
      <c r="B202" s="281" t="s">
        <v>1547</v>
      </c>
      <c r="C202" s="278"/>
      <c r="D202" s="278"/>
      <c r="E202" s="278"/>
      <c r="F202" s="278"/>
      <c r="G202" s="278"/>
      <c r="H202" s="278"/>
      <c r="I202" s="278"/>
      <c r="J202" s="278"/>
      <c r="K202" s="278"/>
      <c r="L202" s="278"/>
      <c r="M202" s="282"/>
      <c r="N202" s="278"/>
      <c r="O202" s="278"/>
      <c r="P202" s="282"/>
      <c r="Q202" s="282"/>
      <c r="R202" s="282"/>
      <c r="S202" s="282"/>
      <c r="T202" s="282"/>
      <c r="U202" s="282"/>
      <c r="V202" s="282"/>
      <c r="W202" s="283" t="str">
        <f>VERSION</f>
        <v>Custom Prescriptive Application v3.7.1</v>
      </c>
      <c r="X202" s="282"/>
      <c r="Y202" s="282"/>
      <c r="Z202" s="282"/>
      <c r="AA202" s="282"/>
      <c r="AB202" s="282"/>
      <c r="AC202" s="282"/>
      <c r="AD202" s="282"/>
      <c r="AE202" s="278"/>
      <c r="AF202" s="278"/>
      <c r="AG202" s="278"/>
      <c r="AH202" s="279"/>
      <c r="AI202" s="279"/>
      <c r="AJ202" s="279"/>
      <c r="AK202" s="279"/>
      <c r="AL202" s="279"/>
      <c r="AM202" s="277"/>
      <c r="AN202" s="277"/>
      <c r="AO202" s="277"/>
      <c r="AP202" s="277"/>
      <c r="AQ202" s="277"/>
      <c r="AR202" s="280" t="str">
        <f>FOOT6</f>
        <v>Product of TRC</v>
      </c>
    </row>
    <row r="203" spans="2:44" ht="15" hidden="1" customHeight="1"/>
    <row r="204" spans="2:44" ht="15" hidden="1" customHeight="1"/>
    <row r="205" spans="2:44" ht="15" hidden="1" customHeight="1"/>
    <row r="206" spans="2:44" ht="15" hidden="1" customHeight="1"/>
    <row r="207" spans="2:44" ht="15" hidden="1" customHeight="1"/>
    <row r="208" spans="2:44" ht="15" hidden="1" customHeight="1"/>
    <row r="209" ht="15" hidden="1" customHeight="1"/>
    <row r="210" ht="15" hidden="1" customHeight="1"/>
    <row r="211" ht="15" hidden="1" customHeight="1"/>
    <row r="212" ht="15" hidden="1" customHeight="1"/>
    <row r="213" ht="15" hidden="1" customHeight="1"/>
    <row r="214" ht="15" hidden="1" customHeight="1"/>
    <row r="215" ht="15" hidden="1" customHeight="1"/>
    <row r="216" ht="15" hidden="1" customHeight="1"/>
    <row r="217" ht="15" hidden="1" customHeight="1"/>
    <row r="218" ht="15" hidden="1" customHeight="1"/>
    <row r="219" ht="15" hidden="1" customHeight="1"/>
    <row r="220" ht="15" hidden="1" customHeight="1"/>
    <row r="221" ht="15" hidden="1" customHeight="1"/>
    <row r="222" ht="15" hidden="1" customHeight="1"/>
    <row r="223" ht="15" hidden="1" customHeight="1"/>
    <row r="224" ht="15" hidden="1" customHeight="1"/>
    <row r="225" ht="15" hidden="1" customHeight="1"/>
    <row r="226" ht="15" hidden="1" customHeight="1"/>
    <row r="227" ht="15" hidden="1" customHeight="1"/>
    <row r="228" ht="15" hidden="1" customHeight="1"/>
    <row r="229" ht="15" hidden="1" customHeight="1"/>
    <row r="230" ht="15" hidden="1" customHeight="1"/>
    <row r="231" ht="15" hidden="1" customHeight="1"/>
    <row r="232" ht="15" hidden="1" customHeight="1"/>
    <row r="233" ht="15" hidden="1" customHeight="1"/>
    <row r="234" ht="15" hidden="1" customHeight="1"/>
    <row r="235" ht="15" hidden="1" customHeight="1"/>
    <row r="236" ht="15" hidden="1" customHeight="1"/>
    <row r="237" ht="15" hidden="1" customHeight="1"/>
    <row r="238" ht="15" hidden="1" customHeight="1"/>
    <row r="239" ht="15" hidden="1" customHeight="1"/>
    <row r="240" ht="15" hidden="1" customHeight="1"/>
    <row r="241" ht="15" hidden="1" customHeight="1"/>
    <row r="242" ht="15" hidden="1" customHeight="1"/>
    <row r="243" ht="15" hidden="1" customHeight="1"/>
    <row r="244" ht="15" hidden="1" customHeight="1"/>
    <row r="245" ht="15" hidden="1" customHeight="1"/>
    <row r="246" ht="15" hidden="1" customHeight="1"/>
    <row r="247" ht="15" hidden="1" customHeight="1"/>
    <row r="248" ht="15" hidden="1" customHeight="1"/>
    <row r="249" ht="15" hidden="1" customHeight="1"/>
    <row r="250" ht="15" hidden="1" customHeight="1"/>
    <row r="251" ht="15" hidden="1" customHeight="1"/>
    <row r="252" ht="15" hidden="1" customHeight="1"/>
    <row r="253" ht="15" hidden="1" customHeight="1"/>
    <row r="254" ht="15" hidden="1" customHeight="1"/>
    <row r="255" ht="15" hidden="1" customHeight="1"/>
    <row r="256" ht="15" hidden="1" customHeight="1"/>
    <row r="257" ht="15" hidden="1" customHeight="1"/>
    <row r="258" ht="15" hidden="1" customHeight="1"/>
    <row r="259" ht="15" hidden="1" customHeight="1"/>
    <row r="260" ht="15" hidden="1" customHeight="1"/>
    <row r="261" ht="15" hidden="1" customHeight="1"/>
    <row r="262" ht="15" hidden="1" customHeight="1"/>
    <row r="263" ht="15" hidden="1" customHeight="1"/>
    <row r="264" ht="15" hidden="1" customHeight="1"/>
    <row r="265" ht="15" hidden="1" customHeight="1"/>
    <row r="266" ht="15" hidden="1" customHeight="1"/>
    <row r="267" ht="15" hidden="1" customHeight="1"/>
    <row r="268" ht="15" hidden="1" customHeight="1"/>
    <row r="269" ht="15" hidden="1" customHeight="1"/>
    <row r="270" ht="15" hidden="1" customHeight="1"/>
    <row r="271" ht="15" hidden="1" customHeight="1"/>
    <row r="272" ht="15" hidden="1" customHeight="1"/>
    <row r="273" ht="15" hidden="1" customHeight="1"/>
    <row r="274" ht="15" hidden="1" customHeight="1"/>
    <row r="275" ht="15" hidden="1" customHeight="1"/>
    <row r="276" ht="15" hidden="1" customHeight="1"/>
    <row r="277" ht="15" hidden="1" customHeight="1"/>
    <row r="278" ht="15" hidden="1" customHeight="1"/>
    <row r="279" ht="15" hidden="1" customHeight="1"/>
  </sheetData>
  <sheetProtection algorithmName="SHA-512" hashValue="FkEtuW8OUqx/tzsPino/P4S/nvlGRZilHXm2yTwqqx9T3WRC3TEW1a8kRURSYJfq63tIrXovCUEwotlI6byYog==" saltValue="zOqbKHfsB05A3q/fxTX4sQ==" spinCount="100000" sheet="1" objects="1" scenarios="1" selectLockedCells="1"/>
  <mergeCells count="8">
    <mergeCell ref="M200:AG201"/>
    <mergeCell ref="AQ2:AR3"/>
    <mergeCell ref="F10:AN10"/>
    <mergeCell ref="AH1:AK1"/>
    <mergeCell ref="AL1:AP1"/>
    <mergeCell ref="AH2:AK3"/>
    <mergeCell ref="AL2:AP3"/>
    <mergeCell ref="AQ1:AR1"/>
  </mergeCells>
  <conditionalFormatting sqref="AH2 AL2">
    <cfRule type="expression" dxfId="280" priority="1">
      <formula>PROJSTATUS=PROJSTATELI</formula>
    </cfRule>
    <cfRule type="expression" dxfId="279" priority="2">
      <formula>PROJSTATUS=PROJSTATREVIEW</formula>
    </cfRule>
    <cfRule type="expression" dxfId="278" priority="6">
      <formula>PROJSTATUS=PROJSTATPREAPPROVE</formula>
    </cfRule>
    <cfRule type="expression" dxfId="277" priority="7">
      <formula>PROJSTATUS=PROJSTATSTANDARD</formula>
    </cfRule>
    <cfRule type="expression" dxfId="276" priority="8">
      <formula>PROJSTATUS=PROJSTATEXP</formula>
    </cfRule>
  </conditionalFormatting>
  <conditionalFormatting sqref="AQ2:AR3">
    <cfRule type="cellIs" dxfId="275" priority="3" operator="equal">
      <formula>1</formula>
    </cfRule>
    <cfRule type="cellIs" dxfId="274" priority="4" operator="between">
      <formula>0.51</formula>
      <formula>0.99</formula>
    </cfRule>
    <cfRule type="cellIs" dxfId="273" priority="5" operator="lessThanOrEqual">
      <formula>0.5</formula>
    </cfRule>
  </conditionalFormatting>
  <hyperlinks>
    <hyperlink ref="B202" r:id="rId1" xr:uid="{0E492F8A-E506-4CF2-BCC3-7524B5835264}"/>
  </hyperlinks>
  <pageMargins left="0.25" right="0.25" top="0.25" bottom="0.25" header="0.25" footer="0.25"/>
  <pageSetup scale="55" fitToHeight="0" orientation="portrait" r:id="rId2"/>
  <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6">
    <pageSetUpPr fitToPage="1"/>
  </sheetPr>
  <dimension ref="A1:AU202"/>
  <sheetViews>
    <sheetView showGridLines="0" showRowColHeaders="0" zoomScale="85" zoomScaleNormal="85" workbookViewId="0">
      <selection activeCell="F19" sqref="F19:G19"/>
    </sheetView>
  </sheetViews>
  <sheetFormatPr defaultColWidth="0" defaultRowHeight="15" customHeight="1" zeroHeight="1"/>
  <cols>
    <col min="1" max="45" width="4.7109375" customWidth="1"/>
    <col min="46" max="16384" width="9.140625" hidden="1"/>
  </cols>
  <sheetData>
    <row r="1" spans="2:44" ht="15.95" customHeight="1">
      <c r="AH1" s="686" t="s">
        <v>471</v>
      </c>
      <c r="AI1" s="686"/>
      <c r="AJ1" s="686"/>
      <c r="AK1" s="686"/>
      <c r="AL1" s="687" t="s">
        <v>736</v>
      </c>
      <c r="AM1" s="687"/>
      <c r="AN1" s="687"/>
      <c r="AO1" s="687"/>
      <c r="AP1" s="687"/>
      <c r="AQ1" s="683" t="s">
        <v>474</v>
      </c>
      <c r="AR1" s="683"/>
    </row>
    <row r="2" spans="2:44" ht="15.95" customHeight="1">
      <c r="AH2" s="688" t="str">
        <f ca="1">INCENSTATUS</f>
        <v>---</v>
      </c>
      <c r="AI2" s="689"/>
      <c r="AJ2" s="689"/>
      <c r="AK2" s="689"/>
      <c r="AL2" s="690" t="str">
        <f ca="1">PROJSTATUS</f>
        <v>Enter Measures</v>
      </c>
      <c r="AM2" s="690"/>
      <c r="AN2" s="690"/>
      <c r="AO2" s="690"/>
      <c r="AP2" s="690"/>
      <c r="AQ2" s="684">
        <f ca="1">PROGRESSSTATUS</f>
        <v>2.8985507246376812E-2</v>
      </c>
      <c r="AR2" s="685"/>
    </row>
    <row r="3" spans="2:44" ht="15.95" customHeight="1">
      <c r="AH3" s="680"/>
      <c r="AI3" s="681"/>
      <c r="AJ3" s="681"/>
      <c r="AK3" s="681"/>
      <c r="AL3" s="673"/>
      <c r="AM3" s="673"/>
      <c r="AN3" s="673"/>
      <c r="AO3" s="673"/>
      <c r="AP3" s="673"/>
      <c r="AQ3" s="667"/>
      <c r="AR3" s="668"/>
    </row>
    <row r="4" spans="2:44" ht="15.95" customHeight="1">
      <c r="AR4" s="171"/>
    </row>
    <row r="5" spans="2:44" ht="15.95" customHeight="1"/>
    <row r="6" spans="2:44" ht="15.95" customHeight="1"/>
    <row r="7" spans="2:44" ht="15.95" customHeight="1"/>
    <row r="8" spans="2:44" ht="15.95" customHeight="1"/>
    <row r="9" spans="2:44" ht="15.95" customHeight="1">
      <c r="B9" s="59"/>
      <c r="C9" s="59"/>
      <c r="D9" s="59"/>
      <c r="E9" s="59"/>
      <c r="F9" s="59"/>
      <c r="G9" s="59"/>
      <c r="H9" s="59"/>
      <c r="I9" s="59"/>
      <c r="J9" s="59"/>
      <c r="K9" s="59"/>
      <c r="L9" s="59"/>
      <c r="M9" s="59"/>
      <c r="N9" s="59"/>
      <c r="O9" s="59"/>
      <c r="P9" s="59"/>
      <c r="Q9" s="59"/>
      <c r="R9" s="59"/>
      <c r="S9" s="59"/>
      <c r="T9" s="59"/>
      <c r="U9" s="59"/>
      <c r="V9" s="59"/>
      <c r="W9" s="59"/>
      <c r="X9" s="59"/>
      <c r="Y9" s="59"/>
      <c r="Z9" s="59"/>
      <c r="AA9" s="59"/>
      <c r="AB9" s="59"/>
      <c r="AC9" s="59"/>
      <c r="AD9" s="59"/>
      <c r="AE9" s="59"/>
      <c r="AF9" s="59"/>
      <c r="AG9" s="59"/>
      <c r="AH9" s="59"/>
      <c r="AI9" s="59"/>
      <c r="AJ9" s="59"/>
      <c r="AK9" s="59"/>
      <c r="AL9" s="59"/>
      <c r="AM9" s="59"/>
      <c r="AN9" s="59"/>
      <c r="AO9" s="59"/>
      <c r="AP9" s="59"/>
      <c r="AQ9" s="59"/>
      <c r="AR9" s="59"/>
    </row>
    <row r="10" spans="2:44" ht="15.95" customHeight="1">
      <c r="B10" s="59"/>
      <c r="C10" s="59"/>
      <c r="D10" s="59"/>
      <c r="E10" s="59"/>
      <c r="F10" s="691" t="s">
        <v>889</v>
      </c>
      <c r="G10" s="691"/>
      <c r="H10" s="691"/>
      <c r="I10" s="691"/>
      <c r="J10" s="691"/>
      <c r="K10" s="691"/>
      <c r="L10" s="691"/>
      <c r="M10" s="691"/>
      <c r="N10" s="691"/>
      <c r="O10" s="691"/>
      <c r="P10" s="691"/>
      <c r="Q10" s="691"/>
      <c r="R10" s="691"/>
      <c r="S10" s="691"/>
      <c r="T10" s="691"/>
      <c r="U10" s="691"/>
      <c r="V10" s="691"/>
      <c r="W10" s="691"/>
      <c r="X10" s="691"/>
      <c r="Y10" s="691"/>
      <c r="Z10" s="691"/>
      <c r="AA10" s="691"/>
      <c r="AB10" s="691"/>
      <c r="AC10" s="691"/>
      <c r="AD10" s="691"/>
      <c r="AE10" s="691"/>
      <c r="AF10" s="691"/>
      <c r="AG10" s="691"/>
      <c r="AH10" s="691"/>
      <c r="AI10" s="691"/>
      <c r="AJ10" s="691"/>
      <c r="AK10" s="691"/>
      <c r="AL10" s="691"/>
      <c r="AM10" s="691"/>
      <c r="AN10" s="691"/>
      <c r="AO10" s="59"/>
      <c r="AP10" s="59"/>
      <c r="AQ10" s="59"/>
      <c r="AR10" s="59"/>
    </row>
    <row r="11" spans="2:44" ht="15.95" customHeight="1">
      <c r="B11" s="59"/>
      <c r="C11" s="59"/>
      <c r="D11" s="59"/>
      <c r="E11" s="59"/>
      <c r="F11" s="187"/>
      <c r="G11" s="187"/>
      <c r="H11" s="187"/>
      <c r="I11" s="187"/>
      <c r="J11" s="187"/>
      <c r="K11" s="187"/>
      <c r="L11" s="187"/>
      <c r="M11" s="187"/>
      <c r="N11" s="187"/>
      <c r="O11" s="187"/>
      <c r="P11" s="187"/>
      <c r="Q11" s="187"/>
      <c r="R11" s="187"/>
      <c r="S11" s="187"/>
      <c r="T11" s="187"/>
      <c r="U11" s="187"/>
      <c r="V11" s="187"/>
      <c r="W11" s="187"/>
      <c r="X11" s="187"/>
      <c r="Y11" s="187"/>
      <c r="Z11" s="187"/>
      <c r="AA11" s="187"/>
      <c r="AB11" s="187"/>
      <c r="AC11" s="187"/>
      <c r="AD11" s="187"/>
      <c r="AE11" s="187"/>
      <c r="AF11" s="187"/>
      <c r="AG11" s="187"/>
      <c r="AH11" s="187"/>
      <c r="AI11" s="187"/>
      <c r="AJ11" s="187"/>
      <c r="AK11" s="187"/>
      <c r="AL11" s="187"/>
      <c r="AM11" s="187"/>
      <c r="AN11" s="187"/>
      <c r="AO11" s="59"/>
      <c r="AP11" s="59"/>
      <c r="AQ11" s="59"/>
      <c r="AR11" s="59"/>
    </row>
    <row r="12" spans="2:44" ht="15.95" customHeight="1">
      <c r="B12" s="59"/>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59"/>
      <c r="AE12" s="59"/>
      <c r="AF12" s="59"/>
      <c r="AG12" s="59"/>
      <c r="AH12" s="59"/>
      <c r="AI12" s="59"/>
      <c r="AJ12" s="59"/>
      <c r="AK12" s="59"/>
      <c r="AL12" s="59"/>
      <c r="AM12" s="59"/>
      <c r="AN12" s="59"/>
      <c r="AO12" s="59"/>
      <c r="AP12" s="59"/>
      <c r="AQ12" s="59"/>
      <c r="AR12" s="59"/>
    </row>
    <row r="13" spans="2:44" ht="15.95" customHeight="1">
      <c r="B13" s="59"/>
      <c r="C13" s="69" t="s">
        <v>770</v>
      </c>
      <c r="D13" s="70"/>
      <c r="E13" s="70"/>
      <c r="F13" s="70"/>
      <c r="G13" s="70"/>
      <c r="H13" s="70"/>
      <c r="I13" s="70"/>
      <c r="J13" s="70"/>
      <c r="K13" s="70"/>
      <c r="L13" s="70"/>
      <c r="M13" s="70"/>
      <c r="N13" s="70"/>
      <c r="O13" s="70"/>
      <c r="P13" s="70"/>
      <c r="Q13" s="70"/>
      <c r="R13" s="59"/>
      <c r="S13" s="59"/>
      <c r="T13" s="59"/>
      <c r="U13" s="71"/>
      <c r="V13" s="71"/>
      <c r="W13" s="59"/>
      <c r="X13" s="59"/>
      <c r="Y13" s="59"/>
      <c r="Z13" s="59"/>
      <c r="AA13" s="59"/>
      <c r="AB13" s="59"/>
      <c r="AC13" s="59"/>
      <c r="AD13" s="59"/>
      <c r="AE13" s="59"/>
      <c r="AF13" s="59"/>
      <c r="AG13" s="59"/>
      <c r="AH13" s="59"/>
      <c r="AI13" s="59"/>
      <c r="AJ13" s="59"/>
      <c r="AK13" s="59"/>
      <c r="AL13" s="59"/>
      <c r="AM13" s="59"/>
      <c r="AN13" s="59"/>
      <c r="AO13" s="59"/>
      <c r="AP13" s="59"/>
      <c r="AQ13" s="59"/>
      <c r="AR13" s="59"/>
    </row>
    <row r="14" spans="2:44" ht="15.95" customHeight="1">
      <c r="B14" s="59"/>
      <c r="C14" s="697" t="s">
        <v>886</v>
      </c>
      <c r="D14" s="697"/>
      <c r="E14" s="697"/>
      <c r="F14" s="697"/>
      <c r="G14" s="697"/>
      <c r="H14" s="72"/>
      <c r="I14" s="72"/>
      <c r="J14" s="697" t="s">
        <v>2433</v>
      </c>
      <c r="K14" s="697"/>
      <c r="L14" s="697"/>
      <c r="M14" s="697"/>
      <c r="N14" s="697"/>
      <c r="O14" s="697"/>
      <c r="P14" s="697"/>
      <c r="Q14" s="697"/>
      <c r="R14" s="697"/>
      <c r="S14" s="697"/>
      <c r="T14" s="697"/>
      <c r="U14" s="697"/>
      <c r="V14" s="697"/>
      <c r="W14" s="697"/>
      <c r="X14" s="697"/>
      <c r="Y14" s="73"/>
      <c r="AA14" s="697" t="s">
        <v>893</v>
      </c>
      <c r="AB14" s="697"/>
      <c r="AC14" s="697"/>
      <c r="AD14" s="697"/>
      <c r="AE14" s="697"/>
      <c r="AF14" s="73"/>
      <c r="AG14" s="73"/>
      <c r="AH14" s="73"/>
      <c r="AI14" s="73"/>
      <c r="AJ14" s="73"/>
      <c r="AK14" s="73"/>
      <c r="AL14" s="73"/>
      <c r="AM14" s="73"/>
      <c r="AN14" s="73"/>
      <c r="AO14" s="59"/>
      <c r="AP14" s="59"/>
      <c r="AQ14" s="59"/>
      <c r="AR14" s="59"/>
    </row>
    <row r="15" spans="2:44" ht="15.95" customHeight="1">
      <c r="B15" s="59"/>
      <c r="C15" s="697"/>
      <c r="D15" s="697"/>
      <c r="E15" s="697"/>
      <c r="F15" s="697"/>
      <c r="G15" s="697"/>
      <c r="H15" s="74"/>
      <c r="I15" s="74"/>
      <c r="J15" s="697"/>
      <c r="K15" s="697"/>
      <c r="L15" s="697"/>
      <c r="M15" s="697"/>
      <c r="N15" s="697"/>
      <c r="O15" s="697"/>
      <c r="P15" s="697"/>
      <c r="Q15" s="697"/>
      <c r="R15" s="697"/>
      <c r="S15" s="697"/>
      <c r="T15" s="697"/>
      <c r="U15" s="697"/>
      <c r="V15" s="697"/>
      <c r="W15" s="697"/>
      <c r="X15" s="697"/>
      <c r="Y15" s="73"/>
      <c r="AA15" s="697"/>
      <c r="AB15" s="697"/>
      <c r="AC15" s="697"/>
      <c r="AD15" s="697"/>
      <c r="AE15" s="697"/>
      <c r="AF15" s="73"/>
      <c r="AG15" s="73"/>
      <c r="AH15" s="699" t="s">
        <v>771</v>
      </c>
      <c r="AI15" s="699"/>
      <c r="AJ15" s="699"/>
      <c r="AK15" s="699"/>
      <c r="AL15" s="699"/>
      <c r="AM15" s="699"/>
      <c r="AN15" s="699"/>
      <c r="AO15" s="699"/>
      <c r="AP15" s="699"/>
      <c r="AQ15" s="59"/>
      <c r="AR15" s="59"/>
    </row>
    <row r="16" spans="2:44" ht="15.95" customHeight="1">
      <c r="B16" s="59"/>
      <c r="C16" s="697"/>
      <c r="D16" s="697"/>
      <c r="E16" s="697"/>
      <c r="F16" s="697"/>
      <c r="G16" s="697"/>
      <c r="H16" s="74"/>
      <c r="I16" s="74"/>
      <c r="J16" s="697"/>
      <c r="K16" s="697"/>
      <c r="L16" s="697"/>
      <c r="M16" s="697"/>
      <c r="N16" s="697"/>
      <c r="O16" s="697"/>
      <c r="P16" s="697"/>
      <c r="Q16" s="697"/>
      <c r="R16" s="697"/>
      <c r="S16" s="697"/>
      <c r="T16" s="697"/>
      <c r="U16" s="697"/>
      <c r="V16" s="697"/>
      <c r="W16" s="697"/>
      <c r="X16" s="697"/>
      <c r="Y16" s="75"/>
      <c r="AA16" s="697"/>
      <c r="AB16" s="697"/>
      <c r="AC16" s="697"/>
      <c r="AD16" s="697"/>
      <c r="AE16" s="697"/>
      <c r="AF16" s="75"/>
      <c r="AG16" s="75"/>
      <c r="AH16" s="700">
        <f>(F26*AD19)-X30</f>
        <v>0</v>
      </c>
      <c r="AI16" s="700"/>
      <c r="AJ16" s="700"/>
      <c r="AK16" s="700"/>
      <c r="AL16" s="700"/>
      <c r="AM16" s="700"/>
      <c r="AN16" s="700"/>
      <c r="AO16" s="700"/>
      <c r="AP16" s="700"/>
      <c r="AQ16" s="59"/>
      <c r="AR16" s="59"/>
    </row>
    <row r="17" spans="2:47" ht="15.95" customHeight="1">
      <c r="B17" s="59"/>
      <c r="C17" s="697"/>
      <c r="D17" s="697"/>
      <c r="E17" s="697"/>
      <c r="F17" s="697"/>
      <c r="G17" s="697"/>
      <c r="H17" s="76"/>
      <c r="I17" s="76"/>
      <c r="J17" s="701" t="s">
        <v>772</v>
      </c>
      <c r="K17" s="701"/>
      <c r="L17" s="701"/>
      <c r="M17" s="702" t="s">
        <v>138</v>
      </c>
      <c r="N17" s="702"/>
      <c r="O17" s="702"/>
      <c r="P17" s="703" t="s">
        <v>773</v>
      </c>
      <c r="Q17" s="703"/>
      <c r="R17" s="703"/>
      <c r="S17" s="703"/>
      <c r="T17" s="703"/>
      <c r="U17" s="703"/>
      <c r="V17" s="703" t="s">
        <v>774</v>
      </c>
      <c r="W17" s="703"/>
      <c r="X17" s="142" t="s">
        <v>911</v>
      </c>
      <c r="Y17" s="59"/>
      <c r="AA17" s="697"/>
      <c r="AB17" s="697"/>
      <c r="AC17" s="697"/>
      <c r="AD17" s="697"/>
      <c r="AE17" s="697"/>
      <c r="AF17" s="75"/>
      <c r="AG17" s="75"/>
      <c r="AH17" s="75"/>
      <c r="AI17" s="75"/>
      <c r="AJ17" s="75"/>
      <c r="AK17" s="75"/>
      <c r="AL17" s="75"/>
      <c r="AM17" s="75"/>
      <c r="AN17" s="75"/>
      <c r="AO17" s="75"/>
      <c r="AP17" s="59"/>
      <c r="AQ17" s="59"/>
      <c r="AR17" s="59"/>
    </row>
    <row r="18" spans="2:47" ht="15.95" customHeight="1">
      <c r="B18" s="59"/>
      <c r="C18" s="698"/>
      <c r="D18" s="698"/>
      <c r="E18" s="698"/>
      <c r="F18" s="698"/>
      <c r="G18" s="698"/>
      <c r="H18" s="76"/>
      <c r="I18" s="76"/>
      <c r="J18" s="704" t="str">
        <f t="shared" ref="J18:J28" si="0">TEXT(M18,"dddd")</f>
        <v>Wednesday</v>
      </c>
      <c r="K18" s="704"/>
      <c r="L18" s="704"/>
      <c r="M18" s="705">
        <v>45658</v>
      </c>
      <c r="N18" s="705"/>
      <c r="O18" s="705"/>
      <c r="P18" s="706" t="s">
        <v>2235</v>
      </c>
      <c r="Q18" s="706"/>
      <c r="R18" s="706"/>
      <c r="S18" s="706"/>
      <c r="T18" s="706"/>
      <c r="U18" s="706"/>
      <c r="V18" s="707"/>
      <c r="W18" s="707"/>
      <c r="X18" s="77" t="str">
        <f>IF(AU18=TRUE,VLOOKUP(J18,$C$19:$G$25,4,FALSE),"")</f>
        <v/>
      </c>
      <c r="Y18" s="99"/>
      <c r="AA18" s="698"/>
      <c r="AB18" s="698"/>
      <c r="AC18" s="698"/>
      <c r="AD18" s="698"/>
      <c r="AE18" s="698"/>
      <c r="AF18" s="75"/>
      <c r="AG18" s="75"/>
      <c r="AH18" s="75"/>
      <c r="AI18" s="75"/>
      <c r="AJ18" s="75"/>
      <c r="AK18" s="75"/>
      <c r="AL18" s="75"/>
      <c r="AM18" s="75"/>
      <c r="AN18" s="75"/>
      <c r="AO18" s="75"/>
      <c r="AP18" s="59"/>
      <c r="AQ18" s="59"/>
      <c r="AR18" s="59"/>
      <c r="AU18" s="79" t="b">
        <v>0</v>
      </c>
    </row>
    <row r="19" spans="2:47" ht="15.95" customHeight="1">
      <c r="B19" s="59"/>
      <c r="C19" s="710" t="s">
        <v>775</v>
      </c>
      <c r="D19" s="710"/>
      <c r="E19" s="710"/>
      <c r="F19" s="711"/>
      <c r="G19" s="711"/>
      <c r="H19" s="76"/>
      <c r="I19" s="76"/>
      <c r="J19" s="704" t="str">
        <f t="shared" si="0"/>
        <v>Monday</v>
      </c>
      <c r="K19" s="704"/>
      <c r="L19" s="704"/>
      <c r="M19" s="705">
        <v>45677</v>
      </c>
      <c r="N19" s="705"/>
      <c r="O19" s="705"/>
      <c r="P19" s="706" t="s">
        <v>776</v>
      </c>
      <c r="Q19" s="706"/>
      <c r="R19" s="706"/>
      <c r="S19" s="706"/>
      <c r="T19" s="706"/>
      <c r="U19" s="706"/>
      <c r="V19" s="707"/>
      <c r="W19" s="707"/>
      <c r="X19" s="77" t="str">
        <f t="shared" ref="X19:X28" si="1">IF(AU19=TRUE,VLOOKUP(J19,$C$19:$G$25,4,FALSE),"")</f>
        <v/>
      </c>
      <c r="Y19" s="99"/>
      <c r="AA19" s="706" t="s">
        <v>777</v>
      </c>
      <c r="AB19" s="706"/>
      <c r="AC19" s="706"/>
      <c r="AD19" s="708">
        <v>52.14</v>
      </c>
      <c r="AE19" s="709"/>
      <c r="AF19" s="75"/>
      <c r="AG19" s="75"/>
      <c r="AH19" s="75"/>
      <c r="AI19" s="75"/>
      <c r="AJ19" s="75"/>
      <c r="AK19" s="75"/>
      <c r="AL19" s="75"/>
      <c r="AM19" s="75"/>
      <c r="AN19" s="75"/>
      <c r="AO19" s="75"/>
      <c r="AP19" s="59"/>
      <c r="AQ19" s="59"/>
      <c r="AR19" s="59"/>
      <c r="AU19" s="79" t="b">
        <v>0</v>
      </c>
    </row>
    <row r="20" spans="2:47" ht="15.95" customHeight="1">
      <c r="B20" s="59"/>
      <c r="C20" s="710" t="s">
        <v>778</v>
      </c>
      <c r="D20" s="710"/>
      <c r="E20" s="710"/>
      <c r="F20" s="711"/>
      <c r="G20" s="711"/>
      <c r="H20" s="76"/>
      <c r="I20" s="76"/>
      <c r="J20" s="704" t="str">
        <f t="shared" si="0"/>
        <v>Monday</v>
      </c>
      <c r="K20" s="704"/>
      <c r="L20" s="704"/>
      <c r="M20" s="705">
        <v>45705</v>
      </c>
      <c r="N20" s="705"/>
      <c r="O20" s="705"/>
      <c r="P20" s="706" t="s">
        <v>779</v>
      </c>
      <c r="Q20" s="706"/>
      <c r="R20" s="706"/>
      <c r="S20" s="706"/>
      <c r="T20" s="706"/>
      <c r="U20" s="706"/>
      <c r="V20" s="707"/>
      <c r="W20" s="707"/>
      <c r="X20" s="77" t="str">
        <f t="shared" si="1"/>
        <v/>
      </c>
      <c r="Y20" s="99"/>
      <c r="AA20" s="59"/>
      <c r="AB20" s="75"/>
      <c r="AC20" s="59"/>
      <c r="AD20" s="59"/>
      <c r="AE20" s="59"/>
      <c r="AF20" s="75"/>
      <c r="AG20" s="75"/>
      <c r="AH20" s="75"/>
      <c r="AI20" s="75"/>
      <c r="AJ20" s="75"/>
      <c r="AK20" s="75"/>
      <c r="AL20" s="75"/>
      <c r="AM20" s="75"/>
      <c r="AN20" s="75"/>
      <c r="AO20" s="75"/>
      <c r="AP20" s="59"/>
      <c r="AQ20" s="59"/>
      <c r="AR20" s="59"/>
      <c r="AU20" s="80" t="b">
        <v>0</v>
      </c>
    </row>
    <row r="21" spans="2:47" ht="15.95" customHeight="1">
      <c r="B21" s="59"/>
      <c r="C21" s="710" t="s">
        <v>780</v>
      </c>
      <c r="D21" s="710"/>
      <c r="E21" s="710"/>
      <c r="F21" s="711"/>
      <c r="G21" s="711"/>
      <c r="H21" s="76"/>
      <c r="I21" s="76"/>
      <c r="J21" s="704" t="str">
        <f t="shared" si="0"/>
        <v>Monday</v>
      </c>
      <c r="K21" s="704"/>
      <c r="L21" s="704"/>
      <c r="M21" s="705">
        <v>45803</v>
      </c>
      <c r="N21" s="705"/>
      <c r="O21" s="705"/>
      <c r="P21" s="706" t="s">
        <v>781</v>
      </c>
      <c r="Q21" s="706"/>
      <c r="R21" s="706"/>
      <c r="S21" s="706"/>
      <c r="T21" s="706"/>
      <c r="U21" s="706"/>
      <c r="V21" s="707"/>
      <c r="W21" s="707"/>
      <c r="X21" s="77" t="str">
        <f t="shared" si="1"/>
        <v/>
      </c>
      <c r="Y21" s="99"/>
      <c r="AA21" s="59"/>
      <c r="AB21" s="75"/>
      <c r="AC21" s="75"/>
      <c r="AD21" s="75"/>
      <c r="AE21" s="75"/>
      <c r="AF21" s="75"/>
      <c r="AG21" s="75"/>
      <c r="AH21" s="75"/>
      <c r="AI21" s="75"/>
      <c r="AJ21" s="75"/>
      <c r="AK21" s="75"/>
      <c r="AL21" s="75"/>
      <c r="AM21" s="75"/>
      <c r="AN21" s="75"/>
      <c r="AO21" s="75"/>
      <c r="AP21" s="75"/>
      <c r="AQ21" s="59"/>
      <c r="AR21" s="59"/>
      <c r="AU21" s="80" t="b">
        <v>0</v>
      </c>
    </row>
    <row r="22" spans="2:47" ht="15.95" customHeight="1">
      <c r="B22" s="59"/>
      <c r="C22" s="710" t="s">
        <v>782</v>
      </c>
      <c r="D22" s="710"/>
      <c r="E22" s="710"/>
      <c r="F22" s="711"/>
      <c r="G22" s="711"/>
      <c r="H22" s="76"/>
      <c r="I22" s="76"/>
      <c r="J22" s="704" t="str">
        <f t="shared" si="0"/>
        <v>Friday</v>
      </c>
      <c r="K22" s="704"/>
      <c r="L22" s="704"/>
      <c r="M22" s="705">
        <v>45842</v>
      </c>
      <c r="N22" s="705"/>
      <c r="O22" s="705"/>
      <c r="P22" s="706" t="s">
        <v>1785</v>
      </c>
      <c r="Q22" s="706"/>
      <c r="R22" s="706"/>
      <c r="S22" s="706"/>
      <c r="T22" s="706"/>
      <c r="U22" s="706"/>
      <c r="V22" s="707"/>
      <c r="W22" s="707"/>
      <c r="X22" s="77" t="str">
        <f t="shared" si="1"/>
        <v/>
      </c>
      <c r="Y22" s="99"/>
      <c r="AA22" s="695" t="s">
        <v>894</v>
      </c>
      <c r="AB22" s="695"/>
      <c r="AC22" s="695"/>
      <c r="AD22" s="695"/>
      <c r="AE22" s="695"/>
      <c r="AF22" s="695"/>
      <c r="AG22" s="695"/>
      <c r="AH22" s="695"/>
      <c r="AI22" s="695"/>
      <c r="AJ22" s="695"/>
      <c r="AK22" s="695"/>
      <c r="AL22" s="695"/>
      <c r="AM22" s="695"/>
      <c r="AN22" s="695"/>
      <c r="AO22" s="695"/>
      <c r="AP22" s="695"/>
      <c r="AQ22" s="59"/>
      <c r="AR22" s="59"/>
      <c r="AU22" s="81" t="b">
        <v>0</v>
      </c>
    </row>
    <row r="23" spans="2:47" ht="15.95" customHeight="1">
      <c r="B23" s="59"/>
      <c r="C23" s="710" t="s">
        <v>783</v>
      </c>
      <c r="D23" s="710"/>
      <c r="E23" s="710"/>
      <c r="F23" s="711"/>
      <c r="G23" s="711"/>
      <c r="H23" s="76"/>
      <c r="I23" s="76"/>
      <c r="J23" s="704" t="str">
        <f t="shared" si="0"/>
        <v>Monday</v>
      </c>
      <c r="K23" s="704"/>
      <c r="L23" s="704"/>
      <c r="M23" s="705">
        <v>45901</v>
      </c>
      <c r="N23" s="705"/>
      <c r="O23" s="705"/>
      <c r="P23" s="706" t="s">
        <v>784</v>
      </c>
      <c r="Q23" s="706"/>
      <c r="R23" s="706"/>
      <c r="S23" s="706"/>
      <c r="T23" s="706"/>
      <c r="U23" s="706"/>
      <c r="V23" s="707"/>
      <c r="W23" s="707"/>
      <c r="X23" s="77" t="str">
        <f t="shared" si="1"/>
        <v/>
      </c>
      <c r="Y23" s="99"/>
      <c r="AA23" s="132" t="s">
        <v>869</v>
      </c>
      <c r="AB23" s="696" t="s">
        <v>873</v>
      </c>
      <c r="AC23" s="695"/>
      <c r="AD23" s="695"/>
      <c r="AE23" s="695"/>
      <c r="AF23" s="695"/>
      <c r="AG23" s="695"/>
      <c r="AH23" s="695"/>
      <c r="AI23" s="695"/>
      <c r="AJ23" s="695"/>
      <c r="AK23" s="695"/>
      <c r="AL23" s="695"/>
      <c r="AM23" s="695"/>
      <c r="AN23" s="695"/>
      <c r="AO23" s="695"/>
      <c r="AP23" s="695"/>
      <c r="AQ23" s="59"/>
      <c r="AR23" s="59"/>
      <c r="AU23" s="81" t="b">
        <v>0</v>
      </c>
    </row>
    <row r="24" spans="2:47" ht="15.95" customHeight="1">
      <c r="B24" s="59"/>
      <c r="C24" s="710" t="s">
        <v>785</v>
      </c>
      <c r="D24" s="710"/>
      <c r="E24" s="710"/>
      <c r="F24" s="711"/>
      <c r="G24" s="711"/>
      <c r="H24" s="76"/>
      <c r="I24" s="76"/>
      <c r="J24" s="704" t="str">
        <f t="shared" si="0"/>
        <v>Monday</v>
      </c>
      <c r="K24" s="704"/>
      <c r="L24" s="704"/>
      <c r="M24" s="705">
        <v>45943</v>
      </c>
      <c r="N24" s="705"/>
      <c r="O24" s="705"/>
      <c r="P24" s="706" t="s">
        <v>786</v>
      </c>
      <c r="Q24" s="706"/>
      <c r="R24" s="706"/>
      <c r="S24" s="706"/>
      <c r="T24" s="706"/>
      <c r="U24" s="706"/>
      <c r="V24" s="707"/>
      <c r="W24" s="707"/>
      <c r="X24" s="77" t="str">
        <f t="shared" si="1"/>
        <v/>
      </c>
      <c r="Y24" s="99"/>
      <c r="AA24" s="133"/>
      <c r="AB24" s="695"/>
      <c r="AC24" s="695"/>
      <c r="AD24" s="695"/>
      <c r="AE24" s="695"/>
      <c r="AF24" s="695"/>
      <c r="AG24" s="695"/>
      <c r="AH24" s="695"/>
      <c r="AI24" s="695"/>
      <c r="AJ24" s="695"/>
      <c r="AK24" s="695"/>
      <c r="AL24" s="695"/>
      <c r="AM24" s="695"/>
      <c r="AN24" s="695"/>
      <c r="AO24" s="695"/>
      <c r="AP24" s="695"/>
      <c r="AQ24" s="59"/>
      <c r="AR24" s="59"/>
      <c r="AU24" s="81"/>
    </row>
    <row r="25" spans="2:47" ht="15.95" customHeight="1">
      <c r="B25" s="59"/>
      <c r="C25" s="710" t="s">
        <v>787</v>
      </c>
      <c r="D25" s="710"/>
      <c r="E25" s="710"/>
      <c r="F25" s="711"/>
      <c r="G25" s="711"/>
      <c r="H25" s="76"/>
      <c r="I25" s="76"/>
      <c r="J25" s="704" t="str">
        <f t="shared" si="0"/>
        <v>Tuesday</v>
      </c>
      <c r="K25" s="704"/>
      <c r="L25" s="704"/>
      <c r="M25" s="705">
        <v>45972</v>
      </c>
      <c r="N25" s="705"/>
      <c r="O25" s="705"/>
      <c r="P25" s="706" t="s">
        <v>2234</v>
      </c>
      <c r="Q25" s="706"/>
      <c r="R25" s="706"/>
      <c r="S25" s="706"/>
      <c r="T25" s="706"/>
      <c r="U25" s="706"/>
      <c r="V25" s="707"/>
      <c r="W25" s="707"/>
      <c r="X25" s="77" t="str">
        <f t="shared" si="1"/>
        <v/>
      </c>
      <c r="Y25" s="99"/>
      <c r="Z25" s="78"/>
      <c r="AA25" s="133"/>
      <c r="AB25" s="695"/>
      <c r="AC25" s="695"/>
      <c r="AD25" s="695"/>
      <c r="AE25" s="695"/>
      <c r="AF25" s="695"/>
      <c r="AG25" s="695"/>
      <c r="AH25" s="695"/>
      <c r="AI25" s="695"/>
      <c r="AJ25" s="695"/>
      <c r="AK25" s="695"/>
      <c r="AL25" s="695"/>
      <c r="AM25" s="695"/>
      <c r="AN25" s="695"/>
      <c r="AO25" s="695"/>
      <c r="AP25" s="695"/>
      <c r="AQ25" s="59"/>
      <c r="AR25" s="59"/>
      <c r="AU25" s="81"/>
    </row>
    <row r="26" spans="2:47" ht="15.95" customHeight="1">
      <c r="B26" s="59"/>
      <c r="C26" s="712" t="s">
        <v>788</v>
      </c>
      <c r="D26" s="712"/>
      <c r="E26" s="712"/>
      <c r="F26" s="713">
        <f>SUM(F19:G25)</f>
        <v>0</v>
      </c>
      <c r="G26" s="713"/>
      <c r="H26" s="76"/>
      <c r="I26" s="76"/>
      <c r="J26" s="704" t="str">
        <f t="shared" si="0"/>
        <v>Thursday</v>
      </c>
      <c r="K26" s="704"/>
      <c r="L26" s="704"/>
      <c r="M26" s="705">
        <v>45988</v>
      </c>
      <c r="N26" s="705"/>
      <c r="O26" s="705"/>
      <c r="P26" s="706" t="s">
        <v>789</v>
      </c>
      <c r="Q26" s="706"/>
      <c r="R26" s="706"/>
      <c r="S26" s="706"/>
      <c r="T26" s="706"/>
      <c r="U26" s="706"/>
      <c r="V26" s="707"/>
      <c r="W26" s="707"/>
      <c r="X26" s="77" t="str">
        <f t="shared" si="1"/>
        <v/>
      </c>
      <c r="Y26" s="99"/>
      <c r="Z26" s="78"/>
      <c r="AA26" s="132" t="s">
        <v>869</v>
      </c>
      <c r="AB26" s="695" t="s">
        <v>790</v>
      </c>
      <c r="AC26" s="695"/>
      <c r="AD26" s="695"/>
      <c r="AE26" s="695"/>
      <c r="AF26" s="695"/>
      <c r="AG26" s="695"/>
      <c r="AH26" s="695"/>
      <c r="AI26" s="695"/>
      <c r="AJ26" s="695"/>
      <c r="AK26" s="695"/>
      <c r="AL26" s="695"/>
      <c r="AM26" s="695"/>
      <c r="AN26" s="695"/>
      <c r="AO26" s="695"/>
      <c r="AP26" s="695"/>
      <c r="AQ26" s="59"/>
      <c r="AR26" s="59"/>
      <c r="AU26" s="81" t="b">
        <v>0</v>
      </c>
    </row>
    <row r="27" spans="2:47" ht="15.95" customHeight="1">
      <c r="B27" s="59"/>
      <c r="C27" s="76"/>
      <c r="D27" s="76"/>
      <c r="E27" s="76"/>
      <c r="F27" s="76"/>
      <c r="G27" s="76"/>
      <c r="H27" s="76"/>
      <c r="I27" s="76"/>
      <c r="J27" s="704" t="str">
        <f t="shared" si="0"/>
        <v>Wednesday</v>
      </c>
      <c r="K27" s="704"/>
      <c r="L27" s="704"/>
      <c r="M27" s="705">
        <v>46015</v>
      </c>
      <c r="N27" s="705"/>
      <c r="O27" s="705"/>
      <c r="P27" s="706" t="s">
        <v>791</v>
      </c>
      <c r="Q27" s="706"/>
      <c r="R27" s="706"/>
      <c r="S27" s="706"/>
      <c r="T27" s="706"/>
      <c r="U27" s="706"/>
      <c r="V27" s="707"/>
      <c r="W27" s="707"/>
      <c r="X27" s="77" t="str">
        <f t="shared" si="1"/>
        <v/>
      </c>
      <c r="Y27" s="99"/>
      <c r="Z27" s="78"/>
      <c r="AA27" s="134"/>
      <c r="AB27" s="134"/>
      <c r="AC27" s="134"/>
      <c r="AD27" s="134"/>
      <c r="AE27" s="134"/>
      <c r="AF27" s="134"/>
      <c r="AG27" s="134"/>
      <c r="AH27" s="134"/>
      <c r="AI27" s="134"/>
      <c r="AJ27" s="134"/>
      <c r="AK27" s="134"/>
      <c r="AL27" s="134"/>
      <c r="AM27" s="134"/>
      <c r="AN27" s="134"/>
      <c r="AO27" s="134"/>
      <c r="AP27" s="134"/>
      <c r="AQ27" s="59"/>
      <c r="AR27" s="59"/>
      <c r="AU27" s="81" t="b">
        <v>0</v>
      </c>
    </row>
    <row r="28" spans="2:47" ht="15.95" customHeight="1">
      <c r="B28" s="59"/>
      <c r="C28" s="76"/>
      <c r="D28" s="76"/>
      <c r="E28" s="76"/>
      <c r="F28" s="76"/>
      <c r="G28" s="76"/>
      <c r="H28" s="76"/>
      <c r="I28" s="76"/>
      <c r="J28" s="704" t="str">
        <f t="shared" si="0"/>
        <v>Thursday</v>
      </c>
      <c r="K28" s="704"/>
      <c r="L28" s="704"/>
      <c r="M28" s="705">
        <v>46016</v>
      </c>
      <c r="N28" s="705"/>
      <c r="O28" s="705"/>
      <c r="P28" s="706" t="s">
        <v>2122</v>
      </c>
      <c r="Q28" s="706"/>
      <c r="R28" s="706"/>
      <c r="S28" s="706"/>
      <c r="T28" s="706"/>
      <c r="U28" s="706"/>
      <c r="V28" s="707"/>
      <c r="W28" s="707"/>
      <c r="X28" s="77" t="str">
        <f t="shared" si="1"/>
        <v/>
      </c>
      <c r="Y28" s="99"/>
      <c r="Z28" s="78"/>
      <c r="AA28" s="132" t="s">
        <v>869</v>
      </c>
      <c r="AB28" s="695" t="s">
        <v>915</v>
      </c>
      <c r="AC28" s="695"/>
      <c r="AD28" s="695"/>
      <c r="AE28" s="695"/>
      <c r="AF28" s="695"/>
      <c r="AG28" s="695"/>
      <c r="AH28" s="695"/>
      <c r="AI28" s="695"/>
      <c r="AJ28" s="695"/>
      <c r="AK28" s="695"/>
      <c r="AL28" s="695"/>
      <c r="AM28" s="695"/>
      <c r="AN28" s="695"/>
      <c r="AO28" s="695"/>
      <c r="AP28" s="695"/>
      <c r="AQ28" s="59"/>
      <c r="AR28" s="59"/>
      <c r="AU28" s="81" t="b">
        <v>0</v>
      </c>
    </row>
    <row r="29" spans="2:47" ht="15.95" customHeight="1">
      <c r="B29" s="59"/>
      <c r="C29" s="73"/>
      <c r="D29" s="73"/>
      <c r="E29" s="73"/>
      <c r="F29" s="73"/>
      <c r="G29" s="73"/>
      <c r="H29" s="73"/>
      <c r="I29" s="73"/>
      <c r="J29" s="715" t="s">
        <v>912</v>
      </c>
      <c r="K29" s="716"/>
      <c r="L29" s="717"/>
      <c r="M29" s="718" t="s">
        <v>913</v>
      </c>
      <c r="N29" s="718"/>
      <c r="O29" s="718"/>
      <c r="P29" s="719" t="s">
        <v>914</v>
      </c>
      <c r="Q29" s="719"/>
      <c r="R29" s="719"/>
      <c r="S29" s="719"/>
      <c r="T29" s="719"/>
      <c r="U29" s="719"/>
      <c r="V29" s="720"/>
      <c r="W29" s="721"/>
      <c r="X29" s="143"/>
      <c r="Y29" s="100"/>
      <c r="Z29" s="73"/>
      <c r="AA29" s="73"/>
      <c r="AB29" s="695"/>
      <c r="AC29" s="695"/>
      <c r="AD29" s="695"/>
      <c r="AE29" s="695"/>
      <c r="AF29" s="695"/>
      <c r="AG29" s="695"/>
      <c r="AH29" s="695"/>
      <c r="AI29" s="695"/>
      <c r="AJ29" s="695"/>
      <c r="AK29" s="695"/>
      <c r="AL29" s="695"/>
      <c r="AM29" s="695"/>
      <c r="AN29" s="695"/>
      <c r="AO29" s="695"/>
      <c r="AP29" s="695"/>
      <c r="AQ29" s="59"/>
      <c r="AR29" s="59"/>
    </row>
    <row r="30" spans="2:47" ht="15.95" customHeight="1">
      <c r="B30" s="59"/>
      <c r="C30" s="59"/>
      <c r="D30" s="59"/>
      <c r="E30" s="59"/>
      <c r="F30" s="59"/>
      <c r="G30" s="59"/>
      <c r="H30" s="59"/>
      <c r="I30" s="59"/>
      <c r="J30" s="714" t="s">
        <v>792</v>
      </c>
      <c r="K30" s="714"/>
      <c r="L30" s="714"/>
      <c r="M30" s="714"/>
      <c r="N30" s="714"/>
      <c r="O30" s="714"/>
      <c r="P30" s="714"/>
      <c r="Q30" s="714"/>
      <c r="R30" s="714"/>
      <c r="S30" s="714"/>
      <c r="T30" s="714"/>
      <c r="U30" s="714"/>
      <c r="V30" s="714"/>
      <c r="W30" s="714"/>
      <c r="X30" s="144">
        <f>SUM(X18:X29)</f>
        <v>0</v>
      </c>
      <c r="Y30" s="59"/>
      <c r="Z30" s="59"/>
      <c r="AA30" s="59"/>
      <c r="AB30" s="695"/>
      <c r="AC30" s="695"/>
      <c r="AD30" s="695"/>
      <c r="AE30" s="695"/>
      <c r="AF30" s="695"/>
      <c r="AG30" s="695"/>
      <c r="AH30" s="695"/>
      <c r="AI30" s="695"/>
      <c r="AJ30" s="695"/>
      <c r="AK30" s="695"/>
      <c r="AL30" s="695"/>
      <c r="AM30" s="695"/>
      <c r="AN30" s="695"/>
      <c r="AO30" s="695"/>
      <c r="AP30" s="695"/>
      <c r="AQ30" s="59"/>
      <c r="AR30" s="59"/>
    </row>
    <row r="31" spans="2:47" ht="15.95" customHeight="1">
      <c r="B31" s="59"/>
      <c r="C31" s="59"/>
      <c r="D31" s="59"/>
      <c r="E31" s="59"/>
      <c r="F31" s="59"/>
      <c r="G31" s="59"/>
      <c r="H31" s="59"/>
      <c r="I31" s="59"/>
      <c r="J31" s="59"/>
      <c r="K31" s="59"/>
      <c r="L31" s="59"/>
      <c r="M31" s="59"/>
      <c r="N31" s="59"/>
      <c r="O31" s="59"/>
      <c r="P31" s="59"/>
      <c r="Q31" s="59"/>
      <c r="R31" s="59"/>
      <c r="S31" s="59"/>
      <c r="T31" s="59"/>
      <c r="U31" s="59"/>
      <c r="V31" s="59"/>
      <c r="W31" s="59"/>
      <c r="X31" s="59"/>
      <c r="Y31" s="59"/>
      <c r="Z31" s="59"/>
      <c r="AA31" s="59"/>
      <c r="AB31" s="695"/>
      <c r="AC31" s="695"/>
      <c r="AD31" s="695"/>
      <c r="AE31" s="695"/>
      <c r="AF31" s="695"/>
      <c r="AG31" s="695"/>
      <c r="AH31" s="695"/>
      <c r="AI31" s="695"/>
      <c r="AJ31" s="695"/>
      <c r="AK31" s="695"/>
      <c r="AL31" s="695"/>
      <c r="AM31" s="695"/>
      <c r="AN31" s="695"/>
      <c r="AO31" s="695"/>
      <c r="AP31" s="695"/>
      <c r="AQ31" s="59"/>
      <c r="AR31" s="59"/>
    </row>
    <row r="32" spans="2:47" ht="15.95" customHeight="1">
      <c r="B32" s="59"/>
      <c r="C32" s="59"/>
      <c r="D32" s="59"/>
      <c r="E32" s="59"/>
      <c r="F32" s="59"/>
      <c r="G32" s="59"/>
      <c r="H32" s="59"/>
      <c r="I32" s="59"/>
      <c r="J32" s="59"/>
      <c r="K32" s="59"/>
      <c r="L32" s="59"/>
      <c r="M32" s="59"/>
      <c r="N32" s="59"/>
      <c r="O32" s="59"/>
      <c r="P32" s="59"/>
      <c r="Q32" s="59"/>
      <c r="R32" s="59"/>
      <c r="S32" s="59"/>
      <c r="T32" s="59"/>
      <c r="U32" s="59"/>
      <c r="V32" s="59"/>
      <c r="W32" s="59"/>
      <c r="X32" s="59"/>
      <c r="Y32" s="59"/>
      <c r="Z32" s="59"/>
      <c r="AA32" s="59"/>
      <c r="AB32" s="59"/>
      <c r="AC32" s="59"/>
      <c r="AD32" s="59"/>
      <c r="AE32" s="59"/>
      <c r="AF32" s="59"/>
      <c r="AG32" s="59"/>
      <c r="AH32" s="59"/>
      <c r="AI32" s="59"/>
      <c r="AJ32" s="59"/>
      <c r="AK32" s="59"/>
      <c r="AL32" s="59"/>
      <c r="AM32" s="59"/>
      <c r="AN32" s="59"/>
      <c r="AO32" s="59"/>
      <c r="AP32" s="59"/>
      <c r="AQ32" s="59"/>
      <c r="AR32" s="59"/>
    </row>
    <row r="33" spans="2:44" ht="15.95" customHeight="1">
      <c r="B33" s="59"/>
      <c r="C33" s="59"/>
      <c r="D33" s="59"/>
      <c r="AP33" s="59"/>
      <c r="AQ33" s="59"/>
      <c r="AR33" s="59"/>
    </row>
    <row r="34" spans="2:44" ht="15.95" customHeight="1">
      <c r="B34" s="59"/>
      <c r="C34" s="59"/>
      <c r="D34" s="59"/>
      <c r="AP34" s="59"/>
      <c r="AQ34" s="59"/>
      <c r="AR34" s="59"/>
    </row>
    <row r="35" spans="2:44" ht="15.95" customHeight="1">
      <c r="B35" s="59"/>
      <c r="AQ35" s="59"/>
      <c r="AR35" s="59"/>
    </row>
    <row r="36" spans="2:44" ht="15.95" hidden="1" customHeight="1">
      <c r="B36" s="59"/>
      <c r="AQ36" s="59"/>
      <c r="AR36" s="59"/>
    </row>
    <row r="37" spans="2:44" ht="15.95" hidden="1" customHeight="1">
      <c r="B37" s="59"/>
      <c r="AQ37" s="59"/>
      <c r="AR37" s="59"/>
    </row>
    <row r="38" spans="2:44" ht="15.95" hidden="1" customHeight="1">
      <c r="B38" s="59"/>
      <c r="AQ38" s="59"/>
      <c r="AR38" s="59"/>
    </row>
    <row r="39" spans="2:44" ht="15.95" hidden="1" customHeight="1">
      <c r="B39" s="59"/>
      <c r="AQ39" s="59"/>
      <c r="AR39" s="59"/>
    </row>
    <row r="40" spans="2:44" ht="15.95" hidden="1" customHeight="1">
      <c r="B40" s="59"/>
      <c r="AQ40" s="59"/>
      <c r="AR40" s="59"/>
    </row>
    <row r="41" spans="2:44" ht="15.95" hidden="1" customHeight="1">
      <c r="B41" s="59"/>
      <c r="AQ41" s="59"/>
      <c r="AR41" s="59"/>
    </row>
    <row r="42" spans="2:44" ht="15.95" hidden="1" customHeight="1">
      <c r="B42" s="59"/>
      <c r="AQ42" s="59"/>
      <c r="AR42" s="59"/>
    </row>
    <row r="43" spans="2:44" ht="15.95" hidden="1" customHeight="1">
      <c r="B43" s="59"/>
      <c r="AQ43" s="59"/>
      <c r="AR43" s="59"/>
    </row>
    <row r="44" spans="2:44" ht="15.95" hidden="1" customHeight="1">
      <c r="B44" s="59"/>
      <c r="AQ44" s="59"/>
      <c r="AR44" s="59"/>
    </row>
    <row r="45" spans="2:44" ht="15.95" hidden="1" customHeight="1">
      <c r="B45" s="59"/>
      <c r="AQ45" s="59"/>
      <c r="AR45" s="59"/>
    </row>
    <row r="46" spans="2:44" ht="15.95" hidden="1" customHeight="1">
      <c r="B46" s="59"/>
      <c r="AQ46" s="59"/>
      <c r="AR46" s="59"/>
    </row>
    <row r="47" spans="2:44" ht="15.95" hidden="1" customHeight="1">
      <c r="B47" s="59"/>
      <c r="AQ47" s="59"/>
      <c r="AR47" s="59"/>
    </row>
    <row r="48" spans="2:44" ht="15.95" hidden="1" customHeight="1">
      <c r="B48" s="59"/>
      <c r="AQ48" s="59"/>
      <c r="AR48" s="59"/>
    </row>
    <row r="49" spans="2:44" ht="15.95" hidden="1" customHeight="1">
      <c r="B49" s="59"/>
      <c r="AQ49" s="59"/>
      <c r="AR49" s="59"/>
    </row>
    <row r="50" spans="2:44" ht="15.95" hidden="1" customHeight="1">
      <c r="B50" s="59"/>
      <c r="AQ50" s="59"/>
      <c r="AR50" s="59"/>
    </row>
    <row r="51" spans="2:44" ht="15.95" hidden="1" customHeight="1">
      <c r="B51" s="59"/>
      <c r="AQ51" s="59"/>
      <c r="AR51" s="59"/>
    </row>
    <row r="52" spans="2:44" ht="15.95" hidden="1" customHeight="1">
      <c r="B52" s="59"/>
      <c r="AQ52" s="59"/>
      <c r="AR52" s="59"/>
    </row>
    <row r="53" spans="2:44" ht="15.95" hidden="1" customHeight="1">
      <c r="B53" s="59"/>
      <c r="C53" s="59"/>
      <c r="D53" s="59"/>
      <c r="AP53" s="59"/>
      <c r="AQ53" s="59"/>
      <c r="AR53" s="59"/>
    </row>
    <row r="54" spans="2:44" ht="15.95" hidden="1" customHeight="1">
      <c r="B54" s="59"/>
      <c r="C54" s="59"/>
      <c r="D54" s="59"/>
      <c r="AP54" s="59"/>
      <c r="AQ54" s="59"/>
      <c r="AR54" s="59"/>
    </row>
    <row r="55" spans="2:44" ht="15.95" hidden="1" customHeight="1">
      <c r="B55" s="59"/>
      <c r="C55" s="59"/>
      <c r="D55" s="59"/>
      <c r="AP55" s="59"/>
      <c r="AQ55" s="59"/>
      <c r="AR55" s="59"/>
    </row>
    <row r="56" spans="2:44" ht="15.95" hidden="1" customHeight="1">
      <c r="B56" s="59"/>
      <c r="C56" s="59"/>
      <c r="D56" s="59"/>
      <c r="AP56" s="59"/>
      <c r="AQ56" s="59"/>
      <c r="AR56" s="59"/>
    </row>
    <row r="57" spans="2:44" ht="15.95" hidden="1" customHeight="1">
      <c r="B57" s="59"/>
      <c r="C57" s="59"/>
      <c r="D57" s="59"/>
      <c r="AP57" s="59"/>
      <c r="AQ57" s="59"/>
      <c r="AR57" s="59"/>
    </row>
    <row r="58" spans="2:44" ht="15.95" hidden="1" customHeight="1">
      <c r="B58" s="59"/>
      <c r="C58" s="59"/>
      <c r="D58" s="59"/>
      <c r="AP58" s="59"/>
      <c r="AQ58" s="59"/>
      <c r="AR58" s="59"/>
    </row>
    <row r="59" spans="2:44" ht="15.95" hidden="1" customHeight="1">
      <c r="B59" s="59"/>
      <c r="C59" s="59"/>
      <c r="D59" s="59"/>
      <c r="AP59" s="59"/>
      <c r="AQ59" s="59"/>
      <c r="AR59" s="59"/>
    </row>
    <row r="60" spans="2:44" ht="15.95" hidden="1" customHeight="1">
      <c r="B60" s="59"/>
      <c r="C60" s="59"/>
      <c r="D60" s="59"/>
      <c r="AP60" s="59"/>
      <c r="AQ60" s="59"/>
      <c r="AR60" s="59"/>
    </row>
    <row r="61" spans="2:44" ht="15.95" hidden="1" customHeight="1">
      <c r="B61" s="59"/>
      <c r="C61" s="59"/>
      <c r="D61" s="59"/>
      <c r="AP61" s="59"/>
      <c r="AQ61" s="59"/>
      <c r="AR61" s="59"/>
    </row>
    <row r="62" spans="2:44" ht="15.95" hidden="1" customHeight="1">
      <c r="B62" s="59"/>
      <c r="C62" s="59"/>
      <c r="D62" s="59"/>
      <c r="AP62" s="59"/>
      <c r="AQ62" s="59"/>
      <c r="AR62" s="59"/>
    </row>
    <row r="63" spans="2:44" ht="15.95" hidden="1" customHeight="1">
      <c r="B63" s="59"/>
      <c r="C63" s="59"/>
      <c r="D63" s="59"/>
      <c r="AP63" s="59"/>
      <c r="AQ63" s="59"/>
      <c r="AR63" s="59"/>
    </row>
    <row r="64" spans="2:44" ht="15.95" hidden="1" customHeight="1">
      <c r="B64" s="59"/>
      <c r="C64" s="59"/>
      <c r="D64" s="59"/>
      <c r="AP64" s="59"/>
      <c r="AQ64" s="59"/>
      <c r="AR64" s="59"/>
    </row>
    <row r="65" spans="2:44" ht="15.95" hidden="1" customHeight="1">
      <c r="B65" s="59"/>
      <c r="C65" s="59"/>
      <c r="D65" s="59"/>
      <c r="AP65" s="59"/>
      <c r="AQ65" s="59"/>
      <c r="AR65" s="59"/>
    </row>
    <row r="66" spans="2:44" ht="15.95" hidden="1" customHeight="1">
      <c r="B66" s="59"/>
      <c r="C66" s="59"/>
      <c r="D66" s="59"/>
      <c r="AP66" s="59"/>
      <c r="AQ66" s="59"/>
      <c r="AR66" s="59"/>
    </row>
    <row r="67" spans="2:44" ht="15.95" hidden="1" customHeight="1">
      <c r="B67" s="59"/>
      <c r="C67" s="59"/>
      <c r="D67" s="59"/>
      <c r="AP67" s="59"/>
      <c r="AQ67" s="59"/>
      <c r="AR67" s="59"/>
    </row>
    <row r="68" spans="2:44" ht="15.95" hidden="1" customHeight="1">
      <c r="B68" s="59"/>
      <c r="C68" s="59"/>
      <c r="D68" s="59"/>
      <c r="AP68" s="59"/>
      <c r="AQ68" s="59"/>
      <c r="AR68" s="59"/>
    </row>
    <row r="69" spans="2:44" ht="15.95" hidden="1" customHeight="1">
      <c r="B69" s="59"/>
      <c r="C69" s="59"/>
      <c r="D69" s="59"/>
      <c r="AP69" s="59"/>
      <c r="AQ69" s="59"/>
      <c r="AR69" s="59"/>
    </row>
    <row r="70" spans="2:44" ht="15.95" hidden="1" customHeight="1">
      <c r="B70" s="59"/>
      <c r="C70" s="59"/>
      <c r="D70" s="59"/>
      <c r="AP70" s="59"/>
      <c r="AQ70" s="59"/>
      <c r="AR70" s="59"/>
    </row>
    <row r="71" spans="2:44" ht="15.95" hidden="1" customHeight="1">
      <c r="B71" s="59"/>
      <c r="C71" s="59"/>
      <c r="D71" s="59"/>
      <c r="AP71" s="59"/>
      <c r="AQ71" s="59"/>
      <c r="AR71" s="59"/>
    </row>
    <row r="72" spans="2:44" ht="15.95" hidden="1" customHeight="1">
      <c r="B72" s="59"/>
      <c r="C72" s="59"/>
      <c r="D72" s="59"/>
      <c r="AP72" s="59"/>
      <c r="AQ72" s="59"/>
      <c r="AR72" s="59"/>
    </row>
    <row r="73" spans="2:44" ht="15.95" hidden="1" customHeight="1">
      <c r="B73" s="59"/>
      <c r="C73" s="59"/>
      <c r="D73" s="59"/>
      <c r="AP73" s="59"/>
      <c r="AQ73" s="59"/>
      <c r="AR73" s="59"/>
    </row>
    <row r="74" spans="2:44" ht="15.95" hidden="1" customHeight="1">
      <c r="B74" s="59"/>
      <c r="C74" s="59"/>
      <c r="D74" s="59"/>
      <c r="AP74" s="59"/>
      <c r="AQ74" s="59"/>
      <c r="AR74" s="59"/>
    </row>
    <row r="75" spans="2:44" ht="15.95" hidden="1" customHeight="1">
      <c r="B75" s="59"/>
      <c r="C75" s="59"/>
      <c r="D75" s="59"/>
      <c r="AP75" s="59"/>
      <c r="AQ75" s="59"/>
      <c r="AR75" s="59"/>
    </row>
    <row r="76" spans="2:44" ht="15.95" hidden="1" customHeight="1">
      <c r="B76" s="59"/>
      <c r="C76" s="59"/>
      <c r="D76" s="59"/>
      <c r="AP76" s="59"/>
      <c r="AQ76" s="59"/>
      <c r="AR76" s="59"/>
    </row>
    <row r="77" spans="2:44" ht="15.95" hidden="1" customHeight="1">
      <c r="B77" s="59"/>
      <c r="C77" s="59"/>
      <c r="D77" s="59"/>
      <c r="AP77" s="59"/>
      <c r="AQ77" s="59"/>
      <c r="AR77" s="59"/>
    </row>
    <row r="78" spans="2:44" ht="15.95" hidden="1" customHeight="1">
      <c r="B78" s="59"/>
      <c r="C78" s="59"/>
      <c r="D78" s="59"/>
      <c r="AP78" s="59"/>
      <c r="AQ78" s="59"/>
      <c r="AR78" s="59"/>
    </row>
    <row r="79" spans="2:44" ht="15.95" hidden="1" customHeight="1">
      <c r="B79" s="59"/>
      <c r="C79" s="59"/>
      <c r="D79" s="59"/>
      <c r="AP79" s="59"/>
      <c r="AQ79" s="59"/>
      <c r="AR79" s="59"/>
    </row>
    <row r="80" spans="2:44" ht="15.95" hidden="1" customHeight="1">
      <c r="B80" s="59"/>
      <c r="C80" s="59"/>
      <c r="D80" s="59"/>
      <c r="AP80" s="59"/>
      <c r="AQ80" s="59"/>
      <c r="AR80" s="59"/>
    </row>
    <row r="81" spans="2:44" ht="15.95" hidden="1" customHeight="1">
      <c r="B81" s="59"/>
      <c r="C81" s="59"/>
      <c r="D81" s="59"/>
      <c r="AP81" s="59"/>
      <c r="AQ81" s="59"/>
      <c r="AR81" s="59"/>
    </row>
    <row r="82" spans="2:44" ht="15.95" hidden="1" customHeight="1">
      <c r="B82" s="59"/>
      <c r="C82" s="59"/>
      <c r="D82" s="59"/>
      <c r="AP82" s="59"/>
      <c r="AQ82" s="59"/>
      <c r="AR82" s="59"/>
    </row>
    <row r="83" spans="2:44" ht="15.95" hidden="1" customHeight="1">
      <c r="B83" s="59"/>
      <c r="C83" s="59"/>
      <c r="D83" s="59"/>
      <c r="AP83" s="59"/>
      <c r="AQ83" s="59"/>
      <c r="AR83" s="59"/>
    </row>
    <row r="84" spans="2:44" ht="15.95" hidden="1" customHeight="1">
      <c r="B84" s="59"/>
      <c r="C84" s="59"/>
      <c r="D84" s="59"/>
      <c r="AP84" s="59"/>
      <c r="AQ84" s="59"/>
      <c r="AR84" s="59"/>
    </row>
    <row r="85" spans="2:44" ht="15.95" hidden="1" customHeight="1">
      <c r="B85" s="59"/>
      <c r="C85" s="59"/>
      <c r="D85" s="59"/>
      <c r="AP85" s="59"/>
      <c r="AQ85" s="59"/>
      <c r="AR85" s="59"/>
    </row>
    <row r="86" spans="2:44" ht="15.95" hidden="1" customHeight="1">
      <c r="B86" s="59"/>
      <c r="C86" s="59"/>
      <c r="D86" s="59"/>
      <c r="AP86" s="59"/>
      <c r="AQ86" s="59"/>
      <c r="AR86" s="59"/>
    </row>
    <row r="87" spans="2:44" ht="15.95" hidden="1" customHeight="1">
      <c r="B87" s="59"/>
      <c r="C87" s="59"/>
      <c r="D87" s="59"/>
      <c r="AP87" s="59"/>
      <c r="AQ87" s="59"/>
      <c r="AR87" s="59"/>
    </row>
    <row r="88" spans="2:44" ht="15.95" hidden="1" customHeight="1">
      <c r="B88" s="59"/>
      <c r="C88" s="59"/>
      <c r="D88" s="59"/>
      <c r="AP88" s="59"/>
      <c r="AQ88" s="59"/>
      <c r="AR88" s="59"/>
    </row>
    <row r="89" spans="2:44" ht="15.95" hidden="1" customHeight="1">
      <c r="B89" s="59"/>
      <c r="C89" s="59"/>
      <c r="D89" s="59"/>
      <c r="AP89" s="59"/>
      <c r="AQ89" s="59"/>
      <c r="AR89" s="59"/>
    </row>
    <row r="90" spans="2:44" ht="15.95" hidden="1" customHeight="1">
      <c r="B90" s="59"/>
      <c r="C90" s="59"/>
      <c r="D90" s="59"/>
      <c r="AP90" s="59"/>
      <c r="AQ90" s="59"/>
      <c r="AR90" s="59"/>
    </row>
    <row r="91" spans="2:44" ht="15.95" hidden="1" customHeight="1">
      <c r="B91" s="59"/>
      <c r="C91" s="59"/>
      <c r="D91" s="59"/>
      <c r="AP91" s="59"/>
      <c r="AQ91" s="59"/>
      <c r="AR91" s="59"/>
    </row>
    <row r="92" spans="2:44" ht="15.95" hidden="1" customHeight="1">
      <c r="B92" s="59"/>
      <c r="C92" s="59"/>
      <c r="D92" s="59"/>
      <c r="AP92" s="59"/>
      <c r="AQ92" s="59"/>
      <c r="AR92" s="59"/>
    </row>
    <row r="93" spans="2:44" ht="15.95" hidden="1" customHeight="1">
      <c r="B93" s="59"/>
      <c r="C93" s="59"/>
      <c r="D93" s="59"/>
      <c r="E93" s="59"/>
      <c r="F93" s="59"/>
      <c r="G93" s="59"/>
      <c r="H93" s="59"/>
      <c r="I93" s="59"/>
      <c r="J93" s="59"/>
      <c r="K93" s="59"/>
      <c r="L93" s="59"/>
      <c r="M93" s="59"/>
      <c r="N93" s="59"/>
      <c r="O93" s="59"/>
      <c r="P93" s="59"/>
      <c r="Q93" s="59"/>
      <c r="R93" s="59"/>
      <c r="S93" s="59"/>
      <c r="T93" s="59"/>
      <c r="U93" s="59"/>
      <c r="V93" s="59"/>
      <c r="W93" s="59"/>
      <c r="X93" s="59"/>
      <c r="Y93" s="59"/>
      <c r="Z93" s="59"/>
      <c r="AA93" s="59"/>
      <c r="AB93" s="59"/>
      <c r="AC93" s="59"/>
      <c r="AD93" s="59"/>
      <c r="AE93" s="59"/>
      <c r="AF93" s="59"/>
      <c r="AG93" s="59"/>
      <c r="AH93" s="59"/>
      <c r="AI93" s="59"/>
      <c r="AJ93" s="59"/>
      <c r="AK93" s="59"/>
      <c r="AL93" s="59"/>
      <c r="AM93" s="59"/>
      <c r="AN93" s="59"/>
      <c r="AO93" s="59"/>
      <c r="AP93" s="59"/>
      <c r="AQ93" s="59"/>
      <c r="AR93" s="59"/>
    </row>
    <row r="94" spans="2:44" ht="15.95" hidden="1" customHeight="1">
      <c r="B94" s="59"/>
      <c r="C94" s="59"/>
      <c r="D94" s="59"/>
      <c r="E94" s="59"/>
      <c r="F94" s="59"/>
      <c r="G94" s="59"/>
      <c r="H94" s="59"/>
      <c r="I94" s="59"/>
      <c r="J94" s="59"/>
      <c r="K94" s="59"/>
      <c r="L94" s="59"/>
      <c r="M94" s="59"/>
      <c r="N94" s="59"/>
      <c r="O94" s="59"/>
      <c r="P94" s="59"/>
      <c r="Q94" s="59"/>
      <c r="R94" s="59"/>
      <c r="S94" s="59"/>
      <c r="T94" s="59"/>
      <c r="U94" s="59"/>
      <c r="V94" s="59"/>
      <c r="W94" s="59"/>
      <c r="X94" s="59"/>
      <c r="Y94" s="59"/>
      <c r="Z94" s="59"/>
      <c r="AA94" s="59"/>
      <c r="AB94" s="59"/>
      <c r="AC94" s="59"/>
      <c r="AD94" s="59"/>
      <c r="AE94" s="59"/>
      <c r="AF94" s="59"/>
      <c r="AG94" s="59"/>
      <c r="AH94" s="59"/>
      <c r="AI94" s="59"/>
      <c r="AJ94" s="59"/>
      <c r="AK94" s="59"/>
      <c r="AL94" s="59"/>
      <c r="AM94" s="59"/>
      <c r="AN94" s="59"/>
      <c r="AO94" s="59"/>
      <c r="AP94" s="59"/>
      <c r="AQ94" s="59"/>
      <c r="AR94" s="59"/>
    </row>
    <row r="95" spans="2:44" ht="15.95" hidden="1" customHeight="1">
      <c r="B95" s="59"/>
      <c r="C95" s="59"/>
      <c r="D95" s="59"/>
      <c r="E95" s="59"/>
      <c r="F95" s="59"/>
      <c r="G95" s="59"/>
      <c r="H95" s="59"/>
      <c r="I95" s="59"/>
      <c r="J95" s="59"/>
      <c r="K95" s="59"/>
      <c r="L95" s="59"/>
      <c r="M95" s="59"/>
      <c r="N95" s="59"/>
      <c r="O95" s="59"/>
      <c r="P95" s="59"/>
      <c r="Q95" s="59"/>
      <c r="R95" s="59"/>
      <c r="S95" s="59"/>
      <c r="T95" s="59"/>
      <c r="U95" s="59"/>
      <c r="V95" s="59"/>
      <c r="W95" s="59"/>
      <c r="X95" s="59"/>
      <c r="Y95" s="59"/>
      <c r="Z95" s="59"/>
      <c r="AA95" s="59"/>
      <c r="AB95" s="59"/>
      <c r="AC95" s="59"/>
      <c r="AD95" s="59"/>
      <c r="AE95" s="59"/>
      <c r="AF95" s="59"/>
      <c r="AG95" s="59"/>
      <c r="AH95" s="59"/>
      <c r="AI95" s="59"/>
      <c r="AJ95" s="59"/>
      <c r="AK95" s="59"/>
      <c r="AL95" s="59"/>
      <c r="AM95" s="59"/>
      <c r="AN95" s="59"/>
      <c r="AO95" s="59"/>
      <c r="AP95" s="59"/>
      <c r="AQ95" s="59"/>
      <c r="AR95" s="59"/>
    </row>
    <row r="96" spans="2:44" ht="15.95" hidden="1" customHeight="1">
      <c r="B96" s="59"/>
      <c r="C96" s="59"/>
      <c r="D96" s="59"/>
      <c r="E96" s="59"/>
      <c r="F96" s="59"/>
      <c r="G96" s="59"/>
      <c r="H96" s="59"/>
      <c r="I96" s="59"/>
      <c r="J96" s="59"/>
      <c r="K96" s="59"/>
      <c r="L96" s="59"/>
      <c r="M96" s="59"/>
      <c r="N96" s="59"/>
      <c r="O96" s="59"/>
      <c r="P96" s="59"/>
      <c r="Q96" s="59"/>
      <c r="R96" s="59"/>
      <c r="S96" s="59"/>
      <c r="T96" s="59"/>
      <c r="U96" s="59"/>
      <c r="V96" s="59"/>
      <c r="W96" s="59"/>
      <c r="X96" s="59"/>
      <c r="Y96" s="59"/>
      <c r="Z96" s="59"/>
      <c r="AA96" s="59"/>
      <c r="AB96" s="59"/>
      <c r="AC96" s="59"/>
      <c r="AD96" s="59"/>
      <c r="AE96" s="59"/>
      <c r="AF96" s="59"/>
      <c r="AG96" s="59"/>
      <c r="AH96" s="59"/>
      <c r="AI96" s="59"/>
      <c r="AJ96" s="59"/>
      <c r="AK96" s="59"/>
      <c r="AL96" s="59"/>
      <c r="AM96" s="59"/>
      <c r="AN96" s="59"/>
      <c r="AO96" s="59"/>
      <c r="AP96" s="59"/>
      <c r="AQ96" s="59"/>
      <c r="AR96" s="59"/>
    </row>
    <row r="97" spans="2:44" ht="15.95" hidden="1" customHeight="1">
      <c r="B97" s="59"/>
      <c r="C97" s="59"/>
      <c r="D97" s="59"/>
      <c r="E97" s="59"/>
      <c r="F97" s="59"/>
      <c r="G97" s="59"/>
      <c r="H97" s="59"/>
      <c r="I97" s="59"/>
      <c r="J97" s="59"/>
      <c r="K97" s="59"/>
      <c r="L97" s="59"/>
      <c r="M97" s="59"/>
      <c r="N97" s="59"/>
      <c r="O97" s="59"/>
      <c r="P97" s="59"/>
      <c r="Q97" s="59"/>
      <c r="R97" s="59"/>
      <c r="S97" s="59"/>
      <c r="T97" s="59"/>
      <c r="U97" s="59"/>
      <c r="V97" s="59"/>
      <c r="W97" s="59"/>
      <c r="X97" s="59"/>
      <c r="Y97" s="59"/>
      <c r="Z97" s="59"/>
      <c r="AA97" s="59"/>
      <c r="AB97" s="59"/>
      <c r="AC97" s="59"/>
      <c r="AD97" s="59"/>
      <c r="AE97" s="59"/>
      <c r="AF97" s="59"/>
      <c r="AG97" s="59"/>
      <c r="AH97" s="59"/>
      <c r="AI97" s="59"/>
      <c r="AJ97" s="59"/>
      <c r="AK97" s="59"/>
      <c r="AL97" s="59"/>
      <c r="AM97" s="59"/>
      <c r="AN97" s="59"/>
      <c r="AO97" s="59"/>
      <c r="AP97" s="59"/>
      <c r="AQ97" s="59"/>
      <c r="AR97" s="59"/>
    </row>
    <row r="98" spans="2:44" ht="15.95" hidden="1" customHeight="1">
      <c r="B98" s="59"/>
      <c r="C98" s="59"/>
      <c r="D98" s="59"/>
      <c r="E98" s="59"/>
      <c r="F98" s="59"/>
      <c r="G98" s="59"/>
      <c r="H98" s="59"/>
      <c r="I98" s="59"/>
      <c r="J98" s="59"/>
      <c r="K98" s="59"/>
      <c r="L98" s="59"/>
      <c r="M98" s="59"/>
      <c r="N98" s="59"/>
      <c r="O98" s="59"/>
      <c r="P98" s="59"/>
      <c r="Q98" s="59"/>
      <c r="R98" s="59"/>
      <c r="S98" s="59"/>
      <c r="T98" s="59"/>
      <c r="U98" s="59"/>
      <c r="V98" s="59"/>
      <c r="W98" s="59"/>
      <c r="X98" s="59"/>
      <c r="Y98" s="59"/>
      <c r="Z98" s="59"/>
      <c r="AA98" s="59"/>
      <c r="AB98" s="59"/>
      <c r="AC98" s="59"/>
      <c r="AD98" s="59"/>
      <c r="AE98" s="59"/>
      <c r="AF98" s="59"/>
      <c r="AG98" s="59"/>
      <c r="AH98" s="59"/>
      <c r="AI98" s="59"/>
      <c r="AJ98" s="59"/>
      <c r="AK98" s="59"/>
      <c r="AL98" s="59"/>
      <c r="AM98" s="59"/>
      <c r="AN98" s="59"/>
      <c r="AO98" s="59"/>
      <c r="AP98" s="59"/>
      <c r="AQ98" s="59"/>
      <c r="AR98" s="59"/>
    </row>
    <row r="99" spans="2:44" ht="15.95" hidden="1" customHeight="1">
      <c r="B99" s="59"/>
      <c r="C99" s="59"/>
      <c r="D99" s="59"/>
      <c r="E99" s="59"/>
      <c r="F99" s="59"/>
      <c r="G99" s="59"/>
      <c r="H99" s="59"/>
      <c r="I99" s="59"/>
      <c r="J99" s="59"/>
      <c r="K99" s="59"/>
      <c r="L99" s="59"/>
      <c r="M99" s="59"/>
      <c r="N99" s="59"/>
      <c r="O99" s="59"/>
      <c r="P99" s="59"/>
      <c r="Q99" s="59"/>
      <c r="R99" s="59"/>
      <c r="S99" s="59"/>
      <c r="T99" s="59"/>
      <c r="U99" s="59"/>
      <c r="V99" s="59"/>
      <c r="W99" s="59"/>
      <c r="X99" s="59"/>
      <c r="Y99" s="59"/>
      <c r="Z99" s="59"/>
      <c r="AA99" s="59"/>
      <c r="AB99" s="59"/>
      <c r="AC99" s="59"/>
      <c r="AD99" s="59"/>
      <c r="AE99" s="59"/>
      <c r="AF99" s="59"/>
      <c r="AG99" s="59"/>
      <c r="AH99" s="59"/>
      <c r="AI99" s="59"/>
      <c r="AJ99" s="59"/>
      <c r="AK99" s="59"/>
      <c r="AL99" s="59"/>
      <c r="AM99" s="59"/>
      <c r="AN99" s="59"/>
      <c r="AO99" s="59"/>
      <c r="AP99" s="59"/>
      <c r="AQ99" s="59"/>
      <c r="AR99" s="59"/>
    </row>
    <row r="100" spans="2:44" ht="15.95" hidden="1" customHeight="1">
      <c r="B100" s="59"/>
      <c r="C100" s="59"/>
      <c r="D100" s="59"/>
      <c r="E100" s="59"/>
      <c r="F100" s="59"/>
      <c r="G100" s="59"/>
      <c r="H100" s="59"/>
      <c r="I100" s="59"/>
      <c r="J100" s="59"/>
      <c r="K100" s="59"/>
      <c r="L100" s="59"/>
      <c r="M100" s="59"/>
      <c r="N100" s="59"/>
      <c r="O100" s="59"/>
      <c r="P100" s="59"/>
      <c r="Q100" s="59"/>
      <c r="R100" s="59"/>
      <c r="S100" s="59"/>
      <c r="T100" s="59"/>
      <c r="U100" s="59"/>
      <c r="V100" s="59"/>
      <c r="W100" s="59"/>
      <c r="X100" s="59"/>
      <c r="Y100" s="59"/>
      <c r="Z100" s="59"/>
      <c r="AA100" s="59"/>
      <c r="AB100" s="59"/>
      <c r="AC100" s="59"/>
      <c r="AD100" s="59"/>
      <c r="AE100" s="59"/>
      <c r="AF100" s="59"/>
      <c r="AG100" s="59"/>
      <c r="AH100" s="59"/>
      <c r="AI100" s="59"/>
      <c r="AJ100" s="59"/>
      <c r="AK100" s="59"/>
      <c r="AL100" s="59"/>
      <c r="AM100" s="59"/>
      <c r="AN100" s="59"/>
      <c r="AO100" s="59"/>
      <c r="AP100" s="59"/>
      <c r="AQ100" s="59"/>
      <c r="AR100" s="59"/>
    </row>
    <row r="101" spans="2:44" ht="15.95" hidden="1" customHeight="1">
      <c r="B101" s="59"/>
      <c r="C101" s="59"/>
      <c r="D101" s="59"/>
      <c r="E101" s="59"/>
      <c r="F101" s="59"/>
      <c r="G101" s="59"/>
      <c r="H101" s="59"/>
      <c r="I101" s="59"/>
      <c r="J101" s="59"/>
      <c r="K101" s="59"/>
      <c r="L101" s="59"/>
      <c r="M101" s="59"/>
      <c r="N101" s="59"/>
      <c r="O101" s="59"/>
      <c r="P101" s="59"/>
      <c r="Q101" s="59"/>
      <c r="R101" s="59"/>
      <c r="S101" s="59"/>
      <c r="T101" s="59"/>
      <c r="U101" s="59"/>
      <c r="V101" s="59"/>
      <c r="W101" s="59"/>
      <c r="X101" s="59"/>
      <c r="Y101" s="59"/>
      <c r="Z101" s="59"/>
      <c r="AA101" s="59"/>
      <c r="AB101" s="59"/>
      <c r="AC101" s="59"/>
      <c r="AD101" s="59"/>
      <c r="AE101" s="59"/>
      <c r="AF101" s="59"/>
      <c r="AG101" s="59"/>
      <c r="AH101" s="59"/>
      <c r="AI101" s="59"/>
      <c r="AJ101" s="59"/>
      <c r="AK101" s="59"/>
      <c r="AL101" s="59"/>
      <c r="AM101" s="59"/>
      <c r="AN101" s="59"/>
      <c r="AO101" s="59"/>
      <c r="AP101" s="59"/>
      <c r="AQ101" s="59"/>
      <c r="AR101" s="59"/>
    </row>
    <row r="102" spans="2:44" ht="15.95" hidden="1" customHeight="1">
      <c r="B102" s="59"/>
      <c r="C102" s="59"/>
      <c r="D102" s="59"/>
      <c r="E102" s="59"/>
      <c r="F102" s="59"/>
      <c r="G102" s="59"/>
      <c r="H102" s="59"/>
      <c r="I102" s="59"/>
      <c r="J102" s="59"/>
      <c r="K102" s="59"/>
      <c r="L102" s="59"/>
      <c r="M102" s="59"/>
      <c r="N102" s="59"/>
      <c r="O102" s="59"/>
      <c r="P102" s="59"/>
      <c r="Q102" s="59"/>
      <c r="R102" s="59"/>
      <c r="S102" s="59"/>
      <c r="T102" s="59"/>
      <c r="U102" s="59"/>
      <c r="V102" s="59"/>
      <c r="W102" s="59"/>
      <c r="X102" s="59"/>
      <c r="Y102" s="59"/>
      <c r="Z102" s="59"/>
      <c r="AA102" s="59"/>
      <c r="AB102" s="59"/>
      <c r="AC102" s="59"/>
      <c r="AD102" s="59"/>
      <c r="AE102" s="59"/>
      <c r="AF102" s="59"/>
      <c r="AG102" s="59"/>
      <c r="AH102" s="59"/>
      <c r="AI102" s="59"/>
      <c r="AJ102" s="59"/>
      <c r="AK102" s="59"/>
      <c r="AL102" s="59"/>
      <c r="AM102" s="59"/>
      <c r="AN102" s="59"/>
      <c r="AO102" s="59"/>
      <c r="AP102" s="59"/>
      <c r="AQ102" s="59"/>
      <c r="AR102" s="59"/>
    </row>
    <row r="103" spans="2:44" ht="15.95" hidden="1" customHeight="1">
      <c r="B103" s="59"/>
      <c r="C103" s="59"/>
      <c r="D103" s="59"/>
      <c r="E103" s="59"/>
      <c r="F103" s="59"/>
      <c r="G103" s="59"/>
      <c r="H103" s="59"/>
      <c r="I103" s="59"/>
      <c r="J103" s="59"/>
      <c r="K103" s="59"/>
      <c r="L103" s="59"/>
      <c r="M103" s="59"/>
      <c r="N103" s="59"/>
      <c r="O103" s="59"/>
      <c r="P103" s="59"/>
      <c r="Q103" s="59"/>
      <c r="R103" s="59"/>
      <c r="S103" s="59"/>
      <c r="T103" s="59"/>
      <c r="U103" s="59"/>
      <c r="V103" s="59"/>
      <c r="W103" s="59"/>
      <c r="X103" s="59"/>
      <c r="Y103" s="59"/>
      <c r="Z103" s="59"/>
      <c r="AA103" s="59"/>
      <c r="AB103" s="59"/>
      <c r="AC103" s="59"/>
      <c r="AD103" s="59"/>
      <c r="AE103" s="59"/>
      <c r="AF103" s="59"/>
      <c r="AG103" s="59"/>
      <c r="AH103" s="59"/>
      <c r="AI103" s="59"/>
      <c r="AJ103" s="59"/>
      <c r="AK103" s="59"/>
      <c r="AL103" s="59"/>
      <c r="AM103" s="59"/>
      <c r="AN103" s="59"/>
      <c r="AO103" s="59"/>
      <c r="AP103" s="59"/>
      <c r="AQ103" s="59"/>
      <c r="AR103" s="59"/>
    </row>
    <row r="104" spans="2:44" ht="15.95" hidden="1" customHeight="1">
      <c r="B104" s="59"/>
      <c r="C104" s="59"/>
      <c r="D104" s="59"/>
      <c r="E104" s="59"/>
      <c r="F104" s="59"/>
      <c r="G104" s="59"/>
      <c r="H104" s="59"/>
      <c r="I104" s="59"/>
      <c r="J104" s="59"/>
      <c r="K104" s="59"/>
      <c r="L104" s="59"/>
      <c r="M104" s="59"/>
      <c r="N104" s="59"/>
      <c r="O104" s="59"/>
      <c r="P104" s="59"/>
      <c r="Q104" s="59"/>
      <c r="R104" s="59"/>
      <c r="S104" s="59"/>
      <c r="T104" s="59"/>
      <c r="U104" s="59"/>
      <c r="V104" s="59"/>
      <c r="W104" s="59"/>
      <c r="X104" s="59"/>
      <c r="Y104" s="59"/>
      <c r="Z104" s="59"/>
      <c r="AA104" s="59"/>
      <c r="AB104" s="59"/>
      <c r="AC104" s="59"/>
      <c r="AD104" s="59"/>
      <c r="AE104" s="59"/>
      <c r="AF104" s="59"/>
      <c r="AG104" s="59"/>
      <c r="AH104" s="59"/>
      <c r="AI104" s="59"/>
      <c r="AJ104" s="59"/>
      <c r="AK104" s="59"/>
      <c r="AL104" s="59"/>
      <c r="AM104" s="59"/>
      <c r="AN104" s="59"/>
      <c r="AO104" s="59"/>
      <c r="AP104" s="59"/>
      <c r="AQ104" s="59"/>
      <c r="AR104" s="59"/>
    </row>
    <row r="105" spans="2:44" ht="15.95" hidden="1" customHeight="1">
      <c r="B105" s="59"/>
      <c r="C105" s="59"/>
      <c r="D105" s="59"/>
      <c r="E105" s="59"/>
      <c r="F105" s="59"/>
      <c r="G105" s="59"/>
      <c r="H105" s="59"/>
      <c r="I105" s="59"/>
      <c r="J105" s="59"/>
      <c r="K105" s="59"/>
      <c r="L105" s="59"/>
      <c r="M105" s="59"/>
      <c r="N105" s="59"/>
      <c r="O105" s="59"/>
      <c r="P105" s="59"/>
      <c r="Q105" s="59"/>
      <c r="R105" s="59"/>
      <c r="S105" s="59"/>
      <c r="T105" s="59"/>
      <c r="U105" s="59"/>
      <c r="V105" s="59"/>
      <c r="W105" s="59"/>
      <c r="X105" s="59"/>
      <c r="Y105" s="59"/>
      <c r="Z105" s="59"/>
      <c r="AA105" s="59"/>
      <c r="AB105" s="59"/>
      <c r="AC105" s="59"/>
      <c r="AD105" s="59"/>
      <c r="AE105" s="59"/>
      <c r="AF105" s="59"/>
      <c r="AG105" s="59"/>
      <c r="AH105" s="59"/>
      <c r="AI105" s="59"/>
      <c r="AJ105" s="59"/>
      <c r="AK105" s="59"/>
      <c r="AL105" s="59"/>
      <c r="AM105" s="59"/>
      <c r="AN105" s="59"/>
      <c r="AO105" s="59"/>
      <c r="AP105" s="59"/>
      <c r="AQ105" s="59"/>
      <c r="AR105" s="59"/>
    </row>
    <row r="106" spans="2:44" ht="15.95" hidden="1" customHeight="1">
      <c r="B106" s="59"/>
      <c r="C106" s="59"/>
      <c r="D106" s="59"/>
      <c r="E106" s="59"/>
      <c r="F106" s="59"/>
      <c r="G106" s="59"/>
      <c r="H106" s="59"/>
      <c r="I106" s="59"/>
      <c r="J106" s="59"/>
      <c r="K106" s="59"/>
      <c r="L106" s="59"/>
      <c r="M106" s="59"/>
      <c r="N106" s="59"/>
      <c r="O106" s="59"/>
      <c r="P106" s="59"/>
      <c r="Q106" s="59"/>
      <c r="R106" s="59"/>
      <c r="S106" s="59"/>
      <c r="T106" s="59"/>
      <c r="U106" s="59"/>
      <c r="V106" s="59"/>
      <c r="W106" s="59"/>
      <c r="X106" s="59"/>
      <c r="Y106" s="59"/>
      <c r="Z106" s="59"/>
      <c r="AA106" s="59"/>
      <c r="AB106" s="59"/>
      <c r="AC106" s="59"/>
      <c r="AD106" s="59"/>
      <c r="AE106" s="59"/>
      <c r="AF106" s="59"/>
      <c r="AG106" s="59"/>
      <c r="AH106" s="59"/>
      <c r="AI106" s="59"/>
      <c r="AJ106" s="59"/>
      <c r="AK106" s="59"/>
      <c r="AL106" s="59"/>
      <c r="AM106" s="59"/>
      <c r="AN106" s="59"/>
      <c r="AO106" s="59"/>
      <c r="AP106" s="59"/>
      <c r="AQ106" s="59"/>
      <c r="AR106" s="59"/>
    </row>
    <row r="107" spans="2:44" ht="15.95" hidden="1" customHeight="1">
      <c r="B107" s="59"/>
      <c r="C107" s="59"/>
      <c r="D107" s="59"/>
      <c r="E107" s="59"/>
      <c r="F107" s="59"/>
      <c r="G107" s="59"/>
      <c r="H107" s="59"/>
      <c r="I107" s="59"/>
      <c r="J107" s="59"/>
      <c r="K107" s="59"/>
      <c r="L107" s="59"/>
      <c r="M107" s="59"/>
      <c r="N107" s="59"/>
      <c r="O107" s="59"/>
      <c r="P107" s="59"/>
      <c r="Q107" s="59"/>
      <c r="R107" s="59"/>
      <c r="S107" s="59"/>
      <c r="T107" s="59"/>
      <c r="U107" s="59"/>
      <c r="V107" s="59"/>
      <c r="W107" s="59"/>
      <c r="X107" s="59"/>
      <c r="Y107" s="59"/>
      <c r="Z107" s="59"/>
      <c r="AA107" s="59"/>
      <c r="AB107" s="59"/>
      <c r="AC107" s="59"/>
      <c r="AD107" s="59"/>
      <c r="AE107" s="59"/>
      <c r="AF107" s="59"/>
      <c r="AG107" s="59"/>
      <c r="AH107" s="59"/>
      <c r="AI107" s="59"/>
      <c r="AJ107" s="59"/>
      <c r="AK107" s="59"/>
      <c r="AL107" s="59"/>
      <c r="AM107" s="59"/>
      <c r="AN107" s="59"/>
      <c r="AO107" s="59"/>
      <c r="AP107" s="59"/>
      <c r="AQ107" s="59"/>
      <c r="AR107" s="59"/>
    </row>
    <row r="108" spans="2:44" ht="15.95" hidden="1" customHeight="1">
      <c r="B108" s="59"/>
      <c r="C108" s="59"/>
      <c r="D108" s="59"/>
      <c r="E108" s="59"/>
      <c r="F108" s="59"/>
      <c r="G108" s="59"/>
      <c r="H108" s="59"/>
      <c r="I108" s="59"/>
      <c r="J108" s="59"/>
      <c r="K108" s="59"/>
      <c r="L108" s="59"/>
      <c r="M108" s="59"/>
      <c r="N108" s="59"/>
      <c r="O108" s="59"/>
      <c r="P108" s="59"/>
      <c r="Q108" s="59"/>
      <c r="R108" s="59"/>
      <c r="S108" s="59"/>
      <c r="T108" s="59"/>
      <c r="U108" s="59"/>
      <c r="V108" s="59"/>
      <c r="W108" s="59"/>
      <c r="X108" s="59"/>
      <c r="Y108" s="59"/>
      <c r="Z108" s="59"/>
      <c r="AA108" s="59"/>
      <c r="AB108" s="59"/>
      <c r="AC108" s="59"/>
      <c r="AD108" s="59"/>
      <c r="AE108" s="59"/>
      <c r="AF108" s="59"/>
      <c r="AG108" s="59"/>
      <c r="AH108" s="59"/>
      <c r="AI108" s="59"/>
      <c r="AJ108" s="59"/>
      <c r="AK108" s="59"/>
      <c r="AL108" s="59"/>
      <c r="AM108" s="59"/>
      <c r="AN108" s="59"/>
      <c r="AO108" s="59"/>
      <c r="AP108" s="59"/>
      <c r="AQ108" s="59"/>
      <c r="AR108" s="59"/>
    </row>
    <row r="109" spans="2:44" ht="15.95" hidden="1" customHeight="1">
      <c r="B109" s="59"/>
      <c r="C109" s="59"/>
      <c r="D109" s="59"/>
      <c r="E109" s="59"/>
      <c r="F109" s="59"/>
      <c r="G109" s="59"/>
      <c r="H109" s="59"/>
      <c r="I109" s="59"/>
      <c r="J109" s="59"/>
      <c r="K109" s="59"/>
      <c r="L109" s="59"/>
      <c r="M109" s="59"/>
      <c r="N109" s="59"/>
      <c r="O109" s="59"/>
      <c r="P109" s="59"/>
      <c r="Q109" s="59"/>
      <c r="R109" s="59"/>
      <c r="S109" s="59"/>
      <c r="T109" s="59"/>
      <c r="U109" s="59"/>
      <c r="V109" s="59"/>
      <c r="W109" s="59"/>
      <c r="X109" s="59"/>
      <c r="Y109" s="59"/>
      <c r="Z109" s="59"/>
      <c r="AA109" s="59"/>
      <c r="AB109" s="59"/>
      <c r="AC109" s="59"/>
      <c r="AD109" s="59"/>
      <c r="AE109" s="59"/>
      <c r="AF109" s="59"/>
      <c r="AG109" s="59"/>
      <c r="AH109" s="59"/>
      <c r="AI109" s="59"/>
      <c r="AJ109" s="59"/>
      <c r="AK109" s="59"/>
      <c r="AL109" s="59"/>
      <c r="AM109" s="59"/>
      <c r="AN109" s="59"/>
      <c r="AO109" s="59"/>
      <c r="AP109" s="59"/>
      <c r="AQ109" s="59"/>
      <c r="AR109" s="59"/>
    </row>
    <row r="110" spans="2:44" ht="15.95" hidden="1" customHeight="1">
      <c r="B110" s="59"/>
      <c r="C110" s="59"/>
      <c r="D110" s="59"/>
      <c r="E110" s="59"/>
      <c r="F110" s="59"/>
      <c r="G110" s="59"/>
      <c r="H110" s="59"/>
      <c r="I110" s="59"/>
      <c r="J110" s="59"/>
      <c r="K110" s="59"/>
      <c r="L110" s="59"/>
      <c r="M110" s="59"/>
      <c r="N110" s="59"/>
      <c r="O110" s="59"/>
      <c r="P110" s="59"/>
      <c r="Q110" s="59"/>
      <c r="R110" s="59"/>
      <c r="S110" s="59"/>
      <c r="T110" s="59"/>
      <c r="U110" s="59"/>
      <c r="V110" s="59"/>
      <c r="W110" s="59"/>
      <c r="X110" s="59"/>
      <c r="Y110" s="59"/>
      <c r="Z110" s="59"/>
      <c r="AA110" s="59"/>
      <c r="AB110" s="59"/>
      <c r="AC110" s="59"/>
      <c r="AD110" s="59"/>
      <c r="AE110" s="59"/>
      <c r="AF110" s="59"/>
      <c r="AG110" s="59"/>
      <c r="AH110" s="59"/>
      <c r="AI110" s="59"/>
      <c r="AJ110" s="59"/>
      <c r="AK110" s="59"/>
      <c r="AL110" s="59"/>
      <c r="AM110" s="59"/>
      <c r="AN110" s="59"/>
      <c r="AO110" s="59"/>
      <c r="AP110" s="59"/>
      <c r="AQ110" s="59"/>
      <c r="AR110" s="59"/>
    </row>
    <row r="111" spans="2:44" ht="15.95" hidden="1" customHeight="1">
      <c r="B111" s="59"/>
      <c r="C111" s="59"/>
      <c r="D111" s="59"/>
      <c r="E111" s="59"/>
      <c r="F111" s="59"/>
      <c r="G111" s="59"/>
      <c r="H111" s="59"/>
      <c r="I111" s="59"/>
      <c r="J111" s="59"/>
      <c r="K111" s="59"/>
      <c r="L111" s="59"/>
      <c r="M111" s="59"/>
      <c r="N111" s="59"/>
      <c r="O111" s="59"/>
      <c r="P111" s="59"/>
      <c r="Q111" s="59"/>
      <c r="R111" s="59"/>
      <c r="S111" s="59"/>
      <c r="T111" s="59"/>
      <c r="U111" s="59"/>
      <c r="V111" s="59"/>
      <c r="W111" s="59"/>
      <c r="X111" s="59"/>
      <c r="Y111" s="59"/>
      <c r="Z111" s="59"/>
      <c r="AA111" s="59"/>
      <c r="AB111" s="59"/>
      <c r="AC111" s="59"/>
      <c r="AD111" s="59"/>
      <c r="AE111" s="59"/>
      <c r="AF111" s="59"/>
      <c r="AG111" s="59"/>
      <c r="AH111" s="59"/>
      <c r="AI111" s="59"/>
      <c r="AJ111" s="59"/>
      <c r="AK111" s="59"/>
      <c r="AL111" s="59"/>
      <c r="AM111" s="59"/>
      <c r="AN111" s="59"/>
      <c r="AO111" s="59"/>
      <c r="AP111" s="59"/>
      <c r="AQ111" s="59"/>
      <c r="AR111" s="59"/>
    </row>
    <row r="112" spans="2:44" ht="15.95" hidden="1" customHeight="1">
      <c r="B112" s="59"/>
      <c r="C112" s="59"/>
      <c r="D112" s="59"/>
      <c r="E112" s="59"/>
      <c r="F112" s="59"/>
      <c r="G112" s="59"/>
      <c r="H112" s="59"/>
      <c r="I112" s="59"/>
      <c r="J112" s="59"/>
      <c r="K112" s="59"/>
      <c r="L112" s="59"/>
      <c r="M112" s="59"/>
      <c r="N112" s="59"/>
      <c r="O112" s="59"/>
      <c r="P112" s="59"/>
      <c r="Q112" s="59"/>
      <c r="R112" s="59"/>
      <c r="S112" s="59"/>
      <c r="T112" s="59"/>
      <c r="U112" s="59"/>
      <c r="V112" s="59"/>
      <c r="W112" s="59"/>
      <c r="X112" s="59"/>
      <c r="Y112" s="59"/>
      <c r="Z112" s="59"/>
      <c r="AA112" s="59"/>
      <c r="AB112" s="59"/>
      <c r="AC112" s="59"/>
      <c r="AD112" s="59"/>
      <c r="AE112" s="59"/>
      <c r="AF112" s="59"/>
      <c r="AG112" s="59"/>
      <c r="AH112" s="59"/>
      <c r="AI112" s="59"/>
      <c r="AJ112" s="59"/>
      <c r="AK112" s="59"/>
      <c r="AL112" s="59"/>
      <c r="AM112" s="59"/>
      <c r="AN112" s="59"/>
      <c r="AO112" s="59"/>
      <c r="AP112" s="59"/>
      <c r="AQ112" s="59"/>
      <c r="AR112" s="59"/>
    </row>
    <row r="113" spans="2:44" ht="15.95" hidden="1" customHeight="1">
      <c r="B113" s="59"/>
      <c r="C113" s="59"/>
      <c r="D113" s="59"/>
      <c r="E113" s="59"/>
      <c r="F113" s="59"/>
      <c r="G113" s="59"/>
      <c r="H113" s="59"/>
      <c r="I113" s="59"/>
      <c r="J113" s="59"/>
      <c r="K113" s="59"/>
      <c r="L113" s="59"/>
      <c r="M113" s="59"/>
      <c r="N113" s="59"/>
      <c r="O113" s="59"/>
      <c r="P113" s="59"/>
      <c r="Q113" s="59"/>
      <c r="R113" s="59"/>
      <c r="S113" s="59"/>
      <c r="T113" s="59"/>
      <c r="U113" s="59"/>
      <c r="V113" s="59"/>
      <c r="W113" s="59"/>
      <c r="X113" s="59"/>
      <c r="Y113" s="59"/>
      <c r="Z113" s="59"/>
      <c r="AA113" s="59"/>
      <c r="AB113" s="59"/>
      <c r="AC113" s="59"/>
      <c r="AD113" s="59"/>
      <c r="AE113" s="59"/>
      <c r="AF113" s="59"/>
      <c r="AG113" s="59"/>
      <c r="AH113" s="59"/>
      <c r="AI113" s="59"/>
      <c r="AJ113" s="59"/>
      <c r="AK113" s="59"/>
      <c r="AL113" s="59"/>
      <c r="AM113" s="59"/>
      <c r="AN113" s="59"/>
      <c r="AO113" s="59"/>
      <c r="AP113" s="59"/>
      <c r="AQ113" s="59"/>
      <c r="AR113" s="59"/>
    </row>
    <row r="114" spans="2:44" ht="15.95" hidden="1" customHeight="1">
      <c r="B114" s="59"/>
      <c r="C114" s="59"/>
      <c r="D114" s="59"/>
      <c r="E114" s="59"/>
      <c r="F114" s="59"/>
      <c r="G114" s="59"/>
      <c r="H114" s="59"/>
      <c r="I114" s="59"/>
      <c r="J114" s="59"/>
      <c r="K114" s="59"/>
      <c r="L114" s="59"/>
      <c r="M114" s="59"/>
      <c r="N114" s="59"/>
      <c r="O114" s="59"/>
      <c r="P114" s="59"/>
      <c r="Q114" s="59"/>
      <c r="R114" s="59"/>
      <c r="S114" s="59"/>
      <c r="T114" s="59"/>
      <c r="U114" s="59"/>
      <c r="V114" s="59"/>
      <c r="W114" s="59"/>
      <c r="X114" s="59"/>
      <c r="Y114" s="59"/>
      <c r="Z114" s="59"/>
      <c r="AA114" s="59"/>
      <c r="AB114" s="59"/>
      <c r="AC114" s="59"/>
      <c r="AD114" s="59"/>
      <c r="AE114" s="59"/>
      <c r="AF114" s="59"/>
      <c r="AG114" s="59"/>
      <c r="AH114" s="59"/>
      <c r="AI114" s="59"/>
      <c r="AJ114" s="59"/>
      <c r="AK114" s="59"/>
      <c r="AL114" s="59"/>
      <c r="AM114" s="59"/>
      <c r="AN114" s="59"/>
      <c r="AO114" s="59"/>
      <c r="AP114" s="59"/>
      <c r="AQ114" s="59"/>
      <c r="AR114" s="59"/>
    </row>
    <row r="115" spans="2:44" ht="15.95" hidden="1" customHeight="1">
      <c r="B115" s="59"/>
      <c r="C115" s="59"/>
      <c r="D115" s="59"/>
      <c r="E115" s="59"/>
      <c r="F115" s="59"/>
      <c r="G115" s="59"/>
      <c r="H115" s="59"/>
      <c r="I115" s="59"/>
      <c r="J115" s="59"/>
      <c r="K115" s="59"/>
      <c r="L115" s="59"/>
      <c r="M115" s="59"/>
      <c r="N115" s="59"/>
      <c r="O115" s="59"/>
      <c r="P115" s="59"/>
      <c r="Q115" s="59"/>
      <c r="R115" s="59"/>
      <c r="S115" s="59"/>
      <c r="T115" s="59"/>
      <c r="U115" s="59"/>
      <c r="V115" s="59"/>
      <c r="W115" s="59"/>
      <c r="X115" s="59"/>
      <c r="Y115" s="59"/>
      <c r="Z115" s="59"/>
      <c r="AA115" s="59"/>
      <c r="AB115" s="59"/>
      <c r="AC115" s="59"/>
      <c r="AD115" s="59"/>
      <c r="AE115" s="59"/>
      <c r="AF115" s="59"/>
      <c r="AG115" s="59"/>
      <c r="AH115" s="59"/>
      <c r="AI115" s="59"/>
      <c r="AJ115" s="59"/>
      <c r="AK115" s="59"/>
      <c r="AL115" s="59"/>
      <c r="AM115" s="59"/>
      <c r="AN115" s="59"/>
      <c r="AO115" s="59"/>
      <c r="AP115" s="59"/>
      <c r="AQ115" s="59"/>
      <c r="AR115" s="59"/>
    </row>
    <row r="116" spans="2:44" ht="15.95" hidden="1" customHeight="1">
      <c r="B116" s="59"/>
      <c r="C116" s="59"/>
      <c r="D116" s="59"/>
      <c r="E116" s="59"/>
      <c r="F116" s="59"/>
      <c r="G116" s="59"/>
      <c r="H116" s="59"/>
      <c r="I116" s="59"/>
      <c r="J116" s="59"/>
      <c r="K116" s="59"/>
      <c r="L116" s="59"/>
      <c r="M116" s="59"/>
      <c r="N116" s="59"/>
      <c r="O116" s="59"/>
      <c r="P116" s="59"/>
      <c r="Q116" s="59"/>
      <c r="R116" s="59"/>
      <c r="S116" s="59"/>
      <c r="T116" s="59"/>
      <c r="U116" s="59"/>
      <c r="V116" s="59"/>
      <c r="W116" s="59"/>
      <c r="X116" s="59"/>
      <c r="Y116" s="59"/>
      <c r="Z116" s="59"/>
      <c r="AA116" s="59"/>
      <c r="AB116" s="59"/>
      <c r="AC116" s="59"/>
      <c r="AD116" s="59"/>
      <c r="AE116" s="59"/>
      <c r="AF116" s="59"/>
      <c r="AG116" s="59"/>
      <c r="AH116" s="59"/>
      <c r="AI116" s="59"/>
      <c r="AJ116" s="59"/>
      <c r="AK116" s="59"/>
      <c r="AL116" s="59"/>
      <c r="AM116" s="59"/>
      <c r="AN116" s="59"/>
      <c r="AO116" s="59"/>
      <c r="AP116" s="59"/>
      <c r="AQ116" s="59"/>
      <c r="AR116" s="59"/>
    </row>
    <row r="117" spans="2:44" ht="15.95" hidden="1" customHeight="1">
      <c r="B117" s="59"/>
      <c r="C117" s="59"/>
      <c r="D117" s="59"/>
      <c r="E117" s="59"/>
      <c r="F117" s="59"/>
      <c r="G117" s="59"/>
      <c r="H117" s="59"/>
      <c r="I117" s="59"/>
      <c r="J117" s="59"/>
      <c r="K117" s="59"/>
      <c r="L117" s="59"/>
      <c r="M117" s="59"/>
      <c r="N117" s="59"/>
      <c r="O117" s="59"/>
      <c r="P117" s="59"/>
      <c r="Q117" s="59"/>
      <c r="R117" s="59"/>
      <c r="S117" s="59"/>
      <c r="T117" s="59"/>
      <c r="U117" s="59"/>
      <c r="V117" s="59"/>
      <c r="W117" s="59"/>
      <c r="X117" s="59"/>
      <c r="Y117" s="59"/>
      <c r="Z117" s="59"/>
      <c r="AA117" s="59"/>
      <c r="AB117" s="59"/>
      <c r="AC117" s="59"/>
      <c r="AD117" s="59"/>
      <c r="AE117" s="59"/>
      <c r="AF117" s="59"/>
      <c r="AG117" s="59"/>
      <c r="AH117" s="59"/>
      <c r="AI117" s="59"/>
      <c r="AJ117" s="59"/>
      <c r="AK117" s="59"/>
      <c r="AL117" s="59"/>
      <c r="AM117" s="59"/>
      <c r="AN117" s="59"/>
      <c r="AO117" s="59"/>
      <c r="AP117" s="59"/>
      <c r="AQ117" s="59"/>
      <c r="AR117" s="59"/>
    </row>
    <row r="118" spans="2:44" ht="15.95" hidden="1" customHeight="1">
      <c r="B118" s="59"/>
      <c r="C118" s="59"/>
      <c r="D118" s="59"/>
      <c r="E118" s="59"/>
      <c r="F118" s="59"/>
      <c r="G118" s="59"/>
      <c r="H118" s="59"/>
      <c r="I118" s="59"/>
      <c r="J118" s="59"/>
      <c r="K118" s="59"/>
      <c r="L118" s="59"/>
      <c r="M118" s="59"/>
      <c r="N118" s="59"/>
      <c r="O118" s="59"/>
      <c r="P118" s="59"/>
      <c r="Q118" s="59"/>
      <c r="R118" s="59"/>
      <c r="S118" s="59"/>
      <c r="T118" s="59"/>
      <c r="U118" s="59"/>
      <c r="V118" s="59"/>
      <c r="W118" s="59"/>
      <c r="X118" s="59"/>
      <c r="Y118" s="59"/>
      <c r="Z118" s="59"/>
      <c r="AA118" s="59"/>
      <c r="AB118" s="59"/>
      <c r="AC118" s="59"/>
      <c r="AD118" s="59"/>
      <c r="AE118" s="59"/>
      <c r="AF118" s="59"/>
      <c r="AG118" s="59"/>
      <c r="AH118" s="59"/>
      <c r="AI118" s="59"/>
      <c r="AJ118" s="59"/>
      <c r="AK118" s="59"/>
      <c r="AL118" s="59"/>
      <c r="AM118" s="59"/>
      <c r="AN118" s="59"/>
      <c r="AO118" s="59"/>
      <c r="AP118" s="59"/>
      <c r="AQ118" s="59"/>
      <c r="AR118" s="59"/>
    </row>
    <row r="119" spans="2:44" ht="15.95" hidden="1" customHeight="1">
      <c r="B119" s="59"/>
      <c r="C119" s="59"/>
      <c r="D119" s="59"/>
      <c r="E119" s="59"/>
      <c r="F119" s="59"/>
      <c r="G119" s="59"/>
      <c r="H119" s="59"/>
      <c r="I119" s="59"/>
      <c r="J119" s="59"/>
      <c r="K119" s="59"/>
      <c r="L119" s="59"/>
      <c r="M119" s="59"/>
      <c r="N119" s="59"/>
      <c r="O119" s="59"/>
      <c r="P119" s="59"/>
      <c r="Q119" s="59"/>
      <c r="R119" s="59"/>
      <c r="S119" s="59"/>
      <c r="T119" s="59"/>
      <c r="U119" s="59"/>
      <c r="V119" s="59"/>
      <c r="W119" s="59"/>
      <c r="X119" s="59"/>
      <c r="Y119" s="59"/>
      <c r="Z119" s="59"/>
      <c r="AA119" s="59"/>
      <c r="AB119" s="59"/>
      <c r="AC119" s="59"/>
      <c r="AD119" s="59"/>
      <c r="AE119" s="59"/>
      <c r="AF119" s="59"/>
      <c r="AG119" s="59"/>
      <c r="AH119" s="59"/>
      <c r="AI119" s="59"/>
      <c r="AJ119" s="59"/>
      <c r="AK119" s="59"/>
      <c r="AL119" s="59"/>
      <c r="AM119" s="59"/>
      <c r="AN119" s="59"/>
      <c r="AO119" s="59"/>
      <c r="AP119" s="59"/>
      <c r="AQ119" s="59"/>
      <c r="AR119" s="59"/>
    </row>
    <row r="120" spans="2:44" ht="15.95" hidden="1" customHeight="1">
      <c r="B120" s="59"/>
      <c r="C120" s="59"/>
      <c r="D120" s="59"/>
      <c r="E120" s="59"/>
      <c r="F120" s="59"/>
      <c r="G120" s="59"/>
      <c r="H120" s="59"/>
      <c r="I120" s="59"/>
      <c r="J120" s="59"/>
      <c r="K120" s="59"/>
      <c r="L120" s="59"/>
      <c r="M120" s="59"/>
      <c r="N120" s="59"/>
      <c r="O120" s="59"/>
      <c r="P120" s="59"/>
      <c r="Q120" s="59"/>
      <c r="R120" s="59"/>
      <c r="S120" s="59"/>
      <c r="T120" s="59"/>
      <c r="U120" s="59"/>
      <c r="V120" s="59"/>
      <c r="W120" s="59"/>
      <c r="X120" s="59"/>
      <c r="Y120" s="59"/>
      <c r="Z120" s="59"/>
      <c r="AA120" s="59"/>
      <c r="AB120" s="59"/>
      <c r="AC120" s="59"/>
      <c r="AD120" s="59"/>
      <c r="AE120" s="59"/>
      <c r="AF120" s="59"/>
      <c r="AG120" s="59"/>
      <c r="AH120" s="59"/>
      <c r="AI120" s="59"/>
      <c r="AJ120" s="59"/>
      <c r="AK120" s="59"/>
      <c r="AL120" s="59"/>
      <c r="AM120" s="59"/>
      <c r="AN120" s="59"/>
      <c r="AO120" s="59"/>
      <c r="AP120" s="59"/>
      <c r="AQ120" s="59"/>
      <c r="AR120" s="59"/>
    </row>
    <row r="121" spans="2:44" ht="15.95" hidden="1" customHeight="1">
      <c r="B121" s="59"/>
      <c r="C121" s="59"/>
      <c r="D121" s="59"/>
      <c r="E121" s="59"/>
      <c r="F121" s="59"/>
      <c r="G121" s="59"/>
      <c r="H121" s="59"/>
      <c r="I121" s="59"/>
      <c r="J121" s="59"/>
      <c r="K121" s="59"/>
      <c r="L121" s="59"/>
      <c r="M121" s="59"/>
      <c r="N121" s="59"/>
      <c r="O121" s="59"/>
      <c r="P121" s="59"/>
      <c r="Q121" s="59"/>
      <c r="R121" s="59"/>
      <c r="S121" s="59"/>
      <c r="T121" s="59"/>
      <c r="U121" s="59"/>
      <c r="V121" s="59"/>
      <c r="W121" s="59"/>
      <c r="X121" s="59"/>
      <c r="Y121" s="59"/>
      <c r="Z121" s="59"/>
      <c r="AA121" s="59"/>
      <c r="AB121" s="59"/>
      <c r="AC121" s="59"/>
      <c r="AD121" s="59"/>
      <c r="AE121" s="59"/>
      <c r="AF121" s="59"/>
      <c r="AG121" s="59"/>
      <c r="AH121" s="59"/>
      <c r="AI121" s="59"/>
      <c r="AJ121" s="59"/>
      <c r="AK121" s="59"/>
      <c r="AL121" s="59"/>
      <c r="AM121" s="59"/>
      <c r="AN121" s="59"/>
      <c r="AO121" s="59"/>
      <c r="AP121" s="59"/>
      <c r="AQ121" s="59"/>
      <c r="AR121" s="59"/>
    </row>
    <row r="122" spans="2:44" ht="15.95" hidden="1" customHeight="1">
      <c r="B122" s="59"/>
      <c r="C122" s="59"/>
      <c r="D122" s="59"/>
      <c r="E122" s="59"/>
      <c r="F122" s="59"/>
      <c r="G122" s="59"/>
      <c r="H122" s="59"/>
      <c r="I122" s="59"/>
      <c r="J122" s="59"/>
      <c r="K122" s="59"/>
      <c r="L122" s="59"/>
      <c r="M122" s="59"/>
      <c r="N122" s="59"/>
      <c r="O122" s="59"/>
      <c r="P122" s="59"/>
      <c r="Q122" s="59"/>
      <c r="R122" s="59"/>
      <c r="S122" s="59"/>
      <c r="T122" s="59"/>
      <c r="U122" s="59"/>
      <c r="V122" s="59"/>
      <c r="W122" s="59"/>
      <c r="X122" s="59"/>
      <c r="Y122" s="59"/>
      <c r="Z122" s="59"/>
      <c r="AA122" s="59"/>
      <c r="AB122" s="59"/>
      <c r="AC122" s="59"/>
      <c r="AD122" s="59"/>
      <c r="AE122" s="59"/>
      <c r="AF122" s="59"/>
      <c r="AG122" s="59"/>
      <c r="AH122" s="59"/>
      <c r="AI122" s="59"/>
      <c r="AJ122" s="59"/>
      <c r="AK122" s="59"/>
      <c r="AL122" s="59"/>
      <c r="AM122" s="59"/>
      <c r="AN122" s="59"/>
      <c r="AO122" s="59"/>
      <c r="AP122" s="59"/>
      <c r="AQ122" s="59"/>
      <c r="AR122" s="59"/>
    </row>
    <row r="123" spans="2:44" ht="15.95" hidden="1" customHeight="1">
      <c r="B123" s="59"/>
      <c r="C123" s="59"/>
      <c r="D123" s="59"/>
      <c r="E123" s="59"/>
      <c r="F123" s="59"/>
      <c r="G123" s="59"/>
      <c r="H123" s="59"/>
      <c r="I123" s="59"/>
      <c r="J123" s="59"/>
      <c r="K123" s="59"/>
      <c r="L123" s="59"/>
      <c r="M123" s="59"/>
      <c r="N123" s="59"/>
      <c r="O123" s="59"/>
      <c r="P123" s="59"/>
      <c r="Q123" s="59"/>
      <c r="R123" s="59"/>
      <c r="S123" s="59"/>
      <c r="T123" s="59"/>
      <c r="U123" s="59"/>
      <c r="V123" s="59"/>
      <c r="W123" s="59"/>
      <c r="X123" s="59"/>
      <c r="Y123" s="59"/>
      <c r="Z123" s="59"/>
      <c r="AA123" s="59"/>
      <c r="AB123" s="59"/>
      <c r="AC123" s="59"/>
      <c r="AD123" s="59"/>
      <c r="AE123" s="59"/>
      <c r="AF123" s="59"/>
      <c r="AG123" s="59"/>
      <c r="AH123" s="59"/>
      <c r="AI123" s="59"/>
      <c r="AJ123" s="59"/>
      <c r="AK123" s="59"/>
      <c r="AL123" s="59"/>
      <c r="AM123" s="59"/>
      <c r="AN123" s="59"/>
      <c r="AO123" s="59"/>
      <c r="AP123" s="59"/>
      <c r="AQ123" s="59"/>
      <c r="AR123" s="59"/>
    </row>
    <row r="124" spans="2:44" ht="15.95" hidden="1" customHeight="1">
      <c r="B124" s="59"/>
      <c r="C124" s="59"/>
      <c r="D124" s="59"/>
      <c r="E124" s="59"/>
      <c r="F124" s="59"/>
      <c r="G124" s="59"/>
      <c r="H124" s="59"/>
      <c r="I124" s="59"/>
      <c r="J124" s="59"/>
      <c r="K124" s="59"/>
      <c r="L124" s="59"/>
      <c r="M124" s="59"/>
      <c r="N124" s="59"/>
      <c r="O124" s="59"/>
      <c r="P124" s="59"/>
      <c r="Q124" s="59"/>
      <c r="R124" s="59"/>
      <c r="S124" s="59"/>
      <c r="T124" s="59"/>
      <c r="U124" s="59"/>
      <c r="V124" s="59"/>
      <c r="W124" s="59"/>
      <c r="X124" s="59"/>
      <c r="Y124" s="59"/>
      <c r="Z124" s="59"/>
      <c r="AA124" s="59"/>
      <c r="AB124" s="59"/>
      <c r="AC124" s="59"/>
      <c r="AD124" s="59"/>
      <c r="AE124" s="59"/>
      <c r="AF124" s="59"/>
      <c r="AG124" s="59"/>
      <c r="AH124" s="59"/>
      <c r="AI124" s="59"/>
      <c r="AJ124" s="59"/>
      <c r="AK124" s="59"/>
      <c r="AL124" s="59"/>
      <c r="AM124" s="59"/>
      <c r="AN124" s="59"/>
      <c r="AO124" s="59"/>
      <c r="AP124" s="59"/>
      <c r="AQ124" s="59"/>
      <c r="AR124" s="59"/>
    </row>
    <row r="125" spans="2:44" ht="15.95" hidden="1" customHeight="1">
      <c r="B125" s="59"/>
      <c r="C125" s="59"/>
      <c r="D125" s="59"/>
      <c r="E125" s="59"/>
      <c r="F125" s="59"/>
      <c r="G125" s="59"/>
      <c r="H125" s="59"/>
      <c r="I125" s="59"/>
      <c r="J125" s="59"/>
      <c r="K125" s="59"/>
      <c r="L125" s="59"/>
      <c r="M125" s="59"/>
      <c r="N125" s="59"/>
      <c r="O125" s="59"/>
      <c r="P125" s="59"/>
      <c r="Q125" s="59"/>
      <c r="R125" s="59"/>
      <c r="S125" s="59"/>
      <c r="T125" s="59"/>
      <c r="U125" s="59"/>
      <c r="V125" s="59"/>
      <c r="W125" s="59"/>
      <c r="X125" s="59"/>
      <c r="Y125" s="59"/>
      <c r="Z125" s="59"/>
      <c r="AA125" s="59"/>
      <c r="AB125" s="59"/>
      <c r="AC125" s="59"/>
      <c r="AD125" s="59"/>
      <c r="AE125" s="59"/>
      <c r="AF125" s="59"/>
      <c r="AG125" s="59"/>
      <c r="AH125" s="59"/>
      <c r="AI125" s="59"/>
      <c r="AJ125" s="59"/>
      <c r="AK125" s="59"/>
      <c r="AL125" s="59"/>
      <c r="AM125" s="59"/>
      <c r="AN125" s="59"/>
      <c r="AO125" s="59"/>
      <c r="AP125" s="59"/>
      <c r="AQ125" s="59"/>
      <c r="AR125" s="59"/>
    </row>
    <row r="126" spans="2:44" ht="15.95" hidden="1" customHeight="1">
      <c r="B126" s="59"/>
      <c r="C126" s="59"/>
      <c r="D126" s="59"/>
      <c r="E126" s="59"/>
      <c r="F126" s="59"/>
      <c r="G126" s="59"/>
      <c r="H126" s="59"/>
      <c r="I126" s="59"/>
      <c r="J126" s="59"/>
      <c r="K126" s="59"/>
      <c r="L126" s="59"/>
      <c r="M126" s="59"/>
      <c r="N126" s="59"/>
      <c r="O126" s="59"/>
      <c r="P126" s="59"/>
      <c r="Q126" s="59"/>
      <c r="R126" s="59"/>
      <c r="S126" s="59"/>
      <c r="T126" s="59"/>
      <c r="U126" s="59"/>
      <c r="V126" s="59"/>
      <c r="W126" s="59"/>
      <c r="X126" s="59"/>
      <c r="Y126" s="59"/>
      <c r="Z126" s="59"/>
      <c r="AA126" s="59"/>
      <c r="AB126" s="59"/>
      <c r="AC126" s="59"/>
      <c r="AD126" s="59"/>
      <c r="AE126" s="59"/>
      <c r="AF126" s="59"/>
      <c r="AG126" s="59"/>
      <c r="AH126" s="59"/>
      <c r="AI126" s="59"/>
      <c r="AJ126" s="59"/>
      <c r="AK126" s="59"/>
      <c r="AL126" s="59"/>
      <c r="AM126" s="59"/>
      <c r="AN126" s="59"/>
      <c r="AO126" s="59"/>
      <c r="AP126" s="59"/>
      <c r="AQ126" s="59"/>
      <c r="AR126" s="59"/>
    </row>
    <row r="127" spans="2:44" ht="15.95" hidden="1" customHeight="1">
      <c r="B127" s="59"/>
      <c r="C127" s="59"/>
      <c r="D127" s="59"/>
      <c r="E127" s="59"/>
      <c r="F127" s="59"/>
      <c r="G127" s="59"/>
      <c r="H127" s="59"/>
      <c r="I127" s="59"/>
      <c r="J127" s="59"/>
      <c r="K127" s="59"/>
      <c r="L127" s="59"/>
      <c r="M127" s="59"/>
      <c r="N127" s="59"/>
      <c r="O127" s="59"/>
      <c r="P127" s="59"/>
      <c r="Q127" s="59"/>
      <c r="R127" s="59"/>
      <c r="S127" s="59"/>
      <c r="T127" s="59"/>
      <c r="U127" s="59"/>
      <c r="V127" s="59"/>
      <c r="W127" s="59"/>
      <c r="X127" s="59"/>
      <c r="Y127" s="59"/>
      <c r="Z127" s="59"/>
      <c r="AA127" s="59"/>
      <c r="AB127" s="59"/>
      <c r="AC127" s="59"/>
      <c r="AD127" s="59"/>
      <c r="AE127" s="59"/>
      <c r="AF127" s="59"/>
      <c r="AG127" s="59"/>
      <c r="AH127" s="59"/>
      <c r="AI127" s="59"/>
      <c r="AJ127" s="59"/>
      <c r="AK127" s="59"/>
      <c r="AL127" s="59"/>
      <c r="AM127" s="59"/>
      <c r="AN127" s="59"/>
      <c r="AO127" s="59"/>
      <c r="AP127" s="59"/>
      <c r="AQ127" s="59"/>
      <c r="AR127" s="59"/>
    </row>
    <row r="128" spans="2:44" ht="15.95" hidden="1" customHeight="1">
      <c r="B128" s="59"/>
      <c r="C128" s="59"/>
      <c r="D128" s="59"/>
      <c r="E128" s="59"/>
      <c r="F128" s="59"/>
      <c r="G128" s="59"/>
      <c r="H128" s="59"/>
      <c r="I128" s="59"/>
      <c r="J128" s="59"/>
      <c r="K128" s="59"/>
      <c r="L128" s="59"/>
      <c r="M128" s="59"/>
      <c r="N128" s="59"/>
      <c r="O128" s="59"/>
      <c r="P128" s="59"/>
      <c r="Q128" s="59"/>
      <c r="R128" s="59"/>
      <c r="S128" s="59"/>
      <c r="T128" s="59"/>
      <c r="U128" s="59"/>
      <c r="V128" s="59"/>
      <c r="W128" s="59"/>
      <c r="X128" s="59"/>
      <c r="Y128" s="59"/>
      <c r="Z128" s="59"/>
      <c r="AA128" s="59"/>
      <c r="AB128" s="59"/>
      <c r="AC128" s="59"/>
      <c r="AD128" s="59"/>
      <c r="AE128" s="59"/>
      <c r="AF128" s="59"/>
      <c r="AG128" s="59"/>
      <c r="AH128" s="59"/>
      <c r="AI128" s="59"/>
      <c r="AJ128" s="59"/>
      <c r="AK128" s="59"/>
      <c r="AL128" s="59"/>
      <c r="AM128" s="59"/>
      <c r="AN128" s="59"/>
      <c r="AO128" s="59"/>
      <c r="AP128" s="59"/>
      <c r="AQ128" s="59"/>
      <c r="AR128" s="59"/>
    </row>
    <row r="129" spans="2:44" ht="15.95" hidden="1" customHeight="1">
      <c r="B129" s="59"/>
      <c r="C129" s="59"/>
      <c r="D129" s="59"/>
      <c r="E129" s="59"/>
      <c r="F129" s="59"/>
      <c r="G129" s="59"/>
      <c r="H129" s="59"/>
      <c r="I129" s="59"/>
      <c r="J129" s="59"/>
      <c r="K129" s="59"/>
      <c r="L129" s="59"/>
      <c r="M129" s="59"/>
      <c r="N129" s="59"/>
      <c r="O129" s="59"/>
      <c r="P129" s="59"/>
      <c r="Q129" s="59"/>
      <c r="R129" s="59"/>
      <c r="S129" s="59"/>
      <c r="T129" s="59"/>
      <c r="U129" s="59"/>
      <c r="V129" s="59"/>
      <c r="W129" s="59"/>
      <c r="X129" s="59"/>
      <c r="Y129" s="59"/>
      <c r="Z129" s="59"/>
      <c r="AA129" s="59"/>
      <c r="AB129" s="59"/>
      <c r="AC129" s="59"/>
      <c r="AD129" s="59"/>
      <c r="AE129" s="59"/>
      <c r="AF129" s="59"/>
      <c r="AG129" s="59"/>
      <c r="AH129" s="59"/>
      <c r="AI129" s="59"/>
      <c r="AJ129" s="59"/>
      <c r="AK129" s="59"/>
      <c r="AL129" s="59"/>
      <c r="AM129" s="59"/>
      <c r="AN129" s="59"/>
      <c r="AO129" s="59"/>
      <c r="AP129" s="59"/>
      <c r="AQ129" s="59"/>
      <c r="AR129" s="59"/>
    </row>
    <row r="130" spans="2:44" ht="15.95" hidden="1" customHeight="1">
      <c r="B130" s="59"/>
      <c r="C130" s="59"/>
      <c r="D130" s="59"/>
      <c r="E130" s="59"/>
      <c r="F130" s="59"/>
      <c r="G130" s="59"/>
      <c r="H130" s="59"/>
      <c r="I130" s="59"/>
      <c r="J130" s="59"/>
      <c r="K130" s="59"/>
      <c r="L130" s="59"/>
      <c r="M130" s="59"/>
      <c r="N130" s="59"/>
      <c r="O130" s="59"/>
      <c r="P130" s="59"/>
      <c r="Q130" s="59"/>
      <c r="R130" s="59"/>
      <c r="S130" s="59"/>
      <c r="T130" s="59"/>
      <c r="U130" s="59"/>
      <c r="V130" s="59"/>
      <c r="W130" s="59"/>
      <c r="X130" s="59"/>
      <c r="Y130" s="59"/>
      <c r="Z130" s="59"/>
      <c r="AA130" s="59"/>
      <c r="AB130" s="59"/>
      <c r="AC130" s="59"/>
      <c r="AD130" s="59"/>
      <c r="AE130" s="59"/>
      <c r="AF130" s="59"/>
      <c r="AG130" s="59"/>
      <c r="AH130" s="59"/>
      <c r="AI130" s="59"/>
      <c r="AJ130" s="59"/>
      <c r="AK130" s="59"/>
      <c r="AL130" s="59"/>
      <c r="AM130" s="59"/>
      <c r="AN130" s="59"/>
      <c r="AO130" s="59"/>
      <c r="AP130" s="59"/>
      <c r="AQ130" s="59"/>
      <c r="AR130" s="59"/>
    </row>
    <row r="131" spans="2:44" ht="15.95" hidden="1" customHeight="1">
      <c r="B131" s="59"/>
      <c r="C131" s="59"/>
      <c r="D131" s="59"/>
      <c r="E131" s="59"/>
      <c r="F131" s="59"/>
      <c r="G131" s="59"/>
      <c r="H131" s="59"/>
      <c r="I131" s="59"/>
      <c r="J131" s="59"/>
      <c r="K131" s="59"/>
      <c r="L131" s="59"/>
      <c r="M131" s="59"/>
      <c r="N131" s="59"/>
      <c r="O131" s="59"/>
      <c r="P131" s="59"/>
      <c r="Q131" s="59"/>
      <c r="R131" s="59"/>
      <c r="S131" s="59"/>
      <c r="T131" s="59"/>
      <c r="U131" s="59"/>
      <c r="V131" s="59"/>
      <c r="W131" s="59"/>
      <c r="X131" s="59"/>
      <c r="Y131" s="59"/>
      <c r="Z131" s="59"/>
      <c r="AA131" s="59"/>
      <c r="AB131" s="59"/>
      <c r="AC131" s="59"/>
      <c r="AD131" s="59"/>
      <c r="AE131" s="59"/>
      <c r="AF131" s="59"/>
      <c r="AG131" s="59"/>
      <c r="AH131" s="59"/>
      <c r="AI131" s="59"/>
      <c r="AJ131" s="59"/>
      <c r="AK131" s="59"/>
      <c r="AL131" s="59"/>
      <c r="AM131" s="59"/>
      <c r="AN131" s="59"/>
      <c r="AO131" s="59"/>
      <c r="AP131" s="59"/>
      <c r="AQ131" s="59"/>
      <c r="AR131" s="59"/>
    </row>
    <row r="132" spans="2:44" ht="15.95" hidden="1" customHeight="1">
      <c r="B132" s="59"/>
      <c r="C132" s="59"/>
      <c r="D132" s="59"/>
      <c r="E132" s="59"/>
      <c r="F132" s="59"/>
      <c r="G132" s="59"/>
      <c r="H132" s="59"/>
      <c r="I132" s="59"/>
      <c r="J132" s="59"/>
      <c r="K132" s="59"/>
      <c r="L132" s="59"/>
      <c r="M132" s="59"/>
      <c r="N132" s="59"/>
      <c r="O132" s="59"/>
      <c r="P132" s="59"/>
      <c r="Q132" s="59"/>
      <c r="R132" s="59"/>
      <c r="S132" s="59"/>
      <c r="T132" s="59"/>
      <c r="U132" s="59"/>
      <c r="V132" s="59"/>
      <c r="W132" s="59"/>
      <c r="X132" s="59"/>
      <c r="Y132" s="59"/>
      <c r="Z132" s="59"/>
      <c r="AA132" s="59"/>
      <c r="AB132" s="59"/>
      <c r="AC132" s="59"/>
      <c r="AD132" s="59"/>
      <c r="AE132" s="59"/>
      <c r="AF132" s="59"/>
      <c r="AG132" s="59"/>
      <c r="AH132" s="59"/>
      <c r="AI132" s="59"/>
      <c r="AJ132" s="59"/>
      <c r="AK132" s="59"/>
      <c r="AL132" s="59"/>
      <c r="AM132" s="59"/>
      <c r="AN132" s="59"/>
      <c r="AO132" s="59"/>
      <c r="AP132" s="59"/>
      <c r="AQ132" s="59"/>
      <c r="AR132" s="59"/>
    </row>
    <row r="133" spans="2:44" ht="15.95" hidden="1" customHeight="1">
      <c r="B133" s="59"/>
      <c r="C133" s="59"/>
      <c r="D133" s="59"/>
      <c r="E133" s="59"/>
      <c r="F133" s="59"/>
      <c r="G133" s="59"/>
      <c r="H133" s="59"/>
      <c r="I133" s="59"/>
      <c r="J133" s="59"/>
      <c r="K133" s="59"/>
      <c r="L133" s="59"/>
      <c r="M133" s="59"/>
      <c r="N133" s="59"/>
      <c r="O133" s="59"/>
      <c r="P133" s="59"/>
      <c r="Q133" s="59"/>
      <c r="R133" s="59"/>
      <c r="S133" s="59"/>
      <c r="T133" s="59"/>
      <c r="U133" s="59"/>
      <c r="V133" s="59"/>
      <c r="W133" s="59"/>
      <c r="X133" s="59"/>
      <c r="Y133" s="59"/>
      <c r="Z133" s="59"/>
      <c r="AA133" s="59"/>
      <c r="AB133" s="59"/>
      <c r="AC133" s="59"/>
      <c r="AD133" s="59"/>
      <c r="AE133" s="59"/>
      <c r="AF133" s="59"/>
      <c r="AG133" s="59"/>
      <c r="AH133" s="59"/>
      <c r="AI133" s="59"/>
      <c r="AJ133" s="59"/>
      <c r="AK133" s="59"/>
      <c r="AL133" s="59"/>
      <c r="AM133" s="59"/>
      <c r="AN133" s="59"/>
      <c r="AO133" s="59"/>
      <c r="AP133" s="59"/>
      <c r="AQ133" s="59"/>
      <c r="AR133" s="59"/>
    </row>
    <row r="134" spans="2:44" ht="15.95" hidden="1" customHeight="1">
      <c r="B134" s="59"/>
      <c r="C134" s="59"/>
      <c r="D134" s="59"/>
      <c r="E134" s="59"/>
      <c r="F134" s="59"/>
      <c r="G134" s="59"/>
      <c r="H134" s="59"/>
      <c r="I134" s="59"/>
      <c r="J134" s="59"/>
      <c r="K134" s="59"/>
      <c r="L134" s="59"/>
      <c r="M134" s="59"/>
      <c r="N134" s="59"/>
      <c r="O134" s="59"/>
      <c r="P134" s="59"/>
      <c r="Q134" s="59"/>
      <c r="R134" s="59"/>
      <c r="S134" s="59"/>
      <c r="T134" s="59"/>
      <c r="U134" s="59"/>
      <c r="V134" s="59"/>
      <c r="W134" s="59"/>
      <c r="X134" s="59"/>
      <c r="Y134" s="59"/>
      <c r="Z134" s="59"/>
      <c r="AA134" s="59"/>
      <c r="AB134" s="59"/>
      <c r="AC134" s="59"/>
      <c r="AD134" s="59"/>
      <c r="AE134" s="59"/>
      <c r="AF134" s="59"/>
      <c r="AG134" s="59"/>
      <c r="AH134" s="59"/>
      <c r="AI134" s="59"/>
      <c r="AJ134" s="59"/>
      <c r="AK134" s="59"/>
      <c r="AL134" s="59"/>
      <c r="AM134" s="59"/>
      <c r="AN134" s="59"/>
      <c r="AO134" s="59"/>
      <c r="AP134" s="59"/>
      <c r="AQ134" s="59"/>
      <c r="AR134" s="59"/>
    </row>
    <row r="135" spans="2:44" ht="15.95" hidden="1" customHeight="1">
      <c r="B135" s="59"/>
      <c r="C135" s="59"/>
      <c r="D135" s="59"/>
      <c r="E135" s="59"/>
      <c r="F135" s="59"/>
      <c r="G135" s="59"/>
      <c r="H135" s="59"/>
      <c r="I135" s="59"/>
      <c r="J135" s="59"/>
      <c r="K135" s="59"/>
      <c r="L135" s="59"/>
      <c r="M135" s="59"/>
      <c r="N135" s="59"/>
      <c r="O135" s="59"/>
      <c r="P135" s="59"/>
      <c r="Q135" s="59"/>
      <c r="R135" s="59"/>
      <c r="S135" s="59"/>
      <c r="T135" s="59"/>
      <c r="U135" s="59"/>
      <c r="V135" s="59"/>
      <c r="W135" s="59"/>
      <c r="X135" s="59"/>
      <c r="Y135" s="59"/>
      <c r="Z135" s="59"/>
      <c r="AA135" s="59"/>
      <c r="AB135" s="59"/>
      <c r="AC135" s="59"/>
      <c r="AD135" s="59"/>
      <c r="AE135" s="59"/>
      <c r="AF135" s="59"/>
      <c r="AG135" s="59"/>
      <c r="AH135" s="59"/>
      <c r="AI135" s="59"/>
      <c r="AJ135" s="59"/>
      <c r="AK135" s="59"/>
      <c r="AL135" s="59"/>
      <c r="AM135" s="59"/>
      <c r="AN135" s="59"/>
      <c r="AO135" s="59"/>
      <c r="AP135" s="59"/>
      <c r="AQ135" s="59"/>
      <c r="AR135" s="59"/>
    </row>
    <row r="136" spans="2:44" ht="15.95" hidden="1" customHeight="1">
      <c r="B136" s="59"/>
      <c r="C136" s="59"/>
      <c r="D136" s="59"/>
      <c r="E136" s="59"/>
      <c r="F136" s="59"/>
      <c r="G136" s="59"/>
      <c r="H136" s="59"/>
      <c r="I136" s="59"/>
      <c r="J136" s="59"/>
      <c r="K136" s="59"/>
      <c r="L136" s="59"/>
      <c r="M136" s="59"/>
      <c r="N136" s="59"/>
      <c r="O136" s="59"/>
      <c r="P136" s="59"/>
      <c r="Q136" s="59"/>
      <c r="R136" s="59"/>
      <c r="S136" s="59"/>
      <c r="T136" s="59"/>
      <c r="U136" s="59"/>
      <c r="V136" s="59"/>
      <c r="W136" s="59"/>
      <c r="X136" s="59"/>
      <c r="Y136" s="59"/>
      <c r="Z136" s="59"/>
      <c r="AA136" s="59"/>
      <c r="AB136" s="59"/>
      <c r="AC136" s="59"/>
      <c r="AD136" s="59"/>
      <c r="AE136" s="59"/>
      <c r="AF136" s="59"/>
      <c r="AG136" s="59"/>
      <c r="AH136" s="59"/>
      <c r="AI136" s="59"/>
      <c r="AJ136" s="59"/>
      <c r="AK136" s="59"/>
      <c r="AL136" s="59"/>
      <c r="AM136" s="59"/>
      <c r="AN136" s="59"/>
      <c r="AO136" s="59"/>
      <c r="AP136" s="59"/>
      <c r="AQ136" s="59"/>
      <c r="AR136" s="59"/>
    </row>
    <row r="137" spans="2:44" ht="15.95" hidden="1" customHeight="1">
      <c r="B137" s="59"/>
      <c r="C137" s="59"/>
      <c r="D137" s="59"/>
      <c r="E137" s="59"/>
      <c r="F137" s="59"/>
      <c r="G137" s="59"/>
      <c r="H137" s="59"/>
      <c r="I137" s="59"/>
      <c r="J137" s="59"/>
      <c r="K137" s="59"/>
      <c r="L137" s="59"/>
      <c r="M137" s="59"/>
      <c r="N137" s="59"/>
      <c r="O137" s="59"/>
      <c r="P137" s="59"/>
      <c r="Q137" s="59"/>
      <c r="R137" s="59"/>
      <c r="S137" s="59"/>
      <c r="T137" s="59"/>
      <c r="U137" s="59"/>
      <c r="V137" s="59"/>
      <c r="W137" s="59"/>
      <c r="X137" s="59"/>
      <c r="Y137" s="59"/>
      <c r="Z137" s="59"/>
      <c r="AA137" s="59"/>
      <c r="AB137" s="59"/>
      <c r="AC137" s="59"/>
      <c r="AD137" s="59"/>
      <c r="AE137" s="59"/>
      <c r="AF137" s="59"/>
      <c r="AG137" s="59"/>
      <c r="AH137" s="59"/>
      <c r="AI137" s="59"/>
      <c r="AJ137" s="59"/>
      <c r="AK137" s="59"/>
      <c r="AL137" s="59"/>
      <c r="AM137" s="59"/>
      <c r="AN137" s="59"/>
      <c r="AO137" s="59"/>
      <c r="AP137" s="59"/>
      <c r="AQ137" s="59"/>
      <c r="AR137" s="59"/>
    </row>
    <row r="138" spans="2:44" ht="15.95" hidden="1" customHeight="1">
      <c r="B138" s="59"/>
      <c r="C138" s="59"/>
      <c r="D138" s="59"/>
      <c r="E138" s="59"/>
      <c r="F138" s="59"/>
      <c r="G138" s="59"/>
      <c r="H138" s="59"/>
      <c r="I138" s="59"/>
      <c r="J138" s="59"/>
      <c r="K138" s="59"/>
      <c r="L138" s="59"/>
      <c r="M138" s="59"/>
      <c r="N138" s="59"/>
      <c r="O138" s="59"/>
      <c r="P138" s="59"/>
      <c r="Q138" s="59"/>
      <c r="R138" s="59"/>
      <c r="S138" s="59"/>
      <c r="T138" s="59"/>
      <c r="U138" s="59"/>
      <c r="V138" s="59"/>
      <c r="W138" s="59"/>
      <c r="X138" s="59"/>
      <c r="Y138" s="59"/>
      <c r="Z138" s="59"/>
      <c r="AA138" s="59"/>
      <c r="AB138" s="59"/>
      <c r="AC138" s="59"/>
      <c r="AD138" s="59"/>
      <c r="AE138" s="59"/>
      <c r="AF138" s="59"/>
      <c r="AG138" s="59"/>
      <c r="AH138" s="59"/>
      <c r="AI138" s="59"/>
      <c r="AJ138" s="59"/>
      <c r="AK138" s="59"/>
      <c r="AL138" s="59"/>
      <c r="AM138" s="59"/>
      <c r="AN138" s="59"/>
      <c r="AO138" s="59"/>
      <c r="AP138" s="59"/>
      <c r="AQ138" s="59"/>
      <c r="AR138" s="59"/>
    </row>
    <row r="139" spans="2:44" ht="15.95" hidden="1" customHeight="1">
      <c r="B139" s="59"/>
      <c r="C139" s="59"/>
      <c r="D139" s="59"/>
      <c r="E139" s="59"/>
      <c r="F139" s="59"/>
      <c r="G139" s="59"/>
      <c r="H139" s="59"/>
      <c r="I139" s="59"/>
      <c r="J139" s="59"/>
      <c r="K139" s="59"/>
      <c r="L139" s="59"/>
      <c r="M139" s="59"/>
      <c r="N139" s="59"/>
      <c r="O139" s="59"/>
      <c r="P139" s="59"/>
      <c r="Q139" s="59"/>
      <c r="R139" s="59"/>
      <c r="S139" s="59"/>
      <c r="T139" s="59"/>
      <c r="U139" s="59"/>
      <c r="V139" s="59"/>
      <c r="W139" s="59"/>
      <c r="X139" s="59"/>
      <c r="Y139" s="59"/>
      <c r="Z139" s="59"/>
      <c r="AA139" s="59"/>
      <c r="AB139" s="59"/>
      <c r="AC139" s="59"/>
      <c r="AD139" s="59"/>
      <c r="AE139" s="59"/>
      <c r="AF139" s="59"/>
      <c r="AG139" s="59"/>
      <c r="AH139" s="59"/>
      <c r="AI139" s="59"/>
      <c r="AJ139" s="59"/>
      <c r="AK139" s="59"/>
      <c r="AL139" s="59"/>
      <c r="AM139" s="59"/>
      <c r="AN139" s="59"/>
      <c r="AO139" s="59"/>
      <c r="AP139" s="59"/>
      <c r="AQ139" s="59"/>
      <c r="AR139" s="59"/>
    </row>
    <row r="140" spans="2:44" ht="15.95" hidden="1" customHeight="1">
      <c r="B140" s="59"/>
      <c r="C140" s="59"/>
      <c r="D140" s="59"/>
      <c r="E140" s="59"/>
      <c r="F140" s="59"/>
      <c r="G140" s="59"/>
      <c r="H140" s="59"/>
      <c r="I140" s="59"/>
      <c r="J140" s="59"/>
      <c r="K140" s="59"/>
      <c r="L140" s="59"/>
      <c r="M140" s="59"/>
      <c r="N140" s="59"/>
      <c r="O140" s="59"/>
      <c r="P140" s="59"/>
      <c r="Q140" s="59"/>
      <c r="R140" s="59"/>
      <c r="S140" s="59"/>
      <c r="T140" s="59"/>
      <c r="U140" s="59"/>
      <c r="V140" s="59"/>
      <c r="W140" s="59"/>
      <c r="X140" s="59"/>
      <c r="Y140" s="59"/>
      <c r="Z140" s="59"/>
      <c r="AA140" s="59"/>
      <c r="AB140" s="59"/>
      <c r="AC140" s="59"/>
      <c r="AD140" s="59"/>
      <c r="AE140" s="59"/>
      <c r="AF140" s="59"/>
      <c r="AG140" s="59"/>
      <c r="AH140" s="59"/>
      <c r="AI140" s="59"/>
      <c r="AJ140" s="59"/>
      <c r="AK140" s="59"/>
      <c r="AL140" s="59"/>
      <c r="AM140" s="59"/>
      <c r="AN140" s="59"/>
      <c r="AO140" s="59"/>
      <c r="AP140" s="59"/>
      <c r="AQ140" s="59"/>
      <c r="AR140" s="59"/>
    </row>
    <row r="141" spans="2:44" ht="15.95" hidden="1" customHeight="1">
      <c r="B141" s="59"/>
      <c r="C141" s="59"/>
      <c r="D141" s="59"/>
      <c r="E141" s="59"/>
      <c r="F141" s="59"/>
      <c r="G141" s="59"/>
      <c r="H141" s="59"/>
      <c r="I141" s="59"/>
      <c r="J141" s="59"/>
      <c r="K141" s="59"/>
      <c r="L141" s="59"/>
      <c r="M141" s="59"/>
      <c r="N141" s="59"/>
      <c r="O141" s="59"/>
      <c r="P141" s="59"/>
      <c r="Q141" s="59"/>
      <c r="R141" s="59"/>
      <c r="S141" s="59"/>
      <c r="T141" s="59"/>
      <c r="U141" s="59"/>
      <c r="V141" s="59"/>
      <c r="W141" s="59"/>
      <c r="X141" s="59"/>
      <c r="Y141" s="59"/>
      <c r="Z141" s="59"/>
      <c r="AA141" s="59"/>
      <c r="AB141" s="59"/>
      <c r="AC141" s="59"/>
      <c r="AD141" s="59"/>
      <c r="AE141" s="59"/>
      <c r="AF141" s="59"/>
      <c r="AG141" s="59"/>
      <c r="AH141" s="59"/>
      <c r="AI141" s="59"/>
      <c r="AJ141" s="59"/>
      <c r="AK141" s="59"/>
      <c r="AL141" s="59"/>
      <c r="AM141" s="59"/>
      <c r="AN141" s="59"/>
      <c r="AO141" s="59"/>
      <c r="AP141" s="59"/>
      <c r="AQ141" s="59"/>
      <c r="AR141" s="59"/>
    </row>
    <row r="142" spans="2:44" ht="15.95" hidden="1" customHeight="1">
      <c r="B142" s="59"/>
      <c r="C142" s="59"/>
      <c r="D142" s="59"/>
      <c r="E142" s="59"/>
      <c r="F142" s="59"/>
      <c r="G142" s="59"/>
      <c r="H142" s="59"/>
      <c r="I142" s="59"/>
      <c r="J142" s="59"/>
      <c r="K142" s="59"/>
      <c r="L142" s="59"/>
      <c r="M142" s="59"/>
      <c r="N142" s="59"/>
      <c r="O142" s="59"/>
      <c r="P142" s="59"/>
      <c r="Q142" s="59"/>
      <c r="R142" s="59"/>
      <c r="S142" s="59"/>
      <c r="T142" s="59"/>
      <c r="U142" s="59"/>
      <c r="V142" s="59"/>
      <c r="W142" s="59"/>
      <c r="X142" s="59"/>
      <c r="Y142" s="59"/>
      <c r="Z142" s="59"/>
      <c r="AA142" s="59"/>
      <c r="AB142" s="59"/>
      <c r="AC142" s="59"/>
      <c r="AD142" s="59"/>
      <c r="AE142" s="59"/>
      <c r="AF142" s="59"/>
      <c r="AG142" s="59"/>
      <c r="AH142" s="59"/>
      <c r="AI142" s="59"/>
      <c r="AJ142" s="59"/>
      <c r="AK142" s="59"/>
      <c r="AL142" s="59"/>
      <c r="AM142" s="59"/>
      <c r="AN142" s="59"/>
      <c r="AO142" s="59"/>
      <c r="AP142" s="59"/>
      <c r="AQ142" s="59"/>
      <c r="AR142" s="59"/>
    </row>
    <row r="143" spans="2:44" ht="15.95" hidden="1" customHeight="1">
      <c r="B143" s="59"/>
      <c r="C143" s="59"/>
      <c r="D143" s="59"/>
      <c r="E143" s="59"/>
      <c r="F143" s="59"/>
      <c r="G143" s="59"/>
      <c r="H143" s="59"/>
      <c r="I143" s="59"/>
      <c r="J143" s="59"/>
      <c r="K143" s="59"/>
      <c r="L143" s="59"/>
      <c r="M143" s="59"/>
      <c r="N143" s="59"/>
      <c r="O143" s="59"/>
      <c r="P143" s="59"/>
      <c r="Q143" s="59"/>
      <c r="R143" s="59"/>
      <c r="S143" s="59"/>
      <c r="T143" s="59"/>
      <c r="U143" s="59"/>
      <c r="V143" s="59"/>
      <c r="W143" s="59"/>
      <c r="X143" s="59"/>
      <c r="Y143" s="59"/>
      <c r="Z143" s="59"/>
      <c r="AA143" s="59"/>
      <c r="AB143" s="59"/>
      <c r="AC143" s="59"/>
      <c r="AD143" s="59"/>
      <c r="AE143" s="59"/>
      <c r="AF143" s="59"/>
      <c r="AG143" s="59"/>
      <c r="AH143" s="59"/>
      <c r="AI143" s="59"/>
      <c r="AJ143" s="59"/>
      <c r="AK143" s="59"/>
      <c r="AL143" s="59"/>
      <c r="AM143" s="59"/>
      <c r="AN143" s="59"/>
      <c r="AO143" s="59"/>
      <c r="AP143" s="59"/>
      <c r="AQ143" s="59"/>
      <c r="AR143" s="59"/>
    </row>
    <row r="144" spans="2:44" ht="15.95" hidden="1" customHeight="1">
      <c r="B144" s="59"/>
      <c r="C144" s="59"/>
      <c r="D144" s="59"/>
      <c r="E144" s="59"/>
      <c r="F144" s="59"/>
      <c r="G144" s="59"/>
      <c r="H144" s="59"/>
      <c r="I144" s="59"/>
      <c r="J144" s="59"/>
      <c r="K144" s="59"/>
      <c r="L144" s="59"/>
      <c r="M144" s="59"/>
      <c r="N144" s="59"/>
      <c r="O144" s="59"/>
      <c r="P144" s="59"/>
      <c r="Q144" s="59"/>
      <c r="R144" s="59"/>
      <c r="S144" s="59"/>
      <c r="T144" s="59"/>
      <c r="U144" s="59"/>
      <c r="V144" s="59"/>
      <c r="W144" s="59"/>
      <c r="X144" s="59"/>
      <c r="Y144" s="59"/>
      <c r="Z144" s="59"/>
      <c r="AA144" s="59"/>
      <c r="AB144" s="59"/>
      <c r="AC144" s="59"/>
      <c r="AD144" s="59"/>
      <c r="AE144" s="59"/>
      <c r="AF144" s="59"/>
      <c r="AG144" s="59"/>
      <c r="AH144" s="59"/>
      <c r="AI144" s="59"/>
      <c r="AJ144" s="59"/>
      <c r="AK144" s="59"/>
      <c r="AL144" s="59"/>
      <c r="AM144" s="59"/>
      <c r="AN144" s="59"/>
      <c r="AO144" s="59"/>
      <c r="AP144" s="59"/>
      <c r="AQ144" s="59"/>
      <c r="AR144" s="59"/>
    </row>
    <row r="145" spans="2:44" ht="15.95" hidden="1" customHeight="1">
      <c r="B145" s="59"/>
      <c r="C145" s="59"/>
      <c r="D145" s="59"/>
      <c r="E145" s="59"/>
      <c r="F145" s="59"/>
      <c r="G145" s="59"/>
      <c r="H145" s="59"/>
      <c r="I145" s="59"/>
      <c r="J145" s="59"/>
      <c r="K145" s="59"/>
      <c r="L145" s="59"/>
      <c r="M145" s="59"/>
      <c r="N145" s="59"/>
      <c r="O145" s="59"/>
      <c r="P145" s="59"/>
      <c r="Q145" s="59"/>
      <c r="R145" s="59"/>
      <c r="S145" s="59"/>
      <c r="T145" s="59"/>
      <c r="U145" s="59"/>
      <c r="V145" s="59"/>
      <c r="W145" s="59"/>
      <c r="X145" s="59"/>
      <c r="Y145" s="59"/>
      <c r="Z145" s="59"/>
      <c r="AA145" s="59"/>
      <c r="AB145" s="59"/>
      <c r="AC145" s="59"/>
      <c r="AD145" s="59"/>
      <c r="AE145" s="59"/>
      <c r="AF145" s="59"/>
      <c r="AG145" s="59"/>
      <c r="AH145" s="59"/>
      <c r="AI145" s="59"/>
      <c r="AJ145" s="59"/>
      <c r="AK145" s="59"/>
      <c r="AL145" s="59"/>
      <c r="AM145" s="59"/>
      <c r="AN145" s="59"/>
      <c r="AO145" s="59"/>
      <c r="AP145" s="59"/>
      <c r="AQ145" s="59"/>
      <c r="AR145" s="59"/>
    </row>
    <row r="146" spans="2:44" ht="15.95" hidden="1" customHeight="1">
      <c r="B146" s="59"/>
      <c r="C146" s="59"/>
      <c r="D146" s="59"/>
      <c r="E146" s="59"/>
      <c r="F146" s="59"/>
      <c r="G146" s="59"/>
      <c r="H146" s="59"/>
      <c r="I146" s="59"/>
      <c r="J146" s="59"/>
      <c r="K146" s="59"/>
      <c r="L146" s="59"/>
      <c r="M146" s="59"/>
      <c r="N146" s="59"/>
      <c r="O146" s="59"/>
      <c r="P146" s="59"/>
      <c r="Q146" s="59"/>
      <c r="R146" s="59"/>
      <c r="S146" s="59"/>
      <c r="T146" s="59"/>
      <c r="U146" s="59"/>
      <c r="V146" s="59"/>
      <c r="W146" s="59"/>
      <c r="X146" s="59"/>
      <c r="Y146" s="59"/>
      <c r="Z146" s="59"/>
      <c r="AA146" s="59"/>
      <c r="AB146" s="59"/>
      <c r="AC146" s="59"/>
      <c r="AD146" s="59"/>
      <c r="AE146" s="59"/>
      <c r="AF146" s="59"/>
      <c r="AG146" s="59"/>
      <c r="AH146" s="59"/>
      <c r="AI146" s="59"/>
      <c r="AJ146" s="59"/>
      <c r="AK146" s="59"/>
      <c r="AL146" s="59"/>
      <c r="AM146" s="59"/>
      <c r="AN146" s="59"/>
      <c r="AO146" s="59"/>
      <c r="AP146" s="59"/>
      <c r="AQ146" s="59"/>
      <c r="AR146" s="59"/>
    </row>
    <row r="147" spans="2:44" ht="15.95" hidden="1" customHeight="1">
      <c r="B147" s="59"/>
      <c r="C147" s="59"/>
      <c r="D147" s="59"/>
      <c r="E147" s="59"/>
      <c r="F147" s="59"/>
      <c r="G147" s="59"/>
      <c r="H147" s="59"/>
      <c r="I147" s="59"/>
      <c r="J147" s="59"/>
      <c r="K147" s="59"/>
      <c r="L147" s="59"/>
      <c r="M147" s="59"/>
      <c r="N147" s="59"/>
      <c r="O147" s="59"/>
      <c r="P147" s="59"/>
      <c r="Q147" s="59"/>
      <c r="R147" s="59"/>
      <c r="S147" s="59"/>
      <c r="T147" s="59"/>
      <c r="U147" s="59"/>
      <c r="V147" s="59"/>
      <c r="W147" s="59"/>
      <c r="X147" s="59"/>
      <c r="Y147" s="59"/>
      <c r="Z147" s="59"/>
      <c r="AA147" s="59"/>
      <c r="AB147" s="59"/>
      <c r="AC147" s="59"/>
      <c r="AD147" s="59"/>
      <c r="AE147" s="59"/>
      <c r="AF147" s="59"/>
      <c r="AG147" s="59"/>
      <c r="AH147" s="59"/>
      <c r="AI147" s="59"/>
      <c r="AJ147" s="59"/>
      <c r="AK147" s="59"/>
      <c r="AL147" s="59"/>
      <c r="AM147" s="59"/>
      <c r="AN147" s="59"/>
      <c r="AO147" s="59"/>
      <c r="AP147" s="59"/>
      <c r="AQ147" s="59"/>
      <c r="AR147" s="59"/>
    </row>
    <row r="148" spans="2:44" ht="15.95" hidden="1" customHeight="1">
      <c r="B148" s="59"/>
      <c r="C148" s="59"/>
      <c r="D148" s="59"/>
      <c r="E148" s="59"/>
      <c r="F148" s="59"/>
      <c r="G148" s="59"/>
      <c r="H148" s="59"/>
      <c r="I148" s="59"/>
      <c r="J148" s="59"/>
      <c r="K148" s="59"/>
      <c r="L148" s="59"/>
      <c r="M148" s="59"/>
      <c r="N148" s="59"/>
      <c r="O148" s="59"/>
      <c r="P148" s="59"/>
      <c r="Q148" s="59"/>
      <c r="R148" s="59"/>
      <c r="S148" s="59"/>
      <c r="T148" s="59"/>
      <c r="U148" s="59"/>
      <c r="V148" s="59"/>
      <c r="W148" s="59"/>
      <c r="X148" s="59"/>
      <c r="Y148" s="59"/>
      <c r="Z148" s="59"/>
      <c r="AA148" s="59"/>
      <c r="AB148" s="59"/>
      <c r="AC148" s="59"/>
      <c r="AD148" s="59"/>
      <c r="AE148" s="59"/>
      <c r="AF148" s="59"/>
      <c r="AG148" s="59"/>
      <c r="AH148" s="59"/>
      <c r="AI148" s="59"/>
      <c r="AJ148" s="59"/>
      <c r="AK148" s="59"/>
      <c r="AL148" s="59"/>
      <c r="AM148" s="59"/>
      <c r="AN148" s="59"/>
      <c r="AO148" s="59"/>
      <c r="AP148" s="59"/>
      <c r="AQ148" s="59"/>
      <c r="AR148" s="59"/>
    </row>
    <row r="149" spans="2:44" ht="15.95" hidden="1" customHeight="1">
      <c r="B149" s="59"/>
      <c r="C149" s="59"/>
      <c r="D149" s="59"/>
      <c r="E149" s="59"/>
      <c r="F149" s="59"/>
      <c r="G149" s="59"/>
      <c r="H149" s="59"/>
      <c r="I149" s="59"/>
      <c r="J149" s="59"/>
      <c r="K149" s="59"/>
      <c r="L149" s="59"/>
      <c r="M149" s="59"/>
      <c r="N149" s="59"/>
      <c r="O149" s="59"/>
      <c r="P149" s="59"/>
      <c r="Q149" s="59"/>
      <c r="R149" s="59"/>
      <c r="S149" s="59"/>
      <c r="T149" s="59"/>
      <c r="U149" s="59"/>
      <c r="V149" s="59"/>
      <c r="W149" s="59"/>
      <c r="X149" s="59"/>
      <c r="Y149" s="59"/>
      <c r="Z149" s="59"/>
      <c r="AA149" s="59"/>
      <c r="AB149" s="59"/>
      <c r="AC149" s="59"/>
      <c r="AD149" s="59"/>
      <c r="AE149" s="59"/>
      <c r="AF149" s="59"/>
      <c r="AG149" s="59"/>
      <c r="AH149" s="59"/>
      <c r="AI149" s="59"/>
      <c r="AJ149" s="59"/>
      <c r="AK149" s="59"/>
      <c r="AL149" s="59"/>
      <c r="AM149" s="59"/>
      <c r="AN149" s="59"/>
      <c r="AO149" s="59"/>
      <c r="AP149" s="59"/>
      <c r="AQ149" s="59"/>
      <c r="AR149" s="59"/>
    </row>
    <row r="150" spans="2:44" ht="15.95" hidden="1" customHeight="1">
      <c r="B150" s="59"/>
      <c r="C150" s="59"/>
      <c r="D150" s="59"/>
      <c r="E150" s="59"/>
      <c r="F150" s="59"/>
      <c r="G150" s="59"/>
      <c r="H150" s="59"/>
      <c r="I150" s="59"/>
      <c r="J150" s="59"/>
      <c r="K150" s="59"/>
      <c r="L150" s="59"/>
      <c r="M150" s="59"/>
      <c r="N150" s="59"/>
      <c r="O150" s="59"/>
      <c r="P150" s="59"/>
      <c r="Q150" s="59"/>
      <c r="R150" s="59"/>
      <c r="S150" s="59"/>
      <c r="T150" s="59"/>
      <c r="U150" s="59"/>
      <c r="V150" s="59"/>
      <c r="W150" s="59"/>
      <c r="X150" s="59"/>
      <c r="Y150" s="59"/>
      <c r="Z150" s="59"/>
      <c r="AA150" s="59"/>
      <c r="AB150" s="59"/>
      <c r="AC150" s="59"/>
      <c r="AD150" s="59"/>
      <c r="AE150" s="59"/>
      <c r="AF150" s="59"/>
      <c r="AG150" s="59"/>
      <c r="AH150" s="59"/>
      <c r="AI150" s="59"/>
      <c r="AJ150" s="59"/>
      <c r="AK150" s="59"/>
      <c r="AL150" s="59"/>
      <c r="AM150" s="59"/>
      <c r="AN150" s="59"/>
      <c r="AO150" s="59"/>
      <c r="AP150" s="59"/>
      <c r="AQ150" s="59"/>
      <c r="AR150" s="59"/>
    </row>
    <row r="151" spans="2:44" ht="15.95" hidden="1" customHeight="1">
      <c r="B151" s="59"/>
      <c r="C151" s="59"/>
      <c r="D151" s="59"/>
      <c r="E151" s="59"/>
      <c r="F151" s="59"/>
      <c r="G151" s="59"/>
      <c r="H151" s="59"/>
      <c r="I151" s="59"/>
      <c r="J151" s="59"/>
      <c r="K151" s="59"/>
      <c r="L151" s="59"/>
      <c r="M151" s="59"/>
      <c r="N151" s="59"/>
      <c r="O151" s="59"/>
      <c r="P151" s="59"/>
      <c r="Q151" s="59"/>
      <c r="R151" s="59"/>
      <c r="S151" s="59"/>
      <c r="T151" s="59"/>
      <c r="U151" s="59"/>
      <c r="V151" s="59"/>
      <c r="W151" s="59"/>
      <c r="X151" s="59"/>
      <c r="Y151" s="59"/>
      <c r="Z151" s="59"/>
      <c r="AA151" s="59"/>
      <c r="AB151" s="59"/>
      <c r="AC151" s="59"/>
      <c r="AD151" s="59"/>
      <c r="AE151" s="59"/>
      <c r="AF151" s="59"/>
      <c r="AG151" s="59"/>
      <c r="AH151" s="59"/>
      <c r="AI151" s="59"/>
      <c r="AJ151" s="59"/>
      <c r="AK151" s="59"/>
      <c r="AL151" s="59"/>
      <c r="AM151" s="59"/>
      <c r="AN151" s="59"/>
      <c r="AO151" s="59"/>
      <c r="AP151" s="59"/>
      <c r="AQ151" s="59"/>
      <c r="AR151" s="59"/>
    </row>
    <row r="152" spans="2:44" ht="15.95" hidden="1" customHeight="1">
      <c r="B152" s="59"/>
      <c r="C152" s="59"/>
      <c r="D152" s="59"/>
      <c r="E152" s="59"/>
      <c r="F152" s="59"/>
      <c r="G152" s="59"/>
      <c r="H152" s="59"/>
      <c r="I152" s="59"/>
      <c r="J152" s="59"/>
      <c r="K152" s="59"/>
      <c r="L152" s="59"/>
      <c r="M152" s="59"/>
      <c r="N152" s="59"/>
      <c r="O152" s="59"/>
      <c r="P152" s="59"/>
      <c r="Q152" s="59"/>
      <c r="R152" s="59"/>
      <c r="S152" s="59"/>
      <c r="T152" s="59"/>
      <c r="U152" s="59"/>
      <c r="V152" s="59"/>
      <c r="W152" s="59"/>
      <c r="X152" s="59"/>
      <c r="Y152" s="59"/>
      <c r="Z152" s="59"/>
      <c r="AA152" s="59"/>
      <c r="AB152" s="59"/>
      <c r="AC152" s="59"/>
      <c r="AD152" s="59"/>
      <c r="AE152" s="59"/>
      <c r="AF152" s="59"/>
      <c r="AG152" s="59"/>
      <c r="AH152" s="59"/>
      <c r="AI152" s="59"/>
      <c r="AJ152" s="59"/>
      <c r="AK152" s="59"/>
      <c r="AL152" s="59"/>
      <c r="AM152" s="59"/>
      <c r="AN152" s="59"/>
      <c r="AO152" s="59"/>
      <c r="AP152" s="59"/>
      <c r="AQ152" s="59"/>
      <c r="AR152" s="59"/>
    </row>
    <row r="153" spans="2:44" ht="15.95" hidden="1" customHeight="1">
      <c r="B153" s="59"/>
      <c r="C153" s="59"/>
      <c r="D153" s="59"/>
      <c r="E153" s="59"/>
      <c r="F153" s="59"/>
      <c r="G153" s="59"/>
      <c r="H153" s="59"/>
      <c r="I153" s="59"/>
      <c r="J153" s="59"/>
      <c r="K153" s="59"/>
      <c r="L153" s="59"/>
      <c r="M153" s="59"/>
      <c r="N153" s="59"/>
      <c r="O153" s="59"/>
      <c r="P153" s="59"/>
      <c r="Q153" s="59"/>
      <c r="R153" s="59"/>
      <c r="S153" s="59"/>
      <c r="T153" s="59"/>
      <c r="U153" s="59"/>
      <c r="V153" s="59"/>
      <c r="W153" s="59"/>
      <c r="X153" s="59"/>
      <c r="Y153" s="59"/>
      <c r="Z153" s="59"/>
      <c r="AA153" s="59"/>
      <c r="AB153" s="59"/>
      <c r="AC153" s="59"/>
      <c r="AD153" s="59"/>
      <c r="AE153" s="59"/>
      <c r="AF153" s="59"/>
      <c r="AG153" s="59"/>
      <c r="AH153" s="59"/>
      <c r="AI153" s="59"/>
      <c r="AJ153" s="59"/>
      <c r="AK153" s="59"/>
      <c r="AL153" s="59"/>
      <c r="AM153" s="59"/>
      <c r="AN153" s="59"/>
      <c r="AO153" s="59"/>
      <c r="AP153" s="59"/>
      <c r="AQ153" s="59"/>
      <c r="AR153" s="59"/>
    </row>
    <row r="154" spans="2:44" ht="15.95" hidden="1" customHeight="1">
      <c r="B154" s="59"/>
      <c r="C154" s="59"/>
      <c r="D154" s="59"/>
      <c r="E154" s="59"/>
      <c r="F154" s="59"/>
      <c r="G154" s="59"/>
      <c r="H154" s="59"/>
      <c r="I154" s="59"/>
      <c r="J154" s="59"/>
      <c r="K154" s="59"/>
      <c r="L154" s="59"/>
      <c r="M154" s="59"/>
      <c r="N154" s="59"/>
      <c r="O154" s="59"/>
      <c r="P154" s="59"/>
      <c r="Q154" s="59"/>
      <c r="R154" s="59"/>
      <c r="S154" s="59"/>
      <c r="T154" s="59"/>
      <c r="U154" s="59"/>
      <c r="V154" s="59"/>
      <c r="W154" s="59"/>
      <c r="X154" s="59"/>
      <c r="Y154" s="59"/>
      <c r="Z154" s="59"/>
      <c r="AA154" s="59"/>
      <c r="AB154" s="59"/>
      <c r="AC154" s="59"/>
      <c r="AD154" s="59"/>
      <c r="AE154" s="59"/>
      <c r="AF154" s="59"/>
      <c r="AG154" s="59"/>
      <c r="AH154" s="59"/>
      <c r="AI154" s="59"/>
      <c r="AJ154" s="59"/>
      <c r="AK154" s="59"/>
      <c r="AL154" s="59"/>
      <c r="AM154" s="59"/>
      <c r="AN154" s="59"/>
      <c r="AO154" s="59"/>
      <c r="AP154" s="59"/>
      <c r="AQ154" s="59"/>
      <c r="AR154" s="59"/>
    </row>
    <row r="155" spans="2:44" ht="15.95" hidden="1" customHeight="1">
      <c r="B155" s="59"/>
      <c r="C155" s="59"/>
      <c r="D155" s="59"/>
      <c r="E155" s="59"/>
      <c r="F155" s="59"/>
      <c r="G155" s="59"/>
      <c r="H155" s="59"/>
      <c r="I155" s="59"/>
      <c r="J155" s="59"/>
      <c r="K155" s="59"/>
      <c r="L155" s="59"/>
      <c r="M155" s="59"/>
      <c r="N155" s="59"/>
      <c r="O155" s="59"/>
      <c r="P155" s="59"/>
      <c r="Q155" s="59"/>
      <c r="R155" s="59"/>
      <c r="S155" s="59"/>
      <c r="T155" s="59"/>
      <c r="U155" s="59"/>
      <c r="V155" s="59"/>
      <c r="W155" s="59"/>
      <c r="X155" s="59"/>
      <c r="Y155" s="59"/>
      <c r="Z155" s="59"/>
      <c r="AA155" s="59"/>
      <c r="AB155" s="59"/>
      <c r="AC155" s="59"/>
      <c r="AD155" s="59"/>
      <c r="AE155" s="59"/>
      <c r="AF155" s="59"/>
      <c r="AG155" s="59"/>
      <c r="AH155" s="59"/>
      <c r="AI155" s="59"/>
      <c r="AJ155" s="59"/>
      <c r="AK155" s="59"/>
      <c r="AL155" s="59"/>
      <c r="AM155" s="59"/>
      <c r="AN155" s="59"/>
      <c r="AO155" s="59"/>
      <c r="AP155" s="59"/>
      <c r="AQ155" s="59"/>
      <c r="AR155" s="59"/>
    </row>
    <row r="156" spans="2:44" ht="15.95" hidden="1" customHeight="1">
      <c r="B156" s="59"/>
      <c r="C156" s="59"/>
      <c r="D156" s="59"/>
      <c r="E156" s="59"/>
      <c r="F156" s="59"/>
      <c r="G156" s="59"/>
      <c r="H156" s="59"/>
      <c r="I156" s="59"/>
      <c r="J156" s="59"/>
      <c r="K156" s="59"/>
      <c r="L156" s="59"/>
      <c r="M156" s="59"/>
      <c r="N156" s="59"/>
      <c r="O156" s="59"/>
      <c r="P156" s="59"/>
      <c r="Q156" s="59"/>
      <c r="R156" s="59"/>
      <c r="S156" s="59"/>
      <c r="T156" s="59"/>
      <c r="U156" s="59"/>
      <c r="V156" s="59"/>
      <c r="W156" s="59"/>
      <c r="X156" s="59"/>
      <c r="Y156" s="59"/>
      <c r="Z156" s="59"/>
      <c r="AA156" s="59"/>
      <c r="AB156" s="59"/>
      <c r="AC156" s="59"/>
      <c r="AD156" s="59"/>
      <c r="AE156" s="59"/>
      <c r="AF156" s="59"/>
      <c r="AG156" s="59"/>
      <c r="AH156" s="59"/>
      <c r="AI156" s="59"/>
      <c r="AJ156" s="59"/>
      <c r="AK156" s="59"/>
      <c r="AL156" s="59"/>
      <c r="AM156" s="59"/>
      <c r="AN156" s="59"/>
      <c r="AO156" s="59"/>
      <c r="AP156" s="59"/>
      <c r="AQ156" s="59"/>
      <c r="AR156" s="59"/>
    </row>
    <row r="157" spans="2:44" ht="15.95" hidden="1" customHeight="1">
      <c r="B157" s="59"/>
      <c r="C157" s="59"/>
      <c r="D157" s="59"/>
      <c r="E157" s="59"/>
      <c r="F157" s="59"/>
      <c r="G157" s="59"/>
      <c r="H157" s="59"/>
      <c r="I157" s="59"/>
      <c r="J157" s="59"/>
      <c r="K157" s="59"/>
      <c r="L157" s="59"/>
      <c r="M157" s="59"/>
      <c r="N157" s="59"/>
      <c r="O157" s="59"/>
      <c r="P157" s="59"/>
      <c r="Q157" s="59"/>
      <c r="R157" s="59"/>
      <c r="S157" s="59"/>
      <c r="T157" s="59"/>
      <c r="U157" s="59"/>
      <c r="V157" s="59"/>
      <c r="W157" s="59"/>
      <c r="X157" s="59"/>
      <c r="Y157" s="59"/>
      <c r="Z157" s="59"/>
      <c r="AA157" s="59"/>
      <c r="AB157" s="59"/>
      <c r="AC157" s="59"/>
      <c r="AD157" s="59"/>
      <c r="AE157" s="59"/>
      <c r="AF157" s="59"/>
      <c r="AG157" s="59"/>
      <c r="AH157" s="59"/>
      <c r="AI157" s="59"/>
      <c r="AJ157" s="59"/>
      <c r="AK157" s="59"/>
      <c r="AL157" s="59"/>
      <c r="AM157" s="59"/>
      <c r="AN157" s="59"/>
      <c r="AO157" s="59"/>
      <c r="AP157" s="59"/>
      <c r="AQ157" s="59"/>
      <c r="AR157" s="59"/>
    </row>
    <row r="158" spans="2:44" ht="15.95" hidden="1" customHeight="1">
      <c r="B158" s="59"/>
      <c r="C158" s="59"/>
      <c r="D158" s="59"/>
      <c r="E158" s="59"/>
      <c r="F158" s="59"/>
      <c r="G158" s="59"/>
      <c r="H158" s="59"/>
      <c r="I158" s="59"/>
      <c r="J158" s="59"/>
      <c r="K158" s="59"/>
      <c r="L158" s="59"/>
      <c r="M158" s="59"/>
      <c r="N158" s="59"/>
      <c r="O158" s="59"/>
      <c r="P158" s="59"/>
      <c r="Q158" s="59"/>
      <c r="R158" s="59"/>
      <c r="S158" s="59"/>
      <c r="T158" s="59"/>
      <c r="U158" s="59"/>
      <c r="V158" s="59"/>
      <c r="W158" s="59"/>
      <c r="X158" s="59"/>
      <c r="Y158" s="59"/>
      <c r="Z158" s="59"/>
      <c r="AA158" s="59"/>
      <c r="AB158" s="59"/>
      <c r="AC158" s="59"/>
      <c r="AD158" s="59"/>
      <c r="AE158" s="59"/>
      <c r="AF158" s="59"/>
      <c r="AG158" s="59"/>
      <c r="AH158" s="59"/>
      <c r="AI158" s="59"/>
      <c r="AJ158" s="59"/>
      <c r="AK158" s="59"/>
      <c r="AL158" s="59"/>
      <c r="AM158" s="59"/>
      <c r="AN158" s="59"/>
      <c r="AO158" s="59"/>
      <c r="AP158" s="59"/>
      <c r="AQ158" s="59"/>
      <c r="AR158" s="59"/>
    </row>
    <row r="159" spans="2:44" ht="15.95" hidden="1" customHeight="1">
      <c r="B159" s="59"/>
      <c r="C159" s="59"/>
      <c r="D159" s="59"/>
      <c r="E159" s="59"/>
      <c r="F159" s="59"/>
      <c r="G159" s="59"/>
      <c r="H159" s="59"/>
      <c r="I159" s="59"/>
      <c r="J159" s="59"/>
      <c r="K159" s="59"/>
      <c r="L159" s="59"/>
      <c r="M159" s="59"/>
      <c r="N159" s="59"/>
      <c r="O159" s="59"/>
      <c r="P159" s="59"/>
      <c r="Q159" s="59"/>
      <c r="R159" s="59"/>
      <c r="S159" s="59"/>
      <c r="T159" s="59"/>
      <c r="U159" s="59"/>
      <c r="V159" s="59"/>
      <c r="W159" s="59"/>
      <c r="X159" s="59"/>
      <c r="Y159" s="59"/>
      <c r="Z159" s="59"/>
      <c r="AA159" s="59"/>
      <c r="AB159" s="59"/>
      <c r="AC159" s="59"/>
      <c r="AD159" s="59"/>
      <c r="AE159" s="59"/>
      <c r="AF159" s="59"/>
      <c r="AG159" s="59"/>
      <c r="AH159" s="59"/>
      <c r="AI159" s="59"/>
      <c r="AJ159" s="59"/>
      <c r="AK159" s="59"/>
      <c r="AL159" s="59"/>
      <c r="AM159" s="59"/>
      <c r="AN159" s="59"/>
      <c r="AO159" s="59"/>
      <c r="AP159" s="59"/>
      <c r="AQ159" s="59"/>
      <c r="AR159" s="59"/>
    </row>
    <row r="160" spans="2:44" ht="15.95" hidden="1" customHeight="1">
      <c r="B160" s="59"/>
      <c r="C160" s="59"/>
      <c r="D160" s="59"/>
      <c r="E160" s="59"/>
      <c r="F160" s="59"/>
      <c r="G160" s="59"/>
      <c r="H160" s="59"/>
      <c r="I160" s="59"/>
      <c r="J160" s="59"/>
      <c r="K160" s="59"/>
      <c r="L160" s="59"/>
      <c r="M160" s="59"/>
      <c r="N160" s="59"/>
      <c r="O160" s="59"/>
      <c r="P160" s="59"/>
      <c r="Q160" s="59"/>
      <c r="R160" s="59"/>
      <c r="S160" s="59"/>
      <c r="T160" s="59"/>
      <c r="U160" s="59"/>
      <c r="V160" s="59"/>
      <c r="W160" s="59"/>
      <c r="X160" s="59"/>
      <c r="Y160" s="59"/>
      <c r="Z160" s="59"/>
      <c r="AA160" s="59"/>
      <c r="AB160" s="59"/>
      <c r="AC160" s="59"/>
      <c r="AD160" s="59"/>
      <c r="AE160" s="59"/>
      <c r="AF160" s="59"/>
      <c r="AG160" s="59"/>
      <c r="AH160" s="59"/>
      <c r="AI160" s="59"/>
      <c r="AJ160" s="59"/>
      <c r="AK160" s="59"/>
      <c r="AL160" s="59"/>
      <c r="AM160" s="59"/>
      <c r="AN160" s="59"/>
      <c r="AO160" s="59"/>
      <c r="AP160" s="59"/>
      <c r="AQ160" s="59"/>
      <c r="AR160" s="59"/>
    </row>
    <row r="161" spans="2:44" ht="15.95" hidden="1" customHeight="1">
      <c r="B161" s="59"/>
      <c r="C161" s="59"/>
      <c r="D161" s="59"/>
      <c r="E161" s="59"/>
      <c r="F161" s="59"/>
      <c r="G161" s="59"/>
      <c r="H161" s="59"/>
      <c r="I161" s="59"/>
      <c r="J161" s="59"/>
      <c r="K161" s="59"/>
      <c r="L161" s="59"/>
      <c r="M161" s="59"/>
      <c r="N161" s="59"/>
      <c r="O161" s="59"/>
      <c r="P161" s="59"/>
      <c r="Q161" s="59"/>
      <c r="R161" s="59"/>
      <c r="S161" s="59"/>
      <c r="T161" s="59"/>
      <c r="U161" s="59"/>
      <c r="V161" s="59"/>
      <c r="W161" s="59"/>
      <c r="X161" s="59"/>
      <c r="Y161" s="59"/>
      <c r="Z161" s="59"/>
      <c r="AA161" s="59"/>
      <c r="AB161" s="59"/>
      <c r="AC161" s="59"/>
      <c r="AD161" s="59"/>
      <c r="AE161" s="59"/>
      <c r="AF161" s="59"/>
      <c r="AG161" s="59"/>
      <c r="AH161" s="59"/>
      <c r="AI161" s="59"/>
      <c r="AJ161" s="59"/>
      <c r="AK161" s="59"/>
      <c r="AL161" s="59"/>
      <c r="AM161" s="59"/>
      <c r="AN161" s="59"/>
      <c r="AO161" s="59"/>
      <c r="AP161" s="59"/>
      <c r="AQ161" s="59"/>
      <c r="AR161" s="59"/>
    </row>
    <row r="162" spans="2:44" ht="15.95" hidden="1" customHeight="1">
      <c r="B162" s="59"/>
      <c r="C162" s="59"/>
      <c r="D162" s="59"/>
      <c r="E162" s="59"/>
      <c r="F162" s="59"/>
      <c r="G162" s="59"/>
      <c r="H162" s="59"/>
      <c r="I162" s="59"/>
      <c r="J162" s="59"/>
      <c r="K162" s="59"/>
      <c r="L162" s="59"/>
      <c r="M162" s="59"/>
      <c r="N162" s="59"/>
      <c r="O162" s="59"/>
      <c r="P162" s="59"/>
      <c r="Q162" s="59"/>
      <c r="R162" s="59"/>
      <c r="S162" s="59"/>
      <c r="T162" s="59"/>
      <c r="U162" s="59"/>
      <c r="V162" s="59"/>
      <c r="W162" s="59"/>
      <c r="X162" s="59"/>
      <c r="Y162" s="59"/>
      <c r="Z162" s="59"/>
      <c r="AA162" s="59"/>
      <c r="AB162" s="59"/>
      <c r="AC162" s="59"/>
      <c r="AD162" s="59"/>
      <c r="AE162" s="59"/>
      <c r="AF162" s="59"/>
      <c r="AG162" s="59"/>
      <c r="AH162" s="59"/>
      <c r="AI162" s="59"/>
      <c r="AJ162" s="59"/>
      <c r="AK162" s="59"/>
      <c r="AL162" s="59"/>
      <c r="AM162" s="59"/>
      <c r="AN162" s="59"/>
      <c r="AO162" s="59"/>
      <c r="AP162" s="59"/>
      <c r="AQ162" s="59"/>
      <c r="AR162" s="59"/>
    </row>
    <row r="163" spans="2:44" ht="15.95" hidden="1" customHeight="1">
      <c r="B163" s="59"/>
      <c r="C163" s="59"/>
      <c r="D163" s="59"/>
      <c r="E163" s="59"/>
      <c r="F163" s="59"/>
      <c r="G163" s="59"/>
      <c r="H163" s="59"/>
      <c r="I163" s="59"/>
      <c r="J163" s="59"/>
      <c r="K163" s="59"/>
      <c r="L163" s="59"/>
      <c r="M163" s="59"/>
      <c r="N163" s="59"/>
      <c r="O163" s="59"/>
      <c r="P163" s="59"/>
      <c r="Q163" s="59"/>
      <c r="R163" s="59"/>
      <c r="S163" s="59"/>
      <c r="T163" s="59"/>
      <c r="U163" s="59"/>
      <c r="V163" s="59"/>
      <c r="W163" s="59"/>
      <c r="X163" s="59"/>
      <c r="Y163" s="59"/>
      <c r="Z163" s="59"/>
      <c r="AA163" s="59"/>
      <c r="AB163" s="59"/>
      <c r="AC163" s="59"/>
      <c r="AD163" s="59"/>
      <c r="AE163" s="59"/>
      <c r="AF163" s="59"/>
      <c r="AG163" s="59"/>
      <c r="AH163" s="59"/>
      <c r="AI163" s="59"/>
      <c r="AJ163" s="59"/>
      <c r="AK163" s="59"/>
      <c r="AL163" s="59"/>
      <c r="AM163" s="59"/>
      <c r="AN163" s="59"/>
      <c r="AO163" s="59"/>
      <c r="AP163" s="59"/>
      <c r="AQ163" s="59"/>
      <c r="AR163" s="59"/>
    </row>
    <row r="164" spans="2:44" ht="15.95" hidden="1" customHeight="1">
      <c r="B164" s="59"/>
      <c r="C164" s="59"/>
      <c r="D164" s="59"/>
      <c r="E164" s="59"/>
      <c r="F164" s="59"/>
      <c r="G164" s="59"/>
      <c r="H164" s="59"/>
      <c r="I164" s="59"/>
      <c r="J164" s="59"/>
      <c r="K164" s="59"/>
      <c r="L164" s="59"/>
      <c r="M164" s="59"/>
      <c r="N164" s="59"/>
      <c r="O164" s="59"/>
      <c r="P164" s="59"/>
      <c r="Q164" s="59"/>
      <c r="R164" s="59"/>
      <c r="S164" s="59"/>
      <c r="T164" s="59"/>
      <c r="U164" s="59"/>
      <c r="V164" s="59"/>
      <c r="W164" s="59"/>
      <c r="X164" s="59"/>
      <c r="Y164" s="59"/>
      <c r="Z164" s="59"/>
      <c r="AA164" s="59"/>
      <c r="AB164" s="59"/>
      <c r="AC164" s="59"/>
      <c r="AD164" s="59"/>
      <c r="AE164" s="59"/>
      <c r="AF164" s="59"/>
      <c r="AG164" s="59"/>
      <c r="AH164" s="59"/>
      <c r="AI164" s="59"/>
      <c r="AJ164" s="59"/>
      <c r="AK164" s="59"/>
      <c r="AL164" s="59"/>
      <c r="AM164" s="59"/>
      <c r="AN164" s="59"/>
      <c r="AO164" s="59"/>
      <c r="AP164" s="59"/>
      <c r="AQ164" s="59"/>
      <c r="AR164" s="59"/>
    </row>
    <row r="165" spans="2:44" ht="15.95" hidden="1" customHeight="1">
      <c r="B165" s="59"/>
      <c r="C165" s="59"/>
      <c r="D165" s="59"/>
      <c r="E165" s="59"/>
      <c r="F165" s="59"/>
      <c r="G165" s="59"/>
      <c r="H165" s="59"/>
      <c r="I165" s="59"/>
      <c r="J165" s="59"/>
      <c r="K165" s="59"/>
      <c r="L165" s="59"/>
      <c r="M165" s="59"/>
      <c r="N165" s="59"/>
      <c r="O165" s="59"/>
      <c r="P165" s="59"/>
      <c r="Q165" s="59"/>
      <c r="R165" s="59"/>
      <c r="S165" s="59"/>
      <c r="T165" s="59"/>
      <c r="U165" s="59"/>
      <c r="V165" s="59"/>
      <c r="W165" s="59"/>
      <c r="X165" s="59"/>
      <c r="Y165" s="59"/>
      <c r="Z165" s="59"/>
      <c r="AA165" s="59"/>
      <c r="AB165" s="59"/>
      <c r="AC165" s="59"/>
      <c r="AD165" s="59"/>
      <c r="AE165" s="59"/>
      <c r="AF165" s="59"/>
      <c r="AG165" s="59"/>
      <c r="AH165" s="59"/>
      <c r="AI165" s="59"/>
      <c r="AJ165" s="59"/>
      <c r="AK165" s="59"/>
      <c r="AL165" s="59"/>
      <c r="AM165" s="59"/>
      <c r="AN165" s="59"/>
      <c r="AO165" s="59"/>
      <c r="AP165" s="59"/>
      <c r="AQ165" s="59"/>
      <c r="AR165" s="59"/>
    </row>
    <row r="166" spans="2:44" ht="15.95" hidden="1" customHeight="1">
      <c r="B166" s="59"/>
      <c r="C166" s="59"/>
      <c r="D166" s="59"/>
      <c r="E166" s="59"/>
      <c r="F166" s="59"/>
      <c r="G166" s="59"/>
      <c r="H166" s="59"/>
      <c r="I166" s="59"/>
      <c r="J166" s="59"/>
      <c r="K166" s="59"/>
      <c r="L166" s="59"/>
      <c r="M166" s="59"/>
      <c r="N166" s="59"/>
      <c r="O166" s="59"/>
      <c r="P166" s="59"/>
      <c r="Q166" s="59"/>
      <c r="R166" s="59"/>
      <c r="S166" s="59"/>
      <c r="T166" s="59"/>
      <c r="U166" s="59"/>
      <c r="V166" s="59"/>
      <c r="W166" s="59"/>
      <c r="X166" s="59"/>
      <c r="Y166" s="59"/>
      <c r="Z166" s="59"/>
      <c r="AA166" s="59"/>
      <c r="AB166" s="59"/>
      <c r="AC166" s="59"/>
      <c r="AD166" s="59"/>
      <c r="AE166" s="59"/>
      <c r="AF166" s="59"/>
      <c r="AG166" s="59"/>
      <c r="AH166" s="59"/>
      <c r="AI166" s="59"/>
      <c r="AJ166" s="59"/>
      <c r="AK166" s="59"/>
      <c r="AL166" s="59"/>
      <c r="AM166" s="59"/>
      <c r="AN166" s="59"/>
      <c r="AO166" s="59"/>
      <c r="AP166" s="59"/>
      <c r="AQ166" s="59"/>
      <c r="AR166" s="59"/>
    </row>
    <row r="167" spans="2:44" ht="15.95" hidden="1" customHeight="1">
      <c r="B167" s="59"/>
      <c r="C167" s="59"/>
      <c r="D167" s="59"/>
      <c r="E167" s="59"/>
      <c r="F167" s="59"/>
      <c r="G167" s="59"/>
      <c r="H167" s="59"/>
      <c r="I167" s="59"/>
      <c r="J167" s="59"/>
      <c r="K167" s="59"/>
      <c r="L167" s="59"/>
      <c r="M167" s="59"/>
      <c r="N167" s="59"/>
      <c r="O167" s="59"/>
      <c r="P167" s="59"/>
      <c r="Q167" s="59"/>
      <c r="R167" s="59"/>
      <c r="S167" s="59"/>
      <c r="T167" s="59"/>
      <c r="U167" s="59"/>
      <c r="V167" s="59"/>
      <c r="W167" s="59"/>
      <c r="X167" s="59"/>
      <c r="Y167" s="59"/>
      <c r="Z167" s="59"/>
      <c r="AA167" s="59"/>
      <c r="AB167" s="59"/>
      <c r="AC167" s="59"/>
      <c r="AD167" s="59"/>
      <c r="AE167" s="59"/>
      <c r="AF167" s="59"/>
      <c r="AG167" s="59"/>
      <c r="AH167" s="59"/>
      <c r="AI167" s="59"/>
      <c r="AJ167" s="59"/>
      <c r="AK167" s="59"/>
      <c r="AL167" s="59"/>
      <c r="AM167" s="59"/>
      <c r="AN167" s="59"/>
      <c r="AO167" s="59"/>
      <c r="AP167" s="59"/>
      <c r="AQ167" s="59"/>
      <c r="AR167" s="59"/>
    </row>
    <row r="168" spans="2:44" ht="15.95" hidden="1" customHeight="1">
      <c r="B168" s="59"/>
      <c r="C168" s="59"/>
      <c r="D168" s="59"/>
      <c r="E168" s="59"/>
      <c r="F168" s="59"/>
      <c r="G168" s="59"/>
      <c r="H168" s="59"/>
      <c r="I168" s="59"/>
      <c r="J168" s="59"/>
      <c r="K168" s="59"/>
      <c r="L168" s="59"/>
      <c r="M168" s="59"/>
      <c r="N168" s="59"/>
      <c r="O168" s="59"/>
      <c r="P168" s="59"/>
      <c r="Q168" s="59"/>
      <c r="R168" s="59"/>
      <c r="S168" s="59"/>
      <c r="T168" s="59"/>
      <c r="U168" s="59"/>
      <c r="V168" s="59"/>
      <c r="W168" s="59"/>
      <c r="X168" s="59"/>
      <c r="Y168" s="59"/>
      <c r="Z168" s="59"/>
      <c r="AA168" s="59"/>
      <c r="AB168" s="59"/>
      <c r="AC168" s="59"/>
      <c r="AD168" s="59"/>
      <c r="AE168" s="59"/>
      <c r="AF168" s="59"/>
      <c r="AG168" s="59"/>
      <c r="AH168" s="59"/>
      <c r="AI168" s="59"/>
      <c r="AJ168" s="59"/>
      <c r="AK168" s="59"/>
      <c r="AL168" s="59"/>
      <c r="AM168" s="59"/>
      <c r="AN168" s="59"/>
      <c r="AO168" s="59"/>
      <c r="AP168" s="59"/>
      <c r="AQ168" s="59"/>
      <c r="AR168" s="59"/>
    </row>
    <row r="169" spans="2:44" ht="15.95" hidden="1" customHeight="1">
      <c r="B169" s="59"/>
      <c r="C169" s="59"/>
      <c r="D169" s="59"/>
      <c r="E169" s="59"/>
      <c r="F169" s="59"/>
      <c r="G169" s="59"/>
      <c r="H169" s="59"/>
      <c r="I169" s="59"/>
      <c r="J169" s="59"/>
      <c r="K169" s="59"/>
      <c r="L169" s="59"/>
      <c r="M169" s="59"/>
      <c r="N169" s="59"/>
      <c r="O169" s="59"/>
      <c r="P169" s="59"/>
      <c r="Q169" s="59"/>
      <c r="R169" s="59"/>
      <c r="S169" s="59"/>
      <c r="T169" s="59"/>
      <c r="U169" s="59"/>
      <c r="V169" s="59"/>
      <c r="W169" s="59"/>
      <c r="X169" s="59"/>
      <c r="Y169" s="59"/>
      <c r="Z169" s="59"/>
      <c r="AA169" s="59"/>
      <c r="AB169" s="59"/>
      <c r="AC169" s="59"/>
      <c r="AD169" s="59"/>
      <c r="AE169" s="59"/>
      <c r="AF169" s="59"/>
      <c r="AG169" s="59"/>
      <c r="AH169" s="59"/>
      <c r="AI169" s="59"/>
      <c r="AJ169" s="59"/>
      <c r="AK169" s="59"/>
      <c r="AL169" s="59"/>
      <c r="AM169" s="59"/>
      <c r="AN169" s="59"/>
      <c r="AO169" s="59"/>
      <c r="AP169" s="59"/>
      <c r="AQ169" s="59"/>
      <c r="AR169" s="59"/>
    </row>
    <row r="170" spans="2:44" ht="15.95" hidden="1" customHeight="1">
      <c r="B170" s="59"/>
      <c r="C170" s="59"/>
      <c r="D170" s="59"/>
      <c r="E170" s="59"/>
      <c r="F170" s="59"/>
      <c r="G170" s="59"/>
      <c r="H170" s="59"/>
      <c r="I170" s="59"/>
      <c r="J170" s="59"/>
      <c r="K170" s="59"/>
      <c r="L170" s="59"/>
      <c r="M170" s="59"/>
      <c r="N170" s="59"/>
      <c r="O170" s="59"/>
      <c r="P170" s="59"/>
      <c r="Q170" s="59"/>
      <c r="R170" s="59"/>
      <c r="S170" s="59"/>
      <c r="T170" s="59"/>
      <c r="U170" s="59"/>
      <c r="V170" s="59"/>
      <c r="W170" s="59"/>
      <c r="X170" s="59"/>
      <c r="Y170" s="59"/>
      <c r="Z170" s="59"/>
      <c r="AA170" s="59"/>
      <c r="AB170" s="59"/>
      <c r="AC170" s="59"/>
      <c r="AD170" s="59"/>
      <c r="AE170" s="59"/>
      <c r="AF170" s="59"/>
      <c r="AG170" s="59"/>
      <c r="AH170" s="59"/>
      <c r="AI170" s="59"/>
      <c r="AJ170" s="59"/>
      <c r="AK170" s="59"/>
      <c r="AL170" s="59"/>
      <c r="AM170" s="59"/>
      <c r="AN170" s="59"/>
      <c r="AO170" s="59"/>
      <c r="AP170" s="59"/>
      <c r="AQ170" s="59"/>
      <c r="AR170" s="59"/>
    </row>
    <row r="171" spans="2:44" ht="15.95" hidden="1" customHeight="1">
      <c r="B171" s="59"/>
      <c r="C171" s="59"/>
      <c r="D171" s="59"/>
      <c r="E171" s="59"/>
      <c r="F171" s="59"/>
      <c r="G171" s="59"/>
      <c r="H171" s="59"/>
      <c r="I171" s="59"/>
      <c r="J171" s="59"/>
      <c r="K171" s="59"/>
      <c r="L171" s="59"/>
      <c r="M171" s="59"/>
      <c r="N171" s="59"/>
      <c r="O171" s="59"/>
      <c r="P171" s="59"/>
      <c r="Q171" s="59"/>
      <c r="R171" s="59"/>
      <c r="S171" s="59"/>
      <c r="T171" s="59"/>
      <c r="U171" s="59"/>
      <c r="V171" s="59"/>
      <c r="W171" s="59"/>
      <c r="X171" s="59"/>
      <c r="Y171" s="59"/>
      <c r="Z171" s="59"/>
      <c r="AA171" s="59"/>
      <c r="AB171" s="59"/>
      <c r="AC171" s="59"/>
      <c r="AD171" s="59"/>
      <c r="AE171" s="59"/>
      <c r="AF171" s="59"/>
      <c r="AG171" s="59"/>
      <c r="AH171" s="59"/>
      <c r="AI171" s="59"/>
      <c r="AJ171" s="59"/>
      <c r="AK171" s="59"/>
      <c r="AL171" s="59"/>
      <c r="AM171" s="59"/>
      <c r="AN171" s="59"/>
      <c r="AO171" s="59"/>
      <c r="AP171" s="59"/>
      <c r="AQ171" s="59"/>
      <c r="AR171" s="59"/>
    </row>
    <row r="172" spans="2:44" ht="15.95" hidden="1" customHeight="1">
      <c r="B172" s="59"/>
      <c r="C172" s="59"/>
      <c r="D172" s="59"/>
      <c r="E172" s="59"/>
      <c r="F172" s="59"/>
      <c r="G172" s="59"/>
      <c r="H172" s="59"/>
      <c r="I172" s="59"/>
      <c r="J172" s="59"/>
      <c r="K172" s="59"/>
      <c r="L172" s="59"/>
      <c r="M172" s="59"/>
      <c r="N172" s="59"/>
      <c r="O172" s="59"/>
      <c r="P172" s="59"/>
      <c r="Q172" s="59"/>
      <c r="R172" s="59"/>
      <c r="S172" s="59"/>
      <c r="T172" s="59"/>
      <c r="U172" s="59"/>
      <c r="V172" s="59"/>
      <c r="W172" s="59"/>
      <c r="X172" s="59"/>
      <c r="Y172" s="59"/>
      <c r="Z172" s="59"/>
      <c r="AA172" s="59"/>
      <c r="AB172" s="59"/>
      <c r="AC172" s="59"/>
      <c r="AD172" s="59"/>
      <c r="AE172" s="59"/>
      <c r="AF172" s="59"/>
      <c r="AG172" s="59"/>
      <c r="AH172" s="59"/>
      <c r="AI172" s="59"/>
      <c r="AJ172" s="59"/>
      <c r="AK172" s="59"/>
      <c r="AL172" s="59"/>
      <c r="AM172" s="59"/>
      <c r="AN172" s="59"/>
      <c r="AO172" s="59"/>
      <c r="AP172" s="59"/>
      <c r="AQ172" s="59"/>
      <c r="AR172" s="59"/>
    </row>
    <row r="173" spans="2:44" ht="15.95" hidden="1" customHeight="1">
      <c r="B173" s="59"/>
      <c r="C173" s="59"/>
      <c r="D173" s="59"/>
      <c r="E173" s="59"/>
      <c r="F173" s="59"/>
      <c r="G173" s="59"/>
      <c r="H173" s="59"/>
      <c r="I173" s="59"/>
      <c r="J173" s="59"/>
      <c r="K173" s="59"/>
      <c r="L173" s="59"/>
      <c r="M173" s="59"/>
      <c r="N173" s="59"/>
      <c r="O173" s="59"/>
      <c r="P173" s="59"/>
      <c r="Q173" s="59"/>
      <c r="R173" s="59"/>
      <c r="S173" s="59"/>
      <c r="T173" s="59"/>
      <c r="U173" s="59"/>
      <c r="V173" s="59"/>
      <c r="W173" s="59"/>
      <c r="X173" s="59"/>
      <c r="Y173" s="59"/>
      <c r="Z173" s="59"/>
      <c r="AA173" s="59"/>
      <c r="AB173" s="59"/>
      <c r="AC173" s="59"/>
      <c r="AD173" s="59"/>
      <c r="AE173" s="59"/>
      <c r="AF173" s="59"/>
      <c r="AG173" s="59"/>
      <c r="AH173" s="59"/>
      <c r="AI173" s="59"/>
      <c r="AJ173" s="59"/>
      <c r="AK173" s="59"/>
      <c r="AL173" s="59"/>
      <c r="AM173" s="59"/>
      <c r="AN173" s="59"/>
      <c r="AO173" s="59"/>
      <c r="AP173" s="59"/>
      <c r="AQ173" s="59"/>
      <c r="AR173" s="59"/>
    </row>
    <row r="174" spans="2:44" ht="15.95" hidden="1" customHeight="1">
      <c r="B174" s="59"/>
      <c r="C174" s="59"/>
      <c r="D174" s="59"/>
      <c r="E174" s="59"/>
      <c r="F174" s="59"/>
      <c r="G174" s="59"/>
      <c r="H174" s="59"/>
      <c r="I174" s="59"/>
      <c r="J174" s="59"/>
      <c r="K174" s="59"/>
      <c r="L174" s="59"/>
      <c r="M174" s="59"/>
      <c r="N174" s="59"/>
      <c r="O174" s="59"/>
      <c r="P174" s="59"/>
      <c r="Q174" s="59"/>
      <c r="R174" s="59"/>
      <c r="S174" s="59"/>
      <c r="T174" s="59"/>
      <c r="U174" s="59"/>
      <c r="V174" s="59"/>
      <c r="W174" s="59"/>
      <c r="X174" s="59"/>
      <c r="Y174" s="59"/>
      <c r="Z174" s="59"/>
      <c r="AA174" s="59"/>
      <c r="AB174" s="59"/>
      <c r="AC174" s="59"/>
      <c r="AD174" s="59"/>
      <c r="AE174" s="59"/>
      <c r="AF174" s="59"/>
      <c r="AG174" s="59"/>
      <c r="AH174" s="59"/>
      <c r="AI174" s="59"/>
      <c r="AJ174" s="59"/>
      <c r="AK174" s="59"/>
      <c r="AL174" s="59"/>
      <c r="AM174" s="59"/>
      <c r="AN174" s="59"/>
      <c r="AO174" s="59"/>
      <c r="AP174" s="59"/>
      <c r="AQ174" s="59"/>
      <c r="AR174" s="59"/>
    </row>
    <row r="175" spans="2:44" ht="15.95" hidden="1" customHeight="1">
      <c r="B175" s="59"/>
      <c r="C175" s="59"/>
      <c r="D175" s="59"/>
      <c r="E175" s="59"/>
      <c r="F175" s="59"/>
      <c r="G175" s="59"/>
      <c r="H175" s="59"/>
      <c r="I175" s="59"/>
      <c r="J175" s="59"/>
      <c r="K175" s="59"/>
      <c r="L175" s="59"/>
      <c r="M175" s="59"/>
      <c r="N175" s="59"/>
      <c r="O175" s="59"/>
      <c r="P175" s="59"/>
      <c r="Q175" s="59"/>
      <c r="R175" s="59"/>
      <c r="S175" s="59"/>
      <c r="T175" s="59"/>
      <c r="U175" s="59"/>
      <c r="V175" s="59"/>
      <c r="W175" s="59"/>
      <c r="X175" s="59"/>
      <c r="Y175" s="59"/>
      <c r="Z175" s="59"/>
      <c r="AA175" s="59"/>
      <c r="AB175" s="59"/>
      <c r="AC175" s="59"/>
      <c r="AD175" s="59"/>
      <c r="AE175" s="59"/>
      <c r="AF175" s="59"/>
      <c r="AG175" s="59"/>
      <c r="AH175" s="59"/>
      <c r="AI175" s="59"/>
      <c r="AJ175" s="59"/>
      <c r="AK175" s="59"/>
      <c r="AL175" s="59"/>
      <c r="AM175" s="59"/>
      <c r="AN175" s="59"/>
      <c r="AO175" s="59"/>
      <c r="AP175" s="59"/>
      <c r="AQ175" s="59"/>
      <c r="AR175" s="59"/>
    </row>
    <row r="176" spans="2:44" ht="15.95" hidden="1" customHeight="1">
      <c r="B176" s="59"/>
      <c r="C176" s="59"/>
      <c r="D176" s="59"/>
      <c r="E176" s="59"/>
      <c r="F176" s="59"/>
      <c r="G176" s="59"/>
      <c r="H176" s="59"/>
      <c r="I176" s="59"/>
      <c r="J176" s="59"/>
      <c r="K176" s="59"/>
      <c r="L176" s="59"/>
      <c r="M176" s="59"/>
      <c r="N176" s="59"/>
      <c r="O176" s="59"/>
      <c r="P176" s="59"/>
      <c r="Q176" s="59"/>
      <c r="R176" s="59"/>
      <c r="S176" s="59"/>
      <c r="T176" s="59"/>
      <c r="U176" s="59"/>
      <c r="V176" s="59"/>
      <c r="W176" s="59"/>
      <c r="X176" s="59"/>
      <c r="Y176" s="59"/>
      <c r="Z176" s="59"/>
      <c r="AA176" s="59"/>
      <c r="AB176" s="59"/>
      <c r="AC176" s="59"/>
      <c r="AD176" s="59"/>
      <c r="AE176" s="59"/>
      <c r="AF176" s="59"/>
      <c r="AG176" s="59"/>
      <c r="AH176" s="59"/>
      <c r="AI176" s="59"/>
      <c r="AJ176" s="59"/>
      <c r="AK176" s="59"/>
      <c r="AL176" s="59"/>
      <c r="AM176" s="59"/>
      <c r="AN176" s="59"/>
      <c r="AO176" s="59"/>
      <c r="AP176" s="59"/>
      <c r="AQ176" s="59"/>
      <c r="AR176" s="59"/>
    </row>
    <row r="177" spans="2:44" ht="15.95" hidden="1" customHeight="1">
      <c r="B177" s="59"/>
      <c r="C177" s="59"/>
      <c r="D177" s="59"/>
      <c r="E177" s="59"/>
      <c r="F177" s="59"/>
      <c r="G177" s="59"/>
      <c r="H177" s="59"/>
      <c r="I177" s="59"/>
      <c r="J177" s="59"/>
      <c r="K177" s="59"/>
      <c r="L177" s="59"/>
      <c r="M177" s="59"/>
      <c r="N177" s="59"/>
      <c r="O177" s="59"/>
      <c r="P177" s="59"/>
      <c r="Q177" s="59"/>
      <c r="R177" s="59"/>
      <c r="S177" s="59"/>
      <c r="T177" s="59"/>
      <c r="U177" s="59"/>
      <c r="V177" s="59"/>
      <c r="W177" s="59"/>
      <c r="X177" s="59"/>
      <c r="Y177" s="59"/>
      <c r="Z177" s="59"/>
      <c r="AA177" s="59"/>
      <c r="AB177" s="59"/>
      <c r="AC177" s="59"/>
      <c r="AD177" s="59"/>
      <c r="AE177" s="59"/>
      <c r="AF177" s="59"/>
      <c r="AG177" s="59"/>
      <c r="AH177" s="59"/>
      <c r="AI177" s="59"/>
      <c r="AJ177" s="59"/>
      <c r="AK177" s="59"/>
      <c r="AL177" s="59"/>
      <c r="AM177" s="59"/>
      <c r="AN177" s="59"/>
      <c r="AO177" s="59"/>
      <c r="AP177" s="59"/>
      <c r="AQ177" s="59"/>
      <c r="AR177" s="59"/>
    </row>
    <row r="178" spans="2:44" ht="15.95" hidden="1" customHeight="1">
      <c r="B178" s="59"/>
      <c r="C178" s="59"/>
      <c r="D178" s="59"/>
      <c r="E178" s="59"/>
      <c r="F178" s="59"/>
      <c r="G178" s="59"/>
      <c r="H178" s="59"/>
      <c r="I178" s="59"/>
      <c r="J178" s="59"/>
      <c r="K178" s="59"/>
      <c r="L178" s="59"/>
      <c r="M178" s="59"/>
      <c r="N178" s="59"/>
      <c r="O178" s="59"/>
      <c r="P178" s="59"/>
      <c r="Q178" s="59"/>
      <c r="R178" s="59"/>
      <c r="S178" s="59"/>
      <c r="T178" s="59"/>
      <c r="U178" s="59"/>
      <c r="V178" s="59"/>
      <c r="W178" s="59"/>
      <c r="X178" s="59"/>
      <c r="Y178" s="59"/>
      <c r="Z178" s="59"/>
      <c r="AA178" s="59"/>
      <c r="AB178" s="59"/>
      <c r="AC178" s="59"/>
      <c r="AD178" s="59"/>
      <c r="AE178" s="59"/>
      <c r="AF178" s="59"/>
      <c r="AG178" s="59"/>
      <c r="AH178" s="59"/>
      <c r="AI178" s="59"/>
      <c r="AJ178" s="59"/>
      <c r="AK178" s="59"/>
      <c r="AL178" s="59"/>
      <c r="AM178" s="59"/>
      <c r="AN178" s="59"/>
      <c r="AO178" s="59"/>
      <c r="AP178" s="59"/>
      <c r="AQ178" s="59"/>
      <c r="AR178" s="59"/>
    </row>
    <row r="179" spans="2:44" ht="15.95" hidden="1" customHeight="1">
      <c r="B179" s="59"/>
      <c r="C179" s="59"/>
      <c r="D179" s="59"/>
      <c r="E179" s="59"/>
      <c r="F179" s="59"/>
      <c r="G179" s="59"/>
      <c r="H179" s="59"/>
      <c r="I179" s="59"/>
      <c r="J179" s="59"/>
      <c r="K179" s="59"/>
      <c r="L179" s="59"/>
      <c r="M179" s="59"/>
      <c r="N179" s="59"/>
      <c r="O179" s="59"/>
      <c r="P179" s="59"/>
      <c r="Q179" s="59"/>
      <c r="R179" s="59"/>
      <c r="S179" s="59"/>
      <c r="T179" s="59"/>
      <c r="U179" s="59"/>
      <c r="V179" s="59"/>
      <c r="W179" s="59"/>
      <c r="X179" s="59"/>
      <c r="Y179" s="59"/>
      <c r="Z179" s="59"/>
      <c r="AA179" s="59"/>
      <c r="AB179" s="59"/>
      <c r="AC179" s="59"/>
      <c r="AD179" s="59"/>
      <c r="AE179" s="59"/>
      <c r="AF179" s="59"/>
      <c r="AG179" s="59"/>
      <c r="AH179" s="59"/>
      <c r="AI179" s="59"/>
      <c r="AJ179" s="59"/>
      <c r="AK179" s="59"/>
      <c r="AL179" s="59"/>
      <c r="AM179" s="59"/>
      <c r="AN179" s="59"/>
      <c r="AO179" s="59"/>
      <c r="AP179" s="59"/>
      <c r="AQ179" s="59"/>
      <c r="AR179" s="59"/>
    </row>
    <row r="180" spans="2:44" ht="15.95" hidden="1" customHeight="1">
      <c r="B180" s="59"/>
      <c r="C180" s="59"/>
      <c r="D180" s="59"/>
      <c r="E180" s="59"/>
      <c r="F180" s="59"/>
      <c r="G180" s="59"/>
      <c r="H180" s="59"/>
      <c r="I180" s="59"/>
      <c r="J180" s="59"/>
      <c r="K180" s="59"/>
      <c r="L180" s="59"/>
      <c r="M180" s="59"/>
      <c r="N180" s="59"/>
      <c r="O180" s="59"/>
      <c r="P180" s="59"/>
      <c r="Q180" s="59"/>
      <c r="R180" s="59"/>
      <c r="S180" s="59"/>
      <c r="T180" s="59"/>
      <c r="U180" s="59"/>
      <c r="V180" s="59"/>
      <c r="W180" s="59"/>
      <c r="X180" s="59"/>
      <c r="Y180" s="59"/>
      <c r="Z180" s="59"/>
      <c r="AA180" s="59"/>
      <c r="AB180" s="59"/>
      <c r="AC180" s="59"/>
      <c r="AD180" s="59"/>
      <c r="AE180" s="59"/>
      <c r="AF180" s="59"/>
      <c r="AG180" s="59"/>
      <c r="AH180" s="59"/>
      <c r="AI180" s="59"/>
      <c r="AJ180" s="59"/>
      <c r="AK180" s="59"/>
      <c r="AL180" s="59"/>
      <c r="AM180" s="59"/>
      <c r="AN180" s="59"/>
      <c r="AO180" s="59"/>
      <c r="AP180" s="59"/>
      <c r="AQ180" s="59"/>
      <c r="AR180" s="59"/>
    </row>
    <row r="181" spans="2:44" ht="15.95" hidden="1" customHeight="1">
      <c r="B181" s="59"/>
      <c r="C181" s="59"/>
      <c r="D181" s="59"/>
      <c r="E181" s="59"/>
      <c r="F181" s="59"/>
      <c r="G181" s="59"/>
      <c r="H181" s="59"/>
      <c r="I181" s="59"/>
      <c r="J181" s="59"/>
      <c r="K181" s="59"/>
      <c r="L181" s="59"/>
      <c r="M181" s="59"/>
      <c r="N181" s="59"/>
      <c r="O181" s="59"/>
      <c r="P181" s="59"/>
      <c r="Q181" s="59"/>
      <c r="R181" s="59"/>
      <c r="S181" s="59"/>
      <c r="T181" s="59"/>
      <c r="U181" s="59"/>
      <c r="V181" s="59"/>
      <c r="W181" s="59"/>
      <c r="X181" s="59"/>
      <c r="Y181" s="59"/>
      <c r="Z181" s="59"/>
      <c r="AA181" s="59"/>
      <c r="AB181" s="59"/>
      <c r="AC181" s="59"/>
      <c r="AD181" s="59"/>
      <c r="AE181" s="59"/>
      <c r="AF181" s="59"/>
      <c r="AG181" s="59"/>
      <c r="AH181" s="59"/>
      <c r="AI181" s="59"/>
      <c r="AJ181" s="59"/>
      <c r="AK181" s="59"/>
      <c r="AL181" s="59"/>
      <c r="AM181" s="59"/>
      <c r="AN181" s="59"/>
      <c r="AO181" s="59"/>
      <c r="AP181" s="59"/>
      <c r="AQ181" s="59"/>
      <c r="AR181" s="59"/>
    </row>
    <row r="182" spans="2:44" ht="15.95" hidden="1" customHeight="1">
      <c r="B182" s="59"/>
      <c r="C182" s="59"/>
      <c r="D182" s="59"/>
      <c r="E182" s="59"/>
      <c r="F182" s="59"/>
      <c r="G182" s="59"/>
      <c r="H182" s="59"/>
      <c r="I182" s="59"/>
      <c r="J182" s="59"/>
      <c r="K182" s="59"/>
      <c r="L182" s="59"/>
      <c r="M182" s="59"/>
      <c r="N182" s="59"/>
      <c r="O182" s="59"/>
      <c r="P182" s="59"/>
      <c r="Q182" s="59"/>
      <c r="R182" s="59"/>
      <c r="S182" s="59"/>
      <c r="T182" s="59"/>
      <c r="U182" s="59"/>
      <c r="V182" s="59"/>
      <c r="W182" s="59"/>
      <c r="X182" s="59"/>
      <c r="Y182" s="59"/>
      <c r="Z182" s="59"/>
      <c r="AA182" s="59"/>
      <c r="AB182" s="59"/>
      <c r="AC182" s="59"/>
      <c r="AD182" s="59"/>
      <c r="AE182" s="59"/>
      <c r="AF182" s="59"/>
      <c r="AG182" s="59"/>
      <c r="AH182" s="59"/>
      <c r="AI182" s="59"/>
      <c r="AJ182" s="59"/>
      <c r="AK182" s="59"/>
      <c r="AL182" s="59"/>
      <c r="AM182" s="59"/>
      <c r="AN182" s="59"/>
      <c r="AO182" s="59"/>
      <c r="AP182" s="59"/>
      <c r="AQ182" s="59"/>
      <c r="AR182" s="59"/>
    </row>
    <row r="183" spans="2:44" ht="15.95" hidden="1" customHeight="1">
      <c r="B183" s="59"/>
      <c r="C183" s="59"/>
      <c r="D183" s="59"/>
      <c r="E183" s="59"/>
      <c r="F183" s="59"/>
      <c r="G183" s="59"/>
      <c r="H183" s="59"/>
      <c r="I183" s="59"/>
      <c r="J183" s="59"/>
      <c r="K183" s="59"/>
      <c r="L183" s="59"/>
      <c r="M183" s="59"/>
      <c r="N183" s="59"/>
      <c r="O183" s="59"/>
      <c r="P183" s="59"/>
      <c r="Q183" s="59"/>
      <c r="R183" s="59"/>
      <c r="S183" s="59"/>
      <c r="T183" s="59"/>
      <c r="U183" s="59"/>
      <c r="V183" s="59"/>
      <c r="W183" s="59"/>
      <c r="X183" s="59"/>
      <c r="Y183" s="59"/>
      <c r="Z183" s="59"/>
      <c r="AA183" s="59"/>
      <c r="AB183" s="59"/>
      <c r="AC183" s="59"/>
      <c r="AD183" s="59"/>
      <c r="AE183" s="59"/>
      <c r="AF183" s="59"/>
      <c r="AG183" s="59"/>
      <c r="AH183" s="59"/>
      <c r="AI183" s="59"/>
      <c r="AJ183" s="59"/>
      <c r="AK183" s="59"/>
      <c r="AL183" s="59"/>
      <c r="AM183" s="59"/>
      <c r="AN183" s="59"/>
      <c r="AO183" s="59"/>
      <c r="AP183" s="59"/>
      <c r="AQ183" s="59"/>
      <c r="AR183" s="59"/>
    </row>
    <row r="184" spans="2:44" ht="15.95" hidden="1" customHeight="1">
      <c r="B184" s="59"/>
      <c r="C184" s="59"/>
      <c r="D184" s="59"/>
      <c r="E184" s="59"/>
      <c r="F184" s="59"/>
      <c r="G184" s="59"/>
      <c r="H184" s="59"/>
      <c r="I184" s="59"/>
      <c r="J184" s="59"/>
      <c r="K184" s="59"/>
      <c r="L184" s="59"/>
      <c r="M184" s="59"/>
      <c r="N184" s="59"/>
      <c r="O184" s="59"/>
      <c r="P184" s="59"/>
      <c r="Q184" s="59"/>
      <c r="R184" s="59"/>
      <c r="S184" s="59"/>
      <c r="T184" s="59"/>
      <c r="U184" s="59"/>
      <c r="V184" s="59"/>
      <c r="W184" s="59"/>
      <c r="X184" s="59"/>
      <c r="Y184" s="59"/>
      <c r="Z184" s="59"/>
      <c r="AA184" s="59"/>
      <c r="AB184" s="59"/>
      <c r="AC184" s="59"/>
      <c r="AD184" s="59"/>
      <c r="AE184" s="59"/>
      <c r="AF184" s="59"/>
      <c r="AG184" s="59"/>
      <c r="AH184" s="59"/>
      <c r="AI184" s="59"/>
      <c r="AJ184" s="59"/>
      <c r="AK184" s="59"/>
      <c r="AL184" s="59"/>
      <c r="AM184" s="59"/>
      <c r="AN184" s="59"/>
      <c r="AO184" s="59"/>
      <c r="AP184" s="59"/>
      <c r="AQ184" s="59"/>
      <c r="AR184" s="59"/>
    </row>
    <row r="185" spans="2:44" ht="15.95" hidden="1" customHeight="1">
      <c r="B185" s="59"/>
      <c r="C185" s="59"/>
      <c r="D185" s="59"/>
      <c r="E185" s="59"/>
      <c r="F185" s="59"/>
      <c r="G185" s="59"/>
      <c r="H185" s="59"/>
      <c r="I185" s="59"/>
      <c r="J185" s="59"/>
      <c r="K185" s="59"/>
      <c r="L185" s="59"/>
      <c r="M185" s="59"/>
      <c r="N185" s="59"/>
      <c r="O185" s="59"/>
      <c r="P185" s="59"/>
      <c r="Q185" s="59"/>
      <c r="R185" s="59"/>
      <c r="S185" s="59"/>
      <c r="T185" s="59"/>
      <c r="U185" s="59"/>
      <c r="V185" s="59"/>
      <c r="W185" s="59"/>
      <c r="X185" s="59"/>
      <c r="Y185" s="59"/>
      <c r="Z185" s="59"/>
      <c r="AA185" s="59"/>
      <c r="AB185" s="59"/>
      <c r="AC185" s="59"/>
      <c r="AD185" s="59"/>
      <c r="AE185" s="59"/>
      <c r="AF185" s="59"/>
      <c r="AG185" s="59"/>
      <c r="AH185" s="59"/>
      <c r="AI185" s="59"/>
      <c r="AJ185" s="59"/>
      <c r="AK185" s="59"/>
      <c r="AL185" s="59"/>
      <c r="AM185" s="59"/>
      <c r="AN185" s="59"/>
      <c r="AO185" s="59"/>
      <c r="AP185" s="59"/>
      <c r="AQ185" s="59"/>
      <c r="AR185" s="59"/>
    </row>
    <row r="186" spans="2:44" ht="15.95" hidden="1" customHeight="1">
      <c r="B186" s="59"/>
      <c r="C186" s="59"/>
      <c r="D186" s="59"/>
      <c r="E186" s="59"/>
      <c r="F186" s="59"/>
      <c r="G186" s="59"/>
      <c r="H186" s="59"/>
      <c r="I186" s="59"/>
      <c r="J186" s="59"/>
      <c r="K186" s="59"/>
      <c r="L186" s="59"/>
      <c r="M186" s="59"/>
      <c r="N186" s="59"/>
      <c r="O186" s="59"/>
      <c r="P186" s="59"/>
      <c r="Q186" s="59"/>
      <c r="R186" s="59"/>
      <c r="S186" s="59"/>
      <c r="T186" s="59"/>
      <c r="U186" s="59"/>
      <c r="V186" s="59"/>
      <c r="W186" s="59"/>
      <c r="X186" s="59"/>
      <c r="Y186" s="59"/>
      <c r="Z186" s="59"/>
      <c r="AA186" s="59"/>
      <c r="AB186" s="59"/>
      <c r="AC186" s="59"/>
      <c r="AD186" s="59"/>
      <c r="AE186" s="59"/>
      <c r="AF186" s="59"/>
      <c r="AG186" s="59"/>
      <c r="AH186" s="59"/>
      <c r="AI186" s="59"/>
      <c r="AJ186" s="59"/>
      <c r="AK186" s="59"/>
      <c r="AL186" s="59"/>
      <c r="AM186" s="59"/>
      <c r="AN186" s="59"/>
      <c r="AO186" s="59"/>
      <c r="AP186" s="59"/>
      <c r="AQ186" s="59"/>
      <c r="AR186" s="59"/>
    </row>
    <row r="187" spans="2:44" ht="15.95" hidden="1" customHeight="1">
      <c r="B187" s="59"/>
      <c r="C187" s="59"/>
      <c r="D187" s="59"/>
      <c r="E187" s="59"/>
      <c r="F187" s="59"/>
      <c r="G187" s="59"/>
      <c r="H187" s="59"/>
      <c r="I187" s="59"/>
      <c r="J187" s="59"/>
      <c r="K187" s="59"/>
      <c r="L187" s="59"/>
      <c r="M187" s="59"/>
      <c r="N187" s="59"/>
      <c r="O187" s="59"/>
      <c r="P187" s="59"/>
      <c r="Q187" s="59"/>
      <c r="R187" s="59"/>
      <c r="S187" s="59"/>
      <c r="T187" s="59"/>
      <c r="U187" s="59"/>
      <c r="V187" s="59"/>
      <c r="W187" s="59"/>
      <c r="X187" s="59"/>
      <c r="Y187" s="59"/>
      <c r="Z187" s="59"/>
      <c r="AA187" s="59"/>
      <c r="AB187" s="59"/>
      <c r="AC187" s="59"/>
      <c r="AD187" s="59"/>
      <c r="AE187" s="59"/>
      <c r="AF187" s="59"/>
      <c r="AG187" s="59"/>
      <c r="AH187" s="59"/>
      <c r="AI187" s="59"/>
      <c r="AJ187" s="59"/>
      <c r="AK187" s="59"/>
      <c r="AL187" s="59"/>
      <c r="AM187" s="59"/>
      <c r="AN187" s="59"/>
      <c r="AO187" s="59"/>
      <c r="AP187" s="59"/>
      <c r="AQ187" s="59"/>
      <c r="AR187" s="59"/>
    </row>
    <row r="188" spans="2:44" ht="15.95" hidden="1" customHeight="1">
      <c r="B188" s="59"/>
      <c r="C188" s="59"/>
      <c r="D188" s="59"/>
      <c r="E188" s="59"/>
      <c r="F188" s="59"/>
      <c r="G188" s="59"/>
      <c r="H188" s="59"/>
      <c r="I188" s="59"/>
      <c r="J188" s="59"/>
      <c r="K188" s="59"/>
      <c r="L188" s="59"/>
      <c r="M188" s="59"/>
      <c r="N188" s="59"/>
      <c r="O188" s="59"/>
      <c r="P188" s="59"/>
      <c r="Q188" s="59"/>
      <c r="R188" s="59"/>
      <c r="S188" s="59"/>
      <c r="T188" s="59"/>
      <c r="U188" s="59"/>
      <c r="V188" s="59"/>
      <c r="W188" s="59"/>
      <c r="X188" s="59"/>
      <c r="Y188" s="59"/>
      <c r="Z188" s="59"/>
      <c r="AA188" s="59"/>
      <c r="AB188" s="59"/>
      <c r="AC188" s="59"/>
      <c r="AD188" s="59"/>
      <c r="AE188" s="59"/>
      <c r="AF188" s="59"/>
      <c r="AG188" s="59"/>
      <c r="AH188" s="59"/>
      <c r="AI188" s="59"/>
      <c r="AJ188" s="59"/>
      <c r="AK188" s="59"/>
      <c r="AL188" s="59"/>
      <c r="AM188" s="59"/>
      <c r="AN188" s="59"/>
      <c r="AO188" s="59"/>
      <c r="AP188" s="59"/>
      <c r="AQ188" s="59"/>
      <c r="AR188" s="59"/>
    </row>
    <row r="189" spans="2:44" ht="15.95" hidden="1" customHeight="1">
      <c r="B189" s="59"/>
      <c r="C189" s="59"/>
      <c r="D189" s="59"/>
      <c r="E189" s="59"/>
      <c r="F189" s="59"/>
      <c r="G189" s="59"/>
      <c r="H189" s="59"/>
      <c r="I189" s="59"/>
      <c r="J189" s="59"/>
      <c r="K189" s="59"/>
      <c r="L189" s="59"/>
      <c r="M189" s="59"/>
      <c r="N189" s="59"/>
      <c r="O189" s="59"/>
      <c r="P189" s="59"/>
      <c r="Q189" s="59"/>
      <c r="R189" s="59"/>
      <c r="S189" s="59"/>
      <c r="T189" s="59"/>
      <c r="U189" s="59"/>
      <c r="V189" s="59"/>
      <c r="W189" s="59"/>
      <c r="X189" s="59"/>
      <c r="Y189" s="59"/>
      <c r="Z189" s="59"/>
      <c r="AA189" s="59"/>
      <c r="AB189" s="59"/>
      <c r="AC189" s="59"/>
      <c r="AD189" s="59"/>
      <c r="AE189" s="59"/>
      <c r="AF189" s="59"/>
      <c r="AG189" s="59"/>
      <c r="AH189" s="59"/>
      <c r="AI189" s="59"/>
      <c r="AJ189" s="59"/>
      <c r="AK189" s="59"/>
      <c r="AL189" s="59"/>
      <c r="AM189" s="59"/>
      <c r="AN189" s="59"/>
      <c r="AO189" s="59"/>
      <c r="AP189" s="59"/>
      <c r="AQ189" s="59"/>
      <c r="AR189" s="59"/>
    </row>
    <row r="190" spans="2:44" ht="15.95" hidden="1" customHeight="1">
      <c r="B190" s="59"/>
      <c r="C190" s="59"/>
      <c r="D190" s="59"/>
      <c r="E190" s="59"/>
      <c r="F190" s="59"/>
      <c r="G190" s="59"/>
      <c r="H190" s="59"/>
      <c r="I190" s="59"/>
      <c r="J190" s="59"/>
      <c r="K190" s="59"/>
      <c r="L190" s="59"/>
      <c r="M190" s="59"/>
      <c r="N190" s="59"/>
      <c r="O190" s="59"/>
      <c r="P190" s="59"/>
      <c r="Q190" s="59"/>
      <c r="R190" s="59"/>
      <c r="S190" s="59"/>
      <c r="T190" s="59"/>
      <c r="U190" s="59"/>
      <c r="V190" s="59"/>
      <c r="W190" s="59"/>
      <c r="X190" s="59"/>
      <c r="Y190" s="59"/>
      <c r="Z190" s="59"/>
      <c r="AA190" s="59"/>
      <c r="AB190" s="59"/>
      <c r="AC190" s="59"/>
      <c r="AD190" s="59"/>
      <c r="AE190" s="59"/>
      <c r="AF190" s="59"/>
      <c r="AG190" s="59"/>
      <c r="AH190" s="59"/>
      <c r="AI190" s="59"/>
      <c r="AJ190" s="59"/>
      <c r="AK190" s="59"/>
      <c r="AL190" s="59"/>
      <c r="AM190" s="59"/>
      <c r="AN190" s="59"/>
      <c r="AO190" s="59"/>
      <c r="AP190" s="59"/>
      <c r="AQ190" s="59"/>
      <c r="AR190" s="59"/>
    </row>
    <row r="191" spans="2:44" ht="15.95" hidden="1" customHeight="1">
      <c r="B191" s="59"/>
      <c r="C191" s="59"/>
      <c r="D191" s="59"/>
      <c r="E191" s="59"/>
      <c r="F191" s="59"/>
      <c r="G191" s="59"/>
      <c r="H191" s="59"/>
      <c r="I191" s="59"/>
      <c r="J191" s="59"/>
      <c r="K191" s="59"/>
      <c r="L191" s="59"/>
      <c r="M191" s="59"/>
      <c r="N191" s="59"/>
      <c r="O191" s="59"/>
      <c r="P191" s="59"/>
      <c r="Q191" s="59"/>
      <c r="R191" s="59"/>
      <c r="S191" s="59"/>
      <c r="T191" s="59"/>
      <c r="U191" s="59"/>
      <c r="V191" s="59"/>
      <c r="W191" s="59"/>
      <c r="X191" s="59"/>
      <c r="Y191" s="59"/>
      <c r="Z191" s="59"/>
      <c r="AA191" s="59"/>
      <c r="AB191" s="59"/>
      <c r="AC191" s="59"/>
      <c r="AD191" s="59"/>
      <c r="AE191" s="59"/>
      <c r="AF191" s="59"/>
      <c r="AG191" s="59"/>
      <c r="AH191" s="59"/>
      <c r="AI191" s="59"/>
      <c r="AJ191" s="59"/>
      <c r="AK191" s="59"/>
      <c r="AL191" s="59"/>
      <c r="AM191" s="59"/>
      <c r="AN191" s="59"/>
      <c r="AO191" s="59"/>
      <c r="AP191" s="59"/>
      <c r="AQ191" s="59"/>
      <c r="AR191" s="59"/>
    </row>
    <row r="192" spans="2:44" ht="15.95" hidden="1" customHeight="1">
      <c r="B192" s="59"/>
      <c r="C192" s="59"/>
      <c r="D192" s="59"/>
      <c r="E192" s="59"/>
      <c r="F192" s="59"/>
      <c r="G192" s="59"/>
      <c r="H192" s="59"/>
      <c r="I192" s="59"/>
      <c r="J192" s="59"/>
      <c r="K192" s="59"/>
      <c r="L192" s="59"/>
      <c r="M192" s="59"/>
      <c r="N192" s="59"/>
      <c r="O192" s="59"/>
      <c r="P192" s="59"/>
      <c r="Q192" s="59"/>
      <c r="R192" s="59"/>
      <c r="S192" s="59"/>
      <c r="T192" s="59"/>
      <c r="U192" s="59"/>
      <c r="V192" s="59"/>
      <c r="W192" s="59"/>
      <c r="X192" s="59"/>
      <c r="Y192" s="59"/>
      <c r="Z192" s="59"/>
      <c r="AA192" s="59"/>
      <c r="AB192" s="59"/>
      <c r="AC192" s="59"/>
      <c r="AD192" s="59"/>
      <c r="AE192" s="59"/>
      <c r="AF192" s="59"/>
      <c r="AG192" s="59"/>
      <c r="AH192" s="59"/>
      <c r="AI192" s="59"/>
      <c r="AJ192" s="59"/>
      <c r="AK192" s="59"/>
      <c r="AL192" s="59"/>
      <c r="AM192" s="59"/>
      <c r="AN192" s="59"/>
      <c r="AO192" s="59"/>
      <c r="AP192" s="59"/>
      <c r="AQ192" s="59"/>
      <c r="AR192" s="59"/>
    </row>
    <row r="193" spans="2:44" ht="15.95" hidden="1" customHeight="1">
      <c r="B193" s="59"/>
      <c r="C193" s="59"/>
      <c r="D193" s="59"/>
      <c r="E193" s="59"/>
      <c r="F193" s="59"/>
      <c r="G193" s="59"/>
      <c r="H193" s="59"/>
      <c r="I193" s="59"/>
      <c r="J193" s="59"/>
      <c r="K193" s="59"/>
      <c r="L193" s="59"/>
      <c r="M193" s="59"/>
      <c r="N193" s="59"/>
      <c r="O193" s="59"/>
      <c r="P193" s="59"/>
      <c r="Q193" s="59"/>
      <c r="R193" s="59"/>
      <c r="S193" s="59"/>
      <c r="T193" s="59"/>
      <c r="U193" s="59"/>
      <c r="V193" s="59"/>
      <c r="W193" s="59"/>
      <c r="X193" s="59"/>
      <c r="Y193" s="59"/>
      <c r="Z193" s="59"/>
      <c r="AA193" s="59"/>
      <c r="AB193" s="59"/>
      <c r="AC193" s="59"/>
      <c r="AD193" s="59"/>
      <c r="AE193" s="59"/>
      <c r="AF193" s="59"/>
      <c r="AG193" s="59"/>
      <c r="AH193" s="59"/>
      <c r="AI193" s="59"/>
      <c r="AJ193" s="59"/>
      <c r="AK193" s="59"/>
      <c r="AL193" s="59"/>
      <c r="AM193" s="59"/>
      <c r="AN193" s="59"/>
      <c r="AO193" s="59"/>
      <c r="AP193" s="59"/>
      <c r="AQ193" s="59"/>
      <c r="AR193" s="59"/>
    </row>
    <row r="194" spans="2:44" ht="15.95" hidden="1" customHeight="1">
      <c r="B194" s="59"/>
      <c r="C194" s="59"/>
      <c r="D194" s="59"/>
      <c r="E194" s="59"/>
      <c r="F194" s="59"/>
      <c r="G194" s="59"/>
      <c r="H194" s="59"/>
      <c r="I194" s="59"/>
      <c r="J194" s="59"/>
      <c r="K194" s="59"/>
      <c r="L194" s="59"/>
      <c r="M194" s="59"/>
      <c r="N194" s="59"/>
      <c r="O194" s="59"/>
      <c r="P194" s="59"/>
      <c r="Q194" s="59"/>
      <c r="R194" s="59"/>
      <c r="S194" s="59"/>
      <c r="T194" s="59"/>
      <c r="U194" s="59"/>
      <c r="V194" s="59"/>
      <c r="W194" s="59"/>
      <c r="X194" s="59"/>
      <c r="Y194" s="59"/>
      <c r="Z194" s="59"/>
      <c r="AA194" s="59"/>
      <c r="AB194" s="59"/>
      <c r="AC194" s="59"/>
      <c r="AD194" s="59"/>
      <c r="AE194" s="59"/>
      <c r="AF194" s="59"/>
      <c r="AG194" s="59"/>
      <c r="AH194" s="59"/>
      <c r="AI194" s="59"/>
      <c r="AJ194" s="59"/>
      <c r="AK194" s="59"/>
      <c r="AL194" s="59"/>
      <c r="AM194" s="59"/>
      <c r="AN194" s="59"/>
      <c r="AO194" s="59"/>
      <c r="AP194" s="59"/>
      <c r="AQ194" s="59"/>
      <c r="AR194" s="59"/>
    </row>
    <row r="195" spans="2:44" ht="15.95" hidden="1" customHeight="1">
      <c r="B195" s="59"/>
      <c r="C195" s="59"/>
      <c r="D195" s="59"/>
      <c r="E195" s="59"/>
      <c r="F195" s="59"/>
      <c r="G195" s="59"/>
      <c r="H195" s="59"/>
      <c r="I195" s="59"/>
      <c r="J195" s="59"/>
      <c r="K195" s="59"/>
      <c r="L195" s="59"/>
      <c r="M195" s="59"/>
      <c r="N195" s="59"/>
      <c r="O195" s="59"/>
      <c r="P195" s="59"/>
      <c r="Q195" s="59"/>
      <c r="R195" s="59"/>
      <c r="S195" s="59"/>
      <c r="T195" s="59"/>
      <c r="U195" s="59"/>
      <c r="V195" s="59"/>
      <c r="W195" s="59"/>
      <c r="X195" s="59"/>
      <c r="Y195" s="59"/>
      <c r="Z195" s="59"/>
      <c r="AA195" s="59"/>
      <c r="AB195" s="59"/>
      <c r="AC195" s="59"/>
      <c r="AD195" s="59"/>
      <c r="AE195" s="59"/>
      <c r="AF195" s="59"/>
      <c r="AG195" s="59"/>
      <c r="AH195" s="59"/>
      <c r="AI195" s="59"/>
      <c r="AJ195" s="59"/>
      <c r="AK195" s="59"/>
      <c r="AL195" s="59"/>
      <c r="AM195" s="59"/>
      <c r="AN195" s="59"/>
      <c r="AO195" s="59"/>
      <c r="AP195" s="59"/>
      <c r="AQ195" s="59"/>
      <c r="AR195" s="59"/>
    </row>
    <row r="196" spans="2:44" ht="15.95" hidden="1" customHeight="1">
      <c r="B196" s="59"/>
      <c r="C196" s="59"/>
      <c r="D196" s="59"/>
      <c r="E196" s="59"/>
      <c r="F196" s="59"/>
      <c r="G196" s="59"/>
      <c r="H196" s="59"/>
      <c r="I196" s="59"/>
      <c r="J196" s="59"/>
      <c r="K196" s="59"/>
      <c r="L196" s="59"/>
      <c r="M196" s="59"/>
      <c r="N196" s="59"/>
      <c r="O196" s="59"/>
      <c r="P196" s="59"/>
      <c r="Q196" s="59"/>
      <c r="R196" s="59"/>
      <c r="S196" s="59"/>
      <c r="T196" s="59"/>
      <c r="U196" s="59"/>
      <c r="V196" s="59"/>
      <c r="W196" s="59"/>
      <c r="X196" s="59"/>
      <c r="Y196" s="59"/>
      <c r="Z196" s="59"/>
      <c r="AA196" s="59"/>
      <c r="AB196" s="59"/>
      <c r="AC196" s="59"/>
      <c r="AD196" s="59"/>
      <c r="AE196" s="59"/>
      <c r="AF196" s="59"/>
      <c r="AG196" s="59"/>
      <c r="AH196" s="59"/>
      <c r="AI196" s="59"/>
      <c r="AJ196" s="59"/>
      <c r="AK196" s="59"/>
      <c r="AL196" s="59"/>
      <c r="AM196" s="59"/>
      <c r="AN196" s="59"/>
      <c r="AO196" s="59"/>
      <c r="AP196" s="59"/>
      <c r="AQ196" s="59"/>
      <c r="AR196" s="59"/>
    </row>
    <row r="197" spans="2:44" ht="15.95" hidden="1" customHeight="1">
      <c r="B197" s="59"/>
      <c r="C197" s="59"/>
      <c r="D197" s="59"/>
      <c r="E197" s="59"/>
      <c r="F197" s="59"/>
      <c r="G197" s="59"/>
      <c r="H197" s="59"/>
      <c r="I197" s="59"/>
      <c r="J197" s="59"/>
      <c r="K197" s="59"/>
      <c r="L197" s="59"/>
      <c r="M197" s="59"/>
      <c r="N197" s="59"/>
      <c r="O197" s="59"/>
      <c r="P197" s="59"/>
      <c r="Q197" s="59"/>
      <c r="R197" s="59"/>
      <c r="S197" s="59"/>
      <c r="T197" s="59"/>
      <c r="U197" s="59"/>
      <c r="V197" s="59"/>
      <c r="W197" s="59"/>
      <c r="X197" s="59"/>
      <c r="Y197" s="59"/>
      <c r="Z197" s="59"/>
      <c r="AA197" s="59"/>
      <c r="AB197" s="59"/>
      <c r="AC197" s="59"/>
      <c r="AD197" s="59"/>
      <c r="AE197" s="59"/>
      <c r="AF197" s="59"/>
      <c r="AG197" s="59"/>
      <c r="AH197" s="59"/>
      <c r="AI197" s="59"/>
      <c r="AJ197" s="59"/>
      <c r="AK197" s="59"/>
      <c r="AL197" s="59"/>
      <c r="AM197" s="59"/>
      <c r="AN197" s="59"/>
      <c r="AO197" s="59"/>
      <c r="AP197" s="59"/>
      <c r="AQ197" s="59"/>
      <c r="AR197" s="59"/>
    </row>
    <row r="198" spans="2:44" ht="15.95" hidden="1" customHeight="1">
      <c r="B198" s="59"/>
      <c r="C198" s="59"/>
      <c r="D198" s="59"/>
      <c r="E198" s="59"/>
      <c r="F198" s="59"/>
      <c r="G198" s="59"/>
      <c r="H198" s="59"/>
      <c r="I198" s="59"/>
      <c r="J198" s="59"/>
      <c r="K198" s="59"/>
      <c r="L198" s="59"/>
      <c r="M198" s="59"/>
      <c r="N198" s="59"/>
      <c r="O198" s="59"/>
      <c r="P198" s="59"/>
      <c r="Q198" s="59"/>
      <c r="R198" s="59"/>
      <c r="S198" s="59"/>
      <c r="T198" s="59"/>
      <c r="U198" s="59"/>
      <c r="V198" s="59"/>
      <c r="W198" s="59"/>
      <c r="X198" s="59"/>
      <c r="Y198" s="59"/>
      <c r="Z198" s="59"/>
      <c r="AA198" s="59"/>
      <c r="AB198" s="59"/>
      <c r="AC198" s="59"/>
      <c r="AD198" s="59"/>
      <c r="AE198" s="59"/>
      <c r="AF198" s="59"/>
      <c r="AG198" s="59"/>
      <c r="AH198" s="59"/>
      <c r="AI198" s="59"/>
      <c r="AJ198" s="59"/>
      <c r="AK198" s="59"/>
      <c r="AL198" s="59"/>
      <c r="AM198" s="59"/>
      <c r="AN198" s="59"/>
      <c r="AO198" s="59"/>
      <c r="AP198" s="59"/>
      <c r="AQ198" s="59"/>
      <c r="AR198" s="59"/>
    </row>
    <row r="199" spans="2:44" ht="15.95" hidden="1" customHeight="1">
      <c r="B199" s="59"/>
      <c r="C199" s="59"/>
      <c r="D199" s="59"/>
      <c r="E199" s="59"/>
      <c r="F199" s="59"/>
      <c r="G199" s="59"/>
      <c r="H199" s="59"/>
      <c r="I199" s="59"/>
      <c r="J199" s="59"/>
      <c r="K199" s="59"/>
      <c r="L199" s="59"/>
      <c r="M199" s="59"/>
      <c r="N199" s="59"/>
      <c r="O199" s="59"/>
      <c r="P199" s="59"/>
      <c r="Q199" s="59"/>
      <c r="R199" s="59"/>
      <c r="S199" s="59"/>
      <c r="T199" s="59"/>
      <c r="U199" s="59"/>
      <c r="V199" s="59"/>
      <c r="W199" s="59"/>
      <c r="X199" s="59"/>
      <c r="Y199" s="59"/>
      <c r="Z199" s="59"/>
      <c r="AA199" s="59"/>
      <c r="AB199" s="59"/>
      <c r="AC199" s="59"/>
      <c r="AD199" s="59"/>
      <c r="AE199" s="59"/>
      <c r="AF199" s="59"/>
      <c r="AG199" s="59"/>
      <c r="AH199" s="59"/>
      <c r="AI199" s="59"/>
      <c r="AJ199" s="59"/>
      <c r="AK199" s="59"/>
      <c r="AL199" s="59"/>
      <c r="AM199" s="59"/>
      <c r="AN199" s="59"/>
      <c r="AO199" s="59"/>
      <c r="AP199" s="59"/>
      <c r="AQ199" s="59"/>
      <c r="AR199" s="59"/>
    </row>
    <row r="200" spans="2:44" ht="15.95" customHeight="1">
      <c r="B200" s="272" t="str">
        <f>FOOT1</f>
        <v>NIPSCO Energy Efficiency Program</v>
      </c>
      <c r="C200" s="272"/>
      <c r="D200" s="272"/>
      <c r="E200" s="272"/>
      <c r="F200" s="272"/>
      <c r="G200" s="272"/>
      <c r="H200" s="272"/>
      <c r="I200" s="272"/>
      <c r="J200" s="272"/>
      <c r="K200" s="272"/>
      <c r="L200" s="272"/>
      <c r="M200" s="661" t="str">
        <f>FOOT4</f>
        <v>NIPSCO’s energy efficiency programs are administered by TRC, a third‐party implementation specialist that helps homes and businesses save energy.</v>
      </c>
      <c r="N200" s="661"/>
      <c r="O200" s="661"/>
      <c r="P200" s="661"/>
      <c r="Q200" s="661"/>
      <c r="R200" s="661"/>
      <c r="S200" s="661"/>
      <c r="T200" s="661"/>
      <c r="U200" s="661"/>
      <c r="V200" s="661"/>
      <c r="W200" s="661"/>
      <c r="X200" s="661"/>
      <c r="Y200" s="661"/>
      <c r="Z200" s="661"/>
      <c r="AA200" s="661"/>
      <c r="AB200" s="661"/>
      <c r="AC200" s="661"/>
      <c r="AD200" s="661"/>
      <c r="AE200" s="661"/>
      <c r="AF200" s="661"/>
      <c r="AG200" s="661"/>
      <c r="AH200" s="272"/>
      <c r="AI200" s="272"/>
      <c r="AJ200" s="272"/>
      <c r="AK200" s="272"/>
      <c r="AL200" s="272"/>
      <c r="AM200" s="272"/>
      <c r="AN200" s="272"/>
      <c r="AO200" s="272"/>
      <c r="AP200" s="272"/>
      <c r="AQ200" s="272"/>
      <c r="AR200" s="273" t="str">
        <f>FOOTDISCLAIM</f>
        <v/>
      </c>
    </row>
    <row r="201" spans="2:44" ht="15.95" customHeight="1">
      <c r="B201" s="272" t="str">
        <f>FOOT2</f>
        <v>Toll-Free 800-299-2501</v>
      </c>
      <c r="C201" s="272"/>
      <c r="D201" s="272"/>
      <c r="E201" s="272"/>
      <c r="F201" s="272"/>
      <c r="G201" s="272"/>
      <c r="H201" s="272"/>
      <c r="I201" s="272"/>
      <c r="J201" s="272"/>
      <c r="K201" s="272"/>
      <c r="L201" s="272"/>
      <c r="M201" s="661"/>
      <c r="N201" s="661"/>
      <c r="O201" s="661"/>
      <c r="P201" s="661"/>
      <c r="Q201" s="661"/>
      <c r="R201" s="661"/>
      <c r="S201" s="661"/>
      <c r="T201" s="661"/>
      <c r="U201" s="661"/>
      <c r="V201" s="661"/>
      <c r="W201" s="661"/>
      <c r="X201" s="661"/>
      <c r="Y201" s="661"/>
      <c r="Z201" s="661"/>
      <c r="AA201" s="661"/>
      <c r="AB201" s="661"/>
      <c r="AC201" s="661"/>
      <c r="AD201" s="661"/>
      <c r="AE201" s="661"/>
      <c r="AF201" s="661"/>
      <c r="AG201" s="661"/>
      <c r="AH201" s="272"/>
      <c r="AI201" s="272"/>
      <c r="AJ201" s="272"/>
      <c r="AK201" s="272"/>
      <c r="AL201" s="272"/>
      <c r="AM201" s="272"/>
      <c r="AN201" s="272"/>
      <c r="AO201" s="272"/>
      <c r="AP201" s="272"/>
      <c r="AQ201" s="272"/>
      <c r="AR201" s="273" t="str">
        <f>FOOT5</f>
        <v/>
      </c>
    </row>
    <row r="202" spans="2:44" ht="15.95" customHeight="1">
      <c r="B202" s="281" t="s">
        <v>1547</v>
      </c>
      <c r="C202" s="272"/>
      <c r="D202" s="272"/>
      <c r="E202" s="272"/>
      <c r="F202" s="272"/>
      <c r="G202" s="272"/>
      <c r="H202" s="272"/>
      <c r="I202" s="272"/>
      <c r="J202" s="272"/>
      <c r="K202" s="272"/>
      <c r="L202" s="272"/>
      <c r="M202" s="274"/>
      <c r="N202" s="272"/>
      <c r="O202" s="272"/>
      <c r="P202" s="274"/>
      <c r="Q202" s="274"/>
      <c r="R202" s="274"/>
      <c r="S202" s="274"/>
      <c r="T202" s="274"/>
      <c r="U202" s="274"/>
      <c r="V202" s="274"/>
      <c r="W202" s="275" t="str">
        <f>VERSION</f>
        <v>Custom Prescriptive Application v3.7.1</v>
      </c>
      <c r="X202" s="274"/>
      <c r="Y202" s="274"/>
      <c r="Z202" s="274"/>
      <c r="AA202" s="274"/>
      <c r="AB202" s="274"/>
      <c r="AC202" s="274"/>
      <c r="AD202" s="274"/>
      <c r="AE202" s="272"/>
      <c r="AF202" s="272"/>
      <c r="AG202" s="272"/>
      <c r="AH202" s="272"/>
      <c r="AI202" s="272"/>
      <c r="AJ202" s="272"/>
      <c r="AK202" s="272"/>
      <c r="AL202" s="272"/>
      <c r="AM202" s="272"/>
      <c r="AN202" s="272"/>
      <c r="AO202" s="272"/>
      <c r="AP202" s="272"/>
      <c r="AQ202" s="272"/>
      <c r="AR202" s="273" t="str">
        <f>FOOT6</f>
        <v>Product of TRC</v>
      </c>
    </row>
  </sheetData>
  <sheetProtection algorithmName="SHA-512" hashValue="KOFC4R/GCj7Fh4gsHklxV5gPFOoAW8Pjxhh6bDZOVc48GgiwovVetQKSIdFsEKRn3MdAHFU55/UEFk1CzpvEnA==" saltValue="7VOfIw6qrmGxjDmVTHHeFQ==" spinCount="100000" sheet="1" objects="1" scenarios="1" selectLockedCells="1"/>
  <mergeCells count="88">
    <mergeCell ref="J28:L28"/>
    <mergeCell ref="M28:O28"/>
    <mergeCell ref="P28:U28"/>
    <mergeCell ref="V28:W28"/>
    <mergeCell ref="J30:W30"/>
    <mergeCell ref="J29:L29"/>
    <mergeCell ref="M29:O29"/>
    <mergeCell ref="P29:U29"/>
    <mergeCell ref="V29:W29"/>
    <mergeCell ref="M26:O26"/>
    <mergeCell ref="P26:U26"/>
    <mergeCell ref="V26:W26"/>
    <mergeCell ref="AB26:AP26"/>
    <mergeCell ref="J27:L27"/>
    <mergeCell ref="M27:O27"/>
    <mergeCell ref="P27:U27"/>
    <mergeCell ref="V27:W27"/>
    <mergeCell ref="F23:G23"/>
    <mergeCell ref="C26:E26"/>
    <mergeCell ref="F26:G26"/>
    <mergeCell ref="J26:L26"/>
    <mergeCell ref="J23:L23"/>
    <mergeCell ref="V24:W24"/>
    <mergeCell ref="C25:E25"/>
    <mergeCell ref="F25:G25"/>
    <mergeCell ref="J25:L25"/>
    <mergeCell ref="M25:O25"/>
    <mergeCell ref="P25:U25"/>
    <mergeCell ref="V25:W25"/>
    <mergeCell ref="C24:E24"/>
    <mergeCell ref="F24:G24"/>
    <mergeCell ref="J24:L24"/>
    <mergeCell ref="M24:O24"/>
    <mergeCell ref="P24:U24"/>
    <mergeCell ref="M23:O23"/>
    <mergeCell ref="P23:U23"/>
    <mergeCell ref="V21:W21"/>
    <mergeCell ref="C22:E22"/>
    <mergeCell ref="F22:G22"/>
    <mergeCell ref="J22:L22"/>
    <mergeCell ref="M22:O22"/>
    <mergeCell ref="P22:U22"/>
    <mergeCell ref="V22:W22"/>
    <mergeCell ref="C21:E21"/>
    <mergeCell ref="F21:G21"/>
    <mergeCell ref="J21:L21"/>
    <mergeCell ref="M21:O21"/>
    <mergeCell ref="P21:U21"/>
    <mergeCell ref="V23:W23"/>
    <mergeCell ref="C23:E23"/>
    <mergeCell ref="V19:W19"/>
    <mergeCell ref="AA19:AC19"/>
    <mergeCell ref="AD19:AE19"/>
    <mergeCell ref="C20:E20"/>
    <mergeCell ref="F20:G20"/>
    <mergeCell ref="J20:L20"/>
    <mergeCell ref="M20:O20"/>
    <mergeCell ref="P20:U20"/>
    <mergeCell ref="V20:W20"/>
    <mergeCell ref="C19:E19"/>
    <mergeCell ref="F19:G19"/>
    <mergeCell ref="J19:L19"/>
    <mergeCell ref="M19:O19"/>
    <mergeCell ref="P19:U19"/>
    <mergeCell ref="M200:AG201"/>
    <mergeCell ref="F10:AN10"/>
    <mergeCell ref="C14:G18"/>
    <mergeCell ref="J14:X16"/>
    <mergeCell ref="AA14:AE18"/>
    <mergeCell ref="AH15:AP15"/>
    <mergeCell ref="AH16:AP16"/>
    <mergeCell ref="J17:L17"/>
    <mergeCell ref="M17:O17"/>
    <mergeCell ref="P17:U17"/>
    <mergeCell ref="V17:W17"/>
    <mergeCell ref="J18:L18"/>
    <mergeCell ref="M18:O18"/>
    <mergeCell ref="P18:U18"/>
    <mergeCell ref="V18:W18"/>
    <mergeCell ref="AB28:AP31"/>
    <mergeCell ref="AA22:AP22"/>
    <mergeCell ref="AB23:AP25"/>
    <mergeCell ref="AQ1:AR1"/>
    <mergeCell ref="AQ2:AR3"/>
    <mergeCell ref="AH1:AK1"/>
    <mergeCell ref="AL1:AP1"/>
    <mergeCell ref="AH2:AK3"/>
    <mergeCell ref="AL2:AP3"/>
  </mergeCells>
  <conditionalFormatting sqref="AH2 AL2">
    <cfRule type="expression" dxfId="272" priority="1">
      <formula>PROJSTATUS=PROJSTATELI</formula>
    </cfRule>
    <cfRule type="expression" dxfId="271" priority="2">
      <formula>PROJSTATUS=PROJSTATREVIEW</formula>
    </cfRule>
    <cfRule type="expression" dxfId="270" priority="6">
      <formula>PROJSTATUS=PROJSTATPREAPPROVE</formula>
    </cfRule>
    <cfRule type="expression" dxfId="269" priority="7">
      <formula>PROJSTATUS=PROJSTATSTANDARD</formula>
    </cfRule>
    <cfRule type="expression" dxfId="268" priority="8">
      <formula>PROJSTATUS=PROJSTATEXP</formula>
    </cfRule>
  </conditionalFormatting>
  <conditionalFormatting sqref="AQ2:AR3">
    <cfRule type="cellIs" dxfId="267" priority="3" operator="equal">
      <formula>1</formula>
    </cfRule>
    <cfRule type="cellIs" dxfId="266" priority="4" operator="between">
      <formula>0.51</formula>
      <formula>0.99</formula>
    </cfRule>
    <cfRule type="cellIs" dxfId="265" priority="5" operator="lessThanOrEqual">
      <formula>0.5</formula>
    </cfRule>
  </conditionalFormatting>
  <dataValidations xWindow="158" yWindow="609" count="2">
    <dataValidation type="whole" allowBlank="1" showInputMessage="1" showErrorMessage="1" errorTitle="DAILY OPERATING HOURS" error="MUST SELECT A WHOLE NUMBER BETWEEN 1 AND 24" promptTitle="DAILY OPERATING HOURS" prompt="Enter between 1 and 24 hours for daily operations." sqref="F19:G25" xr:uid="{00000000-0002-0000-0D00-000000000000}">
      <formula1>0</formula1>
      <formula2>24</formula2>
    </dataValidation>
    <dataValidation type="decimal" operator="lessThan" allowBlank="1" showInputMessage="1" showErrorMessage="1" sqref="AD19:AE19" xr:uid="{00000000-0002-0000-0D00-000001000000}">
      <formula1>53</formula1>
    </dataValidation>
  </dataValidations>
  <hyperlinks>
    <hyperlink ref="B202" r:id="rId1" xr:uid="{B689F3F6-A10C-4D2B-AD10-FA0D86EC307C}"/>
  </hyperlinks>
  <pageMargins left="0.25" right="0.25" top="0.25" bottom="0.25" header="0.25" footer="0.25"/>
  <pageSetup scale="62" fitToHeight="0" orientation="landscape" r:id="rId2"/>
  <drawing r:id="rId3"/>
  <legacyDrawing r:id="rId4"/>
  <mc:AlternateContent xmlns:mc="http://schemas.openxmlformats.org/markup-compatibility/2006">
    <mc:Choice Requires="x14">
      <controls>
        <mc:AlternateContent xmlns:mc="http://schemas.openxmlformats.org/markup-compatibility/2006">
          <mc:Choice Requires="x14">
            <control shapeId="141313" r:id="rId5" name="Check Box 1">
              <controlPr defaultSize="0" autoFill="0" autoLine="0" autoPict="0">
                <anchor moveWithCells="1">
                  <from>
                    <xdr:col>21</xdr:col>
                    <xdr:colOff>152400</xdr:colOff>
                    <xdr:row>17</xdr:row>
                    <xdr:rowOff>0</xdr:rowOff>
                  </from>
                  <to>
                    <xdr:col>22</xdr:col>
                    <xdr:colOff>57150</xdr:colOff>
                    <xdr:row>18</xdr:row>
                    <xdr:rowOff>9525</xdr:rowOff>
                  </to>
                </anchor>
              </controlPr>
            </control>
          </mc:Choice>
        </mc:AlternateContent>
        <mc:AlternateContent xmlns:mc="http://schemas.openxmlformats.org/markup-compatibility/2006">
          <mc:Choice Requires="x14">
            <control shapeId="141314" r:id="rId6" name="Check Box 2">
              <controlPr defaultSize="0" autoFill="0" autoLine="0" autoPict="0">
                <anchor moveWithCells="1">
                  <from>
                    <xdr:col>21</xdr:col>
                    <xdr:colOff>152400</xdr:colOff>
                    <xdr:row>18</xdr:row>
                    <xdr:rowOff>0</xdr:rowOff>
                  </from>
                  <to>
                    <xdr:col>22</xdr:col>
                    <xdr:colOff>57150</xdr:colOff>
                    <xdr:row>19</xdr:row>
                    <xdr:rowOff>9525</xdr:rowOff>
                  </to>
                </anchor>
              </controlPr>
            </control>
          </mc:Choice>
        </mc:AlternateContent>
        <mc:AlternateContent xmlns:mc="http://schemas.openxmlformats.org/markup-compatibility/2006">
          <mc:Choice Requires="x14">
            <control shapeId="141315" r:id="rId7" name="Check Box 3">
              <controlPr defaultSize="0" autoFill="0" autoLine="0" autoPict="0">
                <anchor moveWithCells="1">
                  <from>
                    <xdr:col>21</xdr:col>
                    <xdr:colOff>152400</xdr:colOff>
                    <xdr:row>19</xdr:row>
                    <xdr:rowOff>0</xdr:rowOff>
                  </from>
                  <to>
                    <xdr:col>22</xdr:col>
                    <xdr:colOff>57150</xdr:colOff>
                    <xdr:row>20</xdr:row>
                    <xdr:rowOff>9525</xdr:rowOff>
                  </to>
                </anchor>
              </controlPr>
            </control>
          </mc:Choice>
        </mc:AlternateContent>
        <mc:AlternateContent xmlns:mc="http://schemas.openxmlformats.org/markup-compatibility/2006">
          <mc:Choice Requires="x14">
            <control shapeId="141316" r:id="rId8" name="Check Box 4">
              <controlPr defaultSize="0" autoFill="0" autoLine="0" autoPict="0">
                <anchor moveWithCells="1">
                  <from>
                    <xdr:col>21</xdr:col>
                    <xdr:colOff>152400</xdr:colOff>
                    <xdr:row>20</xdr:row>
                    <xdr:rowOff>0</xdr:rowOff>
                  </from>
                  <to>
                    <xdr:col>22</xdr:col>
                    <xdr:colOff>57150</xdr:colOff>
                    <xdr:row>21</xdr:row>
                    <xdr:rowOff>9525</xdr:rowOff>
                  </to>
                </anchor>
              </controlPr>
            </control>
          </mc:Choice>
        </mc:AlternateContent>
        <mc:AlternateContent xmlns:mc="http://schemas.openxmlformats.org/markup-compatibility/2006">
          <mc:Choice Requires="x14">
            <control shapeId="141317" r:id="rId9" name="Check Box 5">
              <controlPr defaultSize="0" autoFill="0" autoLine="0" autoPict="0">
                <anchor moveWithCells="1">
                  <from>
                    <xdr:col>21</xdr:col>
                    <xdr:colOff>152400</xdr:colOff>
                    <xdr:row>21</xdr:row>
                    <xdr:rowOff>0</xdr:rowOff>
                  </from>
                  <to>
                    <xdr:col>22</xdr:col>
                    <xdr:colOff>57150</xdr:colOff>
                    <xdr:row>22</xdr:row>
                    <xdr:rowOff>9525</xdr:rowOff>
                  </to>
                </anchor>
              </controlPr>
            </control>
          </mc:Choice>
        </mc:AlternateContent>
        <mc:AlternateContent xmlns:mc="http://schemas.openxmlformats.org/markup-compatibility/2006">
          <mc:Choice Requires="x14">
            <control shapeId="141318" r:id="rId10" name="Check Box 6">
              <controlPr defaultSize="0" autoFill="0" autoLine="0" autoPict="0">
                <anchor moveWithCells="1">
                  <from>
                    <xdr:col>21</xdr:col>
                    <xdr:colOff>152400</xdr:colOff>
                    <xdr:row>22</xdr:row>
                    <xdr:rowOff>0</xdr:rowOff>
                  </from>
                  <to>
                    <xdr:col>22</xdr:col>
                    <xdr:colOff>57150</xdr:colOff>
                    <xdr:row>23</xdr:row>
                    <xdr:rowOff>9525</xdr:rowOff>
                  </to>
                </anchor>
              </controlPr>
            </control>
          </mc:Choice>
        </mc:AlternateContent>
        <mc:AlternateContent xmlns:mc="http://schemas.openxmlformats.org/markup-compatibility/2006">
          <mc:Choice Requires="x14">
            <control shapeId="141319" r:id="rId11" name="Check Box 7">
              <controlPr defaultSize="0" autoFill="0" autoLine="0" autoPict="0">
                <anchor moveWithCells="1">
                  <from>
                    <xdr:col>21</xdr:col>
                    <xdr:colOff>152400</xdr:colOff>
                    <xdr:row>23</xdr:row>
                    <xdr:rowOff>0</xdr:rowOff>
                  </from>
                  <to>
                    <xdr:col>22</xdr:col>
                    <xdr:colOff>57150</xdr:colOff>
                    <xdr:row>24</xdr:row>
                    <xdr:rowOff>9525</xdr:rowOff>
                  </to>
                </anchor>
              </controlPr>
            </control>
          </mc:Choice>
        </mc:AlternateContent>
        <mc:AlternateContent xmlns:mc="http://schemas.openxmlformats.org/markup-compatibility/2006">
          <mc:Choice Requires="x14">
            <control shapeId="141320" r:id="rId12" name="Check Box 8">
              <controlPr defaultSize="0" autoFill="0" autoLine="0" autoPict="0">
                <anchor moveWithCells="1">
                  <from>
                    <xdr:col>21</xdr:col>
                    <xdr:colOff>152400</xdr:colOff>
                    <xdr:row>24</xdr:row>
                    <xdr:rowOff>0</xdr:rowOff>
                  </from>
                  <to>
                    <xdr:col>22</xdr:col>
                    <xdr:colOff>57150</xdr:colOff>
                    <xdr:row>25</xdr:row>
                    <xdr:rowOff>9525</xdr:rowOff>
                  </to>
                </anchor>
              </controlPr>
            </control>
          </mc:Choice>
        </mc:AlternateContent>
        <mc:AlternateContent xmlns:mc="http://schemas.openxmlformats.org/markup-compatibility/2006">
          <mc:Choice Requires="x14">
            <control shapeId="141321" r:id="rId13" name="Check Box 9">
              <controlPr defaultSize="0" autoFill="0" autoLine="0" autoPict="0">
                <anchor moveWithCells="1">
                  <from>
                    <xdr:col>21</xdr:col>
                    <xdr:colOff>152400</xdr:colOff>
                    <xdr:row>25</xdr:row>
                    <xdr:rowOff>0</xdr:rowOff>
                  </from>
                  <to>
                    <xdr:col>22</xdr:col>
                    <xdr:colOff>57150</xdr:colOff>
                    <xdr:row>26</xdr:row>
                    <xdr:rowOff>9525</xdr:rowOff>
                  </to>
                </anchor>
              </controlPr>
            </control>
          </mc:Choice>
        </mc:AlternateContent>
        <mc:AlternateContent xmlns:mc="http://schemas.openxmlformats.org/markup-compatibility/2006">
          <mc:Choice Requires="x14">
            <control shapeId="141322" r:id="rId14" name="Check Box 10">
              <controlPr defaultSize="0" autoFill="0" autoLine="0" autoPict="0">
                <anchor moveWithCells="1">
                  <from>
                    <xdr:col>21</xdr:col>
                    <xdr:colOff>152400</xdr:colOff>
                    <xdr:row>26</xdr:row>
                    <xdr:rowOff>0</xdr:rowOff>
                  </from>
                  <to>
                    <xdr:col>22</xdr:col>
                    <xdr:colOff>57150</xdr:colOff>
                    <xdr:row>27</xdr:row>
                    <xdr:rowOff>9525</xdr:rowOff>
                  </to>
                </anchor>
              </controlPr>
            </control>
          </mc:Choice>
        </mc:AlternateContent>
        <mc:AlternateContent xmlns:mc="http://schemas.openxmlformats.org/markup-compatibility/2006">
          <mc:Choice Requires="x14">
            <control shapeId="141323" r:id="rId15" name="Check Box 11">
              <controlPr defaultSize="0" autoFill="0" autoLine="0" autoPict="0">
                <anchor moveWithCells="1">
                  <from>
                    <xdr:col>21</xdr:col>
                    <xdr:colOff>152400</xdr:colOff>
                    <xdr:row>26</xdr:row>
                    <xdr:rowOff>200025</xdr:rowOff>
                  </from>
                  <to>
                    <xdr:col>22</xdr:col>
                    <xdr:colOff>57150</xdr:colOff>
                    <xdr:row>28</xdr:row>
                    <xdr:rowOff>9525</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4AC718-50AC-43FB-A137-78E8F4A475B8}">
  <sheetPr codeName="Sheet6"/>
  <dimension ref="A1:AS203"/>
  <sheetViews>
    <sheetView showGridLines="0" showRowColHeaders="0" zoomScale="85" zoomScaleNormal="85" workbookViewId="0">
      <selection activeCell="C132" sqref="C132:V132"/>
    </sheetView>
  </sheetViews>
  <sheetFormatPr defaultColWidth="0" defaultRowHeight="15" zeroHeight="1"/>
  <cols>
    <col min="1" max="45" width="4.7109375" customWidth="1"/>
    <col min="46" max="16384" width="9.140625" hidden="1"/>
  </cols>
  <sheetData>
    <row r="1" spans="3:44" ht="16.5">
      <c r="AH1" s="686" t="s">
        <v>471</v>
      </c>
      <c r="AI1" s="686"/>
      <c r="AJ1" s="686"/>
      <c r="AK1" s="686"/>
      <c r="AL1" s="687" t="s">
        <v>736</v>
      </c>
      <c r="AM1" s="687"/>
      <c r="AN1" s="687"/>
      <c r="AO1" s="687"/>
      <c r="AP1" s="687"/>
      <c r="AQ1" s="683" t="s">
        <v>474</v>
      </c>
      <c r="AR1" s="683"/>
    </row>
    <row r="2" spans="3:44">
      <c r="AH2" s="688" t="str">
        <f ca="1">INCENSTATUS</f>
        <v>---</v>
      </c>
      <c r="AI2" s="689"/>
      <c r="AJ2" s="689"/>
      <c r="AK2" s="689"/>
      <c r="AL2" s="690" t="str">
        <f ca="1">PROJSTATUS</f>
        <v>Enter Measures</v>
      </c>
      <c r="AM2" s="690"/>
      <c r="AN2" s="690"/>
      <c r="AO2" s="690"/>
      <c r="AP2" s="690"/>
      <c r="AQ2" s="684">
        <f ca="1">PROGRESSSTATUS</f>
        <v>2.8985507246376812E-2</v>
      </c>
      <c r="AR2" s="685"/>
    </row>
    <row r="3" spans="3:44">
      <c r="AH3" s="680"/>
      <c r="AI3" s="681"/>
      <c r="AJ3" s="681"/>
      <c r="AK3" s="681"/>
      <c r="AL3" s="673"/>
      <c r="AM3" s="673"/>
      <c r="AN3" s="673"/>
      <c r="AO3" s="673"/>
      <c r="AP3" s="673"/>
      <c r="AQ3" s="667"/>
      <c r="AR3" s="668"/>
    </row>
    <row r="4" spans="3:44">
      <c r="AR4" s="171"/>
    </row>
    <row r="5" spans="3:44"/>
    <row r="6" spans="3:44"/>
    <row r="7" spans="3:44"/>
    <row r="8" spans="3:44"/>
    <row r="9" spans="3:44"/>
    <row r="10" spans="3:44" ht="20.25">
      <c r="C10" s="59"/>
      <c r="D10" s="59"/>
      <c r="E10" s="59"/>
      <c r="F10" s="691" t="s">
        <v>849</v>
      </c>
      <c r="G10" s="691"/>
      <c r="H10" s="691"/>
      <c r="I10" s="691"/>
      <c r="J10" s="691"/>
      <c r="K10" s="691"/>
      <c r="L10" s="691"/>
      <c r="M10" s="691"/>
      <c r="N10" s="691"/>
      <c r="O10" s="691"/>
      <c r="P10" s="691"/>
      <c r="Q10" s="691"/>
      <c r="R10" s="691"/>
      <c r="S10" s="691"/>
      <c r="T10" s="691"/>
      <c r="U10" s="691"/>
      <c r="V10" s="691"/>
      <c r="W10" s="691"/>
      <c r="X10" s="691"/>
      <c r="Y10" s="691"/>
      <c r="Z10" s="691"/>
      <c r="AA10" s="691"/>
      <c r="AB10" s="691"/>
      <c r="AC10" s="691"/>
      <c r="AD10" s="691"/>
      <c r="AE10" s="691"/>
      <c r="AF10" s="691"/>
      <c r="AG10" s="691"/>
      <c r="AH10" s="691"/>
      <c r="AI10" s="691"/>
      <c r="AJ10" s="691"/>
      <c r="AK10" s="691"/>
      <c r="AL10" s="691"/>
      <c r="AM10" s="691"/>
      <c r="AN10" s="691"/>
      <c r="AO10" s="59"/>
      <c r="AP10" s="59"/>
      <c r="AQ10" s="59"/>
    </row>
    <row r="11" spans="3:44" ht="15" customHeight="1">
      <c r="C11" s="59"/>
      <c r="D11" s="59"/>
      <c r="E11" s="59"/>
      <c r="F11" s="722" t="s">
        <v>867</v>
      </c>
      <c r="G11" s="722"/>
      <c r="H11" s="722"/>
      <c r="I11" s="722"/>
      <c r="J11" s="722"/>
      <c r="K11" s="722"/>
      <c r="L11" s="722"/>
      <c r="M11" s="722"/>
      <c r="N11" s="722"/>
      <c r="O11" s="722"/>
      <c r="P11" s="722"/>
      <c r="Q11" s="722"/>
      <c r="R11" s="722"/>
      <c r="S11" s="722"/>
      <c r="T11" s="722"/>
      <c r="U11" s="722"/>
      <c r="V11" s="722"/>
      <c r="W11" s="722"/>
      <c r="X11" s="722"/>
      <c r="Y11" s="722"/>
      <c r="Z11" s="722"/>
      <c r="AA11" s="722"/>
      <c r="AB11" s="722"/>
      <c r="AC11" s="722"/>
      <c r="AD11" s="722"/>
      <c r="AE11" s="722"/>
      <c r="AF11" s="722"/>
      <c r="AG11" s="722"/>
      <c r="AH11" s="722"/>
      <c r="AI11" s="722"/>
      <c r="AJ11" s="722"/>
      <c r="AK11" s="722"/>
      <c r="AL11" s="722"/>
      <c r="AM11" s="722"/>
      <c r="AN11" s="462"/>
      <c r="AO11" s="59"/>
      <c r="AP11" s="59"/>
      <c r="AQ11" s="59"/>
    </row>
    <row r="12" spans="3:44">
      <c r="C12" s="59"/>
      <c r="D12" s="59"/>
      <c r="E12" s="59"/>
      <c r="F12" s="462"/>
      <c r="G12" s="462"/>
      <c r="H12" s="462"/>
      <c r="I12" s="462"/>
      <c r="J12" s="462"/>
      <c r="K12" s="462"/>
      <c r="L12" s="462"/>
      <c r="M12" s="462"/>
      <c r="N12" s="462"/>
      <c r="O12" s="462"/>
      <c r="P12" s="462"/>
      <c r="Q12" s="462"/>
      <c r="R12" s="462"/>
      <c r="S12" s="462"/>
      <c r="T12" s="462"/>
      <c r="U12" s="462"/>
      <c r="V12" s="462"/>
      <c r="W12" s="462"/>
      <c r="X12" s="462"/>
      <c r="Y12" s="462"/>
      <c r="Z12" s="462"/>
      <c r="AA12" s="462"/>
      <c r="AB12" s="462"/>
      <c r="AC12" s="462"/>
      <c r="AD12" s="462"/>
      <c r="AE12" s="462"/>
      <c r="AF12" s="462"/>
      <c r="AG12" s="462"/>
      <c r="AH12" s="462"/>
      <c r="AI12" s="462"/>
      <c r="AJ12" s="462"/>
      <c r="AK12" s="462"/>
      <c r="AL12" s="462"/>
      <c r="AM12" s="462"/>
      <c r="AN12" s="462"/>
      <c r="AO12" s="59"/>
      <c r="AP12" s="59"/>
      <c r="AQ12" s="59"/>
    </row>
    <row r="13" spans="3:44">
      <c r="F13" s="462"/>
      <c r="G13" s="462"/>
      <c r="H13" s="462"/>
      <c r="I13" s="462"/>
      <c r="J13" s="462"/>
      <c r="K13" s="462"/>
      <c r="L13" s="462"/>
      <c r="M13" s="462"/>
      <c r="N13" s="462"/>
      <c r="O13" s="462"/>
      <c r="P13" s="462"/>
      <c r="Q13" s="462"/>
      <c r="R13" s="462"/>
      <c r="S13" s="462"/>
      <c r="T13" s="462"/>
      <c r="U13" s="462"/>
      <c r="V13" s="462"/>
      <c r="W13" s="462"/>
      <c r="X13" s="462"/>
      <c r="Y13" s="462"/>
      <c r="Z13" s="462"/>
      <c r="AA13" s="462"/>
      <c r="AB13" s="462"/>
      <c r="AC13" s="462"/>
      <c r="AD13" s="462"/>
      <c r="AE13" s="462"/>
      <c r="AF13" s="462"/>
      <c r="AG13" s="462"/>
      <c r="AH13" s="462"/>
      <c r="AI13" s="462"/>
      <c r="AJ13" s="462"/>
      <c r="AK13" s="462"/>
      <c r="AL13" s="462"/>
      <c r="AM13" s="462"/>
      <c r="AN13" s="462"/>
    </row>
    <row r="14" spans="3:44"/>
    <row r="15" spans="3:44"/>
    <row r="16" spans="3:44"/>
    <row r="17"/>
    <row r="18"/>
    <row r="19"/>
    <row r="20"/>
    <row r="21"/>
    <row r="22"/>
    <row r="23"/>
    <row r="24"/>
    <row r="25"/>
    <row r="26"/>
    <row r="27"/>
    <row r="28"/>
    <row r="29"/>
    <row r="30"/>
    <row r="31"/>
    <row r="32"/>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7" spans="3:43"/>
    <row r="118" spans="3:43"/>
    <row r="119" spans="3:43" ht="16.5">
      <c r="F119" s="723" t="s">
        <v>119</v>
      </c>
      <c r="G119" s="723"/>
      <c r="H119" s="723"/>
      <c r="I119" s="723"/>
      <c r="J119" s="723"/>
      <c r="K119" s="723"/>
      <c r="L119" s="723"/>
      <c r="M119" s="723"/>
      <c r="N119" s="723"/>
      <c r="O119" s="723"/>
      <c r="P119" s="723"/>
      <c r="Q119" s="723"/>
      <c r="R119" s="723"/>
      <c r="S119" s="723"/>
      <c r="T119" s="723"/>
      <c r="U119" s="723"/>
      <c r="V119" s="723"/>
      <c r="W119" s="723"/>
      <c r="X119" s="723"/>
      <c r="Y119" s="723"/>
      <c r="Z119" s="723"/>
      <c r="AA119" s="723"/>
      <c r="AB119" s="723"/>
      <c r="AC119" s="723"/>
      <c r="AD119" s="723"/>
      <c r="AE119" s="723"/>
      <c r="AF119" s="723"/>
      <c r="AG119" s="723"/>
      <c r="AH119" s="723"/>
      <c r="AI119" s="723"/>
      <c r="AJ119" s="723"/>
      <c r="AK119" s="723"/>
      <c r="AL119" s="723"/>
      <c r="AM119" s="723"/>
      <c r="AN119" s="723"/>
    </row>
    <row r="120" spans="3:43">
      <c r="C120" s="733" t="s">
        <v>1087</v>
      </c>
      <c r="D120" s="733"/>
      <c r="E120" s="733"/>
      <c r="F120" s="733"/>
      <c r="G120" s="733"/>
      <c r="H120" s="733"/>
      <c r="I120" s="733"/>
      <c r="J120" s="733"/>
      <c r="K120" s="733"/>
      <c r="L120" s="733"/>
      <c r="M120" s="733"/>
      <c r="N120" s="733"/>
      <c r="O120" s="733"/>
      <c r="P120" s="733"/>
      <c r="Q120" s="733"/>
      <c r="R120" s="733"/>
      <c r="S120" s="733"/>
      <c r="T120" s="733"/>
      <c r="U120" s="733"/>
      <c r="V120" s="733"/>
      <c r="W120" s="733"/>
      <c r="X120" s="733"/>
      <c r="Y120" s="733"/>
      <c r="Z120" s="733"/>
      <c r="AA120" s="733"/>
      <c r="AB120" s="733"/>
      <c r="AC120" s="733"/>
      <c r="AD120" s="733"/>
      <c r="AE120" s="733"/>
      <c r="AF120" s="733"/>
      <c r="AG120" s="733"/>
      <c r="AH120" s="733"/>
      <c r="AI120" s="733"/>
      <c r="AJ120" s="733"/>
      <c r="AK120" s="733"/>
      <c r="AL120" s="733"/>
      <c r="AM120" s="733"/>
      <c r="AN120" s="733"/>
      <c r="AO120" s="733"/>
      <c r="AP120" s="733"/>
      <c r="AQ120" s="733"/>
    </row>
    <row r="121" spans="3:43">
      <c r="C121" s="733"/>
      <c r="D121" s="733"/>
      <c r="E121" s="733"/>
      <c r="F121" s="733"/>
      <c r="G121" s="733"/>
      <c r="H121" s="733"/>
      <c r="I121" s="733"/>
      <c r="J121" s="733"/>
      <c r="K121" s="733"/>
      <c r="L121" s="733"/>
      <c r="M121" s="733"/>
      <c r="N121" s="733"/>
      <c r="O121" s="733"/>
      <c r="P121" s="733"/>
      <c r="Q121" s="733"/>
      <c r="R121" s="733"/>
      <c r="S121" s="733"/>
      <c r="T121" s="733"/>
      <c r="U121" s="733"/>
      <c r="V121" s="733"/>
      <c r="W121" s="733"/>
      <c r="X121" s="733"/>
      <c r="Y121" s="733"/>
      <c r="Z121" s="733"/>
      <c r="AA121" s="733"/>
      <c r="AB121" s="733"/>
      <c r="AC121" s="733"/>
      <c r="AD121" s="733"/>
      <c r="AE121" s="733"/>
      <c r="AF121" s="733"/>
      <c r="AG121" s="733"/>
      <c r="AH121" s="733"/>
      <c r="AI121" s="733"/>
      <c r="AJ121" s="733"/>
      <c r="AK121" s="733"/>
      <c r="AL121" s="733"/>
      <c r="AM121" s="733"/>
      <c r="AN121" s="733"/>
      <c r="AO121" s="733"/>
      <c r="AP121" s="733"/>
      <c r="AQ121" s="733"/>
    </row>
    <row r="122" spans="3:43">
      <c r="C122" s="733"/>
      <c r="D122" s="733"/>
      <c r="E122" s="733"/>
      <c r="F122" s="733"/>
      <c r="G122" s="733"/>
      <c r="H122" s="733"/>
      <c r="I122" s="733"/>
      <c r="J122" s="733"/>
      <c r="K122" s="733"/>
      <c r="L122" s="733"/>
      <c r="M122" s="733"/>
      <c r="N122" s="733"/>
      <c r="O122" s="733"/>
      <c r="P122" s="733"/>
      <c r="Q122" s="733"/>
      <c r="R122" s="733"/>
      <c r="S122" s="733"/>
      <c r="T122" s="733"/>
      <c r="U122" s="733"/>
      <c r="V122" s="733"/>
      <c r="W122" s="733"/>
      <c r="X122" s="733"/>
      <c r="Y122" s="733"/>
      <c r="Z122" s="733"/>
      <c r="AA122" s="733"/>
      <c r="AB122" s="733"/>
      <c r="AC122" s="733"/>
      <c r="AD122" s="733"/>
      <c r="AE122" s="733"/>
      <c r="AF122" s="733"/>
      <c r="AG122" s="733"/>
      <c r="AH122" s="733"/>
      <c r="AI122" s="733"/>
      <c r="AJ122" s="733"/>
      <c r="AK122" s="733"/>
      <c r="AL122" s="733"/>
      <c r="AM122" s="733"/>
      <c r="AN122" s="733"/>
      <c r="AO122" s="733"/>
      <c r="AP122" s="733"/>
      <c r="AQ122" s="733"/>
    </row>
    <row r="123" spans="3:43"/>
    <row r="124" spans="3:43"/>
    <row r="125" spans="3:43" ht="16.5">
      <c r="F125" s="723" t="s">
        <v>120</v>
      </c>
      <c r="G125" s="723"/>
      <c r="H125" s="723"/>
      <c r="I125" s="723"/>
      <c r="J125" s="723"/>
      <c r="K125" s="723"/>
      <c r="L125" s="723"/>
      <c r="M125" s="723"/>
      <c r="N125" s="723"/>
      <c r="O125" s="723"/>
      <c r="P125" s="723"/>
      <c r="Q125" s="723"/>
      <c r="R125" s="723"/>
      <c r="S125" s="723"/>
      <c r="T125" s="723"/>
      <c r="U125" s="723"/>
      <c r="V125" s="723"/>
      <c r="W125" s="723"/>
      <c r="X125" s="723"/>
      <c r="Y125" s="723"/>
      <c r="Z125" s="723"/>
      <c r="AA125" s="723"/>
      <c r="AB125" s="723"/>
      <c r="AC125" s="723"/>
      <c r="AD125" s="723"/>
      <c r="AE125" s="723"/>
      <c r="AF125" s="723"/>
      <c r="AG125" s="723"/>
      <c r="AH125" s="723"/>
      <c r="AI125" s="723"/>
      <c r="AJ125" s="723"/>
      <c r="AK125" s="723"/>
      <c r="AL125" s="723"/>
      <c r="AM125" s="723"/>
      <c r="AN125" s="723"/>
    </row>
    <row r="126" spans="3:43">
      <c r="C126" s="732" t="s">
        <v>1088</v>
      </c>
      <c r="D126" s="732"/>
      <c r="E126" s="732"/>
      <c r="F126" s="732"/>
      <c r="G126" s="732"/>
      <c r="H126" s="732"/>
      <c r="I126" s="732"/>
      <c r="J126" s="732"/>
      <c r="K126" s="732"/>
      <c r="L126" s="732"/>
      <c r="M126" s="732"/>
      <c r="N126" s="732"/>
      <c r="O126" s="732"/>
      <c r="P126" s="732"/>
      <c r="Q126" s="732"/>
      <c r="R126" s="732"/>
      <c r="S126" s="732"/>
      <c r="T126" s="732"/>
      <c r="U126" s="732"/>
      <c r="V126" s="732"/>
      <c r="W126" s="732"/>
      <c r="X126" s="732"/>
      <c r="Y126" s="732"/>
      <c r="Z126" s="732"/>
      <c r="AA126" s="732"/>
      <c r="AB126" s="732"/>
      <c r="AC126" s="732"/>
      <c r="AD126" s="732"/>
      <c r="AE126" s="732"/>
      <c r="AF126" s="732"/>
      <c r="AG126" s="732"/>
      <c r="AH126" s="732"/>
      <c r="AI126" s="732"/>
      <c r="AJ126" s="732"/>
      <c r="AK126" s="732"/>
      <c r="AL126" s="732"/>
      <c r="AM126" s="732"/>
      <c r="AN126" s="732"/>
      <c r="AO126" s="732"/>
      <c r="AP126" s="732"/>
      <c r="AQ126" s="732"/>
    </row>
    <row r="127" spans="3:43">
      <c r="C127" s="732"/>
      <c r="D127" s="732"/>
      <c r="E127" s="732"/>
      <c r="F127" s="732"/>
      <c r="G127" s="732"/>
      <c r="H127" s="732"/>
      <c r="I127" s="732"/>
      <c r="J127" s="732"/>
      <c r="K127" s="732"/>
      <c r="L127" s="732"/>
      <c r="M127" s="732"/>
      <c r="N127" s="732"/>
      <c r="O127" s="732"/>
      <c r="P127" s="732"/>
      <c r="Q127" s="732"/>
      <c r="R127" s="732"/>
      <c r="S127" s="732"/>
      <c r="T127" s="732"/>
      <c r="U127" s="732"/>
      <c r="V127" s="732"/>
      <c r="W127" s="732"/>
      <c r="X127" s="732"/>
      <c r="Y127" s="732"/>
      <c r="Z127" s="732"/>
      <c r="AA127" s="732"/>
      <c r="AB127" s="732"/>
      <c r="AC127" s="732"/>
      <c r="AD127" s="732"/>
      <c r="AE127" s="732"/>
      <c r="AF127" s="732"/>
      <c r="AG127" s="732"/>
      <c r="AH127" s="732"/>
      <c r="AI127" s="732"/>
      <c r="AJ127" s="732"/>
      <c r="AK127" s="732"/>
      <c r="AL127" s="732"/>
      <c r="AM127" s="732"/>
      <c r="AN127" s="732"/>
      <c r="AO127" s="732"/>
      <c r="AP127" s="732"/>
      <c r="AQ127" s="732"/>
    </row>
    <row r="128" spans="3:43"/>
    <row r="129" spans="3:43">
      <c r="C129" s="725" t="s">
        <v>738</v>
      </c>
      <c r="D129" s="725"/>
      <c r="E129" s="725"/>
      <c r="F129" s="725"/>
      <c r="G129" s="725"/>
      <c r="H129" s="725"/>
      <c r="I129" s="725"/>
      <c r="J129" s="725"/>
      <c r="K129" s="725"/>
      <c r="L129" s="725"/>
      <c r="M129" s="725"/>
      <c r="N129" s="725"/>
      <c r="O129" s="725"/>
      <c r="P129" s="725"/>
      <c r="Q129" s="725"/>
      <c r="R129" s="725"/>
      <c r="S129" s="725"/>
      <c r="T129" s="725"/>
      <c r="U129" s="725"/>
      <c r="V129" s="725"/>
      <c r="W129" s="725"/>
      <c r="X129" s="725"/>
      <c r="Y129" s="725"/>
      <c r="Z129" s="725"/>
      <c r="AA129" s="725"/>
      <c r="AB129" s="725"/>
      <c r="AC129" s="725"/>
      <c r="AD129" s="725"/>
      <c r="AE129" s="725"/>
      <c r="AF129" s="725"/>
      <c r="AG129" s="725"/>
      <c r="AH129" s="725"/>
      <c r="AI129" s="725"/>
      <c r="AJ129" s="725"/>
      <c r="AK129" s="725"/>
      <c r="AL129" s="725"/>
      <c r="AM129" s="725"/>
      <c r="AN129" s="725"/>
      <c r="AO129" s="725"/>
      <c r="AP129" s="725"/>
      <c r="AQ129" s="725"/>
    </row>
    <row r="130" spans="3:43"/>
    <row r="131" spans="3:43" ht="15.75" thickBot="1">
      <c r="C131" s="724" t="s">
        <v>766</v>
      </c>
      <c r="D131" s="724"/>
      <c r="E131" s="724"/>
      <c r="F131" s="724"/>
      <c r="G131" s="724"/>
      <c r="H131" s="724"/>
      <c r="I131" s="724"/>
      <c r="J131" s="724"/>
      <c r="K131" s="724"/>
      <c r="L131" s="724"/>
      <c r="M131" s="724"/>
      <c r="N131" s="724"/>
      <c r="O131" s="724"/>
      <c r="P131" s="724"/>
      <c r="Q131" s="724"/>
      <c r="R131" s="724"/>
      <c r="S131" s="724"/>
      <c r="T131" s="724"/>
      <c r="U131" s="724"/>
      <c r="V131" s="724"/>
      <c r="X131" s="724" t="s">
        <v>767</v>
      </c>
      <c r="Y131" s="724"/>
      <c r="Z131" s="724"/>
      <c r="AA131" s="724"/>
      <c r="AB131" s="724"/>
      <c r="AC131" s="724"/>
      <c r="AD131" s="724"/>
      <c r="AE131" s="724"/>
      <c r="AF131" s="724"/>
      <c r="AG131" s="724"/>
      <c r="AH131" s="724"/>
      <c r="AI131" s="724"/>
      <c r="AJ131" s="724"/>
      <c r="AL131" s="724" t="s">
        <v>768</v>
      </c>
      <c r="AM131" s="724"/>
      <c r="AN131" s="724"/>
      <c r="AO131" s="724"/>
      <c r="AP131" s="724"/>
      <c r="AQ131" s="724"/>
    </row>
    <row r="132" spans="3:43" ht="15.75" thickBot="1">
      <c r="C132" s="726"/>
      <c r="D132" s="727"/>
      <c r="E132" s="727"/>
      <c r="F132" s="727"/>
      <c r="G132" s="727"/>
      <c r="H132" s="727"/>
      <c r="I132" s="727"/>
      <c r="J132" s="727"/>
      <c r="K132" s="727"/>
      <c r="L132" s="727"/>
      <c r="M132" s="727"/>
      <c r="N132" s="727"/>
      <c r="O132" s="727"/>
      <c r="P132" s="727"/>
      <c r="Q132" s="727"/>
      <c r="R132" s="727"/>
      <c r="S132" s="727"/>
      <c r="T132" s="727"/>
      <c r="U132" s="727"/>
      <c r="V132" s="728"/>
      <c r="X132" s="726"/>
      <c r="Y132" s="727"/>
      <c r="Z132" s="727"/>
      <c r="AA132" s="727"/>
      <c r="AB132" s="727"/>
      <c r="AC132" s="727"/>
      <c r="AD132" s="727"/>
      <c r="AE132" s="727"/>
      <c r="AF132" s="727"/>
      <c r="AG132" s="727"/>
      <c r="AH132" s="727"/>
      <c r="AI132" s="727"/>
      <c r="AJ132" s="728"/>
      <c r="AL132" s="729"/>
      <c r="AM132" s="730"/>
      <c r="AN132" s="730"/>
      <c r="AO132" s="730"/>
      <c r="AP132" s="730"/>
      <c r="AQ132" s="731"/>
    </row>
    <row r="133" spans="3:43">
      <c r="C133" s="461" t="s">
        <v>1534</v>
      </c>
    </row>
    <row r="134" spans="3:43"/>
    <row r="135" spans="3:43" ht="18">
      <c r="F135" s="735" t="s">
        <v>2110</v>
      </c>
      <c r="G135" s="735"/>
      <c r="H135" s="735"/>
      <c r="I135" s="735"/>
      <c r="J135" s="735"/>
      <c r="K135" s="735"/>
      <c r="L135" s="735"/>
      <c r="M135" s="735"/>
      <c r="N135" s="735"/>
      <c r="O135" s="735"/>
      <c r="P135" s="735"/>
      <c r="Q135" s="735"/>
      <c r="R135" s="735"/>
      <c r="S135" s="735"/>
      <c r="T135" s="735"/>
      <c r="U135" s="735"/>
      <c r="V135" s="735"/>
      <c r="W135" s="735"/>
      <c r="X135" s="735"/>
      <c r="Y135" s="735"/>
      <c r="Z135" s="735"/>
      <c r="AA135" s="735"/>
      <c r="AB135" s="735"/>
      <c r="AC135" s="735"/>
      <c r="AD135" s="735"/>
      <c r="AE135" s="735"/>
      <c r="AF135" s="735"/>
      <c r="AG135" s="735"/>
      <c r="AH135" s="735"/>
      <c r="AI135" s="735"/>
      <c r="AJ135" s="735"/>
      <c r="AK135" s="735"/>
      <c r="AL135" s="735"/>
      <c r="AM135" s="735"/>
      <c r="AN135" s="735"/>
    </row>
    <row r="136" spans="3:43" ht="18">
      <c r="C136" s="734" t="s">
        <v>2111</v>
      </c>
      <c r="D136" s="734"/>
      <c r="E136" s="734"/>
      <c r="F136" s="734"/>
      <c r="G136" s="734"/>
      <c r="H136" s="734"/>
      <c r="I136" s="734"/>
      <c r="J136" s="734"/>
      <c r="K136" s="734"/>
      <c r="L136" s="734"/>
      <c r="M136" s="734"/>
      <c r="N136" s="734"/>
      <c r="O136" s="734"/>
      <c r="P136" s="734"/>
      <c r="Q136" s="734"/>
      <c r="R136" s="734"/>
      <c r="S136" s="734"/>
      <c r="T136" s="734"/>
      <c r="U136" s="734"/>
      <c r="V136" s="734"/>
      <c r="W136" s="734"/>
      <c r="X136" s="734"/>
      <c r="Y136" s="734"/>
      <c r="Z136" s="734"/>
      <c r="AA136" s="734"/>
      <c r="AB136" s="734"/>
      <c r="AC136" s="734"/>
      <c r="AD136" s="734"/>
      <c r="AE136" s="734"/>
      <c r="AF136" s="734"/>
      <c r="AG136" s="734"/>
      <c r="AH136" s="734"/>
      <c r="AI136" s="734"/>
      <c r="AJ136" s="734"/>
      <c r="AK136" s="734"/>
      <c r="AL136" s="734"/>
      <c r="AM136" s="734"/>
      <c r="AN136" s="734"/>
      <c r="AO136" s="734"/>
      <c r="AP136" s="734"/>
      <c r="AQ136" s="734"/>
    </row>
    <row r="137" spans="3:43" ht="18">
      <c r="C137" s="736" t="str">
        <f>IF(M05S02F06="Yes","Please note any project containing custom measures or with a total incentive greater than or equal to $10,000 requires pre-approval","")</f>
        <v/>
      </c>
      <c r="D137" s="736"/>
      <c r="E137" s="736"/>
      <c r="F137" s="736"/>
      <c r="G137" s="736"/>
      <c r="H137" s="736"/>
      <c r="I137" s="736"/>
      <c r="J137" s="736"/>
      <c r="K137" s="736" t="str">
        <f>IF(M05S02F06="Yes","Prescriptive measures over $10,000 and all custom measures require pre-approval.","")</f>
        <v/>
      </c>
      <c r="L137" s="736"/>
      <c r="M137" s="736"/>
      <c r="N137" s="736"/>
      <c r="O137" s="736"/>
      <c r="P137" s="736"/>
      <c r="Q137" s="736"/>
      <c r="R137" s="736"/>
      <c r="S137" s="736"/>
      <c r="T137" s="736"/>
      <c r="U137" s="736"/>
      <c r="V137" s="736"/>
      <c r="W137" s="736"/>
      <c r="X137" s="736"/>
      <c r="Y137" s="736"/>
      <c r="Z137" s="736"/>
      <c r="AA137" s="736"/>
      <c r="AB137" s="736"/>
      <c r="AC137" s="736"/>
      <c r="AD137" s="736"/>
      <c r="AE137" s="736"/>
      <c r="AF137" s="736"/>
      <c r="AG137" s="736"/>
      <c r="AH137" s="736"/>
      <c r="AI137" s="736"/>
      <c r="AJ137" s="736"/>
      <c r="AK137" s="736"/>
      <c r="AL137" s="736"/>
      <c r="AM137" s="736"/>
      <c r="AN137" s="736"/>
      <c r="AO137" s="736"/>
      <c r="AP137" s="736"/>
      <c r="AQ137" s="736"/>
    </row>
    <row r="138" spans="3:43" ht="19.5" thickBot="1">
      <c r="C138" s="10"/>
      <c r="D138" s="571"/>
      <c r="E138" s="571"/>
      <c r="F138" s="571"/>
      <c r="G138" s="571"/>
      <c r="H138" s="571"/>
      <c r="I138" s="571"/>
      <c r="J138" s="571"/>
      <c r="K138" s="572" t="s">
        <v>2112</v>
      </c>
      <c r="L138" s="572"/>
      <c r="M138" s="572"/>
      <c r="N138" s="572"/>
      <c r="O138" s="572"/>
      <c r="P138" s="572"/>
      <c r="AC138" s="572" t="s">
        <v>2113</v>
      </c>
      <c r="AD138" s="572"/>
      <c r="AE138" s="572"/>
      <c r="AF138" s="572"/>
      <c r="AG138" s="572"/>
      <c r="AH138" s="572"/>
      <c r="AL138" s="571"/>
      <c r="AM138" s="571"/>
      <c r="AN138" s="571"/>
      <c r="AO138" s="571"/>
      <c r="AP138" s="571"/>
      <c r="AQ138" s="573"/>
    </row>
    <row r="139" spans="3:43" ht="19.5" thickBot="1">
      <c r="C139" s="10"/>
      <c r="D139" s="571"/>
      <c r="E139" s="571"/>
      <c r="F139" s="571"/>
      <c r="G139" s="571"/>
      <c r="H139" s="571"/>
      <c r="I139" s="571"/>
      <c r="J139" s="571"/>
      <c r="K139" s="729"/>
      <c r="L139" s="730"/>
      <c r="M139" s="730"/>
      <c r="N139" s="730"/>
      <c r="O139" s="730"/>
      <c r="P139" s="731"/>
      <c r="AC139" s="729"/>
      <c r="AD139" s="730"/>
      <c r="AE139" s="730"/>
      <c r="AF139" s="730"/>
      <c r="AG139" s="730"/>
      <c r="AH139" s="731"/>
      <c r="AL139" s="571"/>
      <c r="AM139" s="571"/>
      <c r="AN139" s="571"/>
      <c r="AO139" s="571"/>
      <c r="AP139" s="571"/>
      <c r="AQ139" s="573"/>
    </row>
    <row r="140" spans="3:43"/>
    <row r="200" spans="2:44">
      <c r="B200" s="272" t="str">
        <f>FOOT1</f>
        <v>NIPSCO Energy Efficiency Program</v>
      </c>
      <c r="C200" s="272"/>
      <c r="D200" s="272"/>
      <c r="E200" s="272"/>
      <c r="F200" s="272"/>
      <c r="G200" s="272"/>
      <c r="H200" s="272"/>
      <c r="I200" s="272"/>
      <c r="J200" s="272"/>
      <c r="K200" s="272"/>
      <c r="L200" s="272"/>
      <c r="M200" s="661" t="str">
        <f>FOOT4</f>
        <v>NIPSCO’s energy efficiency programs are administered by TRC, a third‐party implementation specialist that helps homes and businesses save energy.</v>
      </c>
      <c r="N200" s="661"/>
      <c r="O200" s="661"/>
      <c r="P200" s="661"/>
      <c r="Q200" s="661"/>
      <c r="R200" s="661"/>
      <c r="S200" s="661"/>
      <c r="T200" s="661"/>
      <c r="U200" s="661"/>
      <c r="V200" s="661"/>
      <c r="W200" s="661"/>
      <c r="X200" s="661"/>
      <c r="Y200" s="661"/>
      <c r="Z200" s="661"/>
      <c r="AA200" s="661"/>
      <c r="AB200" s="661"/>
      <c r="AC200" s="661"/>
      <c r="AD200" s="661"/>
      <c r="AE200" s="661"/>
      <c r="AF200" s="661"/>
      <c r="AG200" s="661"/>
      <c r="AH200" s="272"/>
      <c r="AI200" s="272"/>
      <c r="AJ200" s="272"/>
      <c r="AK200" s="272"/>
      <c r="AL200" s="272"/>
      <c r="AM200" s="272"/>
      <c r="AN200" s="272"/>
      <c r="AO200" s="272"/>
      <c r="AP200" s="272"/>
      <c r="AQ200" s="272"/>
      <c r="AR200" s="273" t="str">
        <f>FOOTDISCLAIM</f>
        <v/>
      </c>
    </row>
    <row r="201" spans="2:44">
      <c r="B201" s="272" t="str">
        <f>FOOT2</f>
        <v>Toll-Free 800-299-2501</v>
      </c>
      <c r="C201" s="272"/>
      <c r="D201" s="272"/>
      <c r="E201" s="272"/>
      <c r="F201" s="272"/>
      <c r="G201" s="272"/>
      <c r="H201" s="272"/>
      <c r="I201" s="272"/>
      <c r="J201" s="272"/>
      <c r="K201" s="272"/>
      <c r="L201" s="272"/>
      <c r="M201" s="661"/>
      <c r="N201" s="661"/>
      <c r="O201" s="661"/>
      <c r="P201" s="661"/>
      <c r="Q201" s="661"/>
      <c r="R201" s="661"/>
      <c r="S201" s="661"/>
      <c r="T201" s="661"/>
      <c r="U201" s="661"/>
      <c r="V201" s="661"/>
      <c r="W201" s="661"/>
      <c r="X201" s="661"/>
      <c r="Y201" s="661"/>
      <c r="Z201" s="661"/>
      <c r="AA201" s="661"/>
      <c r="AB201" s="661"/>
      <c r="AC201" s="661"/>
      <c r="AD201" s="661"/>
      <c r="AE201" s="661"/>
      <c r="AF201" s="661"/>
      <c r="AG201" s="661"/>
      <c r="AH201" s="272"/>
      <c r="AI201" s="272"/>
      <c r="AJ201" s="272"/>
      <c r="AK201" s="272"/>
      <c r="AL201" s="272"/>
      <c r="AM201" s="272"/>
      <c r="AN201" s="272"/>
      <c r="AO201" s="272"/>
      <c r="AP201" s="272"/>
      <c r="AQ201" s="272"/>
      <c r="AR201" s="273" t="str">
        <f>FOOT5</f>
        <v/>
      </c>
    </row>
    <row r="202" spans="2:44">
      <c r="B202" s="281" t="s">
        <v>1547</v>
      </c>
      <c r="C202" s="272"/>
      <c r="D202" s="272"/>
      <c r="E202" s="272"/>
      <c r="F202" s="272"/>
      <c r="G202" s="272"/>
      <c r="H202" s="272"/>
      <c r="I202" s="272"/>
      <c r="J202" s="272"/>
      <c r="K202" s="272"/>
      <c r="L202" s="272"/>
      <c r="M202" s="274"/>
      <c r="N202" s="272"/>
      <c r="O202" s="272"/>
      <c r="P202" s="274"/>
      <c r="Q202" s="274"/>
      <c r="R202" s="274"/>
      <c r="S202" s="274"/>
      <c r="T202" s="274"/>
      <c r="U202" s="274"/>
      <c r="V202" s="274"/>
      <c r="W202" s="275" t="str">
        <f>VERSION</f>
        <v>Custom Prescriptive Application v3.7.1</v>
      </c>
      <c r="X202" s="274"/>
      <c r="Y202" s="274"/>
      <c r="Z202" s="274"/>
      <c r="AA202" s="274"/>
      <c r="AB202" s="274"/>
      <c r="AC202" s="274"/>
      <c r="AD202" s="274"/>
      <c r="AE202" s="272"/>
      <c r="AF202" s="272"/>
      <c r="AG202" s="272"/>
      <c r="AH202" s="272"/>
      <c r="AI202" s="272"/>
      <c r="AJ202" s="272"/>
      <c r="AK202" s="272"/>
      <c r="AL202" s="272"/>
      <c r="AM202" s="272"/>
      <c r="AN202" s="272"/>
      <c r="AO202" s="272"/>
      <c r="AP202" s="272"/>
      <c r="AQ202" s="272"/>
      <c r="AR202" s="273" t="str">
        <f>FOOT6</f>
        <v>Product of TRC</v>
      </c>
    </row>
    <row r="203" spans="2:44"/>
  </sheetData>
  <sheetProtection algorithmName="SHA-512" hashValue="mjuho0nOFnXd4Ltb7DQg71ES+AJqATX90+BkFP5izd4peb8Adsibw49km9P11nxHPP2hfzAm3cO552oKzanzlQ==" saltValue="CORlOfk0GLfWetfs4Y6Ukw==" spinCount="100000" sheet="1" objects="1" scenarios="1" selectLockedCells="1"/>
  <dataConsolidate/>
  <mergeCells count="25">
    <mergeCell ref="C136:AQ136"/>
    <mergeCell ref="K139:P139"/>
    <mergeCell ref="AC139:AH139"/>
    <mergeCell ref="AQ1:AR1"/>
    <mergeCell ref="AH2:AK3"/>
    <mergeCell ref="AL2:AP3"/>
    <mergeCell ref="AQ2:AR3"/>
    <mergeCell ref="F135:AN135"/>
    <mergeCell ref="C137:AQ137"/>
    <mergeCell ref="M200:AG201"/>
    <mergeCell ref="F10:AN10"/>
    <mergeCell ref="F11:AM11"/>
    <mergeCell ref="AH1:AK1"/>
    <mergeCell ref="AL1:AP1"/>
    <mergeCell ref="F119:AN119"/>
    <mergeCell ref="C131:V131"/>
    <mergeCell ref="X131:AJ131"/>
    <mergeCell ref="C129:AQ129"/>
    <mergeCell ref="AL131:AQ131"/>
    <mergeCell ref="X132:AJ132"/>
    <mergeCell ref="AL132:AQ132"/>
    <mergeCell ref="F125:AN125"/>
    <mergeCell ref="C126:AQ127"/>
    <mergeCell ref="C120:AQ122"/>
    <mergeCell ref="C132:V132"/>
  </mergeCells>
  <conditionalFormatting sqref="AC139:AH139">
    <cfRule type="expression" dxfId="264" priority="1">
      <formula>$K$139&lt;&gt;"NO"</formula>
    </cfRule>
  </conditionalFormatting>
  <conditionalFormatting sqref="AH2 AL2">
    <cfRule type="expression" dxfId="263" priority="2">
      <formula>PROJSTATUS=PROJSTATELI</formula>
    </cfRule>
    <cfRule type="expression" dxfId="262" priority="3">
      <formula>PROJSTATUS=PROJSTATREVIEW</formula>
    </cfRule>
    <cfRule type="expression" dxfId="261" priority="7">
      <formula>PROJSTATUS=PROJSTATPREAPPROVE</formula>
    </cfRule>
    <cfRule type="expression" dxfId="260" priority="8">
      <formula>PROJSTATUS=PROJSTATSTANDARD</formula>
    </cfRule>
    <cfRule type="expression" dxfId="259" priority="9">
      <formula>PROJSTATUS=PROJSTATEXP</formula>
    </cfRule>
  </conditionalFormatting>
  <conditionalFormatting sqref="AQ2:AR3">
    <cfRule type="cellIs" dxfId="258" priority="4" operator="equal">
      <formula>1</formula>
    </cfRule>
    <cfRule type="cellIs" dxfId="257" priority="5" operator="between">
      <formula>0.51</formula>
      <formula>0.99</formula>
    </cfRule>
    <cfRule type="cellIs" dxfId="256" priority="6" operator="lessThanOrEqual">
      <formula>0.5</formula>
    </cfRule>
  </conditionalFormatting>
  <dataValidations count="2">
    <dataValidation allowBlank="1" showInputMessage="1" showErrorMessage="1" prompt="The authorized representative is an individual that has the legal accountability for the site associated with the NIPSCO account provided either through ownership, positional, or written authority from the company." sqref="C132:V132" xr:uid="{00000000-0002-0000-0F00-000001000000}"/>
    <dataValidation type="date" allowBlank="1" showInputMessage="1" showErrorMessage="1" error="Please enter a valid date in the format specified." prompt="Please leave blank if equipment is already installed or purchased." sqref="AC139:AH139" xr:uid="{534735EE-2246-4E7E-A179-0BADCAB722C2}">
      <formula1>44562</formula1>
      <formula2>46387</formula2>
    </dataValidation>
  </dataValidations>
  <hyperlinks>
    <hyperlink ref="B202" r:id="rId1" xr:uid="{42EB2674-7F9B-4205-9A99-0C8DFCD477B3}"/>
  </hyperlinks>
  <pageMargins left="0.7" right="0.7" top="0.75" bottom="0.75" header="0.3" footer="0.3"/>
  <pageSetup orientation="portrait" r:id="rId2"/>
  <drawing r:id="rId3"/>
  <extLst>
    <ext xmlns:x14="http://schemas.microsoft.com/office/spreadsheetml/2009/9/main" uri="{CCE6A557-97BC-4b89-ADB6-D9C93CAAB3DF}">
      <x14:dataValidations xmlns:xm="http://schemas.microsoft.com/office/excel/2006/main" count="1">
        <x14:dataValidation type="list" allowBlank="1" showInputMessage="1" showErrorMessage="1" prompt="If equipment is already installed or purchased, ignore completion date field.  Otherwise, please complete both fields." xr:uid="{1E3B8ACF-36A5-44FD-BA19-5A8DFEE52AEB}">
          <x14:formula1>
            <xm:f>'DATA TABLES'!$A$105:$A$106</xm:f>
          </x14:formula1>
          <xm:sqref>K139:P139</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pageSetUpPr fitToPage="1"/>
  </sheetPr>
  <dimension ref="A1:AS202"/>
  <sheetViews>
    <sheetView showGridLines="0" showRowColHeaders="0" zoomScale="85" zoomScaleNormal="85" workbookViewId="0">
      <selection activeCell="C15" sqref="C15:H15"/>
    </sheetView>
  </sheetViews>
  <sheetFormatPr defaultColWidth="0" defaultRowHeight="15" customHeight="1" zeroHeight="1"/>
  <cols>
    <col min="1" max="45" width="4.7109375" customWidth="1"/>
    <col min="46" max="78" width="9.140625" hidden="1" customWidth="1"/>
    <col min="79" max="16384" width="9.140625" hidden="1"/>
  </cols>
  <sheetData>
    <row r="1" spans="3:44" ht="15.95" customHeight="1">
      <c r="AH1" s="686" t="s">
        <v>471</v>
      </c>
      <c r="AI1" s="686"/>
      <c r="AJ1" s="686"/>
      <c r="AK1" s="686"/>
      <c r="AL1" s="687" t="s">
        <v>736</v>
      </c>
      <c r="AM1" s="687"/>
      <c r="AN1" s="687"/>
      <c r="AO1" s="687"/>
      <c r="AP1" s="687"/>
      <c r="AQ1" s="683" t="s">
        <v>474</v>
      </c>
      <c r="AR1" s="683"/>
    </row>
    <row r="2" spans="3:44" ht="15.95" customHeight="1">
      <c r="AH2" s="688" t="str">
        <f ca="1">INCENSTATUS</f>
        <v>---</v>
      </c>
      <c r="AI2" s="689"/>
      <c r="AJ2" s="689"/>
      <c r="AK2" s="689"/>
      <c r="AL2" s="690" t="str">
        <f ca="1">PROJSTATUS</f>
        <v>Enter Measures</v>
      </c>
      <c r="AM2" s="690"/>
      <c r="AN2" s="690"/>
      <c r="AO2" s="690"/>
      <c r="AP2" s="690"/>
      <c r="AQ2" s="684">
        <f ca="1">PROGRESSSTATUS</f>
        <v>2.8985507246376812E-2</v>
      </c>
      <c r="AR2" s="685"/>
    </row>
    <row r="3" spans="3:44" ht="15.95" customHeight="1">
      <c r="AH3" s="680"/>
      <c r="AI3" s="681"/>
      <c r="AJ3" s="681"/>
      <c r="AK3" s="681"/>
      <c r="AL3" s="673"/>
      <c r="AM3" s="673"/>
      <c r="AN3" s="673"/>
      <c r="AO3" s="673"/>
      <c r="AP3" s="673"/>
      <c r="AQ3" s="667"/>
      <c r="AR3" s="668"/>
    </row>
    <row r="4" spans="3:44" ht="15.95" customHeight="1">
      <c r="AR4" s="171"/>
    </row>
    <row r="5" spans="3:44" ht="15.95" customHeight="1"/>
    <row r="6" spans="3:44" ht="15.95" customHeight="1"/>
    <row r="7" spans="3:44" ht="15.95" customHeight="1"/>
    <row r="8" spans="3:44" ht="15.95" customHeight="1"/>
    <row r="9" spans="3:44" ht="15.95" customHeight="1"/>
    <row r="10" spans="3:44" ht="15.95" customHeight="1">
      <c r="C10" s="59"/>
      <c r="D10" s="59"/>
      <c r="E10" s="59"/>
      <c r="F10" s="691" t="s">
        <v>795</v>
      </c>
      <c r="G10" s="691"/>
      <c r="H10" s="691"/>
      <c r="I10" s="691"/>
      <c r="J10" s="691"/>
      <c r="K10" s="691"/>
      <c r="L10" s="691"/>
      <c r="M10" s="691"/>
      <c r="N10" s="691"/>
      <c r="O10" s="691"/>
      <c r="P10" s="691"/>
      <c r="Q10" s="691"/>
      <c r="R10" s="691"/>
      <c r="S10" s="691"/>
      <c r="T10" s="691"/>
      <c r="U10" s="691"/>
      <c r="V10" s="691"/>
      <c r="W10" s="691"/>
      <c r="X10" s="691"/>
      <c r="Y10" s="691"/>
      <c r="Z10" s="691"/>
      <c r="AA10" s="691"/>
      <c r="AB10" s="691"/>
      <c r="AC10" s="691"/>
      <c r="AD10" s="691"/>
      <c r="AE10" s="691"/>
      <c r="AF10" s="691"/>
      <c r="AG10" s="691"/>
      <c r="AH10" s="691"/>
      <c r="AI10" s="691"/>
      <c r="AJ10" s="691"/>
      <c r="AK10" s="691"/>
      <c r="AL10" s="691"/>
      <c r="AM10" s="691"/>
      <c r="AN10" s="691"/>
      <c r="AO10" s="59"/>
      <c r="AP10" s="59"/>
      <c r="AQ10" s="59"/>
    </row>
    <row r="11" spans="3:44" ht="15.95" customHeight="1">
      <c r="C11" s="59"/>
      <c r="D11" s="59"/>
      <c r="E11" s="59"/>
      <c r="F11" s="740" t="s">
        <v>450</v>
      </c>
      <c r="G11" s="740"/>
      <c r="H11" s="740"/>
      <c r="I11" s="740"/>
      <c r="J11" s="740"/>
      <c r="K11" s="740"/>
      <c r="L11" s="740"/>
      <c r="M11" s="740"/>
      <c r="N11" s="740"/>
      <c r="O11" s="740"/>
      <c r="P11" s="740"/>
      <c r="Q11" s="740"/>
      <c r="R11" s="740"/>
      <c r="S11" s="740"/>
      <c r="T11" s="740"/>
      <c r="U11" s="740"/>
      <c r="V11" s="740"/>
      <c r="W11" s="740"/>
      <c r="X11" s="740"/>
      <c r="Y11" s="740"/>
      <c r="Z11" s="740"/>
      <c r="AA11" s="740"/>
      <c r="AB11" s="740"/>
      <c r="AC11" s="740"/>
      <c r="AD11" s="740"/>
      <c r="AE11" s="740"/>
      <c r="AF11" s="740"/>
      <c r="AG11" s="740"/>
      <c r="AH11" s="740"/>
      <c r="AI11" s="740"/>
      <c r="AJ11" s="740"/>
      <c r="AK11" s="740"/>
      <c r="AL11" s="740"/>
      <c r="AM11" s="740"/>
      <c r="AN11" s="740"/>
      <c r="AO11" s="59"/>
      <c r="AP11" s="59"/>
      <c r="AQ11" s="59"/>
    </row>
    <row r="12" spans="3:44" ht="15.95" customHeight="1">
      <c r="C12" s="59"/>
      <c r="D12" s="59"/>
      <c r="E12" s="59"/>
      <c r="F12" s="740"/>
      <c r="G12" s="740"/>
      <c r="H12" s="740"/>
      <c r="I12" s="740"/>
      <c r="J12" s="740"/>
      <c r="K12" s="740"/>
      <c r="L12" s="740"/>
      <c r="M12" s="740"/>
      <c r="N12" s="740"/>
      <c r="O12" s="740"/>
      <c r="P12" s="740"/>
      <c r="Q12" s="740"/>
      <c r="R12" s="740"/>
      <c r="S12" s="740"/>
      <c r="T12" s="740"/>
      <c r="U12" s="740"/>
      <c r="V12" s="740"/>
      <c r="W12" s="740"/>
      <c r="X12" s="740"/>
      <c r="Y12" s="740"/>
      <c r="Z12" s="740"/>
      <c r="AA12" s="740"/>
      <c r="AB12" s="740"/>
      <c r="AC12" s="740"/>
      <c r="AD12" s="740"/>
      <c r="AE12" s="740"/>
      <c r="AF12" s="740"/>
      <c r="AG12" s="740"/>
      <c r="AH12" s="740"/>
      <c r="AI12" s="740"/>
      <c r="AJ12" s="740"/>
      <c r="AK12" s="740"/>
      <c r="AL12" s="740"/>
      <c r="AM12" s="740"/>
      <c r="AN12" s="740"/>
      <c r="AO12" s="59"/>
      <c r="AP12" s="59"/>
      <c r="AQ12" s="59"/>
    </row>
    <row r="13" spans="3:44" ht="15.95" customHeight="1">
      <c r="C13" s="59"/>
      <c r="D13" s="59"/>
      <c r="E13" s="59"/>
      <c r="F13" s="60"/>
      <c r="G13" s="60"/>
      <c r="H13" s="60"/>
      <c r="I13" s="60"/>
      <c r="J13" s="60"/>
      <c r="K13" s="60"/>
      <c r="L13" s="60"/>
      <c r="M13" s="60"/>
      <c r="N13" s="60"/>
      <c r="O13" s="60"/>
      <c r="P13" s="60"/>
      <c r="Q13" s="60"/>
      <c r="R13" s="60"/>
      <c r="S13" s="60"/>
      <c r="T13" s="60"/>
      <c r="U13" s="60"/>
      <c r="V13" s="60"/>
      <c r="W13" s="60"/>
      <c r="X13" s="60"/>
      <c r="Y13" s="60"/>
      <c r="Z13" s="60"/>
      <c r="AA13" s="60"/>
      <c r="AB13" s="60"/>
      <c r="AC13" s="60"/>
      <c r="AD13" s="60"/>
      <c r="AE13" s="60"/>
      <c r="AF13" s="60"/>
      <c r="AG13" s="60"/>
      <c r="AH13" s="60"/>
      <c r="AI13" s="60"/>
      <c r="AJ13" s="60"/>
      <c r="AK13" s="60"/>
      <c r="AL13" s="60"/>
      <c r="AM13" s="60"/>
      <c r="AN13" s="60"/>
      <c r="AO13" s="59"/>
      <c r="AP13" s="59"/>
      <c r="AQ13" s="59"/>
    </row>
    <row r="14" spans="3:44" ht="15.95" customHeight="1" thickBot="1">
      <c r="C14" s="724" t="s">
        <v>739</v>
      </c>
      <c r="D14" s="724"/>
      <c r="E14" s="724"/>
      <c r="F14" s="724"/>
      <c r="G14" s="724"/>
      <c r="H14" s="724"/>
      <c r="I14" s="61"/>
      <c r="J14" s="724" t="s">
        <v>740</v>
      </c>
      <c r="K14" s="724"/>
      <c r="L14" s="724"/>
      <c r="M14" s="724"/>
      <c r="N14" s="724"/>
      <c r="O14" s="724"/>
      <c r="P14" s="61"/>
      <c r="Q14" s="724" t="s">
        <v>741</v>
      </c>
      <c r="R14" s="724"/>
      <c r="S14" s="724"/>
      <c r="T14" s="724"/>
      <c r="U14" s="724"/>
      <c r="V14" s="724"/>
      <c r="W14" s="61"/>
      <c r="X14" s="724" t="s">
        <v>742</v>
      </c>
      <c r="Y14" s="724"/>
      <c r="Z14" s="724"/>
      <c r="AA14" s="724"/>
      <c r="AB14" s="724"/>
      <c r="AC14" s="724"/>
      <c r="AD14" s="61"/>
      <c r="AE14" s="724" t="s">
        <v>743</v>
      </c>
      <c r="AF14" s="724"/>
      <c r="AG14" s="724"/>
      <c r="AH14" s="724"/>
      <c r="AI14" s="724"/>
      <c r="AJ14" s="724"/>
      <c r="AK14" s="61"/>
      <c r="AL14" s="724" t="s">
        <v>80</v>
      </c>
      <c r="AM14" s="724"/>
      <c r="AN14" s="724"/>
      <c r="AO14" s="724"/>
      <c r="AP14" s="724"/>
      <c r="AQ14" s="724"/>
    </row>
    <row r="15" spans="3:44" ht="15.95" customHeight="1" thickBot="1">
      <c r="C15" s="726"/>
      <c r="D15" s="727"/>
      <c r="E15" s="727"/>
      <c r="F15" s="727"/>
      <c r="G15" s="727"/>
      <c r="H15" s="728"/>
      <c r="I15" s="61"/>
      <c r="J15" s="726"/>
      <c r="K15" s="727"/>
      <c r="L15" s="727"/>
      <c r="M15" s="727"/>
      <c r="N15" s="727"/>
      <c r="O15" s="728"/>
      <c r="P15" s="61"/>
      <c r="Q15" s="726"/>
      <c r="R15" s="727"/>
      <c r="S15" s="727"/>
      <c r="T15" s="727"/>
      <c r="U15" s="727"/>
      <c r="V15" s="728"/>
      <c r="W15" s="61"/>
      <c r="X15" s="726"/>
      <c r="Y15" s="727"/>
      <c r="Z15" s="727"/>
      <c r="AA15" s="727"/>
      <c r="AB15" s="727"/>
      <c r="AC15" s="728"/>
      <c r="AD15" s="61"/>
      <c r="AE15" s="737"/>
      <c r="AF15" s="738"/>
      <c r="AG15" s="738"/>
      <c r="AH15" s="738"/>
      <c r="AI15" s="738"/>
      <c r="AJ15" s="739"/>
      <c r="AK15" s="61"/>
      <c r="AL15" s="737"/>
      <c r="AM15" s="738"/>
      <c r="AN15" s="738"/>
      <c r="AO15" s="738"/>
      <c r="AP15" s="738"/>
      <c r="AQ15" s="739"/>
    </row>
    <row r="16" spans="3:44" ht="15.95" customHeight="1">
      <c r="C16" s="61"/>
      <c r="D16" s="61"/>
      <c r="E16" s="61"/>
      <c r="F16" s="61"/>
      <c r="G16" s="61"/>
      <c r="H16" s="61"/>
      <c r="I16" s="61"/>
      <c r="J16" s="61"/>
      <c r="K16" s="61"/>
      <c r="L16" s="61"/>
      <c r="M16" s="61"/>
      <c r="N16" s="61"/>
      <c r="O16" s="61"/>
      <c r="P16" s="61"/>
      <c r="Q16" s="61"/>
      <c r="R16" s="61"/>
      <c r="S16" s="61"/>
      <c r="T16" s="61"/>
      <c r="U16" s="61"/>
      <c r="V16" s="61"/>
      <c r="W16" s="61"/>
      <c r="X16" s="61"/>
      <c r="Y16" s="61"/>
      <c r="Z16" s="61"/>
      <c r="AA16" s="61"/>
      <c r="AB16" s="61"/>
      <c r="AC16" s="61"/>
      <c r="AD16" s="61"/>
      <c r="AE16" s="61"/>
      <c r="AF16" s="61"/>
      <c r="AG16" s="61"/>
      <c r="AH16" s="61"/>
      <c r="AI16" s="61"/>
      <c r="AJ16" s="61"/>
      <c r="AK16" s="61"/>
      <c r="AL16" s="748" t="s">
        <v>1089</v>
      </c>
      <c r="AM16" s="748"/>
      <c r="AN16" s="748"/>
      <c r="AO16" s="748"/>
      <c r="AP16" s="748"/>
      <c r="AQ16" s="748"/>
    </row>
    <row r="17" spans="3:43" ht="15.95" customHeight="1" thickBot="1">
      <c r="C17" s="724" t="s">
        <v>744</v>
      </c>
      <c r="D17" s="724"/>
      <c r="E17" s="724"/>
      <c r="F17" s="724"/>
      <c r="G17" s="724"/>
      <c r="H17" s="724"/>
      <c r="I17" s="61"/>
      <c r="J17" s="724" t="s">
        <v>745</v>
      </c>
      <c r="K17" s="724"/>
      <c r="L17" s="724"/>
      <c r="M17" s="724"/>
      <c r="N17" s="724"/>
      <c r="O17" s="724"/>
      <c r="P17" s="61"/>
      <c r="Q17" s="724" t="s">
        <v>746</v>
      </c>
      <c r="R17" s="724"/>
      <c r="S17" s="724"/>
      <c r="T17" s="724"/>
      <c r="U17" s="724"/>
      <c r="V17" s="724"/>
      <c r="W17" s="61"/>
      <c r="X17" s="724" t="s">
        <v>747</v>
      </c>
      <c r="Y17" s="724"/>
      <c r="Z17" s="724"/>
      <c r="AA17" s="724"/>
      <c r="AB17" s="724"/>
      <c r="AC17" s="724"/>
      <c r="AD17" s="61"/>
      <c r="AE17" s="724" t="s">
        <v>748</v>
      </c>
      <c r="AF17" s="724"/>
      <c r="AG17" s="724"/>
      <c r="AH17" s="724"/>
      <c r="AI17" s="724"/>
      <c r="AJ17" s="724"/>
      <c r="AK17" s="61"/>
      <c r="AL17" s="749"/>
      <c r="AM17" s="749"/>
      <c r="AN17" s="749"/>
      <c r="AO17" s="749"/>
      <c r="AP17" s="749"/>
      <c r="AQ17" s="749"/>
    </row>
    <row r="18" spans="3:43" ht="15.95" customHeight="1" thickBot="1">
      <c r="C18" s="789"/>
      <c r="D18" s="727"/>
      <c r="E18" s="727"/>
      <c r="F18" s="727"/>
      <c r="G18" s="727"/>
      <c r="H18" s="728"/>
      <c r="I18" s="61"/>
      <c r="J18" s="726"/>
      <c r="K18" s="727"/>
      <c r="L18" s="727"/>
      <c r="M18" s="727"/>
      <c r="N18" s="727"/>
      <c r="O18" s="728"/>
      <c r="P18" s="61"/>
      <c r="Q18" s="726"/>
      <c r="R18" s="727"/>
      <c r="S18" s="727"/>
      <c r="T18" s="727"/>
      <c r="U18" s="727"/>
      <c r="V18" s="728"/>
      <c r="W18" s="61"/>
      <c r="X18" s="726"/>
      <c r="Y18" s="727"/>
      <c r="Z18" s="727"/>
      <c r="AA18" s="727"/>
      <c r="AB18" s="727"/>
      <c r="AC18" s="728"/>
      <c r="AD18" s="61"/>
      <c r="AE18" s="762"/>
      <c r="AF18" s="763"/>
      <c r="AG18" s="763"/>
      <c r="AH18" s="763"/>
      <c r="AI18" s="763"/>
      <c r="AJ18" s="764"/>
      <c r="AK18" s="61"/>
      <c r="AL18" s="762"/>
      <c r="AM18" s="763"/>
      <c r="AN18" s="763"/>
      <c r="AO18" s="763"/>
      <c r="AP18" s="763"/>
      <c r="AQ18" s="764"/>
    </row>
    <row r="19" spans="3:43" ht="15.95" customHeight="1">
      <c r="C19" s="89"/>
      <c r="D19" s="61"/>
      <c r="E19" s="61"/>
      <c r="F19" s="61"/>
      <c r="G19" s="61"/>
      <c r="H19" s="61"/>
      <c r="I19" s="61"/>
      <c r="J19" s="61"/>
      <c r="K19" s="61"/>
      <c r="L19" s="61"/>
      <c r="M19" s="61"/>
      <c r="N19" s="61"/>
      <c r="O19" s="61"/>
      <c r="P19" s="61"/>
      <c r="Q19" s="61"/>
      <c r="R19" s="61"/>
      <c r="S19" s="61"/>
      <c r="T19" s="61"/>
      <c r="U19" s="61"/>
      <c r="V19" s="61"/>
      <c r="W19" s="61"/>
      <c r="X19" s="61"/>
      <c r="Y19" s="61"/>
      <c r="Z19" s="61"/>
      <c r="AA19" s="61"/>
      <c r="AB19" s="61"/>
      <c r="AC19" s="61"/>
      <c r="AD19" s="61"/>
      <c r="AE19" s="90"/>
      <c r="AF19" s="90"/>
      <c r="AG19" s="90"/>
      <c r="AH19" s="90"/>
      <c r="AI19" s="90"/>
      <c r="AJ19" s="90"/>
      <c r="AK19" s="61"/>
      <c r="AL19" s="61"/>
      <c r="AM19" s="61"/>
      <c r="AN19" s="61"/>
      <c r="AO19" s="61"/>
      <c r="AP19" s="61"/>
      <c r="AQ19" s="61"/>
    </row>
    <row r="20" spans="3:43" ht="15.95" customHeight="1">
      <c r="C20" s="59"/>
      <c r="D20" s="59"/>
      <c r="E20" s="59"/>
      <c r="F20" s="747" t="s">
        <v>2073</v>
      </c>
      <c r="G20" s="747"/>
      <c r="H20" s="747"/>
      <c r="I20" s="747"/>
      <c r="J20" s="747"/>
      <c r="K20" s="747"/>
      <c r="L20" s="747"/>
      <c r="M20" s="747"/>
      <c r="N20" s="747"/>
      <c r="O20" s="747"/>
      <c r="P20" s="747"/>
      <c r="Q20" s="747"/>
      <c r="R20" s="747"/>
      <c r="S20" s="747"/>
      <c r="T20" s="747"/>
      <c r="U20" s="747"/>
      <c r="V20" s="747"/>
      <c r="W20" s="747"/>
      <c r="X20" s="747"/>
      <c r="Y20" s="747"/>
      <c r="Z20" s="747"/>
      <c r="AA20" s="747"/>
      <c r="AB20" s="747"/>
      <c r="AC20" s="747"/>
      <c r="AD20" s="747"/>
      <c r="AE20" s="747"/>
      <c r="AF20" s="747"/>
      <c r="AG20" s="747"/>
      <c r="AH20" s="747"/>
      <c r="AI20" s="747"/>
      <c r="AJ20" s="747"/>
      <c r="AK20" s="747"/>
      <c r="AL20" s="747"/>
      <c r="AM20" s="747"/>
      <c r="AN20" s="747"/>
      <c r="AO20" s="59"/>
      <c r="AP20" s="59"/>
      <c r="AQ20" s="59"/>
    </row>
    <row r="21" spans="3:43" ht="15.95" customHeight="1">
      <c r="C21" s="59"/>
      <c r="D21" s="59"/>
      <c r="E21" s="59"/>
      <c r="F21" s="759" t="s">
        <v>2074</v>
      </c>
      <c r="G21" s="759"/>
      <c r="H21" s="759"/>
      <c r="I21" s="759"/>
      <c r="J21" s="759"/>
      <c r="K21" s="759"/>
      <c r="L21" s="759"/>
      <c r="M21" s="759"/>
      <c r="N21" s="759"/>
      <c r="O21" s="759"/>
      <c r="P21" s="759"/>
      <c r="Q21" s="759"/>
      <c r="R21" s="759"/>
      <c r="S21" s="759"/>
      <c r="T21" s="759"/>
      <c r="U21" s="759"/>
      <c r="V21" s="759"/>
      <c r="W21" s="759"/>
      <c r="X21" s="759"/>
      <c r="Y21" s="759"/>
      <c r="Z21" s="759"/>
      <c r="AA21" s="759"/>
      <c r="AB21" s="759"/>
      <c r="AC21" s="759"/>
      <c r="AD21" s="759"/>
      <c r="AE21" s="759"/>
      <c r="AF21" s="759"/>
      <c r="AG21" s="759"/>
      <c r="AH21" s="759"/>
      <c r="AI21" s="759"/>
      <c r="AJ21" s="759"/>
      <c r="AK21" s="759"/>
      <c r="AL21" s="759"/>
      <c r="AM21" s="759"/>
      <c r="AN21" s="759"/>
      <c r="AO21" s="59"/>
      <c r="AP21" s="59"/>
      <c r="AQ21" s="59"/>
    </row>
    <row r="22" spans="3:43" ht="15.95" customHeight="1">
      <c r="C22" s="89"/>
      <c r="D22" s="61"/>
      <c r="E22" s="61"/>
      <c r="F22" s="167"/>
      <c r="G22" s="167"/>
      <c r="H22" s="167"/>
      <c r="I22" s="167"/>
      <c r="J22" s="167"/>
      <c r="K22" s="167"/>
      <c r="L22" s="167"/>
      <c r="M22" s="167"/>
      <c r="N22" s="167"/>
      <c r="O22" s="167"/>
      <c r="P22" s="167"/>
      <c r="Q22" s="167"/>
      <c r="R22" s="167"/>
      <c r="S22" s="167"/>
      <c r="T22" s="167"/>
      <c r="U22" s="167"/>
      <c r="V22" s="167"/>
      <c r="W22" s="167"/>
      <c r="X22" s="167"/>
      <c r="Y22" s="167"/>
      <c r="Z22" s="167"/>
      <c r="AA22" s="167"/>
      <c r="AB22" s="167"/>
      <c r="AC22" s="167"/>
      <c r="AD22" s="167"/>
      <c r="AE22" s="167"/>
      <c r="AF22" s="167"/>
      <c r="AG22" s="167"/>
      <c r="AH22" s="167"/>
      <c r="AI22" s="167"/>
      <c r="AJ22" s="167"/>
      <c r="AK22" s="167"/>
      <c r="AL22" s="167"/>
      <c r="AM22" s="167"/>
      <c r="AN22" s="167"/>
      <c r="AO22" s="61"/>
      <c r="AP22" s="61"/>
      <c r="AQ22" s="61"/>
    </row>
    <row r="23" spans="3:43" ht="15.95" customHeight="1" thickBot="1">
      <c r="C23" s="724" t="s">
        <v>2075</v>
      </c>
      <c r="D23" s="724"/>
      <c r="E23" s="724"/>
      <c r="F23" s="724"/>
      <c r="G23" s="724"/>
      <c r="H23" s="724"/>
      <c r="I23" s="167"/>
      <c r="P23" s="167"/>
      <c r="Q23" s="724" t="s">
        <v>2089</v>
      </c>
      <c r="R23" s="724"/>
      <c r="S23" s="724"/>
      <c r="T23" s="724"/>
      <c r="U23" s="724"/>
      <c r="V23" s="724"/>
      <c r="W23" s="167"/>
      <c r="X23" s="724" t="s">
        <v>2090</v>
      </c>
      <c r="Y23" s="724"/>
      <c r="Z23" s="724"/>
      <c r="AA23" s="724"/>
      <c r="AB23" s="724"/>
      <c r="AC23" s="724"/>
      <c r="AD23" s="167"/>
      <c r="AE23" s="724" t="s">
        <v>2091</v>
      </c>
      <c r="AF23" s="724"/>
      <c r="AG23" s="724"/>
      <c r="AH23" s="724"/>
      <c r="AI23" s="724"/>
      <c r="AJ23" s="724"/>
      <c r="AK23" s="167"/>
      <c r="AL23" s="724" t="s">
        <v>2092</v>
      </c>
      <c r="AM23" s="724"/>
      <c r="AN23" s="724"/>
      <c r="AO23" s="724"/>
      <c r="AP23" s="724"/>
      <c r="AQ23" s="724"/>
    </row>
    <row r="24" spans="3:43" ht="15.95" customHeight="1" thickBot="1">
      <c r="C24" s="750"/>
      <c r="D24" s="751"/>
      <c r="E24" s="751"/>
      <c r="F24" s="751"/>
      <c r="G24" s="751"/>
      <c r="H24" s="751"/>
      <c r="I24" s="751"/>
      <c r="J24" s="751"/>
      <c r="K24" s="751"/>
      <c r="L24" s="751"/>
      <c r="M24" s="751"/>
      <c r="N24" s="751"/>
      <c r="O24" s="752"/>
      <c r="P24" s="167"/>
      <c r="Q24" s="726"/>
      <c r="R24" s="727"/>
      <c r="S24" s="727"/>
      <c r="T24" s="727"/>
      <c r="U24" s="727"/>
      <c r="V24" s="728"/>
      <c r="W24" s="167"/>
      <c r="X24" s="753"/>
      <c r="Y24" s="754"/>
      <c r="Z24" s="754"/>
      <c r="AA24" s="754"/>
      <c r="AB24" s="754"/>
      <c r="AC24" s="755"/>
      <c r="AD24" s="167"/>
      <c r="AE24" s="756"/>
      <c r="AF24" s="757"/>
      <c r="AG24" s="757"/>
      <c r="AH24" s="757"/>
      <c r="AI24" s="757"/>
      <c r="AJ24" s="758"/>
      <c r="AK24" s="167"/>
      <c r="AL24" s="756"/>
      <c r="AM24" s="757"/>
      <c r="AN24" s="757"/>
      <c r="AO24" s="757"/>
      <c r="AP24" s="757"/>
      <c r="AQ24" s="758"/>
    </row>
    <row r="25" spans="3:43" ht="15.95" customHeight="1"/>
    <row r="26" spans="3:43" ht="15.95" customHeight="1">
      <c r="C26" s="59"/>
      <c r="D26" s="59"/>
      <c r="E26" s="59"/>
      <c r="F26" s="747" t="s">
        <v>850</v>
      </c>
      <c r="G26" s="747"/>
      <c r="H26" s="747"/>
      <c r="I26" s="747"/>
      <c r="J26" s="747"/>
      <c r="K26" s="747"/>
      <c r="L26" s="747"/>
      <c r="M26" s="747"/>
      <c r="N26" s="747"/>
      <c r="O26" s="747"/>
      <c r="P26" s="747"/>
      <c r="Q26" s="747"/>
      <c r="R26" s="747"/>
      <c r="S26" s="747"/>
      <c r="T26" s="747"/>
      <c r="U26" s="747"/>
      <c r="V26" s="747"/>
      <c r="W26" s="747"/>
      <c r="X26" s="747"/>
      <c r="Y26" s="747"/>
      <c r="Z26" s="747"/>
      <c r="AA26" s="747"/>
      <c r="AB26" s="747"/>
      <c r="AC26" s="747"/>
      <c r="AD26" s="747"/>
      <c r="AE26" s="747"/>
      <c r="AF26" s="747"/>
      <c r="AG26" s="747"/>
      <c r="AH26" s="747"/>
      <c r="AI26" s="747"/>
      <c r="AJ26" s="747"/>
      <c r="AK26" s="747"/>
      <c r="AL26" s="747"/>
      <c r="AM26" s="747"/>
      <c r="AN26" s="747"/>
      <c r="AO26" s="59"/>
      <c r="AP26" s="59"/>
      <c r="AQ26" s="59"/>
    </row>
    <row r="27" spans="3:43" ht="15.95" customHeight="1">
      <c r="C27" s="59"/>
      <c r="D27" s="59"/>
      <c r="E27" s="59"/>
      <c r="F27" s="790" t="s">
        <v>451</v>
      </c>
      <c r="G27" s="790"/>
      <c r="H27" s="790"/>
      <c r="I27" s="790"/>
      <c r="J27" s="790"/>
      <c r="K27" s="790"/>
      <c r="L27" s="790"/>
      <c r="M27" s="790"/>
      <c r="N27" s="790"/>
      <c r="O27" s="790"/>
      <c r="P27" s="790"/>
      <c r="Q27" s="790"/>
      <c r="R27" s="790"/>
      <c r="S27" s="790"/>
      <c r="T27" s="790"/>
      <c r="U27" s="790"/>
      <c r="V27" s="790"/>
      <c r="W27" s="790"/>
      <c r="X27" s="790"/>
      <c r="Y27" s="790"/>
      <c r="Z27" s="790"/>
      <c r="AA27" s="790"/>
      <c r="AB27" s="790"/>
      <c r="AC27" s="790"/>
      <c r="AD27" s="790"/>
      <c r="AE27" s="790"/>
      <c r="AF27" s="790"/>
      <c r="AG27" s="790"/>
      <c r="AH27" s="790"/>
      <c r="AI27" s="790"/>
      <c r="AJ27" s="790"/>
      <c r="AK27" s="790"/>
      <c r="AL27" s="790"/>
      <c r="AM27" s="790"/>
      <c r="AN27" s="790"/>
      <c r="AO27" s="59"/>
      <c r="AP27" s="59"/>
      <c r="AQ27" s="59"/>
    </row>
    <row r="28" spans="3:43" ht="15.95" customHeight="1">
      <c r="C28" s="59"/>
      <c r="D28" s="59"/>
      <c r="E28" s="59"/>
      <c r="F28" s="790"/>
      <c r="G28" s="790"/>
      <c r="H28" s="790"/>
      <c r="I28" s="790"/>
      <c r="J28" s="790"/>
      <c r="K28" s="790"/>
      <c r="L28" s="790"/>
      <c r="M28" s="790"/>
      <c r="N28" s="790"/>
      <c r="O28" s="790"/>
      <c r="P28" s="790"/>
      <c r="Q28" s="790"/>
      <c r="R28" s="790"/>
      <c r="S28" s="790"/>
      <c r="T28" s="790"/>
      <c r="U28" s="790"/>
      <c r="V28" s="790"/>
      <c r="W28" s="790"/>
      <c r="X28" s="790"/>
      <c r="Y28" s="790"/>
      <c r="Z28" s="790"/>
      <c r="AA28" s="790"/>
      <c r="AB28" s="790"/>
      <c r="AC28" s="790"/>
      <c r="AD28" s="790"/>
      <c r="AE28" s="790"/>
      <c r="AF28" s="790"/>
      <c r="AG28" s="790"/>
      <c r="AH28" s="790"/>
      <c r="AI28" s="790"/>
      <c r="AJ28" s="790"/>
      <c r="AK28" s="790"/>
      <c r="AL28" s="790"/>
      <c r="AM28" s="790"/>
      <c r="AN28" s="790"/>
      <c r="AO28" s="59"/>
      <c r="AP28" s="59"/>
      <c r="AQ28" s="59"/>
    </row>
    <row r="29" spans="3:43" ht="15.95" customHeight="1">
      <c r="C29" s="59"/>
      <c r="D29" s="59"/>
      <c r="E29" s="59"/>
      <c r="F29" s="59"/>
      <c r="G29" s="59"/>
      <c r="H29" s="59"/>
      <c r="I29" s="59"/>
      <c r="J29" s="59"/>
      <c r="K29" s="59"/>
      <c r="L29" s="59"/>
      <c r="M29" s="59"/>
      <c r="N29" s="59"/>
      <c r="O29" s="59"/>
      <c r="P29" s="59"/>
      <c r="Q29" s="59"/>
      <c r="R29" s="59"/>
      <c r="S29" s="59"/>
      <c r="T29" s="59"/>
      <c r="U29" s="59"/>
      <c r="V29" s="59"/>
      <c r="W29" s="59"/>
      <c r="X29" s="59"/>
      <c r="Y29" s="59"/>
      <c r="Z29" s="59"/>
      <c r="AA29" s="59"/>
      <c r="AB29" s="59"/>
      <c r="AC29" s="59"/>
      <c r="AD29" s="59"/>
      <c r="AE29" s="59"/>
      <c r="AF29" s="59"/>
      <c r="AG29" s="59"/>
      <c r="AH29" s="59"/>
      <c r="AI29" s="59"/>
      <c r="AJ29" s="59"/>
      <c r="AK29" s="59"/>
      <c r="AL29" s="59"/>
      <c r="AM29" s="59"/>
      <c r="AN29" s="59"/>
      <c r="AO29" s="59"/>
      <c r="AP29" s="59"/>
      <c r="AQ29" s="59"/>
    </row>
    <row r="30" spans="3:43" ht="15.95" customHeight="1" thickBot="1">
      <c r="C30" s="724" t="s">
        <v>749</v>
      </c>
      <c r="D30" s="724"/>
      <c r="E30" s="724"/>
      <c r="F30" s="724"/>
      <c r="G30" s="724"/>
      <c r="H30" s="724"/>
      <c r="I30" s="61"/>
      <c r="J30" s="724" t="s">
        <v>750</v>
      </c>
      <c r="K30" s="724"/>
      <c r="L30" s="724"/>
      <c r="M30" s="724"/>
      <c r="N30" s="724"/>
      <c r="O30" s="724"/>
      <c r="P30" s="59"/>
      <c r="Q30" s="59"/>
      <c r="R30" s="59"/>
      <c r="S30" s="59"/>
      <c r="T30" s="59"/>
      <c r="U30" s="59"/>
      <c r="V30" s="59"/>
      <c r="W30" s="59"/>
      <c r="X30" s="59"/>
      <c r="Y30" s="59"/>
      <c r="Z30" s="59"/>
      <c r="AA30" s="59"/>
      <c r="AB30" s="59"/>
      <c r="AC30" s="59"/>
      <c r="AD30" s="59"/>
      <c r="AE30" s="59"/>
      <c r="AF30" s="59"/>
      <c r="AG30" s="59"/>
      <c r="AH30" s="59"/>
      <c r="AI30" s="59"/>
      <c r="AJ30" s="59"/>
      <c r="AK30" s="59"/>
      <c r="AL30" s="59"/>
      <c r="AM30" s="59"/>
      <c r="AN30" s="59"/>
      <c r="AO30" s="59"/>
      <c r="AP30" s="59"/>
      <c r="AQ30" s="59"/>
    </row>
    <row r="31" spans="3:43" ht="15.95" customHeight="1" thickBot="1">
      <c r="C31" s="726"/>
      <c r="D31" s="727"/>
      <c r="E31" s="727"/>
      <c r="F31" s="727"/>
      <c r="G31" s="727"/>
      <c r="H31" s="728"/>
      <c r="I31" s="61"/>
      <c r="J31" s="726"/>
      <c r="K31" s="727"/>
      <c r="L31" s="727"/>
      <c r="M31" s="727"/>
      <c r="N31" s="727"/>
      <c r="O31" s="728"/>
      <c r="P31" s="59"/>
      <c r="Q31" s="59"/>
      <c r="R31" s="59"/>
      <c r="S31" s="62" t="s">
        <v>927</v>
      </c>
      <c r="T31" s="61"/>
      <c r="U31" s="61"/>
      <c r="V31" s="61"/>
      <c r="W31" s="61"/>
      <c r="X31" s="61"/>
      <c r="Y31" s="61"/>
      <c r="Z31" s="61"/>
      <c r="AA31" s="61"/>
      <c r="AB31" s="760"/>
      <c r="AC31" s="761"/>
      <c r="AD31" s="59"/>
      <c r="AE31" s="59"/>
      <c r="AF31" s="62" t="s">
        <v>928</v>
      </c>
      <c r="AH31" s="61"/>
      <c r="AI31" s="61"/>
      <c r="AJ31" s="61"/>
      <c r="AK31" s="61"/>
      <c r="AL31" s="61"/>
      <c r="AM31" s="61"/>
      <c r="AN31" s="61"/>
      <c r="AO31" s="61"/>
      <c r="AP31" s="760"/>
      <c r="AQ31" s="761"/>
    </row>
    <row r="32" spans="3:43" ht="15.95" customHeight="1">
      <c r="C32" s="61"/>
      <c r="D32" s="61"/>
      <c r="E32" s="61"/>
      <c r="F32" s="61"/>
      <c r="G32" s="61"/>
      <c r="H32" s="61"/>
      <c r="I32" s="61"/>
      <c r="J32" s="61"/>
      <c r="K32" s="61"/>
      <c r="L32" s="61"/>
      <c r="M32" s="61"/>
      <c r="N32" s="61"/>
      <c r="O32" s="61"/>
      <c r="P32" s="61"/>
      <c r="Q32" s="61"/>
      <c r="R32" s="61"/>
      <c r="S32" s="61"/>
      <c r="T32" s="61"/>
      <c r="U32" s="61"/>
      <c r="V32" s="61"/>
      <c r="W32" s="61"/>
      <c r="X32" s="61"/>
      <c r="Y32" s="61"/>
      <c r="Z32" s="61"/>
      <c r="AA32" s="61"/>
      <c r="AB32" s="61"/>
      <c r="AC32" s="61"/>
      <c r="AD32" s="61"/>
      <c r="AE32" s="61"/>
      <c r="AF32" s="61"/>
      <c r="AG32" s="61"/>
      <c r="AH32" s="61"/>
      <c r="AI32" s="61"/>
      <c r="AJ32" s="61"/>
      <c r="AK32" s="61"/>
      <c r="AL32" s="61"/>
      <c r="AM32" s="61"/>
      <c r="AN32" s="61"/>
      <c r="AO32" s="61"/>
      <c r="AP32" s="61"/>
      <c r="AQ32" s="61"/>
    </row>
    <row r="33" spans="3:43" ht="15.95" customHeight="1" thickBot="1">
      <c r="C33" s="724" t="s">
        <v>740</v>
      </c>
      <c r="D33" s="724"/>
      <c r="E33" s="724"/>
      <c r="F33" s="724"/>
      <c r="G33" s="724"/>
      <c r="H33" s="724"/>
      <c r="I33" s="61"/>
      <c r="J33" s="724" t="s">
        <v>741</v>
      </c>
      <c r="K33" s="724"/>
      <c r="L33" s="724"/>
      <c r="M33" s="724"/>
      <c r="N33" s="724"/>
      <c r="O33" s="724"/>
      <c r="P33" s="61"/>
      <c r="Q33" s="724" t="s">
        <v>742</v>
      </c>
      <c r="R33" s="724"/>
      <c r="S33" s="724"/>
      <c r="T33" s="724"/>
      <c r="U33" s="724"/>
      <c r="V33" s="724"/>
      <c r="W33" s="61"/>
      <c r="X33" s="724" t="s">
        <v>743</v>
      </c>
      <c r="Y33" s="724"/>
      <c r="Z33" s="724"/>
      <c r="AA33" s="724"/>
      <c r="AB33" s="724"/>
      <c r="AC33" s="724"/>
      <c r="AD33" s="61"/>
      <c r="AE33" s="724" t="s">
        <v>80</v>
      </c>
      <c r="AF33" s="724"/>
      <c r="AG33" s="724"/>
      <c r="AH33" s="724"/>
      <c r="AI33" s="724"/>
      <c r="AJ33" s="724"/>
      <c r="AK33" s="61"/>
      <c r="AL33" s="724" t="s">
        <v>744</v>
      </c>
      <c r="AM33" s="724"/>
      <c r="AN33" s="724"/>
      <c r="AO33" s="724"/>
      <c r="AP33" s="724"/>
      <c r="AQ33" s="724"/>
    </row>
    <row r="34" spans="3:43" ht="15.95" customHeight="1" thickBot="1">
      <c r="C34" s="741" t="str">
        <f>IF(M02S02F14="Yes",M02S02F02,"")</f>
        <v/>
      </c>
      <c r="D34" s="742"/>
      <c r="E34" s="742"/>
      <c r="F34" s="742"/>
      <c r="G34" s="742"/>
      <c r="H34" s="743"/>
      <c r="I34" s="61"/>
      <c r="J34" s="741" t="str">
        <f>IF(M02S02F14="Yes",M02S02F03,"")</f>
        <v/>
      </c>
      <c r="K34" s="742"/>
      <c r="L34" s="742"/>
      <c r="M34" s="742"/>
      <c r="N34" s="742"/>
      <c r="O34" s="743"/>
      <c r="P34" s="61"/>
      <c r="Q34" s="741" t="str">
        <f>IF(M02S02F14="Yes",M02S02F04,"")</f>
        <v/>
      </c>
      <c r="R34" s="742"/>
      <c r="S34" s="742"/>
      <c r="T34" s="742"/>
      <c r="U34" s="742"/>
      <c r="V34" s="743"/>
      <c r="W34" s="61"/>
      <c r="X34" s="765" t="str">
        <f>IF(M02S02F14="Yes",M02S02F05,"")</f>
        <v/>
      </c>
      <c r="Y34" s="766"/>
      <c r="Z34" s="766"/>
      <c r="AA34" s="766"/>
      <c r="AB34" s="766"/>
      <c r="AC34" s="767"/>
      <c r="AD34" s="61"/>
      <c r="AE34" s="765" t="str">
        <f>IF(M02S02F14="Yes",M02S02F06,"")</f>
        <v/>
      </c>
      <c r="AF34" s="766"/>
      <c r="AG34" s="766"/>
      <c r="AH34" s="766"/>
      <c r="AI34" s="766"/>
      <c r="AJ34" s="767"/>
      <c r="AK34" s="61"/>
      <c r="AL34" s="768" t="str">
        <f>IF(M02S02F14="Yes",M02S02F07,"")</f>
        <v/>
      </c>
      <c r="AM34" s="742"/>
      <c r="AN34" s="742"/>
      <c r="AO34" s="742"/>
      <c r="AP34" s="742"/>
      <c r="AQ34" s="743"/>
    </row>
    <row r="35" spans="3:43" ht="15.95" customHeight="1">
      <c r="C35" s="61"/>
      <c r="D35" s="61"/>
      <c r="E35" s="61"/>
      <c r="F35" s="61"/>
      <c r="G35" s="61"/>
      <c r="H35" s="61"/>
      <c r="I35" s="61"/>
      <c r="J35" s="61"/>
      <c r="K35" s="61"/>
      <c r="L35" s="61"/>
      <c r="M35" s="61"/>
      <c r="N35" s="61"/>
      <c r="O35" s="61"/>
      <c r="P35" s="61"/>
      <c r="Q35" s="61"/>
      <c r="R35" s="61"/>
      <c r="S35" s="61"/>
      <c r="T35" s="61"/>
      <c r="U35" s="61"/>
      <c r="V35" s="61"/>
      <c r="W35" s="61"/>
      <c r="X35" s="61"/>
      <c r="Y35" s="61"/>
      <c r="Z35" s="61"/>
      <c r="AA35" s="61"/>
      <c r="AB35" s="61"/>
      <c r="AC35" s="61"/>
      <c r="AD35" s="61"/>
      <c r="AE35" s="61"/>
      <c r="AF35" s="61"/>
      <c r="AG35" s="61"/>
      <c r="AH35" s="61"/>
      <c r="AI35" s="61"/>
      <c r="AJ35" s="61"/>
      <c r="AK35" s="61"/>
      <c r="AL35" s="61"/>
      <c r="AM35" s="61"/>
      <c r="AN35" s="61"/>
      <c r="AO35" s="61"/>
      <c r="AP35" s="61"/>
      <c r="AQ35" s="61"/>
    </row>
    <row r="36" spans="3:43" ht="15.95" customHeight="1" thickBot="1">
      <c r="C36" s="769" t="s">
        <v>1055</v>
      </c>
      <c r="D36" s="769"/>
      <c r="E36" s="769"/>
      <c r="F36" s="769"/>
      <c r="G36" s="769"/>
      <c r="H36" s="769"/>
      <c r="I36" s="61"/>
      <c r="J36" s="724" t="s">
        <v>751</v>
      </c>
      <c r="K36" s="724"/>
      <c r="L36" s="724"/>
      <c r="M36" s="724"/>
      <c r="N36" s="724"/>
      <c r="O36" s="724"/>
      <c r="P36" s="61"/>
      <c r="Q36" s="724" t="s">
        <v>746</v>
      </c>
      <c r="R36" s="724"/>
      <c r="S36" s="724"/>
      <c r="T36" s="724"/>
      <c r="U36" s="724"/>
      <c r="V36" s="724"/>
      <c r="W36" s="61"/>
      <c r="X36" s="724" t="s">
        <v>747</v>
      </c>
      <c r="Y36" s="724"/>
      <c r="Z36" s="724"/>
      <c r="AA36" s="724"/>
      <c r="AB36" s="724"/>
      <c r="AC36" s="724"/>
      <c r="AD36" s="61"/>
      <c r="AE36" s="724" t="s">
        <v>748</v>
      </c>
      <c r="AF36" s="724"/>
      <c r="AG36" s="724"/>
      <c r="AH36" s="724"/>
      <c r="AI36" s="724"/>
      <c r="AJ36" s="724"/>
      <c r="AK36" s="61"/>
      <c r="AL36" s="724" t="s">
        <v>753</v>
      </c>
      <c r="AM36" s="724"/>
      <c r="AN36" s="724"/>
      <c r="AO36" s="724"/>
      <c r="AP36" s="724"/>
      <c r="AQ36" s="724"/>
    </row>
    <row r="37" spans="3:43" ht="15.95" customHeight="1" thickBot="1">
      <c r="C37" s="741" t="str">
        <f>IF(M02S02F15="Yes",M02S02F01,"")</f>
        <v/>
      </c>
      <c r="D37" s="742"/>
      <c r="E37" s="742"/>
      <c r="F37" s="742"/>
      <c r="G37" s="742"/>
      <c r="H37" s="743"/>
      <c r="I37" s="61"/>
      <c r="J37" s="741" t="str">
        <f>IF(M02S02F15="Yes",M02S02F08,"")</f>
        <v/>
      </c>
      <c r="K37" s="742"/>
      <c r="L37" s="742"/>
      <c r="M37" s="742"/>
      <c r="N37" s="742"/>
      <c r="O37" s="743"/>
      <c r="P37" s="61"/>
      <c r="Q37" s="741" t="str">
        <f>IF(M02S02F15="Yes",M02S02F09,"")</f>
        <v/>
      </c>
      <c r="R37" s="742"/>
      <c r="S37" s="742"/>
      <c r="T37" s="742"/>
      <c r="U37" s="742"/>
      <c r="V37" s="743"/>
      <c r="W37" s="61"/>
      <c r="X37" s="783" t="s">
        <v>383</v>
      </c>
      <c r="Y37" s="784"/>
      <c r="Z37" s="784"/>
      <c r="AA37" s="784"/>
      <c r="AB37" s="784"/>
      <c r="AC37" s="785"/>
      <c r="AD37" s="61"/>
      <c r="AE37" s="744" t="str">
        <f>IF(M02S02F15="Yes",M02S02F11,"")</f>
        <v/>
      </c>
      <c r="AF37" s="745"/>
      <c r="AG37" s="745"/>
      <c r="AH37" s="745"/>
      <c r="AI37" s="745"/>
      <c r="AJ37" s="746"/>
      <c r="AK37" s="61"/>
      <c r="AL37" s="726"/>
      <c r="AM37" s="727"/>
      <c r="AN37" s="727"/>
      <c r="AO37" s="727"/>
      <c r="AP37" s="727"/>
      <c r="AQ37" s="728"/>
    </row>
    <row r="38" spans="3:43" ht="15.95" customHeight="1">
      <c r="C38" s="61"/>
      <c r="D38" s="61"/>
      <c r="E38" s="61"/>
      <c r="F38" s="61"/>
      <c r="G38" s="61"/>
      <c r="H38" s="61"/>
      <c r="I38" s="61"/>
      <c r="J38" s="61"/>
      <c r="K38" s="61"/>
      <c r="L38" s="61"/>
      <c r="M38" s="61"/>
      <c r="N38" s="61"/>
      <c r="O38" s="61"/>
      <c r="P38" s="61"/>
      <c r="Q38" s="61"/>
      <c r="R38" s="61"/>
      <c r="S38" s="61"/>
      <c r="T38" s="61"/>
      <c r="U38" s="61"/>
      <c r="V38" s="61"/>
      <c r="W38" s="61"/>
      <c r="X38" s="61"/>
      <c r="Y38" s="61"/>
      <c r="Z38" s="61"/>
      <c r="AA38" s="61"/>
      <c r="AB38" s="61"/>
      <c r="AC38" s="61"/>
      <c r="AD38" s="61"/>
      <c r="AE38" s="61"/>
      <c r="AF38" s="61"/>
      <c r="AG38" s="61"/>
      <c r="AH38" s="61"/>
      <c r="AI38" s="61"/>
      <c r="AJ38" s="61"/>
      <c r="AK38" s="61"/>
      <c r="AL38" s="61"/>
      <c r="AM38" s="61"/>
      <c r="AN38" s="61"/>
      <c r="AO38" s="61"/>
      <c r="AP38" s="61"/>
      <c r="AQ38" s="61"/>
    </row>
    <row r="39" spans="3:43" ht="15.95" customHeight="1" thickBot="1">
      <c r="C39" s="724" t="s">
        <v>752</v>
      </c>
      <c r="D39" s="724"/>
      <c r="E39" s="724"/>
      <c r="F39" s="724"/>
      <c r="G39" s="724"/>
      <c r="H39" s="724"/>
      <c r="I39" s="61"/>
      <c r="J39" s="724" t="s">
        <v>2236</v>
      </c>
      <c r="K39" s="724"/>
      <c r="L39" s="724"/>
      <c r="M39" s="724"/>
      <c r="N39" s="724"/>
      <c r="O39" s="724"/>
      <c r="P39" s="61"/>
      <c r="Q39" s="724" t="s">
        <v>754</v>
      </c>
      <c r="R39" s="724"/>
      <c r="S39" s="724"/>
      <c r="T39" s="724"/>
      <c r="U39" s="724"/>
      <c r="V39" s="724"/>
      <c r="W39" s="61"/>
      <c r="X39" s="724" t="s">
        <v>83</v>
      </c>
      <c r="Y39" s="724"/>
      <c r="Z39" s="724"/>
      <c r="AA39" s="724"/>
      <c r="AB39" s="724"/>
      <c r="AC39" s="724"/>
      <c r="AD39" s="61"/>
      <c r="AE39" s="724" t="s">
        <v>84</v>
      </c>
      <c r="AF39" s="724"/>
      <c r="AG39" s="724"/>
      <c r="AH39" s="724"/>
      <c r="AI39" s="724"/>
      <c r="AJ39" s="724"/>
      <c r="AK39" s="61"/>
      <c r="AL39" s="724" t="s">
        <v>85</v>
      </c>
      <c r="AM39" s="724"/>
      <c r="AN39" s="724"/>
      <c r="AO39" s="724"/>
      <c r="AP39" s="724"/>
      <c r="AQ39" s="724"/>
    </row>
    <row r="40" spans="3:43" ht="15.95" customHeight="1" thickBot="1">
      <c r="C40" s="726"/>
      <c r="D40" s="727"/>
      <c r="E40" s="727"/>
      <c r="F40" s="727"/>
      <c r="G40" s="727"/>
      <c r="H40" s="728"/>
      <c r="I40" s="61"/>
      <c r="J40" s="726"/>
      <c r="K40" s="727"/>
      <c r="L40" s="727"/>
      <c r="M40" s="727"/>
      <c r="N40" s="727"/>
      <c r="O40" s="728"/>
      <c r="P40" s="61"/>
      <c r="Q40" s="779"/>
      <c r="R40" s="742"/>
      <c r="S40" s="742"/>
      <c r="T40" s="742"/>
      <c r="U40" s="742"/>
      <c r="V40" s="743"/>
      <c r="W40" s="61"/>
      <c r="X40" s="726"/>
      <c r="Y40" s="727"/>
      <c r="Z40" s="727"/>
      <c r="AA40" s="727"/>
      <c r="AB40" s="727"/>
      <c r="AC40" s="728"/>
      <c r="AD40" s="61"/>
      <c r="AE40" s="780"/>
      <c r="AF40" s="781"/>
      <c r="AG40" s="781"/>
      <c r="AH40" s="781"/>
      <c r="AI40" s="781"/>
      <c r="AJ40" s="782"/>
      <c r="AK40" s="61"/>
      <c r="AL40" s="726"/>
      <c r="AM40" s="727"/>
      <c r="AN40" s="727"/>
      <c r="AO40" s="727"/>
      <c r="AP40" s="727"/>
      <c r="AQ40" s="728"/>
    </row>
    <row r="41" spans="3:43" ht="15.95" customHeight="1">
      <c r="C41" s="61"/>
      <c r="D41" s="61"/>
      <c r="E41" s="61"/>
      <c r="F41" s="61"/>
      <c r="G41" s="61"/>
      <c r="H41" s="61"/>
      <c r="I41" s="61"/>
      <c r="J41" s="61"/>
      <c r="K41" s="61"/>
      <c r="L41" s="61"/>
      <c r="M41" s="61"/>
      <c r="N41" s="61"/>
      <c r="O41" s="61"/>
      <c r="P41" s="61"/>
      <c r="Q41" s="61"/>
      <c r="R41" s="61"/>
      <c r="S41" s="61"/>
      <c r="T41" s="61"/>
      <c r="U41" s="61"/>
      <c r="V41" s="61"/>
      <c r="W41" s="61"/>
      <c r="X41" s="61"/>
      <c r="Y41" s="61"/>
      <c r="Z41" s="61"/>
      <c r="AA41" s="61"/>
      <c r="AB41" s="61"/>
      <c r="AC41" s="61"/>
      <c r="AD41" s="61"/>
      <c r="AE41" s="61"/>
      <c r="AF41" s="61"/>
      <c r="AG41" s="61"/>
      <c r="AH41" s="61"/>
      <c r="AI41" s="61"/>
      <c r="AJ41" s="61"/>
      <c r="AK41" s="61"/>
      <c r="AL41" s="61"/>
      <c r="AM41" s="61"/>
      <c r="AN41" s="61"/>
      <c r="AO41" s="61"/>
      <c r="AP41" s="61"/>
      <c r="AQ41" s="61"/>
    </row>
    <row r="42" spans="3:43" ht="15.95" customHeight="1" thickBot="1">
      <c r="C42" s="724" t="s">
        <v>755</v>
      </c>
      <c r="D42" s="724"/>
      <c r="E42" s="724"/>
      <c r="F42" s="724"/>
      <c r="G42" s="724"/>
      <c r="H42" s="724"/>
      <c r="I42" s="61"/>
      <c r="J42" s="724" t="s">
        <v>756</v>
      </c>
      <c r="K42" s="724"/>
      <c r="L42" s="724"/>
      <c r="M42" s="724"/>
      <c r="N42" s="724"/>
      <c r="O42" s="724"/>
      <c r="P42" s="61"/>
      <c r="Q42" s="724" t="s">
        <v>757</v>
      </c>
      <c r="R42" s="724"/>
      <c r="S42" s="724"/>
      <c r="T42" s="724"/>
      <c r="U42" s="724"/>
      <c r="V42" s="724"/>
      <c r="W42" s="61"/>
      <c r="X42" s="724" t="s">
        <v>1091</v>
      </c>
      <c r="Y42" s="724"/>
      <c r="Z42" s="724"/>
      <c r="AA42" s="724"/>
      <c r="AB42" s="724"/>
      <c r="AC42" s="724"/>
      <c r="AD42" s="61"/>
      <c r="AE42" s="59" t="s">
        <v>1702</v>
      </c>
      <c r="AK42" s="61"/>
      <c r="AL42" s="724"/>
      <c r="AM42" s="724"/>
      <c r="AN42" s="724"/>
      <c r="AO42" s="724"/>
      <c r="AP42" s="724"/>
      <c r="AQ42" s="724"/>
    </row>
    <row r="43" spans="3:43" ht="15.95" customHeight="1" thickBot="1">
      <c r="C43" s="726"/>
      <c r="D43" s="727"/>
      <c r="E43" s="727"/>
      <c r="F43" s="727"/>
      <c r="G43" s="727"/>
      <c r="H43" s="728"/>
      <c r="I43" s="61"/>
      <c r="J43" s="726"/>
      <c r="K43" s="727"/>
      <c r="L43" s="727"/>
      <c r="M43" s="727"/>
      <c r="N43" s="727"/>
      <c r="O43" s="728"/>
      <c r="P43" s="61"/>
      <c r="Q43" s="786">
        <v>0.10199999999999999</v>
      </c>
      <c r="R43" s="787"/>
      <c r="S43" s="787"/>
      <c r="T43" s="787"/>
      <c r="U43" s="787"/>
      <c r="V43" s="788"/>
      <c r="W43" s="61"/>
      <c r="X43" s="786">
        <v>0.86829999999999996</v>
      </c>
      <c r="Y43" s="787"/>
      <c r="Z43" s="787"/>
      <c r="AA43" s="787"/>
      <c r="AB43" s="787"/>
      <c r="AC43" s="788"/>
      <c r="AD43" s="61"/>
      <c r="AE43" s="786"/>
      <c r="AF43" s="787"/>
      <c r="AG43" s="787"/>
      <c r="AH43" s="787"/>
      <c r="AI43" s="787"/>
      <c r="AJ43" s="788"/>
      <c r="AK43" s="61"/>
      <c r="AL43" s="724"/>
      <c r="AM43" s="724"/>
      <c r="AN43" s="724"/>
      <c r="AO43" s="724"/>
      <c r="AP43" s="724"/>
      <c r="AQ43" s="724"/>
    </row>
    <row r="44" spans="3:43" ht="15.95" customHeight="1">
      <c r="C44" s="61"/>
      <c r="D44" s="61"/>
      <c r="E44" s="61"/>
      <c r="F44" s="61"/>
      <c r="G44" s="61"/>
      <c r="H44" s="61"/>
      <c r="I44" s="61"/>
      <c r="J44" s="61"/>
      <c r="K44" s="61"/>
      <c r="L44" s="61"/>
      <c r="M44" s="61"/>
      <c r="N44" s="61"/>
      <c r="O44" s="61"/>
      <c r="P44" s="61"/>
      <c r="Q44" s="61"/>
      <c r="R44" s="61"/>
      <c r="S44" s="61"/>
      <c r="T44" s="61"/>
      <c r="U44" s="61"/>
      <c r="V44" s="61"/>
      <c r="W44" s="61"/>
      <c r="X44" s="61"/>
      <c r="Y44" s="61"/>
      <c r="Z44" s="61"/>
      <c r="AA44" s="61"/>
      <c r="AB44" s="61"/>
      <c r="AC44" s="61"/>
      <c r="AD44" s="61"/>
      <c r="AE44" s="61"/>
      <c r="AF44" s="61"/>
      <c r="AG44" s="61"/>
      <c r="AH44" s="61"/>
      <c r="AI44" s="61"/>
      <c r="AJ44" s="61"/>
      <c r="AK44" s="61"/>
      <c r="AL44" s="61"/>
      <c r="AM44" s="61"/>
      <c r="AN44" s="61"/>
      <c r="AO44" s="61"/>
      <c r="AP44" s="61"/>
      <c r="AQ44" s="61"/>
    </row>
    <row r="45" spans="3:43" ht="15.95" customHeight="1" thickBot="1">
      <c r="C45" s="724" t="s">
        <v>1194</v>
      </c>
      <c r="D45" s="724"/>
      <c r="E45" s="724"/>
      <c r="F45" s="724"/>
      <c r="G45" s="724"/>
      <c r="H45" s="724"/>
      <c r="I45" s="61"/>
      <c r="J45" s="724" t="s">
        <v>1195</v>
      </c>
      <c r="K45" s="724"/>
      <c r="L45" s="724"/>
      <c r="M45" s="724"/>
      <c r="N45" s="724"/>
      <c r="O45" s="724"/>
      <c r="P45" s="61"/>
      <c r="Q45" s="769" t="s">
        <v>1196</v>
      </c>
      <c r="R45" s="769"/>
      <c r="S45" s="769"/>
      <c r="T45" s="769"/>
      <c r="U45" s="769"/>
      <c r="V45" s="769"/>
      <c r="W45" s="61"/>
      <c r="X45" s="769" t="s">
        <v>1197</v>
      </c>
      <c r="Y45" s="769"/>
      <c r="Z45" s="769"/>
      <c r="AA45" s="769"/>
      <c r="AB45" s="769"/>
      <c r="AC45" s="769"/>
      <c r="AD45" s="61"/>
      <c r="AK45" s="61"/>
      <c r="AL45" s="724"/>
      <c r="AM45" s="724"/>
      <c r="AN45" s="724"/>
      <c r="AO45" s="724"/>
      <c r="AP45" s="724"/>
      <c r="AQ45" s="724"/>
    </row>
    <row r="46" spans="3:43" ht="15.95" customHeight="1" thickBot="1">
      <c r="C46" s="726"/>
      <c r="D46" s="727"/>
      <c r="E46" s="727"/>
      <c r="F46" s="727"/>
      <c r="G46" s="727"/>
      <c r="H46" s="728"/>
      <c r="I46" s="61"/>
      <c r="J46" s="726"/>
      <c r="K46" s="727"/>
      <c r="L46" s="727"/>
      <c r="M46" s="727"/>
      <c r="N46" s="727"/>
      <c r="O46" s="728"/>
      <c r="P46" s="61"/>
      <c r="Q46" s="726"/>
      <c r="R46" s="727"/>
      <c r="S46" s="727"/>
      <c r="T46" s="727"/>
      <c r="U46" s="727"/>
      <c r="V46" s="728"/>
      <c r="W46" s="61"/>
      <c r="X46" s="726"/>
      <c r="Y46" s="727"/>
      <c r="Z46" s="727"/>
      <c r="AA46" s="727"/>
      <c r="AB46" s="727"/>
      <c r="AC46" s="728"/>
      <c r="AD46" s="61"/>
      <c r="AK46" s="61"/>
      <c r="AL46" s="724"/>
      <c r="AM46" s="724"/>
      <c r="AN46" s="724"/>
      <c r="AO46" s="724"/>
      <c r="AP46" s="724"/>
      <c r="AQ46" s="724"/>
    </row>
    <row r="47" spans="3:43" ht="15.95" customHeight="1">
      <c r="C47" s="61"/>
      <c r="D47" s="61"/>
      <c r="E47" s="61"/>
      <c r="F47" s="61"/>
      <c r="G47" s="61"/>
      <c r="H47" s="61"/>
      <c r="I47" s="61"/>
      <c r="J47" s="61"/>
      <c r="K47" s="61"/>
      <c r="L47" s="61"/>
      <c r="M47" s="61"/>
      <c r="N47" s="61"/>
      <c r="O47" s="61"/>
      <c r="P47" s="61"/>
      <c r="Q47" s="61"/>
      <c r="R47" s="61"/>
      <c r="S47" s="61"/>
      <c r="T47" s="61"/>
      <c r="U47" s="61"/>
      <c r="V47" s="61"/>
      <c r="W47" s="61"/>
      <c r="X47" s="61"/>
      <c r="Y47" s="61"/>
      <c r="Z47" s="61"/>
      <c r="AA47" s="61"/>
      <c r="AB47" s="61"/>
      <c r="AC47" s="61"/>
      <c r="AD47" s="61"/>
      <c r="AE47" s="61"/>
      <c r="AF47" s="61"/>
      <c r="AG47" s="61"/>
      <c r="AH47" s="61"/>
      <c r="AI47" s="61"/>
      <c r="AJ47" s="61"/>
      <c r="AK47" s="61"/>
      <c r="AL47" s="61"/>
      <c r="AM47" s="61"/>
      <c r="AN47" s="61"/>
      <c r="AO47" s="61"/>
      <c r="AP47" s="61"/>
      <c r="AQ47" s="61"/>
    </row>
    <row r="48" spans="3:43" ht="15.95" customHeight="1" thickBot="1">
      <c r="C48" s="724" t="s">
        <v>758</v>
      </c>
      <c r="D48" s="724"/>
      <c r="E48" s="724"/>
      <c r="F48" s="724"/>
      <c r="G48" s="724"/>
      <c r="H48" s="724"/>
      <c r="I48" s="59"/>
      <c r="J48" s="59"/>
      <c r="K48" s="59"/>
      <c r="L48" s="59"/>
      <c r="M48" s="59"/>
      <c r="N48" s="59"/>
      <c r="O48" s="59"/>
      <c r="P48" s="59"/>
      <c r="Q48" s="59"/>
      <c r="R48" s="59"/>
      <c r="S48" s="59"/>
      <c r="T48" s="59"/>
      <c r="U48" s="59"/>
      <c r="V48" s="59"/>
      <c r="W48" s="59"/>
      <c r="X48" s="59"/>
      <c r="Y48" s="59"/>
      <c r="Z48" s="59"/>
      <c r="AA48" s="59"/>
      <c r="AB48" s="59"/>
      <c r="AC48" s="59"/>
      <c r="AD48" s="59"/>
      <c r="AE48" s="59"/>
      <c r="AF48" s="59"/>
      <c r="AG48" s="59"/>
      <c r="AH48" s="59"/>
      <c r="AI48" s="59"/>
      <c r="AJ48" s="59"/>
      <c r="AK48" s="59"/>
      <c r="AL48" s="59"/>
      <c r="AM48" s="59"/>
      <c r="AN48" s="59"/>
      <c r="AO48" s="59"/>
      <c r="AP48" s="59"/>
      <c r="AQ48" s="59"/>
    </row>
    <row r="49" spans="3:43" ht="15.95" customHeight="1">
      <c r="C49" s="770"/>
      <c r="D49" s="771"/>
      <c r="E49" s="771"/>
      <c r="F49" s="771"/>
      <c r="G49" s="771"/>
      <c r="H49" s="771"/>
      <c r="I49" s="771"/>
      <c r="J49" s="771"/>
      <c r="K49" s="771"/>
      <c r="L49" s="771"/>
      <c r="M49" s="771"/>
      <c r="N49" s="771"/>
      <c r="O49" s="771"/>
      <c r="P49" s="771"/>
      <c r="Q49" s="771"/>
      <c r="R49" s="771"/>
      <c r="S49" s="771"/>
      <c r="T49" s="771"/>
      <c r="U49" s="771"/>
      <c r="V49" s="771"/>
      <c r="W49" s="771"/>
      <c r="X49" s="771"/>
      <c r="Y49" s="771"/>
      <c r="Z49" s="771"/>
      <c r="AA49" s="771"/>
      <c r="AB49" s="771"/>
      <c r="AC49" s="771"/>
      <c r="AD49" s="771"/>
      <c r="AE49" s="771"/>
      <c r="AF49" s="771"/>
      <c r="AG49" s="771"/>
      <c r="AH49" s="771"/>
      <c r="AI49" s="771"/>
      <c r="AJ49" s="771"/>
      <c r="AK49" s="771"/>
      <c r="AL49" s="771"/>
      <c r="AM49" s="771"/>
      <c r="AN49" s="771"/>
      <c r="AO49" s="771"/>
      <c r="AP49" s="771"/>
      <c r="AQ49" s="772"/>
    </row>
    <row r="50" spans="3:43" ht="15.95" customHeight="1">
      <c r="C50" s="773"/>
      <c r="D50" s="774"/>
      <c r="E50" s="774"/>
      <c r="F50" s="774"/>
      <c r="G50" s="774"/>
      <c r="H50" s="774"/>
      <c r="I50" s="774"/>
      <c r="J50" s="774"/>
      <c r="K50" s="774"/>
      <c r="L50" s="774"/>
      <c r="M50" s="774"/>
      <c r="N50" s="774"/>
      <c r="O50" s="774"/>
      <c r="P50" s="774"/>
      <c r="Q50" s="774"/>
      <c r="R50" s="774"/>
      <c r="S50" s="774"/>
      <c r="T50" s="774"/>
      <c r="U50" s="774"/>
      <c r="V50" s="774"/>
      <c r="W50" s="774"/>
      <c r="X50" s="774"/>
      <c r="Y50" s="774"/>
      <c r="Z50" s="774"/>
      <c r="AA50" s="774"/>
      <c r="AB50" s="774"/>
      <c r="AC50" s="774"/>
      <c r="AD50" s="774"/>
      <c r="AE50" s="774"/>
      <c r="AF50" s="774"/>
      <c r="AG50" s="774"/>
      <c r="AH50" s="774"/>
      <c r="AI50" s="774"/>
      <c r="AJ50" s="774"/>
      <c r="AK50" s="774"/>
      <c r="AL50" s="774"/>
      <c r="AM50" s="774"/>
      <c r="AN50" s="774"/>
      <c r="AO50" s="774"/>
      <c r="AP50" s="774"/>
      <c r="AQ50" s="775"/>
    </row>
    <row r="51" spans="3:43" ht="15.95" customHeight="1">
      <c r="C51" s="773"/>
      <c r="D51" s="774"/>
      <c r="E51" s="774"/>
      <c r="F51" s="774"/>
      <c r="G51" s="774"/>
      <c r="H51" s="774"/>
      <c r="I51" s="774"/>
      <c r="J51" s="774"/>
      <c r="K51" s="774"/>
      <c r="L51" s="774"/>
      <c r="M51" s="774"/>
      <c r="N51" s="774"/>
      <c r="O51" s="774"/>
      <c r="P51" s="774"/>
      <c r="Q51" s="774"/>
      <c r="R51" s="774"/>
      <c r="S51" s="774"/>
      <c r="T51" s="774"/>
      <c r="U51" s="774"/>
      <c r="V51" s="774"/>
      <c r="W51" s="774"/>
      <c r="X51" s="774"/>
      <c r="Y51" s="774"/>
      <c r="Z51" s="774"/>
      <c r="AA51" s="774"/>
      <c r="AB51" s="774"/>
      <c r="AC51" s="774"/>
      <c r="AD51" s="774"/>
      <c r="AE51" s="774"/>
      <c r="AF51" s="774"/>
      <c r="AG51" s="774"/>
      <c r="AH51" s="774"/>
      <c r="AI51" s="774"/>
      <c r="AJ51" s="774"/>
      <c r="AK51" s="774"/>
      <c r="AL51" s="774"/>
      <c r="AM51" s="774"/>
      <c r="AN51" s="774"/>
      <c r="AO51" s="774"/>
      <c r="AP51" s="774"/>
      <c r="AQ51" s="775"/>
    </row>
    <row r="52" spans="3:43" ht="15.95" customHeight="1">
      <c r="C52" s="773"/>
      <c r="D52" s="774"/>
      <c r="E52" s="774"/>
      <c r="F52" s="774"/>
      <c r="G52" s="774"/>
      <c r="H52" s="774"/>
      <c r="I52" s="774"/>
      <c r="J52" s="774"/>
      <c r="K52" s="774"/>
      <c r="L52" s="774"/>
      <c r="M52" s="774"/>
      <c r="N52" s="774"/>
      <c r="O52" s="774"/>
      <c r="P52" s="774"/>
      <c r="Q52" s="774"/>
      <c r="R52" s="774"/>
      <c r="S52" s="774"/>
      <c r="T52" s="774"/>
      <c r="U52" s="774"/>
      <c r="V52" s="774"/>
      <c r="W52" s="774"/>
      <c r="X52" s="774"/>
      <c r="Y52" s="774"/>
      <c r="Z52" s="774"/>
      <c r="AA52" s="774"/>
      <c r="AB52" s="774"/>
      <c r="AC52" s="774"/>
      <c r="AD52" s="774"/>
      <c r="AE52" s="774"/>
      <c r="AF52" s="774"/>
      <c r="AG52" s="774"/>
      <c r="AH52" s="774"/>
      <c r="AI52" s="774"/>
      <c r="AJ52" s="774"/>
      <c r="AK52" s="774"/>
      <c r="AL52" s="774"/>
      <c r="AM52" s="774"/>
      <c r="AN52" s="774"/>
      <c r="AO52" s="774"/>
      <c r="AP52" s="774"/>
      <c r="AQ52" s="775"/>
    </row>
    <row r="53" spans="3:43" ht="15.95" customHeight="1">
      <c r="C53" s="773"/>
      <c r="D53" s="774"/>
      <c r="E53" s="774"/>
      <c r="F53" s="774"/>
      <c r="G53" s="774"/>
      <c r="H53" s="774"/>
      <c r="I53" s="774"/>
      <c r="J53" s="774"/>
      <c r="K53" s="774"/>
      <c r="L53" s="774"/>
      <c r="M53" s="774"/>
      <c r="N53" s="774"/>
      <c r="O53" s="774"/>
      <c r="P53" s="774"/>
      <c r="Q53" s="774"/>
      <c r="R53" s="774"/>
      <c r="S53" s="774"/>
      <c r="T53" s="774"/>
      <c r="U53" s="774"/>
      <c r="V53" s="774"/>
      <c r="W53" s="774"/>
      <c r="X53" s="774"/>
      <c r="Y53" s="774"/>
      <c r="Z53" s="774"/>
      <c r="AA53" s="774"/>
      <c r="AB53" s="774"/>
      <c r="AC53" s="774"/>
      <c r="AD53" s="774"/>
      <c r="AE53" s="774"/>
      <c r="AF53" s="774"/>
      <c r="AG53" s="774"/>
      <c r="AH53" s="774"/>
      <c r="AI53" s="774"/>
      <c r="AJ53" s="774"/>
      <c r="AK53" s="774"/>
      <c r="AL53" s="774"/>
      <c r="AM53" s="774"/>
      <c r="AN53" s="774"/>
      <c r="AO53" s="774"/>
      <c r="AP53" s="774"/>
      <c r="AQ53" s="775"/>
    </row>
    <row r="54" spans="3:43" ht="15.95" customHeight="1">
      <c r="C54" s="773"/>
      <c r="D54" s="774"/>
      <c r="E54" s="774"/>
      <c r="F54" s="774"/>
      <c r="G54" s="774"/>
      <c r="H54" s="774"/>
      <c r="I54" s="774"/>
      <c r="J54" s="774"/>
      <c r="K54" s="774"/>
      <c r="L54" s="774"/>
      <c r="M54" s="774"/>
      <c r="N54" s="774"/>
      <c r="O54" s="774"/>
      <c r="P54" s="774"/>
      <c r="Q54" s="774"/>
      <c r="R54" s="774"/>
      <c r="S54" s="774"/>
      <c r="T54" s="774"/>
      <c r="U54" s="774"/>
      <c r="V54" s="774"/>
      <c r="W54" s="774"/>
      <c r="X54" s="774"/>
      <c r="Y54" s="774"/>
      <c r="Z54" s="774"/>
      <c r="AA54" s="774"/>
      <c r="AB54" s="774"/>
      <c r="AC54" s="774"/>
      <c r="AD54" s="774"/>
      <c r="AE54" s="774"/>
      <c r="AF54" s="774"/>
      <c r="AG54" s="774"/>
      <c r="AH54" s="774"/>
      <c r="AI54" s="774"/>
      <c r="AJ54" s="774"/>
      <c r="AK54" s="774"/>
      <c r="AL54" s="774"/>
      <c r="AM54" s="774"/>
      <c r="AN54" s="774"/>
      <c r="AO54" s="774"/>
      <c r="AP54" s="774"/>
      <c r="AQ54" s="775"/>
    </row>
    <row r="55" spans="3:43" ht="15.95" customHeight="1">
      <c r="C55" s="773"/>
      <c r="D55" s="774"/>
      <c r="E55" s="774"/>
      <c r="F55" s="774"/>
      <c r="G55" s="774"/>
      <c r="H55" s="774"/>
      <c r="I55" s="774"/>
      <c r="J55" s="774"/>
      <c r="K55" s="774"/>
      <c r="L55" s="774"/>
      <c r="M55" s="774"/>
      <c r="N55" s="774"/>
      <c r="O55" s="774"/>
      <c r="P55" s="774"/>
      <c r="Q55" s="774"/>
      <c r="R55" s="774"/>
      <c r="S55" s="774"/>
      <c r="T55" s="774"/>
      <c r="U55" s="774"/>
      <c r="V55" s="774"/>
      <c r="W55" s="774"/>
      <c r="X55" s="774"/>
      <c r="Y55" s="774"/>
      <c r="Z55" s="774"/>
      <c r="AA55" s="774"/>
      <c r="AB55" s="774"/>
      <c r="AC55" s="774"/>
      <c r="AD55" s="774"/>
      <c r="AE55" s="774"/>
      <c r="AF55" s="774"/>
      <c r="AG55" s="774"/>
      <c r="AH55" s="774"/>
      <c r="AI55" s="774"/>
      <c r="AJ55" s="774"/>
      <c r="AK55" s="774"/>
      <c r="AL55" s="774"/>
      <c r="AM55" s="774"/>
      <c r="AN55" s="774"/>
      <c r="AO55" s="774"/>
      <c r="AP55" s="774"/>
      <c r="AQ55" s="775"/>
    </row>
    <row r="56" spans="3:43" ht="15.95" customHeight="1" thickBot="1">
      <c r="C56" s="776"/>
      <c r="D56" s="777"/>
      <c r="E56" s="777"/>
      <c r="F56" s="777"/>
      <c r="G56" s="777"/>
      <c r="H56" s="777"/>
      <c r="I56" s="777"/>
      <c r="J56" s="777"/>
      <c r="K56" s="777"/>
      <c r="L56" s="777"/>
      <c r="M56" s="777"/>
      <c r="N56" s="777"/>
      <c r="O56" s="777"/>
      <c r="P56" s="777"/>
      <c r="Q56" s="777"/>
      <c r="R56" s="777"/>
      <c r="S56" s="777"/>
      <c r="T56" s="777"/>
      <c r="U56" s="777"/>
      <c r="V56" s="777"/>
      <c r="W56" s="777"/>
      <c r="X56" s="777"/>
      <c r="Y56" s="777"/>
      <c r="Z56" s="777"/>
      <c r="AA56" s="777"/>
      <c r="AB56" s="777"/>
      <c r="AC56" s="777"/>
      <c r="AD56" s="777"/>
      <c r="AE56" s="777"/>
      <c r="AF56" s="777"/>
      <c r="AG56" s="777"/>
      <c r="AH56" s="777"/>
      <c r="AI56" s="777"/>
      <c r="AJ56" s="777"/>
      <c r="AK56" s="777"/>
      <c r="AL56" s="777"/>
      <c r="AM56" s="777"/>
      <c r="AN56" s="777"/>
      <c r="AO56" s="777"/>
      <c r="AP56" s="777"/>
      <c r="AQ56" s="778"/>
    </row>
    <row r="57" spans="3:43" ht="15.95" customHeight="1"/>
    <row r="58" spans="3:43" ht="15.95" hidden="1" customHeight="1"/>
    <row r="59" spans="3:43" ht="15.95" hidden="1" customHeight="1"/>
    <row r="60" spans="3:43" ht="15.95" hidden="1" customHeight="1"/>
    <row r="61" spans="3:43" ht="15.95" hidden="1" customHeight="1"/>
    <row r="62" spans="3:43" ht="15.95" hidden="1" customHeight="1"/>
    <row r="63" spans="3:43" ht="15.95" hidden="1" customHeight="1"/>
    <row r="64" spans="3:43" ht="15.95" hidden="1" customHeight="1"/>
    <row r="65" ht="15.95" hidden="1" customHeight="1"/>
    <row r="66" ht="15.95" hidden="1" customHeight="1"/>
    <row r="67" ht="15.95" hidden="1" customHeight="1"/>
    <row r="68" ht="15.95" hidden="1" customHeight="1"/>
    <row r="69" ht="15.95" hidden="1" customHeight="1"/>
    <row r="70" ht="15.95" hidden="1" customHeight="1"/>
    <row r="71" ht="15.95" hidden="1" customHeight="1"/>
    <row r="72" ht="15.95" hidden="1" customHeight="1"/>
    <row r="73" ht="15.95" hidden="1" customHeight="1"/>
    <row r="74" ht="15.95" hidden="1" customHeight="1"/>
    <row r="75" ht="15.95" hidden="1" customHeight="1"/>
    <row r="76" ht="15.95" hidden="1" customHeight="1"/>
    <row r="77" ht="15.95" hidden="1" customHeight="1"/>
    <row r="78" ht="15.95" hidden="1" customHeight="1"/>
    <row r="79" ht="15.95" hidden="1" customHeight="1"/>
    <row r="80" ht="15.95" hidden="1" customHeight="1"/>
    <row r="81" ht="15.95" hidden="1" customHeight="1"/>
    <row r="82" ht="15.95" hidden="1" customHeight="1"/>
    <row r="83" ht="15.95" hidden="1" customHeight="1"/>
    <row r="84" ht="15.95" hidden="1" customHeight="1"/>
    <row r="85" ht="15.95" hidden="1" customHeight="1"/>
    <row r="86" ht="15.95" hidden="1" customHeight="1"/>
    <row r="87" ht="15.95" hidden="1" customHeight="1"/>
    <row r="88" ht="15.95" hidden="1" customHeight="1"/>
    <row r="89" ht="15.95" hidden="1" customHeight="1"/>
    <row r="90" ht="15.95" hidden="1" customHeight="1"/>
    <row r="91" ht="15.95" hidden="1" customHeight="1"/>
    <row r="92" ht="15.95" hidden="1" customHeight="1"/>
    <row r="93" ht="15.95" hidden="1" customHeight="1"/>
    <row r="94" ht="15.95" hidden="1" customHeight="1"/>
    <row r="95" ht="15.95" hidden="1" customHeight="1"/>
    <row r="96" ht="15.95" hidden="1" customHeight="1"/>
    <row r="97" ht="15.95" hidden="1" customHeight="1"/>
    <row r="98" ht="15.95" hidden="1" customHeight="1"/>
    <row r="99" ht="15.95" hidden="1" customHeight="1"/>
    <row r="100" ht="15.95" hidden="1" customHeight="1"/>
    <row r="101" ht="15.95" hidden="1" customHeight="1"/>
    <row r="102" ht="15.95" hidden="1" customHeight="1"/>
    <row r="103" ht="15.95" hidden="1" customHeight="1"/>
    <row r="104" ht="15.95" hidden="1" customHeight="1"/>
    <row r="105" ht="15.95" hidden="1" customHeight="1"/>
    <row r="106" ht="15.95" hidden="1" customHeight="1"/>
    <row r="107" ht="15.95" hidden="1" customHeight="1"/>
    <row r="108" ht="15.95" hidden="1" customHeight="1"/>
    <row r="109" ht="15.95" hidden="1" customHeight="1"/>
    <row r="110" ht="15.95" hidden="1" customHeight="1"/>
    <row r="111" ht="15.95" hidden="1" customHeight="1"/>
    <row r="112" ht="15.95" hidden="1" customHeight="1"/>
    <row r="113" ht="15.95" hidden="1" customHeight="1"/>
    <row r="114" ht="15.95" hidden="1" customHeight="1"/>
    <row r="115" ht="15.95" hidden="1" customHeight="1"/>
    <row r="116" ht="15.95" hidden="1" customHeight="1"/>
    <row r="117" ht="15.95" hidden="1" customHeight="1"/>
    <row r="118" ht="15.95" hidden="1" customHeight="1"/>
    <row r="119" ht="15.95" hidden="1" customHeight="1"/>
    <row r="120" ht="15.95" hidden="1" customHeight="1"/>
    <row r="121" ht="15.95" hidden="1" customHeight="1"/>
    <row r="122" ht="15.95" hidden="1" customHeight="1"/>
    <row r="123" ht="15.95" hidden="1" customHeight="1"/>
    <row r="124" ht="15.95" hidden="1" customHeight="1"/>
    <row r="125" ht="15.95" hidden="1" customHeight="1"/>
    <row r="126" ht="15.95" hidden="1" customHeight="1"/>
    <row r="127" ht="15.95" hidden="1" customHeight="1"/>
    <row r="128" ht="15.95" hidden="1" customHeight="1"/>
    <row r="129" ht="15.95" hidden="1" customHeight="1"/>
    <row r="130" ht="15.95" hidden="1" customHeight="1"/>
    <row r="131" ht="15.95" hidden="1" customHeight="1"/>
    <row r="132" ht="15.95" hidden="1" customHeight="1"/>
    <row r="133" ht="15.95" hidden="1" customHeight="1"/>
    <row r="134" ht="15.95" hidden="1" customHeight="1"/>
    <row r="135" ht="15.95" hidden="1" customHeight="1"/>
    <row r="136" ht="15.95" hidden="1" customHeight="1"/>
    <row r="137" ht="15.95" hidden="1" customHeight="1"/>
    <row r="138" ht="15.95" hidden="1" customHeight="1"/>
    <row r="139" ht="15.95" hidden="1" customHeight="1"/>
    <row r="140" ht="15.95" hidden="1" customHeight="1"/>
    <row r="141" ht="15.95" hidden="1" customHeight="1"/>
    <row r="142" ht="15.95" hidden="1" customHeight="1"/>
    <row r="143" ht="15.95" hidden="1" customHeight="1"/>
    <row r="144" ht="15.95" hidden="1" customHeight="1"/>
    <row r="145" ht="15.95" hidden="1" customHeight="1"/>
    <row r="146" ht="15.95" hidden="1" customHeight="1"/>
    <row r="147" ht="15.95" hidden="1" customHeight="1"/>
    <row r="148" ht="15.95" hidden="1" customHeight="1"/>
    <row r="149" ht="15.95" hidden="1" customHeight="1"/>
    <row r="150" ht="15.95" hidden="1" customHeight="1"/>
    <row r="151" ht="15.95" hidden="1" customHeight="1"/>
    <row r="152" ht="15.95" hidden="1" customHeight="1"/>
    <row r="153" ht="15.95" hidden="1" customHeight="1"/>
    <row r="154" ht="15.95" hidden="1" customHeight="1"/>
    <row r="155" ht="15.95" hidden="1" customHeight="1"/>
    <row r="156" ht="15.95" hidden="1" customHeight="1"/>
    <row r="157" ht="15.95" hidden="1" customHeight="1"/>
    <row r="158" ht="15.95" hidden="1" customHeight="1"/>
    <row r="159" ht="15.95" hidden="1" customHeight="1"/>
    <row r="160" ht="15.95" hidden="1" customHeight="1"/>
    <row r="161" ht="15.95" hidden="1" customHeight="1"/>
    <row r="162" ht="15.95" hidden="1" customHeight="1"/>
    <row r="163" ht="15.95" hidden="1" customHeight="1"/>
    <row r="164" ht="15.95" hidden="1" customHeight="1"/>
    <row r="165" ht="15.95" hidden="1" customHeight="1"/>
    <row r="166" ht="15.95" hidden="1" customHeight="1"/>
    <row r="167" ht="15.95" hidden="1" customHeight="1"/>
    <row r="168" ht="15.95" hidden="1" customHeight="1"/>
    <row r="169" ht="15.95" hidden="1" customHeight="1"/>
    <row r="170" ht="15.95" hidden="1" customHeight="1"/>
    <row r="171" ht="15.95" hidden="1" customHeight="1"/>
    <row r="172" ht="15.95" hidden="1" customHeight="1"/>
    <row r="173" ht="15.95" hidden="1" customHeight="1"/>
    <row r="174" ht="15.95" hidden="1" customHeight="1"/>
    <row r="175" ht="15.95" hidden="1" customHeight="1"/>
    <row r="176" ht="15.95" hidden="1" customHeight="1"/>
    <row r="177" ht="15.95" hidden="1" customHeight="1"/>
    <row r="178" ht="15.95" hidden="1" customHeight="1"/>
    <row r="179" ht="15.95" hidden="1" customHeight="1"/>
    <row r="180" ht="15.95" hidden="1" customHeight="1"/>
    <row r="181" ht="15.95" hidden="1" customHeight="1"/>
    <row r="182" ht="15.95" hidden="1" customHeight="1"/>
    <row r="183" ht="15.95" hidden="1" customHeight="1"/>
    <row r="184" ht="15.95" hidden="1" customHeight="1"/>
    <row r="185" ht="15.95" hidden="1" customHeight="1"/>
    <row r="186" ht="15.95" hidden="1" customHeight="1"/>
    <row r="187" ht="15.95" hidden="1" customHeight="1"/>
    <row r="188" ht="15.95" hidden="1" customHeight="1"/>
    <row r="189" ht="15.95" hidden="1" customHeight="1"/>
    <row r="190" ht="15.95" hidden="1" customHeight="1"/>
    <row r="191" ht="15.95" hidden="1" customHeight="1"/>
    <row r="192" ht="15.95" hidden="1" customHeight="1"/>
    <row r="193" spans="2:44" ht="15.95" hidden="1" customHeight="1"/>
    <row r="194" spans="2:44" ht="15.95" hidden="1" customHeight="1"/>
    <row r="195" spans="2:44" ht="15.95" hidden="1" customHeight="1"/>
    <row r="196" spans="2:44" ht="15.95" hidden="1" customHeight="1"/>
    <row r="197" spans="2:44" ht="15.95" hidden="1" customHeight="1"/>
    <row r="198" spans="2:44" ht="15.95" hidden="1" customHeight="1"/>
    <row r="199" spans="2:44" ht="15.95" hidden="1" customHeight="1"/>
    <row r="200" spans="2:44" ht="15.95" customHeight="1">
      <c r="B200" s="272" t="str">
        <f>FOOT1</f>
        <v>NIPSCO Energy Efficiency Program</v>
      </c>
      <c r="C200" s="272"/>
      <c r="D200" s="272"/>
      <c r="E200" s="272"/>
      <c r="F200" s="272"/>
      <c r="G200" s="272"/>
      <c r="H200" s="272"/>
      <c r="I200" s="272"/>
      <c r="J200" s="272"/>
      <c r="K200" s="272"/>
      <c r="L200" s="272"/>
      <c r="M200" s="661" t="str">
        <f>FOOT4</f>
        <v>NIPSCO’s energy efficiency programs are administered by TRC, a third‐party implementation specialist that helps homes and businesses save energy.</v>
      </c>
      <c r="N200" s="661"/>
      <c r="O200" s="661"/>
      <c r="P200" s="661"/>
      <c r="Q200" s="661"/>
      <c r="R200" s="661"/>
      <c r="S200" s="661"/>
      <c r="T200" s="661"/>
      <c r="U200" s="661"/>
      <c r="V200" s="661"/>
      <c r="W200" s="661"/>
      <c r="X200" s="661"/>
      <c r="Y200" s="661"/>
      <c r="Z200" s="661"/>
      <c r="AA200" s="661"/>
      <c r="AB200" s="661"/>
      <c r="AC200" s="661"/>
      <c r="AD200" s="661"/>
      <c r="AE200" s="661"/>
      <c r="AF200" s="661"/>
      <c r="AG200" s="661"/>
      <c r="AH200" s="272"/>
      <c r="AI200" s="272"/>
      <c r="AJ200" s="272"/>
      <c r="AK200" s="272"/>
      <c r="AL200" s="272"/>
      <c r="AM200" s="272"/>
      <c r="AN200" s="272"/>
      <c r="AO200" s="272"/>
      <c r="AP200" s="272"/>
      <c r="AQ200" s="272"/>
      <c r="AR200" s="273" t="str">
        <f>FOOTDISCLAIM</f>
        <v/>
      </c>
    </row>
    <row r="201" spans="2:44" ht="15.95" customHeight="1">
      <c r="B201" s="272" t="str">
        <f>FOOT2</f>
        <v>Toll-Free 800-299-2501</v>
      </c>
      <c r="C201" s="272"/>
      <c r="D201" s="272"/>
      <c r="E201" s="272"/>
      <c r="F201" s="272"/>
      <c r="G201" s="272"/>
      <c r="H201" s="272"/>
      <c r="I201" s="272"/>
      <c r="J201" s="272"/>
      <c r="K201" s="272"/>
      <c r="L201" s="272"/>
      <c r="M201" s="661"/>
      <c r="N201" s="661"/>
      <c r="O201" s="661"/>
      <c r="P201" s="661"/>
      <c r="Q201" s="661"/>
      <c r="R201" s="661"/>
      <c r="S201" s="661"/>
      <c r="T201" s="661"/>
      <c r="U201" s="661"/>
      <c r="V201" s="661"/>
      <c r="W201" s="661"/>
      <c r="X201" s="661"/>
      <c r="Y201" s="661"/>
      <c r="Z201" s="661"/>
      <c r="AA201" s="661"/>
      <c r="AB201" s="661"/>
      <c r="AC201" s="661"/>
      <c r="AD201" s="661"/>
      <c r="AE201" s="661"/>
      <c r="AF201" s="661"/>
      <c r="AG201" s="661"/>
      <c r="AH201" s="272"/>
      <c r="AI201" s="272"/>
      <c r="AJ201" s="272"/>
      <c r="AK201" s="272"/>
      <c r="AL201" s="272"/>
      <c r="AM201" s="272"/>
      <c r="AN201" s="272"/>
      <c r="AO201" s="272"/>
      <c r="AP201" s="272"/>
      <c r="AQ201" s="272"/>
      <c r="AR201" s="273" t="str">
        <f>FOOT5</f>
        <v/>
      </c>
    </row>
    <row r="202" spans="2:44" ht="15.95" customHeight="1">
      <c r="B202" s="281" t="s">
        <v>1547</v>
      </c>
      <c r="C202" s="272"/>
      <c r="D202" s="272"/>
      <c r="E202" s="272"/>
      <c r="F202" s="272"/>
      <c r="G202" s="272"/>
      <c r="H202" s="272"/>
      <c r="I202" s="272"/>
      <c r="J202" s="272"/>
      <c r="K202" s="272"/>
      <c r="L202" s="272"/>
      <c r="M202" s="274"/>
      <c r="N202" s="272"/>
      <c r="O202" s="272"/>
      <c r="P202" s="274"/>
      <c r="Q202" s="274"/>
      <c r="R202" s="274"/>
      <c r="S202" s="274"/>
      <c r="T202" s="274"/>
      <c r="U202" s="274"/>
      <c r="V202" s="274"/>
      <c r="W202" s="275" t="str">
        <f>VERSION</f>
        <v>Custom Prescriptive Application v3.7.1</v>
      </c>
      <c r="X202" s="274"/>
      <c r="Y202" s="274"/>
      <c r="Z202" s="274"/>
      <c r="AA202" s="274"/>
      <c r="AB202" s="274"/>
      <c r="AC202" s="274"/>
      <c r="AD202" s="274"/>
      <c r="AE202" s="272"/>
      <c r="AF202" s="272"/>
      <c r="AG202" s="272"/>
      <c r="AH202" s="272"/>
      <c r="AI202" s="272"/>
      <c r="AJ202" s="272"/>
      <c r="AK202" s="272"/>
      <c r="AL202" s="272"/>
      <c r="AM202" s="272"/>
      <c r="AN202" s="272"/>
      <c r="AO202" s="272"/>
      <c r="AP202" s="272"/>
      <c r="AQ202" s="272"/>
      <c r="AR202" s="273" t="str">
        <f>FOOT6</f>
        <v>Product of TRC</v>
      </c>
    </row>
  </sheetData>
  <sheetProtection algorithmName="SHA-512" hashValue="fvDI6NI/ZXtU6Nh1uDX/1Zs/pncz1S6dGve/JRfLr5GNNS4UhkW7CBziNiX5OTkelqHblyZqPBYZr43K9kTNbQ==" saltValue="fwbJe3113CnTR3Y5syrE+A==" spinCount="100000" sheet="1" objects="1" scenarios="1" selectLockedCells="1"/>
  <mergeCells count="112">
    <mergeCell ref="X43:AC43"/>
    <mergeCell ref="Q39:V39"/>
    <mergeCell ref="C18:H18"/>
    <mergeCell ref="J18:O18"/>
    <mergeCell ref="AL18:AQ18"/>
    <mergeCell ref="J36:O36"/>
    <mergeCell ref="Q36:V36"/>
    <mergeCell ref="X36:AC36"/>
    <mergeCell ref="X42:AC42"/>
    <mergeCell ref="F26:AN26"/>
    <mergeCell ref="F27:AN28"/>
    <mergeCell ref="C30:H30"/>
    <mergeCell ref="J30:O30"/>
    <mergeCell ref="C31:H31"/>
    <mergeCell ref="J31:O31"/>
    <mergeCell ref="AB31:AC31"/>
    <mergeCell ref="AE33:AJ33"/>
    <mergeCell ref="C36:H36"/>
    <mergeCell ref="C37:H37"/>
    <mergeCell ref="C39:H39"/>
    <mergeCell ref="C40:H40"/>
    <mergeCell ref="C42:H42"/>
    <mergeCell ref="C33:H33"/>
    <mergeCell ref="C43:H43"/>
    <mergeCell ref="M200:AG201"/>
    <mergeCell ref="AL40:AQ40"/>
    <mergeCell ref="J39:O39"/>
    <mergeCell ref="AL36:AQ36"/>
    <mergeCell ref="X39:AC39"/>
    <mergeCell ref="AE39:AJ39"/>
    <mergeCell ref="AL39:AQ39"/>
    <mergeCell ref="J40:O40"/>
    <mergeCell ref="AL37:AQ37"/>
    <mergeCell ref="Q40:V40"/>
    <mergeCell ref="X40:AC40"/>
    <mergeCell ref="AE40:AJ40"/>
    <mergeCell ref="J42:O42"/>
    <mergeCell ref="AL46:AQ46"/>
    <mergeCell ref="AL45:AQ45"/>
    <mergeCell ref="X46:AC46"/>
    <mergeCell ref="Q37:V37"/>
    <mergeCell ref="X37:AC37"/>
    <mergeCell ref="AL42:AQ42"/>
    <mergeCell ref="J43:O43"/>
    <mergeCell ref="Q43:V43"/>
    <mergeCell ref="AL43:AQ43"/>
    <mergeCell ref="Q42:V42"/>
    <mergeCell ref="AE43:AJ43"/>
    <mergeCell ref="C45:H45"/>
    <mergeCell ref="J45:O45"/>
    <mergeCell ref="Q45:V45"/>
    <mergeCell ref="X45:AC45"/>
    <mergeCell ref="C46:H46"/>
    <mergeCell ref="J46:O46"/>
    <mergeCell ref="Q46:V46"/>
    <mergeCell ref="C48:H48"/>
    <mergeCell ref="C49:AQ56"/>
    <mergeCell ref="AE17:AJ17"/>
    <mergeCell ref="Q18:V18"/>
    <mergeCell ref="X18:AC18"/>
    <mergeCell ref="AE18:AJ18"/>
    <mergeCell ref="AL33:AQ33"/>
    <mergeCell ref="J33:O33"/>
    <mergeCell ref="Q33:V33"/>
    <mergeCell ref="X34:AC34"/>
    <mergeCell ref="AE34:AJ34"/>
    <mergeCell ref="AL34:AQ34"/>
    <mergeCell ref="X33:AC33"/>
    <mergeCell ref="C17:H17"/>
    <mergeCell ref="J17:O17"/>
    <mergeCell ref="Q17:V17"/>
    <mergeCell ref="X17:AC17"/>
    <mergeCell ref="C34:H34"/>
    <mergeCell ref="J34:O34"/>
    <mergeCell ref="Q34:V34"/>
    <mergeCell ref="J37:O37"/>
    <mergeCell ref="AE37:AJ37"/>
    <mergeCell ref="AE36:AJ36"/>
    <mergeCell ref="F20:AN20"/>
    <mergeCell ref="AL16:AQ17"/>
    <mergeCell ref="C24:O24"/>
    <mergeCell ref="Q24:V24"/>
    <mergeCell ref="X24:AC24"/>
    <mergeCell ref="AE24:AJ24"/>
    <mergeCell ref="AL24:AQ24"/>
    <mergeCell ref="F21:AN21"/>
    <mergeCell ref="C23:H23"/>
    <mergeCell ref="Q23:V23"/>
    <mergeCell ref="X23:AC23"/>
    <mergeCell ref="AE23:AJ23"/>
    <mergeCell ref="AL23:AQ23"/>
    <mergeCell ref="AP31:AQ31"/>
    <mergeCell ref="AL15:AQ15"/>
    <mergeCell ref="C15:H15"/>
    <mergeCell ref="J15:O15"/>
    <mergeCell ref="Q15:V15"/>
    <mergeCell ref="X15:AC15"/>
    <mergeCell ref="AE15:AJ15"/>
    <mergeCell ref="AQ1:AR1"/>
    <mergeCell ref="AQ2:AR3"/>
    <mergeCell ref="F10:AN10"/>
    <mergeCell ref="C14:H14"/>
    <mergeCell ref="J14:O14"/>
    <mergeCell ref="Q14:V14"/>
    <mergeCell ref="X14:AC14"/>
    <mergeCell ref="AE14:AJ14"/>
    <mergeCell ref="AL14:AQ14"/>
    <mergeCell ref="F11:AN12"/>
    <mergeCell ref="AH1:AK1"/>
    <mergeCell ref="AL1:AP1"/>
    <mergeCell ref="AH2:AK3"/>
    <mergeCell ref="AL2:AP3"/>
  </mergeCells>
  <conditionalFormatting sqref="C24">
    <cfRule type="expression" dxfId="255" priority="3">
      <formula>M02S02F48="Not Applicable"</formula>
    </cfRule>
  </conditionalFormatting>
  <conditionalFormatting sqref="C34:H34 J34:O34 Q34:V34 X34:AC34 AE34:AJ34 AL34:AQ34">
    <cfRule type="expression" dxfId="254" priority="2">
      <formula>M02S02F14="Yes"</formula>
    </cfRule>
  </conditionalFormatting>
  <conditionalFormatting sqref="J37:O37 Q37:V37 X37:AC37 AE37:AJ37">
    <cfRule type="expression" dxfId="253" priority="1">
      <formula>M02S02F15="Yes"</formula>
    </cfRule>
  </conditionalFormatting>
  <conditionalFormatting sqref="Q24:V24 X24:AC24 AE24:AJ24 AL24:AQ24">
    <cfRule type="expression" dxfId="252" priority="4">
      <formula>M02S02F48="Not Applicable"</formula>
    </cfRule>
  </conditionalFormatting>
  <conditionalFormatting sqref="AH2 AL2">
    <cfRule type="expression" dxfId="251" priority="6">
      <formula>PROJSTATUS=PROJSTATELI</formula>
    </cfRule>
    <cfRule type="expression" dxfId="250" priority="7">
      <formula>PROJSTATUS=PROJSTATREVIEW</formula>
    </cfRule>
    <cfRule type="expression" dxfId="249" priority="11">
      <formula>PROJSTATUS=PROJSTATPREAPPROVE</formula>
    </cfRule>
    <cfRule type="expression" dxfId="248" priority="12">
      <formula>PROJSTATUS=PROJSTATSTANDARD</formula>
    </cfRule>
    <cfRule type="expression" dxfId="247" priority="13">
      <formula>PROJSTATUS=PROJSTATEXP</formula>
    </cfRule>
  </conditionalFormatting>
  <conditionalFormatting sqref="AQ2:AR3">
    <cfRule type="cellIs" dxfId="246" priority="8" operator="equal">
      <formula>1</formula>
    </cfRule>
    <cfRule type="cellIs" dxfId="245" priority="9" operator="between">
      <formula>0.51</formula>
      <formula>0.99</formula>
    </cfRule>
    <cfRule type="cellIs" dxfId="244" priority="10" operator="lessThanOrEqual">
      <formula>0.5</formula>
    </cfRule>
  </conditionalFormatting>
  <dataValidations count="23">
    <dataValidation type="custom" allowBlank="1" showInputMessage="1" showErrorMessage="1" error="Please enter a valid email address." sqref="C18:H19 C22:E22 AL34:AQ34" xr:uid="{00000000-0002-0000-1000-000000000000}">
      <formula1>AND(FIND(".",C18),FIND("@",C18))</formula1>
    </dataValidation>
    <dataValidation type="list" allowBlank="1" showInputMessage="1" showErrorMessage="1" sqref="AB31:AC31 AP31:AQ31" xr:uid="{89E3FEA2-9521-4729-BAC7-2597D9FE4723}">
      <formula1>"Yes,No"</formula1>
    </dataValidation>
    <dataValidation type="list" allowBlank="1" showInputMessage="1" showErrorMessage="1" sqref="AL37:AQ37" xr:uid="{B27A6DA6-67E8-43BA-807C-5A9904BB39E7}">
      <formula1>"Owner,Tenant"</formula1>
    </dataValidation>
    <dataValidation type="list" allowBlank="1" showInputMessage="1" showErrorMessage="1" sqref="X18:AC19" xr:uid="{00000000-0002-0000-1000-000005000000}">
      <formula1>STATESABBREV</formula1>
    </dataValidation>
    <dataValidation type="list" allowBlank="1" showInputMessage="1" showErrorMessage="1" sqref="J40:O40" xr:uid="{F11D59D4-CE29-475F-AA97-7CBC48A0B4A3}">
      <formula1>BLDGSPCTypeList</formula1>
    </dataValidation>
    <dataValidation type="list" allowBlank="1" showInputMessage="1" showErrorMessage="1" sqref="C43:H43" xr:uid="{94B0CA54-061D-496F-A844-D9B1E917E656}">
      <formula1>SHEAT</formula1>
    </dataValidation>
    <dataValidation type="list" allowBlank="1" showInputMessage="1" showErrorMessage="1" sqref="J43:O43" xr:uid="{835AD309-D327-4340-9FEC-B3D633D37796}">
      <formula1>WHEAT</formula1>
    </dataValidation>
    <dataValidation type="list" allowBlank="1" showInputMessage="1" showErrorMessage="1" sqref="C31:H31" xr:uid="{5B76F627-2A2A-459B-89D3-44618E8DCAB3}">
      <formula1>PROGRAM</formula1>
    </dataValidation>
    <dataValidation allowBlank="1" showInputMessage="1" showErrorMessage="1" prompt="Provide a project name or ID for the project you are applying for." sqref="J31:O31" xr:uid="{3A2CBD3C-CF87-4EB0-98E6-A9E845F4F63A}"/>
    <dataValidation allowBlank="1" showInputMessage="1" showErrorMessage="1" prompt="Please consult your utility bill for your account rate (Use your total monthly cost divided by your total kWh).  This number is an estimate based on EIA data." sqref="Q43:V43 X43:AC43" xr:uid="{3E3029CF-D9A9-4378-835E-33A2DDB87EA4}"/>
    <dataValidation type="textLength" operator="lessThanOrEqual" allowBlank="1" showInputMessage="1" showErrorMessage="1" error="Please enter your 10 digit account number without the leading zeros." prompt="Please enter your 10 digit Account Number as shown on your utility bill. Enter account numbers without space or dash." sqref="C46:H46 J46:O46" xr:uid="{0B4CB6B0-30F6-451A-B63D-38512766CC7D}">
      <formula1>10</formula1>
    </dataValidation>
    <dataValidation type="decimal" operator="greaterThanOrEqual" allowBlank="1" showErrorMessage="1" error="Please enter a valid numerical value." sqref="AL40:AQ40" xr:uid="{CE3E2C09-4029-44E4-9432-470BBF9D347D}">
      <formula1>0</formula1>
    </dataValidation>
    <dataValidation type="textLength" allowBlank="1" showInputMessage="1" showErrorMessage="1" error="Please enter a valid phone number." sqref="AE15:AJ15 AL15:AQ15" xr:uid="{00000000-0002-0000-1000-000010000000}">
      <formula1>7</formula1>
      <formula2>15</formula2>
    </dataValidation>
    <dataValidation type="list" allowBlank="1" showInputMessage="1" showErrorMessage="1" sqref="AL18:AQ18" xr:uid="{00000000-0002-0000-1000-000012000000}">
      <formula1>CUSTINFOLIST</formula1>
    </dataValidation>
    <dataValidation type="list" allowBlank="1" showInputMessage="1" showErrorMessage="1" sqref="C24" xr:uid="{371D2E5D-9B0B-4D69-B6CC-7F55AAB4B90A}">
      <formula1>DIVERSITYBUSTYPE</formula1>
    </dataValidation>
    <dataValidation type="list" allowBlank="1" showInputMessage="1" showErrorMessage="1" sqref="Q24:V24" xr:uid="{B636228D-FAFF-4B23-800D-74652E0A21B0}">
      <formula1>DIVERSITYORG</formula1>
    </dataValidation>
    <dataValidation type="date" operator="greaterThan" allowBlank="1" showInputMessage="1" showErrorMessage="1" sqref="AE24:AJ24" xr:uid="{9873EFD2-ED17-44D1-A34E-EC52C9069544}">
      <formula1>36526</formula1>
    </dataValidation>
    <dataValidation type="date" operator="lessThanOrEqual" allowBlank="1" showInputMessage="1" showErrorMessage="1" sqref="AL24:AQ24" xr:uid="{69B8874D-8256-410F-AFBC-F5A9292D168B}">
      <formula1>73051</formula1>
    </dataValidation>
    <dataValidation type="textLength" operator="lessThanOrEqual" allowBlank="1" showInputMessage="1" showErrorMessage="1" error="Please enter your 10 digit account number without the leading zeros." prompt="Please enter your 7 digit Meter Number as shown on your utility bill." sqref="X46:AC46 Q46:V46" xr:uid="{48F1B97F-22CD-451F-A7CC-168D55A98DA0}">
      <formula1>10</formula1>
    </dataValidation>
    <dataValidation allowBlank="1" showInputMessage="1" prompt="Provide a site name for this project for easy reference in future communications." sqref="C37:H37" xr:uid="{9DCA80A0-8E35-463A-B268-9177C6C77B79}"/>
    <dataValidation type="list" allowBlank="1" showInputMessage="1" showErrorMessage="1" sqref="X37:AC37" xr:uid="{FEA38A6A-72DE-417A-9E04-EFBF090C0AAF}">
      <formula1>"IN"</formula1>
    </dataValidation>
    <dataValidation type="whole" operator="lessThanOrEqual" allowBlank="1" showInputMessage="1" showErrorMessage="1" sqref="Q40:V40" xr:uid="{AD14AF0A-A210-4B49-953E-B668EDF829B5}">
      <formula1>8760</formula1>
    </dataValidation>
    <dataValidation type="list" allowBlank="1" showInputMessage="1" showErrorMessage="1" sqref="C40:H40" xr:uid="{C80DEDCF-E9A9-42CA-A1F4-641F9F2DECB5}">
      <formula1>IF(ISBLANK(M02S02F26),DTBuildingType,"")</formula1>
    </dataValidation>
  </dataValidations>
  <hyperlinks>
    <hyperlink ref="B202" r:id="rId1" xr:uid="{7A9B16B9-AFDF-4A19-B6DF-98413EF879B0}"/>
  </hyperlinks>
  <pageMargins left="0.25" right="0.25" top="0.25" bottom="0.25" header="0.25" footer="0.25"/>
  <pageSetup scale="62" fitToHeight="0" orientation="landscape" r:id="rId2"/>
  <drawing r:id="rId3"/>
  <extLst>
    <ext xmlns:x14="http://schemas.microsoft.com/office/spreadsheetml/2009/9/main" uri="{CCE6A557-97BC-4b89-ADB6-D9C93CAAB3DF}">
      <x14:dataValidations xmlns:xm="http://schemas.microsoft.com/office/excel/2006/main" count="1">
        <x14:dataValidation type="list" allowBlank="1" showInputMessage="1" showErrorMessage="1" xr:uid="{7F97CB64-F7D9-4DBE-89DE-728B92F56E2A}">
          <x14:formula1>
            <xm:f>'DATA TABLES'!$A$100:$A$102</xm:f>
          </x14:formula1>
          <xm:sqref>AE43:AJ43</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1">
    <pageSetUpPr fitToPage="1"/>
  </sheetPr>
  <dimension ref="A1:AS202"/>
  <sheetViews>
    <sheetView showGridLines="0" showRowColHeaders="0" zoomScale="85" zoomScaleNormal="85" workbookViewId="0">
      <selection activeCell="C14" sqref="C14:H14"/>
    </sheetView>
  </sheetViews>
  <sheetFormatPr defaultColWidth="0" defaultRowHeight="15" customHeight="1" zeroHeight="1"/>
  <cols>
    <col min="1" max="45" width="4.7109375" customWidth="1"/>
    <col min="46" max="78" width="9.140625" hidden="1" customWidth="1"/>
    <col min="79" max="16384" width="9.140625" hidden="1"/>
  </cols>
  <sheetData>
    <row r="1" spans="3:44" ht="15.95" customHeight="1">
      <c r="AH1" s="686" t="s">
        <v>471</v>
      </c>
      <c r="AI1" s="686"/>
      <c r="AJ1" s="686"/>
      <c r="AK1" s="686"/>
      <c r="AL1" s="687" t="s">
        <v>736</v>
      </c>
      <c r="AM1" s="687"/>
      <c r="AN1" s="687"/>
      <c r="AO1" s="687"/>
      <c r="AP1" s="687"/>
      <c r="AQ1" s="683" t="s">
        <v>474</v>
      </c>
      <c r="AR1" s="683"/>
    </row>
    <row r="2" spans="3:44" ht="15.95" customHeight="1">
      <c r="AH2" s="688" t="str">
        <f ca="1">INCENSTATUS</f>
        <v>---</v>
      </c>
      <c r="AI2" s="689"/>
      <c r="AJ2" s="689"/>
      <c r="AK2" s="689"/>
      <c r="AL2" s="690" t="str">
        <f ca="1">PROJSTATUS</f>
        <v>Enter Measures</v>
      </c>
      <c r="AM2" s="690"/>
      <c r="AN2" s="690"/>
      <c r="AO2" s="690"/>
      <c r="AP2" s="690"/>
      <c r="AQ2" s="684">
        <f ca="1">PROGRESSSTATUS</f>
        <v>2.8985507246376812E-2</v>
      </c>
      <c r="AR2" s="685"/>
    </row>
    <row r="3" spans="3:44" ht="15.95" customHeight="1">
      <c r="AH3" s="680"/>
      <c r="AI3" s="681"/>
      <c r="AJ3" s="681"/>
      <c r="AK3" s="681"/>
      <c r="AL3" s="673"/>
      <c r="AM3" s="673"/>
      <c r="AN3" s="673"/>
      <c r="AO3" s="673"/>
      <c r="AP3" s="673"/>
      <c r="AQ3" s="667"/>
      <c r="AR3" s="668"/>
    </row>
    <row r="4" spans="3:44" ht="15.95" customHeight="1">
      <c r="AR4" s="171"/>
    </row>
    <row r="5" spans="3:44" ht="15.95" customHeight="1"/>
    <row r="6" spans="3:44" ht="15.95" customHeight="1"/>
    <row r="7" spans="3:44" ht="15.95" customHeight="1"/>
    <row r="8" spans="3:44" ht="15.95" customHeight="1"/>
    <row r="9" spans="3:44" ht="15.95" customHeight="1">
      <c r="C9" s="59"/>
      <c r="D9" s="59"/>
      <c r="E9" s="59"/>
      <c r="F9" s="59"/>
      <c r="G9" s="59"/>
      <c r="H9" s="59"/>
      <c r="I9" s="59"/>
      <c r="J9" s="59"/>
      <c r="K9" s="59"/>
      <c r="L9" s="59"/>
      <c r="M9" s="59"/>
      <c r="N9" s="59"/>
      <c r="O9" s="59"/>
      <c r="P9" s="59"/>
      <c r="Q9" s="59"/>
      <c r="R9" s="59"/>
      <c r="S9" s="59"/>
      <c r="T9" s="59"/>
      <c r="U9" s="59"/>
      <c r="V9" s="59"/>
      <c r="W9" s="59"/>
      <c r="X9" s="59"/>
      <c r="Y9" s="59"/>
      <c r="Z9" s="59"/>
      <c r="AA9" s="59"/>
      <c r="AB9" s="59"/>
      <c r="AC9" s="59"/>
      <c r="AD9" s="59"/>
      <c r="AE9" s="59"/>
      <c r="AF9" s="59"/>
      <c r="AG9" s="59"/>
      <c r="AH9" s="59"/>
      <c r="AI9" s="59"/>
      <c r="AJ9" s="59"/>
      <c r="AK9" s="59"/>
      <c r="AL9" s="59"/>
      <c r="AM9" s="59"/>
      <c r="AN9" s="59"/>
      <c r="AO9" s="59"/>
      <c r="AP9" s="59"/>
      <c r="AQ9" s="59"/>
    </row>
    <row r="10" spans="3:44" ht="15.95" customHeight="1">
      <c r="C10" s="59"/>
      <c r="D10" s="59"/>
      <c r="E10" s="59"/>
      <c r="F10" s="691" t="s">
        <v>851</v>
      </c>
      <c r="G10" s="691"/>
      <c r="H10" s="691"/>
      <c r="I10" s="691"/>
      <c r="J10" s="691"/>
      <c r="K10" s="691"/>
      <c r="L10" s="691"/>
      <c r="M10" s="691"/>
      <c r="N10" s="691"/>
      <c r="O10" s="691"/>
      <c r="P10" s="691"/>
      <c r="Q10" s="691"/>
      <c r="R10" s="691"/>
      <c r="S10" s="691"/>
      <c r="T10" s="691"/>
      <c r="U10" s="691"/>
      <c r="V10" s="691"/>
      <c r="W10" s="691"/>
      <c r="X10" s="691"/>
      <c r="Y10" s="691"/>
      <c r="Z10" s="691"/>
      <c r="AA10" s="691"/>
      <c r="AB10" s="691"/>
      <c r="AC10" s="691"/>
      <c r="AD10" s="691"/>
      <c r="AE10" s="691"/>
      <c r="AF10" s="691"/>
      <c r="AG10" s="691"/>
      <c r="AH10" s="691"/>
      <c r="AI10" s="691"/>
      <c r="AJ10" s="691"/>
      <c r="AK10" s="691"/>
      <c r="AL10" s="691"/>
      <c r="AM10" s="691"/>
      <c r="AN10" s="691"/>
      <c r="AO10" s="59"/>
      <c r="AP10" s="59"/>
      <c r="AQ10" s="59"/>
    </row>
    <row r="11" spans="3:44" ht="15.95" customHeight="1">
      <c r="C11" s="59"/>
      <c r="D11" s="59"/>
      <c r="E11" s="59"/>
      <c r="F11" s="793" t="s">
        <v>904</v>
      </c>
      <c r="G11" s="793"/>
      <c r="H11" s="793"/>
      <c r="I11" s="793"/>
      <c r="J11" s="793"/>
      <c r="K11" s="793"/>
      <c r="L11" s="793"/>
      <c r="M11" s="793"/>
      <c r="N11" s="793"/>
      <c r="O11" s="793"/>
      <c r="P11" s="793"/>
      <c r="Q11" s="793"/>
      <c r="R11" s="793"/>
      <c r="S11" s="793"/>
      <c r="T11" s="793"/>
      <c r="U11" s="793"/>
      <c r="V11" s="793"/>
      <c r="W11" s="793"/>
      <c r="X11" s="793"/>
      <c r="Y11" s="793"/>
      <c r="Z11" s="793"/>
      <c r="AA11" s="793"/>
      <c r="AB11" s="793"/>
      <c r="AC11" s="793"/>
      <c r="AD11" s="793"/>
      <c r="AE11" s="793"/>
      <c r="AF11" s="793"/>
      <c r="AG11" s="793"/>
      <c r="AH11" s="793"/>
      <c r="AI11" s="793"/>
      <c r="AJ11" s="793"/>
      <c r="AK11" s="793"/>
      <c r="AL11" s="793"/>
      <c r="AM11" s="793"/>
      <c r="AN11" s="793"/>
      <c r="AO11" s="59"/>
      <c r="AP11" s="59"/>
      <c r="AQ11" s="59"/>
    </row>
    <row r="12" spans="3:44" ht="15.95" customHeight="1">
      <c r="C12" s="59"/>
      <c r="D12" s="59"/>
      <c r="E12" s="59"/>
      <c r="F12" s="793"/>
      <c r="G12" s="793"/>
      <c r="H12" s="793"/>
      <c r="I12" s="793"/>
      <c r="J12" s="793"/>
      <c r="K12" s="793"/>
      <c r="L12" s="793"/>
      <c r="M12" s="793"/>
      <c r="N12" s="793"/>
      <c r="O12" s="793"/>
      <c r="P12" s="793"/>
      <c r="Q12" s="793"/>
      <c r="R12" s="793"/>
      <c r="S12" s="793"/>
      <c r="T12" s="793"/>
      <c r="U12" s="793"/>
      <c r="V12" s="793"/>
      <c r="W12" s="793"/>
      <c r="X12" s="793"/>
      <c r="Y12" s="793"/>
      <c r="Z12" s="793"/>
      <c r="AA12" s="793"/>
      <c r="AB12" s="793"/>
      <c r="AC12" s="793"/>
      <c r="AD12" s="793"/>
      <c r="AE12" s="793"/>
      <c r="AF12" s="793"/>
      <c r="AG12" s="793"/>
      <c r="AH12" s="793"/>
      <c r="AI12" s="793"/>
      <c r="AJ12" s="793"/>
      <c r="AK12" s="793"/>
      <c r="AL12" s="793"/>
      <c r="AM12" s="793"/>
      <c r="AN12" s="793"/>
      <c r="AO12" s="59"/>
      <c r="AP12" s="59"/>
      <c r="AQ12" s="59"/>
    </row>
    <row r="13" spans="3:44" ht="15.95" customHeight="1" thickBot="1">
      <c r="C13" s="59" t="s">
        <v>903</v>
      </c>
      <c r="D13" s="59"/>
      <c r="E13" s="59"/>
      <c r="F13" s="60"/>
      <c r="G13" s="60"/>
      <c r="H13" s="60"/>
      <c r="I13" s="60"/>
      <c r="J13" s="60"/>
      <c r="K13" s="60"/>
      <c r="L13" s="60"/>
      <c r="M13" s="60"/>
      <c r="N13" s="60"/>
      <c r="O13" s="60"/>
      <c r="P13" s="60"/>
      <c r="Q13" s="60"/>
      <c r="R13" s="60"/>
      <c r="S13" s="60"/>
      <c r="T13" s="60"/>
      <c r="U13" s="60"/>
      <c r="V13" s="60"/>
      <c r="W13" s="60"/>
      <c r="X13" s="60"/>
      <c r="Y13" s="60"/>
      <c r="Z13" s="60"/>
      <c r="AA13" s="60"/>
      <c r="AB13" s="60"/>
      <c r="AC13" s="60"/>
      <c r="AD13" s="60"/>
      <c r="AE13" s="60"/>
      <c r="AF13" s="60"/>
      <c r="AG13" s="60"/>
      <c r="AH13" s="60"/>
      <c r="AI13" s="60"/>
      <c r="AJ13" s="60"/>
      <c r="AK13" s="60"/>
      <c r="AL13" s="60"/>
      <c r="AM13" s="60"/>
      <c r="AN13" s="60"/>
      <c r="AO13" s="59"/>
      <c r="AP13" s="59"/>
      <c r="AQ13" s="59"/>
    </row>
    <row r="14" spans="3:44" ht="15.95" customHeight="1" thickBot="1">
      <c r="C14" s="760"/>
      <c r="D14" s="791"/>
      <c r="E14" s="791"/>
      <c r="F14" s="791"/>
      <c r="G14" s="791"/>
      <c r="H14" s="761"/>
      <c r="I14" s="59"/>
      <c r="P14" s="59"/>
      <c r="Q14" s="792"/>
      <c r="R14" s="792"/>
      <c r="S14" s="792"/>
      <c r="T14" s="792"/>
      <c r="U14" s="792"/>
      <c r="V14" s="792"/>
      <c r="W14" s="59"/>
      <c r="X14" s="792"/>
      <c r="Y14" s="792"/>
      <c r="Z14" s="792"/>
      <c r="AA14" s="792"/>
      <c r="AB14" s="792"/>
      <c r="AC14" s="792"/>
      <c r="AD14" s="59"/>
      <c r="AE14" s="792"/>
      <c r="AF14" s="792"/>
      <c r="AG14" s="792"/>
      <c r="AH14" s="792"/>
      <c r="AI14" s="792"/>
      <c r="AJ14" s="792"/>
      <c r="AK14" s="59"/>
      <c r="AL14" s="792"/>
      <c r="AM14" s="792"/>
      <c r="AN14" s="792"/>
      <c r="AO14" s="792"/>
      <c r="AP14" s="792"/>
      <c r="AQ14" s="792"/>
    </row>
    <row r="15" spans="3:44" ht="15.95" customHeight="1">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59"/>
      <c r="AE15" s="59"/>
      <c r="AF15" s="59"/>
      <c r="AG15" s="59"/>
      <c r="AH15" s="59"/>
      <c r="AI15" s="59"/>
      <c r="AJ15" s="59"/>
      <c r="AK15" s="59"/>
      <c r="AL15" s="59"/>
      <c r="AM15" s="59"/>
      <c r="AN15" s="59"/>
      <c r="AO15" s="59"/>
      <c r="AP15" s="59"/>
      <c r="AQ15" s="59"/>
    </row>
    <row r="16" spans="3:44" ht="15.95" customHeight="1" thickBot="1">
      <c r="C16" s="724" t="s">
        <v>905</v>
      </c>
      <c r="D16" s="724"/>
      <c r="E16" s="724"/>
      <c r="F16" s="724"/>
      <c r="G16" s="724"/>
      <c r="H16" s="724"/>
      <c r="I16" s="61"/>
      <c r="J16" s="724" t="s">
        <v>740</v>
      </c>
      <c r="K16" s="724"/>
      <c r="L16" s="724"/>
      <c r="M16" s="724"/>
      <c r="N16" s="724"/>
      <c r="O16" s="724"/>
      <c r="P16" s="61"/>
      <c r="Q16" s="724" t="s">
        <v>741</v>
      </c>
      <c r="R16" s="724"/>
      <c r="S16" s="724"/>
      <c r="T16" s="724"/>
      <c r="U16" s="724"/>
      <c r="V16" s="724"/>
      <c r="W16" s="61"/>
      <c r="X16" s="724" t="s">
        <v>742</v>
      </c>
      <c r="Y16" s="724"/>
      <c r="Z16" s="724"/>
      <c r="AA16" s="724"/>
      <c r="AB16" s="724"/>
      <c r="AC16" s="724"/>
      <c r="AD16" s="61"/>
      <c r="AE16" s="724" t="s">
        <v>743</v>
      </c>
      <c r="AF16" s="724"/>
      <c r="AG16" s="724"/>
      <c r="AH16" s="724"/>
      <c r="AI16" s="724"/>
      <c r="AJ16" s="724"/>
      <c r="AK16" s="61"/>
      <c r="AL16" s="724" t="s">
        <v>80</v>
      </c>
      <c r="AM16" s="724"/>
      <c r="AN16" s="724"/>
      <c r="AO16" s="724"/>
      <c r="AP16" s="724"/>
      <c r="AQ16" s="724"/>
    </row>
    <row r="17" spans="3:43" ht="15.95" customHeight="1" thickBot="1">
      <c r="C17" s="726"/>
      <c r="D17" s="727"/>
      <c r="E17" s="727"/>
      <c r="F17" s="727"/>
      <c r="G17" s="727"/>
      <c r="H17" s="728"/>
      <c r="I17" s="61"/>
      <c r="J17" s="726"/>
      <c r="K17" s="727"/>
      <c r="L17" s="727"/>
      <c r="M17" s="727"/>
      <c r="N17" s="727"/>
      <c r="O17" s="728"/>
      <c r="P17" s="61"/>
      <c r="Q17" s="726"/>
      <c r="R17" s="727"/>
      <c r="S17" s="727"/>
      <c r="T17" s="727"/>
      <c r="U17" s="727"/>
      <c r="V17" s="728"/>
      <c r="W17" s="61"/>
      <c r="X17" s="726"/>
      <c r="Y17" s="727"/>
      <c r="Z17" s="727"/>
      <c r="AA17" s="727"/>
      <c r="AB17" s="727"/>
      <c r="AC17" s="728"/>
      <c r="AD17" s="61"/>
      <c r="AE17" s="737"/>
      <c r="AF17" s="738"/>
      <c r="AG17" s="738"/>
      <c r="AH17" s="738"/>
      <c r="AI17" s="738"/>
      <c r="AJ17" s="739"/>
      <c r="AK17" s="61"/>
      <c r="AL17" s="737"/>
      <c r="AM17" s="738"/>
      <c r="AN17" s="738"/>
      <c r="AO17" s="738"/>
      <c r="AP17" s="738"/>
      <c r="AQ17" s="739"/>
    </row>
    <row r="18" spans="3:43" ht="15.95" customHeight="1">
      <c r="C18" s="61"/>
      <c r="D18" s="61"/>
      <c r="E18" s="61"/>
      <c r="F18" s="61"/>
      <c r="G18" s="61"/>
      <c r="H18" s="61"/>
      <c r="I18" s="61"/>
      <c r="J18" s="61"/>
      <c r="K18" s="61"/>
      <c r="L18" s="61"/>
      <c r="M18" s="61"/>
      <c r="N18" s="61"/>
      <c r="O18" s="61"/>
      <c r="P18" s="61"/>
      <c r="Q18" s="61"/>
      <c r="R18" s="61"/>
      <c r="S18" s="61"/>
      <c r="T18" s="61"/>
      <c r="U18" s="61"/>
      <c r="V18" s="61"/>
      <c r="W18" s="61"/>
      <c r="X18" s="61"/>
      <c r="Y18" s="61"/>
      <c r="Z18" s="61"/>
      <c r="AA18" s="61"/>
      <c r="AB18" s="61"/>
      <c r="AC18" s="61"/>
      <c r="AD18" s="61"/>
      <c r="AE18" s="61"/>
      <c r="AF18" s="61"/>
      <c r="AG18" s="61"/>
      <c r="AH18" s="61"/>
      <c r="AI18" s="61"/>
      <c r="AJ18" s="61"/>
      <c r="AK18" s="61"/>
      <c r="AL18" s="61"/>
      <c r="AM18" s="61"/>
      <c r="AN18" s="61"/>
      <c r="AO18" s="61"/>
      <c r="AP18" s="61"/>
      <c r="AQ18" s="61"/>
    </row>
    <row r="19" spans="3:43" ht="15.95" customHeight="1" thickBot="1">
      <c r="C19" s="724" t="s">
        <v>744</v>
      </c>
      <c r="D19" s="724"/>
      <c r="E19" s="724"/>
      <c r="F19" s="724"/>
      <c r="G19" s="724"/>
      <c r="H19" s="724"/>
      <c r="I19" s="61"/>
      <c r="J19" s="724" t="s">
        <v>759</v>
      </c>
      <c r="K19" s="724"/>
      <c r="L19" s="724"/>
      <c r="M19" s="724"/>
      <c r="N19" s="724"/>
      <c r="O19" s="724"/>
      <c r="P19" s="61"/>
      <c r="Q19" s="724" t="s">
        <v>746</v>
      </c>
      <c r="R19" s="724"/>
      <c r="S19" s="724"/>
      <c r="T19" s="724"/>
      <c r="U19" s="724"/>
      <c r="V19" s="724"/>
      <c r="W19" s="61"/>
      <c r="X19" s="724" t="s">
        <v>747</v>
      </c>
      <c r="Y19" s="724"/>
      <c r="Z19" s="724"/>
      <c r="AA19" s="724"/>
      <c r="AB19" s="724"/>
      <c r="AC19" s="724"/>
      <c r="AD19" s="61"/>
      <c r="AE19" s="724" t="s">
        <v>748</v>
      </c>
      <c r="AF19" s="724"/>
      <c r="AG19" s="724"/>
      <c r="AH19" s="724"/>
      <c r="AI19" s="724"/>
      <c r="AJ19" s="724"/>
      <c r="AK19" s="61"/>
      <c r="AL19" s="724"/>
      <c r="AM19" s="724"/>
      <c r="AN19" s="724"/>
      <c r="AO19" s="724"/>
      <c r="AP19" s="724"/>
      <c r="AQ19" s="724"/>
    </row>
    <row r="20" spans="3:43" ht="15.95" customHeight="1" thickBot="1">
      <c r="C20" s="789"/>
      <c r="D20" s="727"/>
      <c r="E20" s="727"/>
      <c r="F20" s="727"/>
      <c r="G20" s="727"/>
      <c r="H20" s="728"/>
      <c r="I20" s="61"/>
      <c r="J20" s="726"/>
      <c r="K20" s="727"/>
      <c r="L20" s="727"/>
      <c r="M20" s="727"/>
      <c r="N20" s="727"/>
      <c r="O20" s="728"/>
      <c r="P20" s="61"/>
      <c r="Q20" s="726"/>
      <c r="R20" s="727"/>
      <c r="S20" s="727"/>
      <c r="T20" s="727"/>
      <c r="U20" s="727"/>
      <c r="V20" s="728"/>
      <c r="W20" s="61"/>
      <c r="X20" s="726"/>
      <c r="Y20" s="727"/>
      <c r="Z20" s="727"/>
      <c r="AA20" s="727"/>
      <c r="AB20" s="727"/>
      <c r="AC20" s="728"/>
      <c r="AD20" s="61"/>
      <c r="AE20" s="762"/>
      <c r="AF20" s="763"/>
      <c r="AG20" s="763"/>
      <c r="AH20" s="763"/>
      <c r="AI20" s="763"/>
      <c r="AJ20" s="764"/>
      <c r="AK20" s="61"/>
      <c r="AL20" s="724"/>
      <c r="AM20" s="724"/>
      <c r="AN20" s="724"/>
      <c r="AO20" s="724"/>
      <c r="AP20" s="724"/>
      <c r="AQ20" s="724"/>
    </row>
    <row r="21" spans="3:43" ht="15.95" customHeight="1">
      <c r="C21" s="59"/>
      <c r="D21" s="59"/>
      <c r="E21" s="59"/>
      <c r="F21" s="59"/>
      <c r="G21" s="59"/>
      <c r="H21" s="59"/>
      <c r="I21" s="59"/>
      <c r="J21" s="59"/>
      <c r="K21" s="59"/>
      <c r="L21" s="59"/>
      <c r="M21" s="59"/>
      <c r="N21" s="59"/>
      <c r="O21" s="59"/>
      <c r="P21" s="59"/>
      <c r="Q21" s="59"/>
      <c r="R21" s="59"/>
      <c r="S21" s="59"/>
      <c r="T21" s="59"/>
      <c r="U21" s="59"/>
      <c r="V21" s="59"/>
      <c r="W21" s="59"/>
      <c r="X21" s="59"/>
      <c r="Y21" s="59"/>
      <c r="Z21" s="59"/>
      <c r="AA21" s="59"/>
      <c r="AB21" s="59"/>
      <c r="AC21" s="59"/>
      <c r="AD21" s="59"/>
      <c r="AE21" s="59"/>
      <c r="AF21" s="59"/>
      <c r="AG21" s="59"/>
      <c r="AH21" s="59"/>
      <c r="AI21" s="59"/>
      <c r="AJ21" s="59"/>
      <c r="AK21" s="59"/>
      <c r="AL21" s="59"/>
      <c r="AM21" s="59"/>
      <c r="AN21" s="59"/>
      <c r="AO21" s="59"/>
      <c r="AP21" s="59"/>
      <c r="AQ21" s="59"/>
    </row>
    <row r="22" spans="3:43" ht="15.95" customHeight="1">
      <c r="C22" s="59"/>
      <c r="D22" s="59"/>
      <c r="E22" s="59"/>
      <c r="F22" s="747" t="s">
        <v>2081</v>
      </c>
      <c r="G22" s="747"/>
      <c r="H22" s="747"/>
      <c r="I22" s="747"/>
      <c r="J22" s="747"/>
      <c r="K22" s="747"/>
      <c r="L22" s="747"/>
      <c r="M22" s="747"/>
      <c r="N22" s="747"/>
      <c r="O22" s="747"/>
      <c r="P22" s="747"/>
      <c r="Q22" s="747"/>
      <c r="R22" s="747"/>
      <c r="S22" s="747"/>
      <c r="T22" s="747"/>
      <c r="U22" s="747"/>
      <c r="V22" s="747"/>
      <c r="W22" s="747"/>
      <c r="X22" s="747"/>
      <c r="Y22" s="747"/>
      <c r="Z22" s="747"/>
      <c r="AA22" s="747"/>
      <c r="AB22" s="747"/>
      <c r="AC22" s="747"/>
      <c r="AD22" s="747"/>
      <c r="AE22" s="747"/>
      <c r="AF22" s="747"/>
      <c r="AG22" s="747"/>
      <c r="AH22" s="747"/>
      <c r="AI22" s="747"/>
      <c r="AJ22" s="747"/>
      <c r="AK22" s="747"/>
      <c r="AL22" s="747"/>
      <c r="AM22" s="747"/>
      <c r="AN22" s="747"/>
      <c r="AO22" s="59"/>
      <c r="AP22" s="59"/>
      <c r="AQ22" s="59"/>
    </row>
    <row r="23" spans="3:43" ht="15.95" customHeight="1">
      <c r="C23" s="59"/>
      <c r="D23" s="59"/>
      <c r="E23" s="59"/>
      <c r="F23" s="759" t="s">
        <v>2074</v>
      </c>
      <c r="G23" s="759"/>
      <c r="H23" s="759"/>
      <c r="I23" s="759"/>
      <c r="J23" s="759"/>
      <c r="K23" s="759"/>
      <c r="L23" s="759"/>
      <c r="M23" s="759"/>
      <c r="N23" s="759"/>
      <c r="O23" s="759"/>
      <c r="P23" s="759"/>
      <c r="Q23" s="759"/>
      <c r="R23" s="759"/>
      <c r="S23" s="759"/>
      <c r="T23" s="759"/>
      <c r="U23" s="759"/>
      <c r="V23" s="759"/>
      <c r="W23" s="759"/>
      <c r="X23" s="759"/>
      <c r="Y23" s="759"/>
      <c r="Z23" s="759"/>
      <c r="AA23" s="759"/>
      <c r="AB23" s="759"/>
      <c r="AC23" s="759"/>
      <c r="AD23" s="759"/>
      <c r="AE23" s="759"/>
      <c r="AF23" s="759"/>
      <c r="AG23" s="759"/>
      <c r="AH23" s="759"/>
      <c r="AI23" s="759"/>
      <c r="AJ23" s="759"/>
      <c r="AK23" s="759"/>
      <c r="AL23" s="759"/>
      <c r="AM23" s="759"/>
      <c r="AN23" s="759"/>
      <c r="AO23" s="59"/>
      <c r="AP23" s="59"/>
      <c r="AQ23" s="59"/>
    </row>
    <row r="24" spans="3:43" ht="15.95" customHeight="1">
      <c r="C24" s="89"/>
      <c r="D24" s="61"/>
      <c r="E24" s="61"/>
      <c r="F24" s="167"/>
      <c r="G24" s="167"/>
      <c r="H24" s="167"/>
      <c r="I24" s="167"/>
      <c r="J24" s="167"/>
      <c r="K24" s="167"/>
      <c r="L24" s="167"/>
      <c r="M24" s="167"/>
      <c r="N24" s="167"/>
      <c r="O24" s="167"/>
      <c r="P24" s="167"/>
      <c r="Q24" s="167"/>
      <c r="R24" s="167"/>
      <c r="S24" s="167"/>
      <c r="T24" s="167"/>
      <c r="U24" s="167"/>
      <c r="V24" s="167"/>
      <c r="W24" s="167"/>
      <c r="X24" s="167"/>
      <c r="Y24" s="167"/>
      <c r="Z24" s="167"/>
      <c r="AA24" s="167"/>
      <c r="AB24" s="167"/>
      <c r="AC24" s="167"/>
      <c r="AD24" s="167"/>
      <c r="AE24" s="167"/>
      <c r="AF24" s="167"/>
      <c r="AG24" s="167"/>
      <c r="AH24" s="167"/>
      <c r="AI24" s="167"/>
      <c r="AJ24" s="167"/>
      <c r="AK24" s="167"/>
      <c r="AL24" s="167"/>
      <c r="AM24" s="167"/>
      <c r="AN24" s="167"/>
      <c r="AO24" s="61"/>
      <c r="AP24" s="61"/>
      <c r="AQ24" s="61"/>
    </row>
    <row r="25" spans="3:43" ht="15.95" customHeight="1" thickBot="1">
      <c r="C25" s="724" t="s">
        <v>2075</v>
      </c>
      <c r="D25" s="724"/>
      <c r="E25" s="724"/>
      <c r="F25" s="724"/>
      <c r="G25" s="724"/>
      <c r="H25" s="724"/>
      <c r="I25" s="167"/>
      <c r="P25" s="167"/>
      <c r="Q25" s="724" t="s">
        <v>2089</v>
      </c>
      <c r="R25" s="724"/>
      <c r="S25" s="724"/>
      <c r="T25" s="724"/>
      <c r="U25" s="724"/>
      <c r="V25" s="724"/>
      <c r="W25" s="167"/>
      <c r="X25" s="724" t="s">
        <v>2090</v>
      </c>
      <c r="Y25" s="724"/>
      <c r="Z25" s="724"/>
      <c r="AA25" s="724"/>
      <c r="AB25" s="724"/>
      <c r="AC25" s="724"/>
      <c r="AD25" s="167"/>
      <c r="AE25" s="724" t="s">
        <v>2091</v>
      </c>
      <c r="AF25" s="724"/>
      <c r="AG25" s="724"/>
      <c r="AH25" s="724"/>
      <c r="AI25" s="724"/>
      <c r="AJ25" s="724"/>
      <c r="AK25" s="167"/>
      <c r="AL25" s="724" t="s">
        <v>2092</v>
      </c>
      <c r="AM25" s="724"/>
      <c r="AN25" s="724"/>
      <c r="AO25" s="724"/>
      <c r="AP25" s="724"/>
      <c r="AQ25" s="724"/>
    </row>
    <row r="26" spans="3:43" ht="15.95" customHeight="1" thickBot="1">
      <c r="C26" s="750"/>
      <c r="D26" s="751"/>
      <c r="E26" s="751"/>
      <c r="F26" s="751"/>
      <c r="G26" s="751"/>
      <c r="H26" s="751"/>
      <c r="I26" s="751"/>
      <c r="J26" s="751"/>
      <c r="K26" s="751"/>
      <c r="L26" s="751"/>
      <c r="M26" s="751"/>
      <c r="N26" s="751"/>
      <c r="O26" s="752"/>
      <c r="P26" s="167"/>
      <c r="Q26" s="726"/>
      <c r="R26" s="727"/>
      <c r="S26" s="727"/>
      <c r="T26" s="727"/>
      <c r="U26" s="727"/>
      <c r="V26" s="728"/>
      <c r="W26" s="167"/>
      <c r="X26" s="753"/>
      <c r="Y26" s="754"/>
      <c r="Z26" s="754"/>
      <c r="AA26" s="754"/>
      <c r="AB26" s="754"/>
      <c r="AC26" s="755"/>
      <c r="AD26" s="167"/>
      <c r="AE26" s="756"/>
      <c r="AF26" s="757"/>
      <c r="AG26" s="757"/>
      <c r="AH26" s="757"/>
      <c r="AI26" s="757"/>
      <c r="AJ26" s="758"/>
      <c r="AK26" s="167"/>
      <c r="AL26" s="756"/>
      <c r="AM26" s="757"/>
      <c r="AN26" s="757"/>
      <c r="AO26" s="757"/>
      <c r="AP26" s="757"/>
      <c r="AQ26" s="758"/>
    </row>
    <row r="27" spans="3:43" ht="15.95" customHeight="1"/>
    <row r="28" spans="3:43" ht="15.95" customHeight="1"/>
    <row r="29" spans="3:43" ht="15.95" customHeight="1"/>
    <row r="30" spans="3:43" ht="15.95" customHeight="1"/>
    <row r="31" spans="3:43" ht="15.95" customHeight="1"/>
    <row r="32" spans="3:43" ht="15.95" customHeight="1"/>
    <row r="33" ht="15.95" customHeight="1"/>
    <row r="34" ht="15.95" customHeight="1"/>
    <row r="35" ht="15.95" hidden="1" customHeight="1"/>
    <row r="36" ht="15.95" hidden="1" customHeight="1"/>
    <row r="37" ht="15.95" hidden="1" customHeight="1"/>
    <row r="38" ht="15.95" hidden="1" customHeight="1"/>
    <row r="39" ht="15.95" hidden="1" customHeight="1"/>
    <row r="40" ht="15.95" hidden="1" customHeight="1"/>
    <row r="41" ht="15.95" hidden="1" customHeight="1"/>
    <row r="42" ht="15.95" hidden="1" customHeight="1"/>
    <row r="43" ht="15.95" hidden="1" customHeight="1"/>
    <row r="44" ht="15.95" hidden="1" customHeight="1"/>
    <row r="45" ht="15.95" hidden="1" customHeight="1"/>
    <row r="46" ht="15.95" hidden="1" customHeight="1"/>
    <row r="47" ht="15.95" hidden="1" customHeight="1"/>
    <row r="48" ht="15.95" hidden="1" customHeight="1"/>
    <row r="49" ht="15.95" hidden="1" customHeight="1"/>
    <row r="50" ht="15.95" hidden="1" customHeight="1"/>
    <row r="51" ht="15.95" hidden="1" customHeight="1"/>
    <row r="52" ht="15.95" hidden="1" customHeight="1"/>
    <row r="53" ht="15.95" hidden="1" customHeight="1"/>
    <row r="54" ht="15.95" hidden="1" customHeight="1"/>
    <row r="55" ht="15.95" hidden="1" customHeight="1"/>
    <row r="56" ht="15.95" hidden="1" customHeight="1"/>
    <row r="57" ht="15.95" hidden="1" customHeight="1"/>
    <row r="58" ht="15.95" hidden="1" customHeight="1"/>
    <row r="59" ht="15.95" hidden="1" customHeight="1"/>
    <row r="60" ht="15.95" hidden="1" customHeight="1"/>
    <row r="61" ht="15.95" hidden="1" customHeight="1"/>
    <row r="62" ht="15.95" hidden="1" customHeight="1"/>
    <row r="63" ht="15.95" hidden="1" customHeight="1"/>
    <row r="64" ht="15.95" hidden="1" customHeight="1"/>
    <row r="65" ht="15.95" hidden="1" customHeight="1"/>
    <row r="66" ht="15.95" hidden="1" customHeight="1"/>
    <row r="67" ht="15.95" hidden="1" customHeight="1"/>
    <row r="68" ht="15.95" hidden="1" customHeight="1"/>
    <row r="69" ht="15.95" hidden="1" customHeight="1"/>
    <row r="70" ht="15.95" hidden="1" customHeight="1"/>
    <row r="71" ht="15.95" hidden="1" customHeight="1"/>
    <row r="72" ht="15.95" hidden="1" customHeight="1"/>
    <row r="73" ht="15.95" hidden="1" customHeight="1"/>
    <row r="74" ht="15.95" hidden="1" customHeight="1"/>
    <row r="75" ht="15.95" hidden="1" customHeight="1"/>
    <row r="76" ht="15.95" hidden="1" customHeight="1"/>
    <row r="77" ht="15.95" hidden="1" customHeight="1"/>
    <row r="78" ht="15.95" hidden="1" customHeight="1"/>
    <row r="79" ht="15.95" hidden="1" customHeight="1"/>
    <row r="80" ht="15.95" hidden="1" customHeight="1"/>
    <row r="81" ht="15.95" hidden="1" customHeight="1"/>
    <row r="82" ht="15.95" hidden="1" customHeight="1"/>
    <row r="83" ht="15.95" hidden="1" customHeight="1"/>
    <row r="84" ht="15.95" hidden="1" customHeight="1"/>
    <row r="85" ht="15.95" hidden="1" customHeight="1"/>
    <row r="86" ht="15.95" hidden="1" customHeight="1"/>
    <row r="87" ht="15.95" hidden="1" customHeight="1"/>
    <row r="88" ht="15.95" hidden="1" customHeight="1"/>
    <row r="89" ht="15.95" hidden="1" customHeight="1"/>
    <row r="90" ht="15.95" hidden="1" customHeight="1"/>
    <row r="91" ht="15.95" hidden="1" customHeight="1"/>
    <row r="92" ht="15.95" hidden="1" customHeight="1"/>
    <row r="93" ht="15.95" hidden="1" customHeight="1"/>
    <row r="94" ht="15.95" hidden="1" customHeight="1"/>
    <row r="95" ht="15.95" hidden="1" customHeight="1"/>
    <row r="96" ht="15.95" hidden="1" customHeight="1"/>
    <row r="97" ht="15.95" hidden="1" customHeight="1"/>
    <row r="98" ht="15.95" hidden="1" customHeight="1"/>
    <row r="99" ht="15.95" hidden="1" customHeight="1"/>
    <row r="100" ht="15.95" hidden="1" customHeight="1"/>
    <row r="101" ht="15.95" hidden="1" customHeight="1"/>
    <row r="102" ht="15.95" hidden="1" customHeight="1"/>
    <row r="103" ht="15.95" hidden="1" customHeight="1"/>
    <row r="104" ht="15.95" hidden="1" customHeight="1"/>
    <row r="105" ht="15.95" hidden="1" customHeight="1"/>
    <row r="106" ht="15.95" hidden="1" customHeight="1"/>
    <row r="107" ht="15.95" hidden="1" customHeight="1"/>
    <row r="108" ht="15.95" hidden="1" customHeight="1"/>
    <row r="109" ht="15.95" hidden="1" customHeight="1"/>
    <row r="110" ht="15.95" hidden="1" customHeight="1"/>
    <row r="111" ht="15.95" hidden="1" customHeight="1"/>
    <row r="112" ht="15.95" hidden="1" customHeight="1"/>
    <row r="113" ht="15.95" hidden="1" customHeight="1"/>
    <row r="114" ht="15.95" hidden="1" customHeight="1"/>
    <row r="115" ht="15.95" hidden="1" customHeight="1"/>
    <row r="116" ht="15.95" hidden="1" customHeight="1"/>
    <row r="117" ht="15.95" hidden="1" customHeight="1"/>
    <row r="118" ht="15.95" hidden="1" customHeight="1"/>
    <row r="119" ht="15.95" hidden="1" customHeight="1"/>
    <row r="120" ht="15.95" hidden="1" customHeight="1"/>
    <row r="121" ht="15.95" hidden="1" customHeight="1"/>
    <row r="122" ht="15.95" hidden="1" customHeight="1"/>
    <row r="123" ht="15.95" hidden="1" customHeight="1"/>
    <row r="124" ht="15.95" hidden="1" customHeight="1"/>
    <row r="125" ht="15.95" hidden="1" customHeight="1"/>
    <row r="126" ht="15.95" hidden="1" customHeight="1"/>
    <row r="127" ht="15.95" hidden="1" customHeight="1"/>
    <row r="128" ht="15.95" hidden="1" customHeight="1"/>
    <row r="129" ht="15.95" hidden="1" customHeight="1"/>
    <row r="130" ht="15.95" hidden="1" customHeight="1"/>
    <row r="131" ht="15.95" hidden="1" customHeight="1"/>
    <row r="132" ht="15.95" hidden="1" customHeight="1"/>
    <row r="133" ht="15.95" hidden="1" customHeight="1"/>
    <row r="134" ht="15.95" hidden="1" customHeight="1"/>
    <row r="135" ht="15.95" hidden="1" customHeight="1"/>
    <row r="136" ht="15.95" hidden="1" customHeight="1"/>
    <row r="137" ht="15.95" hidden="1" customHeight="1"/>
    <row r="138" ht="15.95" hidden="1" customHeight="1"/>
    <row r="139" ht="15.95" hidden="1" customHeight="1"/>
    <row r="140" ht="15.95" hidden="1" customHeight="1"/>
    <row r="141" ht="15.95" hidden="1" customHeight="1"/>
    <row r="142" ht="15.95" hidden="1" customHeight="1"/>
    <row r="143" ht="15.95" hidden="1" customHeight="1"/>
    <row r="144" ht="15.95" hidden="1" customHeight="1"/>
    <row r="145" ht="15.95" hidden="1" customHeight="1"/>
    <row r="146" ht="15.95" hidden="1" customHeight="1"/>
    <row r="147" ht="15.95" hidden="1" customHeight="1"/>
    <row r="148" ht="15.95" hidden="1" customHeight="1"/>
    <row r="149" ht="15.95" hidden="1" customHeight="1"/>
    <row r="150" ht="15.95" hidden="1" customHeight="1"/>
    <row r="151" ht="15.95" hidden="1" customHeight="1"/>
    <row r="152" ht="15.95" hidden="1" customHeight="1"/>
    <row r="153" ht="15.95" hidden="1" customHeight="1"/>
    <row r="154" ht="15.95" hidden="1" customHeight="1"/>
    <row r="155" ht="15.95" hidden="1" customHeight="1"/>
    <row r="156" ht="15.95" hidden="1" customHeight="1"/>
    <row r="157" ht="15.95" hidden="1" customHeight="1"/>
    <row r="158" ht="15.95" hidden="1" customHeight="1"/>
    <row r="159" ht="15.95" hidden="1" customHeight="1"/>
    <row r="160" ht="15.95" hidden="1" customHeight="1"/>
    <row r="161" ht="15.95" hidden="1" customHeight="1"/>
    <row r="162" ht="15.95" hidden="1" customHeight="1"/>
    <row r="163" ht="15.95" hidden="1" customHeight="1"/>
    <row r="164" ht="15.95" hidden="1" customHeight="1"/>
    <row r="165" ht="15.95" hidden="1" customHeight="1"/>
    <row r="166" ht="15.95" hidden="1" customHeight="1"/>
    <row r="167" ht="15.95" hidden="1" customHeight="1"/>
    <row r="168" ht="15.95" hidden="1" customHeight="1"/>
    <row r="169" ht="15.95" hidden="1" customHeight="1"/>
    <row r="170" ht="15.95" hidden="1" customHeight="1"/>
    <row r="171" ht="15.95" hidden="1" customHeight="1"/>
    <row r="172" ht="15.95" hidden="1" customHeight="1"/>
    <row r="173" ht="15.95" hidden="1" customHeight="1"/>
    <row r="174" ht="15.95" hidden="1" customHeight="1"/>
    <row r="175" ht="15.95" hidden="1" customHeight="1"/>
    <row r="176" ht="15.95" hidden="1" customHeight="1"/>
    <row r="177" ht="15.95" hidden="1" customHeight="1"/>
    <row r="178" ht="15.95" hidden="1" customHeight="1"/>
    <row r="179" ht="15.95" hidden="1" customHeight="1"/>
    <row r="180" ht="15.95" hidden="1" customHeight="1"/>
    <row r="181" ht="15.95" hidden="1" customHeight="1"/>
    <row r="182" ht="15.95" hidden="1" customHeight="1"/>
    <row r="183" ht="15.95" hidden="1" customHeight="1"/>
    <row r="184" ht="15.95" hidden="1" customHeight="1"/>
    <row r="185" ht="15.95" hidden="1" customHeight="1"/>
    <row r="186" ht="15.95" hidden="1" customHeight="1"/>
    <row r="187" ht="15.95" hidden="1" customHeight="1"/>
    <row r="188" ht="15.95" hidden="1" customHeight="1"/>
    <row r="189" ht="15.95" hidden="1" customHeight="1"/>
    <row r="190" ht="15.95" hidden="1" customHeight="1"/>
    <row r="191" ht="15.95" hidden="1" customHeight="1"/>
    <row r="192" ht="15.95" hidden="1" customHeight="1"/>
    <row r="193" spans="2:44" ht="15.95" hidden="1" customHeight="1"/>
    <row r="194" spans="2:44" ht="15.95" hidden="1" customHeight="1"/>
    <row r="195" spans="2:44" ht="15.95" hidden="1" customHeight="1"/>
    <row r="196" spans="2:44" ht="15.95" hidden="1" customHeight="1"/>
    <row r="197" spans="2:44" ht="15.95" hidden="1" customHeight="1"/>
    <row r="198" spans="2:44" ht="15.95" hidden="1" customHeight="1"/>
    <row r="199" spans="2:44" ht="15.95" hidden="1" customHeight="1"/>
    <row r="200" spans="2:44" ht="15.95" customHeight="1">
      <c r="B200" s="272" t="str">
        <f>FOOT1</f>
        <v>NIPSCO Energy Efficiency Program</v>
      </c>
      <c r="C200" s="272"/>
      <c r="D200" s="272"/>
      <c r="E200" s="272"/>
      <c r="F200" s="272"/>
      <c r="G200" s="272"/>
      <c r="H200" s="272"/>
      <c r="I200" s="272"/>
      <c r="J200" s="272"/>
      <c r="K200" s="272"/>
      <c r="L200" s="272"/>
      <c r="M200" s="661" t="str">
        <f>FOOT4</f>
        <v>NIPSCO’s energy efficiency programs are administered by TRC, a third‐party implementation specialist that helps homes and businesses save energy.</v>
      </c>
      <c r="N200" s="661"/>
      <c r="O200" s="661"/>
      <c r="P200" s="661"/>
      <c r="Q200" s="661"/>
      <c r="R200" s="661"/>
      <c r="S200" s="661"/>
      <c r="T200" s="661"/>
      <c r="U200" s="661"/>
      <c r="V200" s="661"/>
      <c r="W200" s="661"/>
      <c r="X200" s="661"/>
      <c r="Y200" s="661"/>
      <c r="Z200" s="661"/>
      <c r="AA200" s="661"/>
      <c r="AB200" s="661"/>
      <c r="AC200" s="661"/>
      <c r="AD200" s="661"/>
      <c r="AE200" s="661"/>
      <c r="AF200" s="661"/>
      <c r="AG200" s="661"/>
      <c r="AH200" s="272"/>
      <c r="AI200" s="272"/>
      <c r="AJ200" s="272"/>
      <c r="AK200" s="272"/>
      <c r="AL200" s="272"/>
      <c r="AM200" s="272"/>
      <c r="AN200" s="272"/>
      <c r="AO200" s="272"/>
      <c r="AP200" s="272"/>
      <c r="AQ200" s="272"/>
      <c r="AR200" s="273" t="str">
        <f>FOOTDISCLAIM</f>
        <v/>
      </c>
    </row>
    <row r="201" spans="2:44" ht="15.95" customHeight="1">
      <c r="B201" s="272" t="str">
        <f>FOOT2</f>
        <v>Toll-Free 800-299-2501</v>
      </c>
      <c r="C201" s="272"/>
      <c r="D201" s="272"/>
      <c r="E201" s="272"/>
      <c r="F201" s="272"/>
      <c r="G201" s="272"/>
      <c r="H201" s="272"/>
      <c r="I201" s="272"/>
      <c r="J201" s="272"/>
      <c r="K201" s="272"/>
      <c r="L201" s="272"/>
      <c r="M201" s="661"/>
      <c r="N201" s="661"/>
      <c r="O201" s="661"/>
      <c r="P201" s="661"/>
      <c r="Q201" s="661"/>
      <c r="R201" s="661"/>
      <c r="S201" s="661"/>
      <c r="T201" s="661"/>
      <c r="U201" s="661"/>
      <c r="V201" s="661"/>
      <c r="W201" s="661"/>
      <c r="X201" s="661"/>
      <c r="Y201" s="661"/>
      <c r="Z201" s="661"/>
      <c r="AA201" s="661"/>
      <c r="AB201" s="661"/>
      <c r="AC201" s="661"/>
      <c r="AD201" s="661"/>
      <c r="AE201" s="661"/>
      <c r="AF201" s="661"/>
      <c r="AG201" s="661"/>
      <c r="AH201" s="272"/>
      <c r="AI201" s="272"/>
      <c r="AJ201" s="272"/>
      <c r="AK201" s="272"/>
      <c r="AL201" s="272"/>
      <c r="AM201" s="272"/>
      <c r="AN201" s="272"/>
      <c r="AO201" s="272"/>
      <c r="AP201" s="272"/>
      <c r="AQ201" s="272"/>
      <c r="AR201" s="273" t="str">
        <f>FOOT5</f>
        <v/>
      </c>
    </row>
    <row r="202" spans="2:44" ht="15.95" customHeight="1">
      <c r="B202" s="281" t="s">
        <v>1547</v>
      </c>
      <c r="C202" s="272"/>
      <c r="D202" s="272"/>
      <c r="E202" s="272"/>
      <c r="F202" s="272"/>
      <c r="G202" s="272"/>
      <c r="H202" s="272"/>
      <c r="I202" s="272"/>
      <c r="J202" s="272"/>
      <c r="K202" s="272"/>
      <c r="L202" s="272"/>
      <c r="M202" s="274"/>
      <c r="N202" s="272"/>
      <c r="O202" s="272"/>
      <c r="P202" s="274"/>
      <c r="Q202" s="274"/>
      <c r="R202" s="274"/>
      <c r="S202" s="274"/>
      <c r="T202" s="274"/>
      <c r="U202" s="274"/>
      <c r="V202" s="274"/>
      <c r="W202" s="275" t="str">
        <f>VERSION</f>
        <v>Custom Prescriptive Application v3.7.1</v>
      </c>
      <c r="X202" s="274"/>
      <c r="Y202" s="274"/>
      <c r="Z202" s="274"/>
      <c r="AA202" s="274"/>
      <c r="AB202" s="274"/>
      <c r="AC202" s="274"/>
      <c r="AD202" s="274"/>
      <c r="AE202" s="272"/>
      <c r="AF202" s="272"/>
      <c r="AG202" s="272"/>
      <c r="AH202" s="272"/>
      <c r="AI202" s="272"/>
      <c r="AJ202" s="272"/>
      <c r="AK202" s="272"/>
      <c r="AL202" s="272"/>
      <c r="AM202" s="272"/>
      <c r="AN202" s="272"/>
      <c r="AO202" s="272"/>
      <c r="AP202" s="272"/>
      <c r="AQ202" s="272"/>
      <c r="AR202" s="273" t="str">
        <f>FOOT6</f>
        <v>Product of TRC</v>
      </c>
    </row>
  </sheetData>
  <sheetProtection algorithmName="SHA-512" hashValue="Ezxu+7YLvehoOIaXAynSLu7g+0J85SDE+8cneAAxqT0WrQPrp9c/cGaDpqEuZUqh703OzRgdii8oJygi4UfKZQ==" saltValue="/wiSS9xGDENFv7dGBB1o6w==" spinCount="100000" sheet="1" objects="1" scenarios="1" selectLockedCells="1"/>
  <mergeCells count="50">
    <mergeCell ref="M200:AG201"/>
    <mergeCell ref="AL20:AQ20"/>
    <mergeCell ref="AL19:AQ19"/>
    <mergeCell ref="C20:H20"/>
    <mergeCell ref="J20:O20"/>
    <mergeCell ref="Q20:V20"/>
    <mergeCell ref="X20:AC20"/>
    <mergeCell ref="AE20:AJ20"/>
    <mergeCell ref="C19:H19"/>
    <mergeCell ref="J19:O19"/>
    <mergeCell ref="Q19:V19"/>
    <mergeCell ref="X19:AC19"/>
    <mergeCell ref="AE19:AJ19"/>
    <mergeCell ref="F22:AN22"/>
    <mergeCell ref="F23:AN23"/>
    <mergeCell ref="C25:H25"/>
    <mergeCell ref="AL17:AQ17"/>
    <mergeCell ref="C16:H16"/>
    <mergeCell ref="J16:O16"/>
    <mergeCell ref="Q16:V16"/>
    <mergeCell ref="X16:AC16"/>
    <mergeCell ref="AE16:AJ16"/>
    <mergeCell ref="AL16:AQ16"/>
    <mergeCell ref="C17:H17"/>
    <mergeCell ref="J17:O17"/>
    <mergeCell ref="Q17:V17"/>
    <mergeCell ref="X17:AC17"/>
    <mergeCell ref="AE17:AJ17"/>
    <mergeCell ref="F10:AN10"/>
    <mergeCell ref="C14:H14"/>
    <mergeCell ref="Q14:V14"/>
    <mergeCell ref="X14:AC14"/>
    <mergeCell ref="AE14:AJ14"/>
    <mergeCell ref="AL14:AQ14"/>
    <mergeCell ref="F11:AN12"/>
    <mergeCell ref="AQ1:AR1"/>
    <mergeCell ref="AQ2:AR3"/>
    <mergeCell ref="AH1:AK1"/>
    <mergeCell ref="AL1:AP1"/>
    <mergeCell ref="AH2:AK3"/>
    <mergeCell ref="AL2:AP3"/>
    <mergeCell ref="Q25:V25"/>
    <mergeCell ref="X25:AC25"/>
    <mergeCell ref="AE25:AJ25"/>
    <mergeCell ref="AL25:AQ25"/>
    <mergeCell ref="C26:O26"/>
    <mergeCell ref="Q26:V26"/>
    <mergeCell ref="X26:AC26"/>
    <mergeCell ref="AE26:AJ26"/>
    <mergeCell ref="AL26:AQ26"/>
  </mergeCells>
  <conditionalFormatting sqref="C14 C17 J17 Q17 X17 AE17 AL17 C20 J20 Q20 X20 AE20">
    <cfRule type="expression" dxfId="243" priority="89">
      <formula>M02S03F01="No"</formula>
    </cfRule>
  </conditionalFormatting>
  <conditionalFormatting sqref="C26">
    <cfRule type="expression" dxfId="242" priority="1">
      <formula>M02S02F11.1="Not Applicable"</formula>
    </cfRule>
  </conditionalFormatting>
  <conditionalFormatting sqref="Q26:V26 X26:AC26 AE26:AJ26 AL26:AQ26">
    <cfRule type="expression" dxfId="241" priority="2">
      <formula>M02S02F11.1="Not Applicable"</formula>
    </cfRule>
  </conditionalFormatting>
  <conditionalFormatting sqref="AH2 AL2">
    <cfRule type="expression" dxfId="240" priority="5">
      <formula>PROJSTATUS=PROJSTATELI</formula>
    </cfRule>
    <cfRule type="expression" dxfId="239" priority="6">
      <formula>PROJSTATUS=PROJSTATREVIEW</formula>
    </cfRule>
    <cfRule type="expression" dxfId="238" priority="10">
      <formula>PROJSTATUS=PROJSTATPREAPPROVE</formula>
    </cfRule>
    <cfRule type="expression" dxfId="237" priority="11">
      <formula>PROJSTATUS=PROJSTATSTANDARD</formula>
    </cfRule>
    <cfRule type="expression" dxfId="236" priority="12">
      <formula>PROJSTATUS=PROJSTATEXP</formula>
    </cfRule>
  </conditionalFormatting>
  <conditionalFormatting sqref="AQ2:AR3">
    <cfRule type="cellIs" dxfId="235" priority="7" operator="equal">
      <formula>1</formula>
    </cfRule>
    <cfRule type="cellIs" dxfId="234" priority="8" operator="between">
      <formula>0.51</formula>
      <formula>0.99</formula>
    </cfRule>
    <cfRule type="cellIs" dxfId="233" priority="9" operator="lessThanOrEqual">
      <formula>0.5</formula>
    </cfRule>
  </conditionalFormatting>
  <dataValidations count="9">
    <dataValidation type="list" allowBlank="1" showInputMessage="1" showErrorMessage="1" sqref="C14:H14" xr:uid="{00000000-0002-0000-1100-000000000000}">
      <formula1>"Yes,No"</formula1>
    </dataValidation>
    <dataValidation type="list" allowBlank="1" showInputMessage="1" showErrorMessage="1" sqref="X20:AC20" xr:uid="{00000000-0002-0000-1100-000001000000}">
      <formula1>STATESABBREV</formula1>
    </dataValidation>
    <dataValidation type="custom" allowBlank="1" showInputMessage="1" showErrorMessage="1" sqref="C20:H20" xr:uid="{00000000-0002-0000-1100-000002000000}">
      <formula1>AND(FIND(".",C20),FIND("@",C20))</formula1>
    </dataValidation>
    <dataValidation type="textLength" allowBlank="1" showInputMessage="1" showErrorMessage="1" error="Please enter a valid phone number." sqref="AE17:AJ17 AL17:AQ17" xr:uid="{00000000-0002-0000-1100-000003000000}">
      <formula1>7</formula1>
      <formula2>15</formula2>
    </dataValidation>
    <dataValidation type="custom" allowBlank="1" showInputMessage="1" showErrorMessage="1" error="Please enter a valid email address." sqref="C24:E24" xr:uid="{0DA3DDB6-F9B3-47BD-84A4-B136785C8BA4}">
      <formula1>AND(FIND(".",C24),FIND("@",C24))</formula1>
    </dataValidation>
    <dataValidation type="date" operator="lessThanOrEqual" allowBlank="1" showInputMessage="1" showErrorMessage="1" sqref="AL26:AQ26" xr:uid="{F0EDD7D8-25E3-40F1-AFE6-185CA8B7A94D}">
      <formula1>73051</formula1>
    </dataValidation>
    <dataValidation type="date" operator="greaterThan" allowBlank="1" showInputMessage="1" showErrorMessage="1" sqref="AE26:AJ26" xr:uid="{4DA25785-8F81-4133-8575-5BBDD1068D55}">
      <formula1>36526</formula1>
    </dataValidation>
    <dataValidation type="list" allowBlank="1" showInputMessage="1" showErrorMessage="1" sqref="Q26:V26" xr:uid="{1A4AE1D6-4CC6-441D-AF5A-E1F0DCE47DBC}">
      <formula1>DIVERSITYORG</formula1>
    </dataValidation>
    <dataValidation type="list" allowBlank="1" showInputMessage="1" showErrorMessage="1" sqref="C26" xr:uid="{2223A8CB-80EA-46EE-B07E-1547032B64D8}">
      <formula1>DIVERSITYBUSTYPE</formula1>
    </dataValidation>
  </dataValidations>
  <hyperlinks>
    <hyperlink ref="B202" r:id="rId1" xr:uid="{2F29D789-ADC1-42CE-B773-C6312C02EEA0}"/>
  </hyperlinks>
  <pageMargins left="0.25" right="0.25" top="0.25" bottom="0.25" header="0.25" footer="0.25"/>
  <pageSetup scale="62" fitToHeight="0" orientation="landscape" r:id="rId2"/>
  <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AS202"/>
  <sheetViews>
    <sheetView showGridLines="0" showRowColHeaders="0" showZeros="0" zoomScale="85" zoomScaleNormal="85" workbookViewId="0">
      <selection activeCell="J13" sqref="J13:O13"/>
    </sheetView>
  </sheetViews>
  <sheetFormatPr defaultColWidth="0" defaultRowHeight="15" customHeight="1" zeroHeight="1"/>
  <cols>
    <col min="1" max="45" width="4.7109375" customWidth="1"/>
    <col min="46" max="78" width="9.140625" hidden="1" customWidth="1"/>
    <col min="79" max="16384" width="9.140625" hidden="1"/>
  </cols>
  <sheetData>
    <row r="1" spans="3:44" ht="15.95" customHeight="1">
      <c r="AH1" s="686" t="s">
        <v>471</v>
      </c>
      <c r="AI1" s="686"/>
      <c r="AJ1" s="686"/>
      <c r="AK1" s="686"/>
      <c r="AL1" s="687" t="s">
        <v>736</v>
      </c>
      <c r="AM1" s="687"/>
      <c r="AN1" s="687"/>
      <c r="AO1" s="687"/>
      <c r="AP1" s="687"/>
      <c r="AQ1" s="683" t="s">
        <v>474</v>
      </c>
      <c r="AR1" s="683"/>
    </row>
    <row r="2" spans="3:44" ht="15.95" customHeight="1">
      <c r="AH2" s="688" t="str">
        <f ca="1">INCENSTATUS</f>
        <v>---</v>
      </c>
      <c r="AI2" s="689"/>
      <c r="AJ2" s="689"/>
      <c r="AK2" s="689"/>
      <c r="AL2" s="690" t="str">
        <f ca="1">PROJSTATUS</f>
        <v>Enter Measures</v>
      </c>
      <c r="AM2" s="690"/>
      <c r="AN2" s="690"/>
      <c r="AO2" s="690"/>
      <c r="AP2" s="690"/>
      <c r="AQ2" s="794" t="str">
        <f ca="1">TEXT(PROGRESSSTATUS,"0%")</f>
        <v>3%</v>
      </c>
      <c r="AR2" s="795"/>
    </row>
    <row r="3" spans="3:44" ht="15.95" customHeight="1">
      <c r="AH3" s="680"/>
      <c r="AI3" s="681"/>
      <c r="AJ3" s="681"/>
      <c r="AK3" s="681"/>
      <c r="AL3" s="673"/>
      <c r="AM3" s="673"/>
      <c r="AN3" s="673"/>
      <c r="AO3" s="673"/>
      <c r="AP3" s="673"/>
      <c r="AQ3" s="796"/>
      <c r="AR3" s="797"/>
    </row>
    <row r="4" spans="3:44" ht="15.95" customHeight="1">
      <c r="AR4" s="171"/>
    </row>
    <row r="5" spans="3:44" ht="15.95" customHeight="1"/>
    <row r="6" spans="3:44" ht="15.95" customHeight="1"/>
    <row r="7" spans="3:44" ht="15.95" customHeight="1"/>
    <row r="8" spans="3:44" ht="15.95" customHeight="1"/>
    <row r="9" spans="3:44" ht="15.95" customHeight="1">
      <c r="C9" s="59"/>
      <c r="D9" s="59"/>
      <c r="E9" s="59"/>
      <c r="F9" s="59"/>
      <c r="G9" s="59"/>
      <c r="H9" s="59"/>
      <c r="I9" s="59"/>
      <c r="J9" s="59"/>
      <c r="K9" s="59"/>
      <c r="L9" s="59"/>
      <c r="M9" s="59"/>
      <c r="N9" s="59"/>
      <c r="O9" s="59"/>
      <c r="P9" s="59"/>
      <c r="Q9" s="59"/>
      <c r="R9" s="59"/>
      <c r="S9" s="59"/>
      <c r="T9" s="59"/>
      <c r="U9" s="59"/>
      <c r="V9" s="59"/>
      <c r="W9" s="59"/>
      <c r="X9" s="59"/>
      <c r="Y9" s="59"/>
      <c r="Z9" s="59"/>
      <c r="AA9" s="59"/>
      <c r="AB9" s="59"/>
      <c r="AC9" s="59"/>
      <c r="AD9" s="59"/>
      <c r="AE9" s="59"/>
      <c r="AF9" s="59"/>
      <c r="AG9" s="59"/>
      <c r="AH9" s="59"/>
      <c r="AI9" s="59"/>
      <c r="AJ9" s="59"/>
      <c r="AK9" s="59"/>
      <c r="AL9" s="59"/>
      <c r="AM9" s="59"/>
      <c r="AN9" s="59"/>
      <c r="AO9" s="59"/>
      <c r="AP9" s="59"/>
      <c r="AQ9" s="59"/>
    </row>
    <row r="10" spans="3:44" ht="15.95" customHeight="1">
      <c r="C10" s="59"/>
      <c r="D10" s="59"/>
      <c r="E10" s="59"/>
      <c r="F10" s="691" t="s">
        <v>509</v>
      </c>
      <c r="G10" s="691"/>
      <c r="H10" s="691"/>
      <c r="I10" s="691"/>
      <c r="J10" s="691"/>
      <c r="K10" s="691"/>
      <c r="L10" s="691"/>
      <c r="M10" s="691"/>
      <c r="N10" s="691"/>
      <c r="O10" s="691"/>
      <c r="P10" s="691"/>
      <c r="Q10" s="691"/>
      <c r="R10" s="691"/>
      <c r="S10" s="691"/>
      <c r="T10" s="691"/>
      <c r="U10" s="691"/>
      <c r="V10" s="691"/>
      <c r="W10" s="691"/>
      <c r="X10" s="691"/>
      <c r="Y10" s="691"/>
      <c r="Z10" s="691"/>
      <c r="AA10" s="691"/>
      <c r="AB10" s="691"/>
      <c r="AC10" s="691"/>
      <c r="AD10" s="691"/>
      <c r="AE10" s="691"/>
      <c r="AF10" s="691"/>
      <c r="AG10" s="691"/>
      <c r="AH10" s="691"/>
      <c r="AI10" s="691"/>
      <c r="AJ10" s="691"/>
      <c r="AK10" s="691"/>
      <c r="AL10" s="691"/>
      <c r="AM10" s="691"/>
      <c r="AN10" s="691"/>
      <c r="AO10" s="59"/>
      <c r="AP10" s="59"/>
      <c r="AQ10" s="59"/>
    </row>
    <row r="11" spans="3:44" ht="15.95" customHeight="1">
      <c r="C11" s="59"/>
      <c r="D11" s="59"/>
      <c r="E11" s="59"/>
      <c r="F11" s="798" t="s">
        <v>452</v>
      </c>
      <c r="G11" s="798"/>
      <c r="H11" s="798"/>
      <c r="I11" s="798"/>
      <c r="J11" s="798"/>
      <c r="K11" s="798"/>
      <c r="L11" s="798"/>
      <c r="M11" s="798"/>
      <c r="N11" s="798"/>
      <c r="O11" s="798"/>
      <c r="P11" s="798"/>
      <c r="Q11" s="798"/>
      <c r="R11" s="798"/>
      <c r="S11" s="798"/>
      <c r="T11" s="798"/>
      <c r="U11" s="798"/>
      <c r="V11" s="798"/>
      <c r="W11" s="798"/>
      <c r="X11" s="798"/>
      <c r="Y11" s="798"/>
      <c r="Z11" s="798"/>
      <c r="AA11" s="798"/>
      <c r="AB11" s="798"/>
      <c r="AC11" s="798"/>
      <c r="AD11" s="798"/>
      <c r="AE11" s="798"/>
      <c r="AF11" s="798"/>
      <c r="AG11" s="798"/>
      <c r="AH11" s="798"/>
      <c r="AI11" s="798"/>
      <c r="AJ11" s="798"/>
      <c r="AK11" s="798"/>
      <c r="AL11" s="798"/>
      <c r="AM11" s="798"/>
      <c r="AN11" s="798"/>
      <c r="AO11" s="59"/>
      <c r="AP11" s="59"/>
      <c r="AQ11" s="59"/>
    </row>
    <row r="12" spans="3:44" ht="15.95" customHeight="1" thickBot="1">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59"/>
      <c r="AE12" s="59"/>
      <c r="AF12" s="59"/>
      <c r="AG12" s="59"/>
      <c r="AH12" s="59"/>
      <c r="AI12" s="59"/>
      <c r="AJ12" s="59"/>
      <c r="AK12" s="59"/>
      <c r="AL12" s="59"/>
      <c r="AM12" s="59"/>
      <c r="AN12" s="59"/>
      <c r="AO12" s="59"/>
      <c r="AP12" s="59"/>
      <c r="AQ12" s="59"/>
    </row>
    <row r="13" spans="3:44" ht="15.95" customHeight="1" thickBot="1">
      <c r="C13" s="724" t="s">
        <v>890</v>
      </c>
      <c r="D13" s="724"/>
      <c r="E13" s="724"/>
      <c r="F13" s="724"/>
      <c r="G13" s="724"/>
      <c r="H13" s="724"/>
      <c r="I13" s="61"/>
      <c r="J13" s="726"/>
      <c r="K13" s="727"/>
      <c r="L13" s="727"/>
      <c r="M13" s="727"/>
      <c r="N13" s="727"/>
      <c r="O13" s="728"/>
      <c r="P13" s="61"/>
      <c r="Q13" s="724"/>
      <c r="R13" s="724"/>
      <c r="S13" s="724"/>
      <c r="T13" s="724"/>
      <c r="U13" s="724"/>
      <c r="V13" s="724"/>
      <c r="W13" s="61"/>
      <c r="X13" s="724"/>
      <c r="Y13" s="724"/>
      <c r="Z13" s="724"/>
      <c r="AA13" s="724"/>
      <c r="AB13" s="724"/>
      <c r="AC13" s="724"/>
      <c r="AD13" s="61"/>
      <c r="AE13" s="724"/>
      <c r="AF13" s="724"/>
      <c r="AG13" s="724"/>
      <c r="AH13" s="724"/>
      <c r="AI13" s="724"/>
      <c r="AJ13" s="724"/>
      <c r="AK13" s="61"/>
    </row>
    <row r="14" spans="3:44" ht="15.95" customHeight="1">
      <c r="C14" s="61"/>
      <c r="D14" s="61"/>
      <c r="E14" s="61"/>
      <c r="F14" s="61"/>
      <c r="G14" s="61"/>
      <c r="H14" s="61"/>
      <c r="I14" s="61"/>
      <c r="J14" s="61"/>
      <c r="K14" s="61"/>
      <c r="L14" s="61"/>
      <c r="M14" s="61"/>
      <c r="N14" s="61"/>
      <c r="O14" s="61"/>
      <c r="P14" s="61"/>
      <c r="Q14" s="61"/>
      <c r="R14" s="61"/>
      <c r="S14" s="61"/>
      <c r="T14" s="61"/>
      <c r="U14" s="61"/>
      <c r="V14" s="61"/>
      <c r="W14" s="61"/>
      <c r="X14" s="61"/>
      <c r="Y14" s="61"/>
      <c r="Z14" s="61"/>
      <c r="AA14" s="61"/>
      <c r="AB14" s="61"/>
      <c r="AC14" s="61"/>
      <c r="AD14" s="61"/>
      <c r="AE14" s="61"/>
      <c r="AF14" s="61"/>
      <c r="AG14" s="61"/>
      <c r="AH14" s="61"/>
      <c r="AI14" s="61"/>
      <c r="AJ14" s="61"/>
      <c r="AK14" s="61"/>
      <c r="AL14" s="61"/>
      <c r="AM14" s="61"/>
      <c r="AN14" s="61"/>
      <c r="AO14" s="61"/>
      <c r="AP14" s="61"/>
      <c r="AQ14" s="61"/>
    </row>
    <row r="15" spans="3:44" ht="15.95" customHeight="1" thickBot="1">
      <c r="C15" s="724" t="s">
        <v>760</v>
      </c>
      <c r="D15" s="724"/>
      <c r="E15" s="724"/>
      <c r="F15" s="724"/>
      <c r="G15" s="724"/>
      <c r="H15" s="724"/>
      <c r="I15" s="61"/>
      <c r="J15" s="724" t="s">
        <v>761</v>
      </c>
      <c r="K15" s="724"/>
      <c r="L15" s="724"/>
      <c r="M15" s="724"/>
      <c r="N15" s="724"/>
      <c r="O15" s="724"/>
      <c r="P15" s="61"/>
      <c r="Q15" s="724" t="s">
        <v>762</v>
      </c>
      <c r="R15" s="724"/>
      <c r="S15" s="724"/>
      <c r="T15" s="724"/>
      <c r="U15" s="724"/>
      <c r="V15" s="724"/>
      <c r="W15" s="61"/>
      <c r="X15" s="724" t="s">
        <v>763</v>
      </c>
      <c r="Y15" s="724"/>
      <c r="Z15" s="724"/>
      <c r="AA15" s="724"/>
      <c r="AB15" s="724"/>
      <c r="AC15" s="724"/>
      <c r="AD15" s="61"/>
      <c r="AE15" s="724" t="s">
        <v>744</v>
      </c>
      <c r="AF15" s="724"/>
      <c r="AG15" s="724"/>
      <c r="AH15" s="724"/>
      <c r="AI15" s="724"/>
      <c r="AJ15" s="724"/>
      <c r="AK15" s="61"/>
    </row>
    <row r="16" spans="3:44" ht="15.95" customHeight="1" thickBot="1">
      <c r="C16" s="741" t="str">
        <f>IF(M02S04F01="","",INDEX(PAYMENT[Company],MATCH(M02S04F01,PAYMENT[Payment to],0)))</f>
        <v/>
      </c>
      <c r="D16" s="742"/>
      <c r="E16" s="742"/>
      <c r="F16" s="742"/>
      <c r="G16" s="742"/>
      <c r="H16" s="743"/>
      <c r="I16" s="61"/>
      <c r="J16" s="741" t="str">
        <f>IF(M02S04F01="","",INDEX(PAYMENT[First],MATCH(M02S04F01,PAYMENT[Payment to],0)))</f>
        <v/>
      </c>
      <c r="K16" s="742"/>
      <c r="L16" s="742"/>
      <c r="M16" s="742"/>
      <c r="N16" s="742"/>
      <c r="O16" s="743"/>
      <c r="P16" s="61"/>
      <c r="Q16" s="741" t="str">
        <f>IF(M02S04F01="","",INDEX(PAYMENT[Last],MATCH(M02S04F01,PAYMENT[Payment to],0)))</f>
        <v/>
      </c>
      <c r="R16" s="742"/>
      <c r="S16" s="742"/>
      <c r="T16" s="742"/>
      <c r="U16" s="742"/>
      <c r="V16" s="743"/>
      <c r="W16" s="61"/>
      <c r="X16" s="765" t="str">
        <f>IF(M02S04F01="","",INDEX(PAYMENT[Phone],MATCH(M02S04F01,PAYMENT[Payment to],0)))</f>
        <v/>
      </c>
      <c r="Y16" s="766"/>
      <c r="Z16" s="766"/>
      <c r="AA16" s="766"/>
      <c r="AB16" s="766"/>
      <c r="AC16" s="767"/>
      <c r="AD16" s="61"/>
      <c r="AE16" s="741" t="str">
        <f>IF(M02S04F01="","",INDEX(PAYMENT[Email],MATCH(M02S04F01,PAYMENT[Payment to],0)))</f>
        <v/>
      </c>
      <c r="AF16" s="742"/>
      <c r="AG16" s="742"/>
      <c r="AH16" s="742"/>
      <c r="AI16" s="742"/>
      <c r="AJ16" s="743"/>
      <c r="AK16" s="61"/>
    </row>
    <row r="17" spans="3:43" ht="15.95" customHeight="1">
      <c r="C17" s="61"/>
      <c r="D17" s="61"/>
      <c r="E17" s="61"/>
      <c r="F17" s="61"/>
      <c r="G17" s="61"/>
      <c r="H17" s="61"/>
      <c r="I17" s="61"/>
      <c r="J17" s="61"/>
      <c r="K17" s="61"/>
      <c r="L17" s="61"/>
      <c r="M17" s="61"/>
      <c r="N17" s="61"/>
      <c r="O17" s="61"/>
      <c r="P17" s="61"/>
      <c r="Q17" s="61"/>
      <c r="R17" s="61"/>
      <c r="S17" s="61"/>
      <c r="T17" s="61"/>
      <c r="U17" s="61"/>
      <c r="V17" s="61"/>
      <c r="W17" s="61"/>
      <c r="X17" s="61"/>
      <c r="Y17" s="61"/>
      <c r="Z17" s="61"/>
      <c r="AA17" s="61"/>
      <c r="AB17" s="61"/>
      <c r="AC17" s="61"/>
      <c r="AD17" s="61"/>
      <c r="AE17" s="61"/>
      <c r="AF17" s="61"/>
      <c r="AG17" s="61"/>
      <c r="AH17" s="61"/>
      <c r="AI17" s="61"/>
      <c r="AJ17" s="61"/>
      <c r="AK17" s="61"/>
      <c r="AL17" s="61"/>
      <c r="AM17" s="61"/>
      <c r="AN17" s="61"/>
      <c r="AO17" s="61"/>
      <c r="AP17" s="61"/>
      <c r="AQ17" s="61"/>
    </row>
    <row r="18" spans="3:43" ht="15.95" customHeight="1" thickBot="1">
      <c r="C18" s="724" t="s">
        <v>759</v>
      </c>
      <c r="D18" s="724"/>
      <c r="E18" s="724"/>
      <c r="F18" s="724"/>
      <c r="G18" s="724"/>
      <c r="H18" s="724"/>
      <c r="I18" s="61"/>
      <c r="J18" s="724" t="s">
        <v>746</v>
      </c>
      <c r="K18" s="724"/>
      <c r="L18" s="724"/>
      <c r="M18" s="724"/>
      <c r="N18" s="724"/>
      <c r="O18" s="724"/>
      <c r="P18" s="61"/>
      <c r="Q18" s="724" t="s">
        <v>747</v>
      </c>
      <c r="R18" s="724"/>
      <c r="S18" s="724"/>
      <c r="T18" s="724"/>
      <c r="U18" s="724"/>
      <c r="V18" s="724"/>
      <c r="W18" s="61"/>
      <c r="X18" s="724" t="s">
        <v>748</v>
      </c>
      <c r="Y18" s="724"/>
      <c r="Z18" s="724"/>
      <c r="AA18" s="724"/>
      <c r="AB18" s="724"/>
      <c r="AC18" s="724"/>
      <c r="AD18" s="61"/>
      <c r="AE18" s="724" t="s">
        <v>764</v>
      </c>
      <c r="AF18" s="724"/>
      <c r="AG18" s="724"/>
      <c r="AH18" s="724"/>
      <c r="AI18" s="724"/>
      <c r="AJ18" s="724"/>
      <c r="AK18" s="61"/>
      <c r="AL18" s="724" t="s">
        <v>765</v>
      </c>
      <c r="AM18" s="724"/>
      <c r="AN18" s="724"/>
      <c r="AO18" s="724"/>
      <c r="AP18" s="724"/>
      <c r="AQ18" s="724"/>
    </row>
    <row r="19" spans="3:43" ht="15.95" customHeight="1" thickBot="1">
      <c r="C19" s="741" t="str">
        <f>IF(M02S04F01="","",INDEX(PAYMENT[Address],MATCH(M02S04F01,PAYMENT[Payment to],0)))</f>
        <v/>
      </c>
      <c r="D19" s="742"/>
      <c r="E19" s="742"/>
      <c r="F19" s="742"/>
      <c r="G19" s="742"/>
      <c r="H19" s="743"/>
      <c r="I19" s="61"/>
      <c r="J19" s="741" t="str">
        <f>IF(M02S04F01="","",INDEX(PAYMENT[City],MATCH(M02S04F01,PAYMENT[Payment to],0)))</f>
        <v/>
      </c>
      <c r="K19" s="742"/>
      <c r="L19" s="742"/>
      <c r="M19" s="742"/>
      <c r="N19" s="742"/>
      <c r="O19" s="743"/>
      <c r="P19" s="61"/>
      <c r="Q19" s="741" t="str">
        <f>IF(M02S04F01="","",INDEX(PAYMENT[State],MATCH(M02S04F01,PAYMENT[Payment to],0)))</f>
        <v/>
      </c>
      <c r="R19" s="742"/>
      <c r="S19" s="742"/>
      <c r="T19" s="742"/>
      <c r="U19" s="742"/>
      <c r="V19" s="743"/>
      <c r="W19" s="61"/>
      <c r="X19" s="744" t="str">
        <f>IF(M02S04F01="","",INDEX(PAYMENT[Zip],MATCH(M02S04F01,PAYMENT[Payment to],0)))</f>
        <v/>
      </c>
      <c r="Y19" s="745"/>
      <c r="Z19" s="745"/>
      <c r="AA19" s="745"/>
      <c r="AB19" s="745"/>
      <c r="AC19" s="746"/>
      <c r="AD19" s="61"/>
      <c r="AE19" s="726"/>
      <c r="AF19" s="727"/>
      <c r="AG19" s="727"/>
      <c r="AH19" s="727"/>
      <c r="AI19" s="727"/>
      <c r="AJ19" s="728"/>
      <c r="AK19" s="61"/>
      <c r="AL19" s="63"/>
      <c r="AM19" s="91" t="s">
        <v>448</v>
      </c>
      <c r="AN19" s="754"/>
      <c r="AO19" s="754"/>
      <c r="AP19" s="754"/>
      <c r="AQ19" s="755"/>
    </row>
    <row r="20" spans="3:43" ht="15.95" customHeight="1">
      <c r="C20" s="61"/>
      <c r="D20" s="61"/>
      <c r="E20" s="61"/>
      <c r="F20" s="61"/>
      <c r="G20" s="61"/>
      <c r="H20" s="61"/>
      <c r="I20" s="61"/>
      <c r="J20" s="61"/>
      <c r="K20" s="61"/>
      <c r="L20" s="61"/>
      <c r="M20" s="61"/>
      <c r="N20" s="61"/>
      <c r="O20" s="61"/>
      <c r="P20" s="61"/>
      <c r="Q20" s="61"/>
      <c r="R20" s="61"/>
      <c r="S20" s="61"/>
      <c r="T20" s="61"/>
      <c r="U20" s="61"/>
      <c r="V20" s="61"/>
      <c r="W20" s="61"/>
      <c r="X20" s="61"/>
      <c r="Y20" s="61"/>
      <c r="Z20" s="61"/>
      <c r="AA20" s="61"/>
      <c r="AB20" s="61"/>
      <c r="AC20" s="61"/>
      <c r="AD20" s="61"/>
      <c r="AE20" s="61"/>
      <c r="AF20" s="61"/>
      <c r="AG20" s="61"/>
      <c r="AH20" s="61"/>
      <c r="AI20" s="61"/>
      <c r="AJ20" s="61"/>
      <c r="AK20" s="61"/>
      <c r="AL20" s="61"/>
      <c r="AM20" s="61"/>
      <c r="AN20" s="61"/>
      <c r="AO20" s="61"/>
      <c r="AP20" s="61"/>
      <c r="AQ20" s="61"/>
    </row>
    <row r="21" spans="3:43" ht="15.95" customHeight="1">
      <c r="C21" s="61"/>
      <c r="D21" s="61"/>
      <c r="E21" s="61"/>
      <c r="F21" s="61"/>
      <c r="G21" s="61"/>
      <c r="H21" s="61"/>
      <c r="I21" s="61"/>
      <c r="J21" s="61"/>
      <c r="K21" s="61"/>
      <c r="L21" s="61"/>
      <c r="M21" s="61"/>
      <c r="N21" s="61"/>
      <c r="O21" s="61"/>
      <c r="P21" s="61"/>
      <c r="Q21" s="61"/>
      <c r="R21" s="61"/>
      <c r="S21" s="61"/>
      <c r="T21" s="61"/>
      <c r="U21" s="61"/>
      <c r="V21" s="61"/>
      <c r="W21" s="61"/>
      <c r="X21" s="61"/>
      <c r="Y21" s="61"/>
      <c r="Z21" s="61"/>
      <c r="AA21" s="61"/>
      <c r="AB21" s="61"/>
      <c r="AC21" s="61"/>
      <c r="AD21" s="61"/>
      <c r="AE21" s="61"/>
      <c r="AF21" s="61"/>
      <c r="AG21" s="61"/>
      <c r="AH21" s="61"/>
      <c r="AI21" s="61"/>
      <c r="AJ21" s="61"/>
      <c r="AK21" s="61"/>
      <c r="AL21" s="61"/>
      <c r="AM21" s="61"/>
      <c r="AN21" s="61"/>
      <c r="AO21" s="61"/>
      <c r="AP21" s="61"/>
      <c r="AQ21" s="61"/>
    </row>
    <row r="22" spans="3:43" ht="15.95" customHeight="1">
      <c r="C22" s="59" t="s">
        <v>234</v>
      </c>
      <c r="D22" s="59"/>
      <c r="E22" s="59"/>
      <c r="F22" s="59"/>
      <c r="G22" s="59"/>
      <c r="H22" s="59"/>
      <c r="I22" s="59"/>
      <c r="J22" s="59"/>
      <c r="K22" s="59"/>
      <c r="L22" s="59"/>
      <c r="M22" s="59"/>
      <c r="N22" s="59"/>
      <c r="O22" s="59"/>
      <c r="P22" s="59"/>
      <c r="Q22" s="59"/>
      <c r="R22" s="59"/>
      <c r="S22" s="59"/>
      <c r="T22" s="59"/>
      <c r="U22" s="59"/>
      <c r="V22" s="59"/>
      <c r="W22" s="59"/>
      <c r="X22" s="59"/>
      <c r="Y22" s="59"/>
      <c r="Z22" s="59"/>
      <c r="AA22" s="59"/>
      <c r="AB22" s="59"/>
      <c r="AC22" s="59"/>
      <c r="AD22" s="59"/>
      <c r="AE22" s="59"/>
      <c r="AF22" s="59"/>
      <c r="AG22" s="59"/>
      <c r="AH22" s="59"/>
      <c r="AI22" s="59"/>
      <c r="AJ22" s="59"/>
      <c r="AK22" s="59"/>
      <c r="AL22" s="59"/>
      <c r="AM22" s="59"/>
      <c r="AN22" s="59"/>
      <c r="AO22" s="59"/>
      <c r="AP22" s="59"/>
      <c r="AQ22" s="59"/>
    </row>
    <row r="23" spans="3:43" ht="15.95" customHeight="1">
      <c r="C23" s="799" t="str">
        <f>IF(M02S04F01="","",INDEX(PAYMENT[Terms],MATCH(M02S04F01,PAYMENT[Payment to],0)))</f>
        <v/>
      </c>
      <c r="D23" s="800"/>
      <c r="E23" s="800"/>
      <c r="F23" s="800"/>
      <c r="G23" s="800"/>
      <c r="H23" s="800"/>
      <c r="I23" s="800"/>
      <c r="J23" s="800"/>
      <c r="K23" s="800"/>
      <c r="L23" s="800"/>
      <c r="M23" s="800"/>
      <c r="N23" s="800"/>
      <c r="O23" s="800"/>
      <c r="P23" s="800"/>
      <c r="Q23" s="800"/>
      <c r="R23" s="800"/>
      <c r="S23" s="800"/>
      <c r="T23" s="800"/>
      <c r="U23" s="800"/>
      <c r="V23" s="800"/>
      <c r="W23" s="800"/>
      <c r="X23" s="800"/>
      <c r="Y23" s="800"/>
      <c r="Z23" s="800"/>
      <c r="AA23" s="800"/>
      <c r="AB23" s="800"/>
      <c r="AC23" s="800"/>
      <c r="AD23" s="800"/>
      <c r="AE23" s="800"/>
      <c r="AF23" s="800"/>
      <c r="AG23" s="800"/>
      <c r="AH23" s="800"/>
      <c r="AI23" s="800"/>
      <c r="AJ23" s="800"/>
      <c r="AK23" s="800"/>
      <c r="AL23" s="800"/>
      <c r="AM23" s="800"/>
      <c r="AN23" s="800"/>
      <c r="AO23" s="800"/>
      <c r="AP23" s="800"/>
      <c r="AQ23" s="801"/>
    </row>
    <row r="24" spans="3:43" ht="15.95" customHeight="1">
      <c r="C24" s="802"/>
      <c r="D24" s="803"/>
      <c r="E24" s="803"/>
      <c r="F24" s="803"/>
      <c r="G24" s="803"/>
      <c r="H24" s="803"/>
      <c r="I24" s="803"/>
      <c r="J24" s="803"/>
      <c r="K24" s="803"/>
      <c r="L24" s="803"/>
      <c r="M24" s="803"/>
      <c r="N24" s="803"/>
      <c r="O24" s="803"/>
      <c r="P24" s="803"/>
      <c r="Q24" s="803"/>
      <c r="R24" s="803"/>
      <c r="S24" s="803"/>
      <c r="T24" s="803"/>
      <c r="U24" s="803"/>
      <c r="V24" s="803"/>
      <c r="W24" s="803"/>
      <c r="X24" s="803"/>
      <c r="Y24" s="803"/>
      <c r="Z24" s="803"/>
      <c r="AA24" s="803"/>
      <c r="AB24" s="803"/>
      <c r="AC24" s="803"/>
      <c r="AD24" s="803"/>
      <c r="AE24" s="803"/>
      <c r="AF24" s="803"/>
      <c r="AG24" s="803"/>
      <c r="AH24" s="803"/>
      <c r="AI24" s="803"/>
      <c r="AJ24" s="803"/>
      <c r="AK24" s="803"/>
      <c r="AL24" s="803"/>
      <c r="AM24" s="803"/>
      <c r="AN24" s="803"/>
      <c r="AO24" s="803"/>
      <c r="AP24" s="803"/>
      <c r="AQ24" s="804"/>
    </row>
    <row r="25" spans="3:43" ht="15.95" customHeight="1">
      <c r="C25" s="802"/>
      <c r="D25" s="803"/>
      <c r="E25" s="803"/>
      <c r="F25" s="803"/>
      <c r="G25" s="803"/>
      <c r="H25" s="803"/>
      <c r="I25" s="803"/>
      <c r="J25" s="803"/>
      <c r="K25" s="803"/>
      <c r="L25" s="803"/>
      <c r="M25" s="803"/>
      <c r="N25" s="803"/>
      <c r="O25" s="803"/>
      <c r="P25" s="803"/>
      <c r="Q25" s="803"/>
      <c r="R25" s="803"/>
      <c r="S25" s="803"/>
      <c r="T25" s="803"/>
      <c r="U25" s="803"/>
      <c r="V25" s="803"/>
      <c r="W25" s="803"/>
      <c r="X25" s="803"/>
      <c r="Y25" s="803"/>
      <c r="Z25" s="803"/>
      <c r="AA25" s="803"/>
      <c r="AB25" s="803"/>
      <c r="AC25" s="803"/>
      <c r="AD25" s="803"/>
      <c r="AE25" s="803"/>
      <c r="AF25" s="803"/>
      <c r="AG25" s="803"/>
      <c r="AH25" s="803"/>
      <c r="AI25" s="803"/>
      <c r="AJ25" s="803"/>
      <c r="AK25" s="803"/>
      <c r="AL25" s="803"/>
      <c r="AM25" s="803"/>
      <c r="AN25" s="803"/>
      <c r="AO25" s="803"/>
      <c r="AP25" s="803"/>
      <c r="AQ25" s="804"/>
    </row>
    <row r="26" spans="3:43" ht="15.95" customHeight="1">
      <c r="C26" s="802"/>
      <c r="D26" s="803"/>
      <c r="E26" s="803"/>
      <c r="F26" s="803"/>
      <c r="G26" s="803"/>
      <c r="H26" s="803"/>
      <c r="I26" s="803"/>
      <c r="J26" s="803"/>
      <c r="K26" s="803"/>
      <c r="L26" s="803"/>
      <c r="M26" s="803"/>
      <c r="N26" s="803"/>
      <c r="O26" s="803"/>
      <c r="P26" s="803"/>
      <c r="Q26" s="803"/>
      <c r="R26" s="803"/>
      <c r="S26" s="803"/>
      <c r="T26" s="803"/>
      <c r="U26" s="803"/>
      <c r="V26" s="803"/>
      <c r="W26" s="803"/>
      <c r="X26" s="803"/>
      <c r="Y26" s="803"/>
      <c r="Z26" s="803"/>
      <c r="AA26" s="803"/>
      <c r="AB26" s="803"/>
      <c r="AC26" s="803"/>
      <c r="AD26" s="803"/>
      <c r="AE26" s="803"/>
      <c r="AF26" s="803"/>
      <c r="AG26" s="803"/>
      <c r="AH26" s="803"/>
      <c r="AI26" s="803"/>
      <c r="AJ26" s="803"/>
      <c r="AK26" s="803"/>
      <c r="AL26" s="803"/>
      <c r="AM26" s="803"/>
      <c r="AN26" s="803"/>
      <c r="AO26" s="803"/>
      <c r="AP26" s="803"/>
      <c r="AQ26" s="804"/>
    </row>
    <row r="27" spans="3:43" ht="15.95" customHeight="1">
      <c r="C27" s="802"/>
      <c r="D27" s="803"/>
      <c r="E27" s="803"/>
      <c r="F27" s="803"/>
      <c r="G27" s="803"/>
      <c r="H27" s="803"/>
      <c r="I27" s="803"/>
      <c r="J27" s="803"/>
      <c r="K27" s="803"/>
      <c r="L27" s="803"/>
      <c r="M27" s="803"/>
      <c r="N27" s="803"/>
      <c r="O27" s="803"/>
      <c r="P27" s="803"/>
      <c r="Q27" s="803"/>
      <c r="R27" s="803"/>
      <c r="S27" s="803"/>
      <c r="T27" s="803"/>
      <c r="U27" s="803"/>
      <c r="V27" s="803"/>
      <c r="W27" s="803"/>
      <c r="X27" s="803"/>
      <c r="Y27" s="803"/>
      <c r="Z27" s="803"/>
      <c r="AA27" s="803"/>
      <c r="AB27" s="803"/>
      <c r="AC27" s="803"/>
      <c r="AD27" s="803"/>
      <c r="AE27" s="803"/>
      <c r="AF27" s="803"/>
      <c r="AG27" s="803"/>
      <c r="AH27" s="803"/>
      <c r="AI27" s="803"/>
      <c r="AJ27" s="803"/>
      <c r="AK27" s="803"/>
      <c r="AL27" s="803"/>
      <c r="AM27" s="803"/>
      <c r="AN27" s="803"/>
      <c r="AO27" s="803"/>
      <c r="AP27" s="803"/>
      <c r="AQ27" s="804"/>
    </row>
    <row r="28" spans="3:43" ht="15.95" customHeight="1">
      <c r="C28" s="802"/>
      <c r="D28" s="803"/>
      <c r="E28" s="803"/>
      <c r="F28" s="803"/>
      <c r="G28" s="803"/>
      <c r="H28" s="803"/>
      <c r="I28" s="803"/>
      <c r="J28" s="803"/>
      <c r="K28" s="803"/>
      <c r="L28" s="803"/>
      <c r="M28" s="803"/>
      <c r="N28" s="803"/>
      <c r="O28" s="803"/>
      <c r="P28" s="803"/>
      <c r="Q28" s="803"/>
      <c r="R28" s="803"/>
      <c r="S28" s="803"/>
      <c r="T28" s="803"/>
      <c r="U28" s="803"/>
      <c r="V28" s="803"/>
      <c r="W28" s="803"/>
      <c r="X28" s="803"/>
      <c r="Y28" s="803"/>
      <c r="Z28" s="803"/>
      <c r="AA28" s="803"/>
      <c r="AB28" s="803"/>
      <c r="AC28" s="803"/>
      <c r="AD28" s="803"/>
      <c r="AE28" s="803"/>
      <c r="AF28" s="803"/>
      <c r="AG28" s="803"/>
      <c r="AH28" s="803"/>
      <c r="AI28" s="803"/>
      <c r="AJ28" s="803"/>
      <c r="AK28" s="803"/>
      <c r="AL28" s="803"/>
      <c r="AM28" s="803"/>
      <c r="AN28" s="803"/>
      <c r="AO28" s="803"/>
      <c r="AP28" s="803"/>
      <c r="AQ28" s="804"/>
    </row>
    <row r="29" spans="3:43" ht="15.95" customHeight="1">
      <c r="C29" s="802"/>
      <c r="D29" s="803"/>
      <c r="E29" s="803"/>
      <c r="F29" s="803"/>
      <c r="G29" s="803"/>
      <c r="H29" s="803"/>
      <c r="I29" s="803"/>
      <c r="J29" s="803"/>
      <c r="K29" s="803"/>
      <c r="L29" s="803"/>
      <c r="M29" s="803"/>
      <c r="N29" s="803"/>
      <c r="O29" s="803"/>
      <c r="P29" s="803"/>
      <c r="Q29" s="803"/>
      <c r="R29" s="803"/>
      <c r="S29" s="803"/>
      <c r="T29" s="803"/>
      <c r="U29" s="803"/>
      <c r="V29" s="803"/>
      <c r="W29" s="803"/>
      <c r="X29" s="803"/>
      <c r="Y29" s="803"/>
      <c r="Z29" s="803"/>
      <c r="AA29" s="803"/>
      <c r="AB29" s="803"/>
      <c r="AC29" s="803"/>
      <c r="AD29" s="803"/>
      <c r="AE29" s="803"/>
      <c r="AF29" s="803"/>
      <c r="AG29" s="803"/>
      <c r="AH29" s="803"/>
      <c r="AI29" s="803"/>
      <c r="AJ29" s="803"/>
      <c r="AK29" s="803"/>
      <c r="AL29" s="803"/>
      <c r="AM29" s="803"/>
      <c r="AN29" s="803"/>
      <c r="AO29" s="803"/>
      <c r="AP29" s="803"/>
      <c r="AQ29" s="804"/>
    </row>
    <row r="30" spans="3:43" ht="15.95" customHeight="1">
      <c r="C30" s="805"/>
      <c r="D30" s="806"/>
      <c r="E30" s="806"/>
      <c r="F30" s="806"/>
      <c r="G30" s="806"/>
      <c r="H30" s="806"/>
      <c r="I30" s="806"/>
      <c r="J30" s="806"/>
      <c r="K30" s="806"/>
      <c r="L30" s="806"/>
      <c r="M30" s="806"/>
      <c r="N30" s="806"/>
      <c r="O30" s="806"/>
      <c r="P30" s="806"/>
      <c r="Q30" s="806"/>
      <c r="R30" s="806"/>
      <c r="S30" s="806"/>
      <c r="T30" s="806"/>
      <c r="U30" s="806"/>
      <c r="V30" s="806"/>
      <c r="W30" s="806"/>
      <c r="X30" s="806"/>
      <c r="Y30" s="806"/>
      <c r="Z30" s="806"/>
      <c r="AA30" s="806"/>
      <c r="AB30" s="806"/>
      <c r="AC30" s="806"/>
      <c r="AD30" s="806"/>
      <c r="AE30" s="806"/>
      <c r="AF30" s="806"/>
      <c r="AG30" s="806"/>
      <c r="AH30" s="806"/>
      <c r="AI30" s="806"/>
      <c r="AJ30" s="806"/>
      <c r="AK30" s="806"/>
      <c r="AL30" s="806"/>
      <c r="AM30" s="806"/>
      <c r="AN30" s="806"/>
      <c r="AO30" s="806"/>
      <c r="AP30" s="806"/>
      <c r="AQ30" s="807"/>
    </row>
    <row r="31" spans="3:43" ht="15.95" customHeight="1">
      <c r="C31" s="59"/>
      <c r="D31" s="59"/>
      <c r="E31" s="59"/>
      <c r="F31" s="59"/>
      <c r="G31" s="59"/>
      <c r="H31" s="59"/>
      <c r="I31" s="59"/>
      <c r="J31" s="59"/>
      <c r="K31" s="59"/>
      <c r="L31" s="59"/>
      <c r="M31" s="59"/>
      <c r="N31" s="59"/>
      <c r="O31" s="59"/>
      <c r="P31" s="59"/>
      <c r="Q31" s="59"/>
      <c r="R31" s="59"/>
      <c r="S31" s="59"/>
      <c r="T31" s="59"/>
      <c r="U31" s="59"/>
      <c r="V31" s="59"/>
      <c r="W31" s="59"/>
      <c r="X31" s="59"/>
      <c r="Y31" s="59"/>
      <c r="Z31" s="59"/>
      <c r="AA31" s="59"/>
      <c r="AB31" s="59"/>
      <c r="AC31" s="59"/>
      <c r="AD31" s="59"/>
      <c r="AE31" s="59"/>
      <c r="AF31" s="59"/>
      <c r="AG31" s="59"/>
      <c r="AH31" s="59"/>
      <c r="AI31" s="59"/>
      <c r="AJ31" s="59"/>
      <c r="AK31" s="59"/>
      <c r="AL31" s="59"/>
      <c r="AM31" s="59"/>
      <c r="AN31" s="59"/>
      <c r="AO31" s="59"/>
      <c r="AP31" s="59"/>
      <c r="AQ31" s="59"/>
    </row>
    <row r="32" spans="3:43" ht="15.95" customHeight="1">
      <c r="C32" s="59"/>
      <c r="D32" s="808" t="s">
        <v>1113</v>
      </c>
      <c r="E32" s="808"/>
      <c r="F32" s="808"/>
      <c r="G32" s="808"/>
      <c r="H32" s="808"/>
      <c r="I32" s="808"/>
      <c r="J32" s="808"/>
      <c r="K32" s="808"/>
      <c r="L32" s="808"/>
      <c r="M32" s="808"/>
      <c r="N32" s="808"/>
      <c r="O32" s="808"/>
      <c r="P32" s="808"/>
      <c r="Q32" s="808"/>
      <c r="R32" s="808"/>
      <c r="S32" s="808"/>
      <c r="T32" s="808"/>
      <c r="U32" s="808"/>
      <c r="V32" s="808"/>
      <c r="W32" s="808"/>
      <c r="X32" s="808"/>
      <c r="Y32" s="808"/>
      <c r="Z32" s="808"/>
      <c r="AA32" s="808"/>
      <c r="AB32" s="808"/>
      <c r="AC32" s="808"/>
      <c r="AD32" s="808"/>
      <c r="AE32" s="808"/>
      <c r="AF32" s="808"/>
      <c r="AG32" s="808"/>
      <c r="AH32" s="808"/>
      <c r="AI32" s="808"/>
      <c r="AJ32" s="808"/>
      <c r="AK32" s="808"/>
      <c r="AL32" s="808"/>
      <c r="AM32" s="808"/>
      <c r="AN32" s="808"/>
      <c r="AO32" s="808"/>
      <c r="AP32" s="808"/>
      <c r="AQ32" s="808"/>
    </row>
    <row r="33" spans="3:43" ht="15.95" customHeight="1">
      <c r="C33" s="64"/>
      <c r="D33" s="808"/>
      <c r="E33" s="808"/>
      <c r="F33" s="808"/>
      <c r="G33" s="808"/>
      <c r="H33" s="808"/>
      <c r="I33" s="808"/>
      <c r="J33" s="808"/>
      <c r="K33" s="808"/>
      <c r="L33" s="808"/>
      <c r="M33" s="808"/>
      <c r="N33" s="808"/>
      <c r="O33" s="808"/>
      <c r="P33" s="808"/>
      <c r="Q33" s="808"/>
      <c r="R33" s="808"/>
      <c r="S33" s="808"/>
      <c r="T33" s="808"/>
      <c r="U33" s="808"/>
      <c r="V33" s="808"/>
      <c r="W33" s="808"/>
      <c r="X33" s="808"/>
      <c r="Y33" s="808"/>
      <c r="Z33" s="808"/>
      <c r="AA33" s="808"/>
      <c r="AB33" s="808"/>
      <c r="AC33" s="808"/>
      <c r="AD33" s="808"/>
      <c r="AE33" s="808"/>
      <c r="AF33" s="808"/>
      <c r="AG33" s="808"/>
      <c r="AH33" s="808"/>
      <c r="AI33" s="808"/>
      <c r="AJ33" s="808"/>
      <c r="AK33" s="808"/>
      <c r="AL33" s="808"/>
      <c r="AM33" s="808"/>
      <c r="AN33" s="808"/>
      <c r="AO33" s="808"/>
      <c r="AP33" s="808"/>
      <c r="AQ33" s="808"/>
    </row>
    <row r="34" spans="3:43" ht="15.95" customHeight="1">
      <c r="C34" s="64"/>
      <c r="D34" s="65"/>
      <c r="E34" s="65"/>
      <c r="F34" s="65"/>
      <c r="G34" s="65"/>
      <c r="H34" s="65"/>
      <c r="I34" s="65"/>
      <c r="J34" s="65"/>
      <c r="K34" s="65"/>
      <c r="L34" s="65"/>
      <c r="M34" s="65"/>
      <c r="N34" s="65"/>
      <c r="O34" s="65"/>
      <c r="P34" s="65"/>
      <c r="Q34" s="65"/>
      <c r="R34" s="65"/>
      <c r="S34" s="65"/>
      <c r="T34" s="65"/>
      <c r="U34" s="65"/>
      <c r="V34" s="65"/>
      <c r="W34" s="65"/>
      <c r="X34" s="65"/>
      <c r="Y34" s="65"/>
      <c r="Z34" s="65"/>
      <c r="AA34" s="65"/>
      <c r="AB34" s="65"/>
      <c r="AC34" s="65"/>
      <c r="AD34" s="65"/>
      <c r="AE34" s="65"/>
      <c r="AF34" s="65"/>
      <c r="AG34" s="65"/>
      <c r="AH34" s="65"/>
      <c r="AI34" s="65"/>
      <c r="AJ34" s="65"/>
      <c r="AK34" s="65"/>
      <c r="AL34" s="65"/>
      <c r="AM34" s="65"/>
      <c r="AN34" s="65"/>
      <c r="AO34" s="65"/>
      <c r="AP34" s="65"/>
      <c r="AQ34" s="65"/>
    </row>
    <row r="35" spans="3:43" ht="15.95" hidden="1" customHeight="1">
      <c r="C35" s="10"/>
      <c r="D35" s="58"/>
      <c r="E35" s="58"/>
      <c r="F35" s="58"/>
      <c r="G35" s="58"/>
      <c r="H35" s="58"/>
      <c r="I35" s="58"/>
      <c r="J35" s="58"/>
      <c r="K35" s="58"/>
      <c r="L35" s="58"/>
      <c r="M35" s="58"/>
      <c r="N35" s="58"/>
      <c r="O35" s="58"/>
      <c r="P35" s="58"/>
      <c r="Q35" s="58"/>
      <c r="R35" s="58"/>
      <c r="S35" s="58"/>
      <c r="T35" s="58"/>
      <c r="U35" s="58"/>
      <c r="V35" s="58"/>
      <c r="W35" s="58"/>
      <c r="X35" s="58"/>
      <c r="Y35" s="58"/>
      <c r="Z35" s="58"/>
      <c r="AA35" s="58"/>
      <c r="AB35" s="58"/>
      <c r="AC35" s="58"/>
      <c r="AD35" s="58"/>
      <c r="AE35" s="58"/>
      <c r="AF35" s="58"/>
      <c r="AG35" s="58"/>
      <c r="AH35" s="58"/>
      <c r="AI35" s="58"/>
      <c r="AJ35" s="58"/>
      <c r="AK35" s="58"/>
      <c r="AL35" s="58"/>
      <c r="AM35" s="58"/>
      <c r="AN35" s="58"/>
      <c r="AO35" s="58"/>
      <c r="AP35" s="58"/>
      <c r="AQ35" s="58"/>
    </row>
    <row r="36" spans="3:43" ht="15.95" hidden="1" customHeight="1">
      <c r="C36" s="10"/>
      <c r="D36" s="58"/>
      <c r="E36" s="58"/>
      <c r="F36" s="58"/>
      <c r="G36" s="58"/>
      <c r="H36" s="58"/>
      <c r="I36" s="58"/>
      <c r="J36" s="58"/>
      <c r="K36" s="58"/>
      <c r="L36" s="58"/>
      <c r="M36" s="58"/>
      <c r="N36" s="58"/>
      <c r="O36" s="58"/>
      <c r="P36" s="58"/>
      <c r="Q36" s="58"/>
      <c r="R36" s="58"/>
      <c r="S36" s="58"/>
      <c r="T36" s="58"/>
      <c r="U36" s="58"/>
      <c r="V36" s="58"/>
      <c r="W36" s="58"/>
      <c r="X36" s="58"/>
      <c r="Y36" s="58"/>
      <c r="Z36" s="58"/>
      <c r="AA36" s="58"/>
      <c r="AB36" s="58"/>
      <c r="AC36" s="58"/>
      <c r="AD36" s="58"/>
      <c r="AE36" s="58"/>
      <c r="AF36" s="58"/>
      <c r="AG36" s="58"/>
      <c r="AH36" s="58"/>
      <c r="AI36" s="58"/>
      <c r="AJ36" s="58"/>
      <c r="AK36" s="58"/>
      <c r="AL36" s="58"/>
      <c r="AM36" s="58"/>
      <c r="AN36" s="58"/>
      <c r="AO36" s="58"/>
      <c r="AP36" s="58"/>
      <c r="AQ36" s="58"/>
    </row>
    <row r="37" spans="3:43" ht="15.95" hidden="1" customHeight="1">
      <c r="C37" s="10"/>
      <c r="D37" s="58"/>
      <c r="E37" s="58"/>
      <c r="F37" s="58"/>
      <c r="G37" s="58"/>
      <c r="H37" s="58"/>
      <c r="I37" s="58"/>
      <c r="J37" s="58"/>
      <c r="K37" s="58"/>
      <c r="L37" s="58"/>
      <c r="M37" s="58"/>
      <c r="N37" s="58"/>
      <c r="O37" s="58"/>
      <c r="P37" s="58"/>
      <c r="Q37" s="58"/>
      <c r="R37" s="58"/>
      <c r="S37" s="58"/>
      <c r="T37" s="58"/>
      <c r="U37" s="58"/>
      <c r="V37" s="58"/>
      <c r="W37" s="58"/>
      <c r="X37" s="58"/>
      <c r="Y37" s="58"/>
      <c r="Z37" s="58"/>
      <c r="AA37" s="58"/>
      <c r="AB37" s="58"/>
      <c r="AC37" s="58"/>
      <c r="AD37" s="58"/>
      <c r="AE37" s="58"/>
      <c r="AF37" s="58"/>
      <c r="AG37" s="58"/>
      <c r="AH37" s="58"/>
      <c r="AI37" s="58"/>
      <c r="AJ37" s="58"/>
      <c r="AK37" s="58"/>
      <c r="AL37" s="58"/>
      <c r="AM37" s="58"/>
      <c r="AN37" s="58"/>
      <c r="AO37" s="58"/>
      <c r="AP37" s="58"/>
      <c r="AQ37" s="58"/>
    </row>
    <row r="38" spans="3:43" ht="15.95" hidden="1" customHeight="1">
      <c r="C38" s="10"/>
      <c r="D38" s="58"/>
      <c r="E38" s="58"/>
      <c r="F38" s="58"/>
      <c r="G38" s="58"/>
      <c r="H38" s="58"/>
      <c r="I38" s="58"/>
      <c r="J38" s="58"/>
      <c r="K38" s="58"/>
      <c r="L38" s="58"/>
      <c r="M38" s="58"/>
      <c r="N38" s="58"/>
      <c r="O38" s="58"/>
      <c r="P38" s="58"/>
      <c r="Q38" s="58"/>
      <c r="R38" s="58"/>
      <c r="S38" s="58"/>
      <c r="T38" s="58"/>
      <c r="U38" s="58"/>
      <c r="V38" s="58"/>
      <c r="W38" s="58"/>
      <c r="X38" s="58"/>
      <c r="Y38" s="58"/>
      <c r="Z38" s="58"/>
      <c r="AA38" s="58"/>
      <c r="AB38" s="58"/>
      <c r="AC38" s="58"/>
      <c r="AD38" s="58"/>
      <c r="AE38" s="58"/>
      <c r="AF38" s="58"/>
      <c r="AG38" s="58"/>
      <c r="AH38" s="58"/>
      <c r="AI38" s="58"/>
      <c r="AJ38" s="58"/>
      <c r="AK38" s="58"/>
      <c r="AL38" s="58"/>
      <c r="AM38" s="58"/>
      <c r="AN38" s="58"/>
      <c r="AO38" s="58"/>
      <c r="AP38" s="58"/>
      <c r="AQ38" s="58"/>
    </row>
    <row r="39" spans="3:43" ht="15.95" hidden="1" customHeight="1">
      <c r="C39" s="10"/>
      <c r="D39" s="58"/>
      <c r="E39" s="58"/>
      <c r="F39" s="58"/>
      <c r="G39" s="58"/>
      <c r="H39" s="58"/>
      <c r="I39" s="58"/>
      <c r="J39" s="58"/>
      <c r="K39" s="58"/>
      <c r="L39" s="58"/>
      <c r="M39" s="58"/>
      <c r="N39" s="58"/>
      <c r="O39" s="58"/>
      <c r="P39" s="58"/>
      <c r="Q39" s="58"/>
      <c r="R39" s="58"/>
      <c r="S39" s="58"/>
      <c r="T39" s="58"/>
      <c r="U39" s="58"/>
      <c r="V39" s="58"/>
      <c r="W39" s="58"/>
      <c r="X39" s="58"/>
      <c r="Y39" s="58"/>
      <c r="Z39" s="58"/>
      <c r="AA39" s="58"/>
      <c r="AB39" s="58"/>
      <c r="AC39" s="58"/>
      <c r="AD39" s="58"/>
      <c r="AE39" s="58"/>
      <c r="AF39" s="58"/>
      <c r="AG39" s="58"/>
      <c r="AH39" s="58"/>
      <c r="AI39" s="58"/>
      <c r="AJ39" s="58"/>
      <c r="AK39" s="58"/>
      <c r="AL39" s="58"/>
      <c r="AM39" s="58"/>
      <c r="AN39" s="58"/>
      <c r="AO39" s="58"/>
      <c r="AP39" s="58"/>
      <c r="AQ39" s="58"/>
    </row>
    <row r="40" spans="3:43" ht="15.95" hidden="1" customHeight="1">
      <c r="C40" s="10"/>
      <c r="D40" s="58"/>
      <c r="E40" s="58"/>
      <c r="F40" s="58"/>
      <c r="G40" s="58"/>
      <c r="H40" s="58"/>
      <c r="I40" s="58"/>
      <c r="J40" s="58"/>
      <c r="K40" s="58"/>
      <c r="L40" s="58"/>
      <c r="M40" s="58"/>
      <c r="N40" s="58"/>
      <c r="O40" s="58"/>
      <c r="P40" s="58"/>
      <c r="Q40" s="58"/>
      <c r="R40" s="58"/>
      <c r="S40" s="58"/>
      <c r="T40" s="58"/>
      <c r="U40" s="58"/>
      <c r="V40" s="58"/>
      <c r="W40" s="58"/>
      <c r="X40" s="58"/>
      <c r="Y40" s="58"/>
      <c r="Z40" s="58"/>
      <c r="AA40" s="58"/>
      <c r="AB40" s="58"/>
      <c r="AC40" s="58"/>
      <c r="AD40" s="58"/>
      <c r="AE40" s="58"/>
      <c r="AF40" s="58"/>
      <c r="AG40" s="58"/>
      <c r="AH40" s="58"/>
      <c r="AI40" s="58"/>
      <c r="AJ40" s="58"/>
      <c r="AK40" s="58"/>
      <c r="AL40" s="58"/>
      <c r="AM40" s="58"/>
      <c r="AN40" s="58"/>
      <c r="AO40" s="58"/>
      <c r="AP40" s="58"/>
      <c r="AQ40" s="58"/>
    </row>
    <row r="41" spans="3:43" ht="15.95" hidden="1" customHeight="1">
      <c r="C41" s="10"/>
      <c r="D41" s="58"/>
      <c r="E41" s="58"/>
      <c r="F41" s="58"/>
      <c r="G41" s="58"/>
      <c r="H41" s="58"/>
      <c r="I41" s="58"/>
      <c r="J41" s="58"/>
      <c r="K41" s="58"/>
      <c r="L41" s="58"/>
      <c r="M41" s="58"/>
      <c r="N41" s="58"/>
      <c r="O41" s="58"/>
      <c r="P41" s="58"/>
      <c r="Q41" s="58"/>
      <c r="R41" s="58"/>
      <c r="S41" s="58"/>
      <c r="T41" s="58"/>
      <c r="U41" s="58"/>
      <c r="V41" s="58"/>
      <c r="W41" s="58"/>
      <c r="X41" s="58"/>
      <c r="Y41" s="58"/>
      <c r="Z41" s="58"/>
      <c r="AA41" s="58"/>
      <c r="AB41" s="58"/>
      <c r="AC41" s="58"/>
      <c r="AD41" s="58"/>
      <c r="AE41" s="58"/>
      <c r="AF41" s="58"/>
      <c r="AG41" s="58"/>
      <c r="AH41" s="58"/>
      <c r="AI41" s="58"/>
      <c r="AJ41" s="58"/>
      <c r="AK41" s="58"/>
      <c r="AL41" s="58"/>
      <c r="AM41" s="58"/>
      <c r="AN41" s="58"/>
      <c r="AO41" s="58"/>
      <c r="AP41" s="58"/>
      <c r="AQ41" s="58"/>
    </row>
    <row r="42" spans="3:43" ht="15.95" hidden="1" customHeight="1">
      <c r="C42" s="10"/>
      <c r="D42" s="58"/>
      <c r="E42" s="58"/>
      <c r="F42" s="58"/>
      <c r="G42" s="58"/>
      <c r="H42" s="58"/>
      <c r="I42" s="58"/>
      <c r="J42" s="58"/>
      <c r="K42" s="58"/>
      <c r="L42" s="58"/>
      <c r="M42" s="58"/>
      <c r="N42" s="58"/>
      <c r="O42" s="58"/>
      <c r="P42" s="58"/>
      <c r="Q42" s="58"/>
      <c r="R42" s="58"/>
      <c r="S42" s="58"/>
      <c r="T42" s="58"/>
      <c r="U42" s="58"/>
      <c r="V42" s="58"/>
      <c r="W42" s="58"/>
      <c r="X42" s="58"/>
      <c r="Y42" s="58"/>
      <c r="Z42" s="58"/>
      <c r="AA42" s="58"/>
      <c r="AB42" s="58"/>
      <c r="AC42" s="58"/>
      <c r="AD42" s="58"/>
      <c r="AE42" s="58"/>
      <c r="AF42" s="58"/>
      <c r="AG42" s="58"/>
      <c r="AH42" s="58"/>
      <c r="AI42" s="58"/>
      <c r="AJ42" s="58"/>
      <c r="AK42" s="58"/>
      <c r="AL42" s="58"/>
      <c r="AM42" s="58"/>
      <c r="AN42" s="58"/>
      <c r="AO42" s="58"/>
      <c r="AP42" s="58"/>
      <c r="AQ42" s="58"/>
    </row>
    <row r="43" spans="3:43" ht="15.95" hidden="1" customHeight="1">
      <c r="C43" s="10"/>
      <c r="D43" s="58"/>
      <c r="E43" s="58"/>
      <c r="F43" s="58"/>
      <c r="G43" s="58"/>
      <c r="H43" s="58"/>
      <c r="I43" s="58"/>
      <c r="J43" s="58"/>
      <c r="K43" s="58"/>
      <c r="L43" s="58"/>
      <c r="M43" s="58"/>
      <c r="N43" s="58"/>
      <c r="O43" s="58"/>
      <c r="P43" s="58"/>
      <c r="Q43" s="58"/>
      <c r="R43" s="58"/>
      <c r="S43" s="58"/>
      <c r="T43" s="58"/>
      <c r="U43" s="58"/>
      <c r="V43" s="58"/>
      <c r="W43" s="58"/>
      <c r="X43" s="58"/>
      <c r="Y43" s="58"/>
      <c r="Z43" s="58"/>
      <c r="AA43" s="58"/>
      <c r="AB43" s="58"/>
      <c r="AC43" s="58"/>
      <c r="AD43" s="58"/>
      <c r="AE43" s="58"/>
      <c r="AF43" s="58"/>
      <c r="AG43" s="58"/>
      <c r="AH43" s="58"/>
      <c r="AI43" s="58"/>
      <c r="AJ43" s="58"/>
      <c r="AK43" s="58"/>
      <c r="AL43" s="58"/>
      <c r="AM43" s="58"/>
      <c r="AN43" s="58"/>
      <c r="AO43" s="58"/>
      <c r="AP43" s="58"/>
      <c r="AQ43" s="58"/>
    </row>
    <row r="44" spans="3:43" ht="15.95" hidden="1" customHeight="1">
      <c r="C44" s="10"/>
      <c r="D44" s="58"/>
      <c r="E44" s="58"/>
      <c r="F44" s="58"/>
      <c r="G44" s="58"/>
      <c r="H44" s="58"/>
      <c r="I44" s="58"/>
      <c r="J44" s="58"/>
      <c r="K44" s="58"/>
      <c r="L44" s="58"/>
      <c r="M44" s="58"/>
      <c r="N44" s="58"/>
      <c r="O44" s="58"/>
      <c r="P44" s="58"/>
      <c r="Q44" s="58"/>
      <c r="R44" s="58"/>
      <c r="S44" s="58"/>
      <c r="T44" s="58"/>
      <c r="U44" s="58"/>
      <c r="V44" s="58"/>
      <c r="W44" s="58"/>
      <c r="X44" s="58"/>
      <c r="Y44" s="58"/>
      <c r="Z44" s="58"/>
      <c r="AA44" s="58"/>
      <c r="AB44" s="58"/>
      <c r="AC44" s="58"/>
      <c r="AD44" s="58"/>
      <c r="AE44" s="58"/>
      <c r="AF44" s="58"/>
      <c r="AG44" s="58"/>
      <c r="AH44" s="58"/>
      <c r="AI44" s="58"/>
      <c r="AJ44" s="58"/>
      <c r="AK44" s="58"/>
      <c r="AL44" s="58"/>
      <c r="AM44" s="58"/>
      <c r="AN44" s="58"/>
      <c r="AO44" s="58"/>
      <c r="AP44" s="58"/>
      <c r="AQ44" s="58"/>
    </row>
    <row r="45" spans="3:43" ht="15.95" hidden="1" customHeight="1">
      <c r="C45" s="10"/>
      <c r="D45" s="58"/>
      <c r="E45" s="58"/>
      <c r="F45" s="58"/>
      <c r="G45" s="58"/>
      <c r="H45" s="58"/>
      <c r="I45" s="58"/>
      <c r="J45" s="58"/>
      <c r="K45" s="58"/>
      <c r="L45" s="58"/>
      <c r="M45" s="58"/>
      <c r="N45" s="58"/>
      <c r="O45" s="58"/>
      <c r="P45" s="58"/>
      <c r="Q45" s="58"/>
      <c r="R45" s="58"/>
      <c r="S45" s="58"/>
      <c r="T45" s="58"/>
      <c r="U45" s="58"/>
      <c r="V45" s="58"/>
      <c r="W45" s="58"/>
      <c r="X45" s="58"/>
      <c r="Y45" s="58"/>
      <c r="Z45" s="58"/>
      <c r="AA45" s="58"/>
      <c r="AB45" s="58"/>
      <c r="AC45" s="58"/>
      <c r="AD45" s="58"/>
      <c r="AE45" s="58"/>
      <c r="AF45" s="58"/>
      <c r="AG45" s="58"/>
      <c r="AH45" s="58"/>
      <c r="AI45" s="58"/>
      <c r="AJ45" s="58"/>
      <c r="AK45" s="58"/>
      <c r="AL45" s="58"/>
      <c r="AM45" s="58"/>
      <c r="AN45" s="58"/>
      <c r="AO45" s="58"/>
      <c r="AP45" s="58"/>
      <c r="AQ45" s="58"/>
    </row>
    <row r="46" spans="3:43" ht="15.95" hidden="1" customHeight="1">
      <c r="C46" s="10"/>
      <c r="D46" s="58"/>
      <c r="E46" s="58"/>
      <c r="F46" s="58"/>
      <c r="G46" s="58"/>
      <c r="H46" s="58"/>
      <c r="I46" s="58"/>
      <c r="J46" s="58"/>
      <c r="K46" s="58"/>
      <c r="L46" s="58"/>
      <c r="M46" s="58"/>
      <c r="N46" s="58"/>
      <c r="O46" s="58"/>
      <c r="P46" s="58"/>
      <c r="Q46" s="58"/>
      <c r="R46" s="58"/>
      <c r="S46" s="58"/>
      <c r="T46" s="58"/>
      <c r="U46" s="58"/>
      <c r="V46" s="58"/>
      <c r="W46" s="58"/>
      <c r="X46" s="58"/>
      <c r="Y46" s="58"/>
      <c r="Z46" s="58"/>
      <c r="AA46" s="58"/>
      <c r="AB46" s="58"/>
      <c r="AC46" s="58"/>
      <c r="AD46" s="58"/>
      <c r="AE46" s="58"/>
      <c r="AF46" s="58"/>
      <c r="AG46" s="58"/>
      <c r="AH46" s="58"/>
      <c r="AI46" s="58"/>
      <c r="AJ46" s="58"/>
      <c r="AK46" s="58"/>
      <c r="AL46" s="58"/>
      <c r="AM46" s="58"/>
      <c r="AN46" s="58"/>
      <c r="AO46" s="58"/>
      <c r="AP46" s="58"/>
      <c r="AQ46" s="58"/>
    </row>
    <row r="47" spans="3:43" ht="15.95" hidden="1" customHeight="1">
      <c r="C47" s="10"/>
      <c r="D47" s="58"/>
      <c r="E47" s="58"/>
      <c r="F47" s="58"/>
      <c r="G47" s="58"/>
      <c r="H47" s="58"/>
      <c r="I47" s="58"/>
      <c r="J47" s="58"/>
      <c r="K47" s="58"/>
      <c r="L47" s="58"/>
      <c r="M47" s="58"/>
      <c r="N47" s="58"/>
      <c r="O47" s="58"/>
      <c r="P47" s="58"/>
      <c r="Q47" s="58"/>
      <c r="R47" s="58"/>
      <c r="S47" s="58"/>
      <c r="T47" s="58"/>
      <c r="U47" s="58"/>
      <c r="V47" s="58"/>
      <c r="W47" s="58"/>
      <c r="X47" s="58"/>
      <c r="Y47" s="58"/>
      <c r="Z47" s="58"/>
      <c r="AA47" s="58"/>
      <c r="AB47" s="58"/>
      <c r="AC47" s="58"/>
      <c r="AD47" s="58"/>
      <c r="AE47" s="58"/>
      <c r="AF47" s="58"/>
      <c r="AG47" s="58"/>
      <c r="AH47" s="58"/>
      <c r="AI47" s="58"/>
      <c r="AJ47" s="58"/>
      <c r="AK47" s="58"/>
      <c r="AL47" s="58"/>
      <c r="AM47" s="58"/>
      <c r="AN47" s="58"/>
      <c r="AO47" s="58"/>
      <c r="AP47" s="58"/>
      <c r="AQ47" s="58"/>
    </row>
    <row r="48" spans="3:43" ht="15.95" hidden="1" customHeight="1">
      <c r="C48" s="10"/>
      <c r="D48" s="58"/>
      <c r="E48" s="58"/>
      <c r="F48" s="58"/>
      <c r="G48" s="58"/>
      <c r="H48" s="58"/>
      <c r="I48" s="58"/>
      <c r="J48" s="58"/>
      <c r="K48" s="58"/>
      <c r="L48" s="58"/>
      <c r="M48" s="58"/>
      <c r="N48" s="58"/>
      <c r="O48" s="58"/>
      <c r="P48" s="58"/>
      <c r="Q48" s="58"/>
      <c r="R48" s="58"/>
      <c r="S48" s="58"/>
      <c r="T48" s="58"/>
      <c r="U48" s="58"/>
      <c r="V48" s="58"/>
      <c r="W48" s="58"/>
      <c r="X48" s="58"/>
      <c r="Y48" s="58"/>
      <c r="Z48" s="58"/>
      <c r="AA48" s="58"/>
      <c r="AB48" s="58"/>
      <c r="AC48" s="58"/>
      <c r="AD48" s="58"/>
      <c r="AE48" s="58"/>
      <c r="AF48" s="58"/>
      <c r="AG48" s="58"/>
      <c r="AH48" s="58"/>
      <c r="AI48" s="58"/>
      <c r="AJ48" s="58"/>
      <c r="AK48" s="58"/>
      <c r="AL48" s="58"/>
      <c r="AM48" s="58"/>
      <c r="AN48" s="58"/>
      <c r="AO48" s="58"/>
      <c r="AP48" s="58"/>
      <c r="AQ48" s="58"/>
    </row>
    <row r="49" spans="3:43" ht="15.95" hidden="1" customHeight="1">
      <c r="C49" s="10"/>
      <c r="D49" s="58"/>
      <c r="E49" s="58"/>
      <c r="F49" s="58"/>
      <c r="G49" s="58"/>
      <c r="H49" s="58"/>
      <c r="I49" s="58"/>
      <c r="J49" s="58"/>
      <c r="K49" s="58"/>
      <c r="L49" s="58"/>
      <c r="M49" s="58"/>
      <c r="N49" s="58"/>
      <c r="O49" s="58"/>
      <c r="P49" s="58"/>
      <c r="Q49" s="58"/>
      <c r="R49" s="58"/>
      <c r="S49" s="58"/>
      <c r="T49" s="58"/>
      <c r="U49" s="58"/>
      <c r="V49" s="58"/>
      <c r="W49" s="58"/>
      <c r="X49" s="58"/>
      <c r="Y49" s="58"/>
      <c r="Z49" s="58"/>
      <c r="AA49" s="58"/>
      <c r="AB49" s="58"/>
      <c r="AC49" s="58"/>
      <c r="AD49" s="58"/>
      <c r="AE49" s="58"/>
      <c r="AF49" s="58"/>
      <c r="AG49" s="58"/>
      <c r="AH49" s="58"/>
      <c r="AI49" s="58"/>
      <c r="AJ49" s="58"/>
      <c r="AK49" s="58"/>
      <c r="AL49" s="58"/>
      <c r="AM49" s="58"/>
      <c r="AN49" s="58"/>
      <c r="AO49" s="58"/>
      <c r="AP49" s="58"/>
      <c r="AQ49" s="58"/>
    </row>
    <row r="50" spans="3:43" ht="15.95" hidden="1" customHeight="1">
      <c r="C50" s="10"/>
      <c r="D50" s="58"/>
      <c r="E50" s="58"/>
      <c r="F50" s="58"/>
      <c r="G50" s="58"/>
      <c r="H50" s="58"/>
      <c r="I50" s="58"/>
      <c r="J50" s="58"/>
      <c r="K50" s="58"/>
      <c r="L50" s="58"/>
      <c r="M50" s="58"/>
      <c r="N50" s="58"/>
      <c r="O50" s="58"/>
      <c r="P50" s="58"/>
      <c r="Q50" s="58"/>
      <c r="R50" s="58"/>
      <c r="S50" s="58"/>
      <c r="T50" s="58"/>
      <c r="U50" s="58"/>
      <c r="V50" s="58"/>
      <c r="W50" s="58"/>
      <c r="X50" s="58"/>
      <c r="Y50" s="58"/>
      <c r="Z50" s="58"/>
      <c r="AA50" s="58"/>
      <c r="AB50" s="58"/>
      <c r="AC50" s="58"/>
      <c r="AD50" s="58"/>
      <c r="AE50" s="58"/>
      <c r="AF50" s="58"/>
      <c r="AG50" s="58"/>
      <c r="AH50" s="58"/>
      <c r="AI50" s="58"/>
      <c r="AJ50" s="58"/>
      <c r="AK50" s="58"/>
      <c r="AL50" s="58"/>
      <c r="AM50" s="58"/>
      <c r="AN50" s="58"/>
      <c r="AO50" s="58"/>
      <c r="AP50" s="58"/>
      <c r="AQ50" s="58"/>
    </row>
    <row r="51" spans="3:43" ht="15.95" hidden="1" customHeight="1">
      <c r="C51" s="10"/>
      <c r="D51" s="58"/>
      <c r="E51" s="58"/>
      <c r="F51" s="58"/>
      <c r="G51" s="58"/>
      <c r="H51" s="58"/>
      <c r="I51" s="58"/>
      <c r="J51" s="58"/>
      <c r="K51" s="58"/>
      <c r="L51" s="58"/>
      <c r="M51" s="58"/>
      <c r="N51" s="58"/>
      <c r="O51" s="58"/>
      <c r="P51" s="58"/>
      <c r="Q51" s="58"/>
      <c r="R51" s="58"/>
      <c r="S51" s="58"/>
      <c r="T51" s="58"/>
      <c r="U51" s="58"/>
      <c r="V51" s="58"/>
      <c r="W51" s="58"/>
      <c r="X51" s="58"/>
      <c r="Y51" s="58"/>
      <c r="Z51" s="58"/>
      <c r="AA51" s="58"/>
      <c r="AB51" s="58"/>
      <c r="AC51" s="58"/>
      <c r="AD51" s="58"/>
      <c r="AE51" s="58"/>
      <c r="AF51" s="58"/>
      <c r="AG51" s="58"/>
      <c r="AH51" s="58"/>
      <c r="AI51" s="58"/>
      <c r="AJ51" s="58"/>
      <c r="AK51" s="58"/>
      <c r="AL51" s="58"/>
      <c r="AM51" s="58"/>
      <c r="AN51" s="58"/>
      <c r="AO51" s="58"/>
      <c r="AP51" s="58"/>
      <c r="AQ51" s="58"/>
    </row>
    <row r="52" spans="3:43" ht="15.95" hidden="1" customHeight="1">
      <c r="C52" s="10"/>
      <c r="D52" s="58"/>
      <c r="E52" s="58"/>
      <c r="F52" s="58"/>
      <c r="G52" s="58"/>
      <c r="H52" s="58"/>
      <c r="I52" s="58"/>
      <c r="J52" s="58"/>
      <c r="K52" s="58"/>
      <c r="L52" s="58"/>
      <c r="M52" s="58"/>
      <c r="N52" s="58"/>
      <c r="O52" s="58"/>
      <c r="P52" s="58"/>
      <c r="Q52" s="58"/>
      <c r="R52" s="58"/>
      <c r="S52" s="58"/>
      <c r="T52" s="58"/>
      <c r="U52" s="58"/>
      <c r="V52" s="58"/>
      <c r="W52" s="58"/>
      <c r="X52" s="58"/>
      <c r="Y52" s="58"/>
      <c r="Z52" s="58"/>
      <c r="AA52" s="58"/>
      <c r="AB52" s="58"/>
      <c r="AC52" s="58"/>
      <c r="AD52" s="58"/>
      <c r="AE52" s="58"/>
      <c r="AF52" s="58"/>
      <c r="AG52" s="58"/>
      <c r="AH52" s="58"/>
      <c r="AI52" s="58"/>
      <c r="AJ52" s="58"/>
      <c r="AK52" s="58"/>
      <c r="AL52" s="58"/>
      <c r="AM52" s="58"/>
      <c r="AN52" s="58"/>
      <c r="AO52" s="58"/>
      <c r="AP52" s="58"/>
      <c r="AQ52" s="58"/>
    </row>
    <row r="53" spans="3:43" ht="15.95" hidden="1" customHeight="1">
      <c r="C53" s="10"/>
      <c r="D53" s="58"/>
      <c r="E53" s="58"/>
      <c r="F53" s="58"/>
      <c r="G53" s="58"/>
      <c r="H53" s="58"/>
      <c r="I53" s="58"/>
      <c r="J53" s="58"/>
      <c r="K53" s="58"/>
      <c r="L53" s="58"/>
      <c r="M53" s="58"/>
      <c r="N53" s="58"/>
      <c r="O53" s="58"/>
      <c r="P53" s="58"/>
      <c r="Q53" s="58"/>
      <c r="R53" s="58"/>
      <c r="S53" s="58"/>
      <c r="T53" s="58"/>
      <c r="U53" s="58"/>
      <c r="V53" s="58"/>
      <c r="W53" s="58"/>
      <c r="X53" s="58"/>
      <c r="Y53" s="58"/>
      <c r="Z53" s="58"/>
      <c r="AA53" s="58"/>
      <c r="AB53" s="58"/>
      <c r="AC53" s="58"/>
      <c r="AD53" s="58"/>
      <c r="AE53" s="58"/>
      <c r="AF53" s="58"/>
      <c r="AG53" s="58"/>
      <c r="AH53" s="58"/>
      <c r="AI53" s="58"/>
      <c r="AJ53" s="58"/>
      <c r="AK53" s="58"/>
      <c r="AL53" s="58"/>
      <c r="AM53" s="58"/>
      <c r="AN53" s="58"/>
      <c r="AO53" s="58"/>
      <c r="AP53" s="58"/>
      <c r="AQ53" s="58"/>
    </row>
    <row r="54" spans="3:43" ht="15.95" hidden="1" customHeight="1">
      <c r="C54" s="10"/>
      <c r="D54" s="58"/>
      <c r="E54" s="58"/>
      <c r="F54" s="58"/>
      <c r="G54" s="58"/>
      <c r="H54" s="58"/>
      <c r="I54" s="58"/>
      <c r="J54" s="58"/>
      <c r="K54" s="58"/>
      <c r="L54" s="58"/>
      <c r="M54" s="58"/>
      <c r="N54" s="58"/>
      <c r="O54" s="58"/>
      <c r="P54" s="58"/>
      <c r="Q54" s="58"/>
      <c r="R54" s="58"/>
      <c r="S54" s="58"/>
      <c r="T54" s="58"/>
      <c r="U54" s="58"/>
      <c r="V54" s="58"/>
      <c r="W54" s="58"/>
      <c r="X54" s="58"/>
      <c r="Y54" s="58"/>
      <c r="Z54" s="58"/>
      <c r="AA54" s="58"/>
      <c r="AB54" s="58"/>
      <c r="AC54" s="58"/>
      <c r="AD54" s="58"/>
      <c r="AE54" s="58"/>
      <c r="AF54" s="58"/>
      <c r="AG54" s="58"/>
      <c r="AH54" s="58"/>
      <c r="AI54" s="58"/>
      <c r="AJ54" s="58"/>
      <c r="AK54" s="58"/>
      <c r="AL54" s="58"/>
      <c r="AM54" s="58"/>
      <c r="AN54" s="58"/>
      <c r="AO54" s="58"/>
      <c r="AP54" s="58"/>
      <c r="AQ54" s="58"/>
    </row>
    <row r="55" spans="3:43" ht="15.95" hidden="1" customHeight="1">
      <c r="C55" s="10"/>
      <c r="D55" s="58"/>
      <c r="E55" s="58"/>
      <c r="F55" s="58"/>
      <c r="G55" s="58"/>
      <c r="H55" s="58"/>
      <c r="I55" s="58"/>
      <c r="J55" s="58"/>
      <c r="K55" s="58"/>
      <c r="L55" s="58"/>
      <c r="M55" s="58"/>
      <c r="N55" s="58"/>
      <c r="O55" s="58"/>
      <c r="P55" s="58"/>
      <c r="Q55" s="58"/>
      <c r="R55" s="58"/>
      <c r="S55" s="58"/>
      <c r="T55" s="58"/>
      <c r="U55" s="58"/>
      <c r="V55" s="58"/>
      <c r="W55" s="58"/>
      <c r="X55" s="58"/>
      <c r="Y55" s="58"/>
      <c r="Z55" s="58"/>
      <c r="AA55" s="58"/>
      <c r="AB55" s="58"/>
      <c r="AC55" s="58"/>
      <c r="AD55" s="58"/>
      <c r="AE55" s="58"/>
      <c r="AF55" s="58"/>
      <c r="AG55" s="58"/>
      <c r="AH55" s="58"/>
      <c r="AI55" s="58"/>
      <c r="AJ55" s="58"/>
      <c r="AK55" s="58"/>
      <c r="AL55" s="58"/>
      <c r="AM55" s="58"/>
      <c r="AN55" s="58"/>
      <c r="AO55" s="58"/>
      <c r="AP55" s="58"/>
      <c r="AQ55" s="58"/>
    </row>
    <row r="56" spans="3:43" ht="15.95" hidden="1" customHeight="1">
      <c r="C56" s="10"/>
      <c r="D56" s="58"/>
      <c r="E56" s="58"/>
      <c r="F56" s="58"/>
      <c r="G56" s="58"/>
      <c r="H56" s="58"/>
      <c r="I56" s="58"/>
      <c r="J56" s="58"/>
      <c r="K56" s="58"/>
      <c r="L56" s="58"/>
      <c r="M56" s="58"/>
      <c r="N56" s="58"/>
      <c r="O56" s="58"/>
      <c r="P56" s="58"/>
      <c r="Q56" s="58"/>
      <c r="R56" s="58"/>
      <c r="S56" s="58"/>
      <c r="T56" s="58"/>
      <c r="U56" s="58"/>
      <c r="V56" s="58"/>
      <c r="W56" s="58"/>
      <c r="X56" s="58"/>
      <c r="Y56" s="58"/>
      <c r="Z56" s="58"/>
      <c r="AA56" s="58"/>
      <c r="AB56" s="58"/>
      <c r="AC56" s="58"/>
      <c r="AD56" s="58"/>
      <c r="AE56" s="58"/>
      <c r="AF56" s="58"/>
      <c r="AG56" s="58"/>
      <c r="AH56" s="58"/>
      <c r="AI56" s="58"/>
      <c r="AJ56" s="58"/>
      <c r="AK56" s="58"/>
      <c r="AL56" s="58"/>
      <c r="AM56" s="58"/>
      <c r="AN56" s="58"/>
      <c r="AO56" s="58"/>
      <c r="AP56" s="58"/>
      <c r="AQ56" s="58"/>
    </row>
    <row r="57" spans="3:43" ht="15.95" hidden="1" customHeight="1">
      <c r="C57" s="10"/>
      <c r="D57" s="58"/>
      <c r="E57" s="58"/>
      <c r="F57" s="58"/>
      <c r="G57" s="58"/>
      <c r="H57" s="58"/>
      <c r="I57" s="58"/>
      <c r="J57" s="58"/>
      <c r="K57" s="58"/>
      <c r="L57" s="58"/>
      <c r="M57" s="58"/>
      <c r="N57" s="58"/>
      <c r="O57" s="58"/>
      <c r="P57" s="58"/>
      <c r="Q57" s="58"/>
      <c r="R57" s="58"/>
      <c r="S57" s="58"/>
      <c r="T57" s="58"/>
      <c r="U57" s="58"/>
      <c r="V57" s="58"/>
      <c r="W57" s="58"/>
      <c r="X57" s="58"/>
      <c r="Y57" s="58"/>
      <c r="Z57" s="58"/>
      <c r="AA57" s="58"/>
      <c r="AB57" s="58"/>
      <c r="AC57" s="58"/>
      <c r="AD57" s="58"/>
      <c r="AE57" s="58"/>
      <c r="AF57" s="58"/>
      <c r="AG57" s="58"/>
      <c r="AH57" s="58"/>
      <c r="AI57" s="58"/>
      <c r="AJ57" s="58"/>
      <c r="AK57" s="58"/>
      <c r="AL57" s="58"/>
      <c r="AM57" s="58"/>
      <c r="AN57" s="58"/>
      <c r="AO57" s="58"/>
      <c r="AP57" s="58"/>
      <c r="AQ57" s="58"/>
    </row>
    <row r="58" spans="3:43" ht="15.95" hidden="1" customHeight="1">
      <c r="C58" s="10"/>
      <c r="D58" s="58"/>
      <c r="E58" s="58"/>
      <c r="F58" s="58"/>
      <c r="G58" s="58"/>
      <c r="H58" s="58"/>
      <c r="I58" s="58"/>
      <c r="J58" s="58"/>
      <c r="K58" s="58"/>
      <c r="L58" s="58"/>
      <c r="M58" s="58"/>
      <c r="N58" s="58"/>
      <c r="O58" s="58"/>
      <c r="P58" s="58"/>
      <c r="Q58" s="58"/>
      <c r="R58" s="58"/>
      <c r="S58" s="58"/>
      <c r="T58" s="58"/>
      <c r="U58" s="58"/>
      <c r="V58" s="58"/>
      <c r="W58" s="58"/>
      <c r="X58" s="58"/>
      <c r="Y58" s="58"/>
      <c r="Z58" s="58"/>
      <c r="AA58" s="58"/>
      <c r="AB58" s="58"/>
      <c r="AC58" s="58"/>
      <c r="AD58" s="58"/>
      <c r="AE58" s="58"/>
      <c r="AF58" s="58"/>
      <c r="AG58" s="58"/>
      <c r="AH58" s="58"/>
      <c r="AI58" s="58"/>
      <c r="AJ58" s="58"/>
      <c r="AK58" s="58"/>
      <c r="AL58" s="58"/>
      <c r="AM58" s="58"/>
      <c r="AN58" s="58"/>
      <c r="AO58" s="58"/>
      <c r="AP58" s="58"/>
      <c r="AQ58" s="58"/>
    </row>
    <row r="59" spans="3:43" ht="15.95" hidden="1" customHeight="1">
      <c r="C59" s="10"/>
      <c r="D59" s="58"/>
      <c r="E59" s="58"/>
      <c r="F59" s="58"/>
      <c r="G59" s="58"/>
      <c r="H59" s="58"/>
      <c r="I59" s="58"/>
      <c r="J59" s="58"/>
      <c r="K59" s="58"/>
      <c r="L59" s="58"/>
      <c r="M59" s="58"/>
      <c r="N59" s="58"/>
      <c r="O59" s="58"/>
      <c r="P59" s="58"/>
      <c r="Q59" s="58"/>
      <c r="R59" s="58"/>
      <c r="S59" s="58"/>
      <c r="T59" s="58"/>
      <c r="U59" s="58"/>
      <c r="V59" s="58"/>
      <c r="W59" s="58"/>
      <c r="X59" s="58"/>
      <c r="Y59" s="58"/>
      <c r="Z59" s="58"/>
      <c r="AA59" s="58"/>
      <c r="AB59" s="58"/>
      <c r="AC59" s="58"/>
      <c r="AD59" s="58"/>
      <c r="AE59" s="58"/>
      <c r="AF59" s="58"/>
      <c r="AG59" s="58"/>
      <c r="AH59" s="58"/>
      <c r="AI59" s="58"/>
      <c r="AJ59" s="58"/>
      <c r="AK59" s="58"/>
      <c r="AL59" s="58"/>
      <c r="AM59" s="58"/>
      <c r="AN59" s="58"/>
      <c r="AO59" s="58"/>
      <c r="AP59" s="58"/>
      <c r="AQ59" s="58"/>
    </row>
    <row r="60" spans="3:43" ht="15.95" hidden="1" customHeight="1">
      <c r="C60" s="10"/>
      <c r="D60" s="58"/>
      <c r="E60" s="58"/>
      <c r="F60" s="58"/>
      <c r="G60" s="58"/>
      <c r="H60" s="58"/>
      <c r="I60" s="58"/>
      <c r="J60" s="58"/>
      <c r="K60" s="58"/>
      <c r="L60" s="58"/>
      <c r="M60" s="58"/>
      <c r="N60" s="58"/>
      <c r="O60" s="58"/>
      <c r="P60" s="58"/>
      <c r="Q60" s="58"/>
      <c r="R60" s="58"/>
      <c r="S60" s="58"/>
      <c r="T60" s="58"/>
      <c r="U60" s="58"/>
      <c r="V60" s="58"/>
      <c r="W60" s="58"/>
      <c r="X60" s="58"/>
      <c r="Y60" s="58"/>
      <c r="Z60" s="58"/>
      <c r="AA60" s="58"/>
      <c r="AB60" s="58"/>
      <c r="AC60" s="58"/>
      <c r="AD60" s="58"/>
      <c r="AE60" s="58"/>
      <c r="AF60" s="58"/>
      <c r="AG60" s="58"/>
      <c r="AH60" s="58"/>
      <c r="AI60" s="58"/>
      <c r="AJ60" s="58"/>
      <c r="AK60" s="58"/>
      <c r="AL60" s="58"/>
      <c r="AM60" s="58"/>
      <c r="AN60" s="58"/>
      <c r="AO60" s="58"/>
      <c r="AP60" s="58"/>
      <c r="AQ60" s="58"/>
    </row>
    <row r="61" spans="3:43" ht="15.95" hidden="1" customHeight="1">
      <c r="C61" s="10"/>
      <c r="D61" s="58"/>
      <c r="E61" s="58"/>
      <c r="F61" s="58"/>
      <c r="G61" s="58"/>
      <c r="H61" s="58"/>
      <c r="I61" s="58"/>
      <c r="J61" s="58"/>
      <c r="K61" s="58"/>
      <c r="L61" s="58"/>
      <c r="M61" s="58"/>
      <c r="N61" s="58"/>
      <c r="O61" s="58"/>
      <c r="P61" s="58"/>
      <c r="Q61" s="58"/>
      <c r="R61" s="58"/>
      <c r="S61" s="58"/>
      <c r="T61" s="58"/>
      <c r="U61" s="58"/>
      <c r="V61" s="58"/>
      <c r="W61" s="58"/>
      <c r="X61" s="58"/>
      <c r="Y61" s="58"/>
      <c r="Z61" s="58"/>
      <c r="AA61" s="58"/>
      <c r="AB61" s="58"/>
      <c r="AC61" s="58"/>
      <c r="AD61" s="58"/>
      <c r="AE61" s="58"/>
      <c r="AF61" s="58"/>
      <c r="AG61" s="58"/>
      <c r="AH61" s="58"/>
      <c r="AI61" s="58"/>
      <c r="AJ61" s="58"/>
      <c r="AK61" s="58"/>
      <c r="AL61" s="58"/>
      <c r="AM61" s="58"/>
      <c r="AN61" s="58"/>
      <c r="AO61" s="58"/>
      <c r="AP61" s="58"/>
      <c r="AQ61" s="58"/>
    </row>
    <row r="62" spans="3:43" ht="15.95" hidden="1" customHeight="1">
      <c r="C62" s="10"/>
      <c r="D62" s="58"/>
      <c r="E62" s="58"/>
      <c r="F62" s="58"/>
      <c r="G62" s="58"/>
      <c r="H62" s="58"/>
      <c r="I62" s="58"/>
      <c r="J62" s="58"/>
      <c r="K62" s="58"/>
      <c r="L62" s="58"/>
      <c r="M62" s="58"/>
      <c r="N62" s="58"/>
      <c r="O62" s="58"/>
      <c r="P62" s="58"/>
      <c r="Q62" s="58"/>
      <c r="R62" s="58"/>
      <c r="S62" s="58"/>
      <c r="T62" s="58"/>
      <c r="U62" s="58"/>
      <c r="V62" s="58"/>
      <c r="W62" s="58"/>
      <c r="X62" s="58"/>
      <c r="Y62" s="58"/>
      <c r="Z62" s="58"/>
      <c r="AA62" s="58"/>
      <c r="AB62" s="58"/>
      <c r="AC62" s="58"/>
      <c r="AD62" s="58"/>
      <c r="AE62" s="58"/>
      <c r="AF62" s="58"/>
      <c r="AG62" s="58"/>
      <c r="AH62" s="58"/>
      <c r="AI62" s="58"/>
      <c r="AJ62" s="58"/>
      <c r="AK62" s="58"/>
      <c r="AL62" s="58"/>
      <c r="AM62" s="58"/>
      <c r="AN62" s="58"/>
      <c r="AO62" s="58"/>
      <c r="AP62" s="58"/>
      <c r="AQ62" s="58"/>
    </row>
    <row r="63" spans="3:43" ht="15.95" hidden="1" customHeight="1">
      <c r="C63" s="10"/>
      <c r="D63" s="58"/>
      <c r="E63" s="58"/>
      <c r="F63" s="58"/>
      <c r="G63" s="58"/>
      <c r="H63" s="58"/>
      <c r="I63" s="58"/>
      <c r="J63" s="58"/>
      <c r="K63" s="58"/>
      <c r="L63" s="58"/>
      <c r="M63" s="58"/>
      <c r="N63" s="58"/>
      <c r="O63" s="58"/>
      <c r="P63" s="58"/>
      <c r="Q63" s="58"/>
      <c r="R63" s="58"/>
      <c r="S63" s="58"/>
      <c r="T63" s="58"/>
      <c r="U63" s="58"/>
      <c r="V63" s="58"/>
      <c r="W63" s="58"/>
      <c r="X63" s="58"/>
      <c r="Y63" s="58"/>
      <c r="Z63" s="58"/>
      <c r="AA63" s="58"/>
      <c r="AB63" s="58"/>
      <c r="AC63" s="58"/>
      <c r="AD63" s="58"/>
      <c r="AE63" s="58"/>
      <c r="AF63" s="58"/>
      <c r="AG63" s="58"/>
      <c r="AH63" s="58"/>
      <c r="AI63" s="58"/>
      <c r="AJ63" s="58"/>
      <c r="AK63" s="58"/>
      <c r="AL63" s="58"/>
      <c r="AM63" s="58"/>
      <c r="AN63" s="58"/>
      <c r="AO63" s="58"/>
      <c r="AP63" s="58"/>
      <c r="AQ63" s="58"/>
    </row>
    <row r="64" spans="3:43" ht="15.95" hidden="1" customHeight="1">
      <c r="C64" s="10"/>
      <c r="D64" s="58"/>
      <c r="E64" s="58"/>
      <c r="F64" s="58"/>
      <c r="G64" s="58"/>
      <c r="H64" s="58"/>
      <c r="I64" s="58"/>
      <c r="J64" s="58"/>
      <c r="K64" s="58"/>
      <c r="L64" s="58"/>
      <c r="M64" s="58"/>
      <c r="N64" s="58"/>
      <c r="O64" s="58"/>
      <c r="P64" s="58"/>
      <c r="Q64" s="58"/>
      <c r="R64" s="58"/>
      <c r="S64" s="58"/>
      <c r="T64" s="58"/>
      <c r="U64" s="58"/>
      <c r="V64" s="58"/>
      <c r="W64" s="58"/>
      <c r="X64" s="58"/>
      <c r="Y64" s="58"/>
      <c r="Z64" s="58"/>
      <c r="AA64" s="58"/>
      <c r="AB64" s="58"/>
      <c r="AC64" s="58"/>
      <c r="AD64" s="58"/>
      <c r="AE64" s="58"/>
      <c r="AF64" s="58"/>
      <c r="AG64" s="58"/>
      <c r="AH64" s="58"/>
      <c r="AI64" s="58"/>
      <c r="AJ64" s="58"/>
      <c r="AK64" s="58"/>
      <c r="AL64" s="58"/>
      <c r="AM64" s="58"/>
      <c r="AN64" s="58"/>
      <c r="AO64" s="58"/>
      <c r="AP64" s="58"/>
      <c r="AQ64" s="58"/>
    </row>
    <row r="65" spans="3:43" ht="15.95" hidden="1" customHeight="1">
      <c r="C65" s="10"/>
      <c r="D65" s="58"/>
      <c r="E65" s="58"/>
      <c r="F65" s="58"/>
      <c r="G65" s="58"/>
      <c r="H65" s="58"/>
      <c r="I65" s="58"/>
      <c r="J65" s="58"/>
      <c r="K65" s="58"/>
      <c r="L65" s="58"/>
      <c r="M65" s="58"/>
      <c r="N65" s="58"/>
      <c r="O65" s="58"/>
      <c r="P65" s="58"/>
      <c r="Q65" s="58"/>
      <c r="R65" s="58"/>
      <c r="S65" s="58"/>
      <c r="T65" s="58"/>
      <c r="U65" s="58"/>
      <c r="V65" s="58"/>
      <c r="W65" s="58"/>
      <c r="X65" s="58"/>
      <c r="Y65" s="58"/>
      <c r="Z65" s="58"/>
      <c r="AA65" s="58"/>
      <c r="AB65" s="58"/>
      <c r="AC65" s="58"/>
      <c r="AD65" s="58"/>
      <c r="AE65" s="58"/>
      <c r="AF65" s="58"/>
      <c r="AG65" s="58"/>
      <c r="AH65" s="58"/>
      <c r="AI65" s="58"/>
      <c r="AJ65" s="58"/>
      <c r="AK65" s="58"/>
      <c r="AL65" s="58"/>
      <c r="AM65" s="58"/>
      <c r="AN65" s="58"/>
      <c r="AO65" s="58"/>
      <c r="AP65" s="58"/>
      <c r="AQ65" s="58"/>
    </row>
    <row r="66" spans="3:43" ht="15.95" hidden="1" customHeight="1">
      <c r="C66" s="10"/>
      <c r="D66" s="58"/>
      <c r="E66" s="58"/>
      <c r="F66" s="58"/>
      <c r="G66" s="58"/>
      <c r="H66" s="58"/>
      <c r="I66" s="58"/>
      <c r="J66" s="58"/>
      <c r="K66" s="58"/>
      <c r="L66" s="58"/>
      <c r="M66" s="58"/>
      <c r="N66" s="58"/>
      <c r="O66" s="58"/>
      <c r="P66" s="58"/>
      <c r="Q66" s="58"/>
      <c r="R66" s="58"/>
      <c r="S66" s="58"/>
      <c r="T66" s="58"/>
      <c r="U66" s="58"/>
      <c r="V66" s="58"/>
      <c r="W66" s="58"/>
      <c r="X66" s="58"/>
      <c r="Y66" s="58"/>
      <c r="Z66" s="58"/>
      <c r="AA66" s="58"/>
      <c r="AB66" s="58"/>
      <c r="AC66" s="58"/>
      <c r="AD66" s="58"/>
      <c r="AE66" s="58"/>
      <c r="AF66" s="58"/>
      <c r="AG66" s="58"/>
      <c r="AH66" s="58"/>
      <c r="AI66" s="58"/>
      <c r="AJ66" s="58"/>
      <c r="AK66" s="58"/>
      <c r="AL66" s="58"/>
      <c r="AM66" s="58"/>
      <c r="AN66" s="58"/>
      <c r="AO66" s="58"/>
      <c r="AP66" s="58"/>
      <c r="AQ66" s="58"/>
    </row>
    <row r="67" spans="3:43" ht="15.95" hidden="1" customHeight="1">
      <c r="C67" s="10"/>
      <c r="D67" s="58"/>
      <c r="E67" s="58"/>
      <c r="F67" s="58"/>
      <c r="G67" s="58"/>
      <c r="H67" s="58"/>
      <c r="I67" s="58"/>
      <c r="J67" s="58"/>
      <c r="K67" s="58"/>
      <c r="L67" s="58"/>
      <c r="M67" s="58"/>
      <c r="N67" s="58"/>
      <c r="O67" s="58"/>
      <c r="P67" s="58"/>
      <c r="Q67" s="58"/>
      <c r="R67" s="58"/>
      <c r="S67" s="58"/>
      <c r="T67" s="58"/>
      <c r="U67" s="58"/>
      <c r="V67" s="58"/>
      <c r="W67" s="58"/>
      <c r="X67" s="58"/>
      <c r="Y67" s="58"/>
      <c r="Z67" s="58"/>
      <c r="AA67" s="58"/>
      <c r="AB67" s="58"/>
      <c r="AC67" s="58"/>
      <c r="AD67" s="58"/>
      <c r="AE67" s="58"/>
      <c r="AF67" s="58"/>
      <c r="AG67" s="58"/>
      <c r="AH67" s="58"/>
      <c r="AI67" s="58"/>
      <c r="AJ67" s="58"/>
      <c r="AK67" s="58"/>
      <c r="AL67" s="58"/>
      <c r="AM67" s="58"/>
      <c r="AN67" s="58"/>
      <c r="AO67" s="58"/>
      <c r="AP67" s="58"/>
      <c r="AQ67" s="58"/>
    </row>
    <row r="68" spans="3:43" ht="15.95" hidden="1" customHeight="1">
      <c r="C68" s="10"/>
      <c r="D68" s="58"/>
      <c r="E68" s="58"/>
      <c r="F68" s="58"/>
      <c r="G68" s="58"/>
      <c r="H68" s="58"/>
      <c r="I68" s="58"/>
      <c r="J68" s="58"/>
      <c r="K68" s="58"/>
      <c r="L68" s="58"/>
      <c r="M68" s="58"/>
      <c r="N68" s="58"/>
      <c r="O68" s="58"/>
      <c r="P68" s="58"/>
      <c r="Q68" s="58"/>
      <c r="R68" s="58"/>
      <c r="S68" s="58"/>
      <c r="T68" s="58"/>
      <c r="U68" s="58"/>
      <c r="V68" s="58"/>
      <c r="W68" s="58"/>
      <c r="X68" s="58"/>
      <c r="Y68" s="58"/>
      <c r="Z68" s="58"/>
      <c r="AA68" s="58"/>
      <c r="AB68" s="58"/>
      <c r="AC68" s="58"/>
      <c r="AD68" s="58"/>
      <c r="AE68" s="58"/>
      <c r="AF68" s="58"/>
      <c r="AG68" s="58"/>
      <c r="AH68" s="58"/>
      <c r="AI68" s="58"/>
      <c r="AJ68" s="58"/>
      <c r="AK68" s="58"/>
      <c r="AL68" s="58"/>
      <c r="AM68" s="58"/>
      <c r="AN68" s="58"/>
      <c r="AO68" s="58"/>
      <c r="AP68" s="58"/>
      <c r="AQ68" s="58"/>
    </row>
    <row r="69" spans="3:43" ht="15.95" hidden="1" customHeight="1">
      <c r="C69" s="10"/>
      <c r="D69" s="58"/>
      <c r="E69" s="58"/>
      <c r="F69" s="58"/>
      <c r="G69" s="58"/>
      <c r="H69" s="58"/>
      <c r="I69" s="58"/>
      <c r="J69" s="58"/>
      <c r="K69" s="58"/>
      <c r="L69" s="58"/>
      <c r="M69" s="58"/>
      <c r="N69" s="58"/>
      <c r="O69" s="58"/>
      <c r="P69" s="58"/>
      <c r="Q69" s="58"/>
      <c r="R69" s="58"/>
      <c r="S69" s="58"/>
      <c r="T69" s="58"/>
      <c r="U69" s="58"/>
      <c r="V69" s="58"/>
      <c r="W69" s="58"/>
      <c r="X69" s="58"/>
      <c r="Y69" s="58"/>
      <c r="Z69" s="58"/>
      <c r="AA69" s="58"/>
      <c r="AB69" s="58"/>
      <c r="AC69" s="58"/>
      <c r="AD69" s="58"/>
      <c r="AE69" s="58"/>
      <c r="AF69" s="58"/>
      <c r="AG69" s="58"/>
      <c r="AH69" s="58"/>
      <c r="AI69" s="58"/>
      <c r="AJ69" s="58"/>
      <c r="AK69" s="58"/>
      <c r="AL69" s="58"/>
      <c r="AM69" s="58"/>
      <c r="AN69" s="58"/>
      <c r="AO69" s="58"/>
      <c r="AP69" s="58"/>
      <c r="AQ69" s="58"/>
    </row>
    <row r="70" spans="3:43" ht="15.95" hidden="1" customHeight="1">
      <c r="C70" s="10"/>
      <c r="D70" s="58"/>
      <c r="E70" s="58"/>
      <c r="F70" s="58"/>
      <c r="G70" s="58"/>
      <c r="H70" s="58"/>
      <c r="I70" s="58"/>
      <c r="J70" s="58"/>
      <c r="K70" s="58"/>
      <c r="L70" s="58"/>
      <c r="M70" s="58"/>
      <c r="N70" s="58"/>
      <c r="O70" s="58"/>
      <c r="P70" s="58"/>
      <c r="Q70" s="58"/>
      <c r="R70" s="58"/>
      <c r="S70" s="58"/>
      <c r="T70" s="58"/>
      <c r="U70" s="58"/>
      <c r="V70" s="58"/>
      <c r="W70" s="58"/>
      <c r="X70" s="58"/>
      <c r="Y70" s="58"/>
      <c r="Z70" s="58"/>
      <c r="AA70" s="58"/>
      <c r="AB70" s="58"/>
      <c r="AC70" s="58"/>
      <c r="AD70" s="58"/>
      <c r="AE70" s="58"/>
      <c r="AF70" s="58"/>
      <c r="AG70" s="58"/>
      <c r="AH70" s="58"/>
      <c r="AI70" s="58"/>
      <c r="AJ70" s="58"/>
      <c r="AK70" s="58"/>
      <c r="AL70" s="58"/>
      <c r="AM70" s="58"/>
      <c r="AN70" s="58"/>
      <c r="AO70" s="58"/>
      <c r="AP70" s="58"/>
      <c r="AQ70" s="58"/>
    </row>
    <row r="71" spans="3:43" ht="15.95" hidden="1" customHeight="1">
      <c r="C71" s="10"/>
      <c r="D71" s="58"/>
      <c r="E71" s="58"/>
      <c r="F71" s="58"/>
      <c r="G71" s="58"/>
      <c r="H71" s="58"/>
      <c r="I71" s="58"/>
      <c r="J71" s="58"/>
      <c r="K71" s="58"/>
      <c r="L71" s="58"/>
      <c r="M71" s="58"/>
      <c r="N71" s="58"/>
      <c r="O71" s="58"/>
      <c r="P71" s="58"/>
      <c r="Q71" s="58"/>
      <c r="R71" s="58"/>
      <c r="S71" s="58"/>
      <c r="T71" s="58"/>
      <c r="U71" s="58"/>
      <c r="V71" s="58"/>
      <c r="W71" s="58"/>
      <c r="X71" s="58"/>
      <c r="Y71" s="58"/>
      <c r="Z71" s="58"/>
      <c r="AA71" s="58"/>
      <c r="AB71" s="58"/>
      <c r="AC71" s="58"/>
      <c r="AD71" s="58"/>
      <c r="AE71" s="58"/>
      <c r="AF71" s="58"/>
      <c r="AG71" s="58"/>
      <c r="AH71" s="58"/>
      <c r="AI71" s="58"/>
      <c r="AJ71" s="58"/>
      <c r="AK71" s="58"/>
      <c r="AL71" s="58"/>
      <c r="AM71" s="58"/>
      <c r="AN71" s="58"/>
      <c r="AO71" s="58"/>
      <c r="AP71" s="58"/>
      <c r="AQ71" s="58"/>
    </row>
    <row r="72" spans="3:43" ht="15.95" hidden="1" customHeight="1">
      <c r="C72" s="10"/>
      <c r="D72" s="58"/>
      <c r="E72" s="58"/>
      <c r="F72" s="58"/>
      <c r="G72" s="58"/>
      <c r="H72" s="58"/>
      <c r="I72" s="58"/>
      <c r="J72" s="58"/>
      <c r="K72" s="58"/>
      <c r="L72" s="58"/>
      <c r="M72" s="58"/>
      <c r="N72" s="58"/>
      <c r="O72" s="58"/>
      <c r="P72" s="58"/>
      <c r="Q72" s="58"/>
      <c r="R72" s="58"/>
      <c r="S72" s="58"/>
      <c r="T72" s="58"/>
      <c r="U72" s="58"/>
      <c r="V72" s="58"/>
      <c r="W72" s="58"/>
      <c r="X72" s="58"/>
      <c r="Y72" s="58"/>
      <c r="Z72" s="58"/>
      <c r="AA72" s="58"/>
      <c r="AB72" s="58"/>
      <c r="AC72" s="58"/>
      <c r="AD72" s="58"/>
      <c r="AE72" s="58"/>
      <c r="AF72" s="58"/>
      <c r="AG72" s="58"/>
      <c r="AH72" s="58"/>
      <c r="AI72" s="58"/>
      <c r="AJ72" s="58"/>
      <c r="AK72" s="58"/>
      <c r="AL72" s="58"/>
      <c r="AM72" s="58"/>
      <c r="AN72" s="58"/>
      <c r="AO72" s="58"/>
      <c r="AP72" s="58"/>
      <c r="AQ72" s="58"/>
    </row>
    <row r="73" spans="3:43" ht="15.95" hidden="1" customHeight="1">
      <c r="C73" s="10"/>
      <c r="D73" s="58"/>
      <c r="E73" s="58"/>
      <c r="F73" s="58"/>
      <c r="G73" s="58"/>
      <c r="H73" s="58"/>
      <c r="I73" s="58"/>
      <c r="J73" s="58"/>
      <c r="K73" s="58"/>
      <c r="L73" s="58"/>
      <c r="M73" s="58"/>
      <c r="N73" s="58"/>
      <c r="O73" s="58"/>
      <c r="P73" s="58"/>
      <c r="Q73" s="58"/>
      <c r="R73" s="58"/>
      <c r="S73" s="58"/>
      <c r="T73" s="58"/>
      <c r="U73" s="58"/>
      <c r="V73" s="58"/>
      <c r="W73" s="58"/>
      <c r="X73" s="58"/>
      <c r="Y73" s="58"/>
      <c r="Z73" s="58"/>
      <c r="AA73" s="58"/>
      <c r="AB73" s="58"/>
      <c r="AC73" s="58"/>
      <c r="AD73" s="58"/>
      <c r="AE73" s="58"/>
      <c r="AF73" s="58"/>
      <c r="AG73" s="58"/>
      <c r="AH73" s="58"/>
      <c r="AI73" s="58"/>
      <c r="AJ73" s="58"/>
      <c r="AK73" s="58"/>
      <c r="AL73" s="58"/>
      <c r="AM73" s="58"/>
      <c r="AN73" s="58"/>
      <c r="AO73" s="58"/>
      <c r="AP73" s="58"/>
      <c r="AQ73" s="58"/>
    </row>
    <row r="74" spans="3:43" ht="15.95" hidden="1" customHeight="1">
      <c r="C74" s="10"/>
      <c r="D74" s="58"/>
      <c r="E74" s="58"/>
      <c r="F74" s="58"/>
      <c r="G74" s="58"/>
      <c r="H74" s="58"/>
      <c r="I74" s="58"/>
      <c r="J74" s="58"/>
      <c r="K74" s="58"/>
      <c r="L74" s="58"/>
      <c r="M74" s="58"/>
      <c r="N74" s="58"/>
      <c r="O74" s="58"/>
      <c r="P74" s="58"/>
      <c r="Q74" s="58"/>
      <c r="R74" s="58"/>
      <c r="S74" s="58"/>
      <c r="T74" s="58"/>
      <c r="U74" s="58"/>
      <c r="V74" s="58"/>
      <c r="W74" s="58"/>
      <c r="X74" s="58"/>
      <c r="Y74" s="58"/>
      <c r="Z74" s="58"/>
      <c r="AA74" s="58"/>
      <c r="AB74" s="58"/>
      <c r="AC74" s="58"/>
      <c r="AD74" s="58"/>
      <c r="AE74" s="58"/>
      <c r="AF74" s="58"/>
      <c r="AG74" s="58"/>
      <c r="AH74" s="58"/>
      <c r="AI74" s="58"/>
      <c r="AJ74" s="58"/>
      <c r="AK74" s="58"/>
      <c r="AL74" s="58"/>
      <c r="AM74" s="58"/>
      <c r="AN74" s="58"/>
      <c r="AO74" s="58"/>
      <c r="AP74" s="58"/>
      <c r="AQ74" s="58"/>
    </row>
    <row r="75" spans="3:43" ht="15.95" hidden="1" customHeight="1">
      <c r="C75" s="10"/>
      <c r="D75" s="58"/>
      <c r="E75" s="58"/>
      <c r="F75" s="58"/>
      <c r="G75" s="58"/>
      <c r="H75" s="58"/>
      <c r="I75" s="58"/>
      <c r="J75" s="58"/>
      <c r="K75" s="58"/>
      <c r="L75" s="58"/>
      <c r="M75" s="58"/>
      <c r="N75" s="58"/>
      <c r="O75" s="58"/>
      <c r="P75" s="58"/>
      <c r="Q75" s="58"/>
      <c r="R75" s="58"/>
      <c r="S75" s="58"/>
      <c r="T75" s="58"/>
      <c r="U75" s="58"/>
      <c r="V75" s="58"/>
      <c r="W75" s="58"/>
      <c r="X75" s="58"/>
      <c r="Y75" s="58"/>
      <c r="Z75" s="58"/>
      <c r="AA75" s="58"/>
      <c r="AB75" s="58"/>
      <c r="AC75" s="58"/>
      <c r="AD75" s="58"/>
      <c r="AE75" s="58"/>
      <c r="AF75" s="58"/>
      <c r="AG75" s="58"/>
      <c r="AH75" s="58"/>
      <c r="AI75" s="58"/>
      <c r="AJ75" s="58"/>
      <c r="AK75" s="58"/>
      <c r="AL75" s="58"/>
      <c r="AM75" s="58"/>
      <c r="AN75" s="58"/>
      <c r="AO75" s="58"/>
      <c r="AP75" s="58"/>
      <c r="AQ75" s="58"/>
    </row>
    <row r="76" spans="3:43" ht="15.95" hidden="1" customHeight="1">
      <c r="C76" s="10"/>
      <c r="D76" s="58"/>
      <c r="E76" s="58"/>
      <c r="F76" s="58"/>
      <c r="G76" s="58"/>
      <c r="H76" s="58"/>
      <c r="I76" s="58"/>
      <c r="J76" s="58"/>
      <c r="K76" s="58"/>
      <c r="L76" s="58"/>
      <c r="M76" s="58"/>
      <c r="N76" s="58"/>
      <c r="O76" s="58"/>
      <c r="P76" s="58"/>
      <c r="Q76" s="58"/>
      <c r="R76" s="58"/>
      <c r="S76" s="58"/>
      <c r="T76" s="58"/>
      <c r="U76" s="58"/>
      <c r="V76" s="58"/>
      <c r="W76" s="58"/>
      <c r="X76" s="58"/>
      <c r="Y76" s="58"/>
      <c r="Z76" s="58"/>
      <c r="AA76" s="58"/>
      <c r="AB76" s="58"/>
      <c r="AC76" s="58"/>
      <c r="AD76" s="58"/>
      <c r="AE76" s="58"/>
      <c r="AF76" s="58"/>
      <c r="AG76" s="58"/>
      <c r="AH76" s="58"/>
      <c r="AI76" s="58"/>
      <c r="AJ76" s="58"/>
      <c r="AK76" s="58"/>
      <c r="AL76" s="58"/>
      <c r="AM76" s="58"/>
      <c r="AN76" s="58"/>
      <c r="AO76" s="58"/>
      <c r="AP76" s="58"/>
      <c r="AQ76" s="58"/>
    </row>
    <row r="77" spans="3:43" ht="15.95" hidden="1" customHeight="1">
      <c r="C77" s="10"/>
      <c r="D77" s="58"/>
      <c r="E77" s="58"/>
      <c r="F77" s="58"/>
      <c r="G77" s="58"/>
      <c r="H77" s="58"/>
      <c r="I77" s="58"/>
      <c r="J77" s="58"/>
      <c r="K77" s="58"/>
      <c r="L77" s="58"/>
      <c r="M77" s="58"/>
      <c r="N77" s="58"/>
      <c r="O77" s="58"/>
      <c r="P77" s="58"/>
      <c r="Q77" s="58"/>
      <c r="R77" s="58"/>
      <c r="S77" s="58"/>
      <c r="T77" s="58"/>
      <c r="U77" s="58"/>
      <c r="V77" s="58"/>
      <c r="W77" s="58"/>
      <c r="X77" s="58"/>
      <c r="Y77" s="58"/>
      <c r="Z77" s="58"/>
      <c r="AA77" s="58"/>
      <c r="AB77" s="58"/>
      <c r="AC77" s="58"/>
      <c r="AD77" s="58"/>
      <c r="AE77" s="58"/>
      <c r="AF77" s="58"/>
      <c r="AG77" s="58"/>
      <c r="AH77" s="58"/>
      <c r="AI77" s="58"/>
      <c r="AJ77" s="58"/>
      <c r="AK77" s="58"/>
      <c r="AL77" s="58"/>
      <c r="AM77" s="58"/>
      <c r="AN77" s="58"/>
      <c r="AO77" s="58"/>
      <c r="AP77" s="58"/>
      <c r="AQ77" s="58"/>
    </row>
    <row r="78" spans="3:43" ht="15.95" hidden="1" customHeight="1">
      <c r="C78" s="10"/>
      <c r="D78" s="58"/>
      <c r="E78" s="58"/>
      <c r="F78" s="58"/>
      <c r="G78" s="58"/>
      <c r="H78" s="58"/>
      <c r="I78" s="58"/>
      <c r="J78" s="58"/>
      <c r="K78" s="58"/>
      <c r="L78" s="58"/>
      <c r="M78" s="58"/>
      <c r="N78" s="58"/>
      <c r="O78" s="58"/>
      <c r="P78" s="58"/>
      <c r="Q78" s="58"/>
      <c r="R78" s="58"/>
      <c r="S78" s="58"/>
      <c r="T78" s="58"/>
      <c r="U78" s="58"/>
      <c r="V78" s="58"/>
      <c r="W78" s="58"/>
      <c r="X78" s="58"/>
      <c r="Y78" s="58"/>
      <c r="Z78" s="58"/>
      <c r="AA78" s="58"/>
      <c r="AB78" s="58"/>
      <c r="AC78" s="58"/>
      <c r="AD78" s="58"/>
      <c r="AE78" s="58"/>
      <c r="AF78" s="58"/>
      <c r="AG78" s="58"/>
      <c r="AH78" s="58"/>
      <c r="AI78" s="58"/>
      <c r="AJ78" s="58"/>
      <c r="AK78" s="58"/>
      <c r="AL78" s="58"/>
      <c r="AM78" s="58"/>
      <c r="AN78" s="58"/>
      <c r="AO78" s="58"/>
      <c r="AP78" s="58"/>
      <c r="AQ78" s="58"/>
    </row>
    <row r="79" spans="3:43" ht="15.95" hidden="1" customHeight="1">
      <c r="C79" s="10"/>
      <c r="D79" s="58"/>
      <c r="E79" s="58"/>
      <c r="F79" s="58"/>
      <c r="G79" s="58"/>
      <c r="H79" s="58"/>
      <c r="I79" s="58"/>
      <c r="J79" s="58"/>
      <c r="K79" s="58"/>
      <c r="L79" s="58"/>
      <c r="M79" s="58"/>
      <c r="N79" s="58"/>
      <c r="O79" s="58"/>
      <c r="P79" s="58"/>
      <c r="Q79" s="58"/>
      <c r="R79" s="58"/>
      <c r="S79" s="58"/>
      <c r="T79" s="58"/>
      <c r="U79" s="58"/>
      <c r="V79" s="58"/>
      <c r="W79" s="58"/>
      <c r="X79" s="58"/>
      <c r="Y79" s="58"/>
      <c r="Z79" s="58"/>
      <c r="AA79" s="58"/>
      <c r="AB79" s="58"/>
      <c r="AC79" s="58"/>
      <c r="AD79" s="58"/>
      <c r="AE79" s="58"/>
      <c r="AF79" s="58"/>
      <c r="AG79" s="58"/>
      <c r="AH79" s="58"/>
      <c r="AI79" s="58"/>
      <c r="AJ79" s="58"/>
      <c r="AK79" s="58"/>
      <c r="AL79" s="58"/>
      <c r="AM79" s="58"/>
      <c r="AN79" s="58"/>
      <c r="AO79" s="58"/>
      <c r="AP79" s="58"/>
      <c r="AQ79" s="58"/>
    </row>
    <row r="80" spans="3:43" ht="15.95" hidden="1" customHeight="1">
      <c r="C80" s="10"/>
      <c r="D80" s="58"/>
      <c r="E80" s="58"/>
      <c r="F80" s="58"/>
      <c r="G80" s="58"/>
      <c r="H80" s="58"/>
      <c r="I80" s="58"/>
      <c r="J80" s="58"/>
      <c r="K80" s="58"/>
      <c r="L80" s="58"/>
      <c r="M80" s="58"/>
      <c r="N80" s="58"/>
      <c r="O80" s="58"/>
      <c r="P80" s="58"/>
      <c r="Q80" s="58"/>
      <c r="R80" s="58"/>
      <c r="S80" s="58"/>
      <c r="T80" s="58"/>
      <c r="U80" s="58"/>
      <c r="V80" s="58"/>
      <c r="W80" s="58"/>
      <c r="X80" s="58"/>
      <c r="Y80" s="58"/>
      <c r="Z80" s="58"/>
      <c r="AA80" s="58"/>
      <c r="AB80" s="58"/>
      <c r="AC80" s="58"/>
      <c r="AD80" s="58"/>
      <c r="AE80" s="58"/>
      <c r="AF80" s="58"/>
      <c r="AG80" s="58"/>
      <c r="AH80" s="58"/>
      <c r="AI80" s="58"/>
      <c r="AJ80" s="58"/>
      <c r="AK80" s="58"/>
      <c r="AL80" s="58"/>
      <c r="AM80" s="58"/>
      <c r="AN80" s="58"/>
      <c r="AO80" s="58"/>
      <c r="AP80" s="58"/>
      <c r="AQ80" s="58"/>
    </row>
    <row r="81" spans="3:43" ht="15.95" hidden="1" customHeight="1">
      <c r="C81" s="10"/>
      <c r="D81" s="58"/>
      <c r="E81" s="58"/>
      <c r="F81" s="58"/>
      <c r="G81" s="58"/>
      <c r="H81" s="58"/>
      <c r="I81" s="58"/>
      <c r="J81" s="58"/>
      <c r="K81" s="58"/>
      <c r="L81" s="58"/>
      <c r="M81" s="58"/>
      <c r="N81" s="58"/>
      <c r="O81" s="58"/>
      <c r="P81" s="58"/>
      <c r="Q81" s="58"/>
      <c r="R81" s="58"/>
      <c r="S81" s="58"/>
      <c r="T81" s="58"/>
      <c r="U81" s="58"/>
      <c r="V81" s="58"/>
      <c r="W81" s="58"/>
      <c r="X81" s="58"/>
      <c r="Y81" s="58"/>
      <c r="Z81" s="58"/>
      <c r="AA81" s="58"/>
      <c r="AB81" s="58"/>
      <c r="AC81" s="58"/>
      <c r="AD81" s="58"/>
      <c r="AE81" s="58"/>
      <c r="AF81" s="58"/>
      <c r="AG81" s="58"/>
      <c r="AH81" s="58"/>
      <c r="AI81" s="58"/>
      <c r="AJ81" s="58"/>
      <c r="AK81" s="58"/>
      <c r="AL81" s="58"/>
      <c r="AM81" s="58"/>
      <c r="AN81" s="58"/>
      <c r="AO81" s="58"/>
      <c r="AP81" s="58"/>
      <c r="AQ81" s="58"/>
    </row>
    <row r="82" spans="3:43" ht="15.95" hidden="1" customHeight="1">
      <c r="C82" s="10"/>
      <c r="D82" s="58"/>
      <c r="E82" s="58"/>
      <c r="F82" s="58"/>
      <c r="G82" s="58"/>
      <c r="H82" s="58"/>
      <c r="I82" s="58"/>
      <c r="J82" s="58"/>
      <c r="K82" s="58"/>
      <c r="L82" s="58"/>
      <c r="M82" s="58"/>
      <c r="N82" s="58"/>
      <c r="O82" s="58"/>
      <c r="P82" s="58"/>
      <c r="Q82" s="58"/>
      <c r="R82" s="58"/>
      <c r="S82" s="58"/>
      <c r="T82" s="58"/>
      <c r="U82" s="58"/>
      <c r="V82" s="58"/>
      <c r="W82" s="58"/>
      <c r="X82" s="58"/>
      <c r="Y82" s="58"/>
      <c r="Z82" s="58"/>
      <c r="AA82" s="58"/>
      <c r="AB82" s="58"/>
      <c r="AC82" s="58"/>
      <c r="AD82" s="58"/>
      <c r="AE82" s="58"/>
      <c r="AF82" s="58"/>
      <c r="AG82" s="58"/>
      <c r="AH82" s="58"/>
      <c r="AI82" s="58"/>
      <c r="AJ82" s="58"/>
      <c r="AK82" s="58"/>
      <c r="AL82" s="58"/>
      <c r="AM82" s="58"/>
      <c r="AN82" s="58"/>
      <c r="AO82" s="58"/>
      <c r="AP82" s="58"/>
      <c r="AQ82" s="58"/>
    </row>
    <row r="83" spans="3:43" ht="15.95" hidden="1" customHeight="1">
      <c r="C83" s="10"/>
      <c r="D83" s="58"/>
      <c r="E83" s="58"/>
      <c r="F83" s="58"/>
      <c r="G83" s="58"/>
      <c r="H83" s="58"/>
      <c r="I83" s="58"/>
      <c r="J83" s="58"/>
      <c r="K83" s="58"/>
      <c r="L83" s="58"/>
      <c r="M83" s="58"/>
      <c r="N83" s="58"/>
      <c r="O83" s="58"/>
      <c r="P83" s="58"/>
      <c r="Q83" s="58"/>
      <c r="R83" s="58"/>
      <c r="S83" s="58"/>
      <c r="T83" s="58"/>
      <c r="U83" s="58"/>
      <c r="V83" s="58"/>
      <c r="W83" s="58"/>
      <c r="X83" s="58"/>
      <c r="Y83" s="58"/>
      <c r="Z83" s="58"/>
      <c r="AA83" s="58"/>
      <c r="AB83" s="58"/>
      <c r="AC83" s="58"/>
      <c r="AD83" s="58"/>
      <c r="AE83" s="58"/>
      <c r="AF83" s="58"/>
      <c r="AG83" s="58"/>
      <c r="AH83" s="58"/>
      <c r="AI83" s="58"/>
      <c r="AJ83" s="58"/>
      <c r="AK83" s="58"/>
      <c r="AL83" s="58"/>
      <c r="AM83" s="58"/>
      <c r="AN83" s="58"/>
      <c r="AO83" s="58"/>
      <c r="AP83" s="58"/>
      <c r="AQ83" s="58"/>
    </row>
    <row r="84" spans="3:43" ht="15.95" hidden="1" customHeight="1">
      <c r="C84" s="10"/>
      <c r="D84" s="58"/>
      <c r="E84" s="58"/>
      <c r="F84" s="58"/>
      <c r="G84" s="58"/>
      <c r="H84" s="58"/>
      <c r="I84" s="58"/>
      <c r="J84" s="58"/>
      <c r="K84" s="58"/>
      <c r="L84" s="58"/>
      <c r="M84" s="58"/>
      <c r="N84" s="58"/>
      <c r="O84" s="58"/>
      <c r="P84" s="58"/>
      <c r="Q84" s="58"/>
      <c r="R84" s="58"/>
      <c r="S84" s="58"/>
      <c r="T84" s="58"/>
      <c r="U84" s="58"/>
      <c r="V84" s="58"/>
      <c r="W84" s="58"/>
      <c r="X84" s="58"/>
      <c r="Y84" s="58"/>
      <c r="Z84" s="58"/>
      <c r="AA84" s="58"/>
      <c r="AB84" s="58"/>
      <c r="AC84" s="58"/>
      <c r="AD84" s="58"/>
      <c r="AE84" s="58"/>
      <c r="AF84" s="58"/>
      <c r="AG84" s="58"/>
      <c r="AH84" s="58"/>
      <c r="AI84" s="58"/>
      <c r="AJ84" s="58"/>
      <c r="AK84" s="58"/>
      <c r="AL84" s="58"/>
      <c r="AM84" s="58"/>
      <c r="AN84" s="58"/>
      <c r="AO84" s="58"/>
      <c r="AP84" s="58"/>
      <c r="AQ84" s="58"/>
    </row>
    <row r="85" spans="3:43" ht="15.95" hidden="1" customHeight="1">
      <c r="C85" s="10"/>
      <c r="D85" s="58"/>
      <c r="E85" s="58"/>
      <c r="F85" s="58"/>
      <c r="G85" s="58"/>
      <c r="H85" s="58"/>
      <c r="I85" s="58"/>
      <c r="J85" s="58"/>
      <c r="K85" s="58"/>
      <c r="L85" s="58"/>
      <c r="M85" s="58"/>
      <c r="N85" s="58"/>
      <c r="O85" s="58"/>
      <c r="P85" s="58"/>
      <c r="Q85" s="58"/>
      <c r="R85" s="58"/>
      <c r="S85" s="58"/>
      <c r="T85" s="58"/>
      <c r="U85" s="58"/>
      <c r="V85" s="58"/>
      <c r="W85" s="58"/>
      <c r="X85" s="58"/>
      <c r="Y85" s="58"/>
      <c r="Z85" s="58"/>
      <c r="AA85" s="58"/>
      <c r="AB85" s="58"/>
      <c r="AC85" s="58"/>
      <c r="AD85" s="58"/>
      <c r="AE85" s="58"/>
      <c r="AF85" s="58"/>
      <c r="AG85" s="58"/>
      <c r="AH85" s="58"/>
      <c r="AI85" s="58"/>
      <c r="AJ85" s="58"/>
      <c r="AK85" s="58"/>
      <c r="AL85" s="58"/>
      <c r="AM85" s="58"/>
      <c r="AN85" s="58"/>
      <c r="AO85" s="58"/>
      <c r="AP85" s="58"/>
      <c r="AQ85" s="58"/>
    </row>
    <row r="86" spans="3:43" ht="15.95" hidden="1" customHeight="1">
      <c r="C86" s="10"/>
      <c r="D86" s="58"/>
      <c r="E86" s="58"/>
      <c r="F86" s="58"/>
      <c r="G86" s="58"/>
      <c r="H86" s="58"/>
      <c r="I86" s="58"/>
      <c r="J86" s="58"/>
      <c r="K86" s="58"/>
      <c r="L86" s="58"/>
      <c r="M86" s="58"/>
      <c r="N86" s="58"/>
      <c r="O86" s="58"/>
      <c r="P86" s="58"/>
      <c r="Q86" s="58"/>
      <c r="R86" s="58"/>
      <c r="S86" s="58"/>
      <c r="T86" s="58"/>
      <c r="U86" s="58"/>
      <c r="V86" s="58"/>
      <c r="W86" s="58"/>
      <c r="X86" s="58"/>
      <c r="Y86" s="58"/>
      <c r="Z86" s="58"/>
      <c r="AA86" s="58"/>
      <c r="AB86" s="58"/>
      <c r="AC86" s="58"/>
      <c r="AD86" s="58"/>
      <c r="AE86" s="58"/>
      <c r="AF86" s="58"/>
      <c r="AG86" s="58"/>
      <c r="AH86" s="58"/>
      <c r="AI86" s="58"/>
      <c r="AJ86" s="58"/>
      <c r="AK86" s="58"/>
      <c r="AL86" s="58"/>
      <c r="AM86" s="58"/>
      <c r="AN86" s="58"/>
      <c r="AO86" s="58"/>
      <c r="AP86" s="58"/>
      <c r="AQ86" s="58"/>
    </row>
    <row r="87" spans="3:43" ht="15.95" hidden="1" customHeight="1">
      <c r="C87" s="10"/>
      <c r="D87" s="58"/>
      <c r="E87" s="58"/>
      <c r="F87" s="58"/>
      <c r="G87" s="58"/>
      <c r="H87" s="58"/>
      <c r="I87" s="58"/>
      <c r="J87" s="58"/>
      <c r="K87" s="58"/>
      <c r="L87" s="58"/>
      <c r="M87" s="58"/>
      <c r="N87" s="58"/>
      <c r="O87" s="58"/>
      <c r="P87" s="58"/>
      <c r="Q87" s="58"/>
      <c r="R87" s="58"/>
      <c r="S87" s="58"/>
      <c r="T87" s="58"/>
      <c r="U87" s="58"/>
      <c r="V87" s="58"/>
      <c r="W87" s="58"/>
      <c r="X87" s="58"/>
      <c r="Y87" s="58"/>
      <c r="Z87" s="58"/>
      <c r="AA87" s="58"/>
      <c r="AB87" s="58"/>
      <c r="AC87" s="58"/>
      <c r="AD87" s="58"/>
      <c r="AE87" s="58"/>
      <c r="AF87" s="58"/>
      <c r="AG87" s="58"/>
      <c r="AH87" s="58"/>
      <c r="AI87" s="58"/>
      <c r="AJ87" s="58"/>
      <c r="AK87" s="58"/>
      <c r="AL87" s="58"/>
      <c r="AM87" s="58"/>
      <c r="AN87" s="58"/>
      <c r="AO87" s="58"/>
      <c r="AP87" s="58"/>
      <c r="AQ87" s="58"/>
    </row>
    <row r="88" spans="3:43" ht="15.95" hidden="1" customHeight="1">
      <c r="C88" s="10"/>
      <c r="D88" s="58"/>
      <c r="E88" s="58"/>
      <c r="F88" s="58"/>
      <c r="G88" s="58"/>
      <c r="H88" s="58"/>
      <c r="I88" s="58"/>
      <c r="J88" s="58"/>
      <c r="K88" s="58"/>
      <c r="L88" s="58"/>
      <c r="M88" s="58"/>
      <c r="N88" s="58"/>
      <c r="O88" s="58"/>
      <c r="P88" s="58"/>
      <c r="Q88" s="58"/>
      <c r="R88" s="58"/>
      <c r="S88" s="58"/>
      <c r="T88" s="58"/>
      <c r="U88" s="58"/>
      <c r="V88" s="58"/>
      <c r="W88" s="58"/>
      <c r="X88" s="58"/>
      <c r="Y88" s="58"/>
      <c r="Z88" s="58"/>
      <c r="AA88" s="58"/>
      <c r="AB88" s="58"/>
      <c r="AC88" s="58"/>
      <c r="AD88" s="58"/>
      <c r="AE88" s="58"/>
      <c r="AF88" s="58"/>
      <c r="AG88" s="58"/>
      <c r="AH88" s="58"/>
      <c r="AI88" s="58"/>
      <c r="AJ88" s="58"/>
      <c r="AK88" s="58"/>
      <c r="AL88" s="58"/>
      <c r="AM88" s="58"/>
      <c r="AN88" s="58"/>
      <c r="AO88" s="58"/>
      <c r="AP88" s="58"/>
      <c r="AQ88" s="58"/>
    </row>
    <row r="89" spans="3:43" ht="15.95" hidden="1" customHeight="1">
      <c r="C89" s="10"/>
      <c r="D89" s="58"/>
      <c r="E89" s="58"/>
      <c r="F89" s="58"/>
      <c r="G89" s="58"/>
      <c r="H89" s="58"/>
      <c r="I89" s="58"/>
      <c r="J89" s="58"/>
      <c r="K89" s="58"/>
      <c r="L89" s="58"/>
      <c r="M89" s="58"/>
      <c r="N89" s="58"/>
      <c r="O89" s="58"/>
      <c r="P89" s="58"/>
      <c r="Q89" s="58"/>
      <c r="R89" s="58"/>
      <c r="S89" s="58"/>
      <c r="T89" s="58"/>
      <c r="U89" s="58"/>
      <c r="V89" s="58"/>
      <c r="W89" s="58"/>
      <c r="X89" s="58"/>
      <c r="Y89" s="58"/>
      <c r="Z89" s="58"/>
      <c r="AA89" s="58"/>
      <c r="AB89" s="58"/>
      <c r="AC89" s="58"/>
      <c r="AD89" s="58"/>
      <c r="AE89" s="58"/>
      <c r="AF89" s="58"/>
      <c r="AG89" s="58"/>
      <c r="AH89" s="58"/>
      <c r="AI89" s="58"/>
      <c r="AJ89" s="58"/>
      <c r="AK89" s="58"/>
      <c r="AL89" s="58"/>
      <c r="AM89" s="58"/>
      <c r="AN89" s="58"/>
      <c r="AO89" s="58"/>
      <c r="AP89" s="58"/>
      <c r="AQ89" s="58"/>
    </row>
    <row r="90" spans="3:43" ht="15.95" hidden="1" customHeight="1">
      <c r="C90" s="10"/>
      <c r="D90" s="58"/>
      <c r="E90" s="58"/>
      <c r="F90" s="58"/>
      <c r="G90" s="58"/>
      <c r="H90" s="58"/>
      <c r="I90" s="58"/>
      <c r="J90" s="58"/>
      <c r="K90" s="58"/>
      <c r="L90" s="58"/>
      <c r="M90" s="58"/>
      <c r="N90" s="58"/>
      <c r="O90" s="58"/>
      <c r="P90" s="58"/>
      <c r="Q90" s="58"/>
      <c r="R90" s="58"/>
      <c r="S90" s="58"/>
      <c r="T90" s="58"/>
      <c r="U90" s="58"/>
      <c r="V90" s="58"/>
      <c r="W90" s="58"/>
      <c r="X90" s="58"/>
      <c r="Y90" s="58"/>
      <c r="Z90" s="58"/>
      <c r="AA90" s="58"/>
      <c r="AB90" s="58"/>
      <c r="AC90" s="58"/>
      <c r="AD90" s="58"/>
      <c r="AE90" s="58"/>
      <c r="AF90" s="58"/>
      <c r="AG90" s="58"/>
      <c r="AH90" s="58"/>
      <c r="AI90" s="58"/>
      <c r="AJ90" s="58"/>
      <c r="AK90" s="58"/>
      <c r="AL90" s="58"/>
      <c r="AM90" s="58"/>
      <c r="AN90" s="58"/>
      <c r="AO90" s="58"/>
      <c r="AP90" s="58"/>
      <c r="AQ90" s="58"/>
    </row>
    <row r="91" spans="3:43" ht="15.95" hidden="1" customHeight="1">
      <c r="C91" s="10"/>
      <c r="D91" s="58"/>
      <c r="E91" s="58"/>
      <c r="F91" s="58"/>
      <c r="G91" s="58"/>
      <c r="H91" s="58"/>
      <c r="I91" s="58"/>
      <c r="J91" s="58"/>
      <c r="K91" s="58"/>
      <c r="L91" s="58"/>
      <c r="M91" s="58"/>
      <c r="N91" s="58"/>
      <c r="O91" s="58"/>
      <c r="P91" s="58"/>
      <c r="Q91" s="58"/>
      <c r="R91" s="58"/>
      <c r="S91" s="58"/>
      <c r="T91" s="58"/>
      <c r="U91" s="58"/>
      <c r="V91" s="58"/>
      <c r="W91" s="58"/>
      <c r="X91" s="58"/>
      <c r="Y91" s="58"/>
      <c r="Z91" s="58"/>
      <c r="AA91" s="58"/>
      <c r="AB91" s="58"/>
      <c r="AC91" s="58"/>
      <c r="AD91" s="58"/>
      <c r="AE91" s="58"/>
      <c r="AF91" s="58"/>
      <c r="AG91" s="58"/>
      <c r="AH91" s="58"/>
      <c r="AI91" s="58"/>
      <c r="AJ91" s="58"/>
      <c r="AK91" s="58"/>
      <c r="AL91" s="58"/>
      <c r="AM91" s="58"/>
      <c r="AN91" s="58"/>
      <c r="AO91" s="58"/>
      <c r="AP91" s="58"/>
      <c r="AQ91" s="58"/>
    </row>
    <row r="92" spans="3:43" ht="15.95" hidden="1" customHeight="1">
      <c r="C92" s="10"/>
      <c r="D92" s="58"/>
      <c r="E92" s="58"/>
      <c r="F92" s="58"/>
      <c r="G92" s="58"/>
      <c r="H92" s="58"/>
      <c r="I92" s="58"/>
      <c r="J92" s="58"/>
      <c r="K92" s="58"/>
      <c r="L92" s="58"/>
      <c r="M92" s="58"/>
      <c r="N92" s="58"/>
      <c r="O92" s="58"/>
      <c r="P92" s="58"/>
      <c r="Q92" s="58"/>
      <c r="R92" s="58"/>
      <c r="S92" s="58"/>
      <c r="T92" s="58"/>
      <c r="U92" s="58"/>
      <c r="V92" s="58"/>
      <c r="W92" s="58"/>
      <c r="X92" s="58"/>
      <c r="Y92" s="58"/>
      <c r="Z92" s="58"/>
      <c r="AA92" s="58"/>
      <c r="AB92" s="58"/>
      <c r="AC92" s="58"/>
      <c r="AD92" s="58"/>
      <c r="AE92" s="58"/>
      <c r="AF92" s="58"/>
      <c r="AG92" s="58"/>
      <c r="AH92" s="58"/>
      <c r="AI92" s="58"/>
      <c r="AJ92" s="58"/>
      <c r="AK92" s="58"/>
      <c r="AL92" s="58"/>
      <c r="AM92" s="58"/>
      <c r="AN92" s="58"/>
      <c r="AO92" s="58"/>
      <c r="AP92" s="58"/>
      <c r="AQ92" s="58"/>
    </row>
    <row r="93" spans="3:43" ht="15.95" hidden="1" customHeight="1">
      <c r="C93" s="10"/>
      <c r="D93" s="58"/>
      <c r="E93" s="58"/>
      <c r="F93" s="58"/>
      <c r="G93" s="58"/>
      <c r="H93" s="58"/>
      <c r="I93" s="58"/>
      <c r="J93" s="58"/>
      <c r="K93" s="58"/>
      <c r="L93" s="58"/>
      <c r="M93" s="58"/>
      <c r="N93" s="58"/>
      <c r="O93" s="58"/>
      <c r="P93" s="58"/>
      <c r="Q93" s="58"/>
      <c r="R93" s="58"/>
      <c r="S93" s="58"/>
      <c r="T93" s="58"/>
      <c r="U93" s="58"/>
      <c r="V93" s="58"/>
      <c r="W93" s="58"/>
      <c r="X93" s="58"/>
      <c r="Y93" s="58"/>
      <c r="Z93" s="58"/>
      <c r="AA93" s="58"/>
      <c r="AB93" s="58"/>
      <c r="AC93" s="58"/>
      <c r="AD93" s="58"/>
      <c r="AE93" s="58"/>
      <c r="AF93" s="58"/>
      <c r="AG93" s="58"/>
      <c r="AH93" s="58"/>
      <c r="AI93" s="58"/>
      <c r="AJ93" s="58"/>
      <c r="AK93" s="58"/>
      <c r="AL93" s="58"/>
      <c r="AM93" s="58"/>
      <c r="AN93" s="58"/>
      <c r="AO93" s="58"/>
      <c r="AP93" s="58"/>
      <c r="AQ93" s="58"/>
    </row>
    <row r="94" spans="3:43" ht="15.95" hidden="1" customHeight="1">
      <c r="C94" s="10"/>
      <c r="D94" s="58"/>
      <c r="E94" s="58"/>
      <c r="F94" s="58"/>
      <c r="G94" s="58"/>
      <c r="H94" s="58"/>
      <c r="I94" s="58"/>
      <c r="J94" s="58"/>
      <c r="K94" s="58"/>
      <c r="L94" s="58"/>
      <c r="M94" s="58"/>
      <c r="N94" s="58"/>
      <c r="O94" s="58"/>
      <c r="P94" s="58"/>
      <c r="Q94" s="58"/>
      <c r="R94" s="58"/>
      <c r="S94" s="58"/>
      <c r="T94" s="58"/>
      <c r="U94" s="58"/>
      <c r="V94" s="58"/>
      <c r="W94" s="58"/>
      <c r="X94" s="58"/>
      <c r="Y94" s="58"/>
      <c r="Z94" s="58"/>
      <c r="AA94" s="58"/>
      <c r="AB94" s="58"/>
      <c r="AC94" s="58"/>
      <c r="AD94" s="58"/>
      <c r="AE94" s="58"/>
      <c r="AF94" s="58"/>
      <c r="AG94" s="58"/>
      <c r="AH94" s="58"/>
      <c r="AI94" s="58"/>
      <c r="AJ94" s="58"/>
      <c r="AK94" s="58"/>
      <c r="AL94" s="58"/>
      <c r="AM94" s="58"/>
      <c r="AN94" s="58"/>
      <c r="AO94" s="58"/>
      <c r="AP94" s="58"/>
      <c r="AQ94" s="58"/>
    </row>
    <row r="95" spans="3:43" ht="15.95" hidden="1" customHeight="1">
      <c r="C95" s="10"/>
      <c r="D95" s="58"/>
      <c r="E95" s="58"/>
      <c r="F95" s="58"/>
      <c r="G95" s="58"/>
      <c r="H95" s="58"/>
      <c r="I95" s="58"/>
      <c r="J95" s="58"/>
      <c r="K95" s="58"/>
      <c r="L95" s="58"/>
      <c r="M95" s="58"/>
      <c r="N95" s="58"/>
      <c r="O95" s="58"/>
      <c r="P95" s="58"/>
      <c r="Q95" s="58"/>
      <c r="R95" s="58"/>
      <c r="S95" s="58"/>
      <c r="T95" s="58"/>
      <c r="U95" s="58"/>
      <c r="V95" s="58"/>
      <c r="W95" s="58"/>
      <c r="X95" s="58"/>
      <c r="Y95" s="58"/>
      <c r="Z95" s="58"/>
      <c r="AA95" s="58"/>
      <c r="AB95" s="58"/>
      <c r="AC95" s="58"/>
      <c r="AD95" s="58"/>
      <c r="AE95" s="58"/>
      <c r="AF95" s="58"/>
      <c r="AG95" s="58"/>
      <c r="AH95" s="58"/>
      <c r="AI95" s="58"/>
      <c r="AJ95" s="58"/>
      <c r="AK95" s="58"/>
      <c r="AL95" s="58"/>
      <c r="AM95" s="58"/>
      <c r="AN95" s="58"/>
      <c r="AO95" s="58"/>
      <c r="AP95" s="58"/>
      <c r="AQ95" s="58"/>
    </row>
    <row r="96" spans="3:43" ht="15.95" hidden="1" customHeight="1">
      <c r="C96" s="10"/>
      <c r="D96" s="58"/>
      <c r="E96" s="58"/>
      <c r="F96" s="58"/>
      <c r="G96" s="58"/>
      <c r="H96" s="58"/>
      <c r="I96" s="58"/>
      <c r="J96" s="58"/>
      <c r="K96" s="58"/>
      <c r="L96" s="58"/>
      <c r="M96" s="58"/>
      <c r="N96" s="58"/>
      <c r="O96" s="58"/>
      <c r="P96" s="58"/>
      <c r="Q96" s="58"/>
      <c r="R96" s="58"/>
      <c r="S96" s="58"/>
      <c r="T96" s="58"/>
      <c r="U96" s="58"/>
      <c r="V96" s="58"/>
      <c r="W96" s="58"/>
      <c r="X96" s="58"/>
      <c r="Y96" s="58"/>
      <c r="Z96" s="58"/>
      <c r="AA96" s="58"/>
      <c r="AB96" s="58"/>
      <c r="AC96" s="58"/>
      <c r="AD96" s="58"/>
      <c r="AE96" s="58"/>
      <c r="AF96" s="58"/>
      <c r="AG96" s="58"/>
      <c r="AH96" s="58"/>
      <c r="AI96" s="58"/>
      <c r="AJ96" s="58"/>
      <c r="AK96" s="58"/>
      <c r="AL96" s="58"/>
      <c r="AM96" s="58"/>
      <c r="AN96" s="58"/>
      <c r="AO96" s="58"/>
      <c r="AP96" s="58"/>
      <c r="AQ96" s="58"/>
    </row>
    <row r="97" spans="3:43" ht="15.95" hidden="1" customHeight="1">
      <c r="C97" s="10"/>
      <c r="D97" s="58"/>
      <c r="E97" s="58"/>
      <c r="F97" s="58"/>
      <c r="G97" s="58"/>
      <c r="H97" s="58"/>
      <c r="I97" s="58"/>
      <c r="J97" s="58"/>
      <c r="K97" s="58"/>
      <c r="L97" s="58"/>
      <c r="M97" s="58"/>
      <c r="N97" s="58"/>
      <c r="O97" s="58"/>
      <c r="P97" s="58"/>
      <c r="Q97" s="58"/>
      <c r="R97" s="58"/>
      <c r="S97" s="58"/>
      <c r="T97" s="58"/>
      <c r="U97" s="58"/>
      <c r="V97" s="58"/>
      <c r="W97" s="58"/>
      <c r="X97" s="58"/>
      <c r="Y97" s="58"/>
      <c r="Z97" s="58"/>
      <c r="AA97" s="58"/>
      <c r="AB97" s="58"/>
      <c r="AC97" s="58"/>
      <c r="AD97" s="58"/>
      <c r="AE97" s="58"/>
      <c r="AF97" s="58"/>
      <c r="AG97" s="58"/>
      <c r="AH97" s="58"/>
      <c r="AI97" s="58"/>
      <c r="AJ97" s="58"/>
      <c r="AK97" s="58"/>
      <c r="AL97" s="58"/>
      <c r="AM97" s="58"/>
      <c r="AN97" s="58"/>
      <c r="AO97" s="58"/>
      <c r="AP97" s="58"/>
      <c r="AQ97" s="58"/>
    </row>
    <row r="98" spans="3:43" ht="15.95" hidden="1" customHeight="1">
      <c r="C98" s="10"/>
      <c r="D98" s="58"/>
      <c r="E98" s="58"/>
      <c r="F98" s="58"/>
      <c r="G98" s="58"/>
      <c r="H98" s="58"/>
      <c r="I98" s="58"/>
      <c r="J98" s="58"/>
      <c r="K98" s="58"/>
      <c r="L98" s="58"/>
      <c r="M98" s="58"/>
      <c r="N98" s="58"/>
      <c r="O98" s="58"/>
      <c r="P98" s="58"/>
      <c r="Q98" s="58"/>
      <c r="R98" s="58"/>
      <c r="S98" s="58"/>
      <c r="T98" s="58"/>
      <c r="U98" s="58"/>
      <c r="V98" s="58"/>
      <c r="W98" s="58"/>
      <c r="X98" s="58"/>
      <c r="Y98" s="58"/>
      <c r="Z98" s="58"/>
      <c r="AA98" s="58"/>
      <c r="AB98" s="58"/>
      <c r="AC98" s="58"/>
      <c r="AD98" s="58"/>
      <c r="AE98" s="58"/>
      <c r="AF98" s="58"/>
      <c r="AG98" s="58"/>
      <c r="AH98" s="58"/>
      <c r="AI98" s="58"/>
      <c r="AJ98" s="58"/>
      <c r="AK98" s="58"/>
      <c r="AL98" s="58"/>
      <c r="AM98" s="58"/>
      <c r="AN98" s="58"/>
      <c r="AO98" s="58"/>
      <c r="AP98" s="58"/>
      <c r="AQ98" s="58"/>
    </row>
    <row r="99" spans="3:43" ht="15.95" hidden="1" customHeight="1">
      <c r="C99" s="10"/>
      <c r="D99" s="58"/>
      <c r="E99" s="58"/>
      <c r="F99" s="58"/>
      <c r="G99" s="58"/>
      <c r="H99" s="58"/>
      <c r="I99" s="58"/>
      <c r="J99" s="58"/>
      <c r="K99" s="58"/>
      <c r="L99" s="58"/>
      <c r="M99" s="58"/>
      <c r="N99" s="58"/>
      <c r="O99" s="58"/>
      <c r="P99" s="58"/>
      <c r="Q99" s="58"/>
      <c r="R99" s="58"/>
      <c r="S99" s="58"/>
      <c r="T99" s="58"/>
      <c r="U99" s="58"/>
      <c r="V99" s="58"/>
      <c r="W99" s="58"/>
      <c r="X99" s="58"/>
      <c r="Y99" s="58"/>
      <c r="Z99" s="58"/>
      <c r="AA99" s="58"/>
      <c r="AB99" s="58"/>
      <c r="AC99" s="58"/>
      <c r="AD99" s="58"/>
      <c r="AE99" s="58"/>
      <c r="AF99" s="58"/>
      <c r="AG99" s="58"/>
      <c r="AH99" s="58"/>
      <c r="AI99" s="58"/>
      <c r="AJ99" s="58"/>
      <c r="AK99" s="58"/>
      <c r="AL99" s="58"/>
      <c r="AM99" s="58"/>
      <c r="AN99" s="58"/>
      <c r="AO99" s="58"/>
      <c r="AP99" s="58"/>
      <c r="AQ99" s="58"/>
    </row>
    <row r="100" spans="3:43" ht="15.95" hidden="1" customHeight="1">
      <c r="C100" s="10"/>
      <c r="D100" s="58"/>
      <c r="E100" s="58"/>
      <c r="F100" s="58"/>
      <c r="G100" s="58"/>
      <c r="H100" s="58"/>
      <c r="I100" s="58"/>
      <c r="J100" s="58"/>
      <c r="K100" s="58"/>
      <c r="L100" s="58"/>
      <c r="M100" s="58"/>
      <c r="N100" s="58"/>
      <c r="O100" s="58"/>
      <c r="P100" s="58"/>
      <c r="Q100" s="58"/>
      <c r="R100" s="58"/>
      <c r="S100" s="58"/>
      <c r="T100" s="58"/>
      <c r="U100" s="58"/>
      <c r="V100" s="58"/>
      <c r="W100" s="58"/>
      <c r="X100" s="58"/>
      <c r="Y100" s="58"/>
      <c r="Z100" s="58"/>
      <c r="AA100" s="58"/>
      <c r="AB100" s="58"/>
      <c r="AC100" s="58"/>
      <c r="AD100" s="58"/>
      <c r="AE100" s="58"/>
      <c r="AF100" s="58"/>
      <c r="AG100" s="58"/>
      <c r="AH100" s="58"/>
      <c r="AI100" s="58"/>
      <c r="AJ100" s="58"/>
      <c r="AK100" s="58"/>
      <c r="AL100" s="58"/>
      <c r="AM100" s="58"/>
      <c r="AN100" s="58"/>
      <c r="AO100" s="58"/>
      <c r="AP100" s="58"/>
      <c r="AQ100" s="58"/>
    </row>
    <row r="101" spans="3:43" ht="15.95" hidden="1" customHeight="1">
      <c r="C101" s="10"/>
      <c r="D101" s="58"/>
      <c r="E101" s="58"/>
      <c r="F101" s="58"/>
      <c r="G101" s="58"/>
      <c r="H101" s="58"/>
      <c r="I101" s="58"/>
      <c r="J101" s="58"/>
      <c r="K101" s="58"/>
      <c r="L101" s="58"/>
      <c r="M101" s="58"/>
      <c r="N101" s="58"/>
      <c r="O101" s="58"/>
      <c r="P101" s="58"/>
      <c r="Q101" s="58"/>
      <c r="R101" s="58"/>
      <c r="S101" s="58"/>
      <c r="T101" s="58"/>
      <c r="U101" s="58"/>
      <c r="V101" s="58"/>
      <c r="W101" s="58"/>
      <c r="X101" s="58"/>
      <c r="Y101" s="58"/>
      <c r="Z101" s="58"/>
      <c r="AA101" s="58"/>
      <c r="AB101" s="58"/>
      <c r="AC101" s="58"/>
      <c r="AD101" s="58"/>
      <c r="AE101" s="58"/>
      <c r="AF101" s="58"/>
      <c r="AG101" s="58"/>
      <c r="AH101" s="58"/>
      <c r="AI101" s="58"/>
      <c r="AJ101" s="58"/>
      <c r="AK101" s="58"/>
      <c r="AL101" s="58"/>
      <c r="AM101" s="58"/>
      <c r="AN101" s="58"/>
      <c r="AO101" s="58"/>
      <c r="AP101" s="58"/>
      <c r="AQ101" s="58"/>
    </row>
    <row r="102" spans="3:43" ht="15.95" hidden="1" customHeight="1">
      <c r="C102" s="10"/>
      <c r="D102" s="58"/>
      <c r="E102" s="58"/>
      <c r="F102" s="58"/>
      <c r="G102" s="58"/>
      <c r="H102" s="58"/>
      <c r="I102" s="58"/>
      <c r="J102" s="58"/>
      <c r="K102" s="58"/>
      <c r="L102" s="58"/>
      <c r="M102" s="58"/>
      <c r="N102" s="58"/>
      <c r="O102" s="58"/>
      <c r="P102" s="58"/>
      <c r="Q102" s="58"/>
      <c r="R102" s="58"/>
      <c r="S102" s="58"/>
      <c r="T102" s="58"/>
      <c r="U102" s="58"/>
      <c r="V102" s="58"/>
      <c r="W102" s="58"/>
      <c r="X102" s="58"/>
      <c r="Y102" s="58"/>
      <c r="Z102" s="58"/>
      <c r="AA102" s="58"/>
      <c r="AB102" s="58"/>
      <c r="AC102" s="58"/>
      <c r="AD102" s="58"/>
      <c r="AE102" s="58"/>
      <c r="AF102" s="58"/>
      <c r="AG102" s="58"/>
      <c r="AH102" s="58"/>
      <c r="AI102" s="58"/>
      <c r="AJ102" s="58"/>
      <c r="AK102" s="58"/>
      <c r="AL102" s="58"/>
      <c r="AM102" s="58"/>
      <c r="AN102" s="58"/>
      <c r="AO102" s="58"/>
      <c r="AP102" s="58"/>
      <c r="AQ102" s="58"/>
    </row>
    <row r="103" spans="3:43" ht="15.95" hidden="1" customHeight="1">
      <c r="C103" s="10"/>
      <c r="D103" s="58"/>
      <c r="E103" s="58"/>
      <c r="F103" s="58"/>
      <c r="G103" s="58"/>
      <c r="H103" s="58"/>
      <c r="I103" s="58"/>
      <c r="J103" s="58"/>
      <c r="K103" s="58"/>
      <c r="L103" s="58"/>
      <c r="M103" s="58"/>
      <c r="N103" s="58"/>
      <c r="O103" s="58"/>
      <c r="P103" s="58"/>
      <c r="Q103" s="58"/>
      <c r="R103" s="58"/>
      <c r="S103" s="58"/>
      <c r="T103" s="58"/>
      <c r="U103" s="58"/>
      <c r="V103" s="58"/>
      <c r="W103" s="58"/>
      <c r="X103" s="58"/>
      <c r="Y103" s="58"/>
      <c r="Z103" s="58"/>
      <c r="AA103" s="58"/>
      <c r="AB103" s="58"/>
      <c r="AC103" s="58"/>
      <c r="AD103" s="58"/>
      <c r="AE103" s="58"/>
      <c r="AF103" s="58"/>
      <c r="AG103" s="58"/>
      <c r="AH103" s="58"/>
      <c r="AI103" s="58"/>
      <c r="AJ103" s="58"/>
      <c r="AK103" s="58"/>
      <c r="AL103" s="58"/>
      <c r="AM103" s="58"/>
      <c r="AN103" s="58"/>
      <c r="AO103" s="58"/>
      <c r="AP103" s="58"/>
      <c r="AQ103" s="58"/>
    </row>
    <row r="104" spans="3:43" ht="15.95" hidden="1" customHeight="1">
      <c r="C104" s="10"/>
      <c r="D104" s="58"/>
      <c r="E104" s="58"/>
      <c r="F104" s="58"/>
      <c r="G104" s="58"/>
      <c r="H104" s="58"/>
      <c r="I104" s="58"/>
      <c r="J104" s="58"/>
      <c r="K104" s="58"/>
      <c r="L104" s="58"/>
      <c r="M104" s="58"/>
      <c r="N104" s="58"/>
      <c r="O104" s="58"/>
      <c r="P104" s="58"/>
      <c r="Q104" s="58"/>
      <c r="R104" s="58"/>
      <c r="S104" s="58"/>
      <c r="T104" s="58"/>
      <c r="U104" s="58"/>
      <c r="V104" s="58"/>
      <c r="W104" s="58"/>
      <c r="X104" s="58"/>
      <c r="Y104" s="58"/>
      <c r="Z104" s="58"/>
      <c r="AA104" s="58"/>
      <c r="AB104" s="58"/>
      <c r="AC104" s="58"/>
      <c r="AD104" s="58"/>
      <c r="AE104" s="58"/>
      <c r="AF104" s="58"/>
      <c r="AG104" s="58"/>
      <c r="AH104" s="58"/>
      <c r="AI104" s="58"/>
      <c r="AJ104" s="58"/>
      <c r="AK104" s="58"/>
      <c r="AL104" s="58"/>
      <c r="AM104" s="58"/>
      <c r="AN104" s="58"/>
      <c r="AO104" s="58"/>
      <c r="AP104" s="58"/>
      <c r="AQ104" s="58"/>
    </row>
    <row r="105" spans="3:43" ht="15.95" hidden="1" customHeight="1">
      <c r="C105" s="10"/>
      <c r="D105" s="58"/>
      <c r="E105" s="58"/>
      <c r="F105" s="58"/>
      <c r="G105" s="58"/>
      <c r="H105" s="58"/>
      <c r="I105" s="58"/>
      <c r="J105" s="58"/>
      <c r="K105" s="58"/>
      <c r="L105" s="58"/>
      <c r="M105" s="58"/>
      <c r="N105" s="58"/>
      <c r="O105" s="58"/>
      <c r="P105" s="58"/>
      <c r="Q105" s="58"/>
      <c r="R105" s="58"/>
      <c r="S105" s="58"/>
      <c r="T105" s="58"/>
      <c r="U105" s="58"/>
      <c r="V105" s="58"/>
      <c r="W105" s="58"/>
      <c r="X105" s="58"/>
      <c r="Y105" s="58"/>
      <c r="Z105" s="58"/>
      <c r="AA105" s="58"/>
      <c r="AB105" s="58"/>
      <c r="AC105" s="58"/>
      <c r="AD105" s="58"/>
      <c r="AE105" s="58"/>
      <c r="AF105" s="58"/>
      <c r="AG105" s="58"/>
      <c r="AH105" s="58"/>
      <c r="AI105" s="58"/>
      <c r="AJ105" s="58"/>
      <c r="AK105" s="58"/>
      <c r="AL105" s="58"/>
      <c r="AM105" s="58"/>
      <c r="AN105" s="58"/>
      <c r="AO105" s="58"/>
      <c r="AP105" s="58"/>
      <c r="AQ105" s="58"/>
    </row>
    <row r="106" spans="3:43" ht="15.95" hidden="1" customHeight="1">
      <c r="C106" s="10"/>
      <c r="D106" s="58"/>
      <c r="E106" s="58"/>
      <c r="F106" s="58"/>
      <c r="G106" s="58"/>
      <c r="H106" s="58"/>
      <c r="I106" s="58"/>
      <c r="J106" s="58"/>
      <c r="K106" s="58"/>
      <c r="L106" s="58"/>
      <c r="M106" s="58"/>
      <c r="N106" s="58"/>
      <c r="O106" s="58"/>
      <c r="P106" s="58"/>
      <c r="Q106" s="58"/>
      <c r="R106" s="58"/>
      <c r="S106" s="58"/>
      <c r="T106" s="58"/>
      <c r="U106" s="58"/>
      <c r="V106" s="58"/>
      <c r="W106" s="58"/>
      <c r="X106" s="58"/>
      <c r="Y106" s="58"/>
      <c r="Z106" s="58"/>
      <c r="AA106" s="58"/>
      <c r="AB106" s="58"/>
      <c r="AC106" s="58"/>
      <c r="AD106" s="58"/>
      <c r="AE106" s="58"/>
      <c r="AF106" s="58"/>
      <c r="AG106" s="58"/>
      <c r="AH106" s="58"/>
      <c r="AI106" s="58"/>
      <c r="AJ106" s="58"/>
      <c r="AK106" s="58"/>
      <c r="AL106" s="58"/>
      <c r="AM106" s="58"/>
      <c r="AN106" s="58"/>
      <c r="AO106" s="58"/>
      <c r="AP106" s="58"/>
      <c r="AQ106" s="58"/>
    </row>
    <row r="107" spans="3:43" ht="15.95" hidden="1" customHeight="1">
      <c r="C107" s="10"/>
      <c r="D107" s="58"/>
      <c r="E107" s="58"/>
      <c r="F107" s="58"/>
      <c r="G107" s="58"/>
      <c r="H107" s="58"/>
      <c r="I107" s="58"/>
      <c r="J107" s="58"/>
      <c r="K107" s="58"/>
      <c r="L107" s="58"/>
      <c r="M107" s="58"/>
      <c r="N107" s="58"/>
      <c r="O107" s="58"/>
      <c r="P107" s="58"/>
      <c r="Q107" s="58"/>
      <c r="R107" s="58"/>
      <c r="S107" s="58"/>
      <c r="T107" s="58"/>
      <c r="U107" s="58"/>
      <c r="V107" s="58"/>
      <c r="W107" s="58"/>
      <c r="X107" s="58"/>
      <c r="Y107" s="58"/>
      <c r="Z107" s="58"/>
      <c r="AA107" s="58"/>
      <c r="AB107" s="58"/>
      <c r="AC107" s="58"/>
      <c r="AD107" s="58"/>
      <c r="AE107" s="58"/>
      <c r="AF107" s="58"/>
      <c r="AG107" s="58"/>
      <c r="AH107" s="58"/>
      <c r="AI107" s="58"/>
      <c r="AJ107" s="58"/>
      <c r="AK107" s="58"/>
      <c r="AL107" s="58"/>
      <c r="AM107" s="58"/>
      <c r="AN107" s="58"/>
      <c r="AO107" s="58"/>
      <c r="AP107" s="58"/>
      <c r="AQ107" s="58"/>
    </row>
    <row r="108" spans="3:43" ht="15.95" hidden="1" customHeight="1">
      <c r="C108" s="10"/>
      <c r="D108" s="58"/>
      <c r="E108" s="58"/>
      <c r="F108" s="58"/>
      <c r="G108" s="58"/>
      <c r="H108" s="58"/>
      <c r="I108" s="58"/>
      <c r="J108" s="58"/>
      <c r="K108" s="58"/>
      <c r="L108" s="58"/>
      <c r="M108" s="58"/>
      <c r="N108" s="58"/>
      <c r="O108" s="58"/>
      <c r="P108" s="58"/>
      <c r="Q108" s="58"/>
      <c r="R108" s="58"/>
      <c r="S108" s="58"/>
      <c r="T108" s="58"/>
      <c r="U108" s="58"/>
      <c r="V108" s="58"/>
      <c r="W108" s="58"/>
      <c r="X108" s="58"/>
      <c r="Y108" s="58"/>
      <c r="Z108" s="58"/>
      <c r="AA108" s="58"/>
      <c r="AB108" s="58"/>
      <c r="AC108" s="58"/>
      <c r="AD108" s="58"/>
      <c r="AE108" s="58"/>
      <c r="AF108" s="58"/>
      <c r="AG108" s="58"/>
      <c r="AH108" s="58"/>
      <c r="AI108" s="58"/>
      <c r="AJ108" s="58"/>
      <c r="AK108" s="58"/>
      <c r="AL108" s="58"/>
      <c r="AM108" s="58"/>
      <c r="AN108" s="58"/>
      <c r="AO108" s="58"/>
      <c r="AP108" s="58"/>
      <c r="AQ108" s="58"/>
    </row>
    <row r="109" spans="3:43" ht="15.95" hidden="1" customHeight="1">
      <c r="C109" s="10"/>
      <c r="D109" s="58"/>
      <c r="E109" s="58"/>
      <c r="F109" s="58"/>
      <c r="G109" s="58"/>
      <c r="H109" s="58"/>
      <c r="I109" s="58"/>
      <c r="J109" s="58"/>
      <c r="K109" s="58"/>
      <c r="L109" s="58"/>
      <c r="M109" s="58"/>
      <c r="N109" s="58"/>
      <c r="O109" s="58"/>
      <c r="P109" s="58"/>
      <c r="Q109" s="58"/>
      <c r="R109" s="58"/>
      <c r="S109" s="58"/>
      <c r="T109" s="58"/>
      <c r="U109" s="58"/>
      <c r="V109" s="58"/>
      <c r="W109" s="58"/>
      <c r="X109" s="58"/>
      <c r="Y109" s="58"/>
      <c r="Z109" s="58"/>
      <c r="AA109" s="58"/>
      <c r="AB109" s="58"/>
      <c r="AC109" s="58"/>
      <c r="AD109" s="58"/>
      <c r="AE109" s="58"/>
      <c r="AF109" s="58"/>
      <c r="AG109" s="58"/>
      <c r="AH109" s="58"/>
      <c r="AI109" s="58"/>
      <c r="AJ109" s="58"/>
      <c r="AK109" s="58"/>
      <c r="AL109" s="58"/>
      <c r="AM109" s="58"/>
      <c r="AN109" s="58"/>
      <c r="AO109" s="58"/>
      <c r="AP109" s="58"/>
      <c r="AQ109" s="58"/>
    </row>
    <row r="110" spans="3:43" ht="15.95" hidden="1" customHeight="1">
      <c r="C110" s="10"/>
      <c r="D110" s="58"/>
      <c r="E110" s="58"/>
      <c r="F110" s="58"/>
      <c r="G110" s="58"/>
      <c r="H110" s="58"/>
      <c r="I110" s="58"/>
      <c r="J110" s="58"/>
      <c r="K110" s="58"/>
      <c r="L110" s="58"/>
      <c r="M110" s="58"/>
      <c r="N110" s="58"/>
      <c r="O110" s="58"/>
      <c r="P110" s="58"/>
      <c r="Q110" s="58"/>
      <c r="R110" s="58"/>
      <c r="S110" s="58"/>
      <c r="T110" s="58"/>
      <c r="U110" s="58"/>
      <c r="V110" s="58"/>
      <c r="W110" s="58"/>
      <c r="X110" s="58"/>
      <c r="Y110" s="58"/>
      <c r="Z110" s="58"/>
      <c r="AA110" s="58"/>
      <c r="AB110" s="58"/>
      <c r="AC110" s="58"/>
      <c r="AD110" s="58"/>
      <c r="AE110" s="58"/>
      <c r="AF110" s="58"/>
      <c r="AG110" s="58"/>
      <c r="AH110" s="58"/>
      <c r="AI110" s="58"/>
      <c r="AJ110" s="58"/>
      <c r="AK110" s="58"/>
      <c r="AL110" s="58"/>
      <c r="AM110" s="58"/>
      <c r="AN110" s="58"/>
      <c r="AO110" s="58"/>
      <c r="AP110" s="58"/>
      <c r="AQ110" s="58"/>
    </row>
    <row r="111" spans="3:43" ht="15.95" hidden="1" customHeight="1">
      <c r="C111" s="10"/>
      <c r="D111" s="58"/>
      <c r="E111" s="58"/>
      <c r="F111" s="58"/>
      <c r="G111" s="58"/>
      <c r="H111" s="58"/>
      <c r="I111" s="58"/>
      <c r="J111" s="58"/>
      <c r="K111" s="58"/>
      <c r="L111" s="58"/>
      <c r="M111" s="58"/>
      <c r="N111" s="58"/>
      <c r="O111" s="58"/>
      <c r="P111" s="58"/>
      <c r="Q111" s="58"/>
      <c r="R111" s="58"/>
      <c r="S111" s="58"/>
      <c r="T111" s="58"/>
      <c r="U111" s="58"/>
      <c r="V111" s="58"/>
      <c r="W111" s="58"/>
      <c r="X111" s="58"/>
      <c r="Y111" s="58"/>
      <c r="Z111" s="58"/>
      <c r="AA111" s="58"/>
      <c r="AB111" s="58"/>
      <c r="AC111" s="58"/>
      <c r="AD111" s="58"/>
      <c r="AE111" s="58"/>
      <c r="AF111" s="58"/>
      <c r="AG111" s="58"/>
      <c r="AH111" s="58"/>
      <c r="AI111" s="58"/>
      <c r="AJ111" s="58"/>
      <c r="AK111" s="58"/>
      <c r="AL111" s="58"/>
      <c r="AM111" s="58"/>
      <c r="AN111" s="58"/>
      <c r="AO111" s="58"/>
      <c r="AP111" s="58"/>
      <c r="AQ111" s="58"/>
    </row>
    <row r="112" spans="3:43" ht="15.95" hidden="1" customHeight="1">
      <c r="C112" s="10"/>
      <c r="D112" s="58"/>
      <c r="E112" s="58"/>
      <c r="F112" s="58"/>
      <c r="G112" s="58"/>
      <c r="H112" s="58"/>
      <c r="I112" s="58"/>
      <c r="J112" s="58"/>
      <c r="K112" s="58"/>
      <c r="L112" s="58"/>
      <c r="M112" s="58"/>
      <c r="N112" s="58"/>
      <c r="O112" s="58"/>
      <c r="P112" s="58"/>
      <c r="Q112" s="58"/>
      <c r="R112" s="58"/>
      <c r="S112" s="58"/>
      <c r="T112" s="58"/>
      <c r="U112" s="58"/>
      <c r="V112" s="58"/>
      <c r="W112" s="58"/>
      <c r="X112" s="58"/>
      <c r="Y112" s="58"/>
      <c r="Z112" s="58"/>
      <c r="AA112" s="58"/>
      <c r="AB112" s="58"/>
      <c r="AC112" s="58"/>
      <c r="AD112" s="58"/>
      <c r="AE112" s="58"/>
      <c r="AF112" s="58"/>
      <c r="AG112" s="58"/>
      <c r="AH112" s="58"/>
      <c r="AI112" s="58"/>
      <c r="AJ112" s="58"/>
      <c r="AK112" s="58"/>
      <c r="AL112" s="58"/>
      <c r="AM112" s="58"/>
      <c r="AN112" s="58"/>
      <c r="AO112" s="58"/>
      <c r="AP112" s="58"/>
      <c r="AQ112" s="58"/>
    </row>
    <row r="113" spans="3:43" ht="15.95" hidden="1" customHeight="1">
      <c r="C113" s="10"/>
      <c r="D113" s="58"/>
      <c r="E113" s="58"/>
      <c r="F113" s="58"/>
      <c r="G113" s="58"/>
      <c r="H113" s="58"/>
      <c r="I113" s="58"/>
      <c r="J113" s="58"/>
      <c r="K113" s="58"/>
      <c r="L113" s="58"/>
      <c r="M113" s="58"/>
      <c r="N113" s="58"/>
      <c r="O113" s="58"/>
      <c r="P113" s="58"/>
      <c r="Q113" s="58"/>
      <c r="R113" s="58"/>
      <c r="S113" s="58"/>
      <c r="T113" s="58"/>
      <c r="U113" s="58"/>
      <c r="V113" s="58"/>
      <c r="W113" s="58"/>
      <c r="X113" s="58"/>
      <c r="Y113" s="58"/>
      <c r="Z113" s="58"/>
      <c r="AA113" s="58"/>
      <c r="AB113" s="58"/>
      <c r="AC113" s="58"/>
      <c r="AD113" s="58"/>
      <c r="AE113" s="58"/>
      <c r="AF113" s="58"/>
      <c r="AG113" s="58"/>
      <c r="AH113" s="58"/>
      <c r="AI113" s="58"/>
      <c r="AJ113" s="58"/>
      <c r="AK113" s="58"/>
      <c r="AL113" s="58"/>
      <c r="AM113" s="58"/>
      <c r="AN113" s="58"/>
      <c r="AO113" s="58"/>
      <c r="AP113" s="58"/>
      <c r="AQ113" s="58"/>
    </row>
    <row r="114" spans="3:43" ht="15.95" hidden="1" customHeight="1">
      <c r="C114" s="10"/>
      <c r="D114" s="58"/>
      <c r="E114" s="58"/>
      <c r="F114" s="58"/>
      <c r="G114" s="58"/>
      <c r="H114" s="58"/>
      <c r="I114" s="58"/>
      <c r="J114" s="58"/>
      <c r="K114" s="58"/>
      <c r="L114" s="58"/>
      <c r="M114" s="58"/>
      <c r="N114" s="58"/>
      <c r="O114" s="58"/>
      <c r="P114" s="58"/>
      <c r="Q114" s="58"/>
      <c r="R114" s="58"/>
      <c r="S114" s="58"/>
      <c r="T114" s="58"/>
      <c r="U114" s="58"/>
      <c r="V114" s="58"/>
      <c r="W114" s="58"/>
      <c r="X114" s="58"/>
      <c r="Y114" s="58"/>
      <c r="Z114" s="58"/>
      <c r="AA114" s="58"/>
      <c r="AB114" s="58"/>
      <c r="AC114" s="58"/>
      <c r="AD114" s="58"/>
      <c r="AE114" s="58"/>
      <c r="AF114" s="58"/>
      <c r="AG114" s="58"/>
      <c r="AH114" s="58"/>
      <c r="AI114" s="58"/>
      <c r="AJ114" s="58"/>
      <c r="AK114" s="58"/>
      <c r="AL114" s="58"/>
      <c r="AM114" s="58"/>
      <c r="AN114" s="58"/>
      <c r="AO114" s="58"/>
      <c r="AP114" s="58"/>
      <c r="AQ114" s="58"/>
    </row>
    <row r="115" spans="3:43" ht="15.95" hidden="1" customHeight="1">
      <c r="C115" s="10"/>
      <c r="D115" s="58"/>
      <c r="E115" s="58"/>
      <c r="F115" s="58"/>
      <c r="G115" s="58"/>
      <c r="H115" s="58"/>
      <c r="I115" s="58"/>
      <c r="J115" s="58"/>
      <c r="K115" s="58"/>
      <c r="L115" s="58"/>
      <c r="M115" s="58"/>
      <c r="N115" s="58"/>
      <c r="O115" s="58"/>
      <c r="P115" s="58"/>
      <c r="Q115" s="58"/>
      <c r="R115" s="58"/>
      <c r="S115" s="58"/>
      <c r="T115" s="58"/>
      <c r="U115" s="58"/>
      <c r="V115" s="58"/>
      <c r="W115" s="58"/>
      <c r="X115" s="58"/>
      <c r="Y115" s="58"/>
      <c r="Z115" s="58"/>
      <c r="AA115" s="58"/>
      <c r="AB115" s="58"/>
      <c r="AC115" s="58"/>
      <c r="AD115" s="58"/>
      <c r="AE115" s="58"/>
      <c r="AF115" s="58"/>
      <c r="AG115" s="58"/>
      <c r="AH115" s="58"/>
      <c r="AI115" s="58"/>
      <c r="AJ115" s="58"/>
      <c r="AK115" s="58"/>
      <c r="AL115" s="58"/>
      <c r="AM115" s="58"/>
      <c r="AN115" s="58"/>
      <c r="AO115" s="58"/>
      <c r="AP115" s="58"/>
      <c r="AQ115" s="58"/>
    </row>
    <row r="116" spans="3:43" ht="15.95" hidden="1" customHeight="1">
      <c r="C116" s="10"/>
      <c r="D116" s="58"/>
      <c r="E116" s="58"/>
      <c r="F116" s="58"/>
      <c r="G116" s="58"/>
      <c r="H116" s="58"/>
      <c r="I116" s="58"/>
      <c r="J116" s="58"/>
      <c r="K116" s="58"/>
      <c r="L116" s="58"/>
      <c r="M116" s="58"/>
      <c r="N116" s="58"/>
      <c r="O116" s="58"/>
      <c r="P116" s="58"/>
      <c r="Q116" s="58"/>
      <c r="R116" s="58"/>
      <c r="S116" s="58"/>
      <c r="T116" s="58"/>
      <c r="U116" s="58"/>
      <c r="V116" s="58"/>
      <c r="W116" s="58"/>
      <c r="X116" s="58"/>
      <c r="Y116" s="58"/>
      <c r="Z116" s="58"/>
      <c r="AA116" s="58"/>
      <c r="AB116" s="58"/>
      <c r="AC116" s="58"/>
      <c r="AD116" s="58"/>
      <c r="AE116" s="58"/>
      <c r="AF116" s="58"/>
      <c r="AG116" s="58"/>
      <c r="AH116" s="58"/>
      <c r="AI116" s="58"/>
      <c r="AJ116" s="58"/>
      <c r="AK116" s="58"/>
      <c r="AL116" s="58"/>
      <c r="AM116" s="58"/>
      <c r="AN116" s="58"/>
      <c r="AO116" s="58"/>
      <c r="AP116" s="58"/>
      <c r="AQ116" s="58"/>
    </row>
    <row r="117" spans="3:43" ht="15.95" hidden="1" customHeight="1">
      <c r="C117" s="10"/>
      <c r="D117" s="58"/>
      <c r="E117" s="58"/>
      <c r="F117" s="58"/>
      <c r="G117" s="58"/>
      <c r="H117" s="58"/>
      <c r="I117" s="58"/>
      <c r="J117" s="58"/>
      <c r="K117" s="58"/>
      <c r="L117" s="58"/>
      <c r="M117" s="58"/>
      <c r="N117" s="58"/>
      <c r="O117" s="58"/>
      <c r="P117" s="58"/>
      <c r="Q117" s="58"/>
      <c r="R117" s="58"/>
      <c r="S117" s="58"/>
      <c r="T117" s="58"/>
      <c r="U117" s="58"/>
      <c r="V117" s="58"/>
      <c r="W117" s="58"/>
      <c r="X117" s="58"/>
      <c r="Y117" s="58"/>
      <c r="Z117" s="58"/>
      <c r="AA117" s="58"/>
      <c r="AB117" s="58"/>
      <c r="AC117" s="58"/>
      <c r="AD117" s="58"/>
      <c r="AE117" s="58"/>
      <c r="AF117" s="58"/>
      <c r="AG117" s="58"/>
      <c r="AH117" s="58"/>
      <c r="AI117" s="58"/>
      <c r="AJ117" s="58"/>
      <c r="AK117" s="58"/>
      <c r="AL117" s="58"/>
      <c r="AM117" s="58"/>
      <c r="AN117" s="58"/>
      <c r="AO117" s="58"/>
      <c r="AP117" s="58"/>
      <c r="AQ117" s="58"/>
    </row>
    <row r="118" spans="3:43" ht="15.95" hidden="1" customHeight="1">
      <c r="C118" s="10"/>
      <c r="D118" s="58"/>
      <c r="E118" s="58"/>
      <c r="F118" s="58"/>
      <c r="G118" s="58"/>
      <c r="H118" s="58"/>
      <c r="I118" s="58"/>
      <c r="J118" s="58"/>
      <c r="K118" s="58"/>
      <c r="L118" s="58"/>
      <c r="M118" s="58"/>
      <c r="N118" s="58"/>
      <c r="O118" s="58"/>
      <c r="P118" s="58"/>
      <c r="Q118" s="58"/>
      <c r="R118" s="58"/>
      <c r="S118" s="58"/>
      <c r="T118" s="58"/>
      <c r="U118" s="58"/>
      <c r="V118" s="58"/>
      <c r="W118" s="58"/>
      <c r="X118" s="58"/>
      <c r="Y118" s="58"/>
      <c r="Z118" s="58"/>
      <c r="AA118" s="58"/>
      <c r="AB118" s="58"/>
      <c r="AC118" s="58"/>
      <c r="AD118" s="58"/>
      <c r="AE118" s="58"/>
      <c r="AF118" s="58"/>
      <c r="AG118" s="58"/>
      <c r="AH118" s="58"/>
      <c r="AI118" s="58"/>
      <c r="AJ118" s="58"/>
      <c r="AK118" s="58"/>
      <c r="AL118" s="58"/>
      <c r="AM118" s="58"/>
      <c r="AN118" s="58"/>
      <c r="AO118" s="58"/>
      <c r="AP118" s="58"/>
      <c r="AQ118" s="58"/>
    </row>
    <row r="119" spans="3:43" ht="15.95" hidden="1" customHeight="1">
      <c r="C119" s="10"/>
      <c r="D119" s="58"/>
      <c r="E119" s="58"/>
      <c r="F119" s="58"/>
      <c r="G119" s="58"/>
      <c r="H119" s="58"/>
      <c r="I119" s="58"/>
      <c r="J119" s="58"/>
      <c r="K119" s="58"/>
      <c r="L119" s="58"/>
      <c r="M119" s="58"/>
      <c r="N119" s="58"/>
      <c r="O119" s="58"/>
      <c r="P119" s="58"/>
      <c r="Q119" s="58"/>
      <c r="R119" s="58"/>
      <c r="S119" s="58"/>
      <c r="T119" s="58"/>
      <c r="U119" s="58"/>
      <c r="V119" s="58"/>
      <c r="W119" s="58"/>
      <c r="X119" s="58"/>
      <c r="Y119" s="58"/>
      <c r="Z119" s="58"/>
      <c r="AA119" s="58"/>
      <c r="AB119" s="58"/>
      <c r="AC119" s="58"/>
      <c r="AD119" s="58"/>
      <c r="AE119" s="58"/>
      <c r="AF119" s="58"/>
      <c r="AG119" s="58"/>
      <c r="AH119" s="58"/>
      <c r="AI119" s="58"/>
      <c r="AJ119" s="58"/>
      <c r="AK119" s="58"/>
      <c r="AL119" s="58"/>
      <c r="AM119" s="58"/>
      <c r="AN119" s="58"/>
      <c r="AO119" s="58"/>
      <c r="AP119" s="58"/>
      <c r="AQ119" s="58"/>
    </row>
    <row r="120" spans="3:43" ht="15.95" hidden="1" customHeight="1">
      <c r="C120" s="10"/>
      <c r="D120" s="58"/>
      <c r="E120" s="58"/>
      <c r="F120" s="58"/>
      <c r="G120" s="58"/>
      <c r="H120" s="58"/>
      <c r="I120" s="58"/>
      <c r="J120" s="58"/>
      <c r="K120" s="58"/>
      <c r="L120" s="58"/>
      <c r="M120" s="58"/>
      <c r="N120" s="58"/>
      <c r="O120" s="58"/>
      <c r="P120" s="58"/>
      <c r="Q120" s="58"/>
      <c r="R120" s="58"/>
      <c r="S120" s="58"/>
      <c r="T120" s="58"/>
      <c r="U120" s="58"/>
      <c r="V120" s="58"/>
      <c r="W120" s="58"/>
      <c r="X120" s="58"/>
      <c r="Y120" s="58"/>
      <c r="Z120" s="58"/>
      <c r="AA120" s="58"/>
      <c r="AB120" s="58"/>
      <c r="AC120" s="58"/>
      <c r="AD120" s="58"/>
      <c r="AE120" s="58"/>
      <c r="AF120" s="58"/>
      <c r="AG120" s="58"/>
      <c r="AH120" s="58"/>
      <c r="AI120" s="58"/>
      <c r="AJ120" s="58"/>
      <c r="AK120" s="58"/>
      <c r="AL120" s="58"/>
      <c r="AM120" s="58"/>
      <c r="AN120" s="58"/>
      <c r="AO120" s="58"/>
      <c r="AP120" s="58"/>
      <c r="AQ120" s="58"/>
    </row>
    <row r="121" spans="3:43" ht="15.95" hidden="1" customHeight="1">
      <c r="C121" s="10"/>
      <c r="D121" s="58"/>
      <c r="E121" s="58"/>
      <c r="F121" s="58"/>
      <c r="G121" s="58"/>
      <c r="H121" s="58"/>
      <c r="I121" s="58"/>
      <c r="J121" s="58"/>
      <c r="K121" s="58"/>
      <c r="L121" s="58"/>
      <c r="M121" s="58"/>
      <c r="N121" s="58"/>
      <c r="O121" s="58"/>
      <c r="P121" s="58"/>
      <c r="Q121" s="58"/>
      <c r="R121" s="58"/>
      <c r="S121" s="58"/>
      <c r="T121" s="58"/>
      <c r="U121" s="58"/>
      <c r="V121" s="58"/>
      <c r="W121" s="58"/>
      <c r="X121" s="58"/>
      <c r="Y121" s="58"/>
      <c r="Z121" s="58"/>
      <c r="AA121" s="58"/>
      <c r="AB121" s="58"/>
      <c r="AC121" s="58"/>
      <c r="AD121" s="58"/>
      <c r="AE121" s="58"/>
      <c r="AF121" s="58"/>
      <c r="AG121" s="58"/>
      <c r="AH121" s="58"/>
      <c r="AI121" s="58"/>
      <c r="AJ121" s="58"/>
      <c r="AK121" s="58"/>
      <c r="AL121" s="58"/>
      <c r="AM121" s="58"/>
      <c r="AN121" s="58"/>
      <c r="AO121" s="58"/>
      <c r="AP121" s="58"/>
      <c r="AQ121" s="58"/>
    </row>
    <row r="122" spans="3:43" ht="15.95" hidden="1" customHeight="1">
      <c r="C122" s="10"/>
      <c r="D122" s="58"/>
      <c r="E122" s="58"/>
      <c r="F122" s="58"/>
      <c r="G122" s="58"/>
      <c r="H122" s="58"/>
      <c r="I122" s="58"/>
      <c r="J122" s="58"/>
      <c r="K122" s="58"/>
      <c r="L122" s="58"/>
      <c r="M122" s="58"/>
      <c r="N122" s="58"/>
      <c r="O122" s="58"/>
      <c r="P122" s="58"/>
      <c r="Q122" s="58"/>
      <c r="R122" s="58"/>
      <c r="S122" s="58"/>
      <c r="T122" s="58"/>
      <c r="U122" s="58"/>
      <c r="V122" s="58"/>
      <c r="W122" s="58"/>
      <c r="X122" s="58"/>
      <c r="Y122" s="58"/>
      <c r="Z122" s="58"/>
      <c r="AA122" s="58"/>
      <c r="AB122" s="58"/>
      <c r="AC122" s="58"/>
      <c r="AD122" s="58"/>
      <c r="AE122" s="58"/>
      <c r="AF122" s="58"/>
      <c r="AG122" s="58"/>
      <c r="AH122" s="58"/>
      <c r="AI122" s="58"/>
      <c r="AJ122" s="58"/>
      <c r="AK122" s="58"/>
      <c r="AL122" s="58"/>
      <c r="AM122" s="58"/>
      <c r="AN122" s="58"/>
      <c r="AO122" s="58"/>
      <c r="AP122" s="58"/>
      <c r="AQ122" s="58"/>
    </row>
    <row r="123" spans="3:43" ht="15.95" hidden="1" customHeight="1">
      <c r="C123" s="10"/>
      <c r="D123" s="58"/>
      <c r="E123" s="58"/>
      <c r="F123" s="58"/>
      <c r="G123" s="58"/>
      <c r="H123" s="58"/>
      <c r="I123" s="58"/>
      <c r="J123" s="58"/>
      <c r="K123" s="58"/>
      <c r="L123" s="58"/>
      <c r="M123" s="58"/>
      <c r="N123" s="58"/>
      <c r="O123" s="58"/>
      <c r="P123" s="58"/>
      <c r="Q123" s="58"/>
      <c r="R123" s="58"/>
      <c r="S123" s="58"/>
      <c r="T123" s="58"/>
      <c r="U123" s="58"/>
      <c r="V123" s="58"/>
      <c r="W123" s="58"/>
      <c r="X123" s="58"/>
      <c r="Y123" s="58"/>
      <c r="Z123" s="58"/>
      <c r="AA123" s="58"/>
      <c r="AB123" s="58"/>
      <c r="AC123" s="58"/>
      <c r="AD123" s="58"/>
      <c r="AE123" s="58"/>
      <c r="AF123" s="58"/>
      <c r="AG123" s="58"/>
      <c r="AH123" s="58"/>
      <c r="AI123" s="58"/>
      <c r="AJ123" s="58"/>
      <c r="AK123" s="58"/>
      <c r="AL123" s="58"/>
      <c r="AM123" s="58"/>
      <c r="AN123" s="58"/>
      <c r="AO123" s="58"/>
      <c r="AP123" s="58"/>
      <c r="AQ123" s="58"/>
    </row>
    <row r="124" spans="3:43" ht="15.95" hidden="1" customHeight="1">
      <c r="C124" s="10"/>
      <c r="D124" s="58"/>
      <c r="E124" s="58"/>
      <c r="F124" s="58"/>
      <c r="G124" s="58"/>
      <c r="H124" s="58"/>
      <c r="I124" s="58"/>
      <c r="J124" s="58"/>
      <c r="K124" s="58"/>
      <c r="L124" s="58"/>
      <c r="M124" s="58"/>
      <c r="N124" s="58"/>
      <c r="O124" s="58"/>
      <c r="P124" s="58"/>
      <c r="Q124" s="58"/>
      <c r="R124" s="58"/>
      <c r="S124" s="58"/>
      <c r="T124" s="58"/>
      <c r="U124" s="58"/>
      <c r="V124" s="58"/>
      <c r="W124" s="58"/>
      <c r="X124" s="58"/>
      <c r="Y124" s="58"/>
      <c r="Z124" s="58"/>
      <c r="AA124" s="58"/>
      <c r="AB124" s="58"/>
      <c r="AC124" s="58"/>
      <c r="AD124" s="58"/>
      <c r="AE124" s="58"/>
      <c r="AF124" s="58"/>
      <c r="AG124" s="58"/>
      <c r="AH124" s="58"/>
      <c r="AI124" s="58"/>
      <c r="AJ124" s="58"/>
      <c r="AK124" s="58"/>
      <c r="AL124" s="58"/>
      <c r="AM124" s="58"/>
      <c r="AN124" s="58"/>
      <c r="AO124" s="58"/>
      <c r="AP124" s="58"/>
      <c r="AQ124" s="58"/>
    </row>
    <row r="125" spans="3:43" ht="15.95" hidden="1" customHeight="1">
      <c r="C125" s="10"/>
      <c r="D125" s="58"/>
      <c r="E125" s="58"/>
      <c r="F125" s="58"/>
      <c r="G125" s="58"/>
      <c r="H125" s="58"/>
      <c r="I125" s="58"/>
      <c r="J125" s="58"/>
      <c r="K125" s="58"/>
      <c r="L125" s="58"/>
      <c r="M125" s="58"/>
      <c r="N125" s="58"/>
      <c r="O125" s="58"/>
      <c r="P125" s="58"/>
      <c r="Q125" s="58"/>
      <c r="R125" s="58"/>
      <c r="S125" s="58"/>
      <c r="T125" s="58"/>
      <c r="U125" s="58"/>
      <c r="V125" s="58"/>
      <c r="W125" s="58"/>
      <c r="X125" s="58"/>
      <c r="Y125" s="58"/>
      <c r="Z125" s="58"/>
      <c r="AA125" s="58"/>
      <c r="AB125" s="58"/>
      <c r="AC125" s="58"/>
      <c r="AD125" s="58"/>
      <c r="AE125" s="58"/>
      <c r="AF125" s="58"/>
      <c r="AG125" s="58"/>
      <c r="AH125" s="58"/>
      <c r="AI125" s="58"/>
      <c r="AJ125" s="58"/>
      <c r="AK125" s="58"/>
      <c r="AL125" s="58"/>
      <c r="AM125" s="58"/>
      <c r="AN125" s="58"/>
      <c r="AO125" s="58"/>
      <c r="AP125" s="58"/>
      <c r="AQ125" s="58"/>
    </row>
    <row r="126" spans="3:43" ht="15.95" hidden="1" customHeight="1">
      <c r="C126" s="10"/>
      <c r="D126" s="58"/>
      <c r="E126" s="58"/>
      <c r="F126" s="58"/>
      <c r="G126" s="58"/>
      <c r="H126" s="58"/>
      <c r="I126" s="58"/>
      <c r="J126" s="58"/>
      <c r="K126" s="58"/>
      <c r="L126" s="58"/>
      <c r="M126" s="58"/>
      <c r="N126" s="58"/>
      <c r="O126" s="58"/>
      <c r="P126" s="58"/>
      <c r="Q126" s="58"/>
      <c r="R126" s="58"/>
      <c r="S126" s="58"/>
      <c r="T126" s="58"/>
      <c r="U126" s="58"/>
      <c r="V126" s="58"/>
      <c r="W126" s="58"/>
      <c r="X126" s="58"/>
      <c r="Y126" s="58"/>
      <c r="Z126" s="58"/>
      <c r="AA126" s="58"/>
      <c r="AB126" s="58"/>
      <c r="AC126" s="58"/>
      <c r="AD126" s="58"/>
      <c r="AE126" s="58"/>
      <c r="AF126" s="58"/>
      <c r="AG126" s="58"/>
      <c r="AH126" s="58"/>
      <c r="AI126" s="58"/>
      <c r="AJ126" s="58"/>
      <c r="AK126" s="58"/>
      <c r="AL126" s="58"/>
      <c r="AM126" s="58"/>
      <c r="AN126" s="58"/>
      <c r="AO126" s="58"/>
      <c r="AP126" s="58"/>
      <c r="AQ126" s="58"/>
    </row>
    <row r="127" spans="3:43" ht="15.95" hidden="1" customHeight="1">
      <c r="C127" s="10"/>
      <c r="D127" s="58"/>
      <c r="E127" s="58"/>
      <c r="F127" s="58"/>
      <c r="G127" s="58"/>
      <c r="H127" s="58"/>
      <c r="I127" s="58"/>
      <c r="J127" s="58"/>
      <c r="K127" s="58"/>
      <c r="L127" s="58"/>
      <c r="M127" s="58"/>
      <c r="N127" s="58"/>
      <c r="O127" s="58"/>
      <c r="P127" s="58"/>
      <c r="Q127" s="58"/>
      <c r="R127" s="58"/>
      <c r="S127" s="58"/>
      <c r="T127" s="58"/>
      <c r="U127" s="58"/>
      <c r="V127" s="58"/>
      <c r="W127" s="58"/>
      <c r="X127" s="58"/>
      <c r="Y127" s="58"/>
      <c r="Z127" s="58"/>
      <c r="AA127" s="58"/>
      <c r="AB127" s="58"/>
      <c r="AC127" s="58"/>
      <c r="AD127" s="58"/>
      <c r="AE127" s="58"/>
      <c r="AF127" s="58"/>
      <c r="AG127" s="58"/>
      <c r="AH127" s="58"/>
      <c r="AI127" s="58"/>
      <c r="AJ127" s="58"/>
      <c r="AK127" s="58"/>
      <c r="AL127" s="58"/>
      <c r="AM127" s="58"/>
      <c r="AN127" s="58"/>
      <c r="AO127" s="58"/>
      <c r="AP127" s="58"/>
      <c r="AQ127" s="58"/>
    </row>
    <row r="128" spans="3:43" ht="15.95" hidden="1" customHeight="1">
      <c r="C128" s="10"/>
      <c r="D128" s="58"/>
      <c r="E128" s="58"/>
      <c r="F128" s="58"/>
      <c r="G128" s="58"/>
      <c r="H128" s="58"/>
      <c r="I128" s="58"/>
      <c r="J128" s="58"/>
      <c r="K128" s="58"/>
      <c r="L128" s="58"/>
      <c r="M128" s="58"/>
      <c r="N128" s="58"/>
      <c r="O128" s="58"/>
      <c r="P128" s="58"/>
      <c r="Q128" s="58"/>
      <c r="R128" s="58"/>
      <c r="S128" s="58"/>
      <c r="T128" s="58"/>
      <c r="U128" s="58"/>
      <c r="V128" s="58"/>
      <c r="W128" s="58"/>
      <c r="X128" s="58"/>
      <c r="Y128" s="58"/>
      <c r="Z128" s="58"/>
      <c r="AA128" s="58"/>
      <c r="AB128" s="58"/>
      <c r="AC128" s="58"/>
      <c r="AD128" s="58"/>
      <c r="AE128" s="58"/>
      <c r="AF128" s="58"/>
      <c r="AG128" s="58"/>
      <c r="AH128" s="58"/>
      <c r="AI128" s="58"/>
      <c r="AJ128" s="58"/>
      <c r="AK128" s="58"/>
      <c r="AL128" s="58"/>
      <c r="AM128" s="58"/>
      <c r="AN128" s="58"/>
      <c r="AO128" s="58"/>
      <c r="AP128" s="58"/>
      <c r="AQ128" s="58"/>
    </row>
    <row r="129" spans="3:43" ht="15.95" hidden="1" customHeight="1">
      <c r="C129" s="10"/>
      <c r="D129" s="58"/>
      <c r="E129" s="58"/>
      <c r="F129" s="58"/>
      <c r="G129" s="58"/>
      <c r="H129" s="58"/>
      <c r="I129" s="58"/>
      <c r="J129" s="58"/>
      <c r="K129" s="58"/>
      <c r="L129" s="58"/>
      <c r="M129" s="58"/>
      <c r="N129" s="58"/>
      <c r="O129" s="58"/>
      <c r="P129" s="58"/>
      <c r="Q129" s="58"/>
      <c r="R129" s="58"/>
      <c r="S129" s="58"/>
      <c r="T129" s="58"/>
      <c r="U129" s="58"/>
      <c r="V129" s="58"/>
      <c r="W129" s="58"/>
      <c r="X129" s="58"/>
      <c r="Y129" s="58"/>
      <c r="Z129" s="58"/>
      <c r="AA129" s="58"/>
      <c r="AB129" s="58"/>
      <c r="AC129" s="58"/>
      <c r="AD129" s="58"/>
      <c r="AE129" s="58"/>
      <c r="AF129" s="58"/>
      <c r="AG129" s="58"/>
      <c r="AH129" s="58"/>
      <c r="AI129" s="58"/>
      <c r="AJ129" s="58"/>
      <c r="AK129" s="58"/>
      <c r="AL129" s="58"/>
      <c r="AM129" s="58"/>
      <c r="AN129" s="58"/>
      <c r="AO129" s="58"/>
      <c r="AP129" s="58"/>
      <c r="AQ129" s="58"/>
    </row>
    <row r="130" spans="3:43" ht="15.95" hidden="1" customHeight="1">
      <c r="C130" s="10"/>
      <c r="D130" s="58"/>
      <c r="E130" s="58"/>
      <c r="F130" s="58"/>
      <c r="G130" s="58"/>
      <c r="H130" s="58"/>
      <c r="I130" s="58"/>
      <c r="J130" s="58"/>
      <c r="K130" s="58"/>
      <c r="L130" s="58"/>
      <c r="M130" s="58"/>
      <c r="N130" s="58"/>
      <c r="O130" s="58"/>
      <c r="P130" s="58"/>
      <c r="Q130" s="58"/>
      <c r="R130" s="58"/>
      <c r="S130" s="58"/>
      <c r="T130" s="58"/>
      <c r="U130" s="58"/>
      <c r="V130" s="58"/>
      <c r="W130" s="58"/>
      <c r="X130" s="58"/>
      <c r="Y130" s="58"/>
      <c r="Z130" s="58"/>
      <c r="AA130" s="58"/>
      <c r="AB130" s="58"/>
      <c r="AC130" s="58"/>
      <c r="AD130" s="58"/>
      <c r="AE130" s="58"/>
      <c r="AF130" s="58"/>
      <c r="AG130" s="58"/>
      <c r="AH130" s="58"/>
      <c r="AI130" s="58"/>
      <c r="AJ130" s="58"/>
      <c r="AK130" s="58"/>
      <c r="AL130" s="58"/>
      <c r="AM130" s="58"/>
      <c r="AN130" s="58"/>
      <c r="AO130" s="58"/>
      <c r="AP130" s="58"/>
      <c r="AQ130" s="58"/>
    </row>
    <row r="131" spans="3:43" ht="15.95" hidden="1" customHeight="1">
      <c r="C131" s="10"/>
      <c r="D131" s="58"/>
      <c r="E131" s="58"/>
      <c r="F131" s="58"/>
      <c r="G131" s="58"/>
      <c r="H131" s="58"/>
      <c r="I131" s="58"/>
      <c r="J131" s="58"/>
      <c r="K131" s="58"/>
      <c r="L131" s="58"/>
      <c r="M131" s="58"/>
      <c r="N131" s="58"/>
      <c r="O131" s="58"/>
      <c r="P131" s="58"/>
      <c r="Q131" s="58"/>
      <c r="R131" s="58"/>
      <c r="S131" s="58"/>
      <c r="T131" s="58"/>
      <c r="U131" s="58"/>
      <c r="V131" s="58"/>
      <c r="W131" s="58"/>
      <c r="X131" s="58"/>
      <c r="Y131" s="58"/>
      <c r="Z131" s="58"/>
      <c r="AA131" s="58"/>
      <c r="AB131" s="58"/>
      <c r="AC131" s="58"/>
      <c r="AD131" s="58"/>
      <c r="AE131" s="58"/>
      <c r="AF131" s="58"/>
      <c r="AG131" s="58"/>
      <c r="AH131" s="58"/>
      <c r="AI131" s="58"/>
      <c r="AJ131" s="58"/>
      <c r="AK131" s="58"/>
      <c r="AL131" s="58"/>
      <c r="AM131" s="58"/>
      <c r="AN131" s="58"/>
      <c r="AO131" s="58"/>
      <c r="AP131" s="58"/>
      <c r="AQ131" s="58"/>
    </row>
    <row r="132" spans="3:43" ht="15.95" hidden="1" customHeight="1">
      <c r="C132" s="10"/>
      <c r="D132" s="58"/>
      <c r="E132" s="58"/>
      <c r="F132" s="58"/>
      <c r="G132" s="58"/>
      <c r="H132" s="58"/>
      <c r="I132" s="58"/>
      <c r="J132" s="58"/>
      <c r="K132" s="58"/>
      <c r="L132" s="58"/>
      <c r="M132" s="58"/>
      <c r="N132" s="58"/>
      <c r="O132" s="58"/>
      <c r="P132" s="58"/>
      <c r="Q132" s="58"/>
      <c r="R132" s="58"/>
      <c r="S132" s="58"/>
      <c r="T132" s="58"/>
      <c r="U132" s="58"/>
      <c r="V132" s="58"/>
      <c r="W132" s="58"/>
      <c r="X132" s="58"/>
      <c r="Y132" s="58"/>
      <c r="Z132" s="58"/>
      <c r="AA132" s="58"/>
      <c r="AB132" s="58"/>
      <c r="AC132" s="58"/>
      <c r="AD132" s="58"/>
      <c r="AE132" s="58"/>
      <c r="AF132" s="58"/>
      <c r="AG132" s="58"/>
      <c r="AH132" s="58"/>
      <c r="AI132" s="58"/>
      <c r="AJ132" s="58"/>
      <c r="AK132" s="58"/>
      <c r="AL132" s="58"/>
      <c r="AM132" s="58"/>
      <c r="AN132" s="58"/>
      <c r="AO132" s="58"/>
      <c r="AP132" s="58"/>
      <c r="AQ132" s="58"/>
    </row>
    <row r="133" spans="3:43" ht="15.95" hidden="1" customHeight="1">
      <c r="C133" s="10"/>
      <c r="D133" s="58"/>
      <c r="E133" s="58"/>
      <c r="F133" s="58"/>
      <c r="G133" s="58"/>
      <c r="H133" s="58"/>
      <c r="I133" s="58"/>
      <c r="J133" s="58"/>
      <c r="K133" s="58"/>
      <c r="L133" s="58"/>
      <c r="M133" s="58"/>
      <c r="N133" s="58"/>
      <c r="O133" s="58"/>
      <c r="P133" s="58"/>
      <c r="Q133" s="58"/>
      <c r="R133" s="58"/>
      <c r="S133" s="58"/>
      <c r="T133" s="58"/>
      <c r="U133" s="58"/>
      <c r="V133" s="58"/>
      <c r="W133" s="58"/>
      <c r="X133" s="58"/>
      <c r="Y133" s="58"/>
      <c r="Z133" s="58"/>
      <c r="AA133" s="58"/>
      <c r="AB133" s="58"/>
      <c r="AC133" s="58"/>
      <c r="AD133" s="58"/>
      <c r="AE133" s="58"/>
      <c r="AF133" s="58"/>
      <c r="AG133" s="58"/>
      <c r="AH133" s="58"/>
      <c r="AI133" s="58"/>
      <c r="AJ133" s="58"/>
      <c r="AK133" s="58"/>
      <c r="AL133" s="58"/>
      <c r="AM133" s="58"/>
      <c r="AN133" s="58"/>
      <c r="AO133" s="58"/>
      <c r="AP133" s="58"/>
      <c r="AQ133" s="58"/>
    </row>
    <row r="134" spans="3:43" ht="15.95" hidden="1" customHeight="1">
      <c r="C134" s="10"/>
      <c r="D134" s="58"/>
      <c r="E134" s="58"/>
      <c r="F134" s="58"/>
      <c r="G134" s="58"/>
      <c r="H134" s="58"/>
      <c r="I134" s="58"/>
      <c r="J134" s="58"/>
      <c r="K134" s="58"/>
      <c r="L134" s="58"/>
      <c r="M134" s="58"/>
      <c r="N134" s="58"/>
      <c r="O134" s="58"/>
      <c r="P134" s="58"/>
      <c r="Q134" s="58"/>
      <c r="R134" s="58"/>
      <c r="S134" s="58"/>
      <c r="T134" s="58"/>
      <c r="U134" s="58"/>
      <c r="V134" s="58"/>
      <c r="W134" s="58"/>
      <c r="X134" s="58"/>
      <c r="Y134" s="58"/>
      <c r="Z134" s="58"/>
      <c r="AA134" s="58"/>
      <c r="AB134" s="58"/>
      <c r="AC134" s="58"/>
      <c r="AD134" s="58"/>
      <c r="AE134" s="58"/>
      <c r="AF134" s="58"/>
      <c r="AG134" s="58"/>
      <c r="AH134" s="58"/>
      <c r="AI134" s="58"/>
      <c r="AJ134" s="58"/>
      <c r="AK134" s="58"/>
      <c r="AL134" s="58"/>
      <c r="AM134" s="58"/>
      <c r="AN134" s="58"/>
      <c r="AO134" s="58"/>
      <c r="AP134" s="58"/>
      <c r="AQ134" s="58"/>
    </row>
    <row r="135" spans="3:43" ht="15.95" hidden="1" customHeight="1">
      <c r="C135" s="10"/>
      <c r="D135" s="58"/>
      <c r="E135" s="58"/>
      <c r="F135" s="58"/>
      <c r="G135" s="58"/>
      <c r="H135" s="58"/>
      <c r="I135" s="58"/>
      <c r="J135" s="58"/>
      <c r="K135" s="58"/>
      <c r="L135" s="58"/>
      <c r="M135" s="58"/>
      <c r="N135" s="58"/>
      <c r="O135" s="58"/>
      <c r="P135" s="58"/>
      <c r="Q135" s="58"/>
      <c r="R135" s="58"/>
      <c r="S135" s="58"/>
      <c r="T135" s="58"/>
      <c r="U135" s="58"/>
      <c r="V135" s="58"/>
      <c r="W135" s="58"/>
      <c r="X135" s="58"/>
      <c r="Y135" s="58"/>
      <c r="Z135" s="58"/>
      <c r="AA135" s="58"/>
      <c r="AB135" s="58"/>
      <c r="AC135" s="58"/>
      <c r="AD135" s="58"/>
      <c r="AE135" s="58"/>
      <c r="AF135" s="58"/>
      <c r="AG135" s="58"/>
      <c r="AH135" s="58"/>
      <c r="AI135" s="58"/>
      <c r="AJ135" s="58"/>
      <c r="AK135" s="58"/>
      <c r="AL135" s="58"/>
      <c r="AM135" s="58"/>
      <c r="AN135" s="58"/>
      <c r="AO135" s="58"/>
      <c r="AP135" s="58"/>
      <c r="AQ135" s="58"/>
    </row>
    <row r="136" spans="3:43" ht="15.95" hidden="1" customHeight="1">
      <c r="C136" s="10"/>
      <c r="D136" s="58"/>
      <c r="E136" s="58"/>
      <c r="F136" s="58"/>
      <c r="G136" s="58"/>
      <c r="H136" s="58"/>
      <c r="I136" s="58"/>
      <c r="J136" s="58"/>
      <c r="K136" s="58"/>
      <c r="L136" s="58"/>
      <c r="M136" s="58"/>
      <c r="N136" s="58"/>
      <c r="O136" s="58"/>
      <c r="P136" s="58"/>
      <c r="Q136" s="58"/>
      <c r="R136" s="58"/>
      <c r="S136" s="58"/>
      <c r="T136" s="58"/>
      <c r="U136" s="58"/>
      <c r="V136" s="58"/>
      <c r="W136" s="58"/>
      <c r="X136" s="58"/>
      <c r="Y136" s="58"/>
      <c r="Z136" s="58"/>
      <c r="AA136" s="58"/>
      <c r="AB136" s="58"/>
      <c r="AC136" s="58"/>
      <c r="AD136" s="58"/>
      <c r="AE136" s="58"/>
      <c r="AF136" s="58"/>
      <c r="AG136" s="58"/>
      <c r="AH136" s="58"/>
      <c r="AI136" s="58"/>
      <c r="AJ136" s="58"/>
      <c r="AK136" s="58"/>
      <c r="AL136" s="58"/>
      <c r="AM136" s="58"/>
      <c r="AN136" s="58"/>
      <c r="AO136" s="58"/>
      <c r="AP136" s="58"/>
      <c r="AQ136" s="58"/>
    </row>
    <row r="137" spans="3:43" ht="15.95" hidden="1" customHeight="1">
      <c r="C137" s="10"/>
      <c r="D137" s="58"/>
      <c r="E137" s="58"/>
      <c r="F137" s="58"/>
      <c r="G137" s="58"/>
      <c r="H137" s="58"/>
      <c r="I137" s="58"/>
      <c r="J137" s="58"/>
      <c r="K137" s="58"/>
      <c r="L137" s="58"/>
      <c r="M137" s="58"/>
      <c r="N137" s="58"/>
      <c r="O137" s="58"/>
      <c r="P137" s="58"/>
      <c r="Q137" s="58"/>
      <c r="R137" s="58"/>
      <c r="S137" s="58"/>
      <c r="T137" s="58"/>
      <c r="U137" s="58"/>
      <c r="V137" s="58"/>
      <c r="W137" s="58"/>
      <c r="X137" s="58"/>
      <c r="Y137" s="58"/>
      <c r="Z137" s="58"/>
      <c r="AA137" s="58"/>
      <c r="AB137" s="58"/>
      <c r="AC137" s="58"/>
      <c r="AD137" s="58"/>
      <c r="AE137" s="58"/>
      <c r="AF137" s="58"/>
      <c r="AG137" s="58"/>
      <c r="AH137" s="58"/>
      <c r="AI137" s="58"/>
      <c r="AJ137" s="58"/>
      <c r="AK137" s="58"/>
      <c r="AL137" s="58"/>
      <c r="AM137" s="58"/>
      <c r="AN137" s="58"/>
      <c r="AO137" s="58"/>
      <c r="AP137" s="58"/>
      <c r="AQ137" s="58"/>
    </row>
    <row r="138" spans="3:43" ht="15.95" hidden="1" customHeight="1">
      <c r="C138" s="10"/>
      <c r="D138" s="58"/>
      <c r="E138" s="58"/>
      <c r="F138" s="58"/>
      <c r="G138" s="58"/>
      <c r="H138" s="58"/>
      <c r="I138" s="58"/>
      <c r="J138" s="58"/>
      <c r="K138" s="58"/>
      <c r="L138" s="58"/>
      <c r="M138" s="58"/>
      <c r="N138" s="58"/>
      <c r="O138" s="58"/>
      <c r="P138" s="58"/>
      <c r="Q138" s="58"/>
      <c r="R138" s="58"/>
      <c r="S138" s="58"/>
      <c r="T138" s="58"/>
      <c r="U138" s="58"/>
      <c r="V138" s="58"/>
      <c r="W138" s="58"/>
      <c r="X138" s="58"/>
      <c r="Y138" s="58"/>
      <c r="Z138" s="58"/>
      <c r="AA138" s="58"/>
      <c r="AB138" s="58"/>
      <c r="AC138" s="58"/>
      <c r="AD138" s="58"/>
      <c r="AE138" s="58"/>
      <c r="AF138" s="58"/>
      <c r="AG138" s="58"/>
      <c r="AH138" s="58"/>
      <c r="AI138" s="58"/>
      <c r="AJ138" s="58"/>
      <c r="AK138" s="58"/>
      <c r="AL138" s="58"/>
      <c r="AM138" s="58"/>
      <c r="AN138" s="58"/>
      <c r="AO138" s="58"/>
      <c r="AP138" s="58"/>
      <c r="AQ138" s="58"/>
    </row>
    <row r="139" spans="3:43" ht="15.95" hidden="1" customHeight="1">
      <c r="C139" s="10"/>
      <c r="D139" s="58"/>
      <c r="E139" s="58"/>
      <c r="F139" s="58"/>
      <c r="G139" s="58"/>
      <c r="H139" s="58"/>
      <c r="I139" s="58"/>
      <c r="J139" s="58"/>
      <c r="K139" s="58"/>
      <c r="L139" s="58"/>
      <c r="M139" s="58"/>
      <c r="N139" s="58"/>
      <c r="O139" s="58"/>
      <c r="P139" s="58"/>
      <c r="Q139" s="58"/>
      <c r="R139" s="58"/>
      <c r="S139" s="58"/>
      <c r="T139" s="58"/>
      <c r="U139" s="58"/>
      <c r="V139" s="58"/>
      <c r="W139" s="58"/>
      <c r="X139" s="58"/>
      <c r="Y139" s="58"/>
      <c r="Z139" s="58"/>
      <c r="AA139" s="58"/>
      <c r="AB139" s="58"/>
      <c r="AC139" s="58"/>
      <c r="AD139" s="58"/>
      <c r="AE139" s="58"/>
      <c r="AF139" s="58"/>
      <c r="AG139" s="58"/>
      <c r="AH139" s="58"/>
      <c r="AI139" s="58"/>
      <c r="AJ139" s="58"/>
      <c r="AK139" s="58"/>
      <c r="AL139" s="58"/>
      <c r="AM139" s="58"/>
      <c r="AN139" s="58"/>
      <c r="AO139" s="58"/>
      <c r="AP139" s="58"/>
      <c r="AQ139" s="58"/>
    </row>
    <row r="140" spans="3:43" ht="15.95" hidden="1" customHeight="1">
      <c r="C140" s="10"/>
      <c r="D140" s="58"/>
      <c r="E140" s="58"/>
      <c r="F140" s="58"/>
      <c r="G140" s="58"/>
      <c r="H140" s="58"/>
      <c r="I140" s="58"/>
      <c r="J140" s="58"/>
      <c r="K140" s="58"/>
      <c r="L140" s="58"/>
      <c r="M140" s="58"/>
      <c r="N140" s="58"/>
      <c r="O140" s="58"/>
      <c r="P140" s="58"/>
      <c r="Q140" s="58"/>
      <c r="R140" s="58"/>
      <c r="S140" s="58"/>
      <c r="T140" s="58"/>
      <c r="U140" s="58"/>
      <c r="V140" s="58"/>
      <c r="W140" s="58"/>
      <c r="X140" s="58"/>
      <c r="Y140" s="58"/>
      <c r="Z140" s="58"/>
      <c r="AA140" s="58"/>
      <c r="AB140" s="58"/>
      <c r="AC140" s="58"/>
      <c r="AD140" s="58"/>
      <c r="AE140" s="58"/>
      <c r="AF140" s="58"/>
      <c r="AG140" s="58"/>
      <c r="AH140" s="58"/>
      <c r="AI140" s="58"/>
      <c r="AJ140" s="58"/>
      <c r="AK140" s="58"/>
      <c r="AL140" s="58"/>
      <c r="AM140" s="58"/>
      <c r="AN140" s="58"/>
      <c r="AO140" s="58"/>
      <c r="AP140" s="58"/>
      <c r="AQ140" s="58"/>
    </row>
    <row r="141" spans="3:43" ht="15.95" hidden="1" customHeight="1">
      <c r="C141" s="10"/>
      <c r="D141" s="58"/>
      <c r="E141" s="58"/>
      <c r="F141" s="58"/>
      <c r="G141" s="58"/>
      <c r="H141" s="58"/>
      <c r="I141" s="58"/>
      <c r="J141" s="58"/>
      <c r="K141" s="58"/>
      <c r="L141" s="58"/>
      <c r="M141" s="58"/>
      <c r="N141" s="58"/>
      <c r="O141" s="58"/>
      <c r="P141" s="58"/>
      <c r="Q141" s="58"/>
      <c r="R141" s="58"/>
      <c r="S141" s="58"/>
      <c r="T141" s="58"/>
      <c r="U141" s="58"/>
      <c r="V141" s="58"/>
      <c r="W141" s="58"/>
      <c r="X141" s="58"/>
      <c r="Y141" s="58"/>
      <c r="Z141" s="58"/>
      <c r="AA141" s="58"/>
      <c r="AB141" s="58"/>
      <c r="AC141" s="58"/>
      <c r="AD141" s="58"/>
      <c r="AE141" s="58"/>
      <c r="AF141" s="58"/>
      <c r="AG141" s="58"/>
      <c r="AH141" s="58"/>
      <c r="AI141" s="58"/>
      <c r="AJ141" s="58"/>
      <c r="AK141" s="58"/>
      <c r="AL141" s="58"/>
      <c r="AM141" s="58"/>
      <c r="AN141" s="58"/>
      <c r="AO141" s="58"/>
      <c r="AP141" s="58"/>
      <c r="AQ141" s="58"/>
    </row>
    <row r="142" spans="3:43" ht="15.95" hidden="1" customHeight="1">
      <c r="C142" s="10"/>
      <c r="D142" s="58"/>
      <c r="E142" s="58"/>
      <c r="F142" s="58"/>
      <c r="G142" s="58"/>
      <c r="H142" s="58"/>
      <c r="I142" s="58"/>
      <c r="J142" s="58"/>
      <c r="K142" s="58"/>
      <c r="L142" s="58"/>
      <c r="M142" s="58"/>
      <c r="N142" s="58"/>
      <c r="O142" s="58"/>
      <c r="P142" s="58"/>
      <c r="Q142" s="58"/>
      <c r="R142" s="58"/>
      <c r="S142" s="58"/>
      <c r="T142" s="58"/>
      <c r="U142" s="58"/>
      <c r="V142" s="58"/>
      <c r="W142" s="58"/>
      <c r="X142" s="58"/>
      <c r="Y142" s="58"/>
      <c r="Z142" s="58"/>
      <c r="AA142" s="58"/>
      <c r="AB142" s="58"/>
      <c r="AC142" s="58"/>
      <c r="AD142" s="58"/>
      <c r="AE142" s="58"/>
      <c r="AF142" s="58"/>
      <c r="AG142" s="58"/>
      <c r="AH142" s="58"/>
      <c r="AI142" s="58"/>
      <c r="AJ142" s="58"/>
      <c r="AK142" s="58"/>
      <c r="AL142" s="58"/>
      <c r="AM142" s="58"/>
      <c r="AN142" s="58"/>
      <c r="AO142" s="58"/>
      <c r="AP142" s="58"/>
      <c r="AQ142" s="58"/>
    </row>
    <row r="143" spans="3:43" ht="15.95" hidden="1" customHeight="1">
      <c r="C143" s="10"/>
      <c r="D143" s="58"/>
      <c r="E143" s="58"/>
      <c r="F143" s="58"/>
      <c r="G143" s="58"/>
      <c r="H143" s="58"/>
      <c r="I143" s="58"/>
      <c r="J143" s="58"/>
      <c r="K143" s="58"/>
      <c r="L143" s="58"/>
      <c r="M143" s="58"/>
      <c r="N143" s="58"/>
      <c r="O143" s="58"/>
      <c r="P143" s="58"/>
      <c r="Q143" s="58"/>
      <c r="R143" s="58"/>
      <c r="S143" s="58"/>
      <c r="T143" s="58"/>
      <c r="U143" s="58"/>
      <c r="V143" s="58"/>
      <c r="W143" s="58"/>
      <c r="X143" s="58"/>
      <c r="Y143" s="58"/>
      <c r="Z143" s="58"/>
      <c r="AA143" s="58"/>
      <c r="AB143" s="58"/>
      <c r="AC143" s="58"/>
      <c r="AD143" s="58"/>
      <c r="AE143" s="58"/>
      <c r="AF143" s="58"/>
      <c r="AG143" s="58"/>
      <c r="AH143" s="58"/>
      <c r="AI143" s="58"/>
      <c r="AJ143" s="58"/>
      <c r="AK143" s="58"/>
      <c r="AL143" s="58"/>
      <c r="AM143" s="58"/>
      <c r="AN143" s="58"/>
      <c r="AO143" s="58"/>
      <c r="AP143" s="58"/>
      <c r="AQ143" s="58"/>
    </row>
    <row r="144" spans="3:43" ht="15.95" hidden="1" customHeight="1">
      <c r="C144" s="10"/>
      <c r="D144" s="58"/>
      <c r="E144" s="58"/>
      <c r="F144" s="58"/>
      <c r="G144" s="58"/>
      <c r="H144" s="58"/>
      <c r="I144" s="58"/>
      <c r="J144" s="58"/>
      <c r="K144" s="58"/>
      <c r="L144" s="58"/>
      <c r="M144" s="58"/>
      <c r="N144" s="58"/>
      <c r="O144" s="58"/>
      <c r="P144" s="58"/>
      <c r="Q144" s="58"/>
      <c r="R144" s="58"/>
      <c r="S144" s="58"/>
      <c r="T144" s="58"/>
      <c r="U144" s="58"/>
      <c r="V144" s="58"/>
      <c r="W144" s="58"/>
      <c r="X144" s="58"/>
      <c r="Y144" s="58"/>
      <c r="Z144" s="58"/>
      <c r="AA144" s="58"/>
      <c r="AB144" s="58"/>
      <c r="AC144" s="58"/>
      <c r="AD144" s="58"/>
      <c r="AE144" s="58"/>
      <c r="AF144" s="58"/>
      <c r="AG144" s="58"/>
      <c r="AH144" s="58"/>
      <c r="AI144" s="58"/>
      <c r="AJ144" s="58"/>
      <c r="AK144" s="58"/>
      <c r="AL144" s="58"/>
      <c r="AM144" s="58"/>
      <c r="AN144" s="58"/>
      <c r="AO144" s="58"/>
      <c r="AP144" s="58"/>
      <c r="AQ144" s="58"/>
    </row>
    <row r="145" spans="3:43" ht="15.95" hidden="1" customHeight="1">
      <c r="C145" s="10"/>
      <c r="D145" s="58"/>
      <c r="E145" s="58"/>
      <c r="F145" s="58"/>
      <c r="G145" s="58"/>
      <c r="H145" s="58"/>
      <c r="I145" s="58"/>
      <c r="J145" s="58"/>
      <c r="K145" s="58"/>
      <c r="L145" s="58"/>
      <c r="M145" s="58"/>
      <c r="N145" s="58"/>
      <c r="O145" s="58"/>
      <c r="P145" s="58"/>
      <c r="Q145" s="58"/>
      <c r="R145" s="58"/>
      <c r="S145" s="58"/>
      <c r="T145" s="58"/>
      <c r="U145" s="58"/>
      <c r="V145" s="58"/>
      <c r="W145" s="58"/>
      <c r="X145" s="58"/>
      <c r="Y145" s="58"/>
      <c r="Z145" s="58"/>
      <c r="AA145" s="58"/>
      <c r="AB145" s="58"/>
      <c r="AC145" s="58"/>
      <c r="AD145" s="58"/>
      <c r="AE145" s="58"/>
      <c r="AF145" s="58"/>
      <c r="AG145" s="58"/>
      <c r="AH145" s="58"/>
      <c r="AI145" s="58"/>
      <c r="AJ145" s="58"/>
      <c r="AK145" s="58"/>
      <c r="AL145" s="58"/>
      <c r="AM145" s="58"/>
      <c r="AN145" s="58"/>
      <c r="AO145" s="58"/>
      <c r="AP145" s="58"/>
      <c r="AQ145" s="58"/>
    </row>
    <row r="146" spans="3:43" ht="15.95" hidden="1" customHeight="1">
      <c r="C146" s="10"/>
      <c r="D146" s="58"/>
      <c r="E146" s="58"/>
      <c r="F146" s="58"/>
      <c r="G146" s="58"/>
      <c r="H146" s="58"/>
      <c r="I146" s="58"/>
      <c r="J146" s="58"/>
      <c r="K146" s="58"/>
      <c r="L146" s="58"/>
      <c r="M146" s="58"/>
      <c r="N146" s="58"/>
      <c r="O146" s="58"/>
      <c r="P146" s="58"/>
      <c r="Q146" s="58"/>
      <c r="R146" s="58"/>
      <c r="S146" s="58"/>
      <c r="T146" s="58"/>
      <c r="U146" s="58"/>
      <c r="V146" s="58"/>
      <c r="W146" s="58"/>
      <c r="X146" s="58"/>
      <c r="Y146" s="58"/>
      <c r="Z146" s="58"/>
      <c r="AA146" s="58"/>
      <c r="AB146" s="58"/>
      <c r="AC146" s="58"/>
      <c r="AD146" s="58"/>
      <c r="AE146" s="58"/>
      <c r="AF146" s="58"/>
      <c r="AG146" s="58"/>
      <c r="AH146" s="58"/>
      <c r="AI146" s="58"/>
      <c r="AJ146" s="58"/>
      <c r="AK146" s="58"/>
      <c r="AL146" s="58"/>
      <c r="AM146" s="58"/>
      <c r="AN146" s="58"/>
      <c r="AO146" s="58"/>
      <c r="AP146" s="58"/>
      <c r="AQ146" s="58"/>
    </row>
    <row r="147" spans="3:43" ht="15.95" hidden="1" customHeight="1">
      <c r="C147" s="10"/>
      <c r="D147" s="58"/>
      <c r="E147" s="58"/>
      <c r="F147" s="58"/>
      <c r="G147" s="58"/>
      <c r="H147" s="58"/>
      <c r="I147" s="58"/>
      <c r="J147" s="58"/>
      <c r="K147" s="58"/>
      <c r="L147" s="58"/>
      <c r="M147" s="58"/>
      <c r="N147" s="58"/>
      <c r="O147" s="58"/>
      <c r="P147" s="58"/>
      <c r="Q147" s="58"/>
      <c r="R147" s="58"/>
      <c r="S147" s="58"/>
      <c r="T147" s="58"/>
      <c r="U147" s="58"/>
      <c r="V147" s="58"/>
      <c r="W147" s="58"/>
      <c r="X147" s="58"/>
      <c r="Y147" s="58"/>
      <c r="Z147" s="58"/>
      <c r="AA147" s="58"/>
      <c r="AB147" s="58"/>
      <c r="AC147" s="58"/>
      <c r="AD147" s="58"/>
      <c r="AE147" s="58"/>
      <c r="AF147" s="58"/>
      <c r="AG147" s="58"/>
      <c r="AH147" s="58"/>
      <c r="AI147" s="58"/>
      <c r="AJ147" s="58"/>
      <c r="AK147" s="58"/>
      <c r="AL147" s="58"/>
      <c r="AM147" s="58"/>
      <c r="AN147" s="58"/>
      <c r="AO147" s="58"/>
      <c r="AP147" s="58"/>
      <c r="AQ147" s="58"/>
    </row>
    <row r="148" spans="3:43" ht="15.95" hidden="1" customHeight="1">
      <c r="C148" s="10"/>
      <c r="D148" s="58"/>
      <c r="E148" s="58"/>
      <c r="F148" s="58"/>
      <c r="G148" s="58"/>
      <c r="H148" s="58"/>
      <c r="I148" s="58"/>
      <c r="J148" s="58"/>
      <c r="K148" s="58"/>
      <c r="L148" s="58"/>
      <c r="M148" s="58"/>
      <c r="N148" s="58"/>
      <c r="O148" s="58"/>
      <c r="P148" s="58"/>
      <c r="Q148" s="58"/>
      <c r="R148" s="58"/>
      <c r="S148" s="58"/>
      <c r="T148" s="58"/>
      <c r="U148" s="58"/>
      <c r="V148" s="58"/>
      <c r="W148" s="58"/>
      <c r="X148" s="58"/>
      <c r="Y148" s="58"/>
      <c r="Z148" s="58"/>
      <c r="AA148" s="58"/>
      <c r="AB148" s="58"/>
      <c r="AC148" s="58"/>
      <c r="AD148" s="58"/>
      <c r="AE148" s="58"/>
      <c r="AF148" s="58"/>
      <c r="AG148" s="58"/>
      <c r="AH148" s="58"/>
      <c r="AI148" s="58"/>
      <c r="AJ148" s="58"/>
      <c r="AK148" s="58"/>
      <c r="AL148" s="58"/>
      <c r="AM148" s="58"/>
      <c r="AN148" s="58"/>
      <c r="AO148" s="58"/>
      <c r="AP148" s="58"/>
      <c r="AQ148" s="58"/>
    </row>
    <row r="149" spans="3:43" ht="15.95" hidden="1" customHeight="1">
      <c r="C149" s="10"/>
      <c r="D149" s="58"/>
      <c r="E149" s="58"/>
      <c r="F149" s="58"/>
      <c r="G149" s="58"/>
      <c r="H149" s="58"/>
      <c r="I149" s="58"/>
      <c r="J149" s="58"/>
      <c r="K149" s="58"/>
      <c r="L149" s="58"/>
      <c r="M149" s="58"/>
      <c r="N149" s="58"/>
      <c r="O149" s="58"/>
      <c r="P149" s="58"/>
      <c r="Q149" s="58"/>
      <c r="R149" s="58"/>
      <c r="S149" s="58"/>
      <c r="T149" s="58"/>
      <c r="U149" s="58"/>
      <c r="V149" s="58"/>
      <c r="W149" s="58"/>
      <c r="X149" s="58"/>
      <c r="Y149" s="58"/>
      <c r="Z149" s="58"/>
      <c r="AA149" s="58"/>
      <c r="AB149" s="58"/>
      <c r="AC149" s="58"/>
      <c r="AD149" s="58"/>
      <c r="AE149" s="58"/>
      <c r="AF149" s="58"/>
      <c r="AG149" s="58"/>
      <c r="AH149" s="58"/>
      <c r="AI149" s="58"/>
      <c r="AJ149" s="58"/>
      <c r="AK149" s="58"/>
      <c r="AL149" s="58"/>
      <c r="AM149" s="58"/>
      <c r="AN149" s="58"/>
      <c r="AO149" s="58"/>
      <c r="AP149" s="58"/>
      <c r="AQ149" s="58"/>
    </row>
    <row r="150" spans="3:43" ht="15.95" hidden="1" customHeight="1">
      <c r="C150" s="10"/>
      <c r="D150" s="58"/>
      <c r="E150" s="58"/>
      <c r="F150" s="58"/>
      <c r="G150" s="58"/>
      <c r="H150" s="58"/>
      <c r="I150" s="58"/>
      <c r="J150" s="58"/>
      <c r="K150" s="58"/>
      <c r="L150" s="58"/>
      <c r="M150" s="58"/>
      <c r="N150" s="58"/>
      <c r="O150" s="58"/>
      <c r="P150" s="58"/>
      <c r="Q150" s="58"/>
      <c r="R150" s="58"/>
      <c r="S150" s="58"/>
      <c r="T150" s="58"/>
      <c r="U150" s="58"/>
      <c r="V150" s="58"/>
      <c r="W150" s="58"/>
      <c r="X150" s="58"/>
      <c r="Y150" s="58"/>
      <c r="Z150" s="58"/>
      <c r="AA150" s="58"/>
      <c r="AB150" s="58"/>
      <c r="AC150" s="58"/>
      <c r="AD150" s="58"/>
      <c r="AE150" s="58"/>
      <c r="AF150" s="58"/>
      <c r="AG150" s="58"/>
      <c r="AH150" s="58"/>
      <c r="AI150" s="58"/>
      <c r="AJ150" s="58"/>
      <c r="AK150" s="58"/>
      <c r="AL150" s="58"/>
      <c r="AM150" s="58"/>
      <c r="AN150" s="58"/>
      <c r="AO150" s="58"/>
      <c r="AP150" s="58"/>
      <c r="AQ150" s="58"/>
    </row>
    <row r="151" spans="3:43" ht="15.95" hidden="1" customHeight="1">
      <c r="C151" s="10"/>
      <c r="D151" s="58"/>
      <c r="E151" s="58"/>
      <c r="F151" s="58"/>
      <c r="G151" s="58"/>
      <c r="H151" s="58"/>
      <c r="I151" s="58"/>
      <c r="J151" s="58"/>
      <c r="K151" s="58"/>
      <c r="L151" s="58"/>
      <c r="M151" s="58"/>
      <c r="N151" s="58"/>
      <c r="O151" s="58"/>
      <c r="P151" s="58"/>
      <c r="Q151" s="58"/>
      <c r="R151" s="58"/>
      <c r="S151" s="58"/>
      <c r="T151" s="58"/>
      <c r="U151" s="58"/>
      <c r="V151" s="58"/>
      <c r="W151" s="58"/>
      <c r="X151" s="58"/>
      <c r="Y151" s="58"/>
      <c r="Z151" s="58"/>
      <c r="AA151" s="58"/>
      <c r="AB151" s="58"/>
      <c r="AC151" s="58"/>
      <c r="AD151" s="58"/>
      <c r="AE151" s="58"/>
      <c r="AF151" s="58"/>
      <c r="AG151" s="58"/>
      <c r="AH151" s="58"/>
      <c r="AI151" s="58"/>
      <c r="AJ151" s="58"/>
      <c r="AK151" s="58"/>
      <c r="AL151" s="58"/>
      <c r="AM151" s="58"/>
      <c r="AN151" s="58"/>
      <c r="AO151" s="58"/>
      <c r="AP151" s="58"/>
      <c r="AQ151" s="58"/>
    </row>
    <row r="152" spans="3:43" ht="15.95" hidden="1" customHeight="1">
      <c r="C152" s="10"/>
      <c r="D152" s="58"/>
      <c r="E152" s="58"/>
      <c r="F152" s="58"/>
      <c r="G152" s="58"/>
      <c r="H152" s="58"/>
      <c r="I152" s="58"/>
      <c r="J152" s="58"/>
      <c r="K152" s="58"/>
      <c r="L152" s="58"/>
      <c r="M152" s="58"/>
      <c r="N152" s="58"/>
      <c r="O152" s="58"/>
      <c r="P152" s="58"/>
      <c r="Q152" s="58"/>
      <c r="R152" s="58"/>
      <c r="S152" s="58"/>
      <c r="T152" s="58"/>
      <c r="U152" s="58"/>
      <c r="V152" s="58"/>
      <c r="W152" s="58"/>
      <c r="X152" s="58"/>
      <c r="Y152" s="58"/>
      <c r="Z152" s="58"/>
      <c r="AA152" s="58"/>
      <c r="AB152" s="58"/>
      <c r="AC152" s="58"/>
      <c r="AD152" s="58"/>
      <c r="AE152" s="58"/>
      <c r="AF152" s="58"/>
      <c r="AG152" s="58"/>
      <c r="AH152" s="58"/>
      <c r="AI152" s="58"/>
      <c r="AJ152" s="58"/>
      <c r="AK152" s="58"/>
      <c r="AL152" s="58"/>
      <c r="AM152" s="58"/>
      <c r="AN152" s="58"/>
      <c r="AO152" s="58"/>
      <c r="AP152" s="58"/>
      <c r="AQ152" s="58"/>
    </row>
    <row r="153" spans="3:43" ht="15.95" hidden="1" customHeight="1">
      <c r="C153" s="10"/>
      <c r="D153" s="58"/>
      <c r="E153" s="58"/>
      <c r="F153" s="58"/>
      <c r="G153" s="58"/>
      <c r="H153" s="58"/>
      <c r="I153" s="58"/>
      <c r="J153" s="58"/>
      <c r="K153" s="58"/>
      <c r="L153" s="58"/>
      <c r="M153" s="58"/>
      <c r="N153" s="58"/>
      <c r="O153" s="58"/>
      <c r="P153" s="58"/>
      <c r="Q153" s="58"/>
      <c r="R153" s="58"/>
      <c r="S153" s="58"/>
      <c r="T153" s="58"/>
      <c r="U153" s="58"/>
      <c r="V153" s="58"/>
      <c r="W153" s="58"/>
      <c r="X153" s="58"/>
      <c r="Y153" s="58"/>
      <c r="Z153" s="58"/>
      <c r="AA153" s="58"/>
      <c r="AB153" s="58"/>
      <c r="AC153" s="58"/>
      <c r="AD153" s="58"/>
      <c r="AE153" s="58"/>
      <c r="AF153" s="58"/>
      <c r="AG153" s="58"/>
      <c r="AH153" s="58"/>
      <c r="AI153" s="58"/>
      <c r="AJ153" s="58"/>
      <c r="AK153" s="58"/>
      <c r="AL153" s="58"/>
      <c r="AM153" s="58"/>
      <c r="AN153" s="58"/>
      <c r="AO153" s="58"/>
      <c r="AP153" s="58"/>
      <c r="AQ153" s="58"/>
    </row>
    <row r="154" spans="3:43" ht="15.95" hidden="1" customHeight="1">
      <c r="C154" s="10"/>
      <c r="D154" s="58"/>
      <c r="E154" s="58"/>
      <c r="F154" s="58"/>
      <c r="G154" s="58"/>
      <c r="H154" s="58"/>
      <c r="I154" s="58"/>
      <c r="J154" s="58"/>
      <c r="K154" s="58"/>
      <c r="L154" s="58"/>
      <c r="M154" s="58"/>
      <c r="N154" s="58"/>
      <c r="O154" s="58"/>
      <c r="P154" s="58"/>
      <c r="Q154" s="58"/>
      <c r="R154" s="58"/>
      <c r="S154" s="58"/>
      <c r="T154" s="58"/>
      <c r="U154" s="58"/>
      <c r="V154" s="58"/>
      <c r="W154" s="58"/>
      <c r="X154" s="58"/>
      <c r="Y154" s="58"/>
      <c r="Z154" s="58"/>
      <c r="AA154" s="58"/>
      <c r="AB154" s="58"/>
      <c r="AC154" s="58"/>
      <c r="AD154" s="58"/>
      <c r="AE154" s="58"/>
      <c r="AF154" s="58"/>
      <c r="AG154" s="58"/>
      <c r="AH154" s="58"/>
      <c r="AI154" s="58"/>
      <c r="AJ154" s="58"/>
      <c r="AK154" s="58"/>
      <c r="AL154" s="58"/>
      <c r="AM154" s="58"/>
      <c r="AN154" s="58"/>
      <c r="AO154" s="58"/>
      <c r="AP154" s="58"/>
      <c r="AQ154" s="58"/>
    </row>
    <row r="155" spans="3:43" ht="15.95" hidden="1" customHeight="1">
      <c r="C155" s="10"/>
      <c r="D155" s="58"/>
      <c r="E155" s="58"/>
      <c r="F155" s="58"/>
      <c r="G155" s="58"/>
      <c r="H155" s="58"/>
      <c r="I155" s="58"/>
      <c r="J155" s="58"/>
      <c r="K155" s="58"/>
      <c r="L155" s="58"/>
      <c r="M155" s="58"/>
      <c r="N155" s="58"/>
      <c r="O155" s="58"/>
      <c r="P155" s="58"/>
      <c r="Q155" s="58"/>
      <c r="R155" s="58"/>
      <c r="S155" s="58"/>
      <c r="T155" s="58"/>
      <c r="U155" s="58"/>
      <c r="V155" s="58"/>
      <c r="W155" s="58"/>
      <c r="X155" s="58"/>
      <c r="Y155" s="58"/>
      <c r="Z155" s="58"/>
      <c r="AA155" s="58"/>
      <c r="AB155" s="58"/>
      <c r="AC155" s="58"/>
      <c r="AD155" s="58"/>
      <c r="AE155" s="58"/>
      <c r="AF155" s="58"/>
      <c r="AG155" s="58"/>
      <c r="AH155" s="58"/>
      <c r="AI155" s="58"/>
      <c r="AJ155" s="58"/>
      <c r="AK155" s="58"/>
      <c r="AL155" s="58"/>
      <c r="AM155" s="58"/>
      <c r="AN155" s="58"/>
      <c r="AO155" s="58"/>
      <c r="AP155" s="58"/>
      <c r="AQ155" s="58"/>
    </row>
    <row r="156" spans="3:43" ht="15.95" hidden="1" customHeight="1">
      <c r="C156" s="10"/>
      <c r="D156" s="58"/>
      <c r="E156" s="58"/>
      <c r="F156" s="58"/>
      <c r="G156" s="58"/>
      <c r="H156" s="58"/>
      <c r="I156" s="58"/>
      <c r="J156" s="58"/>
      <c r="K156" s="58"/>
      <c r="L156" s="58"/>
      <c r="M156" s="58"/>
      <c r="N156" s="58"/>
      <c r="O156" s="58"/>
      <c r="P156" s="58"/>
      <c r="Q156" s="58"/>
      <c r="R156" s="58"/>
      <c r="S156" s="58"/>
      <c r="T156" s="58"/>
      <c r="U156" s="58"/>
      <c r="V156" s="58"/>
      <c r="W156" s="58"/>
      <c r="X156" s="58"/>
      <c r="Y156" s="58"/>
      <c r="Z156" s="58"/>
      <c r="AA156" s="58"/>
      <c r="AB156" s="58"/>
      <c r="AC156" s="58"/>
      <c r="AD156" s="58"/>
      <c r="AE156" s="58"/>
      <c r="AF156" s="58"/>
      <c r="AG156" s="58"/>
      <c r="AH156" s="58"/>
      <c r="AI156" s="58"/>
      <c r="AJ156" s="58"/>
      <c r="AK156" s="58"/>
      <c r="AL156" s="58"/>
      <c r="AM156" s="58"/>
      <c r="AN156" s="58"/>
      <c r="AO156" s="58"/>
      <c r="AP156" s="58"/>
      <c r="AQ156" s="58"/>
    </row>
    <row r="157" spans="3:43" ht="15.95" hidden="1" customHeight="1">
      <c r="C157" s="10"/>
      <c r="D157" s="58"/>
      <c r="E157" s="58"/>
      <c r="F157" s="58"/>
      <c r="G157" s="58"/>
      <c r="H157" s="58"/>
      <c r="I157" s="58"/>
      <c r="J157" s="58"/>
      <c r="K157" s="58"/>
      <c r="L157" s="58"/>
      <c r="M157" s="58"/>
      <c r="N157" s="58"/>
      <c r="O157" s="58"/>
      <c r="P157" s="58"/>
      <c r="Q157" s="58"/>
      <c r="R157" s="58"/>
      <c r="S157" s="58"/>
      <c r="T157" s="58"/>
      <c r="U157" s="58"/>
      <c r="V157" s="58"/>
      <c r="W157" s="58"/>
      <c r="X157" s="58"/>
      <c r="Y157" s="58"/>
      <c r="Z157" s="58"/>
      <c r="AA157" s="58"/>
      <c r="AB157" s="58"/>
      <c r="AC157" s="58"/>
      <c r="AD157" s="58"/>
      <c r="AE157" s="58"/>
      <c r="AF157" s="58"/>
      <c r="AG157" s="58"/>
      <c r="AH157" s="58"/>
      <c r="AI157" s="58"/>
      <c r="AJ157" s="58"/>
      <c r="AK157" s="58"/>
      <c r="AL157" s="58"/>
      <c r="AM157" s="58"/>
      <c r="AN157" s="58"/>
      <c r="AO157" s="58"/>
      <c r="AP157" s="58"/>
      <c r="AQ157" s="58"/>
    </row>
    <row r="158" spans="3:43" ht="15.95" hidden="1" customHeight="1">
      <c r="C158" s="10"/>
      <c r="D158" s="58"/>
      <c r="E158" s="58"/>
      <c r="F158" s="58"/>
      <c r="G158" s="58"/>
      <c r="H158" s="58"/>
      <c r="I158" s="58"/>
      <c r="J158" s="58"/>
      <c r="K158" s="58"/>
      <c r="L158" s="58"/>
      <c r="M158" s="58"/>
      <c r="N158" s="58"/>
      <c r="O158" s="58"/>
      <c r="P158" s="58"/>
      <c r="Q158" s="58"/>
      <c r="R158" s="58"/>
      <c r="S158" s="58"/>
      <c r="T158" s="58"/>
      <c r="U158" s="58"/>
      <c r="V158" s="58"/>
      <c r="W158" s="58"/>
      <c r="X158" s="58"/>
      <c r="Y158" s="58"/>
      <c r="Z158" s="58"/>
      <c r="AA158" s="58"/>
      <c r="AB158" s="58"/>
      <c r="AC158" s="58"/>
      <c r="AD158" s="58"/>
      <c r="AE158" s="58"/>
      <c r="AF158" s="58"/>
      <c r="AG158" s="58"/>
      <c r="AH158" s="58"/>
      <c r="AI158" s="58"/>
      <c r="AJ158" s="58"/>
      <c r="AK158" s="58"/>
      <c r="AL158" s="58"/>
      <c r="AM158" s="58"/>
      <c r="AN158" s="58"/>
      <c r="AO158" s="58"/>
      <c r="AP158" s="58"/>
      <c r="AQ158" s="58"/>
    </row>
    <row r="159" spans="3:43" ht="15.95" hidden="1" customHeight="1">
      <c r="C159" s="10"/>
      <c r="D159" s="58"/>
      <c r="E159" s="58"/>
      <c r="F159" s="58"/>
      <c r="G159" s="58"/>
      <c r="H159" s="58"/>
      <c r="I159" s="58"/>
      <c r="J159" s="58"/>
      <c r="K159" s="58"/>
      <c r="L159" s="58"/>
      <c r="M159" s="58"/>
      <c r="N159" s="58"/>
      <c r="O159" s="58"/>
      <c r="P159" s="58"/>
      <c r="Q159" s="58"/>
      <c r="R159" s="58"/>
      <c r="S159" s="58"/>
      <c r="T159" s="58"/>
      <c r="U159" s="58"/>
      <c r="V159" s="58"/>
      <c r="W159" s="58"/>
      <c r="X159" s="58"/>
      <c r="Y159" s="58"/>
      <c r="Z159" s="58"/>
      <c r="AA159" s="58"/>
      <c r="AB159" s="58"/>
      <c r="AC159" s="58"/>
      <c r="AD159" s="58"/>
      <c r="AE159" s="58"/>
      <c r="AF159" s="58"/>
      <c r="AG159" s="58"/>
      <c r="AH159" s="58"/>
      <c r="AI159" s="58"/>
      <c r="AJ159" s="58"/>
      <c r="AK159" s="58"/>
      <c r="AL159" s="58"/>
      <c r="AM159" s="58"/>
      <c r="AN159" s="58"/>
      <c r="AO159" s="58"/>
      <c r="AP159" s="58"/>
      <c r="AQ159" s="58"/>
    </row>
    <row r="160" spans="3:43" ht="15.95" hidden="1" customHeight="1">
      <c r="C160" s="10"/>
      <c r="D160" s="58"/>
      <c r="E160" s="58"/>
      <c r="F160" s="58"/>
      <c r="G160" s="58"/>
      <c r="H160" s="58"/>
      <c r="I160" s="58"/>
      <c r="J160" s="58"/>
      <c r="K160" s="58"/>
      <c r="L160" s="58"/>
      <c r="M160" s="58"/>
      <c r="N160" s="58"/>
      <c r="O160" s="58"/>
      <c r="P160" s="58"/>
      <c r="Q160" s="58"/>
      <c r="R160" s="58"/>
      <c r="S160" s="58"/>
      <c r="T160" s="58"/>
      <c r="U160" s="58"/>
      <c r="V160" s="58"/>
      <c r="W160" s="58"/>
      <c r="X160" s="58"/>
      <c r="Y160" s="58"/>
      <c r="Z160" s="58"/>
      <c r="AA160" s="58"/>
      <c r="AB160" s="58"/>
      <c r="AC160" s="58"/>
      <c r="AD160" s="58"/>
      <c r="AE160" s="58"/>
      <c r="AF160" s="58"/>
      <c r="AG160" s="58"/>
      <c r="AH160" s="58"/>
      <c r="AI160" s="58"/>
      <c r="AJ160" s="58"/>
      <c r="AK160" s="58"/>
      <c r="AL160" s="58"/>
      <c r="AM160" s="58"/>
      <c r="AN160" s="58"/>
      <c r="AO160" s="58"/>
      <c r="AP160" s="58"/>
      <c r="AQ160" s="58"/>
    </row>
    <row r="161" spans="3:43" ht="15.95" hidden="1" customHeight="1">
      <c r="C161" s="10"/>
      <c r="D161" s="58"/>
      <c r="E161" s="58"/>
      <c r="F161" s="58"/>
      <c r="G161" s="58"/>
      <c r="H161" s="58"/>
      <c r="I161" s="58"/>
      <c r="J161" s="58"/>
      <c r="K161" s="58"/>
      <c r="L161" s="58"/>
      <c r="M161" s="58"/>
      <c r="N161" s="58"/>
      <c r="O161" s="58"/>
      <c r="P161" s="58"/>
      <c r="Q161" s="58"/>
      <c r="R161" s="58"/>
      <c r="S161" s="58"/>
      <c r="T161" s="58"/>
      <c r="U161" s="58"/>
      <c r="V161" s="58"/>
      <c r="W161" s="58"/>
      <c r="X161" s="58"/>
      <c r="Y161" s="58"/>
      <c r="Z161" s="58"/>
      <c r="AA161" s="58"/>
      <c r="AB161" s="58"/>
      <c r="AC161" s="58"/>
      <c r="AD161" s="58"/>
      <c r="AE161" s="58"/>
      <c r="AF161" s="58"/>
      <c r="AG161" s="58"/>
      <c r="AH161" s="58"/>
      <c r="AI161" s="58"/>
      <c r="AJ161" s="58"/>
      <c r="AK161" s="58"/>
      <c r="AL161" s="58"/>
      <c r="AM161" s="58"/>
      <c r="AN161" s="58"/>
      <c r="AO161" s="58"/>
      <c r="AP161" s="58"/>
      <c r="AQ161" s="58"/>
    </row>
    <row r="162" spans="3:43" ht="15.95" hidden="1" customHeight="1">
      <c r="C162" s="10"/>
      <c r="D162" s="58"/>
      <c r="E162" s="58"/>
      <c r="F162" s="58"/>
      <c r="G162" s="58"/>
      <c r="H162" s="58"/>
      <c r="I162" s="58"/>
      <c r="J162" s="58"/>
      <c r="K162" s="58"/>
      <c r="L162" s="58"/>
      <c r="M162" s="58"/>
      <c r="N162" s="58"/>
      <c r="O162" s="58"/>
      <c r="P162" s="58"/>
      <c r="Q162" s="58"/>
      <c r="R162" s="58"/>
      <c r="S162" s="58"/>
      <c r="T162" s="58"/>
      <c r="U162" s="58"/>
      <c r="V162" s="58"/>
      <c r="W162" s="58"/>
      <c r="X162" s="58"/>
      <c r="Y162" s="58"/>
      <c r="Z162" s="58"/>
      <c r="AA162" s="58"/>
      <c r="AB162" s="58"/>
      <c r="AC162" s="58"/>
      <c r="AD162" s="58"/>
      <c r="AE162" s="58"/>
      <c r="AF162" s="58"/>
      <c r="AG162" s="58"/>
      <c r="AH162" s="58"/>
      <c r="AI162" s="58"/>
      <c r="AJ162" s="58"/>
      <c r="AK162" s="58"/>
      <c r="AL162" s="58"/>
      <c r="AM162" s="58"/>
      <c r="AN162" s="58"/>
      <c r="AO162" s="58"/>
      <c r="AP162" s="58"/>
      <c r="AQ162" s="58"/>
    </row>
    <row r="163" spans="3:43" ht="15.95" hidden="1" customHeight="1">
      <c r="C163" s="10"/>
      <c r="D163" s="58"/>
      <c r="E163" s="58"/>
      <c r="F163" s="58"/>
      <c r="G163" s="58"/>
      <c r="H163" s="58"/>
      <c r="I163" s="58"/>
      <c r="J163" s="58"/>
      <c r="K163" s="58"/>
      <c r="L163" s="58"/>
      <c r="M163" s="58"/>
      <c r="N163" s="58"/>
      <c r="O163" s="58"/>
      <c r="P163" s="58"/>
      <c r="Q163" s="58"/>
      <c r="R163" s="58"/>
      <c r="S163" s="58"/>
      <c r="T163" s="58"/>
      <c r="U163" s="58"/>
      <c r="V163" s="58"/>
      <c r="W163" s="58"/>
      <c r="X163" s="58"/>
      <c r="Y163" s="58"/>
      <c r="Z163" s="58"/>
      <c r="AA163" s="58"/>
      <c r="AB163" s="58"/>
      <c r="AC163" s="58"/>
      <c r="AD163" s="58"/>
      <c r="AE163" s="58"/>
      <c r="AF163" s="58"/>
      <c r="AG163" s="58"/>
      <c r="AH163" s="58"/>
      <c r="AI163" s="58"/>
      <c r="AJ163" s="58"/>
      <c r="AK163" s="58"/>
      <c r="AL163" s="58"/>
      <c r="AM163" s="58"/>
      <c r="AN163" s="58"/>
      <c r="AO163" s="58"/>
      <c r="AP163" s="58"/>
      <c r="AQ163" s="58"/>
    </row>
    <row r="164" spans="3:43" ht="15.95" hidden="1" customHeight="1">
      <c r="C164" s="10"/>
      <c r="D164" s="58"/>
      <c r="E164" s="58"/>
      <c r="F164" s="58"/>
      <c r="G164" s="58"/>
      <c r="H164" s="58"/>
      <c r="I164" s="58"/>
      <c r="J164" s="58"/>
      <c r="K164" s="58"/>
      <c r="L164" s="58"/>
      <c r="M164" s="58"/>
      <c r="N164" s="58"/>
      <c r="O164" s="58"/>
      <c r="P164" s="58"/>
      <c r="Q164" s="58"/>
      <c r="R164" s="58"/>
      <c r="S164" s="58"/>
      <c r="T164" s="58"/>
      <c r="U164" s="58"/>
      <c r="V164" s="58"/>
      <c r="W164" s="58"/>
      <c r="X164" s="58"/>
      <c r="Y164" s="58"/>
      <c r="Z164" s="58"/>
      <c r="AA164" s="58"/>
      <c r="AB164" s="58"/>
      <c r="AC164" s="58"/>
      <c r="AD164" s="58"/>
      <c r="AE164" s="58"/>
      <c r="AF164" s="58"/>
      <c r="AG164" s="58"/>
      <c r="AH164" s="58"/>
      <c r="AI164" s="58"/>
      <c r="AJ164" s="58"/>
      <c r="AK164" s="58"/>
      <c r="AL164" s="58"/>
      <c r="AM164" s="58"/>
      <c r="AN164" s="58"/>
      <c r="AO164" s="58"/>
      <c r="AP164" s="58"/>
      <c r="AQ164" s="58"/>
    </row>
    <row r="165" spans="3:43" ht="15.95" hidden="1" customHeight="1">
      <c r="C165" s="10"/>
      <c r="D165" s="58"/>
      <c r="E165" s="58"/>
      <c r="F165" s="58"/>
      <c r="G165" s="58"/>
      <c r="H165" s="58"/>
      <c r="I165" s="58"/>
      <c r="J165" s="58"/>
      <c r="K165" s="58"/>
      <c r="L165" s="58"/>
      <c r="M165" s="58"/>
      <c r="N165" s="58"/>
      <c r="O165" s="58"/>
      <c r="P165" s="58"/>
      <c r="Q165" s="58"/>
      <c r="R165" s="58"/>
      <c r="S165" s="58"/>
      <c r="T165" s="58"/>
      <c r="U165" s="58"/>
      <c r="V165" s="58"/>
      <c r="W165" s="58"/>
      <c r="X165" s="58"/>
      <c r="Y165" s="58"/>
      <c r="Z165" s="58"/>
      <c r="AA165" s="58"/>
      <c r="AB165" s="58"/>
      <c r="AC165" s="58"/>
      <c r="AD165" s="58"/>
      <c r="AE165" s="58"/>
      <c r="AF165" s="58"/>
      <c r="AG165" s="58"/>
      <c r="AH165" s="58"/>
      <c r="AI165" s="58"/>
      <c r="AJ165" s="58"/>
      <c r="AK165" s="58"/>
      <c r="AL165" s="58"/>
      <c r="AM165" s="58"/>
      <c r="AN165" s="58"/>
      <c r="AO165" s="58"/>
      <c r="AP165" s="58"/>
      <c r="AQ165" s="58"/>
    </row>
    <row r="166" spans="3:43" ht="15.95" hidden="1" customHeight="1">
      <c r="C166" s="10"/>
      <c r="D166" s="58"/>
      <c r="E166" s="58"/>
      <c r="F166" s="58"/>
      <c r="G166" s="58"/>
      <c r="H166" s="58"/>
      <c r="I166" s="58"/>
      <c r="J166" s="58"/>
      <c r="K166" s="58"/>
      <c r="L166" s="58"/>
      <c r="M166" s="58"/>
      <c r="N166" s="58"/>
      <c r="O166" s="58"/>
      <c r="P166" s="58"/>
      <c r="Q166" s="58"/>
      <c r="R166" s="58"/>
      <c r="S166" s="58"/>
      <c r="T166" s="58"/>
      <c r="U166" s="58"/>
      <c r="V166" s="58"/>
      <c r="W166" s="58"/>
      <c r="X166" s="58"/>
      <c r="Y166" s="58"/>
      <c r="Z166" s="58"/>
      <c r="AA166" s="58"/>
      <c r="AB166" s="58"/>
      <c r="AC166" s="58"/>
      <c r="AD166" s="58"/>
      <c r="AE166" s="58"/>
      <c r="AF166" s="58"/>
      <c r="AG166" s="58"/>
      <c r="AH166" s="58"/>
      <c r="AI166" s="58"/>
      <c r="AJ166" s="58"/>
      <c r="AK166" s="58"/>
      <c r="AL166" s="58"/>
      <c r="AM166" s="58"/>
      <c r="AN166" s="58"/>
      <c r="AO166" s="58"/>
      <c r="AP166" s="58"/>
      <c r="AQ166" s="58"/>
    </row>
    <row r="167" spans="3:43" ht="15.95" hidden="1" customHeight="1">
      <c r="C167" s="10"/>
      <c r="D167" s="58"/>
      <c r="E167" s="58"/>
      <c r="F167" s="58"/>
      <c r="G167" s="58"/>
      <c r="H167" s="58"/>
      <c r="I167" s="58"/>
      <c r="J167" s="58"/>
      <c r="K167" s="58"/>
      <c r="L167" s="58"/>
      <c r="M167" s="58"/>
      <c r="N167" s="58"/>
      <c r="O167" s="58"/>
      <c r="P167" s="58"/>
      <c r="Q167" s="58"/>
      <c r="R167" s="58"/>
      <c r="S167" s="58"/>
      <c r="T167" s="58"/>
      <c r="U167" s="58"/>
      <c r="V167" s="58"/>
      <c r="W167" s="58"/>
      <c r="X167" s="58"/>
      <c r="Y167" s="58"/>
      <c r="Z167" s="58"/>
      <c r="AA167" s="58"/>
      <c r="AB167" s="58"/>
      <c r="AC167" s="58"/>
      <c r="AD167" s="58"/>
      <c r="AE167" s="58"/>
      <c r="AF167" s="58"/>
      <c r="AG167" s="58"/>
      <c r="AH167" s="58"/>
      <c r="AI167" s="58"/>
      <c r="AJ167" s="58"/>
      <c r="AK167" s="58"/>
      <c r="AL167" s="58"/>
      <c r="AM167" s="58"/>
      <c r="AN167" s="58"/>
      <c r="AO167" s="58"/>
      <c r="AP167" s="58"/>
      <c r="AQ167" s="58"/>
    </row>
    <row r="168" spans="3:43" ht="15.95" hidden="1" customHeight="1">
      <c r="C168" s="10"/>
      <c r="D168" s="58"/>
      <c r="E168" s="58"/>
      <c r="F168" s="58"/>
      <c r="G168" s="58"/>
      <c r="H168" s="58"/>
      <c r="I168" s="58"/>
      <c r="J168" s="58"/>
      <c r="K168" s="58"/>
      <c r="L168" s="58"/>
      <c r="M168" s="58"/>
      <c r="N168" s="58"/>
      <c r="O168" s="58"/>
      <c r="P168" s="58"/>
      <c r="Q168" s="58"/>
      <c r="R168" s="58"/>
      <c r="S168" s="58"/>
      <c r="T168" s="58"/>
      <c r="U168" s="58"/>
      <c r="V168" s="58"/>
      <c r="W168" s="58"/>
      <c r="X168" s="58"/>
      <c r="Y168" s="58"/>
      <c r="Z168" s="58"/>
      <c r="AA168" s="58"/>
      <c r="AB168" s="58"/>
      <c r="AC168" s="58"/>
      <c r="AD168" s="58"/>
      <c r="AE168" s="58"/>
      <c r="AF168" s="58"/>
      <c r="AG168" s="58"/>
      <c r="AH168" s="58"/>
      <c r="AI168" s="58"/>
      <c r="AJ168" s="58"/>
      <c r="AK168" s="58"/>
      <c r="AL168" s="58"/>
      <c r="AM168" s="58"/>
      <c r="AN168" s="58"/>
      <c r="AO168" s="58"/>
      <c r="AP168" s="58"/>
      <c r="AQ168" s="58"/>
    </row>
    <row r="169" spans="3:43" ht="15.95" hidden="1" customHeight="1">
      <c r="C169" s="10"/>
      <c r="D169" s="58"/>
      <c r="E169" s="58"/>
      <c r="F169" s="58"/>
      <c r="G169" s="58"/>
      <c r="H169" s="58"/>
      <c r="I169" s="58"/>
      <c r="J169" s="58"/>
      <c r="K169" s="58"/>
      <c r="L169" s="58"/>
      <c r="M169" s="58"/>
      <c r="N169" s="58"/>
      <c r="O169" s="58"/>
      <c r="P169" s="58"/>
      <c r="Q169" s="58"/>
      <c r="R169" s="58"/>
      <c r="S169" s="58"/>
      <c r="T169" s="58"/>
      <c r="U169" s="58"/>
      <c r="V169" s="58"/>
      <c r="W169" s="58"/>
      <c r="X169" s="58"/>
      <c r="Y169" s="58"/>
      <c r="Z169" s="58"/>
      <c r="AA169" s="58"/>
      <c r="AB169" s="58"/>
      <c r="AC169" s="58"/>
      <c r="AD169" s="58"/>
      <c r="AE169" s="58"/>
      <c r="AF169" s="58"/>
      <c r="AG169" s="58"/>
      <c r="AH169" s="58"/>
      <c r="AI169" s="58"/>
      <c r="AJ169" s="58"/>
      <c r="AK169" s="58"/>
      <c r="AL169" s="58"/>
      <c r="AM169" s="58"/>
      <c r="AN169" s="58"/>
      <c r="AO169" s="58"/>
      <c r="AP169" s="58"/>
      <c r="AQ169" s="58"/>
    </row>
    <row r="170" spans="3:43" ht="15.95" hidden="1" customHeight="1">
      <c r="C170" s="10"/>
      <c r="D170" s="58"/>
      <c r="E170" s="58"/>
      <c r="F170" s="58"/>
      <c r="G170" s="58"/>
      <c r="H170" s="58"/>
      <c r="I170" s="58"/>
      <c r="J170" s="58"/>
      <c r="K170" s="58"/>
      <c r="L170" s="58"/>
      <c r="M170" s="58"/>
      <c r="N170" s="58"/>
      <c r="O170" s="58"/>
      <c r="P170" s="58"/>
      <c r="Q170" s="58"/>
      <c r="R170" s="58"/>
      <c r="S170" s="58"/>
      <c r="T170" s="58"/>
      <c r="U170" s="58"/>
      <c r="V170" s="58"/>
      <c r="W170" s="58"/>
      <c r="X170" s="58"/>
      <c r="Y170" s="58"/>
      <c r="Z170" s="58"/>
      <c r="AA170" s="58"/>
      <c r="AB170" s="58"/>
      <c r="AC170" s="58"/>
      <c r="AD170" s="58"/>
      <c r="AE170" s="58"/>
      <c r="AF170" s="58"/>
      <c r="AG170" s="58"/>
      <c r="AH170" s="58"/>
      <c r="AI170" s="58"/>
      <c r="AJ170" s="58"/>
      <c r="AK170" s="58"/>
      <c r="AL170" s="58"/>
      <c r="AM170" s="58"/>
      <c r="AN170" s="58"/>
      <c r="AO170" s="58"/>
      <c r="AP170" s="58"/>
      <c r="AQ170" s="58"/>
    </row>
    <row r="171" spans="3:43" ht="15.95" hidden="1" customHeight="1">
      <c r="C171" s="10"/>
      <c r="D171" s="58"/>
      <c r="E171" s="58"/>
      <c r="F171" s="58"/>
      <c r="G171" s="58"/>
      <c r="H171" s="58"/>
      <c r="I171" s="58"/>
      <c r="J171" s="58"/>
      <c r="K171" s="58"/>
      <c r="L171" s="58"/>
      <c r="M171" s="58"/>
      <c r="N171" s="58"/>
      <c r="O171" s="58"/>
      <c r="P171" s="58"/>
      <c r="Q171" s="58"/>
      <c r="R171" s="58"/>
      <c r="S171" s="58"/>
      <c r="T171" s="58"/>
      <c r="U171" s="58"/>
      <c r="V171" s="58"/>
      <c r="W171" s="58"/>
      <c r="X171" s="58"/>
      <c r="Y171" s="58"/>
      <c r="Z171" s="58"/>
      <c r="AA171" s="58"/>
      <c r="AB171" s="58"/>
      <c r="AC171" s="58"/>
      <c r="AD171" s="58"/>
      <c r="AE171" s="58"/>
      <c r="AF171" s="58"/>
      <c r="AG171" s="58"/>
      <c r="AH171" s="58"/>
      <c r="AI171" s="58"/>
      <c r="AJ171" s="58"/>
      <c r="AK171" s="58"/>
      <c r="AL171" s="58"/>
      <c r="AM171" s="58"/>
      <c r="AN171" s="58"/>
      <c r="AO171" s="58"/>
      <c r="AP171" s="58"/>
      <c r="AQ171" s="58"/>
    </row>
    <row r="172" spans="3:43" ht="15.95" hidden="1" customHeight="1">
      <c r="C172" s="10"/>
      <c r="D172" s="58"/>
      <c r="E172" s="58"/>
      <c r="F172" s="58"/>
      <c r="G172" s="58"/>
      <c r="H172" s="58"/>
      <c r="I172" s="58"/>
      <c r="J172" s="58"/>
      <c r="K172" s="58"/>
      <c r="L172" s="58"/>
      <c r="M172" s="58"/>
      <c r="N172" s="58"/>
      <c r="O172" s="58"/>
      <c r="P172" s="58"/>
      <c r="Q172" s="58"/>
      <c r="R172" s="58"/>
      <c r="S172" s="58"/>
      <c r="T172" s="58"/>
      <c r="U172" s="58"/>
      <c r="V172" s="58"/>
      <c r="W172" s="58"/>
      <c r="X172" s="58"/>
      <c r="Y172" s="58"/>
      <c r="Z172" s="58"/>
      <c r="AA172" s="58"/>
      <c r="AB172" s="58"/>
      <c r="AC172" s="58"/>
      <c r="AD172" s="58"/>
      <c r="AE172" s="58"/>
      <c r="AF172" s="58"/>
      <c r="AG172" s="58"/>
      <c r="AH172" s="58"/>
      <c r="AI172" s="58"/>
      <c r="AJ172" s="58"/>
      <c r="AK172" s="58"/>
      <c r="AL172" s="58"/>
      <c r="AM172" s="58"/>
      <c r="AN172" s="58"/>
      <c r="AO172" s="58"/>
      <c r="AP172" s="58"/>
      <c r="AQ172" s="58"/>
    </row>
    <row r="173" spans="3:43" ht="15.95" hidden="1" customHeight="1">
      <c r="C173" s="10"/>
      <c r="D173" s="58"/>
      <c r="E173" s="58"/>
      <c r="F173" s="58"/>
      <c r="G173" s="58"/>
      <c r="H173" s="58"/>
      <c r="I173" s="58"/>
      <c r="J173" s="58"/>
      <c r="K173" s="58"/>
      <c r="L173" s="58"/>
      <c r="M173" s="58"/>
      <c r="N173" s="58"/>
      <c r="O173" s="58"/>
      <c r="P173" s="58"/>
      <c r="Q173" s="58"/>
      <c r="R173" s="58"/>
      <c r="S173" s="58"/>
      <c r="T173" s="58"/>
      <c r="U173" s="58"/>
      <c r="V173" s="58"/>
      <c r="W173" s="58"/>
      <c r="X173" s="58"/>
      <c r="Y173" s="58"/>
      <c r="Z173" s="58"/>
      <c r="AA173" s="58"/>
      <c r="AB173" s="58"/>
      <c r="AC173" s="58"/>
      <c r="AD173" s="58"/>
      <c r="AE173" s="58"/>
      <c r="AF173" s="58"/>
      <c r="AG173" s="58"/>
      <c r="AH173" s="58"/>
      <c r="AI173" s="58"/>
      <c r="AJ173" s="58"/>
      <c r="AK173" s="58"/>
      <c r="AL173" s="58"/>
      <c r="AM173" s="58"/>
      <c r="AN173" s="58"/>
      <c r="AO173" s="58"/>
      <c r="AP173" s="58"/>
      <c r="AQ173" s="58"/>
    </row>
    <row r="174" spans="3:43" ht="15.95" hidden="1" customHeight="1">
      <c r="C174" s="10"/>
      <c r="D174" s="58"/>
      <c r="E174" s="58"/>
      <c r="F174" s="58"/>
      <c r="G174" s="58"/>
      <c r="H174" s="58"/>
      <c r="I174" s="58"/>
      <c r="J174" s="58"/>
      <c r="K174" s="58"/>
      <c r="L174" s="58"/>
      <c r="M174" s="58"/>
      <c r="N174" s="58"/>
      <c r="O174" s="58"/>
      <c r="P174" s="58"/>
      <c r="Q174" s="58"/>
      <c r="R174" s="58"/>
      <c r="S174" s="58"/>
      <c r="T174" s="58"/>
      <c r="U174" s="58"/>
      <c r="V174" s="58"/>
      <c r="W174" s="58"/>
      <c r="X174" s="58"/>
      <c r="Y174" s="58"/>
      <c r="Z174" s="58"/>
      <c r="AA174" s="58"/>
      <c r="AB174" s="58"/>
      <c r="AC174" s="58"/>
      <c r="AD174" s="58"/>
      <c r="AE174" s="58"/>
      <c r="AF174" s="58"/>
      <c r="AG174" s="58"/>
      <c r="AH174" s="58"/>
      <c r="AI174" s="58"/>
      <c r="AJ174" s="58"/>
      <c r="AK174" s="58"/>
      <c r="AL174" s="58"/>
      <c r="AM174" s="58"/>
      <c r="AN174" s="58"/>
      <c r="AO174" s="58"/>
      <c r="AP174" s="58"/>
      <c r="AQ174" s="58"/>
    </row>
    <row r="175" spans="3:43" ht="15.95" hidden="1" customHeight="1">
      <c r="C175" s="10"/>
      <c r="D175" s="58"/>
      <c r="E175" s="58"/>
      <c r="F175" s="58"/>
      <c r="G175" s="58"/>
      <c r="H175" s="58"/>
      <c r="I175" s="58"/>
      <c r="J175" s="58"/>
      <c r="K175" s="58"/>
      <c r="L175" s="58"/>
      <c r="M175" s="58"/>
      <c r="N175" s="58"/>
      <c r="O175" s="58"/>
      <c r="P175" s="58"/>
      <c r="Q175" s="58"/>
      <c r="R175" s="58"/>
      <c r="S175" s="58"/>
      <c r="T175" s="58"/>
      <c r="U175" s="58"/>
      <c r="V175" s="58"/>
      <c r="W175" s="58"/>
      <c r="X175" s="58"/>
      <c r="Y175" s="58"/>
      <c r="Z175" s="58"/>
      <c r="AA175" s="58"/>
      <c r="AB175" s="58"/>
      <c r="AC175" s="58"/>
      <c r="AD175" s="58"/>
      <c r="AE175" s="58"/>
      <c r="AF175" s="58"/>
      <c r="AG175" s="58"/>
      <c r="AH175" s="58"/>
      <c r="AI175" s="58"/>
      <c r="AJ175" s="58"/>
      <c r="AK175" s="58"/>
      <c r="AL175" s="58"/>
      <c r="AM175" s="58"/>
      <c r="AN175" s="58"/>
      <c r="AO175" s="58"/>
      <c r="AP175" s="58"/>
      <c r="AQ175" s="58"/>
    </row>
    <row r="176" spans="3:43" ht="15.95" hidden="1" customHeight="1">
      <c r="C176" s="10"/>
      <c r="D176" s="58"/>
      <c r="E176" s="58"/>
      <c r="F176" s="58"/>
      <c r="G176" s="58"/>
      <c r="H176" s="58"/>
      <c r="I176" s="58"/>
      <c r="J176" s="58"/>
      <c r="K176" s="58"/>
      <c r="L176" s="58"/>
      <c r="M176" s="58"/>
      <c r="N176" s="58"/>
      <c r="O176" s="58"/>
      <c r="P176" s="58"/>
      <c r="Q176" s="58"/>
      <c r="R176" s="58"/>
      <c r="S176" s="58"/>
      <c r="T176" s="58"/>
      <c r="U176" s="58"/>
      <c r="V176" s="58"/>
      <c r="W176" s="58"/>
      <c r="X176" s="58"/>
      <c r="Y176" s="58"/>
      <c r="Z176" s="58"/>
      <c r="AA176" s="58"/>
      <c r="AB176" s="58"/>
      <c r="AC176" s="58"/>
      <c r="AD176" s="58"/>
      <c r="AE176" s="58"/>
      <c r="AF176" s="58"/>
      <c r="AG176" s="58"/>
      <c r="AH176" s="58"/>
      <c r="AI176" s="58"/>
      <c r="AJ176" s="58"/>
      <c r="AK176" s="58"/>
      <c r="AL176" s="58"/>
      <c r="AM176" s="58"/>
      <c r="AN176" s="58"/>
      <c r="AO176" s="58"/>
      <c r="AP176" s="58"/>
      <c r="AQ176" s="58"/>
    </row>
    <row r="177" spans="3:43" ht="15.95" hidden="1" customHeight="1">
      <c r="C177" s="10"/>
      <c r="D177" s="58"/>
      <c r="E177" s="58"/>
      <c r="F177" s="58"/>
      <c r="G177" s="58"/>
      <c r="H177" s="58"/>
      <c r="I177" s="58"/>
      <c r="J177" s="58"/>
      <c r="K177" s="58"/>
      <c r="L177" s="58"/>
      <c r="M177" s="58"/>
      <c r="N177" s="58"/>
      <c r="O177" s="58"/>
      <c r="P177" s="58"/>
      <c r="Q177" s="58"/>
      <c r="R177" s="58"/>
      <c r="S177" s="58"/>
      <c r="T177" s="58"/>
      <c r="U177" s="58"/>
      <c r="V177" s="58"/>
      <c r="W177" s="58"/>
      <c r="X177" s="58"/>
      <c r="Y177" s="58"/>
      <c r="Z177" s="58"/>
      <c r="AA177" s="58"/>
      <c r="AB177" s="58"/>
      <c r="AC177" s="58"/>
      <c r="AD177" s="58"/>
      <c r="AE177" s="58"/>
      <c r="AF177" s="58"/>
      <c r="AG177" s="58"/>
      <c r="AH177" s="58"/>
      <c r="AI177" s="58"/>
      <c r="AJ177" s="58"/>
      <c r="AK177" s="58"/>
      <c r="AL177" s="58"/>
      <c r="AM177" s="58"/>
      <c r="AN177" s="58"/>
      <c r="AO177" s="58"/>
      <c r="AP177" s="58"/>
      <c r="AQ177" s="58"/>
    </row>
    <row r="178" spans="3:43" ht="15.95" hidden="1" customHeight="1">
      <c r="C178" s="10"/>
      <c r="D178" s="58"/>
      <c r="E178" s="58"/>
      <c r="F178" s="58"/>
      <c r="G178" s="58"/>
      <c r="H178" s="58"/>
      <c r="I178" s="58"/>
      <c r="J178" s="58"/>
      <c r="K178" s="58"/>
      <c r="L178" s="58"/>
      <c r="M178" s="58"/>
      <c r="N178" s="58"/>
      <c r="O178" s="58"/>
      <c r="P178" s="58"/>
      <c r="Q178" s="58"/>
      <c r="R178" s="58"/>
      <c r="S178" s="58"/>
      <c r="T178" s="58"/>
      <c r="U178" s="58"/>
      <c r="V178" s="58"/>
      <c r="W178" s="58"/>
      <c r="X178" s="58"/>
      <c r="Y178" s="58"/>
      <c r="Z178" s="58"/>
      <c r="AA178" s="58"/>
      <c r="AB178" s="58"/>
      <c r="AC178" s="58"/>
      <c r="AD178" s="58"/>
      <c r="AE178" s="58"/>
      <c r="AF178" s="58"/>
      <c r="AG178" s="58"/>
      <c r="AH178" s="58"/>
      <c r="AI178" s="58"/>
      <c r="AJ178" s="58"/>
      <c r="AK178" s="58"/>
      <c r="AL178" s="58"/>
      <c r="AM178" s="58"/>
      <c r="AN178" s="58"/>
      <c r="AO178" s="58"/>
      <c r="AP178" s="58"/>
      <c r="AQ178" s="58"/>
    </row>
    <row r="179" spans="3:43" ht="15.95" hidden="1" customHeight="1">
      <c r="C179" s="10"/>
      <c r="D179" s="58"/>
      <c r="E179" s="58"/>
      <c r="F179" s="58"/>
      <c r="G179" s="58"/>
      <c r="H179" s="58"/>
      <c r="I179" s="58"/>
      <c r="J179" s="58"/>
      <c r="K179" s="58"/>
      <c r="L179" s="58"/>
      <c r="M179" s="58"/>
      <c r="N179" s="58"/>
      <c r="O179" s="58"/>
      <c r="P179" s="58"/>
      <c r="Q179" s="58"/>
      <c r="R179" s="58"/>
      <c r="S179" s="58"/>
      <c r="T179" s="58"/>
      <c r="U179" s="58"/>
      <c r="V179" s="58"/>
      <c r="W179" s="58"/>
      <c r="X179" s="58"/>
      <c r="Y179" s="58"/>
      <c r="Z179" s="58"/>
      <c r="AA179" s="58"/>
      <c r="AB179" s="58"/>
      <c r="AC179" s="58"/>
      <c r="AD179" s="58"/>
      <c r="AE179" s="58"/>
      <c r="AF179" s="58"/>
      <c r="AG179" s="58"/>
      <c r="AH179" s="58"/>
      <c r="AI179" s="58"/>
      <c r="AJ179" s="58"/>
      <c r="AK179" s="58"/>
      <c r="AL179" s="58"/>
      <c r="AM179" s="58"/>
      <c r="AN179" s="58"/>
      <c r="AO179" s="58"/>
      <c r="AP179" s="58"/>
      <c r="AQ179" s="58"/>
    </row>
    <row r="180" spans="3:43" ht="15.95" hidden="1" customHeight="1">
      <c r="C180" s="10"/>
      <c r="D180" s="58"/>
      <c r="E180" s="58"/>
      <c r="F180" s="58"/>
      <c r="G180" s="58"/>
      <c r="H180" s="58"/>
      <c r="I180" s="58"/>
      <c r="J180" s="58"/>
      <c r="K180" s="58"/>
      <c r="L180" s="58"/>
      <c r="M180" s="58"/>
      <c r="N180" s="58"/>
      <c r="O180" s="58"/>
      <c r="P180" s="58"/>
      <c r="Q180" s="58"/>
      <c r="R180" s="58"/>
      <c r="S180" s="58"/>
      <c r="T180" s="58"/>
      <c r="U180" s="58"/>
      <c r="V180" s="58"/>
      <c r="W180" s="58"/>
      <c r="X180" s="58"/>
      <c r="Y180" s="58"/>
      <c r="Z180" s="58"/>
      <c r="AA180" s="58"/>
      <c r="AB180" s="58"/>
      <c r="AC180" s="58"/>
      <c r="AD180" s="58"/>
      <c r="AE180" s="58"/>
      <c r="AF180" s="58"/>
      <c r="AG180" s="58"/>
      <c r="AH180" s="58"/>
      <c r="AI180" s="58"/>
      <c r="AJ180" s="58"/>
      <c r="AK180" s="58"/>
      <c r="AL180" s="58"/>
      <c r="AM180" s="58"/>
      <c r="AN180" s="58"/>
      <c r="AO180" s="58"/>
      <c r="AP180" s="58"/>
      <c r="AQ180" s="58"/>
    </row>
    <row r="181" spans="3:43" ht="15.95" hidden="1" customHeight="1">
      <c r="C181" s="10"/>
      <c r="D181" s="58"/>
      <c r="E181" s="58"/>
      <c r="F181" s="58"/>
      <c r="G181" s="58"/>
      <c r="H181" s="58"/>
      <c r="I181" s="58"/>
      <c r="J181" s="58"/>
      <c r="K181" s="58"/>
      <c r="L181" s="58"/>
      <c r="M181" s="58"/>
      <c r="N181" s="58"/>
      <c r="O181" s="58"/>
      <c r="P181" s="58"/>
      <c r="Q181" s="58"/>
      <c r="R181" s="58"/>
      <c r="S181" s="58"/>
      <c r="T181" s="58"/>
      <c r="U181" s="58"/>
      <c r="V181" s="58"/>
      <c r="W181" s="58"/>
      <c r="X181" s="58"/>
      <c r="Y181" s="58"/>
      <c r="Z181" s="58"/>
      <c r="AA181" s="58"/>
      <c r="AB181" s="58"/>
      <c r="AC181" s="58"/>
      <c r="AD181" s="58"/>
      <c r="AE181" s="58"/>
      <c r="AF181" s="58"/>
      <c r="AG181" s="58"/>
      <c r="AH181" s="58"/>
      <c r="AI181" s="58"/>
      <c r="AJ181" s="58"/>
      <c r="AK181" s="58"/>
      <c r="AL181" s="58"/>
      <c r="AM181" s="58"/>
      <c r="AN181" s="58"/>
      <c r="AO181" s="58"/>
      <c r="AP181" s="58"/>
      <c r="AQ181" s="58"/>
    </row>
    <row r="182" spans="3:43" ht="15.95" hidden="1" customHeight="1">
      <c r="C182" s="10"/>
      <c r="D182" s="58"/>
      <c r="E182" s="58"/>
      <c r="F182" s="58"/>
      <c r="G182" s="58"/>
      <c r="H182" s="58"/>
      <c r="I182" s="58"/>
      <c r="J182" s="58"/>
      <c r="K182" s="58"/>
      <c r="L182" s="58"/>
      <c r="M182" s="58"/>
      <c r="N182" s="58"/>
      <c r="O182" s="58"/>
      <c r="P182" s="58"/>
      <c r="Q182" s="58"/>
      <c r="R182" s="58"/>
      <c r="S182" s="58"/>
      <c r="T182" s="58"/>
      <c r="U182" s="58"/>
      <c r="V182" s="58"/>
      <c r="W182" s="58"/>
      <c r="X182" s="58"/>
      <c r="Y182" s="58"/>
      <c r="Z182" s="58"/>
      <c r="AA182" s="58"/>
      <c r="AB182" s="58"/>
      <c r="AC182" s="58"/>
      <c r="AD182" s="58"/>
      <c r="AE182" s="58"/>
      <c r="AF182" s="58"/>
      <c r="AG182" s="58"/>
      <c r="AH182" s="58"/>
      <c r="AI182" s="58"/>
      <c r="AJ182" s="58"/>
      <c r="AK182" s="58"/>
      <c r="AL182" s="58"/>
      <c r="AM182" s="58"/>
      <c r="AN182" s="58"/>
      <c r="AO182" s="58"/>
      <c r="AP182" s="58"/>
      <c r="AQ182" s="58"/>
    </row>
    <row r="183" spans="3:43" ht="15.95" hidden="1" customHeight="1">
      <c r="C183" s="10"/>
      <c r="D183" s="58"/>
      <c r="E183" s="58"/>
      <c r="F183" s="58"/>
      <c r="G183" s="58"/>
      <c r="H183" s="58"/>
      <c r="I183" s="58"/>
      <c r="J183" s="58"/>
      <c r="K183" s="58"/>
      <c r="L183" s="58"/>
      <c r="M183" s="58"/>
      <c r="N183" s="58"/>
      <c r="O183" s="58"/>
      <c r="P183" s="58"/>
      <c r="Q183" s="58"/>
      <c r="R183" s="58"/>
      <c r="S183" s="58"/>
      <c r="T183" s="58"/>
      <c r="U183" s="58"/>
      <c r="V183" s="58"/>
      <c r="W183" s="58"/>
      <c r="X183" s="58"/>
      <c r="Y183" s="58"/>
      <c r="Z183" s="58"/>
      <c r="AA183" s="58"/>
      <c r="AB183" s="58"/>
      <c r="AC183" s="58"/>
      <c r="AD183" s="58"/>
      <c r="AE183" s="58"/>
      <c r="AF183" s="58"/>
      <c r="AG183" s="58"/>
      <c r="AH183" s="58"/>
      <c r="AI183" s="58"/>
      <c r="AJ183" s="58"/>
      <c r="AK183" s="58"/>
      <c r="AL183" s="58"/>
      <c r="AM183" s="58"/>
      <c r="AN183" s="58"/>
      <c r="AO183" s="58"/>
      <c r="AP183" s="58"/>
      <c r="AQ183" s="58"/>
    </row>
    <row r="184" spans="3:43" ht="15.95" hidden="1" customHeight="1">
      <c r="C184" s="10"/>
      <c r="D184" s="58"/>
      <c r="E184" s="58"/>
      <c r="F184" s="58"/>
      <c r="G184" s="58"/>
      <c r="H184" s="58"/>
      <c r="I184" s="58"/>
      <c r="J184" s="58"/>
      <c r="K184" s="58"/>
      <c r="L184" s="58"/>
      <c r="M184" s="58"/>
      <c r="N184" s="58"/>
      <c r="O184" s="58"/>
      <c r="P184" s="58"/>
      <c r="Q184" s="58"/>
      <c r="R184" s="58"/>
      <c r="S184" s="58"/>
      <c r="T184" s="58"/>
      <c r="U184" s="58"/>
      <c r="V184" s="58"/>
      <c r="W184" s="58"/>
      <c r="X184" s="58"/>
      <c r="Y184" s="58"/>
      <c r="Z184" s="58"/>
      <c r="AA184" s="58"/>
      <c r="AB184" s="58"/>
      <c r="AC184" s="58"/>
      <c r="AD184" s="58"/>
      <c r="AE184" s="58"/>
      <c r="AF184" s="58"/>
      <c r="AG184" s="58"/>
      <c r="AH184" s="58"/>
      <c r="AI184" s="58"/>
      <c r="AJ184" s="58"/>
      <c r="AK184" s="58"/>
      <c r="AL184" s="58"/>
      <c r="AM184" s="58"/>
      <c r="AN184" s="58"/>
      <c r="AO184" s="58"/>
      <c r="AP184" s="58"/>
      <c r="AQ184" s="58"/>
    </row>
    <row r="185" spans="3:43" ht="15.95" hidden="1" customHeight="1">
      <c r="C185" s="10"/>
      <c r="D185" s="58"/>
      <c r="E185" s="58"/>
      <c r="F185" s="58"/>
      <c r="G185" s="58"/>
      <c r="H185" s="58"/>
      <c r="I185" s="58"/>
      <c r="J185" s="58"/>
      <c r="K185" s="58"/>
      <c r="L185" s="58"/>
      <c r="M185" s="58"/>
      <c r="N185" s="58"/>
      <c r="O185" s="58"/>
      <c r="P185" s="58"/>
      <c r="Q185" s="58"/>
      <c r="R185" s="58"/>
      <c r="S185" s="58"/>
      <c r="T185" s="58"/>
      <c r="U185" s="58"/>
      <c r="V185" s="58"/>
      <c r="W185" s="58"/>
      <c r="X185" s="58"/>
      <c r="Y185" s="58"/>
      <c r="Z185" s="58"/>
      <c r="AA185" s="58"/>
      <c r="AB185" s="58"/>
      <c r="AC185" s="58"/>
      <c r="AD185" s="58"/>
      <c r="AE185" s="58"/>
      <c r="AF185" s="58"/>
      <c r="AG185" s="58"/>
      <c r="AH185" s="58"/>
      <c r="AI185" s="58"/>
      <c r="AJ185" s="58"/>
      <c r="AK185" s="58"/>
      <c r="AL185" s="58"/>
      <c r="AM185" s="58"/>
      <c r="AN185" s="58"/>
      <c r="AO185" s="58"/>
      <c r="AP185" s="58"/>
      <c r="AQ185" s="58"/>
    </row>
    <row r="186" spans="3:43" ht="15.95" hidden="1" customHeight="1">
      <c r="C186" s="10"/>
      <c r="D186" s="58"/>
      <c r="E186" s="58"/>
      <c r="F186" s="58"/>
      <c r="G186" s="58"/>
      <c r="H186" s="58"/>
      <c r="I186" s="58"/>
      <c r="J186" s="58"/>
      <c r="K186" s="58"/>
      <c r="L186" s="58"/>
      <c r="M186" s="58"/>
      <c r="N186" s="58"/>
      <c r="O186" s="58"/>
      <c r="P186" s="58"/>
      <c r="Q186" s="58"/>
      <c r="R186" s="58"/>
      <c r="S186" s="58"/>
      <c r="T186" s="58"/>
      <c r="U186" s="58"/>
      <c r="V186" s="58"/>
      <c r="W186" s="58"/>
      <c r="X186" s="58"/>
      <c r="Y186" s="58"/>
      <c r="Z186" s="58"/>
      <c r="AA186" s="58"/>
      <c r="AB186" s="58"/>
      <c r="AC186" s="58"/>
      <c r="AD186" s="58"/>
      <c r="AE186" s="58"/>
      <c r="AF186" s="58"/>
      <c r="AG186" s="58"/>
      <c r="AH186" s="58"/>
      <c r="AI186" s="58"/>
      <c r="AJ186" s="58"/>
      <c r="AK186" s="58"/>
      <c r="AL186" s="58"/>
      <c r="AM186" s="58"/>
      <c r="AN186" s="58"/>
      <c r="AO186" s="58"/>
      <c r="AP186" s="58"/>
      <c r="AQ186" s="58"/>
    </row>
    <row r="187" spans="3:43" ht="15.95" hidden="1" customHeight="1">
      <c r="C187" s="10"/>
      <c r="D187" s="58"/>
      <c r="E187" s="58"/>
      <c r="F187" s="58"/>
      <c r="G187" s="58"/>
      <c r="H187" s="58"/>
      <c r="I187" s="58"/>
      <c r="J187" s="58"/>
      <c r="K187" s="58"/>
      <c r="L187" s="58"/>
      <c r="M187" s="58"/>
      <c r="N187" s="58"/>
      <c r="O187" s="58"/>
      <c r="P187" s="58"/>
      <c r="Q187" s="58"/>
      <c r="R187" s="58"/>
      <c r="S187" s="58"/>
      <c r="T187" s="58"/>
      <c r="U187" s="58"/>
      <c r="V187" s="58"/>
      <c r="W187" s="58"/>
      <c r="X187" s="58"/>
      <c r="Y187" s="58"/>
      <c r="Z187" s="58"/>
      <c r="AA187" s="58"/>
      <c r="AB187" s="58"/>
      <c r="AC187" s="58"/>
      <c r="AD187" s="58"/>
      <c r="AE187" s="58"/>
      <c r="AF187" s="58"/>
      <c r="AG187" s="58"/>
      <c r="AH187" s="58"/>
      <c r="AI187" s="58"/>
      <c r="AJ187" s="58"/>
      <c r="AK187" s="58"/>
      <c r="AL187" s="58"/>
      <c r="AM187" s="58"/>
      <c r="AN187" s="58"/>
      <c r="AO187" s="58"/>
      <c r="AP187" s="58"/>
      <c r="AQ187" s="58"/>
    </row>
    <row r="188" spans="3:43" ht="15.95" hidden="1" customHeight="1">
      <c r="C188" s="10"/>
      <c r="D188" s="58"/>
      <c r="E188" s="58"/>
      <c r="F188" s="58"/>
      <c r="G188" s="58"/>
      <c r="H188" s="58"/>
      <c r="I188" s="58"/>
      <c r="J188" s="58"/>
      <c r="K188" s="58"/>
      <c r="L188" s="58"/>
      <c r="M188" s="58"/>
      <c r="N188" s="58"/>
      <c r="O188" s="58"/>
      <c r="P188" s="58"/>
      <c r="Q188" s="58"/>
      <c r="R188" s="58"/>
      <c r="S188" s="58"/>
      <c r="T188" s="58"/>
      <c r="U188" s="58"/>
      <c r="V188" s="58"/>
      <c r="W188" s="58"/>
      <c r="X188" s="58"/>
      <c r="Y188" s="58"/>
      <c r="Z188" s="58"/>
      <c r="AA188" s="58"/>
      <c r="AB188" s="58"/>
      <c r="AC188" s="58"/>
      <c r="AD188" s="58"/>
      <c r="AE188" s="58"/>
      <c r="AF188" s="58"/>
      <c r="AG188" s="58"/>
      <c r="AH188" s="58"/>
      <c r="AI188" s="58"/>
      <c r="AJ188" s="58"/>
      <c r="AK188" s="58"/>
      <c r="AL188" s="58"/>
      <c r="AM188" s="58"/>
      <c r="AN188" s="58"/>
      <c r="AO188" s="58"/>
      <c r="AP188" s="58"/>
      <c r="AQ188" s="58"/>
    </row>
    <row r="189" spans="3:43" ht="15.95" hidden="1" customHeight="1">
      <c r="C189" s="10"/>
      <c r="D189" s="58"/>
      <c r="E189" s="58"/>
      <c r="F189" s="58"/>
      <c r="G189" s="58"/>
      <c r="H189" s="58"/>
      <c r="I189" s="58"/>
      <c r="J189" s="58"/>
      <c r="K189" s="58"/>
      <c r="L189" s="58"/>
      <c r="M189" s="58"/>
      <c r="N189" s="58"/>
      <c r="O189" s="58"/>
      <c r="P189" s="58"/>
      <c r="Q189" s="58"/>
      <c r="R189" s="58"/>
      <c r="S189" s="58"/>
      <c r="T189" s="58"/>
      <c r="U189" s="58"/>
      <c r="V189" s="58"/>
      <c r="W189" s="58"/>
      <c r="X189" s="58"/>
      <c r="Y189" s="58"/>
      <c r="Z189" s="58"/>
      <c r="AA189" s="58"/>
      <c r="AB189" s="58"/>
      <c r="AC189" s="58"/>
      <c r="AD189" s="58"/>
      <c r="AE189" s="58"/>
      <c r="AF189" s="58"/>
      <c r="AG189" s="58"/>
      <c r="AH189" s="58"/>
      <c r="AI189" s="58"/>
      <c r="AJ189" s="58"/>
      <c r="AK189" s="58"/>
      <c r="AL189" s="58"/>
      <c r="AM189" s="58"/>
      <c r="AN189" s="58"/>
      <c r="AO189" s="58"/>
      <c r="AP189" s="58"/>
      <c r="AQ189" s="58"/>
    </row>
    <row r="190" spans="3:43" ht="15.95" hidden="1" customHeight="1">
      <c r="C190" s="10"/>
      <c r="D190" s="58"/>
      <c r="E190" s="58"/>
      <c r="F190" s="58"/>
      <c r="G190" s="58"/>
      <c r="H190" s="58"/>
      <c r="I190" s="58"/>
      <c r="J190" s="58"/>
      <c r="K190" s="58"/>
      <c r="L190" s="58"/>
      <c r="M190" s="58"/>
      <c r="N190" s="58"/>
      <c r="O190" s="58"/>
      <c r="P190" s="58"/>
      <c r="Q190" s="58"/>
      <c r="R190" s="58"/>
      <c r="S190" s="58"/>
      <c r="T190" s="58"/>
      <c r="U190" s="58"/>
      <c r="V190" s="58"/>
      <c r="W190" s="58"/>
      <c r="X190" s="58"/>
      <c r="Y190" s="58"/>
      <c r="Z190" s="58"/>
      <c r="AA190" s="58"/>
      <c r="AB190" s="58"/>
      <c r="AC190" s="58"/>
      <c r="AD190" s="58"/>
      <c r="AE190" s="58"/>
      <c r="AF190" s="58"/>
      <c r="AG190" s="58"/>
      <c r="AH190" s="58"/>
      <c r="AI190" s="58"/>
      <c r="AJ190" s="58"/>
      <c r="AK190" s="58"/>
      <c r="AL190" s="58"/>
      <c r="AM190" s="58"/>
      <c r="AN190" s="58"/>
      <c r="AO190" s="58"/>
      <c r="AP190" s="58"/>
      <c r="AQ190" s="58"/>
    </row>
    <row r="191" spans="3:43" ht="15.95" hidden="1" customHeight="1">
      <c r="C191" s="10"/>
      <c r="D191" s="58"/>
      <c r="E191" s="58"/>
      <c r="F191" s="58"/>
      <c r="G191" s="58"/>
      <c r="H191" s="58"/>
      <c r="I191" s="58"/>
      <c r="J191" s="58"/>
      <c r="K191" s="58"/>
      <c r="L191" s="58"/>
      <c r="M191" s="58"/>
      <c r="N191" s="58"/>
      <c r="O191" s="58"/>
      <c r="P191" s="58"/>
      <c r="Q191" s="58"/>
      <c r="R191" s="58"/>
      <c r="S191" s="58"/>
      <c r="T191" s="58"/>
      <c r="U191" s="58"/>
      <c r="V191" s="58"/>
      <c r="W191" s="58"/>
      <c r="X191" s="58"/>
      <c r="Y191" s="58"/>
      <c r="Z191" s="58"/>
      <c r="AA191" s="58"/>
      <c r="AB191" s="58"/>
      <c r="AC191" s="58"/>
      <c r="AD191" s="58"/>
      <c r="AE191" s="58"/>
      <c r="AF191" s="58"/>
      <c r="AG191" s="58"/>
      <c r="AH191" s="58"/>
      <c r="AI191" s="58"/>
      <c r="AJ191" s="58"/>
      <c r="AK191" s="58"/>
      <c r="AL191" s="58"/>
      <c r="AM191" s="58"/>
      <c r="AN191" s="58"/>
      <c r="AO191" s="58"/>
      <c r="AP191" s="58"/>
      <c r="AQ191" s="58"/>
    </row>
    <row r="192" spans="3:43" ht="15.95" hidden="1" customHeight="1">
      <c r="C192" s="10"/>
      <c r="D192" s="58"/>
      <c r="E192" s="58"/>
      <c r="F192" s="58"/>
      <c r="G192" s="58"/>
      <c r="H192" s="58"/>
      <c r="I192" s="58"/>
      <c r="J192" s="58"/>
      <c r="K192" s="58"/>
      <c r="L192" s="58"/>
      <c r="M192" s="58"/>
      <c r="N192" s="58"/>
      <c r="O192" s="58"/>
      <c r="P192" s="58"/>
      <c r="Q192" s="58"/>
      <c r="R192" s="58"/>
      <c r="S192" s="58"/>
      <c r="T192" s="58"/>
      <c r="U192" s="58"/>
      <c r="V192" s="58"/>
      <c r="W192" s="58"/>
      <c r="X192" s="58"/>
      <c r="Y192" s="58"/>
      <c r="Z192" s="58"/>
      <c r="AA192" s="58"/>
      <c r="AB192" s="58"/>
      <c r="AC192" s="58"/>
      <c r="AD192" s="58"/>
      <c r="AE192" s="58"/>
      <c r="AF192" s="58"/>
      <c r="AG192" s="58"/>
      <c r="AH192" s="58"/>
      <c r="AI192" s="58"/>
      <c r="AJ192" s="58"/>
      <c r="AK192" s="58"/>
      <c r="AL192" s="58"/>
      <c r="AM192" s="58"/>
      <c r="AN192" s="58"/>
      <c r="AO192" s="58"/>
      <c r="AP192" s="58"/>
      <c r="AQ192" s="58"/>
    </row>
    <row r="193" spans="2:44" ht="15.95" hidden="1" customHeight="1">
      <c r="C193" s="10"/>
      <c r="D193" s="58"/>
      <c r="E193" s="58"/>
      <c r="F193" s="58"/>
      <c r="G193" s="58"/>
      <c r="H193" s="58"/>
      <c r="I193" s="58"/>
      <c r="J193" s="58"/>
      <c r="K193" s="58"/>
      <c r="L193" s="58"/>
      <c r="M193" s="58"/>
      <c r="N193" s="58"/>
      <c r="O193" s="58"/>
      <c r="P193" s="58"/>
      <c r="Q193" s="58"/>
      <c r="R193" s="58"/>
      <c r="S193" s="58"/>
      <c r="T193" s="58"/>
      <c r="U193" s="58"/>
      <c r="V193" s="58"/>
      <c r="W193" s="58"/>
      <c r="X193" s="58"/>
      <c r="Y193" s="58"/>
      <c r="Z193" s="58"/>
      <c r="AA193" s="58"/>
      <c r="AB193" s="58"/>
      <c r="AC193" s="58"/>
      <c r="AD193" s="58"/>
      <c r="AE193" s="58"/>
      <c r="AF193" s="58"/>
      <c r="AG193" s="58"/>
      <c r="AH193" s="58"/>
      <c r="AI193" s="58"/>
      <c r="AJ193" s="58"/>
      <c r="AK193" s="58"/>
      <c r="AL193" s="58"/>
      <c r="AM193" s="58"/>
      <c r="AN193" s="58"/>
      <c r="AO193" s="58"/>
      <c r="AP193" s="58"/>
      <c r="AQ193" s="58"/>
    </row>
    <row r="194" spans="2:44" ht="15.95" hidden="1" customHeight="1">
      <c r="C194" s="10"/>
      <c r="D194" s="58"/>
      <c r="E194" s="58"/>
      <c r="F194" s="58"/>
      <c r="G194" s="58"/>
      <c r="H194" s="58"/>
      <c r="I194" s="58"/>
      <c r="J194" s="58"/>
      <c r="K194" s="58"/>
      <c r="L194" s="58"/>
      <c r="M194" s="58"/>
      <c r="N194" s="58"/>
      <c r="O194" s="58"/>
      <c r="P194" s="58"/>
      <c r="Q194" s="58"/>
      <c r="R194" s="58"/>
      <c r="S194" s="58"/>
      <c r="T194" s="58"/>
      <c r="U194" s="58"/>
      <c r="V194" s="58"/>
      <c r="W194" s="58"/>
      <c r="X194" s="58"/>
      <c r="Y194" s="58"/>
      <c r="Z194" s="58"/>
      <c r="AA194" s="58"/>
      <c r="AB194" s="58"/>
      <c r="AC194" s="58"/>
      <c r="AD194" s="58"/>
      <c r="AE194" s="58"/>
      <c r="AF194" s="58"/>
      <c r="AG194" s="58"/>
      <c r="AH194" s="58"/>
      <c r="AI194" s="58"/>
      <c r="AJ194" s="58"/>
      <c r="AK194" s="58"/>
      <c r="AL194" s="58"/>
      <c r="AM194" s="58"/>
      <c r="AN194" s="58"/>
      <c r="AO194" s="58"/>
      <c r="AP194" s="58"/>
      <c r="AQ194" s="58"/>
    </row>
    <row r="195" spans="2:44" ht="15.95" hidden="1" customHeight="1">
      <c r="C195" s="10"/>
      <c r="D195" s="58"/>
      <c r="E195" s="58"/>
      <c r="F195" s="58"/>
      <c r="G195" s="58"/>
      <c r="H195" s="58"/>
      <c r="I195" s="58"/>
      <c r="J195" s="58"/>
      <c r="K195" s="58"/>
      <c r="L195" s="58"/>
      <c r="M195" s="58"/>
      <c r="N195" s="58"/>
      <c r="O195" s="58"/>
      <c r="P195" s="58"/>
      <c r="Q195" s="58"/>
      <c r="R195" s="58"/>
      <c r="S195" s="58"/>
      <c r="T195" s="58"/>
      <c r="U195" s="58"/>
      <c r="V195" s="58"/>
      <c r="W195" s="58"/>
      <c r="X195" s="58"/>
      <c r="Y195" s="58"/>
      <c r="Z195" s="58"/>
      <c r="AA195" s="58"/>
      <c r="AB195" s="58"/>
      <c r="AC195" s="58"/>
      <c r="AD195" s="58"/>
      <c r="AE195" s="58"/>
      <c r="AF195" s="58"/>
      <c r="AG195" s="58"/>
      <c r="AH195" s="58"/>
      <c r="AI195" s="58"/>
      <c r="AJ195" s="58"/>
      <c r="AK195" s="58"/>
      <c r="AL195" s="58"/>
      <c r="AM195" s="58"/>
      <c r="AN195" s="58"/>
      <c r="AO195" s="58"/>
      <c r="AP195" s="58"/>
      <c r="AQ195" s="58"/>
    </row>
    <row r="196" spans="2:44" ht="15.95" hidden="1" customHeight="1">
      <c r="C196" s="10"/>
      <c r="D196" s="58"/>
      <c r="E196" s="58"/>
      <c r="F196" s="58"/>
      <c r="G196" s="58"/>
      <c r="H196" s="58"/>
      <c r="I196" s="58"/>
      <c r="J196" s="58"/>
      <c r="K196" s="58"/>
      <c r="L196" s="58"/>
      <c r="M196" s="58"/>
      <c r="N196" s="58"/>
      <c r="O196" s="58"/>
      <c r="P196" s="58"/>
      <c r="Q196" s="58"/>
      <c r="R196" s="58"/>
      <c r="S196" s="58"/>
      <c r="T196" s="58"/>
      <c r="U196" s="58"/>
      <c r="V196" s="58"/>
      <c r="W196" s="58"/>
      <c r="X196" s="58"/>
      <c r="Y196" s="58"/>
      <c r="Z196" s="58"/>
      <c r="AA196" s="58"/>
      <c r="AB196" s="58"/>
      <c r="AC196" s="58"/>
      <c r="AD196" s="58"/>
      <c r="AE196" s="58"/>
      <c r="AF196" s="58"/>
      <c r="AG196" s="58"/>
      <c r="AH196" s="58"/>
      <c r="AI196" s="58"/>
      <c r="AJ196" s="58"/>
      <c r="AK196" s="58"/>
      <c r="AL196" s="58"/>
      <c r="AM196" s="58"/>
      <c r="AN196" s="58"/>
      <c r="AO196" s="58"/>
      <c r="AP196" s="58"/>
      <c r="AQ196" s="58"/>
    </row>
    <row r="197" spans="2:44" ht="15.95" hidden="1" customHeight="1">
      <c r="C197" s="10"/>
      <c r="D197" s="58"/>
      <c r="E197" s="58"/>
      <c r="F197" s="58"/>
      <c r="G197" s="58"/>
      <c r="H197" s="58"/>
      <c r="I197" s="58"/>
      <c r="J197" s="58"/>
      <c r="K197" s="58"/>
      <c r="L197" s="58"/>
      <c r="M197" s="58"/>
      <c r="N197" s="58"/>
      <c r="O197" s="58"/>
      <c r="P197" s="58"/>
      <c r="Q197" s="58"/>
      <c r="R197" s="58"/>
      <c r="S197" s="58"/>
      <c r="T197" s="58"/>
      <c r="U197" s="58"/>
      <c r="V197" s="58"/>
      <c r="W197" s="58"/>
      <c r="X197" s="58"/>
      <c r="Y197" s="58"/>
      <c r="Z197" s="58"/>
      <c r="AA197" s="58"/>
      <c r="AB197" s="58"/>
      <c r="AC197" s="58"/>
      <c r="AD197" s="58"/>
      <c r="AE197" s="58"/>
      <c r="AF197" s="58"/>
      <c r="AG197" s="58"/>
      <c r="AH197" s="58"/>
      <c r="AI197" s="58"/>
      <c r="AJ197" s="58"/>
      <c r="AK197" s="58"/>
      <c r="AL197" s="58"/>
      <c r="AM197" s="58"/>
      <c r="AN197" s="58"/>
      <c r="AO197" s="58"/>
      <c r="AP197" s="58"/>
      <c r="AQ197" s="58"/>
    </row>
    <row r="198" spans="2:44" ht="15.95" hidden="1" customHeight="1">
      <c r="C198" s="10"/>
      <c r="D198" s="58"/>
      <c r="E198" s="58"/>
      <c r="F198" s="58"/>
      <c r="G198" s="58"/>
      <c r="H198" s="58"/>
      <c r="I198" s="58"/>
      <c r="J198" s="58"/>
      <c r="K198" s="58"/>
      <c r="L198" s="58"/>
      <c r="M198" s="58"/>
      <c r="N198" s="58"/>
      <c r="O198" s="58"/>
      <c r="P198" s="58"/>
      <c r="Q198" s="58"/>
      <c r="R198" s="58"/>
      <c r="S198" s="58"/>
      <c r="T198" s="58"/>
      <c r="U198" s="58"/>
      <c r="V198" s="58"/>
      <c r="W198" s="58"/>
      <c r="X198" s="58"/>
      <c r="Y198" s="58"/>
      <c r="Z198" s="58"/>
      <c r="AA198" s="58"/>
      <c r="AB198" s="58"/>
      <c r="AC198" s="58"/>
      <c r="AD198" s="58"/>
      <c r="AE198" s="58"/>
      <c r="AF198" s="58"/>
      <c r="AG198" s="58"/>
      <c r="AH198" s="58"/>
      <c r="AI198" s="58"/>
      <c r="AJ198" s="58"/>
      <c r="AK198" s="58"/>
      <c r="AL198" s="58"/>
      <c r="AM198" s="58"/>
      <c r="AN198" s="58"/>
      <c r="AO198" s="58"/>
      <c r="AP198" s="58"/>
      <c r="AQ198" s="58"/>
    </row>
    <row r="199" spans="2:44" ht="15.95" hidden="1" customHeight="1"/>
    <row r="200" spans="2:44" ht="15.95" customHeight="1">
      <c r="B200" s="272" t="str">
        <f>FOOT1</f>
        <v>NIPSCO Energy Efficiency Program</v>
      </c>
      <c r="C200" s="272"/>
      <c r="D200" s="272"/>
      <c r="E200" s="272"/>
      <c r="F200" s="272"/>
      <c r="G200" s="272"/>
      <c r="H200" s="272"/>
      <c r="I200" s="272"/>
      <c r="J200" s="272"/>
      <c r="K200" s="272"/>
      <c r="L200" s="272"/>
      <c r="M200" s="661" t="str">
        <f>FOOT4</f>
        <v>NIPSCO’s energy efficiency programs are administered by TRC, a third‐party implementation specialist that helps homes and businesses save energy.</v>
      </c>
      <c r="N200" s="661"/>
      <c r="O200" s="661"/>
      <c r="P200" s="661"/>
      <c r="Q200" s="661"/>
      <c r="R200" s="661"/>
      <c r="S200" s="661"/>
      <c r="T200" s="661"/>
      <c r="U200" s="661"/>
      <c r="V200" s="661"/>
      <c r="W200" s="661"/>
      <c r="X200" s="661"/>
      <c r="Y200" s="661"/>
      <c r="Z200" s="661"/>
      <c r="AA200" s="661"/>
      <c r="AB200" s="661"/>
      <c r="AC200" s="661"/>
      <c r="AD200" s="661"/>
      <c r="AE200" s="661"/>
      <c r="AF200" s="661"/>
      <c r="AG200" s="661"/>
      <c r="AH200" s="272"/>
      <c r="AI200" s="272"/>
      <c r="AJ200" s="272"/>
      <c r="AK200" s="272"/>
      <c r="AL200" s="272"/>
      <c r="AM200" s="272"/>
      <c r="AN200" s="272"/>
      <c r="AO200" s="272"/>
      <c r="AP200" s="272"/>
      <c r="AQ200" s="272"/>
      <c r="AR200" s="273" t="str">
        <f>FOOTDISCLAIM</f>
        <v/>
      </c>
    </row>
    <row r="201" spans="2:44" ht="15.95" customHeight="1">
      <c r="B201" s="272" t="str">
        <f>FOOT2</f>
        <v>Toll-Free 800-299-2501</v>
      </c>
      <c r="C201" s="272"/>
      <c r="D201" s="272"/>
      <c r="E201" s="272"/>
      <c r="F201" s="272"/>
      <c r="G201" s="272"/>
      <c r="H201" s="272"/>
      <c r="I201" s="272"/>
      <c r="J201" s="272"/>
      <c r="K201" s="272"/>
      <c r="L201" s="272"/>
      <c r="M201" s="661"/>
      <c r="N201" s="661"/>
      <c r="O201" s="661"/>
      <c r="P201" s="661"/>
      <c r="Q201" s="661"/>
      <c r="R201" s="661"/>
      <c r="S201" s="661"/>
      <c r="T201" s="661"/>
      <c r="U201" s="661"/>
      <c r="V201" s="661"/>
      <c r="W201" s="661"/>
      <c r="X201" s="661"/>
      <c r="Y201" s="661"/>
      <c r="Z201" s="661"/>
      <c r="AA201" s="661"/>
      <c r="AB201" s="661"/>
      <c r="AC201" s="661"/>
      <c r="AD201" s="661"/>
      <c r="AE201" s="661"/>
      <c r="AF201" s="661"/>
      <c r="AG201" s="661"/>
      <c r="AH201" s="272"/>
      <c r="AI201" s="272"/>
      <c r="AJ201" s="272"/>
      <c r="AK201" s="272"/>
      <c r="AL201" s="272"/>
      <c r="AM201" s="272"/>
      <c r="AN201" s="272"/>
      <c r="AO201" s="272"/>
      <c r="AP201" s="272"/>
      <c r="AQ201" s="272"/>
      <c r="AR201" s="273" t="str">
        <f>FOOT5</f>
        <v/>
      </c>
    </row>
    <row r="202" spans="2:44" ht="15.95" customHeight="1">
      <c r="B202" s="281" t="s">
        <v>1547</v>
      </c>
      <c r="C202" s="272"/>
      <c r="D202" s="272"/>
      <c r="E202" s="272"/>
      <c r="F202" s="272"/>
      <c r="G202" s="272"/>
      <c r="H202" s="272"/>
      <c r="I202" s="272"/>
      <c r="J202" s="272"/>
      <c r="K202" s="272"/>
      <c r="L202" s="272"/>
      <c r="M202" s="274"/>
      <c r="N202" s="272"/>
      <c r="O202" s="272"/>
      <c r="P202" s="274"/>
      <c r="Q202" s="274"/>
      <c r="R202" s="274"/>
      <c r="S202" s="274"/>
      <c r="T202" s="274"/>
      <c r="U202" s="274"/>
      <c r="V202" s="274"/>
      <c r="W202" s="275" t="str">
        <f>VERSION</f>
        <v>Custom Prescriptive Application v3.7.1</v>
      </c>
      <c r="X202" s="274"/>
      <c r="Y202" s="274"/>
      <c r="Z202" s="274"/>
      <c r="AA202" s="274"/>
      <c r="AB202" s="274"/>
      <c r="AC202" s="274"/>
      <c r="AD202" s="274"/>
      <c r="AE202" s="272"/>
      <c r="AF202" s="272"/>
      <c r="AG202" s="272"/>
      <c r="AH202" s="272"/>
      <c r="AI202" s="272"/>
      <c r="AJ202" s="272"/>
      <c r="AK202" s="272"/>
      <c r="AL202" s="272"/>
      <c r="AM202" s="272"/>
      <c r="AN202" s="272"/>
      <c r="AO202" s="272"/>
      <c r="AP202" s="272"/>
      <c r="AQ202" s="272"/>
      <c r="AR202" s="273" t="str">
        <f>FOOT6</f>
        <v>Product of TRC</v>
      </c>
    </row>
  </sheetData>
  <sheetProtection algorithmName="SHA-512" hashValue="my84TeRsfqLV9u8/Y32Jq4edzpJdPWJOyMFuugvvkUVeic725uKs9sN1LY/ZUEoBaTa3wctxKU3/Y0ykNUvTAw==" saltValue="/DB8oqXJOLtTVRa10UUXpw==" spinCount="100000" sheet="1" objects="1" scenarios="1" selectLockedCells="1"/>
  <mergeCells count="38">
    <mergeCell ref="M200:AG201"/>
    <mergeCell ref="C23:AQ30"/>
    <mergeCell ref="D32:AQ33"/>
    <mergeCell ref="AL18:AQ18"/>
    <mergeCell ref="C19:H19"/>
    <mergeCell ref="J19:O19"/>
    <mergeCell ref="Q19:V19"/>
    <mergeCell ref="X19:AC19"/>
    <mergeCell ref="AE19:AJ19"/>
    <mergeCell ref="AN19:AQ19"/>
    <mergeCell ref="C18:H18"/>
    <mergeCell ref="J18:O18"/>
    <mergeCell ref="Q18:V18"/>
    <mergeCell ref="X18:AC18"/>
    <mergeCell ref="AE18:AJ18"/>
    <mergeCell ref="C16:H16"/>
    <mergeCell ref="J16:O16"/>
    <mergeCell ref="Q16:V16"/>
    <mergeCell ref="X16:AC16"/>
    <mergeCell ref="AE16:AJ16"/>
    <mergeCell ref="C15:H15"/>
    <mergeCell ref="J15:O15"/>
    <mergeCell ref="Q15:V15"/>
    <mergeCell ref="X15:AC15"/>
    <mergeCell ref="AE15:AJ15"/>
    <mergeCell ref="F10:AN10"/>
    <mergeCell ref="F11:AN11"/>
    <mergeCell ref="C13:H13"/>
    <mergeCell ref="J13:O13"/>
    <mergeCell ref="Q13:V13"/>
    <mergeCell ref="X13:AC13"/>
    <mergeCell ref="AE13:AJ13"/>
    <mergeCell ref="AQ1:AR1"/>
    <mergeCell ref="AQ2:AR3"/>
    <mergeCell ref="AH1:AK1"/>
    <mergeCell ref="AL1:AP1"/>
    <mergeCell ref="AH2:AK3"/>
    <mergeCell ref="AL2:AP3"/>
  </mergeCells>
  <conditionalFormatting sqref="AH2 AL2">
    <cfRule type="expression" dxfId="232" priority="1">
      <formula>PROJSTATUS=PROJSTATELI</formula>
    </cfRule>
    <cfRule type="expression" dxfId="231" priority="2">
      <formula>PROJSTATUS=PROJSTATREVIEW</formula>
    </cfRule>
    <cfRule type="expression" dxfId="230" priority="6">
      <formula>PROJSTATUS=PROJSTATPREAPPROVE</formula>
    </cfRule>
    <cfRule type="expression" dxfId="229" priority="7">
      <formula>PROJSTATUS=PROJSTATSTANDARD</formula>
    </cfRule>
    <cfRule type="expression" dxfId="228" priority="8">
      <formula>PROJSTATUS=PROJSTATEXP</formula>
    </cfRule>
  </conditionalFormatting>
  <conditionalFormatting sqref="AQ2:AR3">
    <cfRule type="cellIs" dxfId="227" priority="3" operator="equal">
      <formula>1</formula>
    </cfRule>
    <cfRule type="cellIs" dxfId="226" priority="4" operator="between">
      <formula>0.51</formula>
      <formula>0.99</formula>
    </cfRule>
    <cfRule type="cellIs" dxfId="225" priority="5" operator="lessThanOrEqual">
      <formula>0.5</formula>
    </cfRule>
  </conditionalFormatting>
  <dataValidations count="5">
    <dataValidation type="list" allowBlank="1" showInputMessage="1" showErrorMessage="1" prompt="Selecting the Payment Type will autopopulate with selected option. If Other, enter in the payee manually." sqref="J13:O13" xr:uid="{00000000-0002-0000-1200-000000000000}">
      <formula1>PAYOPS</formula1>
    </dataValidation>
    <dataValidation type="textLength" operator="equal" allowBlank="1" showInputMessage="1" showErrorMessage="1" error="Please enter only the first 2 digits of the Tax ID" prompt="Please enter only the first 2 digits of the Tax ID" sqref="AL19" xr:uid="{00000000-0002-0000-1200-000001000000}">
      <formula1>2</formula1>
    </dataValidation>
    <dataValidation type="textLength" operator="equal" allowBlank="1" showInputMessage="1" showErrorMessage="1" error="Please enter only the last 7 digits of the Tax ID" prompt="Please enter only the last 7 digits of the Tax ID" sqref="AN19:AQ19" xr:uid="{00000000-0002-0000-1200-000002000000}">
      <formula1>7</formula1>
    </dataValidation>
    <dataValidation type="list" allowBlank="1" showInputMessage="1" showErrorMessage="1" sqref="AE19:AJ19" xr:uid="{00000000-0002-0000-1200-000003000000}">
      <formula1>TAX</formula1>
    </dataValidation>
    <dataValidation type="textLength" allowBlank="1" showInputMessage="1" showErrorMessage="1" error="Please enter a valid phone number." sqref="X16:AC16" xr:uid="{CE2E29E4-8C20-4BBD-A5A9-64508C798EA8}">
      <formula1>7</formula1>
      <formula2>15</formula2>
    </dataValidation>
  </dataValidations>
  <hyperlinks>
    <hyperlink ref="B202" r:id="rId1" xr:uid="{2EB26309-CB15-459A-B209-E7F5F0BCBBE3}"/>
  </hyperlinks>
  <pageMargins left="0.25" right="0.25" top="0.25" bottom="0.25" header="0.25" footer="0.25"/>
  <pageSetup scale="62" fitToHeight="0" orientation="landscape" r:id="rId2"/>
  <drawing r:id="rId3"/>
  <legacyDrawing r:id="rId4"/>
  <mc:AlternateContent xmlns:mc="http://schemas.openxmlformats.org/markup-compatibility/2006">
    <mc:Choice Requires="x14">
      <controls>
        <mc:AlternateContent xmlns:mc="http://schemas.openxmlformats.org/markup-compatibility/2006">
          <mc:Choice Requires="x14">
            <control shapeId="15361" r:id="rId5" name="M02S04TB1">
              <controlPr defaultSize="0" autoFill="0" autoLine="0" autoPict="0">
                <anchor moveWithCells="1">
                  <from>
                    <xdr:col>2</xdr:col>
                    <xdr:colOff>38100</xdr:colOff>
                    <xdr:row>30</xdr:row>
                    <xdr:rowOff>200025</xdr:rowOff>
                  </from>
                  <to>
                    <xdr:col>3</xdr:col>
                    <xdr:colOff>38100</xdr:colOff>
                    <xdr:row>32</xdr:row>
                    <xdr:rowOff>180975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200-000005000000}">
          <x14:formula1>
            <xm:f>'DATA TABLES'!$F$5:$F$54</xm:f>
          </x14:formula1>
          <xm:sqref>Q19:V19</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7">
    <pageSetUpPr fitToPage="1"/>
  </sheetPr>
  <dimension ref="A1:BZ202"/>
  <sheetViews>
    <sheetView showGridLines="0" showRowColHeaders="0" zoomScale="85" zoomScaleNormal="85" workbookViewId="0">
      <selection activeCell="C16" sqref="C16:H17"/>
    </sheetView>
  </sheetViews>
  <sheetFormatPr defaultColWidth="0" defaultRowHeight="15" customHeight="1" zeroHeight="1"/>
  <cols>
    <col min="1" max="44" width="4.7109375" customWidth="1"/>
    <col min="45" max="45" width="4.7109375" style="59" customWidth="1"/>
    <col min="46" max="46" width="4.7109375" style="59" hidden="1" customWidth="1"/>
    <col min="47" max="54" width="9.140625" style="59" hidden="1" customWidth="1"/>
    <col min="55" max="55" width="15.85546875" style="59" hidden="1" customWidth="1"/>
    <col min="56" max="78" width="9.140625" style="59" hidden="1" customWidth="1"/>
    <col min="79" max="16384" width="9.140625" hidden="1"/>
  </cols>
  <sheetData>
    <row r="1" spans="2:59" ht="15.95" customHeight="1">
      <c r="AH1" s="686" t="s">
        <v>471</v>
      </c>
      <c r="AI1" s="686"/>
      <c r="AJ1" s="686"/>
      <c r="AK1" s="686"/>
      <c r="AL1" s="687" t="s">
        <v>736</v>
      </c>
      <c r="AM1" s="687"/>
      <c r="AN1" s="687"/>
      <c r="AO1" s="687"/>
      <c r="AP1" s="687"/>
      <c r="AQ1" s="683" t="s">
        <v>474</v>
      </c>
      <c r="AR1" s="683"/>
    </row>
    <row r="2" spans="2:59" ht="15.95" customHeight="1">
      <c r="AH2" s="688" t="str">
        <f ca="1">INCENSTATUS</f>
        <v>---</v>
      </c>
      <c r="AI2" s="689"/>
      <c r="AJ2" s="689"/>
      <c r="AK2" s="689"/>
      <c r="AL2" s="690" t="str">
        <f ca="1">PROJSTATUS</f>
        <v>Enter Measures</v>
      </c>
      <c r="AM2" s="690"/>
      <c r="AN2" s="690"/>
      <c r="AO2" s="690"/>
      <c r="AP2" s="690"/>
      <c r="AQ2" s="684">
        <f ca="1">PROGRESSSTATUS</f>
        <v>2.8985507246376812E-2</v>
      </c>
      <c r="AR2" s="685"/>
    </row>
    <row r="3" spans="2:59" ht="15.95" customHeight="1">
      <c r="AH3" s="680"/>
      <c r="AI3" s="681"/>
      <c r="AJ3" s="681"/>
      <c r="AK3" s="681"/>
      <c r="AL3" s="673"/>
      <c r="AM3" s="673"/>
      <c r="AN3" s="673"/>
      <c r="AO3" s="673"/>
      <c r="AP3" s="673"/>
      <c r="AQ3" s="667"/>
      <c r="AR3" s="668"/>
    </row>
    <row r="4" spans="2:59" ht="15.95" customHeight="1">
      <c r="AR4" s="171"/>
    </row>
    <row r="5" spans="2:59" ht="15.95" customHeight="1"/>
    <row r="6" spans="2:59" ht="15.95" customHeight="1">
      <c r="AU6" s="59" t="s">
        <v>907</v>
      </c>
      <c r="AV6" s="59">
        <f>PROJID</f>
        <v>0</v>
      </c>
    </row>
    <row r="7" spans="2:59" ht="15.95" customHeight="1">
      <c r="AU7" s="87"/>
      <c r="AV7" s="87" t="s">
        <v>866</v>
      </c>
      <c r="AW7" s="87" t="s">
        <v>231</v>
      </c>
      <c r="AX7" s="87" t="s">
        <v>892</v>
      </c>
      <c r="AZ7" s="410"/>
    </row>
    <row r="8" spans="2:59" ht="15.95" customHeight="1">
      <c r="AU8" s="87" t="s">
        <v>219</v>
      </c>
      <c r="AV8" s="87" t="str">
        <f ca="1">CBPRESE</f>
        <v>NA</v>
      </c>
      <c r="AW8" s="87" t="str">
        <f ca="1">CBCUSE</f>
        <v>NA</v>
      </c>
      <c r="AX8" s="87" t="str">
        <f ca="1">CBALL</f>
        <v>NA</v>
      </c>
    </row>
    <row r="9" spans="2:59" ht="15.95" customHeight="1">
      <c r="B9" s="59"/>
      <c r="C9" s="59"/>
      <c r="D9" s="59"/>
      <c r="E9" s="59"/>
      <c r="F9" s="59"/>
      <c r="G9" s="59"/>
      <c r="H9" s="59"/>
      <c r="I9" s="59"/>
      <c r="J9" s="59"/>
      <c r="K9" s="59"/>
      <c r="L9" s="59"/>
      <c r="M9" s="59"/>
      <c r="N9" s="59"/>
      <c r="O9" s="59"/>
      <c r="P9" s="59"/>
      <c r="Q9" s="59"/>
      <c r="R9" s="735" t="str">
        <f>CONCATENATE(M3S1," ","Summary")</f>
        <v>Lighting Summary</v>
      </c>
      <c r="S9" s="735"/>
      <c r="T9" s="735"/>
      <c r="U9" s="735"/>
      <c r="V9" s="735"/>
      <c r="W9" s="735"/>
      <c r="X9" s="735"/>
      <c r="Y9" s="735"/>
      <c r="Z9" s="735"/>
      <c r="AA9" s="735"/>
      <c r="AB9" s="735"/>
      <c r="AC9" s="735"/>
      <c r="AD9" s="59"/>
      <c r="AE9" s="59"/>
      <c r="AF9" s="59"/>
      <c r="AG9" s="59"/>
      <c r="AH9" s="59"/>
      <c r="AI9" s="59"/>
      <c r="AJ9" s="59"/>
      <c r="AK9" s="59"/>
      <c r="AL9" s="59"/>
      <c r="AM9" s="59"/>
      <c r="AN9" s="59"/>
      <c r="AO9" s="59"/>
      <c r="AP9" s="59"/>
      <c r="AQ9" s="59"/>
      <c r="AR9" s="59"/>
      <c r="AU9" s="87"/>
      <c r="AV9" s="87"/>
      <c r="AW9" s="87"/>
      <c r="AX9" s="87"/>
      <c r="BA9" s="415"/>
    </row>
    <row r="10" spans="2:59" ht="15.95" customHeight="1">
      <c r="B10" s="59"/>
      <c r="C10" s="59"/>
      <c r="D10" s="59"/>
      <c r="E10" s="59"/>
      <c r="F10" s="360"/>
      <c r="G10" s="360"/>
      <c r="H10" s="360"/>
      <c r="I10" s="360"/>
      <c r="J10" s="360"/>
      <c r="K10" s="360"/>
      <c r="L10" s="360"/>
      <c r="M10" s="360"/>
      <c r="N10" s="360"/>
      <c r="O10" s="360"/>
      <c r="P10" s="360"/>
      <c r="Q10" s="59"/>
      <c r="R10" s="735"/>
      <c r="S10" s="735"/>
      <c r="T10" s="735"/>
      <c r="U10" s="735"/>
      <c r="V10" s="735"/>
      <c r="W10" s="735"/>
      <c r="X10" s="735"/>
      <c r="Y10" s="735"/>
      <c r="Z10" s="735"/>
      <c r="AA10" s="735"/>
      <c r="AB10" s="735"/>
      <c r="AC10" s="735"/>
      <c r="AD10" s="59"/>
      <c r="AE10" s="59"/>
      <c r="AF10" s="59"/>
      <c r="AG10" s="59"/>
      <c r="AH10" s="59"/>
      <c r="AI10" s="59"/>
      <c r="AJ10" s="59"/>
      <c r="AK10" s="59"/>
      <c r="AL10" s="59"/>
      <c r="AM10" s="59"/>
      <c r="AN10" s="59"/>
      <c r="AO10" s="59"/>
      <c r="AP10" s="59"/>
      <c r="AQ10" s="59"/>
      <c r="AR10" s="59"/>
      <c r="AU10" s="87" t="s">
        <v>581</v>
      </c>
      <c r="AV10" s="87" t="str">
        <f ca="1">PAYPRESE</f>
        <v>NA</v>
      </c>
      <c r="AW10" s="87" t="str">
        <f ca="1">PAYCUSE</f>
        <v>NA</v>
      </c>
      <c r="AX10" s="367" t="str">
        <f ca="1">PAYALL</f>
        <v>NA</v>
      </c>
    </row>
    <row r="11" spans="2:59" ht="15.95" customHeight="1">
      <c r="B11" s="59"/>
      <c r="C11" s="59"/>
      <c r="D11" s="59"/>
      <c r="E11" s="59"/>
      <c r="F11" s="360"/>
      <c r="G11" s="360"/>
      <c r="H11" s="492"/>
      <c r="I11" s="492"/>
      <c r="J11" s="492"/>
      <c r="K11" s="492"/>
      <c r="L11" s="492"/>
      <c r="M11" s="492"/>
      <c r="N11" s="492"/>
      <c r="O11" s="492"/>
      <c r="P11" s="360"/>
      <c r="Q11" s="59"/>
      <c r="R11" s="836" t="s">
        <v>68</v>
      </c>
      <c r="S11" s="836"/>
      <c r="T11" s="836"/>
      <c r="U11" s="836"/>
      <c r="V11" s="836" t="s">
        <v>69</v>
      </c>
      <c r="W11" s="836"/>
      <c r="X11" s="836"/>
      <c r="Y11" s="836"/>
      <c r="Z11" s="836" t="s">
        <v>70</v>
      </c>
      <c r="AA11" s="836"/>
      <c r="AB11" s="836"/>
      <c r="AC11" s="836"/>
      <c r="AD11" s="59"/>
      <c r="AE11" s="59"/>
      <c r="AF11" s="901" t="s">
        <v>2101</v>
      </c>
      <c r="AG11" s="901"/>
      <c r="AH11" s="901"/>
      <c r="AI11" s="901"/>
      <c r="AJ11" s="59"/>
      <c r="AK11" s="59"/>
      <c r="AL11" s="599"/>
      <c r="AM11" s="598"/>
      <c r="AN11" s="59"/>
      <c r="AO11" s="59"/>
      <c r="AP11" s="59"/>
      <c r="AQ11" s="59"/>
      <c r="AR11" s="59"/>
    </row>
    <row r="12" spans="2:59" ht="15.95" customHeight="1">
      <c r="B12" s="59"/>
      <c r="D12" s="59"/>
      <c r="E12" s="59"/>
      <c r="F12" s="360"/>
      <c r="G12" s="360"/>
      <c r="H12" s="492"/>
      <c r="I12" s="492"/>
      <c r="J12" s="492"/>
      <c r="K12" s="492"/>
      <c r="L12" s="492"/>
      <c r="M12" s="492"/>
      <c r="N12" s="492"/>
      <c r="O12" s="492"/>
      <c r="P12" s="360"/>
      <c r="Q12" s="59"/>
      <c r="R12" s="880">
        <f ca="1">SUM(AN16:AQ111)</f>
        <v>0</v>
      </c>
      <c r="S12" s="880"/>
      <c r="T12" s="880"/>
      <c r="U12" s="880"/>
      <c r="V12" s="880">
        <f ca="1">AU200</f>
        <v>0</v>
      </c>
      <c r="W12" s="880"/>
      <c r="X12" s="880"/>
      <c r="Y12" s="880"/>
      <c r="Z12" s="881">
        <f ca="1">SUMIF(AN16:AQ111,"&gt;0",AK16:AM111)</f>
        <v>0</v>
      </c>
      <c r="AA12" s="881"/>
      <c r="AB12" s="881"/>
      <c r="AC12" s="881"/>
      <c r="AD12" s="59"/>
      <c r="AE12" s="59"/>
      <c r="AF12" s="902">
        <f ca="1">IFERROR(IF(AND(AN114="",AN112="",AN110=""),0,AN112+AN114+AN110),0)</f>
        <v>0</v>
      </c>
      <c r="AG12" s="902"/>
      <c r="AH12" s="902"/>
      <c r="AI12" s="902"/>
      <c r="AJ12" s="59"/>
      <c r="AK12" s="642"/>
      <c r="AL12" s="59"/>
      <c r="AM12" s="59"/>
      <c r="AN12" s="59"/>
      <c r="AO12" s="59"/>
      <c r="AP12" s="59"/>
      <c r="AQ12" s="59"/>
      <c r="AR12" s="59"/>
    </row>
    <row r="13" spans="2:59" ht="15.95" customHeight="1">
      <c r="B13" s="59"/>
      <c r="D13" s="59"/>
      <c r="E13" s="59"/>
      <c r="F13" s="82"/>
      <c r="G13" s="82"/>
      <c r="H13" s="82"/>
      <c r="I13" s="82"/>
      <c r="J13" s="82"/>
      <c r="K13" s="82"/>
      <c r="L13" s="82"/>
      <c r="M13" s="82"/>
      <c r="N13" s="82"/>
      <c r="O13" s="82"/>
      <c r="P13" s="82"/>
      <c r="Q13" s="59"/>
      <c r="R13" s="880"/>
      <c r="S13" s="880"/>
      <c r="T13" s="880"/>
      <c r="U13" s="880"/>
      <c r="V13" s="880"/>
      <c r="W13" s="880"/>
      <c r="X13" s="880"/>
      <c r="Y13" s="880"/>
      <c r="Z13" s="881"/>
      <c r="AA13" s="881"/>
      <c r="AB13" s="881"/>
      <c r="AC13" s="881"/>
      <c r="AD13" s="59"/>
      <c r="AE13" s="59"/>
      <c r="AF13" s="902"/>
      <c r="AG13" s="902"/>
      <c r="AH13" s="902"/>
      <c r="AI13" s="902"/>
      <c r="AJ13" s="59"/>
      <c r="AK13" s="59"/>
      <c r="AL13" s="59"/>
      <c r="AM13" s="59"/>
      <c r="AN13" s="59"/>
      <c r="AO13" s="59"/>
      <c r="AP13" s="59"/>
      <c r="AQ13" s="59"/>
      <c r="AR13" s="59"/>
    </row>
    <row r="14" spans="2:59" ht="15.95" customHeight="1">
      <c r="B14" s="59"/>
      <c r="C14" s="809" t="s">
        <v>88</v>
      </c>
      <c r="D14" s="809"/>
      <c r="E14" s="809"/>
      <c r="F14" s="809"/>
      <c r="G14" s="809"/>
      <c r="H14" s="809"/>
      <c r="I14" s="809" t="s">
        <v>94</v>
      </c>
      <c r="J14" s="809"/>
      <c r="K14" s="809" t="s">
        <v>89</v>
      </c>
      <c r="L14" s="809"/>
      <c r="M14" s="809"/>
      <c r="N14" s="809"/>
      <c r="O14" s="809"/>
      <c r="P14" s="809"/>
      <c r="Q14" s="809" t="s">
        <v>90</v>
      </c>
      <c r="R14" s="809"/>
      <c r="S14" s="809" t="s">
        <v>91</v>
      </c>
      <c r="T14" s="809"/>
      <c r="U14" s="809" t="s">
        <v>115</v>
      </c>
      <c r="V14" s="809"/>
      <c r="W14" s="809"/>
      <c r="X14" s="809"/>
      <c r="Y14" s="809" t="s">
        <v>104</v>
      </c>
      <c r="Z14" s="809"/>
      <c r="AA14" s="809"/>
      <c r="AB14" s="809" t="s">
        <v>96</v>
      </c>
      <c r="AC14" s="809"/>
      <c r="AD14" s="809"/>
      <c r="AE14" s="809" t="s">
        <v>97</v>
      </c>
      <c r="AF14" s="809"/>
      <c r="AG14" s="809" t="s">
        <v>98</v>
      </c>
      <c r="AH14" s="809"/>
      <c r="AI14" s="809" t="s">
        <v>93</v>
      </c>
      <c r="AJ14" s="809"/>
      <c r="AK14" s="809" t="s">
        <v>92</v>
      </c>
      <c r="AL14" s="809"/>
      <c r="AM14" s="809"/>
      <c r="AN14" s="809" t="s">
        <v>108</v>
      </c>
      <c r="AO14" s="809"/>
      <c r="AP14" s="809"/>
      <c r="AQ14" s="809"/>
      <c r="AR14" s="59"/>
      <c r="AU14" s="809" t="s">
        <v>196</v>
      </c>
      <c r="AV14" s="809" t="s">
        <v>197</v>
      </c>
      <c r="AW14" s="809" t="s">
        <v>218</v>
      </c>
      <c r="AX14" s="809" t="s">
        <v>199</v>
      </c>
      <c r="AY14" s="809" t="s">
        <v>1696</v>
      </c>
      <c r="AZ14" s="809" t="s">
        <v>1695</v>
      </c>
      <c r="BA14" s="809" t="s">
        <v>1697</v>
      </c>
      <c r="BB14" s="809" t="s">
        <v>1010</v>
      </c>
      <c r="BC14" s="809" t="s">
        <v>489</v>
      </c>
      <c r="BE14" s="809" t="s">
        <v>2016</v>
      </c>
      <c r="BF14" s="809" t="s">
        <v>2016</v>
      </c>
      <c r="BG14" s="809" t="s">
        <v>2016</v>
      </c>
    </row>
    <row r="15" spans="2:59" ht="15.95" customHeight="1" thickBot="1">
      <c r="B15" s="59"/>
      <c r="C15" s="810"/>
      <c r="D15" s="810"/>
      <c r="E15" s="810"/>
      <c r="F15" s="810"/>
      <c r="G15" s="810"/>
      <c r="H15" s="810"/>
      <c r="I15" s="810"/>
      <c r="J15" s="810"/>
      <c r="K15" s="810"/>
      <c r="L15" s="810"/>
      <c r="M15" s="810"/>
      <c r="N15" s="810"/>
      <c r="O15" s="810"/>
      <c r="P15" s="810"/>
      <c r="Q15" s="810"/>
      <c r="R15" s="810"/>
      <c r="S15" s="810"/>
      <c r="T15" s="810"/>
      <c r="U15" s="810"/>
      <c r="V15" s="810"/>
      <c r="W15" s="810"/>
      <c r="X15" s="810"/>
      <c r="Y15" s="810"/>
      <c r="Z15" s="810"/>
      <c r="AA15" s="810"/>
      <c r="AB15" s="810"/>
      <c r="AC15" s="810"/>
      <c r="AD15" s="810"/>
      <c r="AE15" s="810"/>
      <c r="AF15" s="810"/>
      <c r="AG15" s="810"/>
      <c r="AH15" s="810"/>
      <c r="AI15" s="810"/>
      <c r="AJ15" s="810"/>
      <c r="AK15" s="810"/>
      <c r="AL15" s="810"/>
      <c r="AM15" s="810"/>
      <c r="AN15" s="810"/>
      <c r="AO15" s="810"/>
      <c r="AP15" s="810"/>
      <c r="AQ15" s="810"/>
      <c r="AR15" s="59"/>
      <c r="AU15" s="810"/>
      <c r="AV15" s="810"/>
      <c r="AW15" s="810"/>
      <c r="AX15" s="810"/>
      <c r="AY15" s="810"/>
      <c r="AZ15" s="810"/>
      <c r="BA15" s="810"/>
      <c r="BB15" s="810"/>
      <c r="BC15" s="810"/>
      <c r="BE15" s="810"/>
      <c r="BF15" s="810"/>
      <c r="BG15" s="810"/>
    </row>
    <row r="16" spans="2:59" ht="15.95" customHeight="1">
      <c r="B16" s="835">
        <v>1</v>
      </c>
      <c r="C16" s="837"/>
      <c r="D16" s="838"/>
      <c r="E16" s="838"/>
      <c r="F16" s="838"/>
      <c r="G16" s="838"/>
      <c r="H16" s="839"/>
      <c r="I16" s="843" t="str">
        <f>IFERROR(IF(C16="","",IF(INDEX(PMELIGHTTYPE[Base Autofill],MATCH(C16,PMELIGHTTYPE[Base Desc 1],0))="","",INDEX(PMELIGHTTYPE[Base Autofill],MATCH(C16,PMELIGHTTYPE[Base Desc 1],0)))),"")</f>
        <v/>
      </c>
      <c r="J16" s="844"/>
      <c r="K16" s="847"/>
      <c r="L16" s="838"/>
      <c r="M16" s="838"/>
      <c r="N16" s="838"/>
      <c r="O16" s="838"/>
      <c r="P16" s="839"/>
      <c r="Q16" s="843" t="str">
        <f t="shared" ref="Q16" si="0">IFERROR(IF(ISNUMBER(SEARCH("Removed",K16)),0,""),"")</f>
        <v/>
      </c>
      <c r="R16" s="849"/>
      <c r="S16" s="851"/>
      <c r="T16" s="852"/>
      <c r="U16" s="837"/>
      <c r="V16" s="838"/>
      <c r="W16" s="838"/>
      <c r="X16" s="838"/>
      <c r="Y16" s="855"/>
      <c r="Z16" s="838"/>
      <c r="AA16" s="839"/>
      <c r="AB16" s="851"/>
      <c r="AC16" s="857"/>
      <c r="AD16" s="852"/>
      <c r="AE16" s="859" t="str">
        <f t="shared" ref="AE16" si="1">IF(ISNUMBER(SEARCH("Removed",K16)),0,"")</f>
        <v/>
      </c>
      <c r="AF16" s="860"/>
      <c r="AG16" s="863"/>
      <c r="AH16" s="864"/>
      <c r="AI16" s="882" t="str">
        <f>IFERROR(IF(K16="","",IF(C16&lt;&gt;INDEX(PMELIGHT[Base Desc 1],MATCH(K16,PMELIGHT[Eff Desc 1],0)),0,INDEX(PMELIGHT[Inc Rate Unit],MATCH(K16,PMELIGHT[Eff Desc 1],0)))),"")</f>
        <v/>
      </c>
      <c r="AJ16" s="883"/>
      <c r="AK16" s="826" t="str">
        <f>IFERROR(IF(OR(C16="",I16="",K16="",Q16="",S16="",U16="",Y16="",AB16="",AE16="",AG16=""),"",IFERROR(ROUND(IF(I16-Q16&lt;=0,0,((((I16-Q16)*S16*AB16/1000)+AZ16)*BA16)+BB16),2),"")),"")</f>
        <v/>
      </c>
      <c r="AL16" s="827"/>
      <c r="AM16" s="832"/>
      <c r="AN16" s="820" t="str">
        <f>IFERROR(IF(OR(C16="",I16="",K16="",Q16="",S16="",U16="",Y16="",AB16="",AE16="",AG16=""),"",IF(BC16&lt;&gt;"",BC16,ROUND(IF(I16-Q16&lt;=0,0,MIN(AU16,AI16*S16)),2))),"")</f>
        <v/>
      </c>
      <c r="AO16" s="821"/>
      <c r="AP16" s="821"/>
      <c r="AQ16" s="822"/>
      <c r="AU16" s="813" t="str">
        <f>IF(OR(I16="",Q16="",S16="",U16="",Y16="",AB16="",AE16="",AG16=""),"",IF(AK16=0,"",(ROUND((AE16+AG16)*S16,2))))</f>
        <v/>
      </c>
      <c r="AV16" s="818" t="str">
        <f>IFERROR(IF(OR(I16="",Q16="",S16="",U16="",Y16="",AB16="",AE16="",AG16="",AK16=0),"",IF(ISNUMBER(SEARCH("Exterior",K16)),0,ROUND(((I16-Q16)*S16/1000)*INDEX(LightingWHF[Coincidence Factor CF],MATCH(M02S02F26,LightingWHF[Building/Space Type],0))*
IF(OR(M02S02F32="AC with Natural Gas Heat",M02S02F32="AC with Electric Heat",M02S02F32="Heat Pump"),INDEX(LightingWHF[Waste Heat Cooling Demand WHFd],MATCH(M02S02F26,LightingWHF[Building/Space Type],0)),1),3))),"")</f>
        <v/>
      </c>
      <c r="AW16" s="816" t="str">
        <f>IF(OR(I16="",Q16="",S16="",U16="",Y16="",AB16="",AE16="",AG16=""),"",ROUND(I16*S16*AB16/1000,0))</f>
        <v/>
      </c>
      <c r="AX16" s="816" t="str">
        <f>IF(OR(I16="",Q16="",S16="",U16="",Y16="",AB16="",AE16="",AG16=""),"",ROUND(Q16*S16*AB16/1000,0))</f>
        <v/>
      </c>
      <c r="AY16" s="816" t="str">
        <f>IF(OR(I16="",Q16="",S16="",U16="",Y16="",AB16="",AE16="",AG16=""),"",ROUND(IF(ISNUMBER(SEARCH("Exterior",K16)),0,IF(M02S02F46="Electric Only",0,IF(OR(M02S02F32="AC with Natural Gas Heat",M02S02F32="Natural Gas Heat Only"),(((I16-Q16)/1000)*S16*AB16*-INDEX(LightingWHF[Waste Heat Gas Heating IFTherms],MATCH(M02S02F26,LightingWHF[Building/Space Type],0))),0))),0))</f>
        <v/>
      </c>
      <c r="AZ16" s="816" t="str">
        <f>IF(OR(I16="",Q16="",S16="",U16="",Y16="",AB16="",AE16="",AG16=""),"",IF(M02S02F46="Gas Only",0,IF(ISNUMBER(SEARCH("Exterior",K16)),0,IF(M02S02F32="Heat Pump",(((I16-Q16)/1000)*S16*AB16*-INDEX(LightingWHF[Waste Heat Electric Heat Pump Heating IFkWh],MATCH(M02S02F26,LightingWHF[Building/Space Type],0))),
IF(OR(M02S02F32="AC with Electric Heat",M02S02F32="Electric Heat Only"),(((I16-Q16)/1000)*S16*AB16*-INDEX(LightingWHF[Waste Heat Electric Resistance Heating IFkWh],MATCH(M02S02F26,LightingWHF[Building/Space Type],0))),0
)))))</f>
        <v/>
      </c>
      <c r="BA16" s="815" t="str">
        <f>IF(OR(I16="",Q16="",S16="",U16="",Y16="",AB16="",AE16="",AG16=""),"",IF(M02S02F46="Gas Only",0,IF(ISNUMBER(SEARCH("Exterior",K16)),1,IF(OR(M02S02F32="Heat Pump",M02S02F32="AC with Natural Gas Heat",M02S02F32="AC with Electric Heat"),(INDEX(LightingWHF[Waste Heat Cooling Energy WHFe],MATCH(M02S02F26,LightingWHF[Building/Space Type],0))),1))))</f>
        <v/>
      </c>
      <c r="BB16" s="815" t="str">
        <f>IF(OR(I16="",Q16="",S16="",U16="",Y16="",AB16="",AE16="",AG16=""),"",IF(ISNUMBER(SEARCH("LLLC",K16)),((S16*Q16)/1000)*AB16*(0.49-0)*BA16,IF(ISNUMBER(SEARCH("sensor",K16)),((S16*Q16)/1000)*AB16*(0.24-0)*BA16,0)))</f>
        <v/>
      </c>
      <c r="BC16" s="830" t="str">
        <f>IFERROR(IF(OR(C16="",I16="",K16="",Q16="",S16="",U16="",Y16="",AB16="",AE16="",AG16=""),"",IF(OR(ISBLANK(M02S02F26),ISBLANK(M02S02F32),ISBLANK(M02S02F46)),MEASUREBLDG,IF((I16*S16)&lt;=(Q16*S16),MEASURESAVE,""))),MEASURESUBMIT)</f>
        <v/>
      </c>
      <c r="BE16" s="811" t="str">
        <f ca="1">IF(OR(I16="",Q16="",S16="",U16="",Y16="",AB16="",AE16="",AG16=""),"",IF('M01-S01'!$V$82&lt;TODAY(),0,IF(M02S02F46="Gas Only",0,IF(OR(AK16="",AK16&lt;0,AU16&lt;=AN16),0,IF(BF16&gt;0,MIN(AU16-AN16-BF16,ROUND((AN16+BF16)*0.2,2)),MIN(AU16-AN16,ROUND(AN16*0.2,2)))))))</f>
        <v/>
      </c>
      <c r="BF16" s="811" t="str">
        <f ca="1">IF(OR(I16="",Q16="",S16="",U16="",Y16="",AB16="",AE16="",AG16=""),"",IF('M01-S01'!$V$82&lt;TODAY(),0,IF(MSF20246="Gas Only",0,IF(OR(AK16="",AK16&lt;0,AU16&lt;=AN16),0,IF(ISNUMBER(SEARCH("LED Tube Relamp",K16)),MIN(AU16-AN16,ROUND(IF(ISNUMBER(SEARCH("1-Lamp 4FT Fluor.",C16)),(S16*2),0),2)),0)))))</f>
        <v/>
      </c>
      <c r="BG16" s="811" t="str">
        <f ca="1">IF(OR(I16="",Q16="",S16="",U16="",Y16="",AB16="",AE16="",AG16=""),"",IF('M01-S01'!$V$82&lt;TODAY(),0,IF(MSF20246="Gas Only",0,IF(OR(AK16="",AK16&lt;0,AU16&lt;=AN16),0,IF(ISNUMBER(SEARCH("LED Tube Relamp",K16)),MIN(AU16-AN16,ROUND(IF(ISNUMBER(SEARCH("1-Lamp 4FT HO Fluor.",C16)),(S16*1),0),2)),0)))))</f>
        <v/>
      </c>
    </row>
    <row r="17" spans="2:60" ht="15.95" customHeight="1">
      <c r="B17" s="835"/>
      <c r="C17" s="840"/>
      <c r="D17" s="841"/>
      <c r="E17" s="841"/>
      <c r="F17" s="841"/>
      <c r="G17" s="841"/>
      <c r="H17" s="842"/>
      <c r="I17" s="845"/>
      <c r="J17" s="846"/>
      <c r="K17" s="848"/>
      <c r="L17" s="841"/>
      <c r="M17" s="841"/>
      <c r="N17" s="841"/>
      <c r="O17" s="841"/>
      <c r="P17" s="842"/>
      <c r="Q17" s="845"/>
      <c r="R17" s="850"/>
      <c r="S17" s="853"/>
      <c r="T17" s="854"/>
      <c r="U17" s="840"/>
      <c r="V17" s="841"/>
      <c r="W17" s="841"/>
      <c r="X17" s="841"/>
      <c r="Y17" s="856"/>
      <c r="Z17" s="841"/>
      <c r="AA17" s="842"/>
      <c r="AB17" s="853"/>
      <c r="AC17" s="858"/>
      <c r="AD17" s="854"/>
      <c r="AE17" s="861"/>
      <c r="AF17" s="862"/>
      <c r="AG17" s="865"/>
      <c r="AH17" s="866"/>
      <c r="AI17" s="869"/>
      <c r="AJ17" s="870"/>
      <c r="AK17" s="828"/>
      <c r="AL17" s="829"/>
      <c r="AM17" s="833"/>
      <c r="AN17" s="823"/>
      <c r="AO17" s="824"/>
      <c r="AP17" s="824"/>
      <c r="AQ17" s="825"/>
      <c r="AU17" s="814"/>
      <c r="AV17" s="819"/>
      <c r="AW17" s="817"/>
      <c r="AX17" s="817"/>
      <c r="AY17" s="817"/>
      <c r="AZ17" s="817"/>
      <c r="BA17" s="812"/>
      <c r="BB17" s="812"/>
      <c r="BC17" s="831"/>
      <c r="BE17" s="812"/>
      <c r="BF17" s="812"/>
      <c r="BG17" s="812"/>
    </row>
    <row r="18" spans="2:60" ht="15.95" customHeight="1">
      <c r="B18" s="834">
        <v>2</v>
      </c>
      <c r="C18" s="837"/>
      <c r="D18" s="838"/>
      <c r="E18" s="838"/>
      <c r="F18" s="838"/>
      <c r="G18" s="838"/>
      <c r="H18" s="839"/>
      <c r="I18" s="843" t="str">
        <f>IFERROR(IF(C18="","",IF(INDEX(PMELIGHTTYPE[Base Autofill],MATCH(C18,PMELIGHTTYPE[Base Desc 1],0))="","",INDEX(PMELIGHTTYPE[Base Autofill],MATCH(C18,PMELIGHTTYPE[Base Desc 1],0)))),"")</f>
        <v/>
      </c>
      <c r="J18" s="844"/>
      <c r="K18" s="847"/>
      <c r="L18" s="838"/>
      <c r="M18" s="838"/>
      <c r="N18" s="838"/>
      <c r="O18" s="838"/>
      <c r="P18" s="839"/>
      <c r="Q18" s="843" t="str">
        <f t="shared" ref="Q18" si="2">IFERROR(IF(ISNUMBER(SEARCH("Removed",K18)),0,""),"")</f>
        <v/>
      </c>
      <c r="R18" s="849"/>
      <c r="S18" s="851"/>
      <c r="T18" s="852"/>
      <c r="U18" s="837"/>
      <c r="V18" s="838"/>
      <c r="W18" s="838"/>
      <c r="X18" s="838"/>
      <c r="Y18" s="855"/>
      <c r="Z18" s="838"/>
      <c r="AA18" s="839"/>
      <c r="AB18" s="851"/>
      <c r="AC18" s="857"/>
      <c r="AD18" s="852"/>
      <c r="AE18" s="859" t="str">
        <f t="shared" ref="AE18" si="3">IF(ISNUMBER(SEARCH("Removed",K18)),0,"")</f>
        <v/>
      </c>
      <c r="AF18" s="860"/>
      <c r="AG18" s="863"/>
      <c r="AH18" s="864"/>
      <c r="AI18" s="867" t="str">
        <f>IFERROR(IF(K18="","",IF(C18&lt;&gt;INDEX(PMELIGHT[Base Desc 1],MATCH(K18,PMELIGHT[Eff Desc 1],0)),0,INDEX(PMELIGHT[Inc Rate Unit],MATCH(K18,PMELIGHT[Eff Desc 1],0)))),"")</f>
        <v/>
      </c>
      <c r="AJ18" s="868"/>
      <c r="AK18" s="826" t="str">
        <f t="shared" ref="AK18" si="4">IFERROR(IF(OR(C18="",I18="",K18="",Q18="",S18="",U18="",Y18="",AB18="",AE18="",AG18=""),"",IFERROR(ROUND(IF(I18-Q18&lt;=0,0,((((I18-Q18)*S18*AB18/1000)+AZ18)*BA18)+BB18),2),"")),"")</f>
        <v/>
      </c>
      <c r="AL18" s="827"/>
      <c r="AM18" s="832"/>
      <c r="AN18" s="820" t="str">
        <f t="shared" ref="AN18" si="5">IFERROR(IF(OR(C18="",I18="",K18="",Q18="",S18="",U18="",Y18="",AB18="",AE18="",AG18=""),"",IF(BC18&lt;&gt;"",BC18,ROUND(IF(I18-Q18&lt;=0,0,MIN(AU18,AI18*S18)),2))),"")</f>
        <v/>
      </c>
      <c r="AO18" s="821"/>
      <c r="AP18" s="821"/>
      <c r="AQ18" s="822"/>
      <c r="AU18" s="813" t="str">
        <f t="shared" ref="AU18" si="6">IF(OR(I18="",Q18="",S18="",U18="",Y18="",AB18="",AE18="",AG18=""),"",IF(AK18=0,"",(ROUND((AE18+AG18)*S18,2))))</f>
        <v/>
      </c>
      <c r="AV18" s="818" t="str">
        <f>IFERROR(IF(OR(I18="",Q18="",S18="",U18="",Y18="",AB18="",AE18="",AG18="",AK18=0),"",IF(ISNUMBER(SEARCH("Exterior",K18)),0,ROUND(((I18-Q18)*S18/1000)*INDEX(LightingWHF[Coincidence Factor CF],MATCH(M02S02F26,LightingWHF[Building/Space Type],0))*
IF(OR(M02S02F32="AC with Natural Gas Heat",M02S02F32="AC with Electric Heat",M02S02F32="Heat Pump"),INDEX(LightingWHF[Waste Heat Cooling Demand WHFd],MATCH(M02S02F26,LightingWHF[Building/Space Type],0)),1),3))),"")</f>
        <v/>
      </c>
      <c r="AW18" s="816" t="str">
        <f t="shared" ref="AW18" si="7">IF(OR(I18="",Q18="",S18="",U18="",Y18="",AB18="",AE18="",AG18=""),"",ROUND(I18*S18*AB18/1000,0))</f>
        <v/>
      </c>
      <c r="AX18" s="816" t="str">
        <f t="shared" ref="AX18" si="8">IF(OR(I18="",Q18="",S18="",U18="",Y18="",AB18="",AE18="",AG18=""),"",ROUND(Q18*S18*AB18/1000,0))</f>
        <v/>
      </c>
      <c r="AY18" s="816" t="str">
        <f>IF(OR(I18="",Q18="",S18="",U18="",Y18="",AB18="",AE18="",AG18=""),"",ROUND(IF(ISNUMBER(SEARCH("Exterior",K18)),0,IF(M02S02F46="Electric Only",0,IF(OR(M02S02F32="AC with Natural Gas Heat",M02S02F32="Natural Gas Heat Only"),(((I18-Q18)/1000)*S18*AB18*-INDEX(LightingWHF[Waste Heat Gas Heating IFTherms],MATCH(M02S02F26,LightingWHF[Building/Space Type],0))),0))),0))</f>
        <v/>
      </c>
      <c r="AZ18" s="816" t="str">
        <f>IF(OR(I18="",Q18="",S18="",U18="",Y18="",AB18="",AE18="",AG18=""),"",IF(M02S02F46="Gas Only",0,IF(ISNUMBER(SEARCH("Exterior",K18)),0,IF(M02S02F32="Heat Pump",(((I18-Q18)/1000)*S18*AB18*-INDEX(LightingWHF[Waste Heat Electric Heat Pump Heating IFkWh],MATCH(M02S02F26,LightingWHF[Building/Space Type],0))),
IF(OR(M02S02F32="AC with Electric Heat",M02S02F32="Electric Heat Only"),(((I18-Q18)/1000)*S18*AB18*-INDEX(LightingWHF[Waste Heat Electric Resistance Heating IFkWh],MATCH(M02S02F26,LightingWHF[Building/Space Type],0))),0
)))))</f>
        <v/>
      </c>
      <c r="BA18" s="815" t="str">
        <f>IF(OR(I18="",Q18="",S18="",U18="",Y18="",AB18="",AE18="",AG18=""),"",IF(M02S02F46="Gas Only",0,IF(ISNUMBER(SEARCH("Exterior",K18)),1,IF(OR(M02S02F32="Heat Pump",M02S02F32="AC with Natural Gas Heat",M02S02F32="AC with Electric Heat"),(INDEX(LightingWHF[Waste Heat Cooling Energy WHFe],MATCH(M02S02F26,LightingWHF[Building/Space Type],0))),1))))</f>
        <v/>
      </c>
      <c r="BB18" s="815" t="str">
        <f t="shared" ref="BB18" si="9">IF(OR(I18="",Q18="",S18="",U18="",Y18="",AB18="",AE18="",AG18=""),"",IF(ISNUMBER(SEARCH("LLLC",K18)),((S18*Q18)/1000)*AB18*(0.49-0)*BA18,IF(ISNUMBER(SEARCH("sensor",K18)),((S18*Q18)/1000)*AB18*(0.24-0)*BA18,0)))</f>
        <v/>
      </c>
      <c r="BC18" s="830" t="str">
        <f>IFERROR(IF(OR(C18="",I18="",K18="",Q18="",S18="",U18="",Y18="",AB18="",AE18="",AG18=""),"",IF(OR(ISBLANK(M02S02F26),ISBLANK(M02S02F32),ISBLANK(M02S02F46)),MEASUREBLDG,IF((I18*S18)&lt;=(Q18*S18),MEASURESAVE,""))),MEASURESUBMIT)</f>
        <v/>
      </c>
      <c r="BE18" s="811" t="str">
        <f ca="1">IF(OR(I18="",Q18="",S18="",U18="",Y18="",AB18="",AE18="",AG18=""),"",IF('M01-S01'!$V$82&lt;TODAY(),0,IF(M02S02F46="Gas Only",0,IF(OR(AK18="",AK18&lt;0,AU18&lt;=AN18),0,IF(BF18&gt;0,MIN(AU18-AN18-BF18,ROUND((AN18+BF18)*0.2,2)),MIN(AU18-AN18,ROUND(AN18*0.2,2)))))))</f>
        <v/>
      </c>
      <c r="BF18" s="811" t="str">
        <f ca="1">IF(OR(I18="",Q18="",S18="",U18="",Y18="",AB18="",AE18="",AG18=""),"",IF('M01-S01'!$V$82&lt;TODAY(),0,IF(MSF20248="Gas Only",0,IF(OR(AK18="",AK18&lt;0,AU18&lt;=AN18),0,IF(ISNUMBER(SEARCH("LED Tube Relamp",K18)),MIN(AU18-AN18,ROUND(IF(ISNUMBER(SEARCH("1-Lamp 4FT Fluor.",C18)),(S18*2),0),2)),0)))))</f>
        <v/>
      </c>
      <c r="BG18" s="811" t="str">
        <f ca="1">IF(OR(I18="",Q18="",S18="",U18="",Y18="",AB18="",AE18="",AG18=""),"",IF('M01-S01'!$V$82&lt;TODAY(),0,IF(MSF20248="Gas Only",0,IF(OR(AK18="",AK18&lt;0,AU18&lt;=AN18),0,IF(ISNUMBER(SEARCH("LED Tube Relamp",K18)),MIN(AU18-AN18,ROUND(IF(ISNUMBER(SEARCH("1-Lamp 4FT HO Fluor.",C18)),(S18*1),0),2)),0)))))</f>
        <v/>
      </c>
    </row>
    <row r="19" spans="2:60" ht="15.95" customHeight="1">
      <c r="B19" s="834"/>
      <c r="C19" s="840"/>
      <c r="D19" s="841"/>
      <c r="E19" s="841"/>
      <c r="F19" s="841"/>
      <c r="G19" s="841"/>
      <c r="H19" s="842"/>
      <c r="I19" s="845"/>
      <c r="J19" s="846"/>
      <c r="K19" s="848"/>
      <c r="L19" s="841"/>
      <c r="M19" s="841"/>
      <c r="N19" s="841"/>
      <c r="O19" s="841"/>
      <c r="P19" s="842"/>
      <c r="Q19" s="845"/>
      <c r="R19" s="850"/>
      <c r="S19" s="853"/>
      <c r="T19" s="854"/>
      <c r="U19" s="840"/>
      <c r="V19" s="841"/>
      <c r="W19" s="841"/>
      <c r="X19" s="841"/>
      <c r="Y19" s="856"/>
      <c r="Z19" s="841"/>
      <c r="AA19" s="842"/>
      <c r="AB19" s="853"/>
      <c r="AC19" s="858"/>
      <c r="AD19" s="854"/>
      <c r="AE19" s="861"/>
      <c r="AF19" s="862"/>
      <c r="AG19" s="865"/>
      <c r="AH19" s="866"/>
      <c r="AI19" s="869"/>
      <c r="AJ19" s="870"/>
      <c r="AK19" s="828"/>
      <c r="AL19" s="829"/>
      <c r="AM19" s="833"/>
      <c r="AN19" s="823"/>
      <c r="AO19" s="824"/>
      <c r="AP19" s="824"/>
      <c r="AQ19" s="825"/>
      <c r="AU19" s="814"/>
      <c r="AV19" s="819"/>
      <c r="AW19" s="817"/>
      <c r="AX19" s="817"/>
      <c r="AY19" s="817"/>
      <c r="AZ19" s="817"/>
      <c r="BA19" s="812"/>
      <c r="BB19" s="812"/>
      <c r="BC19" s="831"/>
      <c r="BE19" s="812"/>
      <c r="BF19" s="812"/>
      <c r="BG19" s="812"/>
    </row>
    <row r="20" spans="2:60" ht="15.95" customHeight="1">
      <c r="B20" s="834">
        <v>3</v>
      </c>
      <c r="C20" s="837"/>
      <c r="D20" s="838"/>
      <c r="E20" s="838"/>
      <c r="F20" s="838"/>
      <c r="G20" s="838"/>
      <c r="H20" s="839"/>
      <c r="I20" s="843" t="str">
        <f>IFERROR(IF(C20="","",IF(INDEX(PMELIGHTTYPE[Base Autofill],MATCH(C20,PMELIGHTTYPE[Base Desc 1],0))="","",INDEX(PMELIGHTTYPE[Base Autofill],MATCH(C20,PMELIGHTTYPE[Base Desc 1],0)))),"")</f>
        <v/>
      </c>
      <c r="J20" s="844"/>
      <c r="K20" s="847"/>
      <c r="L20" s="838"/>
      <c r="M20" s="838"/>
      <c r="N20" s="838"/>
      <c r="O20" s="838"/>
      <c r="P20" s="839"/>
      <c r="Q20" s="843" t="str">
        <f t="shared" ref="Q20" si="10">IFERROR(IF(ISNUMBER(SEARCH("Removed",K20)),0,""),"")</f>
        <v/>
      </c>
      <c r="R20" s="849"/>
      <c r="S20" s="851"/>
      <c r="T20" s="852"/>
      <c r="U20" s="837"/>
      <c r="V20" s="838"/>
      <c r="W20" s="838"/>
      <c r="X20" s="839"/>
      <c r="Y20" s="855"/>
      <c r="Z20" s="838"/>
      <c r="AA20" s="839"/>
      <c r="AB20" s="851"/>
      <c r="AC20" s="857"/>
      <c r="AD20" s="852"/>
      <c r="AE20" s="859" t="str">
        <f t="shared" ref="AE20" si="11">IF(ISNUMBER(SEARCH("Removed",K20)),0,"")</f>
        <v/>
      </c>
      <c r="AF20" s="860"/>
      <c r="AG20" s="863"/>
      <c r="AH20" s="874"/>
      <c r="AI20" s="867" t="str">
        <f>IFERROR(IF(K20="","",IF(C20&lt;&gt;INDEX(PMELIGHT[Base Desc 1],MATCH(K20,PMELIGHT[Eff Desc 1],0)),0,INDEX(PMELIGHT[Inc Rate Unit],MATCH(K20,PMELIGHT[Eff Desc 1],0)))),"")</f>
        <v/>
      </c>
      <c r="AJ20" s="868"/>
      <c r="AK20" s="826" t="str">
        <f t="shared" ref="AK20" si="12">IFERROR(IF(OR(C20="",I20="",K20="",Q20="",S20="",U20="",Y20="",AB20="",AE20="",AG20=""),"",IFERROR(ROUND(IF(I20-Q20&lt;=0,0,((((I20-Q20)*S20*AB20/1000)+AZ20)*BA20)+BB20),2),"")),"")</f>
        <v/>
      </c>
      <c r="AL20" s="827"/>
      <c r="AM20" s="832"/>
      <c r="AN20" s="820" t="str">
        <f t="shared" ref="AN20" si="13">IFERROR(IF(OR(C20="",I20="",K20="",Q20="",S20="",U20="",Y20="",AB20="",AE20="",AG20=""),"",IF(BC20&lt;&gt;"",BC20,ROUND(IF(I20-Q20&lt;=0,0,MIN(AU20,AI20*S20)),2))),"")</f>
        <v/>
      </c>
      <c r="AO20" s="821"/>
      <c r="AP20" s="821"/>
      <c r="AQ20" s="822"/>
      <c r="AU20" s="813" t="str">
        <f t="shared" ref="AU20" si="14">IF(OR(I20="",Q20="",S20="",U20="",Y20="",AB20="",AE20="",AG20=""),"",IF(AK20=0,"",(ROUND((AE20+AG20)*S20,2))))</f>
        <v/>
      </c>
      <c r="AV20" s="818" t="str">
        <f>IFERROR(IF(OR(I20="",Q20="",S20="",U20="",Y20="",AB20="",AE20="",AG20="",AK20=0),"",IF(ISNUMBER(SEARCH("Exterior",K20)),0,ROUND(((I20-Q20)*S20/1000)*INDEX(LightingWHF[Coincidence Factor CF],MATCH(M02S02F26,LightingWHF[Building/Space Type],0))*
IF(OR(M02S02F32="AC with Natural Gas Heat",M02S02F32="AC with Electric Heat",M02S02F32="Heat Pump"),INDEX(LightingWHF[Waste Heat Cooling Demand WHFd],MATCH(M02S02F26,LightingWHF[Building/Space Type],0)),1),3))),"")</f>
        <v/>
      </c>
      <c r="AW20" s="816" t="str">
        <f t="shared" ref="AW20" si="15">IF(OR(I20="",Q20="",S20="",U20="",Y20="",AB20="",AE20="",AG20=""),"",ROUND(I20*S20*AB20/1000,0))</f>
        <v/>
      </c>
      <c r="AX20" s="816" t="str">
        <f t="shared" ref="AX20" si="16">IF(OR(I20="",Q20="",S20="",U20="",Y20="",AB20="",AE20="",AG20=""),"",ROUND(Q20*S20*AB20/1000,0))</f>
        <v/>
      </c>
      <c r="AY20" s="816" t="str">
        <f>IF(OR(I20="",Q20="",S20="",U20="",Y20="",AB20="",AE20="",AG20=""),"",ROUND(IF(ISNUMBER(SEARCH("Exterior",K20)),0,IF(M02S02F46="Electric Only",0,IF(OR(M02S02F32="AC with Natural Gas Heat",M02S02F32="Natural Gas Heat Only"),(((I20-Q20)/1000)*S20*AB20*-INDEX(LightingWHF[Waste Heat Gas Heating IFTherms],MATCH(M02S02F26,LightingWHF[Building/Space Type],0))),0))),0))</f>
        <v/>
      </c>
      <c r="AZ20" s="816" t="str">
        <f>IF(OR(I20="",Q20="",S20="",U20="",Y20="",AB20="",AE20="",AG20=""),"",IF(M02S02F46="Gas Only",0,IF(ISNUMBER(SEARCH("Exterior",K20)),0,IF(M02S02F32="Heat Pump",(((I20-Q20)/1000)*S20*AB20*-INDEX(LightingWHF[Waste Heat Electric Heat Pump Heating IFkWh],MATCH(M02S02F26,LightingWHF[Building/Space Type],0))),
IF(OR(M02S02F32="AC with Electric Heat",M02S02F32="Electric Heat Only"),(((I20-Q20)/1000)*S20*AB20*-INDEX(LightingWHF[Waste Heat Electric Resistance Heating IFkWh],MATCH(M02S02F26,LightingWHF[Building/Space Type],0))),0
)))))</f>
        <v/>
      </c>
      <c r="BA20" s="815" t="str">
        <f>IF(OR(I20="",Q20="",S20="",U20="",Y20="",AB20="",AE20="",AG20=""),"",IF(M02S02F46="Gas Only",0,IF(ISNUMBER(SEARCH("Exterior",K20)),1,IF(OR(M02S02F32="Heat Pump",M02S02F32="AC with Natural Gas Heat",M02S02F32="AC with Electric Heat"),(INDEX(LightingWHF[Waste Heat Cooling Energy WHFe],MATCH(M02S02F26,LightingWHF[Building/Space Type],0))),1))))</f>
        <v/>
      </c>
      <c r="BB20" s="815" t="str">
        <f t="shared" ref="BB20" si="17">IF(OR(I20="",Q20="",S20="",U20="",Y20="",AB20="",AE20="",AG20=""),"",IF(ISNUMBER(SEARCH("LLLC",K20)),((S20*Q20)/1000)*AB20*(0.49-0)*BA20,IF(ISNUMBER(SEARCH("sensor",K20)),((S20*Q20)/1000)*AB20*(0.24-0)*BA20,0)))</f>
        <v/>
      </c>
      <c r="BC20" s="830" t="str">
        <f>IFERROR(IF(OR(C20="",I20="",K20="",Q20="",S20="",U20="",Y20="",AB20="",AE20="",AG20=""),"",IF(OR(ISBLANK(M02S02F26),ISBLANK(M02S02F32),ISBLANK(M02S02F46)),MEASUREBLDG,IF((I20*S20)&lt;=(Q20*S20),MEASURESAVE,""))),MEASURESUBMIT)</f>
        <v/>
      </c>
      <c r="BE20" s="811" t="str">
        <f ca="1">IF(OR(I20="",Q20="",S20="",U20="",Y20="",AB20="",AE20="",AG20=""),"",IF('M01-S01'!$V$82&lt;TODAY(),0,IF(M02S02F46="Gas Only",0,IF(OR(AK20="",AK20&lt;0,AU20&lt;=AN20),0,IF(BF20&gt;0,MIN(AU20-AN20-BF20,ROUND((AN20+BF20)*0.2,2)),MIN(AU20-AN20,ROUND(AN20*0.2,2)))))))</f>
        <v/>
      </c>
      <c r="BF20" s="811" t="str">
        <f ca="1">IF(OR(I20="",Q20="",S20="",U20="",Y20="",AB20="",AE20="",AG20=""),"",IF('M01-S01'!$V$82&lt;TODAY(),0,IF(MSF20250="Gas Only",0,IF(OR(AK20="",AK20&lt;0,AU20&lt;=AN20),0,IF(ISNUMBER(SEARCH("LED Tube Relamp",K20)),MIN(AU20-AN20,ROUND(IF(ISNUMBER(SEARCH("1-Lamp 4FT Fluor.",C20)),(S20*2),0),2)),0)))))</f>
        <v/>
      </c>
      <c r="BG20" s="811" t="str">
        <f ca="1">IF(OR(I20="",Q20="",S20="",U20="",Y20="",AB20="",AE20="",AG20=""),"",IF('M01-S01'!$V$82&lt;TODAY(),0,IF(MSF20250="Gas Only",0,IF(OR(AK20="",AK20&lt;0,AU20&lt;=AN20),0,IF(ISNUMBER(SEARCH("LED Tube Relamp",K20)),MIN(AU20-AN20,ROUND(IF(ISNUMBER(SEARCH("1-Lamp 4FT HO Fluor.",C20)),(S20*1),0),2)),0)))))</f>
        <v/>
      </c>
    </row>
    <row r="21" spans="2:60" ht="15.95" customHeight="1">
      <c r="B21" s="834"/>
      <c r="C21" s="840"/>
      <c r="D21" s="841"/>
      <c r="E21" s="841"/>
      <c r="F21" s="841"/>
      <c r="G21" s="841"/>
      <c r="H21" s="842"/>
      <c r="I21" s="845"/>
      <c r="J21" s="846"/>
      <c r="K21" s="848"/>
      <c r="L21" s="841"/>
      <c r="M21" s="841"/>
      <c r="N21" s="841"/>
      <c r="O21" s="841"/>
      <c r="P21" s="842"/>
      <c r="Q21" s="845"/>
      <c r="R21" s="850"/>
      <c r="S21" s="853"/>
      <c r="T21" s="854"/>
      <c r="U21" s="840"/>
      <c r="V21" s="841"/>
      <c r="W21" s="841"/>
      <c r="X21" s="842"/>
      <c r="Y21" s="856"/>
      <c r="Z21" s="841"/>
      <c r="AA21" s="842"/>
      <c r="AB21" s="853"/>
      <c r="AC21" s="858"/>
      <c r="AD21" s="854"/>
      <c r="AE21" s="861"/>
      <c r="AF21" s="862"/>
      <c r="AG21" s="865"/>
      <c r="AH21" s="875"/>
      <c r="AI21" s="869"/>
      <c r="AJ21" s="870"/>
      <c r="AK21" s="828"/>
      <c r="AL21" s="829"/>
      <c r="AM21" s="833"/>
      <c r="AN21" s="823"/>
      <c r="AO21" s="824"/>
      <c r="AP21" s="824"/>
      <c r="AQ21" s="825"/>
      <c r="AU21" s="814"/>
      <c r="AV21" s="819"/>
      <c r="AW21" s="817"/>
      <c r="AX21" s="817"/>
      <c r="AY21" s="817"/>
      <c r="AZ21" s="817"/>
      <c r="BA21" s="812"/>
      <c r="BB21" s="812"/>
      <c r="BC21" s="831"/>
      <c r="BE21" s="812"/>
      <c r="BF21" s="812"/>
      <c r="BG21" s="812"/>
    </row>
    <row r="22" spans="2:60" ht="15.95" customHeight="1">
      <c r="B22" s="834">
        <v>4</v>
      </c>
      <c r="C22" s="837"/>
      <c r="D22" s="838"/>
      <c r="E22" s="838"/>
      <c r="F22" s="838"/>
      <c r="G22" s="838"/>
      <c r="H22" s="839"/>
      <c r="I22" s="843" t="str">
        <f>IFERROR(IF(C22="","",IF(INDEX(PMELIGHTTYPE[Base Autofill],MATCH(C22,PMELIGHTTYPE[Base Desc 1],0))="","",INDEX(PMELIGHTTYPE[Base Autofill],MATCH(C22,PMELIGHTTYPE[Base Desc 1],0)))),"")</f>
        <v/>
      </c>
      <c r="J22" s="844"/>
      <c r="K22" s="847"/>
      <c r="L22" s="838"/>
      <c r="M22" s="838"/>
      <c r="N22" s="838"/>
      <c r="O22" s="838"/>
      <c r="P22" s="839"/>
      <c r="Q22" s="843" t="str">
        <f t="shared" ref="Q22" si="18">IFERROR(IF(ISNUMBER(SEARCH("Removed",K22)),0,""),"")</f>
        <v/>
      </c>
      <c r="R22" s="849"/>
      <c r="S22" s="851"/>
      <c r="T22" s="852"/>
      <c r="U22" s="837"/>
      <c r="V22" s="838"/>
      <c r="W22" s="838"/>
      <c r="X22" s="839"/>
      <c r="Y22" s="855"/>
      <c r="Z22" s="838"/>
      <c r="AA22" s="839"/>
      <c r="AB22" s="851"/>
      <c r="AC22" s="857"/>
      <c r="AD22" s="852"/>
      <c r="AE22" s="859" t="str">
        <f t="shared" ref="AE22" si="19">IF(ISNUMBER(SEARCH("Removed",K22)),0,"")</f>
        <v/>
      </c>
      <c r="AF22" s="860"/>
      <c r="AG22" s="863"/>
      <c r="AH22" s="874"/>
      <c r="AI22" s="867" t="str">
        <f>IFERROR(IF(K22="","",IF(C22&lt;&gt;INDEX(PMELIGHT[Base Desc 1],MATCH(K22,PMELIGHT[Eff Desc 1],0)),0,INDEX(PMELIGHT[Inc Rate Unit],MATCH(K22,PMELIGHT[Eff Desc 1],0)))),"")</f>
        <v/>
      </c>
      <c r="AJ22" s="868"/>
      <c r="AK22" s="826" t="str">
        <f t="shared" ref="AK22" si="20">IFERROR(IF(OR(C22="",I22="",K22="",Q22="",S22="",U22="",Y22="",AB22="",AE22="",AG22=""),"",IFERROR(ROUND(IF(I22-Q22&lt;=0,0,((((I22-Q22)*S22*AB22/1000)+AZ22)*BA22)+BB22),2),"")),"")</f>
        <v/>
      </c>
      <c r="AL22" s="827"/>
      <c r="AM22" s="832"/>
      <c r="AN22" s="820" t="str">
        <f>IFERROR(IF(OR(C22="",I22="",K22="",Q22="",S22="",U22="",Y22="",AB22="",AE22="",AG22=""),"",IF(BC22&lt;&gt;"",BC22,ROUND(IF(I22-Q22&lt;=0,0,MIN(AU22,AI22*S22)),2))),"")</f>
        <v/>
      </c>
      <c r="AO22" s="821"/>
      <c r="AP22" s="821"/>
      <c r="AQ22" s="822"/>
      <c r="AU22" s="813" t="str">
        <f t="shared" ref="AU22" si="21">IF(OR(I22="",Q22="",S22="",U22="",Y22="",AB22="",AE22="",AG22=""),"",IF(AK22=0,"",(ROUND((AE22+AG22)*S22,2))))</f>
        <v/>
      </c>
      <c r="AV22" s="818" t="str">
        <f>IFERROR(IF(OR(I22="",Q22="",S22="",U22="",Y22="",AB22="",AE22="",AG22="",AK22=0),"",IF(ISNUMBER(SEARCH("Exterior",K22)),0,ROUND(((I22-Q22)*S22/1000)*INDEX(LightingWHF[Coincidence Factor CF],MATCH(M02S02F26,LightingWHF[Building/Space Type],0))*
IF(OR(M02S02F32="AC with Natural Gas Heat",M02S02F32="AC with Electric Heat",M02S02F32="Heat Pump"),INDEX(LightingWHF[Waste Heat Cooling Demand WHFd],MATCH(M02S02F26,LightingWHF[Building/Space Type],0)),1),3))),"")</f>
        <v/>
      </c>
      <c r="AW22" s="816" t="str">
        <f t="shared" ref="AW22" si="22">IF(OR(I22="",Q22="",S22="",U22="",Y22="",AB22="",AE22="",AG22=""),"",ROUND(I22*S22*AB22/1000,0))</f>
        <v/>
      </c>
      <c r="AX22" s="816" t="str">
        <f t="shared" ref="AX22" si="23">IF(OR(I22="",Q22="",S22="",U22="",Y22="",AB22="",AE22="",AG22=""),"",ROUND(Q22*S22*AB22/1000,0))</f>
        <v/>
      </c>
      <c r="AY22" s="816" t="str">
        <f>IF(OR(I22="",Q22="",S22="",U22="",Y22="",AB22="",AE22="",AG22=""),"",ROUND(IF(ISNUMBER(SEARCH("Exterior",K22)),0,IF(M02S02F46="Electric Only",0,IF(OR(M02S02F32="AC with Natural Gas Heat",M02S02F32="Natural Gas Heat Only"),(((I22-Q22)/1000)*S22*AB22*-INDEX(LightingWHF[Waste Heat Gas Heating IFTherms],MATCH(M02S02F26,LightingWHF[Building/Space Type],0))),0))),0))</f>
        <v/>
      </c>
      <c r="AZ22" s="816" t="str">
        <f>IF(OR(I22="",Q22="",S22="",U22="",Y22="",AB22="",AE22="",AG22=""),"",IF(M02S02F46="Gas Only",0,IF(ISNUMBER(SEARCH("Exterior",K22)),0,IF(M02S02F32="Heat Pump",(((I22-Q22)/1000)*S22*AB22*-INDEX(LightingWHF[Waste Heat Electric Heat Pump Heating IFkWh],MATCH(M02S02F26,LightingWHF[Building/Space Type],0))),
IF(OR(M02S02F32="AC with Electric Heat",M02S02F32="Electric Heat Only"),(((I22-Q22)/1000)*S22*AB22*-INDEX(LightingWHF[Waste Heat Electric Resistance Heating IFkWh],MATCH(M02S02F26,LightingWHF[Building/Space Type],0))),0
)))))</f>
        <v/>
      </c>
      <c r="BA22" s="815" t="str">
        <f>IF(OR(I22="",Q22="",S22="",U22="",Y22="",AB22="",AE22="",AG22=""),"",IF(M02S02F46="Gas Only",0,IF(ISNUMBER(SEARCH("Exterior",K22)),1,IF(OR(M02S02F32="Heat Pump",M02S02F32="AC with Natural Gas Heat",M02S02F32="AC with Electric Heat"),(INDEX(LightingWHF[Waste Heat Cooling Energy WHFe],MATCH(M02S02F26,LightingWHF[Building/Space Type],0))),1))))</f>
        <v/>
      </c>
      <c r="BB22" s="815" t="str">
        <f t="shared" ref="BB22" si="24">IF(OR(I22="",Q22="",S22="",U22="",Y22="",AB22="",AE22="",AG22=""),"",IF(ISNUMBER(SEARCH("LLLC",K22)),((S22*Q22)/1000)*AB22*(0.49-0)*BA22,IF(ISNUMBER(SEARCH("sensor",K22)),((S22*Q22)/1000)*AB22*(0.24-0)*BA22,0)))</f>
        <v/>
      </c>
      <c r="BC22" s="830" t="str">
        <f>IFERROR(IF(OR(C22="",I22="",K22="",Q22="",S22="",U22="",Y22="",AB22="",AE22="",AG22=""),"",IF(OR(ISBLANK(M02S02F26),ISBLANK(M02S02F32),ISBLANK(M02S02F46)),MEASUREBLDG,IF((I22*S22)&lt;=(Q22*S22),MEASURESAVE,""))),MEASURESUBMIT)</f>
        <v/>
      </c>
      <c r="BE22" s="811" t="str">
        <f ca="1">IF(OR(I22="",Q22="",S22="",U22="",Y22="",AB22="",AE22="",AG22=""),"",IF('M01-S01'!$V$82&lt;TODAY(),0,IF(M02S02F46="Gas Only",0,IF(OR(AK22="",AK22&lt;0,AU22&lt;=AN22),0,IF(BF22&gt;0,MIN(AU22-AN22-BF22,ROUND((AN22+BF22)*0.2,2)),MIN(AU22-AN22,ROUND(AN22*0.2,2)))))))</f>
        <v/>
      </c>
      <c r="BF22" s="811" t="str">
        <f ca="1">IF(OR(I22="",Q22="",S22="",U22="",Y22="",AB22="",AE22="",AG22=""),"",IF('M01-S01'!$V$82&lt;TODAY(),0,IF(MSF20252="Gas Only",0,IF(OR(AK22="",AK22&lt;0,AU22&lt;=AN22),0,IF(ISNUMBER(SEARCH("LED Tube Relamp",K22)),MIN(AU22-AN22,ROUND(IF(ISNUMBER(SEARCH("1-Lamp 4FT Fluor.",C22)),(S22*2),0),2)),0)))))</f>
        <v/>
      </c>
      <c r="BG22" s="811" t="str">
        <f ca="1">IF(OR(I22="",Q22="",S22="",U22="",Y22="",AB22="",AE22="",AG22=""),"",IF('M01-S01'!$V$82&lt;TODAY(),0,IF(MSF20252="Gas Only",0,IF(OR(AK22="",AK22&lt;0,AU22&lt;=AN22),0,IF(ISNUMBER(SEARCH("LED Tube Relamp",K22)),MIN(AU22-AN22,ROUND(IF(ISNUMBER(SEARCH("1-Lamp 4FT HO Fluor.",C22)),(S22*1),0),2)),0)))))</f>
        <v/>
      </c>
    </row>
    <row r="23" spans="2:60" ht="15.95" customHeight="1">
      <c r="B23" s="834"/>
      <c r="C23" s="840"/>
      <c r="D23" s="841"/>
      <c r="E23" s="841"/>
      <c r="F23" s="841"/>
      <c r="G23" s="841"/>
      <c r="H23" s="842"/>
      <c r="I23" s="845"/>
      <c r="J23" s="846"/>
      <c r="K23" s="848"/>
      <c r="L23" s="841"/>
      <c r="M23" s="841"/>
      <c r="N23" s="841"/>
      <c r="O23" s="841"/>
      <c r="P23" s="842"/>
      <c r="Q23" s="845"/>
      <c r="R23" s="850"/>
      <c r="S23" s="853"/>
      <c r="T23" s="854"/>
      <c r="U23" s="840"/>
      <c r="V23" s="841"/>
      <c r="W23" s="841"/>
      <c r="X23" s="842"/>
      <c r="Y23" s="856"/>
      <c r="Z23" s="841"/>
      <c r="AA23" s="842"/>
      <c r="AB23" s="853"/>
      <c r="AC23" s="858"/>
      <c r="AD23" s="854"/>
      <c r="AE23" s="861"/>
      <c r="AF23" s="862"/>
      <c r="AG23" s="865"/>
      <c r="AH23" s="875"/>
      <c r="AI23" s="869"/>
      <c r="AJ23" s="870"/>
      <c r="AK23" s="828"/>
      <c r="AL23" s="829"/>
      <c r="AM23" s="833"/>
      <c r="AN23" s="823"/>
      <c r="AO23" s="824"/>
      <c r="AP23" s="824"/>
      <c r="AQ23" s="825"/>
      <c r="AU23" s="814"/>
      <c r="AV23" s="819"/>
      <c r="AW23" s="817"/>
      <c r="AX23" s="817"/>
      <c r="AY23" s="817"/>
      <c r="AZ23" s="817"/>
      <c r="BA23" s="812"/>
      <c r="BB23" s="812"/>
      <c r="BC23" s="831"/>
      <c r="BE23" s="812"/>
      <c r="BF23" s="812"/>
      <c r="BG23" s="812"/>
      <c r="BH23" s="640"/>
    </row>
    <row r="24" spans="2:60" ht="15.95" customHeight="1">
      <c r="B24" s="834">
        <v>5</v>
      </c>
      <c r="C24" s="871"/>
      <c r="D24" s="872"/>
      <c r="E24" s="872"/>
      <c r="F24" s="872"/>
      <c r="G24" s="872"/>
      <c r="H24" s="873"/>
      <c r="I24" s="843" t="str">
        <f>IFERROR(IF(C24="","",IF(INDEX(PMELIGHTTYPE[Base Autofill],MATCH(C24,PMELIGHTTYPE[Base Desc 1],0))="","",INDEX(PMELIGHTTYPE[Base Autofill],MATCH(C24,PMELIGHTTYPE[Base Desc 1],0)))),"")</f>
        <v/>
      </c>
      <c r="J24" s="844"/>
      <c r="K24" s="847"/>
      <c r="L24" s="838"/>
      <c r="M24" s="838"/>
      <c r="N24" s="838"/>
      <c r="O24" s="838"/>
      <c r="P24" s="839"/>
      <c r="Q24" s="843" t="str">
        <f t="shared" ref="Q24" si="25">IFERROR(IF(ISNUMBER(SEARCH("Removed",K24)),0,""),"")</f>
        <v/>
      </c>
      <c r="R24" s="849"/>
      <c r="S24" s="851"/>
      <c r="T24" s="852"/>
      <c r="U24" s="837"/>
      <c r="V24" s="838"/>
      <c r="W24" s="838"/>
      <c r="X24" s="839"/>
      <c r="Y24" s="855"/>
      <c r="Z24" s="838"/>
      <c r="AA24" s="839"/>
      <c r="AB24" s="851"/>
      <c r="AC24" s="857"/>
      <c r="AD24" s="852"/>
      <c r="AE24" s="859" t="str">
        <f t="shared" ref="AE24" si="26">IF(ISNUMBER(SEARCH("Removed",K24)),0,"")</f>
        <v/>
      </c>
      <c r="AF24" s="860"/>
      <c r="AG24" s="863"/>
      <c r="AH24" s="874"/>
      <c r="AI24" s="867" t="str">
        <f>IFERROR(IF(K24="","",IF(C24&lt;&gt;INDEX(PMELIGHT[Base Desc 1],MATCH(K24,PMELIGHT[Eff Desc 1],0)),0,INDEX(PMELIGHT[Inc Rate Unit],MATCH(K24,PMELIGHT[Eff Desc 1],0)))),"")</f>
        <v/>
      </c>
      <c r="AJ24" s="868"/>
      <c r="AK24" s="826" t="str">
        <f t="shared" ref="AK24" si="27">IFERROR(IF(OR(C24="",I24="",K24="",Q24="",S24="",U24="",Y24="",AB24="",AE24="",AG24=""),"",IFERROR(ROUND(IF(I24-Q24&lt;=0,0,((((I24-Q24)*S24*AB24/1000)+AZ24)*BA24)+BB24),2),"")),"")</f>
        <v/>
      </c>
      <c r="AL24" s="827"/>
      <c r="AM24" s="832"/>
      <c r="AN24" s="820" t="str">
        <f t="shared" ref="AN24" si="28">IFERROR(IF(OR(C24="",I24="",K24="",Q24="",S24="",U24="",Y24="",AB24="",AE24="",AG24=""),"",IF(BC24&lt;&gt;"",BC24,ROUND(IF(I24-Q24&lt;=0,0,MIN(AU24,AI24*S24)),2))),"")</f>
        <v/>
      </c>
      <c r="AO24" s="821"/>
      <c r="AP24" s="821"/>
      <c r="AQ24" s="822"/>
      <c r="AU24" s="813" t="str">
        <f t="shared" ref="AU24" si="29">IF(OR(I24="",Q24="",S24="",U24="",Y24="",AB24="",AE24="",AG24=""),"",IF(AK24=0,"",(ROUND((AE24+AG24)*S24,2))))</f>
        <v/>
      </c>
      <c r="AV24" s="818" t="str">
        <f>IFERROR(IF(OR(I24="",Q24="",S24="",U24="",Y24="",AB24="",AE24="",AG24="",AK24=0),"",IF(ISNUMBER(SEARCH("Exterior",K24)),0,ROUND(((I24-Q24)*S24/1000)*INDEX(LightingWHF[Coincidence Factor CF],MATCH(M02S02F26,LightingWHF[Building/Space Type],0))*
IF(OR(M02S02F32="AC with Natural Gas Heat",M02S02F32="AC with Electric Heat",M02S02F32="Heat Pump"),INDEX(LightingWHF[Waste Heat Cooling Demand WHFd],MATCH(M02S02F26,LightingWHF[Building/Space Type],0)),1),3))),"")</f>
        <v/>
      </c>
      <c r="AW24" s="816" t="str">
        <f t="shared" ref="AW24" si="30">IF(OR(I24="",Q24="",S24="",U24="",Y24="",AB24="",AE24="",AG24=""),"",ROUND(I24*S24*AB24/1000,0))</f>
        <v/>
      </c>
      <c r="AX24" s="816" t="str">
        <f t="shared" ref="AX24" si="31">IF(OR(I24="",Q24="",S24="",U24="",Y24="",AB24="",AE24="",AG24=""),"",ROUND(Q24*S24*AB24/1000,0))</f>
        <v/>
      </c>
      <c r="AY24" s="816" t="str">
        <f>IF(OR(I24="",Q24="",S24="",U24="",Y24="",AB24="",AE24="",AG24=""),"",ROUND(IF(ISNUMBER(SEARCH("Exterior",K24)),0,IF(M02S02F46="Electric Only",0,IF(OR(M02S02F32="AC with Natural Gas Heat",M02S02F32="Natural Gas Heat Only"),(((I24-Q24)/1000)*S24*AB24*-INDEX(LightingWHF[Waste Heat Gas Heating IFTherms],MATCH(M02S02F26,LightingWHF[Building/Space Type],0))),0))),0))</f>
        <v/>
      </c>
      <c r="AZ24" s="816" t="str">
        <f>IF(OR(I24="",Q24="",S24="",U24="",Y24="",AB24="",AE24="",AG24=""),"",IF(M02S02F46="Gas Only",0,IF(ISNUMBER(SEARCH("Exterior",K24)),0,IF(M02S02F32="Heat Pump",(((I24-Q24)/1000)*S24*AB24*-INDEX(LightingWHF[Waste Heat Electric Heat Pump Heating IFkWh],MATCH(M02S02F26,LightingWHF[Building/Space Type],0))),
IF(OR(M02S02F32="AC with Electric Heat",M02S02F32="Electric Heat Only"),(((I24-Q24)/1000)*S24*AB24*-INDEX(LightingWHF[Waste Heat Electric Resistance Heating IFkWh],MATCH(M02S02F26,LightingWHF[Building/Space Type],0))),0
)))))</f>
        <v/>
      </c>
      <c r="BA24" s="815" t="str">
        <f>IF(OR(I24="",Q24="",S24="",U24="",Y24="",AB24="",AE24="",AG24=""),"",IF(M02S02F46="Gas Only",0,IF(ISNUMBER(SEARCH("Exterior",K24)),1,IF(OR(M02S02F32="Heat Pump",M02S02F32="AC with Natural Gas Heat",M02S02F32="AC with Electric Heat"),(INDEX(LightingWHF[Waste Heat Cooling Energy WHFe],MATCH(M02S02F26,LightingWHF[Building/Space Type],0))),1))))</f>
        <v/>
      </c>
      <c r="BB24" s="815" t="str">
        <f t="shared" ref="BB24" si="32">IF(OR(I24="",Q24="",S24="",U24="",Y24="",AB24="",AE24="",AG24=""),"",IF(ISNUMBER(SEARCH("LLLC",K24)),((S24*Q24)/1000)*AB24*(0.49-0)*BA24,IF(ISNUMBER(SEARCH("sensor",K24)),((S24*Q24)/1000)*AB24*(0.24-0)*BA24,0)))</f>
        <v/>
      </c>
      <c r="BC24" s="830" t="str">
        <f>IFERROR(IF(OR(C24="",I24="",K24="",Q24="",S24="",U24="",Y24="",AB24="",AE24="",AG24=""),"",IF(OR(ISBLANK(M02S02F26),ISBLANK(M02S02F32),ISBLANK(M02S02F46)),MEASUREBLDG,IF((I24*S24)&lt;=(Q24*S24),MEASURESAVE,""))),MEASURESUBMIT)</f>
        <v/>
      </c>
      <c r="BE24" s="811" t="str">
        <f ca="1">IF(OR(I24="",Q24="",S24="",U24="",Y24="",AB24="",AE24="",AG24=""),"",IF('M01-S01'!$V$82&lt;TODAY(),0,IF(M02S02F46="Gas Only",0,IF(OR(AK24="",AK24&lt;0,AU24&lt;=AN24),0,IF(BF24&gt;0,MIN(AU24-AN24-BF24,ROUND((AN24+BF24)*0.2,2)),MIN(AU24-AN24,ROUND(AN24*0.2,2)))))))</f>
        <v/>
      </c>
      <c r="BF24" s="811" t="str">
        <f ca="1">IF(OR(I24="",Q24="",S24="",U24="",Y24="",AB24="",AE24="",AG24=""),"",IF('M01-S01'!$V$82&lt;TODAY(),0,IF(MSF20254="Gas Only",0,IF(OR(AK24="",AK24&lt;0,AU24&lt;=AN24),0,IF(ISNUMBER(SEARCH("LED Tube Relamp",K24)),MIN(AU24-AN24,ROUND(IF(ISNUMBER(SEARCH("1-Lamp 4FT Fluor.",C24)),(S24*2),0),2)),0)))))</f>
        <v/>
      </c>
      <c r="BG24" s="811" t="str">
        <f ca="1">IF(OR(I24="",Q24="",S24="",U24="",Y24="",AB24="",AE24="",AG24=""),"",IF('M01-S01'!$V$82&lt;TODAY(),0,IF(MSF20254="Gas Only",0,IF(OR(AK24="",AK24&lt;0,AU24&lt;=AN24),0,IF(ISNUMBER(SEARCH("LED Tube Relamp",K24)),MIN(AU24-AN24,ROUND(IF(ISNUMBER(SEARCH("1-Lamp 4FT HO Fluor.",C24)),(S24*1),0),2)),0)))))</f>
        <v/>
      </c>
    </row>
    <row r="25" spans="2:60" ht="15.95" customHeight="1">
      <c r="B25" s="834"/>
      <c r="C25" s="840"/>
      <c r="D25" s="841"/>
      <c r="E25" s="841"/>
      <c r="F25" s="841"/>
      <c r="G25" s="841"/>
      <c r="H25" s="842"/>
      <c r="I25" s="845"/>
      <c r="J25" s="846"/>
      <c r="K25" s="848"/>
      <c r="L25" s="841"/>
      <c r="M25" s="841"/>
      <c r="N25" s="841"/>
      <c r="O25" s="841"/>
      <c r="P25" s="842"/>
      <c r="Q25" s="845"/>
      <c r="R25" s="850"/>
      <c r="S25" s="853"/>
      <c r="T25" s="854"/>
      <c r="U25" s="840"/>
      <c r="V25" s="841"/>
      <c r="W25" s="841"/>
      <c r="X25" s="842"/>
      <c r="Y25" s="856"/>
      <c r="Z25" s="841"/>
      <c r="AA25" s="842"/>
      <c r="AB25" s="853"/>
      <c r="AC25" s="858"/>
      <c r="AD25" s="854"/>
      <c r="AE25" s="861"/>
      <c r="AF25" s="862"/>
      <c r="AG25" s="865"/>
      <c r="AH25" s="875"/>
      <c r="AI25" s="869"/>
      <c r="AJ25" s="870"/>
      <c r="AK25" s="828"/>
      <c r="AL25" s="829"/>
      <c r="AM25" s="833"/>
      <c r="AN25" s="823"/>
      <c r="AO25" s="824"/>
      <c r="AP25" s="824"/>
      <c r="AQ25" s="825"/>
      <c r="AU25" s="814"/>
      <c r="AV25" s="819"/>
      <c r="AW25" s="817"/>
      <c r="AX25" s="817"/>
      <c r="AY25" s="817"/>
      <c r="AZ25" s="817"/>
      <c r="BA25" s="812"/>
      <c r="BB25" s="812"/>
      <c r="BC25" s="831"/>
      <c r="BE25" s="812"/>
      <c r="BF25" s="812"/>
      <c r="BG25" s="812"/>
    </row>
    <row r="26" spans="2:60" ht="15.95" customHeight="1">
      <c r="B26" s="834">
        <v>6</v>
      </c>
      <c r="C26" s="871"/>
      <c r="D26" s="872"/>
      <c r="E26" s="872"/>
      <c r="F26" s="872"/>
      <c r="G26" s="872"/>
      <c r="H26" s="873"/>
      <c r="I26" s="843" t="str">
        <f>IFERROR(IF(C26="","",IF(INDEX(PMELIGHTTYPE[Base Autofill],MATCH(C26,PMELIGHTTYPE[Base Desc 1],0))="","",INDEX(PMELIGHTTYPE[Base Autofill],MATCH(C26,PMELIGHTTYPE[Base Desc 1],0)))),"")</f>
        <v/>
      </c>
      <c r="J26" s="844"/>
      <c r="K26" s="847"/>
      <c r="L26" s="838"/>
      <c r="M26" s="838"/>
      <c r="N26" s="838"/>
      <c r="O26" s="838"/>
      <c r="P26" s="839"/>
      <c r="Q26" s="843" t="str">
        <f t="shared" ref="Q26" si="33">IFERROR(IF(ISNUMBER(SEARCH("Removed",K26)),0,""),"")</f>
        <v/>
      </c>
      <c r="R26" s="849"/>
      <c r="S26" s="851"/>
      <c r="T26" s="852"/>
      <c r="U26" s="837"/>
      <c r="V26" s="838"/>
      <c r="W26" s="838"/>
      <c r="X26" s="839"/>
      <c r="Y26" s="855"/>
      <c r="Z26" s="838"/>
      <c r="AA26" s="839"/>
      <c r="AB26" s="851"/>
      <c r="AC26" s="857"/>
      <c r="AD26" s="852"/>
      <c r="AE26" s="859" t="str">
        <f t="shared" ref="AE26" si="34">IF(ISNUMBER(SEARCH("Removed",K26)),0,"")</f>
        <v/>
      </c>
      <c r="AF26" s="860"/>
      <c r="AG26" s="863"/>
      <c r="AH26" s="874"/>
      <c r="AI26" s="867" t="str">
        <f>IFERROR(IF(K26="","",IF(C26&lt;&gt;INDEX(PMELIGHT[Base Desc 1],MATCH(K26,PMELIGHT[Eff Desc 1],0)),0,INDEX(PMELIGHT[Inc Rate Unit],MATCH(K26,PMELIGHT[Eff Desc 1],0)))),"")</f>
        <v/>
      </c>
      <c r="AJ26" s="868"/>
      <c r="AK26" s="826" t="str">
        <f t="shared" ref="AK26" si="35">IFERROR(IF(OR(C26="",I26="",K26="",Q26="",S26="",U26="",Y26="",AB26="",AE26="",AG26=""),"",IFERROR(ROUND(IF(I26-Q26&lt;=0,0,((((I26-Q26)*S26*AB26/1000)+AZ26)*BA26)+BB26),2),"")),"")</f>
        <v/>
      </c>
      <c r="AL26" s="827"/>
      <c r="AM26" s="832"/>
      <c r="AN26" s="820" t="str">
        <f t="shared" ref="AN26" si="36">IFERROR(IF(OR(C26="",I26="",K26="",Q26="",S26="",U26="",Y26="",AB26="",AE26="",AG26=""),"",IF(BC26&lt;&gt;"",BC26,ROUND(IF(I26-Q26&lt;=0,0,MIN(AU26,AI26*S26)),2))),"")</f>
        <v/>
      </c>
      <c r="AO26" s="821"/>
      <c r="AP26" s="821"/>
      <c r="AQ26" s="822"/>
      <c r="AU26" s="813" t="str">
        <f t="shared" ref="AU26" si="37">IF(OR(I26="",Q26="",S26="",U26="",Y26="",AB26="",AE26="",AG26=""),"",IF(AK26=0,"",(ROUND((AE26+AG26)*S26,2))))</f>
        <v/>
      </c>
      <c r="AV26" s="818" t="str">
        <f>IFERROR(IF(OR(I26="",Q26="",S26="",U26="",Y26="",AB26="",AE26="",AG26="",AK26=0),"",IF(ISNUMBER(SEARCH("Exterior",K26)),0,ROUND(((I26-Q26)*S26/1000)*INDEX(LightingWHF[Coincidence Factor CF],MATCH(M02S02F26,LightingWHF[Building/Space Type],0))*
IF(OR(M02S02F32="AC with Natural Gas Heat",M02S02F32="AC with Electric Heat",M02S02F32="Heat Pump"),INDEX(LightingWHF[Waste Heat Cooling Demand WHFd],MATCH(M02S02F26,LightingWHF[Building/Space Type],0)),1),3))),"")</f>
        <v/>
      </c>
      <c r="AW26" s="816" t="str">
        <f t="shared" ref="AW26" si="38">IF(OR(I26="",Q26="",S26="",U26="",Y26="",AB26="",AE26="",AG26=""),"",ROUND(I26*S26*AB26/1000,0))</f>
        <v/>
      </c>
      <c r="AX26" s="816" t="str">
        <f t="shared" ref="AX26" si="39">IF(OR(I26="",Q26="",S26="",U26="",Y26="",AB26="",AE26="",AG26=""),"",ROUND(Q26*S26*AB26/1000,0))</f>
        <v/>
      </c>
      <c r="AY26" s="816" t="str">
        <f>IF(OR(I26="",Q26="",S26="",U26="",Y26="",AB26="",AE26="",AG26=""),"",ROUND(IF(ISNUMBER(SEARCH("Exterior",K26)),0,IF(M02S02F46="Electric Only",0,IF(OR(M02S02F32="AC with Natural Gas Heat",M02S02F32="Natural Gas Heat Only"),(((I26-Q26)/1000)*S26*AB26*-INDEX(LightingWHF[Waste Heat Gas Heating IFTherms],MATCH(M02S02F26,LightingWHF[Building/Space Type],0))),0))),0))</f>
        <v/>
      </c>
      <c r="AZ26" s="816" t="str">
        <f>IF(OR(I26="",Q26="",S26="",U26="",Y26="",AB26="",AE26="",AG26=""),"",IF(M02S02F46="Gas Only",0,IF(ISNUMBER(SEARCH("Exterior",K26)),0,IF(M02S02F32="Heat Pump",(((I26-Q26)/1000)*S26*AB26*-INDEX(LightingWHF[Waste Heat Electric Heat Pump Heating IFkWh],MATCH(M02S02F26,LightingWHF[Building/Space Type],0))),
IF(OR(M02S02F32="AC with Electric Heat",M02S02F32="Electric Heat Only"),(((I26-Q26)/1000)*S26*AB26*-INDEX(LightingWHF[Waste Heat Electric Resistance Heating IFkWh],MATCH(M02S02F26,LightingWHF[Building/Space Type],0))),0
)))))</f>
        <v/>
      </c>
      <c r="BA26" s="815" t="str">
        <f>IF(OR(I26="",Q26="",S26="",U26="",Y26="",AB26="",AE26="",AG26=""),"",IF(M02S02F46="Gas Only",0,IF(ISNUMBER(SEARCH("Exterior",K26)),1,IF(OR(M02S02F32="Heat Pump",M02S02F32="AC with Natural Gas Heat",M02S02F32="AC with Electric Heat"),(INDEX(LightingWHF[Waste Heat Cooling Energy WHFe],MATCH(M02S02F26,LightingWHF[Building/Space Type],0))),1))))</f>
        <v/>
      </c>
      <c r="BB26" s="815" t="str">
        <f t="shared" ref="BB26" si="40">IF(OR(I26="",Q26="",S26="",U26="",Y26="",AB26="",AE26="",AG26=""),"",IF(ISNUMBER(SEARCH("LLLC",K26)),((S26*Q26)/1000)*AB26*(0.49-0)*BA26,IF(ISNUMBER(SEARCH("sensor",K26)),((S26*Q26)/1000)*AB26*(0.24-0)*BA26,0)))</f>
        <v/>
      </c>
      <c r="BC26" s="830" t="str">
        <f>IFERROR(IF(OR(C26="",I26="",K26="",Q26="",S26="",U26="",Y26="",AB26="",AE26="",AG26=""),"",IF(OR(ISBLANK(M02S02F26),ISBLANK(M02S02F32),ISBLANK(M02S02F46)),MEASUREBLDG,IF((I26*S26)&lt;=(Q26*S26),MEASURESAVE,""))),MEASURESUBMIT)</f>
        <v/>
      </c>
      <c r="BE26" s="811" t="str">
        <f ca="1">IF(OR(I26="",Q26="",S26="",U26="",Y26="",AB26="",AE26="",AG26=""),"",IF('M01-S01'!$V$82&lt;TODAY(),0,IF(M02S02F46="Gas Only",0,IF(OR(AK26="",AK26&lt;0,AU26&lt;=AN26),0,IF(BF26&gt;0,MIN(AU26-AN26-BF26,ROUND((AN26+BF26)*0.2,2)),MIN(AU26-AN26,ROUND(AN26*0.2,2)))))))</f>
        <v/>
      </c>
      <c r="BF26" s="811" t="str">
        <f ca="1">IF(OR(I26="",Q26="",S26="",U26="",Y26="",AB26="",AE26="",AG26=""),"",IF('M01-S01'!$V$82&lt;TODAY(),0,IF(MSF20256="Gas Only",0,IF(OR(AK26="",AK26&lt;0,AU26&lt;=AN26),0,IF(ISNUMBER(SEARCH("LED Tube Relamp",K26)),MIN(AU26-AN26,ROUND(IF(ISNUMBER(SEARCH("1-Lamp 4FT Fluor.",C26)),(S26*2),0),2)),0)))))</f>
        <v/>
      </c>
      <c r="BG26" s="811" t="str">
        <f ca="1">IF(OR(I26="",Q26="",S26="",U26="",Y26="",AB26="",AE26="",AG26=""),"",IF('M01-S01'!$V$82&lt;TODAY(),0,IF(MSF20256="Gas Only",0,IF(OR(AK26="",AK26&lt;0,AU26&lt;=AN26),0,IF(ISNUMBER(SEARCH("LED Tube Relamp",K26)),MIN(AU26-AN26,ROUND(IF(ISNUMBER(SEARCH("1-Lamp 4FT HO Fluor.",C26)),(S26*1),0),2)),0)))))</f>
        <v/>
      </c>
    </row>
    <row r="27" spans="2:60" ht="15.95" customHeight="1">
      <c r="B27" s="834"/>
      <c r="C27" s="840"/>
      <c r="D27" s="841"/>
      <c r="E27" s="841"/>
      <c r="F27" s="841"/>
      <c r="G27" s="841"/>
      <c r="H27" s="842"/>
      <c r="I27" s="845"/>
      <c r="J27" s="846"/>
      <c r="K27" s="848"/>
      <c r="L27" s="841"/>
      <c r="M27" s="841"/>
      <c r="N27" s="841"/>
      <c r="O27" s="841"/>
      <c r="P27" s="842"/>
      <c r="Q27" s="845"/>
      <c r="R27" s="850"/>
      <c r="S27" s="853"/>
      <c r="T27" s="854"/>
      <c r="U27" s="840"/>
      <c r="V27" s="841"/>
      <c r="W27" s="841"/>
      <c r="X27" s="842"/>
      <c r="Y27" s="856"/>
      <c r="Z27" s="841"/>
      <c r="AA27" s="842"/>
      <c r="AB27" s="853"/>
      <c r="AC27" s="858"/>
      <c r="AD27" s="854"/>
      <c r="AE27" s="861"/>
      <c r="AF27" s="862"/>
      <c r="AG27" s="865"/>
      <c r="AH27" s="875"/>
      <c r="AI27" s="869"/>
      <c r="AJ27" s="870"/>
      <c r="AK27" s="828"/>
      <c r="AL27" s="829"/>
      <c r="AM27" s="833"/>
      <c r="AN27" s="823"/>
      <c r="AO27" s="824"/>
      <c r="AP27" s="824"/>
      <c r="AQ27" s="825"/>
      <c r="AU27" s="814"/>
      <c r="AV27" s="819"/>
      <c r="AW27" s="817"/>
      <c r="AX27" s="817"/>
      <c r="AY27" s="817"/>
      <c r="AZ27" s="817"/>
      <c r="BA27" s="812"/>
      <c r="BB27" s="812"/>
      <c r="BC27" s="831"/>
      <c r="BE27" s="812"/>
      <c r="BF27" s="812"/>
      <c r="BG27" s="812"/>
    </row>
    <row r="28" spans="2:60" ht="15.95" customHeight="1">
      <c r="B28" s="834">
        <v>7</v>
      </c>
      <c r="C28" s="871"/>
      <c r="D28" s="872"/>
      <c r="E28" s="872"/>
      <c r="F28" s="872"/>
      <c r="G28" s="872"/>
      <c r="H28" s="873"/>
      <c r="I28" s="843" t="str">
        <f>IFERROR(IF(C28="","",IF(INDEX(PMELIGHTTYPE[Base Autofill],MATCH(C28,PMELIGHTTYPE[Base Desc 1],0))="","",INDEX(PMELIGHTTYPE[Base Autofill],MATCH(C28,PMELIGHTTYPE[Base Desc 1],0)))),"")</f>
        <v/>
      </c>
      <c r="J28" s="844"/>
      <c r="K28" s="847"/>
      <c r="L28" s="838"/>
      <c r="M28" s="838"/>
      <c r="N28" s="838"/>
      <c r="O28" s="838"/>
      <c r="P28" s="839"/>
      <c r="Q28" s="843" t="str">
        <f t="shared" ref="Q28" si="41">IFERROR(IF(ISNUMBER(SEARCH("Removed",K28)),0,""),"")</f>
        <v/>
      </c>
      <c r="R28" s="849"/>
      <c r="S28" s="876"/>
      <c r="T28" s="877"/>
      <c r="U28" s="837"/>
      <c r="V28" s="838"/>
      <c r="W28" s="838"/>
      <c r="X28" s="839"/>
      <c r="Y28" s="855"/>
      <c r="Z28" s="838"/>
      <c r="AA28" s="839"/>
      <c r="AB28" s="851"/>
      <c r="AC28" s="857"/>
      <c r="AD28" s="852"/>
      <c r="AE28" s="859" t="str">
        <f t="shared" ref="AE28" si="42">IF(ISNUMBER(SEARCH("Removed",K28)),0,"")</f>
        <v/>
      </c>
      <c r="AF28" s="860"/>
      <c r="AG28" s="863"/>
      <c r="AH28" s="874"/>
      <c r="AI28" s="867" t="str">
        <f>IFERROR(IF(K28="","",IF(C28&lt;&gt;INDEX(PMELIGHT[Base Desc 1],MATCH(K28,PMELIGHT[Eff Desc 1],0)),0,INDEX(PMELIGHT[Inc Rate Unit],MATCH(K28,PMELIGHT[Eff Desc 1],0)))),"")</f>
        <v/>
      </c>
      <c r="AJ28" s="868"/>
      <c r="AK28" s="826" t="str">
        <f t="shared" ref="AK28" si="43">IFERROR(IF(OR(C28="",I28="",K28="",Q28="",S28="",U28="",Y28="",AB28="",AE28="",AG28=""),"",IFERROR(ROUND(IF(I28-Q28&lt;=0,0,((((I28-Q28)*S28*AB28/1000)+AZ28)*BA28)+BB28),2),"")),"")</f>
        <v/>
      </c>
      <c r="AL28" s="827"/>
      <c r="AM28" s="832"/>
      <c r="AN28" s="820" t="str">
        <f t="shared" ref="AN28" si="44">IFERROR(IF(OR(C28="",I28="",K28="",Q28="",S28="",U28="",Y28="",AB28="",AE28="",AG28=""),"",IF(BC28&lt;&gt;"",BC28,ROUND(IF(I28-Q28&lt;=0,0,MIN(AU28,AI28*S28)),2))),"")</f>
        <v/>
      </c>
      <c r="AO28" s="821"/>
      <c r="AP28" s="821"/>
      <c r="AQ28" s="822"/>
      <c r="AU28" s="813" t="str">
        <f t="shared" ref="AU28" si="45">IF(OR(I28="",Q28="",S28="",U28="",Y28="",AB28="",AE28="",AG28=""),"",IF(AK28=0,"",(ROUND((AE28+AG28)*S28,2))))</f>
        <v/>
      </c>
      <c r="AV28" s="818" t="str">
        <f>IFERROR(IF(OR(I28="",Q28="",S28="",U28="",Y28="",AB28="",AE28="",AG28="",AK28=0),"",IF(ISNUMBER(SEARCH("Exterior",K28)),0,ROUND(((I28-Q28)*S28/1000)*INDEX(LightingWHF[Coincidence Factor CF],MATCH(M02S02F26,LightingWHF[Building/Space Type],0))*
IF(OR(M02S02F32="AC with Natural Gas Heat",M02S02F32="AC with Electric Heat",M02S02F32="Heat Pump"),INDEX(LightingWHF[Waste Heat Cooling Demand WHFd],MATCH(M02S02F26,LightingWHF[Building/Space Type],0)),1),3))),"")</f>
        <v/>
      </c>
      <c r="AW28" s="816" t="str">
        <f t="shared" ref="AW28" si="46">IF(OR(I28="",Q28="",S28="",U28="",Y28="",AB28="",AE28="",AG28=""),"",ROUND(I28*S28*AB28/1000,0))</f>
        <v/>
      </c>
      <c r="AX28" s="816" t="str">
        <f t="shared" ref="AX28" si="47">IF(OR(I28="",Q28="",S28="",U28="",Y28="",AB28="",AE28="",AG28=""),"",ROUND(Q28*S28*AB28/1000,0))</f>
        <v/>
      </c>
      <c r="AY28" s="816" t="str">
        <f>IF(OR(I28="",Q28="",S28="",U28="",Y28="",AB28="",AE28="",AG28=""),"",ROUND(IF(ISNUMBER(SEARCH("Exterior",K28)),0,IF(M02S02F46="Electric Only",0,IF(OR(M02S02F32="AC with Natural Gas Heat",M02S02F32="Natural Gas Heat Only"),(((I28-Q28)/1000)*S28*AB28*-INDEX(LightingWHF[Waste Heat Gas Heating IFTherms],MATCH(M02S02F26,LightingWHF[Building/Space Type],0))),0))),0))</f>
        <v/>
      </c>
      <c r="AZ28" s="816" t="str">
        <f>IF(OR(I28="",Q28="",S28="",U28="",Y28="",AB28="",AE28="",AG28=""),"",IF(M02S02F46="Gas Only",0,IF(ISNUMBER(SEARCH("Exterior",K28)),0,IF(M02S02F32="Heat Pump",(((I28-Q28)/1000)*S28*AB28*-INDEX(LightingWHF[Waste Heat Electric Heat Pump Heating IFkWh],MATCH(M02S02F26,LightingWHF[Building/Space Type],0))),
IF(OR(M02S02F32="AC with Electric Heat",M02S02F32="Electric Heat Only"),(((I28-Q28)/1000)*S28*AB28*-INDEX(LightingWHF[Waste Heat Electric Resistance Heating IFkWh],MATCH(M02S02F26,LightingWHF[Building/Space Type],0))),0
)))))</f>
        <v/>
      </c>
      <c r="BA28" s="815" t="str">
        <f>IF(OR(I28="",Q28="",S28="",U28="",Y28="",AB28="",AE28="",AG28=""),"",IF(M02S02F46="Gas Only",0,IF(ISNUMBER(SEARCH("Exterior",K28)),1,IF(OR(M02S02F32="Heat Pump",M02S02F32="AC with Natural Gas Heat",M02S02F32="AC with Electric Heat"),(INDEX(LightingWHF[Waste Heat Cooling Energy WHFe],MATCH(M02S02F26,LightingWHF[Building/Space Type],0))),1))))</f>
        <v/>
      </c>
      <c r="BB28" s="815" t="str">
        <f t="shared" ref="BB28" si="48">IF(OR(I28="",Q28="",S28="",U28="",Y28="",AB28="",AE28="",AG28=""),"",IF(ISNUMBER(SEARCH("LLLC",K28)),((S28*Q28)/1000)*AB28*(0.49-0)*BA28,IF(ISNUMBER(SEARCH("sensor",K28)),((S28*Q28)/1000)*AB28*(0.24-0)*BA28,0)))</f>
        <v/>
      </c>
      <c r="BC28" s="830" t="str">
        <f>IFERROR(IF(OR(C28="",I28="",K28="",Q28="",S28="",U28="",Y28="",AB28="",AE28="",AG28=""),"",IF(OR(ISBLANK(M02S02F26),ISBLANK(M02S02F32),ISBLANK(M02S02F46)),MEASUREBLDG,IF((I28*S28)&lt;=(Q28*S28),MEASURESAVE,""))),MEASURESUBMIT)</f>
        <v/>
      </c>
      <c r="BE28" s="811" t="str">
        <f ca="1">IF(OR(I28="",Q28="",S28="",U28="",Y28="",AB28="",AE28="",AG28=""),"",IF('M01-S01'!$V$82&lt;TODAY(),0,IF(M02S02F46="Gas Only",0,IF(OR(AK28="",AK28&lt;0,AU28&lt;=AN28),0,IF(BF28&gt;0,MIN(AU28-AN28-BF28,ROUND((AN28+BF28)*0.2,2)),MIN(AU28-AN28,ROUND(AN28*0.2,2)))))))</f>
        <v/>
      </c>
      <c r="BF28" s="811" t="str">
        <f ca="1">IF(OR(I28="",Q28="",S28="",U28="",Y28="",AB28="",AE28="",AG28=""),"",IF('M01-S01'!$V$82&lt;TODAY(),0,IF(MSF20258="Gas Only",0,IF(OR(AK28="",AK28&lt;0,AU28&lt;=AN28),0,IF(ISNUMBER(SEARCH("LED Tube Relamp",K28)),MIN(AU28-AN28,ROUND(IF(ISNUMBER(SEARCH("1-Lamp 4FT Fluor.",C28)),(S28*2),0),2)),0)))))</f>
        <v/>
      </c>
      <c r="BG28" s="811" t="str">
        <f ca="1">IF(OR(I28="",Q28="",S28="",U28="",Y28="",AB28="",AE28="",AG28=""),"",IF('M01-S01'!$V$82&lt;TODAY(),0,IF(MSF20258="Gas Only",0,IF(OR(AK28="",AK28&lt;0,AU28&lt;=AN28),0,IF(ISNUMBER(SEARCH("LED Tube Relamp",K28)),MIN(AU28-AN28,ROUND(IF(ISNUMBER(SEARCH("1-Lamp 4FT HO Fluor.",C28)),(S28*1),0),2)),0)))))</f>
        <v/>
      </c>
    </row>
    <row r="29" spans="2:60" ht="15.95" customHeight="1">
      <c r="B29" s="834"/>
      <c r="C29" s="840"/>
      <c r="D29" s="841"/>
      <c r="E29" s="841"/>
      <c r="F29" s="841"/>
      <c r="G29" s="841"/>
      <c r="H29" s="842"/>
      <c r="I29" s="845"/>
      <c r="J29" s="846"/>
      <c r="K29" s="848"/>
      <c r="L29" s="841"/>
      <c r="M29" s="841"/>
      <c r="N29" s="841"/>
      <c r="O29" s="841"/>
      <c r="P29" s="842"/>
      <c r="Q29" s="845"/>
      <c r="R29" s="850"/>
      <c r="S29" s="853"/>
      <c r="T29" s="854"/>
      <c r="U29" s="840"/>
      <c r="V29" s="841"/>
      <c r="W29" s="841"/>
      <c r="X29" s="842"/>
      <c r="Y29" s="856"/>
      <c r="Z29" s="841"/>
      <c r="AA29" s="842"/>
      <c r="AB29" s="853"/>
      <c r="AC29" s="858"/>
      <c r="AD29" s="854"/>
      <c r="AE29" s="861"/>
      <c r="AF29" s="862"/>
      <c r="AG29" s="865"/>
      <c r="AH29" s="875"/>
      <c r="AI29" s="869"/>
      <c r="AJ29" s="870"/>
      <c r="AK29" s="828"/>
      <c r="AL29" s="829"/>
      <c r="AM29" s="833"/>
      <c r="AN29" s="823"/>
      <c r="AO29" s="824"/>
      <c r="AP29" s="824"/>
      <c r="AQ29" s="825"/>
      <c r="AU29" s="814"/>
      <c r="AV29" s="819"/>
      <c r="AW29" s="817"/>
      <c r="AX29" s="817"/>
      <c r="AY29" s="817"/>
      <c r="AZ29" s="817"/>
      <c r="BA29" s="812"/>
      <c r="BB29" s="812"/>
      <c r="BC29" s="831"/>
      <c r="BE29" s="812"/>
      <c r="BF29" s="812"/>
      <c r="BG29" s="812"/>
    </row>
    <row r="30" spans="2:60" ht="15.95" customHeight="1">
      <c r="B30" s="834">
        <v>8</v>
      </c>
      <c r="C30" s="871"/>
      <c r="D30" s="872"/>
      <c r="E30" s="872"/>
      <c r="F30" s="872"/>
      <c r="G30" s="872"/>
      <c r="H30" s="873"/>
      <c r="I30" s="843" t="str">
        <f>IFERROR(IF(C30="","",IF(INDEX(PMELIGHTTYPE[Base Autofill],MATCH(C30,PMELIGHTTYPE[Base Desc 1],0))="","",INDEX(PMELIGHTTYPE[Base Autofill],MATCH(C30,PMELIGHTTYPE[Base Desc 1],0)))),"")</f>
        <v/>
      </c>
      <c r="J30" s="844"/>
      <c r="K30" s="847"/>
      <c r="L30" s="838"/>
      <c r="M30" s="838"/>
      <c r="N30" s="838"/>
      <c r="O30" s="838"/>
      <c r="P30" s="839"/>
      <c r="Q30" s="843" t="str">
        <f t="shared" ref="Q30" si="49">IFERROR(IF(ISNUMBER(SEARCH("Removed",K30)),0,""),"")</f>
        <v/>
      </c>
      <c r="R30" s="849"/>
      <c r="S30" s="851"/>
      <c r="T30" s="852"/>
      <c r="U30" s="837"/>
      <c r="V30" s="838"/>
      <c r="W30" s="838"/>
      <c r="X30" s="839"/>
      <c r="Y30" s="855"/>
      <c r="Z30" s="838"/>
      <c r="AA30" s="839"/>
      <c r="AB30" s="851"/>
      <c r="AC30" s="857"/>
      <c r="AD30" s="852"/>
      <c r="AE30" s="859" t="str">
        <f t="shared" ref="AE30" si="50">IF(ISNUMBER(SEARCH("Removed",K30)),0,"")</f>
        <v/>
      </c>
      <c r="AF30" s="860"/>
      <c r="AG30" s="863"/>
      <c r="AH30" s="874"/>
      <c r="AI30" s="867" t="str">
        <f>IFERROR(IF(K30="","",IF(C30&lt;&gt;INDEX(PMELIGHT[Base Desc 1],MATCH(K30,PMELIGHT[Eff Desc 1],0)),0,INDEX(PMELIGHT[Inc Rate Unit],MATCH(K30,PMELIGHT[Eff Desc 1],0)))),"")</f>
        <v/>
      </c>
      <c r="AJ30" s="868"/>
      <c r="AK30" s="826" t="str">
        <f t="shared" ref="AK30" si="51">IFERROR(IF(OR(C30="",I30="",K30="",Q30="",S30="",U30="",Y30="",AB30="",AE30="",AG30=""),"",IFERROR(ROUND(IF(I30-Q30&lt;=0,0,((((I30-Q30)*S30*AB30/1000)+AZ30)*BA30)+BB30),2),"")),"")</f>
        <v/>
      </c>
      <c r="AL30" s="827"/>
      <c r="AM30" s="832"/>
      <c r="AN30" s="820" t="str">
        <f t="shared" ref="AN30" si="52">IFERROR(IF(OR(C30="",I30="",K30="",Q30="",S30="",U30="",Y30="",AB30="",AE30="",AG30=""),"",IF(BC30&lt;&gt;"",BC30,ROUND(IF(I30-Q30&lt;=0,0,MIN(AU30,AI30*S30)),2))),"")</f>
        <v/>
      </c>
      <c r="AO30" s="821"/>
      <c r="AP30" s="821"/>
      <c r="AQ30" s="822"/>
      <c r="AU30" s="813" t="str">
        <f t="shared" ref="AU30" si="53">IF(OR(I30="",Q30="",S30="",U30="",Y30="",AB30="",AE30="",AG30=""),"",IF(AK30=0,"",(ROUND((AE30+AG30)*S30,2))))</f>
        <v/>
      </c>
      <c r="AV30" s="818" t="str">
        <f>IFERROR(IF(OR(I30="",Q30="",S30="",U30="",Y30="",AB30="",AE30="",AG30="",AK30=0),"",IF(ISNUMBER(SEARCH("Exterior",K30)),0,ROUND(((I30-Q30)*S30/1000)*INDEX(LightingWHF[Coincidence Factor CF],MATCH(M02S02F26,LightingWHF[Building/Space Type],0))*
IF(OR(M02S02F32="AC with Natural Gas Heat",M02S02F32="AC with Electric Heat",M02S02F32="Heat Pump"),INDEX(LightingWHF[Waste Heat Cooling Demand WHFd],MATCH(M02S02F26,LightingWHF[Building/Space Type],0)),1),3))),"")</f>
        <v/>
      </c>
      <c r="AW30" s="816" t="str">
        <f t="shared" ref="AW30" si="54">IF(OR(I30="",Q30="",S30="",U30="",Y30="",AB30="",AE30="",AG30=""),"",ROUND(I30*S30*AB30/1000,0))</f>
        <v/>
      </c>
      <c r="AX30" s="816" t="str">
        <f t="shared" ref="AX30" si="55">IF(OR(I30="",Q30="",S30="",U30="",Y30="",AB30="",AE30="",AG30=""),"",ROUND(Q30*S30*AB30/1000,0))</f>
        <v/>
      </c>
      <c r="AY30" s="816" t="str">
        <f>IF(OR(I30="",Q30="",S30="",U30="",Y30="",AB30="",AE30="",AG30=""),"",ROUND(IF(ISNUMBER(SEARCH("Exterior",K30)),0,IF(M02S02F46="Electric Only",0,IF(OR(M02S02F32="AC with Natural Gas Heat",M02S02F32="Natural Gas Heat Only"),(((I30-Q30)/1000)*S30*AB30*-INDEX(LightingWHF[Waste Heat Gas Heating IFTherms],MATCH(M02S02F26,LightingWHF[Building/Space Type],0))),0))),0))</f>
        <v/>
      </c>
      <c r="AZ30" s="816" t="str">
        <f>IF(OR(I30="",Q30="",S30="",U30="",Y30="",AB30="",AE30="",AG30=""),"",IF(M02S02F46="Gas Only",0,IF(ISNUMBER(SEARCH("Exterior",K30)),0,IF(M02S02F32="Heat Pump",(((I30-Q30)/1000)*S30*AB30*-INDEX(LightingWHF[Waste Heat Electric Heat Pump Heating IFkWh],MATCH(M02S02F26,LightingWHF[Building/Space Type],0))),
IF(OR(M02S02F32="AC with Electric Heat",M02S02F32="Electric Heat Only"),(((I30-Q30)/1000)*S30*AB30*-INDEX(LightingWHF[Waste Heat Electric Resistance Heating IFkWh],MATCH(M02S02F26,LightingWHF[Building/Space Type],0))),0
)))))</f>
        <v/>
      </c>
      <c r="BA30" s="815" t="str">
        <f>IF(OR(I30="",Q30="",S30="",U30="",Y30="",AB30="",AE30="",AG30=""),"",IF(M02S02F46="Gas Only",0,IF(ISNUMBER(SEARCH("Exterior",K30)),1,IF(OR(M02S02F32="Heat Pump",M02S02F32="AC with Natural Gas Heat",M02S02F32="AC with Electric Heat"),(INDEX(LightingWHF[Waste Heat Cooling Energy WHFe],MATCH(M02S02F26,LightingWHF[Building/Space Type],0))),1))))</f>
        <v/>
      </c>
      <c r="BB30" s="815" t="str">
        <f t="shared" ref="BB30" si="56">IF(OR(I30="",Q30="",S30="",U30="",Y30="",AB30="",AE30="",AG30=""),"",IF(ISNUMBER(SEARCH("LLLC",K30)),((S30*Q30)/1000)*AB30*(0.49-0)*BA30,IF(ISNUMBER(SEARCH("sensor",K30)),((S30*Q30)/1000)*AB30*(0.24-0)*BA30,0)))</f>
        <v/>
      </c>
      <c r="BC30" s="830" t="str">
        <f>IFERROR(IF(OR(C30="",I30="",K30="",Q30="",S30="",U30="",Y30="",AB30="",AE30="",AG30=""),"",IF(OR(ISBLANK(M02S02F26),ISBLANK(M02S02F32),ISBLANK(M02S02F46)),MEASUREBLDG,IF((I30*S30)&lt;=(Q30*S30),MEASURESAVE,""))),MEASURESUBMIT)</f>
        <v/>
      </c>
      <c r="BE30" s="811" t="str">
        <f ca="1">IF(OR(I30="",Q30="",S30="",U30="",Y30="",AB30="",AE30="",AG30=""),"",IF('M01-S01'!$V$82&lt;TODAY(),0,IF(M02S02F46="Gas Only",0,IF(OR(AK30="",AK30&lt;0,AU30&lt;=AN30),0,IF(BF30&gt;0,MIN(AU30-AN30-BF30,ROUND((AN30+BF30)*0.2,2)),MIN(AU30-AN30,ROUND(AN30*0.2,2)))))))</f>
        <v/>
      </c>
      <c r="BF30" s="811" t="str">
        <f ca="1">IF(OR(I30="",Q30="",S30="",U30="",Y30="",AB30="",AE30="",AG30=""),"",IF('M01-S01'!$V$82&lt;TODAY(),0,IF(MSF20260="Gas Only",0,IF(OR(AK30="",AK30&lt;0,AU30&lt;=AN30),0,IF(ISNUMBER(SEARCH("LED Tube Relamp",K30)),MIN(AU30-AN30,ROUND(IF(ISNUMBER(SEARCH("1-Lamp 4FT Fluor.",C30)),(S30*2),0),2)),0)))))</f>
        <v/>
      </c>
      <c r="BG30" s="811" t="str">
        <f ca="1">IF(OR(I30="",Q30="",S30="",U30="",Y30="",AB30="",AE30="",AG30=""),"",IF('M01-S01'!$V$82&lt;TODAY(),0,IF(MSF20260="Gas Only",0,IF(OR(AK30="",AK30&lt;0,AU30&lt;=AN30),0,IF(ISNUMBER(SEARCH("LED Tube Relamp",K30)),MIN(AU30-AN30,ROUND(IF(ISNUMBER(SEARCH("1-Lamp 4FT HO Fluor.",C30)),(S30*1),0),2)),0)))))</f>
        <v/>
      </c>
    </row>
    <row r="31" spans="2:60" ht="15.95" customHeight="1">
      <c r="B31" s="834"/>
      <c r="C31" s="840"/>
      <c r="D31" s="841"/>
      <c r="E31" s="841"/>
      <c r="F31" s="841"/>
      <c r="G31" s="841"/>
      <c r="H31" s="842"/>
      <c r="I31" s="845"/>
      <c r="J31" s="846"/>
      <c r="K31" s="848"/>
      <c r="L31" s="841"/>
      <c r="M31" s="841"/>
      <c r="N31" s="841"/>
      <c r="O31" s="841"/>
      <c r="P31" s="842"/>
      <c r="Q31" s="845"/>
      <c r="R31" s="850"/>
      <c r="S31" s="853"/>
      <c r="T31" s="854"/>
      <c r="U31" s="840"/>
      <c r="V31" s="841"/>
      <c r="W31" s="841"/>
      <c r="X31" s="842"/>
      <c r="Y31" s="856"/>
      <c r="Z31" s="841"/>
      <c r="AA31" s="842"/>
      <c r="AB31" s="853"/>
      <c r="AC31" s="858"/>
      <c r="AD31" s="854"/>
      <c r="AE31" s="861"/>
      <c r="AF31" s="862"/>
      <c r="AG31" s="865"/>
      <c r="AH31" s="875"/>
      <c r="AI31" s="869"/>
      <c r="AJ31" s="870"/>
      <c r="AK31" s="828"/>
      <c r="AL31" s="829"/>
      <c r="AM31" s="833"/>
      <c r="AN31" s="823"/>
      <c r="AO31" s="824"/>
      <c r="AP31" s="824"/>
      <c r="AQ31" s="825"/>
      <c r="AU31" s="814"/>
      <c r="AV31" s="819"/>
      <c r="AW31" s="817"/>
      <c r="AX31" s="817"/>
      <c r="AY31" s="817"/>
      <c r="AZ31" s="817"/>
      <c r="BA31" s="812"/>
      <c r="BB31" s="812"/>
      <c r="BC31" s="831"/>
      <c r="BE31" s="812"/>
      <c r="BF31" s="812"/>
      <c r="BG31" s="812"/>
    </row>
    <row r="32" spans="2:60" ht="15.95" customHeight="1">
      <c r="B32" s="834">
        <v>9</v>
      </c>
      <c r="C32" s="871"/>
      <c r="D32" s="872"/>
      <c r="E32" s="872"/>
      <c r="F32" s="872"/>
      <c r="G32" s="872"/>
      <c r="H32" s="873"/>
      <c r="I32" s="843" t="str">
        <f>IFERROR(IF(C32="","",IF(INDEX(PMELIGHTTYPE[Base Autofill],MATCH(C32,PMELIGHTTYPE[Base Desc 1],0))="","",INDEX(PMELIGHTTYPE[Base Autofill],MATCH(C32,PMELIGHTTYPE[Base Desc 1],0)))),"")</f>
        <v/>
      </c>
      <c r="J32" s="844"/>
      <c r="K32" s="847"/>
      <c r="L32" s="838"/>
      <c r="M32" s="838"/>
      <c r="N32" s="838"/>
      <c r="O32" s="838"/>
      <c r="P32" s="839"/>
      <c r="Q32" s="843" t="str">
        <f t="shared" ref="Q32" si="57">IFERROR(IF(ISNUMBER(SEARCH("Removed",K32)),0,""),"")</f>
        <v/>
      </c>
      <c r="R32" s="849"/>
      <c r="S32" s="851"/>
      <c r="T32" s="852"/>
      <c r="U32" s="837"/>
      <c r="V32" s="838"/>
      <c r="W32" s="838"/>
      <c r="X32" s="839"/>
      <c r="Y32" s="855"/>
      <c r="Z32" s="838"/>
      <c r="AA32" s="839"/>
      <c r="AB32" s="851"/>
      <c r="AC32" s="857"/>
      <c r="AD32" s="852"/>
      <c r="AE32" s="859" t="str">
        <f t="shared" ref="AE32" si="58">IF(ISNUMBER(SEARCH("Removed",K32)),0,"")</f>
        <v/>
      </c>
      <c r="AF32" s="860"/>
      <c r="AG32" s="863"/>
      <c r="AH32" s="874"/>
      <c r="AI32" s="867" t="str">
        <f>IFERROR(IF(K32="","",IF(C32&lt;&gt;INDEX(PMELIGHT[Base Desc 1],MATCH(K32,PMELIGHT[Eff Desc 1],0)),0,INDEX(PMELIGHT[Inc Rate Unit],MATCH(K32,PMELIGHT[Eff Desc 1],0)))),"")</f>
        <v/>
      </c>
      <c r="AJ32" s="868"/>
      <c r="AK32" s="826" t="str">
        <f t="shared" ref="AK32" si="59">IFERROR(IF(OR(C32="",I32="",K32="",Q32="",S32="",U32="",Y32="",AB32="",AE32="",AG32=""),"",IFERROR(ROUND(IF(I32-Q32&lt;=0,0,((((I32-Q32)*S32*AB32/1000)+AZ32)*BA32)+BB32),2),"")),"")</f>
        <v/>
      </c>
      <c r="AL32" s="827"/>
      <c r="AM32" s="832"/>
      <c r="AN32" s="820" t="str">
        <f t="shared" ref="AN32" si="60">IFERROR(IF(OR(C32="",I32="",K32="",Q32="",S32="",U32="",Y32="",AB32="",AE32="",AG32=""),"",IF(BC32&lt;&gt;"",BC32,ROUND(IF(I32-Q32&lt;=0,0,MIN(AU32,AI32*S32)),2))),"")</f>
        <v/>
      </c>
      <c r="AO32" s="821"/>
      <c r="AP32" s="821"/>
      <c r="AQ32" s="822"/>
      <c r="AU32" s="813" t="str">
        <f t="shared" ref="AU32" si="61">IF(OR(I32="",Q32="",S32="",U32="",Y32="",AB32="",AE32="",AG32=""),"",IF(AK32=0,"",(ROUND((AE32+AG32)*S32,2))))</f>
        <v/>
      </c>
      <c r="AV32" s="818" t="str">
        <f>IFERROR(IF(OR(I32="",Q32="",S32="",U32="",Y32="",AB32="",AE32="",AG32="",AK32=0),"",IF(ISNUMBER(SEARCH("Exterior",K32)),0,ROUND(((I32-Q32)*S32/1000)*INDEX(LightingWHF[Coincidence Factor CF],MATCH(M02S02F26,LightingWHF[Building/Space Type],0))*
IF(OR(M02S02F32="AC with Natural Gas Heat",M02S02F32="AC with Electric Heat",M02S02F32="Heat Pump"),INDEX(LightingWHF[Waste Heat Cooling Demand WHFd],MATCH(M02S02F26,LightingWHF[Building/Space Type],0)),1),3))),"")</f>
        <v/>
      </c>
      <c r="AW32" s="816" t="str">
        <f t="shared" ref="AW32" si="62">IF(OR(I32="",Q32="",S32="",U32="",Y32="",AB32="",AE32="",AG32=""),"",ROUND(I32*S32*AB32/1000,0))</f>
        <v/>
      </c>
      <c r="AX32" s="816" t="str">
        <f t="shared" ref="AX32" si="63">IF(OR(I32="",Q32="",S32="",U32="",Y32="",AB32="",AE32="",AG32=""),"",ROUND(Q32*S32*AB32/1000,0))</f>
        <v/>
      </c>
      <c r="AY32" s="816" t="str">
        <f>IF(OR(I32="",Q32="",S32="",U32="",Y32="",AB32="",AE32="",AG32=""),"",ROUND(IF(ISNUMBER(SEARCH("Exterior",K32)),0,IF(M02S02F46="Electric Only",0,IF(OR(M02S02F32="AC with Natural Gas Heat",M02S02F32="Natural Gas Heat Only"),(((I32-Q32)/1000)*S32*AB32*-INDEX(LightingWHF[Waste Heat Gas Heating IFTherms],MATCH(M02S02F26,LightingWHF[Building/Space Type],0))),0))),0))</f>
        <v/>
      </c>
      <c r="AZ32" s="816" t="str">
        <f>IF(OR(I32="",Q32="",S32="",U32="",Y32="",AB32="",AE32="",AG32=""),"",IF(M02S02F46="Gas Only",0,IF(ISNUMBER(SEARCH("Exterior",K32)),0,IF(M02S02F32="Heat Pump",(((I32-Q32)/1000)*S32*AB32*-INDEX(LightingWHF[Waste Heat Electric Heat Pump Heating IFkWh],MATCH(M02S02F26,LightingWHF[Building/Space Type],0))),
IF(OR(M02S02F32="AC with Electric Heat",M02S02F32="Electric Heat Only"),(((I32-Q32)/1000)*S32*AB32*-INDEX(LightingWHF[Waste Heat Electric Resistance Heating IFkWh],MATCH(M02S02F26,LightingWHF[Building/Space Type],0))),0
)))))</f>
        <v/>
      </c>
      <c r="BA32" s="815" t="str">
        <f>IF(OR(I32="",Q32="",S32="",U32="",Y32="",AB32="",AE32="",AG32=""),"",IF(M02S02F46="Gas Only",0,IF(ISNUMBER(SEARCH("Exterior",K32)),1,IF(OR(M02S02F32="Heat Pump",M02S02F32="AC with Natural Gas Heat",M02S02F32="AC with Electric Heat"),(INDEX(LightingWHF[Waste Heat Cooling Energy WHFe],MATCH(M02S02F26,LightingWHF[Building/Space Type],0))),1))))</f>
        <v/>
      </c>
      <c r="BB32" s="815" t="str">
        <f t="shared" ref="BB32" si="64">IF(OR(I32="",Q32="",S32="",U32="",Y32="",AB32="",AE32="",AG32=""),"",IF(ISNUMBER(SEARCH("LLLC",K32)),((S32*Q32)/1000)*AB32*(0.49-0)*BA32,IF(ISNUMBER(SEARCH("sensor",K32)),((S32*Q32)/1000)*AB32*(0.24-0)*BA32,0)))</f>
        <v/>
      </c>
      <c r="BC32" s="830" t="str">
        <f>IFERROR(IF(OR(C32="",I32="",K32="",Q32="",S32="",U32="",Y32="",AB32="",AE32="",AG32=""),"",IF(OR(ISBLANK(M02S02F26),ISBLANK(M02S02F32),ISBLANK(M02S02F46)),MEASUREBLDG,IF((I32*S32)&lt;=(Q32*S32),MEASURESAVE,""))),MEASURESUBMIT)</f>
        <v/>
      </c>
      <c r="BE32" s="811" t="str">
        <f ca="1">IF(OR(I32="",Q32="",S32="",U32="",Y32="",AB32="",AE32="",AG32=""),"",IF('M01-S01'!$V$82&lt;TODAY(),0,IF(M02S02F46="Gas Only",0,IF(OR(AK32="",AK32&lt;0,AU32&lt;=AN32),0,IF(BF32&gt;0,MIN(AU32-AN32-BF32,ROUND((AN32+BF32)*0.2,2)),MIN(AU32-AN32,ROUND(AN32*0.2,2)))))))</f>
        <v/>
      </c>
      <c r="BF32" s="811" t="str">
        <f ca="1">IF(OR(I32="",Q32="",S32="",U32="",Y32="",AB32="",AE32="",AG32=""),"",IF('M01-S01'!$V$82&lt;TODAY(),0,IF(MSF20262="Gas Only",0,IF(OR(AK32="",AK32&lt;0,AU32&lt;=AN32),0,IF(ISNUMBER(SEARCH("LED Tube Relamp",K32)),MIN(AU32-AN32,ROUND(IF(ISNUMBER(SEARCH("1-Lamp 4FT Fluor.",C32)),(S32*2),0),2)),0)))))</f>
        <v/>
      </c>
      <c r="BG32" s="811" t="str">
        <f ca="1">IF(OR(I32="",Q32="",S32="",U32="",Y32="",AB32="",AE32="",AG32=""),"",IF('M01-S01'!$V$82&lt;TODAY(),0,IF(MSF20262="Gas Only",0,IF(OR(AK32="",AK32&lt;0,AU32&lt;=AN32),0,IF(ISNUMBER(SEARCH("LED Tube Relamp",K32)),MIN(AU32-AN32,ROUND(IF(ISNUMBER(SEARCH("1-Lamp 4FT HO Fluor.",C32)),(S32*1),0),2)),0)))))</f>
        <v/>
      </c>
    </row>
    <row r="33" spans="2:59" ht="15.95" customHeight="1">
      <c r="B33" s="834"/>
      <c r="C33" s="840"/>
      <c r="D33" s="841"/>
      <c r="E33" s="841"/>
      <c r="F33" s="841"/>
      <c r="G33" s="841"/>
      <c r="H33" s="842"/>
      <c r="I33" s="845"/>
      <c r="J33" s="846"/>
      <c r="K33" s="848"/>
      <c r="L33" s="841"/>
      <c r="M33" s="841"/>
      <c r="N33" s="841"/>
      <c r="O33" s="841"/>
      <c r="P33" s="842"/>
      <c r="Q33" s="845"/>
      <c r="R33" s="850"/>
      <c r="S33" s="853"/>
      <c r="T33" s="854"/>
      <c r="U33" s="840"/>
      <c r="V33" s="841"/>
      <c r="W33" s="841"/>
      <c r="X33" s="842"/>
      <c r="Y33" s="856"/>
      <c r="Z33" s="841"/>
      <c r="AA33" s="842"/>
      <c r="AB33" s="853"/>
      <c r="AC33" s="858"/>
      <c r="AD33" s="854"/>
      <c r="AE33" s="861"/>
      <c r="AF33" s="862"/>
      <c r="AG33" s="865"/>
      <c r="AH33" s="875"/>
      <c r="AI33" s="869"/>
      <c r="AJ33" s="870"/>
      <c r="AK33" s="828"/>
      <c r="AL33" s="829"/>
      <c r="AM33" s="833"/>
      <c r="AN33" s="823"/>
      <c r="AO33" s="824"/>
      <c r="AP33" s="824"/>
      <c r="AQ33" s="825"/>
      <c r="AU33" s="814"/>
      <c r="AV33" s="819"/>
      <c r="AW33" s="817"/>
      <c r="AX33" s="817"/>
      <c r="AY33" s="817"/>
      <c r="AZ33" s="817"/>
      <c r="BA33" s="812"/>
      <c r="BB33" s="812"/>
      <c r="BC33" s="831"/>
      <c r="BE33" s="812"/>
      <c r="BF33" s="812"/>
      <c r="BG33" s="812"/>
    </row>
    <row r="34" spans="2:59" ht="15.95" customHeight="1">
      <c r="B34" s="834">
        <v>10</v>
      </c>
      <c r="C34" s="871"/>
      <c r="D34" s="872"/>
      <c r="E34" s="872"/>
      <c r="F34" s="872"/>
      <c r="G34" s="872"/>
      <c r="H34" s="873"/>
      <c r="I34" s="843" t="str">
        <f>IFERROR(IF(C34="","",IF(INDEX(PMELIGHTTYPE[Base Autofill],MATCH(C34,PMELIGHTTYPE[Base Desc 1],0))="","",INDEX(PMELIGHTTYPE[Base Autofill],MATCH(C34,PMELIGHTTYPE[Base Desc 1],0)))),"")</f>
        <v/>
      </c>
      <c r="J34" s="844"/>
      <c r="K34" s="847"/>
      <c r="L34" s="838"/>
      <c r="M34" s="838"/>
      <c r="N34" s="838"/>
      <c r="O34" s="838"/>
      <c r="P34" s="839"/>
      <c r="Q34" s="843" t="str">
        <f t="shared" ref="Q34" si="65">IFERROR(IF(ISNUMBER(SEARCH("Removed",K34)),0,""),"")</f>
        <v/>
      </c>
      <c r="R34" s="849"/>
      <c r="S34" s="851"/>
      <c r="T34" s="852"/>
      <c r="U34" s="837"/>
      <c r="V34" s="838"/>
      <c r="W34" s="838"/>
      <c r="X34" s="839"/>
      <c r="Y34" s="855"/>
      <c r="Z34" s="838"/>
      <c r="AA34" s="839"/>
      <c r="AB34" s="851"/>
      <c r="AC34" s="857"/>
      <c r="AD34" s="852"/>
      <c r="AE34" s="859" t="str">
        <f t="shared" ref="AE34" si="66">IF(ISNUMBER(SEARCH("Removed",K34)),0,"")</f>
        <v/>
      </c>
      <c r="AF34" s="860"/>
      <c r="AG34" s="863"/>
      <c r="AH34" s="874"/>
      <c r="AI34" s="867" t="str">
        <f>IFERROR(IF(K34="","",IF(C34&lt;&gt;INDEX(PMELIGHT[Base Desc 1],MATCH(K34,PMELIGHT[Eff Desc 1],0)),0,INDEX(PMELIGHT[Inc Rate Unit],MATCH(K34,PMELIGHT[Eff Desc 1],0)))),"")</f>
        <v/>
      </c>
      <c r="AJ34" s="868"/>
      <c r="AK34" s="826" t="str">
        <f t="shared" ref="AK34" si="67">IFERROR(IF(OR(C34="",I34="",K34="",Q34="",S34="",U34="",Y34="",AB34="",AE34="",AG34=""),"",IFERROR(ROUND(IF(I34-Q34&lt;=0,0,((((I34-Q34)*S34*AB34/1000)+AZ34)*BA34)+BB34),2),"")),"")</f>
        <v/>
      </c>
      <c r="AL34" s="827"/>
      <c r="AM34" s="832"/>
      <c r="AN34" s="820" t="str">
        <f t="shared" ref="AN34" si="68">IFERROR(IF(OR(C34="",I34="",K34="",Q34="",S34="",U34="",Y34="",AB34="",AE34="",AG34=""),"",IF(BC34&lt;&gt;"",BC34,ROUND(IF(I34-Q34&lt;=0,0,MIN(AU34,AI34*S34)),2))),"")</f>
        <v/>
      </c>
      <c r="AO34" s="821"/>
      <c r="AP34" s="821"/>
      <c r="AQ34" s="822"/>
      <c r="AU34" s="813" t="str">
        <f t="shared" ref="AU34" si="69">IF(OR(I34="",Q34="",S34="",U34="",Y34="",AB34="",AE34="",AG34=""),"",IF(AK34=0,"",(ROUND((AE34+AG34)*S34,2))))</f>
        <v/>
      </c>
      <c r="AV34" s="818" t="str">
        <f>IFERROR(IF(OR(I34="",Q34="",S34="",U34="",Y34="",AB34="",AE34="",AG34="",AK34=0),"",IF(ISNUMBER(SEARCH("Exterior",K34)),0,ROUND(((I34-Q34)*S34/1000)*INDEX(LightingWHF[Coincidence Factor CF],MATCH(M02S02F26,LightingWHF[Building/Space Type],0))*
IF(OR(M02S02F32="AC with Natural Gas Heat",M02S02F32="AC with Electric Heat",M02S02F32="Heat Pump"),INDEX(LightingWHF[Waste Heat Cooling Demand WHFd],MATCH(M02S02F26,LightingWHF[Building/Space Type],0)),1),3))),"")</f>
        <v/>
      </c>
      <c r="AW34" s="816" t="str">
        <f t="shared" ref="AW34" si="70">IF(OR(I34="",Q34="",S34="",U34="",Y34="",AB34="",AE34="",AG34=""),"",ROUND(I34*S34*AB34/1000,0))</f>
        <v/>
      </c>
      <c r="AX34" s="816" t="str">
        <f t="shared" ref="AX34" si="71">IF(OR(I34="",Q34="",S34="",U34="",Y34="",AB34="",AE34="",AG34=""),"",ROUND(Q34*S34*AB34/1000,0))</f>
        <v/>
      </c>
      <c r="AY34" s="816" t="str">
        <f>IF(OR(I34="",Q34="",S34="",U34="",Y34="",AB34="",AE34="",AG34=""),"",ROUND(IF(ISNUMBER(SEARCH("Exterior",K34)),0,IF(M02S02F46="Electric Only",0,IF(OR(M02S02F32="AC with Natural Gas Heat",M02S02F32="Natural Gas Heat Only"),(((I34-Q34)/1000)*S34*AB34*-INDEX(LightingWHF[Waste Heat Gas Heating IFTherms],MATCH(M02S02F26,LightingWHF[Building/Space Type],0))),0))),0))</f>
        <v/>
      </c>
      <c r="AZ34" s="816" t="str">
        <f>IF(OR(I34="",Q34="",S34="",U34="",Y34="",AB34="",AE34="",AG34=""),"",IF(M02S02F46="Gas Only",0,IF(ISNUMBER(SEARCH("Exterior",K34)),0,IF(M02S02F32="Heat Pump",(((I34-Q34)/1000)*S34*AB34*-INDEX(LightingWHF[Waste Heat Electric Heat Pump Heating IFkWh],MATCH(M02S02F26,LightingWHF[Building/Space Type],0))),
IF(OR(M02S02F32="AC with Electric Heat",M02S02F32="Electric Heat Only"),(((I34-Q34)/1000)*S34*AB34*-INDEX(LightingWHF[Waste Heat Electric Resistance Heating IFkWh],MATCH(M02S02F26,LightingWHF[Building/Space Type],0))),0
)))))</f>
        <v/>
      </c>
      <c r="BA34" s="815" t="str">
        <f>IF(OR(I34="",Q34="",S34="",U34="",Y34="",AB34="",AE34="",AG34=""),"",IF(M02S02F46="Gas Only",0,IF(ISNUMBER(SEARCH("Exterior",K34)),1,IF(OR(M02S02F32="Heat Pump",M02S02F32="AC with Natural Gas Heat",M02S02F32="AC with Electric Heat"),(INDEX(LightingWHF[Waste Heat Cooling Energy WHFe],MATCH(M02S02F26,LightingWHF[Building/Space Type],0))),1))))</f>
        <v/>
      </c>
      <c r="BB34" s="815" t="str">
        <f t="shared" ref="BB34" si="72">IF(OR(I34="",Q34="",S34="",U34="",Y34="",AB34="",AE34="",AG34=""),"",IF(ISNUMBER(SEARCH("LLLC",K34)),((S34*Q34)/1000)*AB34*(0.49-0)*BA34,IF(ISNUMBER(SEARCH("sensor",K34)),((S34*Q34)/1000)*AB34*(0.24-0)*BA34,0)))</f>
        <v/>
      </c>
      <c r="BC34" s="830" t="str">
        <f>IFERROR(IF(OR(C34="",I34="",K34="",Q34="",S34="",U34="",Y34="",AB34="",AE34="",AG34=""),"",IF(OR(ISBLANK(M02S02F26),ISBLANK(M02S02F32),ISBLANK(M02S02F46)),MEASUREBLDG,IF((I34*S34)&lt;=(Q34*S34),MEASURESAVE,""))),MEASURESUBMIT)</f>
        <v/>
      </c>
      <c r="BE34" s="811" t="str">
        <f ca="1">IF(OR(I34="",Q34="",S34="",U34="",Y34="",AB34="",AE34="",AG34=""),"",IF('M01-S01'!$V$82&lt;TODAY(),0,IF(M02S02F46="Gas Only",0,IF(OR(AK34="",AK34&lt;0,AU34&lt;=AN34),0,IF(BF34&gt;0,MIN(AU34-AN34-BF34,ROUND((AN34+BF34)*0.2,2)),MIN(AU34-AN34,ROUND(AN34*0.2,2)))))))</f>
        <v/>
      </c>
      <c r="BF34" s="811" t="str">
        <f ca="1">IF(OR(I34="",Q34="",S34="",U34="",Y34="",AB34="",AE34="",AG34=""),"",IF('M01-S01'!$V$82&lt;TODAY(),0,IF(MSF20264="Gas Only",0,IF(OR(AK34="",AK34&lt;0,AU34&lt;=AN34),0,IF(ISNUMBER(SEARCH("LED Tube Relamp",K34)),MIN(AU34-AN34,ROUND(IF(ISNUMBER(SEARCH("1-Lamp 4FT Fluor.",C34)),(S34*2),0),2)),0)))))</f>
        <v/>
      </c>
      <c r="BG34" s="811" t="str">
        <f ca="1">IF(OR(I34="",Q34="",S34="",U34="",Y34="",AB34="",AE34="",AG34=""),"",IF('M01-S01'!$V$82&lt;TODAY(),0,IF(MSF20264="Gas Only",0,IF(OR(AK34="",AK34&lt;0,AU34&lt;=AN34),0,IF(ISNUMBER(SEARCH("LED Tube Relamp",K34)),MIN(AU34-AN34,ROUND(IF(ISNUMBER(SEARCH("1-Lamp 4FT HO Fluor.",C34)),(S34*1),0),2)),0)))))</f>
        <v/>
      </c>
    </row>
    <row r="35" spans="2:59" ht="15.95" customHeight="1">
      <c r="B35" s="834"/>
      <c r="C35" s="840"/>
      <c r="D35" s="841"/>
      <c r="E35" s="841"/>
      <c r="F35" s="841"/>
      <c r="G35" s="841"/>
      <c r="H35" s="842"/>
      <c r="I35" s="845"/>
      <c r="J35" s="846"/>
      <c r="K35" s="848"/>
      <c r="L35" s="841"/>
      <c r="M35" s="841"/>
      <c r="N35" s="841"/>
      <c r="O35" s="841"/>
      <c r="P35" s="842"/>
      <c r="Q35" s="845"/>
      <c r="R35" s="850"/>
      <c r="S35" s="853"/>
      <c r="T35" s="854"/>
      <c r="U35" s="840"/>
      <c r="V35" s="841"/>
      <c r="W35" s="841"/>
      <c r="X35" s="842"/>
      <c r="Y35" s="856"/>
      <c r="Z35" s="841"/>
      <c r="AA35" s="842"/>
      <c r="AB35" s="853"/>
      <c r="AC35" s="858"/>
      <c r="AD35" s="854"/>
      <c r="AE35" s="861"/>
      <c r="AF35" s="862"/>
      <c r="AG35" s="865"/>
      <c r="AH35" s="875"/>
      <c r="AI35" s="869"/>
      <c r="AJ35" s="870"/>
      <c r="AK35" s="828"/>
      <c r="AL35" s="829"/>
      <c r="AM35" s="833"/>
      <c r="AN35" s="823"/>
      <c r="AO35" s="824"/>
      <c r="AP35" s="824"/>
      <c r="AQ35" s="825"/>
      <c r="AU35" s="814"/>
      <c r="AV35" s="819"/>
      <c r="AW35" s="817"/>
      <c r="AX35" s="817"/>
      <c r="AY35" s="817"/>
      <c r="AZ35" s="817"/>
      <c r="BA35" s="812"/>
      <c r="BB35" s="812"/>
      <c r="BC35" s="831"/>
      <c r="BE35" s="812"/>
      <c r="BF35" s="812"/>
      <c r="BG35" s="812"/>
    </row>
    <row r="36" spans="2:59" ht="15.95" customHeight="1">
      <c r="B36" s="834">
        <v>11</v>
      </c>
      <c r="C36" s="871"/>
      <c r="D36" s="872"/>
      <c r="E36" s="872"/>
      <c r="F36" s="872"/>
      <c r="G36" s="872"/>
      <c r="H36" s="873"/>
      <c r="I36" s="843" t="str">
        <f>IFERROR(IF(C36="","",IF(INDEX(PMELIGHTTYPE[Base Autofill],MATCH(C36,PMELIGHTTYPE[Base Desc 1],0))="","",INDEX(PMELIGHTTYPE[Base Autofill],MATCH(C36,PMELIGHTTYPE[Base Desc 1],0)))),"")</f>
        <v/>
      </c>
      <c r="J36" s="844"/>
      <c r="K36" s="847"/>
      <c r="L36" s="838"/>
      <c r="M36" s="838"/>
      <c r="N36" s="838"/>
      <c r="O36" s="838"/>
      <c r="P36" s="839"/>
      <c r="Q36" s="843" t="str">
        <f t="shared" ref="Q36" si="73">IFERROR(IF(ISNUMBER(SEARCH("Removed",K36)),0,""),"")</f>
        <v/>
      </c>
      <c r="R36" s="849"/>
      <c r="S36" s="851"/>
      <c r="T36" s="852"/>
      <c r="U36" s="837"/>
      <c r="V36" s="838"/>
      <c r="W36" s="838"/>
      <c r="X36" s="839"/>
      <c r="Y36" s="855"/>
      <c r="Z36" s="838"/>
      <c r="AA36" s="839"/>
      <c r="AB36" s="851"/>
      <c r="AC36" s="857"/>
      <c r="AD36" s="852"/>
      <c r="AE36" s="859" t="str">
        <f t="shared" ref="AE36" si="74">IF(ISNUMBER(SEARCH("Removed",K36)),0,"")</f>
        <v/>
      </c>
      <c r="AF36" s="860"/>
      <c r="AG36" s="863"/>
      <c r="AH36" s="874"/>
      <c r="AI36" s="867" t="str">
        <f>IFERROR(IF(K36="","",IF(C36&lt;&gt;INDEX(PMELIGHT[Base Desc 1],MATCH(K36,PMELIGHT[Eff Desc 1],0)),0,INDEX(PMELIGHT[Inc Rate Unit],MATCH(K36,PMELIGHT[Eff Desc 1],0)))),"")</f>
        <v/>
      </c>
      <c r="AJ36" s="868"/>
      <c r="AK36" s="826" t="str">
        <f t="shared" ref="AK36" si="75">IFERROR(IF(OR(C36="",I36="",K36="",Q36="",S36="",U36="",Y36="",AB36="",AE36="",AG36=""),"",IFERROR(ROUND(IF(I36-Q36&lt;=0,0,((((I36-Q36)*S36*AB36/1000)+AZ36)*BA36)+BB36),2),"")),"")</f>
        <v/>
      </c>
      <c r="AL36" s="827"/>
      <c r="AM36" s="832"/>
      <c r="AN36" s="820" t="str">
        <f t="shared" ref="AN36" si="76">IFERROR(IF(OR(C36="",I36="",K36="",Q36="",S36="",U36="",Y36="",AB36="",AE36="",AG36=""),"",IF(BC36&lt;&gt;"",BC36,ROUND(IF(I36-Q36&lt;=0,0,MIN(AU36,AI36*S36)),2))),"")</f>
        <v/>
      </c>
      <c r="AO36" s="821"/>
      <c r="AP36" s="821"/>
      <c r="AQ36" s="822"/>
      <c r="AU36" s="813" t="str">
        <f t="shared" ref="AU36" si="77">IF(OR(I36="",Q36="",S36="",U36="",Y36="",AB36="",AE36="",AG36=""),"",IF(AK36=0,"",(ROUND((AE36+AG36)*S36,2))))</f>
        <v/>
      </c>
      <c r="AV36" s="818" t="str">
        <f>IFERROR(IF(OR(I36="",Q36="",S36="",U36="",Y36="",AB36="",AE36="",AG36="",AK36=0),"",IF(ISNUMBER(SEARCH("Exterior",K36)),0,ROUND(((I36-Q36)*S36/1000)*INDEX(LightingWHF[Coincidence Factor CF],MATCH(M02S02F26,LightingWHF[Building/Space Type],0))*
IF(OR(M02S02F32="AC with Natural Gas Heat",M02S02F32="AC with Electric Heat",M02S02F32="Heat Pump"),INDEX(LightingWHF[Waste Heat Cooling Demand WHFd],MATCH(M02S02F26,LightingWHF[Building/Space Type],0)),1),3))),"")</f>
        <v/>
      </c>
      <c r="AW36" s="816" t="str">
        <f t="shared" ref="AW36" si="78">IF(OR(I36="",Q36="",S36="",U36="",Y36="",AB36="",AE36="",AG36=""),"",ROUND(I36*S36*AB36/1000,0))</f>
        <v/>
      </c>
      <c r="AX36" s="816" t="str">
        <f t="shared" ref="AX36" si="79">IF(OR(I36="",Q36="",S36="",U36="",Y36="",AB36="",AE36="",AG36=""),"",ROUND(Q36*S36*AB36/1000,0))</f>
        <v/>
      </c>
      <c r="AY36" s="816" t="str">
        <f>IF(OR(I36="",Q36="",S36="",U36="",Y36="",AB36="",AE36="",AG36=""),"",ROUND(IF(ISNUMBER(SEARCH("Exterior",K36)),0,IF(M02S02F46="Electric Only",0,IF(OR(M02S02F32="AC with Natural Gas Heat",M02S02F32="Natural Gas Heat Only"),(((I36-Q36)/1000)*S36*AB36*-INDEX(LightingWHF[Waste Heat Gas Heating IFTherms],MATCH(M02S02F26,LightingWHF[Building/Space Type],0))),0))),0))</f>
        <v/>
      </c>
      <c r="AZ36" s="816" t="str">
        <f>IF(OR(I36="",Q36="",S36="",U36="",Y36="",AB36="",AE36="",AG36=""),"",IF(M02S02F46="Gas Only",0,IF(ISNUMBER(SEARCH("Exterior",K36)),0,IF(M02S02F32="Heat Pump",(((I36-Q36)/1000)*S36*AB36*-INDEX(LightingWHF[Waste Heat Electric Heat Pump Heating IFkWh],MATCH(M02S02F26,LightingWHF[Building/Space Type],0))),
IF(OR(M02S02F32="AC with Electric Heat",M02S02F32="Electric Heat Only"),(((I36-Q36)/1000)*S36*AB36*-INDEX(LightingWHF[Waste Heat Electric Resistance Heating IFkWh],MATCH(M02S02F26,LightingWHF[Building/Space Type],0))),0
)))))</f>
        <v/>
      </c>
      <c r="BA36" s="815" t="str">
        <f>IF(OR(I36="",Q36="",S36="",U36="",Y36="",AB36="",AE36="",AG36=""),"",IF(M02S02F46="Gas Only",0,IF(ISNUMBER(SEARCH("Exterior",K36)),1,IF(OR(M02S02F32="Heat Pump",M02S02F32="AC with Natural Gas Heat",M02S02F32="AC with Electric Heat"),(INDEX(LightingWHF[Waste Heat Cooling Energy WHFe],MATCH(M02S02F26,LightingWHF[Building/Space Type],0))),1))))</f>
        <v/>
      </c>
      <c r="BB36" s="815" t="str">
        <f t="shared" ref="BB36" si="80">IF(OR(I36="",Q36="",S36="",U36="",Y36="",AB36="",AE36="",AG36=""),"",IF(ISNUMBER(SEARCH("LLLC",K36)),((S36*Q36)/1000)*AB36*(0.49-0)*BA36,IF(ISNUMBER(SEARCH("sensor",K36)),((S36*Q36)/1000)*AB36*(0.24-0)*BA36,0)))</f>
        <v/>
      </c>
      <c r="BC36" s="830" t="str">
        <f>IFERROR(IF(OR(C36="",I36="",K36="",Q36="",S36="",U36="",Y36="",AB36="",AE36="",AG36=""),"",IF(OR(ISBLANK(M02S02F26),ISBLANK(M02S02F32),ISBLANK(M02S02F46)),MEASUREBLDG,IF((I36*S36)&lt;=(Q36*S36),MEASURESAVE,""))),MEASURESUBMIT)</f>
        <v/>
      </c>
      <c r="BE36" s="811" t="str">
        <f ca="1">IF(OR(I36="",Q36="",S36="",U36="",Y36="",AB36="",AE36="",AG36=""),"",IF('M01-S01'!$V$82&lt;TODAY(),0,IF(M02S02F46="Gas Only",0,IF(OR(AK36="",AK36&lt;0,AU36&lt;=AN36),0,IF(BF36&gt;0,MIN(AU36-AN36-BF36,ROUND((AN36+BF36)*0.2,2)),MIN(AU36-AN36,ROUND(AN36*0.2,2)))))))</f>
        <v/>
      </c>
      <c r="BF36" s="811" t="str">
        <f ca="1">IF(OR(I36="",Q36="",S36="",U36="",Y36="",AB36="",AE36="",AG36=""),"",IF('M01-S01'!$V$82&lt;TODAY(),0,IF(MSF20266="Gas Only",0,IF(OR(AK36="",AK36&lt;0,AU36&lt;=AN36),0,IF(ISNUMBER(SEARCH("LED Tube Relamp",K36)),MIN(AU36-AN36,ROUND(IF(ISNUMBER(SEARCH("1-Lamp 4FT Fluor.",C36)),(S36*2),0),2)),0)))))</f>
        <v/>
      </c>
      <c r="BG36" s="811" t="str">
        <f ca="1">IF(OR(I36="",Q36="",S36="",U36="",Y36="",AB36="",AE36="",AG36=""),"",IF('M01-S01'!$V$82&lt;TODAY(),0,IF(MSF20266="Gas Only",0,IF(OR(AK36="",AK36&lt;0,AU36&lt;=AN36),0,IF(ISNUMBER(SEARCH("LED Tube Relamp",K36)),MIN(AU36-AN36,ROUND(IF(ISNUMBER(SEARCH("1-Lamp 4FT HO Fluor.",C36)),(S36*1),0),2)),0)))))</f>
        <v/>
      </c>
    </row>
    <row r="37" spans="2:59" ht="15.95" customHeight="1">
      <c r="B37" s="834"/>
      <c r="C37" s="840"/>
      <c r="D37" s="841"/>
      <c r="E37" s="841"/>
      <c r="F37" s="841"/>
      <c r="G37" s="841"/>
      <c r="H37" s="842"/>
      <c r="I37" s="845"/>
      <c r="J37" s="846"/>
      <c r="K37" s="848"/>
      <c r="L37" s="841"/>
      <c r="M37" s="841"/>
      <c r="N37" s="841"/>
      <c r="O37" s="841"/>
      <c r="P37" s="842"/>
      <c r="Q37" s="845"/>
      <c r="R37" s="850"/>
      <c r="S37" s="853"/>
      <c r="T37" s="854"/>
      <c r="U37" s="840"/>
      <c r="V37" s="841"/>
      <c r="W37" s="841"/>
      <c r="X37" s="842"/>
      <c r="Y37" s="856"/>
      <c r="Z37" s="841"/>
      <c r="AA37" s="842"/>
      <c r="AB37" s="853"/>
      <c r="AC37" s="858"/>
      <c r="AD37" s="854"/>
      <c r="AE37" s="861"/>
      <c r="AF37" s="862"/>
      <c r="AG37" s="865"/>
      <c r="AH37" s="875"/>
      <c r="AI37" s="869"/>
      <c r="AJ37" s="870"/>
      <c r="AK37" s="828"/>
      <c r="AL37" s="829"/>
      <c r="AM37" s="833"/>
      <c r="AN37" s="823"/>
      <c r="AO37" s="824"/>
      <c r="AP37" s="824"/>
      <c r="AQ37" s="825"/>
      <c r="AU37" s="814"/>
      <c r="AV37" s="819"/>
      <c r="AW37" s="817"/>
      <c r="AX37" s="817"/>
      <c r="AY37" s="817"/>
      <c r="AZ37" s="817"/>
      <c r="BA37" s="812"/>
      <c r="BB37" s="812"/>
      <c r="BC37" s="831"/>
      <c r="BE37" s="812"/>
      <c r="BF37" s="812"/>
      <c r="BG37" s="812"/>
    </row>
    <row r="38" spans="2:59" ht="15.95" customHeight="1">
      <c r="B38" s="834">
        <v>12</v>
      </c>
      <c r="C38" s="871"/>
      <c r="D38" s="872"/>
      <c r="E38" s="872"/>
      <c r="F38" s="872"/>
      <c r="G38" s="872"/>
      <c r="H38" s="873"/>
      <c r="I38" s="843" t="str">
        <f>IFERROR(IF(C38="","",IF(INDEX(PMELIGHTTYPE[Base Autofill],MATCH(C38,PMELIGHTTYPE[Base Desc 1],0))="","",INDEX(PMELIGHTTYPE[Base Autofill],MATCH(C38,PMELIGHTTYPE[Base Desc 1],0)))),"")</f>
        <v/>
      </c>
      <c r="J38" s="844"/>
      <c r="K38" s="847"/>
      <c r="L38" s="838"/>
      <c r="M38" s="838"/>
      <c r="N38" s="838"/>
      <c r="O38" s="838"/>
      <c r="P38" s="839"/>
      <c r="Q38" s="843" t="str">
        <f t="shared" ref="Q38" si="81">IFERROR(IF(ISNUMBER(SEARCH("Removed",K38)),0,""),"")</f>
        <v/>
      </c>
      <c r="R38" s="849"/>
      <c r="S38" s="851"/>
      <c r="T38" s="852"/>
      <c r="U38" s="837"/>
      <c r="V38" s="838"/>
      <c r="W38" s="838"/>
      <c r="X38" s="839"/>
      <c r="Y38" s="855"/>
      <c r="Z38" s="838"/>
      <c r="AA38" s="839"/>
      <c r="AB38" s="851"/>
      <c r="AC38" s="857"/>
      <c r="AD38" s="852"/>
      <c r="AE38" s="859" t="str">
        <f t="shared" ref="AE38" si="82">IF(ISNUMBER(SEARCH("Removed",K38)),0,"")</f>
        <v/>
      </c>
      <c r="AF38" s="860"/>
      <c r="AG38" s="863"/>
      <c r="AH38" s="874"/>
      <c r="AI38" s="867" t="str">
        <f>IFERROR(IF(K38="","",IF(C38&lt;&gt;INDEX(PMELIGHT[Base Desc 1],MATCH(K38,PMELIGHT[Eff Desc 1],0)),0,INDEX(PMELIGHT[Inc Rate Unit],MATCH(K38,PMELIGHT[Eff Desc 1],0)))),"")</f>
        <v/>
      </c>
      <c r="AJ38" s="868"/>
      <c r="AK38" s="826" t="str">
        <f t="shared" ref="AK38" si="83">IFERROR(IF(OR(C38="",I38="",K38="",Q38="",S38="",U38="",Y38="",AB38="",AE38="",AG38=""),"",IFERROR(ROUND(IF(I38-Q38&lt;=0,0,((((I38-Q38)*S38*AB38/1000)+AZ38)*BA38)+BB38),2),"")),"")</f>
        <v/>
      </c>
      <c r="AL38" s="827"/>
      <c r="AM38" s="832"/>
      <c r="AN38" s="820" t="str">
        <f t="shared" ref="AN38" si="84">IFERROR(IF(OR(C38="",I38="",K38="",Q38="",S38="",U38="",Y38="",AB38="",AE38="",AG38=""),"",IF(BC38&lt;&gt;"",BC38,ROUND(IF(I38-Q38&lt;=0,0,MIN(AU38,AI38*S38)),2))),"")</f>
        <v/>
      </c>
      <c r="AO38" s="821"/>
      <c r="AP38" s="821"/>
      <c r="AQ38" s="822"/>
      <c r="AU38" s="813" t="str">
        <f t="shared" ref="AU38" si="85">IF(OR(I38="",Q38="",S38="",U38="",Y38="",AB38="",AE38="",AG38=""),"",IF(AK38=0,"",(ROUND((AE38+AG38)*S38,2))))</f>
        <v/>
      </c>
      <c r="AV38" s="818" t="str">
        <f>IFERROR(IF(OR(I38="",Q38="",S38="",U38="",Y38="",AB38="",AE38="",AG38="",AK38=0),"",IF(ISNUMBER(SEARCH("Exterior",K38)),0,ROUND(((I38-Q38)*S38/1000)*INDEX(LightingWHF[Coincidence Factor CF],MATCH(M02S02F26,LightingWHF[Building/Space Type],0))*
IF(OR(M02S02F32="AC with Natural Gas Heat",M02S02F32="AC with Electric Heat",M02S02F32="Heat Pump"),INDEX(LightingWHF[Waste Heat Cooling Demand WHFd],MATCH(M02S02F26,LightingWHF[Building/Space Type],0)),1),3))),"")</f>
        <v/>
      </c>
      <c r="AW38" s="816" t="str">
        <f t="shared" ref="AW38" si="86">IF(OR(I38="",Q38="",S38="",U38="",Y38="",AB38="",AE38="",AG38=""),"",ROUND(I38*S38*AB38/1000,0))</f>
        <v/>
      </c>
      <c r="AX38" s="816" t="str">
        <f t="shared" ref="AX38" si="87">IF(OR(I38="",Q38="",S38="",U38="",Y38="",AB38="",AE38="",AG38=""),"",ROUND(Q38*S38*AB38/1000,0))</f>
        <v/>
      </c>
      <c r="AY38" s="816" t="str">
        <f>IF(OR(I38="",Q38="",S38="",U38="",Y38="",AB38="",AE38="",AG38=""),"",ROUND(IF(ISNUMBER(SEARCH("Exterior",K38)),0,IF(M02S02F46="Electric Only",0,IF(OR(M02S02F32="AC with Natural Gas Heat",M02S02F32="Natural Gas Heat Only"),(((I38-Q38)/1000)*S38*AB38*-INDEX(LightingWHF[Waste Heat Gas Heating IFTherms],MATCH(M02S02F26,LightingWHF[Building/Space Type],0))),0))),0))</f>
        <v/>
      </c>
      <c r="AZ38" s="816" t="str">
        <f>IF(OR(I38="",Q38="",S38="",U38="",Y38="",AB38="",AE38="",AG38=""),"",IF(M02S02F46="Gas Only",0,IF(ISNUMBER(SEARCH("Exterior",K38)),0,IF(M02S02F32="Heat Pump",(((I38-Q38)/1000)*S38*AB38*-INDEX(LightingWHF[Waste Heat Electric Heat Pump Heating IFkWh],MATCH(M02S02F26,LightingWHF[Building/Space Type],0))),
IF(OR(M02S02F32="AC with Electric Heat",M02S02F32="Electric Heat Only"),(((I38-Q38)/1000)*S38*AB38*-INDEX(LightingWHF[Waste Heat Electric Resistance Heating IFkWh],MATCH(M02S02F26,LightingWHF[Building/Space Type],0))),0
)))))</f>
        <v/>
      </c>
      <c r="BA38" s="815" t="str">
        <f>IF(OR(I38="",Q38="",S38="",U38="",Y38="",AB38="",AE38="",AG38=""),"",IF(M02S02F46="Gas Only",0,IF(ISNUMBER(SEARCH("Exterior",K38)),1,IF(OR(M02S02F32="Heat Pump",M02S02F32="AC with Natural Gas Heat",M02S02F32="AC with Electric Heat"),(INDEX(LightingWHF[Waste Heat Cooling Energy WHFe],MATCH(M02S02F26,LightingWHF[Building/Space Type],0))),1))))</f>
        <v/>
      </c>
      <c r="BB38" s="815" t="str">
        <f t="shared" ref="BB38" si="88">IF(OR(I38="",Q38="",S38="",U38="",Y38="",AB38="",AE38="",AG38=""),"",IF(ISNUMBER(SEARCH("LLLC",K38)),((S38*Q38)/1000)*AB38*(0.49-0)*BA38,IF(ISNUMBER(SEARCH("sensor",K38)),((S38*Q38)/1000)*AB38*(0.24-0)*BA38,0)))</f>
        <v/>
      </c>
      <c r="BC38" s="830" t="str">
        <f>IFERROR(IF(OR(C38="",I38="",K38="",Q38="",S38="",U38="",Y38="",AB38="",AE38="",AG38=""),"",IF(OR(ISBLANK(M02S02F26),ISBLANK(M02S02F32),ISBLANK(M02S02F46)),MEASUREBLDG,IF((I38*S38)&lt;=(Q38*S38),MEASURESAVE,""))),MEASURESUBMIT)</f>
        <v/>
      </c>
      <c r="BE38" s="811" t="str">
        <f ca="1">IF(OR(I38="",Q38="",S38="",U38="",Y38="",AB38="",AE38="",AG38=""),"",IF('M01-S01'!$V$82&lt;TODAY(),0,IF(M02S02F46="Gas Only",0,IF(OR(AK38="",AK38&lt;0,AU38&lt;=AN38),0,IF(BF38&gt;0,MIN(AU38-AN38-BF38,ROUND((AN38+BF38)*0.2,2)),MIN(AU38-AN38,ROUND(AN38*0.2,2)))))))</f>
        <v/>
      </c>
      <c r="BF38" s="811" t="str">
        <f ca="1">IF(OR(I38="",Q38="",S38="",U38="",Y38="",AB38="",AE38="",AG38=""),"",IF('M01-S01'!$V$82&lt;TODAY(),0,IF(MSF20268="Gas Only",0,IF(OR(AK38="",AK38&lt;0,AU38&lt;=AN38),0,IF(ISNUMBER(SEARCH("LED Tube Relamp",K38)),MIN(AU38-AN38,ROUND(IF(ISNUMBER(SEARCH("1-Lamp 4FT Fluor.",C38)),(S38*2),0),2)),0)))))</f>
        <v/>
      </c>
      <c r="BG38" s="811" t="str">
        <f ca="1">IF(OR(I38="",Q38="",S38="",U38="",Y38="",AB38="",AE38="",AG38=""),"",IF('M01-S01'!$V$82&lt;TODAY(),0,IF(MSF20268="Gas Only",0,IF(OR(AK38="",AK38&lt;0,AU38&lt;=AN38),0,IF(ISNUMBER(SEARCH("LED Tube Relamp",K38)),MIN(AU38-AN38,ROUND(IF(ISNUMBER(SEARCH("1-Lamp 4FT HO Fluor.",C38)),(S38*1),0),2)),0)))))</f>
        <v/>
      </c>
    </row>
    <row r="39" spans="2:59" ht="15.95" customHeight="1">
      <c r="B39" s="834"/>
      <c r="C39" s="840"/>
      <c r="D39" s="841"/>
      <c r="E39" s="841"/>
      <c r="F39" s="841"/>
      <c r="G39" s="841"/>
      <c r="H39" s="842"/>
      <c r="I39" s="845"/>
      <c r="J39" s="846"/>
      <c r="K39" s="848"/>
      <c r="L39" s="841"/>
      <c r="M39" s="841"/>
      <c r="N39" s="841"/>
      <c r="O39" s="841"/>
      <c r="P39" s="842"/>
      <c r="Q39" s="845"/>
      <c r="R39" s="850"/>
      <c r="S39" s="853"/>
      <c r="T39" s="854"/>
      <c r="U39" s="840"/>
      <c r="V39" s="841"/>
      <c r="W39" s="841"/>
      <c r="X39" s="842"/>
      <c r="Y39" s="856"/>
      <c r="Z39" s="841"/>
      <c r="AA39" s="842"/>
      <c r="AB39" s="853"/>
      <c r="AC39" s="858"/>
      <c r="AD39" s="854"/>
      <c r="AE39" s="861"/>
      <c r="AF39" s="862"/>
      <c r="AG39" s="865"/>
      <c r="AH39" s="875"/>
      <c r="AI39" s="869"/>
      <c r="AJ39" s="870"/>
      <c r="AK39" s="828"/>
      <c r="AL39" s="829"/>
      <c r="AM39" s="833"/>
      <c r="AN39" s="823"/>
      <c r="AO39" s="824"/>
      <c r="AP39" s="824"/>
      <c r="AQ39" s="825"/>
      <c r="AU39" s="814"/>
      <c r="AV39" s="819"/>
      <c r="AW39" s="817"/>
      <c r="AX39" s="817"/>
      <c r="AY39" s="817"/>
      <c r="AZ39" s="817"/>
      <c r="BA39" s="812"/>
      <c r="BB39" s="812"/>
      <c r="BC39" s="831"/>
      <c r="BE39" s="812"/>
      <c r="BF39" s="812"/>
      <c r="BG39" s="812"/>
    </row>
    <row r="40" spans="2:59" ht="15.95" customHeight="1">
      <c r="B40" s="834">
        <v>13</v>
      </c>
      <c r="C40" s="871"/>
      <c r="D40" s="872"/>
      <c r="E40" s="872"/>
      <c r="F40" s="872"/>
      <c r="G40" s="872"/>
      <c r="H40" s="873"/>
      <c r="I40" s="843" t="str">
        <f>IFERROR(IF(C40="","",IF(INDEX(PMELIGHTTYPE[Base Autofill],MATCH(C40,PMELIGHTTYPE[Base Desc 1],0))="","",INDEX(PMELIGHTTYPE[Base Autofill],MATCH(C40,PMELIGHTTYPE[Base Desc 1],0)))),"")</f>
        <v/>
      </c>
      <c r="J40" s="844"/>
      <c r="K40" s="847"/>
      <c r="L40" s="838"/>
      <c r="M40" s="838"/>
      <c r="N40" s="838"/>
      <c r="O40" s="838"/>
      <c r="P40" s="839"/>
      <c r="Q40" s="843" t="str">
        <f t="shared" ref="Q40" si="89">IFERROR(IF(ISNUMBER(SEARCH("Removed",K40)),0,""),"")</f>
        <v/>
      </c>
      <c r="R40" s="849"/>
      <c r="S40" s="851"/>
      <c r="T40" s="852"/>
      <c r="U40" s="837"/>
      <c r="V40" s="838"/>
      <c r="W40" s="838"/>
      <c r="X40" s="839"/>
      <c r="Y40" s="855"/>
      <c r="Z40" s="838"/>
      <c r="AA40" s="839"/>
      <c r="AB40" s="851"/>
      <c r="AC40" s="857"/>
      <c r="AD40" s="852"/>
      <c r="AE40" s="859" t="str">
        <f t="shared" ref="AE40" si="90">IF(ISNUMBER(SEARCH("Removed",K40)),0,"")</f>
        <v/>
      </c>
      <c r="AF40" s="860"/>
      <c r="AG40" s="863"/>
      <c r="AH40" s="874"/>
      <c r="AI40" s="867" t="str">
        <f>IFERROR(IF(K40="","",IF(C40&lt;&gt;INDEX(PMELIGHT[Base Desc 1],MATCH(K40,PMELIGHT[Eff Desc 1],0)),0,INDEX(PMELIGHT[Inc Rate Unit],MATCH(K40,PMELIGHT[Eff Desc 1],0)))),"")</f>
        <v/>
      </c>
      <c r="AJ40" s="868"/>
      <c r="AK40" s="826" t="str">
        <f t="shared" ref="AK40" si="91">IFERROR(IF(OR(C40="",I40="",K40="",Q40="",S40="",U40="",Y40="",AB40="",AE40="",AG40=""),"",IFERROR(ROUND(IF(I40-Q40&lt;=0,0,((((I40-Q40)*S40*AB40/1000)+AZ40)*BA40)+BB40),2),"")),"")</f>
        <v/>
      </c>
      <c r="AL40" s="827"/>
      <c r="AM40" s="832"/>
      <c r="AN40" s="820" t="str">
        <f t="shared" ref="AN40" si="92">IFERROR(IF(OR(C40="",I40="",K40="",Q40="",S40="",U40="",Y40="",AB40="",AE40="",AG40=""),"",IF(BC40&lt;&gt;"",BC40,ROUND(IF(I40-Q40&lt;=0,0,MIN(AU40,AI40*S40)),2))),"")</f>
        <v/>
      </c>
      <c r="AO40" s="821"/>
      <c r="AP40" s="821"/>
      <c r="AQ40" s="822"/>
      <c r="AU40" s="813" t="str">
        <f t="shared" ref="AU40" si="93">IF(OR(I40="",Q40="",S40="",U40="",Y40="",AB40="",AE40="",AG40=""),"",IF(AK40=0,"",(ROUND((AE40+AG40)*S40,2))))</f>
        <v/>
      </c>
      <c r="AV40" s="818" t="str">
        <f>IFERROR(IF(OR(I40="",Q40="",S40="",U40="",Y40="",AB40="",AE40="",AG40="",AK40=0),"",IF(ISNUMBER(SEARCH("Exterior",K40)),0,ROUND(((I40-Q40)*S40/1000)*INDEX(LightingWHF[Coincidence Factor CF],MATCH(M02S02F26,LightingWHF[Building/Space Type],0))*
IF(OR(M02S02F32="AC with Natural Gas Heat",M02S02F32="AC with Electric Heat",M02S02F32="Heat Pump"),INDEX(LightingWHF[Waste Heat Cooling Demand WHFd],MATCH(M02S02F26,LightingWHF[Building/Space Type],0)),1),3))),"")</f>
        <v/>
      </c>
      <c r="AW40" s="816" t="str">
        <f t="shared" ref="AW40" si="94">IF(OR(I40="",Q40="",S40="",U40="",Y40="",AB40="",AE40="",AG40=""),"",ROUND(I40*S40*AB40/1000,0))</f>
        <v/>
      </c>
      <c r="AX40" s="816" t="str">
        <f t="shared" ref="AX40" si="95">IF(OR(I40="",Q40="",S40="",U40="",Y40="",AB40="",AE40="",AG40=""),"",ROUND(Q40*S40*AB40/1000,0))</f>
        <v/>
      </c>
      <c r="AY40" s="816" t="str">
        <f>IF(OR(I40="",Q40="",S40="",U40="",Y40="",AB40="",AE40="",AG40=""),"",ROUND(IF(ISNUMBER(SEARCH("Exterior",K40)),0,IF(M02S02F46="Electric Only",0,IF(OR(M02S02F32="AC with Natural Gas Heat",M02S02F32="Natural Gas Heat Only"),(((I40-Q40)/1000)*S40*AB40*-INDEX(LightingWHF[Waste Heat Gas Heating IFTherms],MATCH(M02S02F26,LightingWHF[Building/Space Type],0))),0))),0))</f>
        <v/>
      </c>
      <c r="AZ40" s="816" t="str">
        <f>IF(OR(I40="",Q40="",S40="",U40="",Y40="",AB40="",AE40="",AG40=""),"",IF(M02S02F46="Gas Only",0,IF(ISNUMBER(SEARCH("Exterior",K40)),0,IF(M02S02F32="Heat Pump",(((I40-Q40)/1000)*S40*AB40*-INDEX(LightingWHF[Waste Heat Electric Heat Pump Heating IFkWh],MATCH(M02S02F26,LightingWHF[Building/Space Type],0))),
IF(OR(M02S02F32="AC with Electric Heat",M02S02F32="Electric Heat Only"),(((I40-Q40)/1000)*S40*AB40*-INDEX(LightingWHF[Waste Heat Electric Resistance Heating IFkWh],MATCH(M02S02F26,LightingWHF[Building/Space Type],0))),0
)))))</f>
        <v/>
      </c>
      <c r="BA40" s="815" t="str">
        <f>IF(OR(I40="",Q40="",S40="",U40="",Y40="",AB40="",AE40="",AG40=""),"",IF(M02S02F46="Gas Only",0,IF(ISNUMBER(SEARCH("Exterior",K40)),1,IF(OR(M02S02F32="Heat Pump",M02S02F32="AC with Natural Gas Heat",M02S02F32="AC with Electric Heat"),(INDEX(LightingWHF[Waste Heat Cooling Energy WHFe],MATCH(M02S02F26,LightingWHF[Building/Space Type],0))),1))))</f>
        <v/>
      </c>
      <c r="BB40" s="815" t="str">
        <f t="shared" ref="BB40" si="96">IF(OR(I40="",Q40="",S40="",U40="",Y40="",AB40="",AE40="",AG40=""),"",IF(ISNUMBER(SEARCH("LLLC",K40)),((S40*Q40)/1000)*AB40*(0.49-0)*BA40,IF(ISNUMBER(SEARCH("sensor",K40)),((S40*Q40)/1000)*AB40*(0.24-0)*BA40,0)))</f>
        <v/>
      </c>
      <c r="BC40" s="830" t="str">
        <f>IFERROR(IF(OR(C40="",I40="",K40="",Q40="",S40="",U40="",Y40="",AB40="",AE40="",AG40=""),"",IF(OR(ISBLANK(M02S02F26),ISBLANK(M02S02F32),ISBLANK(M02S02F46)),MEASUREBLDG,IF((I40*S40)&lt;=(Q40*S40),MEASURESAVE,""))),MEASURESUBMIT)</f>
        <v/>
      </c>
      <c r="BE40" s="811" t="str">
        <f ca="1">IF(OR(I40="",Q40="",S40="",U40="",Y40="",AB40="",AE40="",AG40=""),"",IF('M01-S01'!$V$82&lt;TODAY(),0,IF(M02S02F46="Gas Only",0,IF(OR(AK40="",AK40&lt;0,AU40&lt;=AN40),0,IF(BF40&gt;0,MIN(AU40-AN40-BF40,ROUND((AN40+BF40)*0.2,2)),MIN(AU40-AN40,ROUND(AN40*0.2,2)))))))</f>
        <v/>
      </c>
      <c r="BF40" s="811" t="str">
        <f ca="1">IF(OR(I40="",Q40="",S40="",U40="",Y40="",AB40="",AE40="",AG40=""),"",IF('M01-S01'!$V$82&lt;TODAY(),0,IF(MSF20270="Gas Only",0,IF(OR(AK40="",AK40&lt;0,AU40&lt;=AN40),0,IF(ISNUMBER(SEARCH("LED Tube Relamp",K40)),MIN(AU40-AN40,ROUND(IF(ISNUMBER(SEARCH("1-Lamp 4FT Fluor.",C40)),(S40*2),0),2)),0)))))</f>
        <v/>
      </c>
      <c r="BG40" s="811" t="str">
        <f ca="1">IF(OR(I40="",Q40="",S40="",U40="",Y40="",AB40="",AE40="",AG40=""),"",IF('M01-S01'!$V$82&lt;TODAY(),0,IF(MSF20270="Gas Only",0,IF(OR(AK40="",AK40&lt;0,AU40&lt;=AN40),0,IF(ISNUMBER(SEARCH("LED Tube Relamp",K40)),MIN(AU40-AN40,ROUND(IF(ISNUMBER(SEARCH("1-Lamp 4FT HO Fluor.",C40)),(S40*1),0),2)),0)))))</f>
        <v/>
      </c>
    </row>
    <row r="41" spans="2:59" ht="15.95" customHeight="1">
      <c r="B41" s="834"/>
      <c r="C41" s="840"/>
      <c r="D41" s="841"/>
      <c r="E41" s="841"/>
      <c r="F41" s="841"/>
      <c r="G41" s="841"/>
      <c r="H41" s="842"/>
      <c r="I41" s="845"/>
      <c r="J41" s="846"/>
      <c r="K41" s="848"/>
      <c r="L41" s="841"/>
      <c r="M41" s="841"/>
      <c r="N41" s="841"/>
      <c r="O41" s="841"/>
      <c r="P41" s="842"/>
      <c r="Q41" s="845"/>
      <c r="R41" s="850"/>
      <c r="S41" s="853"/>
      <c r="T41" s="854"/>
      <c r="U41" s="840"/>
      <c r="V41" s="841"/>
      <c r="W41" s="841"/>
      <c r="X41" s="842"/>
      <c r="Y41" s="856"/>
      <c r="Z41" s="841"/>
      <c r="AA41" s="842"/>
      <c r="AB41" s="853"/>
      <c r="AC41" s="858"/>
      <c r="AD41" s="854"/>
      <c r="AE41" s="861"/>
      <c r="AF41" s="862"/>
      <c r="AG41" s="865"/>
      <c r="AH41" s="875"/>
      <c r="AI41" s="869"/>
      <c r="AJ41" s="870"/>
      <c r="AK41" s="828"/>
      <c r="AL41" s="829"/>
      <c r="AM41" s="833"/>
      <c r="AN41" s="823"/>
      <c r="AO41" s="824"/>
      <c r="AP41" s="824"/>
      <c r="AQ41" s="825"/>
      <c r="AU41" s="814"/>
      <c r="AV41" s="819"/>
      <c r="AW41" s="817"/>
      <c r="AX41" s="817"/>
      <c r="AY41" s="817"/>
      <c r="AZ41" s="817"/>
      <c r="BA41" s="812"/>
      <c r="BB41" s="812"/>
      <c r="BC41" s="831"/>
      <c r="BE41" s="812"/>
      <c r="BF41" s="812"/>
      <c r="BG41" s="812"/>
    </row>
    <row r="42" spans="2:59" ht="15.95" customHeight="1">
      <c r="B42" s="834">
        <v>14</v>
      </c>
      <c r="C42" s="837"/>
      <c r="D42" s="838"/>
      <c r="E42" s="838"/>
      <c r="F42" s="838"/>
      <c r="G42" s="838"/>
      <c r="H42" s="839"/>
      <c r="I42" s="843" t="str">
        <f>IFERROR(IF(C42="","",IF(INDEX(PMELIGHTTYPE[Base Autofill],MATCH(C42,PMELIGHTTYPE[Base Desc 1],0))="","",INDEX(PMELIGHTTYPE[Base Autofill],MATCH(C42,PMELIGHTTYPE[Base Desc 1],0)))),"")</f>
        <v/>
      </c>
      <c r="J42" s="844"/>
      <c r="K42" s="847"/>
      <c r="L42" s="838"/>
      <c r="M42" s="838"/>
      <c r="N42" s="838"/>
      <c r="O42" s="838"/>
      <c r="P42" s="839"/>
      <c r="Q42" s="843" t="str">
        <f t="shared" ref="Q42" si="97">IFERROR(IF(ISNUMBER(SEARCH("Removed",K42)),0,""),"")</f>
        <v/>
      </c>
      <c r="R42" s="849"/>
      <c r="S42" s="851"/>
      <c r="T42" s="852"/>
      <c r="U42" s="837"/>
      <c r="V42" s="838"/>
      <c r="W42" s="838"/>
      <c r="X42" s="839"/>
      <c r="Y42" s="855"/>
      <c r="Z42" s="838"/>
      <c r="AA42" s="839"/>
      <c r="AB42" s="851"/>
      <c r="AC42" s="857"/>
      <c r="AD42" s="852"/>
      <c r="AE42" s="859" t="str">
        <f t="shared" ref="AE42" si="98">IF(ISNUMBER(SEARCH("Removed",K42)),0,"")</f>
        <v/>
      </c>
      <c r="AF42" s="860"/>
      <c r="AG42" s="863"/>
      <c r="AH42" s="874"/>
      <c r="AI42" s="867" t="str">
        <f>IFERROR(IF(K42="","",IF(C42&lt;&gt;INDEX(PMELIGHT[Base Desc 1],MATCH(K42,PMELIGHT[Eff Desc 1],0)),0,INDEX(PMELIGHT[Inc Rate Unit],MATCH(K42,PMELIGHT[Eff Desc 1],0)))),"")</f>
        <v/>
      </c>
      <c r="AJ42" s="868"/>
      <c r="AK42" s="826" t="str">
        <f t="shared" ref="AK42" si="99">IFERROR(IF(OR(C42="",I42="",K42="",Q42="",S42="",U42="",Y42="",AB42="",AE42="",AG42=""),"",IFERROR(ROUND(IF(I42-Q42&lt;=0,0,((((I42-Q42)*S42*AB42/1000)+AZ42)*BA42)+BB42),2),"")),"")</f>
        <v/>
      </c>
      <c r="AL42" s="827"/>
      <c r="AM42" s="832"/>
      <c r="AN42" s="820" t="str">
        <f t="shared" ref="AN42" si="100">IFERROR(IF(OR(C42="",I42="",K42="",Q42="",S42="",U42="",Y42="",AB42="",AE42="",AG42=""),"",IF(BC42&lt;&gt;"",BC42,ROUND(IF(I42-Q42&lt;=0,0,MIN(AU42,AI42*S42)),2))),"")</f>
        <v/>
      </c>
      <c r="AO42" s="821"/>
      <c r="AP42" s="821"/>
      <c r="AQ42" s="822"/>
      <c r="AU42" s="813" t="str">
        <f t="shared" ref="AU42" si="101">IF(OR(I42="",Q42="",S42="",U42="",Y42="",AB42="",AE42="",AG42=""),"",IF(AK42=0,"",(ROUND((AE42+AG42)*S42,2))))</f>
        <v/>
      </c>
      <c r="AV42" s="818" t="str">
        <f>IFERROR(IF(OR(I42="",Q42="",S42="",U42="",Y42="",AB42="",AE42="",AG42="",AK42=0),"",IF(ISNUMBER(SEARCH("Exterior",K42)),0,ROUND(((I42-Q42)*S42/1000)*INDEX(LightingWHF[Coincidence Factor CF],MATCH(M02S02F26,LightingWHF[Building/Space Type],0))*
IF(OR(M02S02F32="AC with Natural Gas Heat",M02S02F32="AC with Electric Heat",M02S02F32="Heat Pump"),INDEX(LightingWHF[Waste Heat Cooling Demand WHFd],MATCH(M02S02F26,LightingWHF[Building/Space Type],0)),1),3))),"")</f>
        <v/>
      </c>
      <c r="AW42" s="816" t="str">
        <f t="shared" ref="AW42" si="102">IF(OR(I42="",Q42="",S42="",U42="",Y42="",AB42="",AE42="",AG42=""),"",ROUND(I42*S42*AB42/1000,0))</f>
        <v/>
      </c>
      <c r="AX42" s="816" t="str">
        <f t="shared" ref="AX42" si="103">IF(OR(I42="",Q42="",S42="",U42="",Y42="",AB42="",AE42="",AG42=""),"",ROUND(Q42*S42*AB42/1000,0))</f>
        <v/>
      </c>
      <c r="AY42" s="816" t="str">
        <f>IF(OR(I42="",Q42="",S42="",U42="",Y42="",AB42="",AE42="",AG42=""),"",ROUND(IF(ISNUMBER(SEARCH("Exterior",K42)),0,IF(M02S02F46="Electric Only",0,IF(OR(M02S02F32="AC with Natural Gas Heat",M02S02F32="Natural Gas Heat Only"),(((I42-Q42)/1000)*S42*AB42*-INDEX(LightingWHF[Waste Heat Gas Heating IFTherms],MATCH(M02S02F26,LightingWHF[Building/Space Type],0))),0))),0))</f>
        <v/>
      </c>
      <c r="AZ42" s="816" t="str">
        <f>IF(OR(I42="",Q42="",S42="",U42="",Y42="",AB42="",AE42="",AG42=""),"",IF(M02S02F46="Gas Only",0,IF(ISNUMBER(SEARCH("Exterior",K42)),0,IF(M02S02F32="Heat Pump",(((I42-Q42)/1000)*S42*AB42*-INDEX(LightingWHF[Waste Heat Electric Heat Pump Heating IFkWh],MATCH(M02S02F26,LightingWHF[Building/Space Type],0))),
IF(OR(M02S02F32="AC with Electric Heat",M02S02F32="Electric Heat Only"),(((I42-Q42)/1000)*S42*AB42*-INDEX(LightingWHF[Waste Heat Electric Resistance Heating IFkWh],MATCH(M02S02F26,LightingWHF[Building/Space Type],0))),0
)))))</f>
        <v/>
      </c>
      <c r="BA42" s="815" t="str">
        <f>IF(OR(I42="",Q42="",S42="",U42="",Y42="",AB42="",AE42="",AG42=""),"",IF(M02S02F46="Gas Only",0,IF(ISNUMBER(SEARCH("Exterior",K42)),1,IF(OR(M02S02F32="Heat Pump",M02S02F32="AC with Natural Gas Heat",M02S02F32="AC with Electric Heat"),(INDEX(LightingWHF[Waste Heat Cooling Energy WHFe],MATCH(M02S02F26,LightingWHF[Building/Space Type],0))),1))))</f>
        <v/>
      </c>
      <c r="BB42" s="815" t="str">
        <f t="shared" ref="BB42" si="104">IF(OR(I42="",Q42="",S42="",U42="",Y42="",AB42="",AE42="",AG42=""),"",IF(ISNUMBER(SEARCH("LLLC",K42)),((S42*Q42)/1000)*AB42*(0.49-0)*BA42,IF(ISNUMBER(SEARCH("sensor",K42)),((S42*Q42)/1000)*AB42*(0.24-0)*BA42,0)))</f>
        <v/>
      </c>
      <c r="BC42" s="830" t="str">
        <f>IFERROR(IF(OR(C42="",I42="",K42="",Q42="",S42="",U42="",Y42="",AB42="",AE42="",AG42=""),"",IF(OR(ISBLANK(M02S02F26),ISBLANK(M02S02F32),ISBLANK(M02S02F46)),MEASUREBLDG,IF((I42*S42)&lt;=(Q42*S42),MEASURESAVE,""))),MEASURESUBMIT)</f>
        <v/>
      </c>
      <c r="BE42" s="811" t="str">
        <f ca="1">IF(OR(I42="",Q42="",S42="",U42="",Y42="",AB42="",AE42="",AG42=""),"",IF('M01-S01'!$V$82&lt;TODAY(),0,IF(M02S02F46="Gas Only",0,IF(OR(AK42="",AK42&lt;0,AU42&lt;=AN42),0,IF(BF42&gt;0,MIN(AU42-AN42-BF42,ROUND((AN42+BF42)*0.2,2)),MIN(AU42-AN42,ROUND(AN42*0.2,2)))))))</f>
        <v/>
      </c>
      <c r="BF42" s="811" t="str">
        <f ca="1">IF(OR(I42="",Q42="",S42="",U42="",Y42="",AB42="",AE42="",AG42=""),"",IF('M01-S01'!$V$82&lt;TODAY(),0,IF(MSF20272="Gas Only",0,IF(OR(AK42="",AK42&lt;0,AU42&lt;=AN42),0,IF(ISNUMBER(SEARCH("LED Tube Relamp",K42)),MIN(AU42-AN42,ROUND(IF(ISNUMBER(SEARCH("1-Lamp 4FT Fluor.",C42)),(S42*2),0),2)),0)))))</f>
        <v/>
      </c>
      <c r="BG42" s="811" t="str">
        <f ca="1">IF(OR(I42="",Q42="",S42="",U42="",Y42="",AB42="",AE42="",AG42=""),"",IF('M01-S01'!$V$82&lt;TODAY(),0,IF(MSF20272="Gas Only",0,IF(OR(AK42="",AK42&lt;0,AU42&lt;=AN42),0,IF(ISNUMBER(SEARCH("LED Tube Relamp",K42)),MIN(AU42-AN42,ROUND(IF(ISNUMBER(SEARCH("1-Lamp 4FT HO Fluor.",C42)),(S42*1),0),2)),0)))))</f>
        <v/>
      </c>
    </row>
    <row r="43" spans="2:59" ht="15.95" customHeight="1">
      <c r="B43" s="834"/>
      <c r="C43" s="840"/>
      <c r="D43" s="841"/>
      <c r="E43" s="841"/>
      <c r="F43" s="841"/>
      <c r="G43" s="841"/>
      <c r="H43" s="842"/>
      <c r="I43" s="845"/>
      <c r="J43" s="846"/>
      <c r="K43" s="848"/>
      <c r="L43" s="841"/>
      <c r="M43" s="841"/>
      <c r="N43" s="841"/>
      <c r="O43" s="841"/>
      <c r="P43" s="842"/>
      <c r="Q43" s="845"/>
      <c r="R43" s="850"/>
      <c r="S43" s="853"/>
      <c r="T43" s="854"/>
      <c r="U43" s="840"/>
      <c r="V43" s="841"/>
      <c r="W43" s="841"/>
      <c r="X43" s="842"/>
      <c r="Y43" s="856"/>
      <c r="Z43" s="841"/>
      <c r="AA43" s="842"/>
      <c r="AB43" s="853"/>
      <c r="AC43" s="858"/>
      <c r="AD43" s="854"/>
      <c r="AE43" s="861"/>
      <c r="AF43" s="862"/>
      <c r="AG43" s="865"/>
      <c r="AH43" s="875"/>
      <c r="AI43" s="869"/>
      <c r="AJ43" s="870"/>
      <c r="AK43" s="828"/>
      <c r="AL43" s="829"/>
      <c r="AM43" s="833"/>
      <c r="AN43" s="823"/>
      <c r="AO43" s="824"/>
      <c r="AP43" s="824"/>
      <c r="AQ43" s="825"/>
      <c r="AU43" s="814"/>
      <c r="AV43" s="819"/>
      <c r="AW43" s="817"/>
      <c r="AX43" s="817"/>
      <c r="AY43" s="817"/>
      <c r="AZ43" s="817"/>
      <c r="BA43" s="812"/>
      <c r="BB43" s="812"/>
      <c r="BC43" s="831"/>
      <c r="BE43" s="812"/>
      <c r="BF43" s="812"/>
      <c r="BG43" s="812"/>
    </row>
    <row r="44" spans="2:59" ht="15.95" customHeight="1">
      <c r="B44" s="834">
        <v>15</v>
      </c>
      <c r="C44" s="837"/>
      <c r="D44" s="838"/>
      <c r="E44" s="838"/>
      <c r="F44" s="838"/>
      <c r="G44" s="838"/>
      <c r="H44" s="839"/>
      <c r="I44" s="843" t="str">
        <f>IFERROR(IF(C44="","",IF(INDEX(PMELIGHTTYPE[Base Autofill],MATCH(C44,PMELIGHTTYPE[Base Desc 1],0))="","",INDEX(PMELIGHTTYPE[Base Autofill],MATCH(C44,PMELIGHTTYPE[Base Desc 1],0)))),"")</f>
        <v/>
      </c>
      <c r="J44" s="844"/>
      <c r="K44" s="847"/>
      <c r="L44" s="838"/>
      <c r="M44" s="838"/>
      <c r="N44" s="838"/>
      <c r="O44" s="838"/>
      <c r="P44" s="839"/>
      <c r="Q44" s="843" t="str">
        <f t="shared" ref="Q44" si="105">IFERROR(IF(ISNUMBER(SEARCH("Removed",K44)),0,""),"")</f>
        <v/>
      </c>
      <c r="R44" s="849"/>
      <c r="S44" s="851"/>
      <c r="T44" s="852"/>
      <c r="U44" s="837"/>
      <c r="V44" s="838"/>
      <c r="W44" s="838"/>
      <c r="X44" s="839"/>
      <c r="Y44" s="855"/>
      <c r="Z44" s="838"/>
      <c r="AA44" s="839"/>
      <c r="AB44" s="851"/>
      <c r="AC44" s="857"/>
      <c r="AD44" s="852"/>
      <c r="AE44" s="859" t="str">
        <f t="shared" ref="AE44" si="106">IF(ISNUMBER(SEARCH("Removed",K44)),0,"")</f>
        <v/>
      </c>
      <c r="AF44" s="860"/>
      <c r="AG44" s="863"/>
      <c r="AH44" s="874"/>
      <c r="AI44" s="867" t="str">
        <f>IFERROR(IF(K44="","",IF(C44&lt;&gt;INDEX(PMELIGHT[Base Desc 1],MATCH(K44,PMELIGHT[Eff Desc 1],0)),0,INDEX(PMELIGHT[Inc Rate Unit],MATCH(K44,PMELIGHT[Eff Desc 1],0)))),"")</f>
        <v/>
      </c>
      <c r="AJ44" s="868"/>
      <c r="AK44" s="826" t="str">
        <f t="shared" ref="AK44" si="107">IFERROR(IF(OR(C44="",I44="",K44="",Q44="",S44="",U44="",Y44="",AB44="",AE44="",AG44=""),"",IFERROR(ROUND(IF(I44-Q44&lt;=0,0,((((I44-Q44)*S44*AB44/1000)+AZ44)*BA44)+BB44),2),"")),"")</f>
        <v/>
      </c>
      <c r="AL44" s="827"/>
      <c r="AM44" s="832"/>
      <c r="AN44" s="820" t="str">
        <f t="shared" ref="AN44" si="108">IFERROR(IF(OR(C44="",I44="",K44="",Q44="",S44="",U44="",Y44="",AB44="",AE44="",AG44=""),"",IF(BC44&lt;&gt;"",BC44,ROUND(IF(I44-Q44&lt;=0,0,MIN(AU44,AI44*S44)),2))),"")</f>
        <v/>
      </c>
      <c r="AO44" s="821"/>
      <c r="AP44" s="821"/>
      <c r="AQ44" s="822"/>
      <c r="AU44" s="813" t="str">
        <f t="shared" ref="AU44" si="109">IF(OR(I44="",Q44="",S44="",U44="",Y44="",AB44="",AE44="",AG44=""),"",IF(AK44=0,"",(ROUND((AE44+AG44)*S44,2))))</f>
        <v/>
      </c>
      <c r="AV44" s="818" t="str">
        <f>IFERROR(IF(OR(I44="",Q44="",S44="",U44="",Y44="",AB44="",AE44="",AG44="",AK44=0),"",IF(ISNUMBER(SEARCH("Exterior",K44)),0,ROUND(((I44-Q44)*S44/1000)*INDEX(LightingWHF[Coincidence Factor CF],MATCH(M02S02F26,LightingWHF[Building/Space Type],0))*
IF(OR(M02S02F32="AC with Natural Gas Heat",M02S02F32="AC with Electric Heat",M02S02F32="Heat Pump"),INDEX(LightingWHF[Waste Heat Cooling Demand WHFd],MATCH(M02S02F26,LightingWHF[Building/Space Type],0)),1),3))),"")</f>
        <v/>
      </c>
      <c r="AW44" s="816" t="str">
        <f t="shared" ref="AW44" si="110">IF(OR(I44="",Q44="",S44="",U44="",Y44="",AB44="",AE44="",AG44=""),"",ROUND(I44*S44*AB44/1000,0))</f>
        <v/>
      </c>
      <c r="AX44" s="816" t="str">
        <f t="shared" ref="AX44" si="111">IF(OR(I44="",Q44="",S44="",U44="",Y44="",AB44="",AE44="",AG44=""),"",ROUND(Q44*S44*AB44/1000,0))</f>
        <v/>
      </c>
      <c r="AY44" s="816" t="str">
        <f>IF(OR(I44="",Q44="",S44="",U44="",Y44="",AB44="",AE44="",AG44=""),"",ROUND(IF(ISNUMBER(SEARCH("Exterior",K44)),0,IF(M02S02F46="Electric Only",0,IF(OR(M02S02F32="AC with Natural Gas Heat",M02S02F32="Natural Gas Heat Only"),(((I44-Q44)/1000)*S44*AB44*-INDEX(LightingWHF[Waste Heat Gas Heating IFTherms],MATCH(M02S02F26,LightingWHF[Building/Space Type],0))),0))),0))</f>
        <v/>
      </c>
      <c r="AZ44" s="816" t="str">
        <f>IF(OR(I44="",Q44="",S44="",U44="",Y44="",AB44="",AE44="",AG44=""),"",IF(M02S02F46="Gas Only",0,IF(ISNUMBER(SEARCH("Exterior",K44)),0,IF(M02S02F32="Heat Pump",(((I44-Q44)/1000)*S44*AB44*-INDEX(LightingWHF[Waste Heat Electric Heat Pump Heating IFkWh],MATCH(M02S02F26,LightingWHF[Building/Space Type],0))),
IF(OR(M02S02F32="AC with Electric Heat",M02S02F32="Electric Heat Only"),(((I44-Q44)/1000)*S44*AB44*-INDEX(LightingWHF[Waste Heat Electric Resistance Heating IFkWh],MATCH(M02S02F26,LightingWHF[Building/Space Type],0))),0
)))))</f>
        <v/>
      </c>
      <c r="BA44" s="815" t="str">
        <f>IF(OR(I44="",Q44="",S44="",U44="",Y44="",AB44="",AE44="",AG44=""),"",IF(M02S02F46="Gas Only",0,IF(ISNUMBER(SEARCH("Exterior",K44)),1,IF(OR(M02S02F32="Heat Pump",M02S02F32="AC with Natural Gas Heat",M02S02F32="AC with Electric Heat"),(INDEX(LightingWHF[Waste Heat Cooling Energy WHFe],MATCH(M02S02F26,LightingWHF[Building/Space Type],0))),1))))</f>
        <v/>
      </c>
      <c r="BB44" s="815" t="str">
        <f t="shared" ref="BB44" si="112">IF(OR(I44="",Q44="",S44="",U44="",Y44="",AB44="",AE44="",AG44=""),"",IF(ISNUMBER(SEARCH("LLLC",K44)),((S44*Q44)/1000)*AB44*(0.49-0)*BA44,IF(ISNUMBER(SEARCH("sensor",K44)),((S44*Q44)/1000)*AB44*(0.24-0)*BA44,0)))</f>
        <v/>
      </c>
      <c r="BC44" s="830" t="str">
        <f>IFERROR(IF(OR(C44="",I44="",K44="",Q44="",S44="",U44="",Y44="",AB44="",AE44="",AG44=""),"",IF(OR(ISBLANK(M02S02F26),ISBLANK(M02S02F32),ISBLANK(M02S02F46)),MEASUREBLDG,IF((I44*S44)&lt;=(Q44*S44),MEASURESAVE,""))),MEASURESUBMIT)</f>
        <v/>
      </c>
      <c r="BE44" s="811" t="str">
        <f ca="1">IF(OR(I44="",Q44="",S44="",U44="",Y44="",AB44="",AE44="",AG44=""),"",IF('M01-S01'!$V$82&lt;TODAY(),0,IF(M02S02F46="Gas Only",0,IF(OR(AK44="",AK44&lt;0,AU44&lt;=AN44),0,IF(BF44&gt;0,MIN(AU44-AN44-BF44,ROUND((AN44+BF44)*0.2,2)),MIN(AU44-AN44,ROUND(AN44*0.2,2)))))))</f>
        <v/>
      </c>
      <c r="BF44" s="811" t="str">
        <f ca="1">IF(OR(I44="",Q44="",S44="",U44="",Y44="",AB44="",AE44="",AG44=""),"",IF('M01-S01'!$V$82&lt;TODAY(),0,IF(MSF20274="Gas Only",0,IF(OR(AK44="",AK44&lt;0,AU44&lt;=AN44),0,IF(ISNUMBER(SEARCH("LED Tube Relamp",K44)),MIN(AU44-AN44,ROUND(IF(ISNUMBER(SEARCH("1-Lamp 4FT Fluor.",C44)),(S44*2),0),2)),0)))))</f>
        <v/>
      </c>
      <c r="BG44" s="811" t="str">
        <f ca="1">IF(OR(I44="",Q44="",S44="",U44="",Y44="",AB44="",AE44="",AG44=""),"",IF('M01-S01'!$V$82&lt;TODAY(),0,IF(MSF20274="Gas Only",0,IF(OR(AK44="",AK44&lt;0,AU44&lt;=AN44),0,IF(ISNUMBER(SEARCH("LED Tube Relamp",K44)),MIN(AU44-AN44,ROUND(IF(ISNUMBER(SEARCH("1-Lamp 4FT HO Fluor.",C44)),(S44*1),0),2)),0)))))</f>
        <v/>
      </c>
    </row>
    <row r="45" spans="2:59" ht="15.95" customHeight="1">
      <c r="B45" s="834"/>
      <c r="C45" s="840"/>
      <c r="D45" s="841"/>
      <c r="E45" s="841"/>
      <c r="F45" s="841"/>
      <c r="G45" s="841"/>
      <c r="H45" s="842"/>
      <c r="I45" s="845"/>
      <c r="J45" s="846"/>
      <c r="K45" s="848"/>
      <c r="L45" s="841"/>
      <c r="M45" s="841"/>
      <c r="N45" s="841"/>
      <c r="O45" s="841"/>
      <c r="P45" s="842"/>
      <c r="Q45" s="845"/>
      <c r="R45" s="850"/>
      <c r="S45" s="853"/>
      <c r="T45" s="854"/>
      <c r="U45" s="840"/>
      <c r="V45" s="841"/>
      <c r="W45" s="841"/>
      <c r="X45" s="842"/>
      <c r="Y45" s="856"/>
      <c r="Z45" s="841"/>
      <c r="AA45" s="842"/>
      <c r="AB45" s="853"/>
      <c r="AC45" s="858"/>
      <c r="AD45" s="854"/>
      <c r="AE45" s="861"/>
      <c r="AF45" s="862"/>
      <c r="AG45" s="865"/>
      <c r="AH45" s="875"/>
      <c r="AI45" s="869"/>
      <c r="AJ45" s="870"/>
      <c r="AK45" s="828"/>
      <c r="AL45" s="829"/>
      <c r="AM45" s="833"/>
      <c r="AN45" s="823"/>
      <c r="AO45" s="824"/>
      <c r="AP45" s="824"/>
      <c r="AQ45" s="825"/>
      <c r="AU45" s="814"/>
      <c r="AV45" s="819"/>
      <c r="AW45" s="817"/>
      <c r="AX45" s="817"/>
      <c r="AY45" s="817"/>
      <c r="AZ45" s="817"/>
      <c r="BA45" s="812"/>
      <c r="BB45" s="812"/>
      <c r="BC45" s="831"/>
      <c r="BE45" s="812"/>
      <c r="BF45" s="812"/>
      <c r="BG45" s="812"/>
    </row>
    <row r="46" spans="2:59" ht="15.75" hidden="1" customHeight="1">
      <c r="B46" s="834">
        <v>16</v>
      </c>
      <c r="C46" s="837"/>
      <c r="D46" s="838"/>
      <c r="E46" s="838"/>
      <c r="F46" s="838"/>
      <c r="G46" s="838"/>
      <c r="H46" s="839"/>
      <c r="I46" s="843" t="str">
        <f>IFERROR(IF(C46="","",IF(INDEX(PMELIGHTTYPE[Base Autofill],MATCH(C46,PMELIGHTTYPE[Base Desc 1],0))="","",INDEX(PMELIGHTTYPE[Base Autofill],MATCH(C46,PMELIGHTTYPE[Base Desc 1],0)))),"")</f>
        <v/>
      </c>
      <c r="J46" s="844"/>
      <c r="K46" s="847"/>
      <c r="L46" s="838"/>
      <c r="M46" s="838"/>
      <c r="N46" s="838"/>
      <c r="O46" s="838"/>
      <c r="P46" s="839"/>
      <c r="Q46" s="843" t="str">
        <f t="shared" ref="Q46" si="113">IFERROR(IF(ISNUMBER(SEARCH("Removed",K46)),0,""),"")</f>
        <v/>
      </c>
      <c r="R46" s="849"/>
      <c r="S46" s="851"/>
      <c r="T46" s="852"/>
      <c r="U46" s="837"/>
      <c r="V46" s="838"/>
      <c r="W46" s="838"/>
      <c r="X46" s="839"/>
      <c r="Y46" s="855"/>
      <c r="Z46" s="838"/>
      <c r="AA46" s="839"/>
      <c r="AB46" s="851"/>
      <c r="AC46" s="857"/>
      <c r="AD46" s="852"/>
      <c r="AE46" s="859" t="str">
        <f t="shared" ref="AE46" si="114">IF(ISNUMBER(SEARCH("Removed",K46)),0,"")</f>
        <v/>
      </c>
      <c r="AF46" s="860"/>
      <c r="AG46" s="863"/>
      <c r="AH46" s="874"/>
      <c r="AI46" s="867" t="str">
        <f>IFERROR(IF(K46="","",IF(C46&lt;&gt;INDEX(PMELIGHT[Base Desc 1],MATCH(K46,PMELIGHT[Eff Desc 1],0)),0,INDEX(PMELIGHT[Inc Rate Unit],MATCH(K46,PMELIGHT[Eff Desc 1],0)))),"")</f>
        <v/>
      </c>
      <c r="AJ46" s="868"/>
      <c r="AK46" s="826" t="str">
        <f t="shared" ref="AK46" si="115">IFERROR(IF(OR(C46="",I46="",K46="",Q46="",S46="",U46="",Y46="",AB46="",AE46="",AG46=""),"",IFERROR(ROUND(IF(I46-Q46&lt;=0,0,(I46-Q46)*S46*AB46/1000),2),"")),"")</f>
        <v/>
      </c>
      <c r="AL46" s="827"/>
      <c r="AM46" s="827"/>
      <c r="AN46" s="820" t="str">
        <f t="shared" ref="AN46" si="116">IFERROR(IF(OR(C46="",I46="",K46="",Q46="",S46="",U46="",Y46="",AB46="",AE46="",AG46=""),"",IF(BC46&lt;&gt;"",BC46,ROUND(IF(I46-Q46&lt;=0,0,MIN(AU46,AI46*S46)),2))),"")</f>
        <v/>
      </c>
      <c r="AO46" s="821"/>
      <c r="AP46" s="821"/>
      <c r="AQ46" s="822"/>
      <c r="AU46" s="813" t="str">
        <f t="shared" ref="AU46:AU106" si="117">IF(OR(I46="",Q46="",S46="",U46="",Y46="",AB46="",AE46="",AG46=""),"",IF(AK46=0,"",(ROUND((AE46+AG46)*S46,2))))</f>
        <v/>
      </c>
      <c r="AV46" s="818" t="str">
        <f>IFERROR(IF(OR(I46="",Q46="",S46="",U46="",Y46="",AB46="",AE46="",AG46="",AK46=0),"",IF(ISNUMBER(SEARCH("Exterior",K46)),0,ROUND(((I46-Q46)*S46/1000)*INDEX(BUILDINGTYPE[Lighting Coincidence Factor],MATCH(M02S02F26,BUILDINGTYPE[Building Type],0)),3))),"")</f>
        <v/>
      </c>
      <c r="AW46" s="816" t="str">
        <f t="shared" ref="AW46:AW106" si="118">IF(OR(I46="",Q46="",S46="",U46="",Y46="",AB46="",AE46="",AG46=""),"",ROUND(I46*S46*AB46/1000,2))</f>
        <v/>
      </c>
      <c r="AX46" s="816" t="str">
        <f t="shared" ref="AX46:AX106" si="119">IF(OR(I46="",Q46="",S46="",U46="",Y46="",AB46="",AE46="",AG46=""),"",ROUND(Q46*S46*AB46/1000,2))</f>
        <v/>
      </c>
      <c r="BC46" s="830" t="str">
        <f>IFERROR(IF(OR(C46="",I46="",K46="",Q46="",S46="",U46="",Y46="",AB46="",AE46="",AG46=""),"",IF(ISBLANK(M02S02F26),MEASUREBLDG,IF((I46*S46)&lt;=(Q46*S46),MEASURESAVE,""))),MEASURESUBMIT)</f>
        <v/>
      </c>
    </row>
    <row r="47" spans="2:59" ht="15.95" hidden="1" customHeight="1">
      <c r="B47" s="834"/>
      <c r="C47" s="840"/>
      <c r="D47" s="841"/>
      <c r="E47" s="841"/>
      <c r="F47" s="841"/>
      <c r="G47" s="841"/>
      <c r="H47" s="842"/>
      <c r="I47" s="845"/>
      <c r="J47" s="846"/>
      <c r="K47" s="848"/>
      <c r="L47" s="841"/>
      <c r="M47" s="841"/>
      <c r="N47" s="841"/>
      <c r="O47" s="841"/>
      <c r="P47" s="842"/>
      <c r="Q47" s="845"/>
      <c r="R47" s="850"/>
      <c r="S47" s="853"/>
      <c r="T47" s="854"/>
      <c r="U47" s="840"/>
      <c r="V47" s="841"/>
      <c r="W47" s="841"/>
      <c r="X47" s="842"/>
      <c r="Y47" s="856"/>
      <c r="Z47" s="841"/>
      <c r="AA47" s="842"/>
      <c r="AB47" s="853"/>
      <c r="AC47" s="858"/>
      <c r="AD47" s="854"/>
      <c r="AE47" s="861"/>
      <c r="AF47" s="862"/>
      <c r="AG47" s="865"/>
      <c r="AH47" s="875"/>
      <c r="AI47" s="869"/>
      <c r="AJ47" s="870"/>
      <c r="AK47" s="828"/>
      <c r="AL47" s="829"/>
      <c r="AM47" s="829"/>
      <c r="AN47" s="823"/>
      <c r="AO47" s="824"/>
      <c r="AP47" s="824"/>
      <c r="AQ47" s="825"/>
      <c r="AU47" s="814"/>
      <c r="AV47" s="819"/>
      <c r="AW47" s="817"/>
      <c r="AX47" s="817"/>
      <c r="BC47" s="831"/>
    </row>
    <row r="48" spans="2:59" ht="15.95" hidden="1" customHeight="1">
      <c r="B48" s="834">
        <v>17</v>
      </c>
      <c r="C48" s="837"/>
      <c r="D48" s="838"/>
      <c r="E48" s="838"/>
      <c r="F48" s="838"/>
      <c r="G48" s="838"/>
      <c r="H48" s="839"/>
      <c r="I48" s="843" t="str">
        <f>IFERROR(IF(C48="","",IF(INDEX(PMELIGHTTYPE[Base Autofill],MATCH(C48,PMELIGHTTYPE[Base Desc 1],0))="","",INDEX(PMELIGHTTYPE[Base Autofill],MATCH(C48,PMELIGHTTYPE[Base Desc 1],0)))),"")</f>
        <v/>
      </c>
      <c r="J48" s="844"/>
      <c r="K48" s="847"/>
      <c r="L48" s="838"/>
      <c r="M48" s="838"/>
      <c r="N48" s="838"/>
      <c r="O48" s="838"/>
      <c r="P48" s="839"/>
      <c r="Q48" s="843" t="str">
        <f t="shared" ref="Q48" si="120">IFERROR(IF(ISNUMBER(SEARCH("Removed",K48)),0,""),"")</f>
        <v/>
      </c>
      <c r="R48" s="849"/>
      <c r="S48" s="851"/>
      <c r="T48" s="852"/>
      <c r="U48" s="837"/>
      <c r="V48" s="838"/>
      <c r="W48" s="838"/>
      <c r="X48" s="839"/>
      <c r="Y48" s="855"/>
      <c r="Z48" s="838"/>
      <c r="AA48" s="839"/>
      <c r="AB48" s="851"/>
      <c r="AC48" s="857"/>
      <c r="AD48" s="852"/>
      <c r="AE48" s="859" t="str">
        <f t="shared" ref="AE48" si="121">IF(ISNUMBER(SEARCH("Removed",K48)),0,"")</f>
        <v/>
      </c>
      <c r="AF48" s="860"/>
      <c r="AG48" s="863"/>
      <c r="AH48" s="874"/>
      <c r="AI48" s="867" t="str">
        <f>IFERROR(IF(K48="","",IF(C48&lt;&gt;INDEX(PMELIGHT[Base Desc 1],MATCH(K48,PMELIGHT[Eff Desc 1],0)),0,INDEX(PMELIGHT[Inc Rate Unit],MATCH(K48,PMELIGHT[Eff Desc 1],0)))),"")</f>
        <v/>
      </c>
      <c r="AJ48" s="868"/>
      <c r="AK48" s="826" t="str">
        <f t="shared" ref="AK48" si="122">IFERROR(IF(OR(C48="",I48="",K48="",Q48="",S48="",U48="",Y48="",AB48="",AE48="",AG48=""),"",IFERROR(ROUND(IF(I48-Q48&lt;=0,0,(I48-Q48)*S48*AB48/1000),2),"")),"")</f>
        <v/>
      </c>
      <c r="AL48" s="827"/>
      <c r="AM48" s="827"/>
      <c r="AN48" s="820" t="str">
        <f t="shared" ref="AN48" si="123">IFERROR(IF(OR(C48="",I48="",K48="",Q48="",S48="",U48="",Y48="",AB48="",AE48="",AG48=""),"",IF(BC48&lt;&gt;"",BC48,ROUND(IF(I48-Q48&lt;=0,0,MIN(AU48,AI48*S48)),2))),"")</f>
        <v/>
      </c>
      <c r="AO48" s="821"/>
      <c r="AP48" s="821"/>
      <c r="AQ48" s="822"/>
      <c r="AU48" s="813" t="str">
        <f t="shared" si="117"/>
        <v/>
      </c>
      <c r="AV48" s="818" t="str">
        <f>IFERROR(IF(OR(I48="",Q48="",S48="",U48="",Y48="",AB48="",AE48="",AG48="",AK48=0),"",IF(ISNUMBER(SEARCH("Exterior",K48)),0,ROUND(((I48-Q48)*S48/1000)*INDEX(BUILDINGTYPE[Lighting Coincidence Factor],MATCH(M02S02F26,BUILDINGTYPE[Building Type],0)),3))),"")</f>
        <v/>
      </c>
      <c r="AW48" s="816" t="str">
        <f t="shared" si="118"/>
        <v/>
      </c>
      <c r="AX48" s="816" t="str">
        <f t="shared" si="119"/>
        <v/>
      </c>
      <c r="BC48" s="830" t="str">
        <f>IFERROR(IF(OR(C48="",I48="",K48="",Q48="",S48="",U48="",Y48="",AB48="",AE48="",AG48=""),"",IF(ISBLANK(M02S02F26),MEASUREBLDG,IF((I48*S48)&lt;=(Q48*S48),MEASURESAVE,""))),MEASURESUBMIT)</f>
        <v/>
      </c>
    </row>
    <row r="49" spans="2:55" ht="15.95" hidden="1" customHeight="1">
      <c r="B49" s="834"/>
      <c r="C49" s="840"/>
      <c r="D49" s="841"/>
      <c r="E49" s="841"/>
      <c r="F49" s="841"/>
      <c r="G49" s="841"/>
      <c r="H49" s="842"/>
      <c r="I49" s="845"/>
      <c r="J49" s="846"/>
      <c r="K49" s="848"/>
      <c r="L49" s="841"/>
      <c r="M49" s="841"/>
      <c r="N49" s="841"/>
      <c r="O49" s="841"/>
      <c r="P49" s="842"/>
      <c r="Q49" s="845"/>
      <c r="R49" s="850"/>
      <c r="S49" s="853"/>
      <c r="T49" s="854"/>
      <c r="U49" s="840"/>
      <c r="V49" s="841"/>
      <c r="W49" s="841"/>
      <c r="X49" s="842"/>
      <c r="Y49" s="856"/>
      <c r="Z49" s="841"/>
      <c r="AA49" s="842"/>
      <c r="AB49" s="853"/>
      <c r="AC49" s="858"/>
      <c r="AD49" s="854"/>
      <c r="AE49" s="861"/>
      <c r="AF49" s="862"/>
      <c r="AG49" s="865"/>
      <c r="AH49" s="875"/>
      <c r="AI49" s="869"/>
      <c r="AJ49" s="870"/>
      <c r="AK49" s="828"/>
      <c r="AL49" s="829"/>
      <c r="AM49" s="829"/>
      <c r="AN49" s="823"/>
      <c r="AO49" s="824"/>
      <c r="AP49" s="824"/>
      <c r="AQ49" s="825"/>
      <c r="AU49" s="814"/>
      <c r="AV49" s="819"/>
      <c r="AW49" s="817"/>
      <c r="AX49" s="817"/>
      <c r="BC49" s="831"/>
    </row>
    <row r="50" spans="2:55" ht="15.95" hidden="1" customHeight="1">
      <c r="B50" s="834">
        <v>18</v>
      </c>
      <c r="C50" s="837"/>
      <c r="D50" s="838"/>
      <c r="E50" s="838"/>
      <c r="F50" s="838"/>
      <c r="G50" s="838"/>
      <c r="H50" s="839"/>
      <c r="I50" s="843" t="str">
        <f>IFERROR(IF(C50="","",IF(INDEX(PMELIGHTTYPE[Base Autofill],MATCH(C50,PMELIGHTTYPE[Base Desc 1],0))="","",INDEX(PMELIGHTTYPE[Base Autofill],MATCH(C50,PMELIGHTTYPE[Base Desc 1],0)))),"")</f>
        <v/>
      </c>
      <c r="J50" s="844"/>
      <c r="K50" s="847"/>
      <c r="L50" s="838"/>
      <c r="M50" s="838"/>
      <c r="N50" s="838"/>
      <c r="O50" s="838"/>
      <c r="P50" s="839"/>
      <c r="Q50" s="843" t="str">
        <f t="shared" ref="Q50" si="124">IFERROR(IF(ISNUMBER(SEARCH("Removed",K50)),0,""),"")</f>
        <v/>
      </c>
      <c r="R50" s="849"/>
      <c r="S50" s="851"/>
      <c r="T50" s="852"/>
      <c r="U50" s="837"/>
      <c r="V50" s="838"/>
      <c r="W50" s="838"/>
      <c r="X50" s="839"/>
      <c r="Y50" s="855"/>
      <c r="Z50" s="838"/>
      <c r="AA50" s="839"/>
      <c r="AB50" s="851"/>
      <c r="AC50" s="857"/>
      <c r="AD50" s="852"/>
      <c r="AE50" s="859" t="str">
        <f t="shared" ref="AE50" si="125">IF(ISNUMBER(SEARCH("Removed",K50)),0,"")</f>
        <v/>
      </c>
      <c r="AF50" s="860"/>
      <c r="AG50" s="863"/>
      <c r="AH50" s="874"/>
      <c r="AI50" s="867" t="str">
        <f>IFERROR(IF(K50="","",IF(C50&lt;&gt;INDEX(PMELIGHT[Base Desc 1],MATCH(K50,PMELIGHT[Eff Desc 1],0)),0,INDEX(PMELIGHT[Inc Rate Unit],MATCH(K50,PMELIGHT[Eff Desc 1],0)))),"")</f>
        <v/>
      </c>
      <c r="AJ50" s="868"/>
      <c r="AK50" s="826" t="str">
        <f t="shared" ref="AK50" si="126">IFERROR(IF(OR(C50="",I50="",K50="",Q50="",S50="",U50="",Y50="",AB50="",AE50="",AG50=""),"",IFERROR(ROUND(IF(I50-Q50&lt;=0,0,(I50-Q50)*S50*AB50/1000),2),"")),"")</f>
        <v/>
      </c>
      <c r="AL50" s="827"/>
      <c r="AM50" s="827"/>
      <c r="AN50" s="820" t="str">
        <f t="shared" ref="AN50" si="127">IFERROR(IF(OR(C50="",I50="",K50="",Q50="",S50="",U50="",Y50="",AB50="",AE50="",AG50=""),"",IF(BC50&lt;&gt;"",BC50,ROUND(IF(I50-Q50&lt;=0,0,MIN(AU50,AI50*S50)),2))),"")</f>
        <v/>
      </c>
      <c r="AO50" s="821"/>
      <c r="AP50" s="821"/>
      <c r="AQ50" s="822"/>
      <c r="AU50" s="813" t="str">
        <f t="shared" si="117"/>
        <v/>
      </c>
      <c r="AV50" s="818" t="str">
        <f>IFERROR(IF(OR(I50="",Q50="",S50="",U50="",Y50="",AB50="",AE50="",AG50="",AK50=0),"",IF(ISNUMBER(SEARCH("Exterior",K50)),0,ROUND(((I50-Q50)*S50/1000)*INDEX(BUILDINGTYPE[Lighting Coincidence Factor],MATCH(M02S02F26,BUILDINGTYPE[Building Type],0)),3))),"")</f>
        <v/>
      </c>
      <c r="AW50" s="816" t="str">
        <f t="shared" si="118"/>
        <v/>
      </c>
      <c r="AX50" s="816" t="str">
        <f t="shared" si="119"/>
        <v/>
      </c>
      <c r="BC50" s="830" t="str">
        <f>IFERROR(IF(OR(C50="",I50="",K50="",Q50="",S50="",U50="",Y50="",AB50="",AE50="",AG50=""),"",IF(ISBLANK(M02S02F26),MEASUREBLDG,IF((I50*S50)&lt;=(Q50*S50),MEASURESAVE,""))),MEASURESUBMIT)</f>
        <v/>
      </c>
    </row>
    <row r="51" spans="2:55" ht="15.95" hidden="1" customHeight="1">
      <c r="B51" s="834"/>
      <c r="C51" s="840"/>
      <c r="D51" s="841"/>
      <c r="E51" s="841"/>
      <c r="F51" s="841"/>
      <c r="G51" s="841"/>
      <c r="H51" s="842"/>
      <c r="I51" s="845"/>
      <c r="J51" s="846"/>
      <c r="K51" s="848"/>
      <c r="L51" s="841"/>
      <c r="M51" s="841"/>
      <c r="N51" s="841"/>
      <c r="O51" s="841"/>
      <c r="P51" s="842"/>
      <c r="Q51" s="845"/>
      <c r="R51" s="850"/>
      <c r="S51" s="853"/>
      <c r="T51" s="854"/>
      <c r="U51" s="840"/>
      <c r="V51" s="841"/>
      <c r="W51" s="841"/>
      <c r="X51" s="842"/>
      <c r="Y51" s="856"/>
      <c r="Z51" s="841"/>
      <c r="AA51" s="842"/>
      <c r="AB51" s="853"/>
      <c r="AC51" s="858"/>
      <c r="AD51" s="854"/>
      <c r="AE51" s="861"/>
      <c r="AF51" s="862"/>
      <c r="AG51" s="865"/>
      <c r="AH51" s="875"/>
      <c r="AI51" s="869"/>
      <c r="AJ51" s="870"/>
      <c r="AK51" s="828"/>
      <c r="AL51" s="829"/>
      <c r="AM51" s="829"/>
      <c r="AN51" s="823"/>
      <c r="AO51" s="824"/>
      <c r="AP51" s="824"/>
      <c r="AQ51" s="825"/>
      <c r="AU51" s="814"/>
      <c r="AV51" s="819"/>
      <c r="AW51" s="817"/>
      <c r="AX51" s="817"/>
      <c r="BC51" s="831"/>
    </row>
    <row r="52" spans="2:55" ht="15.95" hidden="1" customHeight="1">
      <c r="B52" s="834">
        <v>19</v>
      </c>
      <c r="C52" s="837"/>
      <c r="D52" s="838"/>
      <c r="E52" s="838"/>
      <c r="F52" s="838"/>
      <c r="G52" s="838"/>
      <c r="H52" s="839"/>
      <c r="I52" s="843" t="str">
        <f>IFERROR(IF(C52="","",IF(INDEX(PMELIGHTTYPE[Base Autofill],MATCH(C52,PMELIGHTTYPE[Base Desc 1],0))="","",INDEX(PMELIGHTTYPE[Base Autofill],MATCH(C52,PMELIGHTTYPE[Base Desc 1],0)))),"")</f>
        <v/>
      </c>
      <c r="J52" s="844"/>
      <c r="K52" s="847"/>
      <c r="L52" s="838"/>
      <c r="M52" s="838"/>
      <c r="N52" s="838"/>
      <c r="O52" s="838"/>
      <c r="P52" s="839"/>
      <c r="Q52" s="843" t="str">
        <f t="shared" ref="Q52" si="128">IFERROR(IF(ISNUMBER(SEARCH("Removed",K52)),0,""),"")</f>
        <v/>
      </c>
      <c r="R52" s="849"/>
      <c r="S52" s="851"/>
      <c r="T52" s="852"/>
      <c r="U52" s="837"/>
      <c r="V52" s="838"/>
      <c r="W52" s="838"/>
      <c r="X52" s="839"/>
      <c r="Y52" s="855"/>
      <c r="Z52" s="838"/>
      <c r="AA52" s="839"/>
      <c r="AB52" s="851"/>
      <c r="AC52" s="857"/>
      <c r="AD52" s="852"/>
      <c r="AE52" s="859" t="str">
        <f t="shared" ref="AE52" si="129">IF(ISNUMBER(SEARCH("Removed",K52)),0,"")</f>
        <v/>
      </c>
      <c r="AF52" s="860"/>
      <c r="AG52" s="863"/>
      <c r="AH52" s="874"/>
      <c r="AI52" s="867" t="str">
        <f>IFERROR(IF(K52="","",IF(C52&lt;&gt;INDEX(PMELIGHT[Base Desc 1],MATCH(K52,PMELIGHT[Eff Desc 1],0)),0,INDEX(PMELIGHT[Inc Rate Unit],MATCH(K52,PMELIGHT[Eff Desc 1],0)))),"")</f>
        <v/>
      </c>
      <c r="AJ52" s="868"/>
      <c r="AK52" s="826" t="str">
        <f t="shared" ref="AK52" si="130">IFERROR(IF(OR(C52="",I52="",K52="",Q52="",S52="",U52="",Y52="",AB52="",AE52="",AG52=""),"",IFERROR(ROUND(IF(I52-Q52&lt;=0,0,(I52-Q52)*S52*AB52/1000),2),"")),"")</f>
        <v/>
      </c>
      <c r="AL52" s="827"/>
      <c r="AM52" s="827"/>
      <c r="AN52" s="820" t="str">
        <f t="shared" ref="AN52" si="131">IFERROR(IF(OR(C52="",I52="",K52="",Q52="",S52="",U52="",Y52="",AB52="",AE52="",AG52=""),"",IF(BC52&lt;&gt;"",BC52,ROUND(IF(I52-Q52&lt;=0,0,MIN(AU52,AI52*S52)),2))),"")</f>
        <v/>
      </c>
      <c r="AO52" s="821"/>
      <c r="AP52" s="821"/>
      <c r="AQ52" s="822"/>
      <c r="AU52" s="813" t="str">
        <f t="shared" si="117"/>
        <v/>
      </c>
      <c r="AV52" s="818" t="str">
        <f>IFERROR(IF(OR(I52="",Q52="",S52="",U52="",Y52="",AB52="",AE52="",AG52="",AK52=0),"",IF(ISNUMBER(SEARCH("Exterior",K52)),0,ROUND(((I52-Q52)*S52/1000)*INDEX(BUILDINGTYPE[Lighting Coincidence Factor],MATCH(M02S02F26,BUILDINGTYPE[Building Type],0)),3))),"")</f>
        <v/>
      </c>
      <c r="AW52" s="816" t="str">
        <f t="shared" si="118"/>
        <v/>
      </c>
      <c r="AX52" s="816" t="str">
        <f t="shared" si="119"/>
        <v/>
      </c>
      <c r="BC52" s="830" t="str">
        <f>IFERROR(IF(OR(C52="",I52="",K52="",Q52="",S52="",U52="",Y52="",AB52="",AE52="",AG52=""),"",IF(ISBLANK(M02S02F26),MEASUREBLDG,IF((I52*S52)&lt;=(Q52*S52),MEASURESAVE,""))),MEASURESUBMIT)</f>
        <v/>
      </c>
    </row>
    <row r="53" spans="2:55" ht="15.95" hidden="1" customHeight="1">
      <c r="B53" s="834"/>
      <c r="C53" s="840"/>
      <c r="D53" s="841"/>
      <c r="E53" s="841"/>
      <c r="F53" s="841"/>
      <c r="G53" s="841"/>
      <c r="H53" s="842"/>
      <c r="I53" s="845"/>
      <c r="J53" s="846"/>
      <c r="K53" s="848"/>
      <c r="L53" s="841"/>
      <c r="M53" s="841"/>
      <c r="N53" s="841"/>
      <c r="O53" s="841"/>
      <c r="P53" s="842"/>
      <c r="Q53" s="845"/>
      <c r="R53" s="850"/>
      <c r="S53" s="853"/>
      <c r="T53" s="854"/>
      <c r="U53" s="840"/>
      <c r="V53" s="841"/>
      <c r="W53" s="841"/>
      <c r="X53" s="842"/>
      <c r="Y53" s="856"/>
      <c r="Z53" s="841"/>
      <c r="AA53" s="842"/>
      <c r="AB53" s="853"/>
      <c r="AC53" s="858"/>
      <c r="AD53" s="854"/>
      <c r="AE53" s="861"/>
      <c r="AF53" s="862"/>
      <c r="AG53" s="865"/>
      <c r="AH53" s="875"/>
      <c r="AI53" s="869"/>
      <c r="AJ53" s="870"/>
      <c r="AK53" s="828"/>
      <c r="AL53" s="829"/>
      <c r="AM53" s="829"/>
      <c r="AN53" s="823"/>
      <c r="AO53" s="824"/>
      <c r="AP53" s="824"/>
      <c r="AQ53" s="825"/>
      <c r="AU53" s="814"/>
      <c r="AV53" s="819"/>
      <c r="AW53" s="817"/>
      <c r="AX53" s="817"/>
      <c r="BC53" s="831"/>
    </row>
    <row r="54" spans="2:55" ht="15.95" hidden="1" customHeight="1">
      <c r="B54" s="834">
        <v>20</v>
      </c>
      <c r="C54" s="837"/>
      <c r="D54" s="838"/>
      <c r="E54" s="838"/>
      <c r="F54" s="838"/>
      <c r="G54" s="838"/>
      <c r="H54" s="839"/>
      <c r="I54" s="843" t="str">
        <f>IFERROR(IF(C54="","",IF(INDEX(PMELIGHTTYPE[Base Autofill],MATCH(C54,PMELIGHTTYPE[Base Desc 1],0))="","",INDEX(PMELIGHTTYPE[Base Autofill],MATCH(C54,PMELIGHTTYPE[Base Desc 1],0)))),"")</f>
        <v/>
      </c>
      <c r="J54" s="844"/>
      <c r="K54" s="847"/>
      <c r="L54" s="838"/>
      <c r="M54" s="838"/>
      <c r="N54" s="838"/>
      <c r="O54" s="838"/>
      <c r="P54" s="839"/>
      <c r="Q54" s="843" t="str">
        <f t="shared" ref="Q54" si="132">IFERROR(IF(ISNUMBER(SEARCH("Removed",K54)),0,""),"")</f>
        <v/>
      </c>
      <c r="R54" s="849"/>
      <c r="S54" s="851"/>
      <c r="T54" s="852"/>
      <c r="U54" s="837"/>
      <c r="V54" s="838"/>
      <c r="W54" s="838"/>
      <c r="X54" s="839"/>
      <c r="Y54" s="855"/>
      <c r="Z54" s="838"/>
      <c r="AA54" s="839"/>
      <c r="AB54" s="851"/>
      <c r="AC54" s="857"/>
      <c r="AD54" s="852"/>
      <c r="AE54" s="859" t="str">
        <f t="shared" ref="AE54" si="133">IF(ISNUMBER(SEARCH("Removed",K54)),0,"")</f>
        <v/>
      </c>
      <c r="AF54" s="860"/>
      <c r="AG54" s="863"/>
      <c r="AH54" s="874"/>
      <c r="AI54" s="867" t="str">
        <f>IFERROR(IF(K54="","",IF(C54&lt;&gt;INDEX(PMELIGHT[Base Desc 1],MATCH(K54,PMELIGHT[Eff Desc 1],0)),0,INDEX(PMELIGHT[Inc Rate Unit],MATCH(K54,PMELIGHT[Eff Desc 1],0)))),"")</f>
        <v/>
      </c>
      <c r="AJ54" s="868"/>
      <c r="AK54" s="826" t="str">
        <f t="shared" ref="AK54" si="134">IFERROR(IF(OR(C54="",I54="",K54="",Q54="",S54="",U54="",Y54="",AB54="",AE54="",AG54=""),"",IFERROR(ROUND(IF(I54-Q54&lt;=0,0,(I54-Q54)*S54*AB54/1000),2),"")),"")</f>
        <v/>
      </c>
      <c r="AL54" s="827"/>
      <c r="AM54" s="827"/>
      <c r="AN54" s="820" t="str">
        <f t="shared" ref="AN54" si="135">IFERROR(IF(OR(C54="",I54="",K54="",Q54="",S54="",U54="",Y54="",AB54="",AE54="",AG54=""),"",IF(BC54&lt;&gt;"",BC54,ROUND(IF(I54-Q54&lt;=0,0,MIN(AU54,AI54*S54)),2))),"")</f>
        <v/>
      </c>
      <c r="AO54" s="821"/>
      <c r="AP54" s="821"/>
      <c r="AQ54" s="822"/>
      <c r="AU54" s="813" t="str">
        <f t="shared" si="117"/>
        <v/>
      </c>
      <c r="AV54" s="818" t="str">
        <f>IFERROR(IF(OR(I54="",Q54="",S54="",U54="",Y54="",AB54="",AE54="",AG54="",AK54=0),"",IF(ISNUMBER(SEARCH("Exterior",K54)),0,ROUND(((I54-Q54)*S54/1000)*INDEX(BUILDINGTYPE[Lighting Coincidence Factor],MATCH(M02S02F26,BUILDINGTYPE[Building Type],0)),3))),"")</f>
        <v/>
      </c>
      <c r="AW54" s="816" t="str">
        <f t="shared" si="118"/>
        <v/>
      </c>
      <c r="AX54" s="816" t="str">
        <f t="shared" si="119"/>
        <v/>
      </c>
      <c r="BC54" s="830" t="str">
        <f>IFERROR(IF(OR(C54="",I54="",K54="",Q54="",S54="",U54="",Y54="",AB54="",AE54="",AG54=""),"",IF(ISBLANK(M02S02F26),MEASUREBLDG,IF((I54*S54)&lt;=(Q54*S54),MEASURESAVE,""))),MEASURESUBMIT)</f>
        <v/>
      </c>
    </row>
    <row r="55" spans="2:55" ht="15.95" hidden="1" customHeight="1">
      <c r="B55" s="834"/>
      <c r="C55" s="840"/>
      <c r="D55" s="841"/>
      <c r="E55" s="841"/>
      <c r="F55" s="841"/>
      <c r="G55" s="841"/>
      <c r="H55" s="842"/>
      <c r="I55" s="845"/>
      <c r="J55" s="846"/>
      <c r="K55" s="848"/>
      <c r="L55" s="841"/>
      <c r="M55" s="841"/>
      <c r="N55" s="841"/>
      <c r="O55" s="841"/>
      <c r="P55" s="842"/>
      <c r="Q55" s="845"/>
      <c r="R55" s="850"/>
      <c r="S55" s="853"/>
      <c r="T55" s="854"/>
      <c r="U55" s="840"/>
      <c r="V55" s="841"/>
      <c r="W55" s="841"/>
      <c r="X55" s="842"/>
      <c r="Y55" s="856"/>
      <c r="Z55" s="841"/>
      <c r="AA55" s="842"/>
      <c r="AB55" s="853"/>
      <c r="AC55" s="858"/>
      <c r="AD55" s="854"/>
      <c r="AE55" s="861"/>
      <c r="AF55" s="862"/>
      <c r="AG55" s="865"/>
      <c r="AH55" s="875"/>
      <c r="AI55" s="869"/>
      <c r="AJ55" s="870"/>
      <c r="AK55" s="828"/>
      <c r="AL55" s="829"/>
      <c r="AM55" s="829"/>
      <c r="AN55" s="823"/>
      <c r="AO55" s="824"/>
      <c r="AP55" s="824"/>
      <c r="AQ55" s="825"/>
      <c r="AU55" s="814"/>
      <c r="AV55" s="819"/>
      <c r="AW55" s="817"/>
      <c r="AX55" s="817"/>
      <c r="BC55" s="831"/>
    </row>
    <row r="56" spans="2:55" ht="15.95" hidden="1" customHeight="1">
      <c r="B56" s="834">
        <v>21</v>
      </c>
      <c r="C56" s="837"/>
      <c r="D56" s="838"/>
      <c r="E56" s="838"/>
      <c r="F56" s="838"/>
      <c r="G56" s="838"/>
      <c r="H56" s="839"/>
      <c r="I56" s="843" t="str">
        <f>IFERROR(IF(C56="","",IF(INDEX(PMELIGHTTYPE[Base Autofill],MATCH(C56,PMELIGHTTYPE[Base Desc 1],0))="","",INDEX(PMELIGHTTYPE[Base Autofill],MATCH(C56,PMELIGHTTYPE[Base Desc 1],0)))),"")</f>
        <v/>
      </c>
      <c r="J56" s="844"/>
      <c r="K56" s="847"/>
      <c r="L56" s="838"/>
      <c r="M56" s="838"/>
      <c r="N56" s="838"/>
      <c r="O56" s="838"/>
      <c r="P56" s="839"/>
      <c r="Q56" s="843" t="str">
        <f t="shared" ref="Q56" si="136">IFERROR(IF(ISNUMBER(SEARCH("Removed",K56)),0,""),"")</f>
        <v/>
      </c>
      <c r="R56" s="849"/>
      <c r="S56" s="851"/>
      <c r="T56" s="852"/>
      <c r="U56" s="837"/>
      <c r="V56" s="838"/>
      <c r="W56" s="838"/>
      <c r="X56" s="839"/>
      <c r="Y56" s="855"/>
      <c r="Z56" s="838"/>
      <c r="AA56" s="839"/>
      <c r="AB56" s="851"/>
      <c r="AC56" s="857"/>
      <c r="AD56" s="852"/>
      <c r="AE56" s="859" t="str">
        <f t="shared" ref="AE56" si="137">IF(ISNUMBER(SEARCH("Removed",K56)),0,"")</f>
        <v/>
      </c>
      <c r="AF56" s="860"/>
      <c r="AG56" s="863"/>
      <c r="AH56" s="874"/>
      <c r="AI56" s="867" t="str">
        <f>IFERROR(IF(K56="","",IF(C56&lt;&gt;INDEX(PMELIGHT[Base Desc 1],MATCH(K56,PMELIGHT[Eff Desc 1],0)),0,INDEX(PMELIGHT[Inc Rate Unit],MATCH(K56,PMELIGHT[Eff Desc 1],0)))),"")</f>
        <v/>
      </c>
      <c r="AJ56" s="868"/>
      <c r="AK56" s="826" t="str">
        <f t="shared" ref="AK56" si="138">IFERROR(IF(OR(C56="",I56="",K56="",Q56="",S56="",U56="",Y56="",AB56="",AE56="",AG56=""),"",IFERROR(ROUND(IF(I56-Q56&lt;=0,0,(I56-Q56)*S56*AB56/1000),2),"")),"")</f>
        <v/>
      </c>
      <c r="AL56" s="827"/>
      <c r="AM56" s="827"/>
      <c r="AN56" s="820" t="str">
        <f t="shared" ref="AN56" si="139">IFERROR(IF(OR(C56="",I56="",K56="",Q56="",S56="",U56="",Y56="",AB56="",AE56="",AG56=""),"",IF(BC56&lt;&gt;"",BC56,ROUND(IF(I56-Q56&lt;=0,0,MIN(AU56,AI56*S56)),2))),"")</f>
        <v/>
      </c>
      <c r="AO56" s="821"/>
      <c r="AP56" s="821"/>
      <c r="AQ56" s="822"/>
      <c r="AU56" s="813" t="str">
        <f t="shared" si="117"/>
        <v/>
      </c>
      <c r="AV56" s="818" t="str">
        <f>IFERROR(IF(OR(I56="",Q56="",S56="",U56="",Y56="",AB56="",AE56="",AG56="",AK56=0),"",IF(ISNUMBER(SEARCH("Exterior",K56)),0,ROUND(((I56-Q56)*S56/1000)*INDEX(BUILDINGTYPE[Lighting Coincidence Factor],MATCH(M02S02F26,BUILDINGTYPE[Building Type],0)),3))),"")</f>
        <v/>
      </c>
      <c r="AW56" s="816" t="str">
        <f t="shared" si="118"/>
        <v/>
      </c>
      <c r="AX56" s="816" t="str">
        <f t="shared" si="119"/>
        <v/>
      </c>
      <c r="BC56" s="830" t="str">
        <f>IFERROR(IF(OR(C56="",I56="",K56="",Q56="",S56="",U56="",Y56="",AB56="",AE56="",AG56=""),"",IF(ISBLANK(M02S02F26),MEASUREBLDG,IF((I56*S56)&lt;=(Q56*S56),MEASURESAVE,""))),MEASURESUBMIT)</f>
        <v/>
      </c>
    </row>
    <row r="57" spans="2:55" ht="15.95" hidden="1" customHeight="1">
      <c r="B57" s="834"/>
      <c r="C57" s="840"/>
      <c r="D57" s="841"/>
      <c r="E57" s="841"/>
      <c r="F57" s="841"/>
      <c r="G57" s="841"/>
      <c r="H57" s="842"/>
      <c r="I57" s="845"/>
      <c r="J57" s="846"/>
      <c r="K57" s="848"/>
      <c r="L57" s="841"/>
      <c r="M57" s="841"/>
      <c r="N57" s="841"/>
      <c r="O57" s="841"/>
      <c r="P57" s="842"/>
      <c r="Q57" s="845"/>
      <c r="R57" s="850"/>
      <c r="S57" s="853"/>
      <c r="T57" s="854"/>
      <c r="U57" s="840"/>
      <c r="V57" s="841"/>
      <c r="W57" s="841"/>
      <c r="X57" s="842"/>
      <c r="Y57" s="856"/>
      <c r="Z57" s="841"/>
      <c r="AA57" s="842"/>
      <c r="AB57" s="853"/>
      <c r="AC57" s="858"/>
      <c r="AD57" s="854"/>
      <c r="AE57" s="861"/>
      <c r="AF57" s="862"/>
      <c r="AG57" s="865"/>
      <c r="AH57" s="875"/>
      <c r="AI57" s="869"/>
      <c r="AJ57" s="870"/>
      <c r="AK57" s="828"/>
      <c r="AL57" s="829"/>
      <c r="AM57" s="829"/>
      <c r="AN57" s="823"/>
      <c r="AO57" s="824"/>
      <c r="AP57" s="824"/>
      <c r="AQ57" s="825"/>
      <c r="AU57" s="814"/>
      <c r="AV57" s="819"/>
      <c r="AW57" s="817"/>
      <c r="AX57" s="817"/>
      <c r="BC57" s="831"/>
    </row>
    <row r="58" spans="2:55" ht="15.95" hidden="1" customHeight="1">
      <c r="B58" s="834">
        <v>22</v>
      </c>
      <c r="C58" s="837"/>
      <c r="D58" s="838"/>
      <c r="E58" s="838"/>
      <c r="F58" s="838"/>
      <c r="G58" s="838"/>
      <c r="H58" s="839"/>
      <c r="I58" s="843" t="str">
        <f>IFERROR(IF(C58="","",IF(INDEX(PMELIGHTTYPE[Base Autofill],MATCH(C58,PMELIGHTTYPE[Base Desc 1],0))="","",INDEX(PMELIGHTTYPE[Base Autofill],MATCH(C58,PMELIGHTTYPE[Base Desc 1],0)))),"")</f>
        <v/>
      </c>
      <c r="J58" s="844"/>
      <c r="K58" s="847"/>
      <c r="L58" s="838"/>
      <c r="M58" s="838"/>
      <c r="N58" s="838"/>
      <c r="O58" s="838"/>
      <c r="P58" s="839"/>
      <c r="Q58" s="843" t="str">
        <f t="shared" ref="Q58" si="140">IFERROR(IF(ISNUMBER(SEARCH("Removed",K58)),0,""),"")</f>
        <v/>
      </c>
      <c r="R58" s="849"/>
      <c r="S58" s="851"/>
      <c r="T58" s="852"/>
      <c r="U58" s="837"/>
      <c r="V58" s="838"/>
      <c r="W58" s="838"/>
      <c r="X58" s="839"/>
      <c r="Y58" s="855"/>
      <c r="Z58" s="838"/>
      <c r="AA58" s="839"/>
      <c r="AB58" s="851"/>
      <c r="AC58" s="857"/>
      <c r="AD58" s="852"/>
      <c r="AE58" s="859" t="str">
        <f t="shared" ref="AE58" si="141">IF(ISNUMBER(SEARCH("Removed",K58)),0,"")</f>
        <v/>
      </c>
      <c r="AF58" s="860"/>
      <c r="AG58" s="863"/>
      <c r="AH58" s="874"/>
      <c r="AI58" s="867" t="str">
        <f>IFERROR(IF(K58="","",IF(C58&lt;&gt;INDEX(PMELIGHT[Base Desc 1],MATCH(K58,PMELIGHT[Eff Desc 1],0)),0,INDEX(PMELIGHT[Inc Rate Unit],MATCH(K58,PMELIGHT[Eff Desc 1],0)))),"")</f>
        <v/>
      </c>
      <c r="AJ58" s="868"/>
      <c r="AK58" s="826" t="str">
        <f t="shared" ref="AK58" si="142">IFERROR(IF(OR(C58="",I58="",K58="",Q58="",S58="",U58="",Y58="",AB58="",AE58="",AG58=""),"",IFERROR(ROUND(IF(I58-Q58&lt;=0,0,(I58-Q58)*S58*AB58/1000),2),"")),"")</f>
        <v/>
      </c>
      <c r="AL58" s="827"/>
      <c r="AM58" s="827"/>
      <c r="AN58" s="820" t="str">
        <f t="shared" ref="AN58" si="143">IFERROR(IF(OR(C58="",I58="",K58="",Q58="",S58="",U58="",Y58="",AB58="",AE58="",AG58=""),"",IF(BC58&lt;&gt;"",BC58,ROUND(IF(I58-Q58&lt;=0,0,MIN(AU58,AI58*S58)),2))),"")</f>
        <v/>
      </c>
      <c r="AO58" s="821"/>
      <c r="AP58" s="821"/>
      <c r="AQ58" s="822"/>
      <c r="AU58" s="813" t="str">
        <f t="shared" si="117"/>
        <v/>
      </c>
      <c r="AV58" s="818" t="str">
        <f>IFERROR(IF(OR(I58="",Q58="",S58="",U58="",Y58="",AB58="",AE58="",AG58="",AK58=0),"",IF(ISNUMBER(SEARCH("Exterior",K58)),0,ROUND(((I58-Q58)*S58/1000)*INDEX(BUILDINGTYPE[Lighting Coincidence Factor],MATCH(M02S02F26,BUILDINGTYPE[Building Type],0)),3))),"")</f>
        <v/>
      </c>
      <c r="AW58" s="816" t="str">
        <f t="shared" si="118"/>
        <v/>
      </c>
      <c r="AX58" s="816" t="str">
        <f t="shared" si="119"/>
        <v/>
      </c>
      <c r="BC58" s="830" t="str">
        <f>IFERROR(IF(OR(C58="",I58="",K58="",Q58="",S58="",U58="",Y58="",AB58="",AE58="",AG58=""),"",IF(ISBLANK(M02S02F26),MEASUREBLDG,IF((I58*S58)&lt;=(Q58*S58),MEASURESAVE,""))),MEASURESUBMIT)</f>
        <v/>
      </c>
    </row>
    <row r="59" spans="2:55" ht="15.95" hidden="1" customHeight="1">
      <c r="B59" s="834"/>
      <c r="C59" s="840"/>
      <c r="D59" s="841"/>
      <c r="E59" s="841"/>
      <c r="F59" s="841"/>
      <c r="G59" s="841"/>
      <c r="H59" s="842"/>
      <c r="I59" s="845"/>
      <c r="J59" s="846"/>
      <c r="K59" s="848"/>
      <c r="L59" s="841"/>
      <c r="M59" s="841"/>
      <c r="N59" s="841"/>
      <c r="O59" s="841"/>
      <c r="P59" s="842"/>
      <c r="Q59" s="845"/>
      <c r="R59" s="850"/>
      <c r="S59" s="853"/>
      <c r="T59" s="854"/>
      <c r="U59" s="840"/>
      <c r="V59" s="841"/>
      <c r="W59" s="841"/>
      <c r="X59" s="842"/>
      <c r="Y59" s="856"/>
      <c r="Z59" s="841"/>
      <c r="AA59" s="842"/>
      <c r="AB59" s="853"/>
      <c r="AC59" s="858"/>
      <c r="AD59" s="854"/>
      <c r="AE59" s="861"/>
      <c r="AF59" s="862"/>
      <c r="AG59" s="865"/>
      <c r="AH59" s="875"/>
      <c r="AI59" s="869"/>
      <c r="AJ59" s="870"/>
      <c r="AK59" s="828"/>
      <c r="AL59" s="829"/>
      <c r="AM59" s="829"/>
      <c r="AN59" s="823"/>
      <c r="AO59" s="824"/>
      <c r="AP59" s="824"/>
      <c r="AQ59" s="825"/>
      <c r="AU59" s="814"/>
      <c r="AV59" s="819"/>
      <c r="AW59" s="817"/>
      <c r="AX59" s="817"/>
      <c r="BC59" s="831"/>
    </row>
    <row r="60" spans="2:55" ht="15.95" hidden="1" customHeight="1">
      <c r="B60" s="834">
        <v>23</v>
      </c>
      <c r="C60" s="837"/>
      <c r="D60" s="838"/>
      <c r="E60" s="838"/>
      <c r="F60" s="838"/>
      <c r="G60" s="838"/>
      <c r="H60" s="839"/>
      <c r="I60" s="843" t="str">
        <f>IFERROR(IF(C60="","",IF(INDEX(PMELIGHTTYPE[Base Autofill],MATCH(C60,PMELIGHTTYPE[Base Desc 1],0))="","",INDEX(PMELIGHTTYPE[Base Autofill],MATCH(C60,PMELIGHTTYPE[Base Desc 1],0)))),"")</f>
        <v/>
      </c>
      <c r="J60" s="844"/>
      <c r="K60" s="847"/>
      <c r="L60" s="838"/>
      <c r="M60" s="838"/>
      <c r="N60" s="838"/>
      <c r="O60" s="838"/>
      <c r="P60" s="839"/>
      <c r="Q60" s="843" t="str">
        <f t="shared" ref="Q60" si="144">IFERROR(IF(ISNUMBER(SEARCH("Removed",K60)),0,""),"")</f>
        <v/>
      </c>
      <c r="R60" s="849"/>
      <c r="S60" s="851"/>
      <c r="T60" s="852"/>
      <c r="U60" s="837"/>
      <c r="V60" s="838"/>
      <c r="W60" s="838"/>
      <c r="X60" s="839"/>
      <c r="Y60" s="855"/>
      <c r="Z60" s="838"/>
      <c r="AA60" s="839"/>
      <c r="AB60" s="851"/>
      <c r="AC60" s="857"/>
      <c r="AD60" s="852"/>
      <c r="AE60" s="859" t="str">
        <f t="shared" ref="AE60" si="145">IF(ISNUMBER(SEARCH("Removed",K60)),0,"")</f>
        <v/>
      </c>
      <c r="AF60" s="860"/>
      <c r="AG60" s="863"/>
      <c r="AH60" s="874"/>
      <c r="AI60" s="867" t="str">
        <f>IFERROR(IF(K60="","",IF(C60&lt;&gt;INDEX(PMELIGHT[Base Desc 1],MATCH(K60,PMELIGHT[Eff Desc 1],0)),0,INDEX(PMELIGHT[Inc Rate Unit],MATCH(K60,PMELIGHT[Eff Desc 1],0)))),"")</f>
        <v/>
      </c>
      <c r="AJ60" s="868"/>
      <c r="AK60" s="826" t="str">
        <f t="shared" ref="AK60" si="146">IFERROR(IF(OR(C60="",I60="",K60="",Q60="",S60="",U60="",Y60="",AB60="",AE60="",AG60=""),"",IFERROR(ROUND(IF(I60-Q60&lt;=0,0,(I60-Q60)*S60*AB60/1000),2),"")),"")</f>
        <v/>
      </c>
      <c r="AL60" s="827"/>
      <c r="AM60" s="827"/>
      <c r="AN60" s="820" t="str">
        <f t="shared" ref="AN60" si="147">IFERROR(IF(OR(C60="",I60="",K60="",Q60="",S60="",U60="",Y60="",AB60="",AE60="",AG60=""),"",IF(BC60&lt;&gt;"",BC60,ROUND(IF(I60-Q60&lt;=0,0,MIN(AU60,AI60*S60)),2))),"")</f>
        <v/>
      </c>
      <c r="AO60" s="821"/>
      <c r="AP60" s="821"/>
      <c r="AQ60" s="822"/>
      <c r="AU60" s="813" t="str">
        <f t="shared" si="117"/>
        <v/>
      </c>
      <c r="AV60" s="818" t="str">
        <f>IFERROR(IF(OR(I60="",Q60="",S60="",U60="",Y60="",AB60="",AE60="",AG60="",AK60=0),"",IF(ISNUMBER(SEARCH("Exterior",K60)),0,ROUND(((I60-Q60)*S60/1000)*INDEX(BUILDINGTYPE[Lighting Coincidence Factor],MATCH(M02S02F26,BUILDINGTYPE[Building Type],0)),3))),"")</f>
        <v/>
      </c>
      <c r="AW60" s="816" t="str">
        <f t="shared" si="118"/>
        <v/>
      </c>
      <c r="AX60" s="816" t="str">
        <f t="shared" si="119"/>
        <v/>
      </c>
      <c r="BC60" s="830" t="str">
        <f>IFERROR(IF(OR(C60="",I60="",K60="",Q60="",S60="",U60="",Y60="",AB60="",AE60="",AG60=""),"",IF(ISBLANK(M02S02F26),MEASUREBLDG,IF((I60*S60)&lt;=(Q60*S60),MEASURESAVE,""))),MEASURESUBMIT)</f>
        <v/>
      </c>
    </row>
    <row r="61" spans="2:55" ht="15.95" hidden="1" customHeight="1">
      <c r="B61" s="834"/>
      <c r="C61" s="840"/>
      <c r="D61" s="841"/>
      <c r="E61" s="841"/>
      <c r="F61" s="841"/>
      <c r="G61" s="841"/>
      <c r="H61" s="842"/>
      <c r="I61" s="845"/>
      <c r="J61" s="846"/>
      <c r="K61" s="848"/>
      <c r="L61" s="841"/>
      <c r="M61" s="841"/>
      <c r="N61" s="841"/>
      <c r="O61" s="841"/>
      <c r="P61" s="842"/>
      <c r="Q61" s="845"/>
      <c r="R61" s="850"/>
      <c r="S61" s="853"/>
      <c r="T61" s="854"/>
      <c r="U61" s="840"/>
      <c r="V61" s="841"/>
      <c r="W61" s="841"/>
      <c r="X61" s="842"/>
      <c r="Y61" s="856"/>
      <c r="Z61" s="841"/>
      <c r="AA61" s="842"/>
      <c r="AB61" s="853"/>
      <c r="AC61" s="858"/>
      <c r="AD61" s="854"/>
      <c r="AE61" s="861"/>
      <c r="AF61" s="862"/>
      <c r="AG61" s="865"/>
      <c r="AH61" s="875"/>
      <c r="AI61" s="869"/>
      <c r="AJ61" s="870"/>
      <c r="AK61" s="828"/>
      <c r="AL61" s="829"/>
      <c r="AM61" s="829"/>
      <c r="AN61" s="823"/>
      <c r="AO61" s="824"/>
      <c r="AP61" s="824"/>
      <c r="AQ61" s="825"/>
      <c r="AU61" s="814"/>
      <c r="AV61" s="819"/>
      <c r="AW61" s="817"/>
      <c r="AX61" s="817"/>
      <c r="BC61" s="831"/>
    </row>
    <row r="62" spans="2:55" ht="15.95" hidden="1" customHeight="1">
      <c r="B62" s="834">
        <v>24</v>
      </c>
      <c r="C62" s="837"/>
      <c r="D62" s="838"/>
      <c r="E62" s="838"/>
      <c r="F62" s="838"/>
      <c r="G62" s="838"/>
      <c r="H62" s="839"/>
      <c r="I62" s="843" t="str">
        <f>IFERROR(IF(C62="","",IF(INDEX(PMELIGHTTYPE[Base Autofill],MATCH(C62,PMELIGHTTYPE[Base Desc 1],0))="","",INDEX(PMELIGHTTYPE[Base Autofill],MATCH(C62,PMELIGHTTYPE[Base Desc 1],0)))),"")</f>
        <v/>
      </c>
      <c r="J62" s="844"/>
      <c r="K62" s="847"/>
      <c r="L62" s="838"/>
      <c r="M62" s="838"/>
      <c r="N62" s="838"/>
      <c r="O62" s="838"/>
      <c r="P62" s="839"/>
      <c r="Q62" s="843" t="str">
        <f t="shared" ref="Q62" si="148">IFERROR(IF(ISNUMBER(SEARCH("Removed",K62)),0,""),"")</f>
        <v/>
      </c>
      <c r="R62" s="849"/>
      <c r="S62" s="851"/>
      <c r="T62" s="852"/>
      <c r="U62" s="837"/>
      <c r="V62" s="838"/>
      <c r="W62" s="838"/>
      <c r="X62" s="839"/>
      <c r="Y62" s="855"/>
      <c r="Z62" s="838"/>
      <c r="AA62" s="839"/>
      <c r="AB62" s="851"/>
      <c r="AC62" s="857"/>
      <c r="AD62" s="852"/>
      <c r="AE62" s="859" t="str">
        <f t="shared" ref="AE62" si="149">IF(ISNUMBER(SEARCH("Removed",K62)),0,"")</f>
        <v/>
      </c>
      <c r="AF62" s="860"/>
      <c r="AG62" s="863"/>
      <c r="AH62" s="874"/>
      <c r="AI62" s="867" t="str">
        <f>IFERROR(IF(K62="","",IF(C62&lt;&gt;INDEX(PMELIGHT[Base Desc 1],MATCH(K62,PMELIGHT[Eff Desc 1],0)),0,INDEX(PMELIGHT[Inc Rate Unit],MATCH(K62,PMELIGHT[Eff Desc 1],0)))),"")</f>
        <v/>
      </c>
      <c r="AJ62" s="868"/>
      <c r="AK62" s="826" t="str">
        <f t="shared" ref="AK62" si="150">IFERROR(IF(OR(C62="",I62="",K62="",Q62="",S62="",U62="",Y62="",AB62="",AE62="",AG62=""),"",IFERROR(ROUND(IF(I62-Q62&lt;=0,0,(I62-Q62)*S62*AB62/1000),2),"")),"")</f>
        <v/>
      </c>
      <c r="AL62" s="827"/>
      <c r="AM62" s="827"/>
      <c r="AN62" s="820" t="str">
        <f t="shared" ref="AN62" si="151">IFERROR(IF(OR(C62="",I62="",K62="",Q62="",S62="",U62="",Y62="",AB62="",AE62="",AG62=""),"",IF(BC62&lt;&gt;"",BC62,ROUND(IF(I62-Q62&lt;=0,0,MIN(AU62,AI62*S62)),2))),"")</f>
        <v/>
      </c>
      <c r="AO62" s="821"/>
      <c r="AP62" s="821"/>
      <c r="AQ62" s="822"/>
      <c r="AU62" s="813" t="str">
        <f t="shared" si="117"/>
        <v/>
      </c>
      <c r="AV62" s="818" t="str">
        <f>IFERROR(IF(OR(I62="",Q62="",S62="",U62="",Y62="",AB62="",AE62="",AG62="",AK62=0),"",IF(ISNUMBER(SEARCH("Exterior",K62)),0,ROUND(((I62-Q62)*S62/1000)*INDEX(BUILDINGTYPE[Lighting Coincidence Factor],MATCH(M02S02F26,BUILDINGTYPE[Building Type],0)),3))),"")</f>
        <v/>
      </c>
      <c r="AW62" s="816" t="str">
        <f t="shared" si="118"/>
        <v/>
      </c>
      <c r="AX62" s="816" t="str">
        <f t="shared" si="119"/>
        <v/>
      </c>
      <c r="BC62" s="830" t="str">
        <f>IFERROR(IF(OR(C62="",I62="",K62="",Q62="",S62="",U62="",Y62="",AB62="",AE62="",AG62=""),"",IF(ISBLANK(M02S02F26),MEASUREBLDG,IF((I62*S62)&lt;=(Q62*S62),MEASURESAVE,""))),MEASURESUBMIT)</f>
        <v/>
      </c>
    </row>
    <row r="63" spans="2:55" ht="15.95" hidden="1" customHeight="1">
      <c r="B63" s="834"/>
      <c r="C63" s="840"/>
      <c r="D63" s="841"/>
      <c r="E63" s="841"/>
      <c r="F63" s="841"/>
      <c r="G63" s="841"/>
      <c r="H63" s="842"/>
      <c r="I63" s="845"/>
      <c r="J63" s="846"/>
      <c r="K63" s="848"/>
      <c r="L63" s="841"/>
      <c r="M63" s="841"/>
      <c r="N63" s="841"/>
      <c r="O63" s="841"/>
      <c r="P63" s="842"/>
      <c r="Q63" s="845"/>
      <c r="R63" s="850"/>
      <c r="S63" s="853"/>
      <c r="T63" s="854"/>
      <c r="U63" s="840"/>
      <c r="V63" s="841"/>
      <c r="W63" s="841"/>
      <c r="X63" s="842"/>
      <c r="Y63" s="856"/>
      <c r="Z63" s="841"/>
      <c r="AA63" s="842"/>
      <c r="AB63" s="853"/>
      <c r="AC63" s="858"/>
      <c r="AD63" s="854"/>
      <c r="AE63" s="861"/>
      <c r="AF63" s="862"/>
      <c r="AG63" s="865"/>
      <c r="AH63" s="875"/>
      <c r="AI63" s="869"/>
      <c r="AJ63" s="870"/>
      <c r="AK63" s="828"/>
      <c r="AL63" s="829"/>
      <c r="AM63" s="829"/>
      <c r="AN63" s="823"/>
      <c r="AO63" s="824"/>
      <c r="AP63" s="824"/>
      <c r="AQ63" s="825"/>
      <c r="AU63" s="814"/>
      <c r="AV63" s="819"/>
      <c r="AW63" s="817"/>
      <c r="AX63" s="817"/>
      <c r="BC63" s="831"/>
    </row>
    <row r="64" spans="2:55" ht="15.95" hidden="1" customHeight="1">
      <c r="B64" s="834">
        <v>25</v>
      </c>
      <c r="C64" s="837"/>
      <c r="D64" s="838"/>
      <c r="E64" s="838"/>
      <c r="F64" s="838"/>
      <c r="G64" s="838"/>
      <c r="H64" s="839"/>
      <c r="I64" s="843" t="str">
        <f>IFERROR(IF(C64="","",IF(INDEX(PMELIGHTTYPE[Base Autofill],MATCH(C64,PMELIGHTTYPE[Base Desc 1],0))="","",INDEX(PMELIGHTTYPE[Base Autofill],MATCH(C64,PMELIGHTTYPE[Base Desc 1],0)))),"")</f>
        <v/>
      </c>
      <c r="J64" s="844"/>
      <c r="K64" s="847"/>
      <c r="L64" s="838"/>
      <c r="M64" s="838"/>
      <c r="N64" s="838"/>
      <c r="O64" s="838"/>
      <c r="P64" s="839"/>
      <c r="Q64" s="843" t="str">
        <f t="shared" ref="Q64" si="152">IFERROR(IF(ISNUMBER(SEARCH("Removed",K64)),0,""),"")</f>
        <v/>
      </c>
      <c r="R64" s="849"/>
      <c r="S64" s="851"/>
      <c r="T64" s="852"/>
      <c r="U64" s="837"/>
      <c r="V64" s="838"/>
      <c r="W64" s="838"/>
      <c r="X64" s="839"/>
      <c r="Y64" s="855"/>
      <c r="Z64" s="838"/>
      <c r="AA64" s="839"/>
      <c r="AB64" s="851"/>
      <c r="AC64" s="857"/>
      <c r="AD64" s="852"/>
      <c r="AE64" s="859" t="str">
        <f t="shared" ref="AE64" si="153">IF(ISNUMBER(SEARCH("Removed",K64)),0,"")</f>
        <v/>
      </c>
      <c r="AF64" s="860"/>
      <c r="AG64" s="863"/>
      <c r="AH64" s="874"/>
      <c r="AI64" s="867" t="str">
        <f>IFERROR(IF(K64="","",IF(C64&lt;&gt;INDEX(PMELIGHT[Base Desc 1],MATCH(K64,PMELIGHT[Eff Desc 1],0)),0,INDEX(PMELIGHT[Inc Rate Unit],MATCH(K64,PMELIGHT[Eff Desc 1],0)))),"")</f>
        <v/>
      </c>
      <c r="AJ64" s="868"/>
      <c r="AK64" s="826" t="str">
        <f t="shared" ref="AK64" si="154">IFERROR(IF(OR(C64="",I64="",K64="",Q64="",S64="",U64="",Y64="",AB64="",AE64="",AG64=""),"",IFERROR(ROUND(IF(I64-Q64&lt;=0,0,(I64-Q64)*S64*AB64/1000),2),"")),"")</f>
        <v/>
      </c>
      <c r="AL64" s="827"/>
      <c r="AM64" s="827"/>
      <c r="AN64" s="820" t="str">
        <f t="shared" ref="AN64" si="155">IFERROR(IF(OR(C64="",I64="",K64="",Q64="",S64="",U64="",Y64="",AB64="",AE64="",AG64=""),"",IF(BC64&lt;&gt;"",BC64,ROUND(IF(I64-Q64&lt;=0,0,MIN(AU64,AI64*S64)),2))),"")</f>
        <v/>
      </c>
      <c r="AO64" s="821"/>
      <c r="AP64" s="821"/>
      <c r="AQ64" s="822"/>
      <c r="AU64" s="813" t="str">
        <f t="shared" si="117"/>
        <v/>
      </c>
      <c r="AV64" s="818" t="str">
        <f>IFERROR(IF(OR(I64="",Q64="",S64="",U64="",Y64="",AB64="",AE64="",AG64="",AK64=0),"",IF(ISNUMBER(SEARCH("Exterior",K64)),0,ROUND(((I64-Q64)*S64/1000)*INDEX(BUILDINGTYPE[Lighting Coincidence Factor],MATCH(M02S02F26,BUILDINGTYPE[Building Type],0)),3))),"")</f>
        <v/>
      </c>
      <c r="AW64" s="816" t="str">
        <f t="shared" si="118"/>
        <v/>
      </c>
      <c r="AX64" s="816" t="str">
        <f t="shared" si="119"/>
        <v/>
      </c>
      <c r="BC64" s="830" t="str">
        <f>IFERROR(IF(OR(C64="",I64="",K64="",Q64="",S64="",U64="",Y64="",AB64="",AE64="",AG64=""),"",IF(ISBLANK(M02S02F26),MEASUREBLDG,IF((I64*S64)&lt;=(Q64*S64),MEASURESAVE,""))),MEASURESUBMIT)</f>
        <v/>
      </c>
    </row>
    <row r="65" spans="2:55" ht="15.95" hidden="1" customHeight="1">
      <c r="B65" s="834"/>
      <c r="C65" s="840"/>
      <c r="D65" s="841"/>
      <c r="E65" s="841"/>
      <c r="F65" s="841"/>
      <c r="G65" s="841"/>
      <c r="H65" s="842"/>
      <c r="I65" s="845"/>
      <c r="J65" s="846"/>
      <c r="K65" s="848"/>
      <c r="L65" s="841"/>
      <c r="M65" s="841"/>
      <c r="N65" s="841"/>
      <c r="O65" s="841"/>
      <c r="P65" s="842"/>
      <c r="Q65" s="845"/>
      <c r="R65" s="850"/>
      <c r="S65" s="853"/>
      <c r="T65" s="854"/>
      <c r="U65" s="840"/>
      <c r="V65" s="841"/>
      <c r="W65" s="841"/>
      <c r="X65" s="842"/>
      <c r="Y65" s="856"/>
      <c r="Z65" s="841"/>
      <c r="AA65" s="842"/>
      <c r="AB65" s="853"/>
      <c r="AC65" s="858"/>
      <c r="AD65" s="854"/>
      <c r="AE65" s="861"/>
      <c r="AF65" s="862"/>
      <c r="AG65" s="865"/>
      <c r="AH65" s="875"/>
      <c r="AI65" s="869"/>
      <c r="AJ65" s="870"/>
      <c r="AK65" s="828"/>
      <c r="AL65" s="829"/>
      <c r="AM65" s="829"/>
      <c r="AN65" s="823"/>
      <c r="AO65" s="824"/>
      <c r="AP65" s="824"/>
      <c r="AQ65" s="825"/>
      <c r="AU65" s="814"/>
      <c r="AV65" s="819"/>
      <c r="AW65" s="817"/>
      <c r="AX65" s="817"/>
      <c r="BC65" s="831"/>
    </row>
    <row r="66" spans="2:55" ht="15.95" hidden="1" customHeight="1">
      <c r="B66" s="834">
        <v>26</v>
      </c>
      <c r="C66" s="837"/>
      <c r="D66" s="838"/>
      <c r="E66" s="838"/>
      <c r="F66" s="838"/>
      <c r="G66" s="838"/>
      <c r="H66" s="839"/>
      <c r="I66" s="843" t="str">
        <f>IFERROR(IF(C66="","",IF(INDEX(PMELIGHTTYPE[Base Autofill],MATCH(C66,PMELIGHTTYPE[Base Desc 1],0))="","",INDEX(PMELIGHTTYPE[Base Autofill],MATCH(C66,PMELIGHTTYPE[Base Desc 1],0)))),"")</f>
        <v/>
      </c>
      <c r="J66" s="844"/>
      <c r="K66" s="847"/>
      <c r="L66" s="838"/>
      <c r="M66" s="838"/>
      <c r="N66" s="838"/>
      <c r="O66" s="838"/>
      <c r="P66" s="839"/>
      <c r="Q66" s="843" t="str">
        <f t="shared" ref="Q66" si="156">IFERROR(IF(ISNUMBER(SEARCH("Removed",K66)),0,""),"")</f>
        <v/>
      </c>
      <c r="R66" s="849"/>
      <c r="S66" s="851"/>
      <c r="T66" s="852"/>
      <c r="U66" s="837"/>
      <c r="V66" s="838"/>
      <c r="W66" s="838"/>
      <c r="X66" s="839"/>
      <c r="Y66" s="855"/>
      <c r="Z66" s="838"/>
      <c r="AA66" s="839"/>
      <c r="AB66" s="851"/>
      <c r="AC66" s="857"/>
      <c r="AD66" s="852"/>
      <c r="AE66" s="859" t="str">
        <f t="shared" ref="AE66" si="157">IF(ISNUMBER(SEARCH("Removed",K66)),0,"")</f>
        <v/>
      </c>
      <c r="AF66" s="860"/>
      <c r="AG66" s="863"/>
      <c r="AH66" s="874"/>
      <c r="AI66" s="867" t="str">
        <f>IFERROR(IF(K66="","",IF(C66&lt;&gt;INDEX(PMELIGHT[Base Desc 1],MATCH(K66,PMELIGHT[Eff Desc 1],0)),0,INDEX(PMELIGHT[Inc Rate Unit],MATCH(K66,PMELIGHT[Eff Desc 1],0)))),"")</f>
        <v/>
      </c>
      <c r="AJ66" s="868"/>
      <c r="AK66" s="826" t="str">
        <f t="shared" ref="AK66" si="158">IFERROR(IF(OR(C66="",I66="",K66="",Q66="",S66="",U66="",Y66="",AB66="",AE66="",AG66=""),"",IFERROR(ROUND(IF(I66-Q66&lt;=0,0,(I66-Q66)*S66*AB66/1000),2),"")),"")</f>
        <v/>
      </c>
      <c r="AL66" s="827"/>
      <c r="AM66" s="827"/>
      <c r="AN66" s="820" t="str">
        <f t="shared" ref="AN66" si="159">IFERROR(IF(OR(C66="",I66="",K66="",Q66="",S66="",U66="",Y66="",AB66="",AE66="",AG66=""),"",IF(BC66&lt;&gt;"",BC66,ROUND(IF(I66-Q66&lt;=0,0,MIN(AU66,AI66*S66)),2))),"")</f>
        <v/>
      </c>
      <c r="AO66" s="821"/>
      <c r="AP66" s="821"/>
      <c r="AQ66" s="822"/>
      <c r="AU66" s="813" t="str">
        <f t="shared" si="117"/>
        <v/>
      </c>
      <c r="AV66" s="818" t="str">
        <f>IFERROR(IF(OR(I66="",Q66="",S66="",U66="",Y66="",AB66="",AE66="",AG66="",AK66=0),"",IF(ISNUMBER(SEARCH("Exterior",K66)),0,ROUND(((I66-Q66)*S66/1000)*INDEX(BUILDINGTYPE[Lighting Coincidence Factor],MATCH(M02S02F26,BUILDINGTYPE[Building Type],0)),3))),"")</f>
        <v/>
      </c>
      <c r="AW66" s="816" t="str">
        <f t="shared" si="118"/>
        <v/>
      </c>
      <c r="AX66" s="816" t="str">
        <f t="shared" si="119"/>
        <v/>
      </c>
      <c r="BC66" s="830" t="str">
        <f>IFERROR(IF(OR(C66="",I66="",K66="",Q66="",S66="",U66="",Y66="",AB66="",AE66="",AG66=""),"",IF(ISBLANK(M02S02F26),MEASUREBLDG,IF((I66*S66)&lt;=(Q66*S66),MEASURESAVE,""))),MEASURESUBMIT)</f>
        <v/>
      </c>
    </row>
    <row r="67" spans="2:55" ht="15.95" hidden="1" customHeight="1">
      <c r="B67" s="834"/>
      <c r="C67" s="840"/>
      <c r="D67" s="841"/>
      <c r="E67" s="841"/>
      <c r="F67" s="841"/>
      <c r="G67" s="841"/>
      <c r="H67" s="842"/>
      <c r="I67" s="845"/>
      <c r="J67" s="846"/>
      <c r="K67" s="848"/>
      <c r="L67" s="841"/>
      <c r="M67" s="841"/>
      <c r="N67" s="841"/>
      <c r="O67" s="841"/>
      <c r="P67" s="842"/>
      <c r="Q67" s="845"/>
      <c r="R67" s="850"/>
      <c r="S67" s="853"/>
      <c r="T67" s="854"/>
      <c r="U67" s="840"/>
      <c r="V67" s="841"/>
      <c r="W67" s="841"/>
      <c r="X67" s="842"/>
      <c r="Y67" s="856"/>
      <c r="Z67" s="841"/>
      <c r="AA67" s="842"/>
      <c r="AB67" s="853"/>
      <c r="AC67" s="858"/>
      <c r="AD67" s="854"/>
      <c r="AE67" s="861"/>
      <c r="AF67" s="862"/>
      <c r="AG67" s="865"/>
      <c r="AH67" s="875"/>
      <c r="AI67" s="869"/>
      <c r="AJ67" s="870"/>
      <c r="AK67" s="828"/>
      <c r="AL67" s="829"/>
      <c r="AM67" s="829"/>
      <c r="AN67" s="823"/>
      <c r="AO67" s="824"/>
      <c r="AP67" s="824"/>
      <c r="AQ67" s="825"/>
      <c r="AU67" s="814"/>
      <c r="AV67" s="819"/>
      <c r="AW67" s="817"/>
      <c r="AX67" s="817"/>
      <c r="BC67" s="831"/>
    </row>
    <row r="68" spans="2:55" ht="15.95" hidden="1" customHeight="1">
      <c r="B68" s="834">
        <v>27</v>
      </c>
      <c r="C68" s="837"/>
      <c r="D68" s="838"/>
      <c r="E68" s="838"/>
      <c r="F68" s="838"/>
      <c r="G68" s="838"/>
      <c r="H68" s="839"/>
      <c r="I68" s="843" t="str">
        <f>IFERROR(IF(C68="","",IF(INDEX(PMELIGHTTYPE[Base Autofill],MATCH(C68,PMELIGHTTYPE[Base Desc 1],0))="","",INDEX(PMELIGHTTYPE[Base Autofill],MATCH(C68,PMELIGHTTYPE[Base Desc 1],0)))),"")</f>
        <v/>
      </c>
      <c r="J68" s="844"/>
      <c r="K68" s="847"/>
      <c r="L68" s="838"/>
      <c r="M68" s="838"/>
      <c r="N68" s="838"/>
      <c r="O68" s="838"/>
      <c r="P68" s="839"/>
      <c r="Q68" s="843" t="str">
        <f t="shared" ref="Q68" si="160">IFERROR(IF(ISNUMBER(SEARCH("Removed",K68)),0,""),"")</f>
        <v/>
      </c>
      <c r="R68" s="849"/>
      <c r="S68" s="851"/>
      <c r="T68" s="852"/>
      <c r="U68" s="837"/>
      <c r="V68" s="838"/>
      <c r="W68" s="838"/>
      <c r="X68" s="839"/>
      <c r="Y68" s="855"/>
      <c r="Z68" s="838"/>
      <c r="AA68" s="839"/>
      <c r="AB68" s="851"/>
      <c r="AC68" s="857"/>
      <c r="AD68" s="852"/>
      <c r="AE68" s="859" t="str">
        <f t="shared" ref="AE68" si="161">IF(ISNUMBER(SEARCH("Removed",K68)),0,"")</f>
        <v/>
      </c>
      <c r="AF68" s="860"/>
      <c r="AG68" s="863"/>
      <c r="AH68" s="874"/>
      <c r="AI68" s="867" t="str">
        <f>IFERROR(IF(K68="","",IF(C68&lt;&gt;INDEX(PMELIGHT[Base Desc 1],MATCH(K68,PMELIGHT[Eff Desc 1],0)),0,INDEX(PMELIGHT[Inc Rate Unit],MATCH(K68,PMELIGHT[Eff Desc 1],0)))),"")</f>
        <v/>
      </c>
      <c r="AJ68" s="868"/>
      <c r="AK68" s="826" t="str">
        <f t="shared" ref="AK68" si="162">IFERROR(IF(OR(C68="",I68="",K68="",Q68="",S68="",U68="",Y68="",AB68="",AE68="",AG68=""),"",IFERROR(ROUND(IF(I68-Q68&lt;=0,0,(I68-Q68)*S68*AB68/1000),2),"")),"")</f>
        <v/>
      </c>
      <c r="AL68" s="827"/>
      <c r="AM68" s="827"/>
      <c r="AN68" s="820" t="str">
        <f t="shared" ref="AN68" si="163">IFERROR(IF(OR(C68="",I68="",K68="",Q68="",S68="",U68="",Y68="",AB68="",AE68="",AG68=""),"",IF(BC68&lt;&gt;"",BC68,ROUND(IF(I68-Q68&lt;=0,0,MIN(AU68,AI68*S68)),2))),"")</f>
        <v/>
      </c>
      <c r="AO68" s="821"/>
      <c r="AP68" s="821"/>
      <c r="AQ68" s="822"/>
      <c r="AU68" s="813" t="str">
        <f t="shared" si="117"/>
        <v/>
      </c>
      <c r="AV68" s="818" t="str">
        <f>IFERROR(IF(OR(I68="",Q68="",S68="",U68="",Y68="",AB68="",AE68="",AG68="",AK68=0),"",IF(ISNUMBER(SEARCH("Exterior",K68)),0,ROUND(((I68-Q68)*S68/1000)*INDEX(BUILDINGTYPE[Lighting Coincidence Factor],MATCH(M02S02F26,BUILDINGTYPE[Building Type],0)),3))),"")</f>
        <v/>
      </c>
      <c r="AW68" s="816" t="str">
        <f t="shared" si="118"/>
        <v/>
      </c>
      <c r="AX68" s="816" t="str">
        <f t="shared" si="119"/>
        <v/>
      </c>
      <c r="BC68" s="830" t="str">
        <f>IFERROR(IF(OR(C68="",I68="",K68="",Q68="",S68="",U68="",Y68="",AB68="",AE68="",AG68=""),"",IF(ISBLANK(M02S02F26),MEASUREBLDG,IF((I68*S68)&lt;=(Q68*S68),MEASURESAVE,""))),MEASURESUBMIT)</f>
        <v/>
      </c>
    </row>
    <row r="69" spans="2:55" ht="15.95" hidden="1" customHeight="1">
      <c r="B69" s="834"/>
      <c r="C69" s="840"/>
      <c r="D69" s="841"/>
      <c r="E69" s="841"/>
      <c r="F69" s="841"/>
      <c r="G69" s="841"/>
      <c r="H69" s="842"/>
      <c r="I69" s="845"/>
      <c r="J69" s="846"/>
      <c r="K69" s="848"/>
      <c r="L69" s="841"/>
      <c r="M69" s="841"/>
      <c r="N69" s="841"/>
      <c r="O69" s="841"/>
      <c r="P69" s="842"/>
      <c r="Q69" s="845"/>
      <c r="R69" s="850"/>
      <c r="S69" s="853"/>
      <c r="T69" s="854"/>
      <c r="U69" s="840"/>
      <c r="V69" s="841"/>
      <c r="W69" s="841"/>
      <c r="X69" s="842"/>
      <c r="Y69" s="856"/>
      <c r="Z69" s="841"/>
      <c r="AA69" s="842"/>
      <c r="AB69" s="853"/>
      <c r="AC69" s="858"/>
      <c r="AD69" s="854"/>
      <c r="AE69" s="861"/>
      <c r="AF69" s="862"/>
      <c r="AG69" s="865"/>
      <c r="AH69" s="875"/>
      <c r="AI69" s="869"/>
      <c r="AJ69" s="870"/>
      <c r="AK69" s="828"/>
      <c r="AL69" s="829"/>
      <c r="AM69" s="829"/>
      <c r="AN69" s="823"/>
      <c r="AO69" s="824"/>
      <c r="AP69" s="824"/>
      <c r="AQ69" s="825"/>
      <c r="AU69" s="814"/>
      <c r="AV69" s="819"/>
      <c r="AW69" s="817"/>
      <c r="AX69" s="817"/>
      <c r="BC69" s="831"/>
    </row>
    <row r="70" spans="2:55" ht="15.95" hidden="1" customHeight="1">
      <c r="B70" s="834">
        <v>28</v>
      </c>
      <c r="C70" s="837"/>
      <c r="D70" s="838"/>
      <c r="E70" s="838"/>
      <c r="F70" s="838"/>
      <c r="G70" s="838"/>
      <c r="H70" s="839"/>
      <c r="I70" s="843" t="str">
        <f>IFERROR(IF(C70="","",IF(INDEX(PMELIGHTTYPE[Base Autofill],MATCH(C70,PMELIGHTTYPE[Base Desc 1],0))="","",INDEX(PMELIGHTTYPE[Base Autofill],MATCH(C70,PMELIGHTTYPE[Base Desc 1],0)))),"")</f>
        <v/>
      </c>
      <c r="J70" s="844"/>
      <c r="K70" s="847"/>
      <c r="L70" s="838"/>
      <c r="M70" s="838"/>
      <c r="N70" s="838"/>
      <c r="O70" s="838"/>
      <c r="P70" s="839"/>
      <c r="Q70" s="843" t="str">
        <f t="shared" ref="Q70" si="164">IFERROR(IF(ISNUMBER(SEARCH("Removed",K70)),0,""),"")</f>
        <v/>
      </c>
      <c r="R70" s="849"/>
      <c r="S70" s="851"/>
      <c r="T70" s="852"/>
      <c r="U70" s="837"/>
      <c r="V70" s="838"/>
      <c r="W70" s="838"/>
      <c r="X70" s="839"/>
      <c r="Y70" s="855"/>
      <c r="Z70" s="838"/>
      <c r="AA70" s="839"/>
      <c r="AB70" s="851"/>
      <c r="AC70" s="857"/>
      <c r="AD70" s="852"/>
      <c r="AE70" s="859" t="str">
        <f t="shared" ref="AE70" si="165">IF(ISNUMBER(SEARCH("Removed",K70)),0,"")</f>
        <v/>
      </c>
      <c r="AF70" s="860"/>
      <c r="AG70" s="863"/>
      <c r="AH70" s="874"/>
      <c r="AI70" s="867" t="str">
        <f>IFERROR(IF(K70="","",IF(C70&lt;&gt;INDEX(PMELIGHT[Base Desc 1],MATCH(K70,PMELIGHT[Eff Desc 1],0)),0,INDEX(PMELIGHT[Inc Rate Unit],MATCH(K70,PMELIGHT[Eff Desc 1],0)))),"")</f>
        <v/>
      </c>
      <c r="AJ70" s="868"/>
      <c r="AK70" s="826" t="str">
        <f t="shared" ref="AK70" si="166">IFERROR(IF(OR(C70="",I70="",K70="",Q70="",S70="",U70="",Y70="",AB70="",AE70="",AG70=""),"",IFERROR(ROUND(IF(I70-Q70&lt;=0,0,(I70-Q70)*S70*AB70/1000),2),"")),"")</f>
        <v/>
      </c>
      <c r="AL70" s="827"/>
      <c r="AM70" s="827"/>
      <c r="AN70" s="820" t="str">
        <f t="shared" ref="AN70" si="167">IFERROR(IF(OR(C70="",I70="",K70="",Q70="",S70="",U70="",Y70="",AB70="",AE70="",AG70=""),"",IF(BC70&lt;&gt;"",BC70,ROUND(IF(I70-Q70&lt;=0,0,MIN(AU70,AI70*S70)),2))),"")</f>
        <v/>
      </c>
      <c r="AO70" s="821"/>
      <c r="AP70" s="821"/>
      <c r="AQ70" s="822"/>
      <c r="AU70" s="813" t="str">
        <f t="shared" si="117"/>
        <v/>
      </c>
      <c r="AV70" s="818" t="str">
        <f>IFERROR(IF(OR(I70="",Q70="",S70="",U70="",Y70="",AB70="",AE70="",AG70="",AK70=0),"",IF(ISNUMBER(SEARCH("Exterior",K70)),0,ROUND(((I70-Q70)*S70/1000)*INDEX(BUILDINGTYPE[Lighting Coincidence Factor],MATCH(M02S02F26,BUILDINGTYPE[Building Type],0)),3))),"")</f>
        <v/>
      </c>
      <c r="AW70" s="816" t="str">
        <f t="shared" si="118"/>
        <v/>
      </c>
      <c r="AX70" s="816" t="str">
        <f t="shared" si="119"/>
        <v/>
      </c>
      <c r="BC70" s="830" t="str">
        <f>IFERROR(IF(OR(C70="",I70="",K70="",Q70="",S70="",U70="",Y70="",AB70="",AE70="",AG70=""),"",IF(ISBLANK(M02S02F26),MEASUREBLDG,IF((I70*S70)&lt;=(Q70*S70),MEASURESAVE,""))),MEASURESUBMIT)</f>
        <v/>
      </c>
    </row>
    <row r="71" spans="2:55" ht="15.95" hidden="1" customHeight="1">
      <c r="B71" s="834"/>
      <c r="C71" s="840"/>
      <c r="D71" s="841"/>
      <c r="E71" s="841"/>
      <c r="F71" s="841"/>
      <c r="G71" s="841"/>
      <c r="H71" s="842"/>
      <c r="I71" s="845"/>
      <c r="J71" s="846"/>
      <c r="K71" s="848"/>
      <c r="L71" s="841"/>
      <c r="M71" s="841"/>
      <c r="N71" s="841"/>
      <c r="O71" s="841"/>
      <c r="P71" s="842"/>
      <c r="Q71" s="845"/>
      <c r="R71" s="850"/>
      <c r="S71" s="853"/>
      <c r="T71" s="854"/>
      <c r="U71" s="840"/>
      <c r="V71" s="841"/>
      <c r="W71" s="841"/>
      <c r="X71" s="842"/>
      <c r="Y71" s="856"/>
      <c r="Z71" s="841"/>
      <c r="AA71" s="842"/>
      <c r="AB71" s="853"/>
      <c r="AC71" s="858"/>
      <c r="AD71" s="854"/>
      <c r="AE71" s="861"/>
      <c r="AF71" s="862"/>
      <c r="AG71" s="865"/>
      <c r="AH71" s="875"/>
      <c r="AI71" s="869"/>
      <c r="AJ71" s="870"/>
      <c r="AK71" s="828"/>
      <c r="AL71" s="829"/>
      <c r="AM71" s="829"/>
      <c r="AN71" s="823"/>
      <c r="AO71" s="824"/>
      <c r="AP71" s="824"/>
      <c r="AQ71" s="825"/>
      <c r="AU71" s="814"/>
      <c r="AV71" s="819"/>
      <c r="AW71" s="817"/>
      <c r="AX71" s="817"/>
      <c r="BC71" s="831"/>
    </row>
    <row r="72" spans="2:55" ht="15.95" hidden="1" customHeight="1">
      <c r="B72" s="834">
        <v>29</v>
      </c>
      <c r="C72" s="837"/>
      <c r="D72" s="838"/>
      <c r="E72" s="838"/>
      <c r="F72" s="838"/>
      <c r="G72" s="838"/>
      <c r="H72" s="839"/>
      <c r="I72" s="843" t="str">
        <f>IFERROR(IF(C72="","",IF(INDEX(PMELIGHTTYPE[Base Autofill],MATCH(C72,PMELIGHTTYPE[Base Desc 1],0))="","",INDEX(PMELIGHTTYPE[Base Autofill],MATCH(C72,PMELIGHTTYPE[Base Desc 1],0)))),"")</f>
        <v/>
      </c>
      <c r="J72" s="844"/>
      <c r="K72" s="847"/>
      <c r="L72" s="838"/>
      <c r="M72" s="838"/>
      <c r="N72" s="838"/>
      <c r="O72" s="838"/>
      <c r="P72" s="839"/>
      <c r="Q72" s="843" t="str">
        <f t="shared" ref="Q72" si="168">IFERROR(IF(ISNUMBER(SEARCH("Removed",K72)),0,""),"")</f>
        <v/>
      </c>
      <c r="R72" s="849"/>
      <c r="S72" s="851"/>
      <c r="T72" s="852"/>
      <c r="U72" s="837"/>
      <c r="V72" s="838"/>
      <c r="W72" s="838"/>
      <c r="X72" s="839"/>
      <c r="Y72" s="855"/>
      <c r="Z72" s="838"/>
      <c r="AA72" s="839"/>
      <c r="AB72" s="851"/>
      <c r="AC72" s="857"/>
      <c r="AD72" s="852"/>
      <c r="AE72" s="859" t="str">
        <f t="shared" ref="AE72" si="169">IF(ISNUMBER(SEARCH("Removed",K72)),0,"")</f>
        <v/>
      </c>
      <c r="AF72" s="860"/>
      <c r="AG72" s="863"/>
      <c r="AH72" s="874"/>
      <c r="AI72" s="867" t="str">
        <f>IFERROR(IF(K72="","",IF(C72&lt;&gt;INDEX(PMELIGHT[Base Desc 1],MATCH(K72,PMELIGHT[Eff Desc 1],0)),0,INDEX(PMELIGHT[Inc Rate Unit],MATCH(K72,PMELIGHT[Eff Desc 1],0)))),"")</f>
        <v/>
      </c>
      <c r="AJ72" s="868"/>
      <c r="AK72" s="826" t="str">
        <f t="shared" ref="AK72" si="170">IFERROR(IF(OR(C72="",I72="",K72="",Q72="",S72="",U72="",Y72="",AB72="",AE72="",AG72=""),"",IFERROR(ROUND(IF(I72-Q72&lt;=0,0,(I72-Q72)*S72*AB72/1000),2),"")),"")</f>
        <v/>
      </c>
      <c r="AL72" s="827"/>
      <c r="AM72" s="827"/>
      <c r="AN72" s="820" t="str">
        <f t="shared" ref="AN72" si="171">IFERROR(IF(OR(C72="",I72="",K72="",Q72="",S72="",U72="",Y72="",AB72="",AE72="",AG72=""),"",IF(BC72&lt;&gt;"",BC72,ROUND(IF(I72-Q72&lt;=0,0,MIN(AU72,AI72*S72)),2))),"")</f>
        <v/>
      </c>
      <c r="AO72" s="821"/>
      <c r="AP72" s="821"/>
      <c r="AQ72" s="822"/>
      <c r="AU72" s="813" t="str">
        <f t="shared" si="117"/>
        <v/>
      </c>
      <c r="AV72" s="818" t="str">
        <f>IFERROR(IF(OR(I72="",Q72="",S72="",U72="",Y72="",AB72="",AE72="",AG72="",AK72=0),"",IF(ISNUMBER(SEARCH("Exterior",K72)),0,ROUND(((I72-Q72)*S72/1000)*INDEX(BUILDINGTYPE[Lighting Coincidence Factor],MATCH(M02S02F26,BUILDINGTYPE[Building Type],0)),3))),"")</f>
        <v/>
      </c>
      <c r="AW72" s="816" t="str">
        <f t="shared" si="118"/>
        <v/>
      </c>
      <c r="AX72" s="816" t="str">
        <f t="shared" si="119"/>
        <v/>
      </c>
      <c r="BC72" s="830" t="str">
        <f>IFERROR(IF(OR(C72="",I72="",K72="",Q72="",S72="",U72="",Y72="",AB72="",AE72="",AG72=""),"",IF(ISBLANK(M02S02F26),MEASUREBLDG,IF((I72*S72)&lt;=(Q72*S72),MEASURESAVE,""))),MEASURESUBMIT)</f>
        <v/>
      </c>
    </row>
    <row r="73" spans="2:55" ht="15.95" hidden="1" customHeight="1">
      <c r="B73" s="834"/>
      <c r="C73" s="840"/>
      <c r="D73" s="841"/>
      <c r="E73" s="841"/>
      <c r="F73" s="841"/>
      <c r="G73" s="841"/>
      <c r="H73" s="842"/>
      <c r="I73" s="845"/>
      <c r="J73" s="846"/>
      <c r="K73" s="848"/>
      <c r="L73" s="841"/>
      <c r="M73" s="841"/>
      <c r="N73" s="841"/>
      <c r="O73" s="841"/>
      <c r="P73" s="842"/>
      <c r="Q73" s="845"/>
      <c r="R73" s="850"/>
      <c r="S73" s="853"/>
      <c r="T73" s="854"/>
      <c r="U73" s="840"/>
      <c r="V73" s="841"/>
      <c r="W73" s="841"/>
      <c r="X73" s="842"/>
      <c r="Y73" s="856"/>
      <c r="Z73" s="841"/>
      <c r="AA73" s="842"/>
      <c r="AB73" s="853"/>
      <c r="AC73" s="858"/>
      <c r="AD73" s="854"/>
      <c r="AE73" s="861"/>
      <c r="AF73" s="862"/>
      <c r="AG73" s="865"/>
      <c r="AH73" s="875"/>
      <c r="AI73" s="869"/>
      <c r="AJ73" s="870"/>
      <c r="AK73" s="828"/>
      <c r="AL73" s="829"/>
      <c r="AM73" s="829"/>
      <c r="AN73" s="823"/>
      <c r="AO73" s="824"/>
      <c r="AP73" s="824"/>
      <c r="AQ73" s="825"/>
      <c r="AU73" s="814"/>
      <c r="AV73" s="819"/>
      <c r="AW73" s="817"/>
      <c r="AX73" s="817"/>
      <c r="BC73" s="831"/>
    </row>
    <row r="74" spans="2:55" ht="15.95" hidden="1" customHeight="1">
      <c r="B74" s="834">
        <v>30</v>
      </c>
      <c r="C74" s="837"/>
      <c r="D74" s="838"/>
      <c r="E74" s="838"/>
      <c r="F74" s="838"/>
      <c r="G74" s="838"/>
      <c r="H74" s="839"/>
      <c r="I74" s="843" t="str">
        <f>IFERROR(IF(C74="","",IF(INDEX(PMELIGHTTYPE[Base Autofill],MATCH(C74,PMELIGHTTYPE[Base Desc 1],0))="","",INDEX(PMELIGHTTYPE[Base Autofill],MATCH(C74,PMELIGHTTYPE[Base Desc 1],0)))),"")</f>
        <v/>
      </c>
      <c r="J74" s="844"/>
      <c r="K74" s="847"/>
      <c r="L74" s="838"/>
      <c r="M74" s="838"/>
      <c r="N74" s="838"/>
      <c r="O74" s="838"/>
      <c r="P74" s="839"/>
      <c r="Q74" s="843" t="str">
        <f t="shared" ref="Q74" si="172">IFERROR(IF(ISNUMBER(SEARCH("Removed",K74)),0,""),"")</f>
        <v/>
      </c>
      <c r="R74" s="849"/>
      <c r="S74" s="851"/>
      <c r="T74" s="852"/>
      <c r="U74" s="837"/>
      <c r="V74" s="838"/>
      <c r="W74" s="838"/>
      <c r="X74" s="839"/>
      <c r="Y74" s="855"/>
      <c r="Z74" s="838"/>
      <c r="AA74" s="839"/>
      <c r="AB74" s="851"/>
      <c r="AC74" s="857"/>
      <c r="AD74" s="852"/>
      <c r="AE74" s="859" t="str">
        <f t="shared" ref="AE74" si="173">IF(ISNUMBER(SEARCH("Removed",K74)),0,"")</f>
        <v/>
      </c>
      <c r="AF74" s="860"/>
      <c r="AG74" s="863"/>
      <c r="AH74" s="874"/>
      <c r="AI74" s="867" t="str">
        <f>IFERROR(IF(K74="","",IF(C74&lt;&gt;INDEX(PMELIGHT[Base Desc 1],MATCH(K74,PMELIGHT[Eff Desc 1],0)),0,INDEX(PMELIGHT[Inc Rate Unit],MATCH(K74,PMELIGHT[Eff Desc 1],0)))),"")</f>
        <v/>
      </c>
      <c r="AJ74" s="868"/>
      <c r="AK74" s="826" t="str">
        <f t="shared" ref="AK74" si="174">IFERROR(IF(OR(C74="",I74="",K74="",Q74="",S74="",U74="",Y74="",AB74="",AE74="",AG74=""),"",IFERROR(ROUND(IF(I74-Q74&lt;=0,0,(I74-Q74)*S74*AB74/1000),2),"")),"")</f>
        <v/>
      </c>
      <c r="AL74" s="827"/>
      <c r="AM74" s="827"/>
      <c r="AN74" s="820" t="str">
        <f t="shared" ref="AN74" si="175">IFERROR(IF(OR(C74="",I74="",K74="",Q74="",S74="",U74="",Y74="",AB74="",AE74="",AG74=""),"",IF(BC74&lt;&gt;"",BC74,ROUND(IF(I74-Q74&lt;=0,0,MIN(AU74,AI74*S74)),2))),"")</f>
        <v/>
      </c>
      <c r="AO74" s="821"/>
      <c r="AP74" s="821"/>
      <c r="AQ74" s="822"/>
      <c r="AU74" s="813" t="str">
        <f t="shared" si="117"/>
        <v/>
      </c>
      <c r="AV74" s="818" t="str">
        <f>IFERROR(IF(OR(I74="",Q74="",S74="",U74="",Y74="",AB74="",AE74="",AG74="",AK74=0),"",IF(ISNUMBER(SEARCH("Exterior",K74)),0,ROUND(((I74-Q74)*S74/1000)*INDEX(BUILDINGTYPE[Lighting Coincidence Factor],MATCH(M02S02F26,BUILDINGTYPE[Building Type],0)),3))),"")</f>
        <v/>
      </c>
      <c r="AW74" s="816" t="str">
        <f t="shared" si="118"/>
        <v/>
      </c>
      <c r="AX74" s="816" t="str">
        <f t="shared" si="119"/>
        <v/>
      </c>
      <c r="BC74" s="830" t="str">
        <f>IFERROR(IF(OR(C74="",I74="",K74="",Q74="",S74="",U74="",Y74="",AB74="",AE74="",AG74=""),"",IF(ISBLANK(M02S02F26),MEASUREBLDG,IF((I74*S74)&lt;=(Q74*S74),MEASURESAVE,""))),MEASURESUBMIT)</f>
        <v/>
      </c>
    </row>
    <row r="75" spans="2:55" ht="15.95" hidden="1" customHeight="1">
      <c r="B75" s="834"/>
      <c r="C75" s="840"/>
      <c r="D75" s="841"/>
      <c r="E75" s="841"/>
      <c r="F75" s="841"/>
      <c r="G75" s="841"/>
      <c r="H75" s="842"/>
      <c r="I75" s="845"/>
      <c r="J75" s="846"/>
      <c r="K75" s="848"/>
      <c r="L75" s="841"/>
      <c r="M75" s="841"/>
      <c r="N75" s="841"/>
      <c r="O75" s="841"/>
      <c r="P75" s="842"/>
      <c r="Q75" s="845"/>
      <c r="R75" s="850"/>
      <c r="S75" s="853"/>
      <c r="T75" s="854"/>
      <c r="U75" s="840"/>
      <c r="V75" s="841"/>
      <c r="W75" s="841"/>
      <c r="X75" s="842"/>
      <c r="Y75" s="856"/>
      <c r="Z75" s="841"/>
      <c r="AA75" s="842"/>
      <c r="AB75" s="853"/>
      <c r="AC75" s="858"/>
      <c r="AD75" s="854"/>
      <c r="AE75" s="861"/>
      <c r="AF75" s="862"/>
      <c r="AG75" s="865"/>
      <c r="AH75" s="875"/>
      <c r="AI75" s="869"/>
      <c r="AJ75" s="870"/>
      <c r="AK75" s="828"/>
      <c r="AL75" s="829"/>
      <c r="AM75" s="829"/>
      <c r="AN75" s="823"/>
      <c r="AO75" s="824"/>
      <c r="AP75" s="824"/>
      <c r="AQ75" s="825"/>
      <c r="AU75" s="814"/>
      <c r="AV75" s="819"/>
      <c r="AW75" s="817"/>
      <c r="AX75" s="817"/>
      <c r="BC75" s="831"/>
    </row>
    <row r="76" spans="2:55" ht="15.95" hidden="1" customHeight="1">
      <c r="B76" s="834">
        <v>31</v>
      </c>
      <c r="C76" s="837"/>
      <c r="D76" s="838"/>
      <c r="E76" s="838"/>
      <c r="F76" s="838"/>
      <c r="G76" s="838"/>
      <c r="H76" s="839"/>
      <c r="I76" s="843" t="str">
        <f>IFERROR(IF(C76="","",IF(INDEX(PMELIGHTTYPE[Base Autofill],MATCH(C76,PMELIGHTTYPE[Base Desc 1],0))="","",INDEX(PMELIGHTTYPE[Base Autofill],MATCH(C76,PMELIGHTTYPE[Base Desc 1],0)))),"")</f>
        <v/>
      </c>
      <c r="J76" s="844"/>
      <c r="K76" s="847"/>
      <c r="L76" s="838"/>
      <c r="M76" s="838"/>
      <c r="N76" s="838"/>
      <c r="O76" s="838"/>
      <c r="P76" s="839"/>
      <c r="Q76" s="843" t="str">
        <f t="shared" ref="Q76" si="176">IFERROR(IF(ISNUMBER(SEARCH("Removed",K76)),0,""),"")</f>
        <v/>
      </c>
      <c r="R76" s="849"/>
      <c r="S76" s="851"/>
      <c r="T76" s="852"/>
      <c r="U76" s="837"/>
      <c r="V76" s="838"/>
      <c r="W76" s="838"/>
      <c r="X76" s="839"/>
      <c r="Y76" s="855"/>
      <c r="Z76" s="838"/>
      <c r="AA76" s="839"/>
      <c r="AB76" s="851"/>
      <c r="AC76" s="857"/>
      <c r="AD76" s="852"/>
      <c r="AE76" s="859" t="str">
        <f t="shared" ref="AE76" si="177">IF(ISNUMBER(SEARCH("Removed",K76)),0,"")</f>
        <v/>
      </c>
      <c r="AF76" s="860"/>
      <c r="AG76" s="863"/>
      <c r="AH76" s="874"/>
      <c r="AI76" s="867" t="str">
        <f>IFERROR(IF(K76="","",IF(C76&lt;&gt;INDEX(PMELIGHT[Base Desc 1],MATCH(K76,PMELIGHT[Eff Desc 1],0)),0,INDEX(PMELIGHT[Inc Rate Unit],MATCH(K76,PMELIGHT[Eff Desc 1],0)))),"")</f>
        <v/>
      </c>
      <c r="AJ76" s="868"/>
      <c r="AK76" s="826" t="str">
        <f t="shared" ref="AK76" si="178">IFERROR(IF(OR(C76="",I76="",K76="",Q76="",S76="",U76="",Y76="",AB76="",AE76="",AG76=""),"",IFERROR(ROUND(IF(I76-Q76&lt;=0,0,(I76-Q76)*S76*AB76/1000),2),"")),"")</f>
        <v/>
      </c>
      <c r="AL76" s="827"/>
      <c r="AM76" s="827"/>
      <c r="AN76" s="820" t="str">
        <f t="shared" ref="AN76" si="179">IFERROR(IF(OR(C76="",I76="",K76="",Q76="",S76="",U76="",Y76="",AB76="",AE76="",AG76=""),"",IF(BC76&lt;&gt;"",BC76,ROUND(IF(I76-Q76&lt;=0,0,MIN(AU76,AI76*S76)),2))),"")</f>
        <v/>
      </c>
      <c r="AO76" s="821"/>
      <c r="AP76" s="821"/>
      <c r="AQ76" s="822"/>
      <c r="AS76"/>
      <c r="AT76"/>
      <c r="AU76" s="813" t="str">
        <f t="shared" si="117"/>
        <v/>
      </c>
      <c r="AV76" s="818" t="str">
        <f>IFERROR(IF(OR(I76="",Q76="",S76="",U76="",Y76="",AB76="",AE76="",AG76="",AK76=0),"",IF(ISNUMBER(SEARCH("Exterior",K76)),0,ROUND(((I76-Q76)*S76/1000)*INDEX(BUILDINGTYPE[Lighting Coincidence Factor],MATCH(M02S02F26,BUILDINGTYPE[Building Type],0)),3))),"")</f>
        <v/>
      </c>
      <c r="AW76" s="816" t="str">
        <f t="shared" si="118"/>
        <v/>
      </c>
      <c r="AX76" s="816" t="str">
        <f t="shared" si="119"/>
        <v/>
      </c>
      <c r="AY76"/>
      <c r="AZ76"/>
      <c r="BA76"/>
      <c r="BB76"/>
      <c r="BC76" s="830" t="str">
        <f>IFERROR(IF(OR(C76="",I76="",K76="",Q76="",S76="",U76="",Y76="",AB76="",AE76="",AG76=""),"",IF(ISBLANK(M02S02F26),MEASUREBLDG,IF((I76*S76)&lt;=(Q76*S76),MEASURESAVE,""))),MEASURESUBMIT)</f>
        <v/>
      </c>
    </row>
    <row r="77" spans="2:55" ht="15.95" hidden="1" customHeight="1">
      <c r="B77" s="834"/>
      <c r="C77" s="840"/>
      <c r="D77" s="841"/>
      <c r="E77" s="841"/>
      <c r="F77" s="841"/>
      <c r="G77" s="841"/>
      <c r="H77" s="842"/>
      <c r="I77" s="845"/>
      <c r="J77" s="846"/>
      <c r="K77" s="848"/>
      <c r="L77" s="841"/>
      <c r="M77" s="841"/>
      <c r="N77" s="841"/>
      <c r="O77" s="841"/>
      <c r="P77" s="842"/>
      <c r="Q77" s="845"/>
      <c r="R77" s="850"/>
      <c r="S77" s="853"/>
      <c r="T77" s="854"/>
      <c r="U77" s="840"/>
      <c r="V77" s="841"/>
      <c r="W77" s="841"/>
      <c r="X77" s="842"/>
      <c r="Y77" s="856"/>
      <c r="Z77" s="841"/>
      <c r="AA77" s="842"/>
      <c r="AB77" s="853"/>
      <c r="AC77" s="858"/>
      <c r="AD77" s="854"/>
      <c r="AE77" s="861"/>
      <c r="AF77" s="862"/>
      <c r="AG77" s="865"/>
      <c r="AH77" s="875"/>
      <c r="AI77" s="869"/>
      <c r="AJ77" s="870"/>
      <c r="AK77" s="828"/>
      <c r="AL77" s="829"/>
      <c r="AM77" s="829"/>
      <c r="AN77" s="823"/>
      <c r="AO77" s="824"/>
      <c r="AP77" s="824"/>
      <c r="AQ77" s="825"/>
      <c r="AS77"/>
      <c r="AT77"/>
      <c r="AU77" s="814"/>
      <c r="AV77" s="819"/>
      <c r="AW77" s="817"/>
      <c r="AX77" s="817"/>
      <c r="AY77"/>
      <c r="AZ77"/>
      <c r="BA77"/>
      <c r="BB77"/>
      <c r="BC77" s="831"/>
    </row>
    <row r="78" spans="2:55" ht="15.95" hidden="1" customHeight="1">
      <c r="B78" s="834">
        <v>32</v>
      </c>
      <c r="C78" s="837"/>
      <c r="D78" s="838"/>
      <c r="E78" s="838"/>
      <c r="F78" s="838"/>
      <c r="G78" s="838"/>
      <c r="H78" s="839"/>
      <c r="I78" s="843" t="str">
        <f>IFERROR(IF(C78="","",IF(INDEX(PMELIGHTTYPE[Base Autofill],MATCH(C78,PMELIGHTTYPE[Base Desc 1],0))="","",INDEX(PMELIGHTTYPE[Base Autofill],MATCH(C78,PMELIGHTTYPE[Base Desc 1],0)))),"")</f>
        <v/>
      </c>
      <c r="J78" s="844"/>
      <c r="K78" s="847"/>
      <c r="L78" s="838"/>
      <c r="M78" s="838"/>
      <c r="N78" s="838"/>
      <c r="O78" s="838"/>
      <c r="P78" s="839"/>
      <c r="Q78" s="843" t="str">
        <f t="shared" ref="Q78" si="180">IFERROR(IF(ISNUMBER(SEARCH("Removed",K78)),0,""),"")</f>
        <v/>
      </c>
      <c r="R78" s="849"/>
      <c r="S78" s="851"/>
      <c r="T78" s="852"/>
      <c r="U78" s="837"/>
      <c r="V78" s="838"/>
      <c r="W78" s="838"/>
      <c r="X78" s="839"/>
      <c r="Y78" s="855"/>
      <c r="Z78" s="838"/>
      <c r="AA78" s="839"/>
      <c r="AB78" s="851"/>
      <c r="AC78" s="857"/>
      <c r="AD78" s="852"/>
      <c r="AE78" s="859" t="str">
        <f t="shared" ref="AE78" si="181">IF(ISNUMBER(SEARCH("Removed",K78)),0,"")</f>
        <v/>
      </c>
      <c r="AF78" s="860"/>
      <c r="AG78" s="863"/>
      <c r="AH78" s="874"/>
      <c r="AI78" s="867" t="str">
        <f>IFERROR(IF(K78="","",IF(C78&lt;&gt;INDEX(PMELIGHT[Base Desc 1],MATCH(K78,PMELIGHT[Eff Desc 1],0)),0,INDEX(PMELIGHT[Inc Rate Unit],MATCH(K78,PMELIGHT[Eff Desc 1],0)))),"")</f>
        <v/>
      </c>
      <c r="AJ78" s="868"/>
      <c r="AK78" s="826" t="str">
        <f t="shared" ref="AK78" si="182">IFERROR(IF(OR(C78="",I78="",K78="",Q78="",S78="",U78="",Y78="",AB78="",AE78="",AG78=""),"",IFERROR(ROUND(IF(I78-Q78&lt;=0,0,(I78-Q78)*S78*AB78/1000),2),"")),"")</f>
        <v/>
      </c>
      <c r="AL78" s="827"/>
      <c r="AM78" s="827"/>
      <c r="AN78" s="820" t="str">
        <f t="shared" ref="AN78" si="183">IFERROR(IF(OR(C78="",I78="",K78="",Q78="",S78="",U78="",Y78="",AB78="",AE78="",AG78=""),"",IF(BC78&lt;&gt;"",BC78,ROUND(IF(I78-Q78&lt;=0,0,MIN(AU78,AI78*S78)),2))),"")</f>
        <v/>
      </c>
      <c r="AO78" s="821"/>
      <c r="AP78" s="821"/>
      <c r="AQ78" s="822"/>
      <c r="AS78"/>
      <c r="AT78"/>
      <c r="AU78" s="813" t="str">
        <f t="shared" si="117"/>
        <v/>
      </c>
      <c r="AV78" s="818" t="str">
        <f>IFERROR(IF(OR(I78="",Q78="",S78="",U78="",Y78="",AB78="",AE78="",AG78="",AK78=0),"",IF(ISNUMBER(SEARCH("Exterior",K78)),0,ROUND(((I78-Q78)*S78/1000)*INDEX(BUILDINGTYPE[Lighting Coincidence Factor],MATCH(M02S02F26,BUILDINGTYPE[Building Type],0)),3))),"")</f>
        <v/>
      </c>
      <c r="AW78" s="816" t="str">
        <f t="shared" si="118"/>
        <v/>
      </c>
      <c r="AX78" s="816" t="str">
        <f t="shared" si="119"/>
        <v/>
      </c>
      <c r="AY78"/>
      <c r="AZ78"/>
      <c r="BA78"/>
      <c r="BB78"/>
      <c r="BC78" s="830" t="str">
        <f>IFERROR(IF(OR(C78="",I78="",K78="",Q78="",S78="",U78="",Y78="",AB78="",AE78="",AG78=""),"",IF(ISBLANK(M02S02F26),MEASUREBLDG,IF((I78*S78)&lt;=(Q78*S78),MEASURESAVE,""))),MEASURESUBMIT)</f>
        <v/>
      </c>
    </row>
    <row r="79" spans="2:55" ht="15.95" hidden="1" customHeight="1">
      <c r="B79" s="834"/>
      <c r="C79" s="840"/>
      <c r="D79" s="841"/>
      <c r="E79" s="841"/>
      <c r="F79" s="841"/>
      <c r="G79" s="841"/>
      <c r="H79" s="842"/>
      <c r="I79" s="845"/>
      <c r="J79" s="846"/>
      <c r="K79" s="848"/>
      <c r="L79" s="841"/>
      <c r="M79" s="841"/>
      <c r="N79" s="841"/>
      <c r="O79" s="841"/>
      <c r="P79" s="842"/>
      <c r="Q79" s="845"/>
      <c r="R79" s="850"/>
      <c r="S79" s="853"/>
      <c r="T79" s="854"/>
      <c r="U79" s="840"/>
      <c r="V79" s="841"/>
      <c r="W79" s="841"/>
      <c r="X79" s="842"/>
      <c r="Y79" s="856"/>
      <c r="Z79" s="841"/>
      <c r="AA79" s="842"/>
      <c r="AB79" s="853"/>
      <c r="AC79" s="858"/>
      <c r="AD79" s="854"/>
      <c r="AE79" s="861"/>
      <c r="AF79" s="862"/>
      <c r="AG79" s="865"/>
      <c r="AH79" s="875"/>
      <c r="AI79" s="869"/>
      <c r="AJ79" s="870"/>
      <c r="AK79" s="828"/>
      <c r="AL79" s="829"/>
      <c r="AM79" s="829"/>
      <c r="AN79" s="823"/>
      <c r="AO79" s="824"/>
      <c r="AP79" s="824"/>
      <c r="AQ79" s="825"/>
      <c r="AS79"/>
      <c r="AT79"/>
      <c r="AU79" s="814"/>
      <c r="AV79" s="819"/>
      <c r="AW79" s="817"/>
      <c r="AX79" s="817"/>
      <c r="AY79"/>
      <c r="AZ79"/>
      <c r="BA79"/>
      <c r="BB79"/>
      <c r="BC79" s="831"/>
    </row>
    <row r="80" spans="2:55" ht="15.95" hidden="1" customHeight="1">
      <c r="B80" s="834">
        <v>33</v>
      </c>
      <c r="C80" s="837"/>
      <c r="D80" s="838"/>
      <c r="E80" s="838"/>
      <c r="F80" s="838"/>
      <c r="G80" s="838"/>
      <c r="H80" s="839"/>
      <c r="I80" s="843" t="str">
        <f>IFERROR(IF(C80="","",IF(INDEX(PMELIGHTTYPE[Base Autofill],MATCH(C80,PMELIGHTTYPE[Base Desc 1],0))="","",INDEX(PMELIGHTTYPE[Base Autofill],MATCH(C80,PMELIGHTTYPE[Base Desc 1],0)))),"")</f>
        <v/>
      </c>
      <c r="J80" s="844"/>
      <c r="K80" s="847"/>
      <c r="L80" s="838"/>
      <c r="M80" s="838"/>
      <c r="N80" s="838"/>
      <c r="O80" s="838"/>
      <c r="P80" s="839"/>
      <c r="Q80" s="843" t="str">
        <f t="shared" ref="Q80" si="184">IFERROR(IF(ISNUMBER(SEARCH("Removed",K80)),0,""),"")</f>
        <v/>
      </c>
      <c r="R80" s="849"/>
      <c r="S80" s="851"/>
      <c r="T80" s="852"/>
      <c r="U80" s="837"/>
      <c r="V80" s="838"/>
      <c r="W80" s="838"/>
      <c r="X80" s="839"/>
      <c r="Y80" s="855"/>
      <c r="Z80" s="838"/>
      <c r="AA80" s="839"/>
      <c r="AB80" s="851"/>
      <c r="AC80" s="857"/>
      <c r="AD80" s="852"/>
      <c r="AE80" s="859" t="str">
        <f t="shared" ref="AE80" si="185">IF(ISNUMBER(SEARCH("Removed",K80)),0,"")</f>
        <v/>
      </c>
      <c r="AF80" s="860"/>
      <c r="AG80" s="863"/>
      <c r="AH80" s="874"/>
      <c r="AI80" s="867" t="str">
        <f>IFERROR(IF(K80="","",IF(C80&lt;&gt;INDEX(PMELIGHT[Base Desc 1],MATCH(K80,PMELIGHT[Eff Desc 1],0)),0,INDEX(PMELIGHT[Inc Rate Unit],MATCH(K80,PMELIGHT[Eff Desc 1],0)))),"")</f>
        <v/>
      </c>
      <c r="AJ80" s="868"/>
      <c r="AK80" s="826" t="str">
        <f t="shared" ref="AK80" si="186">IFERROR(IF(OR(C80="",I80="",K80="",Q80="",S80="",U80="",Y80="",AB80="",AE80="",AG80=""),"",IFERROR(ROUND(IF(I80-Q80&lt;=0,0,(I80-Q80)*S80*AB80/1000),2),"")),"")</f>
        <v/>
      </c>
      <c r="AL80" s="827"/>
      <c r="AM80" s="827"/>
      <c r="AN80" s="820" t="str">
        <f t="shared" ref="AN80" si="187">IFERROR(IF(OR(C80="",I80="",K80="",Q80="",S80="",U80="",Y80="",AB80="",AE80="",AG80=""),"",IF(BC80&lt;&gt;"",BC80,ROUND(IF(I80-Q80&lt;=0,0,MIN(AU80,AI80*S80)),2))),"")</f>
        <v/>
      </c>
      <c r="AO80" s="821"/>
      <c r="AP80" s="821"/>
      <c r="AQ80" s="822"/>
      <c r="AS80"/>
      <c r="AT80"/>
      <c r="AU80" s="813" t="str">
        <f t="shared" si="117"/>
        <v/>
      </c>
      <c r="AV80" s="818" t="str">
        <f>IFERROR(IF(OR(I80="",Q80="",S80="",U80="",Y80="",AB80="",AE80="",AG80="",AK80=0),"",IF(ISNUMBER(SEARCH("Exterior",K80)),0,ROUND(((I80-Q80)*S80/1000)*INDEX(BUILDINGTYPE[Lighting Coincidence Factor],MATCH(M02S02F26,BUILDINGTYPE[Building Type],0)),3))),"")</f>
        <v/>
      </c>
      <c r="AW80" s="816" t="str">
        <f t="shared" si="118"/>
        <v/>
      </c>
      <c r="AX80" s="816" t="str">
        <f t="shared" si="119"/>
        <v/>
      </c>
      <c r="AY80"/>
      <c r="AZ80"/>
      <c r="BA80"/>
      <c r="BB80"/>
      <c r="BC80" s="830" t="str">
        <f>IFERROR(IF(OR(C80="",I80="",K80="",Q80="",S80="",U80="",Y80="",AB80="",AE80="",AG80=""),"",IF(ISBLANK(M02S02F26),MEASUREBLDG,IF((I80*S80)&lt;=(Q80*S80),MEASURESAVE,""))),MEASURESUBMIT)</f>
        <v/>
      </c>
    </row>
    <row r="81" spans="2:55" ht="15.95" hidden="1" customHeight="1">
      <c r="B81" s="834"/>
      <c r="C81" s="840"/>
      <c r="D81" s="841"/>
      <c r="E81" s="841"/>
      <c r="F81" s="841"/>
      <c r="G81" s="841"/>
      <c r="H81" s="842"/>
      <c r="I81" s="845"/>
      <c r="J81" s="846"/>
      <c r="K81" s="848"/>
      <c r="L81" s="841"/>
      <c r="M81" s="841"/>
      <c r="N81" s="841"/>
      <c r="O81" s="841"/>
      <c r="P81" s="842"/>
      <c r="Q81" s="845"/>
      <c r="R81" s="850"/>
      <c r="S81" s="853"/>
      <c r="T81" s="854"/>
      <c r="U81" s="840"/>
      <c r="V81" s="841"/>
      <c r="W81" s="841"/>
      <c r="X81" s="842"/>
      <c r="Y81" s="856"/>
      <c r="Z81" s="841"/>
      <c r="AA81" s="842"/>
      <c r="AB81" s="853"/>
      <c r="AC81" s="858"/>
      <c r="AD81" s="854"/>
      <c r="AE81" s="861"/>
      <c r="AF81" s="862"/>
      <c r="AG81" s="865"/>
      <c r="AH81" s="875"/>
      <c r="AI81" s="869"/>
      <c r="AJ81" s="870"/>
      <c r="AK81" s="828"/>
      <c r="AL81" s="829"/>
      <c r="AM81" s="829"/>
      <c r="AN81" s="823"/>
      <c r="AO81" s="824"/>
      <c r="AP81" s="824"/>
      <c r="AQ81" s="825"/>
      <c r="AS81"/>
      <c r="AT81"/>
      <c r="AU81" s="814"/>
      <c r="AV81" s="819"/>
      <c r="AW81" s="817"/>
      <c r="AX81" s="817"/>
      <c r="AY81"/>
      <c r="AZ81"/>
      <c r="BA81"/>
      <c r="BB81"/>
      <c r="BC81" s="831"/>
    </row>
    <row r="82" spans="2:55" ht="15.95" hidden="1" customHeight="1">
      <c r="B82" s="834">
        <v>34</v>
      </c>
      <c r="C82" s="837"/>
      <c r="D82" s="838"/>
      <c r="E82" s="838"/>
      <c r="F82" s="838"/>
      <c r="G82" s="838"/>
      <c r="H82" s="839"/>
      <c r="I82" s="843" t="str">
        <f>IFERROR(IF(C82="","",IF(INDEX(PMELIGHTTYPE[Base Autofill],MATCH(C82,PMELIGHTTYPE[Base Desc 1],0))="","",INDEX(PMELIGHTTYPE[Base Autofill],MATCH(C82,PMELIGHTTYPE[Base Desc 1],0)))),"")</f>
        <v/>
      </c>
      <c r="J82" s="844"/>
      <c r="K82" s="847"/>
      <c r="L82" s="838"/>
      <c r="M82" s="838"/>
      <c r="N82" s="838"/>
      <c r="O82" s="838"/>
      <c r="P82" s="839"/>
      <c r="Q82" s="843" t="str">
        <f t="shared" ref="Q82" si="188">IFERROR(IF(ISNUMBER(SEARCH("Removed",K82)),0,""),"")</f>
        <v/>
      </c>
      <c r="R82" s="849"/>
      <c r="S82" s="851"/>
      <c r="T82" s="852"/>
      <c r="U82" s="837"/>
      <c r="V82" s="838"/>
      <c r="W82" s="838"/>
      <c r="X82" s="839"/>
      <c r="Y82" s="855"/>
      <c r="Z82" s="838"/>
      <c r="AA82" s="839"/>
      <c r="AB82" s="851"/>
      <c r="AC82" s="857"/>
      <c r="AD82" s="852"/>
      <c r="AE82" s="859" t="str">
        <f t="shared" ref="AE82" si="189">IF(ISNUMBER(SEARCH("Removed",K82)),0,"")</f>
        <v/>
      </c>
      <c r="AF82" s="860"/>
      <c r="AG82" s="863"/>
      <c r="AH82" s="874"/>
      <c r="AI82" s="867" t="str">
        <f>IFERROR(IF(K82="","",IF(C82&lt;&gt;INDEX(PMELIGHT[Base Desc 1],MATCH(K82,PMELIGHT[Eff Desc 1],0)),0,INDEX(PMELIGHT[Inc Rate Unit],MATCH(K82,PMELIGHT[Eff Desc 1],0)))),"")</f>
        <v/>
      </c>
      <c r="AJ82" s="868"/>
      <c r="AK82" s="826" t="str">
        <f t="shared" ref="AK82" si="190">IFERROR(IF(OR(C82="",I82="",K82="",Q82="",S82="",U82="",Y82="",AB82="",AE82="",AG82=""),"",IFERROR(ROUND(IF(I82-Q82&lt;=0,0,(I82-Q82)*S82*AB82/1000),2),"")),"")</f>
        <v/>
      </c>
      <c r="AL82" s="827"/>
      <c r="AM82" s="827"/>
      <c r="AN82" s="820" t="str">
        <f t="shared" ref="AN82" si="191">IFERROR(IF(OR(C82="",I82="",K82="",Q82="",S82="",U82="",Y82="",AB82="",AE82="",AG82=""),"",IF(BC82&lt;&gt;"",BC82,ROUND(IF(I82-Q82&lt;=0,0,MIN(AU82,AI82*S82)),2))),"")</f>
        <v/>
      </c>
      <c r="AO82" s="821"/>
      <c r="AP82" s="821"/>
      <c r="AQ82" s="822"/>
      <c r="AS82"/>
      <c r="AT82"/>
      <c r="AU82" s="813" t="str">
        <f t="shared" si="117"/>
        <v/>
      </c>
      <c r="AV82" s="818" t="str">
        <f>IFERROR(IF(OR(I82="",Q82="",S82="",U82="",Y82="",AB82="",AE82="",AG82="",AK82=0),"",IF(ISNUMBER(SEARCH("Exterior",K82)),0,ROUND(((I82-Q82)*S82/1000)*INDEX(BUILDINGTYPE[Lighting Coincidence Factor],MATCH(M02S02F26,BUILDINGTYPE[Building Type],0)),3))),"")</f>
        <v/>
      </c>
      <c r="AW82" s="816" t="str">
        <f t="shared" si="118"/>
        <v/>
      </c>
      <c r="AX82" s="816" t="str">
        <f t="shared" si="119"/>
        <v/>
      </c>
      <c r="AY82"/>
      <c r="AZ82"/>
      <c r="BA82"/>
      <c r="BB82"/>
      <c r="BC82" s="830" t="str">
        <f>IFERROR(IF(OR(C82="",I82="",K82="",Q82="",S82="",U82="",Y82="",AB82="",AE82="",AG82=""),"",IF(ISBLANK(M02S02F26),MEASUREBLDG,IF((I82*S82)&lt;=(Q82*S82),MEASURESAVE,""))),MEASURESUBMIT)</f>
        <v/>
      </c>
    </row>
    <row r="83" spans="2:55" ht="15.95" hidden="1" customHeight="1">
      <c r="B83" s="834"/>
      <c r="C83" s="840"/>
      <c r="D83" s="841"/>
      <c r="E83" s="841"/>
      <c r="F83" s="841"/>
      <c r="G83" s="841"/>
      <c r="H83" s="842"/>
      <c r="I83" s="845"/>
      <c r="J83" s="846"/>
      <c r="K83" s="848"/>
      <c r="L83" s="841"/>
      <c r="M83" s="841"/>
      <c r="N83" s="841"/>
      <c r="O83" s="841"/>
      <c r="P83" s="842"/>
      <c r="Q83" s="845"/>
      <c r="R83" s="850"/>
      <c r="S83" s="853"/>
      <c r="T83" s="854"/>
      <c r="U83" s="840"/>
      <c r="V83" s="841"/>
      <c r="W83" s="841"/>
      <c r="X83" s="842"/>
      <c r="Y83" s="856"/>
      <c r="Z83" s="841"/>
      <c r="AA83" s="842"/>
      <c r="AB83" s="853"/>
      <c r="AC83" s="858"/>
      <c r="AD83" s="854"/>
      <c r="AE83" s="861"/>
      <c r="AF83" s="862"/>
      <c r="AG83" s="865"/>
      <c r="AH83" s="875"/>
      <c r="AI83" s="869"/>
      <c r="AJ83" s="870"/>
      <c r="AK83" s="828"/>
      <c r="AL83" s="829"/>
      <c r="AM83" s="829"/>
      <c r="AN83" s="823"/>
      <c r="AO83" s="824"/>
      <c r="AP83" s="824"/>
      <c r="AQ83" s="825"/>
      <c r="AS83"/>
      <c r="AT83"/>
      <c r="AU83" s="814"/>
      <c r="AV83" s="819"/>
      <c r="AW83" s="817"/>
      <c r="AX83" s="817"/>
      <c r="AY83"/>
      <c r="AZ83"/>
      <c r="BA83"/>
      <c r="BB83"/>
      <c r="BC83" s="831"/>
    </row>
    <row r="84" spans="2:55" ht="15.95" hidden="1" customHeight="1">
      <c r="B84" s="834">
        <v>35</v>
      </c>
      <c r="C84" s="837"/>
      <c r="D84" s="838"/>
      <c r="E84" s="838"/>
      <c r="F84" s="838"/>
      <c r="G84" s="838"/>
      <c r="H84" s="839"/>
      <c r="I84" s="843" t="str">
        <f>IFERROR(IF(C84="","",IF(INDEX(PMELIGHTTYPE[Base Autofill],MATCH(C84,PMELIGHTTYPE[Base Desc 1],0))="","",INDEX(PMELIGHTTYPE[Base Autofill],MATCH(C84,PMELIGHTTYPE[Base Desc 1],0)))),"")</f>
        <v/>
      </c>
      <c r="J84" s="844"/>
      <c r="K84" s="847"/>
      <c r="L84" s="838"/>
      <c r="M84" s="838"/>
      <c r="N84" s="838"/>
      <c r="O84" s="838"/>
      <c r="P84" s="839"/>
      <c r="Q84" s="843" t="str">
        <f t="shared" ref="Q84" si="192">IFERROR(IF(ISNUMBER(SEARCH("Removed",K84)),0,""),"")</f>
        <v/>
      </c>
      <c r="R84" s="849"/>
      <c r="S84" s="851"/>
      <c r="T84" s="852"/>
      <c r="U84" s="837"/>
      <c r="V84" s="838"/>
      <c r="W84" s="838"/>
      <c r="X84" s="839"/>
      <c r="Y84" s="855"/>
      <c r="Z84" s="838"/>
      <c r="AA84" s="839"/>
      <c r="AB84" s="851"/>
      <c r="AC84" s="857"/>
      <c r="AD84" s="852"/>
      <c r="AE84" s="859" t="str">
        <f t="shared" ref="AE84" si="193">IF(ISNUMBER(SEARCH("Removed",K84)),0,"")</f>
        <v/>
      </c>
      <c r="AF84" s="860"/>
      <c r="AG84" s="863"/>
      <c r="AH84" s="874"/>
      <c r="AI84" s="867" t="str">
        <f>IFERROR(IF(K84="","",IF(C84&lt;&gt;INDEX(PMELIGHT[Base Desc 1],MATCH(K84,PMELIGHT[Eff Desc 1],0)),0,INDEX(PMELIGHT[Inc Rate Unit],MATCH(K84,PMELIGHT[Eff Desc 1],0)))),"")</f>
        <v/>
      </c>
      <c r="AJ84" s="868"/>
      <c r="AK84" s="826" t="str">
        <f t="shared" ref="AK84" si="194">IFERROR(IF(OR(C84="",I84="",K84="",Q84="",S84="",U84="",Y84="",AB84="",AE84="",AG84=""),"",IFERROR(ROUND(IF(I84-Q84&lt;=0,0,(I84-Q84)*S84*AB84/1000),2),"")),"")</f>
        <v/>
      </c>
      <c r="AL84" s="827"/>
      <c r="AM84" s="827"/>
      <c r="AN84" s="820" t="str">
        <f t="shared" ref="AN84" si="195">IFERROR(IF(OR(C84="",I84="",K84="",Q84="",S84="",U84="",Y84="",AB84="",AE84="",AG84=""),"",IF(BC84&lt;&gt;"",BC84,ROUND(IF(I84-Q84&lt;=0,0,MIN(AU84,AI84*S84)),2))),"")</f>
        <v/>
      </c>
      <c r="AO84" s="821"/>
      <c r="AP84" s="821"/>
      <c r="AQ84" s="822"/>
      <c r="AU84" s="813" t="str">
        <f t="shared" si="117"/>
        <v/>
      </c>
      <c r="AV84" s="818" t="str">
        <f>IFERROR(IF(OR(I84="",Q84="",S84="",U84="",Y84="",AB84="",AE84="",AG84="",AK84=0),"",IF(ISNUMBER(SEARCH("Exterior",K84)),0,ROUND(((I84-Q84)*S84/1000)*INDEX(BUILDINGTYPE[Lighting Coincidence Factor],MATCH(M02S02F26,BUILDINGTYPE[Building Type],0)),3))),"")</f>
        <v/>
      </c>
      <c r="AW84" s="816" t="str">
        <f t="shared" si="118"/>
        <v/>
      </c>
      <c r="AX84" s="816" t="str">
        <f t="shared" si="119"/>
        <v/>
      </c>
      <c r="BC84" s="830" t="str">
        <f>IFERROR(IF(OR(C84="",I84="",K84="",Q84="",S84="",U84="",Y84="",AB84="",AE84="",AG84=""),"",IF(ISBLANK(M02S02F26),MEASUREBLDG,IF((I84*S84)&lt;=(Q84*S84),MEASURESAVE,""))),MEASURESUBMIT)</f>
        <v/>
      </c>
    </row>
    <row r="85" spans="2:55" ht="15.95" hidden="1" customHeight="1">
      <c r="B85" s="834"/>
      <c r="C85" s="840"/>
      <c r="D85" s="841"/>
      <c r="E85" s="841"/>
      <c r="F85" s="841"/>
      <c r="G85" s="841"/>
      <c r="H85" s="842"/>
      <c r="I85" s="845"/>
      <c r="J85" s="846"/>
      <c r="K85" s="848"/>
      <c r="L85" s="841"/>
      <c r="M85" s="841"/>
      <c r="N85" s="841"/>
      <c r="O85" s="841"/>
      <c r="P85" s="842"/>
      <c r="Q85" s="845"/>
      <c r="R85" s="850"/>
      <c r="S85" s="853"/>
      <c r="T85" s="854"/>
      <c r="U85" s="840"/>
      <c r="V85" s="841"/>
      <c r="W85" s="841"/>
      <c r="X85" s="842"/>
      <c r="Y85" s="856"/>
      <c r="Z85" s="841"/>
      <c r="AA85" s="842"/>
      <c r="AB85" s="853"/>
      <c r="AC85" s="858"/>
      <c r="AD85" s="854"/>
      <c r="AE85" s="861"/>
      <c r="AF85" s="862"/>
      <c r="AG85" s="865"/>
      <c r="AH85" s="875"/>
      <c r="AI85" s="869"/>
      <c r="AJ85" s="870"/>
      <c r="AK85" s="828"/>
      <c r="AL85" s="829"/>
      <c r="AM85" s="829"/>
      <c r="AN85" s="823"/>
      <c r="AO85" s="824"/>
      <c r="AP85" s="824"/>
      <c r="AQ85" s="825"/>
      <c r="AU85" s="814"/>
      <c r="AV85" s="819"/>
      <c r="AW85" s="817"/>
      <c r="AX85" s="817"/>
      <c r="BC85" s="831"/>
    </row>
    <row r="86" spans="2:55" ht="15.95" hidden="1" customHeight="1">
      <c r="B86" s="834">
        <v>36</v>
      </c>
      <c r="C86" s="837"/>
      <c r="D86" s="838"/>
      <c r="E86" s="838"/>
      <c r="F86" s="838"/>
      <c r="G86" s="838"/>
      <c r="H86" s="839"/>
      <c r="I86" s="843" t="str">
        <f>IFERROR(IF(C86="","",IF(INDEX(PMELIGHTTYPE[Base Autofill],MATCH(C86,PMELIGHTTYPE[Base Desc 1],0))="","",INDEX(PMELIGHTTYPE[Base Autofill],MATCH(C86,PMELIGHTTYPE[Base Desc 1],0)))),"")</f>
        <v/>
      </c>
      <c r="J86" s="844"/>
      <c r="K86" s="847"/>
      <c r="L86" s="838"/>
      <c r="M86" s="838"/>
      <c r="N86" s="838"/>
      <c r="O86" s="838"/>
      <c r="P86" s="839"/>
      <c r="Q86" s="843" t="str">
        <f t="shared" ref="Q86" si="196">IFERROR(IF(ISNUMBER(SEARCH("Removed",K86)),0,""),"")</f>
        <v/>
      </c>
      <c r="R86" s="849"/>
      <c r="S86" s="851"/>
      <c r="T86" s="852"/>
      <c r="U86" s="837"/>
      <c r="V86" s="838"/>
      <c r="W86" s="838"/>
      <c r="X86" s="839"/>
      <c r="Y86" s="855"/>
      <c r="Z86" s="838"/>
      <c r="AA86" s="839"/>
      <c r="AB86" s="851"/>
      <c r="AC86" s="857"/>
      <c r="AD86" s="852"/>
      <c r="AE86" s="859" t="str">
        <f t="shared" ref="AE86" si="197">IF(ISNUMBER(SEARCH("Removed",K86)),0,"")</f>
        <v/>
      </c>
      <c r="AF86" s="860"/>
      <c r="AG86" s="863"/>
      <c r="AH86" s="874"/>
      <c r="AI86" s="867" t="str">
        <f>IFERROR(IF(K86="","",IF(C86&lt;&gt;INDEX(PMELIGHT[Base Desc 1],MATCH(K86,PMELIGHT[Eff Desc 1],0)),0,INDEX(PMELIGHT[Inc Rate Unit],MATCH(K86,PMELIGHT[Eff Desc 1],0)))),"")</f>
        <v/>
      </c>
      <c r="AJ86" s="868"/>
      <c r="AK86" s="826" t="str">
        <f t="shared" ref="AK86" si="198">IFERROR(IF(OR(C86="",I86="",K86="",Q86="",S86="",U86="",Y86="",AB86="",AE86="",AG86=""),"",IFERROR(ROUND(IF(I86-Q86&lt;=0,0,(I86-Q86)*S86*AB86/1000),2),"")),"")</f>
        <v/>
      </c>
      <c r="AL86" s="827"/>
      <c r="AM86" s="827"/>
      <c r="AN86" s="820" t="str">
        <f t="shared" ref="AN86" si="199">IFERROR(IF(OR(C86="",I86="",K86="",Q86="",S86="",U86="",Y86="",AB86="",AE86="",AG86=""),"",IF(BC86&lt;&gt;"",BC86,ROUND(IF(I86-Q86&lt;=0,0,MIN(AU86,AI86*S86)),2))),"")</f>
        <v/>
      </c>
      <c r="AO86" s="821"/>
      <c r="AP86" s="821"/>
      <c r="AQ86" s="822"/>
      <c r="AU86" s="813" t="str">
        <f t="shared" si="117"/>
        <v/>
      </c>
      <c r="AV86" s="818" t="str">
        <f>IFERROR(IF(OR(I86="",Q86="",S86="",U86="",Y86="",AB86="",AE86="",AG86="",AK86=0),"",IF(ISNUMBER(SEARCH("Exterior",K86)),0,ROUND(((I86-Q86)*S86/1000)*INDEX(BUILDINGTYPE[Lighting Coincidence Factor],MATCH(M02S02F26,BUILDINGTYPE[Building Type],0)),3))),"")</f>
        <v/>
      </c>
      <c r="AW86" s="816" t="str">
        <f t="shared" si="118"/>
        <v/>
      </c>
      <c r="AX86" s="816" t="str">
        <f t="shared" si="119"/>
        <v/>
      </c>
      <c r="BC86" s="830" t="str">
        <f>IFERROR(IF(OR(C86="",I86="",K86="",Q86="",S86="",U86="",Y86="",AB86="",AE86="",AG86=""),"",IF(ISBLANK(M02S02F26),MEASUREBLDG,IF((I86*S86)&lt;=(Q86*S86),MEASURESAVE,""))),MEASURESUBMIT)</f>
        <v/>
      </c>
    </row>
    <row r="87" spans="2:55" ht="15.95" hidden="1" customHeight="1">
      <c r="B87" s="834"/>
      <c r="C87" s="840"/>
      <c r="D87" s="841"/>
      <c r="E87" s="841"/>
      <c r="F87" s="841"/>
      <c r="G87" s="841"/>
      <c r="H87" s="842"/>
      <c r="I87" s="845"/>
      <c r="J87" s="846"/>
      <c r="K87" s="848"/>
      <c r="L87" s="841"/>
      <c r="M87" s="841"/>
      <c r="N87" s="841"/>
      <c r="O87" s="841"/>
      <c r="P87" s="842"/>
      <c r="Q87" s="845"/>
      <c r="R87" s="850"/>
      <c r="S87" s="853"/>
      <c r="T87" s="854"/>
      <c r="U87" s="840"/>
      <c r="V87" s="841"/>
      <c r="W87" s="841"/>
      <c r="X87" s="842"/>
      <c r="Y87" s="856"/>
      <c r="Z87" s="841"/>
      <c r="AA87" s="842"/>
      <c r="AB87" s="853"/>
      <c r="AC87" s="858"/>
      <c r="AD87" s="854"/>
      <c r="AE87" s="861"/>
      <c r="AF87" s="862"/>
      <c r="AG87" s="865"/>
      <c r="AH87" s="875"/>
      <c r="AI87" s="869"/>
      <c r="AJ87" s="870"/>
      <c r="AK87" s="828"/>
      <c r="AL87" s="829"/>
      <c r="AM87" s="829"/>
      <c r="AN87" s="823"/>
      <c r="AO87" s="824"/>
      <c r="AP87" s="824"/>
      <c r="AQ87" s="825"/>
      <c r="AU87" s="814"/>
      <c r="AV87" s="819"/>
      <c r="AW87" s="817"/>
      <c r="AX87" s="817"/>
      <c r="BC87" s="831"/>
    </row>
    <row r="88" spans="2:55" ht="15.95" hidden="1" customHeight="1">
      <c r="B88" s="834">
        <v>37</v>
      </c>
      <c r="C88" s="837"/>
      <c r="D88" s="838"/>
      <c r="E88" s="838"/>
      <c r="F88" s="838"/>
      <c r="G88" s="838"/>
      <c r="H88" s="839"/>
      <c r="I88" s="843" t="str">
        <f>IFERROR(IF(C88="","",IF(INDEX(PMELIGHTTYPE[Base Autofill],MATCH(C88,PMELIGHTTYPE[Base Desc 1],0))="","",INDEX(PMELIGHTTYPE[Base Autofill],MATCH(C88,PMELIGHTTYPE[Base Desc 1],0)))),"")</f>
        <v/>
      </c>
      <c r="J88" s="844"/>
      <c r="K88" s="847"/>
      <c r="L88" s="838"/>
      <c r="M88" s="838"/>
      <c r="N88" s="838"/>
      <c r="O88" s="838"/>
      <c r="P88" s="839"/>
      <c r="Q88" s="843" t="str">
        <f t="shared" ref="Q88" si="200">IFERROR(IF(ISNUMBER(SEARCH("Removed",K88)),0,""),"")</f>
        <v/>
      </c>
      <c r="R88" s="849"/>
      <c r="S88" s="851"/>
      <c r="T88" s="852"/>
      <c r="U88" s="837"/>
      <c r="V88" s="838"/>
      <c r="W88" s="838"/>
      <c r="X88" s="839"/>
      <c r="Y88" s="855"/>
      <c r="Z88" s="838"/>
      <c r="AA88" s="839"/>
      <c r="AB88" s="851"/>
      <c r="AC88" s="857"/>
      <c r="AD88" s="852"/>
      <c r="AE88" s="859" t="str">
        <f t="shared" ref="AE88" si="201">IF(ISNUMBER(SEARCH("Removed",K88)),0,"")</f>
        <v/>
      </c>
      <c r="AF88" s="860"/>
      <c r="AG88" s="863"/>
      <c r="AH88" s="874"/>
      <c r="AI88" s="867" t="str">
        <f>IFERROR(IF(K88="","",IF(C88&lt;&gt;INDEX(PMELIGHT[Base Desc 1],MATCH(K88,PMELIGHT[Eff Desc 1],0)),0,INDEX(PMELIGHT[Inc Rate Unit],MATCH(K88,PMELIGHT[Eff Desc 1],0)))),"")</f>
        <v/>
      </c>
      <c r="AJ88" s="868"/>
      <c r="AK88" s="826" t="str">
        <f t="shared" ref="AK88" si="202">IFERROR(IF(OR(C88="",I88="",K88="",Q88="",S88="",U88="",Y88="",AB88="",AE88="",AG88=""),"",IFERROR(ROUND(IF(I88-Q88&lt;=0,0,(I88-Q88)*S88*AB88/1000),2),"")),"")</f>
        <v/>
      </c>
      <c r="AL88" s="827"/>
      <c r="AM88" s="827"/>
      <c r="AN88" s="820" t="str">
        <f t="shared" ref="AN88" si="203">IFERROR(IF(OR(C88="",I88="",K88="",Q88="",S88="",U88="",Y88="",AB88="",AE88="",AG88=""),"",IF(BC88&lt;&gt;"",BC88,ROUND(IF(I88-Q88&lt;=0,0,MIN(AU88,AI88*S88)),2))),"")</f>
        <v/>
      </c>
      <c r="AO88" s="821"/>
      <c r="AP88" s="821"/>
      <c r="AQ88" s="822"/>
      <c r="AU88" s="813" t="str">
        <f t="shared" si="117"/>
        <v/>
      </c>
      <c r="AV88" s="818" t="str">
        <f>IFERROR(IF(OR(I88="",Q88="",S88="",U88="",Y88="",AB88="",AE88="",AG88="",AK88=0),"",IF(ISNUMBER(SEARCH("Exterior",K88)),0,ROUND(((I88-Q88)*S88/1000)*INDEX(BUILDINGTYPE[Lighting Coincidence Factor],MATCH(M02S02F26,BUILDINGTYPE[Building Type],0)),3))),"")</f>
        <v/>
      </c>
      <c r="AW88" s="816" t="str">
        <f t="shared" si="118"/>
        <v/>
      </c>
      <c r="AX88" s="816" t="str">
        <f t="shared" si="119"/>
        <v/>
      </c>
      <c r="BC88" s="830" t="str">
        <f>IFERROR(IF(OR(C88="",I88="",K88="",Q88="",S88="",U88="",Y88="",AB88="",AE88="",AG88=""),"",IF(ISBLANK(M02S02F26),MEASUREBLDG,IF((I88*S88)&lt;=(Q88*S88),MEASURESAVE,""))),MEASURESUBMIT)</f>
        <v/>
      </c>
    </row>
    <row r="89" spans="2:55" ht="15.95" hidden="1" customHeight="1">
      <c r="B89" s="834"/>
      <c r="C89" s="840"/>
      <c r="D89" s="841"/>
      <c r="E89" s="841"/>
      <c r="F89" s="841"/>
      <c r="G89" s="841"/>
      <c r="H89" s="842"/>
      <c r="I89" s="845"/>
      <c r="J89" s="846"/>
      <c r="K89" s="848"/>
      <c r="L89" s="841"/>
      <c r="M89" s="841"/>
      <c r="N89" s="841"/>
      <c r="O89" s="841"/>
      <c r="P89" s="842"/>
      <c r="Q89" s="845"/>
      <c r="R89" s="850"/>
      <c r="S89" s="853"/>
      <c r="T89" s="854"/>
      <c r="U89" s="840"/>
      <c r="V89" s="841"/>
      <c r="W89" s="841"/>
      <c r="X89" s="842"/>
      <c r="Y89" s="856"/>
      <c r="Z89" s="841"/>
      <c r="AA89" s="842"/>
      <c r="AB89" s="853"/>
      <c r="AC89" s="858"/>
      <c r="AD89" s="854"/>
      <c r="AE89" s="861"/>
      <c r="AF89" s="862"/>
      <c r="AG89" s="865"/>
      <c r="AH89" s="875"/>
      <c r="AI89" s="869"/>
      <c r="AJ89" s="870"/>
      <c r="AK89" s="828"/>
      <c r="AL89" s="829"/>
      <c r="AM89" s="829"/>
      <c r="AN89" s="823"/>
      <c r="AO89" s="824"/>
      <c r="AP89" s="824"/>
      <c r="AQ89" s="825"/>
      <c r="AU89" s="814"/>
      <c r="AV89" s="819"/>
      <c r="AW89" s="817"/>
      <c r="AX89" s="817"/>
      <c r="BC89" s="831"/>
    </row>
    <row r="90" spans="2:55" ht="15.95" hidden="1" customHeight="1">
      <c r="B90" s="834">
        <v>38</v>
      </c>
      <c r="C90" s="837"/>
      <c r="D90" s="838"/>
      <c r="E90" s="838"/>
      <c r="F90" s="838"/>
      <c r="G90" s="838"/>
      <c r="H90" s="839"/>
      <c r="I90" s="843" t="str">
        <f>IFERROR(IF(C90="","",IF(INDEX(PMELIGHTTYPE[Base Autofill],MATCH(C90,PMELIGHTTYPE[Base Desc 1],0))="","",INDEX(PMELIGHTTYPE[Base Autofill],MATCH(C90,PMELIGHTTYPE[Base Desc 1],0)))),"")</f>
        <v/>
      </c>
      <c r="J90" s="844"/>
      <c r="K90" s="847"/>
      <c r="L90" s="838"/>
      <c r="M90" s="838"/>
      <c r="N90" s="838"/>
      <c r="O90" s="838"/>
      <c r="P90" s="839"/>
      <c r="Q90" s="843" t="str">
        <f t="shared" ref="Q90" si="204">IFERROR(IF(ISNUMBER(SEARCH("Removed",K90)),0,""),"")</f>
        <v/>
      </c>
      <c r="R90" s="849"/>
      <c r="S90" s="851"/>
      <c r="T90" s="852"/>
      <c r="U90" s="837"/>
      <c r="V90" s="838"/>
      <c r="W90" s="838"/>
      <c r="X90" s="839"/>
      <c r="Y90" s="855"/>
      <c r="Z90" s="838"/>
      <c r="AA90" s="839"/>
      <c r="AB90" s="851"/>
      <c r="AC90" s="857"/>
      <c r="AD90" s="852"/>
      <c r="AE90" s="859" t="str">
        <f t="shared" ref="AE90" si="205">IF(ISNUMBER(SEARCH("Removed",K90)),0,"")</f>
        <v/>
      </c>
      <c r="AF90" s="860"/>
      <c r="AG90" s="863"/>
      <c r="AH90" s="874"/>
      <c r="AI90" s="867" t="str">
        <f>IFERROR(IF(K90="","",IF(C90&lt;&gt;INDEX(PMELIGHT[Base Desc 1],MATCH(K90,PMELIGHT[Eff Desc 1],0)),0,INDEX(PMELIGHT[Inc Rate Unit],MATCH(K90,PMELIGHT[Eff Desc 1],0)))),"")</f>
        <v/>
      </c>
      <c r="AJ90" s="868"/>
      <c r="AK90" s="826" t="str">
        <f t="shared" ref="AK90" si="206">IFERROR(IF(OR(C90="",I90="",K90="",Q90="",S90="",U90="",Y90="",AB90="",AE90="",AG90=""),"",IFERROR(ROUND(IF(I90-Q90&lt;=0,0,(I90-Q90)*S90*AB90/1000),2),"")),"")</f>
        <v/>
      </c>
      <c r="AL90" s="827"/>
      <c r="AM90" s="827"/>
      <c r="AN90" s="820" t="str">
        <f t="shared" ref="AN90" si="207">IFERROR(IF(OR(C90="",I90="",K90="",Q90="",S90="",U90="",Y90="",AB90="",AE90="",AG90=""),"",IF(BC90&lt;&gt;"",BC90,ROUND(IF(I90-Q90&lt;=0,0,MIN(AU90,AI90*S90)),2))),"")</f>
        <v/>
      </c>
      <c r="AO90" s="821"/>
      <c r="AP90" s="821"/>
      <c r="AQ90" s="822"/>
      <c r="AU90" s="813" t="str">
        <f t="shared" si="117"/>
        <v/>
      </c>
      <c r="AV90" s="818" t="str">
        <f>IFERROR(IF(OR(I90="",Q90="",S90="",U90="",Y90="",AB90="",AE90="",AG90="",AK90=0),"",IF(ISNUMBER(SEARCH("Exterior",K90)),0,ROUND(((I90-Q90)*S90/1000)*INDEX(BUILDINGTYPE[Lighting Coincidence Factor],MATCH(M02S02F26,BUILDINGTYPE[Building Type],0)),3))),"")</f>
        <v/>
      </c>
      <c r="AW90" s="816" t="str">
        <f t="shared" si="118"/>
        <v/>
      </c>
      <c r="AX90" s="816" t="str">
        <f t="shared" si="119"/>
        <v/>
      </c>
      <c r="BC90" s="830" t="str">
        <f>IFERROR(IF(OR(C90="",I90="",K90="",Q90="",S90="",U90="",Y90="",AB90="",AE90="",AG90=""),"",IF(ISBLANK(M02S02F26),MEASUREBLDG,IF((I90*S90)&lt;=(Q90*S90),MEASURESAVE,""))),MEASURESUBMIT)</f>
        <v/>
      </c>
    </row>
    <row r="91" spans="2:55" ht="15.95" hidden="1" customHeight="1">
      <c r="B91" s="834"/>
      <c r="C91" s="840"/>
      <c r="D91" s="841"/>
      <c r="E91" s="841"/>
      <c r="F91" s="841"/>
      <c r="G91" s="841"/>
      <c r="H91" s="842"/>
      <c r="I91" s="845"/>
      <c r="J91" s="846"/>
      <c r="K91" s="848"/>
      <c r="L91" s="841"/>
      <c r="M91" s="841"/>
      <c r="N91" s="841"/>
      <c r="O91" s="841"/>
      <c r="P91" s="842"/>
      <c r="Q91" s="845"/>
      <c r="R91" s="850"/>
      <c r="S91" s="853"/>
      <c r="T91" s="854"/>
      <c r="U91" s="840"/>
      <c r="V91" s="841"/>
      <c r="W91" s="841"/>
      <c r="X91" s="842"/>
      <c r="Y91" s="856"/>
      <c r="Z91" s="841"/>
      <c r="AA91" s="842"/>
      <c r="AB91" s="853"/>
      <c r="AC91" s="858"/>
      <c r="AD91" s="854"/>
      <c r="AE91" s="861"/>
      <c r="AF91" s="862"/>
      <c r="AG91" s="865"/>
      <c r="AH91" s="875"/>
      <c r="AI91" s="869"/>
      <c r="AJ91" s="870"/>
      <c r="AK91" s="828"/>
      <c r="AL91" s="829"/>
      <c r="AM91" s="829"/>
      <c r="AN91" s="823"/>
      <c r="AO91" s="824"/>
      <c r="AP91" s="824"/>
      <c r="AQ91" s="825"/>
      <c r="AU91" s="814"/>
      <c r="AV91" s="819"/>
      <c r="AW91" s="817"/>
      <c r="AX91" s="817"/>
      <c r="BC91" s="831"/>
    </row>
    <row r="92" spans="2:55" ht="15.95" hidden="1" customHeight="1">
      <c r="B92" s="834">
        <v>39</v>
      </c>
      <c r="C92" s="837"/>
      <c r="D92" s="838"/>
      <c r="E92" s="838"/>
      <c r="F92" s="838"/>
      <c r="G92" s="838"/>
      <c r="H92" s="839"/>
      <c r="I92" s="843" t="str">
        <f>IFERROR(IF(C92="","",IF(INDEX(PMELIGHTTYPE[Base Autofill],MATCH(C92,PMELIGHTTYPE[Base Desc 1],0))="","",INDEX(PMELIGHTTYPE[Base Autofill],MATCH(C92,PMELIGHTTYPE[Base Desc 1],0)))),"")</f>
        <v/>
      </c>
      <c r="J92" s="844"/>
      <c r="K92" s="847"/>
      <c r="L92" s="838"/>
      <c r="M92" s="838"/>
      <c r="N92" s="838"/>
      <c r="O92" s="838"/>
      <c r="P92" s="839"/>
      <c r="Q92" s="843" t="str">
        <f t="shared" ref="Q92" si="208">IFERROR(IF(ISNUMBER(SEARCH("Removed",K92)),0,""),"")</f>
        <v/>
      </c>
      <c r="R92" s="849"/>
      <c r="S92" s="851"/>
      <c r="T92" s="852"/>
      <c r="U92" s="837"/>
      <c r="V92" s="838"/>
      <c r="W92" s="838"/>
      <c r="X92" s="839"/>
      <c r="Y92" s="855"/>
      <c r="Z92" s="838"/>
      <c r="AA92" s="839"/>
      <c r="AB92" s="851"/>
      <c r="AC92" s="857"/>
      <c r="AD92" s="852"/>
      <c r="AE92" s="859" t="str">
        <f t="shared" ref="AE92" si="209">IF(ISNUMBER(SEARCH("Removed",K92)),0,"")</f>
        <v/>
      </c>
      <c r="AF92" s="860"/>
      <c r="AG92" s="863"/>
      <c r="AH92" s="874"/>
      <c r="AI92" s="867" t="str">
        <f>IFERROR(IF(K92="","",IF(C92&lt;&gt;INDEX(PMELIGHT[Base Desc 1],MATCH(K92,PMELIGHT[Eff Desc 1],0)),0,INDEX(PMELIGHT[Inc Rate Unit],MATCH(K92,PMELIGHT[Eff Desc 1],0)))),"")</f>
        <v/>
      </c>
      <c r="AJ92" s="868"/>
      <c r="AK92" s="826" t="str">
        <f t="shared" ref="AK92" si="210">IFERROR(IF(OR(C92="",I92="",K92="",Q92="",S92="",U92="",Y92="",AB92="",AE92="",AG92=""),"",IFERROR(ROUND(IF(I92-Q92&lt;=0,0,(I92-Q92)*S92*AB92/1000),2),"")),"")</f>
        <v/>
      </c>
      <c r="AL92" s="827"/>
      <c r="AM92" s="827"/>
      <c r="AN92" s="820" t="str">
        <f t="shared" ref="AN92" si="211">IFERROR(IF(OR(C92="",I92="",K92="",Q92="",S92="",U92="",Y92="",AB92="",AE92="",AG92=""),"",IF(BC92&lt;&gt;"",BC92,ROUND(IF(I92-Q92&lt;=0,0,MIN(AU92,AI92*S92)),2))),"")</f>
        <v/>
      </c>
      <c r="AO92" s="821"/>
      <c r="AP92" s="821"/>
      <c r="AQ92" s="822"/>
      <c r="AU92" s="813" t="str">
        <f t="shared" si="117"/>
        <v/>
      </c>
      <c r="AV92" s="818" t="str">
        <f>IFERROR(IF(OR(I92="",Q92="",S92="",U92="",Y92="",AB92="",AE92="",AG92="",AK92=0),"",IF(ISNUMBER(SEARCH("Exterior",K92)),0,ROUND(((I92-Q92)*S92/1000)*INDEX(BUILDINGTYPE[Lighting Coincidence Factor],MATCH(M02S02F26,BUILDINGTYPE[Building Type],0)),3))),"")</f>
        <v/>
      </c>
      <c r="AW92" s="816" t="str">
        <f t="shared" si="118"/>
        <v/>
      </c>
      <c r="AX92" s="816" t="str">
        <f t="shared" si="119"/>
        <v/>
      </c>
      <c r="BC92" s="830" t="str">
        <f>IFERROR(IF(OR(C92="",I92="",K92="",Q92="",S92="",U92="",Y92="",AB92="",AE92="",AG92=""),"",IF(ISBLANK(M02S02F26),MEASUREBLDG,IF((I92*S92)&lt;=(Q92*S92),MEASURESAVE,""))),MEASURESUBMIT)</f>
        <v/>
      </c>
    </row>
    <row r="93" spans="2:55" ht="15.95" hidden="1" customHeight="1">
      <c r="B93" s="834"/>
      <c r="C93" s="840"/>
      <c r="D93" s="841"/>
      <c r="E93" s="841"/>
      <c r="F93" s="841"/>
      <c r="G93" s="841"/>
      <c r="H93" s="842"/>
      <c r="I93" s="845"/>
      <c r="J93" s="846"/>
      <c r="K93" s="848"/>
      <c r="L93" s="841"/>
      <c r="M93" s="841"/>
      <c r="N93" s="841"/>
      <c r="O93" s="841"/>
      <c r="P93" s="842"/>
      <c r="Q93" s="845"/>
      <c r="R93" s="850"/>
      <c r="S93" s="853"/>
      <c r="T93" s="854"/>
      <c r="U93" s="840"/>
      <c r="V93" s="841"/>
      <c r="W93" s="841"/>
      <c r="X93" s="842"/>
      <c r="Y93" s="856"/>
      <c r="Z93" s="841"/>
      <c r="AA93" s="842"/>
      <c r="AB93" s="853"/>
      <c r="AC93" s="858"/>
      <c r="AD93" s="854"/>
      <c r="AE93" s="861"/>
      <c r="AF93" s="862"/>
      <c r="AG93" s="865"/>
      <c r="AH93" s="875"/>
      <c r="AI93" s="869"/>
      <c r="AJ93" s="870"/>
      <c r="AK93" s="828"/>
      <c r="AL93" s="829"/>
      <c r="AM93" s="829"/>
      <c r="AN93" s="823"/>
      <c r="AO93" s="824"/>
      <c r="AP93" s="824"/>
      <c r="AQ93" s="825"/>
      <c r="AU93" s="814"/>
      <c r="AV93" s="819"/>
      <c r="AW93" s="817"/>
      <c r="AX93" s="817"/>
      <c r="BC93" s="831"/>
    </row>
    <row r="94" spans="2:55" ht="15.95" hidden="1" customHeight="1">
      <c r="B94" s="834">
        <v>40</v>
      </c>
      <c r="C94" s="837"/>
      <c r="D94" s="838"/>
      <c r="E94" s="838"/>
      <c r="F94" s="838"/>
      <c r="G94" s="838"/>
      <c r="H94" s="839"/>
      <c r="I94" s="843" t="str">
        <f>IFERROR(IF(C94="","",IF(INDEX(PMELIGHTTYPE[Base Autofill],MATCH(C94,PMELIGHTTYPE[Base Desc 1],0))="","",INDEX(PMELIGHTTYPE[Base Autofill],MATCH(C94,PMELIGHTTYPE[Base Desc 1],0)))),"")</f>
        <v/>
      </c>
      <c r="J94" s="844"/>
      <c r="K94" s="847"/>
      <c r="L94" s="838"/>
      <c r="M94" s="838"/>
      <c r="N94" s="838"/>
      <c r="O94" s="838"/>
      <c r="P94" s="839"/>
      <c r="Q94" s="843" t="str">
        <f t="shared" ref="Q94" si="212">IFERROR(IF(ISNUMBER(SEARCH("Removed",K94)),0,""),"")</f>
        <v/>
      </c>
      <c r="R94" s="849"/>
      <c r="S94" s="851"/>
      <c r="T94" s="852"/>
      <c r="U94" s="837"/>
      <c r="V94" s="838"/>
      <c r="W94" s="838"/>
      <c r="X94" s="839"/>
      <c r="Y94" s="855"/>
      <c r="Z94" s="838"/>
      <c r="AA94" s="839"/>
      <c r="AB94" s="851"/>
      <c r="AC94" s="857"/>
      <c r="AD94" s="852"/>
      <c r="AE94" s="859" t="str">
        <f t="shared" ref="AE94" si="213">IF(ISNUMBER(SEARCH("Removed",K94)),0,"")</f>
        <v/>
      </c>
      <c r="AF94" s="860"/>
      <c r="AG94" s="863"/>
      <c r="AH94" s="874"/>
      <c r="AI94" s="867" t="str">
        <f>IFERROR(IF(K94="","",IF(C94&lt;&gt;INDEX(PMELIGHT[Base Desc 1],MATCH(K94,PMELIGHT[Eff Desc 1],0)),0,INDEX(PMELIGHT[Inc Rate Unit],MATCH(K94,PMELIGHT[Eff Desc 1],0)))),"")</f>
        <v/>
      </c>
      <c r="AJ94" s="868"/>
      <c r="AK94" s="826" t="str">
        <f t="shared" ref="AK94" si="214">IFERROR(IF(OR(C94="",I94="",K94="",Q94="",S94="",U94="",Y94="",AB94="",AE94="",AG94=""),"",IFERROR(ROUND(IF(I94-Q94&lt;=0,0,(I94-Q94)*S94*AB94/1000),2),"")),"")</f>
        <v/>
      </c>
      <c r="AL94" s="827"/>
      <c r="AM94" s="827"/>
      <c r="AN94" s="820" t="str">
        <f t="shared" ref="AN94" si="215">IFERROR(IF(OR(C94="",I94="",K94="",Q94="",S94="",U94="",Y94="",AB94="",AE94="",AG94=""),"",IF(BC94&lt;&gt;"",BC94,ROUND(IF(I94-Q94&lt;=0,0,MIN(AU94,AI94*S94)),2))),"")</f>
        <v/>
      </c>
      <c r="AO94" s="821"/>
      <c r="AP94" s="821"/>
      <c r="AQ94" s="822"/>
      <c r="AU94" s="813" t="str">
        <f t="shared" si="117"/>
        <v/>
      </c>
      <c r="AV94" s="818" t="str">
        <f>IFERROR(IF(OR(I94="",Q94="",S94="",U94="",Y94="",AB94="",AE94="",AG94="",AK94=0),"",IF(ISNUMBER(SEARCH("Exterior",K94)),0,ROUND(((I94-Q94)*S94/1000)*INDEX(BUILDINGTYPE[Lighting Coincidence Factor],MATCH(M02S02F26,BUILDINGTYPE[Building Type],0)),3))),"")</f>
        <v/>
      </c>
      <c r="AW94" s="816" t="str">
        <f t="shared" si="118"/>
        <v/>
      </c>
      <c r="AX94" s="816" t="str">
        <f t="shared" si="119"/>
        <v/>
      </c>
      <c r="BC94" s="830" t="str">
        <f>IFERROR(IF(OR(C94="",I94="",K94="",Q94="",S94="",U94="",Y94="",AB94="",AE94="",AG94=""),"",IF(ISBLANK(M02S02F26),MEASUREBLDG,IF((I94*S94)&lt;=(Q94*S94),MEASURESAVE,""))),MEASURESUBMIT)</f>
        <v/>
      </c>
    </row>
    <row r="95" spans="2:55" ht="15.95" hidden="1" customHeight="1">
      <c r="B95" s="834"/>
      <c r="C95" s="840"/>
      <c r="D95" s="841"/>
      <c r="E95" s="841"/>
      <c r="F95" s="841"/>
      <c r="G95" s="841"/>
      <c r="H95" s="842"/>
      <c r="I95" s="845"/>
      <c r="J95" s="846"/>
      <c r="K95" s="848"/>
      <c r="L95" s="841"/>
      <c r="M95" s="841"/>
      <c r="N95" s="841"/>
      <c r="O95" s="841"/>
      <c r="P95" s="842"/>
      <c r="Q95" s="845"/>
      <c r="R95" s="850"/>
      <c r="S95" s="853"/>
      <c r="T95" s="854"/>
      <c r="U95" s="840"/>
      <c r="V95" s="841"/>
      <c r="W95" s="841"/>
      <c r="X95" s="842"/>
      <c r="Y95" s="856"/>
      <c r="Z95" s="841"/>
      <c r="AA95" s="842"/>
      <c r="AB95" s="853"/>
      <c r="AC95" s="858"/>
      <c r="AD95" s="854"/>
      <c r="AE95" s="861"/>
      <c r="AF95" s="862"/>
      <c r="AG95" s="865"/>
      <c r="AH95" s="875"/>
      <c r="AI95" s="869"/>
      <c r="AJ95" s="870"/>
      <c r="AK95" s="828"/>
      <c r="AL95" s="829"/>
      <c r="AM95" s="829"/>
      <c r="AN95" s="823"/>
      <c r="AO95" s="824"/>
      <c r="AP95" s="824"/>
      <c r="AQ95" s="825"/>
      <c r="AU95" s="814"/>
      <c r="AV95" s="819"/>
      <c r="AW95" s="817"/>
      <c r="AX95" s="817"/>
      <c r="BC95" s="831"/>
    </row>
    <row r="96" spans="2:55" ht="15.95" hidden="1" customHeight="1">
      <c r="B96" s="834">
        <v>41</v>
      </c>
      <c r="C96" s="837"/>
      <c r="D96" s="838"/>
      <c r="E96" s="838"/>
      <c r="F96" s="838"/>
      <c r="G96" s="838"/>
      <c r="H96" s="839"/>
      <c r="I96" s="843" t="str">
        <f>IFERROR(IF(C96="","",IF(INDEX(PMELIGHTTYPE[Base Autofill],MATCH(C96,PMELIGHTTYPE[Base Desc 1],0))="","",INDEX(PMELIGHTTYPE[Base Autofill],MATCH(C96,PMELIGHTTYPE[Base Desc 1],0)))),"")</f>
        <v/>
      </c>
      <c r="J96" s="844"/>
      <c r="K96" s="847"/>
      <c r="L96" s="838"/>
      <c r="M96" s="838"/>
      <c r="N96" s="838"/>
      <c r="O96" s="838"/>
      <c r="P96" s="839"/>
      <c r="Q96" s="843" t="str">
        <f t="shared" ref="Q96" si="216">IFERROR(IF(ISNUMBER(SEARCH("Removed",K96)),0,""),"")</f>
        <v/>
      </c>
      <c r="R96" s="849"/>
      <c r="S96" s="851"/>
      <c r="T96" s="852"/>
      <c r="U96" s="837"/>
      <c r="V96" s="838"/>
      <c r="W96" s="838"/>
      <c r="X96" s="839"/>
      <c r="Y96" s="855"/>
      <c r="Z96" s="838"/>
      <c r="AA96" s="839"/>
      <c r="AB96" s="851"/>
      <c r="AC96" s="857"/>
      <c r="AD96" s="852"/>
      <c r="AE96" s="859" t="str">
        <f t="shared" ref="AE96" si="217">IF(ISNUMBER(SEARCH("Removed",K96)),0,"")</f>
        <v/>
      </c>
      <c r="AF96" s="860"/>
      <c r="AG96" s="863"/>
      <c r="AH96" s="874"/>
      <c r="AI96" s="867" t="str">
        <f>IFERROR(IF(K96="","",IF(C96&lt;&gt;INDEX(PMELIGHT[Base Desc 1],MATCH(K96,PMELIGHT[Eff Desc 1],0)),0,INDEX(PMELIGHT[Inc Rate Unit],MATCH(K96,PMELIGHT[Eff Desc 1],0)))),"")</f>
        <v/>
      </c>
      <c r="AJ96" s="868"/>
      <c r="AK96" s="826" t="str">
        <f t="shared" ref="AK96" si="218">IFERROR(IF(OR(C96="",I96="",K96="",Q96="",S96="",U96="",Y96="",AB96="",AE96="",AG96=""),"",IFERROR(ROUND(IF(I96-Q96&lt;=0,0,(I96-Q96)*S96*AB96/1000),2),"")),"")</f>
        <v/>
      </c>
      <c r="AL96" s="827"/>
      <c r="AM96" s="827"/>
      <c r="AN96" s="820" t="str">
        <f t="shared" ref="AN96" si="219">IFERROR(IF(OR(C96="",I96="",K96="",Q96="",S96="",U96="",Y96="",AB96="",AE96="",AG96=""),"",IF(BC96&lt;&gt;"",BC96,ROUND(IF(I96-Q96&lt;=0,0,MIN(AU96,AI96*S96)),2))),"")</f>
        <v/>
      </c>
      <c r="AO96" s="821"/>
      <c r="AP96" s="821"/>
      <c r="AQ96" s="822"/>
      <c r="AU96" s="813" t="str">
        <f t="shared" si="117"/>
        <v/>
      </c>
      <c r="AV96" s="818" t="str">
        <f>IFERROR(IF(OR(I96="",Q96="",S96="",U96="",Y96="",AB96="",AE96="",AG96="",AK96=0),"",IF(ISNUMBER(SEARCH("Exterior",K96)),0,ROUND(((I96-Q96)*S96/1000)*INDEX(BUILDINGTYPE[Lighting Coincidence Factor],MATCH(M02S02F26,BUILDINGTYPE[Building Type],0)),3))),"")</f>
        <v/>
      </c>
      <c r="AW96" s="816" t="str">
        <f t="shared" si="118"/>
        <v/>
      </c>
      <c r="AX96" s="816" t="str">
        <f t="shared" si="119"/>
        <v/>
      </c>
      <c r="BC96" s="830" t="str">
        <f>IFERROR(IF(OR(C96="",I96="",K96="",Q96="",S96="",U96="",Y96="",AB96="",AE96="",AG96=""),"",IF(ISBLANK(M02S02F26),MEASUREBLDG,IF((I96*S96)&lt;=(Q96*S96),MEASURESAVE,""))),MEASURESUBMIT)</f>
        <v/>
      </c>
    </row>
    <row r="97" spans="2:55" ht="15.95" hidden="1" customHeight="1">
      <c r="B97" s="834"/>
      <c r="C97" s="840"/>
      <c r="D97" s="841"/>
      <c r="E97" s="841"/>
      <c r="F97" s="841"/>
      <c r="G97" s="841"/>
      <c r="H97" s="842"/>
      <c r="I97" s="845"/>
      <c r="J97" s="846"/>
      <c r="K97" s="848"/>
      <c r="L97" s="841"/>
      <c r="M97" s="841"/>
      <c r="N97" s="841"/>
      <c r="O97" s="841"/>
      <c r="P97" s="842"/>
      <c r="Q97" s="845"/>
      <c r="R97" s="850"/>
      <c r="S97" s="853"/>
      <c r="T97" s="854"/>
      <c r="U97" s="840"/>
      <c r="V97" s="841"/>
      <c r="W97" s="841"/>
      <c r="X97" s="842"/>
      <c r="Y97" s="856"/>
      <c r="Z97" s="841"/>
      <c r="AA97" s="842"/>
      <c r="AB97" s="853"/>
      <c r="AC97" s="858"/>
      <c r="AD97" s="854"/>
      <c r="AE97" s="861"/>
      <c r="AF97" s="862"/>
      <c r="AG97" s="865"/>
      <c r="AH97" s="875"/>
      <c r="AI97" s="869"/>
      <c r="AJ97" s="870"/>
      <c r="AK97" s="828"/>
      <c r="AL97" s="829"/>
      <c r="AM97" s="829"/>
      <c r="AN97" s="823"/>
      <c r="AO97" s="824"/>
      <c r="AP97" s="824"/>
      <c r="AQ97" s="825"/>
      <c r="AU97" s="814"/>
      <c r="AV97" s="819"/>
      <c r="AW97" s="817"/>
      <c r="AX97" s="817"/>
      <c r="BC97" s="831"/>
    </row>
    <row r="98" spans="2:55" ht="15.95" hidden="1" customHeight="1">
      <c r="B98" s="834">
        <v>42</v>
      </c>
      <c r="C98" s="837"/>
      <c r="D98" s="838"/>
      <c r="E98" s="838"/>
      <c r="F98" s="838"/>
      <c r="G98" s="838"/>
      <c r="H98" s="839"/>
      <c r="I98" s="843" t="str">
        <f>IFERROR(IF(C98="","",IF(INDEX(PMELIGHTTYPE[Base Autofill],MATCH(C98,PMELIGHTTYPE[Base Desc 1],0))="","",INDEX(PMELIGHTTYPE[Base Autofill],MATCH(C98,PMELIGHTTYPE[Base Desc 1],0)))),"")</f>
        <v/>
      </c>
      <c r="J98" s="844"/>
      <c r="K98" s="847"/>
      <c r="L98" s="838"/>
      <c r="M98" s="838"/>
      <c r="N98" s="838"/>
      <c r="O98" s="838"/>
      <c r="P98" s="839"/>
      <c r="Q98" s="843" t="str">
        <f t="shared" ref="Q98" si="220">IFERROR(IF(ISNUMBER(SEARCH("Removed",K98)),0,""),"")</f>
        <v/>
      </c>
      <c r="R98" s="849"/>
      <c r="S98" s="851"/>
      <c r="T98" s="852"/>
      <c r="U98" s="837"/>
      <c r="V98" s="838"/>
      <c r="W98" s="838"/>
      <c r="X98" s="839"/>
      <c r="Y98" s="855"/>
      <c r="Z98" s="838"/>
      <c r="AA98" s="839"/>
      <c r="AB98" s="851"/>
      <c r="AC98" s="857"/>
      <c r="AD98" s="852"/>
      <c r="AE98" s="859" t="str">
        <f t="shared" ref="AE98" si="221">IF(ISNUMBER(SEARCH("Removed",K98)),0,"")</f>
        <v/>
      </c>
      <c r="AF98" s="860"/>
      <c r="AG98" s="863"/>
      <c r="AH98" s="874"/>
      <c r="AI98" s="867" t="str">
        <f>IFERROR(IF(K98="","",IF(C98&lt;&gt;INDEX(PMELIGHT[Base Desc 1],MATCH(K98,PMELIGHT[Eff Desc 1],0)),0,INDEX(PMELIGHT[Inc Rate Unit],MATCH(K98,PMELIGHT[Eff Desc 1],0)))),"")</f>
        <v/>
      </c>
      <c r="AJ98" s="868"/>
      <c r="AK98" s="826" t="str">
        <f t="shared" ref="AK98" si="222">IFERROR(IF(OR(C98="",I98="",K98="",Q98="",S98="",U98="",Y98="",AB98="",AE98="",AG98=""),"",IFERROR(ROUND(IF(I98-Q98&lt;=0,0,(I98-Q98)*S98*AB98/1000),2),"")),"")</f>
        <v/>
      </c>
      <c r="AL98" s="827"/>
      <c r="AM98" s="827"/>
      <c r="AN98" s="820" t="str">
        <f t="shared" ref="AN98" si="223">IFERROR(IF(OR(C98="",I98="",K98="",Q98="",S98="",U98="",Y98="",AB98="",AE98="",AG98=""),"",IF(BC98&lt;&gt;"",BC98,ROUND(IF(I98-Q98&lt;=0,0,MIN(AU98,AI98*S98)),2))),"")</f>
        <v/>
      </c>
      <c r="AO98" s="821"/>
      <c r="AP98" s="821"/>
      <c r="AQ98" s="822"/>
      <c r="AU98" s="813" t="str">
        <f t="shared" si="117"/>
        <v/>
      </c>
      <c r="AV98" s="818" t="str">
        <f>IFERROR(IF(OR(I98="",Q98="",S98="",U98="",Y98="",AB98="",AE98="",AG98="",AK98=0),"",IF(ISNUMBER(SEARCH("Exterior",K98)),0,ROUND(((I98-Q98)*S98/1000)*INDEX(BUILDINGTYPE[Lighting Coincidence Factor],MATCH(M02S02F26,BUILDINGTYPE[Building Type],0)),3))),"")</f>
        <v/>
      </c>
      <c r="AW98" s="816" t="str">
        <f t="shared" si="118"/>
        <v/>
      </c>
      <c r="AX98" s="816" t="str">
        <f t="shared" si="119"/>
        <v/>
      </c>
      <c r="BC98" s="830" t="str">
        <f>IFERROR(IF(OR(C98="",I98="",K98="",Q98="",S98="",U98="",Y98="",AB98="",AE98="",AG98=""),"",IF(ISBLANK(M02S02F26),MEASUREBLDG,IF((I98*S98)&lt;=(Q98*S98),MEASURESAVE,""))),MEASURESUBMIT)</f>
        <v/>
      </c>
    </row>
    <row r="99" spans="2:55" ht="15.95" hidden="1" customHeight="1">
      <c r="B99" s="834"/>
      <c r="C99" s="840"/>
      <c r="D99" s="841"/>
      <c r="E99" s="841"/>
      <c r="F99" s="841"/>
      <c r="G99" s="841"/>
      <c r="H99" s="842"/>
      <c r="I99" s="845"/>
      <c r="J99" s="846"/>
      <c r="K99" s="848"/>
      <c r="L99" s="841"/>
      <c r="M99" s="841"/>
      <c r="N99" s="841"/>
      <c r="O99" s="841"/>
      <c r="P99" s="842"/>
      <c r="Q99" s="845"/>
      <c r="R99" s="850"/>
      <c r="S99" s="853"/>
      <c r="T99" s="854"/>
      <c r="U99" s="840"/>
      <c r="V99" s="841"/>
      <c r="W99" s="841"/>
      <c r="X99" s="842"/>
      <c r="Y99" s="856"/>
      <c r="Z99" s="841"/>
      <c r="AA99" s="842"/>
      <c r="AB99" s="853"/>
      <c r="AC99" s="858"/>
      <c r="AD99" s="854"/>
      <c r="AE99" s="861"/>
      <c r="AF99" s="862"/>
      <c r="AG99" s="865"/>
      <c r="AH99" s="875"/>
      <c r="AI99" s="869"/>
      <c r="AJ99" s="870"/>
      <c r="AK99" s="828"/>
      <c r="AL99" s="829"/>
      <c r="AM99" s="829"/>
      <c r="AN99" s="823"/>
      <c r="AO99" s="824"/>
      <c r="AP99" s="824"/>
      <c r="AQ99" s="825"/>
      <c r="AU99" s="814"/>
      <c r="AV99" s="819"/>
      <c r="AW99" s="817"/>
      <c r="AX99" s="817"/>
      <c r="BC99" s="831"/>
    </row>
    <row r="100" spans="2:55" ht="15.95" hidden="1" customHeight="1">
      <c r="B100" s="834">
        <v>43</v>
      </c>
      <c r="C100" s="837"/>
      <c r="D100" s="838"/>
      <c r="E100" s="838"/>
      <c r="F100" s="838"/>
      <c r="G100" s="838"/>
      <c r="H100" s="839"/>
      <c r="I100" s="843" t="str">
        <f>IFERROR(IF(C100="","",IF(INDEX(PMELIGHTTYPE[Base Autofill],MATCH(C100,PMELIGHTTYPE[Base Desc 1],0))="","",INDEX(PMELIGHTTYPE[Base Autofill],MATCH(C100,PMELIGHTTYPE[Base Desc 1],0)))),"")</f>
        <v/>
      </c>
      <c r="J100" s="844"/>
      <c r="K100" s="847"/>
      <c r="L100" s="838"/>
      <c r="M100" s="838"/>
      <c r="N100" s="838"/>
      <c r="O100" s="838"/>
      <c r="P100" s="839"/>
      <c r="Q100" s="843" t="str">
        <f t="shared" ref="Q100" si="224">IFERROR(IF(ISNUMBER(SEARCH("Removed",K100)),0,""),"")</f>
        <v/>
      </c>
      <c r="R100" s="849"/>
      <c r="S100" s="851"/>
      <c r="T100" s="852"/>
      <c r="U100" s="837"/>
      <c r="V100" s="838"/>
      <c r="W100" s="838"/>
      <c r="X100" s="839"/>
      <c r="Y100" s="855"/>
      <c r="Z100" s="838"/>
      <c r="AA100" s="839"/>
      <c r="AB100" s="851"/>
      <c r="AC100" s="857"/>
      <c r="AD100" s="852"/>
      <c r="AE100" s="859" t="str">
        <f t="shared" ref="AE100" si="225">IF(ISNUMBER(SEARCH("Removed",K100)),0,"")</f>
        <v/>
      </c>
      <c r="AF100" s="860"/>
      <c r="AG100" s="863"/>
      <c r="AH100" s="874"/>
      <c r="AI100" s="867" t="str">
        <f>IFERROR(IF(K100="","",IF(C100&lt;&gt;INDEX(PMELIGHT[Base Desc 1],MATCH(K100,PMELIGHT[Eff Desc 1],0)),0,INDEX(PMELIGHT[Inc Rate Unit],MATCH(K100,PMELIGHT[Eff Desc 1],0)))),"")</f>
        <v/>
      </c>
      <c r="AJ100" s="868"/>
      <c r="AK100" s="826" t="str">
        <f t="shared" ref="AK100" si="226">IFERROR(IF(OR(C100="",I100="",K100="",Q100="",S100="",U100="",Y100="",AB100="",AE100="",AG100=""),"",IFERROR(ROUND(IF(I100-Q100&lt;=0,0,(I100-Q100)*S100*AB100/1000),2),"")),"")</f>
        <v/>
      </c>
      <c r="AL100" s="827"/>
      <c r="AM100" s="827"/>
      <c r="AN100" s="820" t="str">
        <f t="shared" ref="AN100" si="227">IFERROR(IF(OR(C100="",I100="",K100="",Q100="",S100="",U100="",Y100="",AB100="",AE100="",AG100=""),"",IF(BC100&lt;&gt;"",BC100,ROUND(IF(I100-Q100&lt;=0,0,MIN(AU100,AI100*S100)),2))),"")</f>
        <v/>
      </c>
      <c r="AO100" s="821"/>
      <c r="AP100" s="821"/>
      <c r="AQ100" s="822"/>
      <c r="AU100" s="813" t="str">
        <f t="shared" si="117"/>
        <v/>
      </c>
      <c r="AV100" s="818" t="str">
        <f>IFERROR(IF(OR(I100="",Q100="",S100="",U100="",Y100="",AB100="",AE100="",AG100="",AK100=0),"",IF(ISNUMBER(SEARCH("Exterior",K100)),0,ROUND(((I100-Q100)*S100/1000)*INDEX(BUILDINGTYPE[Lighting Coincidence Factor],MATCH(M02S02F26,BUILDINGTYPE[Building Type],0)),3))),"")</f>
        <v/>
      </c>
      <c r="AW100" s="816" t="str">
        <f t="shared" si="118"/>
        <v/>
      </c>
      <c r="AX100" s="816" t="str">
        <f t="shared" si="119"/>
        <v/>
      </c>
      <c r="BC100" s="830" t="str">
        <f>IFERROR(IF(OR(C100="",I100="",K100="",Q100="",S100="",U100="",Y100="",AB100="",AE100="",AG100=""),"",IF(ISBLANK(M02S02F26),MEASUREBLDG,IF((I100*S100)&lt;=(Q100*S100),MEASURESAVE,""))),MEASURESUBMIT)</f>
        <v/>
      </c>
    </row>
    <row r="101" spans="2:55" ht="15.95" hidden="1" customHeight="1">
      <c r="B101" s="834"/>
      <c r="C101" s="840"/>
      <c r="D101" s="841"/>
      <c r="E101" s="841"/>
      <c r="F101" s="841"/>
      <c r="G101" s="841"/>
      <c r="H101" s="842"/>
      <c r="I101" s="845"/>
      <c r="J101" s="846"/>
      <c r="K101" s="848"/>
      <c r="L101" s="841"/>
      <c r="M101" s="841"/>
      <c r="N101" s="841"/>
      <c r="O101" s="841"/>
      <c r="P101" s="842"/>
      <c r="Q101" s="845"/>
      <c r="R101" s="850"/>
      <c r="S101" s="853"/>
      <c r="T101" s="854"/>
      <c r="U101" s="840"/>
      <c r="V101" s="841"/>
      <c r="W101" s="841"/>
      <c r="X101" s="842"/>
      <c r="Y101" s="856"/>
      <c r="Z101" s="841"/>
      <c r="AA101" s="842"/>
      <c r="AB101" s="853"/>
      <c r="AC101" s="858"/>
      <c r="AD101" s="854"/>
      <c r="AE101" s="861"/>
      <c r="AF101" s="862"/>
      <c r="AG101" s="865"/>
      <c r="AH101" s="875"/>
      <c r="AI101" s="869"/>
      <c r="AJ101" s="870"/>
      <c r="AK101" s="828"/>
      <c r="AL101" s="829"/>
      <c r="AM101" s="829"/>
      <c r="AN101" s="823"/>
      <c r="AO101" s="824"/>
      <c r="AP101" s="824"/>
      <c r="AQ101" s="825"/>
      <c r="AU101" s="814"/>
      <c r="AV101" s="819"/>
      <c r="AW101" s="817"/>
      <c r="AX101" s="817"/>
      <c r="BC101" s="831"/>
    </row>
    <row r="102" spans="2:55" ht="15.95" hidden="1" customHeight="1">
      <c r="B102" s="834">
        <v>44</v>
      </c>
      <c r="C102" s="837"/>
      <c r="D102" s="838"/>
      <c r="E102" s="838"/>
      <c r="F102" s="838"/>
      <c r="G102" s="838"/>
      <c r="H102" s="839"/>
      <c r="I102" s="843" t="str">
        <f>IFERROR(IF(C102="","",IF(INDEX(PMELIGHTTYPE[Base Autofill],MATCH(C102,PMELIGHTTYPE[Base Desc 1],0))="","",INDEX(PMELIGHTTYPE[Base Autofill],MATCH(C102,PMELIGHTTYPE[Base Desc 1],0)))),"")</f>
        <v/>
      </c>
      <c r="J102" s="844"/>
      <c r="K102" s="847"/>
      <c r="L102" s="838"/>
      <c r="M102" s="838"/>
      <c r="N102" s="838"/>
      <c r="O102" s="838"/>
      <c r="P102" s="839"/>
      <c r="Q102" s="843" t="str">
        <f t="shared" ref="Q102" si="228">IFERROR(IF(ISNUMBER(SEARCH("Removed",K102)),0,""),"")</f>
        <v/>
      </c>
      <c r="R102" s="849"/>
      <c r="S102" s="851"/>
      <c r="T102" s="852"/>
      <c r="U102" s="837"/>
      <c r="V102" s="838"/>
      <c r="W102" s="838"/>
      <c r="X102" s="839"/>
      <c r="Y102" s="855"/>
      <c r="Z102" s="838"/>
      <c r="AA102" s="839"/>
      <c r="AB102" s="851"/>
      <c r="AC102" s="857"/>
      <c r="AD102" s="852"/>
      <c r="AE102" s="859" t="str">
        <f t="shared" ref="AE102" si="229">IF(ISNUMBER(SEARCH("Removed",K102)),0,"")</f>
        <v/>
      </c>
      <c r="AF102" s="860"/>
      <c r="AG102" s="863"/>
      <c r="AH102" s="874"/>
      <c r="AI102" s="867" t="str">
        <f>IFERROR(IF(K102="","",IF(C102&lt;&gt;INDEX(PMELIGHT[Base Desc 1],MATCH(K102,PMELIGHT[Eff Desc 1],0)),0,INDEX(PMELIGHT[Inc Rate Unit],MATCH(K102,PMELIGHT[Eff Desc 1],0)))),"")</f>
        <v/>
      </c>
      <c r="AJ102" s="868"/>
      <c r="AK102" s="826" t="str">
        <f t="shared" ref="AK102" si="230">IFERROR(IF(OR(C102="",I102="",K102="",Q102="",S102="",U102="",Y102="",AB102="",AE102="",AG102=""),"",IFERROR(ROUND(IF(I102-Q102&lt;=0,0,(I102-Q102)*S102*AB102/1000),2),"")),"")</f>
        <v/>
      </c>
      <c r="AL102" s="827"/>
      <c r="AM102" s="827"/>
      <c r="AN102" s="820" t="str">
        <f t="shared" ref="AN102" si="231">IFERROR(IF(OR(C102="",I102="",K102="",Q102="",S102="",U102="",Y102="",AB102="",AE102="",AG102=""),"",IF(BC102&lt;&gt;"",BC102,ROUND(IF(I102-Q102&lt;=0,0,MIN(AU102,AI102*S102)),2))),"")</f>
        <v/>
      </c>
      <c r="AO102" s="821"/>
      <c r="AP102" s="821"/>
      <c r="AQ102" s="822"/>
      <c r="AU102" s="813" t="str">
        <f t="shared" si="117"/>
        <v/>
      </c>
      <c r="AV102" s="818" t="str">
        <f>IFERROR(IF(OR(I102="",Q102="",S102="",U102="",Y102="",AB102="",AE102="",AG102="",AK102=0),"",IF(ISNUMBER(SEARCH("Exterior",K102)),0,ROUND(((I102-Q102)*S102/1000)*INDEX(BUILDINGTYPE[Lighting Coincidence Factor],MATCH(M02S02F26,BUILDINGTYPE[Building Type],0)),3))),"")</f>
        <v/>
      </c>
      <c r="AW102" s="816" t="str">
        <f t="shared" si="118"/>
        <v/>
      </c>
      <c r="AX102" s="816" t="str">
        <f t="shared" si="119"/>
        <v/>
      </c>
      <c r="BC102" s="830" t="str">
        <f>IFERROR(IF(OR(C102="",I102="",K102="",Q102="",S102="",U102="",Y102="",AB102="",AE102="",AG102=""),"",IF(ISBLANK(M02S02F26),MEASUREBLDG,IF((I102*S102)&lt;=(Q102*S102),MEASURESAVE,""))),MEASURESUBMIT)</f>
        <v/>
      </c>
    </row>
    <row r="103" spans="2:55" ht="15.95" hidden="1" customHeight="1">
      <c r="B103" s="834"/>
      <c r="C103" s="840"/>
      <c r="D103" s="841"/>
      <c r="E103" s="841"/>
      <c r="F103" s="841"/>
      <c r="G103" s="841"/>
      <c r="H103" s="842"/>
      <c r="I103" s="845"/>
      <c r="J103" s="846"/>
      <c r="K103" s="848"/>
      <c r="L103" s="841"/>
      <c r="M103" s="841"/>
      <c r="N103" s="841"/>
      <c r="O103" s="841"/>
      <c r="P103" s="842"/>
      <c r="Q103" s="845"/>
      <c r="R103" s="850"/>
      <c r="S103" s="853"/>
      <c r="T103" s="854"/>
      <c r="U103" s="840"/>
      <c r="V103" s="841"/>
      <c r="W103" s="841"/>
      <c r="X103" s="842"/>
      <c r="Y103" s="856"/>
      <c r="Z103" s="841"/>
      <c r="AA103" s="842"/>
      <c r="AB103" s="853"/>
      <c r="AC103" s="858"/>
      <c r="AD103" s="854"/>
      <c r="AE103" s="861"/>
      <c r="AF103" s="862"/>
      <c r="AG103" s="865"/>
      <c r="AH103" s="875"/>
      <c r="AI103" s="869"/>
      <c r="AJ103" s="870"/>
      <c r="AK103" s="828"/>
      <c r="AL103" s="829"/>
      <c r="AM103" s="829"/>
      <c r="AN103" s="823"/>
      <c r="AO103" s="824"/>
      <c r="AP103" s="824"/>
      <c r="AQ103" s="825"/>
      <c r="AU103" s="814"/>
      <c r="AV103" s="819"/>
      <c r="AW103" s="817"/>
      <c r="AX103" s="817"/>
      <c r="BC103" s="831"/>
    </row>
    <row r="104" spans="2:55" ht="15.95" hidden="1" customHeight="1">
      <c r="B104" s="834">
        <v>45</v>
      </c>
      <c r="C104" s="837"/>
      <c r="D104" s="838"/>
      <c r="E104" s="838"/>
      <c r="F104" s="838"/>
      <c r="G104" s="838"/>
      <c r="H104" s="839"/>
      <c r="I104" s="843" t="str">
        <f>IFERROR(IF(C104="","",IF(INDEX(PMELIGHTTYPE[Base Autofill],MATCH(C104,PMELIGHTTYPE[Base Desc 1],0))="","",INDEX(PMELIGHTTYPE[Base Autofill],MATCH(C104,PMELIGHTTYPE[Base Desc 1],0)))),"")</f>
        <v/>
      </c>
      <c r="J104" s="844"/>
      <c r="K104" s="847"/>
      <c r="L104" s="838"/>
      <c r="M104" s="838"/>
      <c r="N104" s="838"/>
      <c r="O104" s="838"/>
      <c r="P104" s="839"/>
      <c r="Q104" s="843" t="str">
        <f t="shared" ref="Q104" si="232">IFERROR(IF(ISNUMBER(SEARCH("Removed",K104)),0,""),"")</f>
        <v/>
      </c>
      <c r="R104" s="849"/>
      <c r="S104" s="851"/>
      <c r="T104" s="852"/>
      <c r="U104" s="837"/>
      <c r="V104" s="838"/>
      <c r="W104" s="838"/>
      <c r="X104" s="839"/>
      <c r="Y104" s="855"/>
      <c r="Z104" s="838"/>
      <c r="AA104" s="839"/>
      <c r="AB104" s="851"/>
      <c r="AC104" s="857"/>
      <c r="AD104" s="852"/>
      <c r="AE104" s="859"/>
      <c r="AF104" s="860"/>
      <c r="AG104" s="863"/>
      <c r="AH104" s="874"/>
      <c r="AI104" s="867" t="str">
        <f>IFERROR(IF(K104="","",IF(C104&lt;&gt;INDEX(PMELIGHT[Base Desc 1],MATCH(K104,PMELIGHT[Eff Desc 1],0)),0,INDEX(PMELIGHT[Inc Rate Unit],MATCH(K104,PMELIGHT[Eff Desc 1],0)))),"")</f>
        <v/>
      </c>
      <c r="AJ104" s="868"/>
      <c r="AK104" s="826" t="str">
        <f t="shared" ref="AK104" si="233">IFERROR(IF(OR(C104="",I104="",K104="",Q104="",S104="",U104="",Y104="",AB104="",AE104="",AG104=""),"",IFERROR(ROUND(IF(I104-Q104&lt;=0,0,(I104-Q104)*S104*AB104/1000),2),"")),"")</f>
        <v/>
      </c>
      <c r="AL104" s="827"/>
      <c r="AM104" s="827"/>
      <c r="AN104" s="820" t="str">
        <f t="shared" ref="AN104" si="234">IFERROR(IF(OR(C104="",I104="",K104="",Q104="",S104="",U104="",Y104="",AB104="",AE104="",AG104=""),"",IF(BC104&lt;&gt;"",BC104,ROUND(IF(I104-Q104&lt;=0,0,MIN(AU104,AI104*S104)),2))),"")</f>
        <v/>
      </c>
      <c r="AO104" s="821"/>
      <c r="AP104" s="821"/>
      <c r="AQ104" s="822"/>
      <c r="AU104" s="813" t="str">
        <f t="shared" si="117"/>
        <v/>
      </c>
      <c r="AV104" s="818" t="str">
        <f>IFERROR(IF(OR(I104="",Q104="",S104="",U104="",Y104="",AB104="",AE104="",AG104="",AK104=0),"",IF(ISNUMBER(SEARCH("Exterior",K104)),0,ROUND(((I104-Q104)*S104/1000)*INDEX(BUILDINGTYPE[Lighting Coincidence Factor],MATCH(M02S02F26,BUILDINGTYPE[Building Type],0)),3))),"")</f>
        <v/>
      </c>
      <c r="AW104" s="816" t="str">
        <f t="shared" si="118"/>
        <v/>
      </c>
      <c r="AX104" s="816" t="str">
        <f t="shared" si="119"/>
        <v/>
      </c>
      <c r="BC104" s="830" t="str">
        <f>IFERROR(IF(OR(C104="",I104="",K104="",Q104="",S104="",U104="",Y104="",AB104="",AE104="",AG104=""),"",IF(ISBLANK(M02S02F26),MEASUREBLDG,IF((I104*S104)&lt;=(Q104*S104),MEASURESAVE,""))),MEASURESUBMIT)</f>
        <v/>
      </c>
    </row>
    <row r="105" spans="2:55" ht="15.95" hidden="1" customHeight="1">
      <c r="B105" s="834"/>
      <c r="C105" s="840"/>
      <c r="D105" s="841"/>
      <c r="E105" s="841"/>
      <c r="F105" s="841"/>
      <c r="G105" s="841"/>
      <c r="H105" s="842"/>
      <c r="I105" s="845"/>
      <c r="J105" s="846"/>
      <c r="K105" s="848"/>
      <c r="L105" s="841"/>
      <c r="M105" s="841"/>
      <c r="N105" s="841"/>
      <c r="O105" s="841"/>
      <c r="P105" s="842"/>
      <c r="Q105" s="845"/>
      <c r="R105" s="850"/>
      <c r="S105" s="853"/>
      <c r="T105" s="854"/>
      <c r="U105" s="840"/>
      <c r="V105" s="841"/>
      <c r="W105" s="841"/>
      <c r="X105" s="842"/>
      <c r="Y105" s="856"/>
      <c r="Z105" s="841"/>
      <c r="AA105" s="842"/>
      <c r="AB105" s="853"/>
      <c r="AC105" s="858"/>
      <c r="AD105" s="854"/>
      <c r="AE105" s="861"/>
      <c r="AF105" s="862"/>
      <c r="AG105" s="865"/>
      <c r="AH105" s="875"/>
      <c r="AI105" s="869"/>
      <c r="AJ105" s="870"/>
      <c r="AK105" s="828"/>
      <c r="AL105" s="829"/>
      <c r="AM105" s="829"/>
      <c r="AN105" s="823"/>
      <c r="AO105" s="824"/>
      <c r="AP105" s="824"/>
      <c r="AQ105" s="825"/>
      <c r="AU105" s="814"/>
      <c r="AV105" s="819"/>
      <c r="AW105" s="817"/>
      <c r="AX105" s="817"/>
      <c r="BC105" s="831"/>
    </row>
    <row r="106" spans="2:55" ht="15.95" hidden="1" customHeight="1">
      <c r="B106" s="834">
        <v>46</v>
      </c>
      <c r="C106" s="837"/>
      <c r="D106" s="838"/>
      <c r="E106" s="838"/>
      <c r="F106" s="838"/>
      <c r="G106" s="838"/>
      <c r="H106" s="839"/>
      <c r="I106" s="843" t="str">
        <f>IFERROR(IF(C106="","",IF(INDEX(PMELIGHTTYPE[Base Autofill],MATCH(C106,PMELIGHTTYPE[Base Desc 1],0))="","",INDEX(PMELIGHTTYPE[Base Autofill],MATCH(C106,PMELIGHTTYPE[Base Desc 1],0)))),"")</f>
        <v/>
      </c>
      <c r="J106" s="844"/>
      <c r="K106" s="847"/>
      <c r="L106" s="838"/>
      <c r="M106" s="838"/>
      <c r="N106" s="838"/>
      <c r="O106" s="838"/>
      <c r="P106" s="839"/>
      <c r="Q106" s="843" t="str">
        <f t="shared" ref="Q106" si="235">IFERROR(IF(ISNUMBER(SEARCH("Removed",K106)),0,""),"")</f>
        <v/>
      </c>
      <c r="R106" s="849"/>
      <c r="S106" s="851"/>
      <c r="T106" s="852"/>
      <c r="U106" s="837"/>
      <c r="V106" s="838"/>
      <c r="W106" s="838"/>
      <c r="X106" s="839"/>
      <c r="Y106" s="855"/>
      <c r="Z106" s="838"/>
      <c r="AA106" s="839"/>
      <c r="AB106" s="851"/>
      <c r="AC106" s="857"/>
      <c r="AD106" s="852"/>
      <c r="AE106" s="859" t="str">
        <f t="shared" ref="AE106" si="236">IF(ISNUMBER(SEARCH("Removed",K106)),0,"")</f>
        <v/>
      </c>
      <c r="AF106" s="860"/>
      <c r="AG106" s="863"/>
      <c r="AH106" s="874"/>
      <c r="AI106" s="867" t="str">
        <f>IFERROR(IF(K106="","",IF(C106&lt;&gt;INDEX(PMELIGHT[Base Desc 1],MATCH(K106,PMELIGHT[Eff Desc 1],0)),0,INDEX(PMELIGHT[Inc Rate Unit],MATCH(K106,PMELIGHT[Eff Desc 1],0)))),"")</f>
        <v/>
      </c>
      <c r="AJ106" s="868"/>
      <c r="AK106" s="826" t="str">
        <f t="shared" ref="AK106" si="237">IFERROR(IF(OR(C106="",I106="",K106="",Q106="",S106="",U106="",Y106="",AB106="",AE106="",AG106=""),"",IFERROR(ROUND(IF(I106-Q106&lt;=0,0,(I106-Q106)*S106*AB106/1000),2),"")),"")</f>
        <v/>
      </c>
      <c r="AL106" s="827"/>
      <c r="AM106" s="827"/>
      <c r="AN106" s="820" t="str">
        <f t="shared" ref="AN106" si="238">IFERROR(IF(OR(C106="",I106="",K106="",Q106="",S106="",U106="",Y106="",AB106="",AE106="",AG106=""),"",IF(BC106&lt;&gt;"",BC106,ROUND(IF(I106-Q106&lt;=0,0,MIN(AU106,AI106*S106)),2))),"")</f>
        <v/>
      </c>
      <c r="AO106" s="821"/>
      <c r="AP106" s="821"/>
      <c r="AQ106" s="822"/>
      <c r="AU106" s="813" t="str">
        <f t="shared" si="117"/>
        <v/>
      </c>
      <c r="AV106" s="818" t="str">
        <f>IFERROR(IF(OR(I106="",Q106="",S106="",U106="",Y106="",AB106="",AE106="",AG106="",AK106=0),"",IF(ISNUMBER(SEARCH("Exterior",K106)),0,ROUND(((I106-Q106)*S106/1000)*INDEX(BUILDINGTYPE[Lighting Coincidence Factor],MATCH(M02S02F26,BUILDINGTYPE[Building Type],0)),3))),"")</f>
        <v/>
      </c>
      <c r="AW106" s="816" t="str">
        <f t="shared" si="118"/>
        <v/>
      </c>
      <c r="AX106" s="816" t="str">
        <f t="shared" si="119"/>
        <v/>
      </c>
      <c r="BC106" s="830" t="str">
        <f>IFERROR(IF(OR(C106="",I106="",K106="",Q106="",S106="",U106="",Y106="",AB106="",AE106="",AG106=""),"",IF(ISBLANK(M02S02F26),MEASUREBLDG,IF((I106*S106)&lt;=(Q106*S106),MEASURESAVE,""))),MEASURESUBMIT)</f>
        <v/>
      </c>
    </row>
    <row r="107" spans="2:55" ht="15.95" hidden="1" customHeight="1">
      <c r="B107" s="834"/>
      <c r="C107" s="840"/>
      <c r="D107" s="841"/>
      <c r="E107" s="841"/>
      <c r="F107" s="841"/>
      <c r="G107" s="841"/>
      <c r="H107" s="842"/>
      <c r="I107" s="845"/>
      <c r="J107" s="846"/>
      <c r="K107" s="848"/>
      <c r="L107" s="841"/>
      <c r="M107" s="841"/>
      <c r="N107" s="841"/>
      <c r="O107" s="841"/>
      <c r="P107" s="842"/>
      <c r="Q107" s="845"/>
      <c r="R107" s="850"/>
      <c r="S107" s="853"/>
      <c r="T107" s="854"/>
      <c r="U107" s="840"/>
      <c r="V107" s="841"/>
      <c r="W107" s="841"/>
      <c r="X107" s="842"/>
      <c r="Y107" s="856"/>
      <c r="Z107" s="841"/>
      <c r="AA107" s="842"/>
      <c r="AB107" s="853"/>
      <c r="AC107" s="858"/>
      <c r="AD107" s="854"/>
      <c r="AE107" s="861"/>
      <c r="AF107" s="862"/>
      <c r="AG107" s="865"/>
      <c r="AH107" s="875"/>
      <c r="AI107" s="869"/>
      <c r="AJ107" s="870"/>
      <c r="AK107" s="828"/>
      <c r="AL107" s="829"/>
      <c r="AM107" s="829"/>
      <c r="AN107" s="823"/>
      <c r="AO107" s="824"/>
      <c r="AP107" s="824"/>
      <c r="AQ107" s="825"/>
      <c r="AU107" s="814"/>
      <c r="AV107" s="819"/>
      <c r="AW107" s="817"/>
      <c r="AX107" s="817"/>
      <c r="BC107" s="831"/>
    </row>
    <row r="108" spans="2:55" ht="15.95" hidden="1" customHeight="1">
      <c r="B108" s="834">
        <v>47</v>
      </c>
      <c r="C108" s="837"/>
      <c r="D108" s="838"/>
      <c r="E108" s="838"/>
      <c r="F108" s="838"/>
      <c r="G108" s="838"/>
      <c r="H108" s="839"/>
      <c r="I108" s="843" t="str">
        <f>IFERROR(IF(C108="","",IF(INDEX(PMELIGHTTYPE[Base Autofill],MATCH(C108,PMELIGHTTYPE[Base Desc 1],0))="","",INDEX(PMELIGHTTYPE[Base Autofill],MATCH(C108,PMELIGHTTYPE[Base Desc 1],0)))),"")</f>
        <v/>
      </c>
      <c r="J108" s="844"/>
      <c r="K108" s="847"/>
      <c r="L108" s="838"/>
      <c r="M108" s="838"/>
      <c r="N108" s="838"/>
      <c r="O108" s="838"/>
      <c r="P108" s="839"/>
      <c r="Q108" s="843" t="str">
        <f t="shared" ref="Q108" si="239">IFERROR(IF(ISNUMBER(SEARCH("Removed",K108)),0,""),"")</f>
        <v/>
      </c>
      <c r="R108" s="849"/>
      <c r="S108" s="851"/>
      <c r="T108" s="852"/>
      <c r="U108" s="837"/>
      <c r="V108" s="838"/>
      <c r="W108" s="838"/>
      <c r="X108" s="839"/>
      <c r="Y108" s="855"/>
      <c r="Z108" s="838"/>
      <c r="AA108" s="839"/>
      <c r="AB108" s="851"/>
      <c r="AC108" s="857"/>
      <c r="AD108" s="852"/>
      <c r="AE108" s="859" t="str">
        <f t="shared" ref="AE108" si="240">IF(ISNUMBER(SEARCH("Removed",K108)),0,"")</f>
        <v/>
      </c>
      <c r="AF108" s="860"/>
      <c r="AG108" s="863"/>
      <c r="AH108" s="874"/>
      <c r="AI108" s="867" t="str">
        <f>IFERROR(IF(K108="","",IF(C108&lt;&gt;INDEX(PMELIGHT[Base Desc 1],MATCH(K108,PMELIGHT[Eff Desc 1],0)),0,INDEX(PMELIGHT[Inc Rate Unit],MATCH(K108,PMELIGHT[Eff Desc 1],0)))),"")</f>
        <v/>
      </c>
      <c r="AJ108" s="868"/>
      <c r="AK108" s="826" t="str">
        <f t="shared" ref="AK108" si="241">IFERROR(IF(OR(C108="",I108="",K108="",Q108="",S108="",U108="",Y108="",AB108="",AE108="",AG108=""),"",IFERROR(ROUND(IF(I108-Q108&lt;=0,0,(I108-Q108)*S108*AB108/1000),2),"")),"")</f>
        <v/>
      </c>
      <c r="AL108" s="827"/>
      <c r="AM108" s="827"/>
      <c r="AN108" s="820" t="str">
        <f t="shared" ref="AN108" si="242">IFERROR(IF(OR(C108="",I108="",K108="",Q108="",S108="",U108="",Y108="",AB108="",AE108="",AG108=""),"",IF(BC108&lt;&gt;"",BC108,ROUND(IF(I108-Q108&lt;=0,0,MIN(AU108,AI108*S108)),2))),"")</f>
        <v/>
      </c>
      <c r="AO108" s="821"/>
      <c r="AP108" s="821"/>
      <c r="AQ108" s="822"/>
      <c r="AU108" s="813" t="str">
        <f t="shared" ref="AU108" si="243">IF(OR(I108="",Q108="",S108="",U108="",Y108="",AB108="",AE108="",AG108=""),"",IF(AK108=0,"",(ROUND((AE108+AG108)*S108,2))))</f>
        <v/>
      </c>
      <c r="AV108" s="818" t="str">
        <f>IFERROR(IF(OR(I108="",Q108="",S108="",U108="",Y108="",AB108="",AE108="",AG108="",AK108=0),"",IF(ISNUMBER(SEARCH("Exterior",K108)),0,ROUND(((I108-Q108)*S108/1000)*INDEX(BUILDINGTYPE[Lighting Coincidence Factor],MATCH(M02S02F26,BUILDINGTYPE[Building Type],0)),3))),"")</f>
        <v/>
      </c>
      <c r="AW108" s="816" t="str">
        <f t="shared" ref="AW108" si="244">IF(OR(I108="",Q108="",S108="",U108="",Y108="",AB108="",AE108="",AG108=""),"",ROUND(I108*S108*AB108/1000,2))</f>
        <v/>
      </c>
      <c r="AX108" s="816" t="str">
        <f t="shared" ref="AX108" si="245">IF(OR(I108="",Q108="",S108="",U108="",Y108="",AB108="",AE108="",AG108=""),"",ROUND(Q108*S108*AB108/1000,2))</f>
        <v/>
      </c>
      <c r="BC108" s="830" t="str">
        <f>IFERROR(IF(OR(C108="",I108="",K108="",Q108="",S108="",U108="",Y108="",AB108="",AE108="",AG108=""),"",IF(ISBLANK(M02S02F26),MEASUREBLDG,IF((I108*S108)&lt;=(Q108*S108),MEASURESAVE,""))),MEASURESUBMIT)</f>
        <v/>
      </c>
    </row>
    <row r="109" spans="2:55" ht="15.95" hidden="1" customHeight="1">
      <c r="B109" s="834"/>
      <c r="C109" s="840"/>
      <c r="D109" s="841"/>
      <c r="E109" s="841"/>
      <c r="F109" s="841"/>
      <c r="G109" s="841"/>
      <c r="H109" s="842"/>
      <c r="I109" s="845"/>
      <c r="J109" s="846"/>
      <c r="K109" s="848"/>
      <c r="L109" s="841"/>
      <c r="M109" s="841"/>
      <c r="N109" s="841"/>
      <c r="O109" s="841"/>
      <c r="P109" s="842"/>
      <c r="Q109" s="845"/>
      <c r="R109" s="850"/>
      <c r="S109" s="853"/>
      <c r="T109" s="854"/>
      <c r="U109" s="840"/>
      <c r="V109" s="841"/>
      <c r="W109" s="841"/>
      <c r="X109" s="842"/>
      <c r="Y109" s="856"/>
      <c r="Z109" s="841"/>
      <c r="AA109" s="842"/>
      <c r="AB109" s="853"/>
      <c r="AC109" s="858"/>
      <c r="AD109" s="854"/>
      <c r="AE109" s="861"/>
      <c r="AF109" s="862"/>
      <c r="AG109" s="865"/>
      <c r="AH109" s="875"/>
      <c r="AI109" s="869"/>
      <c r="AJ109" s="870"/>
      <c r="AK109" s="828"/>
      <c r="AL109" s="829"/>
      <c r="AM109" s="829"/>
      <c r="AN109" s="823"/>
      <c r="AO109" s="824"/>
      <c r="AP109" s="824"/>
      <c r="AQ109" s="825"/>
      <c r="AU109" s="814"/>
      <c r="AV109" s="819"/>
      <c r="AW109" s="817"/>
      <c r="AX109" s="817"/>
      <c r="BC109" s="831"/>
    </row>
    <row r="110" spans="2:55" ht="15.95" hidden="1" customHeight="1">
      <c r="B110" s="834">
        <v>48</v>
      </c>
      <c r="C110" s="837">
        <f ca="1">IF(SUM(BG14:BG111)=0,0,INDEX(PMEBONUS[],6,3))</f>
        <v>0</v>
      </c>
      <c r="D110" s="838"/>
      <c r="E110" s="838"/>
      <c r="F110" s="838"/>
      <c r="G110" s="838"/>
      <c r="H110" s="839"/>
      <c r="I110" s="843" t="str">
        <f ca="1">IFERROR(IF(C110="","",IF(INDEX(PMELIGHTTYPE[Base Autofill],MATCH(C110,PMELIGHTTYPE[Base Desc 1],0))="","",INDEX(PMELIGHTTYPE[Base Autofill],MATCH(C110,PMELIGHTTYPE[Base Desc 1],0)))),"")</f>
        <v/>
      </c>
      <c r="J110" s="844"/>
      <c r="K110" s="847">
        <f ca="1">IF(SUM(BE14:BE109)=0,0,INDEX(PMEBONUS[],1,30))</f>
        <v>0</v>
      </c>
      <c r="L110" s="838"/>
      <c r="M110" s="838"/>
      <c r="N110" s="838"/>
      <c r="O110" s="838"/>
      <c r="P110" s="839"/>
      <c r="Q110" s="843" t="str">
        <f t="shared" ref="Q110" ca="1" si="246">IFERROR(IF(ISNUMBER(SEARCH("Removed",K110)),0,""),"")</f>
        <v/>
      </c>
      <c r="R110" s="849"/>
      <c r="S110" s="876">
        <f ca="1">IF(K110=0,0,1)</f>
        <v>0</v>
      </c>
      <c r="T110" s="877"/>
      <c r="U110" s="837"/>
      <c r="V110" s="838"/>
      <c r="W110" s="838"/>
      <c r="X110" s="839"/>
      <c r="Y110" s="855"/>
      <c r="Z110" s="838"/>
      <c r="AA110" s="839"/>
      <c r="AB110" s="851"/>
      <c r="AC110" s="857"/>
      <c r="AD110" s="852"/>
      <c r="AE110" s="859" t="str">
        <f t="shared" ref="AE110" ca="1" si="247">IF(ISNUMBER(SEARCH("Removed",K110)),0,"")</f>
        <v/>
      </c>
      <c r="AF110" s="860"/>
      <c r="AG110" s="863"/>
      <c r="AH110" s="874"/>
      <c r="AI110" s="867" t="str">
        <f ca="1">IFERROR(IF(K110="","",IF(C110&lt;&gt;INDEX(PMELIGHT[Base Desc 1],MATCH(K110,PMELIGHT[Eff Desc 1],0)),0,INDEX(PMELIGHT[Inc Rate Unit],MATCH(K110,PMELIGHT[Eff Desc 1],0)))),"")</f>
        <v/>
      </c>
      <c r="AJ110" s="868"/>
      <c r="AK110" s="826" t="str">
        <f t="shared" ref="AK110" ca="1" si="248">IFERROR(IF(OR(C110="",I110="",K110="",Q110="",S110="",U110="",Y110="",AB110="",AE110="",AG110=""),"",IFERROR(ROUND(IF(I110-Q110&lt;=0,0,(I110-Q110)*S110*AB110/1000),2),"")),"")</f>
        <v/>
      </c>
      <c r="AL110" s="827"/>
      <c r="AM110" s="827"/>
      <c r="AN110" s="820">
        <f ca="1">IF(AY110="",0,AY110)</f>
        <v>0</v>
      </c>
      <c r="AO110" s="821"/>
      <c r="AP110" s="821"/>
      <c r="AQ110" s="822"/>
      <c r="AU110" s="813" t="str">
        <f t="shared" ref="AU110" ca="1" si="249">IF(OR(I110="",Q110="",S110="",U110="",Y110="",AB110="",AE110="",AG110=""),"",IF(AK110=0,"",(ROUND((AE110+AG110)*S110,2))))</f>
        <v/>
      </c>
      <c r="AV110" s="818" t="str">
        <f ca="1">IFERROR(IF(OR(I110="",Q110="",S110="",U110="",Y110="",AB110="",AE110="",AG110="",AK110=0),"",IF(ISNUMBER(SEARCH("Exterior",K110)),0,ROUND(((I110-Q110)*S110/1000)*INDEX(BUILDINGTYPE[Lighting Coincidence Factor],MATCH(M02S02F26,BUILDINGTYPE[Building Type],0)),3))),"")</f>
        <v/>
      </c>
      <c r="AW110" s="816" t="str">
        <f t="shared" ref="AW110" ca="1" si="250">IF(OR(I110="",Q110="",S110="",U110="",Y110="",AB110="",AE110="",AG110=""),"",ROUND(I110*S110*AB110/1000,2))</f>
        <v/>
      </c>
      <c r="AX110" s="816" t="str">
        <f t="shared" ref="AX110" ca="1" si="251">IF(OR(I110="",Q110="",S110="",U110="",Y110="",AB110="",AE110="",AG110=""),"",ROUND(Q110*S110*AB110/1000,2))</f>
        <v/>
      </c>
      <c r="AY110" s="813" t="str">
        <f ca="1">IFERROR(IF(OR(C110="",K110="",SUM(AK14:AM109)=0,SUM(BG14:BG109)=0),"",SUM(BG14:BG109)),"")</f>
        <v/>
      </c>
      <c r="BC110" s="830" t="str">
        <f ca="1">IFERROR(IF(OR(C110="",I110="",K110="",Q110="",S110="",U110="",Y110="",AB110="",AE110="",AG110=""),"",IF(ISBLANK(M02S02F26),MEASUREBLDG,IF((I110*S110)&lt;=(Q110*S110),MEASURESAVE,""))),MEASURESUBMIT)</f>
        <v/>
      </c>
    </row>
    <row r="111" spans="2:55" ht="15.95" hidden="1" customHeight="1">
      <c r="B111" s="834"/>
      <c r="C111" s="840"/>
      <c r="D111" s="841"/>
      <c r="E111" s="841"/>
      <c r="F111" s="841"/>
      <c r="G111" s="841"/>
      <c r="H111" s="842"/>
      <c r="I111" s="845"/>
      <c r="J111" s="846"/>
      <c r="K111" s="848"/>
      <c r="L111" s="841"/>
      <c r="M111" s="841"/>
      <c r="N111" s="841"/>
      <c r="O111" s="841"/>
      <c r="P111" s="842"/>
      <c r="Q111" s="845"/>
      <c r="R111" s="850"/>
      <c r="S111" s="853"/>
      <c r="T111" s="854"/>
      <c r="U111" s="840"/>
      <c r="V111" s="841"/>
      <c r="W111" s="841"/>
      <c r="X111" s="842"/>
      <c r="Y111" s="856"/>
      <c r="Z111" s="841"/>
      <c r="AA111" s="842"/>
      <c r="AB111" s="853"/>
      <c r="AC111" s="858"/>
      <c r="AD111" s="854"/>
      <c r="AE111" s="861"/>
      <c r="AF111" s="862"/>
      <c r="AG111" s="865"/>
      <c r="AH111" s="875"/>
      <c r="AI111" s="869"/>
      <c r="AJ111" s="870"/>
      <c r="AK111" s="828"/>
      <c r="AL111" s="829"/>
      <c r="AM111" s="829"/>
      <c r="AN111" s="823"/>
      <c r="AO111" s="824"/>
      <c r="AP111" s="824"/>
      <c r="AQ111" s="825"/>
      <c r="AU111" s="814"/>
      <c r="AV111" s="819"/>
      <c r="AW111" s="817"/>
      <c r="AX111" s="817"/>
      <c r="AY111" s="814"/>
      <c r="BC111" s="831"/>
    </row>
    <row r="112" spans="2:55" ht="15.95" hidden="1" customHeight="1">
      <c r="B112" s="834">
        <v>49</v>
      </c>
      <c r="C112" s="837">
        <f ca="1">IF(SUM(BF16:BF113)=0,0,INDEX(PMEBONUS[],1,3))</f>
        <v>0</v>
      </c>
      <c r="D112" s="838"/>
      <c r="E112" s="838"/>
      <c r="F112" s="838"/>
      <c r="G112" s="838"/>
      <c r="H112" s="839"/>
      <c r="I112" s="843" t="str">
        <f ca="1">IFERROR(IF(C112="","",IF(INDEX(PMELIGHTTYPE[Base Autofill],MATCH(C112,PMELIGHTTYPE[Base Desc 1],0))="","",INDEX(PMELIGHTTYPE[Base Autofill],MATCH(C112,PMELIGHTTYPE[Base Desc 1],0)))),"")</f>
        <v/>
      </c>
      <c r="J112" s="844"/>
      <c r="K112" s="847">
        <f ca="1">IF(SUM(BE16:BE111)=0,0,INDEX(PMEBONUS[],1,30))</f>
        <v>0</v>
      </c>
      <c r="L112" s="838"/>
      <c r="M112" s="838"/>
      <c r="N112" s="838"/>
      <c r="O112" s="838"/>
      <c r="P112" s="839"/>
      <c r="Q112" s="843" t="str">
        <f t="shared" ref="Q112" ca="1" si="252">IFERROR(IF(ISNUMBER(SEARCH("Removed",K112)),0,""),"")</f>
        <v/>
      </c>
      <c r="R112" s="849"/>
      <c r="S112" s="876">
        <f ca="1">IF(K112=0,0,1)</f>
        <v>0</v>
      </c>
      <c r="T112" s="877"/>
      <c r="U112" s="837"/>
      <c r="V112" s="838"/>
      <c r="W112" s="838"/>
      <c r="X112" s="839"/>
      <c r="Y112" s="855"/>
      <c r="Z112" s="838"/>
      <c r="AA112" s="839"/>
      <c r="AB112" s="851"/>
      <c r="AC112" s="857"/>
      <c r="AD112" s="852"/>
      <c r="AE112" s="859" t="str">
        <f t="shared" ref="AE112" ca="1" si="253">IF(ISNUMBER(SEARCH("Removed",K112)),0,"")</f>
        <v/>
      </c>
      <c r="AF112" s="860"/>
      <c r="AG112" s="863"/>
      <c r="AH112" s="874"/>
      <c r="AI112" s="867" t="str">
        <f ca="1">IFERROR(IF(K112="","",IF(C112&lt;&gt;INDEX(PMELIGHT[Base Desc 1],MATCH(K112,PMELIGHT[Eff Desc 1],0)),0,INDEX(PMELIGHT[Inc Rate Unit],MATCH(K112,PMELIGHT[Eff Desc 1],0)))),"")</f>
        <v/>
      </c>
      <c r="AJ112" s="868"/>
      <c r="AK112" s="826" t="str">
        <f t="shared" ref="AK112" ca="1" si="254">IFERROR(IF(OR(C112="",I112="",K112="",Q112="",S112="",U112="",Y112="",AB112="",AE112="",AG112=""),"",IFERROR(ROUND(IF(I112-Q112&lt;=0,0,(I112-Q112)*S112*AB112/1000),2),"")),"")</f>
        <v/>
      </c>
      <c r="AL112" s="827"/>
      <c r="AM112" s="827"/>
      <c r="AN112" s="820">
        <f ca="1">IF(AY112="",0,AY112)</f>
        <v>0</v>
      </c>
      <c r="AO112" s="821"/>
      <c r="AP112" s="821"/>
      <c r="AQ112" s="822"/>
      <c r="AU112" s="813" t="str">
        <f t="shared" ref="AU112" ca="1" si="255">IF(OR(I112="",Q112="",S112="",U112="",Y112="",AB112="",AE112="",AG112=""),"",IF(AK112=0,"",(ROUND((AE112+AG112)*S112,2))))</f>
        <v/>
      </c>
      <c r="AV112" s="818" t="str">
        <f ca="1">IFERROR(IF(OR(I112="",Q112="",S112="",U112="",Y112="",AB112="",AE112="",AG112="",AK112=0),"",IF(ISNUMBER(SEARCH("Exterior",K112)),0,ROUND(((I112-Q112)*S112/1000)*INDEX(BUILDINGTYPE[Lighting Coincidence Factor],MATCH(M02S02F26,BUILDINGTYPE[Building Type],0)),3))),"")</f>
        <v/>
      </c>
      <c r="AW112" s="816" t="str">
        <f t="shared" ref="AW112" ca="1" si="256">IF(OR(I112="",Q112="",S112="",U112="",Y112="",AB112="",AE112="",AG112=""),"",ROUND(I112*S112*AB112/1000,2))</f>
        <v/>
      </c>
      <c r="AX112" s="816" t="str">
        <f t="shared" ref="AX112" ca="1" si="257">IF(OR(I112="",Q112="",S112="",U112="",Y112="",AB112="",AE112="",AG112=""),"",ROUND(Q112*S112*AB112/1000,2))</f>
        <v/>
      </c>
      <c r="AY112" s="813" t="str">
        <f ca="1">IFERROR(IF(OR(C112="",K112="",SUM(AK16:AM109)=0,SUM(BF16:BF109)=0),"",SUM(BF16:BF109)),"")</f>
        <v/>
      </c>
      <c r="AZ112" s="813"/>
      <c r="BA112" s="813"/>
      <c r="BB112" s="813"/>
      <c r="BC112" s="830" t="str">
        <f ca="1">IFERROR(IF(OR(C112="",I112="",K112="",Q112="",S112="",U112="",Y112="",AB112="",AE112="",AG112=""),"",IF(ISBLANK(M02S02F26),MEASUREBLDG,IF((I112*S112)&lt;=(Q112*S112),MEASURESAVE,""))),MEASURESUBMIT)</f>
        <v/>
      </c>
    </row>
    <row r="113" spans="2:55" ht="15.95" hidden="1" customHeight="1">
      <c r="B113" s="834"/>
      <c r="C113" s="840"/>
      <c r="D113" s="841"/>
      <c r="E113" s="841"/>
      <c r="F113" s="841"/>
      <c r="G113" s="841"/>
      <c r="H113" s="842"/>
      <c r="I113" s="845"/>
      <c r="J113" s="846"/>
      <c r="K113" s="848"/>
      <c r="L113" s="841"/>
      <c r="M113" s="841"/>
      <c r="N113" s="841"/>
      <c r="O113" s="841"/>
      <c r="P113" s="842"/>
      <c r="Q113" s="845"/>
      <c r="R113" s="850"/>
      <c r="S113" s="853"/>
      <c r="T113" s="854"/>
      <c r="U113" s="840"/>
      <c r="V113" s="841"/>
      <c r="W113" s="841"/>
      <c r="X113" s="842"/>
      <c r="Y113" s="856"/>
      <c r="Z113" s="841"/>
      <c r="AA113" s="842"/>
      <c r="AB113" s="853"/>
      <c r="AC113" s="858"/>
      <c r="AD113" s="854"/>
      <c r="AE113" s="861"/>
      <c r="AF113" s="862"/>
      <c r="AG113" s="865"/>
      <c r="AH113" s="875"/>
      <c r="AI113" s="869"/>
      <c r="AJ113" s="870"/>
      <c r="AK113" s="828"/>
      <c r="AL113" s="829"/>
      <c r="AM113" s="829"/>
      <c r="AN113" s="823"/>
      <c r="AO113" s="824"/>
      <c r="AP113" s="824"/>
      <c r="AQ113" s="825"/>
      <c r="AU113" s="814"/>
      <c r="AV113" s="819"/>
      <c r="AW113" s="817"/>
      <c r="AX113" s="817"/>
      <c r="AY113" s="814"/>
      <c r="AZ113" s="814"/>
      <c r="BA113" s="814"/>
      <c r="BB113" s="814"/>
      <c r="BC113" s="831"/>
    </row>
    <row r="114" spans="2:55" ht="15.95" hidden="1" customHeight="1">
      <c r="B114" s="834">
        <v>50</v>
      </c>
      <c r="C114" s="837">
        <f ca="1">IF(SUM(BE16:BE113)=0,0,INDEX(PMEBONUS[],3,3))</f>
        <v>0</v>
      </c>
      <c r="D114" s="838"/>
      <c r="E114" s="838"/>
      <c r="F114" s="838"/>
      <c r="G114" s="838"/>
      <c r="H114" s="839"/>
      <c r="I114" s="884" t="str">
        <f ca="1">IFERROR(IF(C114="","",IF(INDEX(PMELIGHTTYPE[Base Autofill],MATCH(C114,PMELIGHTTYPE[Base Desc 1],0))="","",INDEX(PMELIGHTTYPE[Base Autofill],MATCH(C114,PMELIGHTTYPE[Base Desc 1],0)))),"")</f>
        <v/>
      </c>
      <c r="J114" s="885"/>
      <c r="K114" s="847">
        <f ca="1">IF(SUM(BE16:BE113)=0,0,INDEX(PMEBONUS[],3,30))</f>
        <v>0</v>
      </c>
      <c r="L114" s="838"/>
      <c r="M114" s="838"/>
      <c r="N114" s="838"/>
      <c r="O114" s="838"/>
      <c r="P114" s="839"/>
      <c r="Q114" s="884" t="str">
        <f t="shared" ref="Q114" ca="1" si="258">IFERROR(IF(ISNUMBER(SEARCH("Removed",K114)),0,""),"")</f>
        <v/>
      </c>
      <c r="R114" s="887"/>
      <c r="S114" s="876">
        <f ca="1">IF(K114=0,0,1)</f>
        <v>0</v>
      </c>
      <c r="T114" s="877"/>
      <c r="U114" s="871"/>
      <c r="V114" s="872"/>
      <c r="W114" s="872"/>
      <c r="X114" s="888"/>
      <c r="Y114" s="890"/>
      <c r="Z114" s="872"/>
      <c r="AA114" s="873"/>
      <c r="AB114" s="876"/>
      <c r="AC114" s="891"/>
      <c r="AD114" s="877"/>
      <c r="AE114" s="892" t="str">
        <f t="shared" ref="AE114" ca="1" si="259">IF(ISNUMBER(SEARCH("Removed",K114)),0,"")</f>
        <v/>
      </c>
      <c r="AF114" s="893"/>
      <c r="AG114" s="894"/>
      <c r="AH114" s="895"/>
      <c r="AI114" s="867" t="str">
        <f ca="1">IFERROR(IF(K114="","",IF(C114&lt;&gt;INDEX(PMELIGHT[Base Desc 1],MATCH(K114,PMELIGHT[Eff Desc 1],0)),0,INDEX(PMELIGHT[Inc Rate Unit],MATCH(K114,PMELIGHT[Eff Desc 1],0)))),"")</f>
        <v/>
      </c>
      <c r="AJ114" s="868"/>
      <c r="AK114" s="826" t="str">
        <f ca="1">IFERROR(IF(OR(C114="",I114="",K114="",Q114="",S114="",U114="",Y114="",AB114="",AE114="",AG114=""),"",IFERROR(ROUND(IF(I114-Q114&lt;=0,0,(I114-Q114)*S114*AB114/1000),2),"")),"")</f>
        <v/>
      </c>
      <c r="AL114" s="827"/>
      <c r="AM114" s="832"/>
      <c r="AN114" s="820">
        <f ca="1">IF(AY114="",0,AY114)</f>
        <v>0</v>
      </c>
      <c r="AO114" s="821"/>
      <c r="AP114" s="821"/>
      <c r="AQ114" s="822"/>
      <c r="AU114" s="898" t="str">
        <f ca="1">IF(OR(I114="",Q114="",S114="",U114="",Y114="",AB114="",AE114="",AG114=""),"",IF(AK114=0,"",(ROUND((AE114+AG114)*S114,2))))</f>
        <v/>
      </c>
      <c r="AV114" s="899" t="str">
        <f ca="1">IFERROR(IF(OR(I114="",Q114="",S114="",U114="",Y114="",AB114="",AE114="",AG114="",AK114=0),"",IF(ISNUMBER(SEARCH("Exterior",K114)),0,ROUND(((I114-Q114)*S114/1000)*INDEX(BUILDINGTYPE[Lighting Coincidence Factor],MATCH(M02S02F26,BUILDINGTYPE[Building Type],0)),3))),"")</f>
        <v/>
      </c>
      <c r="AW114" s="900" t="str">
        <f ca="1">IF(OR(I114="",Q114="",S114="",U114="",Y114="",AB114="",AE114="",AG114=""),"",ROUND(I114*S114*AB114/1000,2))</f>
        <v/>
      </c>
      <c r="AX114" s="900" t="str">
        <f ca="1">IF(OR(I114="",Q114="",S114="",U114="",Y114="",AB114="",AE114="",AG114=""),"",ROUND(Q114*S114*AB114/1000,2))</f>
        <v/>
      </c>
      <c r="AY114" s="813" t="str">
        <f ca="1">IFERROR(IF(OR(C114="",K114="",SUM(AK16:AM109)=0,SUM(BE16:BE109)=0),"",SUM(BE16:BE109)),"")</f>
        <v/>
      </c>
      <c r="AZ114" s="813"/>
      <c r="BA114" s="813"/>
      <c r="BB114" s="813"/>
      <c r="BC114" s="897" t="str">
        <f ca="1">IFERROR(IF(OR(C114="",I114="",K114="",Q114="",S114="",U114="",Y114="",AB114="",AE114="",AG114=""),"",IF(ISBLANK(M02S02F26),MEASUREBLDG,IF((I114*S114)&lt;=(Q114*S114),MEASURESAVE,""))),MEASURESUBMIT)</f>
        <v/>
      </c>
    </row>
    <row r="115" spans="2:55" ht="15.95" hidden="1" customHeight="1">
      <c r="B115" s="834"/>
      <c r="C115" s="840"/>
      <c r="D115" s="841"/>
      <c r="E115" s="841"/>
      <c r="F115" s="841"/>
      <c r="G115" s="841"/>
      <c r="H115" s="842"/>
      <c r="I115" s="845"/>
      <c r="J115" s="886"/>
      <c r="K115" s="848"/>
      <c r="L115" s="841"/>
      <c r="M115" s="841"/>
      <c r="N115" s="841"/>
      <c r="O115" s="841"/>
      <c r="P115" s="842"/>
      <c r="Q115" s="845"/>
      <c r="R115" s="850"/>
      <c r="S115" s="853"/>
      <c r="T115" s="854"/>
      <c r="U115" s="840"/>
      <c r="V115" s="841"/>
      <c r="W115" s="841"/>
      <c r="X115" s="889"/>
      <c r="Y115" s="856"/>
      <c r="Z115" s="841"/>
      <c r="AA115" s="842"/>
      <c r="AB115" s="853"/>
      <c r="AC115" s="858"/>
      <c r="AD115" s="854"/>
      <c r="AE115" s="861"/>
      <c r="AF115" s="862"/>
      <c r="AG115" s="865"/>
      <c r="AH115" s="896"/>
      <c r="AI115" s="869"/>
      <c r="AJ115" s="870"/>
      <c r="AK115" s="828"/>
      <c r="AL115" s="829"/>
      <c r="AM115" s="833"/>
      <c r="AN115" s="823"/>
      <c r="AO115" s="824"/>
      <c r="AP115" s="824"/>
      <c r="AQ115" s="825"/>
      <c r="AU115" s="814"/>
      <c r="AV115" s="819"/>
      <c r="AW115" s="817"/>
      <c r="AX115" s="817"/>
      <c r="AY115" s="814"/>
      <c r="AZ115" s="814"/>
      <c r="BA115" s="814"/>
      <c r="BB115" s="814"/>
      <c r="BC115" s="831"/>
    </row>
    <row r="116" spans="2:55" ht="15.95" hidden="1" customHeight="1">
      <c r="B116" s="834">
        <v>51</v>
      </c>
      <c r="C116" s="8"/>
      <c r="D116" s="8"/>
      <c r="E116" s="8"/>
      <c r="F116" s="8"/>
      <c r="G116" s="8"/>
      <c r="H116" s="8"/>
      <c r="I116" s="8"/>
      <c r="J116" s="8"/>
      <c r="K116" s="8"/>
      <c r="L116" s="8"/>
      <c r="M116" s="8"/>
      <c r="N116" s="8"/>
      <c r="O116" s="8"/>
      <c r="P116" s="8"/>
      <c r="Q116" s="8"/>
      <c r="R116" s="8"/>
      <c r="S116" s="8"/>
      <c r="T116" s="8"/>
      <c r="U116" s="8"/>
      <c r="V116" s="8"/>
      <c r="W116" s="8"/>
      <c r="X116" s="8"/>
      <c r="Y116" s="8"/>
      <c r="Z116" s="8"/>
      <c r="AA116" s="8"/>
      <c r="AB116" s="8"/>
      <c r="AC116" s="8"/>
      <c r="AD116" s="8"/>
      <c r="AE116" s="8"/>
      <c r="AF116" s="8"/>
      <c r="AG116" s="8"/>
      <c r="AH116" s="8"/>
      <c r="AI116" s="8"/>
      <c r="AJ116" s="8"/>
      <c r="AK116" s="8"/>
      <c r="AL116" s="8"/>
      <c r="AM116" s="8"/>
      <c r="AN116" s="8"/>
      <c r="AO116" s="8"/>
      <c r="AP116" s="8"/>
      <c r="AQ116" s="8"/>
    </row>
    <row r="117" spans="2:55" ht="15.95" hidden="1" customHeight="1">
      <c r="B117" s="834"/>
      <c r="C117" s="8"/>
      <c r="D117" s="8"/>
      <c r="E117" s="8"/>
      <c r="F117" s="8"/>
      <c r="G117" s="8"/>
      <c r="H117" s="8"/>
      <c r="I117" s="8"/>
      <c r="J117" s="8"/>
      <c r="K117" s="8"/>
      <c r="L117" s="8"/>
      <c r="M117" s="8"/>
      <c r="N117" s="8"/>
      <c r="O117" s="8"/>
      <c r="P117" s="8"/>
      <c r="Q117" s="8"/>
      <c r="R117" s="8"/>
      <c r="S117" s="8"/>
      <c r="T117" s="8"/>
      <c r="U117" s="8"/>
      <c r="V117" s="8"/>
      <c r="W117" s="8"/>
      <c r="X117" s="8"/>
      <c r="Y117" s="8"/>
      <c r="Z117" s="8"/>
      <c r="AA117" s="8"/>
      <c r="AB117" s="8"/>
      <c r="AC117" s="8"/>
      <c r="AD117" s="8"/>
      <c r="AE117" s="8"/>
      <c r="AF117" s="8"/>
      <c r="AG117" s="8"/>
      <c r="AH117" s="8"/>
      <c r="AI117" s="8"/>
      <c r="AJ117" s="8"/>
      <c r="AK117" s="8"/>
      <c r="AL117" s="8"/>
      <c r="AM117" s="8"/>
      <c r="AN117" s="8"/>
      <c r="AO117" s="8"/>
      <c r="AP117" s="8"/>
      <c r="AQ117" s="8"/>
    </row>
    <row r="118" spans="2:55" ht="15.95" hidden="1" customHeight="1">
      <c r="B118" s="834">
        <v>52</v>
      </c>
      <c r="C118" s="8"/>
      <c r="D118" s="8"/>
      <c r="E118" s="8"/>
      <c r="F118" s="8"/>
      <c r="G118" s="8"/>
      <c r="H118" s="8"/>
      <c r="I118" s="8"/>
      <c r="J118" s="8"/>
      <c r="K118" s="8"/>
      <c r="L118" s="8"/>
      <c r="M118" s="8"/>
      <c r="N118" s="8"/>
      <c r="O118" s="8"/>
      <c r="P118" s="8"/>
      <c r="Q118" s="8"/>
      <c r="R118" s="8"/>
      <c r="S118" s="8"/>
      <c r="T118" s="8"/>
      <c r="U118" s="8"/>
      <c r="V118" s="8"/>
      <c r="W118" s="8"/>
      <c r="X118" s="8"/>
      <c r="Y118" s="8"/>
      <c r="Z118" s="8"/>
      <c r="AA118" s="8"/>
      <c r="AB118" s="8"/>
      <c r="AC118" s="8"/>
      <c r="AD118" s="8"/>
      <c r="AE118" s="8"/>
      <c r="AF118" s="8"/>
      <c r="AG118" s="8"/>
      <c r="AH118" s="8"/>
      <c r="AI118" s="8"/>
      <c r="AJ118" s="8"/>
      <c r="AK118" s="8"/>
      <c r="AL118" s="8"/>
      <c r="AM118" s="8"/>
      <c r="AN118" s="8"/>
      <c r="AO118" s="8"/>
      <c r="AP118" s="8"/>
      <c r="AQ118" s="8"/>
    </row>
    <row r="119" spans="2:55" ht="15.95" hidden="1" customHeight="1">
      <c r="B119" s="834"/>
      <c r="C119" s="8"/>
      <c r="D119" s="8"/>
      <c r="E119" s="8"/>
      <c r="F119" s="8"/>
      <c r="G119" s="8"/>
      <c r="H119" s="8"/>
      <c r="I119" s="8"/>
      <c r="J119" s="8"/>
      <c r="K119" s="8"/>
      <c r="L119" s="8"/>
      <c r="M119" s="8"/>
      <c r="N119" s="8"/>
      <c r="O119" s="8"/>
      <c r="P119" s="8"/>
      <c r="Q119" s="8"/>
      <c r="R119" s="8"/>
      <c r="S119" s="8"/>
      <c r="T119" s="8"/>
      <c r="U119" s="8"/>
      <c r="V119" s="8"/>
      <c r="W119" s="8"/>
      <c r="X119" s="8"/>
      <c r="Y119" s="8"/>
      <c r="Z119" s="8"/>
      <c r="AA119" s="8"/>
      <c r="AB119" s="8"/>
      <c r="AC119" s="8"/>
      <c r="AD119" s="8"/>
      <c r="AE119" s="8"/>
      <c r="AF119" s="8"/>
      <c r="AG119" s="8"/>
      <c r="AH119" s="8"/>
      <c r="AI119" s="8"/>
      <c r="AJ119" s="8"/>
      <c r="AK119" s="8"/>
      <c r="AL119" s="8"/>
      <c r="AM119" s="8"/>
      <c r="AN119" s="8"/>
      <c r="AO119" s="8"/>
      <c r="AP119" s="8"/>
      <c r="AQ119" s="8"/>
    </row>
    <row r="120" spans="2:55" ht="15.95" hidden="1" customHeight="1">
      <c r="B120" s="834">
        <v>53</v>
      </c>
      <c r="C120" s="8"/>
      <c r="D120" s="8"/>
      <c r="E120" s="8"/>
      <c r="F120" s="8"/>
      <c r="G120" s="8"/>
      <c r="H120" s="8"/>
      <c r="I120" s="8"/>
      <c r="J120" s="8"/>
      <c r="K120" s="8"/>
      <c r="L120" s="8"/>
      <c r="M120" s="8"/>
      <c r="N120" s="8"/>
      <c r="O120" s="8"/>
      <c r="P120" s="8"/>
      <c r="Q120" s="8"/>
      <c r="R120" s="8"/>
      <c r="S120" s="8"/>
      <c r="T120" s="8"/>
      <c r="U120" s="8"/>
      <c r="V120" s="8"/>
      <c r="W120" s="8"/>
      <c r="X120" s="8"/>
      <c r="Y120" s="8"/>
      <c r="Z120" s="8"/>
      <c r="AA120" s="8"/>
      <c r="AB120" s="8"/>
      <c r="AC120" s="8"/>
      <c r="AD120" s="8"/>
      <c r="AE120" s="8"/>
      <c r="AF120" s="8"/>
      <c r="AG120" s="8"/>
      <c r="AH120" s="8"/>
      <c r="AI120" s="8"/>
      <c r="AJ120" s="8"/>
      <c r="AK120" s="8"/>
      <c r="AL120" s="8"/>
      <c r="AM120" s="8"/>
      <c r="AN120" s="8"/>
      <c r="AO120" s="8"/>
      <c r="AP120" s="8"/>
      <c r="AQ120" s="8"/>
    </row>
    <row r="121" spans="2:55" ht="15.95" hidden="1" customHeight="1">
      <c r="B121" s="834"/>
      <c r="C121" s="8"/>
      <c r="D121" s="8"/>
      <c r="E121" s="8"/>
      <c r="F121" s="8"/>
      <c r="G121" s="8"/>
      <c r="H121" s="8"/>
      <c r="I121" s="8"/>
      <c r="J121" s="8"/>
      <c r="K121" s="8"/>
      <c r="L121" s="8"/>
      <c r="M121" s="8"/>
      <c r="N121" s="8"/>
      <c r="O121" s="8"/>
      <c r="P121" s="8"/>
      <c r="Q121" s="8"/>
      <c r="R121" s="8"/>
      <c r="S121" s="8"/>
      <c r="T121" s="8"/>
      <c r="U121" s="8"/>
      <c r="V121" s="8"/>
      <c r="W121" s="8"/>
      <c r="X121" s="8"/>
      <c r="Y121" s="8"/>
      <c r="Z121" s="8"/>
      <c r="AA121" s="8"/>
      <c r="AB121" s="8"/>
      <c r="AC121" s="8"/>
      <c r="AD121" s="8"/>
      <c r="AE121" s="8"/>
      <c r="AF121" s="8"/>
      <c r="AG121" s="8"/>
      <c r="AH121" s="8"/>
      <c r="AI121" s="8"/>
      <c r="AJ121" s="8"/>
      <c r="AK121" s="8"/>
      <c r="AL121" s="8"/>
      <c r="AM121" s="8"/>
      <c r="AN121" s="8"/>
      <c r="AO121" s="8"/>
      <c r="AP121" s="8"/>
      <c r="AQ121" s="8"/>
    </row>
    <row r="122" spans="2:55" ht="15.95" hidden="1" customHeight="1">
      <c r="B122" s="834">
        <v>54</v>
      </c>
      <c r="C122" s="8"/>
      <c r="D122" s="8"/>
      <c r="E122" s="8"/>
      <c r="F122" s="8"/>
      <c r="G122" s="8"/>
      <c r="H122" s="8"/>
      <c r="I122" s="8"/>
      <c r="J122" s="8"/>
      <c r="K122" s="8"/>
      <c r="L122" s="8"/>
      <c r="M122" s="8"/>
      <c r="N122" s="8"/>
      <c r="O122" s="8"/>
      <c r="P122" s="8"/>
      <c r="Q122" s="8"/>
      <c r="R122" s="8"/>
      <c r="S122" s="8"/>
      <c r="T122" s="8"/>
      <c r="U122" s="8"/>
      <c r="V122" s="8"/>
      <c r="W122" s="8"/>
      <c r="X122" s="8"/>
      <c r="Y122" s="8"/>
      <c r="Z122" s="8"/>
      <c r="AA122" s="8"/>
      <c r="AB122" s="8"/>
      <c r="AC122" s="8"/>
      <c r="AD122" s="8"/>
      <c r="AE122" s="8"/>
      <c r="AF122" s="8"/>
      <c r="AG122" s="8"/>
      <c r="AH122" s="8"/>
      <c r="AI122" s="8"/>
      <c r="AJ122" s="8"/>
      <c r="AK122" s="8"/>
      <c r="AL122" s="8"/>
      <c r="AM122" s="8"/>
      <c r="AN122" s="8"/>
      <c r="AO122" s="8"/>
      <c r="AP122" s="8"/>
      <c r="AQ122" s="8"/>
    </row>
    <row r="123" spans="2:55" ht="15.95" hidden="1" customHeight="1">
      <c r="B123" s="834"/>
      <c r="C123" s="8"/>
      <c r="D123" s="8"/>
      <c r="E123" s="8"/>
      <c r="F123" s="8"/>
      <c r="G123" s="8"/>
      <c r="H123" s="8"/>
      <c r="I123" s="8"/>
      <c r="J123" s="8"/>
      <c r="K123" s="8"/>
      <c r="L123" s="8"/>
      <c r="M123" s="8"/>
      <c r="N123" s="8"/>
      <c r="O123" s="8"/>
      <c r="P123" s="8"/>
      <c r="Q123" s="8"/>
      <c r="R123" s="8"/>
      <c r="S123" s="8"/>
      <c r="T123" s="8"/>
      <c r="U123" s="8"/>
      <c r="V123" s="8"/>
      <c r="W123" s="8"/>
      <c r="X123" s="8"/>
      <c r="Y123" s="8"/>
      <c r="Z123" s="8"/>
      <c r="AA123" s="8"/>
      <c r="AB123" s="8"/>
      <c r="AC123" s="8"/>
      <c r="AD123" s="8"/>
      <c r="AE123" s="8"/>
      <c r="AF123" s="8"/>
      <c r="AG123" s="8"/>
      <c r="AH123" s="8"/>
      <c r="AI123" s="8"/>
      <c r="AJ123" s="8"/>
      <c r="AK123" s="8"/>
      <c r="AL123" s="8"/>
      <c r="AM123" s="8"/>
      <c r="AN123" s="8"/>
      <c r="AO123" s="8"/>
      <c r="AP123" s="8"/>
      <c r="AQ123" s="8"/>
    </row>
    <row r="124" spans="2:55" ht="15.95" hidden="1" customHeight="1">
      <c r="B124" s="834">
        <v>55</v>
      </c>
      <c r="C124" s="8"/>
      <c r="D124" s="8"/>
      <c r="E124" s="8"/>
      <c r="F124" s="8"/>
      <c r="G124" s="8"/>
      <c r="H124" s="8"/>
      <c r="I124" s="8"/>
      <c r="J124" s="8"/>
      <c r="K124" s="8"/>
      <c r="L124" s="8"/>
      <c r="M124" s="8"/>
      <c r="N124" s="8"/>
      <c r="O124" s="8"/>
      <c r="P124" s="8"/>
      <c r="Q124" s="8"/>
      <c r="R124" s="8"/>
      <c r="S124" s="8"/>
      <c r="T124" s="8"/>
      <c r="U124" s="8"/>
      <c r="V124" s="8"/>
      <c r="W124" s="8"/>
      <c r="X124" s="8"/>
      <c r="Y124" s="8"/>
      <c r="Z124" s="8"/>
      <c r="AA124" s="8"/>
      <c r="AB124" s="8"/>
      <c r="AC124" s="8"/>
      <c r="AD124" s="8"/>
      <c r="AE124" s="8"/>
      <c r="AF124" s="8"/>
      <c r="AG124" s="8"/>
      <c r="AH124" s="8"/>
      <c r="AI124" s="8"/>
      <c r="AJ124" s="8"/>
      <c r="AK124" s="8"/>
      <c r="AL124" s="8"/>
      <c r="AM124" s="8"/>
      <c r="AN124" s="8"/>
      <c r="AO124" s="8"/>
      <c r="AP124" s="8"/>
      <c r="AQ124" s="8"/>
    </row>
    <row r="125" spans="2:55" ht="15.95" hidden="1" customHeight="1">
      <c r="B125" s="834"/>
      <c r="C125" s="8"/>
      <c r="D125" s="8"/>
      <c r="E125" s="8"/>
      <c r="F125" s="8"/>
      <c r="G125" s="8"/>
      <c r="H125" s="8"/>
      <c r="I125" s="8"/>
      <c r="J125" s="8"/>
      <c r="K125" s="8"/>
      <c r="L125" s="8"/>
      <c r="M125" s="8"/>
      <c r="N125" s="8"/>
      <c r="O125" s="8"/>
      <c r="P125" s="8"/>
      <c r="Q125" s="8"/>
      <c r="R125" s="8"/>
      <c r="S125" s="8"/>
      <c r="T125" s="8"/>
      <c r="U125" s="8"/>
      <c r="V125" s="8"/>
      <c r="W125" s="8"/>
      <c r="X125" s="8"/>
      <c r="Y125" s="8"/>
      <c r="Z125" s="8"/>
      <c r="AA125" s="8"/>
      <c r="AB125" s="8"/>
      <c r="AC125" s="8"/>
      <c r="AD125" s="8"/>
      <c r="AE125" s="8"/>
      <c r="AF125" s="8"/>
      <c r="AG125" s="8"/>
      <c r="AH125" s="8"/>
      <c r="AI125" s="8"/>
      <c r="AJ125" s="8"/>
      <c r="AK125" s="8"/>
      <c r="AL125" s="8"/>
      <c r="AM125" s="8"/>
      <c r="AN125" s="8"/>
      <c r="AO125" s="8"/>
      <c r="AP125" s="8"/>
      <c r="AQ125" s="8"/>
    </row>
    <row r="126" spans="2:55" ht="15.95" hidden="1" customHeight="1">
      <c r="B126" s="834">
        <v>56</v>
      </c>
      <c r="C126" s="8"/>
      <c r="D126" s="8"/>
      <c r="E126" s="8"/>
      <c r="F126" s="8"/>
      <c r="G126" s="8"/>
      <c r="H126" s="8"/>
      <c r="I126" s="8"/>
      <c r="J126" s="8"/>
      <c r="K126" s="8"/>
      <c r="L126" s="8"/>
      <c r="M126" s="8"/>
      <c r="N126" s="8"/>
      <c r="O126" s="8"/>
      <c r="P126" s="8"/>
      <c r="Q126" s="8"/>
      <c r="R126" s="8"/>
      <c r="S126" s="8"/>
      <c r="T126" s="8"/>
      <c r="U126" s="8"/>
      <c r="V126" s="8"/>
      <c r="W126" s="8"/>
      <c r="X126" s="8"/>
      <c r="Y126" s="8"/>
      <c r="Z126" s="8"/>
      <c r="AA126" s="8"/>
      <c r="AB126" s="8"/>
      <c r="AC126" s="8"/>
      <c r="AD126" s="8"/>
      <c r="AE126" s="8"/>
      <c r="AF126" s="8"/>
      <c r="AG126" s="8"/>
      <c r="AH126" s="8"/>
      <c r="AI126" s="8"/>
      <c r="AJ126" s="8"/>
      <c r="AK126" s="8"/>
      <c r="AL126" s="8"/>
      <c r="AM126" s="8"/>
      <c r="AN126" s="8"/>
      <c r="AO126" s="8"/>
      <c r="AP126" s="8"/>
      <c r="AQ126" s="8"/>
    </row>
    <row r="127" spans="2:55" ht="15.95" hidden="1" customHeight="1">
      <c r="B127" s="834"/>
      <c r="C127" s="8"/>
      <c r="D127" s="8"/>
      <c r="E127" s="8"/>
      <c r="F127" s="8"/>
      <c r="G127" s="8"/>
      <c r="H127" s="8"/>
      <c r="I127" s="8"/>
      <c r="J127" s="8"/>
      <c r="K127" s="8"/>
      <c r="L127" s="8"/>
      <c r="M127" s="8"/>
      <c r="N127" s="8"/>
      <c r="O127" s="8"/>
      <c r="P127" s="8"/>
      <c r="Q127" s="8"/>
      <c r="R127" s="8"/>
      <c r="S127" s="8"/>
      <c r="T127" s="8"/>
      <c r="U127" s="8"/>
      <c r="V127" s="8"/>
      <c r="W127" s="8"/>
      <c r="X127" s="8"/>
      <c r="Y127" s="8"/>
      <c r="Z127" s="8"/>
      <c r="AA127" s="8"/>
      <c r="AB127" s="8"/>
      <c r="AC127" s="8"/>
      <c r="AD127" s="8"/>
      <c r="AE127" s="8"/>
      <c r="AF127" s="8"/>
      <c r="AG127" s="8"/>
      <c r="AH127" s="8"/>
      <c r="AI127" s="8"/>
      <c r="AJ127" s="8"/>
      <c r="AK127" s="8"/>
      <c r="AL127" s="8"/>
      <c r="AM127" s="8"/>
      <c r="AN127" s="8"/>
      <c r="AO127" s="8"/>
      <c r="AP127" s="8"/>
      <c r="AQ127" s="8"/>
    </row>
    <row r="128" spans="2:55" ht="15.95" hidden="1" customHeight="1">
      <c r="B128" s="834">
        <v>57</v>
      </c>
      <c r="C128" s="8"/>
      <c r="D128" s="8"/>
      <c r="E128" s="8"/>
      <c r="F128" s="8"/>
      <c r="G128" s="8"/>
      <c r="H128" s="8"/>
      <c r="I128" s="8"/>
      <c r="J128" s="8"/>
      <c r="K128" s="8"/>
      <c r="L128" s="8"/>
      <c r="M128" s="8"/>
      <c r="N128" s="8"/>
      <c r="O128" s="8"/>
      <c r="P128" s="8"/>
      <c r="Q128" s="8"/>
      <c r="R128" s="8"/>
      <c r="S128" s="8"/>
      <c r="T128" s="8"/>
      <c r="U128" s="8"/>
      <c r="V128" s="8"/>
      <c r="W128" s="8"/>
      <c r="X128" s="8"/>
      <c r="Y128" s="8"/>
      <c r="Z128" s="8"/>
      <c r="AA128" s="8"/>
      <c r="AB128" s="8"/>
      <c r="AC128" s="8"/>
      <c r="AD128" s="8"/>
      <c r="AE128" s="8"/>
      <c r="AF128" s="8"/>
      <c r="AG128" s="8"/>
      <c r="AH128" s="8"/>
      <c r="AI128" s="8"/>
      <c r="AJ128" s="8"/>
      <c r="AK128" s="8"/>
      <c r="AL128" s="8"/>
      <c r="AM128" s="8"/>
      <c r="AN128" s="8"/>
      <c r="AO128" s="8"/>
      <c r="AP128" s="8"/>
      <c r="AQ128" s="8"/>
    </row>
    <row r="129" spans="2:43" ht="15.95" hidden="1" customHeight="1">
      <c r="B129" s="834"/>
      <c r="C129" s="8"/>
      <c r="D129" s="8"/>
      <c r="E129" s="8"/>
      <c r="F129" s="8"/>
      <c r="G129" s="8"/>
      <c r="H129" s="8"/>
      <c r="I129" s="8"/>
      <c r="J129" s="8"/>
      <c r="K129" s="8"/>
      <c r="L129" s="8"/>
      <c r="M129" s="8"/>
      <c r="N129" s="8"/>
      <c r="O129" s="8"/>
      <c r="P129" s="8"/>
      <c r="Q129" s="8"/>
      <c r="R129" s="8"/>
      <c r="S129" s="8"/>
      <c r="T129" s="8"/>
      <c r="U129" s="8"/>
      <c r="V129" s="8"/>
      <c r="W129" s="8"/>
      <c r="X129" s="8"/>
      <c r="Y129" s="8"/>
      <c r="Z129" s="8"/>
      <c r="AA129" s="8"/>
      <c r="AB129" s="8"/>
      <c r="AC129" s="8"/>
      <c r="AD129" s="8"/>
      <c r="AE129" s="8"/>
      <c r="AF129" s="8"/>
      <c r="AG129" s="8"/>
      <c r="AH129" s="8"/>
      <c r="AI129" s="8"/>
      <c r="AJ129" s="8"/>
      <c r="AK129" s="8"/>
      <c r="AL129" s="8"/>
      <c r="AM129" s="8"/>
      <c r="AN129" s="8"/>
      <c r="AO129" s="8"/>
      <c r="AP129" s="8"/>
      <c r="AQ129" s="8"/>
    </row>
    <row r="130" spans="2:43" ht="15.95" hidden="1" customHeight="1">
      <c r="B130" s="834">
        <v>58</v>
      </c>
      <c r="C130" s="8"/>
      <c r="D130" s="8"/>
      <c r="E130" s="8"/>
      <c r="F130" s="8"/>
      <c r="G130" s="8"/>
      <c r="H130" s="8"/>
      <c r="I130" s="8"/>
      <c r="J130" s="8"/>
      <c r="K130" s="8"/>
      <c r="L130" s="8"/>
      <c r="M130" s="8"/>
      <c r="N130" s="8"/>
      <c r="O130" s="8"/>
      <c r="P130" s="8"/>
      <c r="Q130" s="8"/>
      <c r="R130" s="8"/>
      <c r="S130" s="8"/>
      <c r="T130" s="8"/>
      <c r="U130" s="8"/>
      <c r="V130" s="8"/>
      <c r="W130" s="8"/>
      <c r="X130" s="8"/>
      <c r="Y130" s="8"/>
      <c r="Z130" s="8"/>
      <c r="AA130" s="8"/>
      <c r="AB130" s="8"/>
      <c r="AC130" s="8"/>
      <c r="AD130" s="8"/>
      <c r="AE130" s="8"/>
      <c r="AF130" s="8"/>
      <c r="AG130" s="8"/>
      <c r="AH130" s="8"/>
      <c r="AI130" s="8"/>
      <c r="AJ130" s="8"/>
      <c r="AK130" s="8"/>
      <c r="AL130" s="8"/>
      <c r="AM130" s="8"/>
      <c r="AN130" s="8"/>
      <c r="AO130" s="8"/>
      <c r="AP130" s="8"/>
      <c r="AQ130" s="8"/>
    </row>
    <row r="131" spans="2:43" ht="15.95" hidden="1" customHeight="1">
      <c r="B131" s="834"/>
      <c r="C131" s="8"/>
      <c r="D131" s="8"/>
      <c r="E131" s="8"/>
      <c r="F131" s="8"/>
      <c r="G131" s="8"/>
      <c r="H131" s="8"/>
      <c r="I131" s="8"/>
      <c r="J131" s="8"/>
      <c r="K131" s="8"/>
      <c r="L131" s="8"/>
      <c r="M131" s="8"/>
      <c r="N131" s="8"/>
      <c r="O131" s="8"/>
      <c r="P131" s="8"/>
      <c r="Q131" s="8"/>
      <c r="R131" s="8"/>
      <c r="S131" s="8"/>
      <c r="T131" s="8"/>
      <c r="U131" s="8"/>
      <c r="V131" s="8"/>
      <c r="W131" s="8"/>
      <c r="X131" s="8"/>
      <c r="Y131" s="8"/>
      <c r="Z131" s="8"/>
      <c r="AA131" s="8"/>
      <c r="AB131" s="8"/>
      <c r="AC131" s="8"/>
      <c r="AD131" s="8"/>
      <c r="AE131" s="8"/>
      <c r="AF131" s="8"/>
      <c r="AG131" s="8"/>
      <c r="AH131" s="8"/>
      <c r="AI131" s="8"/>
      <c r="AJ131" s="8"/>
      <c r="AK131" s="8"/>
      <c r="AL131" s="8"/>
      <c r="AM131" s="8"/>
      <c r="AN131" s="8"/>
      <c r="AO131" s="8"/>
      <c r="AP131" s="8"/>
      <c r="AQ131" s="8"/>
    </row>
    <row r="132" spans="2:43" ht="15.95" hidden="1" customHeight="1">
      <c r="B132" s="834">
        <v>59</v>
      </c>
      <c r="C132" s="8"/>
      <c r="D132" s="8"/>
      <c r="E132" s="8"/>
      <c r="F132" s="8"/>
      <c r="G132" s="8"/>
      <c r="H132" s="8"/>
      <c r="I132" s="8"/>
      <c r="J132" s="8"/>
      <c r="K132" s="8"/>
      <c r="L132" s="8"/>
      <c r="M132" s="8"/>
      <c r="N132" s="8"/>
      <c r="O132" s="8"/>
      <c r="P132" s="8"/>
      <c r="Q132" s="8"/>
      <c r="R132" s="8"/>
      <c r="S132" s="8"/>
      <c r="T132" s="8"/>
      <c r="U132" s="8"/>
      <c r="V132" s="8"/>
      <c r="W132" s="8"/>
      <c r="X132" s="8"/>
      <c r="Y132" s="8"/>
      <c r="Z132" s="8"/>
      <c r="AA132" s="8"/>
      <c r="AB132" s="8"/>
      <c r="AC132" s="8"/>
      <c r="AD132" s="8"/>
      <c r="AE132" s="8"/>
      <c r="AF132" s="8"/>
      <c r="AG132" s="8"/>
      <c r="AH132" s="8"/>
      <c r="AI132" s="8"/>
      <c r="AJ132" s="8"/>
      <c r="AK132" s="8"/>
      <c r="AL132" s="8"/>
      <c r="AM132" s="8"/>
      <c r="AN132" s="8"/>
      <c r="AO132" s="8"/>
      <c r="AP132" s="8"/>
      <c r="AQ132" s="8"/>
    </row>
    <row r="133" spans="2:43" ht="15.95" hidden="1" customHeight="1">
      <c r="B133" s="834"/>
      <c r="C133" s="8"/>
      <c r="D133" s="8"/>
      <c r="E133" s="8"/>
      <c r="F133" s="8"/>
      <c r="G133" s="8"/>
      <c r="H133" s="8"/>
      <c r="I133" s="8"/>
      <c r="J133" s="8"/>
      <c r="K133" s="8"/>
      <c r="L133" s="8"/>
      <c r="M133" s="8"/>
      <c r="N133" s="8"/>
      <c r="O133" s="8"/>
      <c r="P133" s="8"/>
      <c r="Q133" s="8"/>
      <c r="R133" s="8"/>
      <c r="S133" s="8"/>
      <c r="T133" s="8"/>
      <c r="U133" s="8"/>
      <c r="V133" s="8"/>
      <c r="W133" s="8"/>
      <c r="X133" s="8"/>
      <c r="Y133" s="8"/>
      <c r="Z133" s="8"/>
      <c r="AA133" s="8"/>
      <c r="AB133" s="8"/>
      <c r="AC133" s="8"/>
      <c r="AD133" s="8"/>
      <c r="AE133" s="8"/>
      <c r="AF133" s="8"/>
      <c r="AG133" s="8"/>
      <c r="AH133" s="8"/>
      <c r="AI133" s="8"/>
      <c r="AJ133" s="8"/>
      <c r="AK133" s="8"/>
      <c r="AL133" s="8"/>
      <c r="AM133" s="8"/>
      <c r="AN133" s="8"/>
      <c r="AO133" s="8"/>
      <c r="AP133" s="8"/>
      <c r="AQ133" s="8"/>
    </row>
    <row r="134" spans="2:43" ht="15.95" hidden="1" customHeight="1">
      <c r="B134" s="834">
        <v>60</v>
      </c>
      <c r="C134" s="8"/>
      <c r="D134" s="8"/>
      <c r="E134" s="8"/>
      <c r="F134" s="8"/>
      <c r="G134" s="8"/>
      <c r="H134" s="8"/>
      <c r="I134" s="8"/>
      <c r="J134" s="8"/>
      <c r="K134" s="8"/>
      <c r="L134" s="8"/>
      <c r="M134" s="8"/>
      <c r="N134" s="8"/>
      <c r="O134" s="8"/>
      <c r="P134" s="8"/>
      <c r="Q134" s="8"/>
      <c r="R134" s="8"/>
      <c r="S134" s="8"/>
      <c r="T134" s="8"/>
      <c r="U134" s="8"/>
      <c r="V134" s="8"/>
      <c r="W134" s="8"/>
      <c r="X134" s="8"/>
      <c r="Y134" s="8"/>
      <c r="Z134" s="8"/>
      <c r="AA134" s="8"/>
      <c r="AB134" s="8"/>
      <c r="AC134" s="8"/>
      <c r="AD134" s="8"/>
      <c r="AE134" s="8"/>
      <c r="AF134" s="8"/>
      <c r="AG134" s="8"/>
      <c r="AH134" s="8"/>
      <c r="AI134" s="8"/>
      <c r="AJ134" s="8"/>
      <c r="AK134" s="8"/>
      <c r="AL134" s="8"/>
      <c r="AM134" s="8"/>
      <c r="AN134" s="8"/>
      <c r="AO134" s="8"/>
      <c r="AP134" s="8"/>
      <c r="AQ134" s="8"/>
    </row>
    <row r="135" spans="2:43" ht="15.95" hidden="1" customHeight="1">
      <c r="B135" s="834"/>
      <c r="C135" s="8"/>
      <c r="D135" s="8"/>
      <c r="E135" s="8"/>
      <c r="F135" s="8"/>
      <c r="G135" s="8"/>
      <c r="H135" s="8"/>
      <c r="I135" s="8"/>
      <c r="J135" s="8"/>
      <c r="K135" s="8"/>
      <c r="L135" s="8"/>
      <c r="M135" s="8"/>
      <c r="N135" s="8"/>
      <c r="O135" s="8"/>
      <c r="P135" s="8"/>
      <c r="Q135" s="8"/>
      <c r="R135" s="8"/>
      <c r="S135" s="8"/>
      <c r="T135" s="8"/>
      <c r="U135" s="8"/>
      <c r="V135" s="8"/>
      <c r="W135" s="8"/>
      <c r="X135" s="8"/>
      <c r="Y135" s="8"/>
      <c r="Z135" s="8"/>
      <c r="AA135" s="8"/>
      <c r="AB135" s="8"/>
      <c r="AC135" s="8"/>
      <c r="AD135" s="8"/>
      <c r="AE135" s="8"/>
      <c r="AF135" s="8"/>
      <c r="AG135" s="8"/>
      <c r="AH135" s="8"/>
      <c r="AI135" s="8"/>
      <c r="AJ135" s="8"/>
      <c r="AK135" s="8"/>
      <c r="AL135" s="8"/>
      <c r="AM135" s="8"/>
      <c r="AN135" s="8"/>
      <c r="AO135" s="8"/>
      <c r="AP135" s="8"/>
      <c r="AQ135" s="8"/>
    </row>
    <row r="136" spans="2:43" ht="15.95" hidden="1" customHeight="1">
      <c r="B136" s="834">
        <v>61</v>
      </c>
      <c r="C136" s="8"/>
      <c r="D136" s="8"/>
      <c r="E136" s="8"/>
      <c r="F136" s="8"/>
      <c r="G136" s="8"/>
      <c r="H136" s="8"/>
      <c r="I136" s="8"/>
      <c r="J136" s="8"/>
      <c r="K136" s="8"/>
      <c r="L136" s="8"/>
      <c r="M136" s="8"/>
      <c r="N136" s="8"/>
      <c r="O136" s="8"/>
      <c r="P136" s="8"/>
      <c r="Q136" s="8"/>
      <c r="R136" s="8"/>
      <c r="S136" s="8"/>
      <c r="T136" s="8"/>
      <c r="U136" s="8"/>
      <c r="V136" s="8"/>
      <c r="W136" s="8"/>
      <c r="X136" s="8"/>
      <c r="Y136" s="8"/>
      <c r="Z136" s="8"/>
      <c r="AA136" s="8"/>
      <c r="AB136" s="8"/>
      <c r="AC136" s="8"/>
      <c r="AD136" s="8"/>
      <c r="AE136" s="8"/>
      <c r="AF136" s="8"/>
      <c r="AG136" s="8"/>
      <c r="AH136" s="8"/>
      <c r="AI136" s="8"/>
      <c r="AJ136" s="8"/>
      <c r="AK136" s="8"/>
      <c r="AL136" s="8"/>
      <c r="AM136" s="8"/>
      <c r="AN136" s="8"/>
      <c r="AO136" s="8"/>
      <c r="AP136" s="8"/>
      <c r="AQ136" s="8"/>
    </row>
    <row r="137" spans="2:43" ht="15.95" hidden="1" customHeight="1">
      <c r="B137" s="834"/>
      <c r="C137" s="8"/>
      <c r="D137" s="8"/>
      <c r="E137" s="8"/>
      <c r="F137" s="8"/>
      <c r="G137" s="8"/>
      <c r="H137" s="8"/>
      <c r="I137" s="8"/>
      <c r="J137" s="8"/>
      <c r="K137" s="8"/>
      <c r="L137" s="8"/>
      <c r="M137" s="8"/>
      <c r="N137" s="8"/>
      <c r="O137" s="8"/>
      <c r="P137" s="8"/>
      <c r="Q137" s="8"/>
      <c r="R137" s="8"/>
      <c r="S137" s="8"/>
      <c r="T137" s="8"/>
      <c r="U137" s="8"/>
      <c r="V137" s="8"/>
      <c r="W137" s="8"/>
      <c r="X137" s="8"/>
      <c r="Y137" s="8"/>
      <c r="Z137" s="8"/>
      <c r="AA137" s="8"/>
      <c r="AB137" s="8"/>
      <c r="AC137" s="8"/>
      <c r="AD137" s="8"/>
      <c r="AE137" s="8"/>
      <c r="AF137" s="8"/>
      <c r="AG137" s="8"/>
      <c r="AH137" s="8"/>
      <c r="AI137" s="8"/>
      <c r="AJ137" s="8"/>
      <c r="AK137" s="8"/>
      <c r="AL137" s="8"/>
      <c r="AM137" s="8"/>
      <c r="AN137" s="8"/>
      <c r="AO137" s="8"/>
      <c r="AP137" s="8"/>
      <c r="AQ137" s="8"/>
    </row>
    <row r="138" spans="2:43" ht="15.95" hidden="1" customHeight="1">
      <c r="B138" s="834">
        <v>62</v>
      </c>
      <c r="C138" s="8"/>
      <c r="D138" s="8"/>
      <c r="E138" s="8"/>
      <c r="F138" s="8"/>
      <c r="G138" s="8"/>
      <c r="H138" s="8"/>
      <c r="I138" s="8"/>
      <c r="J138" s="8"/>
      <c r="K138" s="8"/>
      <c r="L138" s="8"/>
      <c r="M138" s="8"/>
      <c r="N138" s="8"/>
      <c r="O138" s="8"/>
      <c r="P138" s="8"/>
      <c r="Q138" s="8"/>
      <c r="R138" s="8"/>
      <c r="S138" s="8"/>
      <c r="T138" s="8"/>
      <c r="U138" s="8"/>
      <c r="V138" s="8"/>
      <c r="W138" s="8"/>
      <c r="X138" s="8"/>
      <c r="Y138" s="8"/>
      <c r="Z138" s="8"/>
      <c r="AA138" s="8"/>
      <c r="AB138" s="8"/>
      <c r="AC138" s="8"/>
      <c r="AD138" s="8"/>
      <c r="AE138" s="8"/>
      <c r="AF138" s="8"/>
      <c r="AG138" s="8"/>
      <c r="AH138" s="8"/>
      <c r="AI138" s="8"/>
      <c r="AJ138" s="8"/>
      <c r="AK138" s="8"/>
      <c r="AL138" s="8"/>
      <c r="AM138" s="8"/>
      <c r="AN138" s="8"/>
      <c r="AO138" s="8"/>
      <c r="AP138" s="8"/>
      <c r="AQ138" s="8"/>
    </row>
    <row r="139" spans="2:43" ht="15.95" hidden="1" customHeight="1">
      <c r="B139" s="834"/>
      <c r="C139" s="8"/>
      <c r="D139" s="8"/>
      <c r="E139" s="8"/>
      <c r="F139" s="8"/>
      <c r="G139" s="8"/>
      <c r="H139" s="8"/>
      <c r="I139" s="8"/>
      <c r="J139" s="8"/>
      <c r="K139" s="8"/>
      <c r="L139" s="8"/>
      <c r="M139" s="8"/>
      <c r="N139" s="8"/>
      <c r="O139" s="8"/>
      <c r="P139" s="8"/>
      <c r="Q139" s="8"/>
      <c r="R139" s="8"/>
      <c r="S139" s="8"/>
      <c r="T139" s="8"/>
      <c r="U139" s="8"/>
      <c r="V139" s="8"/>
      <c r="W139" s="8"/>
      <c r="X139" s="8"/>
      <c r="Y139" s="8"/>
      <c r="Z139" s="8"/>
      <c r="AA139" s="8"/>
      <c r="AB139" s="8"/>
      <c r="AC139" s="8"/>
      <c r="AD139" s="8"/>
      <c r="AE139" s="8"/>
      <c r="AF139" s="8"/>
      <c r="AG139" s="8"/>
      <c r="AH139" s="8"/>
      <c r="AI139" s="8"/>
      <c r="AJ139" s="8"/>
      <c r="AK139" s="8"/>
      <c r="AL139" s="8"/>
      <c r="AM139" s="8"/>
      <c r="AN139" s="8"/>
      <c r="AO139" s="8"/>
      <c r="AP139" s="8"/>
      <c r="AQ139" s="8"/>
    </row>
    <row r="140" spans="2:43" ht="15.95" hidden="1" customHeight="1">
      <c r="B140" s="834">
        <v>63</v>
      </c>
      <c r="C140" s="8"/>
      <c r="D140" s="8"/>
      <c r="E140" s="8"/>
      <c r="F140" s="8"/>
      <c r="G140" s="8"/>
      <c r="H140" s="8"/>
      <c r="I140" s="8"/>
      <c r="J140" s="8"/>
      <c r="K140" s="8"/>
      <c r="L140" s="8"/>
      <c r="M140" s="8"/>
      <c r="N140" s="8"/>
      <c r="O140" s="8"/>
      <c r="P140" s="8"/>
      <c r="Q140" s="8"/>
      <c r="R140" s="8"/>
      <c r="S140" s="8"/>
      <c r="T140" s="8"/>
      <c r="U140" s="8"/>
      <c r="V140" s="8"/>
      <c r="W140" s="8"/>
      <c r="X140" s="8"/>
      <c r="Y140" s="8"/>
      <c r="Z140" s="8"/>
      <c r="AA140" s="8"/>
      <c r="AB140" s="8"/>
      <c r="AC140" s="8"/>
      <c r="AD140" s="8"/>
      <c r="AE140" s="8"/>
      <c r="AF140" s="8"/>
      <c r="AG140" s="8"/>
      <c r="AH140" s="8"/>
      <c r="AI140" s="8"/>
      <c r="AJ140" s="8"/>
      <c r="AK140" s="8"/>
      <c r="AL140" s="8"/>
      <c r="AM140" s="8"/>
      <c r="AN140" s="8"/>
      <c r="AO140" s="8"/>
      <c r="AP140" s="8"/>
      <c r="AQ140" s="8"/>
    </row>
    <row r="141" spans="2:43" ht="15.95" hidden="1" customHeight="1">
      <c r="B141" s="834"/>
      <c r="C141" s="8"/>
      <c r="D141" s="8"/>
      <c r="E141" s="8"/>
      <c r="F141" s="8"/>
      <c r="G141" s="8"/>
      <c r="H141" s="8"/>
      <c r="I141" s="8"/>
      <c r="J141" s="8"/>
      <c r="K141" s="8"/>
      <c r="L141" s="8"/>
      <c r="M141" s="8"/>
      <c r="N141" s="8"/>
      <c r="O141" s="8"/>
      <c r="P141" s="8"/>
      <c r="Q141" s="8"/>
      <c r="R141" s="8"/>
      <c r="S141" s="8"/>
      <c r="T141" s="8"/>
      <c r="U141" s="8"/>
      <c r="V141" s="8"/>
      <c r="W141" s="8"/>
      <c r="X141" s="8"/>
      <c r="Y141" s="8"/>
      <c r="Z141" s="8"/>
      <c r="AA141" s="8"/>
      <c r="AB141" s="8"/>
      <c r="AC141" s="8"/>
      <c r="AD141" s="8"/>
      <c r="AE141" s="8"/>
      <c r="AF141" s="8"/>
      <c r="AG141" s="8"/>
      <c r="AH141" s="8"/>
      <c r="AI141" s="8"/>
      <c r="AJ141" s="8"/>
      <c r="AK141" s="8"/>
      <c r="AL141" s="8"/>
      <c r="AM141" s="8"/>
      <c r="AN141" s="8"/>
      <c r="AO141" s="8"/>
      <c r="AP141" s="8"/>
      <c r="AQ141" s="8"/>
    </row>
    <row r="142" spans="2:43" ht="15.95" hidden="1" customHeight="1">
      <c r="B142" s="834">
        <v>64</v>
      </c>
      <c r="C142" s="8"/>
      <c r="D142" s="8"/>
      <c r="E142" s="8"/>
      <c r="F142" s="8"/>
      <c r="G142" s="8"/>
      <c r="H142" s="8"/>
      <c r="I142" s="8"/>
      <c r="J142" s="8"/>
      <c r="K142" s="8"/>
      <c r="L142" s="8"/>
      <c r="M142" s="8"/>
      <c r="N142" s="8"/>
      <c r="O142" s="8"/>
      <c r="P142" s="8"/>
      <c r="Q142" s="8"/>
      <c r="R142" s="8"/>
      <c r="S142" s="8"/>
      <c r="T142" s="8"/>
      <c r="U142" s="8"/>
      <c r="V142" s="8"/>
      <c r="W142" s="8"/>
      <c r="X142" s="8"/>
      <c r="Y142" s="8"/>
      <c r="Z142" s="8"/>
      <c r="AA142" s="8"/>
      <c r="AB142" s="8"/>
      <c r="AC142" s="8"/>
      <c r="AD142" s="8"/>
      <c r="AE142" s="8"/>
      <c r="AF142" s="8"/>
      <c r="AG142" s="8"/>
      <c r="AH142" s="8"/>
      <c r="AI142" s="8"/>
      <c r="AJ142" s="8"/>
      <c r="AK142" s="8"/>
      <c r="AL142" s="8"/>
      <c r="AM142" s="8"/>
      <c r="AN142" s="8"/>
      <c r="AO142" s="8"/>
      <c r="AP142" s="8"/>
      <c r="AQ142" s="8"/>
    </row>
    <row r="143" spans="2:43" ht="15.95" hidden="1" customHeight="1">
      <c r="B143" s="834"/>
      <c r="C143" s="8"/>
      <c r="D143" s="8"/>
      <c r="E143" s="8"/>
      <c r="F143" s="8"/>
      <c r="G143" s="8"/>
      <c r="H143" s="8"/>
      <c r="I143" s="8"/>
      <c r="J143" s="8"/>
      <c r="K143" s="8"/>
      <c r="L143" s="8"/>
      <c r="M143" s="8"/>
      <c r="N143" s="8"/>
      <c r="O143" s="8"/>
      <c r="P143" s="8"/>
      <c r="Q143" s="8"/>
      <c r="R143" s="8"/>
      <c r="S143" s="8"/>
      <c r="T143" s="8"/>
      <c r="U143" s="8"/>
      <c r="V143" s="8"/>
      <c r="W143" s="8"/>
      <c r="X143" s="8"/>
      <c r="Y143" s="8"/>
      <c r="Z143" s="8"/>
      <c r="AA143" s="8"/>
      <c r="AB143" s="8"/>
      <c r="AC143" s="8"/>
      <c r="AD143" s="8"/>
      <c r="AE143" s="8"/>
      <c r="AF143" s="8"/>
      <c r="AG143" s="8"/>
      <c r="AH143" s="8"/>
      <c r="AI143" s="8"/>
      <c r="AJ143" s="8"/>
      <c r="AK143" s="8"/>
      <c r="AL143" s="8"/>
      <c r="AM143" s="8"/>
      <c r="AN143" s="8"/>
      <c r="AO143" s="8"/>
      <c r="AP143" s="8"/>
      <c r="AQ143" s="8"/>
    </row>
    <row r="144" spans="2:43" ht="15.95" hidden="1" customHeight="1">
      <c r="B144" s="834">
        <v>65</v>
      </c>
      <c r="C144" s="8"/>
      <c r="D144" s="8"/>
      <c r="E144" s="8"/>
      <c r="F144" s="8"/>
      <c r="G144" s="8"/>
      <c r="H144" s="8"/>
      <c r="I144" s="8"/>
      <c r="J144" s="8"/>
      <c r="K144" s="8"/>
      <c r="L144" s="8"/>
      <c r="M144" s="8"/>
      <c r="N144" s="8"/>
      <c r="O144" s="8"/>
      <c r="P144" s="8"/>
      <c r="Q144" s="8"/>
      <c r="R144" s="8"/>
      <c r="S144" s="8"/>
      <c r="T144" s="8"/>
      <c r="U144" s="8"/>
      <c r="V144" s="8"/>
      <c r="W144" s="8"/>
      <c r="X144" s="8"/>
      <c r="Y144" s="8"/>
      <c r="Z144" s="8"/>
      <c r="AA144" s="8"/>
      <c r="AB144" s="8"/>
      <c r="AC144" s="8"/>
      <c r="AD144" s="8"/>
      <c r="AE144" s="8"/>
      <c r="AF144" s="8"/>
      <c r="AG144" s="8"/>
      <c r="AH144" s="8"/>
      <c r="AI144" s="8"/>
      <c r="AJ144" s="8"/>
      <c r="AK144" s="8"/>
      <c r="AL144" s="8"/>
      <c r="AM144" s="8"/>
      <c r="AN144" s="8"/>
      <c r="AO144" s="8"/>
      <c r="AP144" s="8"/>
      <c r="AQ144" s="8"/>
    </row>
    <row r="145" spans="2:43" ht="15.95" hidden="1" customHeight="1">
      <c r="B145" s="834"/>
      <c r="C145" s="8"/>
      <c r="D145" s="8"/>
      <c r="E145" s="8"/>
      <c r="F145" s="8"/>
      <c r="G145" s="8"/>
      <c r="H145" s="8"/>
      <c r="I145" s="8"/>
      <c r="J145" s="8"/>
      <c r="K145" s="8"/>
      <c r="L145" s="8"/>
      <c r="M145" s="8"/>
      <c r="N145" s="8"/>
      <c r="O145" s="8"/>
      <c r="P145" s="8"/>
      <c r="Q145" s="8"/>
      <c r="R145" s="8"/>
      <c r="S145" s="8"/>
      <c r="T145" s="8"/>
      <c r="U145" s="8"/>
      <c r="V145" s="8"/>
      <c r="W145" s="8"/>
      <c r="X145" s="8"/>
      <c r="Y145" s="8"/>
      <c r="Z145" s="8"/>
      <c r="AA145" s="8"/>
      <c r="AB145" s="8"/>
      <c r="AC145" s="8"/>
      <c r="AD145" s="8"/>
      <c r="AE145" s="8"/>
      <c r="AF145" s="8"/>
      <c r="AG145" s="8"/>
      <c r="AH145" s="8"/>
      <c r="AI145" s="8"/>
      <c r="AJ145" s="8"/>
      <c r="AK145" s="8"/>
      <c r="AL145" s="8"/>
      <c r="AM145" s="8"/>
      <c r="AN145" s="8"/>
      <c r="AO145" s="8"/>
      <c r="AP145" s="8"/>
      <c r="AQ145" s="8"/>
    </row>
    <row r="146" spans="2:43" ht="15.95" hidden="1" customHeight="1">
      <c r="B146" s="834">
        <v>66</v>
      </c>
      <c r="C146" s="8"/>
      <c r="D146" s="8"/>
      <c r="E146" s="8"/>
      <c r="F146" s="8"/>
      <c r="G146" s="8"/>
      <c r="H146" s="8"/>
      <c r="I146" s="8"/>
      <c r="J146" s="8"/>
      <c r="K146" s="8"/>
      <c r="L146" s="8"/>
      <c r="M146" s="8"/>
      <c r="N146" s="8"/>
      <c r="O146" s="8"/>
      <c r="P146" s="8"/>
      <c r="Q146" s="8"/>
      <c r="R146" s="8"/>
      <c r="S146" s="8"/>
      <c r="T146" s="8"/>
      <c r="U146" s="8"/>
      <c r="V146" s="8"/>
      <c r="W146" s="8"/>
      <c r="X146" s="8"/>
      <c r="Y146" s="8"/>
      <c r="Z146" s="8"/>
      <c r="AA146" s="8"/>
      <c r="AB146" s="8"/>
      <c r="AC146" s="8"/>
      <c r="AD146" s="8"/>
      <c r="AE146" s="8"/>
      <c r="AF146" s="8"/>
      <c r="AG146" s="8"/>
      <c r="AH146" s="8"/>
      <c r="AI146" s="8"/>
      <c r="AJ146" s="8"/>
      <c r="AK146" s="8"/>
      <c r="AL146" s="8"/>
      <c r="AM146" s="8"/>
      <c r="AN146" s="8"/>
      <c r="AO146" s="8"/>
      <c r="AP146" s="8"/>
      <c r="AQ146" s="8"/>
    </row>
    <row r="147" spans="2:43" ht="15.95" hidden="1" customHeight="1">
      <c r="B147" s="834"/>
      <c r="C147" s="8"/>
      <c r="D147" s="8"/>
      <c r="E147" s="8"/>
      <c r="F147" s="8"/>
      <c r="G147" s="8"/>
      <c r="H147" s="8"/>
      <c r="I147" s="8"/>
      <c r="J147" s="8"/>
      <c r="K147" s="8"/>
      <c r="L147" s="8"/>
      <c r="M147" s="8"/>
      <c r="N147" s="8"/>
      <c r="O147" s="8"/>
      <c r="P147" s="8"/>
      <c r="Q147" s="8"/>
      <c r="R147" s="8"/>
      <c r="S147" s="8"/>
      <c r="T147" s="8"/>
      <c r="U147" s="8"/>
      <c r="V147" s="8"/>
      <c r="W147" s="8"/>
      <c r="X147" s="8"/>
      <c r="Y147" s="8"/>
      <c r="Z147" s="8"/>
      <c r="AA147" s="8"/>
      <c r="AB147" s="8"/>
      <c r="AC147" s="8"/>
      <c r="AD147" s="8"/>
      <c r="AE147" s="8"/>
      <c r="AF147" s="8"/>
      <c r="AG147" s="8"/>
      <c r="AH147" s="8"/>
      <c r="AI147" s="8"/>
      <c r="AJ147" s="8"/>
      <c r="AK147" s="8"/>
      <c r="AL147" s="8"/>
      <c r="AM147" s="8"/>
      <c r="AN147" s="8"/>
      <c r="AO147" s="8"/>
      <c r="AP147" s="8"/>
      <c r="AQ147" s="8"/>
    </row>
    <row r="148" spans="2:43" ht="15.95" hidden="1" customHeight="1">
      <c r="B148" s="834">
        <v>67</v>
      </c>
      <c r="C148" s="8"/>
      <c r="D148" s="8"/>
      <c r="E148" s="8"/>
      <c r="F148" s="8"/>
      <c r="G148" s="8"/>
      <c r="H148" s="8"/>
      <c r="I148" s="8"/>
      <c r="J148" s="8"/>
      <c r="K148" s="8"/>
      <c r="L148" s="8"/>
      <c r="M148" s="8"/>
      <c r="N148" s="8"/>
      <c r="O148" s="8"/>
      <c r="P148" s="8"/>
      <c r="Q148" s="8"/>
      <c r="R148" s="8"/>
      <c r="S148" s="8"/>
      <c r="T148" s="8"/>
      <c r="U148" s="8"/>
      <c r="V148" s="8"/>
      <c r="W148" s="8"/>
      <c r="X148" s="8"/>
      <c r="Y148" s="8"/>
      <c r="Z148" s="8"/>
      <c r="AA148" s="8"/>
      <c r="AB148" s="8"/>
      <c r="AC148" s="8"/>
      <c r="AD148" s="8"/>
      <c r="AE148" s="8"/>
      <c r="AF148" s="8"/>
      <c r="AG148" s="8"/>
      <c r="AH148" s="8"/>
      <c r="AI148" s="8"/>
      <c r="AJ148" s="8"/>
      <c r="AK148" s="8"/>
      <c r="AL148" s="8"/>
      <c r="AM148" s="8"/>
      <c r="AN148" s="8"/>
      <c r="AO148" s="8"/>
      <c r="AP148" s="8"/>
      <c r="AQ148" s="8"/>
    </row>
    <row r="149" spans="2:43" ht="15.95" hidden="1" customHeight="1">
      <c r="B149" s="834"/>
      <c r="C149" s="8"/>
      <c r="D149" s="8"/>
      <c r="E149" s="8"/>
      <c r="F149" s="8"/>
      <c r="G149" s="8"/>
      <c r="H149" s="8"/>
      <c r="I149" s="8"/>
      <c r="J149" s="8"/>
      <c r="K149" s="8"/>
      <c r="L149" s="8"/>
      <c r="M149" s="8"/>
      <c r="N149" s="8"/>
      <c r="O149" s="8"/>
      <c r="P149" s="8"/>
      <c r="Q149" s="8"/>
      <c r="R149" s="8"/>
      <c r="S149" s="8"/>
      <c r="T149" s="8"/>
      <c r="U149" s="8"/>
      <c r="V149" s="8"/>
      <c r="W149" s="8"/>
      <c r="X149" s="8"/>
      <c r="Y149" s="8"/>
      <c r="Z149" s="8"/>
      <c r="AA149" s="8"/>
      <c r="AB149" s="8"/>
      <c r="AC149" s="8"/>
      <c r="AD149" s="8"/>
      <c r="AE149" s="8"/>
      <c r="AF149" s="8"/>
      <c r="AG149" s="8"/>
      <c r="AH149" s="8"/>
      <c r="AI149" s="8"/>
      <c r="AJ149" s="8"/>
      <c r="AK149" s="8"/>
      <c r="AL149" s="8"/>
      <c r="AM149" s="8"/>
      <c r="AN149" s="8"/>
      <c r="AO149" s="8"/>
      <c r="AP149" s="8"/>
      <c r="AQ149" s="8"/>
    </row>
    <row r="150" spans="2:43" ht="15.95" hidden="1" customHeight="1">
      <c r="B150" s="834">
        <v>68</v>
      </c>
      <c r="C150" s="8"/>
      <c r="D150" s="8"/>
      <c r="E150" s="8"/>
      <c r="F150" s="8"/>
      <c r="G150" s="8"/>
      <c r="H150" s="8"/>
      <c r="I150" s="8"/>
      <c r="J150" s="8"/>
      <c r="K150" s="8"/>
      <c r="L150" s="8"/>
      <c r="M150" s="8"/>
      <c r="N150" s="8"/>
      <c r="O150" s="8"/>
      <c r="P150" s="8"/>
      <c r="Q150" s="8"/>
      <c r="R150" s="8"/>
      <c r="S150" s="8"/>
      <c r="T150" s="8"/>
      <c r="U150" s="8"/>
      <c r="V150" s="8"/>
      <c r="W150" s="8"/>
      <c r="X150" s="8"/>
      <c r="Y150" s="8"/>
      <c r="Z150" s="8"/>
      <c r="AA150" s="8"/>
      <c r="AB150" s="8"/>
      <c r="AC150" s="8"/>
      <c r="AD150" s="8"/>
      <c r="AE150" s="8"/>
      <c r="AF150" s="8"/>
      <c r="AG150" s="8"/>
      <c r="AH150" s="8"/>
      <c r="AI150" s="8"/>
      <c r="AJ150" s="8"/>
      <c r="AK150" s="8"/>
      <c r="AL150" s="8"/>
      <c r="AM150" s="8"/>
      <c r="AN150" s="8"/>
      <c r="AO150" s="8"/>
      <c r="AP150" s="8"/>
      <c r="AQ150" s="8"/>
    </row>
    <row r="151" spans="2:43" ht="15.95" hidden="1" customHeight="1">
      <c r="B151" s="834"/>
      <c r="C151" s="8"/>
      <c r="D151" s="8"/>
      <c r="E151" s="8"/>
      <c r="F151" s="8"/>
      <c r="G151" s="8"/>
      <c r="H151" s="8"/>
      <c r="I151" s="8"/>
      <c r="J151" s="8"/>
      <c r="K151" s="8"/>
      <c r="L151" s="8"/>
      <c r="M151" s="8"/>
      <c r="N151" s="8"/>
      <c r="O151" s="8"/>
      <c r="P151" s="8"/>
      <c r="Q151" s="8"/>
      <c r="R151" s="8"/>
      <c r="S151" s="8"/>
      <c r="T151" s="8"/>
      <c r="U151" s="8"/>
      <c r="V151" s="8"/>
      <c r="W151" s="8"/>
      <c r="X151" s="8"/>
      <c r="Y151" s="8"/>
      <c r="Z151" s="8"/>
      <c r="AA151" s="8"/>
      <c r="AB151" s="8"/>
      <c r="AC151" s="8"/>
      <c r="AD151" s="8"/>
      <c r="AE151" s="8"/>
      <c r="AF151" s="8"/>
      <c r="AG151" s="8"/>
      <c r="AH151" s="8"/>
      <c r="AI151" s="8"/>
      <c r="AJ151" s="8"/>
      <c r="AK151" s="8"/>
      <c r="AL151" s="8"/>
      <c r="AM151" s="8"/>
      <c r="AN151" s="8"/>
      <c r="AO151" s="8"/>
      <c r="AP151" s="8"/>
      <c r="AQ151" s="8"/>
    </row>
    <row r="152" spans="2:43" ht="15.95" hidden="1" customHeight="1">
      <c r="B152" s="834">
        <v>69</v>
      </c>
      <c r="C152" s="8"/>
      <c r="D152" s="8"/>
      <c r="E152" s="8"/>
      <c r="F152" s="8"/>
      <c r="G152" s="8"/>
      <c r="H152" s="8"/>
      <c r="I152" s="8"/>
      <c r="J152" s="8"/>
      <c r="K152" s="8"/>
      <c r="L152" s="8"/>
      <c r="M152" s="8"/>
      <c r="N152" s="8"/>
      <c r="O152" s="8"/>
      <c r="P152" s="8"/>
      <c r="Q152" s="8"/>
      <c r="R152" s="8"/>
      <c r="S152" s="8"/>
      <c r="T152" s="8"/>
      <c r="U152" s="8"/>
      <c r="V152" s="8"/>
      <c r="W152" s="8"/>
      <c r="X152" s="8"/>
      <c r="Y152" s="8"/>
      <c r="Z152" s="8"/>
      <c r="AA152" s="8"/>
      <c r="AB152" s="8"/>
      <c r="AC152" s="8"/>
      <c r="AD152" s="8"/>
      <c r="AE152" s="8"/>
      <c r="AF152" s="8"/>
      <c r="AG152" s="8"/>
      <c r="AH152" s="8"/>
      <c r="AI152" s="8"/>
      <c r="AJ152" s="8"/>
      <c r="AK152" s="8"/>
      <c r="AL152" s="8"/>
      <c r="AM152" s="8"/>
      <c r="AN152" s="8"/>
      <c r="AO152" s="8"/>
      <c r="AP152" s="8"/>
      <c r="AQ152" s="8"/>
    </row>
    <row r="153" spans="2:43" ht="15.95" hidden="1" customHeight="1">
      <c r="B153" s="834"/>
      <c r="C153" s="8"/>
      <c r="D153" s="8"/>
      <c r="E153" s="8"/>
      <c r="F153" s="8"/>
      <c r="G153" s="8"/>
      <c r="H153" s="8"/>
      <c r="I153" s="8"/>
      <c r="J153" s="8"/>
      <c r="K153" s="8"/>
      <c r="L153" s="8"/>
      <c r="M153" s="8"/>
      <c r="N153" s="8"/>
      <c r="O153" s="8"/>
      <c r="P153" s="8"/>
      <c r="Q153" s="8"/>
      <c r="R153" s="8"/>
      <c r="S153" s="8"/>
      <c r="T153" s="8"/>
      <c r="U153" s="8"/>
      <c r="V153" s="8"/>
      <c r="W153" s="8"/>
      <c r="X153" s="8"/>
      <c r="Y153" s="8"/>
      <c r="Z153" s="8"/>
      <c r="AA153" s="8"/>
      <c r="AB153" s="8"/>
      <c r="AC153" s="8"/>
      <c r="AD153" s="8"/>
      <c r="AE153" s="8"/>
      <c r="AF153" s="8"/>
      <c r="AG153" s="8"/>
      <c r="AH153" s="8"/>
      <c r="AI153" s="8"/>
      <c r="AJ153" s="8"/>
      <c r="AK153" s="8"/>
      <c r="AL153" s="8"/>
      <c r="AM153" s="8"/>
      <c r="AN153" s="8"/>
      <c r="AO153" s="8"/>
      <c r="AP153" s="8"/>
      <c r="AQ153" s="8"/>
    </row>
    <row r="154" spans="2:43" ht="15.95" hidden="1" customHeight="1">
      <c r="B154" s="834">
        <v>70</v>
      </c>
      <c r="C154" s="8"/>
      <c r="D154" s="8"/>
      <c r="E154" s="8"/>
      <c r="F154" s="8"/>
      <c r="G154" s="8"/>
      <c r="H154" s="8"/>
      <c r="I154" s="8"/>
      <c r="J154" s="8"/>
      <c r="K154" s="8"/>
      <c r="L154" s="8"/>
      <c r="M154" s="8"/>
      <c r="N154" s="8"/>
      <c r="O154" s="8"/>
      <c r="P154" s="8"/>
      <c r="Q154" s="8"/>
      <c r="R154" s="8"/>
      <c r="S154" s="8"/>
      <c r="T154" s="8"/>
      <c r="U154" s="8"/>
      <c r="V154" s="8"/>
      <c r="W154" s="8"/>
      <c r="X154" s="8"/>
      <c r="Y154" s="8"/>
      <c r="Z154" s="8"/>
      <c r="AA154" s="8"/>
      <c r="AB154" s="8"/>
      <c r="AC154" s="8"/>
      <c r="AD154" s="8"/>
      <c r="AE154" s="8"/>
      <c r="AF154" s="8"/>
      <c r="AG154" s="8"/>
      <c r="AH154" s="8"/>
      <c r="AI154" s="8"/>
      <c r="AJ154" s="8"/>
      <c r="AK154" s="8"/>
      <c r="AL154" s="8"/>
      <c r="AM154" s="8"/>
      <c r="AN154" s="8"/>
      <c r="AO154" s="8"/>
      <c r="AP154" s="8"/>
      <c r="AQ154" s="8"/>
    </row>
    <row r="155" spans="2:43" ht="15.95" hidden="1" customHeight="1">
      <c r="B155" s="834"/>
      <c r="C155" s="8"/>
      <c r="D155" s="8"/>
      <c r="E155" s="8"/>
      <c r="F155" s="8"/>
      <c r="G155" s="8"/>
      <c r="H155" s="8"/>
      <c r="I155" s="8"/>
      <c r="J155" s="8"/>
      <c r="K155" s="8"/>
      <c r="L155" s="8"/>
      <c r="M155" s="8"/>
      <c r="N155" s="8"/>
      <c r="O155" s="8"/>
      <c r="P155" s="8"/>
      <c r="Q155" s="8"/>
      <c r="R155" s="8"/>
      <c r="S155" s="8"/>
      <c r="T155" s="8"/>
      <c r="U155" s="8"/>
      <c r="V155" s="8"/>
      <c r="W155" s="8"/>
      <c r="X155" s="8"/>
      <c r="Y155" s="8"/>
      <c r="Z155" s="8"/>
      <c r="AA155" s="8"/>
      <c r="AB155" s="8"/>
      <c r="AC155" s="8"/>
      <c r="AD155" s="8"/>
      <c r="AE155" s="8"/>
      <c r="AF155" s="8"/>
      <c r="AG155" s="8"/>
      <c r="AH155" s="8"/>
      <c r="AI155" s="8"/>
      <c r="AJ155" s="8"/>
      <c r="AK155" s="8"/>
      <c r="AL155" s="8"/>
      <c r="AM155" s="8"/>
      <c r="AN155" s="8"/>
      <c r="AO155" s="8"/>
      <c r="AP155" s="8"/>
      <c r="AQ155" s="8"/>
    </row>
    <row r="156" spans="2:43" ht="15.95" hidden="1" customHeight="1">
      <c r="B156" s="834">
        <v>71</v>
      </c>
      <c r="C156" s="8"/>
      <c r="D156" s="8"/>
      <c r="E156" s="8"/>
      <c r="F156" s="8"/>
      <c r="G156" s="8"/>
      <c r="H156" s="8"/>
      <c r="I156" s="8"/>
      <c r="J156" s="8"/>
      <c r="K156" s="8"/>
      <c r="L156" s="8"/>
      <c r="M156" s="8"/>
      <c r="N156" s="8"/>
      <c r="O156" s="8"/>
      <c r="P156" s="8"/>
      <c r="Q156" s="8"/>
      <c r="R156" s="8"/>
      <c r="S156" s="8"/>
      <c r="T156" s="8"/>
      <c r="U156" s="8"/>
      <c r="V156" s="8"/>
      <c r="W156" s="8"/>
      <c r="X156" s="8"/>
      <c r="Y156" s="8"/>
      <c r="Z156" s="8"/>
      <c r="AA156" s="8"/>
      <c r="AB156" s="8"/>
      <c r="AC156" s="8"/>
      <c r="AD156" s="8"/>
      <c r="AE156" s="8"/>
      <c r="AF156" s="8"/>
      <c r="AG156" s="8"/>
      <c r="AH156" s="8"/>
      <c r="AI156" s="8"/>
      <c r="AJ156" s="8"/>
      <c r="AK156" s="8"/>
      <c r="AL156" s="8"/>
      <c r="AM156" s="8"/>
      <c r="AN156" s="8"/>
      <c r="AO156" s="8"/>
      <c r="AP156" s="8"/>
      <c r="AQ156" s="8"/>
    </row>
    <row r="157" spans="2:43" ht="15.95" hidden="1" customHeight="1">
      <c r="B157" s="834"/>
      <c r="C157" s="8"/>
      <c r="D157" s="8"/>
      <c r="E157" s="8"/>
      <c r="F157" s="8"/>
      <c r="G157" s="8"/>
      <c r="H157" s="8"/>
      <c r="I157" s="8"/>
      <c r="J157" s="8"/>
      <c r="K157" s="8"/>
      <c r="L157" s="8"/>
      <c r="M157" s="8"/>
      <c r="N157" s="8"/>
      <c r="O157" s="8"/>
      <c r="P157" s="8"/>
      <c r="Q157" s="8"/>
      <c r="R157" s="8"/>
      <c r="S157" s="8"/>
      <c r="T157" s="8"/>
      <c r="U157" s="8"/>
      <c r="V157" s="8"/>
      <c r="W157" s="8"/>
      <c r="X157" s="8"/>
      <c r="Y157" s="8"/>
      <c r="Z157" s="8"/>
      <c r="AA157" s="8"/>
      <c r="AB157" s="8"/>
      <c r="AC157" s="8"/>
      <c r="AD157" s="8"/>
      <c r="AE157" s="8"/>
      <c r="AF157" s="8"/>
      <c r="AG157" s="8"/>
      <c r="AH157" s="8"/>
      <c r="AI157" s="8"/>
      <c r="AJ157" s="8"/>
      <c r="AK157" s="8"/>
      <c r="AL157" s="8"/>
      <c r="AM157" s="8"/>
      <c r="AN157" s="8"/>
      <c r="AO157" s="8"/>
      <c r="AP157" s="8"/>
      <c r="AQ157" s="8"/>
    </row>
    <row r="158" spans="2:43" ht="15.95" hidden="1" customHeight="1">
      <c r="B158" s="834">
        <v>72</v>
      </c>
      <c r="C158" s="8"/>
      <c r="D158" s="8"/>
      <c r="E158" s="8"/>
      <c r="F158" s="8"/>
      <c r="G158" s="8"/>
      <c r="H158" s="8"/>
      <c r="I158" s="8"/>
      <c r="J158" s="8"/>
      <c r="K158" s="8"/>
      <c r="L158" s="8"/>
      <c r="M158" s="8"/>
      <c r="N158" s="8"/>
      <c r="O158" s="8"/>
      <c r="P158" s="8"/>
      <c r="Q158" s="8"/>
      <c r="R158" s="8"/>
      <c r="S158" s="8"/>
      <c r="T158" s="8"/>
      <c r="U158" s="8"/>
      <c r="V158" s="8"/>
      <c r="W158" s="8"/>
      <c r="X158" s="8"/>
      <c r="Y158" s="8"/>
      <c r="Z158" s="8"/>
      <c r="AA158" s="8"/>
      <c r="AB158" s="8"/>
      <c r="AC158" s="8"/>
      <c r="AD158" s="8"/>
      <c r="AE158" s="8"/>
      <c r="AF158" s="8"/>
      <c r="AG158" s="8"/>
      <c r="AH158" s="8"/>
      <c r="AI158" s="8"/>
      <c r="AJ158" s="8"/>
      <c r="AK158" s="8"/>
      <c r="AL158" s="8"/>
      <c r="AM158" s="8"/>
      <c r="AN158" s="8"/>
      <c r="AO158" s="8"/>
      <c r="AP158" s="8"/>
      <c r="AQ158" s="8"/>
    </row>
    <row r="159" spans="2:43" ht="15.95" hidden="1" customHeight="1">
      <c r="B159" s="834"/>
      <c r="C159" s="8"/>
      <c r="D159" s="8"/>
      <c r="E159" s="8"/>
      <c r="F159" s="8"/>
      <c r="G159" s="8"/>
      <c r="H159" s="8"/>
      <c r="I159" s="8"/>
      <c r="J159" s="8"/>
      <c r="K159" s="8"/>
      <c r="L159" s="8"/>
      <c r="M159" s="8"/>
      <c r="N159" s="8"/>
      <c r="O159" s="8"/>
      <c r="P159" s="8"/>
      <c r="Q159" s="8"/>
      <c r="R159" s="8"/>
      <c r="S159" s="8"/>
      <c r="T159" s="8"/>
      <c r="U159" s="8"/>
      <c r="V159" s="8"/>
      <c r="W159" s="8"/>
      <c r="X159" s="8"/>
      <c r="Y159" s="8"/>
      <c r="Z159" s="8"/>
      <c r="AA159" s="8"/>
      <c r="AB159" s="8"/>
      <c r="AC159" s="8"/>
      <c r="AD159" s="8"/>
      <c r="AE159" s="8"/>
      <c r="AF159" s="8"/>
      <c r="AG159" s="8"/>
      <c r="AH159" s="8"/>
      <c r="AI159" s="8"/>
      <c r="AJ159" s="8"/>
      <c r="AK159" s="8"/>
      <c r="AL159" s="8"/>
      <c r="AM159" s="8"/>
      <c r="AN159" s="8"/>
      <c r="AO159" s="8"/>
      <c r="AP159" s="8"/>
      <c r="AQ159" s="8"/>
    </row>
    <row r="160" spans="2:43" ht="15.95" hidden="1" customHeight="1">
      <c r="B160" s="834">
        <v>73</v>
      </c>
      <c r="C160" s="8"/>
      <c r="D160" s="8"/>
      <c r="E160" s="8"/>
      <c r="F160" s="8"/>
      <c r="G160" s="8"/>
      <c r="H160" s="8"/>
      <c r="I160" s="8"/>
      <c r="J160" s="8"/>
      <c r="K160" s="8"/>
      <c r="L160" s="8"/>
      <c r="M160" s="8"/>
      <c r="N160" s="8"/>
      <c r="O160" s="8"/>
      <c r="P160" s="8"/>
      <c r="Q160" s="8"/>
      <c r="R160" s="8"/>
      <c r="S160" s="8"/>
      <c r="T160" s="8"/>
      <c r="U160" s="8"/>
      <c r="V160" s="8"/>
      <c r="W160" s="8"/>
      <c r="X160" s="8"/>
      <c r="Y160" s="8"/>
      <c r="Z160" s="8"/>
      <c r="AA160" s="8"/>
      <c r="AB160" s="8"/>
      <c r="AC160" s="8"/>
      <c r="AD160" s="8"/>
      <c r="AE160" s="8"/>
      <c r="AF160" s="8"/>
      <c r="AG160" s="8"/>
      <c r="AH160" s="8"/>
      <c r="AI160" s="8"/>
      <c r="AJ160" s="8"/>
      <c r="AK160" s="8"/>
      <c r="AL160" s="8"/>
      <c r="AM160" s="8"/>
      <c r="AN160" s="8"/>
      <c r="AO160" s="8"/>
      <c r="AP160" s="8"/>
      <c r="AQ160" s="8"/>
    </row>
    <row r="161" spans="2:43" ht="15.95" hidden="1" customHeight="1">
      <c r="B161" s="834"/>
      <c r="C161" s="8"/>
      <c r="D161" s="8"/>
      <c r="E161" s="8"/>
      <c r="F161" s="8"/>
      <c r="G161" s="8"/>
      <c r="H161" s="8"/>
      <c r="I161" s="8"/>
      <c r="J161" s="8"/>
      <c r="K161" s="8"/>
      <c r="L161" s="8"/>
      <c r="M161" s="8"/>
      <c r="N161" s="8"/>
      <c r="O161" s="8"/>
      <c r="P161" s="8"/>
      <c r="Q161" s="8"/>
      <c r="R161" s="8"/>
      <c r="S161" s="8"/>
      <c r="T161" s="8"/>
      <c r="U161" s="8"/>
      <c r="V161" s="8"/>
      <c r="W161" s="8"/>
      <c r="X161" s="8"/>
      <c r="Y161" s="8"/>
      <c r="Z161" s="8"/>
      <c r="AA161" s="8"/>
      <c r="AB161" s="8"/>
      <c r="AC161" s="8"/>
      <c r="AD161" s="8"/>
      <c r="AE161" s="8"/>
      <c r="AF161" s="8"/>
      <c r="AG161" s="8"/>
      <c r="AH161" s="8"/>
      <c r="AI161" s="8"/>
      <c r="AJ161" s="8"/>
      <c r="AK161" s="8"/>
      <c r="AL161" s="8"/>
      <c r="AM161" s="8"/>
      <c r="AN161" s="8"/>
      <c r="AO161" s="8"/>
      <c r="AP161" s="8"/>
      <c r="AQ161" s="8"/>
    </row>
    <row r="162" spans="2:43" ht="15.95" hidden="1" customHeight="1">
      <c r="B162" s="834">
        <v>74</v>
      </c>
      <c r="C162" s="8"/>
      <c r="D162" s="8"/>
      <c r="E162" s="8"/>
      <c r="F162" s="8"/>
      <c r="G162" s="8"/>
      <c r="H162" s="8"/>
      <c r="I162" s="8"/>
      <c r="J162" s="8"/>
      <c r="K162" s="8"/>
      <c r="L162" s="8"/>
      <c r="M162" s="8"/>
      <c r="N162" s="8"/>
      <c r="O162" s="8"/>
      <c r="P162" s="8"/>
      <c r="Q162" s="8"/>
      <c r="R162" s="8"/>
      <c r="S162" s="8"/>
      <c r="T162" s="8"/>
      <c r="U162" s="8"/>
      <c r="V162" s="8"/>
      <c r="W162" s="8"/>
      <c r="X162" s="8"/>
      <c r="Y162" s="8"/>
      <c r="Z162" s="8"/>
      <c r="AA162" s="8"/>
      <c r="AB162" s="8"/>
      <c r="AC162" s="8"/>
      <c r="AD162" s="8"/>
      <c r="AE162" s="8"/>
      <c r="AF162" s="8"/>
      <c r="AG162" s="8"/>
      <c r="AH162" s="8"/>
      <c r="AI162" s="8"/>
      <c r="AJ162" s="8"/>
      <c r="AK162" s="8"/>
      <c r="AL162" s="8"/>
      <c r="AM162" s="8"/>
      <c r="AN162" s="8"/>
      <c r="AO162" s="8"/>
      <c r="AP162" s="8"/>
      <c r="AQ162" s="8"/>
    </row>
    <row r="163" spans="2:43" ht="15.95" hidden="1" customHeight="1">
      <c r="B163" s="834"/>
      <c r="C163" s="8"/>
      <c r="D163" s="8"/>
      <c r="E163" s="8"/>
      <c r="F163" s="8"/>
      <c r="G163" s="8"/>
      <c r="H163" s="8"/>
      <c r="I163" s="8"/>
      <c r="J163" s="8"/>
      <c r="K163" s="8"/>
      <c r="L163" s="8"/>
      <c r="M163" s="8"/>
      <c r="N163" s="8"/>
      <c r="O163" s="8"/>
      <c r="P163" s="8"/>
      <c r="Q163" s="8"/>
      <c r="R163" s="8"/>
      <c r="S163" s="8"/>
      <c r="T163" s="8"/>
      <c r="U163" s="8"/>
      <c r="V163" s="8"/>
      <c r="W163" s="8"/>
      <c r="X163" s="8"/>
      <c r="Y163" s="8"/>
      <c r="Z163" s="8"/>
      <c r="AA163" s="8"/>
      <c r="AB163" s="8"/>
      <c r="AC163" s="8"/>
      <c r="AD163" s="8"/>
      <c r="AE163" s="8"/>
      <c r="AF163" s="8"/>
      <c r="AG163" s="8"/>
      <c r="AH163" s="8"/>
      <c r="AI163" s="8"/>
      <c r="AJ163" s="8"/>
      <c r="AK163" s="8"/>
      <c r="AL163" s="8"/>
      <c r="AM163" s="8"/>
      <c r="AN163" s="8"/>
      <c r="AO163" s="8"/>
      <c r="AP163" s="8"/>
      <c r="AQ163" s="8"/>
    </row>
    <row r="164" spans="2:43" ht="15.95" hidden="1" customHeight="1">
      <c r="B164" s="834">
        <v>75</v>
      </c>
      <c r="C164" s="8"/>
      <c r="D164" s="8"/>
      <c r="E164" s="8"/>
      <c r="F164" s="8"/>
      <c r="G164" s="8"/>
      <c r="H164" s="8"/>
      <c r="I164" s="8"/>
      <c r="J164" s="8"/>
      <c r="K164" s="8"/>
      <c r="L164" s="8"/>
      <c r="M164" s="8"/>
      <c r="N164" s="8"/>
      <c r="O164" s="8"/>
      <c r="P164" s="8"/>
      <c r="Q164" s="8"/>
      <c r="R164" s="8"/>
      <c r="S164" s="8"/>
      <c r="T164" s="8"/>
      <c r="U164" s="8"/>
      <c r="V164" s="8"/>
      <c r="W164" s="8"/>
      <c r="X164" s="8"/>
      <c r="Y164" s="8"/>
      <c r="Z164" s="8"/>
      <c r="AA164" s="8"/>
      <c r="AB164" s="8"/>
      <c r="AC164" s="8"/>
      <c r="AD164" s="8"/>
      <c r="AE164" s="8"/>
      <c r="AF164" s="8"/>
      <c r="AG164" s="8"/>
      <c r="AH164" s="8"/>
      <c r="AI164" s="8"/>
      <c r="AJ164" s="8"/>
      <c r="AK164" s="8"/>
      <c r="AL164" s="8"/>
      <c r="AM164" s="8"/>
      <c r="AN164" s="8"/>
      <c r="AO164" s="8"/>
      <c r="AP164" s="8"/>
      <c r="AQ164" s="8"/>
    </row>
    <row r="165" spans="2:43" ht="15.95" hidden="1" customHeight="1">
      <c r="B165" s="834"/>
      <c r="C165" s="8"/>
      <c r="D165" s="8"/>
      <c r="E165" s="8"/>
      <c r="F165" s="8"/>
      <c r="G165" s="8"/>
      <c r="H165" s="8"/>
      <c r="I165" s="8"/>
      <c r="J165" s="8"/>
      <c r="K165" s="8"/>
      <c r="L165" s="8"/>
      <c r="M165" s="8"/>
      <c r="N165" s="8"/>
      <c r="O165" s="8"/>
      <c r="P165" s="8"/>
      <c r="Q165" s="8"/>
      <c r="R165" s="8"/>
      <c r="S165" s="8"/>
      <c r="T165" s="8"/>
      <c r="U165" s="8"/>
      <c r="V165" s="8"/>
      <c r="W165" s="8"/>
      <c r="X165" s="8"/>
      <c r="Y165" s="8"/>
      <c r="Z165" s="8"/>
      <c r="AA165" s="8"/>
      <c r="AB165" s="8"/>
      <c r="AC165" s="8"/>
      <c r="AD165" s="8"/>
      <c r="AE165" s="8"/>
      <c r="AF165" s="8"/>
      <c r="AG165" s="8"/>
      <c r="AH165" s="8"/>
      <c r="AI165" s="8"/>
      <c r="AJ165" s="8"/>
      <c r="AK165" s="8"/>
      <c r="AL165" s="8"/>
      <c r="AM165" s="8"/>
      <c r="AN165" s="8"/>
      <c r="AO165" s="8"/>
      <c r="AP165" s="8"/>
      <c r="AQ165" s="8"/>
    </row>
    <row r="166" spans="2:43" ht="15.95" hidden="1" customHeight="1">
      <c r="B166" s="834">
        <v>76</v>
      </c>
      <c r="C166" s="8"/>
      <c r="D166" s="8"/>
      <c r="E166" s="8"/>
      <c r="F166" s="8"/>
      <c r="G166" s="8"/>
      <c r="H166" s="8"/>
      <c r="I166" s="8"/>
      <c r="J166" s="8"/>
      <c r="K166" s="8"/>
      <c r="L166" s="8"/>
      <c r="M166" s="8"/>
      <c r="N166" s="8"/>
      <c r="O166" s="8"/>
      <c r="P166" s="8"/>
      <c r="Q166" s="8"/>
      <c r="R166" s="8"/>
      <c r="S166" s="8"/>
      <c r="T166" s="8"/>
      <c r="U166" s="8"/>
      <c r="V166" s="8"/>
      <c r="W166" s="8"/>
      <c r="X166" s="8"/>
      <c r="Y166" s="8"/>
      <c r="Z166" s="8"/>
      <c r="AA166" s="8"/>
      <c r="AB166" s="8"/>
      <c r="AC166" s="8"/>
      <c r="AD166" s="8"/>
      <c r="AE166" s="8"/>
      <c r="AF166" s="8"/>
      <c r="AG166" s="8"/>
      <c r="AH166" s="8"/>
      <c r="AI166" s="8"/>
      <c r="AJ166" s="8"/>
      <c r="AK166" s="8"/>
      <c r="AL166" s="8"/>
      <c r="AM166" s="8"/>
      <c r="AN166" s="8"/>
      <c r="AO166" s="8"/>
      <c r="AP166" s="8"/>
      <c r="AQ166" s="8"/>
    </row>
    <row r="167" spans="2:43" ht="15.95" hidden="1" customHeight="1">
      <c r="B167" s="834"/>
      <c r="C167" s="8"/>
      <c r="D167" s="8"/>
      <c r="E167" s="8"/>
      <c r="F167" s="8"/>
      <c r="G167" s="8"/>
      <c r="H167" s="8"/>
      <c r="I167" s="8"/>
      <c r="J167" s="8"/>
      <c r="K167" s="8"/>
      <c r="L167" s="8"/>
      <c r="M167" s="8"/>
      <c r="N167" s="8"/>
      <c r="O167" s="8"/>
      <c r="P167" s="8"/>
      <c r="Q167" s="8"/>
      <c r="R167" s="8"/>
      <c r="S167" s="8"/>
      <c r="T167" s="8"/>
      <c r="U167" s="8"/>
      <c r="V167" s="8"/>
      <c r="W167" s="8"/>
      <c r="X167" s="8"/>
      <c r="Y167" s="8"/>
      <c r="Z167" s="8"/>
      <c r="AA167" s="8"/>
      <c r="AB167" s="8"/>
      <c r="AC167" s="8"/>
      <c r="AD167" s="8"/>
      <c r="AE167" s="8"/>
      <c r="AF167" s="8"/>
      <c r="AG167" s="8"/>
      <c r="AH167" s="8"/>
      <c r="AI167" s="8"/>
      <c r="AJ167" s="8"/>
      <c r="AK167" s="8"/>
      <c r="AL167" s="8"/>
      <c r="AM167" s="8"/>
      <c r="AN167" s="8"/>
      <c r="AO167" s="8"/>
      <c r="AP167" s="8"/>
      <c r="AQ167" s="8"/>
    </row>
    <row r="168" spans="2:43" ht="15.95" hidden="1" customHeight="1">
      <c r="B168" s="834">
        <v>77</v>
      </c>
      <c r="C168" s="8"/>
      <c r="D168" s="8"/>
      <c r="E168" s="8"/>
      <c r="F168" s="8"/>
      <c r="G168" s="8"/>
      <c r="H168" s="8"/>
      <c r="I168" s="8"/>
      <c r="J168" s="8"/>
      <c r="K168" s="8"/>
      <c r="L168" s="8"/>
      <c r="M168" s="8"/>
      <c r="N168" s="8"/>
      <c r="O168" s="8"/>
      <c r="P168" s="8"/>
      <c r="Q168" s="8"/>
      <c r="R168" s="8"/>
      <c r="S168" s="8"/>
      <c r="T168" s="8"/>
      <c r="U168" s="8"/>
      <c r="V168" s="8"/>
      <c r="W168" s="8"/>
      <c r="X168" s="8"/>
      <c r="Y168" s="8"/>
      <c r="Z168" s="8"/>
      <c r="AA168" s="8"/>
      <c r="AB168" s="8"/>
      <c r="AC168" s="8"/>
      <c r="AD168" s="8"/>
      <c r="AE168" s="8"/>
      <c r="AF168" s="8"/>
      <c r="AG168" s="8"/>
      <c r="AH168" s="8"/>
      <c r="AI168" s="8"/>
      <c r="AJ168" s="8"/>
      <c r="AK168" s="8"/>
      <c r="AL168" s="8"/>
      <c r="AM168" s="8"/>
      <c r="AN168" s="8"/>
      <c r="AO168" s="8"/>
      <c r="AP168" s="8"/>
      <c r="AQ168" s="8"/>
    </row>
    <row r="169" spans="2:43" ht="15.95" hidden="1" customHeight="1">
      <c r="B169" s="834"/>
      <c r="C169" s="8"/>
      <c r="D169" s="8"/>
      <c r="E169" s="8"/>
      <c r="F169" s="8"/>
      <c r="G169" s="8"/>
      <c r="H169" s="8"/>
      <c r="I169" s="8"/>
      <c r="J169" s="8"/>
      <c r="K169" s="8"/>
      <c r="L169" s="8"/>
      <c r="M169" s="8"/>
      <c r="N169" s="8"/>
      <c r="O169" s="8"/>
      <c r="P169" s="8"/>
      <c r="Q169" s="8"/>
      <c r="R169" s="8"/>
      <c r="S169" s="8"/>
      <c r="T169" s="8"/>
      <c r="U169" s="8"/>
      <c r="V169" s="8"/>
      <c r="W169" s="8"/>
      <c r="X169" s="8"/>
      <c r="Y169" s="8"/>
      <c r="Z169" s="8"/>
      <c r="AA169" s="8"/>
      <c r="AB169" s="8"/>
      <c r="AC169" s="8"/>
      <c r="AD169" s="8"/>
      <c r="AE169" s="8"/>
      <c r="AF169" s="8"/>
      <c r="AG169" s="8"/>
      <c r="AH169" s="8"/>
      <c r="AI169" s="8"/>
      <c r="AJ169" s="8"/>
      <c r="AK169" s="8"/>
      <c r="AL169" s="8"/>
      <c r="AM169" s="8"/>
      <c r="AN169" s="8"/>
      <c r="AO169" s="8"/>
      <c r="AP169" s="8"/>
      <c r="AQ169" s="8"/>
    </row>
    <row r="170" spans="2:43" ht="15.95" hidden="1" customHeight="1">
      <c r="B170" s="834">
        <v>78</v>
      </c>
      <c r="C170" s="8"/>
      <c r="D170" s="8"/>
      <c r="E170" s="8"/>
      <c r="F170" s="8"/>
      <c r="G170" s="8"/>
      <c r="H170" s="8"/>
      <c r="I170" s="8"/>
      <c r="J170" s="8"/>
      <c r="K170" s="8"/>
      <c r="L170" s="8"/>
      <c r="M170" s="8"/>
      <c r="N170" s="8"/>
      <c r="O170" s="8"/>
      <c r="P170" s="8"/>
      <c r="Q170" s="8"/>
      <c r="R170" s="8"/>
      <c r="S170" s="8"/>
      <c r="T170" s="8"/>
      <c r="U170" s="8"/>
      <c r="V170" s="8"/>
      <c r="W170" s="8"/>
      <c r="X170" s="8"/>
      <c r="Y170" s="8"/>
      <c r="Z170" s="8"/>
      <c r="AA170" s="8"/>
      <c r="AB170" s="8"/>
      <c r="AC170" s="8"/>
      <c r="AD170" s="8"/>
      <c r="AE170" s="8"/>
      <c r="AF170" s="8"/>
      <c r="AG170" s="8"/>
      <c r="AH170" s="8"/>
      <c r="AI170" s="8"/>
      <c r="AJ170" s="8"/>
      <c r="AK170" s="8"/>
      <c r="AL170" s="8"/>
      <c r="AM170" s="8"/>
      <c r="AN170" s="8"/>
      <c r="AO170" s="8"/>
      <c r="AP170" s="8"/>
      <c r="AQ170" s="8"/>
    </row>
    <row r="171" spans="2:43" ht="15.95" hidden="1" customHeight="1">
      <c r="B171" s="834"/>
      <c r="C171" s="8"/>
      <c r="D171" s="8"/>
      <c r="E171" s="8"/>
      <c r="F171" s="8"/>
      <c r="G171" s="8"/>
      <c r="H171" s="8"/>
      <c r="I171" s="8"/>
      <c r="J171" s="8"/>
      <c r="K171" s="8"/>
      <c r="L171" s="8"/>
      <c r="M171" s="8"/>
      <c r="N171" s="8"/>
      <c r="O171" s="8"/>
      <c r="P171" s="8"/>
      <c r="Q171" s="8"/>
      <c r="R171" s="8"/>
      <c r="S171" s="8"/>
      <c r="T171" s="8"/>
      <c r="U171" s="8"/>
      <c r="V171" s="8"/>
      <c r="W171" s="8"/>
      <c r="X171" s="8"/>
      <c r="Y171" s="8"/>
      <c r="Z171" s="8"/>
      <c r="AA171" s="8"/>
      <c r="AB171" s="8"/>
      <c r="AC171" s="8"/>
      <c r="AD171" s="8"/>
      <c r="AE171" s="8"/>
      <c r="AF171" s="8"/>
      <c r="AG171" s="8"/>
      <c r="AH171" s="8"/>
      <c r="AI171" s="8"/>
      <c r="AJ171" s="8"/>
      <c r="AK171" s="8"/>
      <c r="AL171" s="8"/>
      <c r="AM171" s="8"/>
      <c r="AN171" s="8"/>
      <c r="AO171" s="8"/>
      <c r="AP171" s="8"/>
      <c r="AQ171" s="8"/>
    </row>
    <row r="172" spans="2:43" ht="15.95" hidden="1" customHeight="1">
      <c r="B172" s="834">
        <v>79</v>
      </c>
      <c r="C172" s="8"/>
      <c r="D172" s="8"/>
      <c r="E172" s="8"/>
      <c r="F172" s="8"/>
      <c r="G172" s="8"/>
      <c r="H172" s="8"/>
      <c r="I172" s="8"/>
      <c r="J172" s="8"/>
      <c r="K172" s="8"/>
      <c r="L172" s="8"/>
      <c r="M172" s="8"/>
      <c r="N172" s="8"/>
      <c r="O172" s="8"/>
      <c r="P172" s="8"/>
      <c r="Q172" s="8"/>
      <c r="R172" s="8"/>
      <c r="S172" s="8"/>
      <c r="T172" s="8"/>
      <c r="U172" s="8"/>
      <c r="V172" s="8"/>
      <c r="W172" s="8"/>
      <c r="X172" s="8"/>
      <c r="Y172" s="8"/>
      <c r="Z172" s="8"/>
      <c r="AA172" s="8"/>
      <c r="AB172" s="8"/>
      <c r="AC172" s="8"/>
      <c r="AD172" s="8"/>
      <c r="AE172" s="8"/>
      <c r="AF172" s="8"/>
      <c r="AG172" s="8"/>
      <c r="AH172" s="8"/>
      <c r="AI172" s="8"/>
      <c r="AJ172" s="8"/>
      <c r="AK172" s="8"/>
      <c r="AL172" s="8"/>
      <c r="AM172" s="8"/>
      <c r="AN172" s="8"/>
      <c r="AO172" s="8"/>
      <c r="AP172" s="8"/>
      <c r="AQ172" s="8"/>
    </row>
    <row r="173" spans="2:43" ht="15.95" hidden="1" customHeight="1">
      <c r="B173" s="834"/>
      <c r="C173" s="8"/>
      <c r="D173" s="8"/>
      <c r="E173" s="8"/>
      <c r="F173" s="8"/>
      <c r="G173" s="8"/>
      <c r="H173" s="8"/>
      <c r="I173" s="8"/>
      <c r="J173" s="8"/>
      <c r="K173" s="8"/>
      <c r="L173" s="8"/>
      <c r="M173" s="8"/>
      <c r="N173" s="8"/>
      <c r="O173" s="8"/>
      <c r="P173" s="8"/>
      <c r="Q173" s="8"/>
      <c r="R173" s="8"/>
      <c r="S173" s="8"/>
      <c r="T173" s="8"/>
      <c r="U173" s="8"/>
      <c r="V173" s="8"/>
      <c r="W173" s="8"/>
      <c r="X173" s="8"/>
      <c r="Y173" s="8"/>
      <c r="Z173" s="8"/>
      <c r="AA173" s="8"/>
      <c r="AB173" s="8"/>
      <c r="AC173" s="8"/>
      <c r="AD173" s="8"/>
      <c r="AE173" s="8"/>
      <c r="AF173" s="8"/>
      <c r="AG173" s="8"/>
      <c r="AH173" s="8"/>
      <c r="AI173" s="8"/>
      <c r="AJ173" s="8"/>
      <c r="AK173" s="8"/>
      <c r="AL173" s="8"/>
      <c r="AM173" s="8"/>
      <c r="AN173" s="8"/>
      <c r="AO173" s="8"/>
      <c r="AP173" s="8"/>
      <c r="AQ173" s="8"/>
    </row>
    <row r="174" spans="2:43" ht="15.95" hidden="1" customHeight="1">
      <c r="B174" s="834">
        <v>80</v>
      </c>
      <c r="C174" s="8"/>
      <c r="D174" s="8"/>
      <c r="E174" s="8"/>
      <c r="F174" s="8"/>
      <c r="G174" s="8"/>
      <c r="H174" s="8"/>
      <c r="I174" s="8"/>
      <c r="J174" s="8"/>
      <c r="K174" s="8"/>
      <c r="L174" s="8"/>
      <c r="M174" s="8"/>
      <c r="N174" s="8"/>
      <c r="O174" s="8"/>
      <c r="P174" s="8"/>
      <c r="Q174" s="8"/>
      <c r="R174" s="8"/>
      <c r="S174" s="8"/>
      <c r="T174" s="8"/>
      <c r="U174" s="8"/>
      <c r="V174" s="8"/>
      <c r="W174" s="8"/>
      <c r="X174" s="8"/>
      <c r="Y174" s="8"/>
      <c r="Z174" s="8"/>
      <c r="AA174" s="8"/>
      <c r="AB174" s="8"/>
      <c r="AC174" s="8"/>
      <c r="AD174" s="8"/>
      <c r="AE174" s="8"/>
      <c r="AF174" s="8"/>
      <c r="AG174" s="8"/>
      <c r="AH174" s="8"/>
      <c r="AI174" s="8"/>
      <c r="AJ174" s="8"/>
      <c r="AK174" s="8"/>
      <c r="AL174" s="8"/>
      <c r="AM174" s="8"/>
      <c r="AN174" s="8"/>
      <c r="AO174" s="8"/>
      <c r="AP174" s="8"/>
      <c r="AQ174" s="8"/>
    </row>
    <row r="175" spans="2:43" ht="15.95" hidden="1" customHeight="1">
      <c r="B175" s="834"/>
      <c r="C175" s="8"/>
      <c r="D175" s="8"/>
      <c r="E175" s="8"/>
      <c r="F175" s="8"/>
      <c r="G175" s="8"/>
      <c r="H175" s="8"/>
      <c r="I175" s="8"/>
      <c r="J175" s="8"/>
      <c r="K175" s="8"/>
      <c r="L175" s="8"/>
      <c r="M175" s="8"/>
      <c r="N175" s="8"/>
      <c r="O175" s="8"/>
      <c r="P175" s="8"/>
      <c r="Q175" s="8"/>
      <c r="R175" s="8"/>
      <c r="S175" s="8"/>
      <c r="T175" s="8"/>
      <c r="U175" s="8"/>
      <c r="V175" s="8"/>
      <c r="W175" s="8"/>
      <c r="X175" s="8"/>
      <c r="Y175" s="8"/>
      <c r="Z175" s="8"/>
      <c r="AA175" s="8"/>
      <c r="AB175" s="8"/>
      <c r="AC175" s="8"/>
      <c r="AD175" s="8"/>
      <c r="AE175" s="8"/>
      <c r="AF175" s="8"/>
      <c r="AG175" s="8"/>
      <c r="AH175" s="8"/>
      <c r="AI175" s="8"/>
      <c r="AJ175" s="8"/>
      <c r="AK175" s="8"/>
      <c r="AL175" s="8"/>
      <c r="AM175" s="8"/>
      <c r="AN175" s="8"/>
      <c r="AO175" s="8"/>
      <c r="AP175" s="8"/>
      <c r="AQ175" s="8"/>
    </row>
    <row r="176" spans="2:43" ht="15.95" hidden="1" customHeight="1">
      <c r="B176" s="834">
        <v>81</v>
      </c>
      <c r="C176" s="8"/>
      <c r="D176" s="8"/>
      <c r="E176" s="8"/>
      <c r="F176" s="8"/>
      <c r="G176" s="8"/>
      <c r="H176" s="8"/>
      <c r="I176" s="8"/>
      <c r="J176" s="8"/>
      <c r="K176" s="8"/>
      <c r="L176" s="8"/>
      <c r="M176" s="8"/>
      <c r="N176" s="8"/>
      <c r="O176" s="8"/>
      <c r="P176" s="8"/>
      <c r="Q176" s="8"/>
      <c r="R176" s="8"/>
      <c r="S176" s="8"/>
      <c r="T176" s="8"/>
      <c r="U176" s="8"/>
      <c r="V176" s="8"/>
      <c r="W176" s="8"/>
      <c r="X176" s="8"/>
      <c r="Y176" s="8"/>
      <c r="Z176" s="8"/>
      <c r="AA176" s="8"/>
      <c r="AB176" s="8"/>
      <c r="AC176" s="8"/>
      <c r="AD176" s="8"/>
      <c r="AE176" s="8"/>
      <c r="AF176" s="8"/>
      <c r="AG176" s="8"/>
      <c r="AH176" s="8"/>
      <c r="AI176" s="8"/>
      <c r="AJ176" s="8"/>
      <c r="AK176" s="8"/>
      <c r="AL176" s="8"/>
      <c r="AM176" s="8"/>
      <c r="AN176" s="8"/>
      <c r="AO176" s="8"/>
      <c r="AP176" s="8"/>
      <c r="AQ176" s="8"/>
    </row>
    <row r="177" spans="2:43" ht="15.95" hidden="1" customHeight="1">
      <c r="B177" s="834"/>
      <c r="C177" s="8"/>
      <c r="D177" s="8"/>
      <c r="E177" s="8"/>
      <c r="F177" s="8"/>
      <c r="G177" s="8"/>
      <c r="H177" s="8"/>
      <c r="I177" s="8"/>
      <c r="J177" s="8"/>
      <c r="K177" s="8"/>
      <c r="L177" s="8"/>
      <c r="M177" s="8"/>
      <c r="N177" s="8"/>
      <c r="O177" s="8"/>
      <c r="P177" s="8"/>
      <c r="Q177" s="8"/>
      <c r="R177" s="8"/>
      <c r="S177" s="8"/>
      <c r="T177" s="8"/>
      <c r="U177" s="8"/>
      <c r="V177" s="8"/>
      <c r="W177" s="8"/>
      <c r="X177" s="8"/>
      <c r="Y177" s="8"/>
      <c r="Z177" s="8"/>
      <c r="AA177" s="8"/>
      <c r="AB177" s="8"/>
      <c r="AC177" s="8"/>
      <c r="AD177" s="8"/>
      <c r="AE177" s="8"/>
      <c r="AF177" s="8"/>
      <c r="AG177" s="8"/>
      <c r="AH177" s="8"/>
      <c r="AI177" s="8"/>
      <c r="AJ177" s="8"/>
      <c r="AK177" s="8"/>
      <c r="AL177" s="8"/>
      <c r="AM177" s="8"/>
      <c r="AN177" s="8"/>
      <c r="AO177" s="8"/>
      <c r="AP177" s="8"/>
      <c r="AQ177" s="8"/>
    </row>
    <row r="178" spans="2:43" ht="15.95" hidden="1" customHeight="1">
      <c r="B178" s="834">
        <v>82</v>
      </c>
      <c r="C178" s="8"/>
      <c r="D178" s="8"/>
      <c r="E178" s="8"/>
      <c r="F178" s="8"/>
      <c r="G178" s="8"/>
      <c r="H178" s="8"/>
      <c r="I178" s="8"/>
      <c r="J178" s="8"/>
      <c r="K178" s="8"/>
      <c r="L178" s="8"/>
      <c r="M178" s="8"/>
      <c r="N178" s="8"/>
      <c r="O178" s="8"/>
      <c r="P178" s="8"/>
      <c r="Q178" s="8"/>
      <c r="R178" s="8"/>
      <c r="S178" s="8"/>
      <c r="T178" s="8"/>
      <c r="U178" s="8"/>
      <c r="V178" s="8"/>
      <c r="W178" s="8"/>
      <c r="X178" s="8"/>
      <c r="Y178" s="8"/>
      <c r="Z178" s="8"/>
      <c r="AA178" s="8"/>
      <c r="AB178" s="8"/>
      <c r="AC178" s="8"/>
      <c r="AD178" s="8"/>
      <c r="AE178" s="8"/>
      <c r="AF178" s="8"/>
      <c r="AG178" s="8"/>
      <c r="AH178" s="8"/>
      <c r="AI178" s="8"/>
      <c r="AJ178" s="8"/>
      <c r="AK178" s="8"/>
      <c r="AL178" s="8"/>
      <c r="AM178" s="8"/>
      <c r="AN178" s="8"/>
      <c r="AO178" s="8"/>
      <c r="AP178" s="8"/>
      <c r="AQ178" s="8"/>
    </row>
    <row r="179" spans="2:43" ht="15.95" hidden="1" customHeight="1">
      <c r="B179" s="834"/>
      <c r="C179" s="8"/>
      <c r="D179" s="8"/>
      <c r="E179" s="8"/>
      <c r="F179" s="8"/>
      <c r="G179" s="8"/>
      <c r="H179" s="8"/>
      <c r="I179" s="8"/>
      <c r="J179" s="8"/>
      <c r="K179" s="8"/>
      <c r="L179" s="8"/>
      <c r="M179" s="8"/>
      <c r="N179" s="8"/>
      <c r="O179" s="8"/>
      <c r="P179" s="8"/>
      <c r="Q179" s="8"/>
      <c r="R179" s="8"/>
      <c r="S179" s="8"/>
      <c r="T179" s="8"/>
      <c r="U179" s="8"/>
      <c r="V179" s="8"/>
      <c r="W179" s="8"/>
      <c r="X179" s="8"/>
      <c r="Y179" s="8"/>
      <c r="Z179" s="8"/>
      <c r="AA179" s="8"/>
      <c r="AB179" s="8"/>
      <c r="AC179" s="8"/>
      <c r="AD179" s="8"/>
      <c r="AE179" s="8"/>
      <c r="AF179" s="8"/>
      <c r="AG179" s="8"/>
      <c r="AH179" s="8"/>
      <c r="AI179" s="8"/>
      <c r="AJ179" s="8"/>
      <c r="AK179" s="8"/>
      <c r="AL179" s="8"/>
      <c r="AM179" s="8"/>
      <c r="AN179" s="8"/>
      <c r="AO179" s="8"/>
      <c r="AP179" s="8"/>
      <c r="AQ179" s="8"/>
    </row>
    <row r="180" spans="2:43" ht="15.95" hidden="1" customHeight="1">
      <c r="B180" s="834">
        <v>83</v>
      </c>
      <c r="C180" s="8"/>
      <c r="D180" s="8"/>
      <c r="E180" s="8"/>
      <c r="F180" s="8"/>
      <c r="G180" s="8"/>
      <c r="H180" s="8"/>
      <c r="I180" s="8"/>
      <c r="J180" s="8"/>
      <c r="K180" s="8"/>
      <c r="L180" s="8"/>
      <c r="M180" s="8"/>
      <c r="N180" s="8"/>
      <c r="O180" s="8"/>
      <c r="P180" s="8"/>
      <c r="Q180" s="8"/>
      <c r="R180" s="8"/>
      <c r="S180" s="8"/>
      <c r="T180" s="8"/>
      <c r="U180" s="8"/>
      <c r="V180" s="8"/>
      <c r="W180" s="8"/>
      <c r="X180" s="8"/>
      <c r="Y180" s="8"/>
      <c r="Z180" s="8"/>
      <c r="AA180" s="8"/>
      <c r="AB180" s="8"/>
      <c r="AC180" s="8"/>
      <c r="AD180" s="8"/>
      <c r="AE180" s="8"/>
      <c r="AF180" s="8"/>
      <c r="AG180" s="8"/>
      <c r="AH180" s="8"/>
      <c r="AI180" s="8"/>
      <c r="AJ180" s="8"/>
      <c r="AK180" s="8"/>
      <c r="AL180" s="8"/>
      <c r="AM180" s="8"/>
      <c r="AN180" s="8"/>
      <c r="AO180" s="8"/>
      <c r="AP180" s="8"/>
      <c r="AQ180" s="8"/>
    </row>
    <row r="181" spans="2:43" ht="15.95" hidden="1" customHeight="1">
      <c r="B181" s="834"/>
      <c r="C181" s="8"/>
      <c r="D181" s="8"/>
      <c r="E181" s="8"/>
      <c r="F181" s="8"/>
      <c r="G181" s="8"/>
      <c r="H181" s="8"/>
      <c r="I181" s="8"/>
      <c r="J181" s="8"/>
      <c r="K181" s="8"/>
      <c r="L181" s="8"/>
      <c r="M181" s="8"/>
      <c r="N181" s="8"/>
      <c r="O181" s="8"/>
      <c r="P181" s="8"/>
      <c r="Q181" s="8"/>
      <c r="R181" s="8"/>
      <c r="S181" s="8"/>
      <c r="T181" s="8"/>
      <c r="U181" s="8"/>
      <c r="V181" s="8"/>
      <c r="W181" s="8"/>
      <c r="X181" s="8"/>
      <c r="Y181" s="8"/>
      <c r="Z181" s="8"/>
      <c r="AA181" s="8"/>
      <c r="AB181" s="8"/>
      <c r="AC181" s="8"/>
      <c r="AD181" s="8"/>
      <c r="AE181" s="8"/>
      <c r="AF181" s="8"/>
      <c r="AG181" s="8"/>
      <c r="AH181" s="8"/>
      <c r="AI181" s="8"/>
      <c r="AJ181" s="8"/>
      <c r="AK181" s="8"/>
      <c r="AL181" s="8"/>
      <c r="AM181" s="8"/>
      <c r="AN181" s="8"/>
      <c r="AO181" s="8"/>
      <c r="AP181" s="8"/>
      <c r="AQ181" s="8"/>
    </row>
    <row r="182" spans="2:43" ht="15.95" hidden="1" customHeight="1">
      <c r="B182" s="834">
        <v>84</v>
      </c>
      <c r="C182" s="8"/>
      <c r="D182" s="8"/>
      <c r="E182" s="8"/>
      <c r="F182" s="8"/>
      <c r="G182" s="8"/>
      <c r="H182" s="8"/>
      <c r="I182" s="8"/>
      <c r="J182" s="8"/>
      <c r="K182" s="8"/>
      <c r="L182" s="8"/>
      <c r="M182" s="8"/>
      <c r="N182" s="8"/>
      <c r="O182" s="8"/>
      <c r="P182" s="8"/>
      <c r="Q182" s="8"/>
      <c r="R182" s="8"/>
      <c r="S182" s="8"/>
      <c r="T182" s="8"/>
      <c r="U182" s="8"/>
      <c r="V182" s="8"/>
      <c r="W182" s="8"/>
      <c r="X182" s="8"/>
      <c r="Y182" s="8"/>
      <c r="Z182" s="8"/>
      <c r="AA182" s="8"/>
      <c r="AB182" s="8"/>
      <c r="AC182" s="8"/>
      <c r="AD182" s="8"/>
      <c r="AE182" s="8"/>
      <c r="AF182" s="8"/>
      <c r="AG182" s="8"/>
      <c r="AH182" s="8"/>
      <c r="AI182" s="8"/>
      <c r="AJ182" s="8"/>
      <c r="AK182" s="8"/>
      <c r="AL182" s="8"/>
      <c r="AM182" s="8"/>
      <c r="AN182" s="8"/>
      <c r="AO182" s="8"/>
      <c r="AP182" s="8"/>
      <c r="AQ182" s="8"/>
    </row>
    <row r="183" spans="2:43" ht="15.95" hidden="1" customHeight="1">
      <c r="B183" s="834"/>
      <c r="C183" s="8"/>
      <c r="D183" s="8"/>
      <c r="E183" s="8"/>
      <c r="F183" s="8"/>
      <c r="G183" s="8"/>
      <c r="H183" s="8"/>
      <c r="I183" s="8"/>
      <c r="J183" s="8"/>
      <c r="K183" s="8"/>
      <c r="L183" s="8"/>
      <c r="M183" s="8"/>
      <c r="N183" s="8"/>
      <c r="O183" s="8"/>
      <c r="P183" s="8"/>
      <c r="Q183" s="8"/>
      <c r="R183" s="8"/>
      <c r="S183" s="8"/>
      <c r="T183" s="8"/>
      <c r="U183" s="8"/>
      <c r="V183" s="8"/>
      <c r="W183" s="8"/>
      <c r="X183" s="8"/>
      <c r="Y183" s="8"/>
      <c r="Z183" s="8"/>
      <c r="AA183" s="8"/>
      <c r="AB183" s="8"/>
      <c r="AC183" s="8"/>
      <c r="AD183" s="8"/>
      <c r="AE183" s="8"/>
      <c r="AF183" s="8"/>
      <c r="AG183" s="8"/>
      <c r="AH183" s="8"/>
      <c r="AI183" s="8"/>
      <c r="AJ183" s="8"/>
      <c r="AK183" s="8"/>
      <c r="AL183" s="8"/>
      <c r="AM183" s="8"/>
      <c r="AN183" s="8"/>
      <c r="AO183" s="8"/>
      <c r="AP183" s="8"/>
      <c r="AQ183" s="8"/>
    </row>
    <row r="184" spans="2:43" ht="15.95" hidden="1" customHeight="1">
      <c r="B184" s="834">
        <v>85</v>
      </c>
      <c r="C184" s="8"/>
      <c r="D184" s="8"/>
      <c r="E184" s="8"/>
      <c r="F184" s="8"/>
      <c r="G184" s="8"/>
      <c r="H184" s="8"/>
      <c r="I184" s="8"/>
      <c r="J184" s="8"/>
      <c r="K184" s="8"/>
      <c r="L184" s="8"/>
      <c r="M184" s="8"/>
      <c r="N184" s="8"/>
      <c r="O184" s="8"/>
      <c r="P184" s="8"/>
      <c r="Q184" s="8"/>
      <c r="R184" s="8"/>
      <c r="S184" s="8"/>
      <c r="T184" s="8"/>
      <c r="U184" s="8"/>
      <c r="V184" s="8"/>
      <c r="W184" s="8"/>
      <c r="X184" s="8"/>
      <c r="Y184" s="8"/>
      <c r="Z184" s="8"/>
      <c r="AA184" s="8"/>
      <c r="AB184" s="8"/>
      <c r="AC184" s="8"/>
      <c r="AD184" s="8"/>
      <c r="AE184" s="8"/>
      <c r="AF184" s="8"/>
      <c r="AG184" s="8"/>
      <c r="AH184" s="8"/>
      <c r="AI184" s="8"/>
      <c r="AJ184" s="8"/>
      <c r="AK184" s="8"/>
      <c r="AL184" s="8"/>
      <c r="AM184" s="8"/>
      <c r="AN184" s="8"/>
      <c r="AO184" s="8"/>
      <c r="AP184" s="8"/>
      <c r="AQ184" s="8"/>
    </row>
    <row r="185" spans="2:43" ht="15.95" hidden="1" customHeight="1">
      <c r="B185" s="834"/>
      <c r="C185" s="8"/>
      <c r="D185" s="8"/>
      <c r="E185" s="8"/>
      <c r="F185" s="8"/>
      <c r="G185" s="8"/>
      <c r="H185" s="8"/>
      <c r="I185" s="8"/>
      <c r="J185" s="8"/>
      <c r="K185" s="8"/>
      <c r="L185" s="8"/>
      <c r="M185" s="8"/>
      <c r="N185" s="8"/>
      <c r="O185" s="8"/>
      <c r="P185" s="8"/>
      <c r="Q185" s="8"/>
      <c r="R185" s="8"/>
      <c r="S185" s="8"/>
      <c r="T185" s="8"/>
      <c r="U185" s="8"/>
      <c r="V185" s="8"/>
      <c r="W185" s="8"/>
      <c r="X185" s="8"/>
      <c r="Y185" s="8"/>
      <c r="Z185" s="8"/>
      <c r="AA185" s="8"/>
      <c r="AB185" s="8"/>
      <c r="AC185" s="8"/>
      <c r="AD185" s="8"/>
      <c r="AE185" s="8"/>
      <c r="AF185" s="8"/>
      <c r="AG185" s="8"/>
      <c r="AH185" s="8"/>
      <c r="AI185" s="8"/>
      <c r="AJ185" s="8"/>
      <c r="AK185" s="8"/>
      <c r="AL185" s="8"/>
      <c r="AM185" s="8"/>
      <c r="AN185" s="8"/>
      <c r="AO185" s="8"/>
      <c r="AP185" s="8"/>
      <c r="AQ185" s="8"/>
    </row>
    <row r="186" spans="2:43" ht="15.95" hidden="1" customHeight="1">
      <c r="B186" s="834">
        <v>86</v>
      </c>
      <c r="C186" s="8"/>
      <c r="D186" s="8"/>
      <c r="E186" s="8"/>
      <c r="F186" s="8"/>
      <c r="G186" s="8"/>
      <c r="H186" s="8"/>
      <c r="I186" s="8"/>
      <c r="J186" s="8"/>
      <c r="K186" s="8"/>
      <c r="L186" s="8"/>
      <c r="M186" s="8"/>
      <c r="N186" s="8"/>
      <c r="O186" s="8"/>
      <c r="P186" s="8"/>
      <c r="Q186" s="8"/>
      <c r="R186" s="8"/>
      <c r="S186" s="8"/>
      <c r="T186" s="8"/>
      <c r="U186" s="8"/>
      <c r="V186" s="8"/>
      <c r="W186" s="8"/>
      <c r="X186" s="8"/>
      <c r="Y186" s="8"/>
      <c r="Z186" s="8"/>
      <c r="AA186" s="8"/>
      <c r="AB186" s="8"/>
      <c r="AC186" s="8"/>
      <c r="AD186" s="8"/>
      <c r="AE186" s="8"/>
      <c r="AF186" s="8"/>
      <c r="AG186" s="8"/>
      <c r="AH186" s="8"/>
      <c r="AI186" s="8"/>
      <c r="AJ186" s="8"/>
      <c r="AK186" s="8"/>
      <c r="AL186" s="8"/>
      <c r="AM186" s="8"/>
      <c r="AN186" s="8"/>
      <c r="AO186" s="8"/>
      <c r="AP186" s="8"/>
      <c r="AQ186" s="8"/>
    </row>
    <row r="187" spans="2:43" ht="15.95" hidden="1" customHeight="1">
      <c r="B187" s="834"/>
      <c r="C187" s="8"/>
      <c r="D187" s="8"/>
      <c r="E187" s="8"/>
      <c r="F187" s="8"/>
      <c r="G187" s="8"/>
      <c r="H187" s="8"/>
      <c r="I187" s="8"/>
      <c r="J187" s="8"/>
      <c r="K187" s="8"/>
      <c r="L187" s="8"/>
      <c r="M187" s="8"/>
      <c r="N187" s="8"/>
      <c r="O187" s="8"/>
      <c r="P187" s="8"/>
      <c r="Q187" s="8"/>
      <c r="R187" s="8"/>
      <c r="S187" s="8"/>
      <c r="T187" s="8"/>
      <c r="U187" s="8"/>
      <c r="V187" s="8"/>
      <c r="W187" s="8"/>
      <c r="X187" s="8"/>
      <c r="Y187" s="8"/>
      <c r="Z187" s="8"/>
      <c r="AA187" s="8"/>
      <c r="AB187" s="8"/>
      <c r="AC187" s="8"/>
      <c r="AD187" s="8"/>
      <c r="AE187" s="8"/>
      <c r="AF187" s="8"/>
      <c r="AG187" s="8"/>
      <c r="AH187" s="8"/>
      <c r="AI187" s="8"/>
      <c r="AJ187" s="8"/>
      <c r="AK187" s="8"/>
      <c r="AL187" s="8"/>
      <c r="AM187" s="8"/>
      <c r="AN187" s="8"/>
      <c r="AO187" s="8"/>
      <c r="AP187" s="8"/>
      <c r="AQ187" s="8"/>
    </row>
    <row r="188" spans="2:43" ht="15.95" hidden="1" customHeight="1">
      <c r="B188" s="834">
        <v>87</v>
      </c>
      <c r="C188" s="8"/>
      <c r="D188" s="8"/>
      <c r="E188" s="8"/>
      <c r="F188" s="8"/>
      <c r="G188" s="8"/>
      <c r="H188" s="8"/>
      <c r="I188" s="8"/>
      <c r="J188" s="8"/>
      <c r="K188" s="8"/>
      <c r="L188" s="8"/>
      <c r="M188" s="8"/>
      <c r="N188" s="8"/>
      <c r="O188" s="8"/>
      <c r="P188" s="8"/>
      <c r="Q188" s="8"/>
      <c r="R188" s="8"/>
      <c r="S188" s="8"/>
      <c r="T188" s="8"/>
      <c r="U188" s="8"/>
      <c r="V188" s="8"/>
      <c r="W188" s="8"/>
      <c r="X188" s="8"/>
      <c r="Y188" s="8"/>
      <c r="Z188" s="8"/>
      <c r="AA188" s="8"/>
      <c r="AB188" s="8"/>
      <c r="AC188" s="8"/>
      <c r="AD188" s="8"/>
      <c r="AE188" s="8"/>
      <c r="AF188" s="8"/>
      <c r="AG188" s="8"/>
      <c r="AH188" s="8"/>
      <c r="AI188" s="8"/>
      <c r="AJ188" s="8"/>
      <c r="AK188" s="8"/>
      <c r="AL188" s="8"/>
      <c r="AM188" s="8"/>
      <c r="AN188" s="8"/>
      <c r="AO188" s="8"/>
      <c r="AP188" s="8"/>
      <c r="AQ188" s="8"/>
    </row>
    <row r="189" spans="2:43" ht="15.95" hidden="1" customHeight="1">
      <c r="B189" s="834"/>
      <c r="C189" s="8"/>
      <c r="D189" s="8"/>
      <c r="E189" s="8"/>
      <c r="F189" s="8"/>
      <c r="G189" s="8"/>
      <c r="H189" s="8"/>
      <c r="I189" s="8"/>
      <c r="J189" s="8"/>
      <c r="K189" s="8"/>
      <c r="L189" s="8"/>
      <c r="M189" s="8"/>
      <c r="N189" s="8"/>
      <c r="O189" s="8"/>
      <c r="P189" s="8"/>
      <c r="Q189" s="8"/>
      <c r="R189" s="8"/>
      <c r="S189" s="8"/>
      <c r="T189" s="8"/>
      <c r="U189" s="8"/>
      <c r="V189" s="8"/>
      <c r="W189" s="8"/>
      <c r="X189" s="8"/>
      <c r="Y189" s="8"/>
      <c r="Z189" s="8"/>
      <c r="AA189" s="8"/>
      <c r="AB189" s="8"/>
      <c r="AC189" s="8"/>
      <c r="AD189" s="8"/>
      <c r="AE189" s="8"/>
      <c r="AF189" s="8"/>
      <c r="AG189" s="8"/>
      <c r="AH189" s="8"/>
      <c r="AI189" s="8"/>
      <c r="AJ189" s="8"/>
      <c r="AK189" s="8"/>
      <c r="AL189" s="8"/>
      <c r="AM189" s="8"/>
      <c r="AN189" s="8"/>
      <c r="AO189" s="8"/>
      <c r="AP189" s="8"/>
      <c r="AQ189" s="8"/>
    </row>
    <row r="190" spans="2:43" ht="15.95" hidden="1" customHeight="1">
      <c r="B190" s="834">
        <v>88</v>
      </c>
      <c r="C190" s="8"/>
      <c r="D190" s="8"/>
      <c r="E190" s="8"/>
      <c r="F190" s="8"/>
      <c r="G190" s="8"/>
      <c r="H190" s="8"/>
      <c r="I190" s="8"/>
      <c r="J190" s="8"/>
      <c r="K190" s="8"/>
      <c r="L190" s="8"/>
      <c r="M190" s="8"/>
      <c r="N190" s="8"/>
      <c r="O190" s="8"/>
      <c r="P190" s="8"/>
      <c r="Q190" s="8"/>
      <c r="R190" s="8"/>
      <c r="S190" s="8"/>
      <c r="T190" s="8"/>
      <c r="U190" s="8"/>
      <c r="V190" s="8"/>
      <c r="W190" s="8"/>
      <c r="X190" s="8"/>
      <c r="Y190" s="8"/>
      <c r="Z190" s="8"/>
      <c r="AA190" s="8"/>
      <c r="AB190" s="8"/>
      <c r="AC190" s="8"/>
      <c r="AD190" s="8"/>
      <c r="AE190" s="8"/>
      <c r="AF190" s="8"/>
      <c r="AG190" s="8"/>
      <c r="AH190" s="8"/>
      <c r="AI190" s="8"/>
      <c r="AJ190" s="8"/>
      <c r="AK190" s="8"/>
      <c r="AL190" s="8"/>
      <c r="AM190" s="8"/>
      <c r="AN190" s="8"/>
      <c r="AO190" s="8"/>
      <c r="AP190" s="8"/>
      <c r="AQ190" s="8"/>
    </row>
    <row r="191" spans="2:43" ht="15.95" hidden="1" customHeight="1">
      <c r="B191" s="834"/>
      <c r="C191" s="8"/>
      <c r="D191" s="8"/>
      <c r="E191" s="8"/>
      <c r="F191" s="8"/>
      <c r="G191" s="8"/>
      <c r="H191" s="8"/>
      <c r="I191" s="8"/>
      <c r="J191" s="8"/>
      <c r="K191" s="8"/>
      <c r="L191" s="8"/>
      <c r="M191" s="8"/>
      <c r="N191" s="8"/>
      <c r="O191" s="8"/>
      <c r="P191" s="8"/>
      <c r="Q191" s="8"/>
      <c r="R191" s="8"/>
      <c r="S191" s="8"/>
      <c r="T191" s="8"/>
      <c r="U191" s="8"/>
      <c r="V191" s="8"/>
      <c r="W191" s="8"/>
      <c r="X191" s="8"/>
      <c r="Y191" s="8"/>
      <c r="Z191" s="8"/>
      <c r="AA191" s="8"/>
      <c r="AB191" s="8"/>
      <c r="AC191" s="8"/>
      <c r="AD191" s="8"/>
      <c r="AE191" s="8"/>
      <c r="AF191" s="8"/>
      <c r="AG191" s="8"/>
      <c r="AH191" s="8"/>
      <c r="AI191" s="8"/>
      <c r="AJ191" s="8"/>
      <c r="AK191" s="8"/>
      <c r="AL191" s="8"/>
      <c r="AM191" s="8"/>
      <c r="AN191" s="8"/>
      <c r="AO191" s="8"/>
      <c r="AP191" s="8"/>
      <c r="AQ191" s="8"/>
    </row>
    <row r="192" spans="2:43" ht="15.95" hidden="1" customHeight="1">
      <c r="B192" s="834">
        <v>89</v>
      </c>
      <c r="C192" s="8"/>
      <c r="D192" s="8"/>
      <c r="E192" s="8"/>
      <c r="F192" s="8"/>
      <c r="G192" s="8"/>
      <c r="H192" s="8"/>
      <c r="I192" s="8"/>
      <c r="J192" s="8"/>
      <c r="K192" s="8"/>
      <c r="L192" s="8"/>
      <c r="M192" s="8"/>
      <c r="N192" s="8"/>
      <c r="O192" s="8"/>
      <c r="P192" s="8"/>
      <c r="Q192" s="8"/>
      <c r="R192" s="8"/>
      <c r="S192" s="8"/>
      <c r="T192" s="8"/>
      <c r="U192" s="8"/>
      <c r="V192" s="8"/>
      <c r="W192" s="8"/>
      <c r="X192" s="8"/>
      <c r="Y192" s="8"/>
      <c r="Z192" s="8"/>
      <c r="AA192" s="8"/>
      <c r="AB192" s="8"/>
      <c r="AC192" s="8"/>
      <c r="AD192" s="8"/>
      <c r="AE192" s="8"/>
      <c r="AF192" s="8"/>
      <c r="AG192" s="8"/>
      <c r="AH192" s="8"/>
      <c r="AI192" s="8"/>
      <c r="AJ192" s="8"/>
      <c r="AK192" s="8"/>
      <c r="AL192" s="8"/>
      <c r="AM192" s="8"/>
      <c r="AN192" s="8"/>
      <c r="AO192" s="8"/>
      <c r="AP192" s="8"/>
      <c r="AQ192" s="8"/>
    </row>
    <row r="193" spans="2:48" ht="15.95" hidden="1" customHeight="1">
      <c r="B193" s="834"/>
      <c r="C193" s="8"/>
      <c r="D193" s="8"/>
      <c r="E193" s="8"/>
      <c r="F193" s="8"/>
      <c r="G193" s="8"/>
      <c r="H193" s="8"/>
      <c r="I193" s="8"/>
      <c r="J193" s="8"/>
      <c r="K193" s="8"/>
      <c r="L193" s="8"/>
      <c r="M193" s="8"/>
      <c r="N193" s="8"/>
      <c r="O193" s="8"/>
      <c r="P193" s="8"/>
      <c r="Q193" s="8"/>
      <c r="R193" s="8"/>
      <c r="S193" s="8"/>
      <c r="T193" s="8"/>
      <c r="U193" s="8"/>
      <c r="V193" s="8"/>
      <c r="W193" s="8"/>
      <c r="X193" s="8"/>
      <c r="Y193" s="8"/>
      <c r="Z193" s="8"/>
      <c r="AA193" s="8"/>
      <c r="AB193" s="8"/>
      <c r="AC193" s="8"/>
      <c r="AD193" s="8"/>
      <c r="AE193" s="8"/>
      <c r="AF193" s="8"/>
      <c r="AG193" s="8"/>
      <c r="AH193" s="8"/>
      <c r="AI193" s="8"/>
      <c r="AJ193" s="8"/>
      <c r="AK193" s="8"/>
      <c r="AL193" s="8"/>
      <c r="AM193" s="8"/>
      <c r="AN193" s="8"/>
      <c r="AO193" s="8"/>
      <c r="AP193" s="8"/>
      <c r="AQ193" s="8"/>
    </row>
    <row r="194" spans="2:48" ht="15.95" hidden="1" customHeight="1">
      <c r="B194" s="834">
        <v>90</v>
      </c>
      <c r="C194" s="8"/>
      <c r="D194" s="8"/>
      <c r="E194" s="8"/>
      <c r="F194" s="8"/>
      <c r="G194" s="8"/>
      <c r="H194" s="8"/>
      <c r="I194" s="8"/>
      <c r="J194" s="8"/>
      <c r="K194" s="8"/>
      <c r="L194" s="8"/>
      <c r="M194" s="8"/>
      <c r="N194" s="8"/>
      <c r="O194" s="8"/>
      <c r="P194" s="8"/>
      <c r="Q194" s="8"/>
      <c r="R194" s="8"/>
      <c r="S194" s="8"/>
      <c r="T194" s="8"/>
      <c r="U194" s="8"/>
      <c r="V194" s="8"/>
      <c r="W194" s="8"/>
      <c r="X194" s="8"/>
      <c r="Y194" s="8"/>
      <c r="Z194" s="8"/>
      <c r="AA194" s="8"/>
      <c r="AB194" s="8"/>
      <c r="AC194" s="8"/>
      <c r="AD194" s="8"/>
      <c r="AE194" s="8"/>
      <c r="AF194" s="8"/>
      <c r="AG194" s="8"/>
      <c r="AH194" s="8"/>
      <c r="AI194" s="8"/>
      <c r="AJ194" s="8"/>
      <c r="AK194" s="8"/>
      <c r="AL194" s="8"/>
      <c r="AM194" s="8"/>
      <c r="AN194" s="8"/>
      <c r="AO194" s="8"/>
      <c r="AP194" s="8"/>
      <c r="AQ194" s="8"/>
    </row>
    <row r="195" spans="2:48" ht="15.95" hidden="1" customHeight="1">
      <c r="B195" s="834"/>
      <c r="C195" s="8"/>
      <c r="D195" s="8"/>
      <c r="E195" s="8"/>
      <c r="F195" s="8"/>
      <c r="G195" s="8"/>
      <c r="H195" s="8"/>
      <c r="I195" s="8"/>
      <c r="J195" s="8"/>
      <c r="K195" s="8"/>
      <c r="L195" s="8"/>
      <c r="M195" s="8"/>
      <c r="N195" s="8"/>
      <c r="O195" s="8"/>
      <c r="P195" s="8"/>
      <c r="Q195" s="8"/>
      <c r="R195" s="8"/>
      <c r="S195" s="8"/>
      <c r="T195" s="8"/>
      <c r="U195" s="8"/>
      <c r="V195" s="8"/>
      <c r="W195" s="8"/>
      <c r="X195" s="8"/>
      <c r="Y195" s="8"/>
      <c r="Z195" s="8"/>
      <c r="AA195" s="8"/>
      <c r="AB195" s="8"/>
      <c r="AC195" s="8"/>
      <c r="AD195" s="8"/>
      <c r="AE195" s="8"/>
      <c r="AF195" s="8"/>
      <c r="AG195" s="8"/>
      <c r="AH195" s="8"/>
      <c r="AI195" s="8"/>
      <c r="AJ195" s="8"/>
      <c r="AK195" s="8"/>
      <c r="AL195" s="8"/>
      <c r="AM195" s="8"/>
      <c r="AN195" s="8"/>
      <c r="AO195" s="8"/>
      <c r="AP195" s="8"/>
      <c r="AQ195" s="8"/>
    </row>
    <row r="196" spans="2:48" ht="15.95" hidden="1" customHeight="1">
      <c r="B196" s="834">
        <v>91</v>
      </c>
      <c r="C196" s="8"/>
      <c r="D196" s="8"/>
      <c r="E196" s="8"/>
      <c r="F196" s="8"/>
      <c r="G196" s="8"/>
      <c r="H196" s="8"/>
      <c r="I196" s="8"/>
      <c r="J196" s="8"/>
      <c r="K196" s="8"/>
      <c r="L196" s="8"/>
      <c r="M196" s="8"/>
      <c r="N196" s="8"/>
      <c r="O196" s="8"/>
      <c r="P196" s="8"/>
      <c r="Q196" s="8"/>
      <c r="R196" s="8"/>
      <c r="S196" s="8"/>
      <c r="T196" s="8"/>
      <c r="U196" s="8"/>
      <c r="V196" s="8"/>
      <c r="W196" s="8"/>
      <c r="X196" s="8"/>
      <c r="Y196" s="8"/>
      <c r="Z196" s="8"/>
      <c r="AA196" s="8"/>
      <c r="AB196" s="8"/>
      <c r="AC196" s="8"/>
      <c r="AD196" s="8"/>
      <c r="AE196" s="8"/>
      <c r="AF196" s="8"/>
      <c r="AG196" s="8"/>
      <c r="AH196" s="8"/>
      <c r="AI196" s="8"/>
      <c r="AJ196" s="8"/>
      <c r="AK196" s="8"/>
      <c r="AL196" s="8"/>
      <c r="AM196" s="8"/>
      <c r="AN196" s="8"/>
      <c r="AO196" s="8"/>
      <c r="AP196" s="8"/>
      <c r="AQ196" s="8"/>
    </row>
    <row r="197" spans="2:48" ht="15.95" hidden="1" customHeight="1">
      <c r="B197" s="834"/>
      <c r="C197" s="8"/>
      <c r="D197" s="8"/>
      <c r="E197" s="8"/>
      <c r="F197" s="8"/>
      <c r="G197" s="8"/>
      <c r="H197" s="8"/>
      <c r="I197" s="8"/>
      <c r="J197" s="8"/>
      <c r="K197" s="8"/>
      <c r="L197" s="8"/>
      <c r="M197" s="8"/>
      <c r="N197" s="8"/>
      <c r="O197" s="8"/>
      <c r="P197" s="8"/>
      <c r="Q197" s="8"/>
      <c r="R197" s="8"/>
      <c r="S197" s="8"/>
      <c r="T197" s="8"/>
      <c r="U197" s="8"/>
      <c r="V197" s="8"/>
      <c r="W197" s="8"/>
      <c r="X197" s="8"/>
      <c r="Y197" s="8"/>
      <c r="Z197" s="8"/>
      <c r="AA197" s="8"/>
      <c r="AB197" s="8"/>
      <c r="AC197" s="8"/>
      <c r="AD197" s="8"/>
      <c r="AE197" s="8"/>
      <c r="AF197" s="8"/>
      <c r="AG197" s="8"/>
      <c r="AH197" s="8"/>
      <c r="AI197" s="8"/>
      <c r="AJ197" s="8"/>
      <c r="AK197" s="8"/>
      <c r="AL197" s="8"/>
      <c r="AM197" s="8"/>
      <c r="AN197" s="8"/>
      <c r="AO197" s="8"/>
      <c r="AP197" s="8"/>
      <c r="AQ197" s="8"/>
    </row>
    <row r="198" spans="2:48" ht="15.95" hidden="1" customHeight="1">
      <c r="B198" s="834">
        <v>92</v>
      </c>
      <c r="C198" s="8"/>
      <c r="D198" s="8"/>
      <c r="E198" s="8"/>
      <c r="F198" s="8"/>
      <c r="G198" s="8"/>
      <c r="H198" s="8"/>
      <c r="I198" s="8"/>
      <c r="J198" s="8"/>
      <c r="K198" s="8"/>
      <c r="L198" s="8"/>
      <c r="M198" s="8"/>
      <c r="N198" s="8"/>
      <c r="O198" s="8"/>
      <c r="P198" s="8"/>
      <c r="Q198" s="8"/>
      <c r="R198" s="8"/>
      <c r="S198" s="8"/>
      <c r="T198" s="8"/>
      <c r="U198" s="8"/>
      <c r="V198" s="8"/>
      <c r="W198" s="8"/>
      <c r="X198" s="8"/>
      <c r="Y198" s="8"/>
      <c r="Z198" s="8"/>
      <c r="AA198" s="8"/>
      <c r="AB198" s="8"/>
      <c r="AC198" s="8"/>
      <c r="AD198" s="8"/>
      <c r="AE198" s="8"/>
      <c r="AF198" s="8"/>
      <c r="AG198" s="8"/>
      <c r="AH198" s="8"/>
      <c r="AI198" s="8"/>
      <c r="AJ198" s="8"/>
      <c r="AK198" s="8"/>
      <c r="AL198" s="8"/>
      <c r="AM198" s="8"/>
      <c r="AN198" s="8"/>
      <c r="AO198" s="8"/>
      <c r="AP198" s="8"/>
      <c r="AQ198" s="8"/>
    </row>
    <row r="199" spans="2:48" ht="15.95" hidden="1" customHeight="1">
      <c r="B199" s="834"/>
      <c r="C199" s="8"/>
      <c r="D199" s="8"/>
      <c r="E199" s="8"/>
      <c r="F199" s="8"/>
      <c r="G199" s="8"/>
      <c r="H199" s="8"/>
      <c r="I199" s="8"/>
      <c r="J199" s="8"/>
      <c r="K199" s="8"/>
      <c r="L199" s="8"/>
      <c r="M199" s="8"/>
      <c r="N199" s="8"/>
      <c r="O199" s="8"/>
      <c r="P199" s="8"/>
      <c r="Q199" s="8"/>
      <c r="R199" s="8"/>
      <c r="S199" s="8"/>
      <c r="T199" s="8"/>
      <c r="U199" s="8"/>
      <c r="V199" s="8"/>
      <c r="W199" s="8"/>
      <c r="X199" s="8"/>
      <c r="Y199" s="8"/>
      <c r="Z199" s="8"/>
      <c r="AA199" s="8"/>
      <c r="AB199" s="8"/>
      <c r="AC199" s="8"/>
      <c r="AD199" s="8"/>
      <c r="AE199" s="8"/>
      <c r="AF199" s="8"/>
      <c r="AG199" s="8"/>
      <c r="AH199" s="8"/>
      <c r="AI199" s="8"/>
      <c r="AJ199" s="8"/>
      <c r="AK199" s="8"/>
      <c r="AL199" s="8"/>
      <c r="AM199" s="8"/>
      <c r="AN199" s="8"/>
      <c r="AO199" s="8"/>
      <c r="AP199" s="8"/>
      <c r="AQ199" s="8"/>
    </row>
    <row r="200" spans="2:48" ht="15.95" customHeight="1">
      <c r="B200" s="272" t="str">
        <f>FOOT1</f>
        <v>NIPSCO Energy Efficiency Program</v>
      </c>
      <c r="C200" s="272"/>
      <c r="D200" s="272"/>
      <c r="E200" s="272"/>
      <c r="F200" s="272"/>
      <c r="G200" s="272"/>
      <c r="H200" s="272"/>
      <c r="I200" s="272"/>
      <c r="J200" s="272"/>
      <c r="K200" s="272"/>
      <c r="L200" s="272"/>
      <c r="M200" s="661" t="str">
        <f>FOOT4</f>
        <v>NIPSCO’s energy efficiency programs are administered by TRC, a third‐party implementation specialist that helps homes and businesses save energy.</v>
      </c>
      <c r="N200" s="661"/>
      <c r="O200" s="661"/>
      <c r="P200" s="661"/>
      <c r="Q200" s="661"/>
      <c r="R200" s="661"/>
      <c r="S200" s="661"/>
      <c r="T200" s="661"/>
      <c r="U200" s="661"/>
      <c r="V200" s="661"/>
      <c r="W200" s="661"/>
      <c r="X200" s="661"/>
      <c r="Y200" s="661"/>
      <c r="Z200" s="661"/>
      <c r="AA200" s="661"/>
      <c r="AB200" s="661"/>
      <c r="AC200" s="661"/>
      <c r="AD200" s="661"/>
      <c r="AE200" s="661"/>
      <c r="AF200" s="661"/>
      <c r="AG200" s="661"/>
      <c r="AH200" s="272"/>
      <c r="AI200" s="272"/>
      <c r="AJ200" s="272"/>
      <c r="AK200" s="272"/>
      <c r="AL200" s="272"/>
      <c r="AM200" s="272"/>
      <c r="AN200" s="272"/>
      <c r="AO200" s="272"/>
      <c r="AP200" s="272"/>
      <c r="AQ200" s="272"/>
      <c r="AR200" s="273" t="str">
        <f>FOOTDISCLAIM</f>
        <v/>
      </c>
      <c r="AU200" s="813">
        <f ca="1">SUM(AU16:AU199)</f>
        <v>0</v>
      </c>
      <c r="AV200" s="878">
        <f ca="1">SUM(AV16:AV199)</f>
        <v>0</v>
      </c>
    </row>
    <row r="201" spans="2:48" ht="15.95" customHeight="1">
      <c r="B201" s="272" t="str">
        <f>FOOT2</f>
        <v>Toll-Free 800-299-2501</v>
      </c>
      <c r="C201" s="272"/>
      <c r="D201" s="272"/>
      <c r="E201" s="272"/>
      <c r="F201" s="272"/>
      <c r="G201" s="272"/>
      <c r="H201" s="272"/>
      <c r="I201" s="272"/>
      <c r="J201" s="272"/>
      <c r="K201" s="272"/>
      <c r="L201" s="272"/>
      <c r="M201" s="661"/>
      <c r="N201" s="661"/>
      <c r="O201" s="661"/>
      <c r="P201" s="661"/>
      <c r="Q201" s="661"/>
      <c r="R201" s="661"/>
      <c r="S201" s="661"/>
      <c r="T201" s="661"/>
      <c r="U201" s="661"/>
      <c r="V201" s="661"/>
      <c r="W201" s="661"/>
      <c r="X201" s="661"/>
      <c r="Y201" s="661"/>
      <c r="Z201" s="661"/>
      <c r="AA201" s="661"/>
      <c r="AB201" s="661"/>
      <c r="AC201" s="661"/>
      <c r="AD201" s="661"/>
      <c r="AE201" s="661"/>
      <c r="AF201" s="661"/>
      <c r="AG201" s="661"/>
      <c r="AH201" s="272"/>
      <c r="AI201" s="272"/>
      <c r="AJ201" s="272"/>
      <c r="AK201" s="272"/>
      <c r="AL201" s="272"/>
      <c r="AM201" s="272"/>
      <c r="AN201" s="272"/>
      <c r="AO201" s="272"/>
      <c r="AP201" s="272"/>
      <c r="AQ201" s="272"/>
      <c r="AR201" s="273" t="str">
        <f>FOOT5</f>
        <v/>
      </c>
      <c r="AU201" s="814"/>
      <c r="AV201" s="879"/>
    </row>
    <row r="202" spans="2:48" ht="15.95" customHeight="1">
      <c r="B202" s="281" t="s">
        <v>1547</v>
      </c>
      <c r="C202" s="272"/>
      <c r="D202" s="272"/>
      <c r="E202" s="272"/>
      <c r="F202" s="272"/>
      <c r="G202" s="272"/>
      <c r="H202" s="272"/>
      <c r="I202" s="272"/>
      <c r="J202" s="272"/>
      <c r="K202" s="272"/>
      <c r="L202" s="272"/>
      <c r="M202" s="274"/>
      <c r="N202" s="272"/>
      <c r="O202" s="272"/>
      <c r="P202" s="274"/>
      <c r="Q202" s="274"/>
      <c r="R202" s="274"/>
      <c r="S202" s="274"/>
      <c r="T202" s="274"/>
      <c r="U202" s="274"/>
      <c r="V202" s="274"/>
      <c r="W202" s="275" t="str">
        <f>VERSION</f>
        <v>Custom Prescriptive Application v3.7.1</v>
      </c>
      <c r="X202" s="274"/>
      <c r="Y202" s="274"/>
      <c r="Z202" s="274"/>
      <c r="AA202" s="274"/>
      <c r="AB202" s="274"/>
      <c r="AC202" s="274"/>
      <c r="AD202" s="274"/>
      <c r="AE202" s="272"/>
      <c r="AF202" s="272"/>
      <c r="AG202" s="272"/>
      <c r="AH202" s="272"/>
      <c r="AI202" s="272"/>
      <c r="AJ202" s="272"/>
      <c r="AK202" s="272"/>
      <c r="AL202" s="272"/>
      <c r="AM202" s="272"/>
      <c r="AN202" s="272"/>
      <c r="AO202" s="272"/>
      <c r="AP202" s="272"/>
      <c r="AQ202" s="272"/>
      <c r="AR202" s="273" t="str">
        <f>FOOT6</f>
        <v>Product of TRC</v>
      </c>
    </row>
  </sheetData>
  <sheetProtection algorithmName="SHA-512" hashValue="Xs/TgJ4FQO8VHk6h+2rOiGGAY5w6SQj0Dhqiesaj0a4sFcbGhNMF7+6O5PWW+z/DMqFoUaEI0lfWkuTzyg5h0Q==" saltValue="VfbjaQpaJKX8nSCCi+IOoQ==" spinCount="100000" sheet="1" objects="1" scenarios="1" selectLockedCells="1"/>
  <mergeCells count="1149">
    <mergeCell ref="BG14:BG15"/>
    <mergeCell ref="BG16:BG17"/>
    <mergeCell ref="BG18:BG19"/>
    <mergeCell ref="BG20:BG21"/>
    <mergeCell ref="BG22:BG23"/>
    <mergeCell ref="BG24:BG25"/>
    <mergeCell ref="BG26:BG27"/>
    <mergeCell ref="BG28:BG29"/>
    <mergeCell ref="BG30:BG31"/>
    <mergeCell ref="BG32:BG33"/>
    <mergeCell ref="BG34:BG35"/>
    <mergeCell ref="BG36:BG37"/>
    <mergeCell ref="BG38:BG39"/>
    <mergeCell ref="BG40:BG41"/>
    <mergeCell ref="BG42:BG43"/>
    <mergeCell ref="BG44:BG45"/>
    <mergeCell ref="AY110:AY111"/>
    <mergeCell ref="BB14:BB15"/>
    <mergeCell ref="BB16:BB17"/>
    <mergeCell ref="BB18:BB19"/>
    <mergeCell ref="BB20:BB21"/>
    <mergeCell ref="BB22:BB23"/>
    <mergeCell ref="BB24:BB25"/>
    <mergeCell ref="BB26:BB27"/>
    <mergeCell ref="BB28:BB29"/>
    <mergeCell ref="BB30:BB31"/>
    <mergeCell ref="BB32:BB33"/>
    <mergeCell ref="BB34:BB35"/>
    <mergeCell ref="BB36:BB37"/>
    <mergeCell ref="BB38:BB39"/>
    <mergeCell ref="BB40:BB41"/>
    <mergeCell ref="BB42:BB43"/>
    <mergeCell ref="BB44:BB45"/>
    <mergeCell ref="AF11:AI11"/>
    <mergeCell ref="AF12:AI13"/>
    <mergeCell ref="AV30:AV31"/>
    <mergeCell ref="AU32:AU33"/>
    <mergeCell ref="AV32:AV33"/>
    <mergeCell ref="AU34:AU35"/>
    <mergeCell ref="AX14:AX15"/>
    <mergeCell ref="AW16:AW17"/>
    <mergeCell ref="AX16:AX17"/>
    <mergeCell ref="AW18:AW19"/>
    <mergeCell ref="AW20:AW21"/>
    <mergeCell ref="AW22:AW23"/>
    <mergeCell ref="AX18:AX19"/>
    <mergeCell ref="AX20:AX21"/>
    <mergeCell ref="AX22:AX23"/>
    <mergeCell ref="AW36:AW37"/>
    <mergeCell ref="AG36:AH37"/>
    <mergeCell ref="AI36:AJ37"/>
    <mergeCell ref="AG40:AH41"/>
    <mergeCell ref="AI40:AJ41"/>
    <mergeCell ref="AG38:AH39"/>
    <mergeCell ref="AI38:AJ39"/>
    <mergeCell ref="AZ38:AZ39"/>
    <mergeCell ref="AZ40:AZ41"/>
    <mergeCell ref="AZ42:AZ43"/>
    <mergeCell ref="AZ44:AZ45"/>
    <mergeCell ref="AV34:AV35"/>
    <mergeCell ref="AV36:AV37"/>
    <mergeCell ref="AV38:AV39"/>
    <mergeCell ref="AV40:AV41"/>
    <mergeCell ref="AV42:AV43"/>
    <mergeCell ref="BE44:BE45"/>
    <mergeCell ref="BE14:BE15"/>
    <mergeCell ref="BE16:BE17"/>
    <mergeCell ref="BE18:BE19"/>
    <mergeCell ref="BE20:BE21"/>
    <mergeCell ref="BE22:BE23"/>
    <mergeCell ref="BE24:BE25"/>
    <mergeCell ref="BE26:BE27"/>
    <mergeCell ref="BE28:BE29"/>
    <mergeCell ref="BE30:BE31"/>
    <mergeCell ref="BE32:BE33"/>
    <mergeCell ref="BE34:BE35"/>
    <mergeCell ref="BE36:BE37"/>
    <mergeCell ref="BE38:BE39"/>
    <mergeCell ref="BE40:BE41"/>
    <mergeCell ref="BE42:BE43"/>
    <mergeCell ref="AU14:AU15"/>
    <mergeCell ref="AV14:AV15"/>
    <mergeCell ref="AU16:AU17"/>
    <mergeCell ref="AV16:AV17"/>
    <mergeCell ref="AU18:AU19"/>
    <mergeCell ref="AV18:AV19"/>
    <mergeCell ref="AU20:AU21"/>
    <mergeCell ref="AV20:AV21"/>
    <mergeCell ref="AU22:AU23"/>
    <mergeCell ref="AV22:AV23"/>
    <mergeCell ref="AV44:AV45"/>
    <mergeCell ref="AU26:AU27"/>
    <mergeCell ref="AV26:AV27"/>
    <mergeCell ref="AU28:AU29"/>
    <mergeCell ref="AV28:AV29"/>
    <mergeCell ref="AU30:AU31"/>
    <mergeCell ref="AZ114:AZ115"/>
    <mergeCell ref="BA114:BA115"/>
    <mergeCell ref="BB114:BB115"/>
    <mergeCell ref="AY114:AY115"/>
    <mergeCell ref="BC108:BC109"/>
    <mergeCell ref="BC110:BC111"/>
    <mergeCell ref="BC112:BC113"/>
    <mergeCell ref="BC114:BC115"/>
    <mergeCell ref="AU112:AU113"/>
    <mergeCell ref="AV112:AV113"/>
    <mergeCell ref="AW112:AW113"/>
    <mergeCell ref="AX112:AX113"/>
    <mergeCell ref="AU114:AU115"/>
    <mergeCell ref="AV114:AV115"/>
    <mergeCell ref="AW114:AW115"/>
    <mergeCell ref="AX114:AX115"/>
    <mergeCell ref="BC76:BC77"/>
    <mergeCell ref="BC78:BC79"/>
    <mergeCell ref="BC80:BC81"/>
    <mergeCell ref="BC82:BC83"/>
    <mergeCell ref="BC84:BC85"/>
    <mergeCell ref="BC86:BC87"/>
    <mergeCell ref="BC88:BC89"/>
    <mergeCell ref="BC90:BC91"/>
    <mergeCell ref="BC92:BC93"/>
    <mergeCell ref="BC94:BC95"/>
    <mergeCell ref="BC96:BC97"/>
    <mergeCell ref="BC98:BC99"/>
    <mergeCell ref="BC100:BC101"/>
    <mergeCell ref="BC102:BC103"/>
    <mergeCell ref="BC104:BC105"/>
    <mergeCell ref="BC106:BC107"/>
    <mergeCell ref="AU106:AU107"/>
    <mergeCell ref="AV106:AV107"/>
    <mergeCell ref="AW106:AW107"/>
    <mergeCell ref="AX106:AX107"/>
    <mergeCell ref="AU108:AU109"/>
    <mergeCell ref="AV108:AV109"/>
    <mergeCell ref="AW108:AW109"/>
    <mergeCell ref="AX108:AX109"/>
    <mergeCell ref="AU110:AU111"/>
    <mergeCell ref="AV110:AV111"/>
    <mergeCell ref="AW110:AW111"/>
    <mergeCell ref="AX110:AX111"/>
    <mergeCell ref="AU100:AU101"/>
    <mergeCell ref="AV100:AV101"/>
    <mergeCell ref="AW100:AW101"/>
    <mergeCell ref="AX100:AX101"/>
    <mergeCell ref="AU102:AU103"/>
    <mergeCell ref="AV102:AV103"/>
    <mergeCell ref="AW102:AW103"/>
    <mergeCell ref="AX102:AX103"/>
    <mergeCell ref="AU104:AU105"/>
    <mergeCell ref="AV104:AV105"/>
    <mergeCell ref="AW104:AW105"/>
    <mergeCell ref="AX104:AX105"/>
    <mergeCell ref="AU94:AU95"/>
    <mergeCell ref="AV94:AV95"/>
    <mergeCell ref="AW94:AW95"/>
    <mergeCell ref="AX94:AX95"/>
    <mergeCell ref="AU96:AU97"/>
    <mergeCell ref="AV96:AV97"/>
    <mergeCell ref="AW96:AW97"/>
    <mergeCell ref="AX96:AX97"/>
    <mergeCell ref="AU98:AU99"/>
    <mergeCell ref="AV98:AV99"/>
    <mergeCell ref="AW98:AW99"/>
    <mergeCell ref="AX98:AX99"/>
    <mergeCell ref="AU88:AU89"/>
    <mergeCell ref="AV88:AV89"/>
    <mergeCell ref="AW88:AW89"/>
    <mergeCell ref="AX88:AX89"/>
    <mergeCell ref="AU90:AU91"/>
    <mergeCell ref="AV90:AV91"/>
    <mergeCell ref="AW90:AW91"/>
    <mergeCell ref="AX90:AX91"/>
    <mergeCell ref="AU92:AU93"/>
    <mergeCell ref="AV92:AV93"/>
    <mergeCell ref="AW92:AW93"/>
    <mergeCell ref="AX92:AX93"/>
    <mergeCell ref="AU82:AU83"/>
    <mergeCell ref="AV82:AV83"/>
    <mergeCell ref="AW82:AW83"/>
    <mergeCell ref="AX82:AX83"/>
    <mergeCell ref="AU84:AU85"/>
    <mergeCell ref="AV84:AV85"/>
    <mergeCell ref="AW84:AW85"/>
    <mergeCell ref="AX84:AX85"/>
    <mergeCell ref="AU86:AU87"/>
    <mergeCell ref="AV86:AV87"/>
    <mergeCell ref="AW86:AW87"/>
    <mergeCell ref="AX86:AX87"/>
    <mergeCell ref="AU76:AU77"/>
    <mergeCell ref="AV76:AV77"/>
    <mergeCell ref="AW76:AW77"/>
    <mergeCell ref="AX76:AX77"/>
    <mergeCell ref="AU78:AU79"/>
    <mergeCell ref="AV78:AV79"/>
    <mergeCell ref="AW78:AW79"/>
    <mergeCell ref="AX78:AX79"/>
    <mergeCell ref="AU80:AU81"/>
    <mergeCell ref="AV80:AV81"/>
    <mergeCell ref="AW80:AW81"/>
    <mergeCell ref="AX80:AX81"/>
    <mergeCell ref="AK112:AM113"/>
    <mergeCell ref="AK114:AM115"/>
    <mergeCell ref="AN76:AQ77"/>
    <mergeCell ref="AN78:AQ79"/>
    <mergeCell ref="AN80:AQ81"/>
    <mergeCell ref="AN82:AQ83"/>
    <mergeCell ref="AN84:AQ85"/>
    <mergeCell ref="AN86:AQ87"/>
    <mergeCell ref="AN88:AQ89"/>
    <mergeCell ref="AN90:AQ91"/>
    <mergeCell ref="AN92:AQ93"/>
    <mergeCell ref="AN94:AQ95"/>
    <mergeCell ref="AN96:AQ97"/>
    <mergeCell ref="AN98:AQ99"/>
    <mergeCell ref="AN100:AQ101"/>
    <mergeCell ref="AN102:AQ103"/>
    <mergeCell ref="AN104:AQ105"/>
    <mergeCell ref="AN106:AQ107"/>
    <mergeCell ref="AN108:AQ109"/>
    <mergeCell ref="AN110:AQ111"/>
    <mergeCell ref="AN112:AQ113"/>
    <mergeCell ref="AN114:AQ115"/>
    <mergeCell ref="AK94:AM95"/>
    <mergeCell ref="AK96:AM97"/>
    <mergeCell ref="AK98:AM99"/>
    <mergeCell ref="AK100:AM101"/>
    <mergeCell ref="AK102:AM103"/>
    <mergeCell ref="AK104:AM105"/>
    <mergeCell ref="AK106:AM107"/>
    <mergeCell ref="AK108:AM109"/>
    <mergeCell ref="AK110:AM111"/>
    <mergeCell ref="AK76:AM77"/>
    <mergeCell ref="AK78:AM79"/>
    <mergeCell ref="AK80:AM81"/>
    <mergeCell ref="AK82:AM83"/>
    <mergeCell ref="AK84:AM85"/>
    <mergeCell ref="AK86:AM87"/>
    <mergeCell ref="AK88:AM89"/>
    <mergeCell ref="AK90:AM91"/>
    <mergeCell ref="AK92:AM93"/>
    <mergeCell ref="AE110:AF111"/>
    <mergeCell ref="AG110:AH111"/>
    <mergeCell ref="AI110:AJ111"/>
    <mergeCell ref="AE112:AF113"/>
    <mergeCell ref="AG112:AH113"/>
    <mergeCell ref="AI112:AJ113"/>
    <mergeCell ref="AE114:AF115"/>
    <mergeCell ref="AG114:AH115"/>
    <mergeCell ref="AI114:AJ115"/>
    <mergeCell ref="AE104:AF105"/>
    <mergeCell ref="AG104:AH105"/>
    <mergeCell ref="AI104:AJ105"/>
    <mergeCell ref="AE106:AF107"/>
    <mergeCell ref="AG106:AH107"/>
    <mergeCell ref="AI106:AJ107"/>
    <mergeCell ref="AE108:AF109"/>
    <mergeCell ref="AG108:AH109"/>
    <mergeCell ref="AI108:AJ109"/>
    <mergeCell ref="AE98:AF99"/>
    <mergeCell ref="AG98:AH99"/>
    <mergeCell ref="AI98:AJ99"/>
    <mergeCell ref="AE100:AF101"/>
    <mergeCell ref="AG100:AH101"/>
    <mergeCell ref="AI100:AJ101"/>
    <mergeCell ref="AB112:AD113"/>
    <mergeCell ref="AB114:AD115"/>
    <mergeCell ref="AE76:AF77"/>
    <mergeCell ref="AG76:AH77"/>
    <mergeCell ref="AI76:AJ77"/>
    <mergeCell ref="AE78:AF79"/>
    <mergeCell ref="AG78:AH79"/>
    <mergeCell ref="AI78:AJ79"/>
    <mergeCell ref="AE80:AF81"/>
    <mergeCell ref="AG80:AH81"/>
    <mergeCell ref="AI80:AJ81"/>
    <mergeCell ref="AE82:AF83"/>
    <mergeCell ref="AG82:AH83"/>
    <mergeCell ref="AI82:AJ83"/>
    <mergeCell ref="AE84:AF85"/>
    <mergeCell ref="AG84:AH85"/>
    <mergeCell ref="AI84:AJ85"/>
    <mergeCell ref="AE86:AF87"/>
    <mergeCell ref="AG86:AH87"/>
    <mergeCell ref="AI86:AJ87"/>
    <mergeCell ref="AE88:AF89"/>
    <mergeCell ref="AG88:AH89"/>
    <mergeCell ref="AI88:AJ89"/>
    <mergeCell ref="AE90:AF91"/>
    <mergeCell ref="AB94:AD95"/>
    <mergeCell ref="AB96:AD97"/>
    <mergeCell ref="AB100:AD101"/>
    <mergeCell ref="AB104:AD105"/>
    <mergeCell ref="AB106:AD107"/>
    <mergeCell ref="AB108:AD109"/>
    <mergeCell ref="AB110:AD111"/>
    <mergeCell ref="AB76:AD77"/>
    <mergeCell ref="AB78:AD79"/>
    <mergeCell ref="AB80:AD81"/>
    <mergeCell ref="AB82:AD83"/>
    <mergeCell ref="AB84:AD85"/>
    <mergeCell ref="AB86:AD87"/>
    <mergeCell ref="AB88:AD89"/>
    <mergeCell ref="AB90:AD91"/>
    <mergeCell ref="AB92:AD93"/>
    <mergeCell ref="AE102:AF103"/>
    <mergeCell ref="AE94:AF95"/>
    <mergeCell ref="AG102:AH103"/>
    <mergeCell ref="AG94:AH95"/>
    <mergeCell ref="AI102:AJ103"/>
    <mergeCell ref="AG90:AH91"/>
    <mergeCell ref="AI90:AJ91"/>
    <mergeCell ref="AE92:AF93"/>
    <mergeCell ref="AG92:AH93"/>
    <mergeCell ref="AI92:AJ93"/>
    <mergeCell ref="AB98:AD99"/>
    <mergeCell ref="AB102:AD103"/>
    <mergeCell ref="AI94:AJ95"/>
    <mergeCell ref="AE96:AF97"/>
    <mergeCell ref="AG96:AH97"/>
    <mergeCell ref="AI96:AJ97"/>
    <mergeCell ref="U108:X109"/>
    <mergeCell ref="U110:X111"/>
    <mergeCell ref="U112:X113"/>
    <mergeCell ref="U114:X115"/>
    <mergeCell ref="Y76:AA77"/>
    <mergeCell ref="Y78:AA79"/>
    <mergeCell ref="Y80:AA81"/>
    <mergeCell ref="Y82:AA83"/>
    <mergeCell ref="Y84:AA85"/>
    <mergeCell ref="Y86:AA87"/>
    <mergeCell ref="Y88:AA89"/>
    <mergeCell ref="Y90:AA91"/>
    <mergeCell ref="Y92:AA93"/>
    <mergeCell ref="Y94:AA95"/>
    <mergeCell ref="Y96:AA97"/>
    <mergeCell ref="Y98:AA99"/>
    <mergeCell ref="Y100:AA101"/>
    <mergeCell ref="Y102:AA103"/>
    <mergeCell ref="Y104:AA105"/>
    <mergeCell ref="Y106:AA107"/>
    <mergeCell ref="Y108:AA109"/>
    <mergeCell ref="Y110:AA111"/>
    <mergeCell ref="Y112:AA113"/>
    <mergeCell ref="Y114:AA115"/>
    <mergeCell ref="Q108:R109"/>
    <mergeCell ref="S108:T109"/>
    <mergeCell ref="Q110:R111"/>
    <mergeCell ref="S110:T111"/>
    <mergeCell ref="Q112:R113"/>
    <mergeCell ref="S112:T113"/>
    <mergeCell ref="Q114:R115"/>
    <mergeCell ref="S114:T115"/>
    <mergeCell ref="U76:X77"/>
    <mergeCell ref="U78:X79"/>
    <mergeCell ref="U80:X81"/>
    <mergeCell ref="U82:X83"/>
    <mergeCell ref="U84:X85"/>
    <mergeCell ref="U86:X87"/>
    <mergeCell ref="U88:X89"/>
    <mergeCell ref="U90:X91"/>
    <mergeCell ref="U92:X93"/>
    <mergeCell ref="U94:X95"/>
    <mergeCell ref="U96:X97"/>
    <mergeCell ref="U98:X99"/>
    <mergeCell ref="U100:X101"/>
    <mergeCell ref="U102:X103"/>
    <mergeCell ref="U104:X105"/>
    <mergeCell ref="U106:X107"/>
    <mergeCell ref="Q98:R99"/>
    <mergeCell ref="S98:T99"/>
    <mergeCell ref="Q100:R101"/>
    <mergeCell ref="S100:T101"/>
    <mergeCell ref="Q102:R103"/>
    <mergeCell ref="S102:T103"/>
    <mergeCell ref="Q104:R105"/>
    <mergeCell ref="S104:T105"/>
    <mergeCell ref="Q106:R107"/>
    <mergeCell ref="S106:T107"/>
    <mergeCell ref="K112:P113"/>
    <mergeCell ref="K114:P115"/>
    <mergeCell ref="Q76:R77"/>
    <mergeCell ref="S76:T77"/>
    <mergeCell ref="Q78:R79"/>
    <mergeCell ref="S78:T79"/>
    <mergeCell ref="Q80:R81"/>
    <mergeCell ref="S80:T81"/>
    <mergeCell ref="Q82:R83"/>
    <mergeCell ref="S82:T83"/>
    <mergeCell ref="Q84:R85"/>
    <mergeCell ref="S84:T85"/>
    <mergeCell ref="Q86:R87"/>
    <mergeCell ref="S86:T87"/>
    <mergeCell ref="Q88:R89"/>
    <mergeCell ref="S88:T89"/>
    <mergeCell ref="Q90:R91"/>
    <mergeCell ref="S90:T91"/>
    <mergeCell ref="Q92:R93"/>
    <mergeCell ref="S92:T93"/>
    <mergeCell ref="Q94:R95"/>
    <mergeCell ref="S94:T95"/>
    <mergeCell ref="Q96:R97"/>
    <mergeCell ref="S96:T97"/>
    <mergeCell ref="K94:P95"/>
    <mergeCell ref="K96:P97"/>
    <mergeCell ref="K98:P99"/>
    <mergeCell ref="K100:P101"/>
    <mergeCell ref="K102:P103"/>
    <mergeCell ref="K104:P105"/>
    <mergeCell ref="K106:P107"/>
    <mergeCell ref="K108:P109"/>
    <mergeCell ref="K110:P111"/>
    <mergeCell ref="K76:P77"/>
    <mergeCell ref="K78:P79"/>
    <mergeCell ref="K80:P81"/>
    <mergeCell ref="K82:P83"/>
    <mergeCell ref="K84:P85"/>
    <mergeCell ref="K86:P87"/>
    <mergeCell ref="K88:P89"/>
    <mergeCell ref="K90:P91"/>
    <mergeCell ref="K92:P93"/>
    <mergeCell ref="C112:H113"/>
    <mergeCell ref="C114:H115"/>
    <mergeCell ref="I76:J77"/>
    <mergeCell ref="I78:J79"/>
    <mergeCell ref="I80:J81"/>
    <mergeCell ref="I82:J83"/>
    <mergeCell ref="I84:J85"/>
    <mergeCell ref="I86:J87"/>
    <mergeCell ref="I88:J89"/>
    <mergeCell ref="I90:J91"/>
    <mergeCell ref="I92:J93"/>
    <mergeCell ref="I94:J95"/>
    <mergeCell ref="I96:J97"/>
    <mergeCell ref="I98:J99"/>
    <mergeCell ref="I100:J101"/>
    <mergeCell ref="I102:J103"/>
    <mergeCell ref="I104:J105"/>
    <mergeCell ref="I106:J107"/>
    <mergeCell ref="I108:J109"/>
    <mergeCell ref="I110:J111"/>
    <mergeCell ref="I112:J113"/>
    <mergeCell ref="I114:J115"/>
    <mergeCell ref="C94:H95"/>
    <mergeCell ref="C96:H97"/>
    <mergeCell ref="C98:H99"/>
    <mergeCell ref="C100:H101"/>
    <mergeCell ref="C102:H103"/>
    <mergeCell ref="C104:H105"/>
    <mergeCell ref="C106:H107"/>
    <mergeCell ref="C108:H109"/>
    <mergeCell ref="C110:H111"/>
    <mergeCell ref="C76:H77"/>
    <mergeCell ref="C78:H79"/>
    <mergeCell ref="C80:H81"/>
    <mergeCell ref="C82:H83"/>
    <mergeCell ref="C84:H85"/>
    <mergeCell ref="C86:H87"/>
    <mergeCell ref="C88:H89"/>
    <mergeCell ref="C90:H91"/>
    <mergeCell ref="C92:H93"/>
    <mergeCell ref="AW70:AW71"/>
    <mergeCell ref="AW72:AW73"/>
    <mergeCell ref="AU62:AU63"/>
    <mergeCell ref="AU64:AU65"/>
    <mergeCell ref="AU66:AU67"/>
    <mergeCell ref="AU68:AU69"/>
    <mergeCell ref="AU70:AU71"/>
    <mergeCell ref="AU72:AU73"/>
    <mergeCell ref="AU74:AU75"/>
    <mergeCell ref="AV62:AV63"/>
    <mergeCell ref="AV64:AV65"/>
    <mergeCell ref="AV66:AV67"/>
    <mergeCell ref="AV68:AV69"/>
    <mergeCell ref="AV70:AV71"/>
    <mergeCell ref="AV58:AV59"/>
    <mergeCell ref="AV60:AV61"/>
    <mergeCell ref="AU46:AU47"/>
    <mergeCell ref="AQ1:AR1"/>
    <mergeCell ref="AQ2:AR3"/>
    <mergeCell ref="R9:AC10"/>
    <mergeCell ref="R12:U13"/>
    <mergeCell ref="V12:Y13"/>
    <mergeCell ref="Z12:AC13"/>
    <mergeCell ref="AH1:AK1"/>
    <mergeCell ref="AL1:AP1"/>
    <mergeCell ref="AH2:AK3"/>
    <mergeCell ref="AL2:AP3"/>
    <mergeCell ref="AU44:AU45"/>
    <mergeCell ref="AE40:AF41"/>
    <mergeCell ref="Y36:AA37"/>
    <mergeCell ref="AB36:AD37"/>
    <mergeCell ref="AE36:AF37"/>
    <mergeCell ref="AB28:AD29"/>
    <mergeCell ref="AE28:AF29"/>
    <mergeCell ref="AG32:AH33"/>
    <mergeCell ref="AI32:AJ33"/>
    <mergeCell ref="AI22:AJ23"/>
    <mergeCell ref="AG20:AH21"/>
    <mergeCell ref="AI20:AJ21"/>
    <mergeCell ref="AG16:AH17"/>
    <mergeCell ref="AI16:AJ17"/>
    <mergeCell ref="AU38:AU39"/>
    <mergeCell ref="AU40:AU41"/>
    <mergeCell ref="AU42:AU43"/>
    <mergeCell ref="AU24:AU25"/>
    <mergeCell ref="AX68:AX69"/>
    <mergeCell ref="AW56:AW57"/>
    <mergeCell ref="AW68:AW69"/>
    <mergeCell ref="AW30:AW31"/>
    <mergeCell ref="AX70:AX71"/>
    <mergeCell ref="AX72:AX73"/>
    <mergeCell ref="AX74:AX75"/>
    <mergeCell ref="AU48:AU49"/>
    <mergeCell ref="AU50:AU51"/>
    <mergeCell ref="AU52:AU53"/>
    <mergeCell ref="AU54:AU55"/>
    <mergeCell ref="AU56:AU57"/>
    <mergeCell ref="AU58:AU59"/>
    <mergeCell ref="AU60:AU61"/>
    <mergeCell ref="AG56:AH57"/>
    <mergeCell ref="AI56:AJ57"/>
    <mergeCell ref="AG58:AH59"/>
    <mergeCell ref="AI58:AJ59"/>
    <mergeCell ref="AG52:AH53"/>
    <mergeCell ref="AI52:AJ53"/>
    <mergeCell ref="AG54:AH55"/>
    <mergeCell ref="AI54:AJ55"/>
    <mergeCell ref="AG60:AH61"/>
    <mergeCell ref="AI60:AJ61"/>
    <mergeCell ref="AN56:AQ57"/>
    <mergeCell ref="AN58:AQ59"/>
    <mergeCell ref="AN60:AQ61"/>
    <mergeCell ref="AK56:AM57"/>
    <mergeCell ref="AK58:AM59"/>
    <mergeCell ref="AK60:AM61"/>
    <mergeCell ref="AI48:AJ49"/>
    <mergeCell ref="AW74:AW75"/>
    <mergeCell ref="C66:H67"/>
    <mergeCell ref="I66:J67"/>
    <mergeCell ref="K66:P67"/>
    <mergeCell ref="C64:H65"/>
    <mergeCell ref="I64:J65"/>
    <mergeCell ref="K64:P65"/>
    <mergeCell ref="C62:H63"/>
    <mergeCell ref="AV56:AV57"/>
    <mergeCell ref="AV72:AV73"/>
    <mergeCell ref="AV74:AV75"/>
    <mergeCell ref="AX24:AX25"/>
    <mergeCell ref="AX26:AX27"/>
    <mergeCell ref="AX28:AX29"/>
    <mergeCell ref="AX30:AX31"/>
    <mergeCell ref="AX32:AX33"/>
    <mergeCell ref="AX34:AX35"/>
    <mergeCell ref="AX36:AX37"/>
    <mergeCell ref="AX38:AX39"/>
    <mergeCell ref="AX40:AX41"/>
    <mergeCell ref="AX42:AX43"/>
    <mergeCell ref="AX44:AX45"/>
    <mergeCell ref="AX46:AX47"/>
    <mergeCell ref="AX48:AX49"/>
    <mergeCell ref="AX50:AX51"/>
    <mergeCell ref="AX52:AX53"/>
    <mergeCell ref="AX54:AX55"/>
    <mergeCell ref="AX56:AX57"/>
    <mergeCell ref="AX58:AX59"/>
    <mergeCell ref="AX60:AX61"/>
    <mergeCell ref="AX62:AX63"/>
    <mergeCell ref="AX64:AX65"/>
    <mergeCell ref="AX66:AX67"/>
    <mergeCell ref="AG68:AH69"/>
    <mergeCell ref="AI68:AJ69"/>
    <mergeCell ref="C70:H71"/>
    <mergeCell ref="I70:J71"/>
    <mergeCell ref="K70:P71"/>
    <mergeCell ref="Q70:R71"/>
    <mergeCell ref="S70:T71"/>
    <mergeCell ref="U70:X71"/>
    <mergeCell ref="Y70:AA71"/>
    <mergeCell ref="C68:H69"/>
    <mergeCell ref="I68:J69"/>
    <mergeCell ref="K68:P69"/>
    <mergeCell ref="Q68:R69"/>
    <mergeCell ref="S68:T69"/>
    <mergeCell ref="U68:X69"/>
    <mergeCell ref="Y68:AA69"/>
    <mergeCell ref="AB68:AD69"/>
    <mergeCell ref="AE68:AF69"/>
    <mergeCell ref="AU200:AU201"/>
    <mergeCell ref="AV200:AV201"/>
    <mergeCell ref="AW14:AW15"/>
    <mergeCell ref="AW52:AW53"/>
    <mergeCell ref="AW54:AW55"/>
    <mergeCell ref="AU36:AU37"/>
    <mergeCell ref="AG74:AH75"/>
    <mergeCell ref="AI74:AJ75"/>
    <mergeCell ref="C72:H73"/>
    <mergeCell ref="I72:J73"/>
    <mergeCell ref="K72:P73"/>
    <mergeCell ref="Q72:R73"/>
    <mergeCell ref="S72:T73"/>
    <mergeCell ref="U72:X73"/>
    <mergeCell ref="Y72:AA73"/>
    <mergeCell ref="C74:H75"/>
    <mergeCell ref="I74:J75"/>
    <mergeCell ref="K74:P75"/>
    <mergeCell ref="Q74:R75"/>
    <mergeCell ref="S74:T75"/>
    <mergeCell ref="U74:X75"/>
    <mergeCell ref="Y74:AA75"/>
    <mergeCell ref="AB74:AD75"/>
    <mergeCell ref="AE74:AF75"/>
    <mergeCell ref="AB72:AD73"/>
    <mergeCell ref="AE72:AF73"/>
    <mergeCell ref="AG72:AH73"/>
    <mergeCell ref="AI72:AJ73"/>
    <mergeCell ref="AB70:AD71"/>
    <mergeCell ref="AE70:AF71"/>
    <mergeCell ref="AG70:AH71"/>
    <mergeCell ref="AI70:AJ71"/>
    <mergeCell ref="Q66:R67"/>
    <mergeCell ref="S66:T67"/>
    <mergeCell ref="U66:X67"/>
    <mergeCell ref="Y66:AA67"/>
    <mergeCell ref="AB66:AD67"/>
    <mergeCell ref="AE66:AF67"/>
    <mergeCell ref="AG66:AH67"/>
    <mergeCell ref="AI66:AJ67"/>
    <mergeCell ref="Q64:R65"/>
    <mergeCell ref="S64:T65"/>
    <mergeCell ref="U64:X65"/>
    <mergeCell ref="Y64:AA65"/>
    <mergeCell ref="AB64:AD65"/>
    <mergeCell ref="AE64:AF65"/>
    <mergeCell ref="AG62:AH63"/>
    <mergeCell ref="AI62:AJ63"/>
    <mergeCell ref="AE42:AF43"/>
    <mergeCell ref="U44:X45"/>
    <mergeCell ref="Y44:AA45"/>
    <mergeCell ref="AB44:AD45"/>
    <mergeCell ref="AE44:AF45"/>
    <mergeCell ref="AG42:AH43"/>
    <mergeCell ref="AI42:AJ43"/>
    <mergeCell ref="AI50:AJ51"/>
    <mergeCell ref="AG48:AH49"/>
    <mergeCell ref="AG50:AH51"/>
    <mergeCell ref="AG64:AH65"/>
    <mergeCell ref="AI64:AJ65"/>
    <mergeCell ref="I62:J63"/>
    <mergeCell ref="K62:P63"/>
    <mergeCell ref="Q62:R63"/>
    <mergeCell ref="S62:T63"/>
    <mergeCell ref="U62:X63"/>
    <mergeCell ref="Y62:AA63"/>
    <mergeCell ref="AB62:AD63"/>
    <mergeCell ref="AE62:AF63"/>
    <mergeCell ref="C60:H61"/>
    <mergeCell ref="I60:J61"/>
    <mergeCell ref="K60:P61"/>
    <mergeCell ref="Q60:R61"/>
    <mergeCell ref="S60:T61"/>
    <mergeCell ref="U60:X61"/>
    <mergeCell ref="Y60:AA61"/>
    <mergeCell ref="AB60:AD61"/>
    <mergeCell ref="AE60:AF61"/>
    <mergeCell ref="C58:H59"/>
    <mergeCell ref="I58:J59"/>
    <mergeCell ref="K58:P59"/>
    <mergeCell ref="Q58:R59"/>
    <mergeCell ref="S58:T59"/>
    <mergeCell ref="U58:X59"/>
    <mergeCell ref="Y58:AA59"/>
    <mergeCell ref="AB58:AD59"/>
    <mergeCell ref="AE58:AF59"/>
    <mergeCell ref="C56:H57"/>
    <mergeCell ref="I56:J57"/>
    <mergeCell ref="K56:P57"/>
    <mergeCell ref="Q56:R57"/>
    <mergeCell ref="S56:T57"/>
    <mergeCell ref="U56:X57"/>
    <mergeCell ref="Y56:AA57"/>
    <mergeCell ref="AB56:AD57"/>
    <mergeCell ref="AE56:AF57"/>
    <mergeCell ref="C52:H53"/>
    <mergeCell ref="I52:J53"/>
    <mergeCell ref="K52:P53"/>
    <mergeCell ref="Q52:R53"/>
    <mergeCell ref="S52:T53"/>
    <mergeCell ref="U52:X53"/>
    <mergeCell ref="Y52:AA53"/>
    <mergeCell ref="AB52:AD53"/>
    <mergeCell ref="AE52:AF53"/>
    <mergeCell ref="S44:T45"/>
    <mergeCell ref="AE50:AF51"/>
    <mergeCell ref="C54:H55"/>
    <mergeCell ref="I54:J55"/>
    <mergeCell ref="K54:P55"/>
    <mergeCell ref="Q54:R55"/>
    <mergeCell ref="S54:T55"/>
    <mergeCell ref="U54:X55"/>
    <mergeCell ref="Y54:AA55"/>
    <mergeCell ref="AB54:AD55"/>
    <mergeCell ref="AE54:AF55"/>
    <mergeCell ref="I42:J43"/>
    <mergeCell ref="K42:P43"/>
    <mergeCell ref="Q42:R43"/>
    <mergeCell ref="S42:T43"/>
    <mergeCell ref="U42:X43"/>
    <mergeCell ref="Y42:AA43"/>
    <mergeCell ref="AB42:AD43"/>
    <mergeCell ref="Q40:R41"/>
    <mergeCell ref="S40:T41"/>
    <mergeCell ref="C50:H51"/>
    <mergeCell ref="I50:J51"/>
    <mergeCell ref="K50:P51"/>
    <mergeCell ref="Q50:R51"/>
    <mergeCell ref="S50:T51"/>
    <mergeCell ref="U50:X51"/>
    <mergeCell ref="Y50:AA51"/>
    <mergeCell ref="AB50:AD51"/>
    <mergeCell ref="U40:X41"/>
    <mergeCell ref="Y40:AA41"/>
    <mergeCell ref="AB40:AD41"/>
    <mergeCell ref="C48:H49"/>
    <mergeCell ref="I48:J49"/>
    <mergeCell ref="K48:P49"/>
    <mergeCell ref="Q48:R49"/>
    <mergeCell ref="S48:T49"/>
    <mergeCell ref="U48:X49"/>
    <mergeCell ref="Y48:AA49"/>
    <mergeCell ref="C38:H39"/>
    <mergeCell ref="I38:J39"/>
    <mergeCell ref="K38:P39"/>
    <mergeCell ref="Q38:R39"/>
    <mergeCell ref="S38:T39"/>
    <mergeCell ref="U38:X39"/>
    <mergeCell ref="Y38:AA39"/>
    <mergeCell ref="AB38:AD39"/>
    <mergeCell ref="AE38:AF39"/>
    <mergeCell ref="K40:P41"/>
    <mergeCell ref="AB48:AD49"/>
    <mergeCell ref="AE48:AF49"/>
    <mergeCell ref="AG44:AH45"/>
    <mergeCell ref="AI44:AJ45"/>
    <mergeCell ref="C46:H47"/>
    <mergeCell ref="I46:J47"/>
    <mergeCell ref="K46:P47"/>
    <mergeCell ref="Q46:R47"/>
    <mergeCell ref="S46:T47"/>
    <mergeCell ref="U46:X47"/>
    <mergeCell ref="Y46:AA47"/>
    <mergeCell ref="AB46:AD47"/>
    <mergeCell ref="AE46:AF47"/>
    <mergeCell ref="AG46:AH47"/>
    <mergeCell ref="AI46:AJ47"/>
    <mergeCell ref="C44:H45"/>
    <mergeCell ref="I44:J45"/>
    <mergeCell ref="K44:P45"/>
    <mergeCell ref="Q44:R45"/>
    <mergeCell ref="C40:H41"/>
    <mergeCell ref="I40:J41"/>
    <mergeCell ref="C42:H43"/>
    <mergeCell ref="C34:H35"/>
    <mergeCell ref="I34:J35"/>
    <mergeCell ref="K34:P35"/>
    <mergeCell ref="Q34:R35"/>
    <mergeCell ref="S34:T35"/>
    <mergeCell ref="U34:X35"/>
    <mergeCell ref="Y34:AA35"/>
    <mergeCell ref="AB34:AD35"/>
    <mergeCell ref="AE34:AF35"/>
    <mergeCell ref="AG34:AH35"/>
    <mergeCell ref="AI34:AJ35"/>
    <mergeCell ref="C32:H33"/>
    <mergeCell ref="I32:J33"/>
    <mergeCell ref="K32:P33"/>
    <mergeCell ref="Y32:AA33"/>
    <mergeCell ref="AB32:AD33"/>
    <mergeCell ref="AE32:AF33"/>
    <mergeCell ref="Q32:R33"/>
    <mergeCell ref="S32:T33"/>
    <mergeCell ref="U32:X33"/>
    <mergeCell ref="C36:H37"/>
    <mergeCell ref="I36:J37"/>
    <mergeCell ref="K36:P37"/>
    <mergeCell ref="Q36:R37"/>
    <mergeCell ref="S36:T37"/>
    <mergeCell ref="U36:X37"/>
    <mergeCell ref="AG24:AH25"/>
    <mergeCell ref="AI24:AJ25"/>
    <mergeCell ref="AG26:AH27"/>
    <mergeCell ref="AI26:AJ27"/>
    <mergeCell ref="AG28:AH29"/>
    <mergeCell ref="AI28:AJ29"/>
    <mergeCell ref="AG30:AH31"/>
    <mergeCell ref="AI30:AJ31"/>
    <mergeCell ref="C28:H29"/>
    <mergeCell ref="I28:J29"/>
    <mergeCell ref="K28:P29"/>
    <mergeCell ref="Q28:R29"/>
    <mergeCell ref="S28:T29"/>
    <mergeCell ref="U28:X29"/>
    <mergeCell ref="Y28:AA29"/>
    <mergeCell ref="C30:H31"/>
    <mergeCell ref="I30:J31"/>
    <mergeCell ref="K30:P31"/>
    <mergeCell ref="Q30:R31"/>
    <mergeCell ref="S30:T31"/>
    <mergeCell ref="U30:X31"/>
    <mergeCell ref="Y30:AA31"/>
    <mergeCell ref="AB30:AD31"/>
    <mergeCell ref="AE30:AF31"/>
    <mergeCell ref="C26:H27"/>
    <mergeCell ref="I26:J27"/>
    <mergeCell ref="K26:P27"/>
    <mergeCell ref="Q26:R27"/>
    <mergeCell ref="S26:T27"/>
    <mergeCell ref="U26:X27"/>
    <mergeCell ref="Y26:AA27"/>
    <mergeCell ref="AB26:AD27"/>
    <mergeCell ref="AE26:AF27"/>
    <mergeCell ref="C24:H25"/>
    <mergeCell ref="I24:J25"/>
    <mergeCell ref="K24:P25"/>
    <mergeCell ref="Q24:R25"/>
    <mergeCell ref="S24:T25"/>
    <mergeCell ref="U24:X25"/>
    <mergeCell ref="Y24:AA25"/>
    <mergeCell ref="AB24:AD25"/>
    <mergeCell ref="AE24:AF25"/>
    <mergeCell ref="AG22:AH23"/>
    <mergeCell ref="C20:H21"/>
    <mergeCell ref="I20:J21"/>
    <mergeCell ref="K20:P21"/>
    <mergeCell ref="Q20:R21"/>
    <mergeCell ref="S20:T21"/>
    <mergeCell ref="U20:X21"/>
    <mergeCell ref="Y20:AA21"/>
    <mergeCell ref="C22:H23"/>
    <mergeCell ref="I22:J23"/>
    <mergeCell ref="K22:P23"/>
    <mergeCell ref="Q22:R23"/>
    <mergeCell ref="S22:T23"/>
    <mergeCell ref="U22:X23"/>
    <mergeCell ref="Y22:AA23"/>
    <mergeCell ref="AB22:AD23"/>
    <mergeCell ref="AE22:AF23"/>
    <mergeCell ref="AB20:AD21"/>
    <mergeCell ref="AE20:AF21"/>
    <mergeCell ref="C18:H19"/>
    <mergeCell ref="I18:J19"/>
    <mergeCell ref="K18:P19"/>
    <mergeCell ref="Q18:R19"/>
    <mergeCell ref="S18:T19"/>
    <mergeCell ref="U18:X19"/>
    <mergeCell ref="Y18:AA19"/>
    <mergeCell ref="AB18:AD19"/>
    <mergeCell ref="AE18:AF19"/>
    <mergeCell ref="AG18:AH19"/>
    <mergeCell ref="AI18:AJ19"/>
    <mergeCell ref="C16:H17"/>
    <mergeCell ref="I16:J17"/>
    <mergeCell ref="K16:P17"/>
    <mergeCell ref="Q16:R17"/>
    <mergeCell ref="S16:T17"/>
    <mergeCell ref="AB16:AD17"/>
    <mergeCell ref="AE16:AF17"/>
    <mergeCell ref="U16:X17"/>
    <mergeCell ref="Y16:AA17"/>
    <mergeCell ref="I14:J15"/>
    <mergeCell ref="C14:H15"/>
    <mergeCell ref="AE14:AF15"/>
    <mergeCell ref="AG14:AH15"/>
    <mergeCell ref="AB14:AD15"/>
    <mergeCell ref="Y14:AA15"/>
    <mergeCell ref="U14:X15"/>
    <mergeCell ref="S14:T15"/>
    <mergeCell ref="Q14:R15"/>
    <mergeCell ref="K14:P15"/>
    <mergeCell ref="AI14:AJ15"/>
    <mergeCell ref="M200:AG201"/>
    <mergeCell ref="B16:B17"/>
    <mergeCell ref="R11:U11"/>
    <mergeCell ref="V11:Y11"/>
    <mergeCell ref="Z11:AC11"/>
    <mergeCell ref="B40:B41"/>
    <mergeCell ref="B18:B19"/>
    <mergeCell ref="B20:B21"/>
    <mergeCell ref="B22:B23"/>
    <mergeCell ref="B24:B25"/>
    <mergeCell ref="B26:B27"/>
    <mergeCell ref="B28:B29"/>
    <mergeCell ref="B30:B31"/>
    <mergeCell ref="B32:B33"/>
    <mergeCell ref="B34:B35"/>
    <mergeCell ref="B36:B37"/>
    <mergeCell ref="B38:B39"/>
    <mergeCell ref="B64:B65"/>
    <mergeCell ref="B42:B43"/>
    <mergeCell ref="B44:B45"/>
    <mergeCell ref="B46:B47"/>
    <mergeCell ref="B48:B49"/>
    <mergeCell ref="B50:B51"/>
    <mergeCell ref="B52:B53"/>
    <mergeCell ref="B54:B55"/>
    <mergeCell ref="B56:B57"/>
    <mergeCell ref="B58:B59"/>
    <mergeCell ref="B60:B61"/>
    <mergeCell ref="B62:B63"/>
    <mergeCell ref="B88:B89"/>
    <mergeCell ref="B66:B67"/>
    <mergeCell ref="B68:B69"/>
    <mergeCell ref="B70:B71"/>
    <mergeCell ref="B72:B73"/>
    <mergeCell ref="B74:B75"/>
    <mergeCell ref="B76:B77"/>
    <mergeCell ref="B78:B79"/>
    <mergeCell ref="B80:B81"/>
    <mergeCell ref="B82:B83"/>
    <mergeCell ref="B84:B85"/>
    <mergeCell ref="B86:B87"/>
    <mergeCell ref="B112:B113"/>
    <mergeCell ref="B90:B91"/>
    <mergeCell ref="B92:B93"/>
    <mergeCell ref="B94:B95"/>
    <mergeCell ref="B96:B97"/>
    <mergeCell ref="B98:B99"/>
    <mergeCell ref="B100:B101"/>
    <mergeCell ref="B102:B103"/>
    <mergeCell ref="B104:B105"/>
    <mergeCell ref="B106:B107"/>
    <mergeCell ref="B108:B109"/>
    <mergeCell ref="B110:B111"/>
    <mergeCell ref="B136:B137"/>
    <mergeCell ref="B114:B115"/>
    <mergeCell ref="B116:B117"/>
    <mergeCell ref="B118:B119"/>
    <mergeCell ref="B120:B121"/>
    <mergeCell ref="B122:B123"/>
    <mergeCell ref="B124:B125"/>
    <mergeCell ref="B126:B127"/>
    <mergeCell ref="B128:B129"/>
    <mergeCell ref="B130:B131"/>
    <mergeCell ref="B132:B133"/>
    <mergeCell ref="B134:B135"/>
    <mergeCell ref="B160:B161"/>
    <mergeCell ref="B138:B139"/>
    <mergeCell ref="B140:B141"/>
    <mergeCell ref="B142:B143"/>
    <mergeCell ref="B144:B145"/>
    <mergeCell ref="B146:B147"/>
    <mergeCell ref="B148:B149"/>
    <mergeCell ref="B150:B151"/>
    <mergeCell ref="B152:B153"/>
    <mergeCell ref="B154:B155"/>
    <mergeCell ref="B156:B157"/>
    <mergeCell ref="B158:B159"/>
    <mergeCell ref="B198:B199"/>
    <mergeCell ref="B186:B187"/>
    <mergeCell ref="B188:B189"/>
    <mergeCell ref="B190:B191"/>
    <mergeCell ref="B192:B193"/>
    <mergeCell ref="B194:B195"/>
    <mergeCell ref="B196:B197"/>
    <mergeCell ref="B184:B185"/>
    <mergeCell ref="B162:B163"/>
    <mergeCell ref="B164:B165"/>
    <mergeCell ref="B166:B167"/>
    <mergeCell ref="B168:B169"/>
    <mergeCell ref="B170:B171"/>
    <mergeCell ref="B172:B173"/>
    <mergeCell ref="B174:B175"/>
    <mergeCell ref="B176:B177"/>
    <mergeCell ref="B178:B179"/>
    <mergeCell ref="B180:B181"/>
    <mergeCell ref="B182:B183"/>
    <mergeCell ref="BC14:BC15"/>
    <mergeCell ref="BC16:BC17"/>
    <mergeCell ref="BC18:BC19"/>
    <mergeCell ref="BC20:BC21"/>
    <mergeCell ref="BC22:BC23"/>
    <mergeCell ref="BC24:BC25"/>
    <mergeCell ref="BC26:BC27"/>
    <mergeCell ref="BC28:BC29"/>
    <mergeCell ref="BC30:BC31"/>
    <mergeCell ref="BC56:BC57"/>
    <mergeCell ref="BC58:BC59"/>
    <mergeCell ref="BC60:BC61"/>
    <mergeCell ref="BC62:BC63"/>
    <mergeCell ref="BC64:BC65"/>
    <mergeCell ref="BC66:BC67"/>
    <mergeCell ref="BC32:BC33"/>
    <mergeCell ref="BC34:BC35"/>
    <mergeCell ref="BC36:BC37"/>
    <mergeCell ref="BC38:BC39"/>
    <mergeCell ref="BC40:BC41"/>
    <mergeCell ref="BC42:BC43"/>
    <mergeCell ref="BC44:BC45"/>
    <mergeCell ref="BC46:BC47"/>
    <mergeCell ref="BC48:BC49"/>
    <mergeCell ref="BC74:BC75"/>
    <mergeCell ref="AK16:AM17"/>
    <mergeCell ref="AK18:AM19"/>
    <mergeCell ref="AK20:AM21"/>
    <mergeCell ref="AK22:AM23"/>
    <mergeCell ref="AK24:AM25"/>
    <mergeCell ref="AK26:AM27"/>
    <mergeCell ref="AK28:AM29"/>
    <mergeCell ref="AK30:AM31"/>
    <mergeCell ref="AK32:AM33"/>
    <mergeCell ref="AK34:AM35"/>
    <mergeCell ref="AK36:AM37"/>
    <mergeCell ref="AK38:AM39"/>
    <mergeCell ref="AK40:AM41"/>
    <mergeCell ref="AK42:AM43"/>
    <mergeCell ref="AK44:AM45"/>
    <mergeCell ref="AK46:AM47"/>
    <mergeCell ref="AK48:AM49"/>
    <mergeCell ref="AK50:AM51"/>
    <mergeCell ref="AK52:AM53"/>
    <mergeCell ref="AK54:AM55"/>
    <mergeCell ref="BC50:BC51"/>
    <mergeCell ref="BC52:BC53"/>
    <mergeCell ref="BC54:BC55"/>
    <mergeCell ref="AK68:AM69"/>
    <mergeCell ref="AK70:AM71"/>
    <mergeCell ref="AK72:AM73"/>
    <mergeCell ref="BC68:BC69"/>
    <mergeCell ref="BC70:BC71"/>
    <mergeCell ref="BC72:BC73"/>
    <mergeCell ref="AN62:AQ63"/>
    <mergeCell ref="AN64:AQ65"/>
    <mergeCell ref="AN68:AQ69"/>
    <mergeCell ref="AN70:AQ71"/>
    <mergeCell ref="AN72:AQ73"/>
    <mergeCell ref="AK62:AM63"/>
    <mergeCell ref="AK64:AM65"/>
    <mergeCell ref="AK66:AM67"/>
    <mergeCell ref="AN74:AQ75"/>
    <mergeCell ref="AK14:AM15"/>
    <mergeCell ref="AN14:AQ15"/>
    <mergeCell ref="AK74:AM75"/>
    <mergeCell ref="AN16:AQ17"/>
    <mergeCell ref="AN18:AQ19"/>
    <mergeCell ref="AN20:AQ21"/>
    <mergeCell ref="AN22:AQ23"/>
    <mergeCell ref="AN24:AQ25"/>
    <mergeCell ref="AN26:AQ27"/>
    <mergeCell ref="AN28:AQ29"/>
    <mergeCell ref="AN30:AQ31"/>
    <mergeCell ref="AN32:AQ33"/>
    <mergeCell ref="AN34:AQ35"/>
    <mergeCell ref="AN36:AQ37"/>
    <mergeCell ref="AN38:AQ39"/>
    <mergeCell ref="AN40:AQ41"/>
    <mergeCell ref="AN42:AQ43"/>
    <mergeCell ref="AN44:AQ45"/>
    <mergeCell ref="AN46:AQ47"/>
    <mergeCell ref="AN48:AQ49"/>
    <mergeCell ref="AN50:AQ51"/>
    <mergeCell ref="AN52:AQ53"/>
    <mergeCell ref="AN54:AQ55"/>
    <mergeCell ref="AN66:AQ67"/>
    <mergeCell ref="AV24:AV25"/>
    <mergeCell ref="AW58:AW59"/>
    <mergeCell ref="AW60:AW61"/>
    <mergeCell ref="AW62:AW63"/>
    <mergeCell ref="AW64:AW65"/>
    <mergeCell ref="AW66:AW67"/>
    <mergeCell ref="AW38:AW39"/>
    <mergeCell ref="AW40:AW41"/>
    <mergeCell ref="AW42:AW43"/>
    <mergeCell ref="AW44:AW45"/>
    <mergeCell ref="AW46:AW47"/>
    <mergeCell ref="AW48:AW49"/>
    <mergeCell ref="AW50:AW51"/>
    <mergeCell ref="AW32:AW33"/>
    <mergeCell ref="AW34:AW35"/>
    <mergeCell ref="AW24:AW25"/>
    <mergeCell ref="AW26:AW27"/>
    <mergeCell ref="AW28:AW29"/>
    <mergeCell ref="AV46:AV47"/>
    <mergeCell ref="AV48:AV49"/>
    <mergeCell ref="AV50:AV51"/>
    <mergeCell ref="AV52:AV53"/>
    <mergeCell ref="AV54:AV55"/>
    <mergeCell ref="BA38:BA39"/>
    <mergeCell ref="BA40:BA41"/>
    <mergeCell ref="BA42:BA43"/>
    <mergeCell ref="BA44:BA45"/>
    <mergeCell ref="AY14:AY15"/>
    <mergeCell ref="AY16:AY17"/>
    <mergeCell ref="AY18:AY19"/>
    <mergeCell ref="AY20:AY21"/>
    <mergeCell ref="AY22:AY23"/>
    <mergeCell ref="AY24:AY25"/>
    <mergeCell ref="AY26:AY27"/>
    <mergeCell ref="AY28:AY29"/>
    <mergeCell ref="AY30:AY31"/>
    <mergeCell ref="AY32:AY33"/>
    <mergeCell ref="AY34:AY35"/>
    <mergeCell ref="AY36:AY37"/>
    <mergeCell ref="AY38:AY39"/>
    <mergeCell ref="AY40:AY41"/>
    <mergeCell ref="AY42:AY43"/>
    <mergeCell ref="AY44:AY45"/>
    <mergeCell ref="AZ14:AZ15"/>
    <mergeCell ref="AZ16:AZ17"/>
    <mergeCell ref="AZ18:AZ19"/>
    <mergeCell ref="AZ20:AZ21"/>
    <mergeCell ref="AZ22:AZ23"/>
    <mergeCell ref="AZ24:AZ25"/>
    <mergeCell ref="AZ26:AZ27"/>
    <mergeCell ref="AZ28:AZ29"/>
    <mergeCell ref="AZ30:AZ31"/>
    <mergeCell ref="AZ32:AZ33"/>
    <mergeCell ref="AZ34:AZ35"/>
    <mergeCell ref="AZ36:AZ37"/>
    <mergeCell ref="BF14:BF15"/>
    <mergeCell ref="BF16:BF17"/>
    <mergeCell ref="BF18:BF19"/>
    <mergeCell ref="BF20:BF21"/>
    <mergeCell ref="BF22:BF23"/>
    <mergeCell ref="BF24:BF25"/>
    <mergeCell ref="BF26:BF27"/>
    <mergeCell ref="BF28:BF29"/>
    <mergeCell ref="BF30:BF31"/>
    <mergeCell ref="BF32:BF33"/>
    <mergeCell ref="BF34:BF35"/>
    <mergeCell ref="BF36:BF37"/>
    <mergeCell ref="BF38:BF39"/>
    <mergeCell ref="BF40:BF41"/>
    <mergeCell ref="BF42:BF43"/>
    <mergeCell ref="BF44:BF45"/>
    <mergeCell ref="AY112:AY113"/>
    <mergeCell ref="AZ112:AZ113"/>
    <mergeCell ref="BA112:BA113"/>
    <mergeCell ref="BB112:BB113"/>
    <mergeCell ref="BA14:BA15"/>
    <mergeCell ref="BA16:BA17"/>
    <mergeCell ref="BA18:BA19"/>
    <mergeCell ref="BA20:BA21"/>
    <mergeCell ref="BA22:BA23"/>
    <mergeCell ref="BA24:BA25"/>
    <mergeCell ref="BA26:BA27"/>
    <mergeCell ref="BA28:BA29"/>
    <mergeCell ref="BA30:BA31"/>
    <mergeCell ref="BA32:BA33"/>
    <mergeCell ref="BA34:BA35"/>
    <mergeCell ref="BA36:BA37"/>
  </mergeCells>
  <conditionalFormatting sqref="I16:J115 Q16:R115">
    <cfRule type="expression" dxfId="224" priority="14">
      <formula>MOD(I16,1)&lt;&gt;0</formula>
    </cfRule>
  </conditionalFormatting>
  <conditionalFormatting sqref="I16:J115">
    <cfRule type="expression" dxfId="223" priority="69">
      <formula>$I16&lt;&gt;INDEX(PMELIGHTBASEAUTO,MATCH(C16,PMELIGHTBASE1,0))</formula>
    </cfRule>
  </conditionalFormatting>
  <conditionalFormatting sqref="I16:AH45">
    <cfRule type="expression" dxfId="222" priority="86">
      <formula>AND(ISBLANK($C16)=FALSE,OR(ISBLANK(I16)=TRUE,I16=""))</formula>
    </cfRule>
  </conditionalFormatting>
  <conditionalFormatting sqref="AH2 AL2">
    <cfRule type="expression" dxfId="221" priority="4">
      <formula>PROJSTATUS=PROJSTATELI</formula>
    </cfRule>
    <cfRule type="expression" dxfId="220" priority="7">
      <formula>PROJSTATUS=PROJSTATREVIEW</formula>
    </cfRule>
    <cfRule type="expression" dxfId="219" priority="11">
      <formula>PROJSTATUS=PROJSTATPREAPPROVE</formula>
    </cfRule>
    <cfRule type="expression" dxfId="218" priority="12">
      <formula>PROJSTATUS=PROJSTATSTANDARD</formula>
    </cfRule>
    <cfRule type="expression" dxfId="217" priority="13">
      <formula>PROJSTATUS=PROJSTATEXP</formula>
    </cfRule>
  </conditionalFormatting>
  <conditionalFormatting sqref="AN16 AN18 AN20 AN22 AN24 AN26 AN28 AN30 AN32 AN34 AN36 AN38 AN40 AN42 AN44 AN46 AN48 AN50 AN52 AN54 AN56 AN58 AN60 AN62 AN64 AN66 AN68 AN70 AN72 AN74 AN76 AN78 AN80 AN82 AN84 AN86 AN88 AN90 AN92 AN94 AN96 AN98 AN100 AN102 AN104 AN106 AN108 AN110 AN112 AN114">
    <cfRule type="expression" dxfId="216" priority="1">
      <formula>ISNUMBER(AN16)=FALSE</formula>
    </cfRule>
  </conditionalFormatting>
  <conditionalFormatting sqref="AQ2:AR3">
    <cfRule type="cellIs" dxfId="215" priority="8" operator="equal">
      <formula>1</formula>
    </cfRule>
    <cfRule type="cellIs" dxfId="214" priority="9" operator="between">
      <formula>0.51</formula>
      <formula>0.99</formula>
    </cfRule>
    <cfRule type="cellIs" dxfId="213" priority="10" operator="lessThanOrEqual">
      <formula>0.5</formula>
    </cfRule>
  </conditionalFormatting>
  <dataValidations xWindow="191" yWindow="734" count="9">
    <dataValidation type="list" allowBlank="1" showInputMessage="1" showErrorMessage="1" prompt="Select lighting. If you do not see your lamp/fixture listed, it may qualify as a Custom Measure._x000a__x000a_If you want to change this measure you must first delete the Efficient Lighting selction. Then it will allow you to select a new Inefficient Measure." sqref="C16:H109" xr:uid="{00000000-0002-0000-1400-000000000000}">
      <formula1>IF(ISBLANK(K16),PMELIGHTBASE1,"")</formula1>
    </dataValidation>
    <dataValidation type="list" allowBlank="1" showInputMessage="1" showErrorMessage="1" sqref="K16:P109" xr:uid="{00000000-0002-0000-1400-000001000000}">
      <formula1>PMELIGHTEFF1</formula1>
    </dataValidation>
    <dataValidation type="whole" allowBlank="1" showInputMessage="1" showErrorMessage="1" error="The maximum allowable hours value is 8,760.  The minimum allowable hours value is 1,000.  Measures with hours outside of this range are custom." prompt="Please enter the annual operating hours for the line item.  The allowable annual hours range is 1,000 - 8,760.  Measures outside this hours range are custom." sqref="AB16:AD113" xr:uid="{00000000-0002-0000-1400-000002000000}">
      <formula1>INDEX(PMELIGHTOPHR1,MATCH(K16,PMELIGHTEFFLIST,0))</formula1>
      <formula2>8760</formula2>
    </dataValidation>
    <dataValidation type="decimal" allowBlank="1" showInputMessage="1" showErrorMessage="1" error="Please enter a numerical value" prompt="Enter per unit labor cost as identified on the invoice._x000a__x000a_For in-house installaltions enter an estimated labor cost." sqref="AG16:AH113" xr:uid="{00000000-0002-0000-1400-000003000000}">
      <formula1>0</formula1>
      <formula2>999999</formula2>
    </dataValidation>
    <dataValidation type="whole" allowBlank="1" showInputMessage="1" showErrorMessage="1" error="Please enter a numerical value" prompt="Enter the total number of units." sqref="S16:T109" xr:uid="{00000000-0002-0000-1400-000004000000}">
      <formula1>0</formula1>
      <formula2>99999</formula2>
    </dataValidation>
    <dataValidation type="decimal" allowBlank="1" showInputMessage="1" showErrorMessage="1" error="Please enter a numerical value" prompt="Enter per unit material cost as identified on the invoice." sqref="AE16:AF113" xr:uid="{00000000-0002-0000-1400-000005000000}">
      <formula1>0</formula1>
      <formula2>999999</formula2>
    </dataValidation>
    <dataValidation type="decimal" showInputMessage="1" showErrorMessage="1" error="Please enter a numerical value within the designated range" prompt="Enter inefficient lamp/fixture wattage." sqref="I46:J113" xr:uid="{00000000-0002-0000-1400-000006000000}">
      <formula1>INDEX(PMELIGHTBASEW1,MATCH(C46,PMELIGHTBASE1,0))</formula1>
      <formula2>INDEX(PMELIGHTBASEW2,MATCH(C46,PMELIGHTBASE1,0))</formula2>
    </dataValidation>
    <dataValidation type="decimal" allowBlank="1" showInputMessage="1" showErrorMessage="1" sqref="Q16:R113" xr:uid="{00000000-0002-0000-1400-000007000000}">
      <formula1>0</formula1>
      <formula2>INDEX(PMELIGHTEFFW2,MATCH(K16,PMELIGHTEFFLIST,0))</formula2>
    </dataValidation>
    <dataValidation type="decimal" showInputMessage="1" showErrorMessage="1" error="Please enter a numerical value within the designated range.  If no range is shown, wattage entered may be too high for selected measure." prompt="Enter inefficient lamp/fixture wattage." sqref="I16:J45" xr:uid="{60D1876E-FCD1-4933-97BD-4C5D4CCEB406}">
      <formula1>INDEX(PMELIGHTBASEW1,MATCH(C16,PMELIGHTBASE1,0))</formula1>
      <formula2>INDEX(PMELIGHTBASEW2,MATCH(C16,PMELIGHTBASE1,0))</formula2>
    </dataValidation>
  </dataValidations>
  <hyperlinks>
    <hyperlink ref="B202" r:id="rId1" xr:uid="{6486688E-6038-4A95-9CD1-79366723FF06}"/>
  </hyperlinks>
  <pageMargins left="0.25" right="0.25" top="0.25" bottom="0.25" header="0.25" footer="0.25"/>
  <pageSetup scale="53" fitToHeight="0" orientation="landscape" r:id="rId2"/>
  <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7">
    <pageSetUpPr fitToPage="1"/>
  </sheetPr>
  <dimension ref="A1:BZ202"/>
  <sheetViews>
    <sheetView showGridLines="0" showRowColHeaders="0" zoomScale="85" zoomScaleNormal="85" workbookViewId="0">
      <selection activeCell="C16" sqref="C16:H17"/>
    </sheetView>
  </sheetViews>
  <sheetFormatPr defaultColWidth="0" defaultRowHeight="15"/>
  <cols>
    <col min="1" max="44" width="4.7109375" customWidth="1"/>
    <col min="45" max="45" width="4.7109375" style="59" customWidth="1"/>
    <col min="46" max="46" width="4.7109375" style="59" hidden="1" customWidth="1"/>
    <col min="47" max="78" width="9.140625" style="59" hidden="1" customWidth="1"/>
    <col min="79" max="16384" width="9.140625" hidden="1"/>
  </cols>
  <sheetData>
    <row r="1" spans="2:57" ht="15.95" customHeight="1">
      <c r="AH1" s="686" t="s">
        <v>471</v>
      </c>
      <c r="AI1" s="686"/>
      <c r="AJ1" s="686"/>
      <c r="AK1" s="686"/>
      <c r="AL1" s="687" t="s">
        <v>736</v>
      </c>
      <c r="AM1" s="687"/>
      <c r="AN1" s="687"/>
      <c r="AO1" s="687"/>
      <c r="AP1" s="687"/>
      <c r="AQ1" s="683" t="s">
        <v>474</v>
      </c>
      <c r="AR1" s="683"/>
    </row>
    <row r="2" spans="2:57" ht="15.95" customHeight="1">
      <c r="AH2" s="688" t="str">
        <f ca="1">INCENSTATUS</f>
        <v>---</v>
      </c>
      <c r="AI2" s="689"/>
      <c r="AJ2" s="689"/>
      <c r="AK2" s="689"/>
      <c r="AL2" s="690" t="str">
        <f ca="1">PROJSTATUS</f>
        <v>Enter Measures</v>
      </c>
      <c r="AM2" s="690"/>
      <c r="AN2" s="690"/>
      <c r="AO2" s="690"/>
      <c r="AP2" s="690"/>
      <c r="AQ2" s="684">
        <f ca="1">PROGRESSSTATUS</f>
        <v>2.8985507246376812E-2</v>
      </c>
      <c r="AR2" s="685"/>
    </row>
    <row r="3" spans="2:57" ht="15.95" customHeight="1">
      <c r="AH3" s="680"/>
      <c r="AI3" s="681"/>
      <c r="AJ3" s="681"/>
      <c r="AK3" s="681"/>
      <c r="AL3" s="673"/>
      <c r="AM3" s="673"/>
      <c r="AN3" s="673"/>
      <c r="AO3" s="673"/>
      <c r="AP3" s="673"/>
      <c r="AQ3" s="667"/>
      <c r="AR3" s="668"/>
    </row>
    <row r="4" spans="2:57" ht="15.95" customHeight="1">
      <c r="AR4" s="171"/>
    </row>
    <row r="5" spans="2:57" ht="15.95" customHeight="1"/>
    <row r="6" spans="2:57" ht="15.95" customHeight="1">
      <c r="AU6" s="59" t="s">
        <v>907</v>
      </c>
      <c r="AV6" s="59">
        <f>PROJID</f>
        <v>0</v>
      </c>
    </row>
    <row r="7" spans="2:57" ht="15.95" customHeight="1">
      <c r="AU7" s="87"/>
      <c r="AV7" s="87" t="s">
        <v>866</v>
      </c>
      <c r="AW7" s="87" t="s">
        <v>231</v>
      </c>
      <c r="AX7" s="87" t="s">
        <v>892</v>
      </c>
    </row>
    <row r="8" spans="2:57" ht="15.95" customHeight="1">
      <c r="AU8" s="87" t="s">
        <v>219</v>
      </c>
      <c r="AV8" s="87" t="str">
        <f ca="1">CBPRESE</f>
        <v>NA</v>
      </c>
      <c r="AW8" s="87" t="str">
        <f ca="1">CBCUSE</f>
        <v>NA</v>
      </c>
      <c r="AX8" s="87" t="str">
        <f ca="1">CBALL</f>
        <v>NA</v>
      </c>
    </row>
    <row r="9" spans="2:57" ht="15.95" customHeight="1">
      <c r="B9" s="59"/>
      <c r="C9" s="59"/>
      <c r="D9" s="59"/>
      <c r="E9" s="59"/>
      <c r="F9" s="59"/>
      <c r="G9" s="59"/>
      <c r="H9" s="59"/>
      <c r="I9" s="59"/>
      <c r="J9" s="59"/>
      <c r="K9" s="59"/>
      <c r="L9" s="59"/>
      <c r="M9" s="59"/>
      <c r="N9" s="59"/>
      <c r="O9" s="59"/>
      <c r="P9" s="59"/>
      <c r="Q9" s="59"/>
      <c r="R9" s="735" t="str">
        <f>CONCATENATE(M3S2," ","Summary")</f>
        <v>Lighting Controls Summary</v>
      </c>
      <c r="S9" s="735"/>
      <c r="T9" s="735"/>
      <c r="U9" s="735"/>
      <c r="V9" s="735"/>
      <c r="W9" s="735"/>
      <c r="X9" s="735"/>
      <c r="Y9" s="735"/>
      <c r="Z9" s="735"/>
      <c r="AA9" s="735"/>
      <c r="AB9" s="735"/>
      <c r="AC9" s="735"/>
      <c r="AD9" s="59"/>
      <c r="AE9" s="59"/>
      <c r="AF9" s="59"/>
      <c r="AG9" s="59"/>
      <c r="AH9" s="59"/>
      <c r="AI9" s="59"/>
      <c r="AJ9" s="59"/>
      <c r="AK9" s="59"/>
      <c r="AL9" s="59"/>
      <c r="AM9" s="59"/>
      <c r="AN9" s="59"/>
      <c r="AO9" s="59"/>
      <c r="AP9" s="59"/>
      <c r="AQ9" s="59"/>
      <c r="AR9" s="59"/>
      <c r="AU9" s="87"/>
      <c r="AV9" s="87"/>
      <c r="AW9" s="87"/>
      <c r="AX9" s="87"/>
    </row>
    <row r="10" spans="2:57" ht="15.95" customHeight="1">
      <c r="B10" s="59"/>
      <c r="C10" s="59"/>
      <c r="D10" s="59"/>
      <c r="E10" s="59"/>
      <c r="F10" s="59"/>
      <c r="G10" s="59"/>
      <c r="H10" s="59"/>
      <c r="I10" s="59"/>
      <c r="J10" s="59"/>
      <c r="K10" s="59"/>
      <c r="L10" s="59"/>
      <c r="M10" s="59"/>
      <c r="N10" s="59"/>
      <c r="O10" s="59"/>
      <c r="P10" s="59"/>
      <c r="Q10" s="59"/>
      <c r="R10" s="735"/>
      <c r="S10" s="735"/>
      <c r="T10" s="735"/>
      <c r="U10" s="735"/>
      <c r="V10" s="735"/>
      <c r="W10" s="735"/>
      <c r="X10" s="735"/>
      <c r="Y10" s="735"/>
      <c r="Z10" s="735"/>
      <c r="AA10" s="735"/>
      <c r="AB10" s="735"/>
      <c r="AC10" s="735"/>
      <c r="AD10" s="59"/>
      <c r="AE10" s="59"/>
      <c r="AF10" s="59"/>
      <c r="AG10" s="59"/>
      <c r="AH10" s="59"/>
      <c r="AI10" s="59"/>
      <c r="AJ10" s="59"/>
      <c r="AK10" s="59"/>
      <c r="AL10" s="59"/>
      <c r="AM10" s="59"/>
      <c r="AN10" s="59"/>
      <c r="AO10" s="59"/>
      <c r="AP10" s="59"/>
      <c r="AQ10" s="59"/>
      <c r="AR10" s="59"/>
      <c r="AU10" s="87" t="s">
        <v>581</v>
      </c>
      <c r="AV10" s="87" t="str">
        <f ca="1">PAYPRESE</f>
        <v>NA</v>
      </c>
      <c r="AW10" s="87" t="str">
        <f ca="1">PAYCUSE</f>
        <v>NA</v>
      </c>
      <c r="AX10" s="368" t="str">
        <f ca="1">PAYALL</f>
        <v>NA</v>
      </c>
    </row>
    <row r="11" spans="2:57" ht="15.95" customHeight="1">
      <c r="B11" s="59"/>
      <c r="C11" s="59"/>
      <c r="D11" s="59"/>
      <c r="E11" s="59"/>
      <c r="F11" s="59"/>
      <c r="G11" s="59"/>
      <c r="H11" s="492"/>
      <c r="I11" s="492"/>
      <c r="J11" s="492"/>
      <c r="K11" s="492"/>
      <c r="L11" s="492"/>
      <c r="M11" s="492"/>
      <c r="N11" s="492"/>
      <c r="O11" s="492"/>
      <c r="P11" s="59"/>
      <c r="Q11" s="59"/>
      <c r="R11" s="836" t="s">
        <v>68</v>
      </c>
      <c r="S11" s="836"/>
      <c r="T11" s="836"/>
      <c r="U11" s="836"/>
      <c r="V11" s="836" t="s">
        <v>69</v>
      </c>
      <c r="W11" s="836"/>
      <c r="X11" s="836"/>
      <c r="Y11" s="836"/>
      <c r="Z11" s="836" t="s">
        <v>70</v>
      </c>
      <c r="AA11" s="836"/>
      <c r="AB11" s="836"/>
      <c r="AC11" s="836"/>
      <c r="AD11" s="59"/>
      <c r="AE11" s="59"/>
      <c r="AF11" s="901" t="s">
        <v>2101</v>
      </c>
      <c r="AG11" s="901"/>
      <c r="AH11" s="901"/>
      <c r="AI11" s="901"/>
      <c r="AK11" s="59"/>
      <c r="AL11" s="59"/>
      <c r="AM11" s="59"/>
      <c r="AN11" s="59"/>
      <c r="AO11" s="59"/>
      <c r="AP11" s="59"/>
      <c r="AQ11" s="59"/>
      <c r="AR11" s="59"/>
    </row>
    <row r="12" spans="2:57" ht="15.95" customHeight="1">
      <c r="B12" s="59"/>
      <c r="C12" s="59"/>
      <c r="D12" s="59"/>
      <c r="E12" s="59"/>
      <c r="F12" s="59"/>
      <c r="G12" s="59"/>
      <c r="H12" s="492"/>
      <c r="I12" s="492"/>
      <c r="J12" s="492"/>
      <c r="K12" s="492"/>
      <c r="L12" s="492"/>
      <c r="M12" s="492"/>
      <c r="N12" s="492"/>
      <c r="O12" s="492"/>
      <c r="P12" s="59"/>
      <c r="Q12" s="59"/>
      <c r="R12" s="880">
        <f>SUM(AN16:AQ35)</f>
        <v>0</v>
      </c>
      <c r="S12" s="880"/>
      <c r="T12" s="880"/>
      <c r="U12" s="880"/>
      <c r="V12" s="880">
        <f ca="1">AU200</f>
        <v>0</v>
      </c>
      <c r="W12" s="880"/>
      <c r="X12" s="880"/>
      <c r="Y12" s="880"/>
      <c r="Z12" s="881">
        <f ca="1">SUMIF(AN16:AQ113,"&gt;0",AK16:AM113)</f>
        <v>0</v>
      </c>
      <c r="AA12" s="881"/>
      <c r="AB12" s="881"/>
      <c r="AC12" s="881"/>
      <c r="AD12" s="59"/>
      <c r="AE12" s="59"/>
      <c r="AF12" s="902">
        <f ca="1">IFERROR(IF(AN54="",0,AN54),0)</f>
        <v>0</v>
      </c>
      <c r="AG12" s="902"/>
      <c r="AH12" s="902"/>
      <c r="AI12" s="902"/>
      <c r="AK12" s="59"/>
      <c r="AL12" s="59"/>
      <c r="AM12" s="59"/>
      <c r="AN12" s="59"/>
      <c r="AO12" s="59"/>
      <c r="AP12" s="59"/>
      <c r="AQ12" s="59"/>
      <c r="AR12" s="59"/>
    </row>
    <row r="13" spans="2:57" ht="15.95" customHeight="1">
      <c r="B13" s="59"/>
      <c r="C13" s="59"/>
      <c r="D13" s="59"/>
      <c r="E13" s="59"/>
      <c r="F13" s="59"/>
      <c r="G13" s="59"/>
      <c r="H13" s="59"/>
      <c r="I13" s="59"/>
      <c r="J13" s="59"/>
      <c r="K13" s="59"/>
      <c r="L13" s="59"/>
      <c r="M13" s="59"/>
      <c r="N13" s="59"/>
      <c r="O13" s="59"/>
      <c r="P13" s="59"/>
      <c r="Q13" s="59"/>
      <c r="R13" s="880"/>
      <c r="S13" s="880"/>
      <c r="T13" s="880"/>
      <c r="U13" s="880"/>
      <c r="V13" s="880"/>
      <c r="W13" s="880"/>
      <c r="X13" s="880"/>
      <c r="Y13" s="880"/>
      <c r="Z13" s="881"/>
      <c r="AA13" s="881"/>
      <c r="AB13" s="881"/>
      <c r="AC13" s="881"/>
      <c r="AD13" s="59"/>
      <c r="AE13" s="59"/>
      <c r="AF13" s="902"/>
      <c r="AG13" s="902"/>
      <c r="AH13" s="902"/>
      <c r="AI13" s="902"/>
      <c r="AK13" s="59"/>
      <c r="AL13" s="59"/>
      <c r="AM13" s="59"/>
      <c r="AN13" s="59"/>
      <c r="AO13" s="59"/>
      <c r="AP13" s="59"/>
      <c r="AQ13" s="59"/>
      <c r="AR13" s="59"/>
    </row>
    <row r="14" spans="2:57" ht="15.95" customHeight="1">
      <c r="B14" s="59"/>
      <c r="C14" s="809" t="s">
        <v>99</v>
      </c>
      <c r="D14" s="809"/>
      <c r="E14" s="809"/>
      <c r="F14" s="809"/>
      <c r="G14" s="809"/>
      <c r="H14" s="809"/>
      <c r="I14" s="809" t="s">
        <v>102</v>
      </c>
      <c r="J14" s="809"/>
      <c r="K14" s="809"/>
      <c r="L14" s="809"/>
      <c r="M14" s="809" t="s">
        <v>100</v>
      </c>
      <c r="N14" s="809"/>
      <c r="O14" s="809"/>
      <c r="P14" s="809"/>
      <c r="Q14" s="809" t="s">
        <v>1794</v>
      </c>
      <c r="R14" s="809"/>
      <c r="S14" s="809"/>
      <c r="T14" s="809"/>
      <c r="U14" s="809"/>
      <c r="V14" s="809" t="s">
        <v>911</v>
      </c>
      <c r="W14" s="809"/>
      <c r="X14" s="809" t="s">
        <v>115</v>
      </c>
      <c r="Y14" s="809"/>
      <c r="Z14" s="809"/>
      <c r="AA14" s="809"/>
      <c r="AB14" s="809" t="s">
        <v>104</v>
      </c>
      <c r="AC14" s="809"/>
      <c r="AD14" s="809"/>
      <c r="AE14" s="926" t="s">
        <v>1583</v>
      </c>
      <c r="AF14" s="926"/>
      <c r="AG14" s="926"/>
      <c r="AH14" s="926"/>
      <c r="AI14" s="809" t="s">
        <v>93</v>
      </c>
      <c r="AJ14" s="809"/>
      <c r="AK14" s="809" t="s">
        <v>92</v>
      </c>
      <c r="AL14" s="809"/>
      <c r="AM14" s="809"/>
      <c r="AN14" s="809" t="s">
        <v>108</v>
      </c>
      <c r="AO14" s="809"/>
      <c r="AP14" s="809"/>
      <c r="AQ14" s="809"/>
      <c r="AR14" s="59"/>
      <c r="AU14" s="809" t="s">
        <v>196</v>
      </c>
      <c r="AV14" s="809" t="s">
        <v>197</v>
      </c>
      <c r="AW14" s="809" t="s">
        <v>1162</v>
      </c>
      <c r="AX14" s="809" t="s">
        <v>1696</v>
      </c>
      <c r="AY14" s="809" t="s">
        <v>1695</v>
      </c>
      <c r="AZ14" s="809" t="s">
        <v>1697</v>
      </c>
      <c r="BC14" s="809" t="s">
        <v>489</v>
      </c>
      <c r="BE14" s="809" t="s">
        <v>2016</v>
      </c>
    </row>
    <row r="15" spans="2:57" ht="15.95" customHeight="1" thickBot="1">
      <c r="B15" s="59"/>
      <c r="C15" s="810"/>
      <c r="D15" s="810"/>
      <c r="E15" s="810"/>
      <c r="F15" s="810"/>
      <c r="G15" s="810"/>
      <c r="H15" s="810"/>
      <c r="I15" s="810"/>
      <c r="J15" s="810"/>
      <c r="K15" s="810"/>
      <c r="L15" s="810"/>
      <c r="M15" s="810"/>
      <c r="N15" s="810"/>
      <c r="O15" s="810"/>
      <c r="P15" s="810"/>
      <c r="Q15" s="810"/>
      <c r="R15" s="810"/>
      <c r="S15" s="810"/>
      <c r="T15" s="810"/>
      <c r="U15" s="810"/>
      <c r="V15" s="810"/>
      <c r="W15" s="810"/>
      <c r="X15" s="810"/>
      <c r="Y15" s="810"/>
      <c r="Z15" s="810"/>
      <c r="AA15" s="810"/>
      <c r="AB15" s="810"/>
      <c r="AC15" s="810"/>
      <c r="AD15" s="810"/>
      <c r="AE15" s="927" t="s">
        <v>110</v>
      </c>
      <c r="AF15" s="927"/>
      <c r="AG15" s="927" t="s">
        <v>111</v>
      </c>
      <c r="AH15" s="927"/>
      <c r="AI15" s="810"/>
      <c r="AJ15" s="810"/>
      <c r="AK15" s="810"/>
      <c r="AL15" s="810"/>
      <c r="AM15" s="810"/>
      <c r="AN15" s="810"/>
      <c r="AO15" s="810"/>
      <c r="AP15" s="810"/>
      <c r="AQ15" s="810"/>
      <c r="AR15" s="59"/>
      <c r="AU15" s="810"/>
      <c r="AV15" s="810"/>
      <c r="AW15" s="810"/>
      <c r="AX15" s="810"/>
      <c r="AY15" s="810"/>
      <c r="AZ15" s="810"/>
      <c r="BC15" s="810"/>
      <c r="BE15" s="810"/>
    </row>
    <row r="16" spans="2:57" ht="15.95" customHeight="1">
      <c r="B16" s="835">
        <v>1</v>
      </c>
      <c r="C16" s="837"/>
      <c r="D16" s="838"/>
      <c r="E16" s="838"/>
      <c r="F16" s="838"/>
      <c r="G16" s="838"/>
      <c r="H16" s="839"/>
      <c r="I16" s="914" t="str">
        <f>IFERROR(IF(C16="","",INDEX(PMELIGHTCON[Base Desc 1],MATCH(C16,PMELIGHTCON[Eff Desc 1],0))),"")</f>
        <v/>
      </c>
      <c r="J16" s="915"/>
      <c r="K16" s="915"/>
      <c r="L16" s="916"/>
      <c r="M16" s="914" t="str">
        <f>IFERROR(IF(C16="","",INDEX(PMELIGHTCON[Unit of Measure],MATCH(C16,PMELIGHTCON[Eff Desc 1],0))),"")</f>
        <v/>
      </c>
      <c r="N16" s="915"/>
      <c r="O16" s="915"/>
      <c r="P16" s="916"/>
      <c r="Q16" s="903"/>
      <c r="R16" s="904"/>
      <c r="S16" s="904"/>
      <c r="T16" s="904"/>
      <c r="U16" s="905"/>
      <c r="V16" s="851" t="str">
        <f>IFERROR(IF(C16="","",INDEX(LightingWHF[Fixture Annual Operating Hours],MATCH(M02S02F26,LightingWHF[Building/Space Type],0))),"")</f>
        <v/>
      </c>
      <c r="W16" s="852"/>
      <c r="X16" s="837"/>
      <c r="Y16" s="838"/>
      <c r="Z16" s="838"/>
      <c r="AA16" s="839"/>
      <c r="AB16" s="837"/>
      <c r="AC16" s="838"/>
      <c r="AD16" s="839"/>
      <c r="AE16" s="863"/>
      <c r="AF16" s="874"/>
      <c r="AG16" s="863"/>
      <c r="AH16" s="874"/>
      <c r="AI16" s="923" t="str">
        <f>IFERROR(IF(C16="","",INDEX(PMELIGHTCON[Inc Rate Unit],MATCH(C16,PMELIGHTCON[Eff Desc 1],0))),"")</f>
        <v/>
      </c>
      <c r="AJ16" s="924"/>
      <c r="AK16" s="910" t="str">
        <f>IF(OR(C16="",Q16=""="",X16="",AB16="",AE16="",AG16="",V16=""),"",ROUND((AW16+AY16),0))</f>
        <v/>
      </c>
      <c r="AL16" s="911"/>
      <c r="AM16" s="911"/>
      <c r="AN16" s="820" t="str">
        <f>IF(OR(C16="",Q16="",X16="",AB16="",AE16="",AG16="",V16=""),"",IF(BC16&lt;&gt;"",BC16,MIN(AU16,ROUND((Q16)*AI16,2))))</f>
        <v/>
      </c>
      <c r="AO16" s="821"/>
      <c r="AP16" s="821"/>
      <c r="AQ16" s="822"/>
      <c r="AR16" s="59"/>
      <c r="AU16" s="813" t="str">
        <f>IF(OR(C16="",Q16="",X16="",AB16="",AE16="",AG16="",V16=""),"",(ROUND((AE16+AG16),2)))</f>
        <v/>
      </c>
      <c r="AV16" s="928" t="str">
        <f>IFERROR(IF(OR(C16="",I16="",Q16="",V16="",X16="",AB16="",AE16="",AG16="",AK16=0),"",IF(ISNUMBER(SEARCH("Exterior",C16)),0,ROUND((Q16/1000)*(INDEX(LightingWHF[Coincidence Factor CF],MATCH(M02S02F26,LightingWHF[Building/Space Type],0))-0.15)*
IF(OR(M02S02F32="AC with Natural Gas Heat",M02S02F32="AC with Electric Heat",M02S02F32="Heat Pump"),INDEX(LightingWHF[Waste Heat Cooling Demand WHFd],MATCH(M02S02F26,LightingWHF[Building/Space Type],0)),1),3))),"")</f>
        <v/>
      </c>
      <c r="AW16" s="908" t="str">
        <f>IF(OR(C16="",Q16="",X16="",AB16="",AE16="",AG16="",V16=""),"",ROUND(((Q16/1000)*V16*INDEX(PMELIGHTCON[Eff Desc 2],MATCH(C16,PMELIGHTCON[Eff Desc 1],0))*AZ16),0))</f>
        <v/>
      </c>
      <c r="AX16" s="816" t="str">
        <f>IF(OR(C16="",Q16="",X16="",AB16="",AE16="",AG16="",V16=""),"",IF(ISNUMBER(SEARCH("Exterior",C16)),0,IF(M02S02F46="Electric Only",0,IF(OR(M02S02F32="AC with Natural Gas Heat",M02S02F32="Natural Gas Heat Only"),(((Q16/1000)*V16*INDEX(PMELIGHTCON[Eff Desc 2],MATCH(C16,PMELIGHTCON[Eff Desc 1],0))*-INDEX(LightingWHF[Waste Heat Gas Heating IFTherms],MATCH(M02S02F26,LightingWHF[Building/Space Type],0)))),0))))</f>
        <v/>
      </c>
      <c r="AY16" s="816" t="str">
        <f>IF(OR(C16="",Q16="",X16="",AB16="",AE16="",AG16="",V16=""),"",IF(M02S02F46="Gas Only",0,IF(ISNUMBER(SEARCH("Exterior",C16)),0,IF(M02S02F32="Heat Pump",(((Q16/1000)*V16*INDEX(PMELIGHTCON[Eff Desc 2],MATCH(C16,PMELIGHTCON[Eff Desc 1],0)))*-INDEX(LightingWHF[Waste Heat Electric Heat Pump Heating IFkWh],MATCH(M02S02F26,LightingWHF[Building/Space Type],0))),
IF(OR(M02S02F32="AC with Electric Heat",M02S02F32="Electric Heat Only"),(((Q16/1000)*V16*INDEX(PMELIGHTCON[Eff Desc 2],MATCH(C16,PMELIGHTCON[Eff Desc 1],0)))*-INDEX(LightingWHF[Waste Heat Electric Resistance Heating IFkWh],MATCH(M02S02F26,LightingWHF[Building/Space Type],0))),0
)))))</f>
        <v/>
      </c>
      <c r="AZ16" s="815" t="str">
        <f>IF(OR(C16="",Q16="",X16="",AB16="",AE16="",AG16="",V16=""),"",IF(M02S02F46="Gas Only",0,IF(ISNUMBER(SEARCH("Exterior",C16)),1,IF(OR(M02S02F32="Heat Pump",M02S02F32="AC with Natural Gas Heat",M02S02F32="AC with Electric Heat"),(INDEX(LightingWHF[Waste Heat Cooling Energy WHFe],MATCH(M02S02F26,LightingWHF[Building/Space Type],0))),1))))</f>
        <v/>
      </c>
      <c r="BC16" s="830" t="str">
        <f>IF(OR(I16="",Q16="",C16="",V16="",X16="",AB16="",AE16="",AG16=""),"",IF(OR(ISBLANK(M02S02F26),ISBLANK(M02S02F32),ISBLANK(M02S02F46)),MEASUREBLDG,""))</f>
        <v/>
      </c>
      <c r="BE16" s="811" t="str">
        <f ca="1">IF(OR(I16="",Q16="",C16="",V16="",X16="",AB16="",AE16="",AG16=""),"",IF('M01-S01'!$V$82&lt;TODAY(),0,IF(M02S02F46="Gas Only",0,IF(OR(AK16="",AK16&lt;0,AU16&lt;=AN16),0,MIN(AU16-AN16,ROUND(AN16*0.2,2))))))</f>
        <v/>
      </c>
    </row>
    <row r="17" spans="2:57" ht="15.95" customHeight="1">
      <c r="B17" s="835"/>
      <c r="C17" s="840"/>
      <c r="D17" s="841"/>
      <c r="E17" s="841"/>
      <c r="F17" s="841"/>
      <c r="G17" s="841"/>
      <c r="H17" s="842"/>
      <c r="I17" s="917"/>
      <c r="J17" s="918"/>
      <c r="K17" s="918"/>
      <c r="L17" s="919"/>
      <c r="M17" s="917"/>
      <c r="N17" s="918"/>
      <c r="O17" s="918"/>
      <c r="P17" s="919"/>
      <c r="Q17" s="840"/>
      <c r="R17" s="841"/>
      <c r="S17" s="841"/>
      <c r="T17" s="841"/>
      <c r="U17" s="842"/>
      <c r="V17" s="853"/>
      <c r="W17" s="854"/>
      <c r="X17" s="840"/>
      <c r="Y17" s="841"/>
      <c r="Z17" s="841"/>
      <c r="AA17" s="842"/>
      <c r="AB17" s="840"/>
      <c r="AC17" s="841"/>
      <c r="AD17" s="842"/>
      <c r="AE17" s="865"/>
      <c r="AF17" s="875"/>
      <c r="AG17" s="865"/>
      <c r="AH17" s="875"/>
      <c r="AI17" s="925"/>
      <c r="AJ17" s="870"/>
      <c r="AK17" s="912"/>
      <c r="AL17" s="913"/>
      <c r="AM17" s="913"/>
      <c r="AN17" s="823"/>
      <c r="AO17" s="824"/>
      <c r="AP17" s="824"/>
      <c r="AQ17" s="825"/>
      <c r="AR17" s="59"/>
      <c r="AU17" s="814"/>
      <c r="AV17" s="907"/>
      <c r="AW17" s="909"/>
      <c r="AX17" s="817"/>
      <c r="AY17" s="817"/>
      <c r="AZ17" s="812"/>
      <c r="BC17" s="831"/>
      <c r="BE17" s="812"/>
    </row>
    <row r="18" spans="2:57" ht="15.95" customHeight="1">
      <c r="B18" s="834">
        <v>2</v>
      </c>
      <c r="C18" s="837"/>
      <c r="D18" s="838"/>
      <c r="E18" s="838"/>
      <c r="F18" s="838"/>
      <c r="G18" s="838"/>
      <c r="H18" s="839"/>
      <c r="I18" s="914" t="str">
        <f>IFERROR(IF(C18="","",INDEX(PMELIGHTCON[Base Desc 1],MATCH(C18,PMELIGHTCON[Eff Desc 1],0))),"")</f>
        <v/>
      </c>
      <c r="J18" s="915"/>
      <c r="K18" s="915"/>
      <c r="L18" s="916"/>
      <c r="M18" s="920" t="str">
        <f>IFERROR(IF(C18="","",INDEX(PMELIGHTCON[Unit of Measure],MATCH(C18,PMELIGHTCON[Eff Desc 1],0))),"")</f>
        <v/>
      </c>
      <c r="N18" s="921"/>
      <c r="O18" s="921"/>
      <c r="P18" s="922"/>
      <c r="Q18" s="871"/>
      <c r="R18" s="872"/>
      <c r="S18" s="872"/>
      <c r="T18" s="872"/>
      <c r="U18" s="873"/>
      <c r="V18" s="876" t="str">
        <f>IFERROR(IF(C18="","",INDEX(LightingWHF[Fixture Annual Operating Hours],MATCH(M02S02F26,LightingWHF[Building/Space Type],0))),"")</f>
        <v/>
      </c>
      <c r="W18" s="877"/>
      <c r="X18" s="837"/>
      <c r="Y18" s="838"/>
      <c r="Z18" s="838"/>
      <c r="AA18" s="839"/>
      <c r="AB18" s="837"/>
      <c r="AC18" s="838"/>
      <c r="AD18" s="839"/>
      <c r="AE18" s="863"/>
      <c r="AF18" s="874"/>
      <c r="AG18" s="863"/>
      <c r="AH18" s="874"/>
      <c r="AI18" s="923" t="str">
        <f>IFERROR(IF(C18="","",INDEX(PMELIGHTCON[Inc Rate Unit],MATCH(C18,PMELIGHTCON[Eff Desc 1],0))),"")</f>
        <v/>
      </c>
      <c r="AJ18" s="924"/>
      <c r="AK18" s="910" t="str">
        <f t="shared" ref="AK18" si="0">IF(OR(C18="",Q18=""="",X18="",AB18="",AE18="",AG18="",V18=""),"",ROUND((AW18+AY18),0))</f>
        <v/>
      </c>
      <c r="AL18" s="911"/>
      <c r="AM18" s="911"/>
      <c r="AN18" s="820" t="str">
        <f t="shared" ref="AN18" si="1">IF(OR(C18="",Q18="",X18="",AB18="",AE18="",AG18="",V18=""),"",IF(BC18&lt;&gt;"",BC18,MIN(AU18,ROUND((Q18)*AI18,2))))</f>
        <v/>
      </c>
      <c r="AO18" s="821"/>
      <c r="AP18" s="821"/>
      <c r="AQ18" s="822"/>
      <c r="AR18" s="59"/>
      <c r="AU18" s="898" t="str">
        <f t="shared" ref="AU18" si="2">IF(OR(C18="",Q18="",X18="",AB18="",AE18="",AG18="",V18=""),"",(ROUND((AE18+AG18),2)))</f>
        <v/>
      </c>
      <c r="AV18" s="906" t="str">
        <f>IFERROR(IF(OR(C18="",I18="",Q18="",V18="",X18="",AB18="",AE18="",AG18="",AK18=0),"",IF(ISNUMBER(SEARCH("Exterior",C18)),0,ROUND((Q18/1000)*(INDEX(LightingWHF[Coincidence Factor CF],MATCH(M02S02F26,LightingWHF[Building/Space Type],0))-0.15)*
IF(OR(M02S02F32="AC with Natural Gas Heat",M02S02F32="AC with Electric Heat",M02S02F32="Heat Pump"),INDEX(LightingWHF[Waste Heat Cooling Demand WHFd],MATCH(M02S02F26,LightingWHF[Building/Space Type],0)),1),3))),"")</f>
        <v/>
      </c>
      <c r="AW18" s="906" t="str">
        <f>IF(OR(C18="",Q18="",X18="",AB18="",AE18="",AG18="",V18=""),"",ROUND(((Q18/1000)*V18*INDEX(PMELIGHTCON[Eff Desc 2],MATCH(C18,PMELIGHTCON[Eff Desc 1],0))*AZ18),0))</f>
        <v/>
      </c>
      <c r="AX18" s="900" t="str">
        <f>IF(OR(C18="",Q18="",X18="",AB18="",AE18="",AG18="",V18=""),"",IF(ISNUMBER(SEARCH("Exterior",C18)),0,IF(M02S02F46="Electric Only",0,IF(OR(M02S02F32="AC with Natural Gas Heat",M02S02F32="Natural Gas Heat Only"),(((Q18/1000)*V18*INDEX(PMELIGHTCON[Eff Desc 2],MATCH(C18,PMELIGHTCON[Eff Desc 1],0))*-INDEX(LightingWHF[Waste Heat Gas Heating IFTherms],MATCH(M02S02F26,LightingWHF[Building/Space Type],0)))),0))))</f>
        <v/>
      </c>
      <c r="AY18" s="900" t="str">
        <f>IF(OR(C18="",Q18="",X18="",AB18="",AE18="",AG18="",V18=""),"",IF(M02S02F46="Gas Only",0,IF(ISNUMBER(SEARCH("Exterior",C18)),0,IF(M02S02F32="Heat Pump",(((Q18/1000)*V18*INDEX(PMELIGHTCON[Eff Desc 2],MATCH(C18,PMELIGHTCON[Eff Desc 1],0)))*-INDEX(LightingWHF[Waste Heat Electric Heat Pump Heating IFkWh],MATCH(M02S02F26,LightingWHF[Building/Space Type],0))),
IF(OR(M02S02F32="AC with Electric Heat",M02S02F32="Electric Heat Only"),(((Q18/1000)*V18*INDEX(PMELIGHTCON[Eff Desc 2],MATCH(C18,PMELIGHTCON[Eff Desc 1],0)))*-INDEX(LightingWHF[Waste Heat Electric Resistance Heating IFkWh],MATCH(M02S02F26,LightingWHF[Building/Space Type],0))),0
)))))</f>
        <v/>
      </c>
      <c r="AZ18" s="900" t="str">
        <f>IF(OR(C18="",Q18="",X18="",AB18="",AE18="",AG18="",V18=""),"",IF(M02S02F46="Gas Only",0,IF(ISNUMBER(SEARCH("Exterior",C18)),1,IF(OR(M02S02F32="Heat Pump",M02S02F32="AC with Natural Gas Heat",M02S02F32="AC with Electric Heat"),(INDEX(LightingWHF[Waste Heat Cooling Energy WHFe],MATCH(M02S02F26,LightingWHF[Building/Space Type],0))),1))))</f>
        <v/>
      </c>
      <c r="BC18" s="830" t="str">
        <f>IF(OR(I18="",Q18="",C18="",V18="",X18="",AB18="",AE18="",AG18=""),"",IF(OR(ISBLANK(M02S02F26),ISBLANK(M02S02F32),ISBLANK(M02S02F46)),MEASUREBLDG,""))</f>
        <v/>
      </c>
      <c r="BE18" s="811" t="str">
        <f ca="1">IF(OR(I18="",Q18="",C18="",V18="",X18="",AB18="",AE18="",AG18=""),"",IF('M01-S01'!$V$82&lt;TODAY(),0,IF(M02S02F46="Gas Only",0,IF(OR(AK18="",AK18&lt;0,AU18&lt;=AN18),0,MIN(AU18-AN18,ROUND(AN18*0.2,2))))))</f>
        <v/>
      </c>
    </row>
    <row r="19" spans="2:57" ht="15.95" customHeight="1">
      <c r="B19" s="834"/>
      <c r="C19" s="840"/>
      <c r="D19" s="841"/>
      <c r="E19" s="841"/>
      <c r="F19" s="841"/>
      <c r="G19" s="841"/>
      <c r="H19" s="842"/>
      <c r="I19" s="917"/>
      <c r="J19" s="918"/>
      <c r="K19" s="918"/>
      <c r="L19" s="919"/>
      <c r="M19" s="917"/>
      <c r="N19" s="918"/>
      <c r="O19" s="918"/>
      <c r="P19" s="919"/>
      <c r="Q19" s="840"/>
      <c r="R19" s="841"/>
      <c r="S19" s="841"/>
      <c r="T19" s="841"/>
      <c r="U19" s="842"/>
      <c r="V19" s="853"/>
      <c r="W19" s="854"/>
      <c r="X19" s="840"/>
      <c r="Y19" s="841"/>
      <c r="Z19" s="841"/>
      <c r="AA19" s="842"/>
      <c r="AB19" s="840"/>
      <c r="AC19" s="841"/>
      <c r="AD19" s="842"/>
      <c r="AE19" s="865"/>
      <c r="AF19" s="875"/>
      <c r="AG19" s="865"/>
      <c r="AH19" s="875"/>
      <c r="AI19" s="925"/>
      <c r="AJ19" s="870"/>
      <c r="AK19" s="912"/>
      <c r="AL19" s="913"/>
      <c r="AM19" s="913"/>
      <c r="AN19" s="823"/>
      <c r="AO19" s="824"/>
      <c r="AP19" s="824"/>
      <c r="AQ19" s="825"/>
      <c r="AR19" s="59"/>
      <c r="AU19" s="814"/>
      <c r="AV19" s="907"/>
      <c r="AW19" s="907"/>
      <c r="AX19" s="817"/>
      <c r="AY19" s="817"/>
      <c r="AZ19" s="817"/>
      <c r="BC19" s="831"/>
      <c r="BE19" s="812"/>
    </row>
    <row r="20" spans="2:57" ht="15.95" customHeight="1">
      <c r="B20" s="834">
        <v>3</v>
      </c>
      <c r="C20" s="837"/>
      <c r="D20" s="838"/>
      <c r="E20" s="838"/>
      <c r="F20" s="838"/>
      <c r="G20" s="838"/>
      <c r="H20" s="839"/>
      <c r="I20" s="914" t="str">
        <f>IFERROR(IF(C20="","",INDEX(PMELIGHTCON[Base Desc 1],MATCH(C20,PMELIGHTCON[Eff Desc 1],0))),"")</f>
        <v/>
      </c>
      <c r="J20" s="915"/>
      <c r="K20" s="915"/>
      <c r="L20" s="916"/>
      <c r="M20" s="920" t="str">
        <f>IFERROR(IF(C20="","",INDEX(PMELIGHTCON[Unit of Measure],MATCH(C20,PMELIGHTCON[Eff Desc 1],0))),"")</f>
        <v/>
      </c>
      <c r="N20" s="921"/>
      <c r="O20" s="921"/>
      <c r="P20" s="922"/>
      <c r="Q20" s="871"/>
      <c r="R20" s="872"/>
      <c r="S20" s="872"/>
      <c r="T20" s="872"/>
      <c r="U20" s="873"/>
      <c r="V20" s="876" t="str">
        <f>IFERROR(IF(C20="","",INDEX(LightingWHF[Fixture Annual Operating Hours],MATCH(M02S02F26,LightingWHF[Building/Space Type],0))),"")</f>
        <v/>
      </c>
      <c r="W20" s="877"/>
      <c r="X20" s="837"/>
      <c r="Y20" s="838"/>
      <c r="Z20" s="838"/>
      <c r="AA20" s="839"/>
      <c r="AB20" s="837"/>
      <c r="AC20" s="838"/>
      <c r="AD20" s="839"/>
      <c r="AE20" s="863"/>
      <c r="AF20" s="874"/>
      <c r="AG20" s="863"/>
      <c r="AH20" s="874"/>
      <c r="AI20" s="923" t="str">
        <f>IFERROR(IF(C20="","",INDEX(PMELIGHTCON[Inc Rate Unit],MATCH(C20,PMELIGHTCON[Eff Desc 1],0))),"")</f>
        <v/>
      </c>
      <c r="AJ20" s="924"/>
      <c r="AK20" s="910" t="str">
        <f t="shared" ref="AK20" si="3">IF(OR(C20="",Q20=""="",X20="",AB20="",AE20="",AG20="",V20=""),"",ROUND((AW20+AY20),0))</f>
        <v/>
      </c>
      <c r="AL20" s="911"/>
      <c r="AM20" s="911"/>
      <c r="AN20" s="820" t="str">
        <f t="shared" ref="AN20" si="4">IF(OR(C20="",Q20="",X20="",AB20="",AE20="",AG20="",V20=""),"",IF(BC20&lt;&gt;"",BC20,MIN(AU20,ROUND((Q20)*AI20,2))))</f>
        <v/>
      </c>
      <c r="AO20" s="821"/>
      <c r="AP20" s="821"/>
      <c r="AQ20" s="822"/>
      <c r="AR20" s="59"/>
      <c r="AU20" s="898" t="str">
        <f t="shared" ref="AU20" si="5">IF(OR(C20="",Q20="",X20="",AB20="",AE20="",AG20="",V20=""),"",(ROUND((AE20+AG20),2)))</f>
        <v/>
      </c>
      <c r="AV20" s="906" t="str">
        <f>IFERROR(IF(OR(C20="",I20="",Q20="",V20="",X20="",AB20="",AE20="",AG20="",AK20=0),"",IF(ISNUMBER(SEARCH("Exterior",C20)),0,ROUND((Q20/1000)*(INDEX(LightingWHF[Coincidence Factor CF],MATCH(M02S02F26,LightingWHF[Building/Space Type],0))-0.15)*
IF(OR(M02S02F32="AC with Natural Gas Heat",M02S02F32="AC with Electric Heat",M02S02F32="Heat Pump"),INDEX(LightingWHF[Waste Heat Cooling Demand WHFd],MATCH(M02S02F26,LightingWHF[Building/Space Type],0)),1),3))),"")</f>
        <v/>
      </c>
      <c r="AW20" s="906" t="str">
        <f>IF(OR(C20="",Q20="",X20="",AB20="",AE20="",AG20="",V20=""),"",ROUND(((Q20/1000)*V20*INDEX(PMELIGHTCON[Eff Desc 2],MATCH(C20,PMELIGHTCON[Eff Desc 1],0))*AZ20),0))</f>
        <v/>
      </c>
      <c r="AX20" s="900" t="str">
        <f>IF(OR(C20="",Q20="",X20="",AB20="",AE20="",AG20="",V20=""),"",IF(ISNUMBER(SEARCH("Exterior",C20)),0,IF(M02S02F46="Electric Only",0,IF(OR(M02S02F32="AC with Natural Gas Heat",M02S02F32="Natural Gas Heat Only"),(((Q20/1000)*V20*INDEX(PMELIGHTCON[Eff Desc 2],MATCH(C20,PMELIGHTCON[Eff Desc 1],0))*-INDEX(LightingWHF[Waste Heat Gas Heating IFTherms],MATCH(M02S02F26,LightingWHF[Building/Space Type],0)))),0))))</f>
        <v/>
      </c>
      <c r="AY20" s="900" t="str">
        <f>IF(OR(C20="",Q20="",X20="",AB20="",AE20="",AG20="",V20=""),"",IF(M02S02F46="Gas Only",0,IF(ISNUMBER(SEARCH("Exterior",C20)),0,IF(M02S02F32="Heat Pump",(((Q20/1000)*V20*INDEX(PMELIGHTCON[Eff Desc 2],MATCH(C20,PMELIGHTCON[Eff Desc 1],0)))*-INDEX(LightingWHF[Waste Heat Electric Heat Pump Heating IFkWh],MATCH(M02S02F26,LightingWHF[Building/Space Type],0))),
IF(OR(M02S02F32="AC with Electric Heat",M02S02F32="Electric Heat Only"),(((Q20/1000)*V20*INDEX(PMELIGHTCON[Eff Desc 2],MATCH(C20,PMELIGHTCON[Eff Desc 1],0)))*-INDEX(LightingWHF[Waste Heat Electric Resistance Heating IFkWh],MATCH(M02S02F26,LightingWHF[Building/Space Type],0))),0
)))))</f>
        <v/>
      </c>
      <c r="AZ20" s="900" t="str">
        <f>IF(OR(C20="",Q20="",X20="",AB20="",AE20="",AG20="",V20=""),"",IF(M02S02F46="Gas Only",0,IF(ISNUMBER(SEARCH("Exterior",C20)),1,IF(OR(M02S02F32="Heat Pump",M02S02F32="AC with Natural Gas Heat",M02S02F32="AC with Electric Heat"),(INDEX(LightingWHF[Waste Heat Cooling Energy WHFe],MATCH(M02S02F26,LightingWHF[Building/Space Type],0))),1))))</f>
        <v/>
      </c>
      <c r="BC20" s="830" t="str">
        <f>IF(OR(I20="",Q20="",C20="",V20="",X20="",AB20="",AE20="",AG20=""),"",IF(OR(ISBLANK(M02S02F26),ISBLANK(M02S02F32),ISBLANK(M02S02F46)),MEASUREBLDG,""))</f>
        <v/>
      </c>
      <c r="BE20" s="811" t="str">
        <f ca="1">IF(OR(I20="",Q20="",C20="",V20="",X20="",AB20="",AE20="",AG20=""),"",IF('M01-S01'!$V$82&lt;TODAY(),0,IF(M02S02F46="Gas Only",0,IF(OR(AK20="",AK20&lt;0,AU20&lt;=AN20),0,MIN(AU20-AN20,ROUND(AN20*0.2,2))))))</f>
        <v/>
      </c>
    </row>
    <row r="21" spans="2:57" ht="15.95" customHeight="1">
      <c r="B21" s="834"/>
      <c r="C21" s="840"/>
      <c r="D21" s="841"/>
      <c r="E21" s="841"/>
      <c r="F21" s="841"/>
      <c r="G21" s="841"/>
      <c r="H21" s="842"/>
      <c r="I21" s="917"/>
      <c r="J21" s="918"/>
      <c r="K21" s="918"/>
      <c r="L21" s="919"/>
      <c r="M21" s="917"/>
      <c r="N21" s="918"/>
      <c r="O21" s="918"/>
      <c r="P21" s="919"/>
      <c r="Q21" s="840"/>
      <c r="R21" s="841"/>
      <c r="S21" s="841"/>
      <c r="T21" s="841"/>
      <c r="U21" s="842"/>
      <c r="V21" s="853"/>
      <c r="W21" s="854"/>
      <c r="X21" s="840"/>
      <c r="Y21" s="841"/>
      <c r="Z21" s="841"/>
      <c r="AA21" s="842"/>
      <c r="AB21" s="840"/>
      <c r="AC21" s="841"/>
      <c r="AD21" s="842"/>
      <c r="AE21" s="865"/>
      <c r="AF21" s="875"/>
      <c r="AG21" s="865"/>
      <c r="AH21" s="875"/>
      <c r="AI21" s="925"/>
      <c r="AJ21" s="870"/>
      <c r="AK21" s="912"/>
      <c r="AL21" s="913"/>
      <c r="AM21" s="913"/>
      <c r="AN21" s="823"/>
      <c r="AO21" s="824"/>
      <c r="AP21" s="824"/>
      <c r="AQ21" s="825"/>
      <c r="AR21" s="59"/>
      <c r="AU21" s="814"/>
      <c r="AV21" s="907"/>
      <c r="AW21" s="907"/>
      <c r="AX21" s="817"/>
      <c r="AY21" s="817"/>
      <c r="AZ21" s="817"/>
      <c r="BC21" s="831"/>
      <c r="BE21" s="812"/>
    </row>
    <row r="22" spans="2:57" ht="15.95" customHeight="1">
      <c r="B22" s="834">
        <v>4</v>
      </c>
      <c r="C22" s="837"/>
      <c r="D22" s="838"/>
      <c r="E22" s="838"/>
      <c r="F22" s="838"/>
      <c r="G22" s="838"/>
      <c r="H22" s="839"/>
      <c r="I22" s="914" t="str">
        <f>IFERROR(IF(C22="","",INDEX(PMELIGHTCON[Base Desc 1],MATCH(C22,PMELIGHTCON[Eff Desc 1],0))),"")</f>
        <v/>
      </c>
      <c r="J22" s="915"/>
      <c r="K22" s="915"/>
      <c r="L22" s="916"/>
      <c r="M22" s="920" t="str">
        <f>IFERROR(IF(C22="","",INDEX(PMELIGHTCON[Unit of Measure],MATCH(C22,PMELIGHTCON[Eff Desc 1],0))),"")</f>
        <v/>
      </c>
      <c r="N22" s="921"/>
      <c r="O22" s="921"/>
      <c r="P22" s="922"/>
      <c r="Q22" s="871"/>
      <c r="R22" s="872"/>
      <c r="S22" s="872"/>
      <c r="T22" s="872"/>
      <c r="U22" s="873"/>
      <c r="V22" s="876" t="str">
        <f>IFERROR(IF(C22="","",INDEX(LightingWHF[Fixture Annual Operating Hours],MATCH(M02S02F26,LightingWHF[Building/Space Type],0))),"")</f>
        <v/>
      </c>
      <c r="W22" s="877"/>
      <c r="X22" s="837"/>
      <c r="Y22" s="838"/>
      <c r="Z22" s="838"/>
      <c r="AA22" s="839"/>
      <c r="AB22" s="837"/>
      <c r="AC22" s="838"/>
      <c r="AD22" s="839"/>
      <c r="AE22" s="863"/>
      <c r="AF22" s="874"/>
      <c r="AG22" s="863"/>
      <c r="AH22" s="874"/>
      <c r="AI22" s="923" t="str">
        <f>IFERROR(IF(C22="","",INDEX(PMELIGHTCON[Inc Rate Unit],MATCH(C22,PMELIGHTCON[Eff Desc 1],0))),"")</f>
        <v/>
      </c>
      <c r="AJ22" s="924"/>
      <c r="AK22" s="910" t="str">
        <f t="shared" ref="AK22" si="6">IF(OR(C22="",Q22=""="",X22="",AB22="",AE22="",AG22="",V22=""),"",ROUND((AW22+AY22),0))</f>
        <v/>
      </c>
      <c r="AL22" s="911"/>
      <c r="AM22" s="911"/>
      <c r="AN22" s="820" t="str">
        <f t="shared" ref="AN22" si="7">IF(OR(C22="",Q22="",X22="",AB22="",AE22="",AG22="",V22=""),"",IF(BC22&lt;&gt;"",BC22,MIN(AU22,ROUND((Q22)*AI22,2))))</f>
        <v/>
      </c>
      <c r="AO22" s="821"/>
      <c r="AP22" s="821"/>
      <c r="AQ22" s="822"/>
      <c r="AR22" s="59"/>
      <c r="AU22" s="898" t="str">
        <f t="shared" ref="AU22" si="8">IF(OR(C22="",Q22="",X22="",AB22="",AE22="",AG22="",V22=""),"",(ROUND((AE22+AG22),2)))</f>
        <v/>
      </c>
      <c r="AV22" s="906" t="str">
        <f>IFERROR(IF(OR(C22="",I22="",Q22="",V22="",X22="",AB22="",AE22="",AG22="",AK22=0),"",IF(ISNUMBER(SEARCH("Exterior",C22)),0,ROUND((Q22/1000)*(INDEX(LightingWHF[Coincidence Factor CF],MATCH(M02S02F26,LightingWHF[Building/Space Type],0))-0.15)*
IF(OR(M02S02F32="AC with Natural Gas Heat",M02S02F32="AC with Electric Heat",M02S02F32="Heat Pump"),INDEX(LightingWHF[Waste Heat Cooling Demand WHFd],MATCH(M02S02F26,LightingWHF[Building/Space Type],0)),1),3))),"")</f>
        <v/>
      </c>
      <c r="AW22" s="906" t="str">
        <f>IF(OR(C22="",Q22="",X22="",AB22="",AE22="",AG22="",V22=""),"",ROUND(((Q22/1000)*V22*INDEX(PMELIGHTCON[Eff Desc 2],MATCH(C22,PMELIGHTCON[Eff Desc 1],0))*AZ22),0))</f>
        <v/>
      </c>
      <c r="AX22" s="900" t="str">
        <f>IF(OR(C22="",Q22="",X22="",AB22="",AE22="",AG22="",V22=""),"",IF(ISNUMBER(SEARCH("Exterior",C22)),0,IF(M02S02F46="Electric Only",0,IF(OR(M02S02F32="AC with Natural Gas Heat",M02S02F32="Natural Gas Heat Only"),(((Q22/1000)*V22*INDEX(PMELIGHTCON[Eff Desc 2],MATCH(C22,PMELIGHTCON[Eff Desc 1],0))*-INDEX(LightingWHF[Waste Heat Gas Heating IFTherms],MATCH(M02S02F26,LightingWHF[Building/Space Type],0)))),0))))</f>
        <v/>
      </c>
      <c r="AY22" s="900" t="str">
        <f>IF(OR(C22="",Q22="",X22="",AB22="",AE22="",AG22="",V22=""),"",IF(M02S02F46="Gas Only",0,IF(ISNUMBER(SEARCH("Exterior",C22)),0,IF(M02S02F32="Heat Pump",(((Q22/1000)*V22*INDEX(PMELIGHTCON[Eff Desc 2],MATCH(C22,PMELIGHTCON[Eff Desc 1],0)))*-INDEX(LightingWHF[Waste Heat Electric Heat Pump Heating IFkWh],MATCH(M02S02F26,LightingWHF[Building/Space Type],0))),
IF(OR(M02S02F32="AC with Electric Heat",M02S02F32="Electric Heat Only"),(((Q22/1000)*V22*INDEX(PMELIGHTCON[Eff Desc 2],MATCH(C22,PMELIGHTCON[Eff Desc 1],0)))*-INDEX(LightingWHF[Waste Heat Electric Resistance Heating IFkWh],MATCH(M02S02F26,LightingWHF[Building/Space Type],0))),0
)))))</f>
        <v/>
      </c>
      <c r="AZ22" s="900" t="str">
        <f>IF(OR(C22="",Q22="",X22="",AB22="",AE22="",AG22="",V22=""),"",IF(M02S02F46="Gas Only",0,IF(ISNUMBER(SEARCH("Exterior",C22)),1,IF(OR(M02S02F32="Heat Pump",M02S02F32="AC with Natural Gas Heat",M02S02F32="AC with Electric Heat"),(INDEX(LightingWHF[Waste Heat Cooling Energy WHFe],MATCH(M02S02F26,LightingWHF[Building/Space Type],0))),1))))</f>
        <v/>
      </c>
      <c r="BC22" s="830" t="str">
        <f>IF(OR(I22="",Q22="",C22="",V22="",X22="",AB22="",AE22="",AG22=""),"",IF(OR(ISBLANK(M02S02F26),ISBLANK(M02S02F32),ISBLANK(M02S02F46)),MEASUREBLDG,""))</f>
        <v/>
      </c>
      <c r="BE22" s="811" t="str">
        <f ca="1">IF(OR(I22="",Q22="",C22="",V22="",X22="",AB22="",AE22="",AG22=""),"",IF('M01-S01'!$V$82&lt;TODAY(),0,IF(M02S02F46="Gas Only",0,IF(OR(AK22="",AK22&lt;0,AU22&lt;=AN22),0,MIN(AU22-AN22,ROUND(AN22*0.2,2))))))</f>
        <v/>
      </c>
    </row>
    <row r="23" spans="2:57" ht="15.95" customHeight="1">
      <c r="B23" s="834"/>
      <c r="C23" s="840"/>
      <c r="D23" s="841"/>
      <c r="E23" s="841"/>
      <c r="F23" s="841"/>
      <c r="G23" s="841"/>
      <c r="H23" s="842"/>
      <c r="I23" s="917"/>
      <c r="J23" s="918"/>
      <c r="K23" s="918"/>
      <c r="L23" s="919"/>
      <c r="M23" s="917"/>
      <c r="N23" s="918"/>
      <c r="O23" s="918"/>
      <c r="P23" s="919"/>
      <c r="Q23" s="840"/>
      <c r="R23" s="841"/>
      <c r="S23" s="841"/>
      <c r="T23" s="841"/>
      <c r="U23" s="842"/>
      <c r="V23" s="853"/>
      <c r="W23" s="854"/>
      <c r="X23" s="840"/>
      <c r="Y23" s="841"/>
      <c r="Z23" s="841"/>
      <c r="AA23" s="842"/>
      <c r="AB23" s="840"/>
      <c r="AC23" s="841"/>
      <c r="AD23" s="842"/>
      <c r="AE23" s="865"/>
      <c r="AF23" s="875"/>
      <c r="AG23" s="865"/>
      <c r="AH23" s="875"/>
      <c r="AI23" s="925"/>
      <c r="AJ23" s="870"/>
      <c r="AK23" s="912"/>
      <c r="AL23" s="913"/>
      <c r="AM23" s="913"/>
      <c r="AN23" s="823"/>
      <c r="AO23" s="824"/>
      <c r="AP23" s="824"/>
      <c r="AQ23" s="825"/>
      <c r="AR23" s="59"/>
      <c r="AU23" s="814"/>
      <c r="AV23" s="907"/>
      <c r="AW23" s="907"/>
      <c r="AX23" s="817"/>
      <c r="AY23" s="817"/>
      <c r="AZ23" s="817"/>
      <c r="BC23" s="831"/>
      <c r="BE23" s="812"/>
    </row>
    <row r="24" spans="2:57" ht="15.95" customHeight="1">
      <c r="B24" s="834">
        <v>5</v>
      </c>
      <c r="C24" s="837"/>
      <c r="D24" s="838"/>
      <c r="E24" s="838"/>
      <c r="F24" s="838"/>
      <c r="G24" s="838"/>
      <c r="H24" s="839"/>
      <c r="I24" s="914" t="str">
        <f>IFERROR(IF(C24="","",INDEX(PMELIGHTCON[Base Desc 1],MATCH(C24,PMELIGHTCON[Eff Desc 1],0))),"")</f>
        <v/>
      </c>
      <c r="J24" s="915"/>
      <c r="K24" s="915"/>
      <c r="L24" s="916"/>
      <c r="M24" s="920" t="str">
        <f>IFERROR(IF(C24="","",INDEX(PMELIGHTCON[Unit of Measure],MATCH(C24,PMELIGHTCON[Eff Desc 1],0))),"")</f>
        <v/>
      </c>
      <c r="N24" s="921"/>
      <c r="O24" s="921"/>
      <c r="P24" s="922"/>
      <c r="Q24" s="871"/>
      <c r="R24" s="872"/>
      <c r="S24" s="872"/>
      <c r="T24" s="872"/>
      <c r="U24" s="873"/>
      <c r="V24" s="876" t="str">
        <f>IFERROR(IF(C24="","",INDEX(LightingWHF[Fixture Annual Operating Hours],MATCH(M02S02F26,LightingWHF[Building/Space Type],0))),"")</f>
        <v/>
      </c>
      <c r="W24" s="877"/>
      <c r="X24" s="837"/>
      <c r="Y24" s="838"/>
      <c r="Z24" s="838"/>
      <c r="AA24" s="839"/>
      <c r="AB24" s="837"/>
      <c r="AC24" s="838"/>
      <c r="AD24" s="839"/>
      <c r="AE24" s="863"/>
      <c r="AF24" s="874"/>
      <c r="AG24" s="863"/>
      <c r="AH24" s="874"/>
      <c r="AI24" s="923" t="str">
        <f>IFERROR(IF(C24="","",INDEX(PMELIGHTCON[Inc Rate Unit],MATCH(C24,PMELIGHTCON[Eff Desc 1],0))),"")</f>
        <v/>
      </c>
      <c r="AJ24" s="924"/>
      <c r="AK24" s="910" t="str">
        <f t="shared" ref="AK24" si="9">IF(OR(C24="",Q24=""="",X24="",AB24="",AE24="",AG24="",V24=""),"",ROUND((AW24+AY24),0))</f>
        <v/>
      </c>
      <c r="AL24" s="911"/>
      <c r="AM24" s="911"/>
      <c r="AN24" s="820" t="str">
        <f t="shared" ref="AN24" si="10">IF(OR(C24="",Q24="",X24="",AB24="",AE24="",AG24="",V24=""),"",IF(BC24&lt;&gt;"",BC24,MIN(AU24,ROUND((Q24)*AI24,2))))</f>
        <v/>
      </c>
      <c r="AO24" s="821"/>
      <c r="AP24" s="821"/>
      <c r="AQ24" s="822"/>
      <c r="AR24" s="59"/>
      <c r="AU24" s="898" t="str">
        <f t="shared" ref="AU24" si="11">IF(OR(C24="",Q24="",X24="",AB24="",AE24="",AG24="",V24=""),"",(ROUND((AE24+AG24),2)))</f>
        <v/>
      </c>
      <c r="AV24" s="906" t="str">
        <f>IFERROR(IF(OR(C24="",I24="",Q24="",V24="",X24="",AB24="",AE24="",AG24="",AK24=0),"",IF(ISNUMBER(SEARCH("Exterior",C24)),0,ROUND((Q24/1000)*(INDEX(LightingWHF[Coincidence Factor CF],MATCH(M02S02F26,LightingWHF[Building/Space Type],0))-0.15)*
IF(OR(M02S02F32="AC with Natural Gas Heat",M02S02F32="AC with Electric Heat",M02S02F32="Heat Pump"),INDEX(LightingWHF[Waste Heat Cooling Demand WHFd],MATCH(M02S02F26,LightingWHF[Building/Space Type],0)),1),3))),"")</f>
        <v/>
      </c>
      <c r="AW24" s="906" t="str">
        <f>IF(OR(C24="",Q24="",X24="",AB24="",AE24="",AG24="",V24=""),"",ROUND(((Q24/1000)*V24*INDEX(PMELIGHTCON[Eff Desc 2],MATCH(C24,PMELIGHTCON[Eff Desc 1],0))*AZ24),0))</f>
        <v/>
      </c>
      <c r="AX24" s="900" t="str">
        <f>IF(OR(C24="",Q24="",X24="",AB24="",AE24="",AG24="",V24=""),"",IF(ISNUMBER(SEARCH("Exterior",C24)),0,IF(M02S02F46="Electric Only",0,IF(OR(M02S02F32="AC with Natural Gas Heat",M02S02F32="Natural Gas Heat Only"),(((Q24/1000)*V24*INDEX(PMELIGHTCON[Eff Desc 2],MATCH(C24,PMELIGHTCON[Eff Desc 1],0))*-INDEX(LightingWHF[Waste Heat Gas Heating IFTherms],MATCH(M02S02F26,LightingWHF[Building/Space Type],0)))),0))))</f>
        <v/>
      </c>
      <c r="AY24" s="900" t="str">
        <f>IF(OR(C24="",Q24="",X24="",AB24="",AE24="",AG24="",V24=""),"",IF(M02S02F46="Gas Only",0,IF(ISNUMBER(SEARCH("Exterior",C24)),0,IF(M02S02F32="Heat Pump",(((Q24/1000)*V24*INDEX(PMELIGHTCON[Eff Desc 2],MATCH(C24,PMELIGHTCON[Eff Desc 1],0)))*-INDEX(LightingWHF[Waste Heat Electric Heat Pump Heating IFkWh],MATCH(M02S02F26,LightingWHF[Building/Space Type],0))),
IF(OR(M02S02F32="AC with Electric Heat",M02S02F32="Electric Heat Only"),(((Q24/1000)*V24*INDEX(PMELIGHTCON[Eff Desc 2],MATCH(C24,PMELIGHTCON[Eff Desc 1],0)))*-INDEX(LightingWHF[Waste Heat Electric Resistance Heating IFkWh],MATCH(M02S02F26,LightingWHF[Building/Space Type],0))),0
)))))</f>
        <v/>
      </c>
      <c r="AZ24" s="900" t="str">
        <f>IF(OR(C24="",Q24="",X24="",AB24="",AE24="",AG24="",V24=""),"",IF(M02S02F46="Gas Only",0,IF(ISNUMBER(SEARCH("Exterior",C24)),1,IF(OR(M02S02F32="Heat Pump",M02S02F32="AC with Natural Gas Heat",M02S02F32="AC with Electric Heat"),(INDEX(LightingWHF[Waste Heat Cooling Energy WHFe],MATCH(M02S02F26,LightingWHF[Building/Space Type],0))),1))))</f>
        <v/>
      </c>
      <c r="BC24" s="830" t="str">
        <f>IF(OR(I24="",Q24="",C24="",V24="",X24="",AB24="",AE24="",AG24=""),"",IF(OR(ISBLANK(M02S02F26),ISBLANK(M02S02F32),ISBLANK(M02S02F46)),MEASUREBLDG,""))</f>
        <v/>
      </c>
      <c r="BE24" s="811" t="str">
        <f ca="1">IF(OR(I24="",Q24="",C24="",V24="",X24="",AB24="",AE24="",AG24=""),"",IF('M01-S01'!$V$82&lt;TODAY(),0,IF(M02S02F46="Gas Only",0,IF(OR(AK24="",AK24&lt;0,AU24&lt;=AN24),0,MIN(AU24-AN24,ROUND(AN24*0.2,2))))))</f>
        <v/>
      </c>
    </row>
    <row r="25" spans="2:57" ht="15.95" customHeight="1">
      <c r="B25" s="834"/>
      <c r="C25" s="840"/>
      <c r="D25" s="841"/>
      <c r="E25" s="841"/>
      <c r="F25" s="841"/>
      <c r="G25" s="841"/>
      <c r="H25" s="842"/>
      <c r="I25" s="917"/>
      <c r="J25" s="918"/>
      <c r="K25" s="918"/>
      <c r="L25" s="919"/>
      <c r="M25" s="917"/>
      <c r="N25" s="918"/>
      <c r="O25" s="918"/>
      <c r="P25" s="919"/>
      <c r="Q25" s="840"/>
      <c r="R25" s="841"/>
      <c r="S25" s="841"/>
      <c r="T25" s="841"/>
      <c r="U25" s="842"/>
      <c r="V25" s="853"/>
      <c r="W25" s="854"/>
      <c r="X25" s="840"/>
      <c r="Y25" s="841"/>
      <c r="Z25" s="841"/>
      <c r="AA25" s="842"/>
      <c r="AB25" s="840"/>
      <c r="AC25" s="841"/>
      <c r="AD25" s="842"/>
      <c r="AE25" s="865"/>
      <c r="AF25" s="875"/>
      <c r="AG25" s="865"/>
      <c r="AH25" s="875"/>
      <c r="AI25" s="925"/>
      <c r="AJ25" s="870"/>
      <c r="AK25" s="912"/>
      <c r="AL25" s="913"/>
      <c r="AM25" s="913"/>
      <c r="AN25" s="823"/>
      <c r="AO25" s="824"/>
      <c r="AP25" s="824"/>
      <c r="AQ25" s="825"/>
      <c r="AR25" s="59"/>
      <c r="AU25" s="814"/>
      <c r="AV25" s="907"/>
      <c r="AW25" s="907"/>
      <c r="AX25" s="817"/>
      <c r="AY25" s="817"/>
      <c r="AZ25" s="817"/>
      <c r="BC25" s="831"/>
      <c r="BE25" s="812"/>
    </row>
    <row r="26" spans="2:57" ht="15.95" customHeight="1">
      <c r="B26" s="834">
        <v>6</v>
      </c>
      <c r="C26" s="837"/>
      <c r="D26" s="838"/>
      <c r="E26" s="838"/>
      <c r="F26" s="838"/>
      <c r="G26" s="838"/>
      <c r="H26" s="839"/>
      <c r="I26" s="914" t="str">
        <f>IFERROR(IF(C26="","",INDEX(PMELIGHTCON[Base Desc 1],MATCH(C26,PMELIGHTCON[Eff Desc 1],0))),"")</f>
        <v/>
      </c>
      <c r="J26" s="915"/>
      <c r="K26" s="915"/>
      <c r="L26" s="916"/>
      <c r="M26" s="920" t="str">
        <f>IFERROR(IF(C26="","",INDEX(PMELIGHTCON[Unit of Measure],MATCH(C26,PMELIGHTCON[Eff Desc 1],0))),"")</f>
        <v/>
      </c>
      <c r="N26" s="921"/>
      <c r="O26" s="921"/>
      <c r="P26" s="922"/>
      <c r="Q26" s="871"/>
      <c r="R26" s="872"/>
      <c r="S26" s="872"/>
      <c r="T26" s="872"/>
      <c r="U26" s="873"/>
      <c r="V26" s="876" t="str">
        <f>IFERROR(IF(C26="","",INDEX(LightingWHF[Fixture Annual Operating Hours],MATCH(M02S02F26,LightingWHF[Building/Space Type],0))),"")</f>
        <v/>
      </c>
      <c r="W26" s="877"/>
      <c r="X26" s="837"/>
      <c r="Y26" s="838"/>
      <c r="Z26" s="838"/>
      <c r="AA26" s="839"/>
      <c r="AB26" s="837"/>
      <c r="AC26" s="838"/>
      <c r="AD26" s="839"/>
      <c r="AE26" s="863"/>
      <c r="AF26" s="874"/>
      <c r="AG26" s="863"/>
      <c r="AH26" s="874"/>
      <c r="AI26" s="923" t="str">
        <f>IFERROR(IF(C26="","",INDEX(PMELIGHTCON[Inc Rate Unit],MATCH(C26,PMELIGHTCON[Eff Desc 1],0))),"")</f>
        <v/>
      </c>
      <c r="AJ26" s="924"/>
      <c r="AK26" s="910" t="str">
        <f t="shared" ref="AK26" si="12">IF(OR(C26="",Q26=""="",X26="",AB26="",AE26="",AG26="",V26=""),"",ROUND((AW26+AY26),0))</f>
        <v/>
      </c>
      <c r="AL26" s="911"/>
      <c r="AM26" s="911"/>
      <c r="AN26" s="820" t="str">
        <f t="shared" ref="AN26" si="13">IF(OR(C26="",Q26="",X26="",AB26="",AE26="",AG26="",V26=""),"",IF(BC26&lt;&gt;"",BC26,MIN(AU26,ROUND((Q26)*AI26,2))))</f>
        <v/>
      </c>
      <c r="AO26" s="821"/>
      <c r="AP26" s="821"/>
      <c r="AQ26" s="822"/>
      <c r="AR26" s="59"/>
      <c r="AU26" s="898" t="str">
        <f t="shared" ref="AU26" si="14">IF(OR(C26="",Q26="",X26="",AB26="",AE26="",AG26="",V26=""),"",(ROUND((AE26+AG26),2)))</f>
        <v/>
      </c>
      <c r="AV26" s="906" t="str">
        <f>IFERROR(IF(OR(C26="",I26="",Q26="",V26="",X26="",AB26="",AE26="",AG26="",AK26=0),"",IF(ISNUMBER(SEARCH("Exterior",C26)),0,ROUND((Q26/1000)*(INDEX(LightingWHF[Coincidence Factor CF],MATCH(M02S02F26,LightingWHF[Building/Space Type],0))-0.15)*
IF(OR(M02S02F32="AC with Natural Gas Heat",M02S02F32="AC with Electric Heat",M02S02F32="Heat Pump"),INDEX(LightingWHF[Waste Heat Cooling Demand WHFd],MATCH(M02S02F26,LightingWHF[Building/Space Type],0)),1),3))),"")</f>
        <v/>
      </c>
      <c r="AW26" s="906" t="str">
        <f>IF(OR(C26="",Q26="",X26="",AB26="",AE26="",AG26="",V26=""),"",ROUND(((Q26/1000)*V26*INDEX(PMELIGHTCON[Eff Desc 2],MATCH(C26,PMELIGHTCON[Eff Desc 1],0))*AZ26),0))</f>
        <v/>
      </c>
      <c r="AX26" s="900" t="str">
        <f>IF(OR(C26="",Q26="",X26="",AB26="",AE26="",AG26="",V26=""),"",IF(ISNUMBER(SEARCH("Exterior",C26)),0,IF(M02S02F46="Electric Only",0,IF(OR(M02S02F32="AC with Natural Gas Heat",M02S02F32="Natural Gas Heat Only"),(((Q26/1000)*V26*INDEX(PMELIGHTCON[Eff Desc 2],MATCH(C26,PMELIGHTCON[Eff Desc 1],0))*-INDEX(LightingWHF[Waste Heat Gas Heating IFTherms],MATCH(M02S02F26,LightingWHF[Building/Space Type],0)))),0))))</f>
        <v/>
      </c>
      <c r="AY26" s="900" t="str">
        <f>IF(OR(C26="",Q26="",X26="",AB26="",AE26="",AG26="",V26=""),"",IF(M02S02F46="Gas Only",0,IF(ISNUMBER(SEARCH("Exterior",C26)),0,IF(M02S02F32="Heat Pump",(((Q26/1000)*V26*INDEX(PMELIGHTCON[Eff Desc 2],MATCH(C26,PMELIGHTCON[Eff Desc 1],0)))*-INDEX(LightingWHF[Waste Heat Electric Heat Pump Heating IFkWh],MATCH(M02S02F26,LightingWHF[Building/Space Type],0))),
IF(OR(M02S02F32="AC with Electric Heat",M02S02F32="Electric Heat Only"),(((Q26/1000)*V26*INDEX(PMELIGHTCON[Eff Desc 2],MATCH(C26,PMELIGHTCON[Eff Desc 1],0)))*-INDEX(LightingWHF[Waste Heat Electric Resistance Heating IFkWh],MATCH(M02S02F26,LightingWHF[Building/Space Type],0))),0
)))))</f>
        <v/>
      </c>
      <c r="AZ26" s="900" t="str">
        <f>IF(OR(C26="",Q26="",X26="",AB26="",AE26="",AG26="",V26=""),"",IF(M02S02F46="Gas Only",0,IF(ISNUMBER(SEARCH("Exterior",C26)),1,IF(OR(M02S02F32="Heat Pump",M02S02F32="AC with Natural Gas Heat",M02S02F32="AC with Electric Heat"),(INDEX(LightingWHF[Waste Heat Cooling Energy WHFe],MATCH(M02S02F26,LightingWHF[Building/Space Type],0))),1))))</f>
        <v/>
      </c>
      <c r="BC26" s="830" t="str">
        <f>IF(OR(I26="",Q26="",C26="",V26="",X26="",AB26="",AE26="",AG26=""),"",IF(OR(ISBLANK(M02S02F26),ISBLANK(M02S02F32),ISBLANK(M02S02F46)),MEASUREBLDG,""))</f>
        <v/>
      </c>
      <c r="BE26" s="811" t="str">
        <f ca="1">IF(OR(I26="",Q26="",C26="",V26="",X26="",AB26="",AE26="",AG26=""),"",IF('M01-S01'!$V$82&lt;TODAY(),0,IF(M02S02F46="Gas Only",0,IF(OR(AK26="",AK26&lt;0,AU26&lt;=AN26),0,MIN(AU26-AN26,ROUND(AN26*0.2,2))))))</f>
        <v/>
      </c>
    </row>
    <row r="27" spans="2:57" ht="15.95" customHeight="1">
      <c r="B27" s="834"/>
      <c r="C27" s="840"/>
      <c r="D27" s="841"/>
      <c r="E27" s="841"/>
      <c r="F27" s="841"/>
      <c r="G27" s="841"/>
      <c r="H27" s="842"/>
      <c r="I27" s="917"/>
      <c r="J27" s="918"/>
      <c r="K27" s="918"/>
      <c r="L27" s="919"/>
      <c r="M27" s="917"/>
      <c r="N27" s="918"/>
      <c r="O27" s="918"/>
      <c r="P27" s="919"/>
      <c r="Q27" s="840"/>
      <c r="R27" s="841"/>
      <c r="S27" s="841"/>
      <c r="T27" s="841"/>
      <c r="U27" s="842"/>
      <c r="V27" s="853"/>
      <c r="W27" s="854"/>
      <c r="X27" s="840"/>
      <c r="Y27" s="841"/>
      <c r="Z27" s="841"/>
      <c r="AA27" s="842"/>
      <c r="AB27" s="840"/>
      <c r="AC27" s="841"/>
      <c r="AD27" s="842"/>
      <c r="AE27" s="865"/>
      <c r="AF27" s="875"/>
      <c r="AG27" s="865"/>
      <c r="AH27" s="875"/>
      <c r="AI27" s="925"/>
      <c r="AJ27" s="870"/>
      <c r="AK27" s="912"/>
      <c r="AL27" s="913"/>
      <c r="AM27" s="913"/>
      <c r="AN27" s="823"/>
      <c r="AO27" s="824"/>
      <c r="AP27" s="824"/>
      <c r="AQ27" s="825"/>
      <c r="AR27" s="59"/>
      <c r="AU27" s="814"/>
      <c r="AV27" s="907"/>
      <c r="AW27" s="907"/>
      <c r="AX27" s="817"/>
      <c r="AY27" s="817"/>
      <c r="AZ27" s="817"/>
      <c r="BC27" s="831"/>
      <c r="BE27" s="812"/>
    </row>
    <row r="28" spans="2:57" ht="15.95" customHeight="1">
      <c r="B28" s="834">
        <v>7</v>
      </c>
      <c r="C28" s="837"/>
      <c r="D28" s="838"/>
      <c r="E28" s="838"/>
      <c r="F28" s="838"/>
      <c r="G28" s="838"/>
      <c r="H28" s="839"/>
      <c r="I28" s="914" t="str">
        <f>IFERROR(IF(C28="","",INDEX(PMELIGHTCON[Base Desc 1],MATCH(C28,PMELIGHTCON[Eff Desc 1],0))),"")</f>
        <v/>
      </c>
      <c r="J28" s="915"/>
      <c r="K28" s="915"/>
      <c r="L28" s="916"/>
      <c r="M28" s="920" t="str">
        <f>IFERROR(IF(C28="","",INDEX(PMELIGHTCON[Unit of Measure],MATCH(C28,PMELIGHTCON[Eff Desc 1],0))),"")</f>
        <v/>
      </c>
      <c r="N28" s="921"/>
      <c r="O28" s="921"/>
      <c r="P28" s="922"/>
      <c r="Q28" s="871"/>
      <c r="R28" s="872"/>
      <c r="S28" s="872"/>
      <c r="T28" s="872"/>
      <c r="U28" s="873"/>
      <c r="V28" s="876" t="str">
        <f>IFERROR(IF(C28="","",INDEX(LightingWHF[Fixture Annual Operating Hours],MATCH(M02S02F26,LightingWHF[Building/Space Type],0))),"")</f>
        <v/>
      </c>
      <c r="W28" s="877"/>
      <c r="X28" s="837"/>
      <c r="Y28" s="838"/>
      <c r="Z28" s="838"/>
      <c r="AA28" s="839"/>
      <c r="AB28" s="837"/>
      <c r="AC28" s="838"/>
      <c r="AD28" s="839"/>
      <c r="AE28" s="863"/>
      <c r="AF28" s="874"/>
      <c r="AG28" s="863"/>
      <c r="AH28" s="874"/>
      <c r="AI28" s="923" t="str">
        <f>IFERROR(IF(C28="","",INDEX(PMELIGHTCON[Inc Rate Unit],MATCH(C28,PMELIGHTCON[Eff Desc 1],0))),"")</f>
        <v/>
      </c>
      <c r="AJ28" s="924"/>
      <c r="AK28" s="910" t="str">
        <f t="shared" ref="AK28" si="15">IF(OR(C28="",Q28=""="",X28="",AB28="",AE28="",AG28="",V28=""),"",ROUND((AW28+AY28),0))</f>
        <v/>
      </c>
      <c r="AL28" s="911"/>
      <c r="AM28" s="911"/>
      <c r="AN28" s="820" t="str">
        <f t="shared" ref="AN28" si="16">IF(OR(C28="",Q28="",X28="",AB28="",AE28="",AG28="",V28=""),"",IF(BC28&lt;&gt;"",BC28,MIN(AU28,ROUND((Q28)*AI28,2))))</f>
        <v/>
      </c>
      <c r="AO28" s="821"/>
      <c r="AP28" s="821"/>
      <c r="AQ28" s="822"/>
      <c r="AR28" s="59"/>
      <c r="AU28" s="898" t="str">
        <f t="shared" ref="AU28" si="17">IF(OR(C28="",Q28="",X28="",AB28="",AE28="",AG28="",V28=""),"",(ROUND((AE28+AG28),2)))</f>
        <v/>
      </c>
      <c r="AV28" s="906" t="str">
        <f>IFERROR(IF(OR(C28="",I28="",Q28="",V28="",X28="",AB28="",AE28="",AG28="",AK28=0),"",IF(ISNUMBER(SEARCH("Exterior",C28)),0,ROUND((Q28/1000)*(INDEX(LightingWHF[Coincidence Factor CF],MATCH(M02S02F26,LightingWHF[Building/Space Type],0))-0.15)*
IF(OR(M02S02F32="AC with Natural Gas Heat",M02S02F32="AC with Electric Heat",M02S02F32="Heat Pump"),INDEX(LightingWHF[Waste Heat Cooling Demand WHFd],MATCH(M02S02F26,LightingWHF[Building/Space Type],0)),1),3))),"")</f>
        <v/>
      </c>
      <c r="AW28" s="906" t="str">
        <f>IF(OR(C28="",Q28="",X28="",AB28="",AE28="",AG28="",V28=""),"",ROUND(((Q28/1000)*V28*INDEX(PMELIGHTCON[Eff Desc 2],MATCH(C28,PMELIGHTCON[Eff Desc 1],0))*AZ28),0))</f>
        <v/>
      </c>
      <c r="AX28" s="900" t="str">
        <f>IF(OR(C28="",Q28="",X28="",AB28="",AE28="",AG28="",V28=""),"",IF(ISNUMBER(SEARCH("Exterior",C28)),0,IF(M02S02F46="Electric Only",0,IF(OR(M02S02F32="AC with Natural Gas Heat",M02S02F32="Natural Gas Heat Only"),(((Q28/1000)*V28*INDEX(PMELIGHTCON[Eff Desc 2],MATCH(C28,PMELIGHTCON[Eff Desc 1],0))*-INDEX(LightingWHF[Waste Heat Gas Heating IFTherms],MATCH(M02S02F26,LightingWHF[Building/Space Type],0)))),0))))</f>
        <v/>
      </c>
      <c r="AY28" s="900" t="str">
        <f>IF(OR(C28="",Q28="",X28="",AB28="",AE28="",AG28="",V28=""),"",IF(M02S02F46="Gas Only",0,IF(ISNUMBER(SEARCH("Exterior",C28)),0,IF(M02S02F32="Heat Pump",(((Q28/1000)*V28*INDEX(PMELIGHTCON[Eff Desc 2],MATCH(C28,PMELIGHTCON[Eff Desc 1],0)))*-INDEX(LightingWHF[Waste Heat Electric Heat Pump Heating IFkWh],MATCH(M02S02F26,LightingWHF[Building/Space Type],0))),
IF(OR(M02S02F32="AC with Electric Heat",M02S02F32="Electric Heat Only"),(((Q28/1000)*V28*INDEX(PMELIGHTCON[Eff Desc 2],MATCH(C28,PMELIGHTCON[Eff Desc 1],0)))*-INDEX(LightingWHF[Waste Heat Electric Resistance Heating IFkWh],MATCH(M02S02F26,LightingWHF[Building/Space Type],0))),0
)))))</f>
        <v/>
      </c>
      <c r="AZ28" s="900" t="str">
        <f>IF(OR(C28="",Q28="",X28="",AB28="",AE28="",AG28="",V28=""),"",IF(M02S02F46="Gas Only",0,IF(ISNUMBER(SEARCH("Exterior",C28)),1,IF(OR(M02S02F32="Heat Pump",M02S02F32="AC with Natural Gas Heat",M02S02F32="AC with Electric Heat"),(INDEX(LightingWHF[Waste Heat Cooling Energy WHFe],MATCH(M02S02F26,LightingWHF[Building/Space Type],0))),1))))</f>
        <v/>
      </c>
      <c r="BC28" s="830" t="str">
        <f>IF(OR(I28="",Q28="",C28="",V28="",X28="",AB28="",AE28="",AG28=""),"",IF(OR(ISBLANK(M02S02F26),ISBLANK(M02S02F32),ISBLANK(M02S02F46)),MEASUREBLDG,""))</f>
        <v/>
      </c>
      <c r="BE28" s="811" t="str">
        <f ca="1">IF(OR(I28="",Q28="",C28="",V28="",X28="",AB28="",AE28="",AG28=""),"",IF('M01-S01'!$V$82&lt;TODAY(),0,IF(M02S02F46="Gas Only",0,IF(OR(AK28="",AK28&lt;0,AU28&lt;=AN28),0,MIN(AU28-AN28,ROUND(AN28*0.2,2))))))</f>
        <v/>
      </c>
    </row>
    <row r="29" spans="2:57" ht="15.95" customHeight="1">
      <c r="B29" s="834"/>
      <c r="C29" s="840"/>
      <c r="D29" s="841"/>
      <c r="E29" s="841"/>
      <c r="F29" s="841"/>
      <c r="G29" s="841"/>
      <c r="H29" s="842"/>
      <c r="I29" s="917"/>
      <c r="J29" s="918"/>
      <c r="K29" s="918"/>
      <c r="L29" s="919"/>
      <c r="M29" s="917"/>
      <c r="N29" s="918"/>
      <c r="O29" s="918"/>
      <c r="P29" s="919"/>
      <c r="Q29" s="840"/>
      <c r="R29" s="841"/>
      <c r="S29" s="841"/>
      <c r="T29" s="841"/>
      <c r="U29" s="842"/>
      <c r="V29" s="853"/>
      <c r="W29" s="854"/>
      <c r="X29" s="840"/>
      <c r="Y29" s="841"/>
      <c r="Z29" s="841"/>
      <c r="AA29" s="842"/>
      <c r="AB29" s="840"/>
      <c r="AC29" s="841"/>
      <c r="AD29" s="842"/>
      <c r="AE29" s="865"/>
      <c r="AF29" s="875"/>
      <c r="AG29" s="865"/>
      <c r="AH29" s="875"/>
      <c r="AI29" s="925"/>
      <c r="AJ29" s="870"/>
      <c r="AK29" s="912"/>
      <c r="AL29" s="913"/>
      <c r="AM29" s="913"/>
      <c r="AN29" s="823"/>
      <c r="AO29" s="824"/>
      <c r="AP29" s="824"/>
      <c r="AQ29" s="825"/>
      <c r="AR29" s="59"/>
      <c r="AU29" s="814"/>
      <c r="AV29" s="907"/>
      <c r="AW29" s="907"/>
      <c r="AX29" s="817"/>
      <c r="AY29" s="817"/>
      <c r="AZ29" s="817"/>
      <c r="BC29" s="831"/>
      <c r="BE29" s="812"/>
    </row>
    <row r="30" spans="2:57" ht="15.95" customHeight="1">
      <c r="B30" s="834">
        <v>8</v>
      </c>
      <c r="C30" s="837"/>
      <c r="D30" s="838"/>
      <c r="E30" s="838"/>
      <c r="F30" s="838"/>
      <c r="G30" s="838"/>
      <c r="H30" s="839"/>
      <c r="I30" s="914" t="str">
        <f>IFERROR(IF(C30="","",INDEX(PMELIGHTCON[Base Desc 1],MATCH(C30,PMELIGHTCON[Eff Desc 1],0))),"")</f>
        <v/>
      </c>
      <c r="J30" s="915"/>
      <c r="K30" s="915"/>
      <c r="L30" s="916"/>
      <c r="M30" s="920" t="str">
        <f>IFERROR(IF(C30="","",INDEX(PMELIGHTCON[Unit of Measure],MATCH(C30,PMELIGHTCON[Eff Desc 1],0))),"")</f>
        <v/>
      </c>
      <c r="N30" s="921"/>
      <c r="O30" s="921"/>
      <c r="P30" s="922"/>
      <c r="Q30" s="871"/>
      <c r="R30" s="872"/>
      <c r="S30" s="872"/>
      <c r="T30" s="872"/>
      <c r="U30" s="873"/>
      <c r="V30" s="876" t="str">
        <f>IFERROR(IF(C30="","",INDEX(LightingWHF[Fixture Annual Operating Hours],MATCH(M02S02F26,LightingWHF[Building/Space Type],0))),"")</f>
        <v/>
      </c>
      <c r="W30" s="877"/>
      <c r="X30" s="837"/>
      <c r="Y30" s="838"/>
      <c r="Z30" s="838"/>
      <c r="AA30" s="839"/>
      <c r="AB30" s="837"/>
      <c r="AC30" s="838"/>
      <c r="AD30" s="839"/>
      <c r="AE30" s="863"/>
      <c r="AF30" s="874"/>
      <c r="AG30" s="863"/>
      <c r="AH30" s="874"/>
      <c r="AI30" s="923" t="str">
        <f>IFERROR(IF(C30="","",INDEX(PMELIGHTCON[Inc Rate Unit],MATCH(C30,PMELIGHTCON[Eff Desc 1],0))),"")</f>
        <v/>
      </c>
      <c r="AJ30" s="924"/>
      <c r="AK30" s="910" t="str">
        <f t="shared" ref="AK30" si="18">IF(OR(C30="",Q30=""="",X30="",AB30="",AE30="",AG30="",V30=""),"",ROUND((AW30+AY30),0))</f>
        <v/>
      </c>
      <c r="AL30" s="911"/>
      <c r="AM30" s="911"/>
      <c r="AN30" s="820" t="str">
        <f t="shared" ref="AN30" si="19">IF(OR(C30="",Q30="",X30="",AB30="",AE30="",AG30="",V30=""),"",IF(BC30&lt;&gt;"",BC30,MIN(AU30,ROUND((Q30)*AI30,2))))</f>
        <v/>
      </c>
      <c r="AO30" s="821"/>
      <c r="AP30" s="821"/>
      <c r="AQ30" s="822"/>
      <c r="AR30" s="59"/>
      <c r="AU30" s="898" t="str">
        <f t="shared" ref="AU30" si="20">IF(OR(C30="",Q30="",X30="",AB30="",AE30="",AG30="",V30=""),"",(ROUND((AE30+AG30),2)))</f>
        <v/>
      </c>
      <c r="AV30" s="906" t="str">
        <f>IFERROR(IF(OR(C30="",I30="",Q30="",V30="",X30="",AB30="",AE30="",AG30="",AK30=0),"",IF(ISNUMBER(SEARCH("Exterior",C30)),0,ROUND((Q30/1000)*(INDEX(LightingWHF[Coincidence Factor CF],MATCH(M02S02F26,LightingWHF[Building/Space Type],0))-0.15)*
IF(OR(M02S02F32="AC with Natural Gas Heat",M02S02F32="AC with Electric Heat",M02S02F32="Heat Pump"),INDEX(LightingWHF[Waste Heat Cooling Demand WHFd],MATCH(M02S02F26,LightingWHF[Building/Space Type],0)),1),3))),"")</f>
        <v/>
      </c>
      <c r="AW30" s="906" t="str">
        <f>IF(OR(C30="",Q30="",X30="",AB30="",AE30="",AG30="",V30=""),"",ROUND(((Q30/1000)*V30*INDEX(PMELIGHTCON[Eff Desc 2],MATCH(C30,PMELIGHTCON[Eff Desc 1],0))*AZ30),0))</f>
        <v/>
      </c>
      <c r="AX30" s="900" t="str">
        <f>IF(OR(C30="",Q30="",X30="",AB30="",AE30="",AG30="",V30=""),"",IF(ISNUMBER(SEARCH("Exterior",C30)),0,IF(M02S02F46="Electric Only",0,IF(OR(M02S02F32="AC with Natural Gas Heat",M02S02F32="Natural Gas Heat Only"),(((Q30/1000)*V30*INDEX(PMELIGHTCON[Eff Desc 2],MATCH(C30,PMELIGHTCON[Eff Desc 1],0))*-INDEX(LightingWHF[Waste Heat Gas Heating IFTherms],MATCH(M02S02F26,LightingWHF[Building/Space Type],0)))),0))))</f>
        <v/>
      </c>
      <c r="AY30" s="900" t="str">
        <f>IF(OR(C30="",Q30="",X30="",AB30="",AE30="",AG30="",V30=""),"",IF(M02S02F46="Gas Only",0,IF(ISNUMBER(SEARCH("Exterior",C30)),0,IF(M02S02F32="Heat Pump",(((Q30/1000)*V30*INDEX(PMELIGHTCON[Eff Desc 2],MATCH(C30,PMELIGHTCON[Eff Desc 1],0)))*-INDEX(LightingWHF[Waste Heat Electric Heat Pump Heating IFkWh],MATCH(M02S02F26,LightingWHF[Building/Space Type],0))),
IF(OR(M02S02F32="AC with Electric Heat",M02S02F32="Electric Heat Only"),(((Q30/1000)*V30*INDEX(PMELIGHTCON[Eff Desc 2],MATCH(C30,PMELIGHTCON[Eff Desc 1],0)))*-INDEX(LightingWHF[Waste Heat Electric Resistance Heating IFkWh],MATCH(M02S02F26,LightingWHF[Building/Space Type],0))),0
)))))</f>
        <v/>
      </c>
      <c r="AZ30" s="900" t="str">
        <f>IF(OR(C30="",Q30="",X30="",AB30="",AE30="",AG30="",V30=""),"",IF(M02S02F46="Gas Only",0,IF(ISNUMBER(SEARCH("Exterior",C30)),1,IF(OR(M02S02F32="Heat Pump",M02S02F32="AC with Natural Gas Heat",M02S02F32="AC with Electric Heat"),(INDEX(LightingWHF[Waste Heat Cooling Energy WHFe],MATCH(M02S02F26,LightingWHF[Building/Space Type],0))),1))))</f>
        <v/>
      </c>
      <c r="BC30" s="830" t="str">
        <f>IF(OR(I30="",Q30="",C30="",V30="",X30="",AB30="",AE30="",AG30=""),"",IF(OR(ISBLANK(M02S02F26),ISBLANK(M02S02F32),ISBLANK(M02S02F46)),MEASUREBLDG,""))</f>
        <v/>
      </c>
      <c r="BE30" s="811" t="str">
        <f ca="1">IF(OR(I30="",Q30="",C30="",V30="",X30="",AB30="",AE30="",AG30=""),"",IF('M01-S01'!$V$82&lt;TODAY(),0,IF(M02S02F46="Gas Only",0,IF(OR(AK30="",AK30&lt;0,AU30&lt;=AN30),0,MIN(AU30-AN30,ROUND(AN30*0.2,2))))))</f>
        <v/>
      </c>
    </row>
    <row r="31" spans="2:57" ht="15.95" customHeight="1">
      <c r="B31" s="834"/>
      <c r="C31" s="840"/>
      <c r="D31" s="841"/>
      <c r="E31" s="841"/>
      <c r="F31" s="841"/>
      <c r="G31" s="841"/>
      <c r="H31" s="842"/>
      <c r="I31" s="917"/>
      <c r="J31" s="918"/>
      <c r="K31" s="918"/>
      <c r="L31" s="919"/>
      <c r="M31" s="917"/>
      <c r="N31" s="918"/>
      <c r="O31" s="918"/>
      <c r="P31" s="919"/>
      <c r="Q31" s="840"/>
      <c r="R31" s="841"/>
      <c r="S31" s="841"/>
      <c r="T31" s="841"/>
      <c r="U31" s="842"/>
      <c r="V31" s="853"/>
      <c r="W31" s="854"/>
      <c r="X31" s="840"/>
      <c r="Y31" s="841"/>
      <c r="Z31" s="841"/>
      <c r="AA31" s="842"/>
      <c r="AB31" s="840"/>
      <c r="AC31" s="841"/>
      <c r="AD31" s="842"/>
      <c r="AE31" s="865"/>
      <c r="AF31" s="875"/>
      <c r="AG31" s="865"/>
      <c r="AH31" s="875"/>
      <c r="AI31" s="925"/>
      <c r="AJ31" s="870"/>
      <c r="AK31" s="912"/>
      <c r="AL31" s="913"/>
      <c r="AM31" s="913"/>
      <c r="AN31" s="823"/>
      <c r="AO31" s="824"/>
      <c r="AP31" s="824"/>
      <c r="AQ31" s="825"/>
      <c r="AR31" s="59"/>
      <c r="AU31" s="814"/>
      <c r="AV31" s="907"/>
      <c r="AW31" s="907"/>
      <c r="AX31" s="817"/>
      <c r="AY31" s="817"/>
      <c r="AZ31" s="817"/>
      <c r="BC31" s="831"/>
      <c r="BE31" s="812"/>
    </row>
    <row r="32" spans="2:57" ht="15.95" customHeight="1">
      <c r="B32" s="834">
        <v>9</v>
      </c>
      <c r="C32" s="837"/>
      <c r="D32" s="838"/>
      <c r="E32" s="838"/>
      <c r="F32" s="838"/>
      <c r="G32" s="838"/>
      <c r="H32" s="839"/>
      <c r="I32" s="914" t="str">
        <f>IFERROR(IF(C32="","",INDEX(PMELIGHTCON[Base Desc 1],MATCH(C32,PMELIGHTCON[Eff Desc 1],0))),"")</f>
        <v/>
      </c>
      <c r="J32" s="915"/>
      <c r="K32" s="915"/>
      <c r="L32" s="916"/>
      <c r="M32" s="920" t="str">
        <f>IFERROR(IF(C32="","",INDEX(PMELIGHTCON[Unit of Measure],MATCH(C32,PMELIGHTCON[Eff Desc 1],0))),"")</f>
        <v/>
      </c>
      <c r="N32" s="921"/>
      <c r="O32" s="921"/>
      <c r="P32" s="922"/>
      <c r="Q32" s="871"/>
      <c r="R32" s="872"/>
      <c r="S32" s="872"/>
      <c r="T32" s="872"/>
      <c r="U32" s="873"/>
      <c r="V32" s="876" t="str">
        <f>IFERROR(IF(C32="","",INDEX(LightingWHF[Fixture Annual Operating Hours],MATCH(M02S02F26,LightingWHF[Building/Space Type],0))),"")</f>
        <v/>
      </c>
      <c r="W32" s="877"/>
      <c r="X32" s="837"/>
      <c r="Y32" s="838"/>
      <c r="Z32" s="838"/>
      <c r="AA32" s="839"/>
      <c r="AB32" s="837"/>
      <c r="AC32" s="838"/>
      <c r="AD32" s="839"/>
      <c r="AE32" s="863"/>
      <c r="AF32" s="874"/>
      <c r="AG32" s="863"/>
      <c r="AH32" s="874"/>
      <c r="AI32" s="923" t="str">
        <f>IFERROR(IF(C32="","",INDEX(PMELIGHTCON[Inc Rate Unit],MATCH(C32,PMELIGHTCON[Eff Desc 1],0))),"")</f>
        <v/>
      </c>
      <c r="AJ32" s="924"/>
      <c r="AK32" s="910" t="str">
        <f t="shared" ref="AK32" si="21">IF(OR(C32="",Q32=""="",X32="",AB32="",AE32="",AG32="",V32=""),"",ROUND((AW32+AY32),0))</f>
        <v/>
      </c>
      <c r="AL32" s="911"/>
      <c r="AM32" s="911"/>
      <c r="AN32" s="820" t="str">
        <f t="shared" ref="AN32" si="22">IF(OR(C32="",Q32="",X32="",AB32="",AE32="",AG32="",V32=""),"",IF(BC32&lt;&gt;"",BC32,MIN(AU32,ROUND((Q32)*AI32,2))))</f>
        <v/>
      </c>
      <c r="AO32" s="821"/>
      <c r="AP32" s="821"/>
      <c r="AQ32" s="822"/>
      <c r="AR32" s="59"/>
      <c r="AU32" s="898" t="str">
        <f t="shared" ref="AU32" si="23">IF(OR(C32="",Q32="",X32="",AB32="",AE32="",AG32="",V32=""),"",(ROUND((AE32+AG32),2)))</f>
        <v/>
      </c>
      <c r="AV32" s="906" t="str">
        <f>IFERROR(IF(OR(C32="",I32="",Q32="",V32="",X32="",AB32="",AE32="",AG32="",AK32=0),"",IF(ISNUMBER(SEARCH("Exterior",C32)),0,ROUND((Q32/1000)*(INDEX(LightingWHF[Coincidence Factor CF],MATCH(M02S02F26,LightingWHF[Building/Space Type],0))-0.15)*
IF(OR(M02S02F32="AC with Natural Gas Heat",M02S02F32="AC with Electric Heat",M02S02F32="Heat Pump"),INDEX(LightingWHF[Waste Heat Cooling Demand WHFd],MATCH(M02S02F26,LightingWHF[Building/Space Type],0)),1),3))),"")</f>
        <v/>
      </c>
      <c r="AW32" s="906" t="str">
        <f>IF(OR(C32="",Q32="",X32="",AB32="",AE32="",AG32="",V32=""),"",ROUND(((Q32/1000)*V32*INDEX(PMELIGHTCON[Eff Desc 2],MATCH(C32,PMELIGHTCON[Eff Desc 1],0))*AZ32),0))</f>
        <v/>
      </c>
      <c r="AX32" s="900" t="str">
        <f>IF(OR(C32="",Q32="",X32="",AB32="",AE32="",AG32="",V32=""),"",IF(ISNUMBER(SEARCH("Exterior",C32)),0,IF(M02S02F46="Electric Only",0,IF(OR(M02S02F32="AC with Natural Gas Heat",M02S02F32="Natural Gas Heat Only"),(((Q32/1000)*V32*INDEX(PMELIGHTCON[Eff Desc 2],MATCH(C32,PMELIGHTCON[Eff Desc 1],0))*-INDEX(LightingWHF[Waste Heat Gas Heating IFTherms],MATCH(M02S02F26,LightingWHF[Building/Space Type],0)))),0))))</f>
        <v/>
      </c>
      <c r="AY32" s="900" t="str">
        <f>IF(OR(C32="",Q32="",X32="",AB32="",AE32="",AG32="",V32=""),"",IF(M02S02F46="Gas Only",0,IF(ISNUMBER(SEARCH("Exterior",C32)),0,IF(M02S02F32="Heat Pump",(((Q32/1000)*V32*INDEX(PMELIGHTCON[Eff Desc 2],MATCH(C32,PMELIGHTCON[Eff Desc 1],0)))*-INDEX(LightingWHF[Waste Heat Electric Heat Pump Heating IFkWh],MATCH(M02S02F26,LightingWHF[Building/Space Type],0))),
IF(OR(M02S02F32="AC with Electric Heat",M02S02F32="Electric Heat Only"),(((Q32/1000)*V32*INDEX(PMELIGHTCON[Eff Desc 2],MATCH(C32,PMELIGHTCON[Eff Desc 1],0)))*-INDEX(LightingWHF[Waste Heat Electric Resistance Heating IFkWh],MATCH(M02S02F26,LightingWHF[Building/Space Type],0))),0
)))))</f>
        <v/>
      </c>
      <c r="AZ32" s="900" t="str">
        <f>IF(OR(C32="",Q32="",X32="",AB32="",AE32="",AG32="",V32=""),"",IF(M02S02F46="Gas Only",0,IF(ISNUMBER(SEARCH("Exterior",C32)),1,IF(OR(M02S02F32="Heat Pump",M02S02F32="AC with Natural Gas Heat",M02S02F32="AC with Electric Heat"),(INDEX(LightingWHF[Waste Heat Cooling Energy WHFe],MATCH(M02S02F26,LightingWHF[Building/Space Type],0))),1))))</f>
        <v/>
      </c>
      <c r="BC32" s="830" t="str">
        <f>IF(OR(I32="",Q32="",C32="",V32="",X32="",AB32="",AE32="",AG32=""),"",IF(OR(ISBLANK(M02S02F26),ISBLANK(M02S02F32),ISBLANK(M02S02F46)),MEASUREBLDG,""))</f>
        <v/>
      </c>
      <c r="BE32" s="811" t="str">
        <f ca="1">IF(OR(I32="",Q32="",C32="",V32="",X32="",AB32="",AE32="",AG32=""),"",IF('M01-S01'!$V$82&lt;TODAY(),0,IF(M02S02F46="Gas Only",0,IF(OR(AK32="",AK32&lt;0,AU32&lt;=AN32),0,MIN(AU32-AN32,ROUND(AN32*0.2,2))))))</f>
        <v/>
      </c>
    </row>
    <row r="33" spans="2:57" ht="15.95" customHeight="1">
      <c r="B33" s="834"/>
      <c r="C33" s="840"/>
      <c r="D33" s="841"/>
      <c r="E33" s="841"/>
      <c r="F33" s="841"/>
      <c r="G33" s="841"/>
      <c r="H33" s="842"/>
      <c r="I33" s="917"/>
      <c r="J33" s="918"/>
      <c r="K33" s="918"/>
      <c r="L33" s="919"/>
      <c r="M33" s="917"/>
      <c r="N33" s="918"/>
      <c r="O33" s="918"/>
      <c r="P33" s="919"/>
      <c r="Q33" s="840"/>
      <c r="R33" s="841"/>
      <c r="S33" s="841"/>
      <c r="T33" s="841"/>
      <c r="U33" s="842"/>
      <c r="V33" s="853"/>
      <c r="W33" s="854"/>
      <c r="X33" s="840"/>
      <c r="Y33" s="841"/>
      <c r="Z33" s="841"/>
      <c r="AA33" s="842"/>
      <c r="AB33" s="840"/>
      <c r="AC33" s="841"/>
      <c r="AD33" s="842"/>
      <c r="AE33" s="865"/>
      <c r="AF33" s="875"/>
      <c r="AG33" s="865"/>
      <c r="AH33" s="875"/>
      <c r="AI33" s="925"/>
      <c r="AJ33" s="870"/>
      <c r="AK33" s="912"/>
      <c r="AL33" s="913"/>
      <c r="AM33" s="913"/>
      <c r="AN33" s="823"/>
      <c r="AO33" s="824"/>
      <c r="AP33" s="824"/>
      <c r="AQ33" s="825"/>
      <c r="AR33" s="59"/>
      <c r="AU33" s="814"/>
      <c r="AV33" s="907"/>
      <c r="AW33" s="907"/>
      <c r="AX33" s="817"/>
      <c r="AY33" s="817"/>
      <c r="AZ33" s="817"/>
      <c r="BC33" s="831"/>
      <c r="BE33" s="812"/>
    </row>
    <row r="34" spans="2:57" ht="15.95" customHeight="1">
      <c r="B34" s="834">
        <v>10</v>
      </c>
      <c r="C34" s="837"/>
      <c r="D34" s="838"/>
      <c r="E34" s="838"/>
      <c r="F34" s="838"/>
      <c r="G34" s="838"/>
      <c r="H34" s="839"/>
      <c r="I34" s="914" t="str">
        <f>IFERROR(IF(C34="","",INDEX(PMELIGHTCON[Base Desc 1],MATCH(C34,PMELIGHTCON[Eff Desc 1],0))),"")</f>
        <v/>
      </c>
      <c r="J34" s="915"/>
      <c r="K34" s="915"/>
      <c r="L34" s="916"/>
      <c r="M34" s="920" t="str">
        <f>IFERROR(IF(C34="","",INDEX(PMELIGHTCON[Unit of Measure],MATCH(C34,PMELIGHTCON[Eff Desc 1],0))),"")</f>
        <v/>
      </c>
      <c r="N34" s="921"/>
      <c r="O34" s="921"/>
      <c r="P34" s="922"/>
      <c r="Q34" s="871"/>
      <c r="R34" s="872"/>
      <c r="S34" s="872"/>
      <c r="T34" s="872"/>
      <c r="U34" s="873"/>
      <c r="V34" s="876" t="str">
        <f>IFERROR(IF(C34="","",INDEX(LightingWHF[Fixture Annual Operating Hours],MATCH(M02S02F26,LightingWHF[Building/Space Type],0))),"")</f>
        <v/>
      </c>
      <c r="W34" s="877"/>
      <c r="X34" s="837"/>
      <c r="Y34" s="838"/>
      <c r="Z34" s="838"/>
      <c r="AA34" s="839"/>
      <c r="AB34" s="837"/>
      <c r="AC34" s="838"/>
      <c r="AD34" s="839"/>
      <c r="AE34" s="863"/>
      <c r="AF34" s="874"/>
      <c r="AG34" s="863"/>
      <c r="AH34" s="874"/>
      <c r="AI34" s="923" t="str">
        <f>IFERROR(IF(C34="","",INDEX(PMELIGHTCON[Inc Rate Unit],MATCH(C34,PMELIGHTCON[Eff Desc 1],0))),"")</f>
        <v/>
      </c>
      <c r="AJ34" s="924"/>
      <c r="AK34" s="910" t="str">
        <f t="shared" ref="AK34" si="24">IF(OR(C34="",Q34=""="",X34="",AB34="",AE34="",AG34="",V34=""),"",ROUND((AW34+AY34),0))</f>
        <v/>
      </c>
      <c r="AL34" s="911"/>
      <c r="AM34" s="911"/>
      <c r="AN34" s="820" t="str">
        <f t="shared" ref="AN34" si="25">IF(OR(C34="",Q34="",X34="",AB34="",AE34="",AG34="",V34=""),"",IF(BC34&lt;&gt;"",BC34,MIN(AU34,ROUND((Q34)*AI34,2))))</f>
        <v/>
      </c>
      <c r="AO34" s="821"/>
      <c r="AP34" s="821"/>
      <c r="AQ34" s="822"/>
      <c r="AR34" s="59"/>
      <c r="AU34" s="898" t="str">
        <f t="shared" ref="AU34" si="26">IF(OR(C34="",Q34="",X34="",AB34="",AE34="",AG34="",V34=""),"",(ROUND((AE34+AG34),2)))</f>
        <v/>
      </c>
      <c r="AV34" s="906" t="str">
        <f>IFERROR(IF(OR(C34="",I34="",Q34="",V34="",X34="",AB34="",AE34="",AG34="",AK34=0),"",IF(ISNUMBER(SEARCH("Exterior",C34)),0,ROUND((Q34/1000)*(INDEX(LightingWHF[Coincidence Factor CF],MATCH(M02S02F26,LightingWHF[Building/Space Type],0))-0.15)*
IF(OR(M02S02F32="AC with Natural Gas Heat",M02S02F32="AC with Electric Heat",M02S02F32="Heat Pump"),INDEX(LightingWHF[Waste Heat Cooling Demand WHFd],MATCH(M02S02F26,LightingWHF[Building/Space Type],0)),1),3))),"")</f>
        <v/>
      </c>
      <c r="AW34" s="906" t="str">
        <f>IF(OR(C34="",Q34="",X34="",AB34="",AE34="",AG34="",V34=""),"",ROUND(((Q34/1000)*V34*INDEX(PMELIGHTCON[Eff Desc 2],MATCH(C34,PMELIGHTCON[Eff Desc 1],0))*AZ34),0))</f>
        <v/>
      </c>
      <c r="AX34" s="900" t="str">
        <f>IF(OR(C34="",Q34="",X34="",AB34="",AE34="",AG34="",V34=""),"",IF(ISNUMBER(SEARCH("Exterior",C34)),0,IF(M02S02F46="Electric Only",0,IF(OR(M02S02F32="AC with Natural Gas Heat",M02S02F32="Natural Gas Heat Only"),(((Q34/1000)*V34*INDEX(PMELIGHTCON[Eff Desc 2],MATCH(C34,PMELIGHTCON[Eff Desc 1],0))*-INDEX(LightingWHF[Waste Heat Gas Heating IFTherms],MATCH(M02S02F26,LightingWHF[Building/Space Type],0)))),0))))</f>
        <v/>
      </c>
      <c r="AY34" s="900" t="str">
        <f>IF(OR(C34="",Q34="",X34="",AB34="",AE34="",AG34="",V34=""),"",IF(M02S02F46="Gas Only",0,IF(ISNUMBER(SEARCH("Exterior",C34)),0,IF(M02S02F32="Heat Pump",(((Q34/1000)*V34*INDEX(PMELIGHTCON[Eff Desc 2],MATCH(C34,PMELIGHTCON[Eff Desc 1],0)))*-INDEX(LightingWHF[Waste Heat Electric Heat Pump Heating IFkWh],MATCH(M02S02F26,LightingWHF[Building/Space Type],0))),
IF(OR(M02S02F32="AC with Electric Heat",M02S02F32="Electric Heat Only"),(((Q34/1000)*V34*INDEX(PMELIGHTCON[Eff Desc 2],MATCH(C34,PMELIGHTCON[Eff Desc 1],0)))*-INDEX(LightingWHF[Waste Heat Electric Resistance Heating IFkWh],MATCH(M02S02F26,LightingWHF[Building/Space Type],0))),0
)))))</f>
        <v/>
      </c>
      <c r="AZ34" s="900" t="str">
        <f>IF(OR(C34="",Q34="",X34="",AB34="",AE34="",AG34="",V34=""),"",IF(M02S02F46="Gas Only",0,IF(ISNUMBER(SEARCH("Exterior",C34)),1,IF(OR(M02S02F32="Heat Pump",M02S02F32="AC with Natural Gas Heat",M02S02F32="AC with Electric Heat"),(INDEX(LightingWHF[Waste Heat Cooling Energy WHFe],MATCH(M02S02F26,LightingWHF[Building/Space Type],0))),1))))</f>
        <v/>
      </c>
      <c r="BC34" s="830" t="str">
        <f>IF(OR(I34="",Q34="",C34="",V34="",X34="",AB34="",AE34="",AG34=""),"",IF(OR(ISBLANK(M02S02F26),ISBLANK(M02S02F32),ISBLANK(M02S02F46)),MEASUREBLDG,""))</f>
        <v/>
      </c>
      <c r="BE34" s="811" t="str">
        <f ca="1">IF(OR(I34="",Q34="",C34="",V34="",X34="",AB34="",AE34="",AG34=""),"",IF('M01-S01'!$V$82&lt;TODAY(),0,IF(M02S02F46="Gas Only",0,IF(OR(AK34="",AK34&lt;0,AU34&lt;=AN34),0,MIN(AU34-AN34,ROUND(AN34*0.2,2))))))</f>
        <v/>
      </c>
    </row>
    <row r="35" spans="2:57" ht="15.75" customHeight="1">
      <c r="B35" s="834"/>
      <c r="C35" s="840"/>
      <c r="D35" s="841"/>
      <c r="E35" s="841"/>
      <c r="F35" s="841"/>
      <c r="G35" s="841"/>
      <c r="H35" s="842"/>
      <c r="I35" s="917"/>
      <c r="J35" s="918"/>
      <c r="K35" s="918"/>
      <c r="L35" s="919"/>
      <c r="M35" s="917"/>
      <c r="N35" s="918"/>
      <c r="O35" s="918"/>
      <c r="P35" s="919"/>
      <c r="Q35" s="840"/>
      <c r="R35" s="841"/>
      <c r="S35" s="841"/>
      <c r="T35" s="841"/>
      <c r="U35" s="842"/>
      <c r="V35" s="853"/>
      <c r="W35" s="854"/>
      <c r="X35" s="840"/>
      <c r="Y35" s="841"/>
      <c r="Z35" s="841"/>
      <c r="AA35" s="842"/>
      <c r="AB35" s="840"/>
      <c r="AC35" s="841"/>
      <c r="AD35" s="842"/>
      <c r="AE35" s="865"/>
      <c r="AF35" s="875"/>
      <c r="AG35" s="865"/>
      <c r="AH35" s="875"/>
      <c r="AI35" s="925"/>
      <c r="AJ35" s="870"/>
      <c r="AK35" s="912"/>
      <c r="AL35" s="913"/>
      <c r="AM35" s="913"/>
      <c r="AN35" s="823"/>
      <c r="AO35" s="824"/>
      <c r="AP35" s="824"/>
      <c r="AQ35" s="825"/>
      <c r="AR35" s="59"/>
      <c r="AU35" s="814"/>
      <c r="AV35" s="907"/>
      <c r="AW35" s="907"/>
      <c r="AX35" s="817"/>
      <c r="AY35" s="817"/>
      <c r="AZ35" s="817"/>
      <c r="BC35" s="831"/>
      <c r="BE35" s="812"/>
    </row>
    <row r="36" spans="2:57" ht="15.95" hidden="1" customHeight="1">
      <c r="B36" s="834">
        <v>11</v>
      </c>
      <c r="C36" s="837"/>
      <c r="D36" s="838"/>
      <c r="E36" s="838"/>
      <c r="F36" s="838"/>
      <c r="G36" s="838"/>
      <c r="H36" s="839"/>
      <c r="I36" s="914" t="str">
        <f>IFERROR(IF(C36="","",INDEX(PMELIGHTCON[Base Desc 1],MATCH(C36,PMELIGHTCON[Eff Desc 1],0))),"")</f>
        <v/>
      </c>
      <c r="J36" s="915"/>
      <c r="K36" s="915"/>
      <c r="L36" s="916"/>
      <c r="M36" s="914" t="str">
        <f>IFERROR(IF(C36="","",INDEX(PMELIGHTCON[Eff Desc 2],MATCH(C36,PMELIGHTCON[Eff Desc 1],0))),"")</f>
        <v/>
      </c>
      <c r="N36" s="915"/>
      <c r="O36" s="915"/>
      <c r="P36" s="916"/>
      <c r="Q36" s="933"/>
      <c r="R36" s="934"/>
      <c r="S36" s="935"/>
      <c r="T36" s="914" t="str">
        <f>IFERROR(IF(C36="","",INDEX(PMELIGHTCON[Unit of Measure],MATCH(C36,PMELIGHTCON[Eff Desc 1],0))),"")</f>
        <v/>
      </c>
      <c r="U36" s="916"/>
      <c r="V36" s="851"/>
      <c r="W36" s="852"/>
      <c r="X36" s="837"/>
      <c r="Y36" s="838"/>
      <c r="Z36" s="838"/>
      <c r="AA36" s="839"/>
      <c r="AB36" s="837"/>
      <c r="AC36" s="838"/>
      <c r="AD36" s="839"/>
      <c r="AE36" s="863"/>
      <c r="AF36" s="874"/>
      <c r="AG36" s="863"/>
      <c r="AH36" s="874"/>
      <c r="AI36" s="923" t="str">
        <f>IFERROR(IF(C36="","",INDEX(PMELIGHTCON[Inc Rate Unit],MATCH(C36,PMELIGHTCON[Eff Desc 1],0))),"")</f>
        <v/>
      </c>
      <c r="AJ36" s="924"/>
      <c r="AK36" s="910" t="str">
        <f>IF(OR(C36="",Q36="",V36="",X36="",AB36="",AE36="",AG36=""),"",ROUND(V36*INDEX(PMELIGHTCON[Savings per Unit kWh],MATCH(C36,PMELIGHTCON[Eff Desc 1],0)),2))</f>
        <v/>
      </c>
      <c r="AL36" s="911"/>
      <c r="AM36" s="911"/>
      <c r="AN36" s="930" t="str">
        <f t="shared" ref="AN36" si="27">IF(OR(C36="",Q36="",V36="",X36="",AB36="",AE36="",AG36=""),"",IF(BC36&lt;&gt;"",BC36,MIN(AU36,ROUND(V36*AI36,2))))</f>
        <v/>
      </c>
      <c r="AO36" s="931"/>
      <c r="AP36" s="931"/>
      <c r="AQ36" s="868"/>
      <c r="AR36" s="59"/>
      <c r="AU36" s="813" t="str">
        <f t="shared" ref="AU36" si="28">IF(OR(C36="",Q36="",V36="",X36="",AB36="",AE36="",AG36=""),"",(ROUND((AE36+AG36)*V36,2)))</f>
        <v/>
      </c>
      <c r="AV36" s="928" t="str">
        <f>IF(OR(C36="",Q36="",V36="",X36="",AB36="",AE36="",AG36=""),"",ROUND((V36*INDEX(PMELIGHTCON[Savings per Unit kW],MATCH(C36,PMELIGHTCON[Eff Desc 1],0)))*INDEX(ENDUSEALL[Lighting Coincidence Factor],MATCH("Lighting Controls",ENDUSEALL[End Use],0)),3))</f>
        <v/>
      </c>
      <c r="AX36" s="900"/>
      <c r="AY36" s="900"/>
      <c r="BC36" s="830"/>
    </row>
    <row r="37" spans="2:57" ht="15.95" hidden="1" customHeight="1">
      <c r="B37" s="834"/>
      <c r="C37" s="840"/>
      <c r="D37" s="841"/>
      <c r="E37" s="841"/>
      <c r="F37" s="841"/>
      <c r="G37" s="841"/>
      <c r="H37" s="842"/>
      <c r="I37" s="917"/>
      <c r="J37" s="918"/>
      <c r="K37" s="918"/>
      <c r="L37" s="919"/>
      <c r="M37" s="917"/>
      <c r="N37" s="918"/>
      <c r="O37" s="918"/>
      <c r="P37" s="919"/>
      <c r="Q37" s="936"/>
      <c r="R37" s="937"/>
      <c r="S37" s="938"/>
      <c r="T37" s="917"/>
      <c r="U37" s="919"/>
      <c r="V37" s="853"/>
      <c r="W37" s="854"/>
      <c r="X37" s="840"/>
      <c r="Y37" s="841"/>
      <c r="Z37" s="841"/>
      <c r="AA37" s="842"/>
      <c r="AB37" s="840"/>
      <c r="AC37" s="841"/>
      <c r="AD37" s="842"/>
      <c r="AE37" s="865"/>
      <c r="AF37" s="875"/>
      <c r="AG37" s="865"/>
      <c r="AH37" s="875"/>
      <c r="AI37" s="925"/>
      <c r="AJ37" s="870"/>
      <c r="AK37" s="912"/>
      <c r="AL37" s="913"/>
      <c r="AM37" s="913"/>
      <c r="AN37" s="925"/>
      <c r="AO37" s="932"/>
      <c r="AP37" s="932"/>
      <c r="AQ37" s="870"/>
      <c r="AR37" s="59"/>
      <c r="AU37" s="814"/>
      <c r="AV37" s="907"/>
      <c r="AX37" s="817"/>
      <c r="AY37" s="817"/>
      <c r="BC37" s="831"/>
    </row>
    <row r="38" spans="2:57" ht="15.95" hidden="1" customHeight="1">
      <c r="B38" s="834">
        <v>12</v>
      </c>
      <c r="C38" s="837"/>
      <c r="D38" s="838"/>
      <c r="E38" s="838"/>
      <c r="F38" s="838"/>
      <c r="G38" s="838"/>
      <c r="H38" s="839"/>
      <c r="I38" s="914" t="str">
        <f>IFERROR(IF(C38="","",INDEX(PMELIGHTCON[Base Desc 1],MATCH(C38,PMELIGHTCON[Eff Desc 1],0))),"")</f>
        <v/>
      </c>
      <c r="J38" s="915"/>
      <c r="K38" s="915"/>
      <c r="L38" s="916"/>
      <c r="M38" s="914" t="str">
        <f>IFERROR(IF(C38="","",INDEX(PMELIGHTCON[Eff Desc 2],MATCH(C38,PMELIGHTCON[Eff Desc 1],0))),"")</f>
        <v/>
      </c>
      <c r="N38" s="915"/>
      <c r="O38" s="915"/>
      <c r="P38" s="916"/>
      <c r="Q38" s="933"/>
      <c r="R38" s="934"/>
      <c r="S38" s="935"/>
      <c r="T38" s="914" t="str">
        <f>IFERROR(IF(C38="","",INDEX(PMELIGHTCON[Unit of Measure],MATCH(C38,PMELIGHTCON[Eff Desc 1],0))),"")</f>
        <v/>
      </c>
      <c r="U38" s="916"/>
      <c r="V38" s="851"/>
      <c r="W38" s="852"/>
      <c r="X38" s="837"/>
      <c r="Y38" s="838"/>
      <c r="Z38" s="838"/>
      <c r="AA38" s="839"/>
      <c r="AB38" s="837"/>
      <c r="AC38" s="838"/>
      <c r="AD38" s="839"/>
      <c r="AE38" s="863"/>
      <c r="AF38" s="874"/>
      <c r="AG38" s="863"/>
      <c r="AH38" s="874"/>
      <c r="AI38" s="923" t="str">
        <f>IFERROR(IF(C38="","",INDEX(PMELIGHTCON[Inc Rate Unit],MATCH(C38,PMELIGHTCON[Eff Desc 1],0))),"")</f>
        <v/>
      </c>
      <c r="AJ38" s="924"/>
      <c r="AK38" s="910" t="str">
        <f>IF(OR(C38="",Q38="",V38="",X38="",AB38="",AE38="",AG38=""),"",ROUND(V38*INDEX(PMELIGHTCON[Savings per Unit kWh],MATCH(C38,PMELIGHTCON[Eff Desc 1],0)),2))</f>
        <v/>
      </c>
      <c r="AL38" s="911"/>
      <c r="AM38" s="911"/>
      <c r="AN38" s="930" t="str">
        <f t="shared" ref="AN38" si="29">IF(OR(C38="",Q38="",V38="",X38="",AB38="",AE38="",AG38=""),"",IF(BC38&lt;&gt;"",BC38,MIN(AU38,ROUND(V38*AI38,2))))</f>
        <v/>
      </c>
      <c r="AO38" s="931"/>
      <c r="AP38" s="931"/>
      <c r="AQ38" s="868"/>
      <c r="AR38" s="59"/>
      <c r="AU38" s="813" t="str">
        <f t="shared" ref="AU38" si="30">IF(OR(C38="",Q38="",V38="",X38="",AB38="",AE38="",AG38=""),"",(ROUND((AE38+AG38)*V38,2)))</f>
        <v/>
      </c>
      <c r="AV38" s="928" t="str">
        <f>IF(OR(C38="",Q38="",V38="",X38="",AB38="",AE38="",AG38=""),"",ROUND((V38*INDEX(PMELIGHTCON[Savings per Unit kW],MATCH(C38,PMELIGHTCON[Eff Desc 1],0)))*INDEX(ENDUSEALL[Lighting Coincidence Factor],MATCH("Lighting Controls",ENDUSEALL[End Use],0)),3))</f>
        <v/>
      </c>
      <c r="AX38" s="900"/>
      <c r="AY38" s="900"/>
      <c r="BC38" s="830"/>
    </row>
    <row r="39" spans="2:57" ht="15.95" hidden="1" customHeight="1">
      <c r="B39" s="834"/>
      <c r="C39" s="840"/>
      <c r="D39" s="841"/>
      <c r="E39" s="841"/>
      <c r="F39" s="841"/>
      <c r="G39" s="841"/>
      <c r="H39" s="842"/>
      <c r="I39" s="917"/>
      <c r="J39" s="918"/>
      <c r="K39" s="918"/>
      <c r="L39" s="919"/>
      <c r="M39" s="917"/>
      <c r="N39" s="918"/>
      <c r="O39" s="918"/>
      <c r="P39" s="919"/>
      <c r="Q39" s="936"/>
      <c r="R39" s="937"/>
      <c r="S39" s="938"/>
      <c r="T39" s="917"/>
      <c r="U39" s="919"/>
      <c r="V39" s="853"/>
      <c r="W39" s="854"/>
      <c r="X39" s="840"/>
      <c r="Y39" s="841"/>
      <c r="Z39" s="841"/>
      <c r="AA39" s="842"/>
      <c r="AB39" s="840"/>
      <c r="AC39" s="841"/>
      <c r="AD39" s="842"/>
      <c r="AE39" s="865"/>
      <c r="AF39" s="875"/>
      <c r="AG39" s="865"/>
      <c r="AH39" s="875"/>
      <c r="AI39" s="925"/>
      <c r="AJ39" s="870"/>
      <c r="AK39" s="912"/>
      <c r="AL39" s="913"/>
      <c r="AM39" s="913"/>
      <c r="AN39" s="925"/>
      <c r="AO39" s="932"/>
      <c r="AP39" s="932"/>
      <c r="AQ39" s="870"/>
      <c r="AR39" s="59"/>
      <c r="AU39" s="814"/>
      <c r="AV39" s="907"/>
      <c r="AX39" s="817"/>
      <c r="AY39" s="817"/>
      <c r="BC39" s="831"/>
    </row>
    <row r="40" spans="2:57" ht="15.95" hidden="1" customHeight="1">
      <c r="B40" s="834">
        <v>13</v>
      </c>
      <c r="C40" s="837"/>
      <c r="D40" s="838"/>
      <c r="E40" s="838"/>
      <c r="F40" s="838"/>
      <c r="G40" s="838"/>
      <c r="H40" s="839"/>
      <c r="I40" s="914" t="str">
        <f>IFERROR(IF(C40="","",INDEX(PMELIGHTCON[Base Desc 1],MATCH(C40,PMELIGHTCON[Eff Desc 1],0))),"")</f>
        <v/>
      </c>
      <c r="J40" s="915"/>
      <c r="K40" s="915"/>
      <c r="L40" s="916"/>
      <c r="M40" s="914" t="str">
        <f>IFERROR(IF(C40="","",INDEX(PMELIGHTCON[Eff Desc 2],MATCH(C40,PMELIGHTCON[Eff Desc 1],0))),"")</f>
        <v/>
      </c>
      <c r="N40" s="915"/>
      <c r="O40" s="915"/>
      <c r="P40" s="916"/>
      <c r="Q40" s="933"/>
      <c r="R40" s="934"/>
      <c r="S40" s="935"/>
      <c r="T40" s="914" t="str">
        <f>IFERROR(IF(C40="","",INDEX(PMELIGHTCON[Unit of Measure],MATCH(C40,PMELIGHTCON[Eff Desc 1],0))),"")</f>
        <v/>
      </c>
      <c r="U40" s="916"/>
      <c r="V40" s="851"/>
      <c r="W40" s="852"/>
      <c r="X40" s="837"/>
      <c r="Y40" s="838"/>
      <c r="Z40" s="838"/>
      <c r="AA40" s="839"/>
      <c r="AB40" s="837"/>
      <c r="AC40" s="838"/>
      <c r="AD40" s="839"/>
      <c r="AE40" s="863"/>
      <c r="AF40" s="874"/>
      <c r="AG40" s="863"/>
      <c r="AH40" s="874"/>
      <c r="AI40" s="923" t="str">
        <f>IFERROR(IF(C40="","",INDEX(PMELIGHTCON[Inc Rate Unit],MATCH(C40,PMELIGHTCON[Eff Desc 1],0))),"")</f>
        <v/>
      </c>
      <c r="AJ40" s="924"/>
      <c r="AK40" s="910" t="str">
        <f>IF(OR(C40="",Q40="",V40="",X40="",AB40="",AE40="",AG40=""),"",ROUND(V40*INDEX(PMELIGHTCON[Savings per Unit kWh],MATCH(C40,PMELIGHTCON[Eff Desc 1],0)),2))</f>
        <v/>
      </c>
      <c r="AL40" s="911"/>
      <c r="AM40" s="911"/>
      <c r="AN40" s="930" t="str">
        <f t="shared" ref="AN40" si="31">IF(OR(C40="",Q40="",V40="",X40="",AB40="",AE40="",AG40=""),"",IF(BC40&lt;&gt;"",BC40,MIN(AU40,ROUND(V40*AI40,2))))</f>
        <v/>
      </c>
      <c r="AO40" s="931"/>
      <c r="AP40" s="931"/>
      <c r="AQ40" s="868"/>
      <c r="AR40" s="59"/>
      <c r="AU40" s="813" t="str">
        <f t="shared" ref="AU40" si="32">IF(OR(C40="",Q40="",V40="",X40="",AB40="",AE40="",AG40=""),"",(ROUND((AE40+AG40)*V40,2)))</f>
        <v/>
      </c>
      <c r="AV40" s="928" t="str">
        <f>IF(OR(C40="",Q40="",V40="",X40="",AB40="",AE40="",AG40=""),"",ROUND((V40*INDEX(PMELIGHTCON[Savings per Unit kW],MATCH(C40,PMELIGHTCON[Eff Desc 1],0)))*INDEX(ENDUSEALL[Lighting Coincidence Factor],MATCH("Lighting Controls",ENDUSEALL[End Use],0)),3))</f>
        <v/>
      </c>
      <c r="AX40" s="900"/>
      <c r="AY40" s="900"/>
      <c r="BC40" s="830"/>
    </row>
    <row r="41" spans="2:57" ht="15.95" hidden="1" customHeight="1">
      <c r="B41" s="834"/>
      <c r="C41" s="840"/>
      <c r="D41" s="841"/>
      <c r="E41" s="841"/>
      <c r="F41" s="841"/>
      <c r="G41" s="841"/>
      <c r="H41" s="842"/>
      <c r="I41" s="917"/>
      <c r="J41" s="918"/>
      <c r="K41" s="918"/>
      <c r="L41" s="919"/>
      <c r="M41" s="917"/>
      <c r="N41" s="918"/>
      <c r="O41" s="918"/>
      <c r="P41" s="919"/>
      <c r="Q41" s="936"/>
      <c r="R41" s="937"/>
      <c r="S41" s="938"/>
      <c r="T41" s="917"/>
      <c r="U41" s="919"/>
      <c r="V41" s="853"/>
      <c r="W41" s="854"/>
      <c r="X41" s="840"/>
      <c r="Y41" s="841"/>
      <c r="Z41" s="841"/>
      <c r="AA41" s="842"/>
      <c r="AB41" s="840"/>
      <c r="AC41" s="841"/>
      <c r="AD41" s="842"/>
      <c r="AE41" s="865"/>
      <c r="AF41" s="875"/>
      <c r="AG41" s="865"/>
      <c r="AH41" s="875"/>
      <c r="AI41" s="925"/>
      <c r="AJ41" s="870"/>
      <c r="AK41" s="912"/>
      <c r="AL41" s="913"/>
      <c r="AM41" s="913"/>
      <c r="AN41" s="925"/>
      <c r="AO41" s="932"/>
      <c r="AP41" s="932"/>
      <c r="AQ41" s="870"/>
      <c r="AR41" s="59"/>
      <c r="AU41" s="814"/>
      <c r="AV41" s="907"/>
      <c r="AX41" s="817"/>
      <c r="AY41" s="817"/>
      <c r="BC41" s="831"/>
    </row>
    <row r="42" spans="2:57" ht="15.95" hidden="1" customHeight="1">
      <c r="B42" s="834">
        <v>14</v>
      </c>
      <c r="C42" s="837"/>
      <c r="D42" s="838"/>
      <c r="E42" s="838"/>
      <c r="F42" s="838"/>
      <c r="G42" s="838"/>
      <c r="H42" s="839"/>
      <c r="I42" s="914" t="str">
        <f>IFERROR(IF(C42="","",INDEX(PMELIGHTCON[Base Desc 1],MATCH(C42,PMELIGHTCON[Eff Desc 1],0))),"")</f>
        <v/>
      </c>
      <c r="J42" s="915"/>
      <c r="K42" s="915"/>
      <c r="L42" s="916"/>
      <c r="M42" s="914" t="str">
        <f>IFERROR(IF(C42="","",INDEX(PMELIGHTCON[Eff Desc 2],MATCH(C42,PMELIGHTCON[Eff Desc 1],0))),"")</f>
        <v/>
      </c>
      <c r="N42" s="915"/>
      <c r="O42" s="915"/>
      <c r="P42" s="916"/>
      <c r="Q42" s="933"/>
      <c r="R42" s="934"/>
      <c r="S42" s="935"/>
      <c r="T42" s="914" t="str">
        <f>IFERROR(IF(C42="","",INDEX(PMELIGHTCON[Unit of Measure],MATCH(C42,PMELIGHTCON[Eff Desc 1],0))),"")</f>
        <v/>
      </c>
      <c r="U42" s="916"/>
      <c r="V42" s="851"/>
      <c r="W42" s="852"/>
      <c r="X42" s="837"/>
      <c r="Y42" s="838"/>
      <c r="Z42" s="838"/>
      <c r="AA42" s="839"/>
      <c r="AB42" s="837"/>
      <c r="AC42" s="838"/>
      <c r="AD42" s="839"/>
      <c r="AE42" s="863"/>
      <c r="AF42" s="874"/>
      <c r="AG42" s="863"/>
      <c r="AH42" s="874"/>
      <c r="AI42" s="923" t="str">
        <f>IFERROR(IF(C42="","",INDEX(PMELIGHTCON[Inc Rate Unit],MATCH(C42,PMELIGHTCON[Eff Desc 1],0))),"")</f>
        <v/>
      </c>
      <c r="AJ42" s="924"/>
      <c r="AK42" s="910" t="str">
        <f>IF(OR(C42="",Q42="",V42="",X42="",AB42="",AE42="",AG42=""),"",ROUND(V42*INDEX(PMELIGHTCON[Savings per Unit kWh],MATCH(C42,PMELIGHTCON[Eff Desc 1],0)),2))</f>
        <v/>
      </c>
      <c r="AL42" s="911"/>
      <c r="AM42" s="911"/>
      <c r="AN42" s="930" t="str">
        <f t="shared" ref="AN42" si="33">IF(OR(C42="",Q42="",V42="",X42="",AB42="",AE42="",AG42=""),"",IF(BC42&lt;&gt;"",BC42,MIN(AU42,ROUND(V42*AI42,2))))</f>
        <v/>
      </c>
      <c r="AO42" s="931"/>
      <c r="AP42" s="931"/>
      <c r="AQ42" s="868"/>
      <c r="AR42" s="59"/>
      <c r="AU42" s="813" t="str">
        <f t="shared" ref="AU42" si="34">IF(OR(C42="",Q42="",V42="",X42="",AB42="",AE42="",AG42=""),"",(ROUND((AE42+AG42)*V42,2)))</f>
        <v/>
      </c>
      <c r="AV42" s="928" t="str">
        <f>IF(OR(C42="",Q42="",V42="",X42="",AB42="",AE42="",AG42=""),"",ROUND((V42*INDEX(PMELIGHTCON[Savings per Unit kW],MATCH(C42,PMELIGHTCON[Eff Desc 1],0)))*INDEX(ENDUSEALL[Lighting Coincidence Factor],MATCH("Lighting Controls",ENDUSEALL[End Use],0)),3))</f>
        <v/>
      </c>
      <c r="AX42" s="900"/>
      <c r="AY42" s="900"/>
      <c r="BC42" s="830"/>
    </row>
    <row r="43" spans="2:57" ht="15.95" hidden="1" customHeight="1">
      <c r="B43" s="834"/>
      <c r="C43" s="840"/>
      <c r="D43" s="841"/>
      <c r="E43" s="841"/>
      <c r="F43" s="841"/>
      <c r="G43" s="841"/>
      <c r="H43" s="842"/>
      <c r="I43" s="917"/>
      <c r="J43" s="918"/>
      <c r="K43" s="918"/>
      <c r="L43" s="919"/>
      <c r="M43" s="917"/>
      <c r="N43" s="918"/>
      <c r="O43" s="918"/>
      <c r="P43" s="919"/>
      <c r="Q43" s="936"/>
      <c r="R43" s="937"/>
      <c r="S43" s="938"/>
      <c r="T43" s="917"/>
      <c r="U43" s="919"/>
      <c r="V43" s="853"/>
      <c r="W43" s="854"/>
      <c r="X43" s="840"/>
      <c r="Y43" s="841"/>
      <c r="Z43" s="841"/>
      <c r="AA43" s="842"/>
      <c r="AB43" s="840"/>
      <c r="AC43" s="841"/>
      <c r="AD43" s="842"/>
      <c r="AE43" s="865"/>
      <c r="AF43" s="875"/>
      <c r="AG43" s="865"/>
      <c r="AH43" s="875"/>
      <c r="AI43" s="925"/>
      <c r="AJ43" s="870"/>
      <c r="AK43" s="912"/>
      <c r="AL43" s="913"/>
      <c r="AM43" s="913"/>
      <c r="AN43" s="925"/>
      <c r="AO43" s="932"/>
      <c r="AP43" s="932"/>
      <c r="AQ43" s="870"/>
      <c r="AR43" s="59"/>
      <c r="AU43" s="814"/>
      <c r="AV43" s="907"/>
      <c r="AX43" s="817"/>
      <c r="AY43" s="817"/>
      <c r="BC43" s="831"/>
    </row>
    <row r="44" spans="2:57" ht="15.95" hidden="1" customHeight="1">
      <c r="B44" s="834">
        <v>15</v>
      </c>
      <c r="C44" s="837"/>
      <c r="D44" s="838"/>
      <c r="E44" s="838"/>
      <c r="F44" s="838"/>
      <c r="G44" s="838"/>
      <c r="H44" s="839"/>
      <c r="I44" s="914" t="str">
        <f>IFERROR(IF(C44="","",INDEX(PMELIGHTCON[Base Desc 1],MATCH(C44,PMELIGHTCON[Eff Desc 1],0))),"")</f>
        <v/>
      </c>
      <c r="J44" s="915"/>
      <c r="K44" s="915"/>
      <c r="L44" s="916"/>
      <c r="M44" s="914" t="str">
        <f>IFERROR(IF(C44="","",INDEX(PMELIGHTCON[Eff Desc 2],MATCH(C44,PMELIGHTCON[Eff Desc 1],0))),"")</f>
        <v/>
      </c>
      <c r="N44" s="915"/>
      <c r="O44" s="915"/>
      <c r="P44" s="916"/>
      <c r="Q44" s="933"/>
      <c r="R44" s="934"/>
      <c r="S44" s="935"/>
      <c r="T44" s="914" t="str">
        <f>IFERROR(IF(C44="","",INDEX(PMELIGHTCON[Unit of Measure],MATCH(C44,PMELIGHTCON[Eff Desc 1],0))),"")</f>
        <v/>
      </c>
      <c r="U44" s="916"/>
      <c r="V44" s="851"/>
      <c r="W44" s="852"/>
      <c r="X44" s="837"/>
      <c r="Y44" s="838"/>
      <c r="Z44" s="838"/>
      <c r="AA44" s="839"/>
      <c r="AB44" s="837"/>
      <c r="AC44" s="838"/>
      <c r="AD44" s="839"/>
      <c r="AE44" s="863"/>
      <c r="AF44" s="874"/>
      <c r="AG44" s="863"/>
      <c r="AH44" s="874"/>
      <c r="AI44" s="923" t="str">
        <f>IFERROR(IF(C44="","",INDEX(PMELIGHTCON[Inc Rate Unit],MATCH(C44,PMELIGHTCON[Eff Desc 1],0))),"")</f>
        <v/>
      </c>
      <c r="AJ44" s="924"/>
      <c r="AK44" s="910" t="str">
        <f>IF(OR(C44="",Q44="",V44="",X44="",AB44="",AE44="",AG44=""),"",ROUND(V44*INDEX(PMELIGHTCON[Savings per Unit kWh],MATCH(C44,PMELIGHTCON[Eff Desc 1],0)),2))</f>
        <v/>
      </c>
      <c r="AL44" s="911"/>
      <c r="AM44" s="911"/>
      <c r="AN44" s="930" t="str">
        <f t="shared" ref="AN44" si="35">IF(OR(C44="",Q44="",V44="",X44="",AB44="",AE44="",AG44=""),"",IF(BC44&lt;&gt;"",BC44,MIN(AU44,ROUND(V44*AI44,2))))</f>
        <v/>
      </c>
      <c r="AO44" s="931"/>
      <c r="AP44" s="931"/>
      <c r="AQ44" s="868"/>
      <c r="AR44" s="59"/>
      <c r="AU44" s="813" t="str">
        <f t="shared" ref="AU44" si="36">IF(OR(C44="",Q44="",V44="",X44="",AB44="",AE44="",AG44=""),"",(ROUND((AE44+AG44)*V44,2)))</f>
        <v/>
      </c>
      <c r="AV44" s="928" t="str">
        <f>IF(OR(C44="",Q44="",V44="",X44="",AB44="",AE44="",AG44=""),"",ROUND((V44*INDEX(PMELIGHTCON[Savings per Unit kW],MATCH(C44,PMELIGHTCON[Eff Desc 1],0)))*INDEX(ENDUSEALL[Lighting Coincidence Factor],MATCH("Lighting Controls",ENDUSEALL[End Use],0)),3))</f>
        <v/>
      </c>
      <c r="AX44" s="900"/>
      <c r="AY44" s="900"/>
      <c r="BC44" s="830"/>
    </row>
    <row r="45" spans="2:57" ht="15.95" hidden="1" customHeight="1">
      <c r="B45" s="834"/>
      <c r="C45" s="840"/>
      <c r="D45" s="841"/>
      <c r="E45" s="841"/>
      <c r="F45" s="841"/>
      <c r="G45" s="841"/>
      <c r="H45" s="842"/>
      <c r="I45" s="917"/>
      <c r="J45" s="918"/>
      <c r="K45" s="918"/>
      <c r="L45" s="919"/>
      <c r="M45" s="917"/>
      <c r="N45" s="918"/>
      <c r="O45" s="918"/>
      <c r="P45" s="919"/>
      <c r="Q45" s="936"/>
      <c r="R45" s="937"/>
      <c r="S45" s="938"/>
      <c r="T45" s="917"/>
      <c r="U45" s="919"/>
      <c r="V45" s="853"/>
      <c r="W45" s="854"/>
      <c r="X45" s="840"/>
      <c r="Y45" s="841"/>
      <c r="Z45" s="841"/>
      <c r="AA45" s="842"/>
      <c r="AB45" s="840"/>
      <c r="AC45" s="841"/>
      <c r="AD45" s="842"/>
      <c r="AE45" s="865"/>
      <c r="AF45" s="875"/>
      <c r="AG45" s="865"/>
      <c r="AH45" s="875"/>
      <c r="AI45" s="925"/>
      <c r="AJ45" s="870"/>
      <c r="AK45" s="912"/>
      <c r="AL45" s="913"/>
      <c r="AM45" s="913"/>
      <c r="AN45" s="925"/>
      <c r="AO45" s="932"/>
      <c r="AP45" s="932"/>
      <c r="AQ45" s="870"/>
      <c r="AR45" s="59"/>
      <c r="AU45" s="814"/>
      <c r="AV45" s="907"/>
      <c r="AX45" s="817"/>
      <c r="AY45" s="817"/>
      <c r="BC45" s="831"/>
    </row>
    <row r="46" spans="2:57" ht="15.95" hidden="1" customHeight="1">
      <c r="B46" s="929">
        <v>16</v>
      </c>
      <c r="C46" s="837"/>
      <c r="D46" s="838"/>
      <c r="E46" s="838"/>
      <c r="F46" s="838"/>
      <c r="G46" s="838"/>
      <c r="H46" s="839"/>
      <c r="I46" s="914" t="str">
        <f>IFERROR(IF(C46="","",INDEX(PMELIGHTCON[Base Desc 1],MATCH(C46,PMELIGHTCON[Eff Desc 1],0))),"")</f>
        <v/>
      </c>
      <c r="J46" s="915"/>
      <c r="K46" s="915"/>
      <c r="L46" s="916"/>
      <c r="M46" s="914" t="str">
        <f>IFERROR(IF(C46="","",INDEX(PMELIGHTCON[Eff Desc 2],MATCH(C46,PMELIGHTCON[Eff Desc 1],0))),"")</f>
        <v/>
      </c>
      <c r="N46" s="915"/>
      <c r="O46" s="915"/>
      <c r="P46" s="916"/>
      <c r="Q46" s="933"/>
      <c r="R46" s="934"/>
      <c r="S46" s="935"/>
      <c r="T46" s="914" t="str">
        <f>IFERROR(IF(C46="","",INDEX(PMELIGHTCON[Unit of Measure],MATCH(C46,PMELIGHTCON[Eff Desc 1],0))),"")</f>
        <v/>
      </c>
      <c r="U46" s="916"/>
      <c r="V46" s="851"/>
      <c r="W46" s="852"/>
      <c r="X46" s="837"/>
      <c r="Y46" s="838"/>
      <c r="Z46" s="838"/>
      <c r="AA46" s="839"/>
      <c r="AB46" s="837"/>
      <c r="AC46" s="838"/>
      <c r="AD46" s="839"/>
      <c r="AE46" s="863"/>
      <c r="AF46" s="874"/>
      <c r="AG46" s="863"/>
      <c r="AH46" s="874"/>
      <c r="AI46" s="923" t="str">
        <f>IFERROR(IF(C46="","",INDEX(PMELIGHTCON[Inc Rate Unit],MATCH(C46,PMELIGHTCON[Eff Desc 1],0))),"")</f>
        <v/>
      </c>
      <c r="AJ46" s="924"/>
      <c r="AK46" s="910" t="str">
        <f>IF(OR(C46="",Q46="",V46="",X46="",AB46="",AE46="",AG46=""),"",ROUND(V46*INDEX(PMELIGHTCON[Savings per Unit kWh],MATCH(C46,PMELIGHTCON[Eff Desc 1],0)),2))</f>
        <v/>
      </c>
      <c r="AL46" s="911"/>
      <c r="AM46" s="911"/>
      <c r="AN46" s="930" t="str">
        <f t="shared" ref="AN46" si="37">IF(OR(C46="",Q46="",V46="",X46="",AB46="",AE46="",AG46=""),"",IF(BC46&lt;&gt;"",BC46,MIN(AU46,ROUND(V46*AI46,2))))</f>
        <v/>
      </c>
      <c r="AO46" s="931"/>
      <c r="AP46" s="931"/>
      <c r="AQ46" s="868"/>
      <c r="AR46" s="59"/>
      <c r="AU46" s="813" t="str">
        <f t="shared" ref="AU46" si="38">IF(OR(C46="",Q46="",V46="",X46="",AB46="",AE46="",AG46=""),"",(ROUND((AE46+AG46)*V46,2)))</f>
        <v/>
      </c>
      <c r="AV46" s="928" t="str">
        <f>IF(OR(C46="",Q46="",V46="",X46="",AB46="",AE46="",AG46=""),"",ROUND((V46*INDEX(PMELIGHTCON[Savings per Unit kW],MATCH(C46,PMELIGHTCON[Eff Desc 1],0)))*INDEX(ENDUSEALL[Lighting Coincidence Factor],MATCH("Lighting Controls",ENDUSEALL[End Use],0)),3))</f>
        <v/>
      </c>
      <c r="BC46" s="830"/>
    </row>
    <row r="47" spans="2:57" ht="15.95" hidden="1" customHeight="1">
      <c r="B47" s="929"/>
      <c r="C47" s="840"/>
      <c r="D47" s="841"/>
      <c r="E47" s="841"/>
      <c r="F47" s="841"/>
      <c r="G47" s="841"/>
      <c r="H47" s="842"/>
      <c r="I47" s="917"/>
      <c r="J47" s="918"/>
      <c r="K47" s="918"/>
      <c r="L47" s="919"/>
      <c r="M47" s="917"/>
      <c r="N47" s="918"/>
      <c r="O47" s="918"/>
      <c r="P47" s="919"/>
      <c r="Q47" s="936"/>
      <c r="R47" s="937"/>
      <c r="S47" s="938"/>
      <c r="T47" s="917"/>
      <c r="U47" s="919"/>
      <c r="V47" s="853"/>
      <c r="W47" s="854"/>
      <c r="X47" s="840"/>
      <c r="Y47" s="841"/>
      <c r="Z47" s="841"/>
      <c r="AA47" s="842"/>
      <c r="AB47" s="840"/>
      <c r="AC47" s="841"/>
      <c r="AD47" s="842"/>
      <c r="AE47" s="865"/>
      <c r="AF47" s="875"/>
      <c r="AG47" s="865"/>
      <c r="AH47" s="875"/>
      <c r="AI47" s="925"/>
      <c r="AJ47" s="870"/>
      <c r="AK47" s="912"/>
      <c r="AL47" s="913"/>
      <c r="AM47" s="913"/>
      <c r="AN47" s="925"/>
      <c r="AO47" s="932"/>
      <c r="AP47" s="932"/>
      <c r="AQ47" s="870"/>
      <c r="AR47" s="59"/>
      <c r="AU47" s="814"/>
      <c r="AV47" s="907"/>
      <c r="BC47" s="831"/>
    </row>
    <row r="48" spans="2:57" ht="15.95" hidden="1" customHeight="1">
      <c r="B48" s="929">
        <v>17</v>
      </c>
      <c r="C48" s="837"/>
      <c r="D48" s="838"/>
      <c r="E48" s="838"/>
      <c r="F48" s="838"/>
      <c r="G48" s="838"/>
      <c r="H48" s="839"/>
      <c r="I48" s="914" t="str">
        <f>IFERROR(IF(C48="","",INDEX(PMELIGHTCON[Base Desc 1],MATCH(C48,PMELIGHTCON[Eff Desc 1],0))),"")</f>
        <v/>
      </c>
      <c r="J48" s="915"/>
      <c r="K48" s="915"/>
      <c r="L48" s="916"/>
      <c r="M48" s="914" t="str">
        <f>IFERROR(IF(C48="","",INDEX(PMELIGHTCON[Eff Desc 2],MATCH(C48,PMELIGHTCON[Eff Desc 1],0))),"")</f>
        <v/>
      </c>
      <c r="N48" s="915"/>
      <c r="O48" s="915"/>
      <c r="P48" s="916"/>
      <c r="Q48" s="933"/>
      <c r="R48" s="934"/>
      <c r="S48" s="935"/>
      <c r="T48" s="914" t="str">
        <f>IFERROR(IF(C48="","",INDEX(PMELIGHTCON[Unit of Measure],MATCH(C48,PMELIGHTCON[Eff Desc 1],0))),"")</f>
        <v/>
      </c>
      <c r="U48" s="916"/>
      <c r="V48" s="851"/>
      <c r="W48" s="852"/>
      <c r="X48" s="837"/>
      <c r="Y48" s="838"/>
      <c r="Z48" s="838"/>
      <c r="AA48" s="839"/>
      <c r="AB48" s="837"/>
      <c r="AC48" s="838"/>
      <c r="AD48" s="839"/>
      <c r="AE48" s="863"/>
      <c r="AF48" s="874"/>
      <c r="AG48" s="863"/>
      <c r="AH48" s="874"/>
      <c r="AI48" s="923" t="str">
        <f>IFERROR(IF(C48="","",INDEX(PMELIGHTCON[Inc Rate Unit],MATCH(C48,PMELIGHTCON[Eff Desc 1],0))),"")</f>
        <v/>
      </c>
      <c r="AJ48" s="924"/>
      <c r="AK48" s="910" t="str">
        <f>IF(OR(C48="",Q48="",V48="",X48="",AB48="",AE48="",AG48=""),"",ROUND(V48*INDEX(PMELIGHTCON[Savings per Unit kWh],MATCH(C48,PMELIGHTCON[Eff Desc 1],0)),2))</f>
        <v/>
      </c>
      <c r="AL48" s="911"/>
      <c r="AM48" s="911"/>
      <c r="AN48" s="930" t="str">
        <f t="shared" ref="AN48" si="39">IF(OR(C48="",Q48="",V48="",X48="",AB48="",AE48="",AG48=""),"",IF(BC48&lt;&gt;"",BC48,MIN(AU48,ROUND(V48*AI48,2))))</f>
        <v/>
      </c>
      <c r="AO48" s="931"/>
      <c r="AP48" s="931"/>
      <c r="AQ48" s="868"/>
      <c r="AR48" s="59"/>
      <c r="AU48" s="813" t="str">
        <f t="shared" ref="AU48" si="40">IF(OR(C48="",Q48="",V48="",X48="",AB48="",AE48="",AG48=""),"",(ROUND((AE48+AG48)*V48,2)))</f>
        <v/>
      </c>
      <c r="AV48" s="928" t="str">
        <f>IF(OR(C48="",Q48="",V48="",X48="",AB48="",AE48="",AG48=""),"",ROUND((V48*INDEX(PMELIGHTCON[Savings per Unit kW],MATCH(C48,PMELIGHTCON[Eff Desc 1],0)))*INDEX(ENDUSEALL[Lighting Coincidence Factor],MATCH("Lighting Controls",ENDUSEALL[End Use],0)),3))</f>
        <v/>
      </c>
      <c r="BC48" s="830"/>
    </row>
    <row r="49" spans="2:55" ht="15.95" hidden="1" customHeight="1">
      <c r="B49" s="929"/>
      <c r="C49" s="840"/>
      <c r="D49" s="841"/>
      <c r="E49" s="841"/>
      <c r="F49" s="841"/>
      <c r="G49" s="841"/>
      <c r="H49" s="842"/>
      <c r="I49" s="917"/>
      <c r="J49" s="918"/>
      <c r="K49" s="918"/>
      <c r="L49" s="919"/>
      <c r="M49" s="917"/>
      <c r="N49" s="918"/>
      <c r="O49" s="918"/>
      <c r="P49" s="919"/>
      <c r="Q49" s="936"/>
      <c r="R49" s="937"/>
      <c r="S49" s="938"/>
      <c r="T49" s="917"/>
      <c r="U49" s="919"/>
      <c r="V49" s="853"/>
      <c r="W49" s="854"/>
      <c r="X49" s="840"/>
      <c r="Y49" s="841"/>
      <c r="Z49" s="841"/>
      <c r="AA49" s="842"/>
      <c r="AB49" s="840"/>
      <c r="AC49" s="841"/>
      <c r="AD49" s="842"/>
      <c r="AE49" s="865"/>
      <c r="AF49" s="875"/>
      <c r="AG49" s="865"/>
      <c r="AH49" s="875"/>
      <c r="AI49" s="925"/>
      <c r="AJ49" s="870"/>
      <c r="AK49" s="912"/>
      <c r="AL49" s="913"/>
      <c r="AM49" s="913"/>
      <c r="AN49" s="925"/>
      <c r="AO49" s="932"/>
      <c r="AP49" s="932"/>
      <c r="AQ49" s="870"/>
      <c r="AR49" s="59"/>
      <c r="AU49" s="814"/>
      <c r="AV49" s="907"/>
      <c r="BC49" s="831"/>
    </row>
    <row r="50" spans="2:55" ht="15.95" hidden="1" customHeight="1">
      <c r="B50" s="929">
        <v>18</v>
      </c>
      <c r="C50" s="837"/>
      <c r="D50" s="838"/>
      <c r="E50" s="838"/>
      <c r="F50" s="838"/>
      <c r="G50" s="838"/>
      <c r="H50" s="839"/>
      <c r="I50" s="914" t="str">
        <f>IFERROR(IF(C50="","",INDEX(PMELIGHTCON[Base Desc 1],MATCH(C50,PMELIGHTCON[Eff Desc 1],0))),"")</f>
        <v/>
      </c>
      <c r="J50" s="915"/>
      <c r="K50" s="915"/>
      <c r="L50" s="916"/>
      <c r="M50" s="914" t="str">
        <f>IFERROR(IF(C50="","",INDEX(PMELIGHTCON[Eff Desc 2],MATCH(C50,PMELIGHTCON[Eff Desc 1],0))),"")</f>
        <v/>
      </c>
      <c r="N50" s="915"/>
      <c r="O50" s="915"/>
      <c r="P50" s="916"/>
      <c r="Q50" s="933"/>
      <c r="R50" s="934"/>
      <c r="S50" s="935"/>
      <c r="T50" s="914" t="str">
        <f>IFERROR(IF(C50="","",INDEX(PMELIGHTCON[Unit of Measure],MATCH(C50,PMELIGHTCON[Eff Desc 1],0))),"")</f>
        <v/>
      </c>
      <c r="U50" s="916"/>
      <c r="V50" s="851"/>
      <c r="W50" s="852"/>
      <c r="X50" s="837"/>
      <c r="Y50" s="838"/>
      <c r="Z50" s="838"/>
      <c r="AA50" s="839"/>
      <c r="AB50" s="837"/>
      <c r="AC50" s="838"/>
      <c r="AD50" s="839"/>
      <c r="AE50" s="863"/>
      <c r="AF50" s="874"/>
      <c r="AG50" s="863"/>
      <c r="AH50" s="874"/>
      <c r="AI50" s="923" t="str">
        <f>IFERROR(IF(C50="","",INDEX(PMELIGHTCON[Inc Rate Unit],MATCH(C50,PMELIGHTCON[Eff Desc 1],0))),"")</f>
        <v/>
      </c>
      <c r="AJ50" s="924"/>
      <c r="AK50" s="910" t="str">
        <f>IF(OR(C50="",Q50="",V50="",X50="",AB50="",AE50="",AG50=""),"",ROUND(V50*INDEX(PMELIGHTCON[Savings per Unit kWh],MATCH(C50,PMELIGHTCON[Eff Desc 1],0)),2))</f>
        <v/>
      </c>
      <c r="AL50" s="911"/>
      <c r="AM50" s="911"/>
      <c r="AN50" s="930" t="str">
        <f t="shared" ref="AN50" si="41">IF(OR(C50="",Q50="",V50="",X50="",AB50="",AE50="",AG50=""),"",IF(BC50&lt;&gt;"",BC50,MIN(AU50,ROUND(V50*AI50,2))))</f>
        <v/>
      </c>
      <c r="AO50" s="931"/>
      <c r="AP50" s="931"/>
      <c r="AQ50" s="868"/>
      <c r="AR50" s="59"/>
      <c r="AU50" s="813" t="str">
        <f t="shared" ref="AU50" si="42">IF(OR(C50="",Q50="",V50="",X50="",AB50="",AE50="",AG50=""),"",(ROUND((AE50+AG50)*V50,2)))</f>
        <v/>
      </c>
      <c r="AV50" s="928" t="str">
        <f>IF(OR(C50="",Q50="",V50="",X50="",AB50="",AE50="",AG50=""),"",ROUND((V50*INDEX(PMELIGHTCON[Savings per Unit kW],MATCH(C50,PMELIGHTCON[Eff Desc 1],0)))*INDEX(ENDUSEALL[Lighting Coincidence Factor],MATCH("Lighting Controls",ENDUSEALL[End Use],0)),3))</f>
        <v/>
      </c>
      <c r="BC50" s="830"/>
    </row>
    <row r="51" spans="2:55" ht="15.95" hidden="1" customHeight="1">
      <c r="B51" s="929"/>
      <c r="C51" s="840"/>
      <c r="D51" s="841"/>
      <c r="E51" s="841"/>
      <c r="F51" s="841"/>
      <c r="G51" s="841"/>
      <c r="H51" s="842"/>
      <c r="I51" s="917"/>
      <c r="J51" s="918"/>
      <c r="K51" s="918"/>
      <c r="L51" s="919"/>
      <c r="M51" s="917"/>
      <c r="N51" s="918"/>
      <c r="O51" s="918"/>
      <c r="P51" s="919"/>
      <c r="Q51" s="936"/>
      <c r="R51" s="937"/>
      <c r="S51" s="938"/>
      <c r="T51" s="917"/>
      <c r="U51" s="919"/>
      <c r="V51" s="853"/>
      <c r="W51" s="854"/>
      <c r="X51" s="840"/>
      <c r="Y51" s="841"/>
      <c r="Z51" s="841"/>
      <c r="AA51" s="842"/>
      <c r="AB51" s="840"/>
      <c r="AC51" s="841"/>
      <c r="AD51" s="842"/>
      <c r="AE51" s="865"/>
      <c r="AF51" s="875"/>
      <c r="AG51" s="865"/>
      <c r="AH51" s="875"/>
      <c r="AI51" s="925"/>
      <c r="AJ51" s="870"/>
      <c r="AK51" s="912"/>
      <c r="AL51" s="913"/>
      <c r="AM51" s="913"/>
      <c r="AN51" s="925"/>
      <c r="AO51" s="932"/>
      <c r="AP51" s="932"/>
      <c r="AQ51" s="870"/>
      <c r="AR51" s="59"/>
      <c r="AU51" s="814"/>
      <c r="AV51" s="907"/>
      <c r="BC51" s="831"/>
    </row>
    <row r="52" spans="2:55" ht="15.95" hidden="1" customHeight="1">
      <c r="B52" s="929">
        <v>19</v>
      </c>
      <c r="C52" s="837"/>
      <c r="D52" s="838"/>
      <c r="E52" s="838"/>
      <c r="F52" s="838"/>
      <c r="G52" s="838"/>
      <c r="H52" s="839"/>
      <c r="I52" s="914" t="str">
        <f>IFERROR(IF(C52="","",INDEX(PMELIGHTCON[Base Desc 1],MATCH(C52,PMELIGHTCON[Eff Desc 1],0))),"")</f>
        <v/>
      </c>
      <c r="J52" s="915"/>
      <c r="K52" s="915"/>
      <c r="L52" s="916"/>
      <c r="M52" s="914" t="str">
        <f>IFERROR(IF(C52="","",INDEX(PMELIGHTCON[Eff Desc 2],MATCH(C52,PMELIGHTCON[Eff Desc 1],0))),"")</f>
        <v/>
      </c>
      <c r="N52" s="915"/>
      <c r="O52" s="915"/>
      <c r="P52" s="916"/>
      <c r="Q52" s="933"/>
      <c r="R52" s="934"/>
      <c r="S52" s="935"/>
      <c r="T52" s="914" t="str">
        <f>IFERROR(IF(C52="","",INDEX(PMELIGHTCON[Unit of Measure],MATCH(C52,PMELIGHTCON[Eff Desc 1],0))),"")</f>
        <v/>
      </c>
      <c r="U52" s="916"/>
      <c r="V52" s="851"/>
      <c r="W52" s="852"/>
      <c r="X52" s="837"/>
      <c r="Y52" s="838"/>
      <c r="Z52" s="838"/>
      <c r="AA52" s="839"/>
      <c r="AB52" s="837"/>
      <c r="AC52" s="838"/>
      <c r="AD52" s="839"/>
      <c r="AE52" s="863"/>
      <c r="AF52" s="874"/>
      <c r="AG52" s="863"/>
      <c r="AH52" s="874"/>
      <c r="AI52" s="923" t="str">
        <f>IFERROR(IF(C52="","",INDEX(PMELIGHTCON[Inc Rate Unit],MATCH(C52,PMELIGHTCON[Eff Desc 1],0))),"")</f>
        <v/>
      </c>
      <c r="AJ52" s="924"/>
      <c r="AK52" s="910" t="str">
        <f>IF(OR(C52="",Q52="",V52="",X52="",AB52="",AE52="",AG52=""),"",ROUND(V52*INDEX(PMELIGHTCON[Savings per Unit kWh],MATCH(C52,PMELIGHTCON[Eff Desc 1],0)),2))</f>
        <v/>
      </c>
      <c r="AL52" s="911"/>
      <c r="AM52" s="911"/>
      <c r="AN52" s="930" t="str">
        <f t="shared" ref="AN52" si="43">IF(OR(C52="",Q52="",V52="",X52="",AB52="",AE52="",AG52=""),"",IF(BC52&lt;&gt;"",BC52,MIN(AU52,ROUND(V52*AI52,2))))</f>
        <v/>
      </c>
      <c r="AO52" s="931"/>
      <c r="AP52" s="931"/>
      <c r="AQ52" s="868"/>
      <c r="AR52" s="59"/>
      <c r="AU52" s="813" t="str">
        <f t="shared" ref="AU52" si="44">IF(OR(C52="",Q52="",V52="",X52="",AB52="",AE52="",AG52=""),"",(ROUND((AE52+AG52)*V52,2)))</f>
        <v/>
      </c>
      <c r="AV52" s="928" t="str">
        <f>IF(OR(C52="",Q52="",V52="",X52="",AB52="",AE52="",AG52=""),"",ROUND((V52*INDEX(PMELIGHTCON[Savings per Unit kW],MATCH(C52,PMELIGHTCON[Eff Desc 1],0)))*INDEX(ENDUSEALL[Lighting Coincidence Factor],MATCH("Lighting Controls",ENDUSEALL[End Use],0)),3))</f>
        <v/>
      </c>
      <c r="BC52" s="830"/>
    </row>
    <row r="53" spans="2:55" ht="15.95" hidden="1" customHeight="1">
      <c r="B53" s="929"/>
      <c r="C53" s="840"/>
      <c r="D53" s="841"/>
      <c r="E53" s="841"/>
      <c r="F53" s="841"/>
      <c r="G53" s="841"/>
      <c r="H53" s="842"/>
      <c r="I53" s="917"/>
      <c r="J53" s="918"/>
      <c r="K53" s="918"/>
      <c r="L53" s="919"/>
      <c r="M53" s="917"/>
      <c r="N53" s="918"/>
      <c r="O53" s="918"/>
      <c r="P53" s="919"/>
      <c r="Q53" s="936"/>
      <c r="R53" s="937"/>
      <c r="S53" s="938"/>
      <c r="T53" s="917"/>
      <c r="U53" s="919"/>
      <c r="V53" s="853"/>
      <c r="W53" s="854"/>
      <c r="X53" s="840"/>
      <c r="Y53" s="841"/>
      <c r="Z53" s="841"/>
      <c r="AA53" s="842"/>
      <c r="AB53" s="840"/>
      <c r="AC53" s="841"/>
      <c r="AD53" s="842"/>
      <c r="AE53" s="865"/>
      <c r="AF53" s="875"/>
      <c r="AG53" s="865"/>
      <c r="AH53" s="875"/>
      <c r="AI53" s="925"/>
      <c r="AJ53" s="870"/>
      <c r="AK53" s="912"/>
      <c r="AL53" s="913"/>
      <c r="AM53" s="913"/>
      <c r="AN53" s="925"/>
      <c r="AO53" s="932"/>
      <c r="AP53" s="932"/>
      <c r="AQ53" s="870"/>
      <c r="AR53" s="59"/>
      <c r="AU53" s="814"/>
      <c r="AV53" s="907"/>
      <c r="BC53" s="831"/>
    </row>
    <row r="54" spans="2:55" ht="15.95" hidden="1" customHeight="1">
      <c r="B54" s="929">
        <v>20</v>
      </c>
      <c r="C54" s="871">
        <f ca="1">IF(SUM(BE16:BE35)=0,0,INDEX(PMEBONUS[],3,3))</f>
        <v>0</v>
      </c>
      <c r="D54" s="872"/>
      <c r="E54" s="872"/>
      <c r="F54" s="872"/>
      <c r="G54" s="872"/>
      <c r="H54" s="873"/>
      <c r="I54" s="914" t="str">
        <f ca="1">IF(SUM(BE16:BE35)=0,"",INDEX(PMEBONUS[],3,30))</f>
        <v/>
      </c>
      <c r="J54" s="915"/>
      <c r="K54" s="915"/>
      <c r="L54" s="916"/>
      <c r="M54" s="914" t="str">
        <f ca="1">IFERROR(IF(C54="","",INDEX(PMELIGHTCON[Eff Desc 2],MATCH(C54,PMELIGHTCON[Eff Desc 1],0))),"")</f>
        <v/>
      </c>
      <c r="N54" s="915"/>
      <c r="O54" s="915"/>
      <c r="P54" s="916"/>
      <c r="Q54" s="871">
        <f ca="1">IF(OR(I54=0,I54=""),0,1)</f>
        <v>0</v>
      </c>
      <c r="R54" s="872"/>
      <c r="S54" s="872"/>
      <c r="T54" s="872"/>
      <c r="U54" s="873"/>
      <c r="V54" s="851"/>
      <c r="W54" s="852"/>
      <c r="X54" s="837"/>
      <c r="Y54" s="838"/>
      <c r="Z54" s="838"/>
      <c r="AA54" s="839"/>
      <c r="AB54" s="837"/>
      <c r="AC54" s="838"/>
      <c r="AD54" s="839"/>
      <c r="AE54" s="863"/>
      <c r="AF54" s="874"/>
      <c r="AG54" s="863"/>
      <c r="AH54" s="874"/>
      <c r="AI54" s="923" t="str">
        <f ca="1">IFERROR(IF(C54="","",INDEX(PMELIGHTCON[Inc Rate Unit],MATCH(C54,PMELIGHTCON[Eff Desc 1],0))),"")</f>
        <v/>
      </c>
      <c r="AJ54" s="924"/>
      <c r="AK54" s="910" t="str">
        <f ca="1">IF(OR(C54="",Q54="",V54="",X54="",AB54="",AE54="",AG54=""),"",ROUND(V54*INDEX(PMELIGHTCON[Savings per Unit kWh],MATCH(C54,PMELIGHTCON[Eff Desc 1],0)),2))</f>
        <v/>
      </c>
      <c r="AL54" s="911"/>
      <c r="AM54" s="911"/>
      <c r="AN54" s="930" t="str">
        <f ca="1">IF(BA54="","",BA54)</f>
        <v/>
      </c>
      <c r="AO54" s="931"/>
      <c r="AP54" s="931"/>
      <c r="AQ54" s="868"/>
      <c r="AR54" s="59"/>
      <c r="AU54" s="813" t="str">
        <f t="shared" ref="AU54" ca="1" si="45">IF(OR(C54="",Q54="",V54="",X54="",AB54="",AE54="",AG54=""),"",(ROUND((AE54+AG54)*V54,2)))</f>
        <v/>
      </c>
      <c r="AV54" s="928" t="str">
        <f ca="1">IF(OR(C54="",Q54="",V54="",X54="",AB54="",AE54="",AG54=""),"",ROUND((V54*INDEX(PMELIGHTCON[Savings per Unit kW],MATCH(C54,PMELIGHTCON[Eff Desc 1],0)))*INDEX(ENDUSEALL[Lighting Coincidence Factor],MATCH("Lighting Controls",ENDUSEALL[End Use],0)),3))</f>
        <v/>
      </c>
      <c r="BA54" s="813" t="str">
        <f ca="1">IFERROR(IF(OR(C54="",I54="",SUM(AK16:AM35)=0,SUM(BE16:BE35)=0),"",SUM(BE16:BE35)),"")</f>
        <v/>
      </c>
      <c r="BC54" s="830"/>
    </row>
    <row r="55" spans="2:55" ht="15.95" hidden="1" customHeight="1">
      <c r="B55" s="929"/>
      <c r="C55" s="840"/>
      <c r="D55" s="841"/>
      <c r="E55" s="841"/>
      <c r="F55" s="841"/>
      <c r="G55" s="841"/>
      <c r="H55" s="842"/>
      <c r="I55" s="917"/>
      <c r="J55" s="918"/>
      <c r="K55" s="918"/>
      <c r="L55" s="919"/>
      <c r="M55" s="917"/>
      <c r="N55" s="918"/>
      <c r="O55" s="918"/>
      <c r="P55" s="919"/>
      <c r="Q55" s="840"/>
      <c r="R55" s="841"/>
      <c r="S55" s="841"/>
      <c r="T55" s="841"/>
      <c r="U55" s="842"/>
      <c r="V55" s="853"/>
      <c r="W55" s="854"/>
      <c r="X55" s="840"/>
      <c r="Y55" s="841"/>
      <c r="Z55" s="841"/>
      <c r="AA55" s="842"/>
      <c r="AB55" s="840"/>
      <c r="AC55" s="841"/>
      <c r="AD55" s="842"/>
      <c r="AE55" s="865"/>
      <c r="AF55" s="875"/>
      <c r="AG55" s="865"/>
      <c r="AH55" s="875"/>
      <c r="AI55" s="925"/>
      <c r="AJ55" s="870"/>
      <c r="AK55" s="912"/>
      <c r="AL55" s="913"/>
      <c r="AM55" s="913"/>
      <c r="AN55" s="925"/>
      <c r="AO55" s="932"/>
      <c r="AP55" s="932"/>
      <c r="AQ55" s="870"/>
      <c r="AR55" s="59"/>
      <c r="AU55" s="814"/>
      <c r="AV55" s="907"/>
      <c r="BA55" s="814"/>
      <c r="BC55" s="831"/>
    </row>
    <row r="56" spans="2:55" ht="15.95" hidden="1" customHeight="1">
      <c r="B56" s="929">
        <v>21</v>
      </c>
      <c r="C56" s="837"/>
      <c r="D56" s="838"/>
      <c r="E56" s="838"/>
      <c r="F56" s="838"/>
      <c r="G56" s="838"/>
      <c r="H56" s="839"/>
      <c r="I56" s="914" t="str">
        <f>IFERROR(IF(C56="","",INDEX(PMELIGHTCON[Base Desc 1],MATCH(C56,PMELIGHTCON[Eff Desc 1],0))),"")</f>
        <v/>
      </c>
      <c r="J56" s="915"/>
      <c r="K56" s="915"/>
      <c r="L56" s="916"/>
      <c r="M56" s="914" t="str">
        <f>IFERROR(IF(C56="","",INDEX(PMELIGHTCON[Eff Desc 2],MATCH(C56,PMELIGHTCON[Eff Desc 1],0))),"")</f>
        <v/>
      </c>
      <c r="N56" s="915"/>
      <c r="O56" s="915"/>
      <c r="P56" s="916"/>
      <c r="Q56" s="933"/>
      <c r="R56" s="934"/>
      <c r="S56" s="935"/>
      <c r="T56" s="914" t="str">
        <f>IFERROR(IF(C56="","",INDEX(PMELIGHTCON[Unit of Measure],MATCH(C56,PMELIGHTCON[Eff Desc 1],0))),"")</f>
        <v/>
      </c>
      <c r="U56" s="916"/>
      <c r="V56" s="851"/>
      <c r="W56" s="852"/>
      <c r="X56" s="837"/>
      <c r="Y56" s="838"/>
      <c r="Z56" s="838"/>
      <c r="AA56" s="839"/>
      <c r="AB56" s="837"/>
      <c r="AC56" s="838"/>
      <c r="AD56" s="839"/>
      <c r="AE56" s="863"/>
      <c r="AF56" s="874"/>
      <c r="AG56" s="863"/>
      <c r="AH56" s="874"/>
      <c r="AI56" s="923" t="str">
        <f>IFERROR(IF(C56="","",INDEX(PMELIGHTCON[Inc Rate Unit],MATCH(C56,PMELIGHTCON[Eff Desc 1],0))),"")</f>
        <v/>
      </c>
      <c r="AJ56" s="924"/>
      <c r="AK56" s="910" t="str">
        <f>IF(OR(C56="",Q56="",V56="",X56="",AB56="",AE56="",AG56=""),"",ROUND(V56*INDEX(PMELIGHTCON[Savings per Unit kWh],MATCH(C56,PMELIGHTCON[Eff Desc 1],0)),2))</f>
        <v/>
      </c>
      <c r="AL56" s="911"/>
      <c r="AM56" s="911"/>
      <c r="AN56" s="930" t="str">
        <f t="shared" ref="AN56" si="46">IF(OR(C56="",Q56="",V56="",X56="",AB56="",AE56="",AG56=""),"",IF(BC56&lt;&gt;"",BC56,MIN(AU56,ROUND(V56*AI56,2))))</f>
        <v/>
      </c>
      <c r="AO56" s="931"/>
      <c r="AP56" s="931"/>
      <c r="AQ56" s="868"/>
      <c r="AR56" s="59"/>
      <c r="AU56" s="813" t="str">
        <f t="shared" ref="AU56" si="47">IF(OR(C56="",Q56="",V56="",X56="",AB56="",AE56="",AG56=""),"",(ROUND((AE56+AG56)*V56,2)))</f>
        <v/>
      </c>
      <c r="AV56" s="928" t="str">
        <f>IF(OR(C56="",Q56="",V56="",X56="",AB56="",AE56="",AG56=""),"",ROUND((V56*INDEX(PMELIGHTCON[Savings per Unit kW],MATCH(C56,PMELIGHTCON[Eff Desc 1],0)))*INDEX(ENDUSEALL[Lighting Coincidence Factor],MATCH("Lighting Controls",ENDUSEALL[End Use],0)),3))</f>
        <v/>
      </c>
      <c r="BC56" s="830"/>
    </row>
    <row r="57" spans="2:55" ht="15.95" hidden="1" customHeight="1">
      <c r="B57" s="929"/>
      <c r="C57" s="840"/>
      <c r="D57" s="841"/>
      <c r="E57" s="841"/>
      <c r="F57" s="841"/>
      <c r="G57" s="841"/>
      <c r="H57" s="842"/>
      <c r="I57" s="917"/>
      <c r="J57" s="918"/>
      <c r="K57" s="918"/>
      <c r="L57" s="919"/>
      <c r="M57" s="917"/>
      <c r="N57" s="918"/>
      <c r="O57" s="918"/>
      <c r="P57" s="919"/>
      <c r="Q57" s="936"/>
      <c r="R57" s="937"/>
      <c r="S57" s="938"/>
      <c r="T57" s="917"/>
      <c r="U57" s="919"/>
      <c r="V57" s="853"/>
      <c r="W57" s="854"/>
      <c r="X57" s="840"/>
      <c r="Y57" s="841"/>
      <c r="Z57" s="841"/>
      <c r="AA57" s="842"/>
      <c r="AB57" s="840"/>
      <c r="AC57" s="841"/>
      <c r="AD57" s="842"/>
      <c r="AE57" s="865"/>
      <c r="AF57" s="875"/>
      <c r="AG57" s="865"/>
      <c r="AH57" s="875"/>
      <c r="AI57" s="925"/>
      <c r="AJ57" s="870"/>
      <c r="AK57" s="912"/>
      <c r="AL57" s="913"/>
      <c r="AM57" s="913"/>
      <c r="AN57" s="925"/>
      <c r="AO57" s="932"/>
      <c r="AP57" s="932"/>
      <c r="AQ57" s="870"/>
      <c r="AR57" s="59"/>
      <c r="AU57" s="814"/>
      <c r="AV57" s="907"/>
      <c r="BC57" s="831"/>
    </row>
    <row r="58" spans="2:55" ht="15.95" hidden="1" customHeight="1">
      <c r="B58" s="929">
        <v>22</v>
      </c>
      <c r="C58" s="837"/>
      <c r="D58" s="838"/>
      <c r="E58" s="838"/>
      <c r="F58" s="838"/>
      <c r="G58" s="838"/>
      <c r="H58" s="839"/>
      <c r="I58" s="914" t="str">
        <f>IFERROR(IF(C58="","",INDEX(PMELIGHTCON[Base Desc 1],MATCH(C58,PMELIGHTCON[Eff Desc 1],0))),"")</f>
        <v/>
      </c>
      <c r="J58" s="915"/>
      <c r="K58" s="915"/>
      <c r="L58" s="916"/>
      <c r="M58" s="914" t="str">
        <f>IFERROR(IF(C58="","",INDEX(PMELIGHTCON[Eff Desc 2],MATCH(C58,PMELIGHTCON[Eff Desc 1],0))),"")</f>
        <v/>
      </c>
      <c r="N58" s="915"/>
      <c r="O58" s="915"/>
      <c r="P58" s="916"/>
      <c r="Q58" s="933"/>
      <c r="R58" s="934"/>
      <c r="S58" s="935"/>
      <c r="T58" s="914" t="str">
        <f>IFERROR(IF(C58="","",INDEX(PMELIGHTCON[Unit of Measure],MATCH(C58,PMELIGHTCON[Eff Desc 1],0))),"")</f>
        <v/>
      </c>
      <c r="U58" s="916"/>
      <c r="V58" s="851"/>
      <c r="W58" s="852"/>
      <c r="X58" s="837"/>
      <c r="Y58" s="838"/>
      <c r="Z58" s="838"/>
      <c r="AA58" s="839"/>
      <c r="AB58" s="837"/>
      <c r="AC58" s="838"/>
      <c r="AD58" s="839"/>
      <c r="AE58" s="863"/>
      <c r="AF58" s="874"/>
      <c r="AG58" s="863"/>
      <c r="AH58" s="874"/>
      <c r="AI58" s="923" t="str">
        <f>IFERROR(IF(C58="","",INDEX(PMELIGHTCON[Inc Rate Unit],MATCH(C58,PMELIGHTCON[Eff Desc 1],0))),"")</f>
        <v/>
      </c>
      <c r="AJ58" s="924"/>
      <c r="AK58" s="910" t="str">
        <f>IF(OR(C58="",Q58="",V58="",X58="",AB58="",AE58="",AG58=""),"",ROUND(V58*INDEX(PMELIGHTCON[Savings per Unit kWh],MATCH(C58,PMELIGHTCON[Eff Desc 1],0)),2))</f>
        <v/>
      </c>
      <c r="AL58" s="911"/>
      <c r="AM58" s="911"/>
      <c r="AN58" s="930" t="str">
        <f t="shared" ref="AN58" si="48">IF(OR(C58="",Q58="",V58="",X58="",AB58="",AE58="",AG58=""),"",IF(BC58&lt;&gt;"",BC58,MIN(AU58,ROUND(V58*AI58,2))))</f>
        <v/>
      </c>
      <c r="AO58" s="931"/>
      <c r="AP58" s="931"/>
      <c r="AQ58" s="868"/>
      <c r="AR58" s="59"/>
      <c r="AU58" s="813" t="str">
        <f t="shared" ref="AU58" si="49">IF(OR(C58="",Q58="",V58="",X58="",AB58="",AE58="",AG58=""),"",(ROUND((AE58+AG58)*V58,2)))</f>
        <v/>
      </c>
      <c r="AV58" s="928" t="str">
        <f>IF(OR(C58="",Q58="",V58="",X58="",AB58="",AE58="",AG58=""),"",ROUND((V58*INDEX(PMELIGHTCON[Savings per Unit kW],MATCH(C58,PMELIGHTCON[Eff Desc 1],0)))*INDEX(ENDUSEALL[Lighting Coincidence Factor],MATCH("Lighting Controls",ENDUSEALL[End Use],0)),3))</f>
        <v/>
      </c>
      <c r="BC58" s="830"/>
    </row>
    <row r="59" spans="2:55" ht="15.95" hidden="1" customHeight="1">
      <c r="B59" s="929"/>
      <c r="C59" s="840"/>
      <c r="D59" s="841"/>
      <c r="E59" s="841"/>
      <c r="F59" s="841"/>
      <c r="G59" s="841"/>
      <c r="H59" s="842"/>
      <c r="I59" s="917"/>
      <c r="J59" s="918"/>
      <c r="K59" s="918"/>
      <c r="L59" s="919"/>
      <c r="M59" s="917"/>
      <c r="N59" s="918"/>
      <c r="O59" s="918"/>
      <c r="P59" s="919"/>
      <c r="Q59" s="936"/>
      <c r="R59" s="937"/>
      <c r="S59" s="938"/>
      <c r="T59" s="917"/>
      <c r="U59" s="919"/>
      <c r="V59" s="853"/>
      <c r="W59" s="854"/>
      <c r="X59" s="840"/>
      <c r="Y59" s="841"/>
      <c r="Z59" s="841"/>
      <c r="AA59" s="842"/>
      <c r="AB59" s="840"/>
      <c r="AC59" s="841"/>
      <c r="AD59" s="842"/>
      <c r="AE59" s="865"/>
      <c r="AF59" s="875"/>
      <c r="AG59" s="865"/>
      <c r="AH59" s="875"/>
      <c r="AI59" s="925"/>
      <c r="AJ59" s="870"/>
      <c r="AK59" s="912"/>
      <c r="AL59" s="913"/>
      <c r="AM59" s="913"/>
      <c r="AN59" s="925"/>
      <c r="AO59" s="932"/>
      <c r="AP59" s="932"/>
      <c r="AQ59" s="870"/>
      <c r="AR59" s="59"/>
      <c r="AU59" s="814"/>
      <c r="AV59" s="907"/>
      <c r="BC59" s="831"/>
    </row>
    <row r="60" spans="2:55" ht="15.95" hidden="1" customHeight="1">
      <c r="B60" s="929">
        <v>23</v>
      </c>
      <c r="C60" s="837"/>
      <c r="D60" s="838"/>
      <c r="E60" s="838"/>
      <c r="F60" s="838"/>
      <c r="G60" s="838"/>
      <c r="H60" s="839"/>
      <c r="I60" s="914" t="str">
        <f>IFERROR(IF(C60="","",INDEX(PMELIGHTCON[Base Desc 1],MATCH(C60,PMELIGHTCON[Eff Desc 1],0))),"")</f>
        <v/>
      </c>
      <c r="J60" s="915"/>
      <c r="K60" s="915"/>
      <c r="L60" s="916"/>
      <c r="M60" s="914" t="str">
        <f>IFERROR(IF(C60="","",INDEX(PMELIGHTCON[Eff Desc 2],MATCH(C60,PMELIGHTCON[Eff Desc 1],0))),"")</f>
        <v/>
      </c>
      <c r="N60" s="915"/>
      <c r="O60" s="915"/>
      <c r="P60" s="916"/>
      <c r="Q60" s="933"/>
      <c r="R60" s="934"/>
      <c r="S60" s="935"/>
      <c r="T60" s="914" t="str">
        <f>IFERROR(IF(C60="","",INDEX(PMELIGHTCON[Unit of Measure],MATCH(C60,PMELIGHTCON[Eff Desc 1],0))),"")</f>
        <v/>
      </c>
      <c r="U60" s="916"/>
      <c r="V60" s="851"/>
      <c r="W60" s="852"/>
      <c r="X60" s="837"/>
      <c r="Y60" s="838"/>
      <c r="Z60" s="838"/>
      <c r="AA60" s="839"/>
      <c r="AB60" s="837"/>
      <c r="AC60" s="838"/>
      <c r="AD60" s="839"/>
      <c r="AE60" s="863"/>
      <c r="AF60" s="874"/>
      <c r="AG60" s="863"/>
      <c r="AH60" s="874"/>
      <c r="AI60" s="923" t="str">
        <f>IFERROR(IF(C60="","",INDEX(PMELIGHTCON[Inc Rate Unit],MATCH(C60,PMELIGHTCON[Eff Desc 1],0))),"")</f>
        <v/>
      </c>
      <c r="AJ60" s="924"/>
      <c r="AK60" s="910" t="str">
        <f>IF(OR(C60="",Q60="",V60="",X60="",AB60="",AE60="",AG60=""),"",ROUND(V60*INDEX(PMELIGHTCON[Savings per Unit kWh],MATCH(C60,PMELIGHTCON[Eff Desc 1],0)),2))</f>
        <v/>
      </c>
      <c r="AL60" s="911"/>
      <c r="AM60" s="911"/>
      <c r="AN60" s="930" t="str">
        <f t="shared" ref="AN60" si="50">IF(OR(C60="",Q60="",V60="",X60="",AB60="",AE60="",AG60=""),"",IF(BC60&lt;&gt;"",BC60,MIN(AU60,ROUND(V60*AI60,2))))</f>
        <v/>
      </c>
      <c r="AO60" s="931"/>
      <c r="AP60" s="931"/>
      <c r="AQ60" s="868"/>
      <c r="AR60" s="59"/>
      <c r="AU60" s="813" t="str">
        <f t="shared" ref="AU60" si="51">IF(OR(C60="",Q60="",V60="",X60="",AB60="",AE60="",AG60=""),"",(ROUND((AE60+AG60)*V60,2)))</f>
        <v/>
      </c>
      <c r="AV60" s="928" t="str">
        <f>IF(OR(C60="",Q60="",V60="",X60="",AB60="",AE60="",AG60=""),"",ROUND((V60*INDEX(PMELIGHTCON[Savings per Unit kW],MATCH(C60,PMELIGHTCON[Eff Desc 1],0)))*INDEX(ENDUSEALL[Lighting Coincidence Factor],MATCH("Lighting Controls",ENDUSEALL[End Use],0)),3))</f>
        <v/>
      </c>
      <c r="BC60" s="830"/>
    </row>
    <row r="61" spans="2:55" ht="15.95" hidden="1" customHeight="1">
      <c r="B61" s="929"/>
      <c r="C61" s="840"/>
      <c r="D61" s="841"/>
      <c r="E61" s="841"/>
      <c r="F61" s="841"/>
      <c r="G61" s="841"/>
      <c r="H61" s="842"/>
      <c r="I61" s="917"/>
      <c r="J61" s="918"/>
      <c r="K61" s="918"/>
      <c r="L61" s="919"/>
      <c r="M61" s="917"/>
      <c r="N61" s="918"/>
      <c r="O61" s="918"/>
      <c r="P61" s="919"/>
      <c r="Q61" s="936"/>
      <c r="R61" s="937"/>
      <c r="S61" s="938"/>
      <c r="T61" s="917"/>
      <c r="U61" s="919"/>
      <c r="V61" s="853"/>
      <c r="W61" s="854"/>
      <c r="X61" s="840"/>
      <c r="Y61" s="841"/>
      <c r="Z61" s="841"/>
      <c r="AA61" s="842"/>
      <c r="AB61" s="840"/>
      <c r="AC61" s="841"/>
      <c r="AD61" s="842"/>
      <c r="AE61" s="865"/>
      <c r="AF61" s="875"/>
      <c r="AG61" s="865"/>
      <c r="AH61" s="875"/>
      <c r="AI61" s="925"/>
      <c r="AJ61" s="870"/>
      <c r="AK61" s="912"/>
      <c r="AL61" s="913"/>
      <c r="AM61" s="913"/>
      <c r="AN61" s="925"/>
      <c r="AO61" s="932"/>
      <c r="AP61" s="932"/>
      <c r="AQ61" s="870"/>
      <c r="AR61" s="59"/>
      <c r="AU61" s="814"/>
      <c r="AV61" s="907"/>
      <c r="BC61" s="831"/>
    </row>
    <row r="62" spans="2:55" ht="15.95" hidden="1" customHeight="1">
      <c r="B62" s="929">
        <v>24</v>
      </c>
      <c r="C62" s="837"/>
      <c r="D62" s="838"/>
      <c r="E62" s="838"/>
      <c r="F62" s="838"/>
      <c r="G62" s="838"/>
      <c r="H62" s="839"/>
      <c r="I62" s="914" t="str">
        <f>IFERROR(IF(C62="","",INDEX(PMELIGHTCON[Base Desc 1],MATCH(C62,PMELIGHTCON[Eff Desc 1],0))),"")</f>
        <v/>
      </c>
      <c r="J62" s="915"/>
      <c r="K62" s="915"/>
      <c r="L62" s="916"/>
      <c r="M62" s="914" t="str">
        <f>IFERROR(IF(C62="","",INDEX(PMELIGHTCON[Eff Desc 2],MATCH(C62,PMELIGHTCON[Eff Desc 1],0))),"")</f>
        <v/>
      </c>
      <c r="N62" s="915"/>
      <c r="O62" s="915"/>
      <c r="P62" s="916"/>
      <c r="Q62" s="933"/>
      <c r="R62" s="934"/>
      <c r="S62" s="935"/>
      <c r="T62" s="914" t="str">
        <f>IFERROR(IF(C62="","",INDEX(PMELIGHTCON[Unit of Measure],MATCH(C62,PMELIGHTCON[Eff Desc 1],0))),"")</f>
        <v/>
      </c>
      <c r="U62" s="916"/>
      <c r="V62" s="851"/>
      <c r="W62" s="852"/>
      <c r="X62" s="837"/>
      <c r="Y62" s="838"/>
      <c r="Z62" s="838"/>
      <c r="AA62" s="839"/>
      <c r="AB62" s="837"/>
      <c r="AC62" s="838"/>
      <c r="AD62" s="839"/>
      <c r="AE62" s="863"/>
      <c r="AF62" s="874"/>
      <c r="AG62" s="863"/>
      <c r="AH62" s="874"/>
      <c r="AI62" s="923" t="str">
        <f>IFERROR(IF(C62="","",INDEX(PMELIGHTCON[Inc Rate Unit],MATCH(C62,PMELIGHTCON[Eff Desc 1],0))),"")</f>
        <v/>
      </c>
      <c r="AJ62" s="924"/>
      <c r="AK62" s="910" t="str">
        <f>IF(OR(C62="",Q62="",V62="",X62="",AB62="",AE62="",AG62=""),"",ROUND(V62*INDEX(PMELIGHTCON[Savings per Unit kWh],MATCH(C62,PMELIGHTCON[Eff Desc 1],0)),2))</f>
        <v/>
      </c>
      <c r="AL62" s="911"/>
      <c r="AM62" s="911"/>
      <c r="AN62" s="930" t="str">
        <f t="shared" ref="AN62" si="52">IF(OR(C62="",Q62="",V62="",X62="",AB62="",AE62="",AG62=""),"",IF(BC62&lt;&gt;"",BC62,MIN(AU62,ROUND(V62*AI62,2))))</f>
        <v/>
      </c>
      <c r="AO62" s="931"/>
      <c r="AP62" s="931"/>
      <c r="AQ62" s="868"/>
      <c r="AR62" s="59"/>
      <c r="AU62" s="813" t="str">
        <f t="shared" ref="AU62" si="53">IF(OR(C62="",Q62="",V62="",X62="",AB62="",AE62="",AG62=""),"",(ROUND((AE62+AG62)*V62,2)))</f>
        <v/>
      </c>
      <c r="AV62" s="928" t="str">
        <f>IF(OR(C62="",Q62="",V62="",X62="",AB62="",AE62="",AG62=""),"",ROUND((V62*INDEX(PMELIGHTCON[Savings per Unit kW],MATCH(C62,PMELIGHTCON[Eff Desc 1],0)))*INDEX(ENDUSEALL[Lighting Coincidence Factor],MATCH("Lighting Controls",ENDUSEALL[End Use],0)),3))</f>
        <v/>
      </c>
      <c r="BC62" s="830"/>
    </row>
    <row r="63" spans="2:55" ht="15.95" hidden="1" customHeight="1">
      <c r="B63" s="929"/>
      <c r="C63" s="840"/>
      <c r="D63" s="841"/>
      <c r="E63" s="841"/>
      <c r="F63" s="841"/>
      <c r="G63" s="841"/>
      <c r="H63" s="842"/>
      <c r="I63" s="917"/>
      <c r="J63" s="918"/>
      <c r="K63" s="918"/>
      <c r="L63" s="919"/>
      <c r="M63" s="917"/>
      <c r="N63" s="918"/>
      <c r="O63" s="918"/>
      <c r="P63" s="919"/>
      <c r="Q63" s="936"/>
      <c r="R63" s="937"/>
      <c r="S63" s="938"/>
      <c r="T63" s="917"/>
      <c r="U63" s="919"/>
      <c r="V63" s="853"/>
      <c r="W63" s="854"/>
      <c r="X63" s="840"/>
      <c r="Y63" s="841"/>
      <c r="Z63" s="841"/>
      <c r="AA63" s="842"/>
      <c r="AB63" s="840"/>
      <c r="AC63" s="841"/>
      <c r="AD63" s="842"/>
      <c r="AE63" s="865"/>
      <c r="AF63" s="875"/>
      <c r="AG63" s="865"/>
      <c r="AH63" s="875"/>
      <c r="AI63" s="925"/>
      <c r="AJ63" s="870"/>
      <c r="AK63" s="912"/>
      <c r="AL63" s="913"/>
      <c r="AM63" s="913"/>
      <c r="AN63" s="925"/>
      <c r="AO63" s="932"/>
      <c r="AP63" s="932"/>
      <c r="AQ63" s="870"/>
      <c r="AR63" s="59"/>
      <c r="AU63" s="814"/>
      <c r="AV63" s="907"/>
      <c r="BC63" s="831"/>
    </row>
    <row r="64" spans="2:55" ht="15.95" hidden="1" customHeight="1">
      <c r="B64" s="929">
        <v>25</v>
      </c>
      <c r="C64" s="837"/>
      <c r="D64" s="838"/>
      <c r="E64" s="838"/>
      <c r="F64" s="838"/>
      <c r="G64" s="838"/>
      <c r="H64" s="839"/>
      <c r="I64" s="914" t="str">
        <f>IFERROR(IF(C64="","",INDEX(PMELIGHTCON[Base Desc 1],MATCH(C64,PMELIGHTCON[Eff Desc 1],0))),"")</f>
        <v/>
      </c>
      <c r="J64" s="915"/>
      <c r="K64" s="915"/>
      <c r="L64" s="916"/>
      <c r="M64" s="914" t="str">
        <f>IFERROR(IF(C64="","",INDEX(PMELIGHTCON[Eff Desc 2],MATCH(C64,PMELIGHTCON[Eff Desc 1],0))),"")</f>
        <v/>
      </c>
      <c r="N64" s="915"/>
      <c r="O64" s="915"/>
      <c r="P64" s="916"/>
      <c r="Q64" s="933"/>
      <c r="R64" s="934"/>
      <c r="S64" s="935"/>
      <c r="T64" s="914" t="str">
        <f>IFERROR(IF(C64="","",INDEX(PMELIGHTCON[Unit of Measure],MATCH(C64,PMELIGHTCON[Eff Desc 1],0))),"")</f>
        <v/>
      </c>
      <c r="U64" s="916"/>
      <c r="V64" s="851"/>
      <c r="W64" s="852"/>
      <c r="X64" s="837"/>
      <c r="Y64" s="838"/>
      <c r="Z64" s="838"/>
      <c r="AA64" s="839"/>
      <c r="AB64" s="837"/>
      <c r="AC64" s="838"/>
      <c r="AD64" s="839"/>
      <c r="AE64" s="863"/>
      <c r="AF64" s="874"/>
      <c r="AG64" s="863"/>
      <c r="AH64" s="874"/>
      <c r="AI64" s="923" t="str">
        <f>IFERROR(IF(C64="","",INDEX(PMELIGHTCON[Inc Rate Unit],MATCH(C64,PMELIGHTCON[Eff Desc 1],0))),"")</f>
        <v/>
      </c>
      <c r="AJ64" s="924"/>
      <c r="AK64" s="910" t="str">
        <f>IF(OR(C64="",Q64="",V64="",X64="",AB64="",AE64="",AG64=""),"",ROUND(V64*INDEX(PMELIGHTCON[Savings per Unit kWh],MATCH(C64,PMELIGHTCON[Eff Desc 1],0)),2))</f>
        <v/>
      </c>
      <c r="AL64" s="911"/>
      <c r="AM64" s="911"/>
      <c r="AN64" s="930" t="str">
        <f t="shared" ref="AN64" si="54">IF(OR(C64="",Q64="",V64="",X64="",AB64="",AE64="",AG64=""),"",IF(BC64&lt;&gt;"",BC64,MIN(AU64,ROUND(V64*AI64,2))))</f>
        <v/>
      </c>
      <c r="AO64" s="931"/>
      <c r="AP64" s="931"/>
      <c r="AQ64" s="868"/>
      <c r="AR64" s="59"/>
      <c r="AU64" s="813" t="str">
        <f t="shared" ref="AU64" si="55">IF(OR(C64="",Q64="",V64="",X64="",AB64="",AE64="",AG64=""),"",(ROUND((AE64+AG64)*V64,2)))</f>
        <v/>
      </c>
      <c r="AV64" s="928" t="str">
        <f>IF(OR(C64="",Q64="",V64="",X64="",AB64="",AE64="",AG64=""),"",ROUND((V64*INDEX(PMELIGHTCON[Savings per Unit kW],MATCH(C64,PMELIGHTCON[Eff Desc 1],0)))*INDEX(ENDUSEALL[Lighting Coincidence Factor],MATCH("Lighting Controls",ENDUSEALL[End Use],0)),3))</f>
        <v/>
      </c>
      <c r="BC64" s="830"/>
    </row>
    <row r="65" spans="2:55" ht="15.95" hidden="1" customHeight="1">
      <c r="B65" s="929"/>
      <c r="C65" s="840"/>
      <c r="D65" s="841"/>
      <c r="E65" s="841"/>
      <c r="F65" s="841"/>
      <c r="G65" s="841"/>
      <c r="H65" s="842"/>
      <c r="I65" s="917"/>
      <c r="J65" s="918"/>
      <c r="K65" s="918"/>
      <c r="L65" s="919"/>
      <c r="M65" s="917"/>
      <c r="N65" s="918"/>
      <c r="O65" s="918"/>
      <c r="P65" s="919"/>
      <c r="Q65" s="936"/>
      <c r="R65" s="937"/>
      <c r="S65" s="938"/>
      <c r="T65" s="917"/>
      <c r="U65" s="919"/>
      <c r="V65" s="853"/>
      <c r="W65" s="854"/>
      <c r="X65" s="840"/>
      <c r="Y65" s="841"/>
      <c r="Z65" s="841"/>
      <c r="AA65" s="842"/>
      <c r="AB65" s="840"/>
      <c r="AC65" s="841"/>
      <c r="AD65" s="842"/>
      <c r="AE65" s="865"/>
      <c r="AF65" s="875"/>
      <c r="AG65" s="865"/>
      <c r="AH65" s="875"/>
      <c r="AI65" s="925"/>
      <c r="AJ65" s="870"/>
      <c r="AK65" s="912"/>
      <c r="AL65" s="913"/>
      <c r="AM65" s="913"/>
      <c r="AN65" s="925"/>
      <c r="AO65" s="932"/>
      <c r="AP65" s="932"/>
      <c r="AQ65" s="870"/>
      <c r="AR65" s="59"/>
      <c r="AU65" s="814"/>
      <c r="AV65" s="907"/>
      <c r="BC65" s="831"/>
    </row>
    <row r="66" spans="2:55" ht="15.95" hidden="1" customHeight="1">
      <c r="B66" s="929">
        <v>26</v>
      </c>
      <c r="C66" s="837"/>
      <c r="D66" s="838"/>
      <c r="E66" s="838"/>
      <c r="F66" s="838"/>
      <c r="G66" s="838"/>
      <c r="H66" s="839"/>
      <c r="I66" s="914" t="str">
        <f>IFERROR(IF(C66="","",INDEX(PMELIGHTCON[Base Desc 1],MATCH(C66,PMELIGHTCON[Eff Desc 1],0))),"")</f>
        <v/>
      </c>
      <c r="J66" s="915"/>
      <c r="K66" s="915"/>
      <c r="L66" s="916"/>
      <c r="M66" s="914" t="str">
        <f>IFERROR(IF(C66="","",INDEX(PMELIGHTCON[Eff Desc 2],MATCH(C66,PMELIGHTCON[Eff Desc 1],0))),"")</f>
        <v/>
      </c>
      <c r="N66" s="915"/>
      <c r="O66" s="915"/>
      <c r="P66" s="916"/>
      <c r="Q66" s="933"/>
      <c r="R66" s="934"/>
      <c r="S66" s="935"/>
      <c r="T66" s="914" t="str">
        <f>IFERROR(IF(C66="","",INDEX(PMELIGHTCON[Unit of Measure],MATCH(C66,PMELIGHTCON[Eff Desc 1],0))),"")</f>
        <v/>
      </c>
      <c r="U66" s="916"/>
      <c r="V66" s="851"/>
      <c r="W66" s="852"/>
      <c r="X66" s="837"/>
      <c r="Y66" s="838"/>
      <c r="Z66" s="838"/>
      <c r="AA66" s="839"/>
      <c r="AB66" s="837"/>
      <c r="AC66" s="838"/>
      <c r="AD66" s="839"/>
      <c r="AE66" s="863"/>
      <c r="AF66" s="874"/>
      <c r="AG66" s="863"/>
      <c r="AH66" s="874"/>
      <c r="AI66" s="923" t="str">
        <f>IFERROR(IF(C66="","",INDEX(PMELIGHTCON[Inc Rate Unit],MATCH(C66,PMELIGHTCON[Eff Desc 1],0))),"")</f>
        <v/>
      </c>
      <c r="AJ66" s="924"/>
      <c r="AK66" s="910" t="str">
        <f>IF(OR(C66="",Q66="",V66="",X66="",AB66="",AE66="",AG66=""),"",ROUND(V66*INDEX(PMELIGHTCON[Savings per Unit kWh],MATCH(C66,PMELIGHTCON[Eff Desc 1],0)),2))</f>
        <v/>
      </c>
      <c r="AL66" s="911"/>
      <c r="AM66" s="911"/>
      <c r="AN66" s="930" t="str">
        <f t="shared" ref="AN66" si="56">IF(OR(C66="",Q66="",V66="",X66="",AB66="",AE66="",AG66=""),"",IF(BC66&lt;&gt;"",BC66,MIN(AU66,ROUND(V66*AI66,2))))</f>
        <v/>
      </c>
      <c r="AO66" s="931"/>
      <c r="AP66" s="931"/>
      <c r="AQ66" s="868"/>
      <c r="AR66" s="59"/>
      <c r="AU66" s="813" t="str">
        <f t="shared" ref="AU66" si="57">IF(OR(C66="",Q66="",V66="",X66="",AB66="",AE66="",AG66=""),"",(ROUND((AE66+AG66)*V66,2)))</f>
        <v/>
      </c>
      <c r="AV66" s="928" t="str">
        <f>IF(OR(C66="",Q66="",V66="",X66="",AB66="",AE66="",AG66=""),"",ROUND((V66*INDEX(PMELIGHTCON[Savings per Unit kW],MATCH(C66,PMELIGHTCON[Eff Desc 1],0)))*INDEX(ENDUSEALL[Lighting Coincidence Factor],MATCH("Lighting Controls",ENDUSEALL[End Use],0)),3))</f>
        <v/>
      </c>
      <c r="BC66" s="830"/>
    </row>
    <row r="67" spans="2:55" ht="15.95" hidden="1" customHeight="1">
      <c r="B67" s="929"/>
      <c r="C67" s="840"/>
      <c r="D67" s="841"/>
      <c r="E67" s="841"/>
      <c r="F67" s="841"/>
      <c r="G67" s="841"/>
      <c r="H67" s="842"/>
      <c r="I67" s="917"/>
      <c r="J67" s="918"/>
      <c r="K67" s="918"/>
      <c r="L67" s="919"/>
      <c r="M67" s="917"/>
      <c r="N67" s="918"/>
      <c r="O67" s="918"/>
      <c r="P67" s="919"/>
      <c r="Q67" s="936"/>
      <c r="R67" s="937"/>
      <c r="S67" s="938"/>
      <c r="T67" s="917"/>
      <c r="U67" s="919"/>
      <c r="V67" s="853"/>
      <c r="W67" s="854"/>
      <c r="X67" s="840"/>
      <c r="Y67" s="841"/>
      <c r="Z67" s="841"/>
      <c r="AA67" s="842"/>
      <c r="AB67" s="840"/>
      <c r="AC67" s="841"/>
      <c r="AD67" s="842"/>
      <c r="AE67" s="865"/>
      <c r="AF67" s="875"/>
      <c r="AG67" s="865"/>
      <c r="AH67" s="875"/>
      <c r="AI67" s="925"/>
      <c r="AJ67" s="870"/>
      <c r="AK67" s="912"/>
      <c r="AL67" s="913"/>
      <c r="AM67" s="913"/>
      <c r="AN67" s="925"/>
      <c r="AO67" s="932"/>
      <c r="AP67" s="932"/>
      <c r="AQ67" s="870"/>
      <c r="AR67" s="59"/>
      <c r="AU67" s="814"/>
      <c r="AV67" s="907"/>
      <c r="BC67" s="831"/>
    </row>
    <row r="68" spans="2:55" ht="15.95" hidden="1" customHeight="1">
      <c r="B68" s="929">
        <v>27</v>
      </c>
      <c r="C68" s="837"/>
      <c r="D68" s="838"/>
      <c r="E68" s="838"/>
      <c r="F68" s="838"/>
      <c r="G68" s="838"/>
      <c r="H68" s="839"/>
      <c r="I68" s="914" t="str">
        <f>IFERROR(IF(C68="","",INDEX(PMELIGHTCON[Base Desc 1],MATCH(C68,PMELIGHTCON[Eff Desc 1],0))),"")</f>
        <v/>
      </c>
      <c r="J68" s="915"/>
      <c r="K68" s="915"/>
      <c r="L68" s="916"/>
      <c r="M68" s="914" t="str">
        <f>IFERROR(IF(C68="","",INDEX(PMELIGHTCON[Eff Desc 2],MATCH(C68,PMELIGHTCON[Eff Desc 1],0))),"")</f>
        <v/>
      </c>
      <c r="N68" s="915"/>
      <c r="O68" s="915"/>
      <c r="P68" s="916"/>
      <c r="Q68" s="933"/>
      <c r="R68" s="934"/>
      <c r="S68" s="935"/>
      <c r="T68" s="914" t="str">
        <f>IFERROR(IF(C68="","",INDEX(PMELIGHTCON[Unit of Measure],MATCH(C68,PMELIGHTCON[Eff Desc 1],0))),"")</f>
        <v/>
      </c>
      <c r="U68" s="916"/>
      <c r="V68" s="851"/>
      <c r="W68" s="852"/>
      <c r="X68" s="837"/>
      <c r="Y68" s="838"/>
      <c r="Z68" s="838"/>
      <c r="AA68" s="839"/>
      <c r="AB68" s="837"/>
      <c r="AC68" s="838"/>
      <c r="AD68" s="839"/>
      <c r="AE68" s="863"/>
      <c r="AF68" s="874"/>
      <c r="AG68" s="863"/>
      <c r="AH68" s="874"/>
      <c r="AI68" s="923" t="str">
        <f>IFERROR(IF(C68="","",INDEX(PMELIGHTCON[Inc Rate Unit],MATCH(C68,PMELIGHTCON[Eff Desc 1],0))),"")</f>
        <v/>
      </c>
      <c r="AJ68" s="924"/>
      <c r="AK68" s="910" t="str">
        <f>IF(OR(C68="",Q68="",V68="",X68="",AB68="",AE68="",AG68=""),"",ROUND(V68*INDEX(PMELIGHTCON[Savings per Unit kWh],MATCH(C68,PMELIGHTCON[Eff Desc 1],0)),2))</f>
        <v/>
      </c>
      <c r="AL68" s="911"/>
      <c r="AM68" s="911"/>
      <c r="AN68" s="930" t="str">
        <f t="shared" ref="AN68" si="58">IF(OR(C68="",Q68="",V68="",X68="",AB68="",AE68="",AG68=""),"",IF(BC68&lt;&gt;"",BC68,MIN(AU68,ROUND(V68*AI68,2))))</f>
        <v/>
      </c>
      <c r="AO68" s="931"/>
      <c r="AP68" s="931"/>
      <c r="AQ68" s="868"/>
      <c r="AR68" s="59"/>
      <c r="AU68" s="813" t="str">
        <f t="shared" ref="AU68" si="59">IF(OR(C68="",Q68="",V68="",X68="",AB68="",AE68="",AG68=""),"",(ROUND((AE68+AG68)*V68,2)))</f>
        <v/>
      </c>
      <c r="AV68" s="928" t="str">
        <f>IF(OR(C68="",Q68="",V68="",X68="",AB68="",AE68="",AG68=""),"",ROUND((V68*INDEX(PMELIGHTCON[Savings per Unit kW],MATCH(C68,PMELIGHTCON[Eff Desc 1],0)))*INDEX(ENDUSEALL[Lighting Coincidence Factor],MATCH("Lighting Controls",ENDUSEALL[End Use],0)),3))</f>
        <v/>
      </c>
      <c r="BC68" s="830"/>
    </row>
    <row r="69" spans="2:55" ht="15.95" hidden="1" customHeight="1">
      <c r="B69" s="929"/>
      <c r="C69" s="840"/>
      <c r="D69" s="841"/>
      <c r="E69" s="841"/>
      <c r="F69" s="841"/>
      <c r="G69" s="841"/>
      <c r="H69" s="842"/>
      <c r="I69" s="917"/>
      <c r="J69" s="918"/>
      <c r="K69" s="918"/>
      <c r="L69" s="919"/>
      <c r="M69" s="917"/>
      <c r="N69" s="918"/>
      <c r="O69" s="918"/>
      <c r="P69" s="919"/>
      <c r="Q69" s="936"/>
      <c r="R69" s="937"/>
      <c r="S69" s="938"/>
      <c r="T69" s="917"/>
      <c r="U69" s="919"/>
      <c r="V69" s="853"/>
      <c r="W69" s="854"/>
      <c r="X69" s="840"/>
      <c r="Y69" s="841"/>
      <c r="Z69" s="841"/>
      <c r="AA69" s="842"/>
      <c r="AB69" s="840"/>
      <c r="AC69" s="841"/>
      <c r="AD69" s="842"/>
      <c r="AE69" s="865"/>
      <c r="AF69" s="875"/>
      <c r="AG69" s="865"/>
      <c r="AH69" s="875"/>
      <c r="AI69" s="925"/>
      <c r="AJ69" s="870"/>
      <c r="AK69" s="912"/>
      <c r="AL69" s="913"/>
      <c r="AM69" s="913"/>
      <c r="AN69" s="925"/>
      <c r="AO69" s="932"/>
      <c r="AP69" s="932"/>
      <c r="AQ69" s="870"/>
      <c r="AR69" s="59"/>
      <c r="AU69" s="814"/>
      <c r="AV69" s="907"/>
      <c r="BC69" s="831"/>
    </row>
    <row r="70" spans="2:55" ht="15.95" hidden="1" customHeight="1">
      <c r="B70" s="929">
        <v>28</v>
      </c>
      <c r="C70" s="837"/>
      <c r="D70" s="838"/>
      <c r="E70" s="838"/>
      <c r="F70" s="838"/>
      <c r="G70" s="838"/>
      <c r="H70" s="839"/>
      <c r="I70" s="914" t="str">
        <f>IFERROR(IF(C70="","",INDEX(PMELIGHTCON[Base Desc 1],MATCH(C70,PMELIGHTCON[Eff Desc 1],0))),"")</f>
        <v/>
      </c>
      <c r="J70" s="915"/>
      <c r="K70" s="915"/>
      <c r="L70" s="916"/>
      <c r="M70" s="914" t="str">
        <f>IFERROR(IF(C70="","",INDEX(PMELIGHTCON[Eff Desc 2],MATCH(C70,PMELIGHTCON[Eff Desc 1],0))),"")</f>
        <v/>
      </c>
      <c r="N70" s="915"/>
      <c r="O70" s="915"/>
      <c r="P70" s="916"/>
      <c r="Q70" s="933"/>
      <c r="R70" s="934"/>
      <c r="S70" s="935"/>
      <c r="T70" s="914" t="str">
        <f>IFERROR(IF(C70="","",INDEX(PMELIGHTCON[Unit of Measure],MATCH(C70,PMELIGHTCON[Eff Desc 1],0))),"")</f>
        <v/>
      </c>
      <c r="U70" s="916"/>
      <c r="V70" s="851"/>
      <c r="W70" s="852"/>
      <c r="X70" s="837"/>
      <c r="Y70" s="838"/>
      <c r="Z70" s="838"/>
      <c r="AA70" s="839"/>
      <c r="AB70" s="837"/>
      <c r="AC70" s="838"/>
      <c r="AD70" s="839"/>
      <c r="AE70" s="863"/>
      <c r="AF70" s="874"/>
      <c r="AG70" s="863"/>
      <c r="AH70" s="874"/>
      <c r="AI70" s="923" t="str">
        <f>IFERROR(IF(C70="","",INDEX(PMELIGHTCON[Inc Rate Unit],MATCH(C70,PMELIGHTCON[Eff Desc 1],0))),"")</f>
        <v/>
      </c>
      <c r="AJ70" s="924"/>
      <c r="AK70" s="910" t="str">
        <f>IF(OR(C70="",Q70="",V70="",X70="",AB70="",AE70="",AG70=""),"",ROUND(V70*INDEX(PMELIGHTCON[Savings per Unit kWh],MATCH(C70,PMELIGHTCON[Eff Desc 1],0)),2))</f>
        <v/>
      </c>
      <c r="AL70" s="911"/>
      <c r="AM70" s="911"/>
      <c r="AN70" s="930" t="str">
        <f t="shared" ref="AN70" si="60">IF(OR(C70="",Q70="",V70="",X70="",AB70="",AE70="",AG70=""),"",IF(BC70&lt;&gt;"",BC70,MIN(AU70,ROUND(V70*AI70,2))))</f>
        <v/>
      </c>
      <c r="AO70" s="931"/>
      <c r="AP70" s="931"/>
      <c r="AQ70" s="868"/>
      <c r="AR70" s="59"/>
      <c r="AU70" s="813" t="str">
        <f t="shared" ref="AU70" si="61">IF(OR(C70="",Q70="",V70="",X70="",AB70="",AE70="",AG70=""),"",(ROUND((AE70+AG70)*V70,2)))</f>
        <v/>
      </c>
      <c r="AV70" s="928" t="str">
        <f>IF(OR(C70="",Q70="",V70="",X70="",AB70="",AE70="",AG70=""),"",ROUND((V70*INDEX(PMELIGHTCON[Savings per Unit kW],MATCH(C70,PMELIGHTCON[Eff Desc 1],0)))*INDEX(ENDUSEALL[Lighting Coincidence Factor],MATCH("Lighting Controls",ENDUSEALL[End Use],0)),3))</f>
        <v/>
      </c>
      <c r="BC70" s="830"/>
    </row>
    <row r="71" spans="2:55" ht="15.95" hidden="1" customHeight="1">
      <c r="B71" s="929"/>
      <c r="C71" s="840"/>
      <c r="D71" s="841"/>
      <c r="E71" s="841"/>
      <c r="F71" s="841"/>
      <c r="G71" s="841"/>
      <c r="H71" s="842"/>
      <c r="I71" s="917"/>
      <c r="J71" s="918"/>
      <c r="K71" s="918"/>
      <c r="L71" s="919"/>
      <c r="M71" s="917"/>
      <c r="N71" s="918"/>
      <c r="O71" s="918"/>
      <c r="P71" s="919"/>
      <c r="Q71" s="936"/>
      <c r="R71" s="937"/>
      <c r="S71" s="938"/>
      <c r="T71" s="917"/>
      <c r="U71" s="919"/>
      <c r="V71" s="853"/>
      <c r="W71" s="854"/>
      <c r="X71" s="840"/>
      <c r="Y71" s="841"/>
      <c r="Z71" s="841"/>
      <c r="AA71" s="842"/>
      <c r="AB71" s="840"/>
      <c r="AC71" s="841"/>
      <c r="AD71" s="842"/>
      <c r="AE71" s="865"/>
      <c r="AF71" s="875"/>
      <c r="AG71" s="865"/>
      <c r="AH71" s="875"/>
      <c r="AI71" s="925"/>
      <c r="AJ71" s="870"/>
      <c r="AK71" s="912"/>
      <c r="AL71" s="913"/>
      <c r="AM71" s="913"/>
      <c r="AN71" s="925"/>
      <c r="AO71" s="932"/>
      <c r="AP71" s="932"/>
      <c r="AQ71" s="870"/>
      <c r="AR71" s="59"/>
      <c r="AU71" s="814"/>
      <c r="AV71" s="907"/>
      <c r="BC71" s="831"/>
    </row>
    <row r="72" spans="2:55" ht="15.95" hidden="1" customHeight="1">
      <c r="B72" s="929">
        <v>29</v>
      </c>
      <c r="C72" s="837"/>
      <c r="D72" s="838"/>
      <c r="E72" s="838"/>
      <c r="F72" s="838"/>
      <c r="G72" s="838"/>
      <c r="H72" s="839"/>
      <c r="I72" s="914" t="str">
        <f>IFERROR(IF(C72="","",INDEX(PMELIGHTCON[Base Desc 1],MATCH(C72,PMELIGHTCON[Eff Desc 1],0))),"")</f>
        <v/>
      </c>
      <c r="J72" s="915"/>
      <c r="K72" s="915"/>
      <c r="L72" s="916"/>
      <c r="M72" s="914" t="str">
        <f>IFERROR(IF(C72="","",INDEX(PMELIGHTCON[Eff Desc 2],MATCH(C72,PMELIGHTCON[Eff Desc 1],0))),"")</f>
        <v/>
      </c>
      <c r="N72" s="915"/>
      <c r="O72" s="915"/>
      <c r="P72" s="916"/>
      <c r="Q72" s="933"/>
      <c r="R72" s="934"/>
      <c r="S72" s="935"/>
      <c r="T72" s="914" t="str">
        <f>IFERROR(IF(C72="","",INDEX(PMELIGHTCON[Unit of Measure],MATCH(C72,PMELIGHTCON[Eff Desc 1],0))),"")</f>
        <v/>
      </c>
      <c r="U72" s="916"/>
      <c r="V72" s="851"/>
      <c r="W72" s="852"/>
      <c r="X72" s="837"/>
      <c r="Y72" s="838"/>
      <c r="Z72" s="838"/>
      <c r="AA72" s="839"/>
      <c r="AB72" s="837"/>
      <c r="AC72" s="838"/>
      <c r="AD72" s="839"/>
      <c r="AE72" s="863"/>
      <c r="AF72" s="874"/>
      <c r="AG72" s="863"/>
      <c r="AH72" s="874"/>
      <c r="AI72" s="923" t="str">
        <f>IFERROR(IF(C72="","",INDEX(PMELIGHTCON[Inc Rate Unit],MATCH(C72,PMELIGHTCON[Eff Desc 1],0))),"")</f>
        <v/>
      </c>
      <c r="AJ72" s="924"/>
      <c r="AK72" s="910" t="str">
        <f>IF(OR(C72="",Q72="",V72="",X72="",AB72="",AE72="",AG72=""),"",ROUND(V72*INDEX(PMELIGHTCON[Savings per Unit kWh],MATCH(C72,PMELIGHTCON[Eff Desc 1],0)),2))</f>
        <v/>
      </c>
      <c r="AL72" s="911"/>
      <c r="AM72" s="911"/>
      <c r="AN72" s="930" t="str">
        <f t="shared" ref="AN72" si="62">IF(OR(C72="",Q72="",V72="",X72="",AB72="",AE72="",AG72=""),"",IF(BC72&lt;&gt;"",BC72,MIN(AU72,ROUND(V72*AI72,2))))</f>
        <v/>
      </c>
      <c r="AO72" s="931"/>
      <c r="AP72" s="931"/>
      <c r="AQ72" s="868"/>
      <c r="AR72" s="59"/>
      <c r="AU72" s="813" t="str">
        <f t="shared" ref="AU72" si="63">IF(OR(C72="",Q72="",V72="",X72="",AB72="",AE72="",AG72=""),"",(ROUND((AE72+AG72)*V72,2)))</f>
        <v/>
      </c>
      <c r="AV72" s="928" t="str">
        <f>IF(OR(C72="",Q72="",V72="",X72="",AB72="",AE72="",AG72=""),"",ROUND((V72*INDEX(PMELIGHTCON[Savings per Unit kW],MATCH(C72,PMELIGHTCON[Eff Desc 1],0)))*INDEX(ENDUSEALL[Lighting Coincidence Factor],MATCH("Lighting Controls",ENDUSEALL[End Use],0)),3))</f>
        <v/>
      </c>
      <c r="BC72" s="830"/>
    </row>
    <row r="73" spans="2:55" ht="15.95" hidden="1" customHeight="1">
      <c r="B73" s="929"/>
      <c r="C73" s="840"/>
      <c r="D73" s="841"/>
      <c r="E73" s="841"/>
      <c r="F73" s="841"/>
      <c r="G73" s="841"/>
      <c r="H73" s="842"/>
      <c r="I73" s="917"/>
      <c r="J73" s="918"/>
      <c r="K73" s="918"/>
      <c r="L73" s="919"/>
      <c r="M73" s="917"/>
      <c r="N73" s="918"/>
      <c r="O73" s="918"/>
      <c r="P73" s="919"/>
      <c r="Q73" s="936"/>
      <c r="R73" s="937"/>
      <c r="S73" s="938"/>
      <c r="T73" s="917"/>
      <c r="U73" s="919"/>
      <c r="V73" s="853"/>
      <c r="W73" s="854"/>
      <c r="X73" s="840"/>
      <c r="Y73" s="841"/>
      <c r="Z73" s="841"/>
      <c r="AA73" s="842"/>
      <c r="AB73" s="840"/>
      <c r="AC73" s="841"/>
      <c r="AD73" s="842"/>
      <c r="AE73" s="865"/>
      <c r="AF73" s="875"/>
      <c r="AG73" s="865"/>
      <c r="AH73" s="875"/>
      <c r="AI73" s="925"/>
      <c r="AJ73" s="870"/>
      <c r="AK73" s="912"/>
      <c r="AL73" s="913"/>
      <c r="AM73" s="913"/>
      <c r="AN73" s="925"/>
      <c r="AO73" s="932"/>
      <c r="AP73" s="932"/>
      <c r="AQ73" s="870"/>
      <c r="AR73" s="59"/>
      <c r="AU73" s="814"/>
      <c r="AV73" s="907"/>
      <c r="BC73" s="831"/>
    </row>
    <row r="74" spans="2:55" ht="15.95" hidden="1" customHeight="1">
      <c r="B74" s="929">
        <v>30</v>
      </c>
      <c r="C74" s="837"/>
      <c r="D74" s="838"/>
      <c r="E74" s="838"/>
      <c r="F74" s="838"/>
      <c r="G74" s="838"/>
      <c r="H74" s="839"/>
      <c r="I74" s="914" t="str">
        <f>IFERROR(IF(C74="","",INDEX(PMELIGHTCON[Base Desc 1],MATCH(C74,PMELIGHTCON[Eff Desc 1],0))),"")</f>
        <v/>
      </c>
      <c r="J74" s="915"/>
      <c r="K74" s="915"/>
      <c r="L74" s="916"/>
      <c r="M74" s="914" t="str">
        <f>IFERROR(IF(C74="","",INDEX(PMELIGHTCON[Eff Desc 2],MATCH(C74,PMELIGHTCON[Eff Desc 1],0))),"")</f>
        <v/>
      </c>
      <c r="N74" s="915"/>
      <c r="O74" s="915"/>
      <c r="P74" s="916"/>
      <c r="Q74" s="933"/>
      <c r="R74" s="934"/>
      <c r="S74" s="935"/>
      <c r="T74" s="914" t="str">
        <f>IFERROR(IF(C74="","",INDEX(PMELIGHTCON[Unit of Measure],MATCH(C74,PMELIGHTCON[Eff Desc 1],0))),"")</f>
        <v/>
      </c>
      <c r="U74" s="916"/>
      <c r="V74" s="851"/>
      <c r="W74" s="852"/>
      <c r="X74" s="837"/>
      <c r="Y74" s="838"/>
      <c r="Z74" s="838"/>
      <c r="AA74" s="839"/>
      <c r="AB74" s="837"/>
      <c r="AC74" s="838"/>
      <c r="AD74" s="839"/>
      <c r="AE74" s="863"/>
      <c r="AF74" s="874"/>
      <c r="AG74" s="863"/>
      <c r="AH74" s="874"/>
      <c r="AI74" s="923" t="str">
        <f>IFERROR(IF(C74="","",INDEX(PMELIGHTCON[Inc Rate Unit],MATCH(C74,PMELIGHTCON[Eff Desc 1],0))),"")</f>
        <v/>
      </c>
      <c r="AJ74" s="924"/>
      <c r="AK74" s="910" t="str">
        <f>IF(OR(C74="",Q74="",V74="",X74="",AB74="",AE74="",AG74=""),"",ROUND(V74*INDEX(PMELIGHTCON[Savings per Unit kWh],MATCH(C74,PMELIGHTCON[Eff Desc 1],0)),2))</f>
        <v/>
      </c>
      <c r="AL74" s="911"/>
      <c r="AM74" s="911"/>
      <c r="AN74" s="930" t="str">
        <f t="shared" ref="AN74" si="64">IF(OR(C74="",Q74="",V74="",X74="",AB74="",AE74="",AG74=""),"",IF(BC74&lt;&gt;"",BC74,MIN(AU74,ROUND(V74*AI74,2))))</f>
        <v/>
      </c>
      <c r="AO74" s="931"/>
      <c r="AP74" s="931"/>
      <c r="AQ74" s="868"/>
      <c r="AR74" s="59"/>
      <c r="AU74" s="813" t="str">
        <f t="shared" ref="AU74" si="65">IF(OR(C74="",Q74="",V74="",X74="",AB74="",AE74="",AG74=""),"",(ROUND((AE74+AG74)*V74,2)))</f>
        <v/>
      </c>
      <c r="AV74" s="928" t="str">
        <f>IF(OR(C74="",Q74="",V74="",X74="",AB74="",AE74="",AG74=""),"",ROUND((V74*INDEX(PMELIGHTCON[Savings per Unit kW],MATCH(C74,PMELIGHTCON[Eff Desc 1],0)))*INDEX(ENDUSEALL[Lighting Coincidence Factor],MATCH("Lighting Controls",ENDUSEALL[End Use],0)),3))</f>
        <v/>
      </c>
      <c r="BC74" s="830"/>
    </row>
    <row r="75" spans="2:55" ht="15.95" hidden="1" customHeight="1">
      <c r="B75" s="929"/>
      <c r="C75" s="840"/>
      <c r="D75" s="841"/>
      <c r="E75" s="841"/>
      <c r="F75" s="841"/>
      <c r="G75" s="841"/>
      <c r="H75" s="842"/>
      <c r="I75" s="917"/>
      <c r="J75" s="918"/>
      <c r="K75" s="918"/>
      <c r="L75" s="919"/>
      <c r="M75" s="917"/>
      <c r="N75" s="918"/>
      <c r="O75" s="918"/>
      <c r="P75" s="919"/>
      <c r="Q75" s="936"/>
      <c r="R75" s="937"/>
      <c r="S75" s="938"/>
      <c r="T75" s="917"/>
      <c r="U75" s="919"/>
      <c r="V75" s="853"/>
      <c r="W75" s="854"/>
      <c r="X75" s="840"/>
      <c r="Y75" s="841"/>
      <c r="Z75" s="841"/>
      <c r="AA75" s="842"/>
      <c r="AB75" s="840"/>
      <c r="AC75" s="841"/>
      <c r="AD75" s="842"/>
      <c r="AE75" s="865"/>
      <c r="AF75" s="875"/>
      <c r="AG75" s="865"/>
      <c r="AH75" s="875"/>
      <c r="AI75" s="925"/>
      <c r="AJ75" s="870"/>
      <c r="AK75" s="912"/>
      <c r="AL75" s="913"/>
      <c r="AM75" s="913"/>
      <c r="AN75" s="925"/>
      <c r="AO75" s="932"/>
      <c r="AP75" s="932"/>
      <c r="AQ75" s="870"/>
      <c r="AR75" s="59"/>
      <c r="AU75" s="814"/>
      <c r="AV75" s="907"/>
      <c r="BC75" s="831"/>
    </row>
    <row r="76" spans="2:55" ht="15.95" hidden="1" customHeight="1">
      <c r="B76" s="929">
        <v>31</v>
      </c>
      <c r="C76" s="837"/>
      <c r="D76" s="838"/>
      <c r="E76" s="838"/>
      <c r="F76" s="838"/>
      <c r="G76" s="838"/>
      <c r="H76" s="839"/>
      <c r="I76" s="914" t="str">
        <f>IFERROR(IF(C76="","",INDEX(PMELIGHTCON[Base Desc 1],MATCH(C76,PMELIGHTCON[Eff Desc 1],0))),"")</f>
        <v/>
      </c>
      <c r="J76" s="915"/>
      <c r="K76" s="915"/>
      <c r="L76" s="916"/>
      <c r="M76" s="914" t="str">
        <f>IFERROR(IF(C76="","",INDEX(PMELIGHTCON[Eff Desc 2],MATCH(C76,PMELIGHTCON[Eff Desc 1],0))),"")</f>
        <v/>
      </c>
      <c r="N76" s="915"/>
      <c r="O76" s="915"/>
      <c r="P76" s="916"/>
      <c r="Q76" s="933"/>
      <c r="R76" s="934"/>
      <c r="S76" s="935"/>
      <c r="T76" s="914" t="str">
        <f>IFERROR(IF(C76="","",INDEX(PMELIGHTCON[Unit of Measure],MATCH(C76,PMELIGHTCON[Eff Desc 1],0))),"")</f>
        <v/>
      </c>
      <c r="U76" s="916"/>
      <c r="V76" s="851"/>
      <c r="W76" s="852"/>
      <c r="X76" s="837"/>
      <c r="Y76" s="838"/>
      <c r="Z76" s="838"/>
      <c r="AA76" s="839"/>
      <c r="AB76" s="837"/>
      <c r="AC76" s="838"/>
      <c r="AD76" s="839"/>
      <c r="AE76" s="863"/>
      <c r="AF76" s="874"/>
      <c r="AG76" s="863"/>
      <c r="AH76" s="874"/>
      <c r="AI76" s="923" t="str">
        <f>IFERROR(IF(C76="","",INDEX(PMELIGHTCON[Inc Rate Unit],MATCH(C76,PMELIGHTCON[Eff Desc 1],0))),"")</f>
        <v/>
      </c>
      <c r="AJ76" s="924"/>
      <c r="AK76" s="910" t="str">
        <f>IF(OR(C76="",Q76="",V76="",X76="",AB76="",AE76="",AG76=""),"",ROUND(V76*INDEX(PMELIGHTCON[Savings per Unit kWh],MATCH(C76,PMELIGHTCON[Eff Desc 1],0)),2))</f>
        <v/>
      </c>
      <c r="AL76" s="911"/>
      <c r="AM76" s="911"/>
      <c r="AN76" s="930" t="str">
        <f t="shared" ref="AN76" si="66">IF(OR(C76="",Q76="",V76="",X76="",AB76="",AE76="",AG76=""),"",IF(BC76&lt;&gt;"",BC76,MIN(AU76,ROUND(V76*AI76,2))))</f>
        <v/>
      </c>
      <c r="AO76" s="931"/>
      <c r="AP76" s="931"/>
      <c r="AQ76" s="868"/>
      <c r="AR76" s="59"/>
      <c r="AU76" s="813" t="str">
        <f t="shared" ref="AU76" si="67">IF(OR(C76="",Q76="",V76="",X76="",AB76="",AE76="",AG76=""),"",(ROUND((AE76+AG76)*V76,2)))</f>
        <v/>
      </c>
      <c r="AV76" s="928" t="str">
        <f>IF(OR(C76="",Q76="",V76="",X76="",AB76="",AE76="",AG76=""),"",ROUND((V76*INDEX(PMELIGHTCON[Savings per Unit kW],MATCH(C76,PMELIGHTCON[Eff Desc 1],0)))*INDEX(ENDUSEALL[Lighting Coincidence Factor],MATCH("Lighting Controls",ENDUSEALL[End Use],0)),3))</f>
        <v/>
      </c>
      <c r="BC76" s="830"/>
    </row>
    <row r="77" spans="2:55" ht="15.95" hidden="1" customHeight="1">
      <c r="B77" s="929"/>
      <c r="C77" s="840"/>
      <c r="D77" s="841"/>
      <c r="E77" s="841"/>
      <c r="F77" s="841"/>
      <c r="G77" s="841"/>
      <c r="H77" s="842"/>
      <c r="I77" s="917"/>
      <c r="J77" s="918"/>
      <c r="K77" s="918"/>
      <c r="L77" s="919"/>
      <c r="M77" s="917"/>
      <c r="N77" s="918"/>
      <c r="O77" s="918"/>
      <c r="P77" s="919"/>
      <c r="Q77" s="936"/>
      <c r="R77" s="937"/>
      <c r="S77" s="938"/>
      <c r="T77" s="917"/>
      <c r="U77" s="919"/>
      <c r="V77" s="853"/>
      <c r="W77" s="854"/>
      <c r="X77" s="840"/>
      <c r="Y77" s="841"/>
      <c r="Z77" s="841"/>
      <c r="AA77" s="842"/>
      <c r="AB77" s="840"/>
      <c r="AC77" s="841"/>
      <c r="AD77" s="842"/>
      <c r="AE77" s="865"/>
      <c r="AF77" s="875"/>
      <c r="AG77" s="865"/>
      <c r="AH77" s="875"/>
      <c r="AI77" s="925"/>
      <c r="AJ77" s="870"/>
      <c r="AK77" s="912"/>
      <c r="AL77" s="913"/>
      <c r="AM77" s="913"/>
      <c r="AN77" s="925"/>
      <c r="AO77" s="932"/>
      <c r="AP77" s="932"/>
      <c r="AQ77" s="870"/>
      <c r="AR77" s="59"/>
      <c r="AU77" s="814"/>
      <c r="AV77" s="907"/>
      <c r="BC77" s="831"/>
    </row>
    <row r="78" spans="2:55" ht="15.95" hidden="1" customHeight="1">
      <c r="B78" s="929">
        <v>32</v>
      </c>
      <c r="C78" s="837"/>
      <c r="D78" s="838"/>
      <c r="E78" s="838"/>
      <c r="F78" s="838"/>
      <c r="G78" s="838"/>
      <c r="H78" s="839"/>
      <c r="I78" s="914" t="str">
        <f>IFERROR(IF(C78="","",INDEX(PMELIGHTCON[Base Desc 1],MATCH(C78,PMELIGHTCON[Eff Desc 1],0))),"")</f>
        <v/>
      </c>
      <c r="J78" s="915"/>
      <c r="K78" s="915"/>
      <c r="L78" s="916"/>
      <c r="M78" s="914" t="str">
        <f>IFERROR(IF(C78="","",INDEX(PMELIGHTCON[Eff Desc 2],MATCH(C78,PMELIGHTCON[Eff Desc 1],0))),"")</f>
        <v/>
      </c>
      <c r="N78" s="915"/>
      <c r="O78" s="915"/>
      <c r="P78" s="916"/>
      <c r="Q78" s="933"/>
      <c r="R78" s="934"/>
      <c r="S78" s="935"/>
      <c r="T78" s="914" t="str">
        <f>IFERROR(IF(C78="","",INDEX(PMELIGHTCON[Unit of Measure],MATCH(C78,PMELIGHTCON[Eff Desc 1],0))),"")</f>
        <v/>
      </c>
      <c r="U78" s="916"/>
      <c r="V78" s="851"/>
      <c r="W78" s="852"/>
      <c r="X78" s="837"/>
      <c r="Y78" s="838"/>
      <c r="Z78" s="838"/>
      <c r="AA78" s="839"/>
      <c r="AB78" s="837"/>
      <c r="AC78" s="838"/>
      <c r="AD78" s="839"/>
      <c r="AE78" s="863"/>
      <c r="AF78" s="874"/>
      <c r="AG78" s="863"/>
      <c r="AH78" s="874"/>
      <c r="AI78" s="923" t="str">
        <f>IFERROR(IF(C78="","",INDEX(PMELIGHTCON[Inc Rate Unit],MATCH(C78,PMELIGHTCON[Eff Desc 1],0))),"")</f>
        <v/>
      </c>
      <c r="AJ78" s="924"/>
      <c r="AK78" s="910" t="str">
        <f>IF(OR(C78="",Q78="",V78="",X78="",AB78="",AE78="",AG78=""),"",ROUND(V78*INDEX(PMELIGHTCON[Savings per Unit kWh],MATCH(C78,PMELIGHTCON[Eff Desc 1],0)),2))</f>
        <v/>
      </c>
      <c r="AL78" s="911"/>
      <c r="AM78" s="911"/>
      <c r="AN78" s="930" t="str">
        <f t="shared" ref="AN78" si="68">IF(OR(C78="",Q78="",V78="",X78="",AB78="",AE78="",AG78=""),"",IF(BC78&lt;&gt;"",BC78,MIN(AU78,ROUND(V78*AI78,2))))</f>
        <v/>
      </c>
      <c r="AO78" s="931"/>
      <c r="AP78" s="931"/>
      <c r="AQ78" s="868"/>
      <c r="AR78" s="59"/>
      <c r="AU78" s="813" t="str">
        <f t="shared" ref="AU78" si="69">IF(OR(C78="",Q78="",V78="",X78="",AB78="",AE78="",AG78=""),"",(ROUND((AE78+AG78)*V78,2)))</f>
        <v/>
      </c>
      <c r="AV78" s="928" t="str">
        <f>IF(OR(C78="",Q78="",V78="",X78="",AB78="",AE78="",AG78=""),"",ROUND((V78*INDEX(PMELIGHTCON[Savings per Unit kW],MATCH(C78,PMELIGHTCON[Eff Desc 1],0)))*INDEX(ENDUSEALL[Lighting Coincidence Factor],MATCH("Lighting Controls",ENDUSEALL[End Use],0)),3))</f>
        <v/>
      </c>
      <c r="BC78" s="830"/>
    </row>
    <row r="79" spans="2:55" ht="15.95" hidden="1" customHeight="1">
      <c r="B79" s="929"/>
      <c r="C79" s="840"/>
      <c r="D79" s="841"/>
      <c r="E79" s="841"/>
      <c r="F79" s="841"/>
      <c r="G79" s="841"/>
      <c r="H79" s="842"/>
      <c r="I79" s="917"/>
      <c r="J79" s="918"/>
      <c r="K79" s="918"/>
      <c r="L79" s="919"/>
      <c r="M79" s="917"/>
      <c r="N79" s="918"/>
      <c r="O79" s="918"/>
      <c r="P79" s="919"/>
      <c r="Q79" s="936"/>
      <c r="R79" s="937"/>
      <c r="S79" s="938"/>
      <c r="T79" s="917"/>
      <c r="U79" s="919"/>
      <c r="V79" s="853"/>
      <c r="W79" s="854"/>
      <c r="X79" s="840"/>
      <c r="Y79" s="841"/>
      <c r="Z79" s="841"/>
      <c r="AA79" s="842"/>
      <c r="AB79" s="840"/>
      <c r="AC79" s="841"/>
      <c r="AD79" s="842"/>
      <c r="AE79" s="865"/>
      <c r="AF79" s="875"/>
      <c r="AG79" s="865"/>
      <c r="AH79" s="875"/>
      <c r="AI79" s="925"/>
      <c r="AJ79" s="870"/>
      <c r="AK79" s="912"/>
      <c r="AL79" s="913"/>
      <c r="AM79" s="913"/>
      <c r="AN79" s="925"/>
      <c r="AO79" s="932"/>
      <c r="AP79" s="932"/>
      <c r="AQ79" s="870"/>
      <c r="AR79" s="59"/>
      <c r="AU79" s="814"/>
      <c r="AV79" s="907"/>
      <c r="BC79" s="831"/>
    </row>
    <row r="80" spans="2:55" ht="15.95" hidden="1" customHeight="1">
      <c r="B80" s="929">
        <v>33</v>
      </c>
      <c r="C80" s="837"/>
      <c r="D80" s="838"/>
      <c r="E80" s="838"/>
      <c r="F80" s="838"/>
      <c r="G80" s="838"/>
      <c r="H80" s="839"/>
      <c r="I80" s="914" t="str">
        <f>IFERROR(IF(C80="","",INDEX(PMELIGHTCON[Base Desc 1],MATCH(C80,PMELIGHTCON[Eff Desc 1],0))),"")</f>
        <v/>
      </c>
      <c r="J80" s="915"/>
      <c r="K80" s="915"/>
      <c r="L80" s="916"/>
      <c r="M80" s="914" t="str">
        <f>IFERROR(IF(C80="","",INDEX(PMELIGHTCON[Eff Desc 2],MATCH(C80,PMELIGHTCON[Eff Desc 1],0))),"")</f>
        <v/>
      </c>
      <c r="N80" s="915"/>
      <c r="O80" s="915"/>
      <c r="P80" s="916"/>
      <c r="Q80" s="933"/>
      <c r="R80" s="934"/>
      <c r="S80" s="935"/>
      <c r="T80" s="914" t="str">
        <f>IFERROR(IF(C80="","",INDEX(PMELIGHTCON[Unit of Measure],MATCH(C80,PMELIGHTCON[Eff Desc 1],0))),"")</f>
        <v/>
      </c>
      <c r="U80" s="916"/>
      <c r="V80" s="851"/>
      <c r="W80" s="852"/>
      <c r="X80" s="837"/>
      <c r="Y80" s="838"/>
      <c r="Z80" s="838"/>
      <c r="AA80" s="839"/>
      <c r="AB80" s="837"/>
      <c r="AC80" s="838"/>
      <c r="AD80" s="839"/>
      <c r="AE80" s="863"/>
      <c r="AF80" s="874"/>
      <c r="AG80" s="863"/>
      <c r="AH80" s="874"/>
      <c r="AI80" s="923" t="str">
        <f>IFERROR(IF(C80="","",INDEX(PMELIGHTCON[Inc Rate Unit],MATCH(C80,PMELIGHTCON[Eff Desc 1],0))),"")</f>
        <v/>
      </c>
      <c r="AJ80" s="924"/>
      <c r="AK80" s="910" t="str">
        <f>IF(OR(C80="",Q80="",V80="",X80="",AB80="",AE80="",AG80=""),"",ROUND(V80*INDEX(PMELIGHTCON[Savings per Unit kWh],MATCH(C80,PMELIGHTCON[Eff Desc 1],0)),2))</f>
        <v/>
      </c>
      <c r="AL80" s="911"/>
      <c r="AM80" s="911"/>
      <c r="AN80" s="930" t="str">
        <f t="shared" ref="AN80" si="70">IF(OR(C80="",Q80="",V80="",X80="",AB80="",AE80="",AG80=""),"",IF(BC80&lt;&gt;"",BC80,MIN(AU80,ROUND(V80*AI80,2))))</f>
        <v/>
      </c>
      <c r="AO80" s="931"/>
      <c r="AP80" s="931"/>
      <c r="AQ80" s="868"/>
      <c r="AR80" s="59"/>
      <c r="AU80" s="813" t="str">
        <f t="shared" ref="AU80" si="71">IF(OR(C80="",Q80="",V80="",X80="",AB80="",AE80="",AG80=""),"",(ROUND((AE80+AG80)*V80,2)))</f>
        <v/>
      </c>
      <c r="AV80" s="928" t="str">
        <f>IF(OR(C80="",Q80="",V80="",X80="",AB80="",AE80="",AG80=""),"",ROUND((V80*INDEX(PMELIGHTCON[Savings per Unit kW],MATCH(C80,PMELIGHTCON[Eff Desc 1],0)))*INDEX(ENDUSEALL[Lighting Coincidence Factor],MATCH("Lighting Controls",ENDUSEALL[End Use],0)),3))</f>
        <v/>
      </c>
      <c r="BC80" s="830"/>
    </row>
    <row r="81" spans="2:55" ht="15.95" hidden="1" customHeight="1">
      <c r="B81" s="929"/>
      <c r="C81" s="840"/>
      <c r="D81" s="841"/>
      <c r="E81" s="841"/>
      <c r="F81" s="841"/>
      <c r="G81" s="841"/>
      <c r="H81" s="842"/>
      <c r="I81" s="917"/>
      <c r="J81" s="918"/>
      <c r="K81" s="918"/>
      <c r="L81" s="919"/>
      <c r="M81" s="917"/>
      <c r="N81" s="918"/>
      <c r="O81" s="918"/>
      <c r="P81" s="919"/>
      <c r="Q81" s="936"/>
      <c r="R81" s="937"/>
      <c r="S81" s="938"/>
      <c r="T81" s="917"/>
      <c r="U81" s="919"/>
      <c r="V81" s="853"/>
      <c r="W81" s="854"/>
      <c r="X81" s="840"/>
      <c r="Y81" s="841"/>
      <c r="Z81" s="841"/>
      <c r="AA81" s="842"/>
      <c r="AB81" s="840"/>
      <c r="AC81" s="841"/>
      <c r="AD81" s="842"/>
      <c r="AE81" s="865"/>
      <c r="AF81" s="875"/>
      <c r="AG81" s="865"/>
      <c r="AH81" s="875"/>
      <c r="AI81" s="925"/>
      <c r="AJ81" s="870"/>
      <c r="AK81" s="912"/>
      <c r="AL81" s="913"/>
      <c r="AM81" s="913"/>
      <c r="AN81" s="925"/>
      <c r="AO81" s="932"/>
      <c r="AP81" s="932"/>
      <c r="AQ81" s="870"/>
      <c r="AR81" s="59"/>
      <c r="AU81" s="814"/>
      <c r="AV81" s="907"/>
      <c r="BC81" s="831"/>
    </row>
    <row r="82" spans="2:55" ht="15.95" hidden="1" customHeight="1">
      <c r="B82" s="929">
        <v>34</v>
      </c>
      <c r="C82" s="837"/>
      <c r="D82" s="838"/>
      <c r="E82" s="838"/>
      <c r="F82" s="838"/>
      <c r="G82" s="838"/>
      <c r="H82" s="839"/>
      <c r="I82" s="914" t="str">
        <f>IFERROR(IF(C82="","",INDEX(PMELIGHTCON[Base Desc 1],MATCH(C82,PMELIGHTCON[Eff Desc 1],0))),"")</f>
        <v/>
      </c>
      <c r="J82" s="915"/>
      <c r="K82" s="915"/>
      <c r="L82" s="916"/>
      <c r="M82" s="914" t="str">
        <f>IFERROR(IF(C82="","",INDEX(PMELIGHTCON[Eff Desc 2],MATCH(C82,PMELIGHTCON[Eff Desc 1],0))),"")</f>
        <v/>
      </c>
      <c r="N82" s="915"/>
      <c r="O82" s="915"/>
      <c r="P82" s="916"/>
      <c r="Q82" s="933"/>
      <c r="R82" s="934"/>
      <c r="S82" s="935"/>
      <c r="T82" s="914" t="str">
        <f>IFERROR(IF(C82="","",INDEX(PMELIGHTCON[Unit of Measure],MATCH(C82,PMELIGHTCON[Eff Desc 1],0))),"")</f>
        <v/>
      </c>
      <c r="U82" s="916"/>
      <c r="V82" s="851"/>
      <c r="W82" s="852"/>
      <c r="X82" s="837"/>
      <c r="Y82" s="838"/>
      <c r="Z82" s="838"/>
      <c r="AA82" s="839"/>
      <c r="AB82" s="837"/>
      <c r="AC82" s="838"/>
      <c r="AD82" s="839"/>
      <c r="AE82" s="863"/>
      <c r="AF82" s="874"/>
      <c r="AG82" s="863"/>
      <c r="AH82" s="874"/>
      <c r="AI82" s="923" t="str">
        <f>IFERROR(IF(C82="","",INDEX(PMELIGHTCON[Inc Rate Unit],MATCH(C82,PMELIGHTCON[Eff Desc 1],0))),"")</f>
        <v/>
      </c>
      <c r="AJ82" s="924"/>
      <c r="AK82" s="910" t="str">
        <f>IF(OR(C82="",Q82="",V82="",X82="",AB82="",AE82="",AG82=""),"",ROUND(V82*INDEX(PMELIGHTCON[Savings per Unit kWh],MATCH(C82,PMELIGHTCON[Eff Desc 1],0)),2))</f>
        <v/>
      </c>
      <c r="AL82" s="911"/>
      <c r="AM82" s="911"/>
      <c r="AN82" s="930" t="str">
        <f t="shared" ref="AN82" si="72">IF(OR(C82="",Q82="",V82="",X82="",AB82="",AE82="",AG82=""),"",IF(BC82&lt;&gt;"",BC82,MIN(AU82,ROUND(V82*AI82,2))))</f>
        <v/>
      </c>
      <c r="AO82" s="931"/>
      <c r="AP82" s="931"/>
      <c r="AQ82" s="868"/>
      <c r="AR82" s="59"/>
      <c r="AU82" s="813" t="str">
        <f t="shared" ref="AU82" si="73">IF(OR(C82="",Q82="",V82="",X82="",AB82="",AE82="",AG82=""),"",(ROUND((AE82+AG82)*V82,2)))</f>
        <v/>
      </c>
      <c r="AV82" s="928" t="str">
        <f>IF(OR(C82="",Q82="",V82="",X82="",AB82="",AE82="",AG82=""),"",ROUND((V82*INDEX(PMELIGHTCON[Savings per Unit kW],MATCH(C82,PMELIGHTCON[Eff Desc 1],0)))*INDEX(ENDUSEALL[Lighting Coincidence Factor],MATCH("Lighting Controls",ENDUSEALL[End Use],0)),3))</f>
        <v/>
      </c>
      <c r="BC82" s="830"/>
    </row>
    <row r="83" spans="2:55" ht="15.95" hidden="1" customHeight="1">
      <c r="B83" s="929"/>
      <c r="C83" s="840"/>
      <c r="D83" s="841"/>
      <c r="E83" s="841"/>
      <c r="F83" s="841"/>
      <c r="G83" s="841"/>
      <c r="H83" s="842"/>
      <c r="I83" s="917"/>
      <c r="J83" s="918"/>
      <c r="K83" s="918"/>
      <c r="L83" s="919"/>
      <c r="M83" s="917"/>
      <c r="N83" s="918"/>
      <c r="O83" s="918"/>
      <c r="P83" s="919"/>
      <c r="Q83" s="936"/>
      <c r="R83" s="937"/>
      <c r="S83" s="938"/>
      <c r="T83" s="917"/>
      <c r="U83" s="919"/>
      <c r="V83" s="853"/>
      <c r="W83" s="854"/>
      <c r="X83" s="840"/>
      <c r="Y83" s="841"/>
      <c r="Z83" s="841"/>
      <c r="AA83" s="842"/>
      <c r="AB83" s="840"/>
      <c r="AC83" s="841"/>
      <c r="AD83" s="842"/>
      <c r="AE83" s="865"/>
      <c r="AF83" s="875"/>
      <c r="AG83" s="865"/>
      <c r="AH83" s="875"/>
      <c r="AI83" s="925"/>
      <c r="AJ83" s="870"/>
      <c r="AK83" s="912"/>
      <c r="AL83" s="913"/>
      <c r="AM83" s="913"/>
      <c r="AN83" s="925"/>
      <c r="AO83" s="932"/>
      <c r="AP83" s="932"/>
      <c r="AQ83" s="870"/>
      <c r="AR83" s="59"/>
      <c r="AU83" s="814"/>
      <c r="AV83" s="907"/>
      <c r="BC83" s="831"/>
    </row>
    <row r="84" spans="2:55" ht="15.95" hidden="1" customHeight="1">
      <c r="B84" s="929">
        <v>35</v>
      </c>
      <c r="C84" s="837"/>
      <c r="D84" s="838"/>
      <c r="E84" s="838"/>
      <c r="F84" s="838"/>
      <c r="G84" s="838"/>
      <c r="H84" s="839"/>
      <c r="I84" s="914" t="str">
        <f>IFERROR(IF(C84="","",INDEX(PMELIGHTCON[Base Desc 1],MATCH(C84,PMELIGHTCON[Eff Desc 1],0))),"")</f>
        <v/>
      </c>
      <c r="J84" s="915"/>
      <c r="K84" s="915"/>
      <c r="L84" s="916"/>
      <c r="M84" s="914" t="str">
        <f>IFERROR(IF(C84="","",INDEX(PMELIGHTCON[Eff Desc 2],MATCH(C84,PMELIGHTCON[Eff Desc 1],0))),"")</f>
        <v/>
      </c>
      <c r="N84" s="915"/>
      <c r="O84" s="915"/>
      <c r="P84" s="916"/>
      <c r="Q84" s="933"/>
      <c r="R84" s="934"/>
      <c r="S84" s="935"/>
      <c r="T84" s="914" t="str">
        <f>IFERROR(IF(C84="","",INDEX(PMELIGHTCON[Unit of Measure],MATCH(C84,PMELIGHTCON[Eff Desc 1],0))),"")</f>
        <v/>
      </c>
      <c r="U84" s="916"/>
      <c r="V84" s="851"/>
      <c r="W84" s="852"/>
      <c r="X84" s="837"/>
      <c r="Y84" s="838"/>
      <c r="Z84" s="838"/>
      <c r="AA84" s="839"/>
      <c r="AB84" s="837"/>
      <c r="AC84" s="838"/>
      <c r="AD84" s="839"/>
      <c r="AE84" s="863"/>
      <c r="AF84" s="874"/>
      <c r="AG84" s="863"/>
      <c r="AH84" s="874"/>
      <c r="AI84" s="923" t="str">
        <f>IFERROR(IF(C84="","",INDEX(PMELIGHTCON[Inc Rate Unit],MATCH(C84,PMELIGHTCON[Eff Desc 1],0))),"")</f>
        <v/>
      </c>
      <c r="AJ84" s="924"/>
      <c r="AK84" s="910" t="str">
        <f>IF(OR(C84="",Q84="",V84="",X84="",AB84="",AE84="",AG84=""),"",ROUND(V84*INDEX(PMELIGHTCON[Savings per Unit kWh],MATCH(C84,PMELIGHTCON[Eff Desc 1],0)),2))</f>
        <v/>
      </c>
      <c r="AL84" s="911"/>
      <c r="AM84" s="911"/>
      <c r="AN84" s="930" t="str">
        <f t="shared" ref="AN84" si="74">IF(OR(C84="",Q84="",V84="",X84="",AB84="",AE84="",AG84=""),"",IF(BC84&lt;&gt;"",BC84,MIN(AU84,ROUND(V84*AI84,2))))</f>
        <v/>
      </c>
      <c r="AO84" s="931"/>
      <c r="AP84" s="931"/>
      <c r="AQ84" s="868"/>
      <c r="AR84" s="59"/>
      <c r="AU84" s="813" t="str">
        <f t="shared" ref="AU84" si="75">IF(OR(C84="",Q84="",V84="",X84="",AB84="",AE84="",AG84=""),"",(ROUND((AE84+AG84)*V84,2)))</f>
        <v/>
      </c>
      <c r="AV84" s="928" t="str">
        <f>IF(OR(C84="",Q84="",V84="",X84="",AB84="",AE84="",AG84=""),"",ROUND((V84*INDEX(PMELIGHTCON[Savings per Unit kW],MATCH(C84,PMELIGHTCON[Eff Desc 1],0)))*INDEX(ENDUSEALL[Lighting Coincidence Factor],MATCH("Lighting Controls",ENDUSEALL[End Use],0)),3))</f>
        <v/>
      </c>
      <c r="BC84" s="830"/>
    </row>
    <row r="85" spans="2:55" ht="15.95" hidden="1" customHeight="1">
      <c r="B85" s="929"/>
      <c r="C85" s="840"/>
      <c r="D85" s="841"/>
      <c r="E85" s="841"/>
      <c r="F85" s="841"/>
      <c r="G85" s="841"/>
      <c r="H85" s="842"/>
      <c r="I85" s="917"/>
      <c r="J85" s="918"/>
      <c r="K85" s="918"/>
      <c r="L85" s="919"/>
      <c r="M85" s="917"/>
      <c r="N85" s="918"/>
      <c r="O85" s="918"/>
      <c r="P85" s="919"/>
      <c r="Q85" s="936"/>
      <c r="R85" s="937"/>
      <c r="S85" s="938"/>
      <c r="T85" s="917"/>
      <c r="U85" s="919"/>
      <c r="V85" s="853"/>
      <c r="W85" s="854"/>
      <c r="X85" s="840"/>
      <c r="Y85" s="841"/>
      <c r="Z85" s="841"/>
      <c r="AA85" s="842"/>
      <c r="AB85" s="840"/>
      <c r="AC85" s="841"/>
      <c r="AD85" s="842"/>
      <c r="AE85" s="865"/>
      <c r="AF85" s="875"/>
      <c r="AG85" s="865"/>
      <c r="AH85" s="875"/>
      <c r="AI85" s="925"/>
      <c r="AJ85" s="870"/>
      <c r="AK85" s="912"/>
      <c r="AL85" s="913"/>
      <c r="AM85" s="913"/>
      <c r="AN85" s="925"/>
      <c r="AO85" s="932"/>
      <c r="AP85" s="932"/>
      <c r="AQ85" s="870"/>
      <c r="AR85" s="59"/>
      <c r="AU85" s="814"/>
      <c r="AV85" s="907"/>
      <c r="BC85" s="831"/>
    </row>
    <row r="86" spans="2:55" ht="15.95" hidden="1" customHeight="1">
      <c r="B86" s="929">
        <v>36</v>
      </c>
      <c r="C86" s="837"/>
      <c r="D86" s="838"/>
      <c r="E86" s="838"/>
      <c r="F86" s="838"/>
      <c r="G86" s="838"/>
      <c r="H86" s="839"/>
      <c r="I86" s="914" t="str">
        <f>IFERROR(IF(C86="","",INDEX(PMELIGHTCON[Base Desc 1],MATCH(C86,PMELIGHTCON[Eff Desc 1],0))),"")</f>
        <v/>
      </c>
      <c r="J86" s="915"/>
      <c r="K86" s="915"/>
      <c r="L86" s="916"/>
      <c r="M86" s="914" t="str">
        <f>IFERROR(IF(C86="","",INDEX(PMELIGHTCON[Eff Desc 2],MATCH(C86,PMELIGHTCON[Eff Desc 1],0))),"")</f>
        <v/>
      </c>
      <c r="N86" s="915"/>
      <c r="O86" s="915"/>
      <c r="P86" s="916"/>
      <c r="Q86" s="933"/>
      <c r="R86" s="934"/>
      <c r="S86" s="935"/>
      <c r="T86" s="914" t="str">
        <f>IFERROR(IF(C86="","",INDEX(PMELIGHTCON[Unit of Measure],MATCH(C86,PMELIGHTCON[Eff Desc 1],0))),"")</f>
        <v/>
      </c>
      <c r="U86" s="916"/>
      <c r="V86" s="851"/>
      <c r="W86" s="852"/>
      <c r="X86" s="837"/>
      <c r="Y86" s="838"/>
      <c r="Z86" s="838"/>
      <c r="AA86" s="839"/>
      <c r="AB86" s="837"/>
      <c r="AC86" s="838"/>
      <c r="AD86" s="839"/>
      <c r="AE86" s="863"/>
      <c r="AF86" s="874"/>
      <c r="AG86" s="863"/>
      <c r="AH86" s="874"/>
      <c r="AI86" s="923" t="str">
        <f>IFERROR(IF(C86="","",INDEX(PMELIGHTCON[Inc Rate Unit],MATCH(C86,PMELIGHTCON[Eff Desc 1],0))),"")</f>
        <v/>
      </c>
      <c r="AJ86" s="924"/>
      <c r="AK86" s="910" t="str">
        <f>IF(OR(C86="",Q86="",V86="",X86="",AB86="",AE86="",AG86=""),"",ROUND(V86*INDEX(PMELIGHTCON[Savings per Unit kWh],MATCH(C86,PMELIGHTCON[Eff Desc 1],0)),2))</f>
        <v/>
      </c>
      <c r="AL86" s="911"/>
      <c r="AM86" s="911"/>
      <c r="AN86" s="930" t="str">
        <f t="shared" ref="AN86" si="76">IF(OR(C86="",Q86="",V86="",X86="",AB86="",AE86="",AG86=""),"",IF(BC86&lt;&gt;"",BC86,MIN(AU86,ROUND(V86*AI86,2))))</f>
        <v/>
      </c>
      <c r="AO86" s="931"/>
      <c r="AP86" s="931"/>
      <c r="AQ86" s="868"/>
      <c r="AR86" s="59"/>
      <c r="AU86" s="813" t="str">
        <f t="shared" ref="AU86" si="77">IF(OR(C86="",Q86="",V86="",X86="",AB86="",AE86="",AG86=""),"",(ROUND((AE86+AG86)*V86,2)))</f>
        <v/>
      </c>
      <c r="AV86" s="928" t="str">
        <f>IF(OR(C86="",Q86="",V86="",X86="",AB86="",AE86="",AG86=""),"",ROUND((V86*INDEX(PMELIGHTCON[Savings per Unit kW],MATCH(C86,PMELIGHTCON[Eff Desc 1],0)))*INDEX(ENDUSEALL[Lighting Coincidence Factor],MATCH("Lighting Controls",ENDUSEALL[End Use],0)),3))</f>
        <v/>
      </c>
      <c r="BC86" s="830"/>
    </row>
    <row r="87" spans="2:55" ht="15.95" hidden="1" customHeight="1">
      <c r="B87" s="929"/>
      <c r="C87" s="840"/>
      <c r="D87" s="841"/>
      <c r="E87" s="841"/>
      <c r="F87" s="841"/>
      <c r="G87" s="841"/>
      <c r="H87" s="842"/>
      <c r="I87" s="917"/>
      <c r="J87" s="918"/>
      <c r="K87" s="918"/>
      <c r="L87" s="919"/>
      <c r="M87" s="917"/>
      <c r="N87" s="918"/>
      <c r="O87" s="918"/>
      <c r="P87" s="919"/>
      <c r="Q87" s="936"/>
      <c r="R87" s="937"/>
      <c r="S87" s="938"/>
      <c r="T87" s="917"/>
      <c r="U87" s="919"/>
      <c r="V87" s="853"/>
      <c r="W87" s="854"/>
      <c r="X87" s="840"/>
      <c r="Y87" s="841"/>
      <c r="Z87" s="841"/>
      <c r="AA87" s="842"/>
      <c r="AB87" s="840"/>
      <c r="AC87" s="841"/>
      <c r="AD87" s="842"/>
      <c r="AE87" s="865"/>
      <c r="AF87" s="875"/>
      <c r="AG87" s="865"/>
      <c r="AH87" s="875"/>
      <c r="AI87" s="925"/>
      <c r="AJ87" s="870"/>
      <c r="AK87" s="912"/>
      <c r="AL87" s="913"/>
      <c r="AM87" s="913"/>
      <c r="AN87" s="925"/>
      <c r="AO87" s="932"/>
      <c r="AP87" s="932"/>
      <c r="AQ87" s="870"/>
      <c r="AR87" s="59"/>
      <c r="AU87" s="814"/>
      <c r="AV87" s="907"/>
      <c r="BC87" s="831"/>
    </row>
    <row r="88" spans="2:55" ht="15.95" hidden="1" customHeight="1">
      <c r="B88" s="929">
        <v>37</v>
      </c>
      <c r="C88" s="837"/>
      <c r="D88" s="838"/>
      <c r="E88" s="838"/>
      <c r="F88" s="838"/>
      <c r="G88" s="838"/>
      <c r="H88" s="839"/>
      <c r="I88" s="914" t="str">
        <f>IFERROR(IF(C88="","",INDEX(PMELIGHTCON[Base Desc 1],MATCH(C88,PMELIGHTCON[Eff Desc 1],0))),"")</f>
        <v/>
      </c>
      <c r="J88" s="915"/>
      <c r="K88" s="915"/>
      <c r="L88" s="916"/>
      <c r="M88" s="914" t="str">
        <f>IFERROR(IF(C88="","",INDEX(PMELIGHTCON[Eff Desc 2],MATCH(C88,PMELIGHTCON[Eff Desc 1],0))),"")</f>
        <v/>
      </c>
      <c r="N88" s="915"/>
      <c r="O88" s="915"/>
      <c r="P88" s="916"/>
      <c r="Q88" s="933"/>
      <c r="R88" s="934"/>
      <c r="S88" s="935"/>
      <c r="T88" s="914" t="str">
        <f>IFERROR(IF(C88="","",INDEX(PMELIGHTCON[Unit of Measure],MATCH(C88,PMELIGHTCON[Eff Desc 1],0))),"")</f>
        <v/>
      </c>
      <c r="U88" s="916"/>
      <c r="V88" s="851"/>
      <c r="W88" s="852"/>
      <c r="X88" s="837"/>
      <c r="Y88" s="838"/>
      <c r="Z88" s="838"/>
      <c r="AA88" s="839"/>
      <c r="AB88" s="837"/>
      <c r="AC88" s="838"/>
      <c r="AD88" s="839"/>
      <c r="AE88" s="863"/>
      <c r="AF88" s="874"/>
      <c r="AG88" s="863"/>
      <c r="AH88" s="874"/>
      <c r="AI88" s="923" t="str">
        <f>IFERROR(IF(C88="","",INDEX(PMELIGHTCON[Inc Rate Unit],MATCH(C88,PMELIGHTCON[Eff Desc 1],0))),"")</f>
        <v/>
      </c>
      <c r="AJ88" s="924"/>
      <c r="AK88" s="910" t="str">
        <f>IF(OR(C88="",Q88="",V88="",X88="",AB88="",AE88="",AG88=""),"",ROUND(V88*INDEX(PMELIGHTCON[Savings per Unit kWh],MATCH(C88,PMELIGHTCON[Eff Desc 1],0)),2))</f>
        <v/>
      </c>
      <c r="AL88" s="911"/>
      <c r="AM88" s="911"/>
      <c r="AN88" s="930" t="str">
        <f t="shared" ref="AN88" si="78">IF(OR(C88="",Q88="",V88="",X88="",AB88="",AE88="",AG88=""),"",IF(BC88&lt;&gt;"",BC88,MIN(AU88,ROUND(V88*AI88,2))))</f>
        <v/>
      </c>
      <c r="AO88" s="931"/>
      <c r="AP88" s="931"/>
      <c r="AQ88" s="868"/>
      <c r="AR88" s="59"/>
      <c r="AU88" s="813" t="str">
        <f t="shared" ref="AU88" si="79">IF(OR(C88="",Q88="",V88="",X88="",AB88="",AE88="",AG88=""),"",(ROUND((AE88+AG88)*V88,2)))</f>
        <v/>
      </c>
      <c r="AV88" s="928" t="str">
        <f>IF(OR(C88="",Q88="",V88="",X88="",AB88="",AE88="",AG88=""),"",ROUND((V88*INDEX(PMELIGHTCON[Savings per Unit kW],MATCH(C88,PMELIGHTCON[Eff Desc 1],0)))*INDEX(ENDUSEALL[Lighting Coincidence Factor],MATCH("Lighting Controls",ENDUSEALL[End Use],0)),3))</f>
        <v/>
      </c>
      <c r="BC88" s="830"/>
    </row>
    <row r="89" spans="2:55" ht="15.95" hidden="1" customHeight="1">
      <c r="B89" s="929"/>
      <c r="C89" s="840"/>
      <c r="D89" s="841"/>
      <c r="E89" s="841"/>
      <c r="F89" s="841"/>
      <c r="G89" s="841"/>
      <c r="H89" s="842"/>
      <c r="I89" s="917"/>
      <c r="J89" s="918"/>
      <c r="K89" s="918"/>
      <c r="L89" s="919"/>
      <c r="M89" s="917"/>
      <c r="N89" s="918"/>
      <c r="O89" s="918"/>
      <c r="P89" s="919"/>
      <c r="Q89" s="936"/>
      <c r="R89" s="937"/>
      <c r="S89" s="938"/>
      <c r="T89" s="917"/>
      <c r="U89" s="919"/>
      <c r="V89" s="853"/>
      <c r="W89" s="854"/>
      <c r="X89" s="840"/>
      <c r="Y89" s="841"/>
      <c r="Z89" s="841"/>
      <c r="AA89" s="842"/>
      <c r="AB89" s="840"/>
      <c r="AC89" s="841"/>
      <c r="AD89" s="842"/>
      <c r="AE89" s="865"/>
      <c r="AF89" s="875"/>
      <c r="AG89" s="865"/>
      <c r="AH89" s="875"/>
      <c r="AI89" s="925"/>
      <c r="AJ89" s="870"/>
      <c r="AK89" s="912"/>
      <c r="AL89" s="913"/>
      <c r="AM89" s="913"/>
      <c r="AN89" s="925"/>
      <c r="AO89" s="932"/>
      <c r="AP89" s="932"/>
      <c r="AQ89" s="870"/>
      <c r="AR89" s="59"/>
      <c r="AU89" s="814"/>
      <c r="AV89" s="907"/>
      <c r="BC89" s="831"/>
    </row>
    <row r="90" spans="2:55" ht="15.95" hidden="1" customHeight="1">
      <c r="B90" s="929">
        <v>38</v>
      </c>
      <c r="C90" s="837"/>
      <c r="D90" s="838"/>
      <c r="E90" s="838"/>
      <c r="F90" s="838"/>
      <c r="G90" s="838"/>
      <c r="H90" s="839"/>
      <c r="I90" s="914" t="str">
        <f>IFERROR(IF(C90="","",INDEX(PMELIGHTCON[Base Desc 1],MATCH(C90,PMELIGHTCON[Eff Desc 1],0))),"")</f>
        <v/>
      </c>
      <c r="J90" s="915"/>
      <c r="K90" s="915"/>
      <c r="L90" s="916"/>
      <c r="M90" s="914" t="str">
        <f>IFERROR(IF(C90="","",INDEX(PMELIGHTCON[Eff Desc 2],MATCH(C90,PMELIGHTCON[Eff Desc 1],0))),"")</f>
        <v/>
      </c>
      <c r="N90" s="915"/>
      <c r="O90" s="915"/>
      <c r="P90" s="916"/>
      <c r="Q90" s="933"/>
      <c r="R90" s="934"/>
      <c r="S90" s="935"/>
      <c r="T90" s="914" t="str">
        <f>IFERROR(IF(C90="","",INDEX(PMELIGHTCON[Unit of Measure],MATCH(C90,PMELIGHTCON[Eff Desc 1],0))),"")</f>
        <v/>
      </c>
      <c r="U90" s="916"/>
      <c r="V90" s="851"/>
      <c r="W90" s="852"/>
      <c r="X90" s="837"/>
      <c r="Y90" s="838"/>
      <c r="Z90" s="838"/>
      <c r="AA90" s="839"/>
      <c r="AB90" s="837"/>
      <c r="AC90" s="838"/>
      <c r="AD90" s="839"/>
      <c r="AE90" s="863"/>
      <c r="AF90" s="874"/>
      <c r="AG90" s="863"/>
      <c r="AH90" s="874"/>
      <c r="AI90" s="923" t="str">
        <f>IFERROR(IF(C90="","",INDEX(PMELIGHTCON[Inc Rate Unit],MATCH(C90,PMELIGHTCON[Eff Desc 1],0))),"")</f>
        <v/>
      </c>
      <c r="AJ90" s="924"/>
      <c r="AK90" s="910" t="str">
        <f>IF(OR(C90="",Q90="",V90="",X90="",AB90="",AE90="",AG90=""),"",ROUND(V90*INDEX(PMELIGHTCON[Savings per Unit kWh],MATCH(C90,PMELIGHTCON[Eff Desc 1],0)),2))</f>
        <v/>
      </c>
      <c r="AL90" s="911"/>
      <c r="AM90" s="911"/>
      <c r="AN90" s="930" t="str">
        <f t="shared" ref="AN90" si="80">IF(OR(C90="",Q90="",V90="",X90="",AB90="",AE90="",AG90=""),"",IF(BC90&lt;&gt;"",BC90,MIN(AU90,ROUND(V90*AI90,2))))</f>
        <v/>
      </c>
      <c r="AO90" s="931"/>
      <c r="AP90" s="931"/>
      <c r="AQ90" s="868"/>
      <c r="AR90" s="59"/>
      <c r="AU90" s="813" t="str">
        <f t="shared" ref="AU90" si="81">IF(OR(C90="",Q90="",V90="",X90="",AB90="",AE90="",AG90=""),"",(ROUND((AE90+AG90)*V90,2)))</f>
        <v/>
      </c>
      <c r="AV90" s="928" t="str">
        <f>IF(OR(C90="",Q90="",V90="",X90="",AB90="",AE90="",AG90=""),"",ROUND((V90*INDEX(PMELIGHTCON[Savings per Unit kW],MATCH(C90,PMELIGHTCON[Eff Desc 1],0)))*INDEX(ENDUSEALL[Lighting Coincidence Factor],MATCH("Lighting Controls",ENDUSEALL[End Use],0)),3))</f>
        <v/>
      </c>
      <c r="BC90" s="830"/>
    </row>
    <row r="91" spans="2:55" ht="15.95" hidden="1" customHeight="1">
      <c r="B91" s="929"/>
      <c r="C91" s="840"/>
      <c r="D91" s="841"/>
      <c r="E91" s="841"/>
      <c r="F91" s="841"/>
      <c r="G91" s="841"/>
      <c r="H91" s="842"/>
      <c r="I91" s="917"/>
      <c r="J91" s="918"/>
      <c r="K91" s="918"/>
      <c r="L91" s="919"/>
      <c r="M91" s="917"/>
      <c r="N91" s="918"/>
      <c r="O91" s="918"/>
      <c r="P91" s="919"/>
      <c r="Q91" s="936"/>
      <c r="R91" s="937"/>
      <c r="S91" s="938"/>
      <c r="T91" s="917"/>
      <c r="U91" s="919"/>
      <c r="V91" s="853"/>
      <c r="W91" s="854"/>
      <c r="X91" s="840"/>
      <c r="Y91" s="841"/>
      <c r="Z91" s="841"/>
      <c r="AA91" s="842"/>
      <c r="AB91" s="840"/>
      <c r="AC91" s="841"/>
      <c r="AD91" s="842"/>
      <c r="AE91" s="865"/>
      <c r="AF91" s="875"/>
      <c r="AG91" s="865"/>
      <c r="AH91" s="875"/>
      <c r="AI91" s="925"/>
      <c r="AJ91" s="870"/>
      <c r="AK91" s="912"/>
      <c r="AL91" s="913"/>
      <c r="AM91" s="913"/>
      <c r="AN91" s="925"/>
      <c r="AO91" s="932"/>
      <c r="AP91" s="932"/>
      <c r="AQ91" s="870"/>
      <c r="AR91" s="59"/>
      <c r="AU91" s="814"/>
      <c r="AV91" s="907"/>
      <c r="BC91" s="831"/>
    </row>
    <row r="92" spans="2:55" ht="15.95" hidden="1" customHeight="1">
      <c r="B92" s="929">
        <v>39</v>
      </c>
      <c r="C92" s="837"/>
      <c r="D92" s="838"/>
      <c r="E92" s="838"/>
      <c r="F92" s="838"/>
      <c r="G92" s="838"/>
      <c r="H92" s="839"/>
      <c r="I92" s="914" t="str">
        <f>IFERROR(IF(C92="","",INDEX(PMELIGHTCON[Base Desc 1],MATCH(C92,PMELIGHTCON[Eff Desc 1],0))),"")</f>
        <v/>
      </c>
      <c r="J92" s="915"/>
      <c r="K92" s="915"/>
      <c r="L92" s="916"/>
      <c r="M92" s="914" t="str">
        <f>IFERROR(IF(C92="","",INDEX(PMELIGHTCON[Eff Desc 2],MATCH(C92,PMELIGHTCON[Eff Desc 1],0))),"")</f>
        <v/>
      </c>
      <c r="N92" s="915"/>
      <c r="O92" s="915"/>
      <c r="P92" s="916"/>
      <c r="Q92" s="933"/>
      <c r="R92" s="934"/>
      <c r="S92" s="935"/>
      <c r="T92" s="914" t="str">
        <f>IFERROR(IF(C92="","",INDEX(PMELIGHTCON[Unit of Measure],MATCH(C92,PMELIGHTCON[Eff Desc 1],0))),"")</f>
        <v/>
      </c>
      <c r="U92" s="916"/>
      <c r="V92" s="851"/>
      <c r="W92" s="852"/>
      <c r="X92" s="837"/>
      <c r="Y92" s="838"/>
      <c r="Z92" s="838"/>
      <c r="AA92" s="839"/>
      <c r="AB92" s="837"/>
      <c r="AC92" s="838"/>
      <c r="AD92" s="839"/>
      <c r="AE92" s="863"/>
      <c r="AF92" s="874"/>
      <c r="AG92" s="863"/>
      <c r="AH92" s="874"/>
      <c r="AI92" s="923" t="str">
        <f>IFERROR(IF(C92="","",INDEX(PMELIGHTCON[Inc Rate Unit],MATCH(C92,PMELIGHTCON[Eff Desc 1],0))),"")</f>
        <v/>
      </c>
      <c r="AJ92" s="924"/>
      <c r="AK92" s="910" t="str">
        <f>IF(OR(C92="",Q92="",V92="",X92="",AB92="",AE92="",AG92=""),"",ROUND(V92*INDEX(PMELIGHTCON[Savings per Unit kWh],MATCH(C92,PMELIGHTCON[Eff Desc 1],0)),2))</f>
        <v/>
      </c>
      <c r="AL92" s="911"/>
      <c r="AM92" s="911"/>
      <c r="AN92" s="930" t="str">
        <f t="shared" ref="AN92" si="82">IF(OR(C92="",Q92="",V92="",X92="",AB92="",AE92="",AG92=""),"",IF(BC92&lt;&gt;"",BC92,MIN(AU92,ROUND(V92*AI92,2))))</f>
        <v/>
      </c>
      <c r="AO92" s="931"/>
      <c r="AP92" s="931"/>
      <c r="AQ92" s="868"/>
      <c r="AR92" s="59"/>
      <c r="AU92" s="813" t="str">
        <f t="shared" ref="AU92" si="83">IF(OR(C92="",Q92="",V92="",X92="",AB92="",AE92="",AG92=""),"",(ROUND((AE92+AG92)*V92,2)))</f>
        <v/>
      </c>
      <c r="AV92" s="928" t="str">
        <f>IF(OR(C92="",Q92="",V92="",X92="",AB92="",AE92="",AG92=""),"",ROUND((V92*INDEX(PMELIGHTCON[Savings per Unit kW],MATCH(C92,PMELIGHTCON[Eff Desc 1],0)))*INDEX(ENDUSEALL[Lighting Coincidence Factor],MATCH("Lighting Controls",ENDUSEALL[End Use],0)),3))</f>
        <v/>
      </c>
      <c r="BC92" s="830"/>
    </row>
    <row r="93" spans="2:55" ht="15.95" hidden="1" customHeight="1">
      <c r="B93" s="929"/>
      <c r="C93" s="840"/>
      <c r="D93" s="841"/>
      <c r="E93" s="841"/>
      <c r="F93" s="841"/>
      <c r="G93" s="841"/>
      <c r="H93" s="842"/>
      <c r="I93" s="917"/>
      <c r="J93" s="918"/>
      <c r="K93" s="918"/>
      <c r="L93" s="919"/>
      <c r="M93" s="917"/>
      <c r="N93" s="918"/>
      <c r="O93" s="918"/>
      <c r="P93" s="919"/>
      <c r="Q93" s="936"/>
      <c r="R93" s="937"/>
      <c r="S93" s="938"/>
      <c r="T93" s="917"/>
      <c r="U93" s="919"/>
      <c r="V93" s="853"/>
      <c r="W93" s="854"/>
      <c r="X93" s="840"/>
      <c r="Y93" s="841"/>
      <c r="Z93" s="841"/>
      <c r="AA93" s="842"/>
      <c r="AB93" s="840"/>
      <c r="AC93" s="841"/>
      <c r="AD93" s="842"/>
      <c r="AE93" s="865"/>
      <c r="AF93" s="875"/>
      <c r="AG93" s="865"/>
      <c r="AH93" s="875"/>
      <c r="AI93" s="925"/>
      <c r="AJ93" s="870"/>
      <c r="AK93" s="912"/>
      <c r="AL93" s="913"/>
      <c r="AM93" s="913"/>
      <c r="AN93" s="925"/>
      <c r="AO93" s="932"/>
      <c r="AP93" s="932"/>
      <c r="AQ93" s="870"/>
      <c r="AR93" s="59"/>
      <c r="AU93" s="814"/>
      <c r="AV93" s="907"/>
      <c r="BC93" s="831"/>
    </row>
    <row r="94" spans="2:55" ht="15.95" hidden="1" customHeight="1">
      <c r="B94" s="929">
        <v>40</v>
      </c>
      <c r="C94" s="837"/>
      <c r="D94" s="838"/>
      <c r="E94" s="838"/>
      <c r="F94" s="838"/>
      <c r="G94" s="838"/>
      <c r="H94" s="839"/>
      <c r="I94" s="914" t="str">
        <f>IFERROR(IF(C94="","",INDEX(PMELIGHTCON[Base Desc 1],MATCH(C94,PMELIGHTCON[Eff Desc 1],0))),"")</f>
        <v/>
      </c>
      <c r="J94" s="915"/>
      <c r="K94" s="915"/>
      <c r="L94" s="916"/>
      <c r="M94" s="914" t="str">
        <f>IFERROR(IF(C94="","",INDEX(PMELIGHTCON[Eff Desc 2],MATCH(C94,PMELIGHTCON[Eff Desc 1],0))),"")</f>
        <v/>
      </c>
      <c r="N94" s="915"/>
      <c r="O94" s="915"/>
      <c r="P94" s="916"/>
      <c r="Q94" s="933"/>
      <c r="R94" s="934"/>
      <c r="S94" s="935"/>
      <c r="T94" s="914" t="str">
        <f>IFERROR(IF(C94="","",INDEX(PMELIGHTCON[Unit of Measure],MATCH(C94,PMELIGHTCON[Eff Desc 1],0))),"")</f>
        <v/>
      </c>
      <c r="U94" s="916"/>
      <c r="V94" s="851"/>
      <c r="W94" s="852"/>
      <c r="X94" s="837"/>
      <c r="Y94" s="838"/>
      <c r="Z94" s="838"/>
      <c r="AA94" s="839"/>
      <c r="AB94" s="837"/>
      <c r="AC94" s="838"/>
      <c r="AD94" s="839"/>
      <c r="AE94" s="863"/>
      <c r="AF94" s="874"/>
      <c r="AG94" s="863"/>
      <c r="AH94" s="874"/>
      <c r="AI94" s="923" t="str">
        <f>IFERROR(IF(C94="","",INDEX(PMELIGHTCON[Inc Rate Unit],MATCH(C94,PMELIGHTCON[Eff Desc 1],0))),"")</f>
        <v/>
      </c>
      <c r="AJ94" s="924"/>
      <c r="AK94" s="910" t="str">
        <f>IF(OR(C94="",Q94="",V94="",X94="",AB94="",AE94="",AG94=""),"",ROUND(V94*INDEX(PMELIGHTCON[Savings per Unit kWh],MATCH(C94,PMELIGHTCON[Eff Desc 1],0)),2))</f>
        <v/>
      </c>
      <c r="AL94" s="911"/>
      <c r="AM94" s="911"/>
      <c r="AN94" s="930" t="str">
        <f t="shared" ref="AN94" si="84">IF(OR(C94="",Q94="",V94="",X94="",AB94="",AE94="",AG94=""),"",IF(BC94&lt;&gt;"",BC94,MIN(AU94,ROUND(V94*AI94,2))))</f>
        <v/>
      </c>
      <c r="AO94" s="931"/>
      <c r="AP94" s="931"/>
      <c r="AQ94" s="868"/>
      <c r="AR94" s="59"/>
      <c r="AU94" s="813" t="str">
        <f t="shared" ref="AU94" si="85">IF(OR(C94="",Q94="",V94="",X94="",AB94="",AE94="",AG94=""),"",(ROUND((AE94+AG94)*V94,2)))</f>
        <v/>
      </c>
      <c r="AV94" s="928" t="str">
        <f>IF(OR(C94="",Q94="",V94="",X94="",AB94="",AE94="",AG94=""),"",ROUND((V94*INDEX(PMELIGHTCON[Savings per Unit kW],MATCH(C94,PMELIGHTCON[Eff Desc 1],0)))*INDEX(ENDUSEALL[Lighting Coincidence Factor],MATCH("Lighting Controls",ENDUSEALL[End Use],0)),3))</f>
        <v/>
      </c>
      <c r="BC94" s="830"/>
    </row>
    <row r="95" spans="2:55" ht="15.95" hidden="1" customHeight="1">
      <c r="B95" s="929"/>
      <c r="C95" s="840"/>
      <c r="D95" s="841"/>
      <c r="E95" s="841"/>
      <c r="F95" s="841"/>
      <c r="G95" s="841"/>
      <c r="H95" s="842"/>
      <c r="I95" s="917"/>
      <c r="J95" s="918"/>
      <c r="K95" s="918"/>
      <c r="L95" s="919"/>
      <c r="M95" s="917"/>
      <c r="N95" s="918"/>
      <c r="O95" s="918"/>
      <c r="P95" s="919"/>
      <c r="Q95" s="936"/>
      <c r="R95" s="937"/>
      <c r="S95" s="938"/>
      <c r="T95" s="917"/>
      <c r="U95" s="919"/>
      <c r="V95" s="853"/>
      <c r="W95" s="854"/>
      <c r="X95" s="840"/>
      <c r="Y95" s="841"/>
      <c r="Z95" s="841"/>
      <c r="AA95" s="842"/>
      <c r="AB95" s="840"/>
      <c r="AC95" s="841"/>
      <c r="AD95" s="842"/>
      <c r="AE95" s="865"/>
      <c r="AF95" s="875"/>
      <c r="AG95" s="865"/>
      <c r="AH95" s="875"/>
      <c r="AI95" s="925"/>
      <c r="AJ95" s="870"/>
      <c r="AK95" s="912"/>
      <c r="AL95" s="913"/>
      <c r="AM95" s="913"/>
      <c r="AN95" s="925"/>
      <c r="AO95" s="932"/>
      <c r="AP95" s="932"/>
      <c r="AQ95" s="870"/>
      <c r="AR95" s="59"/>
      <c r="AU95" s="814"/>
      <c r="AV95" s="907"/>
      <c r="BC95" s="831"/>
    </row>
    <row r="96" spans="2:55" ht="15.95" hidden="1" customHeight="1">
      <c r="B96" s="929">
        <v>41</v>
      </c>
      <c r="C96" s="837"/>
      <c r="D96" s="838"/>
      <c r="E96" s="838"/>
      <c r="F96" s="838"/>
      <c r="G96" s="838"/>
      <c r="H96" s="839"/>
      <c r="I96" s="914" t="str">
        <f>IFERROR(IF(C96="","",INDEX(PMELIGHTCON[Base Desc 1],MATCH(C96,PMELIGHTCON[Eff Desc 1],0))),"")</f>
        <v/>
      </c>
      <c r="J96" s="915"/>
      <c r="K96" s="915"/>
      <c r="L96" s="916"/>
      <c r="M96" s="914" t="str">
        <f>IFERROR(IF(C96="","",INDEX(PMELIGHTCON[Eff Desc 2],MATCH(C96,PMELIGHTCON[Eff Desc 1],0))),"")</f>
        <v/>
      </c>
      <c r="N96" s="915"/>
      <c r="O96" s="915"/>
      <c r="P96" s="916"/>
      <c r="Q96" s="933"/>
      <c r="R96" s="934"/>
      <c r="S96" s="935"/>
      <c r="T96" s="914" t="str">
        <f>IFERROR(IF(C96="","",INDEX(PMELIGHTCON[Unit of Measure],MATCH(C96,PMELIGHTCON[Eff Desc 1],0))),"")</f>
        <v/>
      </c>
      <c r="U96" s="916"/>
      <c r="V96" s="851"/>
      <c r="W96" s="852"/>
      <c r="X96" s="837"/>
      <c r="Y96" s="838"/>
      <c r="Z96" s="838"/>
      <c r="AA96" s="839"/>
      <c r="AB96" s="837"/>
      <c r="AC96" s="838"/>
      <c r="AD96" s="839"/>
      <c r="AE96" s="863"/>
      <c r="AF96" s="874"/>
      <c r="AG96" s="863"/>
      <c r="AH96" s="874"/>
      <c r="AI96" s="923" t="str">
        <f>IFERROR(IF(C96="","",INDEX(PMELIGHTCON[Inc Rate Unit],MATCH(C96,PMELIGHTCON[Eff Desc 1],0))),"")</f>
        <v/>
      </c>
      <c r="AJ96" s="924"/>
      <c r="AK96" s="910" t="str">
        <f>IF(OR(C96="",Q96="",V96="",X96="",AB96="",AE96="",AG96=""),"",ROUND(V96*INDEX(PMELIGHTCON[Savings per Unit kWh],MATCH(C96,PMELIGHTCON[Eff Desc 1],0)),2))</f>
        <v/>
      </c>
      <c r="AL96" s="911"/>
      <c r="AM96" s="911"/>
      <c r="AN96" s="930" t="str">
        <f t="shared" ref="AN96" si="86">IF(OR(C96="",Q96="",V96="",X96="",AB96="",AE96="",AG96=""),"",IF(BC96&lt;&gt;"",BC96,MIN(AU96,ROUND(V96*AI96,2))))</f>
        <v/>
      </c>
      <c r="AO96" s="931"/>
      <c r="AP96" s="931"/>
      <c r="AQ96" s="868"/>
      <c r="AR96" s="59"/>
      <c r="AU96" s="813" t="str">
        <f t="shared" ref="AU96" si="87">IF(OR(C96="",Q96="",V96="",X96="",AB96="",AE96="",AG96=""),"",(ROUND((AE96+AG96)*V96,2)))</f>
        <v/>
      </c>
      <c r="AV96" s="928" t="str">
        <f>IF(OR(C96="",Q96="",V96="",X96="",AB96="",AE96="",AG96=""),"",ROUND((V96*INDEX(PMELIGHTCON[Savings per Unit kW],MATCH(C96,PMELIGHTCON[Eff Desc 1],0)))*INDEX(ENDUSEALL[Lighting Coincidence Factor],MATCH("Lighting Controls",ENDUSEALL[End Use],0)),3))</f>
        <v/>
      </c>
      <c r="BC96" s="830"/>
    </row>
    <row r="97" spans="2:55" ht="15.95" hidden="1" customHeight="1">
      <c r="B97" s="929"/>
      <c r="C97" s="840"/>
      <c r="D97" s="841"/>
      <c r="E97" s="841"/>
      <c r="F97" s="841"/>
      <c r="G97" s="841"/>
      <c r="H97" s="842"/>
      <c r="I97" s="917"/>
      <c r="J97" s="918"/>
      <c r="K97" s="918"/>
      <c r="L97" s="919"/>
      <c r="M97" s="917"/>
      <c r="N97" s="918"/>
      <c r="O97" s="918"/>
      <c r="P97" s="919"/>
      <c r="Q97" s="936"/>
      <c r="R97" s="937"/>
      <c r="S97" s="938"/>
      <c r="T97" s="917"/>
      <c r="U97" s="919"/>
      <c r="V97" s="853"/>
      <c r="W97" s="854"/>
      <c r="X97" s="840"/>
      <c r="Y97" s="841"/>
      <c r="Z97" s="841"/>
      <c r="AA97" s="842"/>
      <c r="AB97" s="840"/>
      <c r="AC97" s="841"/>
      <c r="AD97" s="842"/>
      <c r="AE97" s="865"/>
      <c r="AF97" s="875"/>
      <c r="AG97" s="865"/>
      <c r="AH97" s="875"/>
      <c r="AI97" s="925"/>
      <c r="AJ97" s="870"/>
      <c r="AK97" s="912"/>
      <c r="AL97" s="913"/>
      <c r="AM97" s="913"/>
      <c r="AN97" s="925"/>
      <c r="AO97" s="932"/>
      <c r="AP97" s="932"/>
      <c r="AQ97" s="870"/>
      <c r="AR97" s="59"/>
      <c r="AU97" s="814"/>
      <c r="AV97" s="907"/>
      <c r="BC97" s="831"/>
    </row>
    <row r="98" spans="2:55" ht="15.95" hidden="1" customHeight="1">
      <c r="B98" s="929">
        <v>42</v>
      </c>
      <c r="C98" s="837"/>
      <c r="D98" s="838"/>
      <c r="E98" s="838"/>
      <c r="F98" s="838"/>
      <c r="G98" s="838"/>
      <c r="H98" s="839"/>
      <c r="I98" s="914" t="str">
        <f>IFERROR(IF(C98="","",INDEX(PMELIGHTCON[Base Desc 1],MATCH(C98,PMELIGHTCON[Eff Desc 1],0))),"")</f>
        <v/>
      </c>
      <c r="J98" s="915"/>
      <c r="K98" s="915"/>
      <c r="L98" s="916"/>
      <c r="M98" s="914" t="str">
        <f>IFERROR(IF(C98="","",INDEX(PMELIGHTCON[Eff Desc 2],MATCH(C98,PMELIGHTCON[Eff Desc 1],0))),"")</f>
        <v/>
      </c>
      <c r="N98" s="915"/>
      <c r="O98" s="915"/>
      <c r="P98" s="916"/>
      <c r="Q98" s="933"/>
      <c r="R98" s="934"/>
      <c r="S98" s="935"/>
      <c r="T98" s="914" t="str">
        <f>IFERROR(IF(C98="","",INDEX(PMELIGHTCON[Unit of Measure],MATCH(C98,PMELIGHTCON[Eff Desc 1],0))),"")</f>
        <v/>
      </c>
      <c r="U98" s="916"/>
      <c r="V98" s="851"/>
      <c r="W98" s="852"/>
      <c r="X98" s="837"/>
      <c r="Y98" s="838"/>
      <c r="Z98" s="838"/>
      <c r="AA98" s="839"/>
      <c r="AB98" s="837"/>
      <c r="AC98" s="838"/>
      <c r="AD98" s="839"/>
      <c r="AE98" s="863"/>
      <c r="AF98" s="874"/>
      <c r="AG98" s="863"/>
      <c r="AH98" s="874"/>
      <c r="AI98" s="923" t="str">
        <f>IFERROR(IF(C98="","",INDEX(PMELIGHTCON[Inc Rate Unit],MATCH(C98,PMELIGHTCON[Eff Desc 1],0))),"")</f>
        <v/>
      </c>
      <c r="AJ98" s="924"/>
      <c r="AK98" s="910" t="str">
        <f>IF(OR(C98="",Q98="",V98="",X98="",AB98="",AE98="",AG98=""),"",ROUND(V98*INDEX(PMELIGHTCON[Savings per Unit kWh],MATCH(C98,PMELIGHTCON[Eff Desc 1],0)),2))</f>
        <v/>
      </c>
      <c r="AL98" s="911"/>
      <c r="AM98" s="911"/>
      <c r="AN98" s="930" t="str">
        <f t="shared" ref="AN98" si="88">IF(OR(C98="",Q98="",V98="",X98="",AB98="",AE98="",AG98=""),"",IF(BC98&lt;&gt;"",BC98,MIN(AU98,ROUND(V98*AI98,2))))</f>
        <v/>
      </c>
      <c r="AO98" s="931"/>
      <c r="AP98" s="931"/>
      <c r="AQ98" s="868"/>
      <c r="AR98" s="59"/>
      <c r="AU98" s="813" t="str">
        <f t="shared" ref="AU98" si="89">IF(OR(C98="",Q98="",V98="",X98="",AB98="",AE98="",AG98=""),"",(ROUND((AE98+AG98)*V98,2)))</f>
        <v/>
      </c>
      <c r="AV98" s="928" t="str">
        <f>IF(OR(C98="",Q98="",V98="",X98="",AB98="",AE98="",AG98=""),"",ROUND((V98*INDEX(PMELIGHTCON[Savings per Unit kW],MATCH(C98,PMELIGHTCON[Eff Desc 1],0)))*INDEX(ENDUSEALL[Lighting Coincidence Factor],MATCH("Lighting Controls",ENDUSEALL[End Use],0)),3))</f>
        <v/>
      </c>
      <c r="BC98" s="830"/>
    </row>
    <row r="99" spans="2:55" ht="15.95" hidden="1" customHeight="1">
      <c r="B99" s="929"/>
      <c r="C99" s="840"/>
      <c r="D99" s="841"/>
      <c r="E99" s="841"/>
      <c r="F99" s="841"/>
      <c r="G99" s="841"/>
      <c r="H99" s="842"/>
      <c r="I99" s="917"/>
      <c r="J99" s="918"/>
      <c r="K99" s="918"/>
      <c r="L99" s="919"/>
      <c r="M99" s="917"/>
      <c r="N99" s="918"/>
      <c r="O99" s="918"/>
      <c r="P99" s="919"/>
      <c r="Q99" s="936"/>
      <c r="R99" s="937"/>
      <c r="S99" s="938"/>
      <c r="T99" s="917"/>
      <c r="U99" s="919"/>
      <c r="V99" s="853"/>
      <c r="W99" s="854"/>
      <c r="X99" s="840"/>
      <c r="Y99" s="841"/>
      <c r="Z99" s="841"/>
      <c r="AA99" s="842"/>
      <c r="AB99" s="840"/>
      <c r="AC99" s="841"/>
      <c r="AD99" s="842"/>
      <c r="AE99" s="865"/>
      <c r="AF99" s="875"/>
      <c r="AG99" s="865"/>
      <c r="AH99" s="875"/>
      <c r="AI99" s="925"/>
      <c r="AJ99" s="870"/>
      <c r="AK99" s="912"/>
      <c r="AL99" s="913"/>
      <c r="AM99" s="913"/>
      <c r="AN99" s="925"/>
      <c r="AO99" s="932"/>
      <c r="AP99" s="932"/>
      <c r="AQ99" s="870"/>
      <c r="AR99" s="59"/>
      <c r="AU99" s="814"/>
      <c r="AV99" s="907"/>
      <c r="BC99" s="831"/>
    </row>
    <row r="100" spans="2:55" ht="15.95" hidden="1" customHeight="1">
      <c r="B100" s="929">
        <v>43</v>
      </c>
      <c r="C100" s="837"/>
      <c r="D100" s="838"/>
      <c r="E100" s="838"/>
      <c r="F100" s="838"/>
      <c r="G100" s="838"/>
      <c r="H100" s="839"/>
      <c r="I100" s="914" t="str">
        <f>IFERROR(IF(C100="","",INDEX(PMELIGHTCON[Base Desc 1],MATCH(C100,PMELIGHTCON[Eff Desc 1],0))),"")</f>
        <v/>
      </c>
      <c r="J100" s="915"/>
      <c r="K100" s="915"/>
      <c r="L100" s="916"/>
      <c r="M100" s="914" t="str">
        <f>IFERROR(IF(C100="","",INDEX(PMELIGHTCON[Eff Desc 2],MATCH(C100,PMELIGHTCON[Eff Desc 1],0))),"")</f>
        <v/>
      </c>
      <c r="N100" s="915"/>
      <c r="O100" s="915"/>
      <c r="P100" s="916"/>
      <c r="Q100" s="933"/>
      <c r="R100" s="934"/>
      <c r="S100" s="935"/>
      <c r="T100" s="914" t="str">
        <f>IFERROR(IF(C100="","",INDEX(PMELIGHTCON[Unit of Measure],MATCH(C100,PMELIGHTCON[Eff Desc 1],0))),"")</f>
        <v/>
      </c>
      <c r="U100" s="916"/>
      <c r="V100" s="851"/>
      <c r="W100" s="852"/>
      <c r="X100" s="837"/>
      <c r="Y100" s="838"/>
      <c r="Z100" s="838"/>
      <c r="AA100" s="839"/>
      <c r="AB100" s="837"/>
      <c r="AC100" s="838"/>
      <c r="AD100" s="839"/>
      <c r="AE100" s="863"/>
      <c r="AF100" s="874"/>
      <c r="AG100" s="863"/>
      <c r="AH100" s="874"/>
      <c r="AI100" s="923" t="str">
        <f>IFERROR(IF(C100="","",INDEX(PMELIGHTCON[Inc Rate Unit],MATCH(C100,PMELIGHTCON[Eff Desc 1],0))),"")</f>
        <v/>
      </c>
      <c r="AJ100" s="924"/>
      <c r="AK100" s="910" t="str">
        <f>IF(OR(C100="",Q100="",V100="",X100="",AB100="",AE100="",AG100=""),"",ROUND(V100*INDEX(PMELIGHTCON[Savings per Unit kWh],MATCH(C100,PMELIGHTCON[Eff Desc 1],0)),2))</f>
        <v/>
      </c>
      <c r="AL100" s="911"/>
      <c r="AM100" s="911"/>
      <c r="AN100" s="930" t="str">
        <f t="shared" ref="AN100" si="90">IF(OR(C100="",Q100="",V100="",X100="",AB100="",AE100="",AG100=""),"",IF(BC100&lt;&gt;"",BC100,MIN(AU100,ROUND(V100*AI100,2))))</f>
        <v/>
      </c>
      <c r="AO100" s="931"/>
      <c r="AP100" s="931"/>
      <c r="AQ100" s="868"/>
      <c r="AR100" s="59"/>
      <c r="AU100" s="813" t="str">
        <f t="shared" ref="AU100" si="91">IF(OR(C100="",Q100="",V100="",X100="",AB100="",AE100="",AG100=""),"",(ROUND((AE100+AG100)*V100,2)))</f>
        <v/>
      </c>
      <c r="AV100" s="928" t="str">
        <f>IF(OR(C100="",Q100="",V100="",X100="",AB100="",AE100="",AG100=""),"",ROUND((V100*INDEX(PMELIGHTCON[Savings per Unit kW],MATCH(C100,PMELIGHTCON[Eff Desc 1],0)))*INDEX(ENDUSEALL[Lighting Coincidence Factor],MATCH("Lighting Controls",ENDUSEALL[End Use],0)),3))</f>
        <v/>
      </c>
      <c r="BC100" s="830"/>
    </row>
    <row r="101" spans="2:55" ht="15.95" hidden="1" customHeight="1">
      <c r="B101" s="929"/>
      <c r="C101" s="840"/>
      <c r="D101" s="841"/>
      <c r="E101" s="841"/>
      <c r="F101" s="841"/>
      <c r="G101" s="841"/>
      <c r="H101" s="842"/>
      <c r="I101" s="917"/>
      <c r="J101" s="918"/>
      <c r="K101" s="918"/>
      <c r="L101" s="919"/>
      <c r="M101" s="917"/>
      <c r="N101" s="918"/>
      <c r="O101" s="918"/>
      <c r="P101" s="919"/>
      <c r="Q101" s="936"/>
      <c r="R101" s="937"/>
      <c r="S101" s="938"/>
      <c r="T101" s="917"/>
      <c r="U101" s="919"/>
      <c r="V101" s="853"/>
      <c r="W101" s="854"/>
      <c r="X101" s="840"/>
      <c r="Y101" s="841"/>
      <c r="Z101" s="841"/>
      <c r="AA101" s="842"/>
      <c r="AB101" s="840"/>
      <c r="AC101" s="841"/>
      <c r="AD101" s="842"/>
      <c r="AE101" s="865"/>
      <c r="AF101" s="875"/>
      <c r="AG101" s="865"/>
      <c r="AH101" s="875"/>
      <c r="AI101" s="925"/>
      <c r="AJ101" s="870"/>
      <c r="AK101" s="912"/>
      <c r="AL101" s="913"/>
      <c r="AM101" s="913"/>
      <c r="AN101" s="925"/>
      <c r="AO101" s="932"/>
      <c r="AP101" s="932"/>
      <c r="AQ101" s="870"/>
      <c r="AR101" s="59"/>
      <c r="AU101" s="814"/>
      <c r="AV101" s="907"/>
      <c r="BC101" s="831"/>
    </row>
    <row r="102" spans="2:55" ht="15.95" hidden="1" customHeight="1">
      <c r="B102" s="929">
        <v>44</v>
      </c>
      <c r="C102" s="837"/>
      <c r="D102" s="838"/>
      <c r="E102" s="838"/>
      <c r="F102" s="838"/>
      <c r="G102" s="838"/>
      <c r="H102" s="839"/>
      <c r="I102" s="914" t="str">
        <f>IFERROR(IF(C102="","",INDEX(PMELIGHTCON[Base Desc 1],MATCH(C102,PMELIGHTCON[Eff Desc 1],0))),"")</f>
        <v/>
      </c>
      <c r="J102" s="915"/>
      <c r="K102" s="915"/>
      <c r="L102" s="916"/>
      <c r="M102" s="914" t="str">
        <f>IFERROR(IF(C102="","",INDEX(PMELIGHTCON[Eff Desc 2],MATCH(C102,PMELIGHTCON[Eff Desc 1],0))),"")</f>
        <v/>
      </c>
      <c r="N102" s="915"/>
      <c r="O102" s="915"/>
      <c r="P102" s="916"/>
      <c r="Q102" s="933"/>
      <c r="R102" s="934"/>
      <c r="S102" s="935"/>
      <c r="T102" s="914" t="str">
        <f>IFERROR(IF(C102="","",INDEX(PMELIGHTCON[Unit of Measure],MATCH(C102,PMELIGHTCON[Eff Desc 1],0))),"")</f>
        <v/>
      </c>
      <c r="U102" s="916"/>
      <c r="V102" s="851"/>
      <c r="W102" s="852"/>
      <c r="X102" s="837"/>
      <c r="Y102" s="838"/>
      <c r="Z102" s="838"/>
      <c r="AA102" s="839"/>
      <c r="AB102" s="837"/>
      <c r="AC102" s="838"/>
      <c r="AD102" s="839"/>
      <c r="AE102" s="863"/>
      <c r="AF102" s="874"/>
      <c r="AG102" s="863"/>
      <c r="AH102" s="874"/>
      <c r="AI102" s="923" t="str">
        <f>IFERROR(IF(C102="","",INDEX(PMELIGHTCON[Inc Rate Unit],MATCH(C102,PMELIGHTCON[Eff Desc 1],0))),"")</f>
        <v/>
      </c>
      <c r="AJ102" s="924"/>
      <c r="AK102" s="910" t="str">
        <f>IF(OR(C102="",Q102="",V102="",X102="",AB102="",AE102="",AG102=""),"",ROUND(V102*INDEX(PMELIGHTCON[Savings per Unit kWh],MATCH(C102,PMELIGHTCON[Eff Desc 1],0)),2))</f>
        <v/>
      </c>
      <c r="AL102" s="911"/>
      <c r="AM102" s="911"/>
      <c r="AN102" s="930" t="str">
        <f t="shared" ref="AN102" si="92">IF(OR(C102="",Q102="",V102="",X102="",AB102="",AE102="",AG102=""),"",IF(BC102&lt;&gt;"",BC102,MIN(AU102,ROUND(V102*AI102,2))))</f>
        <v/>
      </c>
      <c r="AO102" s="931"/>
      <c r="AP102" s="931"/>
      <c r="AQ102" s="868"/>
      <c r="AR102" s="59"/>
      <c r="AU102" s="813" t="str">
        <f t="shared" ref="AU102" si="93">IF(OR(C102="",Q102="",V102="",X102="",AB102="",AE102="",AG102=""),"",(ROUND((AE102+AG102)*V102,2)))</f>
        <v/>
      </c>
      <c r="AV102" s="928" t="str">
        <f>IF(OR(C102="",Q102="",V102="",X102="",AB102="",AE102="",AG102=""),"",ROUND((V102*INDEX(PMELIGHTCON[Savings per Unit kW],MATCH(C102,PMELIGHTCON[Eff Desc 1],0)))*INDEX(ENDUSEALL[Lighting Coincidence Factor],MATCH("Lighting Controls",ENDUSEALL[End Use],0)),3))</f>
        <v/>
      </c>
      <c r="BC102" s="830"/>
    </row>
    <row r="103" spans="2:55" ht="15.95" hidden="1" customHeight="1">
      <c r="B103" s="929"/>
      <c r="C103" s="840"/>
      <c r="D103" s="841"/>
      <c r="E103" s="841"/>
      <c r="F103" s="841"/>
      <c r="G103" s="841"/>
      <c r="H103" s="842"/>
      <c r="I103" s="917"/>
      <c r="J103" s="918"/>
      <c r="K103" s="918"/>
      <c r="L103" s="919"/>
      <c r="M103" s="917"/>
      <c r="N103" s="918"/>
      <c r="O103" s="918"/>
      <c r="P103" s="919"/>
      <c r="Q103" s="936"/>
      <c r="R103" s="937"/>
      <c r="S103" s="938"/>
      <c r="T103" s="917"/>
      <c r="U103" s="919"/>
      <c r="V103" s="853"/>
      <c r="W103" s="854"/>
      <c r="X103" s="840"/>
      <c r="Y103" s="841"/>
      <c r="Z103" s="841"/>
      <c r="AA103" s="842"/>
      <c r="AB103" s="840"/>
      <c r="AC103" s="841"/>
      <c r="AD103" s="842"/>
      <c r="AE103" s="865"/>
      <c r="AF103" s="875"/>
      <c r="AG103" s="865"/>
      <c r="AH103" s="875"/>
      <c r="AI103" s="925"/>
      <c r="AJ103" s="870"/>
      <c r="AK103" s="912"/>
      <c r="AL103" s="913"/>
      <c r="AM103" s="913"/>
      <c r="AN103" s="925"/>
      <c r="AO103" s="932"/>
      <c r="AP103" s="932"/>
      <c r="AQ103" s="870"/>
      <c r="AR103" s="59"/>
      <c r="AU103" s="814"/>
      <c r="AV103" s="907"/>
      <c r="BC103" s="831"/>
    </row>
    <row r="104" spans="2:55" ht="15.95" hidden="1" customHeight="1">
      <c r="B104" s="929">
        <v>45</v>
      </c>
      <c r="C104" s="837"/>
      <c r="D104" s="838"/>
      <c r="E104" s="838"/>
      <c r="F104" s="838"/>
      <c r="G104" s="838"/>
      <c r="H104" s="839"/>
      <c r="I104" s="914" t="str">
        <f>IFERROR(IF(C104="","",INDEX(PMELIGHTCON[Base Desc 1],MATCH(C104,PMELIGHTCON[Eff Desc 1],0))),"")</f>
        <v/>
      </c>
      <c r="J104" s="915"/>
      <c r="K104" s="915"/>
      <c r="L104" s="916"/>
      <c r="M104" s="914" t="str">
        <f>IFERROR(IF(C104="","",INDEX(PMELIGHTCON[Eff Desc 2],MATCH(C104,PMELIGHTCON[Eff Desc 1],0))),"")</f>
        <v/>
      </c>
      <c r="N104" s="915"/>
      <c r="O104" s="915"/>
      <c r="P104" s="916"/>
      <c r="Q104" s="933"/>
      <c r="R104" s="934"/>
      <c r="S104" s="935"/>
      <c r="T104" s="914" t="str">
        <f>IFERROR(IF(C104="","",INDEX(PMELIGHTCON[Unit of Measure],MATCH(C104,PMELIGHTCON[Eff Desc 1],0))),"")</f>
        <v/>
      </c>
      <c r="U104" s="916"/>
      <c r="V104" s="851"/>
      <c r="W104" s="852"/>
      <c r="X104" s="837"/>
      <c r="Y104" s="838"/>
      <c r="Z104" s="838"/>
      <c r="AA104" s="839"/>
      <c r="AB104" s="837"/>
      <c r="AC104" s="838"/>
      <c r="AD104" s="839"/>
      <c r="AE104" s="863"/>
      <c r="AF104" s="874"/>
      <c r="AG104" s="863"/>
      <c r="AH104" s="874"/>
      <c r="AI104" s="923" t="str">
        <f>IFERROR(IF(C104="","",INDEX(PMELIGHTCON[Inc Rate Unit],MATCH(C104,PMELIGHTCON[Eff Desc 1],0))),"")</f>
        <v/>
      </c>
      <c r="AJ104" s="924"/>
      <c r="AK104" s="910" t="str">
        <f>IF(OR(C104="",Q104="",V104="",X104="",AB104="",AE104="",AG104=""),"",ROUND(V104*INDEX(PMELIGHTCON[Savings per Unit kWh],MATCH(C104,PMELIGHTCON[Eff Desc 1],0)),2))</f>
        <v/>
      </c>
      <c r="AL104" s="911"/>
      <c r="AM104" s="911"/>
      <c r="AN104" s="930" t="str">
        <f t="shared" ref="AN104" si="94">IF(OR(C104="",Q104="",V104="",X104="",AB104="",AE104="",AG104=""),"",IF(BC104&lt;&gt;"",BC104,MIN(AU104,ROUND(V104*AI104,2))))</f>
        <v/>
      </c>
      <c r="AO104" s="931"/>
      <c r="AP104" s="931"/>
      <c r="AQ104" s="868"/>
      <c r="AR104" s="59"/>
      <c r="AU104" s="813" t="str">
        <f t="shared" ref="AU104" si="95">IF(OR(C104="",Q104="",V104="",X104="",AB104="",AE104="",AG104=""),"",(ROUND((AE104+AG104)*V104,2)))</f>
        <v/>
      </c>
      <c r="AV104" s="928" t="str">
        <f>IF(OR(C104="",Q104="",V104="",X104="",AB104="",AE104="",AG104=""),"",ROUND((V104*INDEX(PMELIGHTCON[Savings per Unit kW],MATCH(C104,PMELIGHTCON[Eff Desc 1],0)))*INDEX(ENDUSEALL[Lighting Coincidence Factor],MATCH("Lighting Controls",ENDUSEALL[End Use],0)),3))</f>
        <v/>
      </c>
      <c r="BC104" s="830"/>
    </row>
    <row r="105" spans="2:55" ht="15.95" hidden="1" customHeight="1">
      <c r="B105" s="929"/>
      <c r="C105" s="840"/>
      <c r="D105" s="841"/>
      <c r="E105" s="841"/>
      <c r="F105" s="841"/>
      <c r="G105" s="841"/>
      <c r="H105" s="842"/>
      <c r="I105" s="917"/>
      <c r="J105" s="918"/>
      <c r="K105" s="918"/>
      <c r="L105" s="919"/>
      <c r="M105" s="917"/>
      <c r="N105" s="918"/>
      <c r="O105" s="918"/>
      <c r="P105" s="919"/>
      <c r="Q105" s="936"/>
      <c r="R105" s="937"/>
      <c r="S105" s="938"/>
      <c r="T105" s="917"/>
      <c r="U105" s="919"/>
      <c r="V105" s="853"/>
      <c r="W105" s="854"/>
      <c r="X105" s="840"/>
      <c r="Y105" s="841"/>
      <c r="Z105" s="841"/>
      <c r="AA105" s="842"/>
      <c r="AB105" s="840"/>
      <c r="AC105" s="841"/>
      <c r="AD105" s="842"/>
      <c r="AE105" s="865"/>
      <c r="AF105" s="875"/>
      <c r="AG105" s="865"/>
      <c r="AH105" s="875"/>
      <c r="AI105" s="925"/>
      <c r="AJ105" s="870"/>
      <c r="AK105" s="912"/>
      <c r="AL105" s="913"/>
      <c r="AM105" s="913"/>
      <c r="AN105" s="925"/>
      <c r="AO105" s="932"/>
      <c r="AP105" s="932"/>
      <c r="AQ105" s="870"/>
      <c r="AR105" s="59"/>
      <c r="AU105" s="814"/>
      <c r="AV105" s="907"/>
      <c r="BC105" s="831"/>
    </row>
    <row r="106" spans="2:55" ht="15.95" hidden="1" customHeight="1">
      <c r="B106" s="929">
        <v>46</v>
      </c>
      <c r="C106" s="837"/>
      <c r="D106" s="838"/>
      <c r="E106" s="838"/>
      <c r="F106" s="838"/>
      <c r="G106" s="838"/>
      <c r="H106" s="839"/>
      <c r="I106" s="914" t="str">
        <f>IFERROR(IF(C106="","",INDEX(PMELIGHTCON[Base Desc 1],MATCH(C106,PMELIGHTCON[Eff Desc 1],0))),"")</f>
        <v/>
      </c>
      <c r="J106" s="915"/>
      <c r="K106" s="915"/>
      <c r="L106" s="916"/>
      <c r="M106" s="914" t="str">
        <f>IFERROR(IF(C106="","",INDEX(PMELIGHTCON[Eff Desc 2],MATCH(C106,PMELIGHTCON[Eff Desc 1],0))),"")</f>
        <v/>
      </c>
      <c r="N106" s="915"/>
      <c r="O106" s="915"/>
      <c r="P106" s="916"/>
      <c r="Q106" s="933"/>
      <c r="R106" s="934"/>
      <c r="S106" s="935"/>
      <c r="T106" s="914" t="str">
        <f>IFERROR(IF(C106="","",INDEX(PMELIGHTCON[Unit of Measure],MATCH(C106,PMELIGHTCON[Eff Desc 1],0))),"")</f>
        <v/>
      </c>
      <c r="U106" s="916"/>
      <c r="V106" s="851"/>
      <c r="W106" s="852"/>
      <c r="X106" s="837"/>
      <c r="Y106" s="838"/>
      <c r="Z106" s="838"/>
      <c r="AA106" s="839"/>
      <c r="AB106" s="837"/>
      <c r="AC106" s="838"/>
      <c r="AD106" s="839"/>
      <c r="AE106" s="863"/>
      <c r="AF106" s="874"/>
      <c r="AG106" s="863"/>
      <c r="AH106" s="874"/>
      <c r="AI106" s="923" t="str">
        <f>IFERROR(IF(C106="","",INDEX(PMELIGHTCON[Inc Rate Unit],MATCH(C106,PMELIGHTCON[Eff Desc 1],0))),"")</f>
        <v/>
      </c>
      <c r="AJ106" s="924"/>
      <c r="AK106" s="910" t="str">
        <f>IF(OR(C106="",Q106="",V106="",X106="",AB106="",AE106="",AG106=""),"",ROUND(V106*INDEX(PMELIGHTCON[Savings per Unit kWh],MATCH(C106,PMELIGHTCON[Eff Desc 1],0)),2))</f>
        <v/>
      </c>
      <c r="AL106" s="911"/>
      <c r="AM106" s="911"/>
      <c r="AN106" s="930" t="str">
        <f t="shared" ref="AN106" si="96">IF(OR(C106="",Q106="",V106="",X106="",AB106="",AE106="",AG106=""),"",IF(BC106&lt;&gt;"",BC106,MIN(AU106,ROUND(V106*AI106,2))))</f>
        <v/>
      </c>
      <c r="AO106" s="931"/>
      <c r="AP106" s="931"/>
      <c r="AQ106" s="868"/>
      <c r="AR106" s="59"/>
      <c r="AU106" s="813" t="str">
        <f t="shared" ref="AU106" si="97">IF(OR(C106="",Q106="",V106="",X106="",AB106="",AE106="",AG106=""),"",(ROUND((AE106+AG106)*V106,2)))</f>
        <v/>
      </c>
      <c r="AV106" s="928" t="str">
        <f>IF(OR(C106="",Q106="",V106="",X106="",AB106="",AE106="",AG106=""),"",ROUND((V106*INDEX(PMELIGHTCON[Savings per Unit kW],MATCH(C106,PMELIGHTCON[Eff Desc 1],0)))*INDEX(ENDUSEALL[Lighting Coincidence Factor],MATCH("Lighting Controls",ENDUSEALL[End Use],0)),3))</f>
        <v/>
      </c>
      <c r="BC106" s="830"/>
    </row>
    <row r="107" spans="2:55" ht="15.95" hidden="1" customHeight="1">
      <c r="B107" s="929"/>
      <c r="C107" s="840"/>
      <c r="D107" s="841"/>
      <c r="E107" s="841"/>
      <c r="F107" s="841"/>
      <c r="G107" s="841"/>
      <c r="H107" s="842"/>
      <c r="I107" s="917"/>
      <c r="J107" s="918"/>
      <c r="K107" s="918"/>
      <c r="L107" s="919"/>
      <c r="M107" s="917"/>
      <c r="N107" s="918"/>
      <c r="O107" s="918"/>
      <c r="P107" s="919"/>
      <c r="Q107" s="936"/>
      <c r="R107" s="937"/>
      <c r="S107" s="938"/>
      <c r="T107" s="917"/>
      <c r="U107" s="919"/>
      <c r="V107" s="853"/>
      <c r="W107" s="854"/>
      <c r="X107" s="840"/>
      <c r="Y107" s="841"/>
      <c r="Z107" s="841"/>
      <c r="AA107" s="842"/>
      <c r="AB107" s="840"/>
      <c r="AC107" s="841"/>
      <c r="AD107" s="842"/>
      <c r="AE107" s="865"/>
      <c r="AF107" s="875"/>
      <c r="AG107" s="865"/>
      <c r="AH107" s="875"/>
      <c r="AI107" s="925"/>
      <c r="AJ107" s="870"/>
      <c r="AK107" s="912"/>
      <c r="AL107" s="913"/>
      <c r="AM107" s="913"/>
      <c r="AN107" s="925"/>
      <c r="AO107" s="932"/>
      <c r="AP107" s="932"/>
      <c r="AQ107" s="870"/>
      <c r="AR107" s="59"/>
      <c r="AU107" s="814"/>
      <c r="AV107" s="907"/>
      <c r="BC107" s="831"/>
    </row>
    <row r="108" spans="2:55" ht="15.95" hidden="1" customHeight="1">
      <c r="B108" s="929">
        <v>47</v>
      </c>
      <c r="C108" s="837"/>
      <c r="D108" s="838"/>
      <c r="E108" s="838"/>
      <c r="F108" s="838"/>
      <c r="G108" s="838"/>
      <c r="H108" s="839"/>
      <c r="I108" s="914" t="str">
        <f>IFERROR(IF(C108="","",INDEX(PMELIGHTCON[Base Desc 1],MATCH(C108,PMELIGHTCON[Eff Desc 1],0))),"")</f>
        <v/>
      </c>
      <c r="J108" s="915"/>
      <c r="K108" s="915"/>
      <c r="L108" s="916"/>
      <c r="M108" s="914" t="str">
        <f>IFERROR(IF(C108="","",INDEX(PMELIGHTCON[Eff Desc 2],MATCH(C108,PMELIGHTCON[Eff Desc 1],0))),"")</f>
        <v/>
      </c>
      <c r="N108" s="915"/>
      <c r="O108" s="915"/>
      <c r="P108" s="916"/>
      <c r="Q108" s="933"/>
      <c r="R108" s="934"/>
      <c r="S108" s="935"/>
      <c r="T108" s="914" t="str">
        <f>IFERROR(IF(C108="","",INDEX(PMELIGHTCON[Unit of Measure],MATCH(C108,PMELIGHTCON[Eff Desc 1],0))),"")</f>
        <v/>
      </c>
      <c r="U108" s="916"/>
      <c r="V108" s="851"/>
      <c r="W108" s="852"/>
      <c r="X108" s="837"/>
      <c r="Y108" s="838"/>
      <c r="Z108" s="838"/>
      <c r="AA108" s="839"/>
      <c r="AB108" s="837"/>
      <c r="AC108" s="838"/>
      <c r="AD108" s="839"/>
      <c r="AE108" s="863"/>
      <c r="AF108" s="874"/>
      <c r="AG108" s="863"/>
      <c r="AH108" s="874"/>
      <c r="AI108" s="923" t="str">
        <f>IFERROR(IF(C108="","",INDEX(PMELIGHTCON[Inc Rate Unit],MATCH(C108,PMELIGHTCON[Eff Desc 1],0))),"")</f>
        <v/>
      </c>
      <c r="AJ108" s="924"/>
      <c r="AK108" s="910" t="str">
        <f>IF(OR(C108="",Q108="",V108="",X108="",AB108="",AE108="",AG108=""),"",ROUND(V108*INDEX(PMELIGHTCON[Savings per Unit kWh],MATCH(C108,PMELIGHTCON[Eff Desc 1],0)),2))</f>
        <v/>
      </c>
      <c r="AL108" s="911"/>
      <c r="AM108" s="911"/>
      <c r="AN108" s="930" t="str">
        <f t="shared" ref="AN108" si="98">IF(OR(C108="",Q108="",V108="",X108="",AB108="",AE108="",AG108=""),"",IF(BC108&lt;&gt;"",BC108,MIN(AU108,ROUND(V108*AI108,2))))</f>
        <v/>
      </c>
      <c r="AO108" s="931"/>
      <c r="AP108" s="931"/>
      <c r="AQ108" s="868"/>
      <c r="AR108" s="59"/>
      <c r="AU108" s="813" t="str">
        <f t="shared" ref="AU108" si="99">IF(OR(C108="",Q108="",V108="",X108="",AB108="",AE108="",AG108=""),"",(ROUND((AE108+AG108)*V108,2)))</f>
        <v/>
      </c>
      <c r="AV108" s="928" t="str">
        <f>IF(OR(C108="",Q108="",V108="",X108="",AB108="",AE108="",AG108=""),"",ROUND((V108*INDEX(PMELIGHTCON[Savings per Unit kW],MATCH(C108,PMELIGHTCON[Eff Desc 1],0)))*INDEX(ENDUSEALL[Lighting Coincidence Factor],MATCH("Lighting Controls",ENDUSEALL[End Use],0)),3))</f>
        <v/>
      </c>
      <c r="BC108" s="830"/>
    </row>
    <row r="109" spans="2:55" ht="15.95" hidden="1" customHeight="1">
      <c r="B109" s="929"/>
      <c r="C109" s="840"/>
      <c r="D109" s="841"/>
      <c r="E109" s="841"/>
      <c r="F109" s="841"/>
      <c r="G109" s="841"/>
      <c r="H109" s="842"/>
      <c r="I109" s="917"/>
      <c r="J109" s="918"/>
      <c r="K109" s="918"/>
      <c r="L109" s="919"/>
      <c r="M109" s="917"/>
      <c r="N109" s="918"/>
      <c r="O109" s="918"/>
      <c r="P109" s="919"/>
      <c r="Q109" s="936"/>
      <c r="R109" s="937"/>
      <c r="S109" s="938"/>
      <c r="T109" s="917"/>
      <c r="U109" s="919"/>
      <c r="V109" s="853"/>
      <c r="W109" s="854"/>
      <c r="X109" s="840"/>
      <c r="Y109" s="841"/>
      <c r="Z109" s="841"/>
      <c r="AA109" s="842"/>
      <c r="AB109" s="840"/>
      <c r="AC109" s="841"/>
      <c r="AD109" s="842"/>
      <c r="AE109" s="865"/>
      <c r="AF109" s="875"/>
      <c r="AG109" s="865"/>
      <c r="AH109" s="875"/>
      <c r="AI109" s="925"/>
      <c r="AJ109" s="870"/>
      <c r="AK109" s="912"/>
      <c r="AL109" s="913"/>
      <c r="AM109" s="913"/>
      <c r="AN109" s="925"/>
      <c r="AO109" s="932"/>
      <c r="AP109" s="932"/>
      <c r="AQ109" s="870"/>
      <c r="AR109" s="59"/>
      <c r="AU109" s="814"/>
      <c r="AV109" s="907"/>
      <c r="BC109" s="831"/>
    </row>
    <row r="110" spans="2:55" ht="15.95" hidden="1" customHeight="1">
      <c r="B110" s="929">
        <v>48</v>
      </c>
      <c r="C110" s="837"/>
      <c r="D110" s="838"/>
      <c r="E110" s="838"/>
      <c r="F110" s="838"/>
      <c r="G110" s="838"/>
      <c r="H110" s="839"/>
      <c r="I110" s="914" t="str">
        <f>IFERROR(IF(C110="","",INDEX(PMELIGHTCON[Base Desc 1],MATCH(C110,PMELIGHTCON[Eff Desc 1],0))),"")</f>
        <v/>
      </c>
      <c r="J110" s="915"/>
      <c r="K110" s="915"/>
      <c r="L110" s="916"/>
      <c r="M110" s="914" t="str">
        <f>IFERROR(IF(C110="","",INDEX(PMELIGHTCON[Eff Desc 2],MATCH(C110,PMELIGHTCON[Eff Desc 1],0))),"")</f>
        <v/>
      </c>
      <c r="N110" s="915"/>
      <c r="O110" s="915"/>
      <c r="P110" s="916"/>
      <c r="Q110" s="933"/>
      <c r="R110" s="934"/>
      <c r="S110" s="935"/>
      <c r="T110" s="914" t="str">
        <f>IFERROR(IF(C110="","",INDEX(PMELIGHTCON[Unit of Measure],MATCH(C110,PMELIGHTCON[Eff Desc 1],0))),"")</f>
        <v/>
      </c>
      <c r="U110" s="916"/>
      <c r="V110" s="851"/>
      <c r="W110" s="852"/>
      <c r="X110" s="837"/>
      <c r="Y110" s="838"/>
      <c r="Z110" s="838"/>
      <c r="AA110" s="839"/>
      <c r="AB110" s="837"/>
      <c r="AC110" s="838"/>
      <c r="AD110" s="839"/>
      <c r="AE110" s="863"/>
      <c r="AF110" s="874"/>
      <c r="AG110" s="863"/>
      <c r="AH110" s="874"/>
      <c r="AI110" s="923" t="str">
        <f>IFERROR(IF(C110="","",INDEX(PMELIGHTCON[Inc Rate Unit],MATCH(C110,PMELIGHTCON[Eff Desc 1],0))),"")</f>
        <v/>
      </c>
      <c r="AJ110" s="924"/>
      <c r="AK110" s="910" t="str">
        <f>IF(OR(C110="",Q110="",V110="",X110="",AB110="",AE110="",AG110=""),"",ROUND(V110*INDEX(PMELIGHTCON[Savings per Unit kWh],MATCH(C110,PMELIGHTCON[Eff Desc 1],0)),2))</f>
        <v/>
      </c>
      <c r="AL110" s="911"/>
      <c r="AM110" s="911"/>
      <c r="AN110" s="930" t="str">
        <f t="shared" ref="AN110" si="100">IF(OR(C110="",Q110="",V110="",X110="",AB110="",AE110="",AG110=""),"",IF(BC110&lt;&gt;"",BC110,MIN(AU110,ROUND(V110*AI110,2))))</f>
        <v/>
      </c>
      <c r="AO110" s="931"/>
      <c r="AP110" s="931"/>
      <c r="AQ110" s="868"/>
      <c r="AR110" s="59"/>
      <c r="AU110" s="813" t="str">
        <f t="shared" ref="AU110" si="101">IF(OR(C110="",Q110="",V110="",X110="",AB110="",AE110="",AG110=""),"",(ROUND((AE110+AG110)*V110,2)))</f>
        <v/>
      </c>
      <c r="AV110" s="928" t="str">
        <f>IF(OR(C110="",Q110="",V110="",X110="",AB110="",AE110="",AG110=""),"",ROUND((V110*INDEX(PMELIGHTCON[Savings per Unit kW],MATCH(C110,PMELIGHTCON[Eff Desc 1],0)))*INDEX(ENDUSEALL[Lighting Coincidence Factor],MATCH("Lighting Controls",ENDUSEALL[End Use],0)),3))</f>
        <v/>
      </c>
      <c r="BC110" s="830"/>
    </row>
    <row r="111" spans="2:55" ht="15.95" hidden="1" customHeight="1">
      <c r="B111" s="929"/>
      <c r="C111" s="840"/>
      <c r="D111" s="841"/>
      <c r="E111" s="841"/>
      <c r="F111" s="841"/>
      <c r="G111" s="841"/>
      <c r="H111" s="842"/>
      <c r="I111" s="917"/>
      <c r="J111" s="918"/>
      <c r="K111" s="918"/>
      <c r="L111" s="919"/>
      <c r="M111" s="917"/>
      <c r="N111" s="918"/>
      <c r="O111" s="918"/>
      <c r="P111" s="919"/>
      <c r="Q111" s="936"/>
      <c r="R111" s="937"/>
      <c r="S111" s="938"/>
      <c r="T111" s="917"/>
      <c r="U111" s="919"/>
      <c r="V111" s="853"/>
      <c r="W111" s="854"/>
      <c r="X111" s="840"/>
      <c r="Y111" s="841"/>
      <c r="Z111" s="841"/>
      <c r="AA111" s="842"/>
      <c r="AB111" s="840"/>
      <c r="AC111" s="841"/>
      <c r="AD111" s="842"/>
      <c r="AE111" s="865"/>
      <c r="AF111" s="875"/>
      <c r="AG111" s="865"/>
      <c r="AH111" s="875"/>
      <c r="AI111" s="925"/>
      <c r="AJ111" s="870"/>
      <c r="AK111" s="912"/>
      <c r="AL111" s="913"/>
      <c r="AM111" s="913"/>
      <c r="AN111" s="925"/>
      <c r="AO111" s="932"/>
      <c r="AP111" s="932"/>
      <c r="AQ111" s="870"/>
      <c r="AR111" s="59"/>
      <c r="AU111" s="814"/>
      <c r="AV111" s="907"/>
      <c r="BC111" s="831"/>
    </row>
    <row r="112" spans="2:55" ht="15.95" hidden="1" customHeight="1">
      <c r="B112" s="929">
        <v>49</v>
      </c>
      <c r="C112" s="837"/>
      <c r="D112" s="838"/>
      <c r="E112" s="838"/>
      <c r="F112" s="838"/>
      <c r="G112" s="838"/>
      <c r="H112" s="839"/>
      <c r="I112" s="914" t="str">
        <f>IFERROR(IF(C112="","",INDEX(PMELIGHTCON[Base Desc 1],MATCH(C112,PMELIGHTCON[Eff Desc 1],0))),"")</f>
        <v/>
      </c>
      <c r="J112" s="915"/>
      <c r="K112" s="915"/>
      <c r="L112" s="916"/>
      <c r="M112" s="914" t="str">
        <f>IFERROR(IF(C112="","",INDEX(PMELIGHTCON[Eff Desc 2],MATCH(C112,PMELIGHTCON[Eff Desc 1],0))),"")</f>
        <v/>
      </c>
      <c r="N112" s="915"/>
      <c r="O112" s="915"/>
      <c r="P112" s="916"/>
      <c r="Q112" s="933"/>
      <c r="R112" s="934"/>
      <c r="S112" s="935"/>
      <c r="T112" s="914" t="str">
        <f>IFERROR(IF(C112="","",INDEX(PMELIGHTCON[Unit of Measure],MATCH(C112,PMELIGHTCON[Eff Desc 1],0))),"")</f>
        <v/>
      </c>
      <c r="U112" s="916"/>
      <c r="V112" s="851"/>
      <c r="W112" s="852"/>
      <c r="X112" s="837"/>
      <c r="Y112" s="838"/>
      <c r="Z112" s="838"/>
      <c r="AA112" s="839"/>
      <c r="AB112" s="837"/>
      <c r="AC112" s="838"/>
      <c r="AD112" s="839"/>
      <c r="AE112" s="863"/>
      <c r="AF112" s="874"/>
      <c r="AG112" s="863"/>
      <c r="AH112" s="874"/>
      <c r="AI112" s="923" t="str">
        <f>IFERROR(IF(C112="","",INDEX(PMELIGHTCON[Inc Rate Unit],MATCH(C112,PMELIGHTCON[Eff Desc 1],0))),"")</f>
        <v/>
      </c>
      <c r="AJ112" s="924"/>
      <c r="AK112" s="910" t="str">
        <f>IF(OR(C112="",Q112="",V112="",X112="",AB112="",AE112="",AG112=""),"",ROUND(V112*INDEX(PMELIGHTCON[Savings per Unit kWh],MATCH(C112,PMELIGHTCON[Eff Desc 1],0)),2))</f>
        <v/>
      </c>
      <c r="AL112" s="911"/>
      <c r="AM112" s="911"/>
      <c r="AN112" s="930" t="str">
        <f t="shared" ref="AN112" si="102">IF(OR(C112="",Q112="",V112="",X112="",AB112="",AE112="",AG112=""),"",IF(BC112&lt;&gt;"",BC112,MIN(AU112,ROUND(V112*AI112,2))))</f>
        <v/>
      </c>
      <c r="AO112" s="931"/>
      <c r="AP112" s="931"/>
      <c r="AQ112" s="868"/>
      <c r="AR112" s="59"/>
      <c r="AU112" s="813" t="str">
        <f t="shared" ref="AU112:AU114" si="103">IF(OR(C112="",Q112="",V112="",X112="",AB112="",AE112="",AG112=""),"",(ROUND((AE112+AG112)*V112,2)))</f>
        <v/>
      </c>
      <c r="AV112" s="928" t="str">
        <f>IF(OR(C112="",Q112="",V112="",X112="",AB112="",AE112="",AG112=""),"",ROUND((V112*INDEX(PMELIGHTCON[Savings per Unit kW],MATCH(C112,PMELIGHTCON[Eff Desc 1],0)))*INDEX(ENDUSEALL[Lighting Coincidence Factor],MATCH("Lighting Controls",ENDUSEALL[End Use],0)),3))</f>
        <v/>
      </c>
      <c r="BC112" s="830"/>
    </row>
    <row r="113" spans="2:55" ht="15.95" hidden="1" customHeight="1">
      <c r="B113" s="929"/>
      <c r="C113" s="840"/>
      <c r="D113" s="841"/>
      <c r="E113" s="841"/>
      <c r="F113" s="841"/>
      <c r="G113" s="841"/>
      <c r="H113" s="842"/>
      <c r="I113" s="917"/>
      <c r="J113" s="918"/>
      <c r="K113" s="918"/>
      <c r="L113" s="919"/>
      <c r="M113" s="917"/>
      <c r="N113" s="918"/>
      <c r="O113" s="918"/>
      <c r="P113" s="919"/>
      <c r="Q113" s="936"/>
      <c r="R113" s="937"/>
      <c r="S113" s="938"/>
      <c r="T113" s="917"/>
      <c r="U113" s="919"/>
      <c r="V113" s="853"/>
      <c r="W113" s="854"/>
      <c r="X113" s="840"/>
      <c r="Y113" s="841"/>
      <c r="Z113" s="841"/>
      <c r="AA113" s="842"/>
      <c r="AB113" s="840"/>
      <c r="AC113" s="841"/>
      <c r="AD113" s="842"/>
      <c r="AE113" s="865"/>
      <c r="AF113" s="875"/>
      <c r="AG113" s="865"/>
      <c r="AH113" s="875"/>
      <c r="AI113" s="925"/>
      <c r="AJ113" s="870"/>
      <c r="AK113" s="912"/>
      <c r="AL113" s="913"/>
      <c r="AM113" s="913"/>
      <c r="AN113" s="925"/>
      <c r="AO113" s="932"/>
      <c r="AP113" s="932"/>
      <c r="AQ113" s="870"/>
      <c r="AR113" s="59"/>
      <c r="AU113" s="814"/>
      <c r="AV113" s="907"/>
      <c r="BC113" s="831"/>
    </row>
    <row r="114" spans="2:55" ht="15.95" hidden="1" customHeight="1">
      <c r="B114" s="929">
        <v>50</v>
      </c>
      <c r="C114" s="837"/>
      <c r="D114" s="838"/>
      <c r="E114" s="838"/>
      <c r="F114" s="838"/>
      <c r="G114" s="838"/>
      <c r="H114" s="839"/>
      <c r="I114" s="914" t="str">
        <f>IFERROR(IF(C114="","",INDEX(PMELIGHTCON[Base Desc 1],MATCH(C114,PMELIGHTCON[Eff Desc 1],0))),"")</f>
        <v/>
      </c>
      <c r="J114" s="915"/>
      <c r="K114" s="915"/>
      <c r="L114" s="916"/>
      <c r="M114" s="914" t="str">
        <f>IFERROR(IF(C114="","",INDEX(PMELIGHTCON[Eff Desc 2],MATCH(C114,PMELIGHTCON[Eff Desc 1],0))),"")</f>
        <v/>
      </c>
      <c r="N114" s="915"/>
      <c r="O114" s="915"/>
      <c r="P114" s="916"/>
      <c r="Q114" s="933"/>
      <c r="R114" s="934"/>
      <c r="S114" s="935"/>
      <c r="T114" s="914" t="str">
        <f>IFERROR(IF(C114="","",INDEX(PMELIGHTCON[Unit of Measure],MATCH(C114,PMELIGHTCON[Eff Desc 1],0))),"")</f>
        <v/>
      </c>
      <c r="U114" s="916"/>
      <c r="V114" s="851"/>
      <c r="W114" s="852"/>
      <c r="X114" s="837"/>
      <c r="Y114" s="838"/>
      <c r="Z114" s="838"/>
      <c r="AA114" s="839"/>
      <c r="AB114" s="837"/>
      <c r="AC114" s="838"/>
      <c r="AD114" s="839"/>
      <c r="AE114" s="863"/>
      <c r="AF114" s="874"/>
      <c r="AG114" s="863"/>
      <c r="AH114" s="874"/>
      <c r="AI114" s="923" t="str">
        <f>IFERROR(IF(C114="","",INDEX(PMELIGHTCON[Inc Rate Unit],MATCH(C114,PMELIGHTCON[Eff Desc 1],0))),"")</f>
        <v/>
      </c>
      <c r="AJ114" s="924"/>
      <c r="AK114" s="910" t="str">
        <f>IF(OR(C114="",Q114="",V114="",X114="",AB114="",AE114="",AG114=""),"",ROUND(V114*INDEX(PMELIGHTCON[Savings per Unit kWh],MATCH(C114,PMELIGHTCON[Eff Desc 1],0)),2))</f>
        <v/>
      </c>
      <c r="AL114" s="911"/>
      <c r="AM114" s="911"/>
      <c r="AN114" s="930" t="str">
        <f t="shared" ref="AN114" si="104">IF(OR(C114="",Q114="",V114="",X114="",AB114="",AE114="",AG114=""),"",IF(BC114&lt;&gt;"",BC114,MIN(AU114,ROUND(V114*AI114,2))))</f>
        <v/>
      </c>
      <c r="AO114" s="931"/>
      <c r="AP114" s="931"/>
      <c r="AQ114" s="868"/>
      <c r="AR114" s="59"/>
      <c r="AU114" s="813" t="str">
        <f t="shared" si="103"/>
        <v/>
      </c>
      <c r="AV114" s="928" t="str">
        <f>IF(OR(C114="",Q114="",V114="",X114="",AB114="",AE114="",AG114=""),"",ROUND((V114*INDEX(PMELIGHTCON[Savings per Unit kW],MATCH(C114,PMELIGHTCON[Eff Desc 1],0)))*INDEX(ENDUSEALL[Lighting Coincidence Factor],MATCH("Lighting Controls",ENDUSEALL[End Use],0)),3))</f>
        <v/>
      </c>
      <c r="AY114" s="813"/>
      <c r="AZ114" s="813"/>
      <c r="BA114" s="813"/>
      <c r="BB114" s="813"/>
      <c r="BC114" s="830"/>
    </row>
    <row r="115" spans="2:55" ht="15.95" hidden="1" customHeight="1">
      <c r="B115" s="929"/>
      <c r="C115" s="840"/>
      <c r="D115" s="841"/>
      <c r="E115" s="841"/>
      <c r="F115" s="841"/>
      <c r="G115" s="841"/>
      <c r="H115" s="842"/>
      <c r="I115" s="917"/>
      <c r="J115" s="918"/>
      <c r="K115" s="918"/>
      <c r="L115" s="919"/>
      <c r="M115" s="917"/>
      <c r="N115" s="918"/>
      <c r="O115" s="918"/>
      <c r="P115" s="919"/>
      <c r="Q115" s="936"/>
      <c r="R115" s="937"/>
      <c r="S115" s="938"/>
      <c r="T115" s="917"/>
      <c r="U115" s="919"/>
      <c r="V115" s="853"/>
      <c r="W115" s="854"/>
      <c r="X115" s="840"/>
      <c r="Y115" s="841"/>
      <c r="Z115" s="841"/>
      <c r="AA115" s="842"/>
      <c r="AB115" s="840"/>
      <c r="AC115" s="841"/>
      <c r="AD115" s="842"/>
      <c r="AE115" s="865"/>
      <c r="AF115" s="875"/>
      <c r="AG115" s="865"/>
      <c r="AH115" s="875"/>
      <c r="AI115" s="925"/>
      <c r="AJ115" s="870"/>
      <c r="AK115" s="912"/>
      <c r="AL115" s="913"/>
      <c r="AM115" s="913"/>
      <c r="AN115" s="925"/>
      <c r="AO115" s="932"/>
      <c r="AP115" s="932"/>
      <c r="AQ115" s="870"/>
      <c r="AR115" s="59"/>
      <c r="AU115" s="814"/>
      <c r="AV115" s="907"/>
      <c r="AY115" s="814"/>
      <c r="AZ115" s="814"/>
      <c r="BA115" s="814"/>
      <c r="BB115" s="814"/>
      <c r="BC115" s="831"/>
    </row>
    <row r="116" spans="2:55" ht="15.95" hidden="1" customHeight="1">
      <c r="B116" s="929">
        <v>51</v>
      </c>
      <c r="C116" s="8"/>
      <c r="D116" s="8"/>
      <c r="E116" s="8"/>
      <c r="F116" s="8"/>
      <c r="G116" s="8"/>
      <c r="H116" s="8"/>
      <c r="I116" s="8"/>
      <c r="J116" s="8"/>
      <c r="K116" s="8"/>
      <c r="L116" s="8"/>
      <c r="M116" s="8"/>
      <c r="N116" s="8"/>
      <c r="O116" s="8"/>
      <c r="P116" s="8"/>
      <c r="Q116" s="8"/>
      <c r="R116" s="8"/>
      <c r="S116" s="8"/>
      <c r="T116" s="8"/>
      <c r="U116" s="8"/>
      <c r="V116" s="8"/>
      <c r="W116" s="8"/>
      <c r="X116" s="8"/>
      <c r="Y116" s="8"/>
      <c r="Z116" s="8"/>
      <c r="AA116" s="8"/>
      <c r="AB116" s="8"/>
      <c r="AC116" s="8"/>
      <c r="AD116" s="8"/>
      <c r="AE116" s="8"/>
      <c r="AF116" s="8"/>
      <c r="AG116" s="8"/>
      <c r="AH116" s="8"/>
      <c r="AI116" s="8"/>
      <c r="AJ116" s="8"/>
      <c r="AK116" s="8"/>
      <c r="AL116" s="8"/>
      <c r="AM116" s="8"/>
      <c r="AN116" s="8"/>
      <c r="AO116" s="8"/>
      <c r="AP116" s="8"/>
      <c r="AQ116" s="8"/>
      <c r="AR116" s="59"/>
      <c r="AU116"/>
      <c r="AV116"/>
      <c r="AW116"/>
      <c r="AX116"/>
      <c r="AY116"/>
      <c r="AZ116"/>
      <c r="BA116"/>
      <c r="BB116"/>
      <c r="BC116"/>
    </row>
    <row r="117" spans="2:55" ht="15.95" hidden="1" customHeight="1">
      <c r="B117" s="929"/>
      <c r="C117" s="8"/>
      <c r="D117" s="8"/>
      <c r="E117" s="8"/>
      <c r="F117" s="8"/>
      <c r="G117" s="8"/>
      <c r="H117" s="8"/>
      <c r="I117" s="8"/>
      <c r="J117" s="8"/>
      <c r="K117" s="8"/>
      <c r="L117" s="8"/>
      <c r="M117" s="8"/>
      <c r="N117" s="8"/>
      <c r="O117" s="8"/>
      <c r="P117" s="8"/>
      <c r="Q117" s="8"/>
      <c r="R117" s="8"/>
      <c r="S117" s="8"/>
      <c r="T117" s="8"/>
      <c r="U117" s="8"/>
      <c r="V117" s="8"/>
      <c r="W117" s="8"/>
      <c r="X117" s="8"/>
      <c r="Y117" s="8"/>
      <c r="Z117" s="8"/>
      <c r="AA117" s="8"/>
      <c r="AB117" s="8"/>
      <c r="AC117" s="8"/>
      <c r="AD117" s="8"/>
      <c r="AE117" s="8"/>
      <c r="AF117" s="8"/>
      <c r="AG117" s="8"/>
      <c r="AH117" s="8"/>
      <c r="AI117" s="8"/>
      <c r="AJ117" s="8"/>
      <c r="AK117" s="8"/>
      <c r="AL117" s="8"/>
      <c r="AM117" s="8"/>
      <c r="AN117" s="8"/>
      <c r="AO117" s="8"/>
      <c r="AP117" s="8"/>
      <c r="AQ117" s="8"/>
    </row>
    <row r="118" spans="2:55" ht="15.95" hidden="1" customHeight="1">
      <c r="B118" s="929">
        <v>52</v>
      </c>
      <c r="C118" s="8"/>
      <c r="D118" s="8"/>
      <c r="E118" s="8"/>
      <c r="F118" s="8"/>
      <c r="G118" s="8"/>
      <c r="H118" s="8"/>
      <c r="I118" s="8"/>
      <c r="J118" s="8"/>
      <c r="K118" s="8"/>
      <c r="L118" s="8"/>
      <c r="M118" s="8"/>
      <c r="N118" s="8"/>
      <c r="O118" s="8"/>
      <c r="P118" s="8"/>
      <c r="Q118" s="8"/>
      <c r="R118" s="8"/>
      <c r="S118" s="8"/>
      <c r="T118" s="8"/>
      <c r="U118" s="8"/>
      <c r="V118" s="8"/>
      <c r="W118" s="8"/>
      <c r="X118" s="8"/>
      <c r="Y118" s="8"/>
      <c r="Z118" s="8"/>
      <c r="AA118" s="8"/>
      <c r="AB118" s="8"/>
      <c r="AC118" s="8"/>
      <c r="AD118" s="8"/>
      <c r="AE118" s="8"/>
      <c r="AF118" s="8"/>
      <c r="AG118" s="8"/>
      <c r="AH118" s="8"/>
      <c r="AI118" s="8"/>
      <c r="AJ118" s="8"/>
      <c r="AK118" s="8"/>
      <c r="AL118" s="8"/>
      <c r="AM118" s="8"/>
      <c r="AN118" s="8"/>
      <c r="AO118" s="8"/>
      <c r="AP118" s="8"/>
      <c r="AQ118" s="8"/>
    </row>
    <row r="119" spans="2:55" ht="15.95" hidden="1" customHeight="1">
      <c r="B119" s="929"/>
      <c r="C119" s="8"/>
      <c r="D119" s="8"/>
      <c r="E119" s="8"/>
      <c r="F119" s="8"/>
      <c r="G119" s="8"/>
      <c r="H119" s="8"/>
      <c r="I119" s="8"/>
      <c r="J119" s="8"/>
      <c r="K119" s="8"/>
      <c r="L119" s="8"/>
      <c r="M119" s="8"/>
      <c r="N119" s="8"/>
      <c r="O119" s="8"/>
      <c r="P119" s="8"/>
      <c r="Q119" s="8"/>
      <c r="R119" s="8"/>
      <c r="S119" s="8"/>
      <c r="T119" s="8"/>
      <c r="U119" s="8"/>
      <c r="V119" s="8"/>
      <c r="W119" s="8"/>
      <c r="X119" s="8"/>
      <c r="Y119" s="8"/>
      <c r="Z119" s="8"/>
      <c r="AA119" s="8"/>
      <c r="AB119" s="8"/>
      <c r="AC119" s="8"/>
      <c r="AD119" s="8"/>
      <c r="AE119" s="8"/>
      <c r="AF119" s="8"/>
      <c r="AG119" s="8"/>
      <c r="AH119" s="8"/>
      <c r="AI119" s="8"/>
      <c r="AJ119" s="8"/>
      <c r="AK119" s="8"/>
      <c r="AL119" s="8"/>
      <c r="AM119" s="8"/>
      <c r="AN119" s="8"/>
      <c r="AO119" s="8"/>
      <c r="AP119" s="8"/>
      <c r="AQ119" s="8"/>
    </row>
    <row r="120" spans="2:55" ht="15.95" hidden="1" customHeight="1">
      <c r="B120" s="929">
        <v>53</v>
      </c>
      <c r="C120" s="8"/>
      <c r="D120" s="8"/>
      <c r="E120" s="8"/>
      <c r="F120" s="8"/>
      <c r="G120" s="8"/>
      <c r="H120" s="8"/>
      <c r="I120" s="8"/>
      <c r="J120" s="8"/>
      <c r="K120" s="8"/>
      <c r="L120" s="8"/>
      <c r="M120" s="8"/>
      <c r="N120" s="8"/>
      <c r="O120" s="8"/>
      <c r="P120" s="8"/>
      <c r="Q120" s="8"/>
      <c r="R120" s="8"/>
      <c r="S120" s="8"/>
      <c r="T120" s="8"/>
      <c r="U120" s="8"/>
      <c r="V120" s="8"/>
      <c r="W120" s="8"/>
      <c r="X120" s="8"/>
      <c r="Y120" s="8"/>
      <c r="Z120" s="8"/>
      <c r="AA120" s="8"/>
      <c r="AB120" s="8"/>
      <c r="AC120" s="8"/>
      <c r="AD120" s="8"/>
      <c r="AE120" s="8"/>
      <c r="AF120" s="8"/>
      <c r="AG120" s="8"/>
      <c r="AH120" s="8"/>
      <c r="AI120" s="8"/>
      <c r="AJ120" s="8"/>
      <c r="AK120" s="8"/>
      <c r="AL120" s="8"/>
      <c r="AM120" s="8"/>
      <c r="AN120" s="8"/>
      <c r="AO120" s="8"/>
      <c r="AP120" s="8"/>
      <c r="AQ120" s="8"/>
    </row>
    <row r="121" spans="2:55" ht="15.95" hidden="1" customHeight="1">
      <c r="B121" s="929"/>
      <c r="C121" s="8"/>
      <c r="D121" s="8"/>
      <c r="E121" s="8"/>
      <c r="F121" s="8"/>
      <c r="G121" s="8"/>
      <c r="H121" s="8"/>
      <c r="I121" s="8"/>
      <c r="J121" s="8"/>
      <c r="K121" s="8"/>
      <c r="L121" s="8"/>
      <c r="M121" s="8"/>
      <c r="N121" s="8"/>
      <c r="O121" s="8"/>
      <c r="P121" s="8"/>
      <c r="Q121" s="8"/>
      <c r="R121" s="8"/>
      <c r="S121" s="8"/>
      <c r="T121" s="8"/>
      <c r="U121" s="8"/>
      <c r="V121" s="8"/>
      <c r="W121" s="8"/>
      <c r="X121" s="8"/>
      <c r="Y121" s="8"/>
      <c r="Z121" s="8"/>
      <c r="AA121" s="8"/>
      <c r="AB121" s="8"/>
      <c r="AC121" s="8"/>
      <c r="AD121" s="8"/>
      <c r="AE121" s="8"/>
      <c r="AF121" s="8"/>
      <c r="AG121" s="8"/>
      <c r="AH121" s="8"/>
      <c r="AI121" s="8"/>
      <c r="AJ121" s="8"/>
      <c r="AK121" s="8"/>
      <c r="AL121" s="8"/>
      <c r="AM121" s="8"/>
      <c r="AN121" s="8"/>
      <c r="AO121" s="8"/>
      <c r="AP121" s="8"/>
      <c r="AQ121" s="8"/>
    </row>
    <row r="122" spans="2:55" ht="15.95" hidden="1" customHeight="1">
      <c r="B122" s="929">
        <v>54</v>
      </c>
      <c r="C122" s="8"/>
      <c r="D122" s="8"/>
      <c r="E122" s="8"/>
      <c r="F122" s="8"/>
      <c r="G122" s="8"/>
      <c r="H122" s="8"/>
      <c r="I122" s="8"/>
      <c r="J122" s="8"/>
      <c r="K122" s="8"/>
      <c r="L122" s="8"/>
      <c r="M122" s="8"/>
      <c r="N122" s="8"/>
      <c r="O122" s="8"/>
      <c r="P122" s="8"/>
      <c r="Q122" s="8"/>
      <c r="R122" s="8"/>
      <c r="S122" s="8"/>
      <c r="T122" s="8"/>
      <c r="U122" s="8"/>
      <c r="V122" s="8"/>
      <c r="W122" s="8"/>
      <c r="X122" s="8"/>
      <c r="Y122" s="8"/>
      <c r="Z122" s="8"/>
      <c r="AA122" s="8"/>
      <c r="AB122" s="8"/>
      <c r="AC122" s="8"/>
      <c r="AD122" s="8"/>
      <c r="AE122" s="8"/>
      <c r="AF122" s="8"/>
      <c r="AG122" s="8"/>
      <c r="AH122" s="8"/>
      <c r="AI122" s="8"/>
      <c r="AJ122" s="8"/>
      <c r="AK122" s="8"/>
      <c r="AL122" s="8"/>
      <c r="AM122" s="8"/>
      <c r="AN122" s="8"/>
      <c r="AO122" s="8"/>
      <c r="AP122" s="8"/>
      <c r="AQ122" s="8"/>
    </row>
    <row r="123" spans="2:55" ht="15.95" hidden="1" customHeight="1">
      <c r="B123" s="929"/>
      <c r="C123" s="8"/>
      <c r="D123" s="8"/>
      <c r="E123" s="8"/>
      <c r="F123" s="8"/>
      <c r="G123" s="8"/>
      <c r="H123" s="8"/>
      <c r="I123" s="8"/>
      <c r="J123" s="8"/>
      <c r="K123" s="8"/>
      <c r="L123" s="8"/>
      <c r="M123" s="8"/>
      <c r="N123" s="8"/>
      <c r="O123" s="8"/>
      <c r="P123" s="8"/>
      <c r="Q123" s="8"/>
      <c r="R123" s="8"/>
      <c r="S123" s="8"/>
      <c r="T123" s="8"/>
      <c r="U123" s="8"/>
      <c r="V123" s="8"/>
      <c r="W123" s="8"/>
      <c r="X123" s="8"/>
      <c r="Y123" s="8"/>
      <c r="Z123" s="8"/>
      <c r="AA123" s="8"/>
      <c r="AB123" s="8"/>
      <c r="AC123" s="8"/>
      <c r="AD123" s="8"/>
      <c r="AE123" s="8"/>
      <c r="AF123" s="8"/>
      <c r="AG123" s="8"/>
      <c r="AH123" s="8"/>
      <c r="AI123" s="8"/>
      <c r="AJ123" s="8"/>
      <c r="AK123" s="8"/>
      <c r="AL123" s="8"/>
      <c r="AM123" s="8"/>
      <c r="AN123" s="8"/>
      <c r="AO123" s="8"/>
      <c r="AP123" s="8"/>
      <c r="AQ123" s="8"/>
    </row>
    <row r="124" spans="2:55" ht="15.95" hidden="1" customHeight="1">
      <c r="B124" s="929">
        <v>55</v>
      </c>
      <c r="C124" s="8"/>
      <c r="D124" s="8"/>
      <c r="E124" s="8"/>
      <c r="F124" s="8"/>
      <c r="G124" s="8"/>
      <c r="H124" s="8"/>
      <c r="I124" s="8"/>
      <c r="J124" s="8"/>
      <c r="K124" s="8"/>
      <c r="L124" s="8"/>
      <c r="M124" s="8"/>
      <c r="N124" s="8"/>
      <c r="O124" s="8"/>
      <c r="P124" s="8"/>
      <c r="Q124" s="8"/>
      <c r="R124" s="8"/>
      <c r="S124" s="8"/>
      <c r="T124" s="8"/>
      <c r="U124" s="8"/>
      <c r="V124" s="8"/>
      <c r="W124" s="8"/>
      <c r="X124" s="8"/>
      <c r="Y124" s="8"/>
      <c r="Z124" s="8"/>
      <c r="AA124" s="8"/>
      <c r="AB124" s="8"/>
      <c r="AC124" s="8"/>
      <c r="AD124" s="8"/>
      <c r="AE124" s="8"/>
      <c r="AF124" s="8"/>
      <c r="AG124" s="8"/>
      <c r="AH124" s="8"/>
      <c r="AI124" s="8"/>
      <c r="AJ124" s="8"/>
      <c r="AK124" s="8"/>
      <c r="AL124" s="8"/>
      <c r="AM124" s="8"/>
      <c r="AN124" s="8"/>
      <c r="AO124" s="8"/>
      <c r="AP124" s="8"/>
      <c r="AQ124" s="8"/>
    </row>
    <row r="125" spans="2:55" ht="15.95" hidden="1" customHeight="1">
      <c r="B125" s="929"/>
      <c r="C125" s="8"/>
      <c r="D125" s="8"/>
      <c r="E125" s="8"/>
      <c r="F125" s="8"/>
      <c r="G125" s="8"/>
      <c r="H125" s="8"/>
      <c r="I125" s="8"/>
      <c r="J125" s="8"/>
      <c r="K125" s="8"/>
      <c r="L125" s="8"/>
      <c r="M125" s="8"/>
      <c r="N125" s="8"/>
      <c r="O125" s="8"/>
      <c r="P125" s="8"/>
      <c r="Q125" s="8"/>
      <c r="R125" s="8"/>
      <c r="S125" s="8"/>
      <c r="T125" s="8"/>
      <c r="U125" s="8"/>
      <c r="V125" s="8"/>
      <c r="W125" s="8"/>
      <c r="X125" s="8"/>
      <c r="Y125" s="8"/>
      <c r="Z125" s="8"/>
      <c r="AA125" s="8"/>
      <c r="AB125" s="8"/>
      <c r="AC125" s="8"/>
      <c r="AD125" s="8"/>
      <c r="AE125" s="8"/>
      <c r="AF125" s="8"/>
      <c r="AG125" s="8"/>
      <c r="AH125" s="8"/>
      <c r="AI125" s="8"/>
      <c r="AJ125" s="8"/>
      <c r="AK125" s="8"/>
      <c r="AL125" s="8"/>
      <c r="AM125" s="8"/>
      <c r="AN125" s="8"/>
      <c r="AO125" s="8"/>
      <c r="AP125" s="8"/>
      <c r="AQ125" s="8"/>
    </row>
    <row r="126" spans="2:55" ht="15.95" hidden="1" customHeight="1">
      <c r="B126" s="929">
        <v>56</v>
      </c>
      <c r="C126" s="8"/>
      <c r="D126" s="8"/>
      <c r="E126" s="8"/>
      <c r="F126" s="8"/>
      <c r="G126" s="8"/>
      <c r="H126" s="8"/>
      <c r="I126" s="8"/>
      <c r="J126" s="8"/>
      <c r="K126" s="8"/>
      <c r="L126" s="8"/>
      <c r="M126" s="8"/>
      <c r="N126" s="8"/>
      <c r="O126" s="8"/>
      <c r="P126" s="8"/>
      <c r="Q126" s="8"/>
      <c r="R126" s="8"/>
      <c r="S126" s="8"/>
      <c r="T126" s="8"/>
      <c r="U126" s="8"/>
      <c r="V126" s="8"/>
      <c r="W126" s="8"/>
      <c r="X126" s="8"/>
      <c r="Y126" s="8"/>
      <c r="Z126" s="8"/>
      <c r="AA126" s="8"/>
      <c r="AB126" s="8"/>
      <c r="AC126" s="8"/>
      <c r="AD126" s="8"/>
      <c r="AE126" s="8"/>
      <c r="AF126" s="8"/>
      <c r="AG126" s="8"/>
      <c r="AH126" s="8"/>
      <c r="AI126" s="8"/>
      <c r="AJ126" s="8"/>
      <c r="AK126" s="8"/>
      <c r="AL126" s="8"/>
      <c r="AM126" s="8"/>
      <c r="AN126" s="8"/>
      <c r="AO126" s="8"/>
      <c r="AP126" s="8"/>
      <c r="AQ126" s="8"/>
    </row>
    <row r="127" spans="2:55" ht="15.95" hidden="1" customHeight="1">
      <c r="B127" s="929"/>
      <c r="C127" s="8"/>
      <c r="D127" s="8"/>
      <c r="E127" s="8"/>
      <c r="F127" s="8"/>
      <c r="G127" s="8"/>
      <c r="H127" s="8"/>
      <c r="I127" s="8"/>
      <c r="J127" s="8"/>
      <c r="K127" s="8"/>
      <c r="L127" s="8"/>
      <c r="M127" s="8"/>
      <c r="N127" s="8"/>
      <c r="O127" s="8"/>
      <c r="P127" s="8"/>
      <c r="Q127" s="8"/>
      <c r="R127" s="8"/>
      <c r="S127" s="8"/>
      <c r="T127" s="8"/>
      <c r="U127" s="8"/>
      <c r="V127" s="8"/>
      <c r="W127" s="8"/>
      <c r="X127" s="8"/>
      <c r="Y127" s="8"/>
      <c r="Z127" s="8"/>
      <c r="AA127" s="8"/>
      <c r="AB127" s="8"/>
      <c r="AC127" s="8"/>
      <c r="AD127" s="8"/>
      <c r="AE127" s="8"/>
      <c r="AF127" s="8"/>
      <c r="AG127" s="8"/>
      <c r="AH127" s="8"/>
      <c r="AI127" s="8"/>
      <c r="AJ127" s="8"/>
      <c r="AK127" s="8"/>
      <c r="AL127" s="8"/>
      <c r="AM127" s="8"/>
      <c r="AN127" s="8"/>
      <c r="AO127" s="8"/>
      <c r="AP127" s="8"/>
      <c r="AQ127" s="8"/>
    </row>
    <row r="128" spans="2:55" ht="15.95" hidden="1" customHeight="1">
      <c r="B128" s="929">
        <v>57</v>
      </c>
      <c r="C128" s="8"/>
      <c r="D128" s="8"/>
      <c r="E128" s="8"/>
      <c r="F128" s="8"/>
      <c r="G128" s="8"/>
      <c r="H128" s="8"/>
      <c r="I128" s="8"/>
      <c r="J128" s="8"/>
      <c r="K128" s="8"/>
      <c r="L128" s="8"/>
      <c r="M128" s="8"/>
      <c r="N128" s="8"/>
      <c r="O128" s="8"/>
      <c r="P128" s="8"/>
      <c r="Q128" s="8"/>
      <c r="R128" s="8"/>
      <c r="S128" s="8"/>
      <c r="T128" s="8"/>
      <c r="U128" s="8"/>
      <c r="V128" s="8"/>
      <c r="W128" s="8"/>
      <c r="X128" s="8"/>
      <c r="Y128" s="8"/>
      <c r="Z128" s="8"/>
      <c r="AA128" s="8"/>
      <c r="AB128" s="8"/>
      <c r="AC128" s="8"/>
      <c r="AD128" s="8"/>
      <c r="AE128" s="8"/>
      <c r="AF128" s="8"/>
      <c r="AG128" s="8"/>
      <c r="AH128" s="8"/>
      <c r="AI128" s="8"/>
      <c r="AJ128" s="8"/>
      <c r="AK128" s="8"/>
      <c r="AL128" s="8"/>
      <c r="AM128" s="8"/>
      <c r="AN128" s="8"/>
      <c r="AO128" s="8"/>
      <c r="AP128" s="8"/>
      <c r="AQ128" s="8"/>
    </row>
    <row r="129" spans="2:43" ht="15.95" hidden="1" customHeight="1">
      <c r="B129" s="929"/>
      <c r="C129" s="8"/>
      <c r="D129" s="8"/>
      <c r="E129" s="8"/>
      <c r="F129" s="8"/>
      <c r="G129" s="8"/>
      <c r="H129" s="8"/>
      <c r="I129" s="8"/>
      <c r="J129" s="8"/>
      <c r="K129" s="8"/>
      <c r="L129" s="8"/>
      <c r="M129" s="8"/>
      <c r="N129" s="8"/>
      <c r="O129" s="8"/>
      <c r="P129" s="8"/>
      <c r="Q129" s="8"/>
      <c r="R129" s="8"/>
      <c r="S129" s="8"/>
      <c r="T129" s="8"/>
      <c r="U129" s="8"/>
      <c r="V129" s="8"/>
      <c r="W129" s="8"/>
      <c r="X129" s="8"/>
      <c r="Y129" s="8"/>
      <c r="Z129" s="8"/>
      <c r="AA129" s="8"/>
      <c r="AB129" s="8"/>
      <c r="AC129" s="8"/>
      <c r="AD129" s="8"/>
      <c r="AE129" s="8"/>
      <c r="AF129" s="8"/>
      <c r="AG129" s="8"/>
      <c r="AH129" s="8"/>
      <c r="AI129" s="8"/>
      <c r="AJ129" s="8"/>
      <c r="AK129" s="8"/>
      <c r="AL129" s="8"/>
      <c r="AM129" s="8"/>
      <c r="AN129" s="8"/>
      <c r="AO129" s="8"/>
      <c r="AP129" s="8"/>
      <c r="AQ129" s="8"/>
    </row>
    <row r="130" spans="2:43" ht="15.95" hidden="1" customHeight="1">
      <c r="B130" s="929">
        <v>58</v>
      </c>
      <c r="C130" s="8"/>
      <c r="D130" s="8"/>
      <c r="E130" s="8"/>
      <c r="F130" s="8"/>
      <c r="G130" s="8"/>
      <c r="H130" s="8"/>
      <c r="I130" s="8"/>
      <c r="J130" s="8"/>
      <c r="K130" s="8"/>
      <c r="L130" s="8"/>
      <c r="M130" s="8"/>
      <c r="N130" s="8"/>
      <c r="O130" s="8"/>
      <c r="P130" s="8"/>
      <c r="Q130" s="8"/>
      <c r="R130" s="8"/>
      <c r="S130" s="8"/>
      <c r="T130" s="8"/>
      <c r="U130" s="8"/>
      <c r="V130" s="8"/>
      <c r="W130" s="8"/>
      <c r="X130" s="8"/>
      <c r="Y130" s="8"/>
      <c r="Z130" s="8"/>
      <c r="AA130" s="8"/>
      <c r="AB130" s="8"/>
      <c r="AC130" s="8"/>
      <c r="AD130" s="8"/>
      <c r="AE130" s="8"/>
      <c r="AF130" s="8"/>
      <c r="AG130" s="8"/>
      <c r="AH130" s="8"/>
      <c r="AI130" s="8"/>
      <c r="AJ130" s="8"/>
      <c r="AK130" s="8"/>
      <c r="AL130" s="8"/>
      <c r="AM130" s="8"/>
      <c r="AN130" s="8"/>
      <c r="AO130" s="8"/>
      <c r="AP130" s="8"/>
      <c r="AQ130" s="8"/>
    </row>
    <row r="131" spans="2:43" ht="15.95" hidden="1" customHeight="1">
      <c r="B131" s="929"/>
      <c r="C131" s="8"/>
      <c r="D131" s="8"/>
      <c r="E131" s="8"/>
      <c r="F131" s="8"/>
      <c r="G131" s="8"/>
      <c r="H131" s="8"/>
      <c r="I131" s="8"/>
      <c r="J131" s="8"/>
      <c r="K131" s="8"/>
      <c r="L131" s="8"/>
      <c r="M131" s="8"/>
      <c r="N131" s="8"/>
      <c r="O131" s="8"/>
      <c r="P131" s="8"/>
      <c r="Q131" s="8"/>
      <c r="R131" s="8"/>
      <c r="S131" s="8"/>
      <c r="T131" s="8"/>
      <c r="U131" s="8"/>
      <c r="V131" s="8"/>
      <c r="W131" s="8"/>
      <c r="X131" s="8"/>
      <c r="Y131" s="8"/>
      <c r="Z131" s="8"/>
      <c r="AA131" s="8"/>
      <c r="AB131" s="8"/>
      <c r="AC131" s="8"/>
      <c r="AD131" s="8"/>
      <c r="AE131" s="8"/>
      <c r="AF131" s="8"/>
      <c r="AG131" s="8"/>
      <c r="AH131" s="8"/>
      <c r="AI131" s="8"/>
      <c r="AJ131" s="8"/>
      <c r="AK131" s="8"/>
      <c r="AL131" s="8"/>
      <c r="AM131" s="8"/>
      <c r="AN131" s="8"/>
      <c r="AO131" s="8"/>
      <c r="AP131" s="8"/>
      <c r="AQ131" s="8"/>
    </row>
    <row r="132" spans="2:43" ht="15.95" hidden="1" customHeight="1">
      <c r="B132" s="929">
        <v>59</v>
      </c>
      <c r="C132" s="8"/>
      <c r="D132" s="8"/>
      <c r="E132" s="8"/>
      <c r="F132" s="8"/>
      <c r="G132" s="8"/>
      <c r="H132" s="8"/>
      <c r="I132" s="8"/>
      <c r="J132" s="8"/>
      <c r="K132" s="8"/>
      <c r="L132" s="8"/>
      <c r="M132" s="8"/>
      <c r="N132" s="8"/>
      <c r="O132" s="8"/>
      <c r="P132" s="8"/>
      <c r="Q132" s="8"/>
      <c r="R132" s="8"/>
      <c r="S132" s="8"/>
      <c r="T132" s="8"/>
      <c r="U132" s="8"/>
      <c r="V132" s="8"/>
      <c r="W132" s="8"/>
      <c r="X132" s="8"/>
      <c r="Y132" s="8"/>
      <c r="Z132" s="8"/>
      <c r="AA132" s="8"/>
      <c r="AB132" s="8"/>
      <c r="AC132" s="8"/>
      <c r="AD132" s="8"/>
      <c r="AE132" s="8"/>
      <c r="AF132" s="8"/>
      <c r="AG132" s="8"/>
      <c r="AH132" s="8"/>
      <c r="AI132" s="8"/>
      <c r="AJ132" s="8"/>
      <c r="AK132" s="8"/>
      <c r="AL132" s="8"/>
      <c r="AM132" s="8"/>
      <c r="AN132" s="8"/>
      <c r="AO132" s="8"/>
      <c r="AP132" s="8"/>
      <c r="AQ132" s="8"/>
    </row>
    <row r="133" spans="2:43" ht="15.95" hidden="1" customHeight="1">
      <c r="B133" s="929"/>
      <c r="C133" s="8"/>
      <c r="D133" s="8"/>
      <c r="E133" s="8"/>
      <c r="F133" s="8"/>
      <c r="G133" s="8"/>
      <c r="H133" s="8"/>
      <c r="I133" s="8"/>
      <c r="J133" s="8"/>
      <c r="K133" s="8"/>
      <c r="L133" s="8"/>
      <c r="M133" s="8"/>
      <c r="N133" s="8"/>
      <c r="O133" s="8"/>
      <c r="P133" s="8"/>
      <c r="Q133" s="8"/>
      <c r="R133" s="8"/>
      <c r="S133" s="8"/>
      <c r="T133" s="8"/>
      <c r="U133" s="8"/>
      <c r="V133" s="8"/>
      <c r="W133" s="8"/>
      <c r="X133" s="8"/>
      <c r="Y133" s="8"/>
      <c r="Z133" s="8"/>
      <c r="AA133" s="8"/>
      <c r="AB133" s="8"/>
      <c r="AC133" s="8"/>
      <c r="AD133" s="8"/>
      <c r="AE133" s="8"/>
      <c r="AF133" s="8"/>
      <c r="AG133" s="8"/>
      <c r="AH133" s="8"/>
      <c r="AI133" s="8"/>
      <c r="AJ133" s="8"/>
      <c r="AK133" s="8"/>
      <c r="AL133" s="8"/>
      <c r="AM133" s="8"/>
      <c r="AN133" s="8"/>
      <c r="AO133" s="8"/>
      <c r="AP133" s="8"/>
      <c r="AQ133" s="8"/>
    </row>
    <row r="134" spans="2:43" ht="15.95" hidden="1" customHeight="1">
      <c r="B134" s="929">
        <v>60</v>
      </c>
      <c r="C134" s="8"/>
      <c r="D134" s="8"/>
      <c r="E134" s="8"/>
      <c r="F134" s="8"/>
      <c r="G134" s="8"/>
      <c r="H134" s="8"/>
      <c r="I134" s="8"/>
      <c r="J134" s="8"/>
      <c r="K134" s="8"/>
      <c r="L134" s="8"/>
      <c r="M134" s="8"/>
      <c r="N134" s="8"/>
      <c r="O134" s="8"/>
      <c r="P134" s="8"/>
      <c r="Q134" s="8"/>
      <c r="R134" s="8"/>
      <c r="S134" s="8"/>
      <c r="T134" s="8"/>
      <c r="U134" s="8"/>
      <c r="V134" s="8"/>
      <c r="W134" s="8"/>
      <c r="X134" s="8"/>
      <c r="Y134" s="8"/>
      <c r="Z134" s="8"/>
      <c r="AA134" s="8"/>
      <c r="AB134" s="8"/>
      <c r="AC134" s="8"/>
      <c r="AD134" s="8"/>
      <c r="AE134" s="8"/>
      <c r="AF134" s="8"/>
      <c r="AG134" s="8"/>
      <c r="AH134" s="8"/>
      <c r="AI134" s="8"/>
      <c r="AJ134" s="8"/>
      <c r="AK134" s="8"/>
      <c r="AL134" s="8"/>
      <c r="AM134" s="8"/>
      <c r="AN134" s="8"/>
      <c r="AO134" s="8"/>
      <c r="AP134" s="8"/>
      <c r="AQ134" s="8"/>
    </row>
    <row r="135" spans="2:43" ht="15.95" hidden="1" customHeight="1">
      <c r="B135" s="929"/>
      <c r="C135" s="8"/>
      <c r="D135" s="8"/>
      <c r="E135" s="8"/>
      <c r="F135" s="8"/>
      <c r="G135" s="8"/>
      <c r="H135" s="8"/>
      <c r="I135" s="8"/>
      <c r="J135" s="8"/>
      <c r="K135" s="8"/>
      <c r="L135" s="8"/>
      <c r="M135" s="8"/>
      <c r="N135" s="8"/>
      <c r="O135" s="8"/>
      <c r="P135" s="8"/>
      <c r="Q135" s="8"/>
      <c r="R135" s="8"/>
      <c r="S135" s="8"/>
      <c r="T135" s="8"/>
      <c r="U135" s="8"/>
      <c r="V135" s="8"/>
      <c r="W135" s="8"/>
      <c r="X135" s="8"/>
      <c r="Y135" s="8"/>
      <c r="Z135" s="8"/>
      <c r="AA135" s="8"/>
      <c r="AB135" s="8"/>
      <c r="AC135" s="8"/>
      <c r="AD135" s="8"/>
      <c r="AE135" s="8"/>
      <c r="AF135" s="8"/>
      <c r="AG135" s="8"/>
      <c r="AH135" s="8"/>
      <c r="AI135" s="8"/>
      <c r="AJ135" s="8"/>
      <c r="AK135" s="8"/>
      <c r="AL135" s="8"/>
      <c r="AM135" s="8"/>
      <c r="AN135" s="8"/>
      <c r="AO135" s="8"/>
      <c r="AP135" s="8"/>
      <c r="AQ135" s="8"/>
    </row>
    <row r="136" spans="2:43" ht="15.95" hidden="1" customHeight="1">
      <c r="B136" s="929">
        <v>61</v>
      </c>
      <c r="C136" s="8"/>
      <c r="D136" s="8"/>
      <c r="E136" s="8"/>
      <c r="F136" s="8"/>
      <c r="G136" s="8"/>
      <c r="H136" s="8"/>
      <c r="I136" s="8"/>
      <c r="J136" s="8"/>
      <c r="K136" s="8"/>
      <c r="L136" s="8"/>
      <c r="M136" s="8"/>
      <c r="N136" s="8"/>
      <c r="O136" s="8"/>
      <c r="P136" s="8"/>
      <c r="Q136" s="8"/>
      <c r="R136" s="8"/>
      <c r="S136" s="8"/>
      <c r="T136" s="8"/>
      <c r="U136" s="8"/>
      <c r="V136" s="8"/>
      <c r="W136" s="8"/>
      <c r="X136" s="8"/>
      <c r="Y136" s="8"/>
      <c r="Z136" s="8"/>
      <c r="AA136" s="8"/>
      <c r="AB136" s="8"/>
      <c r="AC136" s="8"/>
      <c r="AD136" s="8"/>
      <c r="AE136" s="8"/>
      <c r="AF136" s="8"/>
      <c r="AG136" s="8"/>
      <c r="AH136" s="8"/>
      <c r="AI136" s="8"/>
      <c r="AJ136" s="8"/>
      <c r="AK136" s="8"/>
      <c r="AL136" s="8"/>
      <c r="AM136" s="8"/>
      <c r="AN136" s="8"/>
      <c r="AO136" s="8"/>
      <c r="AP136" s="8"/>
      <c r="AQ136" s="8"/>
    </row>
    <row r="137" spans="2:43" ht="15.95" hidden="1" customHeight="1">
      <c r="B137" s="929"/>
      <c r="C137" s="8"/>
      <c r="D137" s="8"/>
      <c r="E137" s="8"/>
      <c r="F137" s="8"/>
      <c r="G137" s="8"/>
      <c r="H137" s="8"/>
      <c r="I137" s="8"/>
      <c r="J137" s="8"/>
      <c r="K137" s="8"/>
      <c r="L137" s="8"/>
      <c r="M137" s="8"/>
      <c r="N137" s="8"/>
      <c r="O137" s="8"/>
      <c r="P137" s="8"/>
      <c r="Q137" s="8"/>
      <c r="R137" s="8"/>
      <c r="S137" s="8"/>
      <c r="T137" s="8"/>
      <c r="U137" s="8"/>
      <c r="V137" s="8"/>
      <c r="W137" s="8"/>
      <c r="X137" s="8"/>
      <c r="Y137" s="8"/>
      <c r="Z137" s="8"/>
      <c r="AA137" s="8"/>
      <c r="AB137" s="8"/>
      <c r="AC137" s="8"/>
      <c r="AD137" s="8"/>
      <c r="AE137" s="8"/>
      <c r="AF137" s="8"/>
      <c r="AG137" s="8"/>
      <c r="AH137" s="8"/>
      <c r="AI137" s="8"/>
      <c r="AJ137" s="8"/>
      <c r="AK137" s="8"/>
      <c r="AL137" s="8"/>
      <c r="AM137" s="8"/>
      <c r="AN137" s="8"/>
      <c r="AO137" s="8"/>
      <c r="AP137" s="8"/>
      <c r="AQ137" s="8"/>
    </row>
    <row r="138" spans="2:43" ht="15.95" hidden="1" customHeight="1">
      <c r="B138" s="929">
        <v>62</v>
      </c>
      <c r="C138" s="8"/>
      <c r="D138" s="8"/>
      <c r="E138" s="8"/>
      <c r="F138" s="8"/>
      <c r="G138" s="8"/>
      <c r="H138" s="8"/>
      <c r="I138" s="8"/>
      <c r="J138" s="8"/>
      <c r="K138" s="8"/>
      <c r="L138" s="8"/>
      <c r="M138" s="8"/>
      <c r="N138" s="8"/>
      <c r="O138" s="8"/>
      <c r="P138" s="8"/>
      <c r="Q138" s="8"/>
      <c r="R138" s="8"/>
      <c r="S138" s="8"/>
      <c r="T138" s="8"/>
      <c r="U138" s="8"/>
      <c r="V138" s="8"/>
      <c r="W138" s="8"/>
      <c r="X138" s="8"/>
      <c r="Y138" s="8"/>
      <c r="Z138" s="8"/>
      <c r="AA138" s="8"/>
      <c r="AB138" s="8"/>
      <c r="AC138" s="8"/>
      <c r="AD138" s="8"/>
      <c r="AE138" s="8"/>
      <c r="AF138" s="8"/>
      <c r="AG138" s="8"/>
      <c r="AH138" s="8"/>
      <c r="AI138" s="8"/>
      <c r="AJ138" s="8"/>
      <c r="AK138" s="8"/>
      <c r="AL138" s="8"/>
      <c r="AM138" s="8"/>
      <c r="AN138" s="8"/>
      <c r="AO138" s="8"/>
      <c r="AP138" s="8"/>
      <c r="AQ138" s="8"/>
    </row>
    <row r="139" spans="2:43" ht="15.95" hidden="1" customHeight="1">
      <c r="B139" s="929"/>
      <c r="C139" s="8"/>
      <c r="D139" s="8"/>
      <c r="E139" s="8"/>
      <c r="F139" s="8"/>
      <c r="G139" s="8"/>
      <c r="H139" s="8"/>
      <c r="I139" s="8"/>
      <c r="J139" s="8"/>
      <c r="K139" s="8"/>
      <c r="L139" s="8"/>
      <c r="M139" s="8"/>
      <c r="N139" s="8"/>
      <c r="O139" s="8"/>
      <c r="P139" s="8"/>
      <c r="Q139" s="8"/>
      <c r="R139" s="8"/>
      <c r="S139" s="8"/>
      <c r="T139" s="8"/>
      <c r="U139" s="8"/>
      <c r="V139" s="8"/>
      <c r="W139" s="8"/>
      <c r="X139" s="8"/>
      <c r="Y139" s="8"/>
      <c r="Z139" s="8"/>
      <c r="AA139" s="8"/>
      <c r="AB139" s="8"/>
      <c r="AC139" s="8"/>
      <c r="AD139" s="8"/>
      <c r="AE139" s="8"/>
      <c r="AF139" s="8"/>
      <c r="AG139" s="8"/>
      <c r="AH139" s="8"/>
      <c r="AI139" s="8"/>
      <c r="AJ139" s="8"/>
      <c r="AK139" s="8"/>
      <c r="AL139" s="8"/>
      <c r="AM139" s="8"/>
      <c r="AN139" s="8"/>
      <c r="AO139" s="8"/>
      <c r="AP139" s="8"/>
      <c r="AQ139" s="8"/>
    </row>
    <row r="140" spans="2:43" ht="15.95" hidden="1" customHeight="1">
      <c r="B140" s="929">
        <v>63</v>
      </c>
      <c r="C140" s="8"/>
      <c r="D140" s="8"/>
      <c r="E140" s="8"/>
      <c r="F140" s="8"/>
      <c r="G140" s="8"/>
      <c r="H140" s="8"/>
      <c r="I140" s="8"/>
      <c r="J140" s="8"/>
      <c r="K140" s="8"/>
      <c r="L140" s="8"/>
      <c r="M140" s="8"/>
      <c r="N140" s="8"/>
      <c r="O140" s="8"/>
      <c r="P140" s="8"/>
      <c r="Q140" s="8"/>
      <c r="R140" s="8"/>
      <c r="S140" s="8"/>
      <c r="T140" s="8"/>
      <c r="U140" s="8"/>
      <c r="V140" s="8"/>
      <c r="W140" s="8"/>
      <c r="X140" s="8"/>
      <c r="Y140" s="8"/>
      <c r="Z140" s="8"/>
      <c r="AA140" s="8"/>
      <c r="AB140" s="8"/>
      <c r="AC140" s="8"/>
      <c r="AD140" s="8"/>
      <c r="AE140" s="8"/>
      <c r="AF140" s="8"/>
      <c r="AG140" s="8"/>
      <c r="AH140" s="8"/>
      <c r="AI140" s="8"/>
      <c r="AJ140" s="8"/>
      <c r="AK140" s="8"/>
      <c r="AL140" s="8"/>
      <c r="AM140" s="8"/>
      <c r="AN140" s="8"/>
      <c r="AO140" s="8"/>
      <c r="AP140" s="8"/>
      <c r="AQ140" s="8"/>
    </row>
    <row r="141" spans="2:43" ht="15.95" hidden="1" customHeight="1">
      <c r="B141" s="929"/>
      <c r="C141" s="8"/>
      <c r="D141" s="8"/>
      <c r="E141" s="8"/>
      <c r="F141" s="8"/>
      <c r="G141" s="8"/>
      <c r="H141" s="8"/>
      <c r="I141" s="8"/>
      <c r="J141" s="8"/>
      <c r="K141" s="8"/>
      <c r="L141" s="8"/>
      <c r="M141" s="8"/>
      <c r="N141" s="8"/>
      <c r="O141" s="8"/>
      <c r="P141" s="8"/>
      <c r="Q141" s="8"/>
      <c r="R141" s="8"/>
      <c r="S141" s="8"/>
      <c r="T141" s="8"/>
      <c r="U141" s="8"/>
      <c r="V141" s="8"/>
      <c r="W141" s="8"/>
      <c r="X141" s="8"/>
      <c r="Y141" s="8"/>
      <c r="Z141" s="8"/>
      <c r="AA141" s="8"/>
      <c r="AB141" s="8"/>
      <c r="AC141" s="8"/>
      <c r="AD141" s="8"/>
      <c r="AE141" s="8"/>
      <c r="AF141" s="8"/>
      <c r="AG141" s="8"/>
      <c r="AH141" s="8"/>
      <c r="AI141" s="8"/>
      <c r="AJ141" s="8"/>
      <c r="AK141" s="8"/>
      <c r="AL141" s="8"/>
      <c r="AM141" s="8"/>
      <c r="AN141" s="8"/>
      <c r="AO141" s="8"/>
      <c r="AP141" s="8"/>
      <c r="AQ141" s="8"/>
    </row>
    <row r="142" spans="2:43" ht="15.95" hidden="1" customHeight="1">
      <c r="B142" s="929">
        <v>64</v>
      </c>
      <c r="C142" s="8"/>
      <c r="D142" s="8"/>
      <c r="E142" s="8"/>
      <c r="F142" s="8"/>
      <c r="G142" s="8"/>
      <c r="H142" s="8"/>
      <c r="I142" s="8"/>
      <c r="J142" s="8"/>
      <c r="K142" s="8"/>
      <c r="L142" s="8"/>
      <c r="M142" s="8"/>
      <c r="N142" s="8"/>
      <c r="O142" s="8"/>
      <c r="P142" s="8"/>
      <c r="Q142" s="8"/>
      <c r="R142" s="8"/>
      <c r="S142" s="8"/>
      <c r="T142" s="8"/>
      <c r="U142" s="8"/>
      <c r="V142" s="8"/>
      <c r="W142" s="8"/>
      <c r="X142" s="8"/>
      <c r="Y142" s="8"/>
      <c r="Z142" s="8"/>
      <c r="AA142" s="8"/>
      <c r="AB142" s="8"/>
      <c r="AC142" s="8"/>
      <c r="AD142" s="8"/>
      <c r="AE142" s="8"/>
      <c r="AF142" s="8"/>
      <c r="AG142" s="8"/>
      <c r="AH142" s="8"/>
      <c r="AI142" s="8"/>
      <c r="AJ142" s="8"/>
      <c r="AK142" s="8"/>
      <c r="AL142" s="8"/>
      <c r="AM142" s="8"/>
      <c r="AN142" s="8"/>
      <c r="AO142" s="8"/>
      <c r="AP142" s="8"/>
      <c r="AQ142" s="8"/>
    </row>
    <row r="143" spans="2:43" hidden="1">
      <c r="B143" s="929"/>
      <c r="C143" s="8"/>
      <c r="D143" s="8"/>
      <c r="E143" s="8"/>
      <c r="F143" s="8"/>
      <c r="G143" s="8"/>
      <c r="H143" s="8"/>
      <c r="I143" s="8"/>
      <c r="J143" s="8"/>
      <c r="K143" s="8"/>
      <c r="L143" s="8"/>
      <c r="M143" s="8"/>
      <c r="N143" s="8"/>
      <c r="O143" s="8"/>
      <c r="P143" s="8"/>
      <c r="Q143" s="8"/>
      <c r="R143" s="8"/>
      <c r="S143" s="8"/>
      <c r="T143" s="8"/>
      <c r="U143" s="8"/>
      <c r="V143" s="8"/>
      <c r="W143" s="8"/>
      <c r="X143" s="8"/>
      <c r="Y143" s="8"/>
      <c r="Z143" s="8"/>
      <c r="AA143" s="8"/>
      <c r="AB143" s="8"/>
      <c r="AC143" s="8"/>
      <c r="AD143" s="8"/>
      <c r="AE143" s="8"/>
      <c r="AF143" s="8"/>
      <c r="AG143" s="8"/>
      <c r="AH143" s="8"/>
      <c r="AI143" s="8"/>
      <c r="AJ143" s="8"/>
      <c r="AK143" s="8"/>
      <c r="AL143" s="8"/>
      <c r="AM143" s="8"/>
      <c r="AN143" s="8"/>
      <c r="AO143" s="8"/>
      <c r="AP143" s="8"/>
      <c r="AQ143" s="8"/>
    </row>
    <row r="144" spans="2:43" hidden="1">
      <c r="B144" s="929">
        <v>65</v>
      </c>
      <c r="C144" s="8"/>
      <c r="D144" s="8"/>
      <c r="E144" s="8"/>
      <c r="F144" s="8"/>
      <c r="G144" s="8"/>
      <c r="H144" s="8"/>
      <c r="I144" s="8"/>
      <c r="J144" s="8"/>
      <c r="K144" s="8"/>
      <c r="L144" s="8"/>
      <c r="M144" s="8"/>
      <c r="N144" s="8"/>
      <c r="O144" s="8"/>
      <c r="P144" s="8"/>
      <c r="Q144" s="8"/>
      <c r="R144" s="8"/>
      <c r="S144" s="8"/>
      <c r="T144" s="8"/>
      <c r="U144" s="8"/>
      <c r="V144" s="8"/>
      <c r="W144" s="8"/>
      <c r="X144" s="8"/>
      <c r="Y144" s="8"/>
      <c r="Z144" s="8"/>
      <c r="AA144" s="8"/>
      <c r="AB144" s="8"/>
      <c r="AC144" s="8"/>
      <c r="AD144" s="8"/>
      <c r="AE144" s="8"/>
      <c r="AF144" s="8"/>
      <c r="AG144" s="8"/>
      <c r="AH144" s="8"/>
      <c r="AI144" s="8"/>
      <c r="AJ144" s="8"/>
      <c r="AK144" s="8"/>
      <c r="AL144" s="8"/>
      <c r="AM144" s="8"/>
      <c r="AN144" s="8"/>
      <c r="AO144" s="8"/>
      <c r="AP144" s="8"/>
      <c r="AQ144" s="8"/>
    </row>
    <row r="145" spans="2:43" ht="15.95" hidden="1" customHeight="1">
      <c r="B145" s="929"/>
      <c r="C145" s="8"/>
      <c r="D145" s="8"/>
      <c r="E145" s="8"/>
      <c r="F145" s="8"/>
      <c r="G145" s="8"/>
      <c r="H145" s="8"/>
      <c r="I145" s="8"/>
      <c r="J145" s="8"/>
      <c r="K145" s="8"/>
      <c r="L145" s="8"/>
      <c r="M145" s="8"/>
      <c r="N145" s="8"/>
      <c r="O145" s="8"/>
      <c r="P145" s="8"/>
      <c r="Q145" s="8"/>
      <c r="R145" s="8"/>
      <c r="S145" s="8"/>
      <c r="T145" s="8"/>
      <c r="U145" s="8"/>
      <c r="V145" s="8"/>
      <c r="W145" s="8"/>
      <c r="X145" s="8"/>
      <c r="Y145" s="8"/>
      <c r="Z145" s="8"/>
      <c r="AA145" s="8"/>
      <c r="AB145" s="8"/>
      <c r="AC145" s="8"/>
      <c r="AD145" s="8"/>
      <c r="AE145" s="8"/>
      <c r="AF145" s="8"/>
      <c r="AG145" s="8"/>
      <c r="AH145" s="8"/>
      <c r="AI145" s="8"/>
      <c r="AJ145" s="8"/>
      <c r="AK145" s="8"/>
      <c r="AL145" s="8"/>
      <c r="AM145" s="8"/>
      <c r="AN145" s="8"/>
      <c r="AO145" s="8"/>
      <c r="AP145" s="8"/>
      <c r="AQ145" s="8"/>
    </row>
    <row r="146" spans="2:43" ht="15.95" hidden="1" customHeight="1">
      <c r="B146" s="929">
        <v>66</v>
      </c>
      <c r="C146" s="8"/>
      <c r="D146" s="8"/>
      <c r="E146" s="8"/>
      <c r="F146" s="8"/>
      <c r="G146" s="8"/>
      <c r="H146" s="8"/>
      <c r="I146" s="8"/>
      <c r="J146" s="8"/>
      <c r="K146" s="8"/>
      <c r="L146" s="8"/>
      <c r="M146" s="8"/>
      <c r="N146" s="8"/>
      <c r="O146" s="8"/>
      <c r="P146" s="8"/>
      <c r="Q146" s="8"/>
      <c r="R146" s="8"/>
      <c r="S146" s="8"/>
      <c r="T146" s="8"/>
      <c r="U146" s="8"/>
      <c r="V146" s="8"/>
      <c r="W146" s="8"/>
      <c r="X146" s="8"/>
      <c r="Y146" s="8"/>
      <c r="Z146" s="8"/>
      <c r="AA146" s="8"/>
      <c r="AB146" s="8"/>
      <c r="AC146" s="8"/>
      <c r="AD146" s="8"/>
      <c r="AE146" s="8"/>
      <c r="AF146" s="8"/>
      <c r="AG146" s="8"/>
      <c r="AH146" s="8"/>
      <c r="AI146" s="8"/>
      <c r="AJ146" s="8"/>
      <c r="AK146" s="8"/>
      <c r="AL146" s="8"/>
      <c r="AM146" s="8"/>
      <c r="AN146" s="8"/>
      <c r="AO146" s="8"/>
      <c r="AP146" s="8"/>
      <c r="AQ146" s="8"/>
    </row>
    <row r="147" spans="2:43" ht="15.95" hidden="1" customHeight="1">
      <c r="B147" s="929"/>
      <c r="C147" s="8"/>
      <c r="D147" s="8"/>
      <c r="E147" s="8"/>
      <c r="F147" s="8"/>
      <c r="G147" s="8"/>
      <c r="H147" s="8"/>
      <c r="I147" s="8"/>
      <c r="J147" s="8"/>
      <c r="K147" s="8"/>
      <c r="L147" s="8"/>
      <c r="M147" s="8"/>
      <c r="N147" s="8"/>
      <c r="O147" s="8"/>
      <c r="P147" s="8"/>
      <c r="Q147" s="8"/>
      <c r="R147" s="8"/>
      <c r="S147" s="8"/>
      <c r="T147" s="8"/>
      <c r="U147" s="8"/>
      <c r="V147" s="8"/>
      <c r="W147" s="8"/>
      <c r="X147" s="8"/>
      <c r="Y147" s="8"/>
      <c r="Z147" s="8"/>
      <c r="AA147" s="8"/>
      <c r="AB147" s="8"/>
      <c r="AC147" s="8"/>
      <c r="AD147" s="8"/>
      <c r="AE147" s="8"/>
      <c r="AF147" s="8"/>
      <c r="AG147" s="8"/>
      <c r="AH147" s="8"/>
      <c r="AI147" s="8"/>
      <c r="AJ147" s="8"/>
      <c r="AK147" s="8"/>
      <c r="AL147" s="8"/>
      <c r="AM147" s="8"/>
      <c r="AN147" s="8"/>
      <c r="AO147" s="8"/>
      <c r="AP147" s="8"/>
      <c r="AQ147" s="8"/>
    </row>
    <row r="148" spans="2:43" ht="15.95" hidden="1" customHeight="1">
      <c r="B148" s="929">
        <v>67</v>
      </c>
      <c r="C148" s="8"/>
      <c r="D148" s="8"/>
      <c r="E148" s="8"/>
      <c r="F148" s="8"/>
      <c r="G148" s="8"/>
      <c r="H148" s="8"/>
      <c r="I148" s="8"/>
      <c r="J148" s="8"/>
      <c r="K148" s="8"/>
      <c r="L148" s="8"/>
      <c r="M148" s="8"/>
      <c r="N148" s="8"/>
      <c r="O148" s="8"/>
      <c r="P148" s="8"/>
      <c r="Q148" s="8"/>
      <c r="R148" s="8"/>
      <c r="S148" s="8"/>
      <c r="T148" s="8"/>
      <c r="U148" s="8"/>
      <c r="V148" s="8"/>
      <c r="W148" s="8"/>
      <c r="X148" s="8"/>
      <c r="Y148" s="8"/>
      <c r="Z148" s="8"/>
      <c r="AA148" s="8"/>
      <c r="AB148" s="8"/>
      <c r="AC148" s="8"/>
      <c r="AD148" s="8"/>
      <c r="AE148" s="8"/>
      <c r="AF148" s="8"/>
      <c r="AG148" s="8"/>
      <c r="AH148" s="8"/>
      <c r="AI148" s="8"/>
      <c r="AJ148" s="8"/>
      <c r="AK148" s="8"/>
      <c r="AL148" s="8"/>
      <c r="AM148" s="8"/>
      <c r="AN148" s="8"/>
      <c r="AO148" s="8"/>
      <c r="AP148" s="8"/>
      <c r="AQ148" s="8"/>
    </row>
    <row r="149" spans="2:43" ht="15.95" hidden="1" customHeight="1">
      <c r="B149" s="929"/>
      <c r="C149" s="8"/>
      <c r="D149" s="8"/>
      <c r="E149" s="8"/>
      <c r="F149" s="8"/>
      <c r="G149" s="8"/>
      <c r="H149" s="8"/>
      <c r="I149" s="8"/>
      <c r="J149" s="8"/>
      <c r="K149" s="8"/>
      <c r="L149" s="8"/>
      <c r="M149" s="8"/>
      <c r="N149" s="8"/>
      <c r="O149" s="8"/>
      <c r="P149" s="8"/>
      <c r="Q149" s="8"/>
      <c r="R149" s="8"/>
      <c r="S149" s="8"/>
      <c r="T149" s="8"/>
      <c r="U149" s="8"/>
      <c r="V149" s="8"/>
      <c r="W149" s="8"/>
      <c r="X149" s="8"/>
      <c r="Y149" s="8"/>
      <c r="Z149" s="8"/>
      <c r="AA149" s="8"/>
      <c r="AB149" s="8"/>
      <c r="AC149" s="8"/>
      <c r="AD149" s="8"/>
      <c r="AE149" s="8"/>
      <c r="AF149" s="8"/>
      <c r="AG149" s="8"/>
      <c r="AH149" s="8"/>
      <c r="AI149" s="8"/>
      <c r="AJ149" s="8"/>
      <c r="AK149" s="8"/>
      <c r="AL149" s="8"/>
      <c r="AM149" s="8"/>
      <c r="AN149" s="8"/>
      <c r="AO149" s="8"/>
      <c r="AP149" s="8"/>
      <c r="AQ149" s="8"/>
    </row>
    <row r="150" spans="2:43" ht="15.75" hidden="1" customHeight="1">
      <c r="B150" s="929">
        <v>68</v>
      </c>
      <c r="C150" s="8"/>
      <c r="D150" s="8"/>
      <c r="E150" s="8"/>
      <c r="F150" s="8"/>
      <c r="G150" s="8"/>
      <c r="H150" s="8"/>
      <c r="I150" s="8"/>
      <c r="J150" s="8"/>
      <c r="K150" s="8"/>
      <c r="L150" s="8"/>
      <c r="M150" s="8"/>
      <c r="N150" s="8"/>
      <c r="O150" s="8"/>
      <c r="P150" s="8"/>
      <c r="Q150" s="8"/>
      <c r="R150" s="8"/>
      <c r="S150" s="8"/>
      <c r="T150" s="8"/>
      <c r="U150" s="8"/>
      <c r="V150" s="8"/>
      <c r="W150" s="8"/>
      <c r="X150" s="8"/>
      <c r="Y150" s="8"/>
      <c r="Z150" s="8"/>
      <c r="AA150" s="8"/>
      <c r="AB150" s="8"/>
      <c r="AC150" s="8"/>
      <c r="AD150" s="8"/>
      <c r="AE150" s="8"/>
      <c r="AF150" s="8"/>
      <c r="AG150" s="8"/>
      <c r="AH150" s="8"/>
      <c r="AI150" s="8"/>
      <c r="AJ150" s="8"/>
      <c r="AK150" s="8"/>
      <c r="AL150" s="8"/>
      <c r="AM150" s="8"/>
      <c r="AN150" s="8"/>
      <c r="AO150" s="8"/>
      <c r="AP150" s="8"/>
      <c r="AQ150" s="8"/>
    </row>
    <row r="151" spans="2:43" ht="15.75" hidden="1" customHeight="1">
      <c r="B151" s="929"/>
      <c r="C151" s="8"/>
      <c r="D151" s="8"/>
      <c r="E151" s="8"/>
      <c r="F151" s="8"/>
      <c r="G151" s="8"/>
      <c r="H151" s="8"/>
      <c r="I151" s="8"/>
      <c r="J151" s="8"/>
      <c r="K151" s="8"/>
      <c r="L151" s="8"/>
      <c r="M151" s="8"/>
      <c r="N151" s="8"/>
      <c r="O151" s="8"/>
      <c r="P151" s="8"/>
      <c r="Q151" s="8"/>
      <c r="R151" s="8"/>
      <c r="S151" s="8"/>
      <c r="T151" s="8"/>
      <c r="U151" s="8"/>
      <c r="V151" s="8"/>
      <c r="W151" s="8"/>
      <c r="X151" s="8"/>
      <c r="Y151" s="8"/>
      <c r="Z151" s="8"/>
      <c r="AA151" s="8"/>
      <c r="AB151" s="8"/>
      <c r="AC151" s="8"/>
      <c r="AD151" s="8"/>
      <c r="AE151" s="8"/>
      <c r="AF151" s="8"/>
      <c r="AG151" s="8"/>
      <c r="AH151" s="8"/>
      <c r="AI151" s="8"/>
      <c r="AJ151" s="8"/>
      <c r="AK151" s="8"/>
      <c r="AL151" s="8"/>
      <c r="AM151" s="8"/>
      <c r="AN151" s="8"/>
      <c r="AO151" s="8"/>
      <c r="AP151" s="8"/>
      <c r="AQ151" s="8"/>
    </row>
    <row r="152" spans="2:43" ht="15.75" hidden="1" customHeight="1">
      <c r="B152" s="929">
        <v>69</v>
      </c>
      <c r="C152" s="8"/>
      <c r="D152" s="8"/>
      <c r="E152" s="8"/>
      <c r="F152" s="8"/>
      <c r="G152" s="8"/>
      <c r="H152" s="8"/>
      <c r="I152" s="8"/>
      <c r="J152" s="8"/>
      <c r="K152" s="8"/>
      <c r="L152" s="8"/>
      <c r="M152" s="8"/>
      <c r="N152" s="8"/>
      <c r="O152" s="8"/>
      <c r="P152" s="8"/>
      <c r="Q152" s="8"/>
      <c r="R152" s="8"/>
      <c r="S152" s="8"/>
      <c r="T152" s="8"/>
      <c r="U152" s="8"/>
      <c r="V152" s="8"/>
      <c r="W152" s="8"/>
      <c r="X152" s="8"/>
      <c r="Y152" s="8"/>
      <c r="Z152" s="8"/>
      <c r="AA152" s="8"/>
      <c r="AB152" s="8"/>
      <c r="AC152" s="8"/>
      <c r="AD152" s="8"/>
      <c r="AE152" s="8"/>
      <c r="AF152" s="8"/>
      <c r="AG152" s="8"/>
      <c r="AH152" s="8"/>
      <c r="AI152" s="8"/>
      <c r="AJ152" s="8"/>
      <c r="AK152" s="8"/>
      <c r="AL152" s="8"/>
      <c r="AM152" s="8"/>
      <c r="AN152" s="8"/>
      <c r="AO152" s="8"/>
      <c r="AP152" s="8"/>
      <c r="AQ152" s="8"/>
    </row>
    <row r="153" spans="2:43" ht="15.75" hidden="1" customHeight="1">
      <c r="B153" s="929"/>
      <c r="C153" s="8"/>
      <c r="D153" s="8"/>
      <c r="E153" s="8"/>
      <c r="F153" s="8"/>
      <c r="G153" s="8"/>
      <c r="H153" s="8"/>
      <c r="I153" s="8"/>
      <c r="J153" s="8"/>
      <c r="K153" s="8"/>
      <c r="L153" s="8"/>
      <c r="M153" s="8"/>
      <c r="N153" s="8"/>
      <c r="O153" s="8"/>
      <c r="P153" s="8"/>
      <c r="Q153" s="8"/>
      <c r="R153" s="8"/>
      <c r="S153" s="8"/>
      <c r="T153" s="8"/>
      <c r="U153" s="8"/>
      <c r="V153" s="8"/>
      <c r="W153" s="8"/>
      <c r="X153" s="8"/>
      <c r="Y153" s="8"/>
      <c r="Z153" s="8"/>
      <c r="AA153" s="8"/>
      <c r="AB153" s="8"/>
      <c r="AC153" s="8"/>
      <c r="AD153" s="8"/>
      <c r="AE153" s="8"/>
      <c r="AF153" s="8"/>
      <c r="AG153" s="8"/>
      <c r="AH153" s="8"/>
      <c r="AI153" s="8"/>
      <c r="AJ153" s="8"/>
      <c r="AK153" s="8"/>
      <c r="AL153" s="8"/>
      <c r="AM153" s="8"/>
      <c r="AN153" s="8"/>
      <c r="AO153" s="8"/>
      <c r="AP153" s="8"/>
      <c r="AQ153" s="8"/>
    </row>
    <row r="154" spans="2:43" ht="15.75" hidden="1" customHeight="1">
      <c r="B154" s="929">
        <v>70</v>
      </c>
      <c r="C154" s="8"/>
      <c r="D154" s="8"/>
      <c r="E154" s="8"/>
      <c r="F154" s="8"/>
      <c r="G154" s="8"/>
      <c r="H154" s="8"/>
      <c r="I154" s="8"/>
      <c r="J154" s="8"/>
      <c r="K154" s="8"/>
      <c r="L154" s="8"/>
      <c r="M154" s="8"/>
      <c r="N154" s="8"/>
      <c r="O154" s="8"/>
      <c r="P154" s="8"/>
      <c r="Q154" s="8"/>
      <c r="R154" s="8"/>
      <c r="S154" s="8"/>
      <c r="T154" s="8"/>
      <c r="U154" s="8"/>
      <c r="V154" s="8"/>
      <c r="W154" s="8"/>
      <c r="X154" s="8"/>
      <c r="Y154" s="8"/>
      <c r="Z154" s="8"/>
      <c r="AA154" s="8"/>
      <c r="AB154" s="8"/>
      <c r="AC154" s="8"/>
      <c r="AD154" s="8"/>
      <c r="AE154" s="8"/>
      <c r="AF154" s="8"/>
      <c r="AG154" s="8"/>
      <c r="AH154" s="8"/>
      <c r="AI154" s="8"/>
      <c r="AJ154" s="8"/>
      <c r="AK154" s="8"/>
      <c r="AL154" s="8"/>
      <c r="AM154" s="8"/>
      <c r="AN154" s="8"/>
      <c r="AO154" s="8"/>
      <c r="AP154" s="8"/>
      <c r="AQ154" s="8"/>
    </row>
    <row r="155" spans="2:43" ht="15.95" hidden="1" customHeight="1">
      <c r="B155" s="929"/>
      <c r="C155" s="8"/>
      <c r="D155" s="8"/>
      <c r="E155" s="8"/>
      <c r="F155" s="8"/>
      <c r="G155" s="8"/>
      <c r="H155" s="8"/>
      <c r="I155" s="8"/>
      <c r="J155" s="8"/>
      <c r="K155" s="8"/>
      <c r="L155" s="8"/>
      <c r="M155" s="8"/>
      <c r="N155" s="8"/>
      <c r="O155" s="8"/>
      <c r="P155" s="8"/>
      <c r="Q155" s="8"/>
      <c r="R155" s="8"/>
      <c r="S155" s="8"/>
      <c r="T155" s="8"/>
      <c r="U155" s="8"/>
      <c r="V155" s="8"/>
      <c r="W155" s="8"/>
      <c r="X155" s="8"/>
      <c r="Y155" s="8"/>
      <c r="Z155" s="8"/>
      <c r="AA155" s="8"/>
      <c r="AB155" s="8"/>
      <c r="AC155" s="8"/>
      <c r="AD155" s="8"/>
      <c r="AE155" s="8"/>
      <c r="AF155" s="8"/>
      <c r="AG155" s="8"/>
      <c r="AH155" s="8"/>
      <c r="AI155" s="8"/>
      <c r="AJ155" s="8"/>
      <c r="AK155" s="8"/>
      <c r="AL155" s="8"/>
      <c r="AM155" s="8"/>
      <c r="AN155" s="8"/>
      <c r="AO155" s="8"/>
      <c r="AP155" s="8"/>
      <c r="AQ155" s="8"/>
    </row>
    <row r="156" spans="2:43" ht="15.95" hidden="1" customHeight="1">
      <c r="B156" s="929">
        <v>71</v>
      </c>
      <c r="C156" s="8"/>
      <c r="D156" s="8"/>
      <c r="E156" s="8"/>
      <c r="F156" s="8"/>
      <c r="G156" s="8"/>
      <c r="H156" s="8"/>
      <c r="I156" s="8"/>
      <c r="J156" s="8"/>
      <c r="K156" s="8"/>
      <c r="L156" s="8"/>
      <c r="M156" s="8"/>
      <c r="N156" s="8"/>
      <c r="O156" s="8"/>
      <c r="P156" s="8"/>
      <c r="Q156" s="8"/>
      <c r="R156" s="8"/>
      <c r="S156" s="8"/>
      <c r="T156" s="8"/>
      <c r="U156" s="8"/>
      <c r="V156" s="8"/>
      <c r="W156" s="8"/>
      <c r="X156" s="8"/>
      <c r="Y156" s="8"/>
      <c r="Z156" s="8"/>
      <c r="AA156" s="8"/>
      <c r="AB156" s="8"/>
      <c r="AC156" s="8"/>
      <c r="AD156" s="8"/>
      <c r="AE156" s="8"/>
      <c r="AF156" s="8"/>
      <c r="AG156" s="8"/>
      <c r="AH156" s="8"/>
      <c r="AI156" s="8"/>
      <c r="AJ156" s="8"/>
      <c r="AK156" s="8"/>
      <c r="AL156" s="8"/>
      <c r="AM156" s="8"/>
      <c r="AN156" s="8"/>
      <c r="AO156" s="8"/>
      <c r="AP156" s="8"/>
      <c r="AQ156" s="8"/>
    </row>
    <row r="157" spans="2:43" ht="15.95" hidden="1" customHeight="1">
      <c r="B157" s="929"/>
      <c r="C157" s="8"/>
      <c r="D157" s="8"/>
      <c r="E157" s="8"/>
      <c r="F157" s="8"/>
      <c r="G157" s="8"/>
      <c r="H157" s="8"/>
      <c r="I157" s="8"/>
      <c r="J157" s="8"/>
      <c r="K157" s="8"/>
      <c r="L157" s="8"/>
      <c r="M157" s="8"/>
      <c r="N157" s="8"/>
      <c r="O157" s="8"/>
      <c r="P157" s="8"/>
      <c r="Q157" s="8"/>
      <c r="R157" s="8"/>
      <c r="S157" s="8"/>
      <c r="T157" s="8"/>
      <c r="U157" s="8"/>
      <c r="V157" s="8"/>
      <c r="W157" s="8"/>
      <c r="X157" s="8"/>
      <c r="Y157" s="8"/>
      <c r="Z157" s="8"/>
      <c r="AA157" s="8"/>
      <c r="AB157" s="8"/>
      <c r="AC157" s="8"/>
      <c r="AD157" s="8"/>
      <c r="AE157" s="8"/>
      <c r="AF157" s="8"/>
      <c r="AG157" s="8"/>
      <c r="AH157" s="8"/>
      <c r="AI157" s="8"/>
      <c r="AJ157" s="8"/>
      <c r="AK157" s="8"/>
      <c r="AL157" s="8"/>
      <c r="AM157" s="8"/>
      <c r="AN157" s="8"/>
      <c r="AO157" s="8"/>
      <c r="AP157" s="8"/>
      <c r="AQ157" s="8"/>
    </row>
    <row r="158" spans="2:43" ht="15.95" hidden="1" customHeight="1">
      <c r="B158" s="929">
        <v>72</v>
      </c>
      <c r="C158" s="8"/>
      <c r="D158" s="8"/>
      <c r="E158" s="8"/>
      <c r="F158" s="8"/>
      <c r="G158" s="8"/>
      <c r="H158" s="8"/>
      <c r="I158" s="8"/>
      <c r="J158" s="8"/>
      <c r="K158" s="8"/>
      <c r="L158" s="8"/>
      <c r="M158" s="8"/>
      <c r="N158" s="8"/>
      <c r="O158" s="8"/>
      <c r="P158" s="8"/>
      <c r="Q158" s="8"/>
      <c r="R158" s="8"/>
      <c r="S158" s="8"/>
      <c r="T158" s="8"/>
      <c r="U158" s="8"/>
      <c r="V158" s="8"/>
      <c r="W158" s="8"/>
      <c r="X158" s="8"/>
      <c r="Y158" s="8"/>
      <c r="Z158" s="8"/>
      <c r="AA158" s="8"/>
      <c r="AB158" s="8"/>
      <c r="AC158" s="8"/>
      <c r="AD158" s="8"/>
      <c r="AE158" s="8"/>
      <c r="AF158" s="8"/>
      <c r="AG158" s="8"/>
      <c r="AH158" s="8"/>
      <c r="AI158" s="8"/>
      <c r="AJ158" s="8"/>
      <c r="AK158" s="8"/>
      <c r="AL158" s="8"/>
      <c r="AM158" s="8"/>
      <c r="AN158" s="8"/>
      <c r="AO158" s="8"/>
      <c r="AP158" s="8"/>
      <c r="AQ158" s="8"/>
    </row>
    <row r="159" spans="2:43" ht="15.95" hidden="1" customHeight="1">
      <c r="B159" s="929"/>
      <c r="C159" s="8"/>
      <c r="D159" s="8"/>
      <c r="E159" s="8"/>
      <c r="F159" s="8"/>
      <c r="G159" s="8"/>
      <c r="H159" s="8"/>
      <c r="I159" s="8"/>
      <c r="J159" s="8"/>
      <c r="K159" s="8"/>
      <c r="L159" s="8"/>
      <c r="M159" s="8"/>
      <c r="N159" s="8"/>
      <c r="O159" s="8"/>
      <c r="P159" s="8"/>
      <c r="Q159" s="8"/>
      <c r="R159" s="8"/>
      <c r="S159" s="8"/>
      <c r="T159" s="8"/>
      <c r="U159" s="8"/>
      <c r="V159" s="8"/>
      <c r="W159" s="8"/>
      <c r="X159" s="8"/>
      <c r="Y159" s="8"/>
      <c r="Z159" s="8"/>
      <c r="AA159" s="8"/>
      <c r="AB159" s="8"/>
      <c r="AC159" s="8"/>
      <c r="AD159" s="8"/>
      <c r="AE159" s="8"/>
      <c r="AF159" s="8"/>
      <c r="AG159" s="8"/>
      <c r="AH159" s="8"/>
      <c r="AI159" s="8"/>
      <c r="AJ159" s="8"/>
      <c r="AK159" s="8"/>
      <c r="AL159" s="8"/>
      <c r="AM159" s="8"/>
      <c r="AN159" s="8"/>
      <c r="AO159" s="8"/>
      <c r="AP159" s="8"/>
      <c r="AQ159" s="8"/>
    </row>
    <row r="160" spans="2:43" ht="15.95" hidden="1" customHeight="1">
      <c r="B160" s="929">
        <v>73</v>
      </c>
      <c r="C160" s="8"/>
      <c r="D160" s="8"/>
      <c r="E160" s="8"/>
      <c r="F160" s="8"/>
      <c r="G160" s="8"/>
      <c r="H160" s="8"/>
      <c r="I160" s="8"/>
      <c r="J160" s="8"/>
      <c r="K160" s="8"/>
      <c r="L160" s="8"/>
      <c r="M160" s="8"/>
      <c r="N160" s="8"/>
      <c r="O160" s="8"/>
      <c r="P160" s="8"/>
      <c r="Q160" s="8"/>
      <c r="R160" s="8"/>
      <c r="S160" s="8"/>
      <c r="T160" s="8"/>
      <c r="U160" s="8"/>
      <c r="V160" s="8"/>
      <c r="W160" s="8"/>
      <c r="X160" s="8"/>
      <c r="Y160" s="8"/>
      <c r="Z160" s="8"/>
      <c r="AA160" s="8"/>
      <c r="AB160" s="8"/>
      <c r="AC160" s="8"/>
      <c r="AD160" s="8"/>
      <c r="AE160" s="8"/>
      <c r="AF160" s="8"/>
      <c r="AG160" s="8"/>
      <c r="AH160" s="8"/>
      <c r="AI160" s="8"/>
      <c r="AJ160" s="8"/>
      <c r="AK160" s="8"/>
      <c r="AL160" s="8"/>
      <c r="AM160" s="8"/>
      <c r="AN160" s="8"/>
      <c r="AO160" s="8"/>
      <c r="AP160" s="8"/>
      <c r="AQ160" s="8"/>
    </row>
    <row r="161" spans="2:43" ht="15.95" hidden="1" customHeight="1">
      <c r="B161" s="929"/>
      <c r="C161" s="8"/>
      <c r="D161" s="8"/>
      <c r="E161" s="8"/>
      <c r="F161" s="8"/>
      <c r="G161" s="8"/>
      <c r="H161" s="8"/>
      <c r="I161" s="8"/>
      <c r="J161" s="8"/>
      <c r="K161" s="8"/>
      <c r="L161" s="8"/>
      <c r="M161" s="8"/>
      <c r="N161" s="8"/>
      <c r="O161" s="8"/>
      <c r="P161" s="8"/>
      <c r="Q161" s="8"/>
      <c r="R161" s="8"/>
      <c r="S161" s="8"/>
      <c r="T161" s="8"/>
      <c r="U161" s="8"/>
      <c r="V161" s="8"/>
      <c r="W161" s="8"/>
      <c r="X161" s="8"/>
      <c r="Y161" s="8"/>
      <c r="Z161" s="8"/>
      <c r="AA161" s="8"/>
      <c r="AB161" s="8"/>
      <c r="AC161" s="8"/>
      <c r="AD161" s="8"/>
      <c r="AE161" s="8"/>
      <c r="AF161" s="8"/>
      <c r="AG161" s="8"/>
      <c r="AH161" s="8"/>
      <c r="AI161" s="8"/>
      <c r="AJ161" s="8"/>
      <c r="AK161" s="8"/>
      <c r="AL161" s="8"/>
      <c r="AM161" s="8"/>
      <c r="AN161" s="8"/>
      <c r="AO161" s="8"/>
      <c r="AP161" s="8"/>
      <c r="AQ161" s="8"/>
    </row>
    <row r="162" spans="2:43" ht="15.95" hidden="1" customHeight="1">
      <c r="B162" s="929">
        <v>74</v>
      </c>
      <c r="C162" s="8"/>
      <c r="D162" s="8"/>
      <c r="E162" s="8"/>
      <c r="F162" s="8"/>
      <c r="G162" s="8"/>
      <c r="H162" s="8"/>
      <c r="I162" s="8"/>
      <c r="J162" s="8"/>
      <c r="K162" s="8"/>
      <c r="L162" s="8"/>
      <c r="M162" s="8"/>
      <c r="N162" s="8"/>
      <c r="O162" s="8"/>
      <c r="P162" s="8"/>
      <c r="Q162" s="8"/>
      <c r="R162" s="8"/>
      <c r="S162" s="8"/>
      <c r="T162" s="8"/>
      <c r="U162" s="8"/>
      <c r="V162" s="8"/>
      <c r="W162" s="8"/>
      <c r="X162" s="8"/>
      <c r="Y162" s="8"/>
      <c r="Z162" s="8"/>
      <c r="AA162" s="8"/>
      <c r="AB162" s="8"/>
      <c r="AC162" s="8"/>
      <c r="AD162" s="8"/>
      <c r="AE162" s="8"/>
      <c r="AF162" s="8"/>
      <c r="AG162" s="8"/>
      <c r="AH162" s="8"/>
      <c r="AI162" s="8"/>
      <c r="AJ162" s="8"/>
      <c r="AK162" s="8"/>
      <c r="AL162" s="8"/>
      <c r="AM162" s="8"/>
      <c r="AN162" s="8"/>
      <c r="AO162" s="8"/>
      <c r="AP162" s="8"/>
      <c r="AQ162" s="8"/>
    </row>
    <row r="163" spans="2:43" ht="15.95" hidden="1" customHeight="1">
      <c r="B163" s="929"/>
      <c r="C163" s="8"/>
      <c r="D163" s="8"/>
      <c r="E163" s="8"/>
      <c r="F163" s="8"/>
      <c r="G163" s="8"/>
      <c r="H163" s="8"/>
      <c r="I163" s="8"/>
      <c r="J163" s="8"/>
      <c r="K163" s="8"/>
      <c r="L163" s="8"/>
      <c r="M163" s="8"/>
      <c r="N163" s="8"/>
      <c r="O163" s="8"/>
      <c r="P163" s="8"/>
      <c r="Q163" s="8"/>
      <c r="R163" s="8"/>
      <c r="S163" s="8"/>
      <c r="T163" s="8"/>
      <c r="U163" s="8"/>
      <c r="V163" s="8"/>
      <c r="W163" s="8"/>
      <c r="X163" s="8"/>
      <c r="Y163" s="8"/>
      <c r="Z163" s="8"/>
      <c r="AA163" s="8"/>
      <c r="AB163" s="8"/>
      <c r="AC163" s="8"/>
      <c r="AD163" s="8"/>
      <c r="AE163" s="8"/>
      <c r="AF163" s="8"/>
      <c r="AG163" s="8"/>
      <c r="AH163" s="8"/>
      <c r="AI163" s="8"/>
      <c r="AJ163" s="8"/>
      <c r="AK163" s="8"/>
      <c r="AL163" s="8"/>
      <c r="AM163" s="8"/>
      <c r="AN163" s="8"/>
      <c r="AO163" s="8"/>
      <c r="AP163" s="8"/>
      <c r="AQ163" s="8"/>
    </row>
    <row r="164" spans="2:43" ht="15.95" hidden="1" customHeight="1">
      <c r="B164" s="929">
        <v>75</v>
      </c>
      <c r="C164" s="8"/>
      <c r="D164" s="8"/>
      <c r="E164" s="8"/>
      <c r="F164" s="8"/>
      <c r="G164" s="8"/>
      <c r="H164" s="8"/>
      <c r="I164" s="8"/>
      <c r="J164" s="8"/>
      <c r="K164" s="8"/>
      <c r="L164" s="8"/>
      <c r="M164" s="8"/>
      <c r="N164" s="8"/>
      <c r="O164" s="8"/>
      <c r="P164" s="8"/>
      <c r="Q164" s="8"/>
      <c r="R164" s="8"/>
      <c r="S164" s="8"/>
      <c r="T164" s="8"/>
      <c r="U164" s="8"/>
      <c r="V164" s="8"/>
      <c r="W164" s="8"/>
      <c r="X164" s="8"/>
      <c r="Y164" s="8"/>
      <c r="Z164" s="8"/>
      <c r="AA164" s="8"/>
      <c r="AB164" s="8"/>
      <c r="AC164" s="8"/>
      <c r="AD164" s="8"/>
      <c r="AE164" s="8"/>
      <c r="AF164" s="8"/>
      <c r="AG164" s="8"/>
      <c r="AH164" s="8"/>
      <c r="AI164" s="8"/>
      <c r="AJ164" s="8"/>
      <c r="AK164" s="8"/>
      <c r="AL164" s="8"/>
      <c r="AM164" s="8"/>
      <c r="AN164" s="8"/>
      <c r="AO164" s="8"/>
      <c r="AP164" s="8"/>
      <c r="AQ164" s="8"/>
    </row>
    <row r="165" spans="2:43" ht="15.95" hidden="1" customHeight="1">
      <c r="B165" s="929"/>
      <c r="C165" s="8"/>
      <c r="D165" s="8"/>
      <c r="E165" s="8"/>
      <c r="F165" s="8"/>
      <c r="G165" s="8"/>
      <c r="H165" s="8"/>
      <c r="I165" s="8"/>
      <c r="J165" s="8"/>
      <c r="K165" s="8"/>
      <c r="L165" s="8"/>
      <c r="M165" s="8"/>
      <c r="N165" s="8"/>
      <c r="O165" s="8"/>
      <c r="P165" s="8"/>
      <c r="Q165" s="8"/>
      <c r="R165" s="8"/>
      <c r="S165" s="8"/>
      <c r="T165" s="8"/>
      <c r="U165" s="8"/>
      <c r="V165" s="8"/>
      <c r="W165" s="8"/>
      <c r="X165" s="8"/>
      <c r="Y165" s="8"/>
      <c r="Z165" s="8"/>
      <c r="AA165" s="8"/>
      <c r="AB165" s="8"/>
      <c r="AC165" s="8"/>
      <c r="AD165" s="8"/>
      <c r="AE165" s="8"/>
      <c r="AF165" s="8"/>
      <c r="AG165" s="8"/>
      <c r="AH165" s="8"/>
      <c r="AI165" s="8"/>
      <c r="AJ165" s="8"/>
      <c r="AK165" s="8"/>
      <c r="AL165" s="8"/>
      <c r="AM165" s="8"/>
      <c r="AN165" s="8"/>
      <c r="AO165" s="8"/>
      <c r="AP165" s="8"/>
      <c r="AQ165" s="8"/>
    </row>
    <row r="166" spans="2:43" ht="15.95" hidden="1" customHeight="1">
      <c r="B166" s="929">
        <v>76</v>
      </c>
      <c r="C166" s="8"/>
      <c r="D166" s="8"/>
      <c r="E166" s="8"/>
      <c r="F166" s="8"/>
      <c r="G166" s="8"/>
      <c r="H166" s="8"/>
      <c r="I166" s="8"/>
      <c r="J166" s="8"/>
      <c r="K166" s="8"/>
      <c r="L166" s="8"/>
      <c r="M166" s="8"/>
      <c r="N166" s="8"/>
      <c r="O166" s="8"/>
      <c r="P166" s="8"/>
      <c r="Q166" s="8"/>
      <c r="R166" s="8"/>
      <c r="S166" s="8"/>
      <c r="T166" s="8"/>
      <c r="U166" s="8"/>
      <c r="V166" s="8"/>
      <c r="W166" s="8"/>
      <c r="X166" s="8"/>
      <c r="Y166" s="8"/>
      <c r="Z166" s="8"/>
      <c r="AA166" s="8"/>
      <c r="AB166" s="8"/>
      <c r="AC166" s="8"/>
      <c r="AD166" s="8"/>
      <c r="AE166" s="8"/>
      <c r="AF166" s="8"/>
      <c r="AG166" s="8"/>
      <c r="AH166" s="8"/>
      <c r="AI166" s="8"/>
      <c r="AJ166" s="8"/>
      <c r="AK166" s="8"/>
      <c r="AL166" s="8"/>
      <c r="AM166" s="8"/>
      <c r="AN166" s="8"/>
      <c r="AO166" s="8"/>
      <c r="AP166" s="8"/>
      <c r="AQ166" s="8"/>
    </row>
    <row r="167" spans="2:43" ht="15.95" hidden="1" customHeight="1">
      <c r="B167" s="929"/>
      <c r="C167" s="8"/>
      <c r="D167" s="8"/>
      <c r="E167" s="8"/>
      <c r="F167" s="8"/>
      <c r="G167" s="8"/>
      <c r="H167" s="8"/>
      <c r="I167" s="8"/>
      <c r="J167" s="8"/>
      <c r="K167" s="8"/>
      <c r="L167" s="8"/>
      <c r="M167" s="8"/>
      <c r="N167" s="8"/>
      <c r="O167" s="8"/>
      <c r="P167" s="8"/>
      <c r="Q167" s="8"/>
      <c r="R167" s="8"/>
      <c r="S167" s="8"/>
      <c r="T167" s="8"/>
      <c r="U167" s="8"/>
      <c r="V167" s="8"/>
      <c r="W167" s="8"/>
      <c r="X167" s="8"/>
      <c r="Y167" s="8"/>
      <c r="Z167" s="8"/>
      <c r="AA167" s="8"/>
      <c r="AB167" s="8"/>
      <c r="AC167" s="8"/>
      <c r="AD167" s="8"/>
      <c r="AE167" s="8"/>
      <c r="AF167" s="8"/>
      <c r="AG167" s="8"/>
      <c r="AH167" s="8"/>
      <c r="AI167" s="8"/>
      <c r="AJ167" s="8"/>
      <c r="AK167" s="8"/>
      <c r="AL167" s="8"/>
      <c r="AM167" s="8"/>
      <c r="AN167" s="8"/>
      <c r="AO167" s="8"/>
      <c r="AP167" s="8"/>
      <c r="AQ167" s="8"/>
    </row>
    <row r="168" spans="2:43" ht="15.95" hidden="1" customHeight="1">
      <c r="B168" s="929">
        <v>77</v>
      </c>
      <c r="C168" s="8"/>
      <c r="D168" s="8"/>
      <c r="E168" s="8"/>
      <c r="F168" s="8"/>
      <c r="G168" s="8"/>
      <c r="H168" s="8"/>
      <c r="I168" s="8"/>
      <c r="J168" s="8"/>
      <c r="K168" s="8"/>
      <c r="L168" s="8"/>
      <c r="M168" s="8"/>
      <c r="N168" s="8"/>
      <c r="O168" s="8"/>
      <c r="P168" s="8"/>
      <c r="Q168" s="8"/>
      <c r="R168" s="8"/>
      <c r="S168" s="8"/>
      <c r="T168" s="8"/>
      <c r="U168" s="8"/>
      <c r="V168" s="8"/>
      <c r="W168" s="8"/>
      <c r="X168" s="8"/>
      <c r="Y168" s="8"/>
      <c r="Z168" s="8"/>
      <c r="AA168" s="8"/>
      <c r="AB168" s="8"/>
      <c r="AC168" s="8"/>
      <c r="AD168" s="8"/>
      <c r="AE168" s="8"/>
      <c r="AF168" s="8"/>
      <c r="AG168" s="8"/>
      <c r="AH168" s="8"/>
      <c r="AI168" s="8"/>
      <c r="AJ168" s="8"/>
      <c r="AK168" s="8"/>
      <c r="AL168" s="8"/>
      <c r="AM168" s="8"/>
      <c r="AN168" s="8"/>
      <c r="AO168" s="8"/>
      <c r="AP168" s="8"/>
      <c r="AQ168" s="8"/>
    </row>
    <row r="169" spans="2:43" ht="15.95" hidden="1" customHeight="1">
      <c r="B169" s="929"/>
      <c r="C169" s="8"/>
      <c r="D169" s="8"/>
      <c r="E169" s="8"/>
      <c r="F169" s="8"/>
      <c r="G169" s="8"/>
      <c r="H169" s="8"/>
      <c r="I169" s="8"/>
      <c r="J169" s="8"/>
      <c r="K169" s="8"/>
      <c r="L169" s="8"/>
      <c r="M169" s="8"/>
      <c r="N169" s="8"/>
      <c r="O169" s="8"/>
      <c r="P169" s="8"/>
      <c r="Q169" s="8"/>
      <c r="R169" s="8"/>
      <c r="S169" s="8"/>
      <c r="T169" s="8"/>
      <c r="U169" s="8"/>
      <c r="V169" s="8"/>
      <c r="W169" s="8"/>
      <c r="X169" s="8"/>
      <c r="Y169" s="8"/>
      <c r="Z169" s="8"/>
      <c r="AA169" s="8"/>
      <c r="AB169" s="8"/>
      <c r="AC169" s="8"/>
      <c r="AD169" s="8"/>
      <c r="AE169" s="8"/>
      <c r="AF169" s="8"/>
      <c r="AG169" s="8"/>
      <c r="AH169" s="8"/>
      <c r="AI169" s="8"/>
      <c r="AJ169" s="8"/>
      <c r="AK169" s="8"/>
      <c r="AL169" s="8"/>
      <c r="AM169" s="8"/>
      <c r="AN169" s="8"/>
      <c r="AO169" s="8"/>
      <c r="AP169" s="8"/>
      <c r="AQ169" s="8"/>
    </row>
    <row r="170" spans="2:43" ht="15.95" hidden="1" customHeight="1">
      <c r="B170" s="929">
        <v>78</v>
      </c>
      <c r="C170" s="8"/>
      <c r="D170" s="8"/>
      <c r="E170" s="8"/>
      <c r="F170" s="8"/>
      <c r="G170" s="8"/>
      <c r="H170" s="8"/>
      <c r="I170" s="8"/>
      <c r="J170" s="8"/>
      <c r="K170" s="8"/>
      <c r="L170" s="8"/>
      <c r="M170" s="8"/>
      <c r="N170" s="8"/>
      <c r="O170" s="8"/>
      <c r="P170" s="8"/>
      <c r="Q170" s="8"/>
      <c r="R170" s="8"/>
      <c r="S170" s="8"/>
      <c r="T170" s="8"/>
      <c r="U170" s="8"/>
      <c r="V170" s="8"/>
      <c r="W170" s="8"/>
      <c r="X170" s="8"/>
      <c r="Y170" s="8"/>
      <c r="Z170" s="8"/>
      <c r="AA170" s="8"/>
      <c r="AB170" s="8"/>
      <c r="AC170" s="8"/>
      <c r="AD170" s="8"/>
      <c r="AE170" s="8"/>
      <c r="AF170" s="8"/>
      <c r="AG170" s="8"/>
      <c r="AH170" s="8"/>
      <c r="AI170" s="8"/>
      <c r="AJ170" s="8"/>
      <c r="AK170" s="8"/>
      <c r="AL170" s="8"/>
      <c r="AM170" s="8"/>
      <c r="AN170" s="8"/>
      <c r="AO170" s="8"/>
      <c r="AP170" s="8"/>
      <c r="AQ170" s="8"/>
    </row>
    <row r="171" spans="2:43" ht="15.95" hidden="1" customHeight="1">
      <c r="B171" s="929"/>
      <c r="C171" s="8"/>
      <c r="D171" s="8"/>
      <c r="E171" s="8"/>
      <c r="F171" s="8"/>
      <c r="G171" s="8"/>
      <c r="H171" s="8"/>
      <c r="I171" s="8"/>
      <c r="J171" s="8"/>
      <c r="K171" s="8"/>
      <c r="L171" s="8"/>
      <c r="M171" s="8"/>
      <c r="N171" s="8"/>
      <c r="O171" s="8"/>
      <c r="P171" s="8"/>
      <c r="Q171" s="8"/>
      <c r="R171" s="8"/>
      <c r="S171" s="8"/>
      <c r="T171" s="8"/>
      <c r="U171" s="8"/>
      <c r="V171" s="8"/>
      <c r="W171" s="8"/>
      <c r="X171" s="8"/>
      <c r="Y171" s="8"/>
      <c r="Z171" s="8"/>
      <c r="AA171" s="8"/>
      <c r="AB171" s="8"/>
      <c r="AC171" s="8"/>
      <c r="AD171" s="8"/>
      <c r="AE171" s="8"/>
      <c r="AF171" s="8"/>
      <c r="AG171" s="8"/>
      <c r="AH171" s="8"/>
      <c r="AI171" s="8"/>
      <c r="AJ171" s="8"/>
      <c r="AK171" s="8"/>
      <c r="AL171" s="8"/>
      <c r="AM171" s="8"/>
      <c r="AN171" s="8"/>
      <c r="AO171" s="8"/>
      <c r="AP171" s="8"/>
      <c r="AQ171" s="8"/>
    </row>
    <row r="172" spans="2:43" ht="15.95" hidden="1" customHeight="1">
      <c r="B172" s="929">
        <v>79</v>
      </c>
      <c r="C172" s="8"/>
      <c r="D172" s="8"/>
      <c r="E172" s="8"/>
      <c r="F172" s="8"/>
      <c r="G172" s="8"/>
      <c r="H172" s="8"/>
      <c r="I172" s="8"/>
      <c r="J172" s="8"/>
      <c r="K172" s="8"/>
      <c r="L172" s="8"/>
      <c r="M172" s="8"/>
      <c r="N172" s="8"/>
      <c r="O172" s="8"/>
      <c r="P172" s="8"/>
      <c r="Q172" s="8"/>
      <c r="R172" s="8"/>
      <c r="S172" s="8"/>
      <c r="T172" s="8"/>
      <c r="U172" s="8"/>
      <c r="V172" s="8"/>
      <c r="W172" s="8"/>
      <c r="X172" s="8"/>
      <c r="Y172" s="8"/>
      <c r="Z172" s="8"/>
      <c r="AA172" s="8"/>
      <c r="AB172" s="8"/>
      <c r="AC172" s="8"/>
      <c r="AD172" s="8"/>
      <c r="AE172" s="8"/>
      <c r="AF172" s="8"/>
      <c r="AG172" s="8"/>
      <c r="AH172" s="8"/>
      <c r="AI172" s="8"/>
      <c r="AJ172" s="8"/>
      <c r="AK172" s="8"/>
      <c r="AL172" s="8"/>
      <c r="AM172" s="8"/>
      <c r="AN172" s="8"/>
      <c r="AO172" s="8"/>
      <c r="AP172" s="8"/>
      <c r="AQ172" s="8"/>
    </row>
    <row r="173" spans="2:43" ht="15.95" hidden="1" customHeight="1">
      <c r="B173" s="929"/>
      <c r="C173" s="8"/>
      <c r="D173" s="8"/>
      <c r="E173" s="8"/>
      <c r="F173" s="8"/>
      <c r="G173" s="8"/>
      <c r="H173" s="8"/>
      <c r="I173" s="8"/>
      <c r="J173" s="8"/>
      <c r="K173" s="8"/>
      <c r="L173" s="8"/>
      <c r="M173" s="8"/>
      <c r="N173" s="8"/>
      <c r="O173" s="8"/>
      <c r="P173" s="8"/>
      <c r="Q173" s="8"/>
      <c r="R173" s="8"/>
      <c r="S173" s="8"/>
      <c r="T173" s="8"/>
      <c r="U173" s="8"/>
      <c r="V173" s="8"/>
      <c r="W173" s="8"/>
      <c r="X173" s="8"/>
      <c r="Y173" s="8"/>
      <c r="Z173" s="8"/>
      <c r="AA173" s="8"/>
      <c r="AB173" s="8"/>
      <c r="AC173" s="8"/>
      <c r="AD173" s="8"/>
      <c r="AE173" s="8"/>
      <c r="AF173" s="8"/>
      <c r="AG173" s="8"/>
      <c r="AH173" s="8"/>
      <c r="AI173" s="8"/>
      <c r="AJ173" s="8"/>
      <c r="AK173" s="8"/>
      <c r="AL173" s="8"/>
      <c r="AM173" s="8"/>
      <c r="AN173" s="8"/>
      <c r="AO173" s="8"/>
      <c r="AP173" s="8"/>
      <c r="AQ173" s="8"/>
    </row>
    <row r="174" spans="2:43" ht="15.95" hidden="1" customHeight="1">
      <c r="B174" s="929">
        <v>80</v>
      </c>
      <c r="C174" s="8"/>
      <c r="D174" s="8"/>
      <c r="E174" s="8"/>
      <c r="F174" s="8"/>
      <c r="G174" s="8"/>
      <c r="H174" s="8"/>
      <c r="I174" s="8"/>
      <c r="J174" s="8"/>
      <c r="K174" s="8"/>
      <c r="L174" s="8"/>
      <c r="M174" s="8"/>
      <c r="N174" s="8"/>
      <c r="O174" s="8"/>
      <c r="P174" s="8"/>
      <c r="Q174" s="8"/>
      <c r="R174" s="8"/>
      <c r="S174" s="8"/>
      <c r="T174" s="8"/>
      <c r="U174" s="8"/>
      <c r="V174" s="8"/>
      <c r="W174" s="8"/>
      <c r="X174" s="8"/>
      <c r="Y174" s="8"/>
      <c r="Z174" s="8"/>
      <c r="AA174" s="8"/>
      <c r="AB174" s="8"/>
      <c r="AC174" s="8"/>
      <c r="AD174" s="8"/>
      <c r="AE174" s="8"/>
      <c r="AF174" s="8"/>
      <c r="AG174" s="8"/>
      <c r="AH174" s="8"/>
      <c r="AI174" s="8"/>
      <c r="AJ174" s="8"/>
      <c r="AK174" s="8"/>
      <c r="AL174" s="8"/>
      <c r="AM174" s="8"/>
      <c r="AN174" s="8"/>
      <c r="AO174" s="8"/>
      <c r="AP174" s="8"/>
      <c r="AQ174" s="8"/>
    </row>
    <row r="175" spans="2:43" ht="15.95" hidden="1" customHeight="1">
      <c r="B175" s="929"/>
      <c r="C175" s="8"/>
      <c r="D175" s="8"/>
      <c r="E175" s="8"/>
      <c r="F175" s="8"/>
      <c r="G175" s="8"/>
      <c r="H175" s="8"/>
      <c r="I175" s="8"/>
      <c r="J175" s="8"/>
      <c r="K175" s="8"/>
      <c r="L175" s="8"/>
      <c r="M175" s="8"/>
      <c r="N175" s="8"/>
      <c r="O175" s="8"/>
      <c r="P175" s="8"/>
      <c r="Q175" s="8"/>
      <c r="R175" s="8"/>
      <c r="S175" s="8"/>
      <c r="T175" s="8"/>
      <c r="U175" s="8"/>
      <c r="V175" s="8"/>
      <c r="W175" s="8"/>
      <c r="X175" s="8"/>
      <c r="Y175" s="8"/>
      <c r="Z175" s="8"/>
      <c r="AA175" s="8"/>
      <c r="AB175" s="8"/>
      <c r="AC175" s="8"/>
      <c r="AD175" s="8"/>
      <c r="AE175" s="8"/>
      <c r="AF175" s="8"/>
      <c r="AG175" s="8"/>
      <c r="AH175" s="8"/>
      <c r="AI175" s="8"/>
      <c r="AJ175" s="8"/>
      <c r="AK175" s="8"/>
      <c r="AL175" s="8"/>
      <c r="AM175" s="8"/>
      <c r="AN175" s="8"/>
      <c r="AO175" s="8"/>
      <c r="AP175" s="8"/>
      <c r="AQ175" s="8"/>
    </row>
    <row r="176" spans="2:43" ht="15.95" hidden="1" customHeight="1">
      <c r="B176" s="929">
        <v>81</v>
      </c>
      <c r="C176" s="8"/>
      <c r="D176" s="8"/>
      <c r="E176" s="8"/>
      <c r="F176" s="8"/>
      <c r="G176" s="8"/>
      <c r="H176" s="8"/>
      <c r="I176" s="8"/>
      <c r="J176" s="8"/>
      <c r="K176" s="8"/>
      <c r="L176" s="8"/>
      <c r="M176" s="8"/>
      <c r="N176" s="8"/>
      <c r="O176" s="8"/>
      <c r="P176" s="8"/>
      <c r="Q176" s="8"/>
      <c r="R176" s="8"/>
      <c r="S176" s="8"/>
      <c r="T176" s="8"/>
      <c r="U176" s="8"/>
      <c r="V176" s="8"/>
      <c r="W176" s="8"/>
      <c r="X176" s="8"/>
      <c r="Y176" s="8"/>
      <c r="Z176" s="8"/>
      <c r="AA176" s="8"/>
      <c r="AB176" s="8"/>
      <c r="AC176" s="8"/>
      <c r="AD176" s="8"/>
      <c r="AE176" s="8"/>
      <c r="AF176" s="8"/>
      <c r="AG176" s="8"/>
      <c r="AH176" s="8"/>
      <c r="AI176" s="8"/>
      <c r="AJ176" s="8"/>
      <c r="AK176" s="8"/>
      <c r="AL176" s="8"/>
      <c r="AM176" s="8"/>
      <c r="AN176" s="8"/>
      <c r="AO176" s="8"/>
      <c r="AP176" s="8"/>
      <c r="AQ176" s="8"/>
    </row>
    <row r="177" spans="2:43" ht="15.95" hidden="1" customHeight="1">
      <c r="B177" s="929"/>
      <c r="C177" s="8"/>
      <c r="D177" s="8"/>
      <c r="E177" s="8"/>
      <c r="F177" s="8"/>
      <c r="G177" s="8"/>
      <c r="H177" s="8"/>
      <c r="I177" s="8"/>
      <c r="J177" s="8"/>
      <c r="K177" s="8"/>
      <c r="L177" s="8"/>
      <c r="M177" s="8"/>
      <c r="N177" s="8"/>
      <c r="O177" s="8"/>
      <c r="P177" s="8"/>
      <c r="Q177" s="8"/>
      <c r="R177" s="8"/>
      <c r="S177" s="8"/>
      <c r="T177" s="8"/>
      <c r="U177" s="8"/>
      <c r="V177" s="8"/>
      <c r="W177" s="8"/>
      <c r="X177" s="8"/>
      <c r="Y177" s="8"/>
      <c r="Z177" s="8"/>
      <c r="AA177" s="8"/>
      <c r="AB177" s="8"/>
      <c r="AC177" s="8"/>
      <c r="AD177" s="8"/>
      <c r="AE177" s="8"/>
      <c r="AF177" s="8"/>
      <c r="AG177" s="8"/>
      <c r="AH177" s="8"/>
      <c r="AI177" s="8"/>
      <c r="AJ177" s="8"/>
      <c r="AK177" s="8"/>
      <c r="AL177" s="8"/>
      <c r="AM177" s="8"/>
      <c r="AN177" s="8"/>
      <c r="AO177" s="8"/>
      <c r="AP177" s="8"/>
      <c r="AQ177" s="8"/>
    </row>
    <row r="178" spans="2:43" ht="15.95" hidden="1" customHeight="1">
      <c r="B178" s="929">
        <v>82</v>
      </c>
      <c r="C178" s="8"/>
      <c r="D178" s="8"/>
      <c r="E178" s="8"/>
      <c r="F178" s="8"/>
      <c r="G178" s="8"/>
      <c r="H178" s="8"/>
      <c r="I178" s="8"/>
      <c r="J178" s="8"/>
      <c r="K178" s="8"/>
      <c r="L178" s="8"/>
      <c r="M178" s="8"/>
      <c r="N178" s="8"/>
      <c r="O178" s="8"/>
      <c r="P178" s="8"/>
      <c r="Q178" s="8"/>
      <c r="R178" s="8"/>
      <c r="S178" s="8"/>
      <c r="T178" s="8"/>
      <c r="U178" s="8"/>
      <c r="V178" s="8"/>
      <c r="W178" s="8"/>
      <c r="X178" s="8"/>
      <c r="Y178" s="8"/>
      <c r="Z178" s="8"/>
      <c r="AA178" s="8"/>
      <c r="AB178" s="8"/>
      <c r="AC178" s="8"/>
      <c r="AD178" s="8"/>
      <c r="AE178" s="8"/>
      <c r="AF178" s="8"/>
      <c r="AG178" s="8"/>
      <c r="AH178" s="8"/>
      <c r="AI178" s="8"/>
      <c r="AJ178" s="8"/>
      <c r="AK178" s="8"/>
      <c r="AL178" s="8"/>
      <c r="AM178" s="8"/>
      <c r="AN178" s="8"/>
      <c r="AO178" s="8"/>
      <c r="AP178" s="8"/>
      <c r="AQ178" s="8"/>
    </row>
    <row r="179" spans="2:43" ht="15.95" hidden="1" customHeight="1">
      <c r="B179" s="929"/>
      <c r="C179" s="8"/>
      <c r="D179" s="8"/>
      <c r="E179" s="8"/>
      <c r="F179" s="8"/>
      <c r="G179" s="8"/>
      <c r="H179" s="8"/>
      <c r="I179" s="8"/>
      <c r="J179" s="8"/>
      <c r="K179" s="8"/>
      <c r="L179" s="8"/>
      <c r="M179" s="8"/>
      <c r="N179" s="8"/>
      <c r="O179" s="8"/>
      <c r="P179" s="8"/>
      <c r="Q179" s="8"/>
      <c r="R179" s="8"/>
      <c r="S179" s="8"/>
      <c r="T179" s="8"/>
      <c r="U179" s="8"/>
      <c r="V179" s="8"/>
      <c r="W179" s="8"/>
      <c r="X179" s="8"/>
      <c r="Y179" s="8"/>
      <c r="Z179" s="8"/>
      <c r="AA179" s="8"/>
      <c r="AB179" s="8"/>
      <c r="AC179" s="8"/>
      <c r="AD179" s="8"/>
      <c r="AE179" s="8"/>
      <c r="AF179" s="8"/>
      <c r="AG179" s="8"/>
      <c r="AH179" s="8"/>
      <c r="AI179" s="8"/>
      <c r="AJ179" s="8"/>
      <c r="AK179" s="8"/>
      <c r="AL179" s="8"/>
      <c r="AM179" s="8"/>
      <c r="AN179" s="8"/>
      <c r="AO179" s="8"/>
      <c r="AP179" s="8"/>
      <c r="AQ179" s="8"/>
    </row>
    <row r="180" spans="2:43" ht="15.95" hidden="1" customHeight="1">
      <c r="B180" s="929">
        <v>83</v>
      </c>
      <c r="C180" s="8"/>
      <c r="D180" s="8"/>
      <c r="E180" s="8"/>
      <c r="F180" s="8"/>
      <c r="G180" s="8"/>
      <c r="H180" s="8"/>
      <c r="I180" s="8"/>
      <c r="J180" s="8"/>
      <c r="K180" s="8"/>
      <c r="L180" s="8"/>
      <c r="M180" s="8"/>
      <c r="N180" s="8"/>
      <c r="O180" s="8"/>
      <c r="P180" s="8"/>
      <c r="Q180" s="8"/>
      <c r="R180" s="8"/>
      <c r="S180" s="8"/>
      <c r="T180" s="8"/>
      <c r="U180" s="8"/>
      <c r="V180" s="8"/>
      <c r="W180" s="8"/>
      <c r="X180" s="8"/>
      <c r="Y180" s="8"/>
      <c r="Z180" s="8"/>
      <c r="AA180" s="8"/>
      <c r="AB180" s="8"/>
      <c r="AC180" s="8"/>
      <c r="AD180" s="8"/>
      <c r="AE180" s="8"/>
      <c r="AF180" s="8"/>
      <c r="AG180" s="8"/>
      <c r="AH180" s="8"/>
      <c r="AI180" s="8"/>
      <c r="AJ180" s="8"/>
      <c r="AK180" s="8"/>
      <c r="AL180" s="8"/>
      <c r="AM180" s="8"/>
      <c r="AN180" s="8"/>
      <c r="AO180" s="8"/>
      <c r="AP180" s="8"/>
      <c r="AQ180" s="8"/>
    </row>
    <row r="181" spans="2:43" ht="15.95" hidden="1" customHeight="1">
      <c r="B181" s="929"/>
      <c r="C181" s="8"/>
      <c r="D181" s="8"/>
      <c r="E181" s="8"/>
      <c r="F181" s="8"/>
      <c r="G181" s="8"/>
      <c r="H181" s="8"/>
      <c r="I181" s="8"/>
      <c r="J181" s="8"/>
      <c r="K181" s="8"/>
      <c r="L181" s="8"/>
      <c r="M181" s="8"/>
      <c r="N181" s="8"/>
      <c r="O181" s="8"/>
      <c r="P181" s="8"/>
      <c r="Q181" s="8"/>
      <c r="R181" s="8"/>
      <c r="S181" s="8"/>
      <c r="T181" s="8"/>
      <c r="U181" s="8"/>
      <c r="V181" s="8"/>
      <c r="W181" s="8"/>
      <c r="X181" s="8"/>
      <c r="Y181" s="8"/>
      <c r="Z181" s="8"/>
      <c r="AA181" s="8"/>
      <c r="AB181" s="8"/>
      <c r="AC181" s="8"/>
      <c r="AD181" s="8"/>
      <c r="AE181" s="8"/>
      <c r="AF181" s="8"/>
      <c r="AG181" s="8"/>
      <c r="AH181" s="8"/>
      <c r="AI181" s="8"/>
      <c r="AJ181" s="8"/>
      <c r="AK181" s="8"/>
      <c r="AL181" s="8"/>
      <c r="AM181" s="8"/>
      <c r="AN181" s="8"/>
      <c r="AO181" s="8"/>
      <c r="AP181" s="8"/>
      <c r="AQ181" s="8"/>
    </row>
    <row r="182" spans="2:43" ht="15.95" hidden="1" customHeight="1">
      <c r="B182" s="929">
        <v>84</v>
      </c>
      <c r="C182" s="8"/>
      <c r="D182" s="8"/>
      <c r="E182" s="8"/>
      <c r="F182" s="8"/>
      <c r="G182" s="8"/>
      <c r="H182" s="8"/>
      <c r="I182" s="8"/>
      <c r="J182" s="8"/>
      <c r="K182" s="8"/>
      <c r="L182" s="8"/>
      <c r="M182" s="8"/>
      <c r="N182" s="8"/>
      <c r="O182" s="8"/>
      <c r="P182" s="8"/>
      <c r="Q182" s="8"/>
      <c r="R182" s="8"/>
      <c r="S182" s="8"/>
      <c r="T182" s="8"/>
      <c r="U182" s="8"/>
      <c r="V182" s="8"/>
      <c r="W182" s="8"/>
      <c r="X182" s="8"/>
      <c r="Y182" s="8"/>
      <c r="Z182" s="8"/>
      <c r="AA182" s="8"/>
      <c r="AB182" s="8"/>
      <c r="AC182" s="8"/>
      <c r="AD182" s="8"/>
      <c r="AE182" s="8"/>
      <c r="AF182" s="8"/>
      <c r="AG182" s="8"/>
      <c r="AH182" s="8"/>
      <c r="AI182" s="8"/>
      <c r="AJ182" s="8"/>
      <c r="AK182" s="8"/>
      <c r="AL182" s="8"/>
      <c r="AM182" s="8"/>
      <c r="AN182" s="8"/>
      <c r="AO182" s="8"/>
      <c r="AP182" s="8"/>
      <c r="AQ182" s="8"/>
    </row>
    <row r="183" spans="2:43" ht="15.95" hidden="1" customHeight="1">
      <c r="B183" s="929"/>
      <c r="C183" s="8"/>
      <c r="D183" s="8"/>
      <c r="E183" s="8"/>
      <c r="F183" s="8"/>
      <c r="G183" s="8"/>
      <c r="H183" s="8"/>
      <c r="I183" s="8"/>
      <c r="J183" s="8"/>
      <c r="K183" s="8"/>
      <c r="L183" s="8"/>
      <c r="M183" s="8"/>
      <c r="N183" s="8"/>
      <c r="O183" s="8"/>
      <c r="P183" s="8"/>
      <c r="Q183" s="8"/>
      <c r="R183" s="8"/>
      <c r="S183" s="8"/>
      <c r="T183" s="8"/>
      <c r="U183" s="8"/>
      <c r="V183" s="8"/>
      <c r="W183" s="8"/>
      <c r="X183" s="8"/>
      <c r="Y183" s="8"/>
      <c r="Z183" s="8"/>
      <c r="AA183" s="8"/>
      <c r="AB183" s="8"/>
      <c r="AC183" s="8"/>
      <c r="AD183" s="8"/>
      <c r="AE183" s="8"/>
      <c r="AF183" s="8"/>
      <c r="AG183" s="8"/>
      <c r="AH183" s="8"/>
      <c r="AI183" s="8"/>
      <c r="AJ183" s="8"/>
      <c r="AK183" s="8"/>
      <c r="AL183" s="8"/>
      <c r="AM183" s="8"/>
      <c r="AN183" s="8"/>
      <c r="AO183" s="8"/>
      <c r="AP183" s="8"/>
      <c r="AQ183" s="8"/>
    </row>
    <row r="184" spans="2:43" ht="15.95" hidden="1" customHeight="1">
      <c r="B184" s="929">
        <v>85</v>
      </c>
      <c r="C184" s="8"/>
      <c r="D184" s="8"/>
      <c r="E184" s="8"/>
      <c r="F184" s="8"/>
      <c r="G184" s="8"/>
      <c r="H184" s="8"/>
      <c r="I184" s="8"/>
      <c r="J184" s="8"/>
      <c r="K184" s="8"/>
      <c r="L184" s="8"/>
      <c r="M184" s="8"/>
      <c r="N184" s="8"/>
      <c r="O184" s="8"/>
      <c r="P184" s="8"/>
      <c r="Q184" s="8"/>
      <c r="R184" s="8"/>
      <c r="S184" s="8"/>
      <c r="T184" s="8"/>
      <c r="U184" s="8"/>
      <c r="V184" s="8"/>
      <c r="W184" s="8"/>
      <c r="X184" s="8"/>
      <c r="Y184" s="8"/>
      <c r="Z184" s="8"/>
      <c r="AA184" s="8"/>
      <c r="AB184" s="8"/>
      <c r="AC184" s="8"/>
      <c r="AD184" s="8"/>
      <c r="AE184" s="8"/>
      <c r="AF184" s="8"/>
      <c r="AG184" s="8"/>
      <c r="AH184" s="8"/>
      <c r="AI184" s="8"/>
      <c r="AJ184" s="8"/>
      <c r="AK184" s="8"/>
      <c r="AL184" s="8"/>
      <c r="AM184" s="8"/>
      <c r="AN184" s="8"/>
      <c r="AO184" s="8"/>
      <c r="AP184" s="8"/>
      <c r="AQ184" s="8"/>
    </row>
    <row r="185" spans="2:43" ht="15.95" hidden="1" customHeight="1">
      <c r="B185" s="929"/>
      <c r="C185" s="8"/>
      <c r="D185" s="8"/>
      <c r="E185" s="8"/>
      <c r="F185" s="8"/>
      <c r="G185" s="8"/>
      <c r="H185" s="8"/>
      <c r="I185" s="8"/>
      <c r="J185" s="8"/>
      <c r="K185" s="8"/>
      <c r="L185" s="8"/>
      <c r="M185" s="8"/>
      <c r="N185" s="8"/>
      <c r="O185" s="8"/>
      <c r="P185" s="8"/>
      <c r="Q185" s="8"/>
      <c r="R185" s="8"/>
      <c r="S185" s="8"/>
      <c r="T185" s="8"/>
      <c r="U185" s="8"/>
      <c r="V185" s="8"/>
      <c r="W185" s="8"/>
      <c r="X185" s="8"/>
      <c r="Y185" s="8"/>
      <c r="Z185" s="8"/>
      <c r="AA185" s="8"/>
      <c r="AB185" s="8"/>
      <c r="AC185" s="8"/>
      <c r="AD185" s="8"/>
      <c r="AE185" s="8"/>
      <c r="AF185" s="8"/>
      <c r="AG185" s="8"/>
      <c r="AH185" s="8"/>
      <c r="AI185" s="8"/>
      <c r="AJ185" s="8"/>
      <c r="AK185" s="8"/>
      <c r="AL185" s="8"/>
      <c r="AM185" s="8"/>
      <c r="AN185" s="8"/>
      <c r="AO185" s="8"/>
      <c r="AP185" s="8"/>
      <c r="AQ185" s="8"/>
    </row>
    <row r="186" spans="2:43" ht="15.95" hidden="1" customHeight="1">
      <c r="B186" s="929">
        <v>86</v>
      </c>
      <c r="C186" s="8"/>
      <c r="D186" s="8"/>
      <c r="E186" s="8"/>
      <c r="F186" s="8"/>
      <c r="G186" s="8"/>
      <c r="H186" s="8"/>
      <c r="I186" s="8"/>
      <c r="J186" s="8"/>
      <c r="K186" s="8"/>
      <c r="L186" s="8"/>
      <c r="M186" s="8"/>
      <c r="N186" s="8"/>
      <c r="O186" s="8"/>
      <c r="P186" s="8"/>
      <c r="Q186" s="8"/>
      <c r="R186" s="8"/>
      <c r="S186" s="8"/>
      <c r="T186" s="8"/>
      <c r="U186" s="8"/>
      <c r="V186" s="8"/>
      <c r="W186" s="8"/>
      <c r="X186" s="8"/>
      <c r="Y186" s="8"/>
      <c r="Z186" s="8"/>
      <c r="AA186" s="8"/>
      <c r="AB186" s="8"/>
      <c r="AC186" s="8"/>
      <c r="AD186" s="8"/>
      <c r="AE186" s="8"/>
      <c r="AF186" s="8"/>
      <c r="AG186" s="8"/>
      <c r="AH186" s="8"/>
      <c r="AI186" s="8"/>
      <c r="AJ186" s="8"/>
      <c r="AK186" s="8"/>
      <c r="AL186" s="8"/>
      <c r="AM186" s="8"/>
      <c r="AN186" s="8"/>
      <c r="AO186" s="8"/>
      <c r="AP186" s="8"/>
      <c r="AQ186" s="8"/>
    </row>
    <row r="187" spans="2:43" ht="15.95" hidden="1" customHeight="1">
      <c r="B187" s="929"/>
      <c r="C187" s="8"/>
      <c r="D187" s="8"/>
      <c r="E187" s="8"/>
      <c r="F187" s="8"/>
      <c r="G187" s="8"/>
      <c r="H187" s="8"/>
      <c r="I187" s="8"/>
      <c r="J187" s="8"/>
      <c r="K187" s="8"/>
      <c r="L187" s="8"/>
      <c r="M187" s="8"/>
      <c r="N187" s="8"/>
      <c r="O187" s="8"/>
      <c r="P187" s="8"/>
      <c r="Q187" s="8"/>
      <c r="R187" s="8"/>
      <c r="S187" s="8"/>
      <c r="T187" s="8"/>
      <c r="U187" s="8"/>
      <c r="V187" s="8"/>
      <c r="W187" s="8"/>
      <c r="X187" s="8"/>
      <c r="Y187" s="8"/>
      <c r="Z187" s="8"/>
      <c r="AA187" s="8"/>
      <c r="AB187" s="8"/>
      <c r="AC187" s="8"/>
      <c r="AD187" s="8"/>
      <c r="AE187" s="8"/>
      <c r="AF187" s="8"/>
      <c r="AG187" s="8"/>
      <c r="AH187" s="8"/>
      <c r="AI187" s="8"/>
      <c r="AJ187" s="8"/>
      <c r="AK187" s="8"/>
      <c r="AL187" s="8"/>
      <c r="AM187" s="8"/>
      <c r="AN187" s="8"/>
      <c r="AO187" s="8"/>
      <c r="AP187" s="8"/>
      <c r="AQ187" s="8"/>
    </row>
    <row r="188" spans="2:43" ht="15.95" hidden="1" customHeight="1">
      <c r="B188" s="929">
        <v>87</v>
      </c>
      <c r="C188" s="8"/>
      <c r="D188" s="8"/>
      <c r="E188" s="8"/>
      <c r="F188" s="8"/>
      <c r="G188" s="8"/>
      <c r="H188" s="8"/>
      <c r="I188" s="8"/>
      <c r="J188" s="8"/>
      <c r="K188" s="8"/>
      <c r="L188" s="8"/>
      <c r="M188" s="8"/>
      <c r="N188" s="8"/>
      <c r="O188" s="8"/>
      <c r="P188" s="8"/>
      <c r="Q188" s="8"/>
      <c r="R188" s="8"/>
      <c r="S188" s="8"/>
      <c r="T188" s="8"/>
      <c r="U188" s="8"/>
      <c r="V188" s="8"/>
      <c r="W188" s="8"/>
      <c r="X188" s="8"/>
      <c r="Y188" s="8"/>
      <c r="Z188" s="8"/>
      <c r="AA188" s="8"/>
      <c r="AB188" s="8"/>
      <c r="AC188" s="8"/>
      <c r="AD188" s="8"/>
      <c r="AE188" s="8"/>
      <c r="AF188" s="8"/>
      <c r="AG188" s="8"/>
      <c r="AH188" s="8"/>
      <c r="AI188" s="8"/>
      <c r="AJ188" s="8"/>
      <c r="AK188" s="8"/>
      <c r="AL188" s="8"/>
      <c r="AM188" s="8"/>
      <c r="AN188" s="8"/>
      <c r="AO188" s="8"/>
      <c r="AP188" s="8"/>
      <c r="AQ188" s="8"/>
    </row>
    <row r="189" spans="2:43" ht="15.95" hidden="1" customHeight="1">
      <c r="B189" s="929"/>
      <c r="C189" s="8"/>
      <c r="D189" s="8"/>
      <c r="E189" s="8"/>
      <c r="F189" s="8"/>
      <c r="G189" s="8"/>
      <c r="H189" s="8"/>
      <c r="I189" s="8"/>
      <c r="J189" s="8"/>
      <c r="K189" s="8"/>
      <c r="L189" s="8"/>
      <c r="M189" s="8"/>
      <c r="N189" s="8"/>
      <c r="O189" s="8"/>
      <c r="P189" s="8"/>
      <c r="Q189" s="8"/>
      <c r="R189" s="8"/>
      <c r="S189" s="8"/>
      <c r="T189" s="8"/>
      <c r="U189" s="8"/>
      <c r="V189" s="8"/>
      <c r="W189" s="8"/>
      <c r="X189" s="8"/>
      <c r="Y189" s="8"/>
      <c r="Z189" s="8"/>
      <c r="AA189" s="8"/>
      <c r="AB189" s="8"/>
      <c r="AC189" s="8"/>
      <c r="AD189" s="8"/>
      <c r="AE189" s="8"/>
      <c r="AF189" s="8"/>
      <c r="AG189" s="8"/>
      <c r="AH189" s="8"/>
      <c r="AI189" s="8"/>
      <c r="AJ189" s="8"/>
      <c r="AK189" s="8"/>
      <c r="AL189" s="8"/>
      <c r="AM189" s="8"/>
      <c r="AN189" s="8"/>
      <c r="AO189" s="8"/>
      <c r="AP189" s="8"/>
      <c r="AQ189" s="8"/>
    </row>
    <row r="190" spans="2:43" ht="15.95" hidden="1" customHeight="1">
      <c r="B190" s="929">
        <v>88</v>
      </c>
      <c r="C190" s="8"/>
      <c r="D190" s="8"/>
      <c r="E190" s="8"/>
      <c r="F190" s="8"/>
      <c r="G190" s="8"/>
      <c r="H190" s="8"/>
      <c r="I190" s="8"/>
      <c r="J190" s="8"/>
      <c r="K190" s="8"/>
      <c r="L190" s="8"/>
      <c r="M190" s="8"/>
      <c r="N190" s="8"/>
      <c r="O190" s="8"/>
      <c r="P190" s="8"/>
      <c r="Q190" s="8"/>
      <c r="R190" s="8"/>
      <c r="S190" s="8"/>
      <c r="T190" s="8"/>
      <c r="U190" s="8"/>
      <c r="V190" s="8"/>
      <c r="W190" s="8"/>
      <c r="X190" s="8"/>
      <c r="Y190" s="8"/>
      <c r="Z190" s="8"/>
      <c r="AA190" s="8"/>
      <c r="AB190" s="8"/>
      <c r="AC190" s="8"/>
      <c r="AD190" s="8"/>
      <c r="AE190" s="8"/>
      <c r="AF190" s="8"/>
      <c r="AG190" s="8"/>
      <c r="AH190" s="8"/>
      <c r="AI190" s="8"/>
      <c r="AJ190" s="8"/>
      <c r="AK190" s="8"/>
      <c r="AL190" s="8"/>
      <c r="AM190" s="8"/>
      <c r="AN190" s="8"/>
      <c r="AO190" s="8"/>
      <c r="AP190" s="8"/>
      <c r="AQ190" s="8"/>
    </row>
    <row r="191" spans="2:43" ht="15.95" hidden="1" customHeight="1">
      <c r="B191" s="929"/>
      <c r="C191" s="8"/>
      <c r="D191" s="8"/>
      <c r="E191" s="8"/>
      <c r="F191" s="8"/>
      <c r="G191" s="8"/>
      <c r="H191" s="8"/>
      <c r="I191" s="8"/>
      <c r="J191" s="8"/>
      <c r="K191" s="8"/>
      <c r="L191" s="8"/>
      <c r="M191" s="8"/>
      <c r="N191" s="8"/>
      <c r="O191" s="8"/>
      <c r="P191" s="8"/>
      <c r="Q191" s="8"/>
      <c r="R191" s="8"/>
      <c r="S191" s="8"/>
      <c r="T191" s="8"/>
      <c r="U191" s="8"/>
      <c r="V191" s="8"/>
      <c r="W191" s="8"/>
      <c r="X191" s="8"/>
      <c r="Y191" s="8"/>
      <c r="Z191" s="8"/>
      <c r="AA191" s="8"/>
      <c r="AB191" s="8"/>
      <c r="AC191" s="8"/>
      <c r="AD191" s="8"/>
      <c r="AE191" s="8"/>
      <c r="AF191" s="8"/>
      <c r="AG191" s="8"/>
      <c r="AH191" s="8"/>
      <c r="AI191" s="8"/>
      <c r="AJ191" s="8"/>
      <c r="AK191" s="8"/>
      <c r="AL191" s="8"/>
      <c r="AM191" s="8"/>
      <c r="AN191" s="8"/>
      <c r="AO191" s="8"/>
      <c r="AP191" s="8"/>
      <c r="AQ191" s="8"/>
    </row>
    <row r="192" spans="2:43" ht="15.95" hidden="1" customHeight="1">
      <c r="B192" s="929">
        <v>89</v>
      </c>
      <c r="C192" s="8"/>
      <c r="D192" s="8"/>
      <c r="E192" s="8"/>
      <c r="F192" s="8"/>
      <c r="G192" s="8"/>
      <c r="H192" s="8"/>
      <c r="I192" s="8"/>
      <c r="J192" s="8"/>
      <c r="K192" s="8"/>
      <c r="L192" s="8"/>
      <c r="M192" s="8"/>
      <c r="N192" s="8"/>
      <c r="O192" s="8"/>
      <c r="P192" s="8"/>
      <c r="Q192" s="8"/>
      <c r="R192" s="8"/>
      <c r="S192" s="8"/>
      <c r="T192" s="8"/>
      <c r="U192" s="8"/>
      <c r="V192" s="8"/>
      <c r="W192" s="8"/>
      <c r="X192" s="8"/>
      <c r="Y192" s="8"/>
      <c r="Z192" s="8"/>
      <c r="AA192" s="8"/>
      <c r="AB192" s="8"/>
      <c r="AC192" s="8"/>
      <c r="AD192" s="8"/>
      <c r="AE192" s="8"/>
      <c r="AF192" s="8"/>
      <c r="AG192" s="8"/>
      <c r="AH192" s="8"/>
      <c r="AI192" s="8"/>
      <c r="AJ192" s="8"/>
      <c r="AK192" s="8"/>
      <c r="AL192" s="8"/>
      <c r="AM192" s="8"/>
      <c r="AN192" s="8"/>
      <c r="AO192" s="8"/>
      <c r="AP192" s="8"/>
      <c r="AQ192" s="8"/>
    </row>
    <row r="193" spans="2:48" ht="15.95" hidden="1" customHeight="1">
      <c r="B193" s="929"/>
      <c r="C193" s="8"/>
      <c r="D193" s="8"/>
      <c r="E193" s="8"/>
      <c r="F193" s="8"/>
      <c r="G193" s="8"/>
      <c r="H193" s="8"/>
      <c r="I193" s="8"/>
      <c r="J193" s="8"/>
      <c r="K193" s="8"/>
      <c r="L193" s="8"/>
      <c r="M193" s="8"/>
      <c r="N193" s="8"/>
      <c r="O193" s="8"/>
      <c r="P193" s="8"/>
      <c r="Q193" s="8"/>
      <c r="R193" s="8"/>
      <c r="S193" s="8"/>
      <c r="T193" s="8"/>
      <c r="U193" s="8"/>
      <c r="V193" s="8"/>
      <c r="W193" s="8"/>
      <c r="X193" s="8"/>
      <c r="Y193" s="8"/>
      <c r="Z193" s="8"/>
      <c r="AA193" s="8"/>
      <c r="AB193" s="8"/>
      <c r="AC193" s="8"/>
      <c r="AD193" s="8"/>
      <c r="AE193" s="8"/>
      <c r="AF193" s="8"/>
      <c r="AG193" s="8"/>
      <c r="AH193" s="8"/>
      <c r="AI193" s="8"/>
      <c r="AJ193" s="8"/>
      <c r="AK193" s="8"/>
      <c r="AL193" s="8"/>
      <c r="AM193" s="8"/>
      <c r="AN193" s="8"/>
      <c r="AO193" s="8"/>
      <c r="AP193" s="8"/>
      <c r="AQ193" s="8"/>
    </row>
    <row r="194" spans="2:48" hidden="1">
      <c r="B194" s="929">
        <v>90</v>
      </c>
      <c r="C194" s="8"/>
      <c r="D194" s="8"/>
      <c r="E194" s="8"/>
      <c r="F194" s="8"/>
      <c r="G194" s="8"/>
      <c r="H194" s="8"/>
      <c r="I194" s="8"/>
      <c r="J194" s="8"/>
      <c r="K194" s="8"/>
      <c r="L194" s="8"/>
      <c r="M194" s="8"/>
      <c r="N194" s="8"/>
      <c r="O194" s="8"/>
      <c r="P194" s="8"/>
      <c r="Q194" s="8"/>
      <c r="R194" s="8"/>
      <c r="S194" s="8"/>
      <c r="T194" s="8"/>
      <c r="U194" s="8"/>
      <c r="V194" s="8"/>
      <c r="W194" s="8"/>
      <c r="X194" s="8"/>
      <c r="Y194" s="8"/>
      <c r="Z194" s="8"/>
      <c r="AA194" s="8"/>
      <c r="AB194" s="8"/>
      <c r="AC194" s="8"/>
      <c r="AD194" s="8"/>
      <c r="AE194" s="8"/>
      <c r="AF194" s="8"/>
      <c r="AG194" s="8"/>
      <c r="AH194" s="8"/>
      <c r="AI194" s="8"/>
      <c r="AJ194" s="8"/>
      <c r="AK194" s="8"/>
      <c r="AL194" s="8"/>
      <c r="AM194" s="8"/>
      <c r="AN194" s="8"/>
      <c r="AO194" s="8"/>
      <c r="AP194" s="8"/>
      <c r="AQ194" s="8"/>
    </row>
    <row r="195" spans="2:48" hidden="1">
      <c r="B195" s="929"/>
      <c r="C195" s="8"/>
      <c r="D195" s="8"/>
      <c r="E195" s="8"/>
      <c r="F195" s="8"/>
      <c r="G195" s="8"/>
      <c r="H195" s="8"/>
      <c r="I195" s="8"/>
      <c r="J195" s="8"/>
      <c r="K195" s="8"/>
      <c r="L195" s="8"/>
      <c r="M195" s="8"/>
      <c r="N195" s="8"/>
      <c r="O195" s="8"/>
      <c r="P195" s="8"/>
      <c r="Q195" s="8"/>
      <c r="R195" s="8"/>
      <c r="S195" s="8"/>
      <c r="T195" s="8"/>
      <c r="U195" s="8"/>
      <c r="V195" s="8"/>
      <c r="W195" s="8"/>
      <c r="X195" s="8"/>
      <c r="Y195" s="8"/>
      <c r="Z195" s="8"/>
      <c r="AA195" s="8"/>
      <c r="AB195" s="8"/>
      <c r="AC195" s="8"/>
      <c r="AD195" s="8"/>
      <c r="AE195" s="8"/>
      <c r="AF195" s="8"/>
      <c r="AG195" s="8"/>
      <c r="AH195" s="8"/>
      <c r="AI195" s="8"/>
      <c r="AJ195" s="8"/>
      <c r="AK195" s="8"/>
      <c r="AL195" s="8"/>
      <c r="AM195" s="8"/>
      <c r="AN195" s="8"/>
      <c r="AO195" s="8"/>
      <c r="AP195" s="8"/>
      <c r="AQ195" s="8"/>
    </row>
    <row r="196" spans="2:48" hidden="1">
      <c r="B196" s="929">
        <v>91</v>
      </c>
      <c r="C196" s="8"/>
      <c r="D196" s="8"/>
      <c r="E196" s="8"/>
      <c r="F196" s="8"/>
      <c r="G196" s="8"/>
      <c r="H196" s="8"/>
      <c r="I196" s="8"/>
      <c r="J196" s="8"/>
      <c r="K196" s="8"/>
      <c r="L196" s="8"/>
      <c r="M196" s="8"/>
      <c r="N196" s="8"/>
      <c r="O196" s="8"/>
      <c r="P196" s="8"/>
      <c r="Q196" s="8"/>
      <c r="R196" s="8"/>
      <c r="S196" s="8"/>
      <c r="T196" s="8"/>
      <c r="U196" s="8"/>
      <c r="V196" s="8"/>
      <c r="W196" s="8"/>
      <c r="X196" s="8"/>
      <c r="Y196" s="8"/>
      <c r="Z196" s="8"/>
      <c r="AA196" s="8"/>
      <c r="AB196" s="8"/>
      <c r="AC196" s="8"/>
      <c r="AD196" s="8"/>
      <c r="AE196" s="8"/>
      <c r="AF196" s="8"/>
      <c r="AG196" s="8"/>
      <c r="AH196" s="8"/>
      <c r="AI196" s="8"/>
      <c r="AJ196" s="8"/>
      <c r="AK196" s="8"/>
      <c r="AL196" s="8"/>
      <c r="AM196" s="8"/>
      <c r="AN196" s="8"/>
      <c r="AO196" s="8"/>
      <c r="AP196" s="8"/>
      <c r="AQ196" s="8"/>
    </row>
    <row r="197" spans="2:48" hidden="1">
      <c r="B197" s="929"/>
      <c r="C197" s="8"/>
      <c r="D197" s="8"/>
      <c r="E197" s="8"/>
      <c r="F197" s="8"/>
      <c r="G197" s="8"/>
      <c r="H197" s="8"/>
      <c r="I197" s="8"/>
      <c r="J197" s="8"/>
      <c r="K197" s="8"/>
      <c r="L197" s="8"/>
      <c r="M197" s="8"/>
      <c r="N197" s="8"/>
      <c r="O197" s="8"/>
      <c r="P197" s="8"/>
      <c r="Q197" s="8"/>
      <c r="R197" s="8"/>
      <c r="S197" s="8"/>
      <c r="T197" s="8"/>
      <c r="U197" s="8"/>
      <c r="V197" s="8"/>
      <c r="W197" s="8"/>
      <c r="X197" s="8"/>
      <c r="Y197" s="8"/>
      <c r="Z197" s="8"/>
      <c r="AA197" s="8"/>
      <c r="AB197" s="8"/>
      <c r="AC197" s="8"/>
      <c r="AD197" s="8"/>
      <c r="AE197" s="8"/>
      <c r="AF197" s="8"/>
      <c r="AG197" s="8"/>
      <c r="AH197" s="8"/>
      <c r="AI197" s="8"/>
      <c r="AJ197" s="8"/>
      <c r="AK197" s="8"/>
      <c r="AL197" s="8"/>
      <c r="AM197" s="8"/>
      <c r="AN197" s="8"/>
      <c r="AO197" s="8"/>
      <c r="AP197" s="8"/>
      <c r="AQ197" s="8"/>
    </row>
    <row r="198" spans="2:48" hidden="1">
      <c r="B198" s="929">
        <v>92</v>
      </c>
      <c r="C198" s="8"/>
      <c r="D198" s="8"/>
      <c r="E198" s="8"/>
      <c r="F198" s="8"/>
      <c r="G198" s="8"/>
      <c r="H198" s="8"/>
      <c r="I198" s="8"/>
      <c r="J198" s="8"/>
      <c r="K198" s="8"/>
      <c r="L198" s="8"/>
      <c r="M198" s="8"/>
      <c r="N198" s="8"/>
      <c r="O198" s="8"/>
      <c r="P198" s="8"/>
      <c r="Q198" s="8"/>
      <c r="R198" s="8"/>
      <c r="S198" s="8"/>
      <c r="T198" s="8"/>
      <c r="U198" s="8"/>
      <c r="V198" s="8"/>
      <c r="W198" s="8"/>
      <c r="X198" s="8"/>
      <c r="Y198" s="8"/>
      <c r="Z198" s="8"/>
      <c r="AA198" s="8"/>
      <c r="AB198" s="8"/>
      <c r="AC198" s="8"/>
      <c r="AD198" s="8"/>
      <c r="AE198" s="8"/>
      <c r="AF198" s="8"/>
      <c r="AG198" s="8"/>
      <c r="AH198" s="8"/>
      <c r="AI198" s="8"/>
      <c r="AJ198" s="8"/>
      <c r="AK198" s="8"/>
      <c r="AL198" s="8"/>
      <c r="AM198" s="8"/>
      <c r="AN198" s="8"/>
      <c r="AO198" s="8"/>
      <c r="AP198" s="8"/>
      <c r="AQ198" s="8"/>
    </row>
    <row r="199" spans="2:48" hidden="1">
      <c r="B199" s="929"/>
      <c r="C199" s="8"/>
      <c r="D199" s="8"/>
      <c r="E199" s="8"/>
      <c r="F199" s="8"/>
      <c r="G199" s="8"/>
      <c r="H199" s="8"/>
      <c r="I199" s="8"/>
      <c r="J199" s="8"/>
      <c r="K199" s="8"/>
      <c r="L199" s="8"/>
      <c r="M199" s="8"/>
      <c r="N199" s="8"/>
      <c r="O199" s="8"/>
      <c r="P199" s="8"/>
      <c r="Q199" s="8"/>
      <c r="R199" s="8"/>
      <c r="S199" s="8"/>
      <c r="T199" s="8"/>
      <c r="U199" s="8"/>
      <c r="V199" s="8"/>
      <c r="W199" s="8"/>
      <c r="X199" s="8"/>
      <c r="Y199" s="8"/>
      <c r="Z199" s="8"/>
      <c r="AA199" s="8"/>
      <c r="AB199" s="8"/>
      <c r="AC199" s="8"/>
      <c r="AD199" s="8"/>
      <c r="AE199" s="8"/>
      <c r="AF199" s="8"/>
      <c r="AG199" s="8"/>
      <c r="AH199" s="8"/>
      <c r="AI199" s="8"/>
      <c r="AJ199" s="8"/>
      <c r="AK199" s="8"/>
      <c r="AL199" s="8"/>
      <c r="AM199" s="8"/>
      <c r="AN199" s="8"/>
      <c r="AO199" s="8"/>
      <c r="AP199" s="8"/>
      <c r="AQ199" s="8"/>
    </row>
    <row r="200" spans="2:48">
      <c r="B200" s="272" t="str">
        <f>FOOT1</f>
        <v>NIPSCO Energy Efficiency Program</v>
      </c>
      <c r="C200" s="272"/>
      <c r="D200" s="272"/>
      <c r="E200" s="272"/>
      <c r="F200" s="272"/>
      <c r="G200" s="272"/>
      <c r="H200" s="272"/>
      <c r="I200" s="272"/>
      <c r="J200" s="272"/>
      <c r="K200" s="272"/>
      <c r="L200" s="272"/>
      <c r="M200" s="661" t="str">
        <f>FOOT4</f>
        <v>NIPSCO’s energy efficiency programs are administered by TRC, a third‐party implementation specialist that helps homes and businesses save energy.</v>
      </c>
      <c r="N200" s="661"/>
      <c r="O200" s="661"/>
      <c r="P200" s="661"/>
      <c r="Q200" s="661"/>
      <c r="R200" s="661"/>
      <c r="S200" s="661"/>
      <c r="T200" s="661"/>
      <c r="U200" s="661"/>
      <c r="V200" s="661"/>
      <c r="W200" s="661"/>
      <c r="X200" s="661"/>
      <c r="Y200" s="661"/>
      <c r="Z200" s="661"/>
      <c r="AA200" s="661"/>
      <c r="AB200" s="661"/>
      <c r="AC200" s="661"/>
      <c r="AD200" s="661"/>
      <c r="AE200" s="661"/>
      <c r="AF200" s="661"/>
      <c r="AG200" s="661"/>
      <c r="AH200" s="272"/>
      <c r="AI200" s="272"/>
      <c r="AJ200" s="272"/>
      <c r="AK200" s="272"/>
      <c r="AL200" s="272"/>
      <c r="AM200" s="272"/>
      <c r="AN200" s="272"/>
      <c r="AO200" s="272"/>
      <c r="AP200" s="272"/>
      <c r="AQ200" s="272"/>
      <c r="AR200" s="273" t="str">
        <f>FOOTDISCLAIM</f>
        <v/>
      </c>
      <c r="AU200" s="813">
        <f ca="1">SUM(AU16:AU199)</f>
        <v>0</v>
      </c>
      <c r="AV200" s="878">
        <f ca="1">SUM(AV16:AV199)</f>
        <v>0</v>
      </c>
    </row>
    <row r="201" spans="2:48">
      <c r="B201" s="272" t="str">
        <f>FOOT2</f>
        <v>Toll-Free 800-299-2501</v>
      </c>
      <c r="C201" s="272"/>
      <c r="D201" s="272"/>
      <c r="E201" s="272"/>
      <c r="F201" s="272"/>
      <c r="G201" s="272"/>
      <c r="H201" s="272"/>
      <c r="I201" s="272"/>
      <c r="J201" s="272"/>
      <c r="K201" s="272"/>
      <c r="L201" s="272"/>
      <c r="M201" s="661"/>
      <c r="N201" s="661"/>
      <c r="O201" s="661"/>
      <c r="P201" s="661"/>
      <c r="Q201" s="661"/>
      <c r="R201" s="661"/>
      <c r="S201" s="661"/>
      <c r="T201" s="661"/>
      <c r="U201" s="661"/>
      <c r="V201" s="661"/>
      <c r="W201" s="661"/>
      <c r="X201" s="661"/>
      <c r="Y201" s="661"/>
      <c r="Z201" s="661"/>
      <c r="AA201" s="661"/>
      <c r="AB201" s="661"/>
      <c r="AC201" s="661"/>
      <c r="AD201" s="661"/>
      <c r="AE201" s="661"/>
      <c r="AF201" s="661"/>
      <c r="AG201" s="661"/>
      <c r="AH201" s="272"/>
      <c r="AI201" s="272"/>
      <c r="AJ201" s="272"/>
      <c r="AK201" s="272"/>
      <c r="AL201" s="272"/>
      <c r="AM201" s="272"/>
      <c r="AN201" s="272"/>
      <c r="AO201" s="272"/>
      <c r="AP201" s="272"/>
      <c r="AQ201" s="272"/>
      <c r="AR201" s="273" t="str">
        <f>FOOT5</f>
        <v/>
      </c>
      <c r="AU201" s="814"/>
      <c r="AV201" s="879"/>
    </row>
    <row r="202" spans="2:48">
      <c r="B202" s="281" t="s">
        <v>1547</v>
      </c>
      <c r="C202" s="272"/>
      <c r="D202" s="272"/>
      <c r="E202" s="272"/>
      <c r="F202" s="272"/>
      <c r="G202" s="272"/>
      <c r="H202" s="272"/>
      <c r="I202" s="272"/>
      <c r="J202" s="272"/>
      <c r="K202" s="272"/>
      <c r="L202" s="272"/>
      <c r="M202" s="274"/>
      <c r="N202" s="272"/>
      <c r="O202" s="272"/>
      <c r="P202" s="274"/>
      <c r="Q202" s="274"/>
      <c r="R202" s="274"/>
      <c r="S202" s="274"/>
      <c r="T202" s="274"/>
      <c r="U202" s="274"/>
      <c r="V202" s="274"/>
      <c r="W202" s="275" t="str">
        <f>VERSION</f>
        <v>Custom Prescriptive Application v3.7.1</v>
      </c>
      <c r="X202" s="274"/>
      <c r="Y202" s="274"/>
      <c r="Z202" s="274"/>
      <c r="AA202" s="274"/>
      <c r="AB202" s="274"/>
      <c r="AC202" s="274"/>
      <c r="AD202" s="274"/>
      <c r="AE202" s="272"/>
      <c r="AF202" s="272"/>
      <c r="AG202" s="272"/>
      <c r="AH202" s="272"/>
      <c r="AI202" s="272"/>
      <c r="AJ202" s="272"/>
      <c r="AK202" s="272"/>
      <c r="AL202" s="272"/>
      <c r="AM202" s="272"/>
      <c r="AN202" s="272"/>
      <c r="AO202" s="272"/>
      <c r="AP202" s="272"/>
      <c r="AQ202" s="272"/>
      <c r="AR202" s="273" t="str">
        <f>FOOT6</f>
        <v>Product of TRC</v>
      </c>
    </row>
  </sheetData>
  <sheetProtection algorithmName="SHA-512" hashValue="Jo5p6K05Pf+SLwygRxjGMdVGGxVQngimZDwix4sP9XAhu9HYEzQ3ZlalqLzvUHs5QIk4ldOPEwpQithCvPCYiQ==" saltValue="ytukpHgl7Fvm+VikQ4OmKA==" spinCount="100000" sheet="1" objects="1" scenarios="1" selectLockedCells="1"/>
  <mergeCells count="985">
    <mergeCell ref="BA54:BA55"/>
    <mergeCell ref="AF11:AI11"/>
    <mergeCell ref="AF12:AI13"/>
    <mergeCell ref="AZ114:AZ115"/>
    <mergeCell ref="BA114:BA115"/>
    <mergeCell ref="BB114:BB115"/>
    <mergeCell ref="AY114:AY115"/>
    <mergeCell ref="BC112:BC113"/>
    <mergeCell ref="C114:H115"/>
    <mergeCell ref="I114:L115"/>
    <mergeCell ref="M114:P115"/>
    <mergeCell ref="Q114:S115"/>
    <mergeCell ref="AK114:AM115"/>
    <mergeCell ref="AN114:AQ115"/>
    <mergeCell ref="BC114:BC115"/>
    <mergeCell ref="AU114:AU115"/>
    <mergeCell ref="AV114:AV115"/>
    <mergeCell ref="T114:U115"/>
    <mergeCell ref="V114:W115"/>
    <mergeCell ref="X114:AA115"/>
    <mergeCell ref="AB114:AD115"/>
    <mergeCell ref="AE114:AF115"/>
    <mergeCell ref="AG114:AH115"/>
    <mergeCell ref="AI114:AJ115"/>
    <mergeCell ref="AU112:AU113"/>
    <mergeCell ref="AV112:AV113"/>
    <mergeCell ref="AN108:AQ109"/>
    <mergeCell ref="BC108:BC109"/>
    <mergeCell ref="C110:H111"/>
    <mergeCell ref="I110:L111"/>
    <mergeCell ref="M110:P111"/>
    <mergeCell ref="Q110:S111"/>
    <mergeCell ref="AK110:AM111"/>
    <mergeCell ref="AN110:AQ111"/>
    <mergeCell ref="BC110:BC111"/>
    <mergeCell ref="AU110:AU111"/>
    <mergeCell ref="AV110:AV111"/>
    <mergeCell ref="T108:U109"/>
    <mergeCell ref="V108:W109"/>
    <mergeCell ref="X108:AA109"/>
    <mergeCell ref="AB108:AD109"/>
    <mergeCell ref="AE108:AF109"/>
    <mergeCell ref="AG108:AH109"/>
    <mergeCell ref="AI108:AJ109"/>
    <mergeCell ref="AU108:AU109"/>
    <mergeCell ref="AV108:AV109"/>
    <mergeCell ref="C108:H109"/>
    <mergeCell ref="I108:L109"/>
    <mergeCell ref="M108:P109"/>
    <mergeCell ref="Q108:S109"/>
    <mergeCell ref="BC104:BC105"/>
    <mergeCell ref="C106:H107"/>
    <mergeCell ref="I106:L107"/>
    <mergeCell ref="M106:P107"/>
    <mergeCell ref="Q106:S107"/>
    <mergeCell ref="AK106:AM107"/>
    <mergeCell ref="AN106:AQ107"/>
    <mergeCell ref="BC106:BC107"/>
    <mergeCell ref="AU106:AU107"/>
    <mergeCell ref="AV106:AV107"/>
    <mergeCell ref="AV104:AV105"/>
    <mergeCell ref="C104:H105"/>
    <mergeCell ref="I104:L105"/>
    <mergeCell ref="M104:P105"/>
    <mergeCell ref="Q104:S105"/>
    <mergeCell ref="AE106:AF107"/>
    <mergeCell ref="AG106:AH107"/>
    <mergeCell ref="AI106:AJ107"/>
    <mergeCell ref="AK108:AM109"/>
    <mergeCell ref="T106:U107"/>
    <mergeCell ref="V106:W107"/>
    <mergeCell ref="X106:AA107"/>
    <mergeCell ref="AB106:AD107"/>
    <mergeCell ref="AN100:AQ101"/>
    <mergeCell ref="BC100:BC101"/>
    <mergeCell ref="C102:H103"/>
    <mergeCell ref="I102:L103"/>
    <mergeCell ref="M102:P103"/>
    <mergeCell ref="Q102:S103"/>
    <mergeCell ref="AK102:AM103"/>
    <mergeCell ref="AN102:AQ103"/>
    <mergeCell ref="BC102:BC103"/>
    <mergeCell ref="AV102:AV103"/>
    <mergeCell ref="AI102:AJ103"/>
    <mergeCell ref="T100:U101"/>
    <mergeCell ref="V100:W101"/>
    <mergeCell ref="X100:AA101"/>
    <mergeCell ref="AB100:AD101"/>
    <mergeCell ref="AE100:AF101"/>
    <mergeCell ref="AG100:AH101"/>
    <mergeCell ref="AI100:AJ101"/>
    <mergeCell ref="AU100:AU101"/>
    <mergeCell ref="AV100:AV101"/>
    <mergeCell ref="C100:H101"/>
    <mergeCell ref="I100:L101"/>
    <mergeCell ref="M100:P101"/>
    <mergeCell ref="Q100:S101"/>
    <mergeCell ref="AN96:AQ97"/>
    <mergeCell ref="BC96:BC97"/>
    <mergeCell ref="C98:H99"/>
    <mergeCell ref="I98:L99"/>
    <mergeCell ref="M98:P99"/>
    <mergeCell ref="Q98:S99"/>
    <mergeCell ref="AK98:AM99"/>
    <mergeCell ref="AN98:AQ99"/>
    <mergeCell ref="BC98:BC99"/>
    <mergeCell ref="AU98:AU99"/>
    <mergeCell ref="AV98:AV99"/>
    <mergeCell ref="AV96:AV97"/>
    <mergeCell ref="C96:H97"/>
    <mergeCell ref="I96:L97"/>
    <mergeCell ref="M96:P97"/>
    <mergeCell ref="Q96:S97"/>
    <mergeCell ref="AK100:AM101"/>
    <mergeCell ref="T98:U99"/>
    <mergeCell ref="V98:W99"/>
    <mergeCell ref="AG98:AH99"/>
    <mergeCell ref="AI98:AJ99"/>
    <mergeCell ref="X98:AA99"/>
    <mergeCell ref="AE96:AF97"/>
    <mergeCell ref="AN92:AQ93"/>
    <mergeCell ref="BC92:BC93"/>
    <mergeCell ref="C94:H95"/>
    <mergeCell ref="I94:L95"/>
    <mergeCell ref="M94:P95"/>
    <mergeCell ref="Q94:S95"/>
    <mergeCell ref="AK94:AM95"/>
    <mergeCell ref="AN94:AQ95"/>
    <mergeCell ref="BC94:BC95"/>
    <mergeCell ref="AV94:AV95"/>
    <mergeCell ref="AI94:AJ95"/>
    <mergeCell ref="T92:U93"/>
    <mergeCell ref="V92:W93"/>
    <mergeCell ref="X92:AA93"/>
    <mergeCell ref="AB92:AD93"/>
    <mergeCell ref="AE92:AF93"/>
    <mergeCell ref="AG92:AH93"/>
    <mergeCell ref="AI92:AJ93"/>
    <mergeCell ref="AU92:AU93"/>
    <mergeCell ref="AV92:AV93"/>
    <mergeCell ref="C92:H93"/>
    <mergeCell ref="I92:L93"/>
    <mergeCell ref="M92:P93"/>
    <mergeCell ref="Q92:S93"/>
    <mergeCell ref="BC88:BC89"/>
    <mergeCell ref="C90:H91"/>
    <mergeCell ref="I90:L91"/>
    <mergeCell ref="M90:P91"/>
    <mergeCell ref="Q90:S91"/>
    <mergeCell ref="AK90:AM91"/>
    <mergeCell ref="AN90:AQ91"/>
    <mergeCell ref="BC90:BC91"/>
    <mergeCell ref="AU90:AU91"/>
    <mergeCell ref="AV90:AV91"/>
    <mergeCell ref="AV88:AV89"/>
    <mergeCell ref="C88:H89"/>
    <mergeCell ref="I88:L89"/>
    <mergeCell ref="M88:P89"/>
    <mergeCell ref="Q88:S89"/>
    <mergeCell ref="AE90:AF91"/>
    <mergeCell ref="AG90:AH91"/>
    <mergeCell ref="AI90:AJ91"/>
    <mergeCell ref="AK92:AM93"/>
    <mergeCell ref="T90:U91"/>
    <mergeCell ref="V90:W91"/>
    <mergeCell ref="X90:AA91"/>
    <mergeCell ref="AB90:AD91"/>
    <mergeCell ref="AN84:AQ85"/>
    <mergeCell ref="BC84:BC85"/>
    <mergeCell ref="C86:H87"/>
    <mergeCell ref="I86:L87"/>
    <mergeCell ref="M86:P87"/>
    <mergeCell ref="Q86:S87"/>
    <mergeCell ref="AK86:AM87"/>
    <mergeCell ref="AN86:AQ87"/>
    <mergeCell ref="BC86:BC87"/>
    <mergeCell ref="AV86:AV87"/>
    <mergeCell ref="AI86:AJ87"/>
    <mergeCell ref="T84:U85"/>
    <mergeCell ref="V84:W85"/>
    <mergeCell ref="X84:AA85"/>
    <mergeCell ref="AB84:AD85"/>
    <mergeCell ref="AE84:AF85"/>
    <mergeCell ref="AG84:AH85"/>
    <mergeCell ref="AI84:AJ85"/>
    <mergeCell ref="AU84:AU85"/>
    <mergeCell ref="AV84:AV85"/>
    <mergeCell ref="C84:H85"/>
    <mergeCell ref="I84:L85"/>
    <mergeCell ref="M84:P85"/>
    <mergeCell ref="Q84:S85"/>
    <mergeCell ref="AN80:AQ81"/>
    <mergeCell ref="BC80:BC81"/>
    <mergeCell ref="C82:H83"/>
    <mergeCell ref="I82:L83"/>
    <mergeCell ref="M82:P83"/>
    <mergeCell ref="Q82:S83"/>
    <mergeCell ref="AK82:AM83"/>
    <mergeCell ref="AN82:AQ83"/>
    <mergeCell ref="BC82:BC83"/>
    <mergeCell ref="AU82:AU83"/>
    <mergeCell ref="AV82:AV83"/>
    <mergeCell ref="AV80:AV81"/>
    <mergeCell ref="C80:H81"/>
    <mergeCell ref="I80:L81"/>
    <mergeCell ref="M80:P81"/>
    <mergeCell ref="Q80:S81"/>
    <mergeCell ref="AK84:AM85"/>
    <mergeCell ref="T82:U83"/>
    <mergeCell ref="V82:W83"/>
    <mergeCell ref="AN76:AQ77"/>
    <mergeCell ref="BC76:BC77"/>
    <mergeCell ref="C78:H79"/>
    <mergeCell ref="I78:L79"/>
    <mergeCell ref="M78:P79"/>
    <mergeCell ref="Q78:S79"/>
    <mergeCell ref="AK78:AM79"/>
    <mergeCell ref="AN78:AQ79"/>
    <mergeCell ref="BC78:BC79"/>
    <mergeCell ref="AV78:AV79"/>
    <mergeCell ref="AI78:AJ79"/>
    <mergeCell ref="T76:U77"/>
    <mergeCell ref="V76:W77"/>
    <mergeCell ref="X76:AA77"/>
    <mergeCell ref="AB76:AD77"/>
    <mergeCell ref="AE76:AF77"/>
    <mergeCell ref="AG76:AH77"/>
    <mergeCell ref="AI76:AJ77"/>
    <mergeCell ref="AU76:AU77"/>
    <mergeCell ref="AV76:AV77"/>
    <mergeCell ref="C76:H77"/>
    <mergeCell ref="I76:L77"/>
    <mergeCell ref="M76:P77"/>
    <mergeCell ref="Q76:S77"/>
    <mergeCell ref="AN72:AQ73"/>
    <mergeCell ref="BC72:BC73"/>
    <mergeCell ref="C74:H75"/>
    <mergeCell ref="I74:L75"/>
    <mergeCell ref="M74:P75"/>
    <mergeCell ref="Q74:S75"/>
    <mergeCell ref="AK74:AM75"/>
    <mergeCell ref="AN74:AQ75"/>
    <mergeCell ref="BC74:BC75"/>
    <mergeCell ref="AU74:AU75"/>
    <mergeCell ref="AV74:AV75"/>
    <mergeCell ref="AV72:AV73"/>
    <mergeCell ref="C72:H73"/>
    <mergeCell ref="I72:L73"/>
    <mergeCell ref="M72:P73"/>
    <mergeCell ref="Q72:S73"/>
    <mergeCell ref="AN68:AQ69"/>
    <mergeCell ref="BC68:BC69"/>
    <mergeCell ref="C70:H71"/>
    <mergeCell ref="I70:L71"/>
    <mergeCell ref="M70:P71"/>
    <mergeCell ref="Q70:S71"/>
    <mergeCell ref="AK70:AM71"/>
    <mergeCell ref="AN70:AQ71"/>
    <mergeCell ref="BC70:BC71"/>
    <mergeCell ref="AV70:AV71"/>
    <mergeCell ref="AI70:AJ71"/>
    <mergeCell ref="T68:U69"/>
    <mergeCell ref="V68:W69"/>
    <mergeCell ref="X68:AA69"/>
    <mergeCell ref="AB68:AD69"/>
    <mergeCell ref="AE68:AF69"/>
    <mergeCell ref="AG68:AH69"/>
    <mergeCell ref="AI68:AJ69"/>
    <mergeCell ref="AU68:AU69"/>
    <mergeCell ref="AV68:AV69"/>
    <mergeCell ref="C68:H69"/>
    <mergeCell ref="I68:L69"/>
    <mergeCell ref="M68:P69"/>
    <mergeCell ref="Q68:S69"/>
    <mergeCell ref="AN64:AQ65"/>
    <mergeCell ref="BC64:BC65"/>
    <mergeCell ref="C66:H67"/>
    <mergeCell ref="I66:L67"/>
    <mergeCell ref="M66:P67"/>
    <mergeCell ref="Q66:S67"/>
    <mergeCell ref="AK66:AM67"/>
    <mergeCell ref="AN66:AQ67"/>
    <mergeCell ref="BC66:BC67"/>
    <mergeCell ref="AU66:AU67"/>
    <mergeCell ref="AV66:AV67"/>
    <mergeCell ref="AV64:AV65"/>
    <mergeCell ref="C64:H65"/>
    <mergeCell ref="I64:L65"/>
    <mergeCell ref="M64:P65"/>
    <mergeCell ref="Q64:S65"/>
    <mergeCell ref="AN60:AQ61"/>
    <mergeCell ref="BC60:BC61"/>
    <mergeCell ref="C62:H63"/>
    <mergeCell ref="I62:L63"/>
    <mergeCell ref="M62:P63"/>
    <mergeCell ref="Q62:S63"/>
    <mergeCell ref="AK62:AM63"/>
    <mergeCell ref="AN62:AQ63"/>
    <mergeCell ref="BC62:BC63"/>
    <mergeCell ref="AV62:AV63"/>
    <mergeCell ref="AI62:AJ63"/>
    <mergeCell ref="T60:U61"/>
    <mergeCell ref="V60:W61"/>
    <mergeCell ref="X60:AA61"/>
    <mergeCell ref="AB60:AD61"/>
    <mergeCell ref="AE60:AF61"/>
    <mergeCell ref="AG60:AH61"/>
    <mergeCell ref="AI60:AJ61"/>
    <mergeCell ref="AU60:AU61"/>
    <mergeCell ref="AV60:AV61"/>
    <mergeCell ref="C60:H61"/>
    <mergeCell ref="I60:L61"/>
    <mergeCell ref="M60:P61"/>
    <mergeCell ref="Q60:S61"/>
    <mergeCell ref="BC54:BC55"/>
    <mergeCell ref="C56:H57"/>
    <mergeCell ref="I56:L57"/>
    <mergeCell ref="M56:P57"/>
    <mergeCell ref="Q56:S57"/>
    <mergeCell ref="AK56:AM57"/>
    <mergeCell ref="AN56:AQ57"/>
    <mergeCell ref="BC56:BC57"/>
    <mergeCell ref="C58:H59"/>
    <mergeCell ref="I58:L59"/>
    <mergeCell ref="M58:P59"/>
    <mergeCell ref="Q58:S59"/>
    <mergeCell ref="AK58:AM59"/>
    <mergeCell ref="AN58:AQ59"/>
    <mergeCell ref="BC58:BC59"/>
    <mergeCell ref="C54:H55"/>
    <mergeCell ref="AU58:AU59"/>
    <mergeCell ref="AV58:AV59"/>
    <mergeCell ref="AV54:AV55"/>
    <mergeCell ref="AV56:AV57"/>
    <mergeCell ref="I54:L55"/>
    <mergeCell ref="M54:P55"/>
    <mergeCell ref="AG54:AH55"/>
    <mergeCell ref="Q54:U55"/>
    <mergeCell ref="BC48:BC49"/>
    <mergeCell ref="C50:H51"/>
    <mergeCell ref="I50:L51"/>
    <mergeCell ref="M50:P51"/>
    <mergeCell ref="Q50:S51"/>
    <mergeCell ref="AK50:AM51"/>
    <mergeCell ref="AN50:AQ51"/>
    <mergeCell ref="BC50:BC51"/>
    <mergeCell ref="C52:H53"/>
    <mergeCell ref="I52:L53"/>
    <mergeCell ref="M52:P53"/>
    <mergeCell ref="Q52:S53"/>
    <mergeCell ref="AK52:AM53"/>
    <mergeCell ref="AN52:AQ53"/>
    <mergeCell ref="BC52:BC53"/>
    <mergeCell ref="C48:H49"/>
    <mergeCell ref="I48:L49"/>
    <mergeCell ref="M48:P49"/>
    <mergeCell ref="Q48:S49"/>
    <mergeCell ref="AK48:AM49"/>
    <mergeCell ref="AN48:AQ49"/>
    <mergeCell ref="T48:U49"/>
    <mergeCell ref="V48:W49"/>
    <mergeCell ref="X48:AA49"/>
    <mergeCell ref="BC42:BC43"/>
    <mergeCell ref="C44:H45"/>
    <mergeCell ref="I44:L45"/>
    <mergeCell ref="M44:P45"/>
    <mergeCell ref="Q44:S45"/>
    <mergeCell ref="AK44:AM45"/>
    <mergeCell ref="AN44:AQ45"/>
    <mergeCell ref="BC44:BC45"/>
    <mergeCell ref="C46:H47"/>
    <mergeCell ref="I46:L47"/>
    <mergeCell ref="M46:P47"/>
    <mergeCell ref="Q46:S47"/>
    <mergeCell ref="AK46:AM47"/>
    <mergeCell ref="AN46:AQ47"/>
    <mergeCell ref="BC46:BC47"/>
    <mergeCell ref="C42:H43"/>
    <mergeCell ref="I42:L43"/>
    <mergeCell ref="M42:P43"/>
    <mergeCell ref="Q42:S43"/>
    <mergeCell ref="AK42:AM43"/>
    <mergeCell ref="AN42:AQ43"/>
    <mergeCell ref="AU46:AU47"/>
    <mergeCell ref="AV46:AV47"/>
    <mergeCell ref="AU44:AU45"/>
    <mergeCell ref="BC36:BC37"/>
    <mergeCell ref="C38:H39"/>
    <mergeCell ref="I38:L39"/>
    <mergeCell ref="M38:P39"/>
    <mergeCell ref="Q38:S39"/>
    <mergeCell ref="AK38:AM39"/>
    <mergeCell ref="AN38:AQ39"/>
    <mergeCell ref="BC38:BC39"/>
    <mergeCell ref="C40:H41"/>
    <mergeCell ref="I40:L41"/>
    <mergeCell ref="M40:P41"/>
    <mergeCell ref="Q40:S41"/>
    <mergeCell ref="AK40:AM41"/>
    <mergeCell ref="AN40:AQ41"/>
    <mergeCell ref="BC40:BC41"/>
    <mergeCell ref="C36:H37"/>
    <mergeCell ref="I36:L37"/>
    <mergeCell ref="M36:P37"/>
    <mergeCell ref="Q36:S37"/>
    <mergeCell ref="AK36:AM37"/>
    <mergeCell ref="AN36:AQ37"/>
    <mergeCell ref="AB40:AD41"/>
    <mergeCell ref="AE40:AF41"/>
    <mergeCell ref="AG40:AH41"/>
    <mergeCell ref="C112:H113"/>
    <mergeCell ref="I112:L113"/>
    <mergeCell ref="M112:P113"/>
    <mergeCell ref="Q112:S113"/>
    <mergeCell ref="AK112:AM113"/>
    <mergeCell ref="T110:U111"/>
    <mergeCell ref="V110:W111"/>
    <mergeCell ref="X110:AA111"/>
    <mergeCell ref="AB110:AD111"/>
    <mergeCell ref="AE110:AF111"/>
    <mergeCell ref="AG110:AH111"/>
    <mergeCell ref="AI110:AJ111"/>
    <mergeCell ref="T112:U113"/>
    <mergeCell ref="AN112:AQ113"/>
    <mergeCell ref="AE112:AF113"/>
    <mergeCell ref="AG112:AH113"/>
    <mergeCell ref="AI112:AJ113"/>
    <mergeCell ref="V112:W113"/>
    <mergeCell ref="X112:AA113"/>
    <mergeCell ref="AB112:AD113"/>
    <mergeCell ref="AU102:AU103"/>
    <mergeCell ref="T104:U105"/>
    <mergeCell ref="V104:W105"/>
    <mergeCell ref="X104:AA105"/>
    <mergeCell ref="AB104:AD105"/>
    <mergeCell ref="AE104:AF105"/>
    <mergeCell ref="AG104:AH105"/>
    <mergeCell ref="AI104:AJ105"/>
    <mergeCell ref="AU104:AU105"/>
    <mergeCell ref="AK104:AM105"/>
    <mergeCell ref="T102:U103"/>
    <mergeCell ref="V102:W103"/>
    <mergeCell ref="X102:AA103"/>
    <mergeCell ref="AB102:AD103"/>
    <mergeCell ref="AE102:AF103"/>
    <mergeCell ref="AG102:AH103"/>
    <mergeCell ref="AN104:AQ105"/>
    <mergeCell ref="AG96:AH97"/>
    <mergeCell ref="AI96:AJ97"/>
    <mergeCell ref="AU96:AU97"/>
    <mergeCell ref="AK96:AM97"/>
    <mergeCell ref="T94:U95"/>
    <mergeCell ref="V94:W95"/>
    <mergeCell ref="X94:AA95"/>
    <mergeCell ref="AB94:AD95"/>
    <mergeCell ref="AE94:AF95"/>
    <mergeCell ref="AG94:AH95"/>
    <mergeCell ref="AB98:AD99"/>
    <mergeCell ref="AE98:AF99"/>
    <mergeCell ref="AU86:AU87"/>
    <mergeCell ref="T88:U89"/>
    <mergeCell ref="V88:W89"/>
    <mergeCell ref="X88:AA89"/>
    <mergeCell ref="AB88:AD89"/>
    <mergeCell ref="AE88:AF89"/>
    <mergeCell ref="AG88:AH89"/>
    <mergeCell ref="AI88:AJ89"/>
    <mergeCell ref="AU88:AU89"/>
    <mergeCell ref="AK88:AM89"/>
    <mergeCell ref="T86:U87"/>
    <mergeCell ref="V86:W87"/>
    <mergeCell ref="X86:AA87"/>
    <mergeCell ref="AB86:AD87"/>
    <mergeCell ref="AE86:AF87"/>
    <mergeCell ref="AG86:AH87"/>
    <mergeCell ref="AN88:AQ89"/>
    <mergeCell ref="AU94:AU95"/>
    <mergeCell ref="T96:U97"/>
    <mergeCell ref="V96:W97"/>
    <mergeCell ref="X96:AA97"/>
    <mergeCell ref="AB96:AD97"/>
    <mergeCell ref="X82:AA83"/>
    <mergeCell ref="AB82:AD83"/>
    <mergeCell ref="AE82:AF83"/>
    <mergeCell ref="AG82:AH83"/>
    <mergeCell ref="AI82:AJ83"/>
    <mergeCell ref="AU78:AU79"/>
    <mergeCell ref="T80:U81"/>
    <mergeCell ref="V80:W81"/>
    <mergeCell ref="X80:AA81"/>
    <mergeCell ref="AB80:AD81"/>
    <mergeCell ref="AE80:AF81"/>
    <mergeCell ref="AG80:AH81"/>
    <mergeCell ref="AI80:AJ81"/>
    <mergeCell ref="AU80:AU81"/>
    <mergeCell ref="AK80:AM81"/>
    <mergeCell ref="T78:U79"/>
    <mergeCell ref="V78:W79"/>
    <mergeCell ref="X78:AA79"/>
    <mergeCell ref="AB78:AD79"/>
    <mergeCell ref="AE78:AF79"/>
    <mergeCell ref="AG78:AH79"/>
    <mergeCell ref="AK76:AM77"/>
    <mergeCell ref="T74:U75"/>
    <mergeCell ref="V74:W75"/>
    <mergeCell ref="X74:AA75"/>
    <mergeCell ref="AB74:AD75"/>
    <mergeCell ref="AE74:AF75"/>
    <mergeCell ref="AG74:AH75"/>
    <mergeCell ref="AI74:AJ75"/>
    <mergeCell ref="AU70:AU71"/>
    <mergeCell ref="T72:U73"/>
    <mergeCell ref="V72:W73"/>
    <mergeCell ref="X72:AA73"/>
    <mergeCell ref="AB72:AD73"/>
    <mergeCell ref="AE72:AF73"/>
    <mergeCell ref="AG72:AH73"/>
    <mergeCell ref="AI72:AJ73"/>
    <mergeCell ref="AU72:AU73"/>
    <mergeCell ref="AK72:AM73"/>
    <mergeCell ref="T70:U71"/>
    <mergeCell ref="V70:W71"/>
    <mergeCell ref="X70:AA71"/>
    <mergeCell ref="AB70:AD71"/>
    <mergeCell ref="AE70:AF71"/>
    <mergeCell ref="AG70:AH71"/>
    <mergeCell ref="AK68:AM69"/>
    <mergeCell ref="T66:U67"/>
    <mergeCell ref="V66:W67"/>
    <mergeCell ref="X66:AA67"/>
    <mergeCell ref="AB66:AD67"/>
    <mergeCell ref="AE66:AF67"/>
    <mergeCell ref="AG66:AH67"/>
    <mergeCell ref="AI66:AJ67"/>
    <mergeCell ref="AU62:AU63"/>
    <mergeCell ref="T64:U65"/>
    <mergeCell ref="V64:W65"/>
    <mergeCell ref="X64:AA65"/>
    <mergeCell ref="AB64:AD65"/>
    <mergeCell ref="AE64:AF65"/>
    <mergeCell ref="AG64:AH65"/>
    <mergeCell ref="AI64:AJ65"/>
    <mergeCell ref="AU64:AU65"/>
    <mergeCell ref="AK64:AM65"/>
    <mergeCell ref="T62:U63"/>
    <mergeCell ref="V62:W63"/>
    <mergeCell ref="X62:AA63"/>
    <mergeCell ref="AB62:AD63"/>
    <mergeCell ref="AE62:AF63"/>
    <mergeCell ref="AG62:AH63"/>
    <mergeCell ref="AK60:AM61"/>
    <mergeCell ref="T58:U59"/>
    <mergeCell ref="V58:W59"/>
    <mergeCell ref="X58:AA59"/>
    <mergeCell ref="AB58:AD59"/>
    <mergeCell ref="AE58:AF59"/>
    <mergeCell ref="AG58:AH59"/>
    <mergeCell ref="AI58:AJ59"/>
    <mergeCell ref="AU54:AU55"/>
    <mergeCell ref="T56:U57"/>
    <mergeCell ref="V56:W57"/>
    <mergeCell ref="X56:AA57"/>
    <mergeCell ref="AB56:AD57"/>
    <mergeCell ref="AE56:AF57"/>
    <mergeCell ref="AG56:AH57"/>
    <mergeCell ref="AI56:AJ57"/>
    <mergeCell ref="AU56:AU57"/>
    <mergeCell ref="AK54:AM55"/>
    <mergeCell ref="AN54:AQ55"/>
    <mergeCell ref="V54:W55"/>
    <mergeCell ref="X54:AA55"/>
    <mergeCell ref="AB54:AD55"/>
    <mergeCell ref="AE54:AF55"/>
    <mergeCell ref="AI54:AJ55"/>
    <mergeCell ref="AU50:AU51"/>
    <mergeCell ref="AV50:AV51"/>
    <mergeCell ref="T52:U53"/>
    <mergeCell ref="V52:W53"/>
    <mergeCell ref="X52:AA53"/>
    <mergeCell ref="AB52:AD53"/>
    <mergeCell ref="AE52:AF53"/>
    <mergeCell ref="AG52:AH53"/>
    <mergeCell ref="AI52:AJ53"/>
    <mergeCell ref="AU52:AU53"/>
    <mergeCell ref="AV52:AV53"/>
    <mergeCell ref="T50:U51"/>
    <mergeCell ref="V50:W51"/>
    <mergeCell ref="X50:AA51"/>
    <mergeCell ref="AB50:AD51"/>
    <mergeCell ref="AE50:AF51"/>
    <mergeCell ref="AG50:AH51"/>
    <mergeCell ref="AI50:AJ51"/>
    <mergeCell ref="AB48:AD49"/>
    <mergeCell ref="AE48:AF49"/>
    <mergeCell ref="AG48:AH49"/>
    <mergeCell ref="AI48:AJ49"/>
    <mergeCell ref="AU48:AU49"/>
    <mergeCell ref="AV48:AV49"/>
    <mergeCell ref="T46:U47"/>
    <mergeCell ref="V46:W47"/>
    <mergeCell ref="X46:AA47"/>
    <mergeCell ref="AB46:AD47"/>
    <mergeCell ref="AE46:AF47"/>
    <mergeCell ref="AG46:AH47"/>
    <mergeCell ref="AI46:AJ47"/>
    <mergeCell ref="AV44:AV45"/>
    <mergeCell ref="AU36:AU37"/>
    <mergeCell ref="AV36:AV37"/>
    <mergeCell ref="AU38:AU39"/>
    <mergeCell ref="AV38:AV39"/>
    <mergeCell ref="AU40:AU41"/>
    <mergeCell ref="AV22:AV23"/>
    <mergeCell ref="AU26:AU27"/>
    <mergeCell ref="AV26:AV27"/>
    <mergeCell ref="AU42:AU43"/>
    <mergeCell ref="AV42:AV43"/>
    <mergeCell ref="AV40:AV41"/>
    <mergeCell ref="AU24:AU25"/>
    <mergeCell ref="AV24:AV25"/>
    <mergeCell ref="AU28:AU29"/>
    <mergeCell ref="AV28:AV29"/>
    <mergeCell ref="AU30:AU31"/>
    <mergeCell ref="AV30:AV31"/>
    <mergeCell ref="AU32:AU33"/>
    <mergeCell ref="AV32:AV33"/>
    <mergeCell ref="AU34:AU35"/>
    <mergeCell ref="AV34:AV35"/>
    <mergeCell ref="AB44:AD45"/>
    <mergeCell ref="AE44:AF45"/>
    <mergeCell ref="AG44:AH45"/>
    <mergeCell ref="AI44:AJ45"/>
    <mergeCell ref="T42:U43"/>
    <mergeCell ref="V42:W43"/>
    <mergeCell ref="X42:AA43"/>
    <mergeCell ref="T44:U45"/>
    <mergeCell ref="V44:W45"/>
    <mergeCell ref="X44:AA45"/>
    <mergeCell ref="AB42:AD43"/>
    <mergeCell ref="AE42:AF43"/>
    <mergeCell ref="AG42:AH43"/>
    <mergeCell ref="AI42:AJ43"/>
    <mergeCell ref="AB38:AD39"/>
    <mergeCell ref="AE38:AF39"/>
    <mergeCell ref="AG38:AH39"/>
    <mergeCell ref="AI38:AJ39"/>
    <mergeCell ref="AI34:AJ35"/>
    <mergeCell ref="AB36:AD37"/>
    <mergeCell ref="AE36:AF37"/>
    <mergeCell ref="AG36:AH37"/>
    <mergeCell ref="AI36:AJ37"/>
    <mergeCell ref="V30:W31"/>
    <mergeCell ref="X30:AA31"/>
    <mergeCell ref="X24:AA25"/>
    <mergeCell ref="T36:U37"/>
    <mergeCell ref="V36:W37"/>
    <mergeCell ref="X36:AA37"/>
    <mergeCell ref="V32:W33"/>
    <mergeCell ref="X32:AA33"/>
    <mergeCell ref="T38:U39"/>
    <mergeCell ref="V38:W39"/>
    <mergeCell ref="X38:AA39"/>
    <mergeCell ref="AH1:AK1"/>
    <mergeCell ref="AL1:AP1"/>
    <mergeCell ref="AH2:AK3"/>
    <mergeCell ref="AL2:AP3"/>
    <mergeCell ref="AQ1:AR1"/>
    <mergeCell ref="AQ2:AR3"/>
    <mergeCell ref="R9:AC10"/>
    <mergeCell ref="AV20:AV21"/>
    <mergeCell ref="AK16:AM17"/>
    <mergeCell ref="AN16:AQ17"/>
    <mergeCell ref="X16:AA17"/>
    <mergeCell ref="AE16:AF17"/>
    <mergeCell ref="AI14:AJ15"/>
    <mergeCell ref="AK14:AM15"/>
    <mergeCell ref="AN14:AQ15"/>
    <mergeCell ref="B198:B199"/>
    <mergeCell ref="B186:B187"/>
    <mergeCell ref="B188:B189"/>
    <mergeCell ref="B190:B191"/>
    <mergeCell ref="B192:B193"/>
    <mergeCell ref="B194:B195"/>
    <mergeCell ref="B196:B197"/>
    <mergeCell ref="B184:B185"/>
    <mergeCell ref="AG16:AH17"/>
    <mergeCell ref="AG18:AH19"/>
    <mergeCell ref="AB18:AD19"/>
    <mergeCell ref="AE18:AF19"/>
    <mergeCell ref="B180:B181"/>
    <mergeCell ref="B182:B183"/>
    <mergeCell ref="B160:B161"/>
    <mergeCell ref="B138:B139"/>
    <mergeCell ref="B140:B141"/>
    <mergeCell ref="B142:B143"/>
    <mergeCell ref="B144:B145"/>
    <mergeCell ref="B146:B147"/>
    <mergeCell ref="B148:B149"/>
    <mergeCell ref="B150:B151"/>
    <mergeCell ref="B152:B153"/>
    <mergeCell ref="B154:B155"/>
    <mergeCell ref="B176:B177"/>
    <mergeCell ref="B178:B179"/>
    <mergeCell ref="B136:B137"/>
    <mergeCell ref="B114:B115"/>
    <mergeCell ref="B116:B117"/>
    <mergeCell ref="B118:B119"/>
    <mergeCell ref="B120:B121"/>
    <mergeCell ref="B122:B123"/>
    <mergeCell ref="B124:B125"/>
    <mergeCell ref="B126:B127"/>
    <mergeCell ref="B128:B129"/>
    <mergeCell ref="B130:B131"/>
    <mergeCell ref="B132:B133"/>
    <mergeCell ref="B134:B135"/>
    <mergeCell ref="B156:B157"/>
    <mergeCell ref="B158:B159"/>
    <mergeCell ref="B162:B163"/>
    <mergeCell ref="B164:B165"/>
    <mergeCell ref="B166:B167"/>
    <mergeCell ref="B168:B169"/>
    <mergeCell ref="B170:B171"/>
    <mergeCell ref="B172:B173"/>
    <mergeCell ref="B174:B175"/>
    <mergeCell ref="B112:B113"/>
    <mergeCell ref="B90:B91"/>
    <mergeCell ref="B92:B93"/>
    <mergeCell ref="B94:B95"/>
    <mergeCell ref="B96:B97"/>
    <mergeCell ref="B98:B99"/>
    <mergeCell ref="B100:B101"/>
    <mergeCell ref="B102:B103"/>
    <mergeCell ref="B104:B105"/>
    <mergeCell ref="B106:B107"/>
    <mergeCell ref="B108:B109"/>
    <mergeCell ref="B110:B111"/>
    <mergeCell ref="B88:B89"/>
    <mergeCell ref="B66:B67"/>
    <mergeCell ref="B68:B69"/>
    <mergeCell ref="B70:B71"/>
    <mergeCell ref="B72:B73"/>
    <mergeCell ref="B74:B75"/>
    <mergeCell ref="B76:B77"/>
    <mergeCell ref="B78:B79"/>
    <mergeCell ref="B80:B81"/>
    <mergeCell ref="B82:B83"/>
    <mergeCell ref="B84:B85"/>
    <mergeCell ref="B86:B87"/>
    <mergeCell ref="B64:B65"/>
    <mergeCell ref="B42:B43"/>
    <mergeCell ref="B44:B45"/>
    <mergeCell ref="B46:B47"/>
    <mergeCell ref="B48:B49"/>
    <mergeCell ref="B50:B51"/>
    <mergeCell ref="B52:B53"/>
    <mergeCell ref="B54:B55"/>
    <mergeCell ref="B56:B57"/>
    <mergeCell ref="B58:B59"/>
    <mergeCell ref="B60:B61"/>
    <mergeCell ref="B62:B63"/>
    <mergeCell ref="B40:B41"/>
    <mergeCell ref="B18:B19"/>
    <mergeCell ref="B20:B21"/>
    <mergeCell ref="B22:B23"/>
    <mergeCell ref="B24:B25"/>
    <mergeCell ref="B26:B27"/>
    <mergeCell ref="B28:B29"/>
    <mergeCell ref="B30:B31"/>
    <mergeCell ref="B32:B33"/>
    <mergeCell ref="B34:B35"/>
    <mergeCell ref="B36:B37"/>
    <mergeCell ref="B38:B39"/>
    <mergeCell ref="AV200:AV201"/>
    <mergeCell ref="R11:U11"/>
    <mergeCell ref="V11:Y11"/>
    <mergeCell ref="Z11:AC11"/>
    <mergeCell ref="AB16:AD17"/>
    <mergeCell ref="R12:U13"/>
    <mergeCell ref="V12:Y13"/>
    <mergeCell ref="Z12:AC13"/>
    <mergeCell ref="M200:AG201"/>
    <mergeCell ref="AU16:AU17"/>
    <mergeCell ref="AI16:AJ17"/>
    <mergeCell ref="AB22:AD23"/>
    <mergeCell ref="AE22:AF23"/>
    <mergeCell ref="AG22:AH23"/>
    <mergeCell ref="AI18:AJ19"/>
    <mergeCell ref="AU18:AU19"/>
    <mergeCell ref="AV18:AV19"/>
    <mergeCell ref="AU20:AU21"/>
    <mergeCell ref="AB20:AD21"/>
    <mergeCell ref="AE20:AF21"/>
    <mergeCell ref="AG20:AH21"/>
    <mergeCell ref="AV16:AV17"/>
    <mergeCell ref="AU22:AU23"/>
    <mergeCell ref="AI20:AJ21"/>
    <mergeCell ref="AU200:AU201"/>
    <mergeCell ref="AI22:AJ23"/>
    <mergeCell ref="AB28:AD29"/>
    <mergeCell ref="AE28:AF29"/>
    <mergeCell ref="AG28:AH29"/>
    <mergeCell ref="AI28:AJ29"/>
    <mergeCell ref="AB30:AD31"/>
    <mergeCell ref="AE30:AF31"/>
    <mergeCell ref="AG30:AH31"/>
    <mergeCell ref="AI30:AJ31"/>
    <mergeCell ref="AB32:AD33"/>
    <mergeCell ref="AE32:AF33"/>
    <mergeCell ref="AG32:AH33"/>
    <mergeCell ref="AI32:AJ33"/>
    <mergeCell ref="AB24:AD25"/>
    <mergeCell ref="AE24:AF25"/>
    <mergeCell ref="AG24:AH25"/>
    <mergeCell ref="AI24:AJ25"/>
    <mergeCell ref="AB26:AD27"/>
    <mergeCell ref="AE26:AF27"/>
    <mergeCell ref="AB34:AD35"/>
    <mergeCell ref="AE34:AF35"/>
    <mergeCell ref="AG34:AH35"/>
    <mergeCell ref="AI40:AJ41"/>
    <mergeCell ref="I14:L15"/>
    <mergeCell ref="M14:P15"/>
    <mergeCell ref="V14:W15"/>
    <mergeCell ref="X14:AA15"/>
    <mergeCell ref="AB14:AD15"/>
    <mergeCell ref="AE14:AH14"/>
    <mergeCell ref="AE15:AF15"/>
    <mergeCell ref="AG15:AH15"/>
    <mergeCell ref="C14:H15"/>
    <mergeCell ref="B16:B17"/>
    <mergeCell ref="C16:H17"/>
    <mergeCell ref="I16:L17"/>
    <mergeCell ref="M16:P17"/>
    <mergeCell ref="V16:W17"/>
    <mergeCell ref="C18:H19"/>
    <mergeCell ref="I18:L19"/>
    <mergeCell ref="M18:P19"/>
    <mergeCell ref="V18:W19"/>
    <mergeCell ref="T40:U41"/>
    <mergeCell ref="V40:W41"/>
    <mergeCell ref="X40:AA41"/>
    <mergeCell ref="X18:AA19"/>
    <mergeCell ref="C20:H21"/>
    <mergeCell ref="I20:L21"/>
    <mergeCell ref="M20:P21"/>
    <mergeCell ref="V20:W21"/>
    <mergeCell ref="X20:AA21"/>
    <mergeCell ref="V28:W29"/>
    <mergeCell ref="X28:AA29"/>
    <mergeCell ref="X22:AA23"/>
    <mergeCell ref="C24:H25"/>
    <mergeCell ref="I24:L25"/>
    <mergeCell ref="M24:P25"/>
    <mergeCell ref="V24:W25"/>
    <mergeCell ref="C22:H23"/>
    <mergeCell ref="I22:L23"/>
    <mergeCell ref="M22:P23"/>
    <mergeCell ref="C30:H31"/>
    <mergeCell ref="I30:L31"/>
    <mergeCell ref="C32:H33"/>
    <mergeCell ref="I32:L33"/>
    <mergeCell ref="M32:P33"/>
    <mergeCell ref="BC18:BC19"/>
    <mergeCell ref="BC20:BC21"/>
    <mergeCell ref="BC22:BC23"/>
    <mergeCell ref="BC24:BC25"/>
    <mergeCell ref="BC26:BC27"/>
    <mergeCell ref="BC28:BC29"/>
    <mergeCell ref="BC30:BC31"/>
    <mergeCell ref="C34:H35"/>
    <mergeCell ref="I34:L35"/>
    <mergeCell ref="M34:P35"/>
    <mergeCell ref="V34:W35"/>
    <mergeCell ref="X34:AA35"/>
    <mergeCell ref="C26:H27"/>
    <mergeCell ref="I26:L27"/>
    <mergeCell ref="M26:P27"/>
    <mergeCell ref="V26:W27"/>
    <mergeCell ref="V22:W23"/>
    <mergeCell ref="X26:AA27"/>
    <mergeCell ref="C28:H29"/>
    <mergeCell ref="I28:L29"/>
    <mergeCell ref="M28:P29"/>
    <mergeCell ref="AG26:AH27"/>
    <mergeCell ref="AI26:AJ27"/>
    <mergeCell ref="M30:P31"/>
    <mergeCell ref="BC14:BC15"/>
    <mergeCell ref="BC16:BC17"/>
    <mergeCell ref="BC32:BC33"/>
    <mergeCell ref="BC34:BC35"/>
    <mergeCell ref="AK18:AM19"/>
    <mergeCell ref="AK20:AM21"/>
    <mergeCell ref="AK22:AM23"/>
    <mergeCell ref="AK24:AM25"/>
    <mergeCell ref="AK26:AM27"/>
    <mergeCell ref="AK28:AM29"/>
    <mergeCell ref="AK30:AM31"/>
    <mergeCell ref="AK32:AM33"/>
    <mergeCell ref="AK34:AM35"/>
    <mergeCell ref="AN18:AQ19"/>
    <mergeCell ref="AN20:AQ21"/>
    <mergeCell ref="AN22:AQ23"/>
    <mergeCell ref="AN24:AQ25"/>
    <mergeCell ref="AN26:AQ27"/>
    <mergeCell ref="AN28:AQ29"/>
    <mergeCell ref="AN30:AQ31"/>
    <mergeCell ref="AN32:AQ33"/>
    <mergeCell ref="AN34:AQ35"/>
    <mergeCell ref="AU14:AU15"/>
    <mergeCell ref="AV14:AV15"/>
    <mergeCell ref="AZ32:AZ33"/>
    <mergeCell ref="AZ34:AZ35"/>
    <mergeCell ref="AY32:AY33"/>
    <mergeCell ref="AX34:AX35"/>
    <mergeCell ref="AY34:AY35"/>
    <mergeCell ref="AW14:AW15"/>
    <mergeCell ref="AW16:AW17"/>
    <mergeCell ref="AW18:AW19"/>
    <mergeCell ref="AW20:AW21"/>
    <mergeCell ref="AW22:AW23"/>
    <mergeCell ref="AW24:AW25"/>
    <mergeCell ref="AW26:AW27"/>
    <mergeCell ref="AW28:AW29"/>
    <mergeCell ref="AW30:AW31"/>
    <mergeCell ref="AZ14:AZ15"/>
    <mergeCell ref="AZ16:AZ17"/>
    <mergeCell ref="AZ18:AZ19"/>
    <mergeCell ref="AZ20:AZ21"/>
    <mergeCell ref="AZ22:AZ23"/>
    <mergeCell ref="AZ24:AZ25"/>
    <mergeCell ref="AZ26:AZ27"/>
    <mergeCell ref="AZ28:AZ29"/>
    <mergeCell ref="AZ30:AZ31"/>
    <mergeCell ref="AX26:AX27"/>
    <mergeCell ref="AY26:AY27"/>
    <mergeCell ref="AX28:AX29"/>
    <mergeCell ref="AY28:AY29"/>
    <mergeCell ref="AX30:AX31"/>
    <mergeCell ref="AY30:AY31"/>
    <mergeCell ref="AX32:AX33"/>
    <mergeCell ref="AW32:AW33"/>
    <mergeCell ref="AW34:AW35"/>
    <mergeCell ref="AY16:AY17"/>
    <mergeCell ref="AX18:AX19"/>
    <mergeCell ref="AY18:AY19"/>
    <mergeCell ref="AX20:AX21"/>
    <mergeCell ref="AY20:AY21"/>
    <mergeCell ref="AX22:AX23"/>
    <mergeCell ref="AY22:AY23"/>
    <mergeCell ref="AX24:AX25"/>
    <mergeCell ref="AY24:AY25"/>
    <mergeCell ref="AY36:AY37"/>
    <mergeCell ref="AY38:AY39"/>
    <mergeCell ref="AY40:AY41"/>
    <mergeCell ref="AY42:AY43"/>
    <mergeCell ref="AY44:AY45"/>
    <mergeCell ref="Q16:U17"/>
    <mergeCell ref="Q14:U15"/>
    <mergeCell ref="Q18:U19"/>
    <mergeCell ref="Q20:U21"/>
    <mergeCell ref="Q22:U23"/>
    <mergeCell ref="Q24:U25"/>
    <mergeCell ref="Q26:U27"/>
    <mergeCell ref="Q28:U29"/>
    <mergeCell ref="Q30:U31"/>
    <mergeCell ref="Q32:U33"/>
    <mergeCell ref="Q34:U35"/>
    <mergeCell ref="AX36:AX37"/>
    <mergeCell ref="AX38:AX39"/>
    <mergeCell ref="AX40:AX41"/>
    <mergeCell ref="AX42:AX43"/>
    <mergeCell ref="AX44:AX45"/>
    <mergeCell ref="AX14:AX15"/>
    <mergeCell ref="AY14:AY15"/>
    <mergeCell ref="AX16:AX17"/>
    <mergeCell ref="BE32:BE33"/>
    <mergeCell ref="BE34:BE35"/>
    <mergeCell ref="BE14:BE15"/>
    <mergeCell ref="BE16:BE17"/>
    <mergeCell ref="BE18:BE19"/>
    <mergeCell ref="BE20:BE21"/>
    <mergeCell ref="BE22:BE23"/>
    <mergeCell ref="BE24:BE25"/>
    <mergeCell ref="BE26:BE27"/>
    <mergeCell ref="BE28:BE29"/>
    <mergeCell ref="BE30:BE31"/>
  </mergeCells>
  <conditionalFormatting sqref="AH2 AL2">
    <cfRule type="expression" dxfId="212" priority="2">
      <formula>PROJSTATUS=PROJSTATELI</formula>
    </cfRule>
    <cfRule type="expression" dxfId="211" priority="3">
      <formula>PROJSTATUS=PROJSTATREVIEW</formula>
    </cfRule>
    <cfRule type="expression" dxfId="210" priority="7">
      <formula>PROJSTATUS=PROJSTATPREAPPROVE</formula>
    </cfRule>
    <cfRule type="expression" dxfId="209" priority="8">
      <formula>PROJSTATUS=PROJSTATSTANDARD</formula>
    </cfRule>
    <cfRule type="expression" dxfId="208" priority="9">
      <formula>PROJSTATUS=PROJSTATEXP</formula>
    </cfRule>
  </conditionalFormatting>
  <conditionalFormatting sqref="AN16 AN18 AN20 AN22 AN24 AN26 AN28 AN30 AN32 AN34">
    <cfRule type="expression" dxfId="207" priority="1">
      <formula>ISNUMBER(AN16)=FALSE</formula>
    </cfRule>
  </conditionalFormatting>
  <conditionalFormatting sqref="AQ2:AR3">
    <cfRule type="cellIs" dxfId="206" priority="4" operator="equal">
      <formula>1</formula>
    </cfRule>
    <cfRule type="cellIs" dxfId="205" priority="5" operator="between">
      <formula>0.51</formula>
      <formula>0.99</formula>
    </cfRule>
    <cfRule type="cellIs" dxfId="204" priority="6" operator="lessThanOrEqual">
      <formula>0.5</formula>
    </cfRule>
  </conditionalFormatting>
  <dataValidations count="4">
    <dataValidation type="list" allowBlank="1" showInputMessage="1" showErrorMessage="1" sqref="C16:H53 C56:H115" xr:uid="{00000000-0002-0000-1500-000000000000}">
      <formula1>PMELIGHTCONEFF1</formula1>
    </dataValidation>
    <dataValidation type="decimal" allowBlank="1" showInputMessage="1" showErrorMessage="1" error="Please enter a numerical value within the designated range." sqref="Q16 Q18 Q20 Q22 Q24 Q26 Q28 Q30 Q32 Q34" xr:uid="{00000000-0002-0000-1500-000002000000}">
      <formula1>INDEX(PMELIGHTCONEFFW1,MATCH(C16,PMELIGHTCONEFF1,0))</formula1>
      <formula2>INDEX(PMELIGHTCONEFFW2,MATCH(C16,PMELIGHTCONEFF1,0))</formula2>
    </dataValidation>
    <dataValidation type="decimal" allowBlank="1" showInputMessage="1" showErrorMessage="1" error="Please enter a numerical value" prompt="This is the TOTAL Labor Cost of the measure, NOT a per unit basis." sqref="AG16:AH35" xr:uid="{00000000-0002-0000-1500-000003000000}">
      <formula1>0</formula1>
      <formula2>999999</formula2>
    </dataValidation>
    <dataValidation type="decimal" allowBlank="1" showInputMessage="1" showErrorMessage="1" error="Please enter a numerical value" prompt="This is the TOTAL Material Cost of the measure, NOT a per unit basis." sqref="AE16:AF35" xr:uid="{00000000-0002-0000-1500-000006000000}">
      <formula1>0.01</formula1>
      <formula2>999999</formula2>
    </dataValidation>
  </dataValidations>
  <hyperlinks>
    <hyperlink ref="B202" r:id="rId1" xr:uid="{10BB22BB-908F-4089-A7AA-215157E75434}"/>
  </hyperlinks>
  <pageMargins left="0.25" right="0.25" top="0.25" bottom="0.25" header="0.25" footer="0.25"/>
  <pageSetup scale="56" fitToHeight="0" orientation="landscape" r:id="rId2"/>
  <ignoredErrors>
    <ignoredError sqref="AW24" formula="1"/>
  </ignoredErrors>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67">
    <tabColor theme="7" tint="0.39997558519241921"/>
  </sheetPr>
  <dimension ref="A1:Y39"/>
  <sheetViews>
    <sheetView zoomScale="70" zoomScaleNormal="70" workbookViewId="0">
      <selection activeCell="C41" sqref="C41"/>
    </sheetView>
  </sheetViews>
  <sheetFormatPr defaultRowHeight="15"/>
  <cols>
    <col min="1" max="1" width="36.140625" customWidth="1"/>
    <col min="2" max="2" width="20.7109375" customWidth="1"/>
    <col min="3" max="3" width="24.28515625" bestFit="1" customWidth="1"/>
    <col min="4" max="4" width="31.7109375" customWidth="1"/>
    <col min="5" max="5" width="20.7109375" customWidth="1"/>
    <col min="6" max="6" width="23.5703125" customWidth="1"/>
    <col min="7" max="7" width="20.7109375" customWidth="1"/>
    <col min="8" max="8" width="26.85546875" customWidth="1"/>
    <col min="9" max="9" width="20.7109375" customWidth="1"/>
    <col min="10" max="10" width="27.5703125" customWidth="1"/>
    <col min="13" max="13" width="16.5703125" customWidth="1"/>
    <col min="14" max="17" width="9.140625" customWidth="1"/>
  </cols>
  <sheetData>
    <row r="1" spans="1:25">
      <c r="A1" t="s">
        <v>203</v>
      </c>
    </row>
    <row r="2" spans="1:25">
      <c r="A2" t="s">
        <v>204</v>
      </c>
    </row>
    <row r="3" spans="1:25">
      <c r="A3" t="s">
        <v>1977</v>
      </c>
    </row>
    <row r="4" spans="1:25">
      <c r="A4" t="s">
        <v>1976</v>
      </c>
      <c r="D4" t="s">
        <v>1370</v>
      </c>
    </row>
    <row r="6" spans="1:25">
      <c r="A6" t="s">
        <v>205</v>
      </c>
      <c r="B6" s="22">
        <v>2.3E-2</v>
      </c>
      <c r="D6" t="s">
        <v>1209</v>
      </c>
      <c r="M6" t="s">
        <v>210</v>
      </c>
      <c r="N6" s="22">
        <v>5.5999999999999999E-3</v>
      </c>
      <c r="P6" t="s">
        <v>217</v>
      </c>
    </row>
    <row r="7" spans="1:25">
      <c r="A7" t="s">
        <v>213</v>
      </c>
      <c r="B7" s="22">
        <v>6.3799999999999996E-2</v>
      </c>
      <c r="M7" t="s">
        <v>212</v>
      </c>
      <c r="N7" s="22">
        <v>6.4299999999999996E-2</v>
      </c>
    </row>
    <row r="8" spans="1:25">
      <c r="C8" s="23" t="s">
        <v>1210</v>
      </c>
      <c r="D8" s="23">
        <v>3.0800000000000001E-2</v>
      </c>
      <c r="E8" s="23" t="s">
        <v>1211</v>
      </c>
      <c r="F8" s="23">
        <v>121.07</v>
      </c>
      <c r="G8" s="23" t="s">
        <v>1212</v>
      </c>
      <c r="H8" s="23">
        <v>33.159999999999997</v>
      </c>
      <c r="O8" t="s">
        <v>1213</v>
      </c>
      <c r="P8" s="23">
        <v>0.19</v>
      </c>
    </row>
    <row r="9" spans="1:25">
      <c r="A9" t="s">
        <v>200</v>
      </c>
      <c r="B9" t="s">
        <v>211</v>
      </c>
      <c r="C9" s="23" t="s">
        <v>208</v>
      </c>
      <c r="D9" s="23" t="s">
        <v>1214</v>
      </c>
      <c r="E9" s="23" t="s">
        <v>209</v>
      </c>
      <c r="F9" s="23" t="s">
        <v>201</v>
      </c>
      <c r="G9" s="23" t="s">
        <v>206</v>
      </c>
      <c r="H9" s="23" t="s">
        <v>202</v>
      </c>
      <c r="I9" t="s">
        <v>214</v>
      </c>
      <c r="J9" t="s">
        <v>215</v>
      </c>
      <c r="M9" t="s">
        <v>200</v>
      </c>
      <c r="N9" t="s">
        <v>211</v>
      </c>
      <c r="O9" t="s">
        <v>207</v>
      </c>
      <c r="P9" t="s">
        <v>1215</v>
      </c>
      <c r="Q9" t="s">
        <v>216</v>
      </c>
    </row>
    <row r="10" spans="1:25">
      <c r="A10">
        <v>2019</v>
      </c>
      <c r="B10">
        <v>0</v>
      </c>
      <c r="C10" s="23"/>
      <c r="D10" s="23"/>
      <c r="E10" s="23"/>
      <c r="F10" s="23"/>
      <c r="G10" s="23"/>
      <c r="H10" s="23"/>
      <c r="I10" s="23">
        <v>2.8976311336717426E-2</v>
      </c>
      <c r="J10" s="23">
        <v>144.97496036560293</v>
      </c>
      <c r="K10" s="23"/>
      <c r="M10">
        <v>2019</v>
      </c>
      <c r="N10">
        <v>0</v>
      </c>
      <c r="O10" s="23"/>
      <c r="P10" s="23"/>
      <c r="Q10" s="23">
        <v>0.18133984778727802</v>
      </c>
      <c r="U10">
        <v>3.0173584999999999E-2</v>
      </c>
      <c r="V10">
        <v>175.87419829999999</v>
      </c>
      <c r="X10" s="24"/>
      <c r="Y10" s="23"/>
    </row>
    <row r="11" spans="1:25">
      <c r="A11">
        <v>2020</v>
      </c>
      <c r="B11">
        <v>0</v>
      </c>
      <c r="C11" s="23"/>
      <c r="D11" s="23"/>
      <c r="E11" s="23"/>
      <c r="F11" s="23"/>
      <c r="G11" s="23"/>
      <c r="H11" s="23"/>
      <c r="I11" s="23">
        <v>5.3908733590367838E-2</v>
      </c>
      <c r="J11" s="23">
        <v>282.56445955803326</v>
      </c>
      <c r="K11" s="23"/>
      <c r="M11">
        <v>2020</v>
      </c>
      <c r="N11">
        <v>0</v>
      </c>
      <c r="O11" s="23"/>
      <c r="P11" s="23"/>
      <c r="Q11" s="23">
        <v>0.34690630323494698</v>
      </c>
      <c r="U11">
        <v>3.0452388925399997E-2</v>
      </c>
      <c r="V11">
        <v>180.26401828956799</v>
      </c>
      <c r="X11" s="24">
        <f>ELECCB[[#This Row],[NPV AEC $/kWh]]-I10</f>
        <v>2.4932422253650412E-2</v>
      </c>
      <c r="Y11" s="23">
        <f>ELECCB[[#This Row],[NPV ACC+T&amp;D $/kW]]-J10</f>
        <v>137.58949919243034</v>
      </c>
    </row>
    <row r="12" spans="1:25">
      <c r="A12">
        <v>2021</v>
      </c>
      <c r="B12">
        <v>0</v>
      </c>
      <c r="C12" s="23"/>
      <c r="D12" s="23"/>
      <c r="E12" s="23"/>
      <c r="F12" s="23"/>
      <c r="G12" s="23"/>
      <c r="H12" s="23"/>
      <c r="I12" s="23">
        <v>8.1677471538620705E-2</v>
      </c>
      <c r="J12" s="23">
        <v>414.07816126941054</v>
      </c>
      <c r="K12" s="23"/>
      <c r="M12">
        <v>2021</v>
      </c>
      <c r="N12">
        <v>0</v>
      </c>
      <c r="O12" s="23"/>
      <c r="P12" s="23"/>
      <c r="Q12" s="23">
        <v>0.5100867100311951</v>
      </c>
      <c r="U12">
        <v>3.0742904715748316E-2</v>
      </c>
      <c r="V12">
        <v>184.85534283540329</v>
      </c>
      <c r="X12" s="24">
        <f>ELECCB[[#This Row],[NPV AEC $/kWh]]-I11</f>
        <v>2.7768737948252867E-2</v>
      </c>
      <c r="Y12" s="23">
        <f>ELECCB[[#This Row],[NPV ACC+T&amp;D $/kW]]-J11</f>
        <v>131.51370171137728</v>
      </c>
    </row>
    <row r="13" spans="1:25">
      <c r="A13">
        <v>2022</v>
      </c>
      <c r="B13">
        <v>0</v>
      </c>
      <c r="C13" s="23"/>
      <c r="D13" s="23"/>
      <c r="E13" s="23"/>
      <c r="F13" s="23"/>
      <c r="G13" s="23"/>
      <c r="H13" s="23"/>
      <c r="I13" s="23">
        <v>0.11048003338712797</v>
      </c>
      <c r="J13" s="23">
        <v>539.77106448130667</v>
      </c>
      <c r="K13" s="23"/>
      <c r="M13">
        <v>2022</v>
      </c>
      <c r="N13">
        <v>1</v>
      </c>
      <c r="O13" s="23"/>
      <c r="P13" s="23"/>
      <c r="Q13" s="23">
        <v>0.66710365116936199</v>
      </c>
      <c r="U13">
        <v>3.1051563479094432E-2</v>
      </c>
      <c r="V13">
        <v>189.65418753541036</v>
      </c>
      <c r="X13" s="24">
        <f>ELECCB[[#This Row],[NPV AEC $/kWh]]-I12</f>
        <v>2.8802561848507269E-2</v>
      </c>
      <c r="Y13" s="23">
        <f>ELECCB[[#This Row],[NPV ACC+T&amp;D $/kW]]-J12</f>
        <v>125.69290321189612</v>
      </c>
    </row>
    <row r="14" spans="1:25">
      <c r="A14">
        <v>2023</v>
      </c>
      <c r="B14">
        <v>1</v>
      </c>
      <c r="C14" s="23"/>
      <c r="D14" s="23"/>
      <c r="E14" s="23"/>
      <c r="F14" s="23"/>
      <c r="G14" s="23"/>
      <c r="H14" s="23"/>
      <c r="I14" s="23">
        <v>0.14009253492125942</v>
      </c>
      <c r="J14" s="23">
        <v>658.82459352948263</v>
      </c>
      <c r="K14" s="23"/>
      <c r="M14">
        <v>2023</v>
      </c>
      <c r="N14">
        <v>2</v>
      </c>
      <c r="O14" s="23"/>
      <c r="P14" s="23"/>
      <c r="Q14" s="23">
        <v>0.82018362454273741</v>
      </c>
      <c r="U14">
        <v>3.1375431286181386E-2</v>
      </c>
      <c r="V14">
        <v>194.67812696322335</v>
      </c>
      <c r="X14" s="24">
        <f>ELECCB[[#This Row],[NPV AEC $/kWh]]-I13</f>
        <v>2.9612501534131447E-2</v>
      </c>
      <c r="Y14" s="23">
        <f>ELECCB[[#This Row],[NPV ACC+T&amp;D $/kW]]-J13</f>
        <v>119.05352904817596</v>
      </c>
    </row>
    <row r="15" spans="1:25">
      <c r="A15">
        <v>2024</v>
      </c>
      <c r="B15">
        <v>2</v>
      </c>
      <c r="C15" s="23"/>
      <c r="D15" s="23"/>
      <c r="E15" s="23"/>
      <c r="F15" s="23"/>
      <c r="G15" s="23"/>
      <c r="H15" s="23"/>
      <c r="I15" s="23">
        <v>0.16931310158578727</v>
      </c>
      <c r="J15" s="23">
        <v>772.22455939532358</v>
      </c>
      <c r="K15" s="23"/>
      <c r="M15">
        <v>2024</v>
      </c>
      <c r="N15">
        <v>3</v>
      </c>
      <c r="O15" s="23"/>
      <c r="P15" s="23"/>
      <c r="Q15" s="23">
        <v>0.97281924194798208</v>
      </c>
      <c r="U15">
        <v>3.1715854715636455E-2</v>
      </c>
      <c r="V15">
        <v>199.94417029757855</v>
      </c>
      <c r="X15" s="24">
        <f>ELECCB[[#This Row],[NPV AEC $/kWh]]-I14</f>
        <v>2.9220566664527853E-2</v>
      </c>
      <c r="Y15" s="23">
        <f>ELECCB[[#This Row],[NPV ACC+T&amp;D $/kW]]-J14</f>
        <v>113.39996586584095</v>
      </c>
    </row>
    <row r="16" spans="1:25">
      <c r="A16">
        <v>2025</v>
      </c>
      <c r="B16">
        <v>3</v>
      </c>
      <c r="C16" s="23"/>
      <c r="D16" s="23"/>
      <c r="E16" s="23"/>
      <c r="F16" s="23"/>
      <c r="G16" s="23"/>
      <c r="H16" s="23"/>
      <c r="I16" s="23">
        <v>0.19737380484917075</v>
      </c>
      <c r="J16" s="23">
        <v>880.91032761429994</v>
      </c>
      <c r="K16" s="23"/>
      <c r="M16">
        <v>2025</v>
      </c>
      <c r="N16">
        <v>4</v>
      </c>
      <c r="O16" s="23"/>
      <c r="P16" s="23"/>
      <c r="Q16" s="23">
        <v>1.1319392099505048</v>
      </c>
      <c r="U16">
        <v>3.207392671537599E-2</v>
      </c>
      <c r="V16">
        <v>205.46862772290069</v>
      </c>
      <c r="X16" s="24">
        <f>ELECCB[[#This Row],[NPV AEC $/kWh]]-I15</f>
        <v>2.8060703263383474E-2</v>
      </c>
      <c r="Y16" s="23">
        <f>ELECCB[[#This Row],[NPV ACC+T&amp;D $/kW]]-J15</f>
        <v>108.68576821897636</v>
      </c>
    </row>
    <row r="17" spans="1:25">
      <c r="A17">
        <v>2026</v>
      </c>
      <c r="B17">
        <v>4</v>
      </c>
      <c r="C17" s="23"/>
      <c r="D17" s="23"/>
      <c r="E17" s="23"/>
      <c r="F17" s="23"/>
      <c r="G17" s="23"/>
      <c r="H17" s="23"/>
      <c r="I17" s="23">
        <v>0.22958755419543869</v>
      </c>
      <c r="J17" s="23">
        <v>985.47639596562112</v>
      </c>
      <c r="K17" s="23"/>
      <c r="M17">
        <v>2026</v>
      </c>
      <c r="N17">
        <v>5</v>
      </c>
      <c r="O17" s="23"/>
      <c r="P17" s="23"/>
      <c r="Q17" s="23">
        <v>1.297939882150122</v>
      </c>
      <c r="U17">
        <v>3.245111609354881E-2</v>
      </c>
      <c r="V17">
        <v>211.26695239724091</v>
      </c>
      <c r="X17" s="24">
        <f>ELECCB[[#This Row],[NPV AEC $/kWh]]-I16</f>
        <v>3.2213749346267945E-2</v>
      </c>
      <c r="Y17" s="23">
        <f>ELECCB[[#This Row],[NPV ACC+T&amp;D $/kW]]-J16</f>
        <v>104.56606835132118</v>
      </c>
    </row>
    <row r="18" spans="1:25">
      <c r="A18">
        <v>2027</v>
      </c>
      <c r="B18">
        <v>5</v>
      </c>
      <c r="C18" s="23"/>
      <c r="D18" s="23"/>
      <c r="E18" s="23"/>
      <c r="F18" s="23"/>
      <c r="G18" s="23"/>
      <c r="H18" s="23"/>
      <c r="I18" s="23">
        <v>0.26094696856313643</v>
      </c>
      <c r="J18" s="23">
        <v>1086.2699407275736</v>
      </c>
      <c r="K18" s="23"/>
      <c r="M18">
        <v>2027</v>
      </c>
      <c r="N18">
        <v>6</v>
      </c>
      <c r="O18" s="23"/>
      <c r="P18" s="23"/>
      <c r="Q18" s="23">
        <v>1.4654677203850643</v>
      </c>
      <c r="U18">
        <v>3.2848966776855719E-2</v>
      </c>
      <c r="V18">
        <v>217.36411664342532</v>
      </c>
      <c r="X18" s="24">
        <f>ELECCB[[#This Row],[NPV AEC $/kWh]]-I17</f>
        <v>3.1359414367697735E-2</v>
      </c>
      <c r="Y18" s="23">
        <f>ELECCB[[#This Row],[NPV ACC+T&amp;D $/kW]]-J17</f>
        <v>100.79354476195249</v>
      </c>
    </row>
    <row r="19" spans="1:25">
      <c r="A19">
        <v>2028</v>
      </c>
      <c r="B19">
        <v>6</v>
      </c>
      <c r="C19" s="23"/>
      <c r="D19" s="23"/>
      <c r="E19" s="23"/>
      <c r="F19" s="23"/>
      <c r="G19" s="23"/>
      <c r="H19" s="23"/>
      <c r="I19" s="23">
        <v>0.29080395963889411</v>
      </c>
      <c r="J19" s="23">
        <v>1183.2756955774573</v>
      </c>
      <c r="K19" s="23"/>
      <c r="M19">
        <v>2028</v>
      </c>
      <c r="N19">
        <v>7</v>
      </c>
      <c r="O19" s="23"/>
      <c r="P19" s="23"/>
      <c r="Q19" s="23">
        <v>1.631007508017589</v>
      </c>
      <c r="U19">
        <v>3.337652118329202E-2</v>
      </c>
      <c r="V19">
        <v>223.77418444323993</v>
      </c>
      <c r="X19" s="24">
        <f>ELECCB[[#This Row],[NPV AEC $/kWh]]-I18</f>
        <v>2.9856991075757677E-2</v>
      </c>
      <c r="Y19" s="23">
        <f>ELECCB[[#This Row],[NPV ACC+T&amp;D $/kW]]-J18</f>
        <v>97.005754849883715</v>
      </c>
    </row>
    <row r="20" spans="1:25">
      <c r="A20">
        <v>2029</v>
      </c>
      <c r="B20">
        <v>7</v>
      </c>
      <c r="C20" s="23"/>
      <c r="D20" s="23"/>
      <c r="E20" s="23"/>
      <c r="F20" s="23"/>
      <c r="G20" s="23"/>
      <c r="H20" s="23"/>
      <c r="I20" s="23">
        <v>0.32003317571681861</v>
      </c>
      <c r="J20" s="23">
        <v>1276.5482674621917</v>
      </c>
      <c r="K20" s="23"/>
      <c r="M20">
        <v>2029</v>
      </c>
      <c r="N20">
        <v>8</v>
      </c>
      <c r="O20" s="23"/>
      <c r="P20" s="23"/>
      <c r="Q20" s="23">
        <v>1.7908477237053089</v>
      </c>
      <c r="U20">
        <v>3.3929570139299169E-2</v>
      </c>
      <c r="V20">
        <v>230.50307416944818</v>
      </c>
      <c r="X20" s="24">
        <f>ELECCB[[#This Row],[NPV AEC $/kWh]]-I19</f>
        <v>2.9229216077924502E-2</v>
      </c>
      <c r="Y20" s="23">
        <f>ELECCB[[#This Row],[NPV ACC+T&amp;D $/kW]]-J19</f>
        <v>93.272571884734361</v>
      </c>
    </row>
    <row r="21" spans="1:25">
      <c r="A21">
        <v>2030</v>
      </c>
      <c r="B21">
        <v>8</v>
      </c>
      <c r="C21" s="23"/>
      <c r="D21" s="23"/>
      <c r="E21" s="23"/>
      <c r="F21" s="23"/>
      <c r="G21" s="23"/>
      <c r="H21" s="23"/>
      <c r="I21" s="23">
        <v>0.3483640902841813</v>
      </c>
      <c r="J21" s="23">
        <v>1366.1512304104438</v>
      </c>
      <c r="K21" s="23"/>
      <c r="M21">
        <v>2030</v>
      </c>
      <c r="N21">
        <v>9</v>
      </c>
      <c r="O21" s="23"/>
      <c r="P21" s="23"/>
      <c r="Q21" s="23">
        <v>1.9424208787992343</v>
      </c>
      <c r="U21">
        <v>3.4509765788681181E-2</v>
      </c>
      <c r="V21">
        <v>237.57490848496687</v>
      </c>
      <c r="X21" s="24">
        <f>ELECCB[[#This Row],[NPV AEC $/kWh]]-I20</f>
        <v>2.8330914567362697E-2</v>
      </c>
      <c r="Y21" s="23">
        <f>ELECCB[[#This Row],[NPV ACC+T&amp;D $/kW]]-J20</f>
        <v>89.60296294825207</v>
      </c>
    </row>
    <row r="22" spans="1:25">
      <c r="A22">
        <v>2031</v>
      </c>
      <c r="B22">
        <v>9</v>
      </c>
      <c r="C22" s="23"/>
      <c r="D22" s="23"/>
      <c r="E22" s="23"/>
      <c r="F22" s="23"/>
      <c r="G22" s="23"/>
      <c r="H22" s="23"/>
      <c r="I22" s="23">
        <v>0.37596800845875372</v>
      </c>
      <c r="J22" s="23">
        <v>1452.1020889087899</v>
      </c>
      <c r="K22" s="23"/>
      <c r="M22">
        <v>2031</v>
      </c>
      <c r="N22">
        <v>10</v>
      </c>
      <c r="O22" s="23"/>
      <c r="P22" s="23"/>
      <c r="Q22" s="23">
        <v>2.0860090127069375</v>
      </c>
      <c r="U22">
        <v>3.5118863154851403E-2</v>
      </c>
      <c r="V22">
        <v>245.00625162237662</v>
      </c>
      <c r="X22" s="24">
        <f>ELECCB[[#This Row],[NPV AEC $/kWh]]-I21</f>
        <v>2.7603918174572417E-2</v>
      </c>
      <c r="Y22" s="23">
        <f>ELECCB[[#This Row],[NPV ACC+T&amp;D $/kW]]-J21</f>
        <v>85.950858498346179</v>
      </c>
    </row>
    <row r="23" spans="1:25">
      <c r="A23">
        <v>2032</v>
      </c>
      <c r="B23">
        <v>10</v>
      </c>
      <c r="C23" s="23"/>
      <c r="D23" s="23"/>
      <c r="E23" s="23"/>
      <c r="F23" s="23"/>
      <c r="G23" s="23"/>
      <c r="H23" s="23"/>
      <c r="I23" s="23">
        <v>0.40277369188676465</v>
      </c>
      <c r="J23" s="23">
        <v>1534.5393356308005</v>
      </c>
      <c r="K23" s="23"/>
      <c r="M23">
        <v>2032</v>
      </c>
      <c r="N23">
        <v>11</v>
      </c>
      <c r="O23" s="23"/>
      <c r="P23" s="23"/>
      <c r="Q23" s="23">
        <v>2.2247044871782231</v>
      </c>
      <c r="U23">
        <v>3.5758728841532791E-2</v>
      </c>
      <c r="V23">
        <v>252.817050924098</v>
      </c>
      <c r="X23" s="24">
        <f>ELECCB[[#This Row],[NPV AEC $/kWh]]-I22</f>
        <v>2.6805683428010929E-2</v>
      </c>
      <c r="Y23" s="23">
        <f>ELECCB[[#This Row],[NPV ACC+T&amp;D $/kW]]-J22</f>
        <v>82.437246722010514</v>
      </c>
    </row>
    <row r="24" spans="1:25">
      <c r="A24">
        <v>2033</v>
      </c>
      <c r="B24">
        <v>11</v>
      </c>
      <c r="C24" s="23"/>
      <c r="D24" s="23"/>
      <c r="E24" s="23"/>
      <c r="F24" s="23"/>
      <c r="G24" s="23"/>
      <c r="H24" s="23"/>
      <c r="I24" s="23">
        <v>0.42861989840647674</v>
      </c>
      <c r="J24" s="23">
        <v>1613.5787086479197</v>
      </c>
      <c r="K24" s="23"/>
      <c r="M24">
        <v>2033</v>
      </c>
      <c r="N24">
        <v>12</v>
      </c>
      <c r="O24" s="23"/>
      <c r="P24" s="23"/>
      <c r="Q24" s="23">
        <v>2.3604389855572991</v>
      </c>
      <c r="U24">
        <v>3.6431350531042024E-2</v>
      </c>
      <c r="V24">
        <v>261.03107690862191</v>
      </c>
      <c r="X24" s="24">
        <f>ELECCB[[#This Row],[NPV AEC $/kWh]]-I23</f>
        <v>2.5846206519712089E-2</v>
      </c>
      <c r="Y24" s="23">
        <f>ELECCB[[#This Row],[NPV ACC+T&amp;D $/kW]]-J23</f>
        <v>79.03937301711926</v>
      </c>
    </row>
    <row r="25" spans="1:25">
      <c r="A25">
        <v>2034</v>
      </c>
      <c r="B25">
        <v>12</v>
      </c>
      <c r="C25" s="23"/>
      <c r="D25" s="23"/>
      <c r="E25" s="23"/>
      <c r="F25" s="23"/>
      <c r="G25" s="23"/>
      <c r="H25" s="23"/>
      <c r="I25" s="23">
        <v>0.45329583485710234</v>
      </c>
      <c r="J25" s="23">
        <v>1689.3839325460397</v>
      </c>
      <c r="K25" s="23"/>
      <c r="M25">
        <v>2034</v>
      </c>
      <c r="N25">
        <v>13</v>
      </c>
      <c r="O25" s="23"/>
      <c r="P25" s="23"/>
      <c r="Q25" s="23">
        <v>2.4926100671496281</v>
      </c>
      <c r="U25">
        <v>3.7143219120418583E-2</v>
      </c>
      <c r="V25">
        <v>269.67903648660456</v>
      </c>
      <c r="X25" s="24">
        <f>ELECCB[[#This Row],[NPV AEC $/kWh]]-I24</f>
        <v>2.4675936450625602E-2</v>
      </c>
      <c r="Y25" s="23">
        <f>ELECCB[[#This Row],[NPV ACC+T&amp;D $/kW]]-J24</f>
        <v>75.805223898119948</v>
      </c>
    </row>
    <row r="26" spans="1:25">
      <c r="A26">
        <v>2035</v>
      </c>
      <c r="B26">
        <v>13</v>
      </c>
      <c r="C26" s="23"/>
      <c r="D26" s="23"/>
      <c r="E26" s="23"/>
      <c r="F26" s="23"/>
      <c r="G26" s="23"/>
      <c r="H26" s="23"/>
      <c r="I26" s="23">
        <v>0.4773662368050724</v>
      </c>
      <c r="J26" s="23">
        <v>1762.106301132254</v>
      </c>
      <c r="K26" s="23"/>
      <c r="M26">
        <v>2035</v>
      </c>
      <c r="N26">
        <v>14</v>
      </c>
      <c r="O26" s="23"/>
      <c r="P26" s="23"/>
      <c r="Q26" s="23">
        <v>2.6193041371399675</v>
      </c>
      <c r="U26">
        <v>3.7897226468563076E-2</v>
      </c>
      <c r="V26">
        <v>278.79149112948693</v>
      </c>
      <c r="X26" s="24">
        <f>ELECCB[[#This Row],[NPV AEC $/kWh]]-I25</f>
        <v>2.4070401947970055E-2</v>
      </c>
      <c r="Y26" s="23">
        <f>ELECCB[[#This Row],[NPV ACC+T&amp;D $/kW]]-J25</f>
        <v>72.722368586214316</v>
      </c>
    </row>
    <row r="27" spans="1:25">
      <c r="A27">
        <v>2036</v>
      </c>
      <c r="B27">
        <v>14</v>
      </c>
      <c r="C27" s="23"/>
      <c r="D27" s="23"/>
      <c r="E27" s="23"/>
      <c r="F27" s="23"/>
      <c r="G27" s="23"/>
      <c r="H27" s="23"/>
      <c r="I27" s="23">
        <v>0.50072449565742527</v>
      </c>
      <c r="J27" s="23">
        <v>1831.8599378555527</v>
      </c>
      <c r="K27" s="23"/>
      <c r="M27">
        <v>2036</v>
      </c>
      <c r="N27">
        <v>15</v>
      </c>
      <c r="O27" s="23"/>
      <c r="P27" s="23"/>
      <c r="Q27" s="23">
        <v>2.7408118544093014</v>
      </c>
      <c r="U27">
        <v>3.8696478974785072E-2</v>
      </c>
      <c r="V27">
        <v>288.39864591380905</v>
      </c>
      <c r="X27" s="24">
        <f>ELECCB[[#This Row],[NPV AEC $/kWh]]-I26</f>
        <v>2.3358258852352876E-2</v>
      </c>
      <c r="Y27" s="23">
        <f>ELECCB[[#This Row],[NPV ACC+T&amp;D $/kW]]-J26</f>
        <v>69.753636723298769</v>
      </c>
    </row>
    <row r="28" spans="1:25">
      <c r="A28">
        <v>2037</v>
      </c>
      <c r="B28">
        <v>15</v>
      </c>
      <c r="C28" s="23"/>
      <c r="D28" s="23"/>
      <c r="E28" s="23"/>
      <c r="F28" s="23"/>
      <c r="G28" s="23"/>
      <c r="H28" s="23"/>
      <c r="I28" s="23">
        <v>0.52332403483769063</v>
      </c>
      <c r="J28" s="23">
        <v>1898.794632646242</v>
      </c>
      <c r="K28" s="23"/>
      <c r="M28">
        <v>2037</v>
      </c>
      <c r="N28">
        <v>16</v>
      </c>
      <c r="O28" s="23"/>
      <c r="P28" s="23"/>
      <c r="Q28" s="23">
        <v>2.8590898232786022</v>
      </c>
      <c r="U28">
        <v>3.9544318829122613E-2</v>
      </c>
      <c r="V28">
        <v>298.53297433122032</v>
      </c>
      <c r="X28" s="24">
        <f>ELECCB[[#This Row],[NPV AEC $/kWh]]-I27</f>
        <v>2.259953918026536E-2</v>
      </c>
      <c r="Y28" s="23">
        <f>ELECCB[[#This Row],[NPV ACC+T&amp;D $/kW]]-J27</f>
        <v>66.934694790689264</v>
      </c>
    </row>
    <row r="29" spans="1:25">
      <c r="A29">
        <v>2038</v>
      </c>
      <c r="B29">
        <v>16</v>
      </c>
      <c r="C29" s="23"/>
      <c r="D29" s="23"/>
      <c r="E29" s="23"/>
      <c r="F29" s="23"/>
      <c r="G29" s="23"/>
      <c r="H29" s="23"/>
      <c r="I29" s="23">
        <v>0.54521930089364556</v>
      </c>
      <c r="J29" s="23">
        <v>1963.0345695017379</v>
      </c>
      <c r="K29" s="23"/>
      <c r="M29">
        <v>2038</v>
      </c>
      <c r="N29">
        <v>17</v>
      </c>
      <c r="O29" s="23"/>
      <c r="P29" s="23"/>
      <c r="Q29" s="23">
        <v>2.9736427104566006</v>
      </c>
      <c r="U29">
        <v>4.0444347525673441E-2</v>
      </c>
      <c r="V29">
        <v>309.23836679073787</v>
      </c>
      <c r="X29" s="24">
        <f>ELECCB[[#This Row],[NPV AEC $/kWh]]-I28</f>
        <v>2.1895266055954932E-2</v>
      </c>
      <c r="Y29" s="23">
        <f>ELECCB[[#This Row],[NPV ACC+T&amp;D $/kW]]-J28</f>
        <v>64.239936855495898</v>
      </c>
    </row>
    <row r="30" spans="1:25">
      <c r="A30">
        <v>2039</v>
      </c>
      <c r="B30">
        <v>17</v>
      </c>
      <c r="C30" s="23"/>
      <c r="D30" s="23"/>
      <c r="E30" s="23"/>
      <c r="F30" s="23"/>
      <c r="G30" s="23"/>
      <c r="H30" s="23"/>
      <c r="I30" s="23">
        <v>0.5665134609087884</v>
      </c>
      <c r="J30" s="23">
        <v>2024.669618916929</v>
      </c>
      <c r="K30" s="23"/>
      <c r="M30">
        <v>2039</v>
      </c>
      <c r="N30">
        <v>18</v>
      </c>
      <c r="O30" s="23"/>
      <c r="P30" s="23"/>
      <c r="Q30" s="23">
        <v>3.0839851552106698</v>
      </c>
      <c r="U30">
        <v>4.1400856344655616E-2</v>
      </c>
      <c r="V30">
        <v>320.55339863161095</v>
      </c>
      <c r="X30" s="24">
        <f>ELECCB[[#This Row],[NPV AEC $/kWh]]-I29</f>
        <v>2.1294160015142838E-2</v>
      </c>
      <c r="Y30" s="23">
        <f>ELECCB[[#This Row],[NPV ACC+T&amp;D $/kW]]-J29</f>
        <v>61.635049415191133</v>
      </c>
    </row>
    <row r="31" spans="1:25">
      <c r="A31">
        <v>2040</v>
      </c>
      <c r="B31">
        <v>18</v>
      </c>
      <c r="C31" s="23"/>
      <c r="D31" s="23"/>
      <c r="E31" s="23"/>
      <c r="F31" s="23"/>
      <c r="G31" s="23"/>
      <c r="H31" s="23"/>
      <c r="I31" s="23">
        <v>0.58722310906675856</v>
      </c>
      <c r="J31" s="23">
        <v>2083.8196672042536</v>
      </c>
      <c r="K31" s="23"/>
      <c r="M31">
        <v>2040</v>
      </c>
      <c r="N31">
        <v>19</v>
      </c>
      <c r="O31" s="23"/>
      <c r="P31" s="23"/>
      <c r="Q31" s="23">
        <v>3.1900997705214844</v>
      </c>
      <c r="U31">
        <v>4.2418075385043802E-2</v>
      </c>
      <c r="V31">
        <v>332.51965700252902</v>
      </c>
      <c r="X31" s="24">
        <f>ELECCB[[#This Row],[NPV AEC $/kWh]]-I30</f>
        <v>2.0709648157970162E-2</v>
      </c>
      <c r="Y31" s="23">
        <f>ELECCB[[#This Row],[NPV ACC+T&amp;D $/kW]]-J30</f>
        <v>59.15004828732458</v>
      </c>
    </row>
    <row r="32" spans="1:25">
      <c r="A32">
        <v>2041</v>
      </c>
      <c r="B32">
        <v>19</v>
      </c>
      <c r="C32" s="23"/>
      <c r="D32" s="23"/>
      <c r="E32" s="23"/>
      <c r="F32" s="23"/>
      <c r="G32" s="23"/>
      <c r="H32" s="23"/>
      <c r="I32" s="23">
        <v>0.60736437896201811</v>
      </c>
      <c r="J32" s="23">
        <v>2140.5953029633938</v>
      </c>
      <c r="K32" s="23"/>
      <c r="M32">
        <v>2041</v>
      </c>
      <c r="N32">
        <v>20</v>
      </c>
      <c r="O32" s="23"/>
      <c r="P32" s="23"/>
      <c r="Q32" s="23">
        <v>3.292010522063967</v>
      </c>
      <c r="U32">
        <v>4.3501008849623969E-2</v>
      </c>
      <c r="V32">
        <v>345.18865593432537</v>
      </c>
      <c r="X32" s="24">
        <f>ELECCB[[#This Row],[NPV AEC $/kWh]]-I31</f>
        <v>2.014126989525955E-2</v>
      </c>
      <c r="Y32" s="23">
        <f>ELECCB[[#This Row],[NPV ACC+T&amp;D $/kW]]-J31</f>
        <v>56.775635759140187</v>
      </c>
    </row>
    <row r="33" spans="1:25">
      <c r="A33">
        <v>2042</v>
      </c>
      <c r="B33">
        <v>20</v>
      </c>
      <c r="C33" s="23"/>
      <c r="D33" s="23"/>
      <c r="E33" s="23"/>
      <c r="F33" s="23"/>
      <c r="G33" s="23"/>
      <c r="H33" s="23"/>
      <c r="I33" s="23">
        <v>0.62695295645123938</v>
      </c>
      <c r="J33" s="23">
        <v>2195.0951543579163</v>
      </c>
      <c r="K33" s="23"/>
      <c r="M33">
        <v>2042</v>
      </c>
      <c r="N33">
        <v>21</v>
      </c>
      <c r="O33" s="23"/>
      <c r="P33" s="23"/>
      <c r="Q33" s="23">
        <v>3.390603374294074</v>
      </c>
      <c r="U33">
        <v>4.4655090614404487E-2</v>
      </c>
      <c r="V33">
        <v>358.61304276361136</v>
      </c>
      <c r="X33" s="24">
        <f>ELECCB[[#This Row],[NPV AEC $/kWh]]-I32</f>
        <v>1.9588577489221271E-2</v>
      </c>
      <c r="Y33" s="23">
        <f>ELECCB[[#This Row],[NPV ACC+T&amp;D $/kW]]-J32</f>
        <v>54.499851394522466</v>
      </c>
    </row>
    <row r="34" spans="1:25">
      <c r="A34">
        <v>2043</v>
      </c>
      <c r="B34">
        <v>21</v>
      </c>
      <c r="C34" s="23"/>
      <c r="D34" s="23"/>
      <c r="E34" s="23"/>
      <c r="F34" s="23"/>
      <c r="G34" s="23"/>
      <c r="H34" s="23"/>
      <c r="I34" s="23">
        <v>0.64600409214430554</v>
      </c>
      <c r="J34" s="23">
        <v>2247.4131971827765</v>
      </c>
      <c r="M34">
        <v>2043</v>
      </c>
      <c r="N34">
        <v>22</v>
      </c>
      <c r="O34" s="23"/>
      <c r="P34" s="23"/>
      <c r="Q34" s="23">
        <v>3.4858261415015512</v>
      </c>
      <c r="U34">
        <v>0.64600409214430554</v>
      </c>
      <c r="V34">
        <v>2247.4131971827765</v>
      </c>
      <c r="X34" s="24">
        <f>ELECCB[[#This Row],[NPV AEC $/kWh]]-I33</f>
        <v>1.9051135693066157E-2</v>
      </c>
      <c r="Y34" s="23">
        <f>ELECCB[[#This Row],[NPV ACC+T&amp;D $/kW]]-J33</f>
        <v>52.318042824860186</v>
      </c>
    </row>
    <row r="35" spans="1:25">
      <c r="A35">
        <v>2044</v>
      </c>
      <c r="B35">
        <v>22</v>
      </c>
      <c r="C35" s="23"/>
      <c r="D35" s="23"/>
      <c r="E35" s="23"/>
      <c r="F35" s="23"/>
      <c r="G35" s="23"/>
      <c r="H35" s="23"/>
      <c r="I35" s="23">
        <v>0.66453261354507742</v>
      </c>
      <c r="J35" s="23">
        <v>2297.6430040634286</v>
      </c>
      <c r="M35">
        <v>2044</v>
      </c>
      <c r="N35">
        <v>23</v>
      </c>
      <c r="O35" s="23"/>
      <c r="P35" s="23"/>
      <c r="Q35" s="23">
        <v>3.5777348993304638</v>
      </c>
      <c r="U35">
        <v>0.66453261354507742</v>
      </c>
      <c r="V35">
        <v>2297.6430040634286</v>
      </c>
      <c r="X35" s="24">
        <f>ELECCB[[#This Row],[NPV AEC $/kWh]]-I34</f>
        <v>1.852852140077188E-2</v>
      </c>
      <c r="Y35" s="23">
        <f>ELECCB[[#This Row],[NPV ACC+T&amp;D $/kW]]-J34</f>
        <v>50.229806880652177</v>
      </c>
    </row>
    <row r="36" spans="1:25">
      <c r="A36">
        <v>2045</v>
      </c>
      <c r="B36">
        <v>23</v>
      </c>
      <c r="C36" s="23"/>
      <c r="D36" s="23"/>
      <c r="E36" s="23"/>
      <c r="F36" s="23"/>
      <c r="G36" s="23"/>
      <c r="H36" s="23"/>
      <c r="I36" s="23">
        <v>0.68255293685179574</v>
      </c>
      <c r="J36" s="23">
        <v>2345.8814489925949</v>
      </c>
      <c r="M36">
        <v>2045</v>
      </c>
      <c r="N36">
        <v>24</v>
      </c>
      <c r="O36" s="23"/>
      <c r="P36" s="23"/>
      <c r="Q36" s="23">
        <v>3.6666803449170002</v>
      </c>
      <c r="U36">
        <v>0.68255293685179574</v>
      </c>
      <c r="V36">
        <v>2345.8814489925949</v>
      </c>
      <c r="X36" s="24">
        <f>ELECCB[[#This Row],[NPV AEC $/kWh]]-I35</f>
        <v>1.8020323306718322E-2</v>
      </c>
      <c r="Y36" s="23">
        <f>ELECCB[[#This Row],[NPV ACC+T&amp;D $/kW]]-J35</f>
        <v>48.238444929166235</v>
      </c>
    </row>
    <row r="37" spans="1:25">
      <c r="A37">
        <v>2046</v>
      </c>
      <c r="B37">
        <v>24</v>
      </c>
      <c r="C37" s="23"/>
      <c r="D37" s="23"/>
      <c r="E37" s="23"/>
      <c r="F37" s="23"/>
      <c r="G37" s="23"/>
      <c r="H37" s="23"/>
      <c r="I37" s="23">
        <v>0.69949251506830101</v>
      </c>
      <c r="J37" s="23">
        <v>2392.2097135921081</v>
      </c>
      <c r="M37">
        <v>2046</v>
      </c>
      <c r="N37">
        <v>25</v>
      </c>
      <c r="O37" s="23"/>
      <c r="P37" s="23"/>
      <c r="Q37" s="23">
        <v>3.7530811517105485</v>
      </c>
      <c r="U37">
        <v>0.69949251506830101</v>
      </c>
      <c r="V37">
        <v>2392.2097135921081</v>
      </c>
      <c r="X37" s="24">
        <f>ELECCB[[#This Row],[NPV AEC $/kWh]]-I36</f>
        <v>1.6939578216505269E-2</v>
      </c>
      <c r="Y37" s="23">
        <f>ELECCB[[#This Row],[NPV ACC+T&amp;D $/kW]]-J36</f>
        <v>46.328264599513204</v>
      </c>
    </row>
    <row r="38" spans="1:25">
      <c r="A38">
        <v>2047</v>
      </c>
      <c r="B38">
        <v>25</v>
      </c>
      <c r="C38" s="23"/>
      <c r="D38" s="23"/>
      <c r="E38" s="23"/>
      <c r="F38" s="23"/>
      <c r="G38" s="23"/>
      <c r="H38" s="23"/>
      <c r="I38" s="23">
        <v>0.7154161644539988</v>
      </c>
      <c r="J38" s="23">
        <v>2436.6944099627308</v>
      </c>
      <c r="M38">
        <v>2047</v>
      </c>
      <c r="N38">
        <v>26</v>
      </c>
      <c r="O38" s="23"/>
      <c r="P38" s="23"/>
      <c r="Q38" s="23">
        <v>3.8372650620798057</v>
      </c>
      <c r="U38">
        <v>0.7154161644539988</v>
      </c>
      <c r="V38">
        <v>2436.6944099627308</v>
      </c>
      <c r="X38" s="24">
        <f>ELECCB[[#This Row],[NPV AEC $/kWh]]-I37</f>
        <v>1.5923649385697791E-2</v>
      </c>
      <c r="Y38" s="23">
        <f>ELECCB[[#This Row],[NPV ACC+T&amp;D $/kW]]-J37</f>
        <v>44.484696370622714</v>
      </c>
    </row>
    <row r="39" spans="1:25">
      <c r="A39">
        <v>2048</v>
      </c>
      <c r="B39">
        <v>26</v>
      </c>
      <c r="C39" s="23"/>
      <c r="D39" s="23"/>
      <c r="E39" s="23"/>
      <c r="F39" s="23"/>
      <c r="G39" s="23"/>
      <c r="H39" s="23"/>
      <c r="I39" s="23">
        <v>0.730384813998742</v>
      </c>
      <c r="J39" s="23">
        <v>2479.4106216288674</v>
      </c>
      <c r="M39">
        <v>2048</v>
      </c>
      <c r="N39">
        <v>27</v>
      </c>
      <c r="O39" s="23"/>
      <c r="P39" s="23"/>
      <c r="Q39" s="23">
        <v>3.9190100017168357</v>
      </c>
      <c r="U39">
        <v>0.730384813998742</v>
      </c>
      <c r="V39">
        <v>2479.4106216288674</v>
      </c>
      <c r="X39" s="24">
        <f>ELECCB[[#This Row],[NPV AEC $/kWh]]-I38</f>
        <v>1.4968649544743196E-2</v>
      </c>
      <c r="Y39" s="23">
        <f>ELECCB[[#This Row],[NPV ACC+T&amp;D $/kW]]-J38</f>
        <v>42.716211666136587</v>
      </c>
    </row>
  </sheetData>
  <sheetProtection algorithmName="SHA-512" hashValue="Idbrsz4Dw8FErrgOAXHwcM1RFEoiHsfIYTRTPKG72EyxDoGsDfU5olEKg4f7z3miDbbF1QJUmBRFmE250X7sOQ==" saltValue="7QmA9icsC9BzGzi6mMa+ig==" spinCount="100000" sheet="1" objects="1" scenarios="1"/>
  <pageMargins left="0.7" right="0.7" top="0.75" bottom="0.75" header="0.3" footer="0.3"/>
  <pageSetup orientation="portrait" r:id="rId1"/>
  <tableParts count="2">
    <tablePart r:id="rId2"/>
    <tablePart r:id="rId3"/>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8">
    <pageSetUpPr fitToPage="1"/>
  </sheetPr>
  <dimension ref="A1:BZ203"/>
  <sheetViews>
    <sheetView showGridLines="0" showRowColHeaders="0" zoomScale="85" zoomScaleNormal="85" workbookViewId="0">
      <selection activeCell="C16" sqref="C16:I17"/>
    </sheetView>
  </sheetViews>
  <sheetFormatPr defaultColWidth="0" defaultRowHeight="15" zeroHeight="1"/>
  <cols>
    <col min="1" max="44" width="4.7109375" customWidth="1"/>
    <col min="45" max="45" width="4.7109375" style="59" customWidth="1"/>
    <col min="46" max="46" width="4.7109375" style="59" hidden="1" customWidth="1"/>
    <col min="47" max="52" width="9.140625" style="59" hidden="1" customWidth="1"/>
    <col min="53" max="53" width="11" style="59" hidden="1" customWidth="1"/>
    <col min="54" max="78" width="9.140625" style="59" hidden="1" customWidth="1"/>
    <col min="79" max="16384" width="9.140625" hidden="1"/>
  </cols>
  <sheetData>
    <row r="1" spans="2:78" ht="15.95" customHeight="1">
      <c r="AH1" s="686" t="s">
        <v>471</v>
      </c>
      <c r="AI1" s="686"/>
      <c r="AJ1" s="686"/>
      <c r="AK1" s="686"/>
      <c r="AL1" s="687" t="s">
        <v>736</v>
      </c>
      <c r="AM1" s="687"/>
      <c r="AN1" s="687"/>
      <c r="AO1" s="687"/>
      <c r="AP1" s="687"/>
      <c r="AQ1" s="683" t="s">
        <v>474</v>
      </c>
      <c r="AR1" s="683"/>
    </row>
    <row r="2" spans="2:78" ht="15.95" customHeight="1">
      <c r="AH2" s="688" t="str">
        <f ca="1">INCENSTATUS</f>
        <v>---</v>
      </c>
      <c r="AI2" s="689"/>
      <c r="AJ2" s="689"/>
      <c r="AK2" s="689"/>
      <c r="AL2" s="690" t="str">
        <f ca="1">PROJSTATUS</f>
        <v>Enter Measures</v>
      </c>
      <c r="AM2" s="690"/>
      <c r="AN2" s="690"/>
      <c r="AO2" s="690"/>
      <c r="AP2" s="690"/>
      <c r="AQ2" s="684">
        <f ca="1">PROGRESSSTATUS</f>
        <v>2.8985507246376812E-2</v>
      </c>
      <c r="AR2" s="685"/>
    </row>
    <row r="3" spans="2:78" ht="15.95" customHeight="1">
      <c r="AH3" s="680"/>
      <c r="AI3" s="681"/>
      <c r="AJ3" s="681"/>
      <c r="AK3" s="681"/>
      <c r="AL3" s="673"/>
      <c r="AM3" s="673"/>
      <c r="AN3" s="673"/>
      <c r="AO3" s="673"/>
      <c r="AP3" s="673"/>
      <c r="AQ3" s="667"/>
      <c r="AR3" s="668"/>
    </row>
    <row r="4" spans="2:78" ht="15.95" customHeight="1">
      <c r="AR4" s="171"/>
    </row>
    <row r="5" spans="2:78" ht="15.95" customHeight="1"/>
    <row r="6" spans="2:78" ht="15.95" customHeight="1">
      <c r="AU6" s="59" t="s">
        <v>907</v>
      </c>
      <c r="AV6" s="59">
        <f>PROJID</f>
        <v>0</v>
      </c>
    </row>
    <row r="7" spans="2:78" ht="15.95" customHeight="1">
      <c r="AU7" s="87"/>
      <c r="AV7" s="87" t="s">
        <v>866</v>
      </c>
      <c r="AW7" s="87" t="s">
        <v>231</v>
      </c>
      <c r="AX7" s="87" t="s">
        <v>892</v>
      </c>
    </row>
    <row r="8" spans="2:78" ht="15.95" customHeight="1">
      <c r="AU8" s="87" t="s">
        <v>219</v>
      </c>
      <c r="AV8" s="87" t="str">
        <f ca="1">CBPRESE</f>
        <v>NA</v>
      </c>
      <c r="AW8" s="87" t="str">
        <f ca="1">CBCUSE</f>
        <v>NA</v>
      </c>
      <c r="AX8" s="87" t="str">
        <f ca="1">CBALL</f>
        <v>NA</v>
      </c>
    </row>
    <row r="9" spans="2:78" ht="15.95" customHeight="1">
      <c r="B9" s="59"/>
      <c r="C9" s="59"/>
      <c r="D9" s="59"/>
      <c r="E9" s="59"/>
      <c r="F9" s="59"/>
      <c r="G9" s="59"/>
      <c r="H9" s="59"/>
      <c r="I9" s="59"/>
      <c r="J9" s="59"/>
      <c r="K9" s="59"/>
      <c r="L9" s="59"/>
      <c r="M9" s="59"/>
      <c r="N9" s="59"/>
      <c r="O9" s="59"/>
      <c r="P9" s="59"/>
      <c r="Q9" s="59"/>
      <c r="R9" s="735" t="str">
        <f>CONCATENATE(M3S3," ","Summary")</f>
        <v>HVAC (Electric) Summary</v>
      </c>
      <c r="S9" s="735"/>
      <c r="T9" s="735"/>
      <c r="U9" s="735"/>
      <c r="V9" s="735"/>
      <c r="W9" s="735"/>
      <c r="X9" s="735"/>
      <c r="Y9" s="735"/>
      <c r="Z9" s="735"/>
      <c r="AA9" s="735"/>
      <c r="AB9" s="735"/>
      <c r="AC9" s="735"/>
      <c r="AD9" s="59"/>
      <c r="AE9" s="59"/>
      <c r="AF9" s="59"/>
      <c r="AG9" s="59"/>
      <c r="AH9" s="59"/>
      <c r="AI9" s="59"/>
      <c r="AJ9" s="59"/>
      <c r="AK9" s="59"/>
      <c r="AL9" s="59"/>
      <c r="AM9" s="59"/>
      <c r="AN9" s="59"/>
      <c r="AO9" s="59"/>
      <c r="AP9" s="59"/>
      <c r="AQ9" s="59"/>
      <c r="AR9" s="59"/>
      <c r="AU9" s="87"/>
      <c r="AV9" s="87"/>
      <c r="AW9" s="87"/>
      <c r="AX9" s="87"/>
    </row>
    <row r="10" spans="2:78" ht="15.95" customHeight="1">
      <c r="B10" s="59"/>
      <c r="C10" s="59"/>
      <c r="D10" s="59"/>
      <c r="E10" s="59"/>
      <c r="F10" s="59"/>
      <c r="G10" s="59"/>
      <c r="H10" s="59"/>
      <c r="I10" s="59"/>
      <c r="J10" s="59"/>
      <c r="K10" s="59"/>
      <c r="L10" s="59"/>
      <c r="M10" s="59"/>
      <c r="N10" s="59"/>
      <c r="O10" s="59"/>
      <c r="P10" s="59"/>
      <c r="Q10" s="59"/>
      <c r="R10" s="735"/>
      <c r="S10" s="735"/>
      <c r="T10" s="735"/>
      <c r="U10" s="735"/>
      <c r="V10" s="735"/>
      <c r="W10" s="735"/>
      <c r="X10" s="735"/>
      <c r="Y10" s="735"/>
      <c r="Z10" s="735"/>
      <c r="AA10" s="735"/>
      <c r="AB10" s="735"/>
      <c r="AC10" s="735"/>
      <c r="AD10" s="59"/>
      <c r="AE10" s="59"/>
      <c r="AF10" s="59"/>
      <c r="AG10" s="59"/>
      <c r="AH10" s="59"/>
      <c r="AI10" s="59"/>
      <c r="AJ10" s="59"/>
      <c r="AK10" s="59"/>
      <c r="AL10" s="59"/>
      <c r="AM10" s="59"/>
      <c r="AN10" s="59"/>
      <c r="AO10" s="59"/>
      <c r="AP10" s="59"/>
      <c r="AQ10" s="59"/>
      <c r="AR10" s="59"/>
      <c r="AU10" s="87" t="s">
        <v>581</v>
      </c>
      <c r="AV10" s="87" t="str">
        <f ca="1">PAYPRESE</f>
        <v>NA</v>
      </c>
      <c r="AW10" s="87" t="str">
        <f ca="1">PAYCUSE</f>
        <v>NA</v>
      </c>
      <c r="AX10" s="367" t="str">
        <f ca="1">PAYALL</f>
        <v>NA</v>
      </c>
    </row>
    <row r="11" spans="2:78" ht="15.95" customHeight="1">
      <c r="B11" s="59"/>
      <c r="C11" s="59"/>
      <c r="D11" s="59"/>
      <c r="E11" s="59"/>
      <c r="F11" s="59"/>
      <c r="G11" s="59"/>
      <c r="H11" s="492"/>
      <c r="I11" s="492"/>
      <c r="J11" s="492"/>
      <c r="K11" s="492"/>
      <c r="L11" s="492"/>
      <c r="M11" s="492"/>
      <c r="N11" s="492"/>
      <c r="O11" s="492"/>
      <c r="P11" s="59"/>
      <c r="Q11" s="59"/>
      <c r="R11" s="836" t="s">
        <v>68</v>
      </c>
      <c r="S11" s="836"/>
      <c r="T11" s="836"/>
      <c r="U11" s="836"/>
      <c r="V11" s="836" t="s">
        <v>69</v>
      </c>
      <c r="W11" s="836"/>
      <c r="X11" s="836"/>
      <c r="Y11" s="836"/>
      <c r="Z11" s="836" t="s">
        <v>70</v>
      </c>
      <c r="AA11" s="836"/>
      <c r="AB11" s="836"/>
      <c r="AC11" s="836"/>
      <c r="AD11" s="59"/>
      <c r="AE11" s="59"/>
      <c r="AF11" s="901" t="s">
        <v>2101</v>
      </c>
      <c r="AG11" s="901"/>
      <c r="AH11" s="901"/>
      <c r="AI11" s="901"/>
      <c r="AJ11" s="59"/>
      <c r="AK11" s="59"/>
      <c r="AL11" s="59"/>
      <c r="AM11" s="59"/>
      <c r="AN11" s="59"/>
      <c r="AO11" s="59"/>
      <c r="AP11" s="59"/>
      <c r="AQ11" s="59"/>
      <c r="AR11" s="59"/>
    </row>
    <row r="12" spans="2:78" ht="15.95" customHeight="1">
      <c r="B12" s="59"/>
      <c r="C12" s="59"/>
      <c r="D12" s="59"/>
      <c r="E12" s="59"/>
      <c r="F12" s="59"/>
      <c r="G12" s="59"/>
      <c r="H12" s="492"/>
      <c r="I12" s="492"/>
      <c r="J12" s="492"/>
      <c r="K12" s="492"/>
      <c r="L12" s="492"/>
      <c r="M12" s="492"/>
      <c r="N12" s="492"/>
      <c r="O12" s="492"/>
      <c r="P12" s="59"/>
      <c r="Q12" s="59"/>
      <c r="R12" s="880">
        <f>SUM(AO16:AQ35)</f>
        <v>0</v>
      </c>
      <c r="S12" s="880"/>
      <c r="T12" s="880"/>
      <c r="U12" s="880"/>
      <c r="V12" s="880">
        <f>AU200</f>
        <v>0</v>
      </c>
      <c r="W12" s="880"/>
      <c r="X12" s="880"/>
      <c r="Y12" s="880"/>
      <c r="Z12" s="881">
        <f ca="1">SUMIF(AO16:AQ113,"&gt;0",AK16:AN113)</f>
        <v>0</v>
      </c>
      <c r="AA12" s="881"/>
      <c r="AB12" s="881"/>
      <c r="AC12" s="881"/>
      <c r="AD12" s="59"/>
      <c r="AE12" s="59"/>
      <c r="AF12" s="902">
        <f ca="1">IFERROR(IF(AO54="",0,AO54),0)</f>
        <v>0</v>
      </c>
      <c r="AG12" s="902"/>
      <c r="AH12" s="902"/>
      <c r="AI12" s="902"/>
      <c r="AJ12" s="59"/>
      <c r="AK12" s="59"/>
      <c r="AL12" s="59"/>
      <c r="AM12" s="59"/>
      <c r="AN12" s="59"/>
      <c r="AO12" s="59"/>
      <c r="AP12" s="59"/>
      <c r="AQ12" s="59"/>
      <c r="AR12" s="59"/>
    </row>
    <row r="13" spans="2:78" ht="15.95" customHeight="1">
      <c r="B13" s="59"/>
      <c r="C13" s="59"/>
      <c r="D13" s="59"/>
      <c r="E13" s="59"/>
      <c r="F13" s="59"/>
      <c r="G13" s="59"/>
      <c r="H13" s="59"/>
      <c r="I13" s="59"/>
      <c r="J13" s="59"/>
      <c r="K13" s="59"/>
      <c r="L13" s="59"/>
      <c r="M13" s="59"/>
      <c r="N13" s="59"/>
      <c r="O13" s="59"/>
      <c r="P13" s="59"/>
      <c r="Q13" s="59"/>
      <c r="R13" s="880"/>
      <c r="S13" s="880"/>
      <c r="T13" s="880"/>
      <c r="U13" s="880"/>
      <c r="V13" s="880"/>
      <c r="W13" s="880"/>
      <c r="X13" s="880"/>
      <c r="Y13" s="880"/>
      <c r="Z13" s="881"/>
      <c r="AA13" s="881"/>
      <c r="AB13" s="881"/>
      <c r="AC13" s="881"/>
      <c r="AD13" s="59"/>
      <c r="AE13" s="59"/>
      <c r="AF13" s="902"/>
      <c r="AG13" s="902"/>
      <c r="AH13" s="902"/>
      <c r="AI13" s="902"/>
      <c r="AJ13" s="59"/>
      <c r="AK13" s="59"/>
      <c r="AL13" s="59"/>
      <c r="AM13" s="59"/>
      <c r="AN13" s="59"/>
      <c r="AO13" s="59"/>
      <c r="AP13" s="59"/>
      <c r="AQ13" s="59"/>
      <c r="AR13" s="59"/>
    </row>
    <row r="14" spans="2:78" ht="15.95" customHeight="1">
      <c r="B14" s="59"/>
      <c r="C14" s="809" t="s">
        <v>99</v>
      </c>
      <c r="D14" s="809"/>
      <c r="E14" s="809"/>
      <c r="F14" s="809"/>
      <c r="G14" s="809"/>
      <c r="H14" s="809"/>
      <c r="I14" s="809"/>
      <c r="J14" s="976" t="s">
        <v>1641</v>
      </c>
      <c r="K14" s="976"/>
      <c r="L14" s="976"/>
      <c r="M14" s="976"/>
      <c r="N14" s="976"/>
      <c r="O14" s="976"/>
      <c r="P14" s="976"/>
      <c r="Q14" s="976"/>
      <c r="R14" s="976"/>
      <c r="S14" s="976"/>
      <c r="T14" s="976"/>
      <c r="U14" s="976"/>
      <c r="V14" s="701" t="s">
        <v>2209</v>
      </c>
      <c r="W14" s="701"/>
      <c r="X14" s="809" t="s">
        <v>1582</v>
      </c>
      <c r="Y14" s="809"/>
      <c r="Z14" s="809"/>
      <c r="AA14" s="926" t="s">
        <v>1583</v>
      </c>
      <c r="AB14" s="926"/>
      <c r="AC14" s="926"/>
      <c r="AD14" s="926"/>
      <c r="AE14" s="976" t="s">
        <v>1584</v>
      </c>
      <c r="AF14" s="976"/>
      <c r="AG14" s="976"/>
      <c r="AH14" s="976"/>
      <c r="AI14" s="809" t="s">
        <v>93</v>
      </c>
      <c r="AJ14" s="809"/>
      <c r="AK14" s="809" t="s">
        <v>92</v>
      </c>
      <c r="AL14" s="809"/>
      <c r="AM14" s="809"/>
      <c r="AN14" s="809"/>
      <c r="AO14" s="809" t="s">
        <v>1585</v>
      </c>
      <c r="AP14" s="809"/>
      <c r="AQ14" s="809"/>
      <c r="AS14"/>
      <c r="AU14" s="809" t="s">
        <v>196</v>
      </c>
      <c r="AV14" s="809" t="s">
        <v>197</v>
      </c>
      <c r="AW14" s="809" t="s">
        <v>1580</v>
      </c>
      <c r="AX14" s="809" t="s">
        <v>1223</v>
      </c>
      <c r="AY14" s="809" t="s">
        <v>2201</v>
      </c>
      <c r="BC14" s="809" t="s">
        <v>489</v>
      </c>
      <c r="BE14" s="809" t="s">
        <v>2016</v>
      </c>
    </row>
    <row r="15" spans="2:78" ht="15.95" customHeight="1" thickBot="1">
      <c r="B15" s="59"/>
      <c r="C15" s="810"/>
      <c r="D15" s="810"/>
      <c r="E15" s="810"/>
      <c r="F15" s="810"/>
      <c r="G15" s="810"/>
      <c r="H15" s="810"/>
      <c r="I15" s="810"/>
      <c r="J15" s="978" t="s">
        <v>1642</v>
      </c>
      <c r="K15" s="978"/>
      <c r="L15" s="978" t="s">
        <v>1328</v>
      </c>
      <c r="M15" s="978"/>
      <c r="N15" s="979" t="s">
        <v>1586</v>
      </c>
      <c r="O15" s="979"/>
      <c r="P15" s="978" t="s">
        <v>1642</v>
      </c>
      <c r="Q15" s="978"/>
      <c r="R15" s="978" t="s">
        <v>1328</v>
      </c>
      <c r="S15" s="978"/>
      <c r="T15" s="979" t="s">
        <v>1586</v>
      </c>
      <c r="U15" s="979"/>
      <c r="V15" s="982"/>
      <c r="W15" s="982"/>
      <c r="X15" s="810"/>
      <c r="Y15" s="810"/>
      <c r="Z15" s="810"/>
      <c r="AA15" s="927" t="s">
        <v>110</v>
      </c>
      <c r="AB15" s="927"/>
      <c r="AC15" s="927" t="s">
        <v>111</v>
      </c>
      <c r="AD15" s="927"/>
      <c r="AE15" s="977"/>
      <c r="AF15" s="977"/>
      <c r="AG15" s="977"/>
      <c r="AH15" s="977"/>
      <c r="AI15" s="810"/>
      <c r="AJ15" s="810"/>
      <c r="AK15" s="810"/>
      <c r="AL15" s="810"/>
      <c r="AM15" s="810"/>
      <c r="AN15" s="810"/>
      <c r="AO15" s="810"/>
      <c r="AP15" s="810"/>
      <c r="AQ15" s="810"/>
      <c r="AS15"/>
      <c r="AU15" s="810"/>
      <c r="AV15" s="810"/>
      <c r="AW15" s="810"/>
      <c r="AX15" s="810"/>
      <c r="AY15" s="810"/>
      <c r="BC15" s="810"/>
      <c r="BE15" s="810"/>
    </row>
    <row r="16" spans="2:78" ht="15.95" customHeight="1">
      <c r="B16" s="835">
        <v>1</v>
      </c>
      <c r="C16" s="903"/>
      <c r="D16" s="904"/>
      <c r="E16" s="904"/>
      <c r="F16" s="904"/>
      <c r="G16" s="904"/>
      <c r="H16" s="904"/>
      <c r="I16" s="904"/>
      <c r="J16" s="953" t="str">
        <f>IF(C16="","",INDEX(PMEHVAC[Base Desc 1],MATCH(C16,PMEHVAC[Eff Desc 1],0)))</f>
        <v/>
      </c>
      <c r="K16" s="954"/>
      <c r="L16" s="971" t="str">
        <f>IF(C16="","",INDEX(PMEHVAC[Base Desc 2],MATCH(C16,PMEHVAC[Eff Desc 1],0)))</f>
        <v/>
      </c>
      <c r="M16" s="972"/>
      <c r="N16" s="967" t="str">
        <f t="shared" ref="N16" si="0">IF(ISNUMBER(SEARCH("Thermostat",C16)),"1","")</f>
        <v/>
      </c>
      <c r="O16" s="968"/>
      <c r="P16" s="953" t="str">
        <f>IF(C16="","",INDEX(PMEHVAC[Base Watt],MATCH(C16,PMEHVAC[Eff Desc 1],0)))</f>
        <v/>
      </c>
      <c r="Q16" s="954"/>
      <c r="R16" s="953" t="str">
        <f>IF(C16="","",INDEX(PMEHVAC[Base Watt 2],MATCH(C16,PMEHVAC[Eff Desc 1],0)))</f>
        <v/>
      </c>
      <c r="S16" s="954"/>
      <c r="T16" s="967" t="str">
        <f t="shared" ref="T16" si="1">IF(ISNUMBER(SEARCH("Thermostat",C16)),"1","")</f>
        <v/>
      </c>
      <c r="U16" s="968"/>
      <c r="V16" s="851"/>
      <c r="W16" s="852"/>
      <c r="X16" s="837"/>
      <c r="Y16" s="838"/>
      <c r="Z16" s="839"/>
      <c r="AA16" s="951"/>
      <c r="AB16" s="943"/>
      <c r="AC16" s="943"/>
      <c r="AD16" s="944"/>
      <c r="AE16" s="947" t="str">
        <f>IF(C16="","",INDEX(PMEHVAC[Unit of Measure],MATCH(C16,PMEHVAC[Eff Desc 1],0)))</f>
        <v/>
      </c>
      <c r="AF16" s="947"/>
      <c r="AG16" s="947"/>
      <c r="AH16" s="948"/>
      <c r="AI16" s="923" t="str">
        <f>IF(OR(C16="",N16="",T16="",V16="",X16="",AA16="",AC16=""),"",INDEX(PMEHVAC[Inc Rate Unit],MATCH(C16,PMEHVAC[Eff Desc 1],0)))</f>
        <v/>
      </c>
      <c r="AJ16" s="924"/>
      <c r="AK16" s="983" t="str">
        <f>IFERROR(IF(OR(C16="",N16="",T16="",V16="",X16="",AA16="",AC16="",),"",IF(AW16&lt;=0,0,AW16)),"")</f>
        <v/>
      </c>
      <c r="AL16" s="984"/>
      <c r="AM16" s="984"/>
      <c r="AN16" s="985"/>
      <c r="AO16" s="957" t="str">
        <f>IFERROR(IF(OR(C16="",N16="",V16="",X16="",T16="",AA16="",AC16=""),"",IF(BC16&lt;&gt;"",BC16,ROUND(IF(AK16&lt;=0,0,IF(AE16="Thermostat",MIN(AU16*1,AI16*V16),IF(AE16="$/0.1 kW/ton 
improvement/ton",MIN(AU16*1,(L16-N16)*10*V16*AI16),MIN(AU16*1,(N16-L16)*V16*AI16)))),2))),"")</f>
        <v/>
      </c>
      <c r="AP16" s="958"/>
      <c r="AQ16" s="959"/>
      <c r="AR16" s="59"/>
      <c r="AU16" s="813" t="str">
        <f>IF(OR(C16="",N16="",T16="",V16="",X16="",AA16="",AE16="",AC16=""),"",IF(AK16="","",ROUND((AA16+AC16),2)))</f>
        <v/>
      </c>
      <c r="AV16" s="928" t="str">
        <f>IF(OR(C16="",N16="",T16="",V16="",X16="",AA16="",AC16="",AE16=""),"",ROUND(IF(ISNUMBER(SEARCH("Unit",AE16)),(V16/12)*(1/((-0.02*N16^2)+(1.12*N16)))*0.177*0.08*0.457,IF(ISNUMBER(SEARCH("kW",AE16)),V16*((R16)-(T16))*INDEX(ENDUSEALL[Lighting Coincidence Factor],MATCH(AX16,ENDUSEALL[End Use],0)),
IF(ISNUMBER(SEARCH("Thermostat",AE16)),INDEX(PMEHVAC[Savings per Unit kW],MATCH(C16,PMEHVAC[Eff Desc 1],0))*V16,
IF(ISNUMBER(SEARCH("IPLV",AE16)),V16*((12/T16)-(12/R16))*INDEX(ENDUSEALL[Lighting Coincidence Factor],MATCH(AX16,ENDUSEALL[End Use],0)),
(V16*12)*((1/L16)-(1/N16))*INDEX(ENDUSEALL[Lighting Coincidence Factor],MATCH(AX16,ENDUSEALL[End Use],0)))))),3))</f>
        <v/>
      </c>
      <c r="AW16" s="980" t="str">
        <f>IFERROR(ROUND(
IF(ISNUMBER(SEARCH("Thermostat",C16)),INDEX(PMEHVAC[Savings per Unit kWh],MATCH(C16,PMEHVAC[Eff Desc 1],0)),
IF(ISNUMBER(SEARCH("Water Cooled Chiller - Centrifugal",C16)),V16*((L16*1.143)-((1/(0.401/N16+0.383/N16+0.179/N16+0.037/N16))))*INDEX(PMEHVAC[EFLHcool],MATCH(C16,PMEHVAC[Eff Desc 1],0)),
IF(ISNUMBER(SEARCH("Water Cooled Chiller - Screw",C16)),V16*((L16*1.178)-((1/(0.401/N16+0.383/N16+0.179/N16+0.037/N16))))*INDEX(PMEHVAC[EFLHcool],MATCH(C16,PMEHVAC[Eff Desc 1],0)),
IF(ISNUMBER(SEARCH("Air Cooled Chiller",C16)),V16*(12/(L16*0.86)-12/(0.401*N16+0.383*N16+0.179*N16+0.037*N16))*INDEX(PMEHVAC[EFLHcool],MATCH(C16,PMEHVAC[Eff Desc 1],0)),
IF(ISNUMBER(SEARCH("DX",C16)),(V16*12)*((1/L16)-(1/N16))*INDEX(PMEHVAC[EFLHcool],MATCH(C16,PMEHVAC[Eff Desc 1],0)),
IF(ISNUMBER(SEARCH("PTAC",C16)),(V16*12)*((1/L16)-(1/N16))*INDEX(PMEHVAC[EFLHcool],MATCH(C16,PMEHVAC[Eff Desc 1],0)),
IF(ISNUMBER(SEARCH("PTHP",C16)),((V16*12)*((1/L16)-(1/N16))*INDEX(PMEHVAC[EFLHcool],MATCH(C16,PMEHVAC[Eff Desc 1],0)))+(((V16*12)/3.412)*((1/R16)-(1/T16))*INDEX(PMEHVAC[EFLHheat],MATCH(C16,PMEHVAC[Eff Desc 1],0))),
IF(OR(ISNUMBER(SEARCH("ASHP",C16)),ISNUMBER(SEARCH("WSHP",C16)),ISNUMBER(SEARCH("Water Source",C16)),ISNUMBER(SEARCH("GSHP",C16))),((((V16*12*INDEX(PMEHVAC[EFLHcool],MATCH(C16,PMEHVAC[Eff Desc 1],0)))*(1/L16)))-(V16*12*INDEX(PMEHVAC[EFLHcool],MATCH(C16,PMEHVAC[Eff Desc 1],0))*(1/N16)))+
IF(P16="HSPF2",(((V16*12*INDEX(PMEHVAC[EFLHheat],MATCH(C16,PMEHVAC[Eff Desc 1],0)))*(1/(R16*0.91))))-(((V16*12*INDEX(PMEHVAC[EFLHheat],MATCH(C16,PMEHVAC[Eff Desc 1],0)))*(1/(T16*0.91)))),
(((V16*12000*INDEX(PMEHVAC[EFLHheat],MATCH(C16,PMEHVAC[Eff Desc 1],0)))/3412*(1/R16-1/T16)))),
"")))))))),0),"")</f>
        <v/>
      </c>
      <c r="AX16" s="928" t="str">
        <f>IF(OR(C16="",N16="",T16="",V16="",X16="",AA16="",AE16="",AC16=""),"",INDEX(PMEHVAC[End Use Category],MATCH(C16,PMEHVAC[Eff Desc 1],0)))</f>
        <v/>
      </c>
      <c r="AY16" s="906" t="str">
        <f>IF(OR(C16="",N16="",T16="",V16="",X16="",AA16="",AE16="",AC16=""),"",INDEX(PMEHVAC[Therms],MATCH(C16,PMEHVAC[Eff Desc 1],0)))</f>
        <v/>
      </c>
      <c r="AZ16"/>
      <c r="BA16"/>
      <c r="BB16"/>
      <c r="BC16" s="830" t="str">
        <f>IFERROR(IF(OR(C16="",N16="",V16="",X16="",T16="",AA16="",AC16=""),"",IF(OR(ISBLANK(M02S02F26),ISBLANK(M02S02F32),ISBLANK(M02S02F46)),MEASUREBLDG,IF(ISNUMBER(SEARCH("Thermostat",C16)),"",
IF(ISNUMBER(SEARCH("Water Cooled",C16)),IF(N16&gt;=L16,"Must Improve Efficiency",""),IF(N16&lt;=L16,"Must Improve Efficiency",""))))),"")</f>
        <v/>
      </c>
      <c r="BD16"/>
      <c r="BE16" s="811" t="str">
        <f ca="1">IF(OR(N16="",T16="",C16="",V16="",X16="",AA16="",AE16="",AC16=""),"",IF('M01-S01'!$V$82&lt;TODAY(),0,IF(M02S02F46="Gas Only",0,IF(OR(AK16="",AK16&lt;0,AU16&lt;=AO16),0,MIN(AU16-AO16,ROUND(AO16*0.2,2))))))</f>
        <v/>
      </c>
      <c r="BF16"/>
      <c r="BG16"/>
      <c r="BH16"/>
      <c r="BI16"/>
      <c r="BJ16"/>
      <c r="BK16"/>
      <c r="BL16"/>
      <c r="BM16"/>
      <c r="BN16"/>
      <c r="BO16"/>
      <c r="BP16"/>
      <c r="BQ16"/>
      <c r="BR16"/>
      <c r="BS16"/>
      <c r="BT16"/>
      <c r="BU16"/>
      <c r="BV16"/>
      <c r="BW16"/>
      <c r="BX16"/>
      <c r="BY16"/>
      <c r="BZ16"/>
    </row>
    <row r="17" spans="2:59" customFormat="1" ht="15.95" customHeight="1">
      <c r="B17" s="835"/>
      <c r="C17" s="840"/>
      <c r="D17" s="841"/>
      <c r="E17" s="841"/>
      <c r="F17" s="841"/>
      <c r="G17" s="841"/>
      <c r="H17" s="841"/>
      <c r="I17" s="841"/>
      <c r="J17" s="955"/>
      <c r="K17" s="956"/>
      <c r="L17" s="973"/>
      <c r="M17" s="974"/>
      <c r="N17" s="969"/>
      <c r="O17" s="970"/>
      <c r="P17" s="955"/>
      <c r="Q17" s="956"/>
      <c r="R17" s="955"/>
      <c r="S17" s="956"/>
      <c r="T17" s="969"/>
      <c r="U17" s="970"/>
      <c r="V17" s="853"/>
      <c r="W17" s="854"/>
      <c r="X17" s="840"/>
      <c r="Y17" s="841"/>
      <c r="Z17" s="842"/>
      <c r="AA17" s="952"/>
      <c r="AB17" s="945"/>
      <c r="AC17" s="945"/>
      <c r="AD17" s="946"/>
      <c r="AE17" s="949"/>
      <c r="AF17" s="949"/>
      <c r="AG17" s="949"/>
      <c r="AH17" s="950"/>
      <c r="AI17" s="925"/>
      <c r="AJ17" s="870"/>
      <c r="AK17" s="912"/>
      <c r="AL17" s="913"/>
      <c r="AM17" s="913"/>
      <c r="AN17" s="942"/>
      <c r="AO17" s="960"/>
      <c r="AP17" s="961"/>
      <c r="AQ17" s="962"/>
      <c r="AR17" s="59"/>
      <c r="AS17" s="59"/>
      <c r="AT17" s="59"/>
      <c r="AU17" s="814"/>
      <c r="AV17" s="907"/>
      <c r="AW17" s="981"/>
      <c r="AX17" s="907"/>
      <c r="AY17" s="907"/>
      <c r="BC17" s="831"/>
      <c r="BE17" s="812"/>
    </row>
    <row r="18" spans="2:59" customFormat="1" ht="15.95" customHeight="1">
      <c r="B18" s="834">
        <v>2</v>
      </c>
      <c r="C18" s="871"/>
      <c r="D18" s="872"/>
      <c r="E18" s="872"/>
      <c r="F18" s="872"/>
      <c r="G18" s="872"/>
      <c r="H18" s="872"/>
      <c r="I18" s="872"/>
      <c r="J18" s="953" t="str">
        <f>IF(C18="","",INDEX(PMEHVAC[Base Desc 1],MATCH(C18,PMEHVAC[Eff Desc 1],0)))</f>
        <v/>
      </c>
      <c r="K18" s="954"/>
      <c r="L18" s="971" t="str">
        <f>IF(C18="","",INDEX(PMEHVAC[Base Desc 2],MATCH(C18,PMEHVAC[Eff Desc 1],0)))</f>
        <v/>
      </c>
      <c r="M18" s="972"/>
      <c r="N18" s="967" t="str">
        <f t="shared" ref="N18" si="2">IF(ISNUMBER(SEARCH("Thermostat",C18)),"1","")</f>
        <v/>
      </c>
      <c r="O18" s="968"/>
      <c r="P18" s="953" t="str">
        <f>IF(C18="","",INDEX(PMEHVAC[Base Watt],MATCH(C18,PMEHVAC[Eff Desc 1],0)))</f>
        <v/>
      </c>
      <c r="Q18" s="954"/>
      <c r="R18" s="953" t="str">
        <f>IF(C18="","",INDEX(PMEHVAC[Base Watt 2],MATCH(C18,PMEHVAC[Eff Desc 1],0)))</f>
        <v/>
      </c>
      <c r="S18" s="954"/>
      <c r="T18" s="967" t="str">
        <f t="shared" ref="T18" si="3">IF(ISNUMBER(SEARCH("Thermostat",C18)),"1","")</f>
        <v/>
      </c>
      <c r="U18" s="968"/>
      <c r="V18" s="851"/>
      <c r="W18" s="852"/>
      <c r="X18" s="837"/>
      <c r="Y18" s="838"/>
      <c r="Z18" s="839"/>
      <c r="AA18" s="951"/>
      <c r="AB18" s="943"/>
      <c r="AC18" s="943"/>
      <c r="AD18" s="944"/>
      <c r="AE18" s="947" t="str">
        <f>IF(C18="","",INDEX(PMEHVAC[Unit of Measure],MATCH(C18,PMEHVAC[Eff Desc 1],0)))</f>
        <v/>
      </c>
      <c r="AF18" s="947"/>
      <c r="AG18" s="947"/>
      <c r="AH18" s="948"/>
      <c r="AI18" s="923" t="str">
        <f>IF(OR(C18="",N18="",T18="",V18="",X18="",AA18="",AC18=""),"",INDEX(PMEHVAC[Inc Rate Unit],MATCH(C18,PMEHVAC[Eff Desc 1],0)))</f>
        <v/>
      </c>
      <c r="AJ18" s="924"/>
      <c r="AK18" s="939" t="str">
        <f>IFERROR(IF(OR(C18="",N18="",T18="",V18="",X18="",AA18="",AC18="",),"",IF(AW18&lt;=0,0,AW18)),"")</f>
        <v/>
      </c>
      <c r="AL18" s="940"/>
      <c r="AM18" s="940"/>
      <c r="AN18" s="941"/>
      <c r="AO18" s="957" t="str">
        <f t="shared" ref="AO18" si="4">IFERROR(IF(OR(C18="",N18="",V18="",X18="",T18="",AA18="",AC18=""),"",IF(BC18&lt;&gt;"",BC18,ROUND(IF(AK18&lt;=0,0,IF(AE18="Thermostat",MIN(AU18*1,AI18*V18),IF(AE18="$/0.1 kW/ton 
improvement/ton",MIN(AU18*1,(L18-N18)*10*V18*AI18),MIN(AU18*1,(N18-L18)*V18*AI18)))),2))),"")</f>
        <v/>
      </c>
      <c r="AP18" s="958"/>
      <c r="AQ18" s="959"/>
      <c r="AR18" s="59"/>
      <c r="AS18" s="59"/>
      <c r="AT18" s="59"/>
      <c r="AU18" s="813" t="str">
        <f t="shared" ref="AU18" si="5">IF(OR(C18="",N18="",T18="",V18="",X18="",AA18="",AE18="",AC18=""),"",IF(AK18="","",ROUND((AA18+AC18),2)))</f>
        <v/>
      </c>
      <c r="AV18" s="928" t="str">
        <f>IF(OR(C18="",N18="",T18="",V18="",X18="",AA18="",AC18="",AE18=""),"",ROUND(IF(ISNUMBER(SEARCH("Unit",AE18)),(V18/12)*(1/((-0.02*N18^2)+(1.12*N18)))*0.177*0.08*0.457,IF(ISNUMBER(SEARCH("kW",AE18)),V18*((R18)-(T18))*INDEX(ENDUSEALL[Lighting Coincidence Factor],MATCH(AX18,ENDUSEALL[End Use],0)),
IF(ISNUMBER(SEARCH("Thermostat",AE18)),INDEX(PMEHVAC[Savings per Unit kW],MATCH(C18,PMEHVAC[Eff Desc 1],0))*V18,
IF(ISNUMBER(SEARCH("IPLV",AE18)),V18*((R18)-(T18))*INDEX(ENDUSEALL[Lighting Coincidence Factor],MATCH(AX18,ENDUSEALL[End Use],0)),
(V18*12)*((1/L18)-(1/N18))*INDEX(ENDUSEALL[Lighting Coincidence Factor],MATCH(AX18,ENDUSEALL[End Use],0)))))),3))</f>
        <v/>
      </c>
      <c r="AW18" s="980" t="str">
        <f>IFERROR(ROUND(
IF(ISNUMBER(SEARCH("Thermostat",C18)),INDEX(PMEHVAC[Savings per Unit kWh],MATCH(C18,PMEHVAC[Eff Desc 1],0)),
IF(ISNUMBER(SEARCH("Water Cooled Chiller - Centrifugal",C18)),V18*((L18*1.143)-((1/(0.401/N18+0.383/N18+0.179/N18+0.037/N18))))*INDEX(PMEHVAC[EFLHcool],MATCH(C18,PMEHVAC[Eff Desc 1],0)),
IF(ISNUMBER(SEARCH("Water Cooled Chiller - Screw",C18)),V18*((L18*1.178)-((1/(0.401/N18+0.383/N18+0.179/N18+0.037/N18))))*INDEX(PMEHVAC[EFLHcool],MATCH(C18,PMEHVAC[Eff Desc 1],0)),
IF(ISNUMBER(SEARCH("Air Cooled Chiller",C18)),V18*(12/(L18*0.86)-12/(0.401*N18+0.383*N18+0.179*N18+0.037*N18))*INDEX(PMEHVAC[EFLHcool],MATCH(C18,PMEHVAC[Eff Desc 1],0)),
IF(ISNUMBER(SEARCH("DX",C18)),(V18*12)*((1/L18)-(1/N18))*INDEX(PMEHVAC[EFLHcool],MATCH(C18,PMEHVAC[Eff Desc 1],0)),
IF(ISNUMBER(SEARCH("PTAC",C18)),(V18*12)*((1/L18)-(1/N18))*INDEX(PMEHVAC[EFLHcool],MATCH(C18,PMEHVAC[Eff Desc 1],0)),
IF(ISNUMBER(SEARCH("PTHP",C18)),((V18*12)*((1/L18)-(1/N18))*INDEX(PMEHVAC[EFLHcool],MATCH(C18,PMEHVAC[Eff Desc 1],0)))+(((V18*12)/3.412)*((1/R18)-(1/T18))*INDEX(PMEHVAC[EFLHheat],MATCH(C18,PMEHVAC[Eff Desc 1],0))),
IF(OR(ISNUMBER(SEARCH("ASHP",C18)),ISNUMBER(SEARCH("WSHP",C18)),ISNUMBER(SEARCH("Water Source",C18)),ISNUMBER(SEARCH("GSHP",C18))),((((V18*12*INDEX(PMEHVAC[EFLHcool],MATCH(C18,PMEHVAC[Eff Desc 1],0)))*(1/L18)))-(V18*12*INDEX(PMEHVAC[EFLHcool],MATCH(C18,PMEHVAC[Eff Desc 1],0))*(1/N18)))+
IF(P18="HSPF2",(((V18*12*INDEX(PMEHVAC[EFLHheat],MATCH(C18,PMEHVAC[Eff Desc 1],0)))*(1/(R18*0.91))))-(((V18*12*INDEX(PMEHVAC[EFLHheat],MATCH(C18,PMEHVAC[Eff Desc 1],0)))*(1/(T18*0.91)))),
(((V18*12000*INDEX(PMEHVAC[EFLHheat],MATCH(C18,PMEHVAC[Eff Desc 1],0)))/3412*(1/R18-1/T18)))),
"")))))))),0),"")</f>
        <v/>
      </c>
      <c r="AX18" s="928" t="str">
        <f>IF(OR(C18="",N18="",T18="",V18="",X18="",AA18="",AE18="",AC18=""),"",INDEX(PMEHVAC[End Use Category],MATCH(C18,PMEHVAC[Eff Desc 1],0)))</f>
        <v/>
      </c>
      <c r="AY18" s="906" t="str">
        <f>IF(OR(C18="",N18="",T18="",V18="",X18="",AA18="",AE18="",AC18=""),"",INDEX(PMEHVAC[Therms],MATCH(C18,PMEHVAC[Eff Desc 1],0)))</f>
        <v/>
      </c>
      <c r="BC18" s="897" t="str">
        <f>IFERROR(IF(OR(C18="",N18="",V18="",X18="",T18="",AA18="",AC18=""),"",IF(OR(ISBLANK(M02S02F26),ISBLANK(M02S02F32),ISBLANK(M02S02F46)),MEASUREBLDG,IF(ISNUMBER(SEARCH("Thermostat",C18)),"",
IF(ISNUMBER(SEARCH("Water Cooled",C18)),IF(N18&gt;=L18,"Must Improve Efficiency",""),IF(N18&lt;=L18,"Must Improve Efficiency",""))))),"")</f>
        <v/>
      </c>
      <c r="BE18" s="811" t="str">
        <f ca="1">IF(OR(N18="",T18="",C18="",V18="",X18="",AA18="",AE18="",AC18=""),"",IF('M01-S01'!$V$82&lt;TODAY(),0,IF(M02S02F46="Gas Only",0,IF(OR(AK18="",AK18&lt;0,AU18&lt;=AO18),0,MIN(AU18-AO18,ROUND(AO18*0.2,2))))))</f>
        <v/>
      </c>
    </row>
    <row r="19" spans="2:59" customFormat="1" ht="15.95" customHeight="1">
      <c r="B19" s="834"/>
      <c r="C19" s="840"/>
      <c r="D19" s="841"/>
      <c r="E19" s="841"/>
      <c r="F19" s="841"/>
      <c r="G19" s="841"/>
      <c r="H19" s="841"/>
      <c r="I19" s="841"/>
      <c r="J19" s="955"/>
      <c r="K19" s="956"/>
      <c r="L19" s="973"/>
      <c r="M19" s="974"/>
      <c r="N19" s="969"/>
      <c r="O19" s="970"/>
      <c r="P19" s="955"/>
      <c r="Q19" s="956"/>
      <c r="R19" s="955"/>
      <c r="S19" s="956"/>
      <c r="T19" s="969"/>
      <c r="U19" s="970"/>
      <c r="V19" s="853"/>
      <c r="W19" s="854"/>
      <c r="X19" s="840"/>
      <c r="Y19" s="841"/>
      <c r="Z19" s="842"/>
      <c r="AA19" s="952"/>
      <c r="AB19" s="945"/>
      <c r="AC19" s="945"/>
      <c r="AD19" s="946"/>
      <c r="AE19" s="949"/>
      <c r="AF19" s="949"/>
      <c r="AG19" s="949"/>
      <c r="AH19" s="950"/>
      <c r="AI19" s="925"/>
      <c r="AJ19" s="870"/>
      <c r="AK19" s="912"/>
      <c r="AL19" s="913"/>
      <c r="AM19" s="913"/>
      <c r="AN19" s="942"/>
      <c r="AO19" s="960"/>
      <c r="AP19" s="961"/>
      <c r="AQ19" s="962"/>
      <c r="AR19" s="59"/>
      <c r="AS19" s="59"/>
      <c r="AT19" s="59"/>
      <c r="AU19" s="814"/>
      <c r="AV19" s="907"/>
      <c r="AW19" s="981"/>
      <c r="AX19" s="907"/>
      <c r="AY19" s="907"/>
      <c r="BC19" s="831"/>
      <c r="BE19" s="812"/>
    </row>
    <row r="20" spans="2:59" customFormat="1" ht="15.95" customHeight="1">
      <c r="B20" s="834">
        <v>3</v>
      </c>
      <c r="C20" s="871"/>
      <c r="D20" s="872"/>
      <c r="E20" s="872"/>
      <c r="F20" s="872"/>
      <c r="G20" s="872"/>
      <c r="H20" s="872"/>
      <c r="I20" s="872"/>
      <c r="J20" s="953" t="str">
        <f>IF(C20="","",INDEX(PMEHVAC[Base Desc 1],MATCH(C20,PMEHVAC[Eff Desc 1],0)))</f>
        <v/>
      </c>
      <c r="K20" s="954"/>
      <c r="L20" s="971" t="str">
        <f>IF(C20="","",INDEX(PMEHVAC[Base Desc 2],MATCH(C20,PMEHVAC[Eff Desc 1],0)))</f>
        <v/>
      </c>
      <c r="M20" s="972"/>
      <c r="N20" s="967" t="str">
        <f t="shared" ref="N20" si="6">IF(ISNUMBER(SEARCH("Thermostat",C20)),"1","")</f>
        <v/>
      </c>
      <c r="O20" s="968"/>
      <c r="P20" s="953" t="str">
        <f>IF(C20="","",INDEX(PMEHVAC[Base Watt],MATCH(C20,PMEHVAC[Eff Desc 1],0)))</f>
        <v/>
      </c>
      <c r="Q20" s="954"/>
      <c r="R20" s="953" t="str">
        <f>IF(C20="","",INDEX(PMEHVAC[Base Watt 2],MATCH(C20,PMEHVAC[Eff Desc 1],0)))</f>
        <v/>
      </c>
      <c r="S20" s="954"/>
      <c r="T20" s="967" t="str">
        <f t="shared" ref="T20" si="7">IF(ISNUMBER(SEARCH("Thermostat",C20)),"1","")</f>
        <v/>
      </c>
      <c r="U20" s="968"/>
      <c r="V20" s="851"/>
      <c r="W20" s="852"/>
      <c r="X20" s="837"/>
      <c r="Y20" s="838"/>
      <c r="Z20" s="839"/>
      <c r="AA20" s="951"/>
      <c r="AB20" s="943"/>
      <c r="AC20" s="943"/>
      <c r="AD20" s="944"/>
      <c r="AE20" s="947" t="str">
        <f>IF(C20="","",INDEX(PMEHVAC[Unit of Measure],MATCH(C20,PMEHVAC[Eff Desc 1],0)))</f>
        <v/>
      </c>
      <c r="AF20" s="947"/>
      <c r="AG20" s="947"/>
      <c r="AH20" s="948"/>
      <c r="AI20" s="923" t="str">
        <f>IF(OR(C20="",N20="",T20="",V20="",X20="",AA20="",AC20=""),"",INDEX(PMEHVAC[Inc Rate Unit],MATCH(C20,PMEHVAC[Eff Desc 1],0)))</f>
        <v/>
      </c>
      <c r="AJ20" s="924"/>
      <c r="AK20" s="910" t="str">
        <f t="shared" ref="AK20" si="8">IFERROR(IF(OR(C20="",N20="",T20="",V20="",X20="",AA20="",AC20="",),"",IF(AW20&lt;=0,0,AW20)),"")</f>
        <v/>
      </c>
      <c r="AL20" s="911"/>
      <c r="AM20" s="911"/>
      <c r="AN20" s="975"/>
      <c r="AO20" s="957" t="str">
        <f t="shared" ref="AO20" si="9">IFERROR(IF(OR(C20="",N20="",V20="",X20="",T20="",AA20="",AC20=""),"",IF(BC20&lt;&gt;"",BC20,ROUND(IF(AK20&lt;=0,0,IF(AE20="Thermostat",MIN(AU20*1,AI20*V20),IF(AE20="$/0.1 kW/ton 
improvement/ton",MIN(AU20*1,(L20-N20)*10*V20*AI20),MIN(AU20*1,(N20-L20)*V20*AI20)))),2))),"")</f>
        <v/>
      </c>
      <c r="AP20" s="958"/>
      <c r="AQ20" s="959"/>
      <c r="AR20" s="59"/>
      <c r="AS20" s="59"/>
      <c r="AT20" s="59"/>
      <c r="AU20" s="813" t="str">
        <f t="shared" ref="AU20" si="10">IF(OR(C20="",N20="",T20="",V20="",X20="",AA20="",AE20="",AC20=""),"",IF(AK20="","",ROUND((AA20+AC20),2)))</f>
        <v/>
      </c>
      <c r="AV20" s="928" t="str">
        <f>IF(OR(C20="",N20="",T20="",V20="",X20="",AA20="",AC20="",AE20=""),"",ROUND(IF(ISNUMBER(SEARCH("Unit",AE20)),(V20/12)*(1/((-0.02*N20^2)+(1.12*N20)))*0.177*0.08*0.457,IF(ISNUMBER(SEARCH("kW",AE20)),V20*((R20)-(T20))*INDEX(ENDUSEALL[Lighting Coincidence Factor],MATCH(AX20,ENDUSEALL[End Use],0)),
IF(ISNUMBER(SEARCH("Thermostat",AE20)),INDEX(PMEHVAC[Savings per Unit kW],MATCH(C20,PMEHVAC[Eff Desc 1],0))*V20,
IF(ISNUMBER(SEARCH("IPLV",AE20)),V20*((R20)-(T20))*INDEX(ENDUSEALL[Lighting Coincidence Factor],MATCH(AX20,ENDUSEALL[End Use],0)),
(V20*12)*((1/L20)-(1/N20))*INDEX(ENDUSEALL[Lighting Coincidence Factor],MATCH(AX20,ENDUSEALL[End Use],0)))))),3))</f>
        <v/>
      </c>
      <c r="AW20" s="980" t="str">
        <f>IFERROR(ROUND(
IF(ISNUMBER(SEARCH("Thermostat",C20)),INDEX(PMEHVAC[Savings per Unit kWh],MATCH(C20,PMEHVAC[Eff Desc 1],0)),
IF(ISNUMBER(SEARCH("Water Cooled Chiller - Centrifugal",C20)),V20*((L20*1.143)-((1/(0.401/N20+0.383/N20+0.179/N20+0.037/N20))))*INDEX(PMEHVAC[EFLHcool],MATCH(C20,PMEHVAC[Eff Desc 1],0)),
IF(ISNUMBER(SEARCH("Water Cooled Chiller - Screw",C20)),V20*((L20*1.178)-((1/(0.401/N20+0.383/N20+0.179/N20+0.037/N20))))*INDEX(PMEHVAC[EFLHcool],MATCH(C20,PMEHVAC[Eff Desc 1],0)),
IF(ISNUMBER(SEARCH("Air Cooled Chiller",C20)),V20*(12/(L20*0.86)-12/(0.401*N20+0.383*N20+0.179*N20+0.037*N20))*INDEX(PMEHVAC[EFLHcool],MATCH(C20,PMEHVAC[Eff Desc 1],0)),
IF(ISNUMBER(SEARCH("DX",C20)),(V20*12)*((1/L20)-(1/N20))*INDEX(PMEHVAC[EFLHcool],MATCH(C20,PMEHVAC[Eff Desc 1],0)),
IF(ISNUMBER(SEARCH("PTAC",C20)),(V20*12)*((1/L20)-(1/N20))*INDEX(PMEHVAC[EFLHcool],MATCH(C20,PMEHVAC[Eff Desc 1],0)),
IF(ISNUMBER(SEARCH("PTHP",C20)),((V20*12)*((1/L20)-(1/N20))*INDEX(PMEHVAC[EFLHcool],MATCH(C20,PMEHVAC[Eff Desc 1],0)))+(((V20*12)/3.412)*((1/R20)-(1/T20))*INDEX(PMEHVAC[EFLHheat],MATCH(C20,PMEHVAC[Eff Desc 1],0))),
IF(OR(ISNUMBER(SEARCH("ASHP",C20)),ISNUMBER(SEARCH("WSHP",C20)),ISNUMBER(SEARCH("Water Source",C20)),ISNUMBER(SEARCH("GSHP",C20))),((((V20*12*INDEX(PMEHVAC[EFLHcool],MATCH(C20,PMEHVAC[Eff Desc 1],0)))*(1/L20)))-(V20*12*INDEX(PMEHVAC[EFLHcool],MATCH(C20,PMEHVAC[Eff Desc 1],0))*(1/N20)))+
IF(P20="HSPF2",(((V20*12*INDEX(PMEHVAC[EFLHheat],MATCH(C20,PMEHVAC[Eff Desc 1],0)))*(1/(R20*0.91))))-(((V20*12*INDEX(PMEHVAC[EFLHheat],MATCH(C20,PMEHVAC[Eff Desc 1],0)))*(1/(T20*0.91)))),
(((V20*12000*INDEX(PMEHVAC[EFLHheat],MATCH(C20,PMEHVAC[Eff Desc 1],0)))/3412*(1/R20-1/T20)))),
"")))))))),0),"")</f>
        <v/>
      </c>
      <c r="AX20" s="928" t="str">
        <f>IF(OR(C20="",N20="",T20="",V20="",X20="",AA20="",AE20="",AC20=""),"",INDEX(PMEHVAC[End Use Category],MATCH(C20,PMEHVAC[Eff Desc 1],0)))</f>
        <v/>
      </c>
      <c r="AY20" s="906" t="str">
        <f>IF(OR(C20="",N20="",T20="",V20="",X20="",AA20="",AE20="",AC20=""),"",INDEX(PMEHVAC[Therms],MATCH(C20,PMEHVAC[Eff Desc 1],0)))</f>
        <v/>
      </c>
      <c r="BC20" s="897" t="str">
        <f>IFERROR(IF(OR(C20="",N20="",V20="",X20="",T20="",AA20="",AC20=""),"",IF(OR(ISBLANK(M02S02F26),ISBLANK(M02S02F32),ISBLANK(M02S02F46)),MEASUREBLDG,IF(ISNUMBER(SEARCH("Thermostat",C20)),"",
IF(ISNUMBER(SEARCH("Water Cooled",C20)),IF(N20&gt;=L20,"Must Improve Efficiency",""),IF(N20&lt;=L20,"Must Improve Efficiency",""))))),"")</f>
        <v/>
      </c>
      <c r="BE20" s="811" t="str">
        <f ca="1">IF(OR(N20="",T20="",C20="",V20="",X20="",AA20="",AE20="",AC20=""),"",IF('M01-S01'!$V$82&lt;TODAY(),0,IF(M02S02F46="Gas Only",0,IF(OR(AK20="",AK20&lt;0,AU20&lt;=AO20),0,MIN(AU20-AO20,ROUND(AO20*0.2,2))))))</f>
        <v/>
      </c>
    </row>
    <row r="21" spans="2:59" customFormat="1" ht="15.95" customHeight="1">
      <c r="B21" s="834"/>
      <c r="C21" s="840"/>
      <c r="D21" s="841"/>
      <c r="E21" s="841"/>
      <c r="F21" s="841"/>
      <c r="G21" s="841"/>
      <c r="H21" s="841"/>
      <c r="I21" s="841"/>
      <c r="J21" s="955"/>
      <c r="K21" s="956"/>
      <c r="L21" s="973"/>
      <c r="M21" s="974"/>
      <c r="N21" s="969"/>
      <c r="O21" s="970"/>
      <c r="P21" s="955"/>
      <c r="Q21" s="956"/>
      <c r="R21" s="955"/>
      <c r="S21" s="956"/>
      <c r="T21" s="969"/>
      <c r="U21" s="970"/>
      <c r="V21" s="853"/>
      <c r="W21" s="854"/>
      <c r="X21" s="840"/>
      <c r="Y21" s="841"/>
      <c r="Z21" s="842"/>
      <c r="AA21" s="952"/>
      <c r="AB21" s="945"/>
      <c r="AC21" s="945"/>
      <c r="AD21" s="946"/>
      <c r="AE21" s="949"/>
      <c r="AF21" s="949"/>
      <c r="AG21" s="949"/>
      <c r="AH21" s="950"/>
      <c r="AI21" s="925"/>
      <c r="AJ21" s="870"/>
      <c r="AK21" s="912"/>
      <c r="AL21" s="913"/>
      <c r="AM21" s="913"/>
      <c r="AN21" s="942"/>
      <c r="AO21" s="960"/>
      <c r="AP21" s="961"/>
      <c r="AQ21" s="962"/>
      <c r="AR21" s="59"/>
      <c r="AS21" s="59"/>
      <c r="AT21" s="59"/>
      <c r="AU21" s="814"/>
      <c r="AV21" s="907"/>
      <c r="AW21" s="981"/>
      <c r="AX21" s="907"/>
      <c r="AY21" s="907"/>
      <c r="BC21" s="831"/>
      <c r="BE21" s="812"/>
    </row>
    <row r="22" spans="2:59" customFormat="1" ht="15.95" customHeight="1">
      <c r="B22" s="834">
        <v>4</v>
      </c>
      <c r="C22" s="871"/>
      <c r="D22" s="872"/>
      <c r="E22" s="872"/>
      <c r="F22" s="872"/>
      <c r="G22" s="872"/>
      <c r="H22" s="872"/>
      <c r="I22" s="872"/>
      <c r="J22" s="953" t="str">
        <f>IF(C22="","",INDEX(PMEHVAC[Base Desc 1],MATCH(C22,PMEHVAC[Eff Desc 1],0)))</f>
        <v/>
      </c>
      <c r="K22" s="954"/>
      <c r="L22" s="971" t="str">
        <f>IF(C22="","",INDEX(PMEHVAC[Base Desc 2],MATCH(C22,PMEHVAC[Eff Desc 1],0)))</f>
        <v/>
      </c>
      <c r="M22" s="972"/>
      <c r="N22" s="967" t="str">
        <f t="shared" ref="N22" si="11">IF(ISNUMBER(SEARCH("Thermostat",C22)),"1","")</f>
        <v/>
      </c>
      <c r="O22" s="968"/>
      <c r="P22" s="953" t="str">
        <f>IF(C22="","",INDEX(PMEHVAC[Base Watt],MATCH(C22,PMEHVAC[Eff Desc 1],0)))</f>
        <v/>
      </c>
      <c r="Q22" s="954"/>
      <c r="R22" s="953" t="str">
        <f>IF(C22="","",INDEX(PMEHVAC[Base Watt 2],MATCH(C22,PMEHVAC[Eff Desc 1],0)))</f>
        <v/>
      </c>
      <c r="S22" s="954"/>
      <c r="T22" s="967" t="str">
        <f t="shared" ref="T22" si="12">IF(ISNUMBER(SEARCH("Thermostat",C22)),"1","")</f>
        <v/>
      </c>
      <c r="U22" s="968"/>
      <c r="V22" s="851"/>
      <c r="W22" s="852"/>
      <c r="X22" s="837"/>
      <c r="Y22" s="838"/>
      <c r="Z22" s="839"/>
      <c r="AA22" s="951"/>
      <c r="AB22" s="943"/>
      <c r="AC22" s="943"/>
      <c r="AD22" s="944"/>
      <c r="AE22" s="947" t="str">
        <f>IF(C22="","",INDEX(PMEHVAC[Unit of Measure],MATCH(C22,PMEHVAC[Eff Desc 1],0)))</f>
        <v/>
      </c>
      <c r="AF22" s="947"/>
      <c r="AG22" s="947"/>
      <c r="AH22" s="948"/>
      <c r="AI22" s="923" t="str">
        <f>IF(OR(C22="",N22="",T22="",V22="",X22="",AA22="",AC22=""),"",INDEX(PMEHVAC[Inc Rate Unit],MATCH(C22,PMEHVAC[Eff Desc 1],0)))</f>
        <v/>
      </c>
      <c r="AJ22" s="924"/>
      <c r="AK22" s="910" t="str">
        <f t="shared" ref="AK22" si="13">IFERROR(IF(OR(C22="",N22="",T22="",V22="",X22="",AA22="",AC22="",),"",IF(AW22&lt;=0,0,AW22)),"")</f>
        <v/>
      </c>
      <c r="AL22" s="911"/>
      <c r="AM22" s="911"/>
      <c r="AN22" s="975"/>
      <c r="AO22" s="957" t="str">
        <f t="shared" ref="AO22" si="14">IFERROR(IF(OR(C22="",N22="",V22="",X22="",T22="",AA22="",AC22=""),"",IF(BC22&lt;&gt;"",BC22,ROUND(IF(AK22&lt;=0,0,IF(AE22="Thermostat",MIN(AU22*1,AI22*V22),IF(AE22="$/0.1 kW/ton 
improvement/ton",MIN(AU22*1,(L22-N22)*10*V22*AI22),MIN(AU22*1,(N22-L22)*V22*AI22)))),2))),"")</f>
        <v/>
      </c>
      <c r="AP22" s="958"/>
      <c r="AQ22" s="959"/>
      <c r="AR22" s="59"/>
      <c r="AS22" s="59"/>
      <c r="AT22" s="59"/>
      <c r="AU22" s="813" t="str">
        <f t="shared" ref="AU22" si="15">IF(OR(C22="",N22="",T22="",V22="",X22="",AA22="",AE22="",AC22=""),"",IF(AK22="","",ROUND((AA22+AC22),2)))</f>
        <v/>
      </c>
      <c r="AV22" s="928" t="str">
        <f>IF(OR(C22="",N22="",T22="",V22="",X22="",AA22="",AC22="",AE22=""),"",ROUND(IF(ISNUMBER(SEARCH("Unit",AE22)),(V22/12)*(1/((-0.02*N22^2)+(1.12*N22)))*0.177*0.08*0.457,IF(ISNUMBER(SEARCH("kW",AE22)),V22*((R22)-(T22))*INDEX(ENDUSEALL[Lighting Coincidence Factor],MATCH(AX22,ENDUSEALL[End Use],0)),
IF(ISNUMBER(SEARCH("Thermostat",AE22)),INDEX(PMEHVAC[Savings per Unit kW],MATCH(C22,PMEHVAC[Eff Desc 1],0))*V22,
IF(ISNUMBER(SEARCH("IPLV",AE22)),V22*((R22)-(T22))*INDEX(ENDUSEALL[Lighting Coincidence Factor],MATCH(AX22,ENDUSEALL[End Use],0)),
(V22*12)*((1/L22)-(1/N22))*INDEX(ENDUSEALL[Lighting Coincidence Factor],MATCH(AX22,ENDUSEALL[End Use],0)))))),3))</f>
        <v/>
      </c>
      <c r="AW22" s="980" t="str">
        <f>IFERROR(ROUND(
IF(ISNUMBER(SEARCH("Thermostat",C22)),INDEX(PMEHVAC[Savings per Unit kWh],MATCH(C22,PMEHVAC[Eff Desc 1],0)),
IF(ISNUMBER(SEARCH("Water Cooled Chiller - Centrifugal",C22)),V22*((L22*1.143)-((1/(0.401/N22+0.383/N22+0.179/N22+0.037/N22))))*INDEX(PMEHVAC[EFLHcool],MATCH(C22,PMEHVAC[Eff Desc 1],0)),
IF(ISNUMBER(SEARCH("Water Cooled Chiller - Screw",C22)),V22*((L22*1.178)-((1/(0.401/N22+0.383/N22+0.179/N22+0.037/N22))))*INDEX(PMEHVAC[EFLHcool],MATCH(C22,PMEHVAC[Eff Desc 1],0)),
IF(ISNUMBER(SEARCH("Air Cooled Chiller",C22)),V22*(12/(L22*0.86)-12/(0.401*N22+0.383*N22+0.179*N22+0.037*N22))*INDEX(PMEHVAC[EFLHcool],MATCH(C22,PMEHVAC[Eff Desc 1],0)),
IF(ISNUMBER(SEARCH("DX",C22)),(V22*12)*((1/L22)-(1/N22))*INDEX(PMEHVAC[EFLHcool],MATCH(C22,PMEHVAC[Eff Desc 1],0)),
IF(ISNUMBER(SEARCH("PTAC",C22)),(V22*12)*((1/L22)-(1/N22))*INDEX(PMEHVAC[EFLHcool],MATCH(C22,PMEHVAC[Eff Desc 1],0)),
IF(ISNUMBER(SEARCH("PTHP",C22)),((V22*12)*((1/L22)-(1/N22))*INDEX(PMEHVAC[EFLHcool],MATCH(C22,PMEHVAC[Eff Desc 1],0)))+(((V22*12)/3.412)*((1/R22)-(1/T22))*INDEX(PMEHVAC[EFLHheat],MATCH(C22,PMEHVAC[Eff Desc 1],0))),
IF(OR(ISNUMBER(SEARCH("ASHP",C22)),ISNUMBER(SEARCH("WSHP",C22)),ISNUMBER(SEARCH("Water Source",C22)),ISNUMBER(SEARCH("GSHP",C22))),((((V22*12*INDEX(PMEHVAC[EFLHcool],MATCH(C22,PMEHVAC[Eff Desc 1],0)))*(1/L22)))-(V22*12*INDEX(PMEHVAC[EFLHcool],MATCH(C22,PMEHVAC[Eff Desc 1],0))*(1/N22)))+
IF(P22="HSPF2",(((V22*12*INDEX(PMEHVAC[EFLHheat],MATCH(C22,PMEHVAC[Eff Desc 1],0)))*(1/(R22*0.91))))-(((V22*12*INDEX(PMEHVAC[EFLHheat],MATCH(C22,PMEHVAC[Eff Desc 1],0)))*(1/(T22*0.91)))),
(((V22*12000*INDEX(PMEHVAC[EFLHheat],MATCH(C22,PMEHVAC[Eff Desc 1],0)))/3412*(1/R22-1/T22)))),
"")))))))),0),"")</f>
        <v/>
      </c>
      <c r="AX22" s="928" t="str">
        <f>IF(OR(C22="",N22="",T22="",V22="",X22="",AA22="",AE22="",AC22=""),"",INDEX(PMEHVAC[End Use Category],MATCH(C22,PMEHVAC[Eff Desc 1],0)))</f>
        <v/>
      </c>
      <c r="AY22" s="906" t="str">
        <f>IF(OR(C22="",N22="",T22="",V22="",X22="",AA22="",AE22="",AC22=""),"",INDEX(PMEHVAC[Therms],MATCH(C22,PMEHVAC[Eff Desc 1],0)))</f>
        <v/>
      </c>
      <c r="BC22" s="897" t="str">
        <f>IFERROR(IF(OR(C22="",N22="",V22="",X22="",T22="",AA22="",AC22=""),"",IF(OR(ISBLANK(M02S02F26),ISBLANK(M02S02F32),ISBLANK(M02S02F46)),MEASUREBLDG,IF(ISNUMBER(SEARCH("Thermostat",C22)),"",
IF(ISNUMBER(SEARCH("Water Cooled",C22)),IF(N22&gt;=L22,"Must Improve Efficiency",""),IF(N22&lt;=L22,"Must Improve Efficiency",""))))),"")</f>
        <v/>
      </c>
      <c r="BE22" s="811" t="str">
        <f ca="1">IF(OR(N22="",T22="",C22="",V22="",X22="",AA22="",AE22="",AC22=""),"",IF('M01-S01'!$V$82&lt;TODAY(),0,IF(M02S02F46="Gas Only",0,IF(OR(AK22="",AK22&lt;0,AU22&lt;=AO22),0,MIN(AU22-AO22,ROUND(AO22*0.2,2))))))</f>
        <v/>
      </c>
    </row>
    <row r="23" spans="2:59" customFormat="1" ht="15.95" customHeight="1">
      <c r="B23" s="834"/>
      <c r="C23" s="840"/>
      <c r="D23" s="841"/>
      <c r="E23" s="841"/>
      <c r="F23" s="841"/>
      <c r="G23" s="841"/>
      <c r="H23" s="841"/>
      <c r="I23" s="841"/>
      <c r="J23" s="955"/>
      <c r="K23" s="956"/>
      <c r="L23" s="973"/>
      <c r="M23" s="974"/>
      <c r="N23" s="969"/>
      <c r="O23" s="970"/>
      <c r="P23" s="955"/>
      <c r="Q23" s="956"/>
      <c r="R23" s="955"/>
      <c r="S23" s="956"/>
      <c r="T23" s="969"/>
      <c r="U23" s="970"/>
      <c r="V23" s="853"/>
      <c r="W23" s="854"/>
      <c r="X23" s="840"/>
      <c r="Y23" s="841"/>
      <c r="Z23" s="842"/>
      <c r="AA23" s="952"/>
      <c r="AB23" s="945"/>
      <c r="AC23" s="945"/>
      <c r="AD23" s="946"/>
      <c r="AE23" s="949"/>
      <c r="AF23" s="949"/>
      <c r="AG23" s="949"/>
      <c r="AH23" s="950"/>
      <c r="AI23" s="925"/>
      <c r="AJ23" s="870"/>
      <c r="AK23" s="912"/>
      <c r="AL23" s="913"/>
      <c r="AM23" s="913"/>
      <c r="AN23" s="942"/>
      <c r="AO23" s="960"/>
      <c r="AP23" s="961"/>
      <c r="AQ23" s="962"/>
      <c r="AR23" s="59"/>
      <c r="AS23" s="59"/>
      <c r="AT23" s="59"/>
      <c r="AU23" s="814"/>
      <c r="AV23" s="907"/>
      <c r="AW23" s="981"/>
      <c r="AX23" s="907"/>
      <c r="AY23" s="907"/>
      <c r="BA23" s="414"/>
      <c r="BC23" s="831"/>
      <c r="BE23" s="812"/>
    </row>
    <row r="24" spans="2:59" customFormat="1" ht="15.95" customHeight="1">
      <c r="B24" s="834">
        <v>5</v>
      </c>
      <c r="C24" s="871"/>
      <c r="D24" s="872"/>
      <c r="E24" s="872"/>
      <c r="F24" s="872"/>
      <c r="G24" s="872"/>
      <c r="H24" s="872"/>
      <c r="I24" s="872"/>
      <c r="J24" s="953" t="str">
        <f>IF(C24="","",INDEX(PMEHVAC[Base Desc 1],MATCH(C24,PMEHVAC[Eff Desc 1],0)))</f>
        <v/>
      </c>
      <c r="K24" s="954"/>
      <c r="L24" s="971" t="str">
        <f>IF(C24="","",INDEX(PMEHVAC[Base Desc 2],MATCH(C24,PMEHVAC[Eff Desc 1],0)))</f>
        <v/>
      </c>
      <c r="M24" s="972"/>
      <c r="N24" s="967" t="str">
        <f t="shared" ref="N24" si="16">IF(ISNUMBER(SEARCH("Thermostat",C24)),"1","")</f>
        <v/>
      </c>
      <c r="O24" s="968"/>
      <c r="P24" s="953" t="str">
        <f>IF(C24="","",INDEX(PMEHVAC[Base Watt],MATCH(C24,PMEHVAC[Eff Desc 1],0)))</f>
        <v/>
      </c>
      <c r="Q24" s="954"/>
      <c r="R24" s="953" t="str">
        <f>IF(C24="","",INDEX(PMEHVAC[Base Watt 2],MATCH(C24,PMEHVAC[Eff Desc 1],0)))</f>
        <v/>
      </c>
      <c r="S24" s="954"/>
      <c r="T24" s="967" t="str">
        <f t="shared" ref="T24" si="17">IF(ISNUMBER(SEARCH("Thermostat",C24)),"1","")</f>
        <v/>
      </c>
      <c r="U24" s="968"/>
      <c r="V24" s="851"/>
      <c r="W24" s="852"/>
      <c r="X24" s="837"/>
      <c r="Y24" s="838"/>
      <c r="Z24" s="839"/>
      <c r="AA24" s="951"/>
      <c r="AB24" s="943"/>
      <c r="AC24" s="943"/>
      <c r="AD24" s="944"/>
      <c r="AE24" s="947" t="str">
        <f>IF(C24="","",INDEX(PMEHVAC[Unit of Measure],MATCH(C24,PMEHVAC[Eff Desc 1],0)))</f>
        <v/>
      </c>
      <c r="AF24" s="947"/>
      <c r="AG24" s="947"/>
      <c r="AH24" s="948"/>
      <c r="AI24" s="923" t="str">
        <f>IF(OR(C24="",N24="",T24="",V24="",X24="",AA24="",AC24=""),"",INDEX(PMEHVAC[Inc Rate Unit],MATCH(C24,PMEHVAC[Eff Desc 1],0)))</f>
        <v/>
      </c>
      <c r="AJ24" s="924"/>
      <c r="AK24" s="910" t="str">
        <f t="shared" ref="AK24" si="18">IFERROR(IF(OR(C24="",N24="",T24="",V24="",X24="",AA24="",AC24="",),"",IF(AW24&lt;=0,0,AW24)),"")</f>
        <v/>
      </c>
      <c r="AL24" s="911"/>
      <c r="AM24" s="911"/>
      <c r="AN24" s="975"/>
      <c r="AO24" s="957" t="str">
        <f t="shared" ref="AO24" si="19">IFERROR(IF(OR(C24="",N24="",V24="",X24="",T24="",AA24="",AC24=""),"",IF(BC24&lt;&gt;"",BC24,ROUND(IF(AK24&lt;=0,0,IF(AE24="Thermostat",MIN(AU24*1,AI24*V24),IF(AE24="$/0.1 kW/ton 
improvement/ton",MIN(AU24*1,(L24-N24)*10*V24*AI24),MIN(AU24*1,(N24-L24)*V24*AI24)))),2))),"")</f>
        <v/>
      </c>
      <c r="AP24" s="958"/>
      <c r="AQ24" s="959"/>
      <c r="AR24" s="59"/>
      <c r="AS24" s="59"/>
      <c r="AT24" s="59"/>
      <c r="AU24" s="813" t="str">
        <f t="shared" ref="AU24" si="20">IF(OR(C24="",N24="",T24="",V24="",X24="",AA24="",AE24="",AC24=""),"",IF(AK24="","",ROUND((AA24+AC24),2)))</f>
        <v/>
      </c>
      <c r="AV24" s="928" t="str">
        <f>IF(OR(C24="",N24="",T24="",V24="",X24="",AA24="",AC24="",AE24=""),"",ROUND(IF(ISNUMBER(SEARCH("Unit",AE24)),(V24/12)*(1/((-0.02*N24^2)+(1.12*N24)))*0.177*0.08*0.457,IF(ISNUMBER(SEARCH("kW",AE24)),V24*((R24)-(T24))*INDEX(ENDUSEALL[Lighting Coincidence Factor],MATCH(AX24,ENDUSEALL[End Use],0)),
IF(ISNUMBER(SEARCH("Thermostat",AE24)),INDEX(PMEHVAC[Savings per Unit kW],MATCH(C24,PMEHVAC[Eff Desc 1],0))*V24,
IF(ISNUMBER(SEARCH("IPLV",AE24)),V24*((R24)-(T24))*INDEX(ENDUSEALL[Lighting Coincidence Factor],MATCH(AX24,ENDUSEALL[End Use],0)),
(V24*12)*((1/L24)-(1/N24))*INDEX(ENDUSEALL[Lighting Coincidence Factor],MATCH(AX24,ENDUSEALL[End Use],0)))))),3))</f>
        <v/>
      </c>
      <c r="AW24" s="980" t="str">
        <f>IFERROR(ROUND(
IF(ISNUMBER(SEARCH("Thermostat",C24)),INDEX(PMEHVAC[Savings per Unit kWh],MATCH(C24,PMEHVAC[Eff Desc 1],0)),
IF(ISNUMBER(SEARCH("Water Cooled Chiller - Centrifugal",C24)),V24*((L24*1.143)-((1/(0.401/N24+0.383/N24+0.179/N24+0.037/N24))))*INDEX(PMEHVAC[EFLHcool],MATCH(C24,PMEHVAC[Eff Desc 1],0)),
IF(ISNUMBER(SEARCH("Water Cooled Chiller - Screw",C24)),V24*((L24*1.178)-((1/(0.401/N24+0.383/N24+0.179/N24+0.037/N24))))*INDEX(PMEHVAC[EFLHcool],MATCH(C24,PMEHVAC[Eff Desc 1],0)),
IF(ISNUMBER(SEARCH("Air Cooled Chiller",C24)),V24*(12/(L24*0.86)-12/(0.401*N24+0.383*N24+0.179*N24+0.037*N24))*INDEX(PMEHVAC[EFLHcool],MATCH(C24,PMEHVAC[Eff Desc 1],0)),
IF(ISNUMBER(SEARCH("DX",C24)),(V24*12)*((1/L24)-(1/N24))*INDEX(PMEHVAC[EFLHcool],MATCH(C24,PMEHVAC[Eff Desc 1],0)),
IF(ISNUMBER(SEARCH("PTAC",C24)),(V24*12)*((1/L24)-(1/N24))*INDEX(PMEHVAC[EFLHcool],MATCH(C24,PMEHVAC[Eff Desc 1],0)),
IF(ISNUMBER(SEARCH("PTHP",C24)),((V24*12)*((1/L24)-(1/N24))*INDEX(PMEHVAC[EFLHcool],MATCH(C24,PMEHVAC[Eff Desc 1],0)))+(((V24*12)/3.412)*((1/R24)-(1/T24))*INDEX(PMEHVAC[EFLHheat],MATCH(C24,PMEHVAC[Eff Desc 1],0))),
IF(OR(ISNUMBER(SEARCH("ASHP",C24)),ISNUMBER(SEARCH("WSHP",C24)),ISNUMBER(SEARCH("Water Source",C24)),ISNUMBER(SEARCH("GSHP",C24))),((((V24*12*INDEX(PMEHVAC[EFLHcool],MATCH(C24,PMEHVAC[Eff Desc 1],0)))*(1/L24)))-(V24*12*INDEX(PMEHVAC[EFLHcool],MATCH(C24,PMEHVAC[Eff Desc 1],0))*(1/N24)))+
IF(P24="HSPF2",(((V24*12*INDEX(PMEHVAC[EFLHheat],MATCH(C24,PMEHVAC[Eff Desc 1],0)))*(1/(R24*0.91))))-(((V24*12*INDEX(PMEHVAC[EFLHheat],MATCH(C24,PMEHVAC[Eff Desc 1],0)))*(1/(T24*0.91)))),
(((V24*12000*INDEX(PMEHVAC[EFLHheat],MATCH(C24,PMEHVAC[Eff Desc 1],0)))/3412*(1/R24-1/T24)))),
"")))))))),0),"")</f>
        <v/>
      </c>
      <c r="AX24" s="928" t="str">
        <f>IF(OR(C24="",N24="",T24="",V24="",X24="",AA24="",AE24="",AC24=""),"",INDEX(PMEHVAC[End Use Category],MATCH(C24,PMEHVAC[Eff Desc 1],0)))</f>
        <v/>
      </c>
      <c r="AY24" s="906" t="str">
        <f>IF(OR(C24="",N24="",T24="",V24="",X24="",AA24="",AE24="",AC24=""),"",INDEX(PMEHVAC[Therms],MATCH(C24,PMEHVAC[Eff Desc 1],0)))</f>
        <v/>
      </c>
      <c r="BC24" s="897" t="str">
        <f>IFERROR(IF(OR(C24="",N24="",V24="",X24="",T24="",AA24="",AC24=""),"",IF(OR(ISBLANK(M02S02F26),ISBLANK(M02S02F32),ISBLANK(M02S02F46)),MEASUREBLDG,IF(ISNUMBER(SEARCH("Thermostat",C24)),"",
IF(ISNUMBER(SEARCH("Water Cooled",C24)),IF(N24&gt;=L24,"Must Improve Efficiency",""),IF(N24&lt;=L24,"Must Improve Efficiency",""))))),"")</f>
        <v/>
      </c>
      <c r="BE24" s="811" t="str">
        <f ca="1">IF(OR(N24="",T24="",C24="",V24="",X24="",AA24="",AE24="",AC24=""),"",IF('M01-S01'!$V$82&lt;TODAY(),0,IF(M02S02F46="Gas Only",0,IF(OR(AK24="",AK24&lt;0,AU24&lt;=AO24),0,MIN(AU24-AO24,ROUND(AO24*0.2,2))))))</f>
        <v/>
      </c>
    </row>
    <row r="25" spans="2:59" customFormat="1" ht="15.95" customHeight="1">
      <c r="B25" s="834"/>
      <c r="C25" s="840"/>
      <c r="D25" s="841"/>
      <c r="E25" s="841"/>
      <c r="F25" s="841"/>
      <c r="G25" s="841"/>
      <c r="H25" s="841"/>
      <c r="I25" s="841"/>
      <c r="J25" s="955"/>
      <c r="K25" s="956"/>
      <c r="L25" s="973"/>
      <c r="M25" s="974"/>
      <c r="N25" s="969"/>
      <c r="O25" s="970"/>
      <c r="P25" s="955"/>
      <c r="Q25" s="956"/>
      <c r="R25" s="955"/>
      <c r="S25" s="956"/>
      <c r="T25" s="969"/>
      <c r="U25" s="970"/>
      <c r="V25" s="853"/>
      <c r="W25" s="854"/>
      <c r="X25" s="840"/>
      <c r="Y25" s="841"/>
      <c r="Z25" s="842"/>
      <c r="AA25" s="952"/>
      <c r="AB25" s="945"/>
      <c r="AC25" s="945"/>
      <c r="AD25" s="946"/>
      <c r="AE25" s="949"/>
      <c r="AF25" s="949"/>
      <c r="AG25" s="949"/>
      <c r="AH25" s="950"/>
      <c r="AI25" s="925"/>
      <c r="AJ25" s="870"/>
      <c r="AK25" s="912"/>
      <c r="AL25" s="913"/>
      <c r="AM25" s="913"/>
      <c r="AN25" s="942"/>
      <c r="AO25" s="960"/>
      <c r="AP25" s="961"/>
      <c r="AQ25" s="962"/>
      <c r="AR25" s="59"/>
      <c r="AS25" s="59"/>
      <c r="AT25" s="59"/>
      <c r="AU25" s="814"/>
      <c r="AV25" s="907"/>
      <c r="AW25" s="981"/>
      <c r="AX25" s="907"/>
      <c r="AY25" s="907"/>
      <c r="BC25" s="831"/>
      <c r="BE25" s="812"/>
    </row>
    <row r="26" spans="2:59" customFormat="1" ht="15.95" customHeight="1">
      <c r="B26" s="834">
        <v>6</v>
      </c>
      <c r="C26" s="871"/>
      <c r="D26" s="872"/>
      <c r="E26" s="872"/>
      <c r="F26" s="872"/>
      <c r="G26" s="872"/>
      <c r="H26" s="872"/>
      <c r="I26" s="872"/>
      <c r="J26" s="953" t="str">
        <f>IF(C26="","",INDEX(PMEHVAC[Base Desc 1],MATCH(C26,PMEHVAC[Eff Desc 1],0)))</f>
        <v/>
      </c>
      <c r="K26" s="954"/>
      <c r="L26" s="971" t="str">
        <f>IF(C26="","",INDEX(PMEHVAC[Base Desc 2],MATCH(C26,PMEHVAC[Eff Desc 1],0)))</f>
        <v/>
      </c>
      <c r="M26" s="972"/>
      <c r="N26" s="967" t="str">
        <f t="shared" ref="N26" si="21">IF(ISNUMBER(SEARCH("Thermostat",C26)),"1","")</f>
        <v/>
      </c>
      <c r="O26" s="968"/>
      <c r="P26" s="953" t="str">
        <f>IF(C26="","",INDEX(PMEHVAC[Base Watt],MATCH(C26,PMEHVAC[Eff Desc 1],0)))</f>
        <v/>
      </c>
      <c r="Q26" s="954"/>
      <c r="R26" s="953" t="str">
        <f>IF(C26="","",INDEX(PMEHVAC[Base Watt 2],MATCH(C26,PMEHVAC[Eff Desc 1],0)))</f>
        <v/>
      </c>
      <c r="S26" s="954"/>
      <c r="T26" s="967" t="str">
        <f t="shared" ref="T26" si="22">IF(ISNUMBER(SEARCH("Thermostat",C26)),"1","")</f>
        <v/>
      </c>
      <c r="U26" s="968"/>
      <c r="V26" s="851"/>
      <c r="W26" s="852"/>
      <c r="X26" s="837"/>
      <c r="Y26" s="838"/>
      <c r="Z26" s="839"/>
      <c r="AA26" s="951"/>
      <c r="AB26" s="943"/>
      <c r="AC26" s="943"/>
      <c r="AD26" s="944"/>
      <c r="AE26" s="947" t="str">
        <f>IF(C26="","",INDEX(PMEHVAC[Unit of Measure],MATCH(C26,PMEHVAC[Eff Desc 1],0)))</f>
        <v/>
      </c>
      <c r="AF26" s="947"/>
      <c r="AG26" s="947"/>
      <c r="AH26" s="948"/>
      <c r="AI26" s="923" t="str">
        <f>IF(OR(C26="",N26="",T26="",V26="",X26="",AA26="",AC26=""),"",INDEX(PMEHVAC[Inc Rate Unit],MATCH(C26,PMEHVAC[Eff Desc 1],0)))</f>
        <v/>
      </c>
      <c r="AJ26" s="924"/>
      <c r="AK26" s="910" t="str">
        <f t="shared" ref="AK26" si="23">IFERROR(IF(OR(C26="",N26="",T26="",V26="",X26="",AA26="",AC26="",),"",IF(AW26&lt;=0,0,AW26)),"")</f>
        <v/>
      </c>
      <c r="AL26" s="911"/>
      <c r="AM26" s="911"/>
      <c r="AN26" s="975"/>
      <c r="AO26" s="957" t="str">
        <f t="shared" ref="AO26" si="24">IFERROR(IF(OR(C26="",N26="",V26="",X26="",T26="",AA26="",AC26=""),"",IF(BC26&lt;&gt;"",BC26,ROUND(IF(AK26&lt;=0,0,IF(AE26="Thermostat",MIN(AU26*1,AI26*V26),IF(AE26="$/0.1 kW/ton 
improvement/ton",MIN(AU26*1,(L26-N26)*10*V26*AI26),MIN(AU26*1,(N26-L26)*V26*AI26)))),2))),"")</f>
        <v/>
      </c>
      <c r="AP26" s="958"/>
      <c r="AQ26" s="959"/>
      <c r="AR26" s="59"/>
      <c r="AS26" s="59"/>
      <c r="AT26" s="59"/>
      <c r="AU26" s="813" t="str">
        <f t="shared" ref="AU26" si="25">IF(OR(C26="",N26="",T26="",V26="",X26="",AA26="",AE26="",AC26=""),"",IF(AK26="","",ROUND((AA26+AC26),2)))</f>
        <v/>
      </c>
      <c r="AV26" s="928" t="str">
        <f>IF(OR(C26="",N26="",T26="",V26="",X26="",AA26="",AC26="",AE26=""),"",ROUND(IF(ISNUMBER(SEARCH("Unit",AE26)),(V26/12)*(1/((-0.02*N26^2)+(1.12*N26)))*0.177*0.08*0.457,IF(ISNUMBER(SEARCH("kW",AE26)),V26*((R26)-(T26))*INDEX(ENDUSEALL[Lighting Coincidence Factor],MATCH(AX26,ENDUSEALL[End Use],0)),
IF(ISNUMBER(SEARCH("Thermostat",AE26)),INDEX(PMEHVAC[Savings per Unit kW],MATCH(C26,PMEHVAC[Eff Desc 1],0))*V26,
IF(ISNUMBER(SEARCH("IPLV",AE26)),V26*((R26)-(T26))*INDEX(ENDUSEALL[Lighting Coincidence Factor],MATCH(AX26,ENDUSEALL[End Use],0)),
(V26*12)*((1/L26)-(1/N26))*INDEX(ENDUSEALL[Lighting Coincidence Factor],MATCH(AX26,ENDUSEALL[End Use],0)))))),3))</f>
        <v/>
      </c>
      <c r="AW26" s="980" t="str">
        <f>IFERROR(ROUND(
IF(ISNUMBER(SEARCH("Thermostat",C26)),INDEX(PMEHVAC[Savings per Unit kWh],MATCH(C26,PMEHVAC[Eff Desc 1],0)),
IF(ISNUMBER(SEARCH("Water Cooled Chiller - Centrifugal",C26)),V26*((L26*1.143)-((1/(0.401/N26+0.383/N26+0.179/N26+0.037/N26))))*INDEX(PMEHVAC[EFLHcool],MATCH(C26,PMEHVAC[Eff Desc 1],0)),
IF(ISNUMBER(SEARCH("Water Cooled Chiller - Screw",C26)),V26*((L26*1.178)-((1/(0.401/N26+0.383/N26+0.179/N26+0.037/N26))))*INDEX(PMEHVAC[EFLHcool],MATCH(C26,PMEHVAC[Eff Desc 1],0)),
IF(ISNUMBER(SEARCH("Air Cooled Chiller",C26)),V26*(12/(L26*0.86)-12/(0.401*N26+0.383*N26+0.179*N26+0.037*N26))*INDEX(PMEHVAC[EFLHcool],MATCH(C26,PMEHVAC[Eff Desc 1],0)),
IF(ISNUMBER(SEARCH("DX",C26)),(V26*12)*((1/L26)-(1/N26))*INDEX(PMEHVAC[EFLHcool],MATCH(C26,PMEHVAC[Eff Desc 1],0)),
IF(ISNUMBER(SEARCH("PTAC",C26)),(V26*12)*((1/L26)-(1/N26))*INDEX(PMEHVAC[EFLHcool],MATCH(C26,PMEHVAC[Eff Desc 1],0)),
IF(ISNUMBER(SEARCH("PTHP",C26)),((V26*12)*((1/L26)-(1/N26))*INDEX(PMEHVAC[EFLHcool],MATCH(C26,PMEHVAC[Eff Desc 1],0)))+(((V26*12)/3.412)*((1/R26)-(1/T26))*INDEX(PMEHVAC[EFLHheat],MATCH(C26,PMEHVAC[Eff Desc 1],0))),
IF(OR(ISNUMBER(SEARCH("ASHP",C26)),ISNUMBER(SEARCH("WSHP",C26)),ISNUMBER(SEARCH("Water Source",C26)),ISNUMBER(SEARCH("GSHP",C26))),((((V26*12*INDEX(PMEHVAC[EFLHcool],MATCH(C26,PMEHVAC[Eff Desc 1],0)))*(1/L26)))-(V26*12*INDEX(PMEHVAC[EFLHcool],MATCH(C26,PMEHVAC[Eff Desc 1],0))*(1/N26)))+
IF(P26="HSPF2",(((V26*12*INDEX(PMEHVAC[EFLHheat],MATCH(C26,PMEHVAC[Eff Desc 1],0)))*(1/(R26*0.91))))-(((V26*12*INDEX(PMEHVAC[EFLHheat],MATCH(C26,PMEHVAC[Eff Desc 1],0)))*(1/(T26*0.91)))),
(((V26*12000*INDEX(PMEHVAC[EFLHheat],MATCH(C26,PMEHVAC[Eff Desc 1],0)))/3412*(1/R26-1/T26)))),
"")))))))),0),"")</f>
        <v/>
      </c>
      <c r="AX26" s="928" t="str">
        <f>IF(OR(C26="",N26="",T26="",V26="",X26="",AA26="",AE26="",AC26=""),"",INDEX(PMEHVAC[End Use Category],MATCH(C26,PMEHVAC[Eff Desc 1],0)))</f>
        <v/>
      </c>
      <c r="AY26" s="906" t="str">
        <f>IF(OR(C26="",N26="",T26="",V26="",X26="",AA26="",AE26="",AC26=""),"",INDEX(PMEHVAC[Therms],MATCH(C26,PMEHVAC[Eff Desc 1],0)))</f>
        <v/>
      </c>
      <c r="BC26" s="897" t="str">
        <f>IFERROR(IF(OR(C26="",N26="",V26="",X26="",T26="",AA26="",AC26=""),"",IF(OR(ISBLANK(M02S02F26),ISBLANK(M02S02F32),ISBLANK(M02S02F46)),MEASUREBLDG,IF(ISNUMBER(SEARCH("Thermostat",C26)),"",
IF(ISNUMBER(SEARCH("Water Cooled",C26)),IF(N26&gt;=L26,"Must Improve Efficiency",""),IF(N26&lt;=L26,"Must Improve Efficiency",""))))),"")</f>
        <v/>
      </c>
      <c r="BE26" s="811" t="str">
        <f ca="1">IF(OR(N26="",T26="",C26="",V26="",X26="",AA26="",AE26="",AC26=""),"",IF('M01-S01'!$V$82&lt;TODAY(),0,IF(M02S02F46="Gas Only",0,IF(OR(AK26="",AK26&lt;0,AU26&lt;=AO26),0,MIN(AU26-AO26,ROUND(AO26*0.2,2))))))</f>
        <v/>
      </c>
    </row>
    <row r="27" spans="2:59" customFormat="1" ht="15.95" customHeight="1">
      <c r="B27" s="834"/>
      <c r="C27" s="840"/>
      <c r="D27" s="841"/>
      <c r="E27" s="841"/>
      <c r="F27" s="841"/>
      <c r="G27" s="841"/>
      <c r="H27" s="841"/>
      <c r="I27" s="841"/>
      <c r="J27" s="955"/>
      <c r="K27" s="956"/>
      <c r="L27" s="973"/>
      <c r="M27" s="974"/>
      <c r="N27" s="969"/>
      <c r="O27" s="970"/>
      <c r="P27" s="955"/>
      <c r="Q27" s="956"/>
      <c r="R27" s="955"/>
      <c r="S27" s="956"/>
      <c r="T27" s="969"/>
      <c r="U27" s="970"/>
      <c r="V27" s="853"/>
      <c r="W27" s="854"/>
      <c r="X27" s="840"/>
      <c r="Y27" s="841"/>
      <c r="Z27" s="842"/>
      <c r="AA27" s="952"/>
      <c r="AB27" s="945"/>
      <c r="AC27" s="945"/>
      <c r="AD27" s="946"/>
      <c r="AE27" s="949"/>
      <c r="AF27" s="949"/>
      <c r="AG27" s="949"/>
      <c r="AH27" s="950"/>
      <c r="AI27" s="925"/>
      <c r="AJ27" s="870"/>
      <c r="AK27" s="912"/>
      <c r="AL27" s="913"/>
      <c r="AM27" s="913"/>
      <c r="AN27" s="942"/>
      <c r="AO27" s="960"/>
      <c r="AP27" s="961"/>
      <c r="AQ27" s="962"/>
      <c r="AR27" s="59"/>
      <c r="AS27" s="59"/>
      <c r="AT27" s="59"/>
      <c r="AU27" s="814"/>
      <c r="AV27" s="907"/>
      <c r="AW27" s="981"/>
      <c r="AX27" s="907"/>
      <c r="AY27" s="907"/>
      <c r="BA27" s="414"/>
      <c r="BC27" s="831"/>
      <c r="BE27" s="812"/>
    </row>
    <row r="28" spans="2:59" customFormat="1" ht="15.95" customHeight="1">
      <c r="B28" s="834">
        <v>7</v>
      </c>
      <c r="C28" s="871"/>
      <c r="D28" s="872"/>
      <c r="E28" s="872"/>
      <c r="F28" s="872"/>
      <c r="G28" s="872"/>
      <c r="H28" s="872"/>
      <c r="I28" s="872"/>
      <c r="J28" s="953" t="str">
        <f>IF(C28="","",INDEX(PMEHVAC[Base Desc 1],MATCH(C28,PMEHVAC[Eff Desc 1],0)))</f>
        <v/>
      </c>
      <c r="K28" s="954"/>
      <c r="L28" s="971" t="str">
        <f>IF(C28="","",INDEX(PMEHVAC[Base Desc 2],MATCH(C28,PMEHVAC[Eff Desc 1],0)))</f>
        <v/>
      </c>
      <c r="M28" s="972"/>
      <c r="N28" s="967" t="str">
        <f t="shared" ref="N28" si="26">IF(ISNUMBER(SEARCH("Thermostat",C28)),"1","")</f>
        <v/>
      </c>
      <c r="O28" s="968"/>
      <c r="P28" s="953" t="str">
        <f>IF(C28="","",INDEX(PMEHVAC[Base Watt],MATCH(C28,PMEHVAC[Eff Desc 1],0)))</f>
        <v/>
      </c>
      <c r="Q28" s="954"/>
      <c r="R28" s="953" t="str">
        <f>IF(C28="","",INDEX(PMEHVAC[Base Watt 2],MATCH(C28,PMEHVAC[Eff Desc 1],0)))</f>
        <v/>
      </c>
      <c r="S28" s="954"/>
      <c r="T28" s="967" t="str">
        <f t="shared" ref="T28" si="27">IF(ISNUMBER(SEARCH("Thermostat",C28)),"1","")</f>
        <v/>
      </c>
      <c r="U28" s="968"/>
      <c r="V28" s="851"/>
      <c r="W28" s="852"/>
      <c r="X28" s="837"/>
      <c r="Y28" s="838"/>
      <c r="Z28" s="839"/>
      <c r="AA28" s="951"/>
      <c r="AB28" s="943"/>
      <c r="AC28" s="943"/>
      <c r="AD28" s="944"/>
      <c r="AE28" s="947" t="str">
        <f>IF(C28="","",INDEX(PMEHVAC[Unit of Measure],MATCH(C28,PMEHVAC[Eff Desc 1],0)))</f>
        <v/>
      </c>
      <c r="AF28" s="947"/>
      <c r="AG28" s="947"/>
      <c r="AH28" s="948"/>
      <c r="AI28" s="923" t="str">
        <f>IF(OR(C28="",N28="",T28="",V28="",X28="",AA28="",AC28=""),"",INDEX(PMEHVAC[Inc Rate Unit],MATCH(C28,PMEHVAC[Eff Desc 1],0)))</f>
        <v/>
      </c>
      <c r="AJ28" s="924"/>
      <c r="AK28" s="910" t="str">
        <f t="shared" ref="AK28" si="28">IFERROR(IF(OR(C28="",N28="",T28="",V28="",X28="",AA28="",AC28="",),"",IF(AW28&lt;=0,0,AW28)),"")</f>
        <v/>
      </c>
      <c r="AL28" s="911"/>
      <c r="AM28" s="911"/>
      <c r="AN28" s="975"/>
      <c r="AO28" s="957" t="str">
        <f t="shared" ref="AO28" si="29">IFERROR(IF(OR(C28="",N28="",V28="",X28="",T28="",AA28="",AC28=""),"",IF(BC28&lt;&gt;"",BC28,ROUND(IF(AK28&lt;=0,0,IF(AE28="Thermostat",MIN(AU28*1,AI28*V28),IF(AE28="$/0.1 kW/ton 
improvement/ton",MIN(AU28*1,(L28-N28)*10*V28*AI28),MIN(AU28*1,(N28-L28)*V28*AI28)))),2))),"")</f>
        <v/>
      </c>
      <c r="AP28" s="958"/>
      <c r="AQ28" s="959"/>
      <c r="AR28" s="59"/>
      <c r="AS28" s="59"/>
      <c r="AT28" s="59"/>
      <c r="AU28" s="813" t="str">
        <f t="shared" ref="AU28" si="30">IF(OR(C28="",N28="",T28="",V28="",X28="",AA28="",AE28="",AC28=""),"",IF(AK28="","",ROUND((AA28+AC28),2)))</f>
        <v/>
      </c>
      <c r="AV28" s="928" t="str">
        <f>IF(OR(C28="",N28="",T28="",V28="",X28="",AA28="",AC28="",AE28=""),"",ROUND(IF(ISNUMBER(SEARCH("Unit",AE28)),(V28/12)*(1/((-0.02*N28^2)+(1.12*N28)))*0.177*0.08*0.457,IF(ISNUMBER(SEARCH("kW",AE28)),V28*((R28)-(T28))*INDEX(ENDUSEALL[Lighting Coincidence Factor],MATCH(AX28,ENDUSEALL[End Use],0)),
IF(ISNUMBER(SEARCH("Thermostat",AE28)),INDEX(PMEHVAC[Savings per Unit kW],MATCH(C28,PMEHVAC[Eff Desc 1],0))*V28,
IF(ISNUMBER(SEARCH("IPLV",AE28)),V28*((R28)-(T28))*INDEX(ENDUSEALL[Lighting Coincidence Factor],MATCH(AX28,ENDUSEALL[End Use],0)),
(V28*12)*((1/L28)-(1/N28))*INDEX(ENDUSEALL[Lighting Coincidence Factor],MATCH(AX28,ENDUSEALL[End Use],0)))))),3))</f>
        <v/>
      </c>
      <c r="AW28" s="980" t="str">
        <f>IFERROR(ROUND(
IF(ISNUMBER(SEARCH("Thermostat",C28)),INDEX(PMEHVAC[Savings per Unit kWh],MATCH(C28,PMEHVAC[Eff Desc 1],0)),
IF(ISNUMBER(SEARCH("Water Cooled Chiller - Centrifugal",C28)),V28*((L28*1.143)-((1/(0.401/N28+0.383/N28+0.179/N28+0.037/N28))))*INDEX(PMEHVAC[EFLHcool],MATCH(C28,PMEHVAC[Eff Desc 1],0)),
IF(ISNUMBER(SEARCH("Water Cooled Chiller - Screw",C28)),V28*((L28*1.178)-((1/(0.401/N28+0.383/N28+0.179/N28+0.037/N28))))*INDEX(PMEHVAC[EFLHcool],MATCH(C28,PMEHVAC[Eff Desc 1],0)),
IF(ISNUMBER(SEARCH("Air Cooled Chiller",C28)),V28*(12/(L28*0.86)-12/(0.401*N28+0.383*N28+0.179*N28+0.037*N28))*INDEX(PMEHVAC[EFLHcool],MATCH(C28,PMEHVAC[Eff Desc 1],0)),
IF(ISNUMBER(SEARCH("DX",C28)),(V28*12)*((1/L28)-(1/N28))*INDEX(PMEHVAC[EFLHcool],MATCH(C28,PMEHVAC[Eff Desc 1],0)),
IF(ISNUMBER(SEARCH("PTAC",C28)),(V28*12)*((1/L28)-(1/N28))*INDEX(PMEHVAC[EFLHcool],MATCH(C28,PMEHVAC[Eff Desc 1],0)),
IF(ISNUMBER(SEARCH("PTHP",C28)),((V28*12)*((1/L28)-(1/N28))*INDEX(PMEHVAC[EFLHcool],MATCH(C28,PMEHVAC[Eff Desc 1],0)))+(((V28*12)/3.412)*((1/R28)-(1/T28))*INDEX(PMEHVAC[EFLHheat],MATCH(C28,PMEHVAC[Eff Desc 1],0))),
IF(OR(ISNUMBER(SEARCH("ASHP",C28)),ISNUMBER(SEARCH("WSHP",C28)),ISNUMBER(SEARCH("Water Source",C28)),ISNUMBER(SEARCH("GSHP",C28))),((((V28*12*INDEX(PMEHVAC[EFLHcool],MATCH(C28,PMEHVAC[Eff Desc 1],0)))*(1/L28)))-(V28*12*INDEX(PMEHVAC[EFLHcool],MATCH(C28,PMEHVAC[Eff Desc 1],0))*(1/N28)))+
IF(P28="HSPF2",(((V28*12*INDEX(PMEHVAC[EFLHheat],MATCH(C28,PMEHVAC[Eff Desc 1],0)))*(1/(R28*0.91))))-(((V28*12*INDEX(PMEHVAC[EFLHheat],MATCH(C28,PMEHVAC[Eff Desc 1],0)))*(1/(T28*0.91)))),
(((V28*12000*INDEX(PMEHVAC[EFLHheat],MATCH(C28,PMEHVAC[Eff Desc 1],0)))/3412*(1/R28-1/T28)))),
"")))))))),0),"")</f>
        <v/>
      </c>
      <c r="AX28" s="928" t="str">
        <f>IF(OR(C28="",N28="",T28="",V28="",X28="",AA28="",AE28="",AC28=""),"",INDEX(PMEHVAC[End Use Category],MATCH(C28,PMEHVAC[Eff Desc 1],0)))</f>
        <v/>
      </c>
      <c r="AY28" s="906" t="str">
        <f>IF(OR(C28="",N28="",T28="",V28="",X28="",AA28="",AE28="",AC28=""),"",INDEX(PMEHVAC[Therms],MATCH(C28,PMEHVAC[Eff Desc 1],0)))</f>
        <v/>
      </c>
      <c r="BA28" s="414"/>
      <c r="BC28" s="897" t="str">
        <f>IFERROR(IF(OR(C28="",N28="",V28="",X28="",T28="",AA28="",AC28=""),"",IF(OR(ISBLANK(M02S02F26),ISBLANK(M02S02F32),ISBLANK(M02S02F46)),MEASUREBLDG,IF(ISNUMBER(SEARCH("Thermostat",C28)),"",
IF(ISNUMBER(SEARCH("Water Cooled",C28)),IF(N28&gt;=L28,"Must Improve Efficiency",""),IF(N28&lt;=L28,"Must Improve Efficiency",""))))),"")</f>
        <v/>
      </c>
      <c r="BE28" s="811" t="str">
        <f ca="1">IF(OR(N28="",T28="",C28="",V28="",X28="",AA28="",AE28="",AC28=""),"",IF('M01-S01'!$V$82&lt;TODAY(),0,IF(M02S02F46="Gas Only",0,IF(OR(AK28="",AK28&lt;0,AU28&lt;=AO28),0,MIN(AU28-AO28,ROUND(AO28*0.2,2))))))</f>
        <v/>
      </c>
      <c r="BG28" s="414"/>
    </row>
    <row r="29" spans="2:59" customFormat="1" ht="15.95" customHeight="1">
      <c r="B29" s="834"/>
      <c r="C29" s="840"/>
      <c r="D29" s="841"/>
      <c r="E29" s="841"/>
      <c r="F29" s="841"/>
      <c r="G29" s="841"/>
      <c r="H29" s="841"/>
      <c r="I29" s="841"/>
      <c r="J29" s="955"/>
      <c r="K29" s="956"/>
      <c r="L29" s="973"/>
      <c r="M29" s="974"/>
      <c r="N29" s="969"/>
      <c r="O29" s="970"/>
      <c r="P29" s="955"/>
      <c r="Q29" s="956"/>
      <c r="R29" s="955"/>
      <c r="S29" s="956"/>
      <c r="T29" s="969"/>
      <c r="U29" s="970"/>
      <c r="V29" s="853"/>
      <c r="W29" s="854"/>
      <c r="X29" s="840"/>
      <c r="Y29" s="841"/>
      <c r="Z29" s="842"/>
      <c r="AA29" s="952"/>
      <c r="AB29" s="945"/>
      <c r="AC29" s="945"/>
      <c r="AD29" s="946"/>
      <c r="AE29" s="949"/>
      <c r="AF29" s="949"/>
      <c r="AG29" s="949"/>
      <c r="AH29" s="950"/>
      <c r="AI29" s="925"/>
      <c r="AJ29" s="870"/>
      <c r="AK29" s="912"/>
      <c r="AL29" s="913"/>
      <c r="AM29" s="913"/>
      <c r="AN29" s="942"/>
      <c r="AO29" s="960"/>
      <c r="AP29" s="961"/>
      <c r="AQ29" s="962"/>
      <c r="AR29" s="59"/>
      <c r="AS29" s="59"/>
      <c r="AT29" s="59"/>
      <c r="AU29" s="814"/>
      <c r="AV29" s="907"/>
      <c r="AW29" s="981"/>
      <c r="AX29" s="907"/>
      <c r="AY29" s="907"/>
      <c r="BA29" s="414"/>
      <c r="BC29" s="831"/>
      <c r="BE29" s="812"/>
    </row>
    <row r="30" spans="2:59" customFormat="1" ht="15.95" customHeight="1">
      <c r="B30" s="834">
        <v>8</v>
      </c>
      <c r="C30" s="871"/>
      <c r="D30" s="872"/>
      <c r="E30" s="872"/>
      <c r="F30" s="872"/>
      <c r="G30" s="872"/>
      <c r="H30" s="872"/>
      <c r="I30" s="872"/>
      <c r="J30" s="953" t="str">
        <f>IF(C30="","",INDEX(PMEHVAC[Base Desc 1],MATCH(C30,PMEHVAC[Eff Desc 1],0)))</f>
        <v/>
      </c>
      <c r="K30" s="954"/>
      <c r="L30" s="971" t="str">
        <f>IF(C30="","",INDEX(PMEHVAC[Base Desc 2],MATCH(C30,PMEHVAC[Eff Desc 1],0)))</f>
        <v/>
      </c>
      <c r="M30" s="972"/>
      <c r="N30" s="967" t="str">
        <f t="shared" ref="N30" si="31">IF(ISNUMBER(SEARCH("Thermostat",C30)),"1","")</f>
        <v/>
      </c>
      <c r="O30" s="968"/>
      <c r="P30" s="953" t="str">
        <f>IF(C30="","",INDEX(PMEHVAC[Base Watt],MATCH(C30,PMEHVAC[Eff Desc 1],0)))</f>
        <v/>
      </c>
      <c r="Q30" s="954"/>
      <c r="R30" s="953" t="str">
        <f>IF(C30="","",INDEX(PMEHVAC[Base Watt 2],MATCH(C30,PMEHVAC[Eff Desc 1],0)))</f>
        <v/>
      </c>
      <c r="S30" s="954"/>
      <c r="T30" s="967" t="str">
        <f t="shared" ref="T30" si="32">IF(ISNUMBER(SEARCH("Thermostat",C30)),"1","")</f>
        <v/>
      </c>
      <c r="U30" s="968"/>
      <c r="V30" s="851"/>
      <c r="W30" s="852"/>
      <c r="X30" s="837"/>
      <c r="Y30" s="838"/>
      <c r="Z30" s="839"/>
      <c r="AA30" s="951"/>
      <c r="AB30" s="943"/>
      <c r="AC30" s="943"/>
      <c r="AD30" s="944"/>
      <c r="AE30" s="947" t="str">
        <f>IF(C30="","",INDEX(PMEHVAC[Unit of Measure],MATCH(C30,PMEHVAC[Eff Desc 1],0)))</f>
        <v/>
      </c>
      <c r="AF30" s="947"/>
      <c r="AG30" s="947"/>
      <c r="AH30" s="948"/>
      <c r="AI30" s="923" t="str">
        <f>IF(OR(C30="",N30="",T30="",V30="",X30="",AA30="",AC30=""),"",INDEX(PMEHVAC[Inc Rate Unit],MATCH(C30,PMEHVAC[Eff Desc 1],0)))</f>
        <v/>
      </c>
      <c r="AJ30" s="924"/>
      <c r="AK30" s="910" t="str">
        <f t="shared" ref="AK30" si="33">IFERROR(IF(OR(C30="",N30="",T30="",V30="",X30="",AA30="",AC30="",),"",IF(AW30&lt;=0,0,AW30)),"")</f>
        <v/>
      </c>
      <c r="AL30" s="911"/>
      <c r="AM30" s="911"/>
      <c r="AN30" s="975"/>
      <c r="AO30" s="957" t="str">
        <f t="shared" ref="AO30" si="34">IFERROR(IF(OR(C30="",N30="",V30="",X30="",T30="",AA30="",AC30=""),"",IF(BC30&lt;&gt;"",BC30,ROUND(IF(AK30&lt;=0,0,IF(AE30="Thermostat",MIN(AU30*1,AI30*V30),IF(AE30="$/0.1 kW/ton 
improvement/ton",MIN(AU30*1,(L30-N30)*10*V30*AI30),MIN(AU30*1,(N30-L30)*V30*AI30)))),2))),"")</f>
        <v/>
      </c>
      <c r="AP30" s="958"/>
      <c r="AQ30" s="959"/>
      <c r="AR30" s="59"/>
      <c r="AS30" s="59"/>
      <c r="AT30" s="59"/>
      <c r="AU30" s="813" t="str">
        <f t="shared" ref="AU30" si="35">IF(OR(C30="",N30="",T30="",V30="",X30="",AA30="",AE30="",AC30=""),"",IF(AK30="","",ROUND((AA30+AC30),2)))</f>
        <v/>
      </c>
      <c r="AV30" s="928" t="str">
        <f>IF(OR(C30="",N30="",T30="",V30="",X30="",AA30="",AC30="",AE30=""),"",ROUND(IF(ISNUMBER(SEARCH("Unit",AE30)),(V30/12)*(1/((-0.02*N30^2)+(1.12*N30)))*0.177*0.08*0.457,IF(ISNUMBER(SEARCH("kW",AE30)),V30*((R30)-(T30))*INDEX(ENDUSEALL[Lighting Coincidence Factor],MATCH(AX30,ENDUSEALL[End Use],0)),
IF(ISNUMBER(SEARCH("Thermostat",AE30)),INDEX(PMEHVAC[Savings per Unit kW],MATCH(C30,PMEHVAC[Eff Desc 1],0))*V30,
IF(ISNUMBER(SEARCH("IPLV",AE30)),V30*((R30)-(T30))*INDEX(ENDUSEALL[Lighting Coincidence Factor],MATCH(AX30,ENDUSEALL[End Use],0)),
(V30*12)*((1/L30)-(1/N30))*INDEX(ENDUSEALL[Lighting Coincidence Factor],MATCH(AX30,ENDUSEALL[End Use],0)))))),3))</f>
        <v/>
      </c>
      <c r="AW30" s="980" t="str">
        <f>IFERROR(ROUND(
IF(ISNUMBER(SEARCH("Thermostat",C30)),INDEX(PMEHVAC[Savings per Unit kWh],MATCH(C30,PMEHVAC[Eff Desc 1],0)),
IF(ISNUMBER(SEARCH("Water Cooled Chiller - Centrifugal",C30)),V30*((L30*1.143)-((1/(0.401/N30+0.383/N30+0.179/N30+0.037/N30))))*INDEX(PMEHVAC[EFLHcool],MATCH(C30,PMEHVAC[Eff Desc 1],0)),
IF(ISNUMBER(SEARCH("Water Cooled Chiller - Screw",C30)),V30*((L30*1.178)-((1/(0.401/N30+0.383/N30+0.179/N30+0.037/N30))))*INDEX(PMEHVAC[EFLHcool],MATCH(C30,PMEHVAC[Eff Desc 1],0)),
IF(ISNUMBER(SEARCH("Air Cooled Chiller",C30)),V30*(12/(L30*0.86)-12/(0.401*N30+0.383*N30+0.179*N30+0.037*N30))*INDEX(PMEHVAC[EFLHcool],MATCH(C30,PMEHVAC[Eff Desc 1],0)),
IF(ISNUMBER(SEARCH("DX",C30)),(V30*12)*((1/L30)-(1/N30))*INDEX(PMEHVAC[EFLHcool],MATCH(C30,PMEHVAC[Eff Desc 1],0)),
IF(ISNUMBER(SEARCH("PTAC",C30)),(V30*12)*((1/L30)-(1/N30))*INDEX(PMEHVAC[EFLHcool],MATCH(C30,PMEHVAC[Eff Desc 1],0)),
IF(ISNUMBER(SEARCH("PTHP",C30)),((V30*12)*((1/L30)-(1/N30))*INDEX(PMEHVAC[EFLHcool],MATCH(C30,PMEHVAC[Eff Desc 1],0)))+(((V30*12)/3.412)*((1/R30)-(1/T30))*INDEX(PMEHVAC[EFLHheat],MATCH(C30,PMEHVAC[Eff Desc 1],0))),
IF(OR(ISNUMBER(SEARCH("ASHP",C30)),ISNUMBER(SEARCH("WSHP",C30)),ISNUMBER(SEARCH("Water Source",C30)),ISNUMBER(SEARCH("GSHP",C30))),((((V30*12*INDEX(PMEHVAC[EFLHcool],MATCH(C30,PMEHVAC[Eff Desc 1],0)))*(1/L30)))-(V30*12*INDEX(PMEHVAC[EFLHcool],MATCH(C30,PMEHVAC[Eff Desc 1],0))*(1/N30)))+
IF(P30="HSPF2",(((V30*12*INDEX(PMEHVAC[EFLHheat],MATCH(C30,PMEHVAC[Eff Desc 1],0)))*(1/(R30*0.91))))-(((V30*12*INDEX(PMEHVAC[EFLHheat],MATCH(C30,PMEHVAC[Eff Desc 1],0)))*(1/(T30*0.91)))),
(((V30*12000*INDEX(PMEHVAC[EFLHheat],MATCH(C30,PMEHVAC[Eff Desc 1],0)))/3412*(1/R30-1/T30)))),
"")))))))),0),"")</f>
        <v/>
      </c>
      <c r="AX30" s="928" t="str">
        <f>IF(OR(C30="",N30="",T30="",V30="",X30="",AA30="",AE30="",AC30=""),"",INDEX(PMEHVAC[End Use Category],MATCH(C30,PMEHVAC[Eff Desc 1],0)))</f>
        <v/>
      </c>
      <c r="AY30" s="906" t="str">
        <f>IF(OR(C30="",N30="",T30="",V30="",X30="",AA30="",AE30="",AC30=""),"",INDEX(PMEHVAC[Therms],MATCH(C30,PMEHVAC[Eff Desc 1],0)))</f>
        <v/>
      </c>
      <c r="BC30" s="897" t="str">
        <f>IFERROR(IF(OR(C30="",N30="",V30="",X30="",T30="",AA30="",AC30=""),"",IF(OR(ISBLANK(M02S02F26),ISBLANK(M02S02F32),ISBLANK(M02S02F46)),MEASUREBLDG,IF(ISNUMBER(SEARCH("Thermostat",C30)),"",
IF(ISNUMBER(SEARCH("Water Cooled",C30)),IF(N30&gt;=L30,"Must Improve Efficiency",""),IF(N30&lt;=L30,"Must Improve Efficiency",""))))),"")</f>
        <v/>
      </c>
      <c r="BE30" s="811" t="str">
        <f ca="1">IF(OR(N30="",T30="",C30="",V30="",X30="",AA30="",AE30="",AC30=""),"",IF('M01-S01'!$V$82&lt;TODAY(),0,IF(M02S02F46="Gas Only",0,IF(OR(AK30="",AK30&lt;0,AU30&lt;=AO30),0,MIN(AU30-AO30,ROUND(AO30*0.2,2))))))</f>
        <v/>
      </c>
    </row>
    <row r="31" spans="2:59" customFormat="1" ht="15.95" customHeight="1">
      <c r="B31" s="834"/>
      <c r="C31" s="840"/>
      <c r="D31" s="841"/>
      <c r="E31" s="841"/>
      <c r="F31" s="841"/>
      <c r="G31" s="841"/>
      <c r="H31" s="841"/>
      <c r="I31" s="841"/>
      <c r="J31" s="955"/>
      <c r="K31" s="956"/>
      <c r="L31" s="973"/>
      <c r="M31" s="974"/>
      <c r="N31" s="969"/>
      <c r="O31" s="970"/>
      <c r="P31" s="955"/>
      <c r="Q31" s="956"/>
      <c r="R31" s="955"/>
      <c r="S31" s="956"/>
      <c r="T31" s="969"/>
      <c r="U31" s="970"/>
      <c r="V31" s="853"/>
      <c r="W31" s="854"/>
      <c r="X31" s="840"/>
      <c r="Y31" s="841"/>
      <c r="Z31" s="842"/>
      <c r="AA31" s="952"/>
      <c r="AB31" s="945"/>
      <c r="AC31" s="945"/>
      <c r="AD31" s="946"/>
      <c r="AE31" s="949"/>
      <c r="AF31" s="949"/>
      <c r="AG31" s="949"/>
      <c r="AH31" s="950"/>
      <c r="AI31" s="925"/>
      <c r="AJ31" s="870"/>
      <c r="AK31" s="912"/>
      <c r="AL31" s="913"/>
      <c r="AM31" s="913"/>
      <c r="AN31" s="942"/>
      <c r="AO31" s="960"/>
      <c r="AP31" s="961"/>
      <c r="AQ31" s="962"/>
      <c r="AR31" s="59"/>
      <c r="AS31" s="59"/>
      <c r="AT31" s="59"/>
      <c r="AU31" s="814"/>
      <c r="AV31" s="907"/>
      <c r="AW31" s="981"/>
      <c r="AX31" s="907"/>
      <c r="AY31" s="907"/>
      <c r="BA31" s="414"/>
      <c r="BC31" s="831"/>
      <c r="BE31" s="812"/>
    </row>
    <row r="32" spans="2:59" customFormat="1" ht="15.95" customHeight="1">
      <c r="B32" s="834">
        <v>9</v>
      </c>
      <c r="C32" s="871"/>
      <c r="D32" s="872"/>
      <c r="E32" s="872"/>
      <c r="F32" s="872"/>
      <c r="G32" s="872"/>
      <c r="H32" s="872"/>
      <c r="I32" s="872"/>
      <c r="J32" s="953" t="str">
        <f>IF(C32="","",INDEX(PMEHVAC[Base Desc 1],MATCH(C32,PMEHVAC[Eff Desc 1],0)))</f>
        <v/>
      </c>
      <c r="K32" s="954"/>
      <c r="L32" s="971" t="str">
        <f>IF(C32="","",INDEX(PMEHVAC[Base Desc 2],MATCH(C32,PMEHVAC[Eff Desc 1],0)))</f>
        <v/>
      </c>
      <c r="M32" s="972"/>
      <c r="N32" s="967" t="str">
        <f t="shared" ref="N32" si="36">IF(ISNUMBER(SEARCH("Thermostat",C32)),"1","")</f>
        <v/>
      </c>
      <c r="O32" s="968"/>
      <c r="P32" s="953" t="str">
        <f>IF(C32="","",INDEX(PMEHVAC[Base Watt],MATCH(C32,PMEHVAC[Eff Desc 1],0)))</f>
        <v/>
      </c>
      <c r="Q32" s="954"/>
      <c r="R32" s="953" t="str">
        <f>IF(C32="","",INDEX(PMEHVAC[Base Watt 2],MATCH(C32,PMEHVAC[Eff Desc 1],0)))</f>
        <v/>
      </c>
      <c r="S32" s="954"/>
      <c r="T32" s="967" t="str">
        <f t="shared" ref="T32" si="37">IF(ISNUMBER(SEARCH("Thermostat",C32)),"1","")</f>
        <v/>
      </c>
      <c r="U32" s="968"/>
      <c r="V32" s="851"/>
      <c r="W32" s="852"/>
      <c r="X32" s="837"/>
      <c r="Y32" s="838"/>
      <c r="Z32" s="839"/>
      <c r="AA32" s="951"/>
      <c r="AB32" s="943"/>
      <c r="AC32" s="943"/>
      <c r="AD32" s="944"/>
      <c r="AE32" s="947" t="str">
        <f>IF(C32="","",INDEX(PMEHVAC[Unit of Measure],MATCH(C32,PMEHVAC[Eff Desc 1],0)))</f>
        <v/>
      </c>
      <c r="AF32" s="947"/>
      <c r="AG32" s="947"/>
      <c r="AH32" s="948"/>
      <c r="AI32" s="923" t="str">
        <f>IF(OR(C32="",N32="",T32="",V32="",X32="",AA32="",AC32=""),"",INDEX(PMEHVAC[Inc Rate Unit],MATCH(C32,PMEHVAC[Eff Desc 1],0)))</f>
        <v/>
      </c>
      <c r="AJ32" s="924"/>
      <c r="AK32" s="910" t="str">
        <f t="shared" ref="AK32" si="38">IFERROR(IF(OR(C32="",N32="",T32="",V32="",X32="",AA32="",AC32="",),"",IF(AW32&lt;=0,0,AW32)),"")</f>
        <v/>
      </c>
      <c r="AL32" s="911"/>
      <c r="AM32" s="911"/>
      <c r="AN32" s="975"/>
      <c r="AO32" s="957" t="str">
        <f t="shared" ref="AO32" si="39">IFERROR(IF(OR(C32="",N32="",V32="",X32="",T32="",AA32="",AC32=""),"",IF(BC32&lt;&gt;"",BC32,ROUND(IF(AK32&lt;=0,0,IF(AE32="Thermostat",MIN(AU32*1,AI32*V32),IF(AE32="$/0.1 kW/ton 
improvement/ton",MIN(AU32*1,(L32-N32)*10*V32*AI32),MIN(AU32*1,(N32-L32)*V32*AI32)))),2))),"")</f>
        <v/>
      </c>
      <c r="AP32" s="958"/>
      <c r="AQ32" s="959"/>
      <c r="AR32" s="59"/>
      <c r="AS32" s="59"/>
      <c r="AT32" s="59"/>
      <c r="AU32" s="813" t="str">
        <f t="shared" ref="AU32" si="40">IF(OR(C32="",N32="",T32="",V32="",X32="",AA32="",AE32="",AC32=""),"",IF(AK32="","",ROUND((AA32+AC32),2)))</f>
        <v/>
      </c>
      <c r="AV32" s="928" t="str">
        <f>IF(OR(C32="",N32="",T32="",V32="",X32="",AA32="",AC32="",AE32=""),"",ROUND(IF(ISNUMBER(SEARCH("Unit",AE32)),(V32/12)*(1/((-0.02*N32^2)+(1.12*N32)))*0.177*0.08*0.457,IF(ISNUMBER(SEARCH("kW",AE32)),V32*((R32)-(T32))*INDEX(ENDUSEALL[Lighting Coincidence Factor],MATCH(AX32,ENDUSEALL[End Use],0)),
IF(ISNUMBER(SEARCH("Thermostat",AE32)),INDEX(PMEHVAC[Savings per Unit kW],MATCH(C32,PMEHVAC[Eff Desc 1],0))*V32,
IF(ISNUMBER(SEARCH("IPLV",AE32)),V32*((R32)-(T32))*INDEX(ENDUSEALL[Lighting Coincidence Factor],MATCH(AX32,ENDUSEALL[End Use],0)),
(V32*12)*((1/L32)-(1/N32))*INDEX(ENDUSEALL[Lighting Coincidence Factor],MATCH(AX32,ENDUSEALL[End Use],0)))))),3))</f>
        <v/>
      </c>
      <c r="AW32" s="980" t="str">
        <f>IFERROR(ROUND(
IF(ISNUMBER(SEARCH("Thermostat",C32)),INDEX(PMEHVAC[Savings per Unit kWh],MATCH(C32,PMEHVAC[Eff Desc 1],0)),
IF(ISNUMBER(SEARCH("Water Cooled Chiller - Centrifugal",C32)),V32*((L32*1.143)-((1/(0.401/N32+0.383/N32+0.179/N32+0.037/N32))))*INDEX(PMEHVAC[EFLHcool],MATCH(C32,PMEHVAC[Eff Desc 1],0)),
IF(ISNUMBER(SEARCH("Water Cooled Chiller - Screw",C32)),V32*((L32*1.178)-((1/(0.401/N32+0.383/N32+0.179/N32+0.037/N32))))*INDEX(PMEHVAC[EFLHcool],MATCH(C32,PMEHVAC[Eff Desc 1],0)),
IF(ISNUMBER(SEARCH("Air Cooled Chiller",C32)),V32*(12/(L32*0.86)-12/(0.401*N32+0.383*N32+0.179*N32+0.037*N32))*INDEX(PMEHVAC[EFLHcool],MATCH(C32,PMEHVAC[Eff Desc 1],0)),
IF(ISNUMBER(SEARCH("DX",C32)),(V32*12)*((1/L32)-(1/N32))*INDEX(PMEHVAC[EFLHcool],MATCH(C32,PMEHVAC[Eff Desc 1],0)),
IF(ISNUMBER(SEARCH("PTAC",C32)),(V32*12)*((1/L32)-(1/N32))*INDEX(PMEHVAC[EFLHcool],MATCH(C32,PMEHVAC[Eff Desc 1],0)),
IF(ISNUMBER(SEARCH("PTHP",C32)),((V32*12)*((1/L32)-(1/N32))*INDEX(PMEHVAC[EFLHcool],MATCH(C32,PMEHVAC[Eff Desc 1],0)))+(((V32*12)/3.412)*((1/R32)-(1/T32))*INDEX(PMEHVAC[EFLHheat],MATCH(C32,PMEHVAC[Eff Desc 1],0))),
IF(OR(ISNUMBER(SEARCH("ASHP",C32)),ISNUMBER(SEARCH("WSHP",C32)),ISNUMBER(SEARCH("Water Source",C32)),ISNUMBER(SEARCH("GSHP",C32))),((((V32*12*INDEX(PMEHVAC[EFLHcool],MATCH(C32,PMEHVAC[Eff Desc 1],0)))*(1/L32)))-(V32*12*INDEX(PMEHVAC[EFLHcool],MATCH(C32,PMEHVAC[Eff Desc 1],0))*(1/N32)))+
IF(P32="HSPF2",(((V32*12*INDEX(PMEHVAC[EFLHheat],MATCH(C32,PMEHVAC[Eff Desc 1],0)))*(1/(R32*0.91))))-(((V32*12*INDEX(PMEHVAC[EFLHheat],MATCH(C32,PMEHVAC[Eff Desc 1],0)))*(1/(T32*0.91)))),
(((V32*12000*INDEX(PMEHVAC[EFLHheat],MATCH(C32,PMEHVAC[Eff Desc 1],0)))/3412*(1/R32-1/T32)))),
"")))))))),0),"")</f>
        <v/>
      </c>
      <c r="AX32" s="928" t="str">
        <f>IF(OR(C32="",N32="",T32="",V32="",X32="",AA32="",AE32="",AC32=""),"",INDEX(PMEHVAC[End Use Category],MATCH(C32,PMEHVAC[Eff Desc 1],0)))</f>
        <v/>
      </c>
      <c r="AY32" s="906" t="str">
        <f>IF(OR(C32="",N32="",T32="",V32="",X32="",AA32="",AE32="",AC32=""),"",INDEX(PMEHVAC[Therms],MATCH(C32,PMEHVAC[Eff Desc 1],0)))</f>
        <v/>
      </c>
      <c r="BC32" s="897" t="str">
        <f>IFERROR(IF(OR(C32="",N32="",V32="",X32="",T32="",AA32="",AC32=""),"",IF(OR(ISBLANK(M02S02F26),ISBLANK(M02S02F32),ISBLANK(M02S02F46)),MEASUREBLDG,IF(ISNUMBER(SEARCH("Thermostat",C32)),"",
IF(ISNUMBER(SEARCH("Water Cooled",C32)),IF(N32&gt;=L32,"Must Improve Efficiency",""),IF(N32&lt;=L32,"Must Improve Efficiency",""))))),"")</f>
        <v/>
      </c>
      <c r="BE32" s="811" t="str">
        <f ca="1">IF(OR(N32="",T32="",C32="",V32="",X32="",AA32="",AE32="",AC32=""),"",IF('M01-S01'!$V$82&lt;TODAY(),0,IF(M02S02F46="Gas Only",0,IF(OR(AK32="",AK32&lt;0,AU32&lt;=AO32),0,MIN(AU32-AO32,ROUND(AO32*0.2,2))))))</f>
        <v/>
      </c>
    </row>
    <row r="33" spans="2:78" ht="15.95" customHeight="1">
      <c r="B33" s="834"/>
      <c r="C33" s="840"/>
      <c r="D33" s="841"/>
      <c r="E33" s="841"/>
      <c r="F33" s="841"/>
      <c r="G33" s="841"/>
      <c r="H33" s="841"/>
      <c r="I33" s="841"/>
      <c r="J33" s="955"/>
      <c r="K33" s="956"/>
      <c r="L33" s="973"/>
      <c r="M33" s="974"/>
      <c r="N33" s="969"/>
      <c r="O33" s="970"/>
      <c r="P33" s="955"/>
      <c r="Q33" s="956"/>
      <c r="R33" s="955"/>
      <c r="S33" s="956"/>
      <c r="T33" s="969"/>
      <c r="U33" s="970"/>
      <c r="V33" s="853"/>
      <c r="W33" s="854"/>
      <c r="X33" s="840"/>
      <c r="Y33" s="841"/>
      <c r="Z33" s="842"/>
      <c r="AA33" s="952"/>
      <c r="AB33" s="945"/>
      <c r="AC33" s="945"/>
      <c r="AD33" s="946"/>
      <c r="AE33" s="949"/>
      <c r="AF33" s="949"/>
      <c r="AG33" s="949"/>
      <c r="AH33" s="950"/>
      <c r="AI33" s="925"/>
      <c r="AJ33" s="870"/>
      <c r="AK33" s="912"/>
      <c r="AL33" s="913"/>
      <c r="AM33" s="913"/>
      <c r="AN33" s="942"/>
      <c r="AO33" s="960"/>
      <c r="AP33" s="961"/>
      <c r="AQ33" s="962"/>
      <c r="AR33" s="59"/>
      <c r="AU33" s="814"/>
      <c r="AV33" s="907"/>
      <c r="AW33" s="981"/>
      <c r="AX33" s="907"/>
      <c r="AY33" s="907"/>
      <c r="AZ33"/>
      <c r="BA33"/>
      <c r="BB33"/>
      <c r="BC33" s="831"/>
      <c r="BD33"/>
      <c r="BE33" s="812"/>
      <c r="BF33"/>
      <c r="BG33"/>
      <c r="BH33"/>
      <c r="BI33"/>
      <c r="BJ33"/>
      <c r="BK33"/>
      <c r="BL33"/>
      <c r="BM33"/>
      <c r="BN33"/>
      <c r="BO33"/>
      <c r="BP33"/>
      <c r="BQ33"/>
      <c r="BR33"/>
      <c r="BS33"/>
      <c r="BT33"/>
      <c r="BU33"/>
      <c r="BV33"/>
      <c r="BW33"/>
      <c r="BX33"/>
      <c r="BY33"/>
      <c r="BZ33"/>
    </row>
    <row r="34" spans="2:78" ht="15.95" customHeight="1">
      <c r="B34" s="834">
        <v>10</v>
      </c>
      <c r="C34" s="871"/>
      <c r="D34" s="872"/>
      <c r="E34" s="872"/>
      <c r="F34" s="872"/>
      <c r="G34" s="872"/>
      <c r="H34" s="872"/>
      <c r="I34" s="872"/>
      <c r="J34" s="953" t="str">
        <f>IF(C34="","",INDEX(PMEHVAC[Base Desc 1],MATCH(C34,PMEHVAC[Eff Desc 1],0)))</f>
        <v/>
      </c>
      <c r="K34" s="954"/>
      <c r="L34" s="971" t="str">
        <f>IF(C34="","",INDEX(PMEHVAC[Base Desc 2],MATCH(C34,PMEHVAC[Eff Desc 1],0)))</f>
        <v/>
      </c>
      <c r="M34" s="972"/>
      <c r="N34" s="967" t="str">
        <f t="shared" ref="N34" si="41">IF(ISNUMBER(SEARCH("Thermostat",C34)),"1","")</f>
        <v/>
      </c>
      <c r="O34" s="968"/>
      <c r="P34" s="953" t="str">
        <f>IF(C34="","",INDEX(PMEHVAC[Base Watt],MATCH(C34,PMEHVAC[Eff Desc 1],0)))</f>
        <v/>
      </c>
      <c r="Q34" s="954"/>
      <c r="R34" s="953" t="str">
        <f>IF(C34="","",INDEX(PMEHVAC[Base Watt 2],MATCH(C34,PMEHVAC[Eff Desc 1],0)))</f>
        <v/>
      </c>
      <c r="S34" s="954"/>
      <c r="T34" s="967" t="str">
        <f t="shared" ref="T34" si="42">IF(ISNUMBER(SEARCH("Thermostat",C34)),"1","")</f>
        <v/>
      </c>
      <c r="U34" s="968"/>
      <c r="V34" s="851"/>
      <c r="W34" s="852"/>
      <c r="X34" s="837"/>
      <c r="Y34" s="838"/>
      <c r="Z34" s="839"/>
      <c r="AA34" s="951"/>
      <c r="AB34" s="943"/>
      <c r="AC34" s="943"/>
      <c r="AD34" s="944"/>
      <c r="AE34" s="947" t="str">
        <f>IF(C34="","",INDEX(PMEHVAC[Unit of Measure],MATCH(C34,PMEHVAC[Eff Desc 1],0)))</f>
        <v/>
      </c>
      <c r="AF34" s="947"/>
      <c r="AG34" s="947"/>
      <c r="AH34" s="948"/>
      <c r="AI34" s="923" t="str">
        <f>IF(OR(C34="",N34="",T34="",V34="",X34="",AA34="",AC34=""),"",INDEX(PMEHVAC[Inc Rate Unit],MATCH(C34,PMEHVAC[Eff Desc 1],0)))</f>
        <v/>
      </c>
      <c r="AJ34" s="924"/>
      <c r="AK34" s="910" t="str">
        <f t="shared" ref="AK34" si="43">IFERROR(IF(OR(C34="",N34="",T34="",V34="",X34="",AA34="",AC34="",),"",IF(AW34&lt;=0,0,AW34)),"")</f>
        <v/>
      </c>
      <c r="AL34" s="911"/>
      <c r="AM34" s="911"/>
      <c r="AN34" s="975"/>
      <c r="AO34" s="957" t="str">
        <f t="shared" ref="AO34" si="44">IFERROR(IF(OR(C34="",N34="",V34="",X34="",T34="",AA34="",AC34=""),"",IF(BC34&lt;&gt;"",BC34,ROUND(IF(AK34&lt;=0,0,IF(AE34="Thermostat",MIN(AU34*1,AI34*V34),IF(AE34="$/0.1 kW/ton 
improvement/ton",MIN(AU34*1,(L34-N34)*10*V34*AI34),MIN(AU34*1,(N34-L34)*V34*AI34)))),2))),"")</f>
        <v/>
      </c>
      <c r="AP34" s="958"/>
      <c r="AQ34" s="959"/>
      <c r="AR34" s="59"/>
      <c r="AU34" s="813" t="str">
        <f t="shared" ref="AU34" si="45">IF(OR(C34="",N34="",T34="",V34="",X34="",AA34="",AE34="",AC34=""),"",IF(AK34="","",ROUND((AA34+AC34),2)))</f>
        <v/>
      </c>
      <c r="AV34" s="928" t="str">
        <f>IF(OR(C34="",N34="",T34="",V34="",X34="",AA34="",AC34="",AE34=""),"",ROUND(IF(ISNUMBER(SEARCH("Unit",AE34)),(V34/12)*(1/((-0.02*N34^2)+(1.12*N34)))*0.177*0.08*0.457,IF(ISNUMBER(SEARCH("kW",AE34)),V34*((R34)-(T34))*INDEX(ENDUSEALL[Lighting Coincidence Factor],MATCH(AX34,ENDUSEALL[End Use],0)),
IF(ISNUMBER(SEARCH("Thermostat",AE34)),INDEX(PMEHVAC[Savings per Unit kW],MATCH(C34,PMEHVAC[Eff Desc 1],0))*V34,
IF(ISNUMBER(SEARCH("IPLV",AE34)),V34*((R34)-(T34))*INDEX(ENDUSEALL[Lighting Coincidence Factor],MATCH(AX34,ENDUSEALL[End Use],0)),
(V34*12)*((1/L34)-(1/N34))*INDEX(ENDUSEALL[Lighting Coincidence Factor],MATCH(AX34,ENDUSEALL[End Use],0)))))),3))</f>
        <v/>
      </c>
      <c r="AW34" s="980" t="str">
        <f>IFERROR(ROUND(
IF(ISNUMBER(SEARCH("Thermostat",C34)),INDEX(PMEHVAC[Savings per Unit kWh],MATCH(C34,PMEHVAC[Eff Desc 1],0)),
IF(ISNUMBER(SEARCH("Water Cooled Chiller - Centrifugal",C34)),V34*((L34*1.143)-((1/(0.401/N34+0.383/N34+0.179/N34+0.037/N34))))*INDEX(PMEHVAC[EFLHcool],MATCH(C34,PMEHVAC[Eff Desc 1],0)),
IF(ISNUMBER(SEARCH("Water Cooled Chiller - Screw",C34)),V34*((L34*1.178)-((1/(0.401/N34+0.383/N34+0.179/N34+0.037/N34))))*INDEX(PMEHVAC[EFLHcool],MATCH(C34,PMEHVAC[Eff Desc 1],0)),
IF(ISNUMBER(SEARCH("Air Cooled Chiller",C34)),V34*(12/(L34*0.86)-12/(0.401*N34+0.383*N34+0.179*N34+0.037*N34))*INDEX(PMEHVAC[EFLHcool],MATCH(C34,PMEHVAC[Eff Desc 1],0)),
IF(ISNUMBER(SEARCH("DX",C34)),(V34*12)*((1/L34)-(1/N34))*INDEX(PMEHVAC[EFLHcool],MATCH(C34,PMEHVAC[Eff Desc 1],0)),
IF(ISNUMBER(SEARCH("PTAC",C34)),(V34*12)*((1/L34)-(1/N34))*INDEX(PMEHVAC[EFLHcool],MATCH(C34,PMEHVAC[Eff Desc 1],0)),
IF(ISNUMBER(SEARCH("PTHP",C34)),((V34*12)*((1/L34)-(1/N34))*INDEX(PMEHVAC[EFLHcool],MATCH(C34,PMEHVAC[Eff Desc 1],0)))+(((V34*12)/3.412)*((1/R34)-(1/T34))*INDEX(PMEHVAC[EFLHheat],MATCH(C34,PMEHVAC[Eff Desc 1],0))),
IF(OR(ISNUMBER(SEARCH("ASHP",C34)),ISNUMBER(SEARCH("WSHP",C34)),ISNUMBER(SEARCH("Water Source",C34)),ISNUMBER(SEARCH("GSHP",C34))),((((V34*12*INDEX(PMEHVAC[EFLHcool],MATCH(C34,PMEHVAC[Eff Desc 1],0)))*(1/L34)))-(V34*12*INDEX(PMEHVAC[EFLHcool],MATCH(C34,PMEHVAC[Eff Desc 1],0))*(1/N34)))+
IF(P34="HSPF2",(((V34*12*INDEX(PMEHVAC[EFLHheat],MATCH(C34,PMEHVAC[Eff Desc 1],0)))*(1/(R34*0.91))))-(((V34*12*INDEX(PMEHVAC[EFLHheat],MATCH(C34,PMEHVAC[Eff Desc 1],0)))*(1/(T34*0.91)))),
(((V34*12000*INDEX(PMEHVAC[EFLHheat],MATCH(C34,PMEHVAC[Eff Desc 1],0)))/3412*(1/R34-1/T34)))),
"")))))))),0),"")</f>
        <v/>
      </c>
      <c r="AX34" s="928" t="str">
        <f>IF(OR(C34="",N34="",T34="",V34="",X34="",AA34="",AE34="",AC34=""),"",INDEX(PMEHVAC[End Use Category],MATCH(C34,PMEHVAC[Eff Desc 1],0)))</f>
        <v/>
      </c>
      <c r="AY34" s="906" t="str">
        <f>IF(OR(C34="",N34="",T34="",V34="",X34="",AA34="",AE34="",AC34=""),"",INDEX(PMEHVAC[Therms],MATCH(C34,PMEHVAC[Eff Desc 1],0)))</f>
        <v/>
      </c>
      <c r="AZ34"/>
      <c r="BA34"/>
      <c r="BB34"/>
      <c r="BC34" s="897" t="str">
        <f>IFERROR(IF(OR(C34="",N34="",V34="",X34="",T34="",AA34="",AC34=""),"",IF(OR(ISBLANK(M02S02F26),ISBLANK(M02S02F32),ISBLANK(M02S02F46)),MEASUREBLDG,IF(ISNUMBER(SEARCH("Thermostat",C34)),"",
IF(ISNUMBER(SEARCH("Water Cooled",C34)),IF(N34&gt;=L34,"Must Improve Efficiency",""),IF(N34&lt;=L34,"Must Improve Efficiency",""))))),"")</f>
        <v/>
      </c>
      <c r="BD34"/>
      <c r="BE34" s="811" t="str">
        <f ca="1">IF(OR(N34="",T34="",C34="",V34="",X34="",AA34="",AE34="",AC34=""),"",IF('M01-S01'!$V$82&lt;TODAY(),0,IF(M02S02F46="Gas Only",0,IF(OR(AK34="",AK34&lt;0,AU34&lt;=AO34),0,MIN(AU34-AO34,ROUND(AO34*0.2,2))))))</f>
        <v/>
      </c>
      <c r="BF34"/>
      <c r="BG34"/>
      <c r="BH34"/>
      <c r="BI34"/>
      <c r="BJ34"/>
      <c r="BK34"/>
      <c r="BL34"/>
      <c r="BM34"/>
      <c r="BN34"/>
      <c r="BO34"/>
      <c r="BP34"/>
      <c r="BQ34"/>
      <c r="BR34"/>
      <c r="BS34"/>
      <c r="BT34"/>
      <c r="BU34"/>
      <c r="BV34"/>
      <c r="BW34"/>
      <c r="BX34"/>
      <c r="BY34"/>
      <c r="BZ34"/>
    </row>
    <row r="35" spans="2:78" ht="15.95" customHeight="1">
      <c r="B35" s="834"/>
      <c r="C35" s="840"/>
      <c r="D35" s="841"/>
      <c r="E35" s="841"/>
      <c r="F35" s="841"/>
      <c r="G35" s="841"/>
      <c r="H35" s="841"/>
      <c r="I35" s="841"/>
      <c r="J35" s="955"/>
      <c r="K35" s="956"/>
      <c r="L35" s="973"/>
      <c r="M35" s="974"/>
      <c r="N35" s="969"/>
      <c r="O35" s="970"/>
      <c r="P35" s="955"/>
      <c r="Q35" s="956"/>
      <c r="R35" s="955"/>
      <c r="S35" s="956"/>
      <c r="T35" s="969"/>
      <c r="U35" s="970"/>
      <c r="V35" s="853"/>
      <c r="W35" s="854"/>
      <c r="X35" s="840"/>
      <c r="Y35" s="841"/>
      <c r="Z35" s="842"/>
      <c r="AA35" s="952"/>
      <c r="AB35" s="945"/>
      <c r="AC35" s="945"/>
      <c r="AD35" s="946"/>
      <c r="AE35" s="949"/>
      <c r="AF35" s="949"/>
      <c r="AG35" s="949"/>
      <c r="AH35" s="950"/>
      <c r="AI35" s="925"/>
      <c r="AJ35" s="870"/>
      <c r="AK35" s="912"/>
      <c r="AL35" s="913"/>
      <c r="AM35" s="913"/>
      <c r="AN35" s="942"/>
      <c r="AO35" s="960"/>
      <c r="AP35" s="961"/>
      <c r="AQ35" s="962"/>
      <c r="AR35" s="59"/>
      <c r="AU35" s="814"/>
      <c r="AV35" s="907"/>
      <c r="AW35" s="981"/>
      <c r="AX35" s="907"/>
      <c r="AY35" s="907"/>
      <c r="AZ35"/>
      <c r="BA35"/>
      <c r="BB35"/>
      <c r="BC35" s="831"/>
      <c r="BD35"/>
      <c r="BE35" s="812"/>
      <c r="BF35"/>
      <c r="BG35"/>
      <c r="BH35"/>
      <c r="BI35"/>
      <c r="BJ35"/>
      <c r="BK35"/>
      <c r="BL35"/>
      <c r="BM35"/>
      <c r="BN35"/>
      <c r="BO35"/>
      <c r="BP35"/>
      <c r="BQ35"/>
      <c r="BR35"/>
      <c r="BS35"/>
      <c r="BT35"/>
      <c r="BU35"/>
      <c r="BV35"/>
      <c r="BW35"/>
      <c r="BX35"/>
      <c r="BY35"/>
      <c r="BZ35"/>
    </row>
    <row r="36" spans="2:78" ht="15.95" hidden="1" customHeight="1">
      <c r="B36" s="834">
        <v>11</v>
      </c>
      <c r="C36" s="871"/>
      <c r="D36" s="872"/>
      <c r="E36" s="872"/>
      <c r="F36" s="872"/>
      <c r="G36" s="872"/>
      <c r="H36" s="872"/>
      <c r="I36" s="872"/>
      <c r="J36" s="953" t="str">
        <f>IF(C36="","",INDEX(PMEHVAC[Base Desc 1],MATCH(C36,PMEHVAC[Eff Desc 1],0)))</f>
        <v/>
      </c>
      <c r="K36" s="954"/>
      <c r="L36" s="963" t="str">
        <f>IF(C36="","",INDEX(PMEHVAC[Base Desc 2],MATCH(C36,PMEHVAC[Eff Desc 1],0)))</f>
        <v/>
      </c>
      <c r="M36" s="964"/>
      <c r="N36" s="851"/>
      <c r="O36" s="852"/>
      <c r="P36" s="953" t="str">
        <f>IF(C36="","",INDEX(PMEHVAC[Base Watt],MATCH(C36,PMEHVAC[Eff Desc 1],0)))</f>
        <v/>
      </c>
      <c r="Q36" s="954"/>
      <c r="R36" s="953" t="str">
        <f>IF(C36="","",INDEX(PMEHVAC[Base Watt 2],MATCH(C36,PMEHVAC[Eff Desc 1],0)))</f>
        <v/>
      </c>
      <c r="S36" s="954"/>
      <c r="T36" s="967"/>
      <c r="U36" s="968"/>
      <c r="V36" s="851"/>
      <c r="W36" s="852"/>
      <c r="X36" s="837"/>
      <c r="Y36" s="838"/>
      <c r="Z36" s="839"/>
      <c r="AA36" s="951"/>
      <c r="AB36" s="943"/>
      <c r="AC36" s="943"/>
      <c r="AD36" s="944"/>
      <c r="AE36" s="947" t="str">
        <f>IF(C36="","",INDEX(PMEHVAC[Unit of Measure],MATCH(C36,PMEHVAC[Eff Desc 1],0)))</f>
        <v/>
      </c>
      <c r="AF36" s="947"/>
      <c r="AG36" s="947"/>
      <c r="AH36" s="948"/>
      <c r="AI36" s="923" t="str">
        <f>IF(OR(C36="",N36="",T36="",V36="",X36="",AA36="",AC36=""),"",INDEX(PMEHVAC[Inc Rate Unit],MATCH(C36,PMEHVAC[Eff Desc 1],0)))</f>
        <v/>
      </c>
      <c r="AJ36" s="924"/>
      <c r="AK36" s="939" t="str">
        <f t="shared" ref="AK36" si="46">IFERROR(IF(OR(C36="",N36="",T36="",V36="",X36="",AA36="",AC36="",),"",AW36),"")</f>
        <v/>
      </c>
      <c r="AL36" s="940"/>
      <c r="AM36" s="940"/>
      <c r="AN36" s="941"/>
      <c r="AO36" s="930" t="str">
        <f t="shared" ref="AO36" si="47">IFERROR(IF(OR(C36="",N36="",V36="",X36="",T36="",AA36="",AC36=""),"",IF(BC36&lt;&gt;"",BC36,ROUND(IF(AK36&lt;=0,0,IF(AE36="unit",MIN(AU36*1,AI36),MIN(AU36*1,(N36-L36)*V36*AI36))),2))),"")</f>
        <v/>
      </c>
      <c r="AP36" s="931"/>
      <c r="AQ36" s="868"/>
      <c r="AR36" s="59"/>
      <c r="AU36" s="813" t="str">
        <f t="shared" ref="AU36" si="48">IF(OR(C36="",N36="",T36="",V36="",X36="",AA36="",AE36="",AC36=""),"",IF(AK36="","",ROUND((AA36+AC36),2)))</f>
        <v/>
      </c>
      <c r="AV36" s="928" t="str">
        <f>IF(OR(C36="",N36="",T36="",V36="",X36="",AA36="",AC36="",AE36=""),"",ROUND(IF(ISNUMBER(SEARCH("Unit",AE36)),(V36/12)*(1/((-0.02*N36^2)+(1.12*N36)))*0.177*0.08*0.457,
(V36*12)*((1/L36)-(1/N36))*INDEX(ENDUSEALL[Lighting Coincidence Factor],MATCH(AX36,ENDUSEALL[End Use],0))),3))</f>
        <v/>
      </c>
      <c r="AW36" s="906" t="str">
        <f>IFERROR(ROUND(
IF(ISNUMBER(SEARCH("DX",C36)),(V36*12)*((1/L36)-(1/N36))*INDEX(PMEHVAC[EFLHcool],MATCH(C36,PMEHVAC[Eff Desc 1],0)),
IF(ISNUMBER(SEARCH("PTAC",C36)),(V36*12)*((1/L36)-(1/N36))*INDEX(PMEHVAC[EFLHcool],MATCH(C36,PMEHVAC[Eff Desc 1],0)),
IF(ISNUMBER(SEARCH("PTHP",C36)),((V36*12)*((1/L36)-(1/N36))*INDEX(PMEHVAC[EFLHcool],MATCH(C36,PMEHVAC[Eff Desc 1],0)))+(((V36*12)/3.412)*((1/R36)-(1/T36))*INDEX(PMEHVAC[EFLHheat],MATCH(C36,PMEHVAC[Eff Desc 1],0))),
IF(OR(ISNUMBER(SEARCH("ASHP",C36)),ISNUMBER(SEARCH("WSHP",C36)),ISNUMBER(SEARCH("Water Source",C36)),ISNUMBER(SEARCH("GSHP",C36))),((V36*12)*((1/L36)-(1/N36))*INDEX(PMEHVAC[EFLHcool],MATCH(C36,PMEHVAC[Eff Desc 1],0)))+(IF(P36="HSPF",(V36*12),((V36*12)/3.412))*((1/R36)-(1/T36))*INDEX(PMEHVAC[EFLHheat],MATCH(C36,PMEHVAC[Eff Desc 1],0))),
"")))),0),"")</f>
        <v/>
      </c>
      <c r="AX36" s="928" t="str">
        <f>IF(OR(C36="",N36="",T36="",V36="",X36="",AA36="",AE36="",AC36=""),"",INDEX(PMEHVAC[End Use Category],MATCH(C36,PMEHVAC[Eff Desc 1],0)))</f>
        <v/>
      </c>
    </row>
    <row r="37" spans="2:78" ht="15.95" hidden="1" customHeight="1">
      <c r="B37" s="834"/>
      <c r="C37" s="840"/>
      <c r="D37" s="841"/>
      <c r="E37" s="841"/>
      <c r="F37" s="841"/>
      <c r="G37" s="841"/>
      <c r="H37" s="841"/>
      <c r="I37" s="841"/>
      <c r="J37" s="955"/>
      <c r="K37" s="956"/>
      <c r="L37" s="965"/>
      <c r="M37" s="966"/>
      <c r="N37" s="853"/>
      <c r="O37" s="854"/>
      <c r="P37" s="955"/>
      <c r="Q37" s="956"/>
      <c r="R37" s="955"/>
      <c r="S37" s="956"/>
      <c r="T37" s="969"/>
      <c r="U37" s="970"/>
      <c r="V37" s="853"/>
      <c r="W37" s="854"/>
      <c r="X37" s="840"/>
      <c r="Y37" s="841"/>
      <c r="Z37" s="842"/>
      <c r="AA37" s="952"/>
      <c r="AB37" s="945"/>
      <c r="AC37" s="945"/>
      <c r="AD37" s="946"/>
      <c r="AE37" s="949"/>
      <c r="AF37" s="949"/>
      <c r="AG37" s="949"/>
      <c r="AH37" s="950"/>
      <c r="AI37" s="925"/>
      <c r="AJ37" s="870"/>
      <c r="AK37" s="912"/>
      <c r="AL37" s="913"/>
      <c r="AM37" s="913"/>
      <c r="AN37" s="942"/>
      <c r="AO37" s="925"/>
      <c r="AP37" s="932"/>
      <c r="AQ37" s="870"/>
      <c r="AR37" s="59"/>
      <c r="AU37" s="814"/>
      <c r="AV37" s="907"/>
      <c r="AW37" s="907"/>
      <c r="AX37" s="907"/>
    </row>
    <row r="38" spans="2:78" ht="15.95" hidden="1" customHeight="1">
      <c r="B38" s="834">
        <v>12</v>
      </c>
      <c r="C38" s="871"/>
      <c r="D38" s="872"/>
      <c r="E38" s="872"/>
      <c r="F38" s="872"/>
      <c r="G38" s="872"/>
      <c r="H38" s="872"/>
      <c r="I38" s="872"/>
      <c r="J38" s="953" t="str">
        <f>IF(C38="","",INDEX(PMEHVAC[Base Desc 1],MATCH(C38,PMEHVAC[Eff Desc 1],0)))</f>
        <v/>
      </c>
      <c r="K38" s="954"/>
      <c r="L38" s="953" t="str">
        <f>IF(C38="","",INDEX(PMEHVAC[Base Desc 2],MATCH(C38,PMEHVAC[Eff Desc 1],0)))</f>
        <v/>
      </c>
      <c r="M38" s="954"/>
      <c r="N38" s="851"/>
      <c r="O38" s="852"/>
      <c r="P38" s="953" t="str">
        <f>IF(C38="","",INDEX(PMEHVAC[Base Watt],MATCH(C38,PMEHVAC[Eff Desc 1],0)))</f>
        <v/>
      </c>
      <c r="Q38" s="954"/>
      <c r="R38" s="953" t="str">
        <f>IF(C38="","",INDEX(PMEHVAC[Base Watt 2],MATCH(C38,PMEHVAC[Eff Desc 1],0)))</f>
        <v/>
      </c>
      <c r="S38" s="954"/>
      <c r="T38" s="967"/>
      <c r="U38" s="968"/>
      <c r="V38" s="851"/>
      <c r="W38" s="852"/>
      <c r="X38" s="837"/>
      <c r="Y38" s="838"/>
      <c r="Z38" s="839"/>
      <c r="AA38" s="951"/>
      <c r="AB38" s="943"/>
      <c r="AC38" s="943"/>
      <c r="AD38" s="944"/>
      <c r="AE38" s="947" t="str">
        <f>IF(C38="","",INDEX(PMEHVAC[Unit of Measure],MATCH(C38,PMEHVAC[Eff Desc 1],0)))</f>
        <v/>
      </c>
      <c r="AF38" s="947"/>
      <c r="AG38" s="947"/>
      <c r="AH38" s="948"/>
      <c r="AI38" s="923" t="str">
        <f>IF(OR(C38="",N38="",T38="",V38="",X38="",AA38="",AC38=""),"",INDEX(PMEHVAC[Inc Rate Unit],MATCH(C38,PMEHVAC[Eff Desc 1],0)))</f>
        <v/>
      </c>
      <c r="AJ38" s="924"/>
      <c r="AK38" s="939" t="str">
        <f t="shared" ref="AK38" si="49">IFERROR(IF(OR(C38="",N38="",T38="",V38="",X38="",AA38="",AC38="",),"",AW38),"")</f>
        <v/>
      </c>
      <c r="AL38" s="940"/>
      <c r="AM38" s="940"/>
      <c r="AN38" s="941"/>
      <c r="AO38" s="930" t="str">
        <f t="shared" ref="AO38" si="50">IFERROR(IF(OR(C38="",N38="",V38="",X38="",T38="",AA38="",AC38=""),"",IF(BC38&lt;&gt;"",BC38,ROUND(IF(AK38&lt;=0,0,IF(AE38="unit",MIN(AU38*1,AI38),MIN(AU38*1,(N38-L38)*V38*AI38))),2))),"")</f>
        <v/>
      </c>
      <c r="AP38" s="931"/>
      <c r="AQ38" s="868"/>
      <c r="AR38" s="59"/>
      <c r="AU38" s="813" t="str">
        <f t="shared" ref="AU38" si="51">IF(OR(C38="",N38="",T38="",V38="",X38="",AA38="",AE38="",AC38=""),"",IF(AK38="","",ROUND((AA38+AC38),2)))</f>
        <v/>
      </c>
      <c r="AV38" s="928" t="str">
        <f>IF(OR(C38="",N38="",T38="",V38="",X38="",AA38="",AC38="",AE38=""),"",ROUND(IF(ISNUMBER(SEARCH("Unit",AE38)),(V38/12)*(1/((-0.02*N38^2)+(1.12*N38)))*0.177*0.08*0.457,
(V38*12)*((1/L38)-(1/N38))*INDEX(ENDUSEALL[Lighting Coincidence Factor],MATCH(AX38,ENDUSEALL[End Use],0))),3))</f>
        <v/>
      </c>
      <c r="AW38" s="906" t="str">
        <f>IFERROR(ROUND(
IF(ISNUMBER(SEARCH("DX",C38)),(V38*12)*((1/L38)-(1/N38))*INDEX(PMEHVAC[EFLHcool],MATCH(C38,PMEHVAC[Eff Desc 1],0)),
IF(ISNUMBER(SEARCH("PTAC",C38)),(V38*12)*((1/L38)-(1/N38))*INDEX(PMEHVAC[EFLHcool],MATCH(C38,PMEHVAC[Eff Desc 1],0)),
IF(ISNUMBER(SEARCH("PTHP",C38)),((V38*12)*((1/L38)-(1/N38))*INDEX(PMEHVAC[EFLHcool],MATCH(C38,PMEHVAC[Eff Desc 1],0)))+(((V38*12)/3.412)*((1/R38)-(1/T38))*INDEX(PMEHVAC[EFLHheat],MATCH(C38,PMEHVAC[Eff Desc 1],0))),
IF(OR(ISNUMBER(SEARCH("ASHP",C38)),ISNUMBER(SEARCH("WSHP",C38)),ISNUMBER(SEARCH("Water Source",C38)),ISNUMBER(SEARCH("GSHP",C38))),((V38*12)*((1/L38)-(1/N38))*INDEX(PMEHVAC[EFLHcool],MATCH(C38,PMEHVAC[Eff Desc 1],0)))+(IF(P38="HSPF",(V38*12),((V38*12)/3.412))*((1/R38)-(1/T38))*INDEX(PMEHVAC[EFLHheat],MATCH(C38,PMEHVAC[Eff Desc 1],0))),
"")))),0),"")</f>
        <v/>
      </c>
      <c r="AX38" s="928" t="str">
        <f>IF(OR(C38="",N38="",T38="",V38="",X38="",AA38="",AE38="",AC38=""),"",INDEX(PMEHVAC[End Use Category],MATCH(C38,PMEHVAC[Eff Desc 1],0)))</f>
        <v/>
      </c>
    </row>
    <row r="39" spans="2:78" ht="15.95" hidden="1" customHeight="1">
      <c r="B39" s="834"/>
      <c r="C39" s="840"/>
      <c r="D39" s="841"/>
      <c r="E39" s="841"/>
      <c r="F39" s="841"/>
      <c r="G39" s="841"/>
      <c r="H39" s="841"/>
      <c r="I39" s="841"/>
      <c r="J39" s="955"/>
      <c r="K39" s="956"/>
      <c r="L39" s="955"/>
      <c r="M39" s="956"/>
      <c r="N39" s="853"/>
      <c r="O39" s="854"/>
      <c r="P39" s="955"/>
      <c r="Q39" s="956"/>
      <c r="R39" s="955"/>
      <c r="S39" s="956"/>
      <c r="T39" s="969"/>
      <c r="U39" s="970"/>
      <c r="V39" s="853"/>
      <c r="W39" s="854"/>
      <c r="X39" s="840"/>
      <c r="Y39" s="841"/>
      <c r="Z39" s="842"/>
      <c r="AA39" s="952"/>
      <c r="AB39" s="945"/>
      <c r="AC39" s="945"/>
      <c r="AD39" s="946"/>
      <c r="AE39" s="949"/>
      <c r="AF39" s="949"/>
      <c r="AG39" s="949"/>
      <c r="AH39" s="950"/>
      <c r="AI39" s="925"/>
      <c r="AJ39" s="870"/>
      <c r="AK39" s="912"/>
      <c r="AL39" s="913"/>
      <c r="AM39" s="913"/>
      <c r="AN39" s="942"/>
      <c r="AO39" s="925"/>
      <c r="AP39" s="932"/>
      <c r="AQ39" s="870"/>
      <c r="AR39" s="59"/>
      <c r="AU39" s="814"/>
      <c r="AV39" s="907"/>
      <c r="AW39" s="907"/>
      <c r="AX39" s="907"/>
      <c r="BA39" s="596"/>
    </row>
    <row r="40" spans="2:78" ht="15.95" hidden="1" customHeight="1">
      <c r="B40" s="834">
        <v>13</v>
      </c>
      <c r="C40" s="871"/>
      <c r="D40" s="872"/>
      <c r="E40" s="872"/>
      <c r="F40" s="872"/>
      <c r="G40" s="872"/>
      <c r="H40" s="872"/>
      <c r="I40" s="872"/>
      <c r="J40" s="953" t="str">
        <f>IF(C40="","",INDEX(PMEHVAC[Base Desc 1],MATCH(C40,PMEHVAC[Eff Desc 1],0)))</f>
        <v/>
      </c>
      <c r="K40" s="954"/>
      <c r="L40" s="953" t="str">
        <f>IF(C40="","",INDEX(PMEHVAC[Base Desc 2],MATCH(C40,PMEHVAC[Eff Desc 1],0)))</f>
        <v/>
      </c>
      <c r="M40" s="954"/>
      <c r="N40" s="851"/>
      <c r="O40" s="852"/>
      <c r="P40" s="953" t="str">
        <f>IF(C40="","",INDEX(PMEHVAC[Base Watt],MATCH(C40,PMEHVAC[Eff Desc 1],0)))</f>
        <v/>
      </c>
      <c r="Q40" s="954"/>
      <c r="R40" s="953" t="str">
        <f>IF(C40="","",INDEX(PMEHVAC[Base Watt 2],MATCH(C40,PMEHVAC[Eff Desc 1],0)))</f>
        <v/>
      </c>
      <c r="S40" s="954"/>
      <c r="T40" s="967"/>
      <c r="U40" s="968"/>
      <c r="V40" s="851"/>
      <c r="W40" s="852"/>
      <c r="X40" s="837"/>
      <c r="Y40" s="838"/>
      <c r="Z40" s="839"/>
      <c r="AA40" s="951"/>
      <c r="AB40" s="943"/>
      <c r="AC40" s="943"/>
      <c r="AD40" s="944"/>
      <c r="AE40" s="947" t="str">
        <f>IF(C40="","",INDEX(PMEHVAC[Unit of Measure],MATCH(C40,PMEHVAC[Eff Desc 1],0)))</f>
        <v/>
      </c>
      <c r="AF40" s="947"/>
      <c r="AG40" s="947"/>
      <c r="AH40" s="948"/>
      <c r="AI40" s="923" t="str">
        <f>IF(OR(C40="",N40="",T40="",V40="",X40="",AA40="",AC40=""),"",INDEX(PMEHVAC[Inc Rate Unit],MATCH(C40,PMEHVAC[Eff Desc 1],0)))</f>
        <v/>
      </c>
      <c r="AJ40" s="924"/>
      <c r="AK40" s="939" t="str">
        <f t="shared" ref="AK40" si="52">IFERROR(IF(OR(C40="",N40="",T40="",V40="",X40="",AA40="",AC40="",),"",AW40),"")</f>
        <v/>
      </c>
      <c r="AL40" s="940"/>
      <c r="AM40" s="940"/>
      <c r="AN40" s="941"/>
      <c r="AO40" s="930" t="str">
        <f t="shared" ref="AO40" si="53">IFERROR(IF(OR(C40="",N40="",V40="",X40="",T40="",AA40="",AC40=""),"",IF(BC40&lt;&gt;"",BC40,ROUND(IF(AK40&lt;=0,0,IF(AE40="unit",MIN(AU40*1,AI40),MIN(AU40*1,(N40-L40)*V40*AI40))),2))),"")</f>
        <v/>
      </c>
      <c r="AP40" s="931"/>
      <c r="AQ40" s="868"/>
      <c r="AR40" s="59"/>
      <c r="AU40" s="813" t="str">
        <f t="shared" ref="AU40" si="54">IF(OR(C40="",N40="",T40="",V40="",X40="",AA40="",AE40="",AC40=""),"",IF(AK40="","",ROUND((AA40+AC40),2)))</f>
        <v/>
      </c>
      <c r="AV40" s="928" t="str">
        <f>IF(OR(C40="",N40="",T40="",V40="",X40="",AA40="",AC40="",AE40=""),"",ROUND(IF(ISNUMBER(SEARCH("Unit",AE40)),(V40/12)*(1/((-0.02*N40^2)+(1.12*N40)))*0.177*0.08*0.457,
(V40*12)*((1/L40)-(1/N40))*INDEX(ENDUSEALL[Lighting Coincidence Factor],MATCH(AX40,ENDUSEALL[End Use],0))),3))</f>
        <v/>
      </c>
      <c r="AW40" s="906" t="str">
        <f>IFERROR(ROUND(
IF(ISNUMBER(SEARCH("DX",C40)),(V40*12)*((1/L40)-(1/N40))*INDEX(PMEHVAC[EFLHcool],MATCH(C40,PMEHVAC[Eff Desc 1],0)),
IF(ISNUMBER(SEARCH("PTAC",C40)),(V40*12)*((1/L40)-(1/N40))*INDEX(PMEHVAC[EFLHcool],MATCH(C40,PMEHVAC[Eff Desc 1],0)),
IF(ISNUMBER(SEARCH("PTHP",C40)),((V40*12)*((1/L40)-(1/N40))*INDEX(PMEHVAC[EFLHcool],MATCH(C40,PMEHVAC[Eff Desc 1],0)))+(((V40*12)/3.412)*((1/R40)-(1/T40))*INDEX(PMEHVAC[EFLHheat],MATCH(C40,PMEHVAC[Eff Desc 1],0))),
IF(OR(ISNUMBER(SEARCH("ASHP",C40)),ISNUMBER(SEARCH("WSHP",C40)),ISNUMBER(SEARCH("Water Source",C40)),ISNUMBER(SEARCH("GSHP",C40))),((V40*12)*((1/L40)-(1/N40))*INDEX(PMEHVAC[EFLHcool],MATCH(C40,PMEHVAC[Eff Desc 1],0)))+(IF(P40="HSPF",(V40*12),((V40*12)/3.412))*((1/R40)-(1/T40))*INDEX(PMEHVAC[EFLHheat],MATCH(C40,PMEHVAC[Eff Desc 1],0))),
"")))),0),"")</f>
        <v/>
      </c>
      <c r="AX40" s="928" t="str">
        <f>IF(OR(C40="",N40="",T40="",V40="",X40="",AA40="",AE40="",AC40=""),"",INDEX(PMEHVAC[End Use Category],MATCH(C40,PMEHVAC[Eff Desc 1],0)))</f>
        <v/>
      </c>
    </row>
    <row r="41" spans="2:78" ht="15.95" hidden="1" customHeight="1">
      <c r="B41" s="834"/>
      <c r="C41" s="840"/>
      <c r="D41" s="841"/>
      <c r="E41" s="841"/>
      <c r="F41" s="841"/>
      <c r="G41" s="841"/>
      <c r="H41" s="841"/>
      <c r="I41" s="841"/>
      <c r="J41" s="955"/>
      <c r="K41" s="956"/>
      <c r="L41" s="955"/>
      <c r="M41" s="956"/>
      <c r="N41" s="853"/>
      <c r="O41" s="854"/>
      <c r="P41" s="955"/>
      <c r="Q41" s="956"/>
      <c r="R41" s="955"/>
      <c r="S41" s="956"/>
      <c r="T41" s="969"/>
      <c r="U41" s="970"/>
      <c r="V41" s="853"/>
      <c r="W41" s="854"/>
      <c r="X41" s="840"/>
      <c r="Y41" s="841"/>
      <c r="Z41" s="842"/>
      <c r="AA41" s="952"/>
      <c r="AB41" s="945"/>
      <c r="AC41" s="945"/>
      <c r="AD41" s="946"/>
      <c r="AE41" s="949"/>
      <c r="AF41" s="949"/>
      <c r="AG41" s="949"/>
      <c r="AH41" s="950"/>
      <c r="AI41" s="925"/>
      <c r="AJ41" s="870"/>
      <c r="AK41" s="912"/>
      <c r="AL41" s="913"/>
      <c r="AM41" s="913"/>
      <c r="AN41" s="942"/>
      <c r="AO41" s="925"/>
      <c r="AP41" s="932"/>
      <c r="AQ41" s="870"/>
      <c r="AR41" s="59"/>
      <c r="AU41" s="814"/>
      <c r="AV41" s="907"/>
      <c r="AW41" s="907"/>
      <c r="AX41" s="907"/>
    </row>
    <row r="42" spans="2:78" ht="15.95" hidden="1" customHeight="1">
      <c r="B42" s="834">
        <v>14</v>
      </c>
      <c r="C42" s="871"/>
      <c r="D42" s="872"/>
      <c r="E42" s="872"/>
      <c r="F42" s="872"/>
      <c r="G42" s="872"/>
      <c r="H42" s="872"/>
      <c r="I42" s="872"/>
      <c r="J42" s="953" t="str">
        <f>IF(C42="","",INDEX(PMEHVAC[Base Desc 1],MATCH(C42,PMEHVAC[Eff Desc 1],0)))</f>
        <v/>
      </c>
      <c r="K42" s="954"/>
      <c r="L42" s="953" t="str">
        <f>IF(C42="","",INDEX(PMEHVAC[Base Desc 2],MATCH(C42,PMEHVAC[Eff Desc 1],0)))</f>
        <v/>
      </c>
      <c r="M42" s="954"/>
      <c r="N42" s="851"/>
      <c r="O42" s="852"/>
      <c r="P42" s="953" t="str">
        <f>IF(C42="","",INDEX(PMEHVAC[Base Watt],MATCH(C42,PMEHVAC[Eff Desc 1],0)))</f>
        <v/>
      </c>
      <c r="Q42" s="954"/>
      <c r="R42" s="953" t="str">
        <f>IF(C42="","",INDEX(PMEHVAC[Base Watt 2],MATCH(C42,PMEHVAC[Eff Desc 1],0)))</f>
        <v/>
      </c>
      <c r="S42" s="954"/>
      <c r="T42" s="967"/>
      <c r="U42" s="968"/>
      <c r="V42" s="851"/>
      <c r="W42" s="852"/>
      <c r="X42" s="837"/>
      <c r="Y42" s="838"/>
      <c r="Z42" s="839"/>
      <c r="AA42" s="951"/>
      <c r="AB42" s="943"/>
      <c r="AC42" s="943"/>
      <c r="AD42" s="944"/>
      <c r="AE42" s="947" t="str">
        <f>IF(C42="","",INDEX(PMEHVAC[Unit of Measure],MATCH(C42,PMEHVAC[Eff Desc 1],0)))</f>
        <v/>
      </c>
      <c r="AF42" s="947"/>
      <c r="AG42" s="947"/>
      <c r="AH42" s="948"/>
      <c r="AI42" s="923" t="str">
        <f>IF(OR(C42="",N42="",T42="",V42="",X42="",AA42="",AC42=""),"",INDEX(PMEHVAC[Inc Rate Unit],MATCH(C42,PMEHVAC[Eff Desc 1],0)))</f>
        <v/>
      </c>
      <c r="AJ42" s="924"/>
      <c r="AK42" s="939" t="str">
        <f t="shared" ref="AK42" si="55">IFERROR(IF(OR(C42="",N42="",T42="",V42="",X42="",AA42="",AC42="",),"",AW42),"")</f>
        <v/>
      </c>
      <c r="AL42" s="940"/>
      <c r="AM42" s="940"/>
      <c r="AN42" s="941"/>
      <c r="AO42" s="930" t="str">
        <f t="shared" ref="AO42" si="56">IFERROR(IF(OR(C42="",N42="",V42="",X42="",T42="",AA42="",AC42=""),"",IF(BC42&lt;&gt;"",BC42,ROUND(IF(AK42&lt;=0,0,IF(AE42="unit",MIN(AU42*1,AI42),MIN(AU42*1,(N42-L42)*V42*AI42))),2))),"")</f>
        <v/>
      </c>
      <c r="AP42" s="931"/>
      <c r="AQ42" s="868"/>
      <c r="AR42" s="59"/>
      <c r="AU42" s="813" t="str">
        <f t="shared" ref="AU42" si="57">IF(OR(C42="",N42="",T42="",V42="",X42="",AA42="",AE42="",AC42=""),"",IF(AK42="","",ROUND((AA42+AC42),2)))</f>
        <v/>
      </c>
      <c r="AV42" s="928" t="str">
        <f>IF(OR(C42="",N42="",T42="",V42="",X42="",AA42="",AC42="",AE42=""),"",ROUND(IF(ISNUMBER(SEARCH("Unit",AE42)),(V42/12)*(1/((-0.02*N42^2)+(1.12*N42)))*0.177*0.08*0.457,
(V42*12)*((1/L42)-(1/N42))*INDEX(ENDUSEALL[Lighting Coincidence Factor],MATCH(AX42,ENDUSEALL[End Use],0))),3))</f>
        <v/>
      </c>
      <c r="AW42" s="906" t="str">
        <f>IFERROR(ROUND(
IF(ISNUMBER(SEARCH("DX",C42)),(V42*12)*((1/L42)-(1/N42))*INDEX(PMEHVAC[EFLHcool],MATCH(C42,PMEHVAC[Eff Desc 1],0)),
IF(ISNUMBER(SEARCH("PTAC",C42)),(V42*12)*((1/L42)-(1/N42))*INDEX(PMEHVAC[EFLHcool],MATCH(C42,PMEHVAC[Eff Desc 1],0)),
IF(ISNUMBER(SEARCH("PTHP",C42)),((V42*12)*((1/L42)-(1/N42))*INDEX(PMEHVAC[EFLHcool],MATCH(C42,PMEHVAC[Eff Desc 1],0)))+(((V42*12)/3.412)*((1/R42)-(1/T42))*INDEX(PMEHVAC[EFLHheat],MATCH(C42,PMEHVAC[Eff Desc 1],0))),
IF(OR(ISNUMBER(SEARCH("ASHP",C42)),ISNUMBER(SEARCH("WSHP",C42)),ISNUMBER(SEARCH("Water Source",C42)),ISNUMBER(SEARCH("GSHP",C42))),((V42*12)*((1/L42)-(1/N42))*INDEX(PMEHVAC[EFLHcool],MATCH(C42,PMEHVAC[Eff Desc 1],0)))+(IF(P42="HSPF",(V42*12),((V42*12)/3.412))*((1/R42)-(1/T42))*INDEX(PMEHVAC[EFLHheat],MATCH(C42,PMEHVAC[Eff Desc 1],0))),
"")))),0),"")</f>
        <v/>
      </c>
      <c r="AX42" s="928" t="str">
        <f>IF(OR(C42="",N42="",T42="",V42="",X42="",AA42="",AE42="",AC42=""),"",INDEX(PMEHVAC[End Use Category],MATCH(C42,PMEHVAC[Eff Desc 1],0)))</f>
        <v/>
      </c>
    </row>
    <row r="43" spans="2:78" ht="15.95" hidden="1" customHeight="1">
      <c r="B43" s="834"/>
      <c r="C43" s="840"/>
      <c r="D43" s="841"/>
      <c r="E43" s="841"/>
      <c r="F43" s="841"/>
      <c r="G43" s="841"/>
      <c r="H43" s="841"/>
      <c r="I43" s="841"/>
      <c r="J43" s="955"/>
      <c r="K43" s="956"/>
      <c r="L43" s="955"/>
      <c r="M43" s="956"/>
      <c r="N43" s="853"/>
      <c r="O43" s="854"/>
      <c r="P43" s="955"/>
      <c r="Q43" s="956"/>
      <c r="R43" s="955"/>
      <c r="S43" s="956"/>
      <c r="T43" s="969"/>
      <c r="U43" s="970"/>
      <c r="V43" s="853"/>
      <c r="W43" s="854"/>
      <c r="X43" s="840"/>
      <c r="Y43" s="841"/>
      <c r="Z43" s="842"/>
      <c r="AA43" s="952"/>
      <c r="AB43" s="945"/>
      <c r="AC43" s="945"/>
      <c r="AD43" s="946"/>
      <c r="AE43" s="949"/>
      <c r="AF43" s="949"/>
      <c r="AG43" s="949"/>
      <c r="AH43" s="950"/>
      <c r="AI43" s="925"/>
      <c r="AJ43" s="870"/>
      <c r="AK43" s="912"/>
      <c r="AL43" s="913"/>
      <c r="AM43" s="913"/>
      <c r="AN43" s="942"/>
      <c r="AO43" s="925"/>
      <c r="AP43" s="932"/>
      <c r="AQ43" s="870"/>
      <c r="AR43" s="59"/>
      <c r="AU43" s="814"/>
      <c r="AV43" s="907"/>
      <c r="AW43" s="907"/>
      <c r="AX43" s="907"/>
    </row>
    <row r="44" spans="2:78" ht="15.95" hidden="1" customHeight="1">
      <c r="B44" s="834">
        <v>15</v>
      </c>
      <c r="C44" s="871"/>
      <c r="D44" s="872"/>
      <c r="E44" s="872"/>
      <c r="F44" s="872"/>
      <c r="G44" s="872"/>
      <c r="H44" s="872"/>
      <c r="I44" s="872"/>
      <c r="J44" s="953" t="str">
        <f>IF(C44="","",INDEX(PMEHVAC[Base Desc 1],MATCH(C44,PMEHVAC[Eff Desc 1],0)))</f>
        <v/>
      </c>
      <c r="K44" s="954"/>
      <c r="L44" s="953" t="str">
        <f>IF(C44="","",INDEX(PMEHVAC[Base Desc 2],MATCH(C44,PMEHVAC[Eff Desc 1],0)))</f>
        <v/>
      </c>
      <c r="M44" s="954"/>
      <c r="N44" s="851"/>
      <c r="O44" s="852"/>
      <c r="P44" s="953" t="str">
        <f>IF(C44="","",INDEX(PMEHVAC[Base Watt],MATCH(C44,PMEHVAC[Eff Desc 1],0)))</f>
        <v/>
      </c>
      <c r="Q44" s="954"/>
      <c r="R44" s="953" t="str">
        <f>IF(C44="","",INDEX(PMEHVAC[Base Watt 2],MATCH(C44,PMEHVAC[Eff Desc 1],0)))</f>
        <v/>
      </c>
      <c r="S44" s="954"/>
      <c r="T44" s="967"/>
      <c r="U44" s="968"/>
      <c r="V44" s="851"/>
      <c r="W44" s="852"/>
      <c r="X44" s="837"/>
      <c r="Y44" s="838"/>
      <c r="Z44" s="839"/>
      <c r="AA44" s="951"/>
      <c r="AB44" s="943"/>
      <c r="AC44" s="943"/>
      <c r="AD44" s="944"/>
      <c r="AE44" s="947" t="str">
        <f>IF(C44="","",INDEX(PMEHVAC[Unit of Measure],MATCH(C44,PMEHVAC[Eff Desc 1],0)))</f>
        <v/>
      </c>
      <c r="AF44" s="947"/>
      <c r="AG44" s="947"/>
      <c r="AH44" s="948"/>
      <c r="AI44" s="923" t="str">
        <f>IF(OR(C44="",N44="",T44="",V44="",X44="",AA44="",AC44=""),"",INDEX(PMEHVAC[Inc Rate Unit],MATCH(C44,PMEHVAC[Eff Desc 1],0)))</f>
        <v/>
      </c>
      <c r="AJ44" s="924"/>
      <c r="AK44" s="939" t="str">
        <f t="shared" ref="AK44" si="58">IFERROR(IF(OR(C44="",N44="",T44="",V44="",X44="",AA44="",AC44="",),"",AW44),"")</f>
        <v/>
      </c>
      <c r="AL44" s="940"/>
      <c r="AM44" s="940"/>
      <c r="AN44" s="941"/>
      <c r="AO44" s="930" t="str">
        <f t="shared" ref="AO44" si="59">IFERROR(IF(OR(C44="",N44="",V44="",X44="",T44="",AA44="",AC44=""),"",IF(BC44&lt;&gt;"",BC44,ROUND(IF(AK44&lt;=0,0,IF(AE44="unit",MIN(AU44*1,AI44),MIN(AU44*1,(N44-L44)*V44*AI44))),2))),"")</f>
        <v/>
      </c>
      <c r="AP44" s="931"/>
      <c r="AQ44" s="868"/>
      <c r="AR44" s="59"/>
      <c r="AU44" s="813" t="str">
        <f t="shared" ref="AU44" si="60">IF(OR(C44="",N44="",T44="",V44="",X44="",AA44="",AE44="",AC44=""),"",IF(AK44="","",ROUND((AA44+AC44),2)))</f>
        <v/>
      </c>
      <c r="AV44" s="928" t="str">
        <f>IF(OR(C44="",N44="",T44="",V44="",X44="",AA44="",AC44="",AE44=""),"",ROUND(IF(ISNUMBER(SEARCH("Unit",AE44)),(V44/12)*(1/((-0.02*N44^2)+(1.12*N44)))*0.177*0.08*0.457,
(V44*12)*((1/L44)-(1/N44))*INDEX(ENDUSEALL[Lighting Coincidence Factor],MATCH(AX44,ENDUSEALL[End Use],0))),3))</f>
        <v/>
      </c>
      <c r="AW44" s="906" t="str">
        <f>IFERROR(ROUND(
IF(ISNUMBER(SEARCH("DX",C44)),(V44*12)*((1/L44)-(1/N44))*INDEX(PMEHVAC[EFLHcool],MATCH(C44,PMEHVAC[Eff Desc 1],0)),
IF(ISNUMBER(SEARCH("PTAC",C44)),(V44*12)*((1/L44)-(1/N44))*INDEX(PMEHVAC[EFLHcool],MATCH(C44,PMEHVAC[Eff Desc 1],0)),
IF(ISNUMBER(SEARCH("PTHP",C44)),((V44*12)*((1/L44)-(1/N44))*INDEX(PMEHVAC[EFLHcool],MATCH(C44,PMEHVAC[Eff Desc 1],0)))+(((V44*12)/3.412)*((1/R44)-(1/T44))*INDEX(PMEHVAC[EFLHheat],MATCH(C44,PMEHVAC[Eff Desc 1],0))),
IF(OR(ISNUMBER(SEARCH("ASHP",C44)),ISNUMBER(SEARCH("WSHP",C44)),ISNUMBER(SEARCH("Water Source",C44)),ISNUMBER(SEARCH("GSHP",C44))),((V44*12)*((1/L44)-(1/N44))*INDEX(PMEHVAC[EFLHcool],MATCH(C44,PMEHVAC[Eff Desc 1],0)))+(IF(P44="HSPF",(V44*12),((V44*12)/3.412))*((1/R44)-(1/T44))*INDEX(PMEHVAC[EFLHheat],MATCH(C44,PMEHVAC[Eff Desc 1],0))),
"")))),0),"")</f>
        <v/>
      </c>
      <c r="AX44" s="928" t="str">
        <f>IF(OR(C44="",N44="",T44="",V44="",X44="",AA44="",AE44="",AC44=""),"",INDEX(PMEHVAC[End Use Category],MATCH(C44,PMEHVAC[Eff Desc 1],0)))</f>
        <v/>
      </c>
    </row>
    <row r="45" spans="2:78" ht="15.95" hidden="1" customHeight="1">
      <c r="B45" s="834"/>
      <c r="C45" s="840"/>
      <c r="D45" s="841"/>
      <c r="E45" s="841"/>
      <c r="F45" s="841"/>
      <c r="G45" s="841"/>
      <c r="H45" s="841"/>
      <c r="I45" s="841"/>
      <c r="J45" s="955"/>
      <c r="K45" s="956"/>
      <c r="L45" s="955"/>
      <c r="M45" s="956"/>
      <c r="N45" s="853"/>
      <c r="O45" s="854"/>
      <c r="P45" s="955"/>
      <c r="Q45" s="956"/>
      <c r="R45" s="955"/>
      <c r="S45" s="956"/>
      <c r="T45" s="969"/>
      <c r="U45" s="970"/>
      <c r="V45" s="853"/>
      <c r="W45" s="854"/>
      <c r="X45" s="840"/>
      <c r="Y45" s="841"/>
      <c r="Z45" s="842"/>
      <c r="AA45" s="952"/>
      <c r="AB45" s="945"/>
      <c r="AC45" s="945"/>
      <c r="AD45" s="946"/>
      <c r="AE45" s="949"/>
      <c r="AF45" s="949"/>
      <c r="AG45" s="949"/>
      <c r="AH45" s="950"/>
      <c r="AI45" s="925"/>
      <c r="AJ45" s="870"/>
      <c r="AK45" s="912"/>
      <c r="AL45" s="913"/>
      <c r="AM45" s="913"/>
      <c r="AN45" s="942"/>
      <c r="AO45" s="925"/>
      <c r="AP45" s="932"/>
      <c r="AQ45" s="870"/>
      <c r="AR45" s="59"/>
      <c r="AU45" s="814"/>
      <c r="AV45" s="907"/>
      <c r="AW45" s="907"/>
      <c r="AX45" s="907"/>
    </row>
    <row r="46" spans="2:78" ht="15.95" hidden="1" customHeight="1">
      <c r="B46" s="929">
        <v>16</v>
      </c>
      <c r="C46" s="871"/>
      <c r="D46" s="872"/>
      <c r="E46" s="872"/>
      <c r="F46" s="872"/>
      <c r="G46" s="872"/>
      <c r="H46" s="872"/>
      <c r="I46" s="872"/>
      <c r="J46" s="953" t="str">
        <f>IF(C46="","",INDEX(PMEHVAC[Base Desc 1],MATCH(C46,PMEHVAC[Eff Desc 1],0)))</f>
        <v/>
      </c>
      <c r="K46" s="954"/>
      <c r="L46" s="953" t="str">
        <f>IF(C46="","",INDEX(PMEHVAC[Base Desc 2],MATCH(C46,PMEHVAC[Eff Desc 1],0)))</f>
        <v/>
      </c>
      <c r="M46" s="954"/>
      <c r="N46" s="851"/>
      <c r="O46" s="852"/>
      <c r="P46" s="953" t="str">
        <f>IF(C46="","",INDEX(PMEHVAC[Base Watt],MATCH(C46,PMEHVAC[Eff Desc 1],0)))</f>
        <v/>
      </c>
      <c r="Q46" s="954"/>
      <c r="R46" s="953" t="str">
        <f>IF(C46="","",INDEX(PMEHVAC[Base Watt 2],MATCH(C46,PMEHVAC[Eff Desc 1],0)))</f>
        <v/>
      </c>
      <c r="S46" s="954"/>
      <c r="T46" s="967"/>
      <c r="U46" s="968"/>
      <c r="V46" s="851"/>
      <c r="W46" s="852"/>
      <c r="X46" s="837"/>
      <c r="Y46" s="838"/>
      <c r="Z46" s="839"/>
      <c r="AA46" s="951"/>
      <c r="AB46" s="943"/>
      <c r="AC46" s="943"/>
      <c r="AD46" s="944"/>
      <c r="AE46" s="947" t="str">
        <f>IF(C46="","",INDEX(PMEHVAC[Unit of Measure],MATCH(C46,PMEHVAC[Eff Desc 1],0)))</f>
        <v/>
      </c>
      <c r="AF46" s="947"/>
      <c r="AG46" s="947"/>
      <c r="AH46" s="948"/>
      <c r="AI46" s="923" t="str">
        <f>IF(OR(C46="",N46="",T46="",V46="",X46="",AA46="",AC46=""),"",INDEX(PMEHVAC[Inc Rate Unit],MATCH(C46,PMEHVAC[Eff Desc 1],0)))</f>
        <v/>
      </c>
      <c r="AJ46" s="924"/>
      <c r="AK46" s="939" t="str">
        <f t="shared" ref="AK46" si="61">IFERROR(IF(OR(C46="",N46="",T46="",V46="",X46="",AA46="",AC46="",),"",AW46),"")</f>
        <v/>
      </c>
      <c r="AL46" s="940"/>
      <c r="AM46" s="940"/>
      <c r="AN46" s="941"/>
      <c r="AO46" s="930" t="str">
        <f t="shared" ref="AO46" si="62">IFERROR(IF(OR(C46="",N46="",V46="",X46="",T46="",AA46="",AC46=""),"",IF(BC46&lt;&gt;"",BC46,ROUND(IF(AK46&lt;=0,0,IF(AE46="unit",MIN(AU46*1,AI46),MIN(AU46*1,(N46-L46)*V46*AI46))),2))),"")</f>
        <v/>
      </c>
      <c r="AP46" s="931"/>
      <c r="AQ46" s="868"/>
      <c r="AU46" s="813" t="str">
        <f t="shared" ref="AU46" si="63">IF(OR(C46="",N46="",T46="",V46="",X46="",AA46="",AE46="",AC46=""),"",IF(AK46="","",ROUND((AA46+AC46),2)))</f>
        <v/>
      </c>
      <c r="AV46" s="928" t="str">
        <f>IF(OR(C46="",N46="",T46="",V46="",X46="",AA46="",AC46="",AE46=""),"",ROUND(IF(ISNUMBER(SEARCH("Unit",AE46)),(V46/12)*(1/((-0.02*N46^2)+(1.12*N46)))*0.177*0.08*0.457,
(V46*12)*((1/L46)-(1/N46))*INDEX(ENDUSEALL[Lighting Coincidence Factor],MATCH(AX46,ENDUSEALL[End Use],0))),3))</f>
        <v/>
      </c>
      <c r="AW46" s="906" t="str">
        <f>IFERROR(ROUND(
IF(ISNUMBER(SEARCH("DX",C46)),(V46*12)*((1/L46)-(1/N46))*INDEX(PMEHVAC[EFLHcool],MATCH(C46,PMEHVAC[Eff Desc 1],0)),
IF(ISNUMBER(SEARCH("PTAC",C46)),(V46*12)*((1/L46)-(1/N46))*INDEX(PMEHVAC[EFLHcool],MATCH(C46,PMEHVAC[Eff Desc 1],0)),
IF(ISNUMBER(SEARCH("PTHP",C46)),((V46*12)*((1/L46)-(1/N46))*INDEX(PMEHVAC[EFLHcool],MATCH(C46,PMEHVAC[Eff Desc 1],0)))+(((V46*12)/3.412)*((1/R46)-(1/T46))*INDEX(PMEHVAC[EFLHheat],MATCH(C46,PMEHVAC[Eff Desc 1],0))),
IF(OR(ISNUMBER(SEARCH("ASHP",C46)),ISNUMBER(SEARCH("WSHP",C46)),ISNUMBER(SEARCH("Water Source",C46)),ISNUMBER(SEARCH("GSHP",C46))),((V46*12)*((1/L46)-(1/N46))*INDEX(PMEHVAC[EFLHcool],MATCH(C46,PMEHVAC[Eff Desc 1],0)))+(IF(P46="HSPF",(V46*12),((V46*12)/3.412))*((1/R46)-(1/T46))*INDEX(PMEHVAC[EFLHheat],MATCH(C46,PMEHVAC[Eff Desc 1],0))),
"")))),0),"")</f>
        <v/>
      </c>
      <c r="AX46" s="928" t="str">
        <f>IF(OR(C46="",N46="",T46="",V46="",X46="",AA46="",AE46="",AC46=""),"",INDEX(PMEHVAC[End Use Category],MATCH(C46,PMEHVAC[Eff Desc 1],0)))</f>
        <v/>
      </c>
    </row>
    <row r="47" spans="2:78" ht="15.95" hidden="1" customHeight="1">
      <c r="B47" s="929"/>
      <c r="C47" s="840"/>
      <c r="D47" s="841"/>
      <c r="E47" s="841"/>
      <c r="F47" s="841"/>
      <c r="G47" s="841"/>
      <c r="H47" s="841"/>
      <c r="I47" s="841"/>
      <c r="J47" s="955"/>
      <c r="K47" s="956"/>
      <c r="L47" s="955"/>
      <c r="M47" s="956"/>
      <c r="N47" s="853"/>
      <c r="O47" s="854"/>
      <c r="P47" s="955"/>
      <c r="Q47" s="956"/>
      <c r="R47" s="955"/>
      <c r="S47" s="956"/>
      <c r="T47" s="969"/>
      <c r="U47" s="970"/>
      <c r="V47" s="853"/>
      <c r="W47" s="854"/>
      <c r="X47" s="840"/>
      <c r="Y47" s="841"/>
      <c r="Z47" s="842"/>
      <c r="AA47" s="952"/>
      <c r="AB47" s="945"/>
      <c r="AC47" s="945"/>
      <c r="AD47" s="946"/>
      <c r="AE47" s="949"/>
      <c r="AF47" s="949"/>
      <c r="AG47" s="949"/>
      <c r="AH47" s="950"/>
      <c r="AI47" s="925"/>
      <c r="AJ47" s="870"/>
      <c r="AK47" s="912"/>
      <c r="AL47" s="913"/>
      <c r="AM47" s="913"/>
      <c r="AN47" s="942"/>
      <c r="AO47" s="925"/>
      <c r="AP47" s="932"/>
      <c r="AQ47" s="870"/>
      <c r="AU47" s="814"/>
      <c r="AV47" s="907"/>
      <c r="AW47" s="907"/>
      <c r="AX47" s="907"/>
    </row>
    <row r="48" spans="2:78" ht="15.95" hidden="1" customHeight="1">
      <c r="B48" s="929">
        <v>17</v>
      </c>
      <c r="C48" s="871"/>
      <c r="D48" s="872"/>
      <c r="E48" s="872"/>
      <c r="F48" s="872"/>
      <c r="G48" s="872"/>
      <c r="H48" s="872"/>
      <c r="I48" s="872"/>
      <c r="J48" s="953" t="str">
        <f>IF(C48="","",INDEX(PMEHVAC[Base Desc 1],MATCH(C48,PMEHVAC[Eff Desc 1],0)))</f>
        <v/>
      </c>
      <c r="K48" s="954"/>
      <c r="L48" s="953" t="str">
        <f>IF(C48="","",INDEX(PMEHVAC[Base Desc 2],MATCH(C48,PMEHVAC[Eff Desc 1],0)))</f>
        <v/>
      </c>
      <c r="M48" s="954"/>
      <c r="N48" s="851"/>
      <c r="O48" s="852"/>
      <c r="P48" s="953" t="str">
        <f>IF(C48="","",INDEX(PMEHVAC[Base Watt],MATCH(C48,PMEHVAC[Eff Desc 1],0)))</f>
        <v/>
      </c>
      <c r="Q48" s="954"/>
      <c r="R48" s="953" t="str">
        <f>IF(C48="","",INDEX(PMEHVAC[Base Watt 2],MATCH(C48,PMEHVAC[Eff Desc 1],0)))</f>
        <v/>
      </c>
      <c r="S48" s="954"/>
      <c r="T48" s="967"/>
      <c r="U48" s="968"/>
      <c r="V48" s="851"/>
      <c r="W48" s="852"/>
      <c r="X48" s="837"/>
      <c r="Y48" s="838"/>
      <c r="Z48" s="839"/>
      <c r="AA48" s="951"/>
      <c r="AB48" s="943"/>
      <c r="AC48" s="943"/>
      <c r="AD48" s="944"/>
      <c r="AE48" s="947" t="str">
        <f>IF(C48="","",INDEX(PMEHVAC[Unit of Measure],MATCH(C48,PMEHVAC[Eff Desc 1],0)))</f>
        <v/>
      </c>
      <c r="AF48" s="947"/>
      <c r="AG48" s="947"/>
      <c r="AH48" s="948"/>
      <c r="AI48" s="923" t="str">
        <f>IF(OR(C48="",N48="",T48="",V48="",X48="",AA48="",AC48=""),"",INDEX(PMEHVAC[Inc Rate Unit],MATCH(C48,PMEHVAC[Eff Desc 1],0)))</f>
        <v/>
      </c>
      <c r="AJ48" s="924"/>
      <c r="AK48" s="939" t="str">
        <f t="shared" ref="AK48" si="64">IFERROR(IF(OR(C48="",N48="",T48="",V48="",X48="",AA48="",AC48="",),"",AW48),"")</f>
        <v/>
      </c>
      <c r="AL48" s="940"/>
      <c r="AM48" s="940"/>
      <c r="AN48" s="941"/>
      <c r="AO48" s="930" t="str">
        <f t="shared" ref="AO48" si="65">IFERROR(IF(OR(C48="",N48="",V48="",X48="",T48="",AA48="",AC48=""),"",IF(BC48&lt;&gt;"",BC48,ROUND(IF(AK48&lt;=0,0,IF(AE48="unit",MIN(AU48*1,AI48),MIN(AU48*1,(N48-L48)*V48*AI48))),2))),"")</f>
        <v/>
      </c>
      <c r="AP48" s="931"/>
      <c r="AQ48" s="868"/>
      <c r="AU48" s="813" t="str">
        <f t="shared" ref="AU48" si="66">IF(OR(C48="",N48="",T48="",V48="",X48="",AA48="",AE48="",AC48=""),"",IF(AK48="","",ROUND((AA48+AC48),2)))</f>
        <v/>
      </c>
      <c r="AV48" s="928" t="str">
        <f>IF(OR(C48="",N48="",T48="",V48="",X48="",AA48="",AC48="",AE48=""),"",ROUND(IF(ISNUMBER(SEARCH("Unit",AE48)),(V48/12)*(1/((-0.02*N48^2)+(1.12*N48)))*0.177*0.08*0.457,
(V48*12)*((1/L48)-(1/N48))*INDEX(ENDUSEALL[Lighting Coincidence Factor],MATCH(AX48,ENDUSEALL[End Use],0))),3))</f>
        <v/>
      </c>
      <c r="AW48" s="906" t="str">
        <f>IFERROR(ROUND(
IF(ISNUMBER(SEARCH("DX",C48)),(V48*12)*((1/L48)-(1/N48))*INDEX(PMEHVAC[EFLHcool],MATCH(C48,PMEHVAC[Eff Desc 1],0)),
IF(ISNUMBER(SEARCH("PTAC",C48)),(V48*12)*((1/L48)-(1/N48))*INDEX(PMEHVAC[EFLHcool],MATCH(C48,PMEHVAC[Eff Desc 1],0)),
IF(ISNUMBER(SEARCH("PTHP",C48)),((V48*12)*((1/L48)-(1/N48))*INDEX(PMEHVAC[EFLHcool],MATCH(C48,PMEHVAC[Eff Desc 1],0)))+(((V48*12)/3.412)*((1/R48)-(1/T48))*INDEX(PMEHVAC[EFLHheat],MATCH(C48,PMEHVAC[Eff Desc 1],0))),
IF(OR(ISNUMBER(SEARCH("ASHP",C48)),ISNUMBER(SEARCH("WSHP",C48)),ISNUMBER(SEARCH("Water Source",C48)),ISNUMBER(SEARCH("GSHP",C48))),((V48*12)*((1/L48)-(1/N48))*INDEX(PMEHVAC[EFLHcool],MATCH(C48,PMEHVAC[Eff Desc 1],0)))+(IF(P48="HSPF",(V48*12),((V48*12)/3.412))*((1/R48)-(1/T48))*INDEX(PMEHVAC[EFLHheat],MATCH(C48,PMEHVAC[Eff Desc 1],0))),
"")))),0),"")</f>
        <v/>
      </c>
      <c r="AX48" s="928" t="str">
        <f>IF(OR(C48="",N48="",T48="",V48="",X48="",AA48="",AE48="",AC48=""),"",INDEX(PMEHVAC[End Use Category],MATCH(C48,PMEHVAC[Eff Desc 1],0)))</f>
        <v/>
      </c>
    </row>
    <row r="49" spans="2:53" ht="15.95" hidden="1" customHeight="1">
      <c r="B49" s="929"/>
      <c r="C49" s="840"/>
      <c r="D49" s="841"/>
      <c r="E49" s="841"/>
      <c r="F49" s="841"/>
      <c r="G49" s="841"/>
      <c r="H49" s="841"/>
      <c r="I49" s="841"/>
      <c r="J49" s="955"/>
      <c r="K49" s="956"/>
      <c r="L49" s="955"/>
      <c r="M49" s="956"/>
      <c r="N49" s="853"/>
      <c r="O49" s="854"/>
      <c r="P49" s="955"/>
      <c r="Q49" s="956"/>
      <c r="R49" s="955"/>
      <c r="S49" s="956"/>
      <c r="T49" s="969"/>
      <c r="U49" s="970"/>
      <c r="V49" s="853"/>
      <c r="W49" s="854"/>
      <c r="X49" s="840"/>
      <c r="Y49" s="841"/>
      <c r="Z49" s="842"/>
      <c r="AA49" s="952"/>
      <c r="AB49" s="945"/>
      <c r="AC49" s="945"/>
      <c r="AD49" s="946"/>
      <c r="AE49" s="949"/>
      <c r="AF49" s="949"/>
      <c r="AG49" s="949"/>
      <c r="AH49" s="950"/>
      <c r="AI49" s="925"/>
      <c r="AJ49" s="870"/>
      <c r="AK49" s="912"/>
      <c r="AL49" s="913"/>
      <c r="AM49" s="913"/>
      <c r="AN49" s="942"/>
      <c r="AO49" s="925"/>
      <c r="AP49" s="932"/>
      <c r="AQ49" s="870"/>
      <c r="AU49" s="814"/>
      <c r="AV49" s="907"/>
      <c r="AW49" s="907"/>
      <c r="AX49" s="907"/>
    </row>
    <row r="50" spans="2:53" ht="15.95" hidden="1" customHeight="1">
      <c r="B50" s="929">
        <v>18</v>
      </c>
      <c r="C50" s="871"/>
      <c r="D50" s="872"/>
      <c r="E50" s="872"/>
      <c r="F50" s="872"/>
      <c r="G50" s="872"/>
      <c r="H50" s="872"/>
      <c r="I50" s="872"/>
      <c r="J50" s="953" t="str">
        <f>IF(C50="","",INDEX(PMEHVAC[Base Desc 1],MATCH(C50,PMEHVAC[Eff Desc 1],0)))</f>
        <v/>
      </c>
      <c r="K50" s="954"/>
      <c r="L50" s="953" t="str">
        <f>IF(C50="","",INDEX(PMEHVAC[Base Desc 2],MATCH(C50,PMEHVAC[Eff Desc 1],0)))</f>
        <v/>
      </c>
      <c r="M50" s="954"/>
      <c r="N50" s="851"/>
      <c r="O50" s="852"/>
      <c r="P50" s="953" t="str">
        <f>IF(C50="","",INDEX(PMEHVAC[Base Watt],MATCH(C50,PMEHVAC[Eff Desc 1],0)))</f>
        <v/>
      </c>
      <c r="Q50" s="954"/>
      <c r="R50" s="953" t="str">
        <f>IF(C50="","",INDEX(PMEHVAC[Base Watt 2],MATCH(C50,PMEHVAC[Eff Desc 1],0)))</f>
        <v/>
      </c>
      <c r="S50" s="954"/>
      <c r="T50" s="967"/>
      <c r="U50" s="968"/>
      <c r="V50" s="851"/>
      <c r="W50" s="852"/>
      <c r="X50" s="837"/>
      <c r="Y50" s="838"/>
      <c r="Z50" s="839"/>
      <c r="AA50" s="951"/>
      <c r="AB50" s="943"/>
      <c r="AC50" s="943"/>
      <c r="AD50" s="944"/>
      <c r="AE50" s="947" t="str">
        <f>IF(C50="","",INDEX(PMEHVAC[Unit of Measure],MATCH(C50,PMEHVAC[Eff Desc 1],0)))</f>
        <v/>
      </c>
      <c r="AF50" s="947"/>
      <c r="AG50" s="947"/>
      <c r="AH50" s="948"/>
      <c r="AI50" s="923" t="str">
        <f>IF(OR(C50="",N50="",T50="",V50="",X50="",AA50="",AC50=""),"",INDEX(PMEHVAC[Inc Rate Unit],MATCH(C50,PMEHVAC[Eff Desc 1],0)))</f>
        <v/>
      </c>
      <c r="AJ50" s="924"/>
      <c r="AK50" s="939" t="str">
        <f t="shared" ref="AK50" si="67">IFERROR(IF(OR(C50="",N50="",T50="",V50="",X50="",AA50="",AC50="",),"",AW50),"")</f>
        <v/>
      </c>
      <c r="AL50" s="940"/>
      <c r="AM50" s="940"/>
      <c r="AN50" s="941"/>
      <c r="AO50" s="930" t="str">
        <f t="shared" ref="AO50" si="68">IFERROR(IF(OR(C50="",N50="",V50="",X50="",T50="",AA50="",AC50=""),"",IF(BC50&lt;&gt;"",BC50,ROUND(IF(AK50&lt;=0,0,IF(AE50="unit",MIN(AU50*1,AI50),MIN(AU50*1,(N50-L50)*V50*AI50))),2))),"")</f>
        <v/>
      </c>
      <c r="AP50" s="931"/>
      <c r="AQ50" s="868"/>
      <c r="AU50" s="813" t="str">
        <f t="shared" ref="AU50" si="69">IF(OR(C50="",N50="",T50="",V50="",X50="",AA50="",AE50="",AC50=""),"",IF(AK50="","",ROUND((AA50+AC50),2)))</f>
        <v/>
      </c>
      <c r="AV50" s="928" t="str">
        <f>IF(OR(C50="",N50="",T50="",V50="",X50="",AA50="",AC50="",AE50=""),"",ROUND(IF(ISNUMBER(SEARCH("Unit",AE50)),(V50/12)*(1/((-0.02*N50^2)+(1.12*N50)))*0.177*0.08*0.457,
(V50*12)*((1/L50)-(1/N50))*INDEX(ENDUSEALL[Lighting Coincidence Factor],MATCH(AX50,ENDUSEALL[End Use],0))),3))</f>
        <v/>
      </c>
      <c r="AW50" s="906" t="str">
        <f>IFERROR(ROUND(
IF(ISNUMBER(SEARCH("DX",C50)),(V50*12)*((1/L50)-(1/N50))*INDEX(PMEHVAC[EFLHcool],MATCH(C50,PMEHVAC[Eff Desc 1],0)),
IF(ISNUMBER(SEARCH("PTAC",C50)),(V50*12)*((1/L50)-(1/N50))*INDEX(PMEHVAC[EFLHcool],MATCH(C50,PMEHVAC[Eff Desc 1],0)),
IF(ISNUMBER(SEARCH("PTHP",C50)),((V50*12)*((1/L50)-(1/N50))*INDEX(PMEHVAC[EFLHcool],MATCH(C50,PMEHVAC[Eff Desc 1],0)))+(((V50*12)/3.412)*((1/R50)-(1/T50))*INDEX(PMEHVAC[EFLHheat],MATCH(C50,PMEHVAC[Eff Desc 1],0))),
IF(OR(ISNUMBER(SEARCH("ASHP",C50)),ISNUMBER(SEARCH("WSHP",C50)),ISNUMBER(SEARCH("Water Source",C50)),ISNUMBER(SEARCH("GSHP",C50))),((V50*12)*((1/L50)-(1/N50))*INDEX(PMEHVAC[EFLHcool],MATCH(C50,PMEHVAC[Eff Desc 1],0)))+(IF(P50="HSPF",(V50*12),((V50*12)/3.412))*((1/R50)-(1/T50))*INDEX(PMEHVAC[EFLHheat],MATCH(C50,PMEHVAC[Eff Desc 1],0))),
"")))),0),"")</f>
        <v/>
      </c>
      <c r="AX50" s="928" t="str">
        <f>IF(OR(C50="",N50="",T50="",V50="",X50="",AA50="",AE50="",AC50=""),"",INDEX(PMEHVAC[End Use Category],MATCH(C50,PMEHVAC[Eff Desc 1],0)))</f>
        <v/>
      </c>
    </row>
    <row r="51" spans="2:53" ht="15.95" hidden="1" customHeight="1">
      <c r="B51" s="929"/>
      <c r="C51" s="840"/>
      <c r="D51" s="841"/>
      <c r="E51" s="841"/>
      <c r="F51" s="841"/>
      <c r="G51" s="841"/>
      <c r="H51" s="841"/>
      <c r="I51" s="841"/>
      <c r="J51" s="955"/>
      <c r="K51" s="956"/>
      <c r="L51" s="955"/>
      <c r="M51" s="956"/>
      <c r="N51" s="853"/>
      <c r="O51" s="854"/>
      <c r="P51" s="955"/>
      <c r="Q51" s="956"/>
      <c r="R51" s="955"/>
      <c r="S51" s="956"/>
      <c r="T51" s="969"/>
      <c r="U51" s="970"/>
      <c r="V51" s="853"/>
      <c r="W51" s="854"/>
      <c r="X51" s="840"/>
      <c r="Y51" s="841"/>
      <c r="Z51" s="842"/>
      <c r="AA51" s="952"/>
      <c r="AB51" s="945"/>
      <c r="AC51" s="945"/>
      <c r="AD51" s="946"/>
      <c r="AE51" s="949"/>
      <c r="AF51" s="949"/>
      <c r="AG51" s="949"/>
      <c r="AH51" s="950"/>
      <c r="AI51" s="925"/>
      <c r="AJ51" s="870"/>
      <c r="AK51" s="912"/>
      <c r="AL51" s="913"/>
      <c r="AM51" s="913"/>
      <c r="AN51" s="942"/>
      <c r="AO51" s="925"/>
      <c r="AP51" s="932"/>
      <c r="AQ51" s="870"/>
      <c r="AU51" s="814"/>
      <c r="AV51" s="907"/>
      <c r="AW51" s="907"/>
      <c r="AX51" s="907"/>
    </row>
    <row r="52" spans="2:53" ht="15.95" hidden="1" customHeight="1">
      <c r="B52" s="929">
        <v>19</v>
      </c>
      <c r="C52" s="871"/>
      <c r="D52" s="872"/>
      <c r="E52" s="872"/>
      <c r="F52" s="872"/>
      <c r="G52" s="872"/>
      <c r="H52" s="872"/>
      <c r="I52" s="872"/>
      <c r="J52" s="953" t="str">
        <f>IF(C52="","",INDEX(PMEHVAC[Base Desc 1],MATCH(C52,PMEHVAC[Eff Desc 1],0)))</f>
        <v/>
      </c>
      <c r="K52" s="954"/>
      <c r="L52" s="953" t="str">
        <f>IF(C52="","",INDEX(PMEHVAC[Base Desc 2],MATCH(C52,PMEHVAC[Eff Desc 1],0)))</f>
        <v/>
      </c>
      <c r="M52" s="954"/>
      <c r="N52" s="851"/>
      <c r="O52" s="852"/>
      <c r="P52" s="953" t="str">
        <f>IF(C52="","",INDEX(PMEHVAC[Base Watt],MATCH(C52,PMEHVAC[Eff Desc 1],0)))</f>
        <v/>
      </c>
      <c r="Q52" s="954"/>
      <c r="R52" s="953" t="str">
        <f>IF(C52="","",INDEX(PMEHVAC[Base Watt 2],MATCH(C52,PMEHVAC[Eff Desc 1],0)))</f>
        <v/>
      </c>
      <c r="S52" s="954"/>
      <c r="T52" s="967"/>
      <c r="U52" s="968"/>
      <c r="V52" s="851"/>
      <c r="W52" s="852"/>
      <c r="X52" s="837"/>
      <c r="Y52" s="838"/>
      <c r="Z52" s="839"/>
      <c r="AA52" s="951"/>
      <c r="AB52" s="943"/>
      <c r="AC52" s="943"/>
      <c r="AD52" s="944"/>
      <c r="AE52" s="947" t="str">
        <f>IF(C52="","",INDEX(PMEHVAC[Unit of Measure],MATCH(C52,PMEHVAC[Eff Desc 1],0)))</f>
        <v/>
      </c>
      <c r="AF52" s="947"/>
      <c r="AG52" s="947"/>
      <c r="AH52" s="948"/>
      <c r="AI52" s="923" t="str">
        <f>IF(OR(C52="",N52="",T52="",V52="",X52="",AA52="",AC52=""),"",INDEX(PMEHVAC[Inc Rate Unit],MATCH(C52,PMEHVAC[Eff Desc 1],0)))</f>
        <v/>
      </c>
      <c r="AJ52" s="924"/>
      <c r="AK52" s="939" t="str">
        <f t="shared" ref="AK52" si="70">IFERROR(IF(OR(C52="",N52="",T52="",V52="",X52="",AA52="",AC52="",),"",AW52),"")</f>
        <v/>
      </c>
      <c r="AL52" s="940"/>
      <c r="AM52" s="940"/>
      <c r="AN52" s="941"/>
      <c r="AO52" s="930" t="str">
        <f t="shared" ref="AO52" si="71">IFERROR(IF(OR(C52="",N52="",V52="",X52="",T52="",AA52="",AC52=""),"",IF(BC52&lt;&gt;"",BC52,ROUND(IF(AK52&lt;=0,0,IF(AE52="unit",MIN(AU52*1,AI52),MIN(AU52*1,(N52-L52)*V52*AI52))),2))),"")</f>
        <v/>
      </c>
      <c r="AP52" s="931"/>
      <c r="AQ52" s="868"/>
      <c r="AU52" s="813" t="str">
        <f t="shared" ref="AU52" si="72">IF(OR(C52="",N52="",T52="",V52="",X52="",AA52="",AE52="",AC52=""),"",IF(AK52="","",ROUND((AA52+AC52),2)))</f>
        <v/>
      </c>
      <c r="AV52" s="928" t="str">
        <f>IF(OR(C52="",N52="",T52="",V52="",X52="",AA52="",AC52="",AE52=""),"",ROUND(IF(ISNUMBER(SEARCH("Unit",AE52)),(V52/12)*(1/((-0.02*N52^2)+(1.12*N52)))*0.177*0.08*0.457,
(V52*12)*((1/L52)-(1/N52))*INDEX(ENDUSEALL[Lighting Coincidence Factor],MATCH(AX52,ENDUSEALL[End Use],0))),3))</f>
        <v/>
      </c>
      <c r="AW52" s="906" t="str">
        <f>IFERROR(ROUND(
IF(ISNUMBER(SEARCH("DX",C52)),(V52*12)*((1/L52)-(1/N52))*INDEX(PMEHVAC[EFLHcool],MATCH(C52,PMEHVAC[Eff Desc 1],0)),
IF(ISNUMBER(SEARCH("PTAC",C52)),(V52*12)*((1/L52)-(1/N52))*INDEX(PMEHVAC[EFLHcool],MATCH(C52,PMEHVAC[Eff Desc 1],0)),
IF(ISNUMBER(SEARCH("PTHP",C52)),((V52*12)*((1/L52)-(1/N52))*INDEX(PMEHVAC[EFLHcool],MATCH(C52,PMEHVAC[Eff Desc 1],0)))+(((V52*12)/3.412)*((1/R52)-(1/T52))*INDEX(PMEHVAC[EFLHheat],MATCH(C52,PMEHVAC[Eff Desc 1],0))),
IF(OR(ISNUMBER(SEARCH("ASHP",C52)),ISNUMBER(SEARCH("WSHP",C52)),ISNUMBER(SEARCH("Water Source",C52)),ISNUMBER(SEARCH("GSHP",C52))),((V52*12)*((1/L52)-(1/N52))*INDEX(PMEHVAC[EFLHcool],MATCH(C52,PMEHVAC[Eff Desc 1],0)))+(IF(P52="HSPF",(V52*12),((V52*12)/3.412))*((1/R52)-(1/T52))*INDEX(PMEHVAC[EFLHheat],MATCH(C52,PMEHVAC[Eff Desc 1],0))),
"")))),0),"")</f>
        <v/>
      </c>
      <c r="AX52" s="928" t="str">
        <f>IF(OR(C52="",N52="",T52="",V52="",X52="",AA52="",AE52="",AC52=""),"",INDEX(PMEHVAC[End Use Category],MATCH(C52,PMEHVAC[Eff Desc 1],0)))</f>
        <v/>
      </c>
    </row>
    <row r="53" spans="2:53" ht="15.95" hidden="1" customHeight="1">
      <c r="B53" s="929"/>
      <c r="C53" s="840"/>
      <c r="D53" s="841"/>
      <c r="E53" s="841"/>
      <c r="F53" s="841"/>
      <c r="G53" s="841"/>
      <c r="H53" s="841"/>
      <c r="I53" s="841"/>
      <c r="J53" s="955"/>
      <c r="K53" s="956"/>
      <c r="L53" s="955"/>
      <c r="M53" s="956"/>
      <c r="N53" s="853"/>
      <c r="O53" s="854"/>
      <c r="P53" s="955"/>
      <c r="Q53" s="956"/>
      <c r="R53" s="955"/>
      <c r="S53" s="956"/>
      <c r="T53" s="969"/>
      <c r="U53" s="970"/>
      <c r="V53" s="853"/>
      <c r="W53" s="854"/>
      <c r="X53" s="840"/>
      <c r="Y53" s="841"/>
      <c r="Z53" s="842"/>
      <c r="AA53" s="952"/>
      <c r="AB53" s="945"/>
      <c r="AC53" s="945"/>
      <c r="AD53" s="946"/>
      <c r="AE53" s="949"/>
      <c r="AF53" s="949"/>
      <c r="AG53" s="949"/>
      <c r="AH53" s="950"/>
      <c r="AI53" s="925"/>
      <c r="AJ53" s="870"/>
      <c r="AK53" s="912"/>
      <c r="AL53" s="913"/>
      <c r="AM53" s="913"/>
      <c r="AN53" s="942"/>
      <c r="AO53" s="925"/>
      <c r="AP53" s="932"/>
      <c r="AQ53" s="870"/>
      <c r="AU53" s="814"/>
      <c r="AV53" s="907"/>
      <c r="AW53" s="907"/>
      <c r="AX53" s="907"/>
    </row>
    <row r="54" spans="2:53" ht="15.95" hidden="1" customHeight="1">
      <c r="B54" s="929">
        <v>20</v>
      </c>
      <c r="C54" s="871">
        <f ca="1">IF(SUM(BE16:BE35)=0,0,INDEX(PMEBONUS[],3,3))</f>
        <v>0</v>
      </c>
      <c r="D54" s="872"/>
      <c r="E54" s="872"/>
      <c r="F54" s="872"/>
      <c r="G54" s="872"/>
      <c r="H54" s="872"/>
      <c r="I54" s="872"/>
      <c r="J54" s="953"/>
      <c r="K54" s="954"/>
      <c r="L54" s="953" t="str">
        <f ca="1">IF(SUM(BE16:BE35)=0,"",INDEX(PMEBONUS[],3,30))</f>
        <v/>
      </c>
      <c r="M54" s="954"/>
      <c r="N54" s="851"/>
      <c r="O54" s="852"/>
      <c r="P54" s="953"/>
      <c r="Q54" s="954"/>
      <c r="R54" s="953"/>
      <c r="S54" s="954"/>
      <c r="T54" s="967"/>
      <c r="U54" s="968"/>
      <c r="V54" s="851">
        <f ca="1">IF(OR(C54=0,C54=""),0,1)</f>
        <v>0</v>
      </c>
      <c r="W54" s="852"/>
      <c r="X54" s="837"/>
      <c r="Y54" s="838"/>
      <c r="Z54" s="839"/>
      <c r="AA54" s="951"/>
      <c r="AB54" s="943"/>
      <c r="AC54" s="943"/>
      <c r="AD54" s="944"/>
      <c r="AE54" s="947"/>
      <c r="AF54" s="947"/>
      <c r="AG54" s="947"/>
      <c r="AH54" s="948"/>
      <c r="AI54" s="923" t="str">
        <f ca="1">IF(OR(C54="",N54="",T54="",V54="",X54="",AA54="",AC54=""),"",INDEX(PMEHVAC[Inc Rate Unit],MATCH(C54,PMEHVAC[Eff Desc 1],0)))</f>
        <v/>
      </c>
      <c r="AJ54" s="924"/>
      <c r="AK54" s="939" t="str">
        <f t="shared" ref="AK54" ca="1" si="73">IFERROR(IF(OR(C54="",N54="",T54="",V54="",X54="",AA54="",AC54="",),"",AW54),"")</f>
        <v/>
      </c>
      <c r="AL54" s="940"/>
      <c r="AM54" s="940"/>
      <c r="AN54" s="941"/>
      <c r="AO54" s="930" t="str">
        <f ca="1">IF(BA54="","",BA54)</f>
        <v/>
      </c>
      <c r="AP54" s="931"/>
      <c r="AQ54" s="868"/>
      <c r="AU54" s="813"/>
      <c r="AV54" s="928"/>
      <c r="AW54" s="906" t="str">
        <f ca="1">IFERROR(ROUND(
IF(ISNUMBER(SEARCH("DX",C54)),(V54*12)*((1/L54)-(1/N54))*INDEX(PMEHVAC[EFLHcool],MATCH(C54,PMEHVAC[Eff Desc 1],0)),
IF(ISNUMBER(SEARCH("PTAC",C54)),(V54*12)*((1/L54)-(1/N54))*INDEX(PMEHVAC[EFLHcool],MATCH(C54,PMEHVAC[Eff Desc 1],0)),
IF(ISNUMBER(SEARCH("PTHP",C54)),((V54*12)*((1/L54)-(1/N54))*INDEX(PMEHVAC[EFLHcool],MATCH(C54,PMEHVAC[Eff Desc 1],0)))+(((V54*12)/3.412)*((1/R54)-(1/T54))*INDEX(PMEHVAC[EFLHheat],MATCH(C54,PMEHVAC[Eff Desc 1],0))),
IF(OR(ISNUMBER(SEARCH("ASHP",C54)),ISNUMBER(SEARCH("WSHP",C54)),ISNUMBER(SEARCH("Water Source",C54)),ISNUMBER(SEARCH("GSHP",C54))),((V54*12)*((1/L54)-(1/N54))*INDEX(PMEHVAC[EFLHcool],MATCH(C54,PMEHVAC[Eff Desc 1],0)))+(IF(P54="HSPF",(V54*12),((V54*12)/3.412))*((1/R54)-(1/T54))*INDEX(PMEHVAC[EFLHheat],MATCH(C54,PMEHVAC[Eff Desc 1],0))),
"")))),0),"")</f>
        <v/>
      </c>
      <c r="AX54" s="928"/>
      <c r="BA54" s="813" t="str">
        <f ca="1">IFERROR(IF(OR(C54="",L54="",SUM(AK16:AN35)=0,SUM(BE16:BE35)=0),"",SUM(BE16:BE35)),"")</f>
        <v/>
      </c>
    </row>
    <row r="55" spans="2:53" ht="15.95" hidden="1" customHeight="1">
      <c r="B55" s="929"/>
      <c r="C55" s="840"/>
      <c r="D55" s="841"/>
      <c r="E55" s="841"/>
      <c r="F55" s="841"/>
      <c r="G55" s="841"/>
      <c r="H55" s="841"/>
      <c r="I55" s="841"/>
      <c r="J55" s="955"/>
      <c r="K55" s="956"/>
      <c r="L55" s="955"/>
      <c r="M55" s="956"/>
      <c r="N55" s="853"/>
      <c r="O55" s="854"/>
      <c r="P55" s="955"/>
      <c r="Q55" s="956"/>
      <c r="R55" s="955"/>
      <c r="S55" s="956"/>
      <c r="T55" s="969"/>
      <c r="U55" s="970"/>
      <c r="V55" s="853"/>
      <c r="W55" s="854"/>
      <c r="X55" s="840"/>
      <c r="Y55" s="841"/>
      <c r="Z55" s="842"/>
      <c r="AA55" s="952"/>
      <c r="AB55" s="945"/>
      <c r="AC55" s="945"/>
      <c r="AD55" s="946"/>
      <c r="AE55" s="949"/>
      <c r="AF55" s="949"/>
      <c r="AG55" s="949"/>
      <c r="AH55" s="950"/>
      <c r="AI55" s="925"/>
      <c r="AJ55" s="870"/>
      <c r="AK55" s="912"/>
      <c r="AL55" s="913"/>
      <c r="AM55" s="913"/>
      <c r="AN55" s="942"/>
      <c r="AO55" s="925"/>
      <c r="AP55" s="932"/>
      <c r="AQ55" s="870"/>
      <c r="AU55" s="814"/>
      <c r="AV55" s="907"/>
      <c r="AW55" s="907"/>
      <c r="AX55" s="907"/>
      <c r="BA55" s="814"/>
    </row>
    <row r="56" spans="2:53" ht="15.95" hidden="1" customHeight="1">
      <c r="B56" s="929">
        <v>21</v>
      </c>
      <c r="C56" s="871"/>
      <c r="D56" s="872"/>
      <c r="E56" s="872"/>
      <c r="F56" s="872"/>
      <c r="G56" s="872"/>
      <c r="H56" s="872"/>
      <c r="I56" s="872"/>
      <c r="J56" s="953" t="str">
        <f>IF(C56="","",INDEX(PMEHVAC[Base Desc 1],MATCH(C56,PMEHVAC[Eff Desc 1],0)))</f>
        <v/>
      </c>
      <c r="K56" s="954"/>
      <c r="L56" s="953" t="str">
        <f>IF(C56="","",INDEX(PMEHVAC[Base Desc 2],MATCH(C56,PMEHVAC[Eff Desc 1],0)))</f>
        <v/>
      </c>
      <c r="M56" s="954"/>
      <c r="N56" s="851"/>
      <c r="O56" s="852"/>
      <c r="P56" s="953" t="str">
        <f>IF(C56="","",INDEX(PMEHVAC[Base Watt],MATCH(C56,PMEHVAC[Eff Desc 1],0)))</f>
        <v/>
      </c>
      <c r="Q56" s="954"/>
      <c r="R56" s="953" t="str">
        <f>IF(C56="","",INDEX(PMEHVAC[Base Watt 2],MATCH(C56,PMEHVAC[Eff Desc 1],0)))</f>
        <v/>
      </c>
      <c r="S56" s="954"/>
      <c r="T56" s="967"/>
      <c r="U56" s="968"/>
      <c r="V56" s="851"/>
      <c r="W56" s="852"/>
      <c r="X56" s="837"/>
      <c r="Y56" s="838"/>
      <c r="Z56" s="839"/>
      <c r="AA56" s="951"/>
      <c r="AB56" s="943"/>
      <c r="AC56" s="943"/>
      <c r="AD56" s="944"/>
      <c r="AE56" s="947" t="str">
        <f>IF(C56="","",INDEX(PMEHVAC[Unit of Measure],MATCH(C56,PMEHVAC[Eff Desc 1],0)))</f>
        <v/>
      </c>
      <c r="AF56" s="947"/>
      <c r="AG56" s="947"/>
      <c r="AH56" s="948"/>
      <c r="AI56" s="923" t="str">
        <f>IF(OR(C56="",N56="",T56="",V56="",X56="",AA56="",AC56=""),"",INDEX(PMEHVAC[Inc Rate Unit],MATCH(C56,PMEHVAC[Eff Desc 1],0)))</f>
        <v/>
      </c>
      <c r="AJ56" s="924"/>
      <c r="AK56" s="939" t="str">
        <f t="shared" ref="AK56" si="74">IFERROR(IF(OR(C56="",N56="",T56="",V56="",X56="",AA56="",AC56="",),"",AW56),"")</f>
        <v/>
      </c>
      <c r="AL56" s="940"/>
      <c r="AM56" s="940"/>
      <c r="AN56" s="941"/>
      <c r="AO56" s="930" t="str">
        <f t="shared" ref="AO56" si="75">IFERROR(IF(OR(C56="",N56="",V56="",X56="",T56="",AA56="",AC56=""),"",IF(BC56&lt;&gt;"",BC56,ROUND(IF(AK56&lt;=0,0,IF(AE56="unit",MIN(AU56*1,AI56),MIN(AU56*1,(N56-L56)*V56*AI56))),2))),"")</f>
        <v/>
      </c>
      <c r="AP56" s="931"/>
      <c r="AQ56" s="868"/>
      <c r="AU56" s="813" t="str">
        <f t="shared" ref="AU56" si="76">IF(OR(C56="",N56="",T56="",V56="",X56="",AA56="",AE56="",AC56=""),"",IF(AK56="","",ROUND((AA56+AC56),2)))</f>
        <v/>
      </c>
      <c r="AV56" s="928" t="str">
        <f>IF(OR(C56="",N56="",T56="",V56="",X56="",AA56="",AC56="",AE56=""),"",ROUND(IF(ISNUMBER(SEARCH("Unit",AE56)),(V56/12)*(1/((-0.02*N56^2)+(1.12*N56)))*0.177*0.08*0.457,
(V56*12)*((1/L56)-(1/N56))*INDEX(ENDUSEALL[Lighting Coincidence Factor],MATCH(AX56,ENDUSEALL[End Use],0))),3))</f>
        <v/>
      </c>
      <c r="AW56" s="906" t="str">
        <f>IFERROR(ROUND(
IF(ISNUMBER(SEARCH("DX",C56)),(V56*12)*((1/L56)-(1/N56))*INDEX(PMEHVAC[EFLHcool],MATCH(C56,PMEHVAC[Eff Desc 1],0)),
IF(ISNUMBER(SEARCH("PTAC",C56)),(V56*12)*((1/L56)-(1/N56))*INDEX(PMEHVAC[EFLHcool],MATCH(C56,PMEHVAC[Eff Desc 1],0)),
IF(ISNUMBER(SEARCH("PTHP",C56)),((V56*12)*((1/L56)-(1/N56))*INDEX(PMEHVAC[EFLHcool],MATCH(C56,PMEHVAC[Eff Desc 1],0)))+(((V56*12)/3.412)*((1/R56)-(1/T56))*INDEX(PMEHVAC[EFLHheat],MATCH(C56,PMEHVAC[Eff Desc 1],0))),
IF(OR(ISNUMBER(SEARCH("ASHP",C56)),ISNUMBER(SEARCH("WSHP",C56)),ISNUMBER(SEARCH("Water Source",C56)),ISNUMBER(SEARCH("GSHP",C56))),((V56*12)*((1/L56)-(1/N56))*INDEX(PMEHVAC[EFLHcool],MATCH(C56,PMEHVAC[Eff Desc 1],0)))+(IF(P56="HSPF",(V56*12),((V56*12)/3.412))*((1/R56)-(1/T56))*INDEX(PMEHVAC[EFLHheat],MATCH(C56,PMEHVAC[Eff Desc 1],0))),
"")))),0),"")</f>
        <v/>
      </c>
      <c r="AX56" s="928" t="str">
        <f>IF(OR(C56="",N56="",T56="",V56="",X56="",AA56="",AE56="",AC56=""),"",INDEX(PMEHVAC[End Use Category],MATCH(C56,PMEHVAC[Eff Desc 1],0)))</f>
        <v/>
      </c>
    </row>
    <row r="57" spans="2:53" ht="15.95" hidden="1" customHeight="1">
      <c r="B57" s="929"/>
      <c r="C57" s="840"/>
      <c r="D57" s="841"/>
      <c r="E57" s="841"/>
      <c r="F57" s="841"/>
      <c r="G57" s="841"/>
      <c r="H57" s="841"/>
      <c r="I57" s="841"/>
      <c r="J57" s="955"/>
      <c r="K57" s="956"/>
      <c r="L57" s="955"/>
      <c r="M57" s="956"/>
      <c r="N57" s="853"/>
      <c r="O57" s="854"/>
      <c r="P57" s="955"/>
      <c r="Q57" s="956"/>
      <c r="R57" s="955"/>
      <c r="S57" s="956"/>
      <c r="T57" s="969"/>
      <c r="U57" s="970"/>
      <c r="V57" s="853"/>
      <c r="W57" s="854"/>
      <c r="X57" s="840"/>
      <c r="Y57" s="841"/>
      <c r="Z57" s="842"/>
      <c r="AA57" s="952"/>
      <c r="AB57" s="945"/>
      <c r="AC57" s="945"/>
      <c r="AD57" s="946"/>
      <c r="AE57" s="949"/>
      <c r="AF57" s="949"/>
      <c r="AG57" s="949"/>
      <c r="AH57" s="950"/>
      <c r="AI57" s="925"/>
      <c r="AJ57" s="870"/>
      <c r="AK57" s="912"/>
      <c r="AL57" s="913"/>
      <c r="AM57" s="913"/>
      <c r="AN57" s="942"/>
      <c r="AO57" s="925"/>
      <c r="AP57" s="932"/>
      <c r="AQ57" s="870"/>
      <c r="AU57" s="814"/>
      <c r="AV57" s="907"/>
      <c r="AW57" s="907"/>
      <c r="AX57" s="907"/>
    </row>
    <row r="58" spans="2:53" ht="15.95" hidden="1" customHeight="1">
      <c r="B58" s="929">
        <v>22</v>
      </c>
      <c r="C58" s="871"/>
      <c r="D58" s="872"/>
      <c r="E58" s="872"/>
      <c r="F58" s="872"/>
      <c r="G58" s="872"/>
      <c r="H58" s="872"/>
      <c r="I58" s="872"/>
      <c r="J58" s="953" t="str">
        <f>IF(C58="","",INDEX(PMEHVAC[Base Desc 1],MATCH(C58,PMEHVAC[Eff Desc 1],0)))</f>
        <v/>
      </c>
      <c r="K58" s="954"/>
      <c r="L58" s="953" t="str">
        <f>IF(C58="","",INDEX(PMEHVAC[Base Desc 2],MATCH(C58,PMEHVAC[Eff Desc 1],0)))</f>
        <v/>
      </c>
      <c r="M58" s="954"/>
      <c r="N58" s="851"/>
      <c r="O58" s="852"/>
      <c r="P58" s="953" t="str">
        <f>IF(C58="","",INDEX(PMEHVAC[Base Watt],MATCH(C58,PMEHVAC[Eff Desc 1],0)))</f>
        <v/>
      </c>
      <c r="Q58" s="954"/>
      <c r="R58" s="953" t="str">
        <f>IF(C58="","",INDEX(PMEHVAC[Base Watt 2],MATCH(C58,PMEHVAC[Eff Desc 1],0)))</f>
        <v/>
      </c>
      <c r="S58" s="954"/>
      <c r="T58" s="967"/>
      <c r="U58" s="968"/>
      <c r="V58" s="851"/>
      <c r="W58" s="852"/>
      <c r="X58" s="837"/>
      <c r="Y58" s="838"/>
      <c r="Z58" s="839"/>
      <c r="AA58" s="951"/>
      <c r="AB58" s="943"/>
      <c r="AC58" s="943"/>
      <c r="AD58" s="944"/>
      <c r="AE58" s="947" t="str">
        <f>IF(C58="","",INDEX(PMEHVAC[Unit of Measure],MATCH(C58,PMEHVAC[Eff Desc 1],0)))</f>
        <v/>
      </c>
      <c r="AF58" s="947"/>
      <c r="AG58" s="947"/>
      <c r="AH58" s="948"/>
      <c r="AI58" s="923" t="str">
        <f>IF(OR(C58="",N58="",T58="",V58="",X58="",AA58="",AC58=""),"",INDEX(PMEHVAC[Inc Rate Unit],MATCH(C58,PMEHVAC[Eff Desc 1],0)))</f>
        <v/>
      </c>
      <c r="AJ58" s="924"/>
      <c r="AK58" s="939" t="str">
        <f t="shared" ref="AK58" si="77">IFERROR(IF(OR(C58="",N58="",T58="",V58="",X58="",AA58="",AC58="",),"",AW58),"")</f>
        <v/>
      </c>
      <c r="AL58" s="940"/>
      <c r="AM58" s="940"/>
      <c r="AN58" s="941"/>
      <c r="AO58" s="930" t="str">
        <f t="shared" ref="AO58" si="78">IFERROR(IF(OR(C58="",N58="",V58="",X58="",T58="",AA58="",AC58=""),"",IF(BC58&lt;&gt;"",BC58,ROUND(IF(AK58&lt;=0,0,IF(AE58="unit",MIN(AU58*1,AI58),MIN(AU58*1,(N58-L58)*V58*AI58))),2))),"")</f>
        <v/>
      </c>
      <c r="AP58" s="931"/>
      <c r="AQ58" s="868"/>
      <c r="AU58" s="813" t="str">
        <f t="shared" ref="AU58" si="79">IF(OR(C58="",N58="",T58="",V58="",X58="",AA58="",AE58="",AC58=""),"",IF(AK58="","",ROUND((AA58+AC58),2)))</f>
        <v/>
      </c>
      <c r="AV58" s="928" t="str">
        <f>IF(OR(C58="",N58="",T58="",V58="",X58="",AA58="",AC58="",AE58=""),"",ROUND(IF(ISNUMBER(SEARCH("Unit",AE58)),(V58/12)*(1/((-0.02*N58^2)+(1.12*N58)))*0.177*0.08*0.457,
(V58*12)*((1/L58)-(1/N58))*INDEX(ENDUSEALL[Lighting Coincidence Factor],MATCH(AX58,ENDUSEALL[End Use],0))),3))</f>
        <v/>
      </c>
      <c r="AW58" s="906" t="str">
        <f>IFERROR(ROUND(
IF(ISNUMBER(SEARCH("DX",C58)),(V58*12)*((1/L58)-(1/N58))*INDEX(PMEHVAC[EFLHcool],MATCH(C58,PMEHVAC[Eff Desc 1],0)),
IF(ISNUMBER(SEARCH("PTAC",C58)),(V58*12)*((1/L58)-(1/N58))*INDEX(PMEHVAC[EFLHcool],MATCH(C58,PMEHVAC[Eff Desc 1],0)),
IF(ISNUMBER(SEARCH("PTHP",C58)),((V58*12)*((1/L58)-(1/N58))*INDEX(PMEHVAC[EFLHcool],MATCH(C58,PMEHVAC[Eff Desc 1],0)))+(((V58*12)/3.412)*((1/R58)-(1/T58))*INDEX(PMEHVAC[EFLHheat],MATCH(C58,PMEHVAC[Eff Desc 1],0))),
IF(OR(ISNUMBER(SEARCH("ASHP",C58)),ISNUMBER(SEARCH("WSHP",C58)),ISNUMBER(SEARCH("Water Source",C58)),ISNUMBER(SEARCH("GSHP",C58))),((V58*12)*((1/L58)-(1/N58))*INDEX(PMEHVAC[EFLHcool],MATCH(C58,PMEHVAC[Eff Desc 1],0)))+(IF(P58="HSPF",(V58*12),((V58*12)/3.412))*((1/R58)-(1/T58))*INDEX(PMEHVAC[EFLHheat],MATCH(C58,PMEHVAC[Eff Desc 1],0))),
"")))),0),"")</f>
        <v/>
      </c>
      <c r="AX58" s="928" t="str">
        <f>IF(OR(C58="",N58="",T58="",V58="",X58="",AA58="",AE58="",AC58=""),"",INDEX(PMEHVAC[End Use Category],MATCH(C58,PMEHVAC[Eff Desc 1],0)))</f>
        <v/>
      </c>
    </row>
    <row r="59" spans="2:53" ht="15.95" hidden="1" customHeight="1">
      <c r="B59" s="929"/>
      <c r="C59" s="840"/>
      <c r="D59" s="841"/>
      <c r="E59" s="841"/>
      <c r="F59" s="841"/>
      <c r="G59" s="841"/>
      <c r="H59" s="841"/>
      <c r="I59" s="841"/>
      <c r="J59" s="955"/>
      <c r="K59" s="956"/>
      <c r="L59" s="955"/>
      <c r="M59" s="956"/>
      <c r="N59" s="853"/>
      <c r="O59" s="854"/>
      <c r="P59" s="955"/>
      <c r="Q59" s="956"/>
      <c r="R59" s="955"/>
      <c r="S59" s="956"/>
      <c r="T59" s="969"/>
      <c r="U59" s="970"/>
      <c r="V59" s="853"/>
      <c r="W59" s="854"/>
      <c r="X59" s="840"/>
      <c r="Y59" s="841"/>
      <c r="Z59" s="842"/>
      <c r="AA59" s="952"/>
      <c r="AB59" s="945"/>
      <c r="AC59" s="945"/>
      <c r="AD59" s="946"/>
      <c r="AE59" s="949"/>
      <c r="AF59" s="949"/>
      <c r="AG59" s="949"/>
      <c r="AH59" s="950"/>
      <c r="AI59" s="925"/>
      <c r="AJ59" s="870"/>
      <c r="AK59" s="912"/>
      <c r="AL59" s="913"/>
      <c r="AM59" s="913"/>
      <c r="AN59" s="942"/>
      <c r="AO59" s="925"/>
      <c r="AP59" s="932"/>
      <c r="AQ59" s="870"/>
      <c r="AU59" s="814"/>
      <c r="AV59" s="907"/>
      <c r="AW59" s="907"/>
      <c r="AX59" s="907"/>
    </row>
    <row r="60" spans="2:53" ht="15.95" hidden="1" customHeight="1">
      <c r="B60" s="929">
        <v>23</v>
      </c>
      <c r="C60" s="871"/>
      <c r="D60" s="872"/>
      <c r="E60" s="872"/>
      <c r="F60" s="872"/>
      <c r="G60" s="872"/>
      <c r="H60" s="872"/>
      <c r="I60" s="872"/>
      <c r="J60" s="953" t="str">
        <f>IF(C60="","",INDEX(PMEHVAC[Base Desc 1],MATCH(C60,PMEHVAC[Eff Desc 1],0)))</f>
        <v/>
      </c>
      <c r="K60" s="954"/>
      <c r="L60" s="953" t="str">
        <f>IF(C60="","",INDEX(PMEHVAC[Base Desc 2],MATCH(C60,PMEHVAC[Eff Desc 1],0)))</f>
        <v/>
      </c>
      <c r="M60" s="954"/>
      <c r="N60" s="851"/>
      <c r="O60" s="852"/>
      <c r="P60" s="953" t="str">
        <f>IF(C60="","",INDEX(PMEHVAC[Base Watt],MATCH(C60,PMEHVAC[Eff Desc 1],0)))</f>
        <v/>
      </c>
      <c r="Q60" s="954"/>
      <c r="R60" s="953" t="str">
        <f>IF(C60="","",INDEX(PMEHVAC[Base Watt 2],MATCH(C60,PMEHVAC[Eff Desc 1],0)))</f>
        <v/>
      </c>
      <c r="S60" s="954"/>
      <c r="T60" s="967"/>
      <c r="U60" s="968"/>
      <c r="V60" s="851"/>
      <c r="W60" s="852"/>
      <c r="X60" s="837"/>
      <c r="Y60" s="838"/>
      <c r="Z60" s="839"/>
      <c r="AA60" s="951"/>
      <c r="AB60" s="943"/>
      <c r="AC60" s="943"/>
      <c r="AD60" s="944"/>
      <c r="AE60" s="947" t="str">
        <f>IF(C60="","",INDEX(PMEHVAC[Unit of Measure],MATCH(C60,PMEHVAC[Eff Desc 1],0)))</f>
        <v/>
      </c>
      <c r="AF60" s="947"/>
      <c r="AG60" s="947"/>
      <c r="AH60" s="948"/>
      <c r="AI60" s="923" t="str">
        <f>IF(OR(C60="",N60="",T60="",V60="",X60="",AA60="",AC60=""),"",INDEX(PMEHVAC[Inc Rate Unit],MATCH(C60,PMEHVAC[Eff Desc 1],0)))</f>
        <v/>
      </c>
      <c r="AJ60" s="924"/>
      <c r="AK60" s="939" t="str">
        <f t="shared" ref="AK60" si="80">IFERROR(IF(OR(C60="",N60="",T60="",V60="",X60="",AA60="",AC60="",),"",AW60),"")</f>
        <v/>
      </c>
      <c r="AL60" s="940"/>
      <c r="AM60" s="940"/>
      <c r="AN60" s="941"/>
      <c r="AO60" s="930" t="str">
        <f t="shared" ref="AO60" si="81">IFERROR(IF(OR(C60="",N60="",V60="",X60="",T60="",AA60="",AC60=""),"",IF(BC60&lt;&gt;"",BC60,ROUND(IF(AK60&lt;=0,0,IF(AE60="unit",MIN(AU60*1,AI60),MIN(AU60*1,(N60-L60)*V60*AI60))),2))),"")</f>
        <v/>
      </c>
      <c r="AP60" s="931"/>
      <c r="AQ60" s="868"/>
      <c r="AU60" s="813" t="str">
        <f t="shared" ref="AU60" si="82">IF(OR(C60="",N60="",T60="",V60="",X60="",AA60="",AE60="",AC60=""),"",IF(AK60="","",ROUND((AA60+AC60),2)))</f>
        <v/>
      </c>
      <c r="AV60" s="928" t="str">
        <f>IF(OR(C60="",N60="",T60="",V60="",X60="",AA60="",AC60="",AE60=""),"",ROUND(IF(ISNUMBER(SEARCH("Unit",AE60)),(V60/12)*(1/((-0.02*N60^2)+(1.12*N60)))*0.177*0.08*0.457,
(V60*12)*((1/L60)-(1/N60))*INDEX(ENDUSEALL[Lighting Coincidence Factor],MATCH(AX60,ENDUSEALL[End Use],0))),3))</f>
        <v/>
      </c>
      <c r="AW60" s="906" t="str">
        <f>IFERROR(ROUND(
IF(ISNUMBER(SEARCH("DX",C60)),(V60*12)*((1/L60)-(1/N60))*INDEX(PMEHVAC[EFLHcool],MATCH(C60,PMEHVAC[Eff Desc 1],0)),
IF(ISNUMBER(SEARCH("PTAC",C60)),(V60*12)*((1/L60)-(1/N60))*INDEX(PMEHVAC[EFLHcool],MATCH(C60,PMEHVAC[Eff Desc 1],0)),
IF(ISNUMBER(SEARCH("PTHP",C60)),((V60*12)*((1/L60)-(1/N60))*INDEX(PMEHVAC[EFLHcool],MATCH(C60,PMEHVAC[Eff Desc 1],0)))+(((V60*12)/3.412)*((1/R60)-(1/T60))*INDEX(PMEHVAC[EFLHheat],MATCH(C60,PMEHVAC[Eff Desc 1],0))),
IF(OR(ISNUMBER(SEARCH("ASHP",C60)),ISNUMBER(SEARCH("WSHP",C60)),ISNUMBER(SEARCH("Water Source",C60)),ISNUMBER(SEARCH("GSHP",C60))),((V60*12)*((1/L60)-(1/N60))*INDEX(PMEHVAC[EFLHcool],MATCH(C60,PMEHVAC[Eff Desc 1],0)))+(IF(P60="HSPF",(V60*12),((V60*12)/3.412))*((1/R60)-(1/T60))*INDEX(PMEHVAC[EFLHheat],MATCH(C60,PMEHVAC[Eff Desc 1],0))),
"")))),0),"")</f>
        <v/>
      </c>
      <c r="AX60" s="928" t="str">
        <f>IF(OR(C60="",N60="",T60="",V60="",X60="",AA60="",AE60="",AC60=""),"",INDEX(PMEHVAC[End Use Category],MATCH(C60,PMEHVAC[Eff Desc 1],0)))</f>
        <v/>
      </c>
    </row>
    <row r="61" spans="2:53" ht="15.95" hidden="1" customHeight="1">
      <c r="B61" s="929"/>
      <c r="C61" s="840"/>
      <c r="D61" s="841"/>
      <c r="E61" s="841"/>
      <c r="F61" s="841"/>
      <c r="G61" s="841"/>
      <c r="H61" s="841"/>
      <c r="I61" s="841"/>
      <c r="J61" s="955"/>
      <c r="K61" s="956"/>
      <c r="L61" s="955"/>
      <c r="M61" s="956"/>
      <c r="N61" s="853"/>
      <c r="O61" s="854"/>
      <c r="P61" s="955"/>
      <c r="Q61" s="956"/>
      <c r="R61" s="955"/>
      <c r="S61" s="956"/>
      <c r="T61" s="969"/>
      <c r="U61" s="970"/>
      <c r="V61" s="853"/>
      <c r="W61" s="854"/>
      <c r="X61" s="840"/>
      <c r="Y61" s="841"/>
      <c r="Z61" s="842"/>
      <c r="AA61" s="952"/>
      <c r="AB61" s="945"/>
      <c r="AC61" s="945"/>
      <c r="AD61" s="946"/>
      <c r="AE61" s="949"/>
      <c r="AF61" s="949"/>
      <c r="AG61" s="949"/>
      <c r="AH61" s="950"/>
      <c r="AI61" s="925"/>
      <c r="AJ61" s="870"/>
      <c r="AK61" s="912"/>
      <c r="AL61" s="913"/>
      <c r="AM61" s="913"/>
      <c r="AN61" s="942"/>
      <c r="AO61" s="925"/>
      <c r="AP61" s="932"/>
      <c r="AQ61" s="870"/>
      <c r="AU61" s="814"/>
      <c r="AV61" s="907"/>
      <c r="AW61" s="907"/>
      <c r="AX61" s="907"/>
    </row>
    <row r="62" spans="2:53" ht="15.95" hidden="1" customHeight="1">
      <c r="B62" s="929">
        <v>24</v>
      </c>
      <c r="C62" s="871"/>
      <c r="D62" s="872"/>
      <c r="E62" s="872"/>
      <c r="F62" s="872"/>
      <c r="G62" s="872"/>
      <c r="H62" s="872"/>
      <c r="I62" s="872"/>
      <c r="J62" s="953" t="str">
        <f>IF(C62="","",INDEX(PMEHVAC[Base Desc 1],MATCH(C62,PMEHVAC[Eff Desc 1],0)))</f>
        <v/>
      </c>
      <c r="K62" s="954"/>
      <c r="L62" s="953" t="str">
        <f>IF(C62="","",INDEX(PMEHVAC[Base Desc 2],MATCH(C62,PMEHVAC[Eff Desc 1],0)))</f>
        <v/>
      </c>
      <c r="M62" s="954"/>
      <c r="N62" s="851"/>
      <c r="O62" s="852"/>
      <c r="P62" s="953" t="str">
        <f>IF(C62="","",INDEX(PMEHVAC[Base Watt],MATCH(C62,PMEHVAC[Eff Desc 1],0)))</f>
        <v/>
      </c>
      <c r="Q62" s="954"/>
      <c r="R62" s="953" t="str">
        <f>IF(C62="","",INDEX(PMEHVAC[Base Watt 2],MATCH(C62,PMEHVAC[Eff Desc 1],0)))</f>
        <v/>
      </c>
      <c r="S62" s="954"/>
      <c r="T62" s="967"/>
      <c r="U62" s="968"/>
      <c r="V62" s="851"/>
      <c r="W62" s="852"/>
      <c r="X62" s="837"/>
      <c r="Y62" s="838"/>
      <c r="Z62" s="839"/>
      <c r="AA62" s="951"/>
      <c r="AB62" s="943"/>
      <c r="AC62" s="943"/>
      <c r="AD62" s="944"/>
      <c r="AE62" s="947" t="str">
        <f>IF(C62="","",INDEX(PMEHVAC[Unit of Measure],MATCH(C62,PMEHVAC[Eff Desc 1],0)))</f>
        <v/>
      </c>
      <c r="AF62" s="947"/>
      <c r="AG62" s="947"/>
      <c r="AH62" s="948"/>
      <c r="AI62" s="923" t="str">
        <f>IF(OR(C62="",N62="",T62="",V62="",X62="",AA62="",AC62=""),"",INDEX(PMEHVAC[Inc Rate Unit],MATCH(C62,PMEHVAC[Eff Desc 1],0)))</f>
        <v/>
      </c>
      <c r="AJ62" s="924"/>
      <c r="AK62" s="939" t="str">
        <f t="shared" ref="AK62" si="83">IFERROR(IF(OR(C62="",N62="",T62="",V62="",X62="",AA62="",AC62="",),"",AW62),"")</f>
        <v/>
      </c>
      <c r="AL62" s="940"/>
      <c r="AM62" s="940"/>
      <c r="AN62" s="941"/>
      <c r="AO62" s="930" t="str">
        <f t="shared" ref="AO62" si="84">IFERROR(IF(OR(C62="",N62="",V62="",X62="",T62="",AA62="",AC62=""),"",IF(BC62&lt;&gt;"",BC62,ROUND(IF(AK62&lt;=0,0,IF(AE62="unit",MIN(AU62*1,AI62),MIN(AU62*1,(N62-L62)*V62*AI62))),2))),"")</f>
        <v/>
      </c>
      <c r="AP62" s="931"/>
      <c r="AQ62" s="868"/>
      <c r="AU62" s="813" t="str">
        <f t="shared" ref="AU62" si="85">IF(OR(C62="",N62="",T62="",V62="",X62="",AA62="",AE62="",AC62=""),"",IF(AK62="","",ROUND((AA62+AC62),2)))</f>
        <v/>
      </c>
      <c r="AV62" s="928" t="str">
        <f>IF(OR(C62="",N62="",T62="",V62="",X62="",AA62="",AC62="",AE62=""),"",ROUND(IF(ISNUMBER(SEARCH("Unit",AE62)),(V62/12)*(1/((-0.02*N62^2)+(1.12*N62)))*0.177*0.08*0.457,
(V62*12)*((1/L62)-(1/N62))*INDEX(ENDUSEALL[Lighting Coincidence Factor],MATCH(AX62,ENDUSEALL[End Use],0))),3))</f>
        <v/>
      </c>
      <c r="AW62" s="906" t="str">
        <f>IFERROR(ROUND(
IF(ISNUMBER(SEARCH("DX",C62)),(V62*12)*((1/L62)-(1/N62))*INDEX(PMEHVAC[EFLHcool],MATCH(C62,PMEHVAC[Eff Desc 1],0)),
IF(ISNUMBER(SEARCH("PTAC",C62)),(V62*12)*((1/L62)-(1/N62))*INDEX(PMEHVAC[EFLHcool],MATCH(C62,PMEHVAC[Eff Desc 1],0)),
IF(ISNUMBER(SEARCH("PTHP",C62)),((V62*12)*((1/L62)-(1/N62))*INDEX(PMEHVAC[EFLHcool],MATCH(C62,PMEHVAC[Eff Desc 1],0)))+(((V62*12)/3.412)*((1/R62)-(1/T62))*INDEX(PMEHVAC[EFLHheat],MATCH(C62,PMEHVAC[Eff Desc 1],0))),
IF(OR(ISNUMBER(SEARCH("ASHP",C62)),ISNUMBER(SEARCH("WSHP",C62)),ISNUMBER(SEARCH("Water Source",C62)),ISNUMBER(SEARCH("GSHP",C62))),((V62*12)*((1/L62)-(1/N62))*INDEX(PMEHVAC[EFLHcool],MATCH(C62,PMEHVAC[Eff Desc 1],0)))+(IF(P62="HSPF",(V62*12),((V62*12)/3.412))*((1/R62)-(1/T62))*INDEX(PMEHVAC[EFLHheat],MATCH(C62,PMEHVAC[Eff Desc 1],0))),
"")))),0),"")</f>
        <v/>
      </c>
      <c r="AX62" s="928" t="str">
        <f>IF(OR(C62="",N62="",T62="",V62="",X62="",AA62="",AE62="",AC62=""),"",INDEX(PMEHVAC[End Use Category],MATCH(C62,PMEHVAC[Eff Desc 1],0)))</f>
        <v/>
      </c>
    </row>
    <row r="63" spans="2:53" ht="15.95" hidden="1" customHeight="1">
      <c r="B63" s="929"/>
      <c r="C63" s="840"/>
      <c r="D63" s="841"/>
      <c r="E63" s="841"/>
      <c r="F63" s="841"/>
      <c r="G63" s="841"/>
      <c r="H63" s="841"/>
      <c r="I63" s="841"/>
      <c r="J63" s="955"/>
      <c r="K63" s="956"/>
      <c r="L63" s="955"/>
      <c r="M63" s="956"/>
      <c r="N63" s="853"/>
      <c r="O63" s="854"/>
      <c r="P63" s="955"/>
      <c r="Q63" s="956"/>
      <c r="R63" s="955"/>
      <c r="S63" s="956"/>
      <c r="T63" s="969"/>
      <c r="U63" s="970"/>
      <c r="V63" s="853"/>
      <c r="W63" s="854"/>
      <c r="X63" s="840"/>
      <c r="Y63" s="841"/>
      <c r="Z63" s="842"/>
      <c r="AA63" s="952"/>
      <c r="AB63" s="945"/>
      <c r="AC63" s="945"/>
      <c r="AD63" s="946"/>
      <c r="AE63" s="949"/>
      <c r="AF63" s="949"/>
      <c r="AG63" s="949"/>
      <c r="AH63" s="950"/>
      <c r="AI63" s="925"/>
      <c r="AJ63" s="870"/>
      <c r="AK63" s="912"/>
      <c r="AL63" s="913"/>
      <c r="AM63" s="913"/>
      <c r="AN63" s="942"/>
      <c r="AO63" s="925"/>
      <c r="AP63" s="932"/>
      <c r="AQ63" s="870"/>
      <c r="AU63" s="814"/>
      <c r="AV63" s="907"/>
      <c r="AW63" s="907"/>
      <c r="AX63" s="907"/>
    </row>
    <row r="64" spans="2:53" ht="15.95" hidden="1" customHeight="1">
      <c r="B64" s="929">
        <v>25</v>
      </c>
      <c r="C64" s="871"/>
      <c r="D64" s="872"/>
      <c r="E64" s="872"/>
      <c r="F64" s="872"/>
      <c r="G64" s="872"/>
      <c r="H64" s="872"/>
      <c r="I64" s="872"/>
      <c r="J64" s="953" t="str">
        <f>IF(C64="","",INDEX(PMEHVAC[Base Desc 1],MATCH(C64,PMEHVAC[Eff Desc 1],0)))</f>
        <v/>
      </c>
      <c r="K64" s="954"/>
      <c r="L64" s="953" t="str">
        <f>IF(C64="","",INDEX(PMEHVAC[Base Desc 2],MATCH(C64,PMEHVAC[Eff Desc 1],0)))</f>
        <v/>
      </c>
      <c r="M64" s="954"/>
      <c r="N64" s="851"/>
      <c r="O64" s="852"/>
      <c r="P64" s="953" t="str">
        <f>IF(C64="","",INDEX(PMEHVAC[Base Watt],MATCH(C64,PMEHVAC[Eff Desc 1],0)))</f>
        <v/>
      </c>
      <c r="Q64" s="954"/>
      <c r="R64" s="953" t="str">
        <f>IF(C64="","",INDEX(PMEHVAC[Base Watt 2],MATCH(C64,PMEHVAC[Eff Desc 1],0)))</f>
        <v/>
      </c>
      <c r="S64" s="954"/>
      <c r="T64" s="967"/>
      <c r="U64" s="968"/>
      <c r="V64" s="851"/>
      <c r="W64" s="852"/>
      <c r="X64" s="837"/>
      <c r="Y64" s="838"/>
      <c r="Z64" s="839"/>
      <c r="AA64" s="951"/>
      <c r="AB64" s="943"/>
      <c r="AC64" s="943"/>
      <c r="AD64" s="944"/>
      <c r="AE64" s="947" t="str">
        <f>IF(C64="","",INDEX(PMEHVAC[Unit of Measure],MATCH(C64,PMEHVAC[Eff Desc 1],0)))</f>
        <v/>
      </c>
      <c r="AF64" s="947"/>
      <c r="AG64" s="947"/>
      <c r="AH64" s="948"/>
      <c r="AI64" s="923" t="str">
        <f>IF(OR(C64="",N64="",T64="",V64="",X64="",AA64="",AC64=""),"",INDEX(PMEHVAC[Inc Rate Unit],MATCH(C64,PMEHVAC[Eff Desc 1],0)))</f>
        <v/>
      </c>
      <c r="AJ64" s="924"/>
      <c r="AK64" s="939" t="str">
        <f t="shared" ref="AK64" si="86">IFERROR(IF(OR(C64="",N64="",T64="",V64="",X64="",AA64="",AC64="",),"",AW64),"")</f>
        <v/>
      </c>
      <c r="AL64" s="940"/>
      <c r="AM64" s="940"/>
      <c r="AN64" s="941"/>
      <c r="AO64" s="930" t="str">
        <f t="shared" ref="AO64" si="87">IFERROR(IF(OR(C64="",N64="",V64="",X64="",T64="",AA64="",AC64=""),"",IF(BC64&lt;&gt;"",BC64,ROUND(IF(AK64&lt;=0,0,IF(AE64="unit",MIN(AU64*1,AI64),MIN(AU64*1,(N64-L64)*V64*AI64))),2))),"")</f>
        <v/>
      </c>
      <c r="AP64" s="931"/>
      <c r="AQ64" s="868"/>
      <c r="AU64" s="813" t="str">
        <f t="shared" ref="AU64" si="88">IF(OR(C64="",N64="",T64="",V64="",X64="",AA64="",AE64="",AC64=""),"",IF(AK64="","",ROUND((AA64+AC64),2)))</f>
        <v/>
      </c>
      <c r="AV64" s="928" t="str">
        <f>IF(OR(C64="",N64="",T64="",V64="",X64="",AA64="",AC64="",AE64=""),"",ROUND(IF(ISNUMBER(SEARCH("Unit",AE64)),(V64/12)*(1/((-0.02*N64^2)+(1.12*N64)))*0.177*0.08*0.457,
(V64*12)*((1/L64)-(1/N64))*INDEX(ENDUSEALL[Lighting Coincidence Factor],MATCH(AX64,ENDUSEALL[End Use],0))),3))</f>
        <v/>
      </c>
      <c r="AW64" s="906" t="str">
        <f>IFERROR(ROUND(
IF(ISNUMBER(SEARCH("DX",C64)),(V64*12)*((1/L64)-(1/N64))*INDEX(PMEHVAC[EFLHcool],MATCH(C64,PMEHVAC[Eff Desc 1],0)),
IF(ISNUMBER(SEARCH("PTAC",C64)),(V64*12)*((1/L64)-(1/N64))*INDEX(PMEHVAC[EFLHcool],MATCH(C64,PMEHVAC[Eff Desc 1],0)),
IF(ISNUMBER(SEARCH("PTHP",C64)),((V64*12)*((1/L64)-(1/N64))*INDEX(PMEHVAC[EFLHcool],MATCH(C64,PMEHVAC[Eff Desc 1],0)))+(((V64*12)/3.412)*((1/R64)-(1/T64))*INDEX(PMEHVAC[EFLHheat],MATCH(C64,PMEHVAC[Eff Desc 1],0))),
IF(OR(ISNUMBER(SEARCH("ASHP",C64)),ISNUMBER(SEARCH("WSHP",C64)),ISNUMBER(SEARCH("Water Source",C64)),ISNUMBER(SEARCH("GSHP",C64))),((V64*12)*((1/L64)-(1/N64))*INDEX(PMEHVAC[EFLHcool],MATCH(C64,PMEHVAC[Eff Desc 1],0)))+(IF(P64="HSPF",(V64*12),((V64*12)/3.412))*((1/R64)-(1/T64))*INDEX(PMEHVAC[EFLHheat],MATCH(C64,PMEHVAC[Eff Desc 1],0))),
"")))),0),"")</f>
        <v/>
      </c>
      <c r="AX64" s="928" t="str">
        <f>IF(OR(C64="",N64="",T64="",V64="",X64="",AA64="",AE64="",AC64=""),"",INDEX(PMEHVAC[End Use Category],MATCH(C64,PMEHVAC[Eff Desc 1],0)))</f>
        <v/>
      </c>
    </row>
    <row r="65" spans="2:50" ht="15.95" hidden="1" customHeight="1">
      <c r="B65" s="929"/>
      <c r="C65" s="840"/>
      <c r="D65" s="841"/>
      <c r="E65" s="841"/>
      <c r="F65" s="841"/>
      <c r="G65" s="841"/>
      <c r="H65" s="841"/>
      <c r="I65" s="841"/>
      <c r="J65" s="955"/>
      <c r="K65" s="956"/>
      <c r="L65" s="955"/>
      <c r="M65" s="956"/>
      <c r="N65" s="853"/>
      <c r="O65" s="854"/>
      <c r="P65" s="955"/>
      <c r="Q65" s="956"/>
      <c r="R65" s="955"/>
      <c r="S65" s="956"/>
      <c r="T65" s="969"/>
      <c r="U65" s="970"/>
      <c r="V65" s="853"/>
      <c r="W65" s="854"/>
      <c r="X65" s="840"/>
      <c r="Y65" s="841"/>
      <c r="Z65" s="842"/>
      <c r="AA65" s="952"/>
      <c r="AB65" s="945"/>
      <c r="AC65" s="945"/>
      <c r="AD65" s="946"/>
      <c r="AE65" s="949"/>
      <c r="AF65" s="949"/>
      <c r="AG65" s="949"/>
      <c r="AH65" s="950"/>
      <c r="AI65" s="925"/>
      <c r="AJ65" s="870"/>
      <c r="AK65" s="912"/>
      <c r="AL65" s="913"/>
      <c r="AM65" s="913"/>
      <c r="AN65" s="942"/>
      <c r="AO65" s="925"/>
      <c r="AP65" s="932"/>
      <c r="AQ65" s="870"/>
      <c r="AU65" s="814"/>
      <c r="AV65" s="907"/>
      <c r="AW65" s="907"/>
      <c r="AX65" s="907"/>
    </row>
    <row r="66" spans="2:50" ht="15.95" hidden="1" customHeight="1">
      <c r="B66" s="929">
        <v>26</v>
      </c>
      <c r="C66" s="871"/>
      <c r="D66" s="872"/>
      <c r="E66" s="872"/>
      <c r="F66" s="872"/>
      <c r="G66" s="872"/>
      <c r="H66" s="872"/>
      <c r="I66" s="872"/>
      <c r="J66" s="953" t="str">
        <f>IF(C66="","",INDEX(PMEHVAC[Base Desc 1],MATCH(C66,PMEHVAC[Eff Desc 1],0)))</f>
        <v/>
      </c>
      <c r="K66" s="954"/>
      <c r="L66" s="953" t="str">
        <f>IF(C66="","",INDEX(PMEHVAC[Base Desc 2],MATCH(C66,PMEHVAC[Eff Desc 1],0)))</f>
        <v/>
      </c>
      <c r="M66" s="954"/>
      <c r="N66" s="851"/>
      <c r="O66" s="852"/>
      <c r="P66" s="953" t="str">
        <f>IF(C66="","",INDEX(PMEHVAC[Base Watt],MATCH(C66,PMEHVAC[Eff Desc 1],0)))</f>
        <v/>
      </c>
      <c r="Q66" s="954"/>
      <c r="R66" s="953" t="str">
        <f>IF(C66="","",INDEX(PMEHVAC[Base Watt 2],MATCH(C66,PMEHVAC[Eff Desc 1],0)))</f>
        <v/>
      </c>
      <c r="S66" s="954"/>
      <c r="T66" s="967"/>
      <c r="U66" s="968"/>
      <c r="V66" s="851"/>
      <c r="W66" s="852"/>
      <c r="X66" s="837"/>
      <c r="Y66" s="838"/>
      <c r="Z66" s="839"/>
      <c r="AA66" s="951"/>
      <c r="AB66" s="943"/>
      <c r="AC66" s="943"/>
      <c r="AD66" s="944"/>
      <c r="AE66" s="947" t="str">
        <f>IF(C66="","",INDEX(PMEHVAC[Unit of Measure],MATCH(C66,PMEHVAC[Eff Desc 1],0)))</f>
        <v/>
      </c>
      <c r="AF66" s="947"/>
      <c r="AG66" s="947"/>
      <c r="AH66" s="948"/>
      <c r="AI66" s="923" t="str">
        <f>IF(OR(C66="",N66="",T66="",V66="",X66="",AA66="",AC66=""),"",INDEX(PMEHVAC[Inc Rate Unit],MATCH(C66,PMEHVAC[Eff Desc 1],0)))</f>
        <v/>
      </c>
      <c r="AJ66" s="924"/>
      <c r="AK66" s="939" t="str">
        <f t="shared" ref="AK66" si="89">IFERROR(IF(OR(C66="",N66="",T66="",V66="",X66="",AA66="",AC66="",),"",AW66),"")</f>
        <v/>
      </c>
      <c r="AL66" s="940"/>
      <c r="AM66" s="940"/>
      <c r="AN66" s="941"/>
      <c r="AO66" s="930" t="str">
        <f t="shared" ref="AO66" si="90">IFERROR(IF(OR(C66="",N66="",V66="",X66="",T66="",AA66="",AC66=""),"",IF(BC66&lt;&gt;"",BC66,ROUND(IF(AK66&lt;=0,0,IF(AE66="unit",MIN(AU66*1,AI66),MIN(AU66*1,(N66-L66)*V66*AI66))),2))),"")</f>
        <v/>
      </c>
      <c r="AP66" s="931"/>
      <c r="AQ66" s="868"/>
      <c r="AU66" s="813" t="str">
        <f t="shared" ref="AU66" si="91">IF(OR(C66="",N66="",T66="",V66="",X66="",AA66="",AE66="",AC66=""),"",IF(AK66="","",ROUND((AA66+AC66),2)))</f>
        <v/>
      </c>
      <c r="AV66" s="928" t="str">
        <f>IF(OR(C66="",N66="",T66="",V66="",X66="",AA66="",AC66="",AE66=""),"",ROUND(IF(ISNUMBER(SEARCH("Unit",AE66)),(V66/12)*(1/((-0.02*N66^2)+(1.12*N66)))*0.177*0.08*0.457,
(V66*12)*((1/L66)-(1/N66))*INDEX(ENDUSEALL[Lighting Coincidence Factor],MATCH(AX66,ENDUSEALL[End Use],0))),3))</f>
        <v/>
      </c>
      <c r="AW66" s="906" t="str">
        <f>IFERROR(ROUND(
IF(ISNUMBER(SEARCH("DX",C66)),(V66*12)*((1/L66)-(1/N66))*INDEX(PMEHVAC[EFLHcool],MATCH(C66,PMEHVAC[Eff Desc 1],0)),
IF(ISNUMBER(SEARCH("PTAC",C66)),(V66*12)*((1/L66)-(1/N66))*INDEX(PMEHVAC[EFLHcool],MATCH(C66,PMEHVAC[Eff Desc 1],0)),
IF(ISNUMBER(SEARCH("PTHP",C66)),((V66*12)*((1/L66)-(1/N66))*INDEX(PMEHVAC[EFLHcool],MATCH(C66,PMEHVAC[Eff Desc 1],0)))+(((V66*12)/3.412)*((1/R66)-(1/T66))*INDEX(PMEHVAC[EFLHheat],MATCH(C66,PMEHVAC[Eff Desc 1],0))),
IF(OR(ISNUMBER(SEARCH("ASHP",C66)),ISNUMBER(SEARCH("WSHP",C66)),ISNUMBER(SEARCH("Water Source",C66)),ISNUMBER(SEARCH("GSHP",C66))),((V66*12)*((1/L66)-(1/N66))*INDEX(PMEHVAC[EFLHcool],MATCH(C66,PMEHVAC[Eff Desc 1],0)))+(IF(P66="HSPF",(V66*12),((V66*12)/3.412))*((1/R66)-(1/T66))*INDEX(PMEHVAC[EFLHheat],MATCH(C66,PMEHVAC[Eff Desc 1],0))),
"")))),0),"")</f>
        <v/>
      </c>
      <c r="AX66" s="928" t="str">
        <f>IF(OR(C66="",N66="",T66="",V66="",X66="",AA66="",AE66="",AC66=""),"",INDEX(PMEHVAC[End Use Category],MATCH(C66,PMEHVAC[Eff Desc 1],0)))</f>
        <v/>
      </c>
    </row>
    <row r="67" spans="2:50" ht="15.95" hidden="1" customHeight="1">
      <c r="B67" s="929"/>
      <c r="C67" s="840"/>
      <c r="D67" s="841"/>
      <c r="E67" s="841"/>
      <c r="F67" s="841"/>
      <c r="G67" s="841"/>
      <c r="H67" s="841"/>
      <c r="I67" s="841"/>
      <c r="J67" s="955"/>
      <c r="K67" s="956"/>
      <c r="L67" s="955"/>
      <c r="M67" s="956"/>
      <c r="N67" s="853"/>
      <c r="O67" s="854"/>
      <c r="P67" s="955"/>
      <c r="Q67" s="956"/>
      <c r="R67" s="955"/>
      <c r="S67" s="956"/>
      <c r="T67" s="969"/>
      <c r="U67" s="970"/>
      <c r="V67" s="853"/>
      <c r="W67" s="854"/>
      <c r="X67" s="840"/>
      <c r="Y67" s="841"/>
      <c r="Z67" s="842"/>
      <c r="AA67" s="952"/>
      <c r="AB67" s="945"/>
      <c r="AC67" s="945"/>
      <c r="AD67" s="946"/>
      <c r="AE67" s="949"/>
      <c r="AF67" s="949"/>
      <c r="AG67" s="949"/>
      <c r="AH67" s="950"/>
      <c r="AI67" s="925"/>
      <c r="AJ67" s="870"/>
      <c r="AK67" s="912"/>
      <c r="AL67" s="913"/>
      <c r="AM67" s="913"/>
      <c r="AN67" s="942"/>
      <c r="AO67" s="925"/>
      <c r="AP67" s="932"/>
      <c r="AQ67" s="870"/>
      <c r="AU67" s="814"/>
      <c r="AV67" s="907"/>
      <c r="AW67" s="907"/>
      <c r="AX67" s="907"/>
    </row>
    <row r="68" spans="2:50" ht="15.95" hidden="1" customHeight="1">
      <c r="B68" s="929">
        <v>27</v>
      </c>
      <c r="C68" s="871"/>
      <c r="D68" s="872"/>
      <c r="E68" s="872"/>
      <c r="F68" s="872"/>
      <c r="G68" s="872"/>
      <c r="H68" s="872"/>
      <c r="I68" s="872"/>
      <c r="J68" s="953" t="str">
        <f>IF(C68="","",INDEX(PMEHVAC[Base Desc 1],MATCH(C68,PMEHVAC[Eff Desc 1],0)))</f>
        <v/>
      </c>
      <c r="K68" s="954"/>
      <c r="L68" s="953" t="str">
        <f>IF(C68="","",INDEX(PMEHVAC[Base Desc 2],MATCH(C68,PMEHVAC[Eff Desc 1],0)))</f>
        <v/>
      </c>
      <c r="M68" s="954"/>
      <c r="N68" s="851"/>
      <c r="O68" s="852"/>
      <c r="P68" s="953" t="str">
        <f>IF(C68="","",INDEX(PMEHVAC[Base Watt],MATCH(C68,PMEHVAC[Eff Desc 1],0)))</f>
        <v/>
      </c>
      <c r="Q68" s="954"/>
      <c r="R68" s="953" t="str">
        <f>IF(C68="","",INDEX(PMEHVAC[Base Watt 2],MATCH(C68,PMEHVAC[Eff Desc 1],0)))</f>
        <v/>
      </c>
      <c r="S68" s="954"/>
      <c r="T68" s="967"/>
      <c r="U68" s="968"/>
      <c r="V68" s="851"/>
      <c r="W68" s="852"/>
      <c r="X68" s="837"/>
      <c r="Y68" s="838"/>
      <c r="Z68" s="839"/>
      <c r="AA68" s="951"/>
      <c r="AB68" s="943"/>
      <c r="AC68" s="943"/>
      <c r="AD68" s="944"/>
      <c r="AE68" s="947" t="str">
        <f>IF(C68="","",INDEX(PMEHVAC[Unit of Measure],MATCH(C68,PMEHVAC[Eff Desc 1],0)))</f>
        <v/>
      </c>
      <c r="AF68" s="947"/>
      <c r="AG68" s="947"/>
      <c r="AH68" s="948"/>
      <c r="AI68" s="923" t="str">
        <f>IF(OR(C68="",N68="",T68="",V68="",X68="",AA68="",AC68=""),"",INDEX(PMEHVAC[Inc Rate Unit],MATCH(C68,PMEHVAC[Eff Desc 1],0)))</f>
        <v/>
      </c>
      <c r="AJ68" s="924"/>
      <c r="AK68" s="939" t="str">
        <f t="shared" ref="AK68" si="92">IFERROR(IF(OR(C68="",N68="",T68="",V68="",X68="",AA68="",AC68="",),"",AW68),"")</f>
        <v/>
      </c>
      <c r="AL68" s="940"/>
      <c r="AM68" s="940"/>
      <c r="AN68" s="941"/>
      <c r="AO68" s="930" t="str">
        <f t="shared" ref="AO68" si="93">IFERROR(IF(OR(C68="",N68="",V68="",X68="",T68="",AA68="",AC68=""),"",IF(BC68&lt;&gt;"",BC68,ROUND(IF(AK68&lt;=0,0,IF(AE68="unit",MIN(AU68*1,AI68),MIN(AU68*1,(N68-L68)*V68*AI68))),2))),"")</f>
        <v/>
      </c>
      <c r="AP68" s="931"/>
      <c r="AQ68" s="868"/>
      <c r="AU68" s="813" t="str">
        <f t="shared" ref="AU68" si="94">IF(OR(C68="",N68="",T68="",V68="",X68="",AA68="",AE68="",AC68=""),"",IF(AK68="","",ROUND((AA68+AC68),2)))</f>
        <v/>
      </c>
      <c r="AV68" s="928" t="str">
        <f>IF(OR(C68="",N68="",T68="",V68="",X68="",AA68="",AC68="",AE68=""),"",ROUND(IF(ISNUMBER(SEARCH("Unit",AE68)),(V68/12)*(1/((-0.02*N68^2)+(1.12*N68)))*0.177*0.08*0.457,
(V68*12)*((1/L68)-(1/N68))*INDEX(ENDUSEALL[Lighting Coincidence Factor],MATCH(AX68,ENDUSEALL[End Use],0))),3))</f>
        <v/>
      </c>
      <c r="AW68" s="906" t="str">
        <f>IFERROR(ROUND(
IF(ISNUMBER(SEARCH("DX",C68)),(V68*12)*((1/L68)-(1/N68))*INDEX(PMEHVAC[EFLHcool],MATCH(C68,PMEHVAC[Eff Desc 1],0)),
IF(ISNUMBER(SEARCH("PTAC",C68)),(V68*12)*((1/L68)-(1/N68))*INDEX(PMEHVAC[EFLHcool],MATCH(C68,PMEHVAC[Eff Desc 1],0)),
IF(ISNUMBER(SEARCH("PTHP",C68)),((V68*12)*((1/L68)-(1/N68))*INDEX(PMEHVAC[EFLHcool],MATCH(C68,PMEHVAC[Eff Desc 1],0)))+(((V68*12)/3.412)*((1/R68)-(1/T68))*INDEX(PMEHVAC[EFLHheat],MATCH(C68,PMEHVAC[Eff Desc 1],0))),
IF(OR(ISNUMBER(SEARCH("ASHP",C68)),ISNUMBER(SEARCH("WSHP",C68)),ISNUMBER(SEARCH("Water Source",C68)),ISNUMBER(SEARCH("GSHP",C68))),((V68*12)*((1/L68)-(1/N68))*INDEX(PMEHVAC[EFLHcool],MATCH(C68,PMEHVAC[Eff Desc 1],0)))+(IF(P68="HSPF",(V68*12),((V68*12)/3.412))*((1/R68)-(1/T68))*INDEX(PMEHVAC[EFLHheat],MATCH(C68,PMEHVAC[Eff Desc 1],0))),
"")))),0),"")</f>
        <v/>
      </c>
      <c r="AX68" s="928" t="str">
        <f>IF(OR(C68="",N68="",T68="",V68="",X68="",AA68="",AE68="",AC68=""),"",INDEX(PMEHVAC[End Use Category],MATCH(C68,PMEHVAC[Eff Desc 1],0)))</f>
        <v/>
      </c>
    </row>
    <row r="69" spans="2:50" ht="15.95" hidden="1" customHeight="1">
      <c r="B69" s="929"/>
      <c r="C69" s="840"/>
      <c r="D69" s="841"/>
      <c r="E69" s="841"/>
      <c r="F69" s="841"/>
      <c r="G69" s="841"/>
      <c r="H69" s="841"/>
      <c r="I69" s="841"/>
      <c r="J69" s="955"/>
      <c r="K69" s="956"/>
      <c r="L69" s="955"/>
      <c r="M69" s="956"/>
      <c r="N69" s="853"/>
      <c r="O69" s="854"/>
      <c r="P69" s="955"/>
      <c r="Q69" s="956"/>
      <c r="R69" s="955"/>
      <c r="S69" s="956"/>
      <c r="T69" s="969"/>
      <c r="U69" s="970"/>
      <c r="V69" s="853"/>
      <c r="W69" s="854"/>
      <c r="X69" s="840"/>
      <c r="Y69" s="841"/>
      <c r="Z69" s="842"/>
      <c r="AA69" s="952"/>
      <c r="AB69" s="945"/>
      <c r="AC69" s="945"/>
      <c r="AD69" s="946"/>
      <c r="AE69" s="949"/>
      <c r="AF69" s="949"/>
      <c r="AG69" s="949"/>
      <c r="AH69" s="950"/>
      <c r="AI69" s="925"/>
      <c r="AJ69" s="870"/>
      <c r="AK69" s="912"/>
      <c r="AL69" s="913"/>
      <c r="AM69" s="913"/>
      <c r="AN69" s="942"/>
      <c r="AO69" s="925"/>
      <c r="AP69" s="932"/>
      <c r="AQ69" s="870"/>
      <c r="AU69" s="814"/>
      <c r="AV69" s="907"/>
      <c r="AW69" s="907"/>
      <c r="AX69" s="907"/>
    </row>
    <row r="70" spans="2:50" ht="15.95" hidden="1" customHeight="1">
      <c r="B70" s="929">
        <v>28</v>
      </c>
      <c r="C70" s="871"/>
      <c r="D70" s="872"/>
      <c r="E70" s="872"/>
      <c r="F70" s="872"/>
      <c r="G70" s="872"/>
      <c r="H70" s="872"/>
      <c r="I70" s="872"/>
      <c r="J70" s="953" t="str">
        <f>IF(C70="","",INDEX(PMEHVAC[Base Desc 1],MATCH(C70,PMEHVAC[Eff Desc 1],0)))</f>
        <v/>
      </c>
      <c r="K70" s="954"/>
      <c r="L70" s="953" t="str">
        <f>IF(C70="","",INDEX(PMEHVAC[Base Desc 2],MATCH(C70,PMEHVAC[Eff Desc 1],0)))</f>
        <v/>
      </c>
      <c r="M70" s="954"/>
      <c r="N70" s="851"/>
      <c r="O70" s="852"/>
      <c r="P70" s="953" t="str">
        <f>IF(C70="","",INDEX(PMEHVAC[Base Watt],MATCH(C70,PMEHVAC[Eff Desc 1],0)))</f>
        <v/>
      </c>
      <c r="Q70" s="954"/>
      <c r="R70" s="953" t="str">
        <f>IF(C70="","",INDEX(PMEHVAC[Base Watt 2],MATCH(C70,PMEHVAC[Eff Desc 1],0)))</f>
        <v/>
      </c>
      <c r="S70" s="954"/>
      <c r="T70" s="967"/>
      <c r="U70" s="968"/>
      <c r="V70" s="851"/>
      <c r="W70" s="852"/>
      <c r="X70" s="837"/>
      <c r="Y70" s="838"/>
      <c r="Z70" s="839"/>
      <c r="AA70" s="951"/>
      <c r="AB70" s="943"/>
      <c r="AC70" s="943"/>
      <c r="AD70" s="944"/>
      <c r="AE70" s="947" t="str">
        <f>IF(C70="","",INDEX(PMEHVAC[Unit of Measure],MATCH(C70,PMEHVAC[Eff Desc 1],0)))</f>
        <v/>
      </c>
      <c r="AF70" s="947"/>
      <c r="AG70" s="947"/>
      <c r="AH70" s="948"/>
      <c r="AI70" s="923" t="str">
        <f>IF(OR(C70="",N70="",T70="",V70="",X70="",AA70="",AC70=""),"",INDEX(PMEHVAC[Inc Rate Unit],MATCH(C70,PMEHVAC[Eff Desc 1],0)))</f>
        <v/>
      </c>
      <c r="AJ70" s="924"/>
      <c r="AK70" s="939" t="str">
        <f t="shared" ref="AK70" si="95">IFERROR(IF(OR(C70="",N70="",T70="",V70="",X70="",AA70="",AC70="",),"",AW70),"")</f>
        <v/>
      </c>
      <c r="AL70" s="940"/>
      <c r="AM70" s="940"/>
      <c r="AN70" s="941"/>
      <c r="AO70" s="930" t="str">
        <f t="shared" ref="AO70" si="96">IFERROR(IF(OR(C70="",N70="",V70="",X70="",T70="",AA70="",AC70=""),"",IF(BC70&lt;&gt;"",BC70,ROUND(IF(AK70&lt;=0,0,IF(AE70="unit",MIN(AU70*1,AI70),MIN(AU70*1,(N70-L70)*V70*AI70))),2))),"")</f>
        <v/>
      </c>
      <c r="AP70" s="931"/>
      <c r="AQ70" s="868"/>
      <c r="AU70" s="813" t="str">
        <f t="shared" ref="AU70" si="97">IF(OR(C70="",N70="",T70="",V70="",X70="",AA70="",AE70="",AC70=""),"",IF(AK70="","",ROUND((AA70+AC70),2)))</f>
        <v/>
      </c>
      <c r="AV70" s="928" t="str">
        <f>IF(OR(C70="",N70="",T70="",V70="",X70="",AA70="",AC70="",AE70=""),"",ROUND(IF(ISNUMBER(SEARCH("Unit",AE70)),(V70/12)*(1/((-0.02*N70^2)+(1.12*N70)))*0.177*0.08*0.457,
(V70*12)*((1/L70)-(1/N70))*INDEX(ENDUSEALL[Lighting Coincidence Factor],MATCH(AX70,ENDUSEALL[End Use],0))),3))</f>
        <v/>
      </c>
      <c r="AW70" s="906" t="str">
        <f>IFERROR(ROUND(
IF(ISNUMBER(SEARCH("DX",C70)),(V70*12)*((1/L70)-(1/N70))*INDEX(PMEHVAC[EFLHcool],MATCH(C70,PMEHVAC[Eff Desc 1],0)),
IF(ISNUMBER(SEARCH("PTAC",C70)),(V70*12)*((1/L70)-(1/N70))*INDEX(PMEHVAC[EFLHcool],MATCH(C70,PMEHVAC[Eff Desc 1],0)),
IF(ISNUMBER(SEARCH("PTHP",C70)),((V70*12)*((1/L70)-(1/N70))*INDEX(PMEHVAC[EFLHcool],MATCH(C70,PMEHVAC[Eff Desc 1],0)))+(((V70*12)/3.412)*((1/R70)-(1/T70))*INDEX(PMEHVAC[EFLHheat],MATCH(C70,PMEHVAC[Eff Desc 1],0))),
IF(OR(ISNUMBER(SEARCH("ASHP",C70)),ISNUMBER(SEARCH("WSHP",C70)),ISNUMBER(SEARCH("Water Source",C70)),ISNUMBER(SEARCH("GSHP",C70))),((V70*12)*((1/L70)-(1/N70))*INDEX(PMEHVAC[EFLHcool],MATCH(C70,PMEHVAC[Eff Desc 1],0)))+(IF(P70="HSPF",(V70*12),((V70*12)/3.412))*((1/R70)-(1/T70))*INDEX(PMEHVAC[EFLHheat],MATCH(C70,PMEHVAC[Eff Desc 1],0))),
"")))),0),"")</f>
        <v/>
      </c>
      <c r="AX70" s="928" t="str">
        <f>IF(OR(C70="",N70="",T70="",V70="",X70="",AA70="",AE70="",AC70=""),"",INDEX(PMEHVAC[End Use Category],MATCH(C70,PMEHVAC[Eff Desc 1],0)))</f>
        <v/>
      </c>
    </row>
    <row r="71" spans="2:50" ht="15.95" hidden="1" customHeight="1">
      <c r="B71" s="929"/>
      <c r="C71" s="840"/>
      <c r="D71" s="841"/>
      <c r="E71" s="841"/>
      <c r="F71" s="841"/>
      <c r="G71" s="841"/>
      <c r="H71" s="841"/>
      <c r="I71" s="841"/>
      <c r="J71" s="955"/>
      <c r="K71" s="956"/>
      <c r="L71" s="955"/>
      <c r="M71" s="956"/>
      <c r="N71" s="853"/>
      <c r="O71" s="854"/>
      <c r="P71" s="955"/>
      <c r="Q71" s="956"/>
      <c r="R71" s="955"/>
      <c r="S71" s="956"/>
      <c r="T71" s="969"/>
      <c r="U71" s="970"/>
      <c r="V71" s="853"/>
      <c r="W71" s="854"/>
      <c r="X71" s="840"/>
      <c r="Y71" s="841"/>
      <c r="Z71" s="842"/>
      <c r="AA71" s="952"/>
      <c r="AB71" s="945"/>
      <c r="AC71" s="945"/>
      <c r="AD71" s="946"/>
      <c r="AE71" s="949"/>
      <c r="AF71" s="949"/>
      <c r="AG71" s="949"/>
      <c r="AH71" s="950"/>
      <c r="AI71" s="925"/>
      <c r="AJ71" s="870"/>
      <c r="AK71" s="912"/>
      <c r="AL71" s="913"/>
      <c r="AM71" s="913"/>
      <c r="AN71" s="942"/>
      <c r="AO71" s="925"/>
      <c r="AP71" s="932"/>
      <c r="AQ71" s="870"/>
      <c r="AU71" s="814"/>
      <c r="AV71" s="907"/>
      <c r="AW71" s="907"/>
      <c r="AX71" s="907"/>
    </row>
    <row r="72" spans="2:50" ht="15.95" hidden="1" customHeight="1">
      <c r="B72" s="929">
        <v>29</v>
      </c>
      <c r="C72" s="871"/>
      <c r="D72" s="872"/>
      <c r="E72" s="872"/>
      <c r="F72" s="872"/>
      <c r="G72" s="872"/>
      <c r="H72" s="872"/>
      <c r="I72" s="872"/>
      <c r="J72" s="953" t="str">
        <f>IF(C72="","",INDEX(PMEHVAC[Base Desc 1],MATCH(C72,PMEHVAC[Eff Desc 1],0)))</f>
        <v/>
      </c>
      <c r="K72" s="954"/>
      <c r="L72" s="953" t="str">
        <f>IF(C72="","",INDEX(PMEHVAC[Base Desc 2],MATCH(C72,PMEHVAC[Eff Desc 1],0)))</f>
        <v/>
      </c>
      <c r="M72" s="954"/>
      <c r="N72" s="851"/>
      <c r="O72" s="852"/>
      <c r="P72" s="953" t="str">
        <f>IF(C72="","",INDEX(PMEHVAC[Base Watt],MATCH(C72,PMEHVAC[Eff Desc 1],0)))</f>
        <v/>
      </c>
      <c r="Q72" s="954"/>
      <c r="R72" s="953" t="str">
        <f>IF(C72="","",INDEX(PMEHVAC[Base Watt 2],MATCH(C72,PMEHVAC[Eff Desc 1],0)))</f>
        <v/>
      </c>
      <c r="S72" s="954"/>
      <c r="T72" s="967"/>
      <c r="U72" s="968"/>
      <c r="V72" s="851"/>
      <c r="W72" s="852"/>
      <c r="X72" s="837"/>
      <c r="Y72" s="838"/>
      <c r="Z72" s="839"/>
      <c r="AA72" s="951"/>
      <c r="AB72" s="943"/>
      <c r="AC72" s="943"/>
      <c r="AD72" s="944"/>
      <c r="AE72" s="947" t="str">
        <f>IF(C72="","",INDEX(PMEHVAC[Unit of Measure],MATCH(C72,PMEHVAC[Eff Desc 1],0)))</f>
        <v/>
      </c>
      <c r="AF72" s="947"/>
      <c r="AG72" s="947"/>
      <c r="AH72" s="948"/>
      <c r="AI72" s="923" t="str">
        <f>IF(OR(C72="",N72="",T72="",V72="",X72="",AA72="",AC72=""),"",INDEX(PMEHVAC[Inc Rate Unit],MATCH(C72,PMEHVAC[Eff Desc 1],0)))</f>
        <v/>
      </c>
      <c r="AJ72" s="924"/>
      <c r="AK72" s="939" t="str">
        <f t="shared" ref="AK72" si="98">IFERROR(IF(OR(C72="",N72="",T72="",V72="",X72="",AA72="",AC72="",),"",AW72),"")</f>
        <v/>
      </c>
      <c r="AL72" s="940"/>
      <c r="AM72" s="940"/>
      <c r="AN72" s="941"/>
      <c r="AO72" s="930" t="str">
        <f t="shared" ref="AO72" si="99">IFERROR(IF(OR(C72="",N72="",V72="",X72="",T72="",AA72="",AC72=""),"",IF(BC72&lt;&gt;"",BC72,ROUND(IF(AK72&lt;=0,0,IF(AE72="unit",MIN(AU72*1,AI72),MIN(AU72*1,(N72-L72)*V72*AI72))),2))),"")</f>
        <v/>
      </c>
      <c r="AP72" s="931"/>
      <c r="AQ72" s="868"/>
      <c r="AU72" s="813" t="str">
        <f t="shared" ref="AU72" si="100">IF(OR(C72="",N72="",T72="",V72="",X72="",AA72="",AE72="",AC72=""),"",IF(AK72="","",ROUND((AA72+AC72),2)))</f>
        <v/>
      </c>
      <c r="AV72" s="928" t="str">
        <f>IF(OR(C72="",N72="",T72="",V72="",X72="",AA72="",AC72="",AE72=""),"",ROUND(IF(ISNUMBER(SEARCH("Unit",AE72)),(V72/12)*(1/((-0.02*N72^2)+(1.12*N72)))*0.177*0.08*0.457,
(V72*12)*((1/L72)-(1/N72))*INDEX(ENDUSEALL[Lighting Coincidence Factor],MATCH(AX72,ENDUSEALL[End Use],0))),3))</f>
        <v/>
      </c>
      <c r="AW72" s="906" t="str">
        <f>IFERROR(ROUND(
IF(ISNUMBER(SEARCH("DX",C72)),(V72*12)*((1/L72)-(1/N72))*INDEX(PMEHVAC[EFLHcool],MATCH(C72,PMEHVAC[Eff Desc 1],0)),
IF(ISNUMBER(SEARCH("PTAC",C72)),(V72*12)*((1/L72)-(1/N72))*INDEX(PMEHVAC[EFLHcool],MATCH(C72,PMEHVAC[Eff Desc 1],0)),
IF(ISNUMBER(SEARCH("PTHP",C72)),((V72*12)*((1/L72)-(1/N72))*INDEX(PMEHVAC[EFLHcool],MATCH(C72,PMEHVAC[Eff Desc 1],0)))+(((V72*12)/3.412)*((1/R72)-(1/T72))*INDEX(PMEHVAC[EFLHheat],MATCH(C72,PMEHVAC[Eff Desc 1],0))),
IF(OR(ISNUMBER(SEARCH("ASHP",C72)),ISNUMBER(SEARCH("WSHP",C72)),ISNUMBER(SEARCH("Water Source",C72)),ISNUMBER(SEARCH("GSHP",C72))),((V72*12)*((1/L72)-(1/N72))*INDEX(PMEHVAC[EFLHcool],MATCH(C72,PMEHVAC[Eff Desc 1],0)))+(IF(P72="HSPF",(V72*12),((V72*12)/3.412))*((1/R72)-(1/T72))*INDEX(PMEHVAC[EFLHheat],MATCH(C72,PMEHVAC[Eff Desc 1],0))),
"")))),0),"")</f>
        <v/>
      </c>
      <c r="AX72" s="928" t="str">
        <f>IF(OR(C72="",N72="",T72="",V72="",X72="",AA72="",AE72="",AC72=""),"",INDEX(PMEHVAC[End Use Category],MATCH(C72,PMEHVAC[Eff Desc 1],0)))</f>
        <v/>
      </c>
    </row>
    <row r="73" spans="2:50" ht="15.95" hidden="1" customHeight="1">
      <c r="B73" s="929"/>
      <c r="C73" s="840"/>
      <c r="D73" s="841"/>
      <c r="E73" s="841"/>
      <c r="F73" s="841"/>
      <c r="G73" s="841"/>
      <c r="H73" s="841"/>
      <c r="I73" s="841"/>
      <c r="J73" s="955"/>
      <c r="K73" s="956"/>
      <c r="L73" s="955"/>
      <c r="M73" s="956"/>
      <c r="N73" s="853"/>
      <c r="O73" s="854"/>
      <c r="P73" s="955"/>
      <c r="Q73" s="956"/>
      <c r="R73" s="955"/>
      <c r="S73" s="956"/>
      <c r="T73" s="969"/>
      <c r="U73" s="970"/>
      <c r="V73" s="853"/>
      <c r="W73" s="854"/>
      <c r="X73" s="840"/>
      <c r="Y73" s="841"/>
      <c r="Z73" s="842"/>
      <c r="AA73" s="952"/>
      <c r="AB73" s="945"/>
      <c r="AC73" s="945"/>
      <c r="AD73" s="946"/>
      <c r="AE73" s="949"/>
      <c r="AF73" s="949"/>
      <c r="AG73" s="949"/>
      <c r="AH73" s="950"/>
      <c r="AI73" s="925"/>
      <c r="AJ73" s="870"/>
      <c r="AK73" s="912"/>
      <c r="AL73" s="913"/>
      <c r="AM73" s="913"/>
      <c r="AN73" s="942"/>
      <c r="AO73" s="925"/>
      <c r="AP73" s="932"/>
      <c r="AQ73" s="870"/>
      <c r="AU73" s="814"/>
      <c r="AV73" s="907"/>
      <c r="AW73" s="907"/>
      <c r="AX73" s="907"/>
    </row>
    <row r="74" spans="2:50" ht="15.95" hidden="1" customHeight="1">
      <c r="B74" s="929">
        <v>30</v>
      </c>
      <c r="C74" s="871"/>
      <c r="D74" s="872"/>
      <c r="E74" s="872"/>
      <c r="F74" s="872"/>
      <c r="G74" s="872"/>
      <c r="H74" s="872"/>
      <c r="I74" s="872"/>
      <c r="J74" s="953" t="str">
        <f>IF(C74="","",INDEX(PMEHVAC[Base Desc 1],MATCH(C74,PMEHVAC[Eff Desc 1],0)))</f>
        <v/>
      </c>
      <c r="K74" s="954"/>
      <c r="L74" s="953" t="str">
        <f>IF(C74="","",INDEX(PMEHVAC[Base Desc 2],MATCH(C74,PMEHVAC[Eff Desc 1],0)))</f>
        <v/>
      </c>
      <c r="M74" s="954"/>
      <c r="N74" s="851"/>
      <c r="O74" s="852"/>
      <c r="P74" s="953" t="str">
        <f>IF(C74="","",INDEX(PMEHVAC[Base Watt],MATCH(C74,PMEHVAC[Eff Desc 1],0)))</f>
        <v/>
      </c>
      <c r="Q74" s="954"/>
      <c r="R74" s="953" t="str">
        <f>IF(C74="","",INDEX(PMEHVAC[Base Watt 2],MATCH(C74,PMEHVAC[Eff Desc 1],0)))</f>
        <v/>
      </c>
      <c r="S74" s="954"/>
      <c r="T74" s="967"/>
      <c r="U74" s="968"/>
      <c r="V74" s="851"/>
      <c r="W74" s="852"/>
      <c r="X74" s="837"/>
      <c r="Y74" s="838"/>
      <c r="Z74" s="839"/>
      <c r="AA74" s="951"/>
      <c r="AB74" s="943"/>
      <c r="AC74" s="943"/>
      <c r="AD74" s="944"/>
      <c r="AE74" s="947" t="str">
        <f>IF(C74="","",INDEX(PMEHVAC[Unit of Measure],MATCH(C74,PMEHVAC[Eff Desc 1],0)))</f>
        <v/>
      </c>
      <c r="AF74" s="947"/>
      <c r="AG74" s="947"/>
      <c r="AH74" s="948"/>
      <c r="AI74" s="923" t="str">
        <f>IF(OR(C74="",N74="",T74="",V74="",X74="",AA74="",AC74=""),"",INDEX(PMEHVAC[Inc Rate Unit],MATCH(C74,PMEHVAC[Eff Desc 1],0)))</f>
        <v/>
      </c>
      <c r="AJ74" s="924"/>
      <c r="AK74" s="939" t="str">
        <f t="shared" ref="AK74" si="101">IFERROR(IF(OR(C74="",N74="",T74="",V74="",X74="",AA74="",AC74="",),"",AW74),"")</f>
        <v/>
      </c>
      <c r="AL74" s="940"/>
      <c r="AM74" s="940"/>
      <c r="AN74" s="941"/>
      <c r="AO74" s="930" t="str">
        <f t="shared" ref="AO74" si="102">IFERROR(IF(OR(C74="",N74="",V74="",X74="",T74="",AA74="",AC74=""),"",IF(BC74&lt;&gt;"",BC74,ROUND(IF(AK74&lt;=0,0,IF(AE74="unit",MIN(AU74*1,AI74),MIN(AU74*1,(N74-L74)*V74*AI74))),2))),"")</f>
        <v/>
      </c>
      <c r="AP74" s="931"/>
      <c r="AQ74" s="868"/>
      <c r="AU74" s="813" t="str">
        <f t="shared" ref="AU74" si="103">IF(OR(C74="",N74="",T74="",V74="",X74="",AA74="",AE74="",AC74=""),"",IF(AK74="","",ROUND((AA74+AC74),2)))</f>
        <v/>
      </c>
      <c r="AV74" s="928" t="str">
        <f>IF(OR(C74="",N74="",T74="",V74="",X74="",AA74="",AC74="",AE74=""),"",ROUND(IF(ISNUMBER(SEARCH("Unit",AE74)),(V74/12)*(1/((-0.02*N74^2)+(1.12*N74)))*0.177*0.08*0.457,
(V74*12)*((1/L74)-(1/N74))*INDEX(ENDUSEALL[Lighting Coincidence Factor],MATCH(AX74,ENDUSEALL[End Use],0))),3))</f>
        <v/>
      </c>
      <c r="AW74" s="906" t="str">
        <f>IFERROR(ROUND(
IF(ISNUMBER(SEARCH("DX",C74)),(V74*12)*((1/L74)-(1/N74))*INDEX(PMEHVAC[EFLHcool],MATCH(C74,PMEHVAC[Eff Desc 1],0)),
IF(ISNUMBER(SEARCH("PTAC",C74)),(V74*12)*((1/L74)-(1/N74))*INDEX(PMEHVAC[EFLHcool],MATCH(C74,PMEHVAC[Eff Desc 1],0)),
IF(ISNUMBER(SEARCH("PTHP",C74)),((V74*12)*((1/L74)-(1/N74))*INDEX(PMEHVAC[EFLHcool],MATCH(C74,PMEHVAC[Eff Desc 1],0)))+(((V74*12)/3.412)*((1/R74)-(1/T74))*INDEX(PMEHVAC[EFLHheat],MATCH(C74,PMEHVAC[Eff Desc 1],0))),
IF(OR(ISNUMBER(SEARCH("ASHP",C74)),ISNUMBER(SEARCH("WSHP",C74)),ISNUMBER(SEARCH("Water Source",C74)),ISNUMBER(SEARCH("GSHP",C74))),((V74*12)*((1/L74)-(1/N74))*INDEX(PMEHVAC[EFLHcool],MATCH(C74,PMEHVAC[Eff Desc 1],0)))+(IF(P74="HSPF",(V74*12),((V74*12)/3.412))*((1/R74)-(1/T74))*INDEX(PMEHVAC[EFLHheat],MATCH(C74,PMEHVAC[Eff Desc 1],0))),
"")))),0),"")</f>
        <v/>
      </c>
      <c r="AX74" s="928" t="str">
        <f>IF(OR(C74="",N74="",T74="",V74="",X74="",AA74="",AE74="",AC74=""),"",INDEX(PMEHVAC[End Use Category],MATCH(C74,PMEHVAC[Eff Desc 1],0)))</f>
        <v/>
      </c>
    </row>
    <row r="75" spans="2:50" ht="15.95" hidden="1" customHeight="1">
      <c r="B75" s="929"/>
      <c r="C75" s="840"/>
      <c r="D75" s="841"/>
      <c r="E75" s="841"/>
      <c r="F75" s="841"/>
      <c r="G75" s="841"/>
      <c r="H75" s="841"/>
      <c r="I75" s="841"/>
      <c r="J75" s="955"/>
      <c r="K75" s="956"/>
      <c r="L75" s="955"/>
      <c r="M75" s="956"/>
      <c r="N75" s="853"/>
      <c r="O75" s="854"/>
      <c r="P75" s="955"/>
      <c r="Q75" s="956"/>
      <c r="R75" s="955"/>
      <c r="S75" s="956"/>
      <c r="T75" s="969"/>
      <c r="U75" s="970"/>
      <c r="V75" s="853"/>
      <c r="W75" s="854"/>
      <c r="X75" s="840"/>
      <c r="Y75" s="841"/>
      <c r="Z75" s="842"/>
      <c r="AA75" s="952"/>
      <c r="AB75" s="945"/>
      <c r="AC75" s="945"/>
      <c r="AD75" s="946"/>
      <c r="AE75" s="949"/>
      <c r="AF75" s="949"/>
      <c r="AG75" s="949"/>
      <c r="AH75" s="950"/>
      <c r="AI75" s="925"/>
      <c r="AJ75" s="870"/>
      <c r="AK75" s="912"/>
      <c r="AL75" s="913"/>
      <c r="AM75" s="913"/>
      <c r="AN75" s="942"/>
      <c r="AO75" s="925"/>
      <c r="AP75" s="932"/>
      <c r="AQ75" s="870"/>
      <c r="AU75" s="814"/>
      <c r="AV75" s="907"/>
      <c r="AW75" s="907"/>
      <c r="AX75" s="907"/>
    </row>
    <row r="76" spans="2:50" ht="15.95" hidden="1" customHeight="1">
      <c r="B76" s="929">
        <v>31</v>
      </c>
      <c r="C76" s="871"/>
      <c r="D76" s="872"/>
      <c r="E76" s="872"/>
      <c r="F76" s="872"/>
      <c r="G76" s="872"/>
      <c r="H76" s="872"/>
      <c r="I76" s="872"/>
      <c r="J76" s="953" t="str">
        <f>IF(C76="","",INDEX(PMEHVAC[Base Desc 1],MATCH(C76,PMEHVAC[Eff Desc 1],0)))</f>
        <v/>
      </c>
      <c r="K76" s="954"/>
      <c r="L76" s="953" t="str">
        <f>IF(C76="","",INDEX(PMEHVAC[Base Desc 2],MATCH(C76,PMEHVAC[Eff Desc 1],0)))</f>
        <v/>
      </c>
      <c r="M76" s="954"/>
      <c r="N76" s="851"/>
      <c r="O76" s="852"/>
      <c r="P76" s="953" t="str">
        <f>IF(C76="","",INDEX(PMEHVAC[Base Watt],MATCH(C76,PMEHVAC[Eff Desc 1],0)))</f>
        <v/>
      </c>
      <c r="Q76" s="954"/>
      <c r="R76" s="953" t="str">
        <f>IF(C76="","",INDEX(PMEHVAC[Base Watt 2],MATCH(C76,PMEHVAC[Eff Desc 1],0)))</f>
        <v/>
      </c>
      <c r="S76" s="954"/>
      <c r="T76" s="967"/>
      <c r="U76" s="968"/>
      <c r="V76" s="851"/>
      <c r="W76" s="852"/>
      <c r="X76" s="837"/>
      <c r="Y76" s="838"/>
      <c r="Z76" s="839"/>
      <c r="AA76" s="951"/>
      <c r="AB76" s="943"/>
      <c r="AC76" s="943"/>
      <c r="AD76" s="944"/>
      <c r="AE76" s="947" t="str">
        <f>IF(C76="","",INDEX(PMEHVAC[Unit of Measure],MATCH(C76,PMEHVAC[Eff Desc 1],0)))</f>
        <v/>
      </c>
      <c r="AF76" s="947"/>
      <c r="AG76" s="947"/>
      <c r="AH76" s="948"/>
      <c r="AI76" s="923" t="str">
        <f>IF(OR(C76="",N76="",T76="",V76="",X76="",AA76="",AC76=""),"",INDEX(PMEHVAC[Inc Rate Unit],MATCH(C76,PMEHVAC[Eff Desc 1],0)))</f>
        <v/>
      </c>
      <c r="AJ76" s="924"/>
      <c r="AK76" s="939" t="str">
        <f t="shared" ref="AK76" si="104">IFERROR(IF(OR(C76="",N76="",T76="",V76="",X76="",AA76="",AC76="",),"",AW76),"")</f>
        <v/>
      </c>
      <c r="AL76" s="940"/>
      <c r="AM76" s="940"/>
      <c r="AN76" s="941"/>
      <c r="AO76" s="930" t="str">
        <f t="shared" ref="AO76" si="105">IFERROR(IF(OR(C76="",N76="",V76="",X76="",T76="",AA76="",AC76=""),"",IF(BC76&lt;&gt;"",BC76,ROUND(IF(AK76&lt;=0,0,IF(AE76="unit",MIN(AU76*1,AI76),MIN(AU76*1,(N76-L76)*V76*AI76))),2))),"")</f>
        <v/>
      </c>
      <c r="AP76" s="931"/>
      <c r="AQ76" s="868"/>
      <c r="AU76" s="813" t="str">
        <f t="shared" ref="AU76" si="106">IF(OR(C76="",N76="",T76="",V76="",X76="",AA76="",AE76="",AC76=""),"",IF(AK76="","",ROUND((AA76+AC76),2)))</f>
        <v/>
      </c>
      <c r="AV76" s="928" t="str">
        <f>IF(OR(C76="",N76="",T76="",V76="",X76="",AA76="",AC76="",AE76=""),"",ROUND(IF(ISNUMBER(SEARCH("Unit",AE76)),(V76/12)*(1/((-0.02*N76^2)+(1.12*N76)))*0.177*0.08*0.457,
(V76*12)*((1/L76)-(1/N76))*INDEX(ENDUSEALL[Lighting Coincidence Factor],MATCH(AX76,ENDUSEALL[End Use],0))),3))</f>
        <v/>
      </c>
      <c r="AW76" s="906" t="str">
        <f>IFERROR(ROUND(
IF(ISNUMBER(SEARCH("DX",C76)),(V76*12)*((1/L76)-(1/N76))*INDEX(PMEHVAC[EFLHcool],MATCH(C76,PMEHVAC[Eff Desc 1],0)),
IF(ISNUMBER(SEARCH("PTAC",C76)),(V76*12)*((1/L76)-(1/N76))*INDEX(PMEHVAC[EFLHcool],MATCH(C76,PMEHVAC[Eff Desc 1],0)),
IF(ISNUMBER(SEARCH("PTHP",C76)),((V76*12)*((1/L76)-(1/N76))*INDEX(PMEHVAC[EFLHcool],MATCH(C76,PMEHVAC[Eff Desc 1],0)))+(((V76*12)/3.412)*((1/R76)-(1/T76))*INDEX(PMEHVAC[EFLHheat],MATCH(C76,PMEHVAC[Eff Desc 1],0))),
IF(OR(ISNUMBER(SEARCH("ASHP",C76)),ISNUMBER(SEARCH("WSHP",C76)),ISNUMBER(SEARCH("Water Source",C76)),ISNUMBER(SEARCH("GSHP",C76))),((V76*12)*((1/L76)-(1/N76))*INDEX(PMEHVAC[EFLHcool],MATCH(C76,PMEHVAC[Eff Desc 1],0)))+(IF(P76="HSPF",(V76*12),((V76*12)/3.412))*((1/R76)-(1/T76))*INDEX(PMEHVAC[EFLHheat],MATCH(C76,PMEHVAC[Eff Desc 1],0))),
"")))),0),"")</f>
        <v/>
      </c>
      <c r="AX76" s="928" t="str">
        <f>IF(OR(C76="",N76="",T76="",V76="",X76="",AA76="",AE76="",AC76=""),"",INDEX(PMEHVAC[End Use Category],MATCH(C76,PMEHVAC[Eff Desc 1],0)))</f>
        <v/>
      </c>
    </row>
    <row r="77" spans="2:50" ht="15.95" hidden="1" customHeight="1">
      <c r="B77" s="929"/>
      <c r="C77" s="840"/>
      <c r="D77" s="841"/>
      <c r="E77" s="841"/>
      <c r="F77" s="841"/>
      <c r="G77" s="841"/>
      <c r="H77" s="841"/>
      <c r="I77" s="841"/>
      <c r="J77" s="955"/>
      <c r="K77" s="956"/>
      <c r="L77" s="955"/>
      <c r="M77" s="956"/>
      <c r="N77" s="853"/>
      <c r="O77" s="854"/>
      <c r="P77" s="955"/>
      <c r="Q77" s="956"/>
      <c r="R77" s="955"/>
      <c r="S77" s="956"/>
      <c r="T77" s="969"/>
      <c r="U77" s="970"/>
      <c r="V77" s="853"/>
      <c r="W77" s="854"/>
      <c r="X77" s="840"/>
      <c r="Y77" s="841"/>
      <c r="Z77" s="842"/>
      <c r="AA77" s="952"/>
      <c r="AB77" s="945"/>
      <c r="AC77" s="945"/>
      <c r="AD77" s="946"/>
      <c r="AE77" s="949"/>
      <c r="AF77" s="949"/>
      <c r="AG77" s="949"/>
      <c r="AH77" s="950"/>
      <c r="AI77" s="925"/>
      <c r="AJ77" s="870"/>
      <c r="AK77" s="912"/>
      <c r="AL77" s="913"/>
      <c r="AM77" s="913"/>
      <c r="AN77" s="942"/>
      <c r="AO77" s="925"/>
      <c r="AP77" s="932"/>
      <c r="AQ77" s="870"/>
      <c r="AU77" s="814"/>
      <c r="AV77" s="907"/>
      <c r="AW77" s="907"/>
      <c r="AX77" s="907"/>
    </row>
    <row r="78" spans="2:50" ht="15.95" hidden="1" customHeight="1">
      <c r="B78" s="929">
        <v>32</v>
      </c>
      <c r="C78" s="871"/>
      <c r="D78" s="872"/>
      <c r="E78" s="872"/>
      <c r="F78" s="872"/>
      <c r="G78" s="872"/>
      <c r="H78" s="872"/>
      <c r="I78" s="872"/>
      <c r="J78" s="953" t="str">
        <f>IF(C78="","",INDEX(PMEHVAC[Base Desc 1],MATCH(C78,PMEHVAC[Eff Desc 1],0)))</f>
        <v/>
      </c>
      <c r="K78" s="954"/>
      <c r="L78" s="953" t="str">
        <f>IF(C78="","",INDEX(PMEHVAC[Base Desc 2],MATCH(C78,PMEHVAC[Eff Desc 1],0)))</f>
        <v/>
      </c>
      <c r="M78" s="954"/>
      <c r="N78" s="851"/>
      <c r="O78" s="852"/>
      <c r="P78" s="953" t="str">
        <f>IF(C78="","",INDEX(PMEHVAC[Base Watt],MATCH(C78,PMEHVAC[Eff Desc 1],0)))</f>
        <v/>
      </c>
      <c r="Q78" s="954"/>
      <c r="R78" s="953" t="str">
        <f>IF(C78="","",INDEX(PMEHVAC[Base Watt 2],MATCH(C78,PMEHVAC[Eff Desc 1],0)))</f>
        <v/>
      </c>
      <c r="S78" s="954"/>
      <c r="T78" s="967"/>
      <c r="U78" s="968"/>
      <c r="V78" s="851"/>
      <c r="W78" s="852"/>
      <c r="X78" s="837"/>
      <c r="Y78" s="838"/>
      <c r="Z78" s="839"/>
      <c r="AA78" s="951"/>
      <c r="AB78" s="943"/>
      <c r="AC78" s="943"/>
      <c r="AD78" s="944"/>
      <c r="AE78" s="947" t="str">
        <f>IF(C78="","",INDEX(PMEHVAC[Unit of Measure],MATCH(C78,PMEHVAC[Eff Desc 1],0)))</f>
        <v/>
      </c>
      <c r="AF78" s="947"/>
      <c r="AG78" s="947"/>
      <c r="AH78" s="948"/>
      <c r="AI78" s="923" t="str">
        <f>IF(OR(C78="",N78="",T78="",V78="",X78="",AA78="",AC78=""),"",INDEX(PMEHVAC[Inc Rate Unit],MATCH(C78,PMEHVAC[Eff Desc 1],0)))</f>
        <v/>
      </c>
      <c r="AJ78" s="924"/>
      <c r="AK78" s="939" t="str">
        <f t="shared" ref="AK78" si="107">IFERROR(IF(OR(C78="",N78="",T78="",V78="",X78="",AA78="",AC78="",),"",AW78),"")</f>
        <v/>
      </c>
      <c r="AL78" s="940"/>
      <c r="AM78" s="940"/>
      <c r="AN78" s="941"/>
      <c r="AO78" s="930" t="str">
        <f t="shared" ref="AO78" si="108">IFERROR(IF(OR(C78="",N78="",V78="",X78="",T78="",AA78="",AC78=""),"",IF(BC78&lt;&gt;"",BC78,ROUND(IF(AK78&lt;=0,0,IF(AE78="unit",MIN(AU78*1,AI78),MIN(AU78*1,(N78-L78)*V78*AI78))),2))),"")</f>
        <v/>
      </c>
      <c r="AP78" s="931"/>
      <c r="AQ78" s="868"/>
      <c r="AU78" s="813" t="str">
        <f t="shared" ref="AU78" si="109">IF(OR(C78="",N78="",T78="",V78="",X78="",AA78="",AE78="",AC78=""),"",IF(AK78="","",ROUND((AA78+AC78),2)))</f>
        <v/>
      </c>
      <c r="AV78" s="928" t="str">
        <f>IF(OR(C78="",N78="",T78="",V78="",X78="",AA78="",AC78="",AE78=""),"",ROUND(IF(ISNUMBER(SEARCH("Unit",AE78)),(V78/12)*(1/((-0.02*N78^2)+(1.12*N78)))*0.177*0.08*0.457,
(V78*12)*((1/L78)-(1/N78))*INDEX(ENDUSEALL[Lighting Coincidence Factor],MATCH(AX78,ENDUSEALL[End Use],0))),3))</f>
        <v/>
      </c>
      <c r="AW78" s="906" t="str">
        <f>IFERROR(ROUND(
IF(ISNUMBER(SEARCH("DX",C78)),(V78*12)*((1/L78)-(1/N78))*INDEX(PMEHVAC[EFLHcool],MATCH(C78,PMEHVAC[Eff Desc 1],0)),
IF(ISNUMBER(SEARCH("PTAC",C78)),(V78*12)*((1/L78)-(1/N78))*INDEX(PMEHVAC[EFLHcool],MATCH(C78,PMEHVAC[Eff Desc 1],0)),
IF(ISNUMBER(SEARCH("PTHP",C78)),((V78*12)*((1/L78)-(1/N78))*INDEX(PMEHVAC[EFLHcool],MATCH(C78,PMEHVAC[Eff Desc 1],0)))+(((V78*12)/3.412)*((1/R78)-(1/T78))*INDEX(PMEHVAC[EFLHheat],MATCH(C78,PMEHVAC[Eff Desc 1],0))),
IF(OR(ISNUMBER(SEARCH("ASHP",C78)),ISNUMBER(SEARCH("WSHP",C78)),ISNUMBER(SEARCH("Water Source",C78)),ISNUMBER(SEARCH("GSHP",C78))),((V78*12)*((1/L78)-(1/N78))*INDEX(PMEHVAC[EFLHcool],MATCH(C78,PMEHVAC[Eff Desc 1],0)))+(IF(P78="HSPF",(V78*12),((V78*12)/3.412))*((1/R78)-(1/T78))*INDEX(PMEHVAC[EFLHheat],MATCH(C78,PMEHVAC[Eff Desc 1],0))),
"")))),0),"")</f>
        <v/>
      </c>
      <c r="AX78" s="928" t="str">
        <f>IF(OR(C78="",N78="",T78="",V78="",X78="",AA78="",AE78="",AC78=""),"",INDEX(PMEHVAC[End Use Category],MATCH(C78,PMEHVAC[Eff Desc 1],0)))</f>
        <v/>
      </c>
    </row>
    <row r="79" spans="2:50" ht="15.95" hidden="1" customHeight="1">
      <c r="B79" s="929"/>
      <c r="C79" s="840"/>
      <c r="D79" s="841"/>
      <c r="E79" s="841"/>
      <c r="F79" s="841"/>
      <c r="G79" s="841"/>
      <c r="H79" s="841"/>
      <c r="I79" s="841"/>
      <c r="J79" s="955"/>
      <c r="K79" s="956"/>
      <c r="L79" s="955"/>
      <c r="M79" s="956"/>
      <c r="N79" s="853"/>
      <c r="O79" s="854"/>
      <c r="P79" s="955"/>
      <c r="Q79" s="956"/>
      <c r="R79" s="955"/>
      <c r="S79" s="956"/>
      <c r="T79" s="969"/>
      <c r="U79" s="970"/>
      <c r="V79" s="853"/>
      <c r="W79" s="854"/>
      <c r="X79" s="840"/>
      <c r="Y79" s="841"/>
      <c r="Z79" s="842"/>
      <c r="AA79" s="952"/>
      <c r="AB79" s="945"/>
      <c r="AC79" s="945"/>
      <c r="AD79" s="946"/>
      <c r="AE79" s="949"/>
      <c r="AF79" s="949"/>
      <c r="AG79" s="949"/>
      <c r="AH79" s="950"/>
      <c r="AI79" s="925"/>
      <c r="AJ79" s="870"/>
      <c r="AK79" s="912"/>
      <c r="AL79" s="913"/>
      <c r="AM79" s="913"/>
      <c r="AN79" s="942"/>
      <c r="AO79" s="925"/>
      <c r="AP79" s="932"/>
      <c r="AQ79" s="870"/>
      <c r="AU79" s="814"/>
      <c r="AV79" s="907"/>
      <c r="AW79" s="907"/>
      <c r="AX79" s="907"/>
    </row>
    <row r="80" spans="2:50" ht="15.95" hidden="1" customHeight="1">
      <c r="B80" s="929">
        <v>33</v>
      </c>
      <c r="C80" s="871"/>
      <c r="D80" s="872"/>
      <c r="E80" s="872"/>
      <c r="F80" s="872"/>
      <c r="G80" s="872"/>
      <c r="H80" s="872"/>
      <c r="I80" s="872"/>
      <c r="J80" s="953" t="str">
        <f>IF(C80="","",INDEX(PMEHVAC[Base Desc 1],MATCH(C80,PMEHVAC[Eff Desc 1],0)))</f>
        <v/>
      </c>
      <c r="K80" s="954"/>
      <c r="L80" s="953" t="str">
        <f>IF(C80="","",INDEX(PMEHVAC[Base Desc 2],MATCH(C80,PMEHVAC[Eff Desc 1],0)))</f>
        <v/>
      </c>
      <c r="M80" s="954"/>
      <c r="N80" s="851"/>
      <c r="O80" s="852"/>
      <c r="P80" s="953" t="str">
        <f>IF(C80="","",INDEX(PMEHVAC[Base Watt],MATCH(C80,PMEHVAC[Eff Desc 1],0)))</f>
        <v/>
      </c>
      <c r="Q80" s="954"/>
      <c r="R80" s="953" t="str">
        <f>IF(C80="","",INDEX(PMEHVAC[Base Watt 2],MATCH(C80,PMEHVAC[Eff Desc 1],0)))</f>
        <v/>
      </c>
      <c r="S80" s="954"/>
      <c r="T80" s="967"/>
      <c r="U80" s="968"/>
      <c r="V80" s="851"/>
      <c r="W80" s="852"/>
      <c r="X80" s="837"/>
      <c r="Y80" s="838"/>
      <c r="Z80" s="839"/>
      <c r="AA80" s="951"/>
      <c r="AB80" s="943"/>
      <c r="AC80" s="943"/>
      <c r="AD80" s="944"/>
      <c r="AE80" s="947" t="str">
        <f>IF(C80="","",INDEX(PMEHVAC[Unit of Measure],MATCH(C80,PMEHVAC[Eff Desc 1],0)))</f>
        <v/>
      </c>
      <c r="AF80" s="947"/>
      <c r="AG80" s="947"/>
      <c r="AH80" s="948"/>
      <c r="AI80" s="923" t="str">
        <f>IF(OR(C80="",N80="",T80="",V80="",X80="",AA80="",AC80=""),"",INDEX(PMEHVAC[Inc Rate Unit],MATCH(C80,PMEHVAC[Eff Desc 1],0)))</f>
        <v/>
      </c>
      <c r="AJ80" s="924"/>
      <c r="AK80" s="939" t="str">
        <f t="shared" ref="AK80" si="110">IFERROR(IF(OR(C80="",N80="",T80="",V80="",X80="",AA80="",AC80="",),"",AW80),"")</f>
        <v/>
      </c>
      <c r="AL80" s="940"/>
      <c r="AM80" s="940"/>
      <c r="AN80" s="941"/>
      <c r="AO80" s="930" t="str">
        <f t="shared" ref="AO80" si="111">IFERROR(IF(OR(C80="",N80="",V80="",X80="",T80="",AA80="",AC80=""),"",IF(BC80&lt;&gt;"",BC80,ROUND(IF(AK80&lt;=0,0,IF(AE80="unit",MIN(AU80*1,AI80),MIN(AU80*1,(N80-L80)*V80*AI80))),2))),"")</f>
        <v/>
      </c>
      <c r="AP80" s="931"/>
      <c r="AQ80" s="868"/>
      <c r="AU80" s="813" t="str">
        <f t="shared" ref="AU80" si="112">IF(OR(C80="",N80="",T80="",V80="",X80="",AA80="",AE80="",AC80=""),"",IF(AK80="","",ROUND((AA80+AC80),2)))</f>
        <v/>
      </c>
      <c r="AV80" s="928" t="str">
        <f>IF(OR(C80="",N80="",T80="",V80="",X80="",AA80="",AC80="",AE80=""),"",ROUND(IF(ISNUMBER(SEARCH("Unit",AE80)),(V80/12)*(1/((-0.02*N80^2)+(1.12*N80)))*0.177*0.08*0.457,
(V80*12)*((1/L80)-(1/N80))*INDEX(ENDUSEALL[Lighting Coincidence Factor],MATCH(AX80,ENDUSEALL[End Use],0))),3))</f>
        <v/>
      </c>
      <c r="AW80" s="906" t="str">
        <f>IFERROR(ROUND(
IF(ISNUMBER(SEARCH("DX",C80)),(V80*12)*((1/L80)-(1/N80))*INDEX(PMEHVAC[EFLHcool],MATCH(C80,PMEHVAC[Eff Desc 1],0)),
IF(ISNUMBER(SEARCH("PTAC",C80)),(V80*12)*((1/L80)-(1/N80))*INDEX(PMEHVAC[EFLHcool],MATCH(C80,PMEHVAC[Eff Desc 1],0)),
IF(ISNUMBER(SEARCH("PTHP",C80)),((V80*12)*((1/L80)-(1/N80))*INDEX(PMEHVAC[EFLHcool],MATCH(C80,PMEHVAC[Eff Desc 1],0)))+(((V80*12)/3.412)*((1/R80)-(1/T80))*INDEX(PMEHVAC[EFLHheat],MATCH(C80,PMEHVAC[Eff Desc 1],0))),
IF(OR(ISNUMBER(SEARCH("ASHP",C80)),ISNUMBER(SEARCH("WSHP",C80)),ISNUMBER(SEARCH("Water Source",C80)),ISNUMBER(SEARCH("GSHP",C80))),((V80*12)*((1/L80)-(1/N80))*INDEX(PMEHVAC[EFLHcool],MATCH(C80,PMEHVAC[Eff Desc 1],0)))+(IF(P80="HSPF",(V80*12),((V80*12)/3.412))*((1/R80)-(1/T80))*INDEX(PMEHVAC[EFLHheat],MATCH(C80,PMEHVAC[Eff Desc 1],0))),
"")))),0),"")</f>
        <v/>
      </c>
      <c r="AX80" s="928" t="str">
        <f>IF(OR(C80="",N80="",T80="",V80="",X80="",AA80="",AE80="",AC80=""),"",INDEX(PMEHVAC[End Use Category],MATCH(C80,PMEHVAC[Eff Desc 1],0)))</f>
        <v/>
      </c>
    </row>
    <row r="81" spans="2:50" ht="15.95" hidden="1" customHeight="1">
      <c r="B81" s="929"/>
      <c r="C81" s="840"/>
      <c r="D81" s="841"/>
      <c r="E81" s="841"/>
      <c r="F81" s="841"/>
      <c r="G81" s="841"/>
      <c r="H81" s="841"/>
      <c r="I81" s="841"/>
      <c r="J81" s="955"/>
      <c r="K81" s="956"/>
      <c r="L81" s="955"/>
      <c r="M81" s="956"/>
      <c r="N81" s="853"/>
      <c r="O81" s="854"/>
      <c r="P81" s="955"/>
      <c r="Q81" s="956"/>
      <c r="R81" s="955"/>
      <c r="S81" s="956"/>
      <c r="T81" s="969"/>
      <c r="U81" s="970"/>
      <c r="V81" s="853"/>
      <c r="W81" s="854"/>
      <c r="X81" s="840"/>
      <c r="Y81" s="841"/>
      <c r="Z81" s="842"/>
      <c r="AA81" s="952"/>
      <c r="AB81" s="945"/>
      <c r="AC81" s="945"/>
      <c r="AD81" s="946"/>
      <c r="AE81" s="949"/>
      <c r="AF81" s="949"/>
      <c r="AG81" s="949"/>
      <c r="AH81" s="950"/>
      <c r="AI81" s="925"/>
      <c r="AJ81" s="870"/>
      <c r="AK81" s="912"/>
      <c r="AL81" s="913"/>
      <c r="AM81" s="913"/>
      <c r="AN81" s="942"/>
      <c r="AO81" s="925"/>
      <c r="AP81" s="932"/>
      <c r="AQ81" s="870"/>
      <c r="AU81" s="814"/>
      <c r="AV81" s="907"/>
      <c r="AW81" s="907"/>
      <c r="AX81" s="907"/>
    </row>
    <row r="82" spans="2:50" ht="15.95" hidden="1" customHeight="1">
      <c r="B82" s="929">
        <v>34</v>
      </c>
      <c r="C82" s="871"/>
      <c r="D82" s="872"/>
      <c r="E82" s="872"/>
      <c r="F82" s="872"/>
      <c r="G82" s="872"/>
      <c r="H82" s="872"/>
      <c r="I82" s="872"/>
      <c r="J82" s="953" t="str">
        <f>IF(C82="","",INDEX(PMEHVAC[Base Desc 1],MATCH(C82,PMEHVAC[Eff Desc 1],0)))</f>
        <v/>
      </c>
      <c r="K82" s="954"/>
      <c r="L82" s="953" t="str">
        <f>IF(C82="","",INDEX(PMEHVAC[Base Desc 2],MATCH(C82,PMEHVAC[Eff Desc 1],0)))</f>
        <v/>
      </c>
      <c r="M82" s="954"/>
      <c r="N82" s="851"/>
      <c r="O82" s="852"/>
      <c r="P82" s="953" t="str">
        <f>IF(C82="","",INDEX(PMEHVAC[Base Watt],MATCH(C82,PMEHVAC[Eff Desc 1],0)))</f>
        <v/>
      </c>
      <c r="Q82" s="954"/>
      <c r="R82" s="953" t="str">
        <f>IF(C82="","",INDEX(PMEHVAC[Base Watt 2],MATCH(C82,PMEHVAC[Eff Desc 1],0)))</f>
        <v/>
      </c>
      <c r="S82" s="954"/>
      <c r="T82" s="967"/>
      <c r="U82" s="968"/>
      <c r="V82" s="851"/>
      <c r="W82" s="852"/>
      <c r="X82" s="837"/>
      <c r="Y82" s="838"/>
      <c r="Z82" s="839"/>
      <c r="AA82" s="951"/>
      <c r="AB82" s="943"/>
      <c r="AC82" s="943"/>
      <c r="AD82" s="944"/>
      <c r="AE82" s="947" t="str">
        <f>IF(C82="","",INDEX(PMEHVAC[Unit of Measure],MATCH(C82,PMEHVAC[Eff Desc 1],0)))</f>
        <v/>
      </c>
      <c r="AF82" s="947"/>
      <c r="AG82" s="947"/>
      <c r="AH82" s="948"/>
      <c r="AI82" s="923" t="str">
        <f>IF(OR(C82="",N82="",T82="",V82="",X82="",AA82="",AC82=""),"",INDEX(PMEHVAC[Inc Rate Unit],MATCH(C82,PMEHVAC[Eff Desc 1],0)))</f>
        <v/>
      </c>
      <c r="AJ82" s="924"/>
      <c r="AK82" s="939" t="str">
        <f t="shared" ref="AK82" si="113">IFERROR(IF(OR(C82="",N82="",T82="",V82="",X82="",AA82="",AC82="",),"",AW82),"")</f>
        <v/>
      </c>
      <c r="AL82" s="940"/>
      <c r="AM82" s="940"/>
      <c r="AN82" s="941"/>
      <c r="AO82" s="930" t="str">
        <f t="shared" ref="AO82" si="114">IFERROR(IF(OR(C82="",N82="",V82="",X82="",T82="",AA82="",AC82=""),"",IF(BC82&lt;&gt;"",BC82,ROUND(IF(AK82&lt;=0,0,IF(AE82="unit",MIN(AU82*1,AI82),MIN(AU82*1,(N82-L82)*V82*AI82))),2))),"")</f>
        <v/>
      </c>
      <c r="AP82" s="931"/>
      <c r="AQ82" s="868"/>
      <c r="AU82" s="813" t="str">
        <f t="shared" ref="AU82" si="115">IF(OR(C82="",N82="",T82="",V82="",X82="",AA82="",AE82="",AC82=""),"",IF(AK82="","",ROUND((AA82+AC82),2)))</f>
        <v/>
      </c>
      <c r="AV82" s="928" t="str">
        <f>IF(OR(C82="",N82="",T82="",V82="",X82="",AA82="",AC82="",AE82=""),"",ROUND(IF(ISNUMBER(SEARCH("Unit",AE82)),(V82/12)*(1/((-0.02*N82^2)+(1.12*N82)))*0.177*0.08*0.457,
(V82*12)*((1/L82)-(1/N82))*INDEX(ENDUSEALL[Lighting Coincidence Factor],MATCH(AX82,ENDUSEALL[End Use],0))),3))</f>
        <v/>
      </c>
      <c r="AW82" s="906" t="str">
        <f>IFERROR(ROUND(
IF(ISNUMBER(SEARCH("DX",C82)),(V82*12)*((1/L82)-(1/N82))*INDEX(PMEHVAC[EFLHcool],MATCH(C82,PMEHVAC[Eff Desc 1],0)),
IF(ISNUMBER(SEARCH("PTAC",C82)),(V82*12)*((1/L82)-(1/N82))*INDEX(PMEHVAC[EFLHcool],MATCH(C82,PMEHVAC[Eff Desc 1],0)),
IF(ISNUMBER(SEARCH("PTHP",C82)),((V82*12)*((1/L82)-(1/N82))*INDEX(PMEHVAC[EFLHcool],MATCH(C82,PMEHVAC[Eff Desc 1],0)))+(((V82*12)/3.412)*((1/R82)-(1/T82))*INDEX(PMEHVAC[EFLHheat],MATCH(C82,PMEHVAC[Eff Desc 1],0))),
IF(OR(ISNUMBER(SEARCH("ASHP",C82)),ISNUMBER(SEARCH("WSHP",C82)),ISNUMBER(SEARCH("Water Source",C82)),ISNUMBER(SEARCH("GSHP",C82))),((V82*12)*((1/L82)-(1/N82))*INDEX(PMEHVAC[EFLHcool],MATCH(C82,PMEHVAC[Eff Desc 1],0)))+(IF(P82="HSPF",(V82*12),((V82*12)/3.412))*((1/R82)-(1/T82))*INDEX(PMEHVAC[EFLHheat],MATCH(C82,PMEHVAC[Eff Desc 1],0))),
"")))),0),"")</f>
        <v/>
      </c>
      <c r="AX82" s="928" t="str">
        <f>IF(OR(C82="",N82="",T82="",V82="",X82="",AA82="",AE82="",AC82=""),"",INDEX(PMEHVAC[End Use Category],MATCH(C82,PMEHVAC[Eff Desc 1],0)))</f>
        <v/>
      </c>
    </row>
    <row r="83" spans="2:50" ht="15.95" hidden="1" customHeight="1">
      <c r="B83" s="929"/>
      <c r="C83" s="840"/>
      <c r="D83" s="841"/>
      <c r="E83" s="841"/>
      <c r="F83" s="841"/>
      <c r="G83" s="841"/>
      <c r="H83" s="841"/>
      <c r="I83" s="841"/>
      <c r="J83" s="955"/>
      <c r="K83" s="956"/>
      <c r="L83" s="955"/>
      <c r="M83" s="956"/>
      <c r="N83" s="853"/>
      <c r="O83" s="854"/>
      <c r="P83" s="955"/>
      <c r="Q83" s="956"/>
      <c r="R83" s="955"/>
      <c r="S83" s="956"/>
      <c r="T83" s="969"/>
      <c r="U83" s="970"/>
      <c r="V83" s="853"/>
      <c r="W83" s="854"/>
      <c r="X83" s="840"/>
      <c r="Y83" s="841"/>
      <c r="Z83" s="842"/>
      <c r="AA83" s="952"/>
      <c r="AB83" s="945"/>
      <c r="AC83" s="945"/>
      <c r="AD83" s="946"/>
      <c r="AE83" s="949"/>
      <c r="AF83" s="949"/>
      <c r="AG83" s="949"/>
      <c r="AH83" s="950"/>
      <c r="AI83" s="925"/>
      <c r="AJ83" s="870"/>
      <c r="AK83" s="912"/>
      <c r="AL83" s="913"/>
      <c r="AM83" s="913"/>
      <c r="AN83" s="942"/>
      <c r="AO83" s="925"/>
      <c r="AP83" s="932"/>
      <c r="AQ83" s="870"/>
      <c r="AU83" s="814"/>
      <c r="AV83" s="907"/>
      <c r="AW83" s="907"/>
      <c r="AX83" s="907"/>
    </row>
    <row r="84" spans="2:50" ht="15.95" hidden="1" customHeight="1">
      <c r="B84" s="929">
        <v>35</v>
      </c>
      <c r="C84" s="871"/>
      <c r="D84" s="872"/>
      <c r="E84" s="872"/>
      <c r="F84" s="872"/>
      <c r="G84" s="872"/>
      <c r="H84" s="872"/>
      <c r="I84" s="872"/>
      <c r="J84" s="953" t="str">
        <f>IF(C84="","",INDEX(PMEHVAC[Base Desc 1],MATCH(C84,PMEHVAC[Eff Desc 1],0)))</f>
        <v/>
      </c>
      <c r="K84" s="954"/>
      <c r="L84" s="953" t="str">
        <f>IF(C84="","",INDEX(PMEHVAC[Base Desc 2],MATCH(C84,PMEHVAC[Eff Desc 1],0)))</f>
        <v/>
      </c>
      <c r="M84" s="954"/>
      <c r="N84" s="851"/>
      <c r="O84" s="852"/>
      <c r="P84" s="953" t="str">
        <f>IF(C84="","",INDEX(PMEHVAC[Base Watt],MATCH(C84,PMEHVAC[Eff Desc 1],0)))</f>
        <v/>
      </c>
      <c r="Q84" s="954"/>
      <c r="R84" s="953" t="str">
        <f>IF(C84="","",INDEX(PMEHVAC[Base Watt 2],MATCH(C84,PMEHVAC[Eff Desc 1],0)))</f>
        <v/>
      </c>
      <c r="S84" s="954"/>
      <c r="T84" s="967"/>
      <c r="U84" s="968"/>
      <c r="V84" s="851"/>
      <c r="W84" s="852"/>
      <c r="X84" s="837"/>
      <c r="Y84" s="838"/>
      <c r="Z84" s="839"/>
      <c r="AA84" s="951"/>
      <c r="AB84" s="943"/>
      <c r="AC84" s="943"/>
      <c r="AD84" s="944"/>
      <c r="AE84" s="947" t="str">
        <f>IF(C84="","",INDEX(PMEHVAC[Unit of Measure],MATCH(C84,PMEHVAC[Eff Desc 1],0)))</f>
        <v/>
      </c>
      <c r="AF84" s="947"/>
      <c r="AG84" s="947"/>
      <c r="AH84" s="948"/>
      <c r="AI84" s="923" t="str">
        <f>IF(OR(C84="",N84="",T84="",V84="",X84="",AA84="",AC84=""),"",INDEX(PMEHVAC[Inc Rate Unit],MATCH(C84,PMEHVAC[Eff Desc 1],0)))</f>
        <v/>
      </c>
      <c r="AJ84" s="924"/>
      <c r="AK84" s="939" t="str">
        <f t="shared" ref="AK84" si="116">IFERROR(IF(OR(C84="",N84="",T84="",V84="",X84="",AA84="",AC84="",),"",AW84),"")</f>
        <v/>
      </c>
      <c r="AL84" s="940"/>
      <c r="AM84" s="940"/>
      <c r="AN84" s="941"/>
      <c r="AO84" s="930" t="str">
        <f t="shared" ref="AO84" si="117">IFERROR(IF(OR(C84="",N84="",V84="",X84="",T84="",AA84="",AC84=""),"",IF(BC84&lt;&gt;"",BC84,ROUND(IF(AK84&lt;=0,0,IF(AE84="unit",MIN(AU84*1,AI84),MIN(AU84*1,(N84-L84)*V84*AI84))),2))),"")</f>
        <v/>
      </c>
      <c r="AP84" s="931"/>
      <c r="AQ84" s="868"/>
      <c r="AU84" s="813" t="str">
        <f t="shared" ref="AU84" si="118">IF(OR(C84="",N84="",T84="",V84="",X84="",AA84="",AE84="",AC84=""),"",IF(AK84="","",ROUND((AA84+AC84),2)))</f>
        <v/>
      </c>
      <c r="AV84" s="928" t="str">
        <f>IF(OR(C84="",N84="",T84="",V84="",X84="",AA84="",AC84="",AE84=""),"",ROUND(IF(ISNUMBER(SEARCH("Unit",AE84)),(V84/12)*(1/((-0.02*N84^2)+(1.12*N84)))*0.177*0.08*0.457,
(V84*12)*((1/L84)-(1/N84))*INDEX(ENDUSEALL[Lighting Coincidence Factor],MATCH(AX84,ENDUSEALL[End Use],0))),3))</f>
        <v/>
      </c>
      <c r="AW84" s="906" t="str">
        <f>IFERROR(ROUND(
IF(ISNUMBER(SEARCH("DX",C84)),(V84*12)*((1/L84)-(1/N84))*INDEX(PMEHVAC[EFLHcool],MATCH(C84,PMEHVAC[Eff Desc 1],0)),
IF(ISNUMBER(SEARCH("PTAC",C84)),(V84*12)*((1/L84)-(1/N84))*INDEX(PMEHVAC[EFLHcool],MATCH(C84,PMEHVAC[Eff Desc 1],0)),
IF(ISNUMBER(SEARCH("PTHP",C84)),((V84*12)*((1/L84)-(1/N84))*INDEX(PMEHVAC[EFLHcool],MATCH(C84,PMEHVAC[Eff Desc 1],0)))+(((V84*12)/3.412)*((1/R84)-(1/T84))*INDEX(PMEHVAC[EFLHheat],MATCH(C84,PMEHVAC[Eff Desc 1],0))),
IF(OR(ISNUMBER(SEARCH("ASHP",C84)),ISNUMBER(SEARCH("WSHP",C84)),ISNUMBER(SEARCH("Water Source",C84)),ISNUMBER(SEARCH("GSHP",C84))),((V84*12)*((1/L84)-(1/N84))*INDEX(PMEHVAC[EFLHcool],MATCH(C84,PMEHVAC[Eff Desc 1],0)))+(IF(P84="HSPF",(V84*12),((V84*12)/3.412))*((1/R84)-(1/T84))*INDEX(PMEHVAC[EFLHheat],MATCH(C84,PMEHVAC[Eff Desc 1],0))),
"")))),0),"")</f>
        <v/>
      </c>
      <c r="AX84" s="928" t="str">
        <f>IF(OR(C84="",N84="",T84="",V84="",X84="",AA84="",AE84="",AC84=""),"",INDEX(PMEHVAC[End Use Category],MATCH(C84,PMEHVAC[Eff Desc 1],0)))</f>
        <v/>
      </c>
    </row>
    <row r="85" spans="2:50" ht="15.95" hidden="1" customHeight="1">
      <c r="B85" s="929"/>
      <c r="C85" s="840"/>
      <c r="D85" s="841"/>
      <c r="E85" s="841"/>
      <c r="F85" s="841"/>
      <c r="G85" s="841"/>
      <c r="H85" s="841"/>
      <c r="I85" s="841"/>
      <c r="J85" s="955"/>
      <c r="K85" s="956"/>
      <c r="L85" s="955"/>
      <c r="M85" s="956"/>
      <c r="N85" s="853"/>
      <c r="O85" s="854"/>
      <c r="P85" s="955"/>
      <c r="Q85" s="956"/>
      <c r="R85" s="955"/>
      <c r="S85" s="956"/>
      <c r="T85" s="969"/>
      <c r="U85" s="970"/>
      <c r="V85" s="853"/>
      <c r="W85" s="854"/>
      <c r="X85" s="840"/>
      <c r="Y85" s="841"/>
      <c r="Z85" s="842"/>
      <c r="AA85" s="952"/>
      <c r="AB85" s="945"/>
      <c r="AC85" s="945"/>
      <c r="AD85" s="946"/>
      <c r="AE85" s="949"/>
      <c r="AF85" s="949"/>
      <c r="AG85" s="949"/>
      <c r="AH85" s="950"/>
      <c r="AI85" s="925"/>
      <c r="AJ85" s="870"/>
      <c r="AK85" s="912"/>
      <c r="AL85" s="913"/>
      <c r="AM85" s="913"/>
      <c r="AN85" s="942"/>
      <c r="AO85" s="925"/>
      <c r="AP85" s="932"/>
      <c r="AQ85" s="870"/>
      <c r="AU85" s="814"/>
      <c r="AV85" s="907"/>
      <c r="AW85" s="907"/>
      <c r="AX85" s="907"/>
    </row>
    <row r="86" spans="2:50" ht="15.95" hidden="1" customHeight="1">
      <c r="B86" s="929">
        <v>36</v>
      </c>
      <c r="C86" s="871"/>
      <c r="D86" s="872"/>
      <c r="E86" s="872"/>
      <c r="F86" s="872"/>
      <c r="G86" s="872"/>
      <c r="H86" s="872"/>
      <c r="I86" s="872"/>
      <c r="J86" s="953" t="str">
        <f>IF(C86="","",INDEX(PMEHVAC[Base Desc 1],MATCH(C86,PMEHVAC[Eff Desc 1],0)))</f>
        <v/>
      </c>
      <c r="K86" s="954"/>
      <c r="L86" s="953" t="str">
        <f>IF(C86="","",INDEX(PMEHVAC[Base Desc 2],MATCH(C86,PMEHVAC[Eff Desc 1],0)))</f>
        <v/>
      </c>
      <c r="M86" s="954"/>
      <c r="N86" s="851"/>
      <c r="O86" s="852"/>
      <c r="P86" s="953" t="str">
        <f>IF(C86="","",INDEX(PMEHVAC[Base Watt],MATCH(C86,PMEHVAC[Eff Desc 1],0)))</f>
        <v/>
      </c>
      <c r="Q86" s="954"/>
      <c r="R86" s="953" t="str">
        <f>IF(C86="","",INDEX(PMEHVAC[Base Watt 2],MATCH(C86,PMEHVAC[Eff Desc 1],0)))</f>
        <v/>
      </c>
      <c r="S86" s="954"/>
      <c r="T86" s="967"/>
      <c r="U86" s="968"/>
      <c r="V86" s="851"/>
      <c r="W86" s="852"/>
      <c r="X86" s="837"/>
      <c r="Y86" s="838"/>
      <c r="Z86" s="839"/>
      <c r="AA86" s="951"/>
      <c r="AB86" s="943"/>
      <c r="AC86" s="943"/>
      <c r="AD86" s="944"/>
      <c r="AE86" s="947" t="str">
        <f>IF(C86="","",INDEX(PMEHVAC[Unit of Measure],MATCH(C86,PMEHVAC[Eff Desc 1],0)))</f>
        <v/>
      </c>
      <c r="AF86" s="947"/>
      <c r="AG86" s="947"/>
      <c r="AH86" s="948"/>
      <c r="AI86" s="923" t="str">
        <f>IF(OR(C86="",N86="",T86="",V86="",X86="",AA86="",AC86=""),"",INDEX(PMEHVAC[Inc Rate Unit],MATCH(C86,PMEHVAC[Eff Desc 1],0)))</f>
        <v/>
      </c>
      <c r="AJ86" s="924"/>
      <c r="AK86" s="939" t="str">
        <f t="shared" ref="AK86" si="119">IFERROR(IF(OR(C86="",N86="",T86="",V86="",X86="",AA86="",AC86="",),"",AW86),"")</f>
        <v/>
      </c>
      <c r="AL86" s="940"/>
      <c r="AM86" s="940"/>
      <c r="AN86" s="941"/>
      <c r="AO86" s="930" t="str">
        <f t="shared" ref="AO86" si="120">IFERROR(IF(OR(C86="",N86="",V86="",X86="",T86="",AA86="",AC86=""),"",IF(BC86&lt;&gt;"",BC86,ROUND(IF(AK86&lt;=0,0,IF(AE86="unit",MIN(AU86*1,AI86),MIN(AU86*1,(N86-L86)*V86*AI86))),2))),"")</f>
        <v/>
      </c>
      <c r="AP86" s="931"/>
      <c r="AQ86" s="868"/>
      <c r="AU86" s="813" t="str">
        <f t="shared" ref="AU86" si="121">IF(OR(C86="",N86="",T86="",V86="",X86="",AA86="",AE86="",AC86=""),"",IF(AK86="","",ROUND((AA86+AC86),2)))</f>
        <v/>
      </c>
      <c r="AV86" s="928" t="str">
        <f>IF(OR(C86="",N86="",T86="",V86="",X86="",AA86="",AC86="",AE86=""),"",ROUND(IF(ISNUMBER(SEARCH("Unit",AE86)),(V86/12)*(1/((-0.02*N86^2)+(1.12*N86)))*0.177*0.08*0.457,
(V86*12)*((1/L86)-(1/N86))*INDEX(ENDUSEALL[Lighting Coincidence Factor],MATCH(AX86,ENDUSEALL[End Use],0))),3))</f>
        <v/>
      </c>
      <c r="AW86" s="906" t="str">
        <f>IFERROR(ROUND(
IF(ISNUMBER(SEARCH("DX",C86)),(V86*12)*((1/L86)-(1/N86))*INDEX(PMEHVAC[EFLHcool],MATCH(C86,PMEHVAC[Eff Desc 1],0)),
IF(ISNUMBER(SEARCH("PTAC",C86)),(V86*12)*((1/L86)-(1/N86))*INDEX(PMEHVAC[EFLHcool],MATCH(C86,PMEHVAC[Eff Desc 1],0)),
IF(ISNUMBER(SEARCH("PTHP",C86)),((V86*12)*((1/L86)-(1/N86))*INDEX(PMEHVAC[EFLHcool],MATCH(C86,PMEHVAC[Eff Desc 1],0)))+(((V86*12)/3.412)*((1/R86)-(1/T86))*INDEX(PMEHVAC[EFLHheat],MATCH(C86,PMEHVAC[Eff Desc 1],0))),
IF(OR(ISNUMBER(SEARCH("ASHP",C86)),ISNUMBER(SEARCH("WSHP",C86)),ISNUMBER(SEARCH("Water Source",C86)),ISNUMBER(SEARCH("GSHP",C86))),((V86*12)*((1/L86)-(1/N86))*INDEX(PMEHVAC[EFLHcool],MATCH(C86,PMEHVAC[Eff Desc 1],0)))+(IF(P86="HSPF",(V86*12),((V86*12)/3.412))*((1/R86)-(1/T86))*INDEX(PMEHVAC[EFLHheat],MATCH(C86,PMEHVAC[Eff Desc 1],0))),
"")))),0),"")</f>
        <v/>
      </c>
      <c r="AX86" s="928" t="str">
        <f>IF(OR(C86="",N86="",T86="",V86="",X86="",AA86="",AE86="",AC86=""),"",INDEX(PMEHVAC[End Use Category],MATCH(C86,PMEHVAC[Eff Desc 1],0)))</f>
        <v/>
      </c>
    </row>
    <row r="87" spans="2:50" ht="15.95" hidden="1" customHeight="1">
      <c r="B87" s="929"/>
      <c r="C87" s="840"/>
      <c r="D87" s="841"/>
      <c r="E87" s="841"/>
      <c r="F87" s="841"/>
      <c r="G87" s="841"/>
      <c r="H87" s="841"/>
      <c r="I87" s="841"/>
      <c r="J87" s="955"/>
      <c r="K87" s="956"/>
      <c r="L87" s="955"/>
      <c r="M87" s="956"/>
      <c r="N87" s="853"/>
      <c r="O87" s="854"/>
      <c r="P87" s="955"/>
      <c r="Q87" s="956"/>
      <c r="R87" s="955"/>
      <c r="S87" s="956"/>
      <c r="T87" s="969"/>
      <c r="U87" s="970"/>
      <c r="V87" s="853"/>
      <c r="W87" s="854"/>
      <c r="X87" s="840"/>
      <c r="Y87" s="841"/>
      <c r="Z87" s="842"/>
      <c r="AA87" s="952"/>
      <c r="AB87" s="945"/>
      <c r="AC87" s="945"/>
      <c r="AD87" s="946"/>
      <c r="AE87" s="949"/>
      <c r="AF87" s="949"/>
      <c r="AG87" s="949"/>
      <c r="AH87" s="950"/>
      <c r="AI87" s="925"/>
      <c r="AJ87" s="870"/>
      <c r="AK87" s="912"/>
      <c r="AL87" s="913"/>
      <c r="AM87" s="913"/>
      <c r="AN87" s="942"/>
      <c r="AO87" s="925"/>
      <c r="AP87" s="932"/>
      <c r="AQ87" s="870"/>
      <c r="AU87" s="814"/>
      <c r="AV87" s="907"/>
      <c r="AW87" s="907"/>
      <c r="AX87" s="907"/>
    </row>
    <row r="88" spans="2:50" ht="15.95" hidden="1" customHeight="1">
      <c r="B88" s="929">
        <v>37</v>
      </c>
      <c r="C88" s="871"/>
      <c r="D88" s="872"/>
      <c r="E88" s="872"/>
      <c r="F88" s="872"/>
      <c r="G88" s="872"/>
      <c r="H88" s="872"/>
      <c r="I88" s="872"/>
      <c r="J88" s="953" t="str">
        <f>IF(C88="","",INDEX(PMEHVAC[Base Desc 1],MATCH(C88,PMEHVAC[Eff Desc 1],0)))</f>
        <v/>
      </c>
      <c r="K88" s="954"/>
      <c r="L88" s="953" t="str">
        <f>IF(C88="","",INDEX(PMEHVAC[Base Desc 2],MATCH(C88,PMEHVAC[Eff Desc 1],0)))</f>
        <v/>
      </c>
      <c r="M88" s="954"/>
      <c r="N88" s="851"/>
      <c r="O88" s="852"/>
      <c r="P88" s="953" t="str">
        <f>IF(C88="","",INDEX(PMEHVAC[Base Watt],MATCH(C88,PMEHVAC[Eff Desc 1],0)))</f>
        <v/>
      </c>
      <c r="Q88" s="954"/>
      <c r="R88" s="953" t="str">
        <f>IF(C88="","",INDEX(PMEHVAC[Base Watt 2],MATCH(C88,PMEHVAC[Eff Desc 1],0)))</f>
        <v/>
      </c>
      <c r="S88" s="954"/>
      <c r="T88" s="967"/>
      <c r="U88" s="968"/>
      <c r="V88" s="851"/>
      <c r="W88" s="852"/>
      <c r="X88" s="837"/>
      <c r="Y88" s="838"/>
      <c r="Z88" s="839"/>
      <c r="AA88" s="951"/>
      <c r="AB88" s="943"/>
      <c r="AC88" s="943"/>
      <c r="AD88" s="944"/>
      <c r="AE88" s="947" t="str">
        <f>IF(C88="","",INDEX(PMEHVAC[Unit of Measure],MATCH(C88,PMEHVAC[Eff Desc 1],0)))</f>
        <v/>
      </c>
      <c r="AF88" s="947"/>
      <c r="AG88" s="947"/>
      <c r="AH88" s="948"/>
      <c r="AI88" s="923" t="str">
        <f>IF(OR(C88="",N88="",T88="",V88="",X88="",AA88="",AC88=""),"",INDEX(PMEHVAC[Inc Rate Unit],MATCH(C88,PMEHVAC[Eff Desc 1],0)))</f>
        <v/>
      </c>
      <c r="AJ88" s="924"/>
      <c r="AK88" s="939" t="str">
        <f t="shared" ref="AK88" si="122">IFERROR(IF(OR(C88="",N88="",T88="",V88="",X88="",AA88="",AC88="",),"",AW88),"")</f>
        <v/>
      </c>
      <c r="AL88" s="940"/>
      <c r="AM88" s="940"/>
      <c r="AN88" s="941"/>
      <c r="AO88" s="930" t="str">
        <f t="shared" ref="AO88" si="123">IFERROR(IF(OR(C88="",N88="",V88="",X88="",T88="",AA88="",AC88=""),"",IF(BC88&lt;&gt;"",BC88,ROUND(IF(AK88&lt;=0,0,IF(AE88="unit",MIN(AU88*1,AI88),MIN(AU88*1,(N88-L88)*V88*AI88))),2))),"")</f>
        <v/>
      </c>
      <c r="AP88" s="931"/>
      <c r="AQ88" s="868"/>
      <c r="AU88" s="813" t="str">
        <f t="shared" ref="AU88" si="124">IF(OR(C88="",N88="",T88="",V88="",X88="",AA88="",AE88="",AC88=""),"",IF(AK88="","",ROUND((AA88+AC88),2)))</f>
        <v/>
      </c>
      <c r="AV88" s="928" t="str">
        <f>IF(OR(C88="",N88="",T88="",V88="",X88="",AA88="",AC88="",AE88=""),"",ROUND(IF(ISNUMBER(SEARCH("Unit",AE88)),(V88/12)*(1/((-0.02*N88^2)+(1.12*N88)))*0.177*0.08*0.457,
(V88*12)*((1/L88)-(1/N88))*INDEX(ENDUSEALL[Lighting Coincidence Factor],MATCH(AX88,ENDUSEALL[End Use],0))),3))</f>
        <v/>
      </c>
      <c r="AW88" s="906" t="str">
        <f>IFERROR(ROUND(
IF(ISNUMBER(SEARCH("DX",C88)),(V88*12)*((1/L88)-(1/N88))*INDEX(PMEHVAC[EFLHcool],MATCH(C88,PMEHVAC[Eff Desc 1],0)),
IF(ISNUMBER(SEARCH("PTAC",C88)),(V88*12)*((1/L88)-(1/N88))*INDEX(PMEHVAC[EFLHcool],MATCH(C88,PMEHVAC[Eff Desc 1],0)),
IF(ISNUMBER(SEARCH("PTHP",C88)),((V88*12)*((1/L88)-(1/N88))*INDEX(PMEHVAC[EFLHcool],MATCH(C88,PMEHVAC[Eff Desc 1],0)))+(((V88*12)/3.412)*((1/R88)-(1/T88))*INDEX(PMEHVAC[EFLHheat],MATCH(C88,PMEHVAC[Eff Desc 1],0))),
IF(OR(ISNUMBER(SEARCH("ASHP",C88)),ISNUMBER(SEARCH("WSHP",C88)),ISNUMBER(SEARCH("Water Source",C88)),ISNUMBER(SEARCH("GSHP",C88))),((V88*12)*((1/L88)-(1/N88))*INDEX(PMEHVAC[EFLHcool],MATCH(C88,PMEHVAC[Eff Desc 1],0)))+(IF(P88="HSPF",(V88*12),((V88*12)/3.412))*((1/R88)-(1/T88))*INDEX(PMEHVAC[EFLHheat],MATCH(C88,PMEHVAC[Eff Desc 1],0))),
"")))),0),"")</f>
        <v/>
      </c>
      <c r="AX88" s="928" t="str">
        <f>IF(OR(C88="",N88="",T88="",V88="",X88="",AA88="",AE88="",AC88=""),"",INDEX(PMEHVAC[End Use Category],MATCH(C88,PMEHVAC[Eff Desc 1],0)))</f>
        <v/>
      </c>
    </row>
    <row r="89" spans="2:50" ht="15.95" hidden="1" customHeight="1">
      <c r="B89" s="929"/>
      <c r="C89" s="840"/>
      <c r="D89" s="841"/>
      <c r="E89" s="841"/>
      <c r="F89" s="841"/>
      <c r="G89" s="841"/>
      <c r="H89" s="841"/>
      <c r="I89" s="841"/>
      <c r="J89" s="955"/>
      <c r="K89" s="956"/>
      <c r="L89" s="955"/>
      <c r="M89" s="956"/>
      <c r="N89" s="853"/>
      <c r="O89" s="854"/>
      <c r="P89" s="955"/>
      <c r="Q89" s="956"/>
      <c r="R89" s="955"/>
      <c r="S89" s="956"/>
      <c r="T89" s="969"/>
      <c r="U89" s="970"/>
      <c r="V89" s="853"/>
      <c r="W89" s="854"/>
      <c r="X89" s="840"/>
      <c r="Y89" s="841"/>
      <c r="Z89" s="842"/>
      <c r="AA89" s="952"/>
      <c r="AB89" s="945"/>
      <c r="AC89" s="945"/>
      <c r="AD89" s="946"/>
      <c r="AE89" s="949"/>
      <c r="AF89" s="949"/>
      <c r="AG89" s="949"/>
      <c r="AH89" s="950"/>
      <c r="AI89" s="925"/>
      <c r="AJ89" s="870"/>
      <c r="AK89" s="912"/>
      <c r="AL89" s="913"/>
      <c r="AM89" s="913"/>
      <c r="AN89" s="942"/>
      <c r="AO89" s="925"/>
      <c r="AP89" s="932"/>
      <c r="AQ89" s="870"/>
      <c r="AU89" s="814"/>
      <c r="AV89" s="907"/>
      <c r="AW89" s="907"/>
      <c r="AX89" s="907"/>
    </row>
    <row r="90" spans="2:50" ht="15.95" hidden="1" customHeight="1">
      <c r="B90" s="929">
        <v>38</v>
      </c>
      <c r="C90" s="871"/>
      <c r="D90" s="872"/>
      <c r="E90" s="872"/>
      <c r="F90" s="872"/>
      <c r="G90" s="872"/>
      <c r="H90" s="872"/>
      <c r="I90" s="872"/>
      <c r="J90" s="953" t="str">
        <f>IF(C90="","",INDEX(PMEHVAC[Base Desc 1],MATCH(C90,PMEHVAC[Eff Desc 1],0)))</f>
        <v/>
      </c>
      <c r="K90" s="954"/>
      <c r="L90" s="953" t="str">
        <f>IF(C90="","",INDEX(PMEHVAC[Base Desc 2],MATCH(C90,PMEHVAC[Eff Desc 1],0)))</f>
        <v/>
      </c>
      <c r="M90" s="954"/>
      <c r="N90" s="851"/>
      <c r="O90" s="852"/>
      <c r="P90" s="953" t="str">
        <f>IF(C90="","",INDEX(PMEHVAC[Base Watt],MATCH(C90,PMEHVAC[Eff Desc 1],0)))</f>
        <v/>
      </c>
      <c r="Q90" s="954"/>
      <c r="R90" s="953" t="str">
        <f>IF(C90="","",INDEX(PMEHVAC[Base Watt 2],MATCH(C90,PMEHVAC[Eff Desc 1],0)))</f>
        <v/>
      </c>
      <c r="S90" s="954"/>
      <c r="T90" s="967"/>
      <c r="U90" s="968"/>
      <c r="V90" s="851"/>
      <c r="W90" s="852"/>
      <c r="X90" s="837"/>
      <c r="Y90" s="838"/>
      <c r="Z90" s="839"/>
      <c r="AA90" s="951"/>
      <c r="AB90" s="943"/>
      <c r="AC90" s="943"/>
      <c r="AD90" s="944"/>
      <c r="AE90" s="947" t="str">
        <f>IF(C90="","",INDEX(PMEHVAC[Unit of Measure],MATCH(C90,PMEHVAC[Eff Desc 1],0)))</f>
        <v/>
      </c>
      <c r="AF90" s="947"/>
      <c r="AG90" s="947"/>
      <c r="AH90" s="948"/>
      <c r="AI90" s="923" t="str">
        <f>IF(OR(C90="",N90="",T90="",V90="",X90="",AA90="",AC90=""),"",INDEX(PMEHVAC[Inc Rate Unit],MATCH(C90,PMEHVAC[Eff Desc 1],0)))</f>
        <v/>
      </c>
      <c r="AJ90" s="924"/>
      <c r="AK90" s="939" t="str">
        <f t="shared" ref="AK90" si="125">IFERROR(IF(OR(C90="",N90="",T90="",V90="",X90="",AA90="",AC90="",),"",AW90),"")</f>
        <v/>
      </c>
      <c r="AL90" s="940"/>
      <c r="AM90" s="940"/>
      <c r="AN90" s="941"/>
      <c r="AO90" s="930" t="str">
        <f t="shared" ref="AO90" si="126">IFERROR(IF(OR(C90="",N90="",V90="",X90="",T90="",AA90="",AC90=""),"",IF(BC90&lt;&gt;"",BC90,ROUND(IF(AK90&lt;=0,0,IF(AE90="unit",MIN(AU90*1,AI90),MIN(AU90*1,(N90-L90)*V90*AI90))),2))),"")</f>
        <v/>
      </c>
      <c r="AP90" s="931"/>
      <c r="AQ90" s="868"/>
      <c r="AU90" s="813" t="str">
        <f t="shared" ref="AU90" si="127">IF(OR(C90="",N90="",T90="",V90="",X90="",AA90="",AE90="",AC90=""),"",IF(AK90="","",ROUND((AA90+AC90),2)))</f>
        <v/>
      </c>
      <c r="AV90" s="928" t="str">
        <f>IF(OR(C90="",N90="",T90="",V90="",X90="",AA90="",AC90="",AE90=""),"",ROUND(IF(ISNUMBER(SEARCH("Unit",AE90)),(V90/12)*(1/((-0.02*N90^2)+(1.12*N90)))*0.177*0.08*0.457,
(V90*12)*((1/L90)-(1/N90))*INDEX(ENDUSEALL[Lighting Coincidence Factor],MATCH(AX90,ENDUSEALL[End Use],0))),3))</f>
        <v/>
      </c>
      <c r="AW90" s="906" t="str">
        <f>IFERROR(ROUND(
IF(ISNUMBER(SEARCH("DX",C90)),(V90*12)*((1/L90)-(1/N90))*INDEX(PMEHVAC[EFLHcool],MATCH(C90,PMEHVAC[Eff Desc 1],0)),
IF(ISNUMBER(SEARCH("PTAC",C90)),(V90*12)*((1/L90)-(1/N90))*INDEX(PMEHVAC[EFLHcool],MATCH(C90,PMEHVAC[Eff Desc 1],0)),
IF(ISNUMBER(SEARCH("PTHP",C90)),((V90*12)*((1/L90)-(1/N90))*INDEX(PMEHVAC[EFLHcool],MATCH(C90,PMEHVAC[Eff Desc 1],0)))+(((V90*12)/3.412)*((1/R90)-(1/T90))*INDEX(PMEHVAC[EFLHheat],MATCH(C90,PMEHVAC[Eff Desc 1],0))),
IF(OR(ISNUMBER(SEARCH("ASHP",C90)),ISNUMBER(SEARCH("WSHP",C90)),ISNUMBER(SEARCH("Water Source",C90)),ISNUMBER(SEARCH("GSHP",C90))),((V90*12)*((1/L90)-(1/N90))*INDEX(PMEHVAC[EFLHcool],MATCH(C90,PMEHVAC[Eff Desc 1],0)))+(IF(P90="HSPF",(V90*12),((V90*12)/3.412))*((1/R90)-(1/T90))*INDEX(PMEHVAC[EFLHheat],MATCH(C90,PMEHVAC[Eff Desc 1],0))),
"")))),0),"")</f>
        <v/>
      </c>
      <c r="AX90" s="928" t="str">
        <f>IF(OR(C90="",N90="",T90="",V90="",X90="",AA90="",AE90="",AC90=""),"",INDEX(PMEHVAC[End Use Category],MATCH(C90,PMEHVAC[Eff Desc 1],0)))</f>
        <v/>
      </c>
    </row>
    <row r="91" spans="2:50" ht="15.95" hidden="1" customHeight="1">
      <c r="B91" s="929"/>
      <c r="C91" s="840"/>
      <c r="D91" s="841"/>
      <c r="E91" s="841"/>
      <c r="F91" s="841"/>
      <c r="G91" s="841"/>
      <c r="H91" s="841"/>
      <c r="I91" s="841"/>
      <c r="J91" s="955"/>
      <c r="K91" s="956"/>
      <c r="L91" s="955"/>
      <c r="M91" s="956"/>
      <c r="N91" s="853"/>
      <c r="O91" s="854"/>
      <c r="P91" s="955"/>
      <c r="Q91" s="956"/>
      <c r="R91" s="955"/>
      <c r="S91" s="956"/>
      <c r="T91" s="969"/>
      <c r="U91" s="970"/>
      <c r="V91" s="853"/>
      <c r="W91" s="854"/>
      <c r="X91" s="840"/>
      <c r="Y91" s="841"/>
      <c r="Z91" s="842"/>
      <c r="AA91" s="952"/>
      <c r="AB91" s="945"/>
      <c r="AC91" s="945"/>
      <c r="AD91" s="946"/>
      <c r="AE91" s="949"/>
      <c r="AF91" s="949"/>
      <c r="AG91" s="949"/>
      <c r="AH91" s="950"/>
      <c r="AI91" s="925"/>
      <c r="AJ91" s="870"/>
      <c r="AK91" s="912"/>
      <c r="AL91" s="913"/>
      <c r="AM91" s="913"/>
      <c r="AN91" s="942"/>
      <c r="AO91" s="925"/>
      <c r="AP91" s="932"/>
      <c r="AQ91" s="870"/>
      <c r="AU91" s="814"/>
      <c r="AV91" s="907"/>
      <c r="AW91" s="907"/>
      <c r="AX91" s="907"/>
    </row>
    <row r="92" spans="2:50" ht="15.95" hidden="1" customHeight="1">
      <c r="B92" s="929">
        <v>39</v>
      </c>
      <c r="C92" s="871"/>
      <c r="D92" s="872"/>
      <c r="E92" s="872"/>
      <c r="F92" s="872"/>
      <c r="G92" s="872"/>
      <c r="H92" s="872"/>
      <c r="I92" s="872"/>
      <c r="J92" s="953" t="str">
        <f>IF(C92="","",INDEX(PMEHVAC[Base Desc 1],MATCH(C92,PMEHVAC[Eff Desc 1],0)))</f>
        <v/>
      </c>
      <c r="K92" s="954"/>
      <c r="L92" s="953" t="str">
        <f>IF(C92="","",INDEX(PMEHVAC[Base Desc 2],MATCH(C92,PMEHVAC[Eff Desc 1],0)))</f>
        <v/>
      </c>
      <c r="M92" s="954"/>
      <c r="N92" s="851"/>
      <c r="O92" s="852"/>
      <c r="P92" s="953" t="str">
        <f>IF(C92="","",INDEX(PMEHVAC[Base Watt],MATCH(C92,PMEHVAC[Eff Desc 1],0)))</f>
        <v/>
      </c>
      <c r="Q92" s="954"/>
      <c r="R92" s="953" t="str">
        <f>IF(C92="","",INDEX(PMEHVAC[Base Watt 2],MATCH(C92,PMEHVAC[Eff Desc 1],0)))</f>
        <v/>
      </c>
      <c r="S92" s="954"/>
      <c r="T92" s="967"/>
      <c r="U92" s="968"/>
      <c r="V92" s="851"/>
      <c r="W92" s="852"/>
      <c r="X92" s="837"/>
      <c r="Y92" s="838"/>
      <c r="Z92" s="839"/>
      <c r="AA92" s="951"/>
      <c r="AB92" s="943"/>
      <c r="AC92" s="943"/>
      <c r="AD92" s="944"/>
      <c r="AE92" s="947" t="str">
        <f>IF(C92="","",INDEX(PMEHVAC[Unit of Measure],MATCH(C92,PMEHVAC[Eff Desc 1],0)))</f>
        <v/>
      </c>
      <c r="AF92" s="947"/>
      <c r="AG92" s="947"/>
      <c r="AH92" s="948"/>
      <c r="AI92" s="923" t="str">
        <f>IF(OR(C92="",N92="",T92="",V92="",X92="",AA92="",AC92=""),"",INDEX(PMEHVAC[Inc Rate Unit],MATCH(C92,PMEHVAC[Eff Desc 1],0)))</f>
        <v/>
      </c>
      <c r="AJ92" s="924"/>
      <c r="AK92" s="939" t="str">
        <f t="shared" ref="AK92" si="128">IFERROR(IF(OR(C92="",N92="",T92="",V92="",X92="",AA92="",AC92="",),"",AW92),"")</f>
        <v/>
      </c>
      <c r="AL92" s="940"/>
      <c r="AM92" s="940"/>
      <c r="AN92" s="941"/>
      <c r="AO92" s="930" t="str">
        <f t="shared" ref="AO92" si="129">IFERROR(IF(OR(C92="",N92="",V92="",X92="",T92="",AA92="",AC92=""),"",IF(BC92&lt;&gt;"",BC92,ROUND(IF(AK92&lt;=0,0,IF(AE92="unit",MIN(AU92*1,AI92),MIN(AU92*1,(N92-L92)*V92*AI92))),2))),"")</f>
        <v/>
      </c>
      <c r="AP92" s="931"/>
      <c r="AQ92" s="868"/>
      <c r="AU92" s="813" t="str">
        <f t="shared" ref="AU92" si="130">IF(OR(C92="",N92="",T92="",V92="",X92="",AA92="",AE92="",AC92=""),"",IF(AK92="","",ROUND((AA92+AC92),2)))</f>
        <v/>
      </c>
      <c r="AV92" s="928" t="str">
        <f>IF(OR(C92="",N92="",T92="",V92="",X92="",AA92="",AC92="",AE92=""),"",ROUND(IF(ISNUMBER(SEARCH("Unit",AE92)),(V92/12)*(1/((-0.02*N92^2)+(1.12*N92)))*0.177*0.08*0.457,
(V92*12)*((1/L92)-(1/N92))*INDEX(ENDUSEALL[Lighting Coincidence Factor],MATCH(AX92,ENDUSEALL[End Use],0))),3))</f>
        <v/>
      </c>
      <c r="AW92" s="906" t="str">
        <f>IFERROR(ROUND(
IF(ISNUMBER(SEARCH("DX",C92)),(V92*12)*((1/L92)-(1/N92))*INDEX(PMEHVAC[EFLHcool],MATCH(C92,PMEHVAC[Eff Desc 1],0)),
IF(ISNUMBER(SEARCH("PTAC",C92)),(V92*12)*((1/L92)-(1/N92))*INDEX(PMEHVAC[EFLHcool],MATCH(C92,PMEHVAC[Eff Desc 1],0)),
IF(ISNUMBER(SEARCH("PTHP",C92)),((V92*12)*((1/L92)-(1/N92))*INDEX(PMEHVAC[EFLHcool],MATCH(C92,PMEHVAC[Eff Desc 1],0)))+(((V92*12)/3.412)*((1/R92)-(1/T92))*INDEX(PMEHVAC[EFLHheat],MATCH(C92,PMEHVAC[Eff Desc 1],0))),
IF(OR(ISNUMBER(SEARCH("ASHP",C92)),ISNUMBER(SEARCH("WSHP",C92)),ISNUMBER(SEARCH("Water Source",C92)),ISNUMBER(SEARCH("GSHP",C92))),((V92*12)*((1/L92)-(1/N92))*INDEX(PMEHVAC[EFLHcool],MATCH(C92,PMEHVAC[Eff Desc 1],0)))+(IF(P92="HSPF",(V92*12),((V92*12)/3.412))*((1/R92)-(1/T92))*INDEX(PMEHVAC[EFLHheat],MATCH(C92,PMEHVAC[Eff Desc 1],0))),
"")))),0),"")</f>
        <v/>
      </c>
      <c r="AX92" s="928" t="str">
        <f>IF(OR(C92="",N92="",T92="",V92="",X92="",AA92="",AE92="",AC92=""),"",INDEX(PMEHVAC[End Use Category],MATCH(C92,PMEHVAC[Eff Desc 1],0)))</f>
        <v/>
      </c>
    </row>
    <row r="93" spans="2:50" ht="15.95" hidden="1" customHeight="1">
      <c r="B93" s="929"/>
      <c r="C93" s="840"/>
      <c r="D93" s="841"/>
      <c r="E93" s="841"/>
      <c r="F93" s="841"/>
      <c r="G93" s="841"/>
      <c r="H93" s="841"/>
      <c r="I93" s="841"/>
      <c r="J93" s="955"/>
      <c r="K93" s="956"/>
      <c r="L93" s="955"/>
      <c r="M93" s="956"/>
      <c r="N93" s="853"/>
      <c r="O93" s="854"/>
      <c r="P93" s="955"/>
      <c r="Q93" s="956"/>
      <c r="R93" s="955"/>
      <c r="S93" s="956"/>
      <c r="T93" s="969"/>
      <c r="U93" s="970"/>
      <c r="V93" s="853"/>
      <c r="W93" s="854"/>
      <c r="X93" s="840"/>
      <c r="Y93" s="841"/>
      <c r="Z93" s="842"/>
      <c r="AA93" s="952"/>
      <c r="AB93" s="945"/>
      <c r="AC93" s="945"/>
      <c r="AD93" s="946"/>
      <c r="AE93" s="949"/>
      <c r="AF93" s="949"/>
      <c r="AG93" s="949"/>
      <c r="AH93" s="950"/>
      <c r="AI93" s="925"/>
      <c r="AJ93" s="870"/>
      <c r="AK93" s="912"/>
      <c r="AL93" s="913"/>
      <c r="AM93" s="913"/>
      <c r="AN93" s="942"/>
      <c r="AO93" s="925"/>
      <c r="AP93" s="932"/>
      <c r="AQ93" s="870"/>
      <c r="AU93" s="814"/>
      <c r="AV93" s="907"/>
      <c r="AW93" s="907"/>
      <c r="AX93" s="907"/>
    </row>
    <row r="94" spans="2:50" ht="15.95" hidden="1" customHeight="1">
      <c r="B94" s="929">
        <v>40</v>
      </c>
      <c r="C94" s="871"/>
      <c r="D94" s="872"/>
      <c r="E94" s="872"/>
      <c r="F94" s="872"/>
      <c r="G94" s="872"/>
      <c r="H94" s="872"/>
      <c r="I94" s="872"/>
      <c r="J94" s="953" t="str">
        <f>IF(C94="","",INDEX(PMEHVAC[Base Desc 1],MATCH(C94,PMEHVAC[Eff Desc 1],0)))</f>
        <v/>
      </c>
      <c r="K94" s="954"/>
      <c r="L94" s="953" t="str">
        <f>IF(C94="","",INDEX(PMEHVAC[Base Desc 2],MATCH(C94,PMEHVAC[Eff Desc 1],0)))</f>
        <v/>
      </c>
      <c r="M94" s="954"/>
      <c r="N94" s="851"/>
      <c r="O94" s="852"/>
      <c r="P94" s="953" t="str">
        <f>IF(C94="","",INDEX(PMEHVAC[Base Watt],MATCH(C94,PMEHVAC[Eff Desc 1],0)))</f>
        <v/>
      </c>
      <c r="Q94" s="954"/>
      <c r="R94" s="953" t="str">
        <f>IF(C94="","",INDEX(PMEHVAC[Base Watt 2],MATCH(C94,PMEHVAC[Eff Desc 1],0)))</f>
        <v/>
      </c>
      <c r="S94" s="954"/>
      <c r="T94" s="967"/>
      <c r="U94" s="968"/>
      <c r="V94" s="851"/>
      <c r="W94" s="852"/>
      <c r="X94" s="837"/>
      <c r="Y94" s="838"/>
      <c r="Z94" s="839"/>
      <c r="AA94" s="951"/>
      <c r="AB94" s="943"/>
      <c r="AC94" s="943"/>
      <c r="AD94" s="944"/>
      <c r="AE94" s="947" t="str">
        <f>IF(C94="","",INDEX(PMEHVAC[Unit of Measure],MATCH(C94,PMEHVAC[Eff Desc 1],0)))</f>
        <v/>
      </c>
      <c r="AF94" s="947"/>
      <c r="AG94" s="947"/>
      <c r="AH94" s="948"/>
      <c r="AI94" s="923" t="str">
        <f>IF(OR(C94="",N94="",T94="",V94="",X94="",AA94="",AC94=""),"",INDEX(PMEHVAC[Inc Rate Unit],MATCH(C94,PMEHVAC[Eff Desc 1],0)))</f>
        <v/>
      </c>
      <c r="AJ94" s="924"/>
      <c r="AK94" s="939" t="str">
        <f t="shared" ref="AK94" si="131">IFERROR(IF(OR(C94="",N94="",T94="",V94="",X94="",AA94="",AC94="",),"",AW94),"")</f>
        <v/>
      </c>
      <c r="AL94" s="940"/>
      <c r="AM94" s="940"/>
      <c r="AN94" s="941"/>
      <c r="AO94" s="930" t="str">
        <f t="shared" ref="AO94" si="132">IFERROR(IF(OR(C94="",N94="",V94="",X94="",T94="",AA94="",AC94=""),"",IF(BC94&lt;&gt;"",BC94,ROUND(IF(AK94&lt;=0,0,IF(AE94="unit",MIN(AU94*1,AI94),MIN(AU94*1,(N94-L94)*V94*AI94))),2))),"")</f>
        <v/>
      </c>
      <c r="AP94" s="931"/>
      <c r="AQ94" s="868"/>
      <c r="AU94" s="813" t="str">
        <f t="shared" ref="AU94" si="133">IF(OR(C94="",N94="",T94="",V94="",X94="",AA94="",AE94="",AC94=""),"",IF(AK94="","",ROUND((AA94+AC94),2)))</f>
        <v/>
      </c>
      <c r="AV94" s="928" t="str">
        <f>IF(OR(C94="",N94="",T94="",V94="",X94="",AA94="",AC94="",AE94=""),"",ROUND(IF(ISNUMBER(SEARCH("Unit",AE94)),(V94/12)*(1/((-0.02*N94^2)+(1.12*N94)))*0.177*0.08*0.457,
(V94*12)*((1/L94)-(1/N94))*INDEX(ENDUSEALL[Lighting Coincidence Factor],MATCH(AX94,ENDUSEALL[End Use],0))),3))</f>
        <v/>
      </c>
      <c r="AW94" s="906" t="str">
        <f>IFERROR(ROUND(
IF(ISNUMBER(SEARCH("DX",C94)),(V94*12)*((1/L94)-(1/N94))*INDEX(PMEHVAC[EFLHcool],MATCH(C94,PMEHVAC[Eff Desc 1],0)),
IF(ISNUMBER(SEARCH("PTAC",C94)),(V94*12)*((1/L94)-(1/N94))*INDEX(PMEHVAC[EFLHcool],MATCH(C94,PMEHVAC[Eff Desc 1],0)),
IF(ISNUMBER(SEARCH("PTHP",C94)),((V94*12)*((1/L94)-(1/N94))*INDEX(PMEHVAC[EFLHcool],MATCH(C94,PMEHVAC[Eff Desc 1],0)))+(((V94*12)/3.412)*((1/R94)-(1/T94))*INDEX(PMEHVAC[EFLHheat],MATCH(C94,PMEHVAC[Eff Desc 1],0))),
IF(OR(ISNUMBER(SEARCH("ASHP",C94)),ISNUMBER(SEARCH("WSHP",C94)),ISNUMBER(SEARCH("Water Source",C94)),ISNUMBER(SEARCH("GSHP",C94))),((V94*12)*((1/L94)-(1/N94))*INDEX(PMEHVAC[EFLHcool],MATCH(C94,PMEHVAC[Eff Desc 1],0)))+(IF(P94="HSPF",(V94*12),((V94*12)/3.412))*((1/R94)-(1/T94))*INDEX(PMEHVAC[EFLHheat],MATCH(C94,PMEHVAC[Eff Desc 1],0))),
"")))),0),"")</f>
        <v/>
      </c>
      <c r="AX94" s="928" t="str">
        <f>IF(OR(C94="",N94="",T94="",V94="",X94="",AA94="",AE94="",AC94=""),"",INDEX(PMEHVAC[End Use Category],MATCH(C94,PMEHVAC[Eff Desc 1],0)))</f>
        <v/>
      </c>
    </row>
    <row r="95" spans="2:50" ht="15.95" hidden="1" customHeight="1">
      <c r="B95" s="929"/>
      <c r="C95" s="840"/>
      <c r="D95" s="841"/>
      <c r="E95" s="841"/>
      <c r="F95" s="841"/>
      <c r="G95" s="841"/>
      <c r="H95" s="841"/>
      <c r="I95" s="841"/>
      <c r="J95" s="955"/>
      <c r="K95" s="956"/>
      <c r="L95" s="955"/>
      <c r="M95" s="956"/>
      <c r="N95" s="853"/>
      <c r="O95" s="854"/>
      <c r="P95" s="955"/>
      <c r="Q95" s="956"/>
      <c r="R95" s="955"/>
      <c r="S95" s="956"/>
      <c r="T95" s="969"/>
      <c r="U95" s="970"/>
      <c r="V95" s="853"/>
      <c r="W95" s="854"/>
      <c r="X95" s="840"/>
      <c r="Y95" s="841"/>
      <c r="Z95" s="842"/>
      <c r="AA95" s="952"/>
      <c r="AB95" s="945"/>
      <c r="AC95" s="945"/>
      <c r="AD95" s="946"/>
      <c r="AE95" s="949"/>
      <c r="AF95" s="949"/>
      <c r="AG95" s="949"/>
      <c r="AH95" s="950"/>
      <c r="AI95" s="925"/>
      <c r="AJ95" s="870"/>
      <c r="AK95" s="912"/>
      <c r="AL95" s="913"/>
      <c r="AM95" s="913"/>
      <c r="AN95" s="942"/>
      <c r="AO95" s="925"/>
      <c r="AP95" s="932"/>
      <c r="AQ95" s="870"/>
      <c r="AU95" s="814"/>
      <c r="AV95" s="907"/>
      <c r="AW95" s="907"/>
      <c r="AX95" s="907"/>
    </row>
    <row r="96" spans="2:50" ht="15.95" hidden="1" customHeight="1">
      <c r="B96" s="929">
        <v>41</v>
      </c>
      <c r="C96" s="871"/>
      <c r="D96" s="872"/>
      <c r="E96" s="872"/>
      <c r="F96" s="872"/>
      <c r="G96" s="872"/>
      <c r="H96" s="872"/>
      <c r="I96" s="872"/>
      <c r="J96" s="953" t="str">
        <f>IF(C96="","",INDEX(PMEHVAC[Base Desc 1],MATCH(C96,PMEHVAC[Eff Desc 1],0)))</f>
        <v/>
      </c>
      <c r="K96" s="954"/>
      <c r="L96" s="953" t="str">
        <f>IF(C96="","",INDEX(PMEHVAC[Base Desc 2],MATCH(C96,PMEHVAC[Eff Desc 1],0)))</f>
        <v/>
      </c>
      <c r="M96" s="954"/>
      <c r="N96" s="851"/>
      <c r="O96" s="852"/>
      <c r="P96" s="953" t="str">
        <f>IF(C96="","",INDEX(PMEHVAC[Base Watt],MATCH(C96,PMEHVAC[Eff Desc 1],0)))</f>
        <v/>
      </c>
      <c r="Q96" s="954"/>
      <c r="R96" s="953" t="str">
        <f>IF(C96="","",INDEX(PMEHVAC[Base Watt 2],MATCH(C96,PMEHVAC[Eff Desc 1],0)))</f>
        <v/>
      </c>
      <c r="S96" s="954"/>
      <c r="T96" s="967"/>
      <c r="U96" s="968"/>
      <c r="V96" s="851"/>
      <c r="W96" s="852"/>
      <c r="X96" s="837"/>
      <c r="Y96" s="838"/>
      <c r="Z96" s="839"/>
      <c r="AA96" s="951"/>
      <c r="AB96" s="943"/>
      <c r="AC96" s="943"/>
      <c r="AD96" s="944"/>
      <c r="AE96" s="947" t="str">
        <f>IF(C96="","",INDEX(PMEHVAC[Unit of Measure],MATCH(C96,PMEHVAC[Eff Desc 1],0)))</f>
        <v/>
      </c>
      <c r="AF96" s="947"/>
      <c r="AG96" s="947"/>
      <c r="AH96" s="948"/>
      <c r="AI96" s="923" t="str">
        <f>IF(OR(C96="",N96="",T96="",V96="",X96="",AA96="",AC96=""),"",INDEX(PMEHVAC[Inc Rate Unit],MATCH(C96,PMEHVAC[Eff Desc 1],0)))</f>
        <v/>
      </c>
      <c r="AJ96" s="924"/>
      <c r="AK96" s="939" t="str">
        <f t="shared" ref="AK96" si="134">IFERROR(IF(OR(C96="",N96="",T96="",V96="",X96="",AA96="",AC96="",),"",AW96),"")</f>
        <v/>
      </c>
      <c r="AL96" s="940"/>
      <c r="AM96" s="940"/>
      <c r="AN96" s="941"/>
      <c r="AO96" s="930" t="str">
        <f t="shared" ref="AO96" si="135">IFERROR(IF(OR(C96="",N96="",V96="",X96="",T96="",AA96="",AC96=""),"",IF(BC96&lt;&gt;"",BC96,ROUND(IF(AK96&lt;=0,0,IF(AE96="unit",MIN(AU96*1,AI96),MIN(AU96*1,(N96-L96)*V96*AI96))),2))),"")</f>
        <v/>
      </c>
      <c r="AP96" s="931"/>
      <c r="AQ96" s="868"/>
      <c r="AU96" s="813" t="str">
        <f t="shared" ref="AU96" si="136">IF(OR(C96="",N96="",T96="",V96="",X96="",AA96="",AE96="",AC96=""),"",IF(AK96="","",ROUND((AA96+AC96),2)))</f>
        <v/>
      </c>
      <c r="AV96" s="928" t="str">
        <f>IF(OR(C96="",N96="",T96="",V96="",X96="",AA96="",AC96="",AE96=""),"",ROUND(IF(ISNUMBER(SEARCH("Unit",AE96)),(V96/12)*(1/((-0.02*N96^2)+(1.12*N96)))*0.177*0.08*0.457,
(V96*12)*((1/L96)-(1/N96))*INDEX(ENDUSEALL[Lighting Coincidence Factor],MATCH(AX96,ENDUSEALL[End Use],0))),3))</f>
        <v/>
      </c>
      <c r="AW96" s="906" t="str">
        <f>IFERROR(ROUND(
IF(ISNUMBER(SEARCH("DX",C96)),(V96*12)*((1/L96)-(1/N96))*INDEX(PMEHVAC[EFLHcool],MATCH(C96,PMEHVAC[Eff Desc 1],0)),
IF(ISNUMBER(SEARCH("PTAC",C96)),(V96*12)*((1/L96)-(1/N96))*INDEX(PMEHVAC[EFLHcool],MATCH(C96,PMEHVAC[Eff Desc 1],0)),
IF(ISNUMBER(SEARCH("PTHP",C96)),((V96*12)*((1/L96)-(1/N96))*INDEX(PMEHVAC[EFLHcool],MATCH(C96,PMEHVAC[Eff Desc 1],0)))+(((V96*12)/3.412)*((1/R96)-(1/T96))*INDEX(PMEHVAC[EFLHheat],MATCH(C96,PMEHVAC[Eff Desc 1],0))),
IF(OR(ISNUMBER(SEARCH("ASHP",C96)),ISNUMBER(SEARCH("WSHP",C96)),ISNUMBER(SEARCH("Water Source",C96)),ISNUMBER(SEARCH("GSHP",C96))),((V96*12)*((1/L96)-(1/N96))*INDEX(PMEHVAC[EFLHcool],MATCH(C96,PMEHVAC[Eff Desc 1],0)))+(IF(P96="HSPF",(V96*12),((V96*12)/3.412))*((1/R96)-(1/T96))*INDEX(PMEHVAC[EFLHheat],MATCH(C96,PMEHVAC[Eff Desc 1],0))),
"")))),0),"")</f>
        <v/>
      </c>
      <c r="AX96" s="928" t="str">
        <f>IF(OR(C96="",N96="",T96="",V96="",X96="",AA96="",AE96="",AC96=""),"",INDEX(PMEHVAC[End Use Category],MATCH(C96,PMEHVAC[Eff Desc 1],0)))</f>
        <v/>
      </c>
    </row>
    <row r="97" spans="2:50" ht="15.95" hidden="1" customHeight="1">
      <c r="B97" s="929"/>
      <c r="C97" s="840"/>
      <c r="D97" s="841"/>
      <c r="E97" s="841"/>
      <c r="F97" s="841"/>
      <c r="G97" s="841"/>
      <c r="H97" s="841"/>
      <c r="I97" s="841"/>
      <c r="J97" s="955"/>
      <c r="K97" s="956"/>
      <c r="L97" s="955"/>
      <c r="M97" s="956"/>
      <c r="N97" s="853"/>
      <c r="O97" s="854"/>
      <c r="P97" s="955"/>
      <c r="Q97" s="956"/>
      <c r="R97" s="955"/>
      <c r="S97" s="956"/>
      <c r="T97" s="969"/>
      <c r="U97" s="970"/>
      <c r="V97" s="853"/>
      <c r="W97" s="854"/>
      <c r="X97" s="840"/>
      <c r="Y97" s="841"/>
      <c r="Z97" s="842"/>
      <c r="AA97" s="952"/>
      <c r="AB97" s="945"/>
      <c r="AC97" s="945"/>
      <c r="AD97" s="946"/>
      <c r="AE97" s="949"/>
      <c r="AF97" s="949"/>
      <c r="AG97" s="949"/>
      <c r="AH97" s="950"/>
      <c r="AI97" s="925"/>
      <c r="AJ97" s="870"/>
      <c r="AK97" s="912"/>
      <c r="AL97" s="913"/>
      <c r="AM97" s="913"/>
      <c r="AN97" s="942"/>
      <c r="AO97" s="925"/>
      <c r="AP97" s="932"/>
      <c r="AQ97" s="870"/>
      <c r="AU97" s="814"/>
      <c r="AV97" s="907"/>
      <c r="AW97" s="907"/>
      <c r="AX97" s="907"/>
    </row>
    <row r="98" spans="2:50" ht="15.95" hidden="1" customHeight="1">
      <c r="B98" s="929">
        <v>42</v>
      </c>
      <c r="C98" s="871"/>
      <c r="D98" s="872"/>
      <c r="E98" s="872"/>
      <c r="F98" s="872"/>
      <c r="G98" s="872"/>
      <c r="H98" s="872"/>
      <c r="I98" s="872"/>
      <c r="J98" s="953" t="str">
        <f>IF(C98="","",INDEX(PMEHVAC[Base Desc 1],MATCH(C98,PMEHVAC[Eff Desc 1],0)))</f>
        <v/>
      </c>
      <c r="K98" s="954"/>
      <c r="L98" s="953" t="str">
        <f>IF(C98="","",INDEX(PMEHVAC[Base Desc 2],MATCH(C98,PMEHVAC[Eff Desc 1],0)))</f>
        <v/>
      </c>
      <c r="M98" s="954"/>
      <c r="N98" s="851"/>
      <c r="O98" s="852"/>
      <c r="P98" s="953" t="str">
        <f>IF(C98="","",INDEX(PMEHVAC[Base Watt],MATCH(C98,PMEHVAC[Eff Desc 1],0)))</f>
        <v/>
      </c>
      <c r="Q98" s="954"/>
      <c r="R98" s="953" t="str">
        <f>IF(C98="","",INDEX(PMEHVAC[Base Watt 2],MATCH(C98,PMEHVAC[Eff Desc 1],0)))</f>
        <v/>
      </c>
      <c r="S98" s="954"/>
      <c r="T98" s="967"/>
      <c r="U98" s="968"/>
      <c r="V98" s="851"/>
      <c r="W98" s="852"/>
      <c r="X98" s="837"/>
      <c r="Y98" s="838"/>
      <c r="Z98" s="839"/>
      <c r="AA98" s="951"/>
      <c r="AB98" s="943"/>
      <c r="AC98" s="943"/>
      <c r="AD98" s="944"/>
      <c r="AE98" s="947" t="str">
        <f>IF(C98="","",INDEX(PMEHVAC[Unit of Measure],MATCH(C98,PMEHVAC[Eff Desc 1],0)))</f>
        <v/>
      </c>
      <c r="AF98" s="947"/>
      <c r="AG98" s="947"/>
      <c r="AH98" s="948"/>
      <c r="AI98" s="923" t="str">
        <f>IF(OR(C98="",N98="",T98="",V98="",X98="",AA98="",AC98=""),"",INDEX(PMEHVAC[Inc Rate Unit],MATCH(C98,PMEHVAC[Eff Desc 1],0)))</f>
        <v/>
      </c>
      <c r="AJ98" s="924"/>
      <c r="AK98" s="939" t="str">
        <f t="shared" ref="AK98" si="137">IFERROR(IF(OR(C98="",N98="",T98="",V98="",X98="",AA98="",AC98="",),"",AW98),"")</f>
        <v/>
      </c>
      <c r="AL98" s="940"/>
      <c r="AM98" s="940"/>
      <c r="AN98" s="941"/>
      <c r="AO98" s="930" t="str">
        <f t="shared" ref="AO98" si="138">IFERROR(IF(OR(C98="",N98="",V98="",X98="",T98="",AA98="",AC98=""),"",IF(BC98&lt;&gt;"",BC98,ROUND(IF(AK98&lt;=0,0,IF(AE98="unit",MIN(AU98*1,AI98),MIN(AU98*1,(N98-L98)*V98*AI98))),2))),"")</f>
        <v/>
      </c>
      <c r="AP98" s="931"/>
      <c r="AQ98" s="868"/>
      <c r="AU98" s="813" t="str">
        <f t="shared" ref="AU98" si="139">IF(OR(C98="",N98="",T98="",V98="",X98="",AA98="",AE98="",AC98=""),"",IF(AK98="","",ROUND((AA98+AC98),2)))</f>
        <v/>
      </c>
      <c r="AV98" s="928" t="str">
        <f>IF(OR(C98="",N98="",T98="",V98="",X98="",AA98="",AC98="",AE98=""),"",ROUND(IF(ISNUMBER(SEARCH("Unit",AE98)),(V98/12)*(1/((-0.02*N98^2)+(1.12*N98)))*0.177*0.08*0.457,
(V98*12)*((1/L98)-(1/N98))*INDEX(ENDUSEALL[Lighting Coincidence Factor],MATCH(AX98,ENDUSEALL[End Use],0))),3))</f>
        <v/>
      </c>
      <c r="AW98" s="906" t="str">
        <f>IFERROR(ROUND(
IF(ISNUMBER(SEARCH("DX",C98)),(V98*12)*((1/L98)-(1/N98))*INDEX(PMEHVAC[EFLHcool],MATCH(C98,PMEHVAC[Eff Desc 1],0)),
IF(ISNUMBER(SEARCH("PTAC",C98)),(V98*12)*((1/L98)-(1/N98))*INDEX(PMEHVAC[EFLHcool],MATCH(C98,PMEHVAC[Eff Desc 1],0)),
IF(ISNUMBER(SEARCH("PTHP",C98)),((V98*12)*((1/L98)-(1/N98))*INDEX(PMEHVAC[EFLHcool],MATCH(C98,PMEHVAC[Eff Desc 1],0)))+(((V98*12)/3.412)*((1/R98)-(1/T98))*INDEX(PMEHVAC[EFLHheat],MATCH(C98,PMEHVAC[Eff Desc 1],0))),
IF(OR(ISNUMBER(SEARCH("ASHP",C98)),ISNUMBER(SEARCH("WSHP",C98)),ISNUMBER(SEARCH("Water Source",C98)),ISNUMBER(SEARCH("GSHP",C98))),((V98*12)*((1/L98)-(1/N98))*INDEX(PMEHVAC[EFLHcool],MATCH(C98,PMEHVAC[Eff Desc 1],0)))+(IF(P98="HSPF",(V98*12),((V98*12)/3.412))*((1/R98)-(1/T98))*INDEX(PMEHVAC[EFLHheat],MATCH(C98,PMEHVAC[Eff Desc 1],0))),
"")))),0),"")</f>
        <v/>
      </c>
      <c r="AX98" s="928" t="str">
        <f>IF(OR(C98="",N98="",T98="",V98="",X98="",AA98="",AE98="",AC98=""),"",INDEX(PMEHVAC[End Use Category],MATCH(C98,PMEHVAC[Eff Desc 1],0)))</f>
        <v/>
      </c>
    </row>
    <row r="99" spans="2:50" ht="15.95" hidden="1" customHeight="1">
      <c r="B99" s="929"/>
      <c r="C99" s="840"/>
      <c r="D99" s="841"/>
      <c r="E99" s="841"/>
      <c r="F99" s="841"/>
      <c r="G99" s="841"/>
      <c r="H99" s="841"/>
      <c r="I99" s="841"/>
      <c r="J99" s="955"/>
      <c r="K99" s="956"/>
      <c r="L99" s="955"/>
      <c r="M99" s="956"/>
      <c r="N99" s="853"/>
      <c r="O99" s="854"/>
      <c r="P99" s="955"/>
      <c r="Q99" s="956"/>
      <c r="R99" s="955"/>
      <c r="S99" s="956"/>
      <c r="T99" s="969"/>
      <c r="U99" s="970"/>
      <c r="V99" s="853"/>
      <c r="W99" s="854"/>
      <c r="X99" s="840"/>
      <c r="Y99" s="841"/>
      <c r="Z99" s="842"/>
      <c r="AA99" s="952"/>
      <c r="AB99" s="945"/>
      <c r="AC99" s="945"/>
      <c r="AD99" s="946"/>
      <c r="AE99" s="949"/>
      <c r="AF99" s="949"/>
      <c r="AG99" s="949"/>
      <c r="AH99" s="950"/>
      <c r="AI99" s="925"/>
      <c r="AJ99" s="870"/>
      <c r="AK99" s="912"/>
      <c r="AL99" s="913"/>
      <c r="AM99" s="913"/>
      <c r="AN99" s="942"/>
      <c r="AO99" s="925"/>
      <c r="AP99" s="932"/>
      <c r="AQ99" s="870"/>
      <c r="AU99" s="814"/>
      <c r="AV99" s="907"/>
      <c r="AW99" s="907"/>
      <c r="AX99" s="907"/>
    </row>
    <row r="100" spans="2:50" ht="15.95" hidden="1" customHeight="1">
      <c r="B100" s="929">
        <v>43</v>
      </c>
      <c r="C100" s="871"/>
      <c r="D100" s="872"/>
      <c r="E100" s="872"/>
      <c r="F100" s="872"/>
      <c r="G100" s="872"/>
      <c r="H100" s="872"/>
      <c r="I100" s="872"/>
      <c r="J100" s="953" t="str">
        <f>IF(C100="","",INDEX(PMEHVAC[Base Desc 1],MATCH(C100,PMEHVAC[Eff Desc 1],0)))</f>
        <v/>
      </c>
      <c r="K100" s="954"/>
      <c r="L100" s="953" t="str">
        <f>IF(C100="","",INDEX(PMEHVAC[Base Desc 2],MATCH(C100,PMEHVAC[Eff Desc 1],0)))</f>
        <v/>
      </c>
      <c r="M100" s="954"/>
      <c r="N100" s="851"/>
      <c r="O100" s="852"/>
      <c r="P100" s="953" t="str">
        <f>IF(C100="","",INDEX(PMEHVAC[Base Watt],MATCH(C100,PMEHVAC[Eff Desc 1],0)))</f>
        <v/>
      </c>
      <c r="Q100" s="954"/>
      <c r="R100" s="953" t="str">
        <f>IF(C100="","",INDEX(PMEHVAC[Base Watt 2],MATCH(C100,PMEHVAC[Eff Desc 1],0)))</f>
        <v/>
      </c>
      <c r="S100" s="954"/>
      <c r="T100" s="967"/>
      <c r="U100" s="968"/>
      <c r="V100" s="851"/>
      <c r="W100" s="852"/>
      <c r="X100" s="837"/>
      <c r="Y100" s="838"/>
      <c r="Z100" s="839"/>
      <c r="AA100" s="951"/>
      <c r="AB100" s="943"/>
      <c r="AC100" s="943"/>
      <c r="AD100" s="944"/>
      <c r="AE100" s="947" t="str">
        <f>IF(C100="","",INDEX(PMEHVAC[Unit of Measure],MATCH(C100,PMEHVAC[Eff Desc 1],0)))</f>
        <v/>
      </c>
      <c r="AF100" s="947"/>
      <c r="AG100" s="947"/>
      <c r="AH100" s="948"/>
      <c r="AI100" s="923" t="str">
        <f>IF(OR(C100="",N100="",T100="",V100="",X100="",AA100="",AC100=""),"",INDEX(PMEHVAC[Inc Rate Unit],MATCH(C100,PMEHVAC[Eff Desc 1],0)))</f>
        <v/>
      </c>
      <c r="AJ100" s="924"/>
      <c r="AK100" s="939" t="str">
        <f t="shared" ref="AK100" si="140">IFERROR(IF(OR(C100="",N100="",T100="",V100="",X100="",AA100="",AC100="",),"",AW100),"")</f>
        <v/>
      </c>
      <c r="AL100" s="940"/>
      <c r="AM100" s="940"/>
      <c r="AN100" s="941"/>
      <c r="AO100" s="930" t="str">
        <f t="shared" ref="AO100" si="141">IFERROR(IF(OR(C100="",N100="",V100="",X100="",T100="",AA100="",AC100=""),"",IF(BC100&lt;&gt;"",BC100,ROUND(IF(AK100&lt;=0,0,IF(AE100="unit",MIN(AU100*1,AI100),MIN(AU100*1,(N100-L100)*V100*AI100))),2))),"")</f>
        <v/>
      </c>
      <c r="AP100" s="931"/>
      <c r="AQ100" s="868"/>
      <c r="AU100" s="813" t="str">
        <f t="shared" ref="AU100" si="142">IF(OR(C100="",N100="",T100="",V100="",X100="",AA100="",AE100="",AC100=""),"",IF(AK100="","",ROUND((AA100+AC100),2)))</f>
        <v/>
      </c>
      <c r="AV100" s="928" t="str">
        <f>IF(OR(C100="",N100="",T100="",V100="",X100="",AA100="",AC100="",AE100=""),"",ROUND(IF(ISNUMBER(SEARCH("Unit",AE100)),(V100/12)*(1/((-0.02*N100^2)+(1.12*N100)))*0.177*0.08*0.457,
(V100*12)*((1/L100)-(1/N100))*INDEX(ENDUSEALL[Lighting Coincidence Factor],MATCH(AX100,ENDUSEALL[End Use],0))),3))</f>
        <v/>
      </c>
      <c r="AW100" s="906" t="str">
        <f>IFERROR(ROUND(
IF(ISNUMBER(SEARCH("DX",C100)),(V100*12)*((1/L100)-(1/N100))*INDEX(PMEHVAC[EFLHcool],MATCH(C100,PMEHVAC[Eff Desc 1],0)),
IF(ISNUMBER(SEARCH("PTAC",C100)),(V100*12)*((1/L100)-(1/N100))*INDEX(PMEHVAC[EFLHcool],MATCH(C100,PMEHVAC[Eff Desc 1],0)),
IF(ISNUMBER(SEARCH("PTHP",C100)),((V100*12)*((1/L100)-(1/N100))*INDEX(PMEHVAC[EFLHcool],MATCH(C100,PMEHVAC[Eff Desc 1],0)))+(((V100*12)/3.412)*((1/R100)-(1/T100))*INDEX(PMEHVAC[EFLHheat],MATCH(C100,PMEHVAC[Eff Desc 1],0))),
IF(OR(ISNUMBER(SEARCH("ASHP",C100)),ISNUMBER(SEARCH("WSHP",C100)),ISNUMBER(SEARCH("Water Source",C100)),ISNUMBER(SEARCH("GSHP",C100))),((V100*12)*((1/L100)-(1/N100))*INDEX(PMEHVAC[EFLHcool],MATCH(C100,PMEHVAC[Eff Desc 1],0)))+(IF(P100="HSPF",(V100*12),((V100*12)/3.412))*((1/R100)-(1/T100))*INDEX(PMEHVAC[EFLHheat],MATCH(C100,PMEHVAC[Eff Desc 1],0))),
"")))),0),"")</f>
        <v/>
      </c>
      <c r="AX100" s="928" t="str">
        <f>IF(OR(C100="",N100="",T100="",V100="",X100="",AA100="",AE100="",AC100=""),"",INDEX(PMEHVAC[End Use Category],MATCH(C100,PMEHVAC[Eff Desc 1],0)))</f>
        <v/>
      </c>
    </row>
    <row r="101" spans="2:50" ht="15.95" hidden="1" customHeight="1">
      <c r="B101" s="929"/>
      <c r="C101" s="840"/>
      <c r="D101" s="841"/>
      <c r="E101" s="841"/>
      <c r="F101" s="841"/>
      <c r="G101" s="841"/>
      <c r="H101" s="841"/>
      <c r="I101" s="841"/>
      <c r="J101" s="955"/>
      <c r="K101" s="956"/>
      <c r="L101" s="955"/>
      <c r="M101" s="956"/>
      <c r="N101" s="853"/>
      <c r="O101" s="854"/>
      <c r="P101" s="955"/>
      <c r="Q101" s="956"/>
      <c r="R101" s="955"/>
      <c r="S101" s="956"/>
      <c r="T101" s="969"/>
      <c r="U101" s="970"/>
      <c r="V101" s="853"/>
      <c r="W101" s="854"/>
      <c r="X101" s="840"/>
      <c r="Y101" s="841"/>
      <c r="Z101" s="842"/>
      <c r="AA101" s="952"/>
      <c r="AB101" s="945"/>
      <c r="AC101" s="945"/>
      <c r="AD101" s="946"/>
      <c r="AE101" s="949"/>
      <c r="AF101" s="949"/>
      <c r="AG101" s="949"/>
      <c r="AH101" s="950"/>
      <c r="AI101" s="925"/>
      <c r="AJ101" s="870"/>
      <c r="AK101" s="912"/>
      <c r="AL101" s="913"/>
      <c r="AM101" s="913"/>
      <c r="AN101" s="942"/>
      <c r="AO101" s="925"/>
      <c r="AP101" s="932"/>
      <c r="AQ101" s="870"/>
      <c r="AU101" s="814"/>
      <c r="AV101" s="907"/>
      <c r="AW101" s="907"/>
      <c r="AX101" s="907"/>
    </row>
    <row r="102" spans="2:50" ht="15.95" hidden="1" customHeight="1">
      <c r="B102" s="929">
        <v>44</v>
      </c>
      <c r="C102" s="871"/>
      <c r="D102" s="872"/>
      <c r="E102" s="872"/>
      <c r="F102" s="872"/>
      <c r="G102" s="872"/>
      <c r="H102" s="872"/>
      <c r="I102" s="872"/>
      <c r="J102" s="953" t="str">
        <f>IF(C102="","",INDEX(PMEHVAC[Base Desc 1],MATCH(C102,PMEHVAC[Eff Desc 1],0)))</f>
        <v/>
      </c>
      <c r="K102" s="954"/>
      <c r="L102" s="953" t="str">
        <f>IF(C102="","",INDEX(PMEHVAC[Base Desc 2],MATCH(C102,PMEHVAC[Eff Desc 1],0)))</f>
        <v/>
      </c>
      <c r="M102" s="954"/>
      <c r="N102" s="851"/>
      <c r="O102" s="852"/>
      <c r="P102" s="953" t="str">
        <f>IF(C102="","",INDEX(PMEHVAC[Base Watt],MATCH(C102,PMEHVAC[Eff Desc 1],0)))</f>
        <v/>
      </c>
      <c r="Q102" s="954"/>
      <c r="R102" s="953" t="str">
        <f>IF(C102="","",INDEX(PMEHVAC[Base Watt 2],MATCH(C102,PMEHVAC[Eff Desc 1],0)))</f>
        <v/>
      </c>
      <c r="S102" s="954"/>
      <c r="T102" s="967"/>
      <c r="U102" s="968"/>
      <c r="V102" s="851"/>
      <c r="W102" s="852"/>
      <c r="X102" s="837"/>
      <c r="Y102" s="838"/>
      <c r="Z102" s="839"/>
      <c r="AA102" s="951"/>
      <c r="AB102" s="943"/>
      <c r="AC102" s="943"/>
      <c r="AD102" s="944"/>
      <c r="AE102" s="947" t="str">
        <f>IF(C102="","",INDEX(PMEHVAC[Unit of Measure],MATCH(C102,PMEHVAC[Eff Desc 1],0)))</f>
        <v/>
      </c>
      <c r="AF102" s="947"/>
      <c r="AG102" s="947"/>
      <c r="AH102" s="948"/>
      <c r="AI102" s="923" t="str">
        <f>IF(OR(C102="",N102="",T102="",V102="",X102="",AA102="",AC102=""),"",INDEX(PMEHVAC[Inc Rate Unit],MATCH(C102,PMEHVAC[Eff Desc 1],0)))</f>
        <v/>
      </c>
      <c r="AJ102" s="924"/>
      <c r="AK102" s="939" t="str">
        <f t="shared" ref="AK102" si="143">IFERROR(IF(OR(C102="",N102="",T102="",V102="",X102="",AA102="",AC102="",),"",AW102),"")</f>
        <v/>
      </c>
      <c r="AL102" s="940"/>
      <c r="AM102" s="940"/>
      <c r="AN102" s="941"/>
      <c r="AO102" s="930" t="str">
        <f t="shared" ref="AO102" si="144">IFERROR(IF(OR(C102="",N102="",V102="",X102="",T102="",AA102="",AC102=""),"",IF(BC102&lt;&gt;"",BC102,ROUND(IF(AK102&lt;=0,0,IF(AE102="unit",MIN(AU102*1,AI102),MIN(AU102*1,(N102-L102)*V102*AI102))),2))),"")</f>
        <v/>
      </c>
      <c r="AP102" s="931"/>
      <c r="AQ102" s="868"/>
      <c r="AU102" s="813" t="str">
        <f t="shared" ref="AU102" si="145">IF(OR(C102="",N102="",T102="",V102="",X102="",AA102="",AE102="",AC102=""),"",IF(AK102="","",ROUND((AA102+AC102),2)))</f>
        <v/>
      </c>
      <c r="AV102" s="928" t="str">
        <f>IF(OR(C102="",N102="",T102="",V102="",X102="",AA102="",AC102="",AE102=""),"",ROUND(IF(ISNUMBER(SEARCH("Unit",AE102)),(V102/12)*(1/((-0.02*N102^2)+(1.12*N102)))*0.177*0.08*0.457,
(V102*12)*((1/L102)-(1/N102))*INDEX(ENDUSEALL[Lighting Coincidence Factor],MATCH(AX102,ENDUSEALL[End Use],0))),3))</f>
        <v/>
      </c>
      <c r="AW102" s="906" t="str">
        <f>IFERROR(ROUND(
IF(ISNUMBER(SEARCH("DX",C102)),(V102*12)*((1/L102)-(1/N102))*INDEX(PMEHVAC[EFLHcool],MATCH(C102,PMEHVAC[Eff Desc 1],0)),
IF(ISNUMBER(SEARCH("PTAC",C102)),(V102*12)*((1/L102)-(1/N102))*INDEX(PMEHVAC[EFLHcool],MATCH(C102,PMEHVAC[Eff Desc 1],0)),
IF(ISNUMBER(SEARCH("PTHP",C102)),((V102*12)*((1/L102)-(1/N102))*INDEX(PMEHVAC[EFLHcool],MATCH(C102,PMEHVAC[Eff Desc 1],0)))+(((V102*12)/3.412)*((1/R102)-(1/T102))*INDEX(PMEHVAC[EFLHheat],MATCH(C102,PMEHVAC[Eff Desc 1],0))),
IF(OR(ISNUMBER(SEARCH("ASHP",C102)),ISNUMBER(SEARCH("WSHP",C102)),ISNUMBER(SEARCH("Water Source",C102)),ISNUMBER(SEARCH("GSHP",C102))),((V102*12)*((1/L102)-(1/N102))*INDEX(PMEHVAC[EFLHcool],MATCH(C102,PMEHVAC[Eff Desc 1],0)))+(IF(P102="HSPF",(V102*12),((V102*12)/3.412))*((1/R102)-(1/T102))*INDEX(PMEHVAC[EFLHheat],MATCH(C102,PMEHVAC[Eff Desc 1],0))),
"")))),0),"")</f>
        <v/>
      </c>
      <c r="AX102" s="928" t="str">
        <f>IF(OR(C102="",N102="",T102="",V102="",X102="",AA102="",AE102="",AC102=""),"",INDEX(PMEHVAC[End Use Category],MATCH(C102,PMEHVAC[Eff Desc 1],0)))</f>
        <v/>
      </c>
    </row>
    <row r="103" spans="2:50" ht="15.95" hidden="1" customHeight="1">
      <c r="B103" s="929"/>
      <c r="C103" s="840"/>
      <c r="D103" s="841"/>
      <c r="E103" s="841"/>
      <c r="F103" s="841"/>
      <c r="G103" s="841"/>
      <c r="H103" s="841"/>
      <c r="I103" s="841"/>
      <c r="J103" s="955"/>
      <c r="K103" s="956"/>
      <c r="L103" s="955"/>
      <c r="M103" s="956"/>
      <c r="N103" s="853"/>
      <c r="O103" s="854"/>
      <c r="P103" s="955"/>
      <c r="Q103" s="956"/>
      <c r="R103" s="955"/>
      <c r="S103" s="956"/>
      <c r="T103" s="969"/>
      <c r="U103" s="970"/>
      <c r="V103" s="853"/>
      <c r="W103" s="854"/>
      <c r="X103" s="840"/>
      <c r="Y103" s="841"/>
      <c r="Z103" s="842"/>
      <c r="AA103" s="952"/>
      <c r="AB103" s="945"/>
      <c r="AC103" s="945"/>
      <c r="AD103" s="946"/>
      <c r="AE103" s="949"/>
      <c r="AF103" s="949"/>
      <c r="AG103" s="949"/>
      <c r="AH103" s="950"/>
      <c r="AI103" s="925"/>
      <c r="AJ103" s="870"/>
      <c r="AK103" s="912"/>
      <c r="AL103" s="913"/>
      <c r="AM103" s="913"/>
      <c r="AN103" s="942"/>
      <c r="AO103" s="925"/>
      <c r="AP103" s="932"/>
      <c r="AQ103" s="870"/>
      <c r="AU103" s="814"/>
      <c r="AV103" s="907"/>
      <c r="AW103" s="907"/>
      <c r="AX103" s="907"/>
    </row>
    <row r="104" spans="2:50" ht="15.95" hidden="1" customHeight="1">
      <c r="B104" s="929">
        <v>45</v>
      </c>
      <c r="C104" s="871"/>
      <c r="D104" s="872"/>
      <c r="E104" s="872"/>
      <c r="F104" s="872"/>
      <c r="G104" s="872"/>
      <c r="H104" s="872"/>
      <c r="I104" s="872"/>
      <c r="J104" s="953" t="str">
        <f>IF(C104="","",INDEX(PMEHVAC[Base Desc 1],MATCH(C104,PMEHVAC[Eff Desc 1],0)))</f>
        <v/>
      </c>
      <c r="K104" s="954"/>
      <c r="L104" s="953" t="str">
        <f>IF(C104="","",INDEX(PMEHVAC[Base Desc 2],MATCH(C104,PMEHVAC[Eff Desc 1],0)))</f>
        <v/>
      </c>
      <c r="M104" s="954"/>
      <c r="N104" s="851"/>
      <c r="O104" s="852"/>
      <c r="P104" s="953" t="str">
        <f>IF(C104="","",INDEX(PMEHVAC[Base Watt],MATCH(C104,PMEHVAC[Eff Desc 1],0)))</f>
        <v/>
      </c>
      <c r="Q104" s="954"/>
      <c r="R104" s="953" t="str">
        <f>IF(C104="","",INDEX(PMEHVAC[Base Watt 2],MATCH(C104,PMEHVAC[Eff Desc 1],0)))</f>
        <v/>
      </c>
      <c r="S104" s="954"/>
      <c r="T104" s="967"/>
      <c r="U104" s="968"/>
      <c r="V104" s="851"/>
      <c r="W104" s="852"/>
      <c r="X104" s="837"/>
      <c r="Y104" s="838"/>
      <c r="Z104" s="839"/>
      <c r="AA104" s="951"/>
      <c r="AB104" s="943"/>
      <c r="AC104" s="943"/>
      <c r="AD104" s="944"/>
      <c r="AE104" s="947" t="str">
        <f>IF(C104="","",INDEX(PMEHVAC[Unit of Measure],MATCH(C104,PMEHVAC[Eff Desc 1],0)))</f>
        <v/>
      </c>
      <c r="AF104" s="947"/>
      <c r="AG104" s="947"/>
      <c r="AH104" s="948"/>
      <c r="AI104" s="923" t="str">
        <f>IF(OR(C104="",N104="",T104="",V104="",X104="",AA104="",AC104=""),"",INDEX(PMEHVAC[Inc Rate Unit],MATCH(C104,PMEHVAC[Eff Desc 1],0)))</f>
        <v/>
      </c>
      <c r="AJ104" s="924"/>
      <c r="AK104" s="939" t="str">
        <f t="shared" ref="AK104" si="146">IFERROR(IF(OR(C104="",N104="",T104="",V104="",X104="",AA104="",AC104="",),"",AW104),"")</f>
        <v/>
      </c>
      <c r="AL104" s="940"/>
      <c r="AM104" s="940"/>
      <c r="AN104" s="941"/>
      <c r="AO104" s="930" t="str">
        <f t="shared" ref="AO104" si="147">IFERROR(IF(OR(C104="",N104="",V104="",X104="",T104="",AA104="",AC104=""),"",IF(BC104&lt;&gt;"",BC104,ROUND(IF(AK104&lt;=0,0,IF(AE104="unit",MIN(AU104*1,AI104),MIN(AU104*1,(N104-L104)*V104*AI104))),2))),"")</f>
        <v/>
      </c>
      <c r="AP104" s="931"/>
      <c r="AQ104" s="868"/>
      <c r="AU104" s="813" t="str">
        <f t="shared" ref="AU104" si="148">IF(OR(C104="",N104="",T104="",V104="",X104="",AA104="",AE104="",AC104=""),"",IF(AK104="","",ROUND((AA104+AC104),2)))</f>
        <v/>
      </c>
      <c r="AV104" s="928" t="str">
        <f>IF(OR(C104="",N104="",T104="",V104="",X104="",AA104="",AC104="",AE104=""),"",ROUND(IF(ISNUMBER(SEARCH("Unit",AE104)),(V104/12)*(1/((-0.02*N104^2)+(1.12*N104)))*0.177*0.08*0.457,
(V104*12)*((1/L104)-(1/N104))*INDEX(ENDUSEALL[Lighting Coincidence Factor],MATCH(AX104,ENDUSEALL[End Use],0))),3))</f>
        <v/>
      </c>
      <c r="AW104" s="906" t="str">
        <f>IFERROR(ROUND(
IF(ISNUMBER(SEARCH("DX",C104)),(V104*12)*((1/L104)-(1/N104))*INDEX(PMEHVAC[EFLHcool],MATCH(C104,PMEHVAC[Eff Desc 1],0)),
IF(ISNUMBER(SEARCH("PTAC",C104)),(V104*12)*((1/L104)-(1/N104))*INDEX(PMEHVAC[EFLHcool],MATCH(C104,PMEHVAC[Eff Desc 1],0)),
IF(ISNUMBER(SEARCH("PTHP",C104)),((V104*12)*((1/L104)-(1/N104))*INDEX(PMEHVAC[EFLHcool],MATCH(C104,PMEHVAC[Eff Desc 1],0)))+(((V104*12)/3.412)*((1/R104)-(1/T104))*INDEX(PMEHVAC[EFLHheat],MATCH(C104,PMEHVAC[Eff Desc 1],0))),
IF(OR(ISNUMBER(SEARCH("ASHP",C104)),ISNUMBER(SEARCH("WSHP",C104)),ISNUMBER(SEARCH("Water Source",C104)),ISNUMBER(SEARCH("GSHP",C104))),((V104*12)*((1/L104)-(1/N104))*INDEX(PMEHVAC[EFLHcool],MATCH(C104,PMEHVAC[Eff Desc 1],0)))+(IF(P104="HSPF",(V104*12),((V104*12)/3.412))*((1/R104)-(1/T104))*INDEX(PMEHVAC[EFLHheat],MATCH(C104,PMEHVAC[Eff Desc 1],0))),
"")))),0),"")</f>
        <v/>
      </c>
      <c r="AX104" s="928" t="str">
        <f>IF(OR(C104="",N104="",T104="",V104="",X104="",AA104="",AE104="",AC104=""),"",INDEX(PMEHVAC[End Use Category],MATCH(C104,PMEHVAC[Eff Desc 1],0)))</f>
        <v/>
      </c>
    </row>
    <row r="105" spans="2:50" ht="15.95" hidden="1" customHeight="1">
      <c r="B105" s="929"/>
      <c r="C105" s="840"/>
      <c r="D105" s="841"/>
      <c r="E105" s="841"/>
      <c r="F105" s="841"/>
      <c r="G105" s="841"/>
      <c r="H105" s="841"/>
      <c r="I105" s="841"/>
      <c r="J105" s="955"/>
      <c r="K105" s="956"/>
      <c r="L105" s="955"/>
      <c r="M105" s="956"/>
      <c r="N105" s="853"/>
      <c r="O105" s="854"/>
      <c r="P105" s="955"/>
      <c r="Q105" s="956"/>
      <c r="R105" s="955"/>
      <c r="S105" s="956"/>
      <c r="T105" s="969"/>
      <c r="U105" s="970"/>
      <c r="V105" s="853"/>
      <c r="W105" s="854"/>
      <c r="X105" s="840"/>
      <c r="Y105" s="841"/>
      <c r="Z105" s="842"/>
      <c r="AA105" s="952"/>
      <c r="AB105" s="945"/>
      <c r="AC105" s="945"/>
      <c r="AD105" s="946"/>
      <c r="AE105" s="949"/>
      <c r="AF105" s="949"/>
      <c r="AG105" s="949"/>
      <c r="AH105" s="950"/>
      <c r="AI105" s="925"/>
      <c r="AJ105" s="870"/>
      <c r="AK105" s="912"/>
      <c r="AL105" s="913"/>
      <c r="AM105" s="913"/>
      <c r="AN105" s="942"/>
      <c r="AO105" s="925"/>
      <c r="AP105" s="932"/>
      <c r="AQ105" s="870"/>
      <c r="AU105" s="814"/>
      <c r="AV105" s="907"/>
      <c r="AW105" s="907"/>
      <c r="AX105" s="907"/>
    </row>
    <row r="106" spans="2:50" ht="15.95" hidden="1" customHeight="1">
      <c r="B106" s="929">
        <v>46</v>
      </c>
      <c r="C106" s="548"/>
      <c r="D106" s="549"/>
      <c r="E106" s="549"/>
      <c r="F106" s="549"/>
      <c r="G106" s="549"/>
      <c r="H106" s="549"/>
      <c r="I106" s="549"/>
      <c r="J106" s="953" t="str">
        <f>IF(C106="","",INDEX(PMEHVAC[Base Desc 1],MATCH(C106,PMEHVAC[Eff Desc 1],0)))</f>
        <v/>
      </c>
      <c r="K106" s="954"/>
      <c r="L106" s="953" t="str">
        <f>IF(C106="","",INDEX(PMEHVAC[Base Desc 2],MATCH(C106,PMEHVAC[Eff Desc 1],0)))</f>
        <v/>
      </c>
      <c r="M106" s="954"/>
      <c r="N106" s="851"/>
      <c r="O106" s="852"/>
      <c r="P106" s="953" t="str">
        <f>IF(C106="","",INDEX(PMEHVAC[Base Watt],MATCH(C106,PMEHVAC[Eff Desc 1],0)))</f>
        <v/>
      </c>
      <c r="Q106" s="954"/>
      <c r="R106" s="953" t="str">
        <f>IF(C106="","",INDEX(PMEHVAC[Base Watt 2],MATCH(C106,PMEHVAC[Eff Desc 1],0)))</f>
        <v/>
      </c>
      <c r="S106" s="954"/>
      <c r="T106" s="967"/>
      <c r="U106" s="968"/>
      <c r="V106" s="851"/>
      <c r="W106" s="852"/>
      <c r="X106" s="837"/>
      <c r="Y106" s="838"/>
      <c r="Z106" s="839"/>
      <c r="AA106" s="951"/>
      <c r="AB106" s="943"/>
      <c r="AC106" s="943"/>
      <c r="AD106" s="944"/>
      <c r="AE106" s="947" t="str">
        <f>IF(C106="","",INDEX(PMEHVAC[Unit of Measure],MATCH(C106,PMEHVAC[Eff Desc 1],0)))</f>
        <v/>
      </c>
      <c r="AF106" s="947"/>
      <c r="AG106" s="947"/>
      <c r="AH106" s="948"/>
      <c r="AI106" s="923" t="str">
        <f>IF(OR(C106="",N106="",T106="",V106="",X106="",AA106="",AC106=""),"",INDEX(PMEHVAC[Inc Rate Unit],MATCH(C106,PMEHVAC[Eff Desc 1],0)))</f>
        <v/>
      </c>
      <c r="AJ106" s="924"/>
      <c r="AK106" s="939" t="str">
        <f t="shared" ref="AK106" si="149">IFERROR(IF(OR(C106="",N106="",T106="",V106="",X106="",AA106="",AC106="",),"",AW106),"")</f>
        <v/>
      </c>
      <c r="AL106" s="940"/>
      <c r="AM106" s="940"/>
      <c r="AN106" s="941"/>
      <c r="AO106" s="930" t="str">
        <f t="shared" ref="AO106" si="150">IFERROR(IF(OR(C106="",N106="",V106="",X106="",T106="",AA106="",AC106=""),"",IF(BC106&lt;&gt;"",BC106,ROUND(IF(AK106&lt;=0,0,IF(AE106="unit",MIN(AU106*1,AI106),MIN(AU106*1,(N106-L106)*V106*AI106))),2))),"")</f>
        <v/>
      </c>
      <c r="AP106" s="931"/>
      <c r="AQ106" s="868"/>
      <c r="AU106" s="813" t="str">
        <f t="shared" ref="AU106" si="151">IF(OR(C106="",N106="",T106="",V106="",X106="",AA106="",AE106="",AC106=""),"",IF(AK106="","",ROUND((AA106+AC106),2)))</f>
        <v/>
      </c>
      <c r="AV106" s="928" t="str">
        <f>IF(OR(C106="",N106="",T106="",V106="",X106="",AA106="",AC106="",AE106=""),"",ROUND(IF(ISNUMBER(SEARCH("Unit",AE106)),(V106/12)*(1/((-0.02*N106^2)+(1.12*N106)))*0.177*0.08*0.457,
(V106*12)*((1/L106)-(1/N106))*INDEX(ENDUSEALL[Lighting Coincidence Factor],MATCH(AX106,ENDUSEALL[End Use],0))),3))</f>
        <v/>
      </c>
      <c r="AW106" s="906" t="str">
        <f>IFERROR(ROUND(
IF(ISNUMBER(SEARCH("DX",C106)),(V106*12)*((1/L106)-(1/N106))*INDEX(PMEHVAC[EFLHcool],MATCH(C106,PMEHVAC[Eff Desc 1],0)),
IF(ISNUMBER(SEARCH("PTAC",C106)),(V106*12)*((1/L106)-(1/N106))*INDEX(PMEHVAC[EFLHcool],MATCH(C106,PMEHVAC[Eff Desc 1],0)),
IF(ISNUMBER(SEARCH("PTHP",C106)),((V106*12)*((1/L106)-(1/N106))*INDEX(PMEHVAC[EFLHcool],MATCH(C106,PMEHVAC[Eff Desc 1],0)))+(((V106*12)/3.412)*((1/R106)-(1/T106))*INDEX(PMEHVAC[EFLHheat],MATCH(C106,PMEHVAC[Eff Desc 1],0))),
IF(OR(ISNUMBER(SEARCH("ASHP",C106)),ISNUMBER(SEARCH("WSHP",C106)),ISNUMBER(SEARCH("Water Source",C106)),ISNUMBER(SEARCH("GSHP",C106))),((V106*12)*((1/L106)-(1/N106))*INDEX(PMEHVAC[EFLHcool],MATCH(C106,PMEHVAC[Eff Desc 1],0)))+(IF(P106="HSPF",(V106*12),((V106*12)/3.412))*((1/R106)-(1/T106))*INDEX(PMEHVAC[EFLHheat],MATCH(C106,PMEHVAC[Eff Desc 1],0))),
"")))),0),"")</f>
        <v/>
      </c>
      <c r="AX106" s="928" t="str">
        <f>IF(OR(C106="",N106="",T106="",V106="",X106="",AA106="",AE106="",AC106=""),"",INDEX(PMEHVAC[End Use Category],MATCH(C106,PMEHVAC[Eff Desc 1],0)))</f>
        <v/>
      </c>
    </row>
    <row r="107" spans="2:50" ht="15.95" hidden="1" customHeight="1">
      <c r="B107" s="929"/>
      <c r="C107" s="550"/>
      <c r="D107" s="551"/>
      <c r="E107" s="551"/>
      <c r="F107" s="551"/>
      <c r="G107" s="551"/>
      <c r="H107" s="551"/>
      <c r="I107" s="551"/>
      <c r="J107" s="955"/>
      <c r="K107" s="956"/>
      <c r="L107" s="955"/>
      <c r="M107" s="956"/>
      <c r="N107" s="853"/>
      <c r="O107" s="854"/>
      <c r="P107" s="955"/>
      <c r="Q107" s="956"/>
      <c r="R107" s="955"/>
      <c r="S107" s="956"/>
      <c r="T107" s="969"/>
      <c r="U107" s="970"/>
      <c r="V107" s="853"/>
      <c r="W107" s="854"/>
      <c r="X107" s="840"/>
      <c r="Y107" s="841"/>
      <c r="Z107" s="842"/>
      <c r="AA107" s="952"/>
      <c r="AB107" s="945"/>
      <c r="AC107" s="945"/>
      <c r="AD107" s="946"/>
      <c r="AE107" s="949"/>
      <c r="AF107" s="949"/>
      <c r="AG107" s="949"/>
      <c r="AH107" s="950"/>
      <c r="AI107" s="925"/>
      <c r="AJ107" s="870"/>
      <c r="AK107" s="912"/>
      <c r="AL107" s="913"/>
      <c r="AM107" s="913"/>
      <c r="AN107" s="942"/>
      <c r="AO107" s="925"/>
      <c r="AP107" s="932"/>
      <c r="AQ107" s="870"/>
      <c r="AU107" s="814"/>
      <c r="AV107" s="907"/>
      <c r="AW107" s="907"/>
      <c r="AX107" s="907"/>
    </row>
    <row r="108" spans="2:50" ht="15.95" hidden="1" customHeight="1">
      <c r="B108" s="929">
        <v>47</v>
      </c>
      <c r="C108" s="548"/>
      <c r="D108" s="549"/>
      <c r="E108" s="549"/>
      <c r="F108" s="549"/>
      <c r="G108" s="549"/>
      <c r="H108" s="549"/>
      <c r="I108" s="549"/>
      <c r="J108" s="953" t="str">
        <f>IF(C108="","",INDEX(PMEHVAC[Base Desc 1],MATCH(C108,PMEHVAC[Eff Desc 1],0)))</f>
        <v/>
      </c>
      <c r="K108" s="954"/>
      <c r="L108" s="953" t="str">
        <f>IF(C108="","",INDEX(PMEHVAC[Base Desc 2],MATCH(C108,PMEHVAC[Eff Desc 1],0)))</f>
        <v/>
      </c>
      <c r="M108" s="954"/>
      <c r="N108" s="851"/>
      <c r="O108" s="852"/>
      <c r="P108" s="953" t="str">
        <f>IF(C108="","",INDEX(PMEHVAC[Base Watt],MATCH(C108,PMEHVAC[Eff Desc 1],0)))</f>
        <v/>
      </c>
      <c r="Q108" s="954"/>
      <c r="R108" s="953" t="str">
        <f>IF(C108="","",INDEX(PMEHVAC[Base Watt 2],MATCH(C108,PMEHVAC[Eff Desc 1],0)))</f>
        <v/>
      </c>
      <c r="S108" s="954"/>
      <c r="T108" s="967"/>
      <c r="U108" s="968"/>
      <c r="V108" s="851"/>
      <c r="W108" s="852"/>
      <c r="X108" s="837"/>
      <c r="Y108" s="838"/>
      <c r="Z108" s="839"/>
      <c r="AA108" s="951"/>
      <c r="AB108" s="943"/>
      <c r="AC108" s="943"/>
      <c r="AD108" s="944"/>
      <c r="AE108" s="947" t="str">
        <f>IF(C108="","",INDEX(PMEHVAC[Unit of Measure],MATCH(C108,PMEHVAC[Eff Desc 1],0)))</f>
        <v/>
      </c>
      <c r="AF108" s="947"/>
      <c r="AG108" s="947"/>
      <c r="AH108" s="948"/>
      <c r="AI108" s="923" t="str">
        <f>IF(OR(C108="",N108="",T108="",V108="",X108="",AA108="",AC108=""),"",INDEX(PMEHVAC[Inc Rate Unit],MATCH(C108,PMEHVAC[Eff Desc 1],0)))</f>
        <v/>
      </c>
      <c r="AJ108" s="924"/>
      <c r="AK108" s="939" t="str">
        <f t="shared" ref="AK108" si="152">IFERROR(IF(OR(C108="",N108="",T108="",V108="",X108="",AA108="",AC108="",),"",AW108),"")</f>
        <v/>
      </c>
      <c r="AL108" s="940"/>
      <c r="AM108" s="940"/>
      <c r="AN108" s="941"/>
      <c r="AO108" s="930" t="str">
        <f t="shared" ref="AO108" si="153">IFERROR(IF(OR(C108="",N108="",V108="",X108="",T108="",AA108="",AC108=""),"",IF(BC108&lt;&gt;"",BC108,ROUND(IF(AK108&lt;=0,0,IF(AE108="unit",MIN(AU108*1,AI108),MIN(AU108*1,(N108-L108)*V108*AI108))),2))),"")</f>
        <v/>
      </c>
      <c r="AP108" s="931"/>
      <c r="AQ108" s="868"/>
      <c r="AU108" s="813" t="str">
        <f t="shared" ref="AU108" si="154">IF(OR(C108="",N108="",T108="",V108="",X108="",AA108="",AE108="",AC108=""),"",IF(AK108="","",ROUND((AA108+AC108),2)))</f>
        <v/>
      </c>
      <c r="AV108" s="928" t="str">
        <f>IF(OR(C108="",N108="",T108="",V108="",X108="",AA108="",AC108="",AE108=""),"",ROUND(IF(ISNUMBER(SEARCH("Unit",AE108)),(V108/12)*(1/((-0.02*N108^2)+(1.12*N108)))*0.177*0.08*0.457,
(V108*12)*((1/L108)-(1/N108))*INDEX(ENDUSEALL[Lighting Coincidence Factor],MATCH(AX108,ENDUSEALL[End Use],0))),3))</f>
        <v/>
      </c>
      <c r="AW108" s="906" t="str">
        <f>IFERROR(ROUND(
IF(ISNUMBER(SEARCH("DX",C108)),(V108*12)*((1/L108)-(1/N108))*INDEX(PMEHVAC[EFLHcool],MATCH(C108,PMEHVAC[Eff Desc 1],0)),
IF(ISNUMBER(SEARCH("PTAC",C108)),(V108*12)*((1/L108)-(1/N108))*INDEX(PMEHVAC[EFLHcool],MATCH(C108,PMEHVAC[Eff Desc 1],0)),
IF(ISNUMBER(SEARCH("PTHP",C108)),((V108*12)*((1/L108)-(1/N108))*INDEX(PMEHVAC[EFLHcool],MATCH(C108,PMEHVAC[Eff Desc 1],0)))+(((V108*12)/3.412)*((1/R108)-(1/T108))*INDEX(PMEHVAC[EFLHheat],MATCH(C108,PMEHVAC[Eff Desc 1],0))),
IF(OR(ISNUMBER(SEARCH("ASHP",C108)),ISNUMBER(SEARCH("WSHP",C108)),ISNUMBER(SEARCH("Water Source",C108)),ISNUMBER(SEARCH("GSHP",C108))),((V108*12)*((1/L108)-(1/N108))*INDEX(PMEHVAC[EFLHcool],MATCH(C108,PMEHVAC[Eff Desc 1],0)))+(IF(P108="HSPF",(V108*12),((V108*12)/3.412))*((1/R108)-(1/T108))*INDEX(PMEHVAC[EFLHheat],MATCH(C108,PMEHVAC[Eff Desc 1],0))),
"")))),0),"")</f>
        <v/>
      </c>
      <c r="AX108" s="928" t="str">
        <f>IF(OR(C108="",N108="",T108="",V108="",X108="",AA108="",AE108="",AC108=""),"",INDEX(PMEHVAC[End Use Category],MATCH(C108,PMEHVAC[Eff Desc 1],0)))</f>
        <v/>
      </c>
    </row>
    <row r="109" spans="2:50" ht="15.95" hidden="1" customHeight="1">
      <c r="B109" s="929"/>
      <c r="C109" s="550"/>
      <c r="D109" s="551"/>
      <c r="E109" s="551"/>
      <c r="F109" s="551"/>
      <c r="G109" s="551"/>
      <c r="H109" s="551"/>
      <c r="I109" s="551"/>
      <c r="J109" s="955"/>
      <c r="K109" s="956"/>
      <c r="L109" s="955"/>
      <c r="M109" s="956"/>
      <c r="N109" s="853"/>
      <c r="O109" s="854"/>
      <c r="P109" s="955"/>
      <c r="Q109" s="956"/>
      <c r="R109" s="955"/>
      <c r="S109" s="956"/>
      <c r="T109" s="969"/>
      <c r="U109" s="970"/>
      <c r="V109" s="853"/>
      <c r="W109" s="854"/>
      <c r="X109" s="840"/>
      <c r="Y109" s="841"/>
      <c r="Z109" s="842"/>
      <c r="AA109" s="952"/>
      <c r="AB109" s="945"/>
      <c r="AC109" s="945"/>
      <c r="AD109" s="946"/>
      <c r="AE109" s="949"/>
      <c r="AF109" s="949"/>
      <c r="AG109" s="949"/>
      <c r="AH109" s="950"/>
      <c r="AI109" s="925"/>
      <c r="AJ109" s="870"/>
      <c r="AK109" s="912"/>
      <c r="AL109" s="913"/>
      <c r="AM109" s="913"/>
      <c r="AN109" s="942"/>
      <c r="AO109" s="925"/>
      <c r="AP109" s="932"/>
      <c r="AQ109" s="870"/>
      <c r="AU109" s="814"/>
      <c r="AV109" s="907"/>
      <c r="AW109" s="907"/>
      <c r="AX109" s="907"/>
    </row>
    <row r="110" spans="2:50" ht="15.95" hidden="1" customHeight="1">
      <c r="B110" s="929">
        <v>48</v>
      </c>
      <c r="C110" s="548"/>
      <c r="D110" s="549"/>
      <c r="E110" s="549"/>
      <c r="F110" s="549"/>
      <c r="G110" s="549"/>
      <c r="H110" s="549"/>
      <c r="I110" s="549"/>
      <c r="J110" s="953" t="str">
        <f>IF(C110="","",INDEX(PMEHVAC[Base Desc 1],MATCH(C110,PMEHVAC[Eff Desc 1],0)))</f>
        <v/>
      </c>
      <c r="K110" s="954"/>
      <c r="L110" s="953" t="str">
        <f>IF(C110="","",INDEX(PMEHVAC[Base Desc 2],MATCH(C110,PMEHVAC[Eff Desc 1],0)))</f>
        <v/>
      </c>
      <c r="M110" s="954"/>
      <c r="N110" s="851"/>
      <c r="O110" s="852"/>
      <c r="P110" s="953" t="str">
        <f>IF(C110="","",INDEX(PMEHVAC[Base Watt],MATCH(C110,PMEHVAC[Eff Desc 1],0)))</f>
        <v/>
      </c>
      <c r="Q110" s="954"/>
      <c r="R110" s="953" t="str">
        <f>IF(C110="","",INDEX(PMEHVAC[Base Watt 2],MATCH(C110,PMEHVAC[Eff Desc 1],0)))</f>
        <v/>
      </c>
      <c r="S110" s="954"/>
      <c r="T110" s="967"/>
      <c r="U110" s="968"/>
      <c r="V110" s="851"/>
      <c r="W110" s="852"/>
      <c r="X110" s="837"/>
      <c r="Y110" s="838"/>
      <c r="Z110" s="839"/>
      <c r="AA110" s="951"/>
      <c r="AB110" s="943"/>
      <c r="AC110" s="943"/>
      <c r="AD110" s="944"/>
      <c r="AE110" s="947" t="str">
        <f>IF(C110="","",INDEX(PMEHVAC[Unit of Measure],MATCH(C110,PMEHVAC[Eff Desc 1],0)))</f>
        <v/>
      </c>
      <c r="AF110" s="947"/>
      <c r="AG110" s="947"/>
      <c r="AH110" s="948"/>
      <c r="AI110" s="923" t="str">
        <f>IF(OR(C110="",N110="",T110="",V110="",X110="",AA110="",AC110=""),"",INDEX(PMEHVAC[Inc Rate Unit],MATCH(C110,PMEHVAC[Eff Desc 1],0)))</f>
        <v/>
      </c>
      <c r="AJ110" s="924"/>
      <c r="AK110" s="939" t="str">
        <f t="shared" ref="AK110" si="155">IFERROR(IF(OR(C110="",N110="",T110="",V110="",X110="",AA110="",AC110="",),"",AW110),"")</f>
        <v/>
      </c>
      <c r="AL110" s="940"/>
      <c r="AM110" s="940"/>
      <c r="AN110" s="941"/>
      <c r="AO110" s="930" t="str">
        <f t="shared" ref="AO110" si="156">IFERROR(IF(OR(C110="",N110="",V110="",X110="",T110="",AA110="",AC110=""),"",IF(BC110&lt;&gt;"",BC110,ROUND(IF(AK110&lt;=0,0,IF(AE110="unit",MIN(AU110*1,AI110),MIN(AU110*1,(N110-L110)*V110*AI110))),2))),"")</f>
        <v/>
      </c>
      <c r="AP110" s="931"/>
      <c r="AQ110" s="868"/>
      <c r="AU110" s="813" t="str">
        <f t="shared" ref="AU110" si="157">IF(OR(C110="",N110="",T110="",V110="",X110="",AA110="",AE110="",AC110=""),"",IF(AK110="","",ROUND((AA110+AC110),2)))</f>
        <v/>
      </c>
      <c r="AV110" s="928" t="str">
        <f>IF(OR(C110="",N110="",T110="",V110="",X110="",AA110="",AC110="",AE110=""),"",ROUND(IF(ISNUMBER(SEARCH("Unit",AE110)),(V110/12)*(1/((-0.02*N110^2)+(1.12*N110)))*0.177*0.08*0.457,
(V110*12)*((1/L110)-(1/N110))*INDEX(ENDUSEALL[Lighting Coincidence Factor],MATCH(AX110,ENDUSEALL[End Use],0))),3))</f>
        <v/>
      </c>
      <c r="AW110" s="906" t="str">
        <f>IFERROR(ROUND(
IF(ISNUMBER(SEARCH("DX",C110)),(V110*12)*((1/L110)-(1/N110))*INDEX(PMEHVAC[EFLHcool],MATCH(C110,PMEHVAC[Eff Desc 1],0)),
IF(ISNUMBER(SEARCH("PTAC",C110)),(V110*12)*((1/L110)-(1/N110))*INDEX(PMEHVAC[EFLHcool],MATCH(C110,PMEHVAC[Eff Desc 1],0)),
IF(ISNUMBER(SEARCH("PTHP",C110)),((V110*12)*((1/L110)-(1/N110))*INDEX(PMEHVAC[EFLHcool],MATCH(C110,PMEHVAC[Eff Desc 1],0)))+(((V110*12)/3.412)*((1/R110)-(1/T110))*INDEX(PMEHVAC[EFLHheat],MATCH(C110,PMEHVAC[Eff Desc 1],0))),
IF(OR(ISNUMBER(SEARCH("ASHP",C110)),ISNUMBER(SEARCH("WSHP",C110)),ISNUMBER(SEARCH("Water Source",C110)),ISNUMBER(SEARCH("GSHP",C110))),((V110*12)*((1/L110)-(1/N110))*INDEX(PMEHVAC[EFLHcool],MATCH(C110,PMEHVAC[Eff Desc 1],0)))+(IF(P110="HSPF",(V110*12),((V110*12)/3.412))*((1/R110)-(1/T110))*INDEX(PMEHVAC[EFLHheat],MATCH(C110,PMEHVAC[Eff Desc 1],0))),
"")))),0),"")</f>
        <v/>
      </c>
      <c r="AX110" s="928" t="str">
        <f>IF(OR(C110="",N110="",T110="",V110="",X110="",AA110="",AE110="",AC110=""),"",INDEX(PMEHVAC[End Use Category],MATCH(C110,PMEHVAC[Eff Desc 1],0)))</f>
        <v/>
      </c>
    </row>
    <row r="111" spans="2:50" ht="15.95" hidden="1" customHeight="1">
      <c r="B111" s="929"/>
      <c r="C111" s="550"/>
      <c r="D111" s="551"/>
      <c r="E111" s="551"/>
      <c r="F111" s="551"/>
      <c r="G111" s="551"/>
      <c r="H111" s="551"/>
      <c r="I111" s="551"/>
      <c r="J111" s="955"/>
      <c r="K111" s="956"/>
      <c r="L111" s="955"/>
      <c r="M111" s="956"/>
      <c r="N111" s="853"/>
      <c r="O111" s="854"/>
      <c r="P111" s="955"/>
      <c r="Q111" s="956"/>
      <c r="R111" s="955"/>
      <c r="S111" s="956"/>
      <c r="T111" s="969"/>
      <c r="U111" s="970"/>
      <c r="V111" s="853"/>
      <c r="W111" s="854"/>
      <c r="X111" s="840"/>
      <c r="Y111" s="841"/>
      <c r="Z111" s="842"/>
      <c r="AA111" s="952"/>
      <c r="AB111" s="945"/>
      <c r="AC111" s="945"/>
      <c r="AD111" s="946"/>
      <c r="AE111" s="949"/>
      <c r="AF111" s="949"/>
      <c r="AG111" s="949"/>
      <c r="AH111" s="950"/>
      <c r="AI111" s="925"/>
      <c r="AJ111" s="870"/>
      <c r="AK111" s="912"/>
      <c r="AL111" s="913"/>
      <c r="AM111" s="913"/>
      <c r="AN111" s="942"/>
      <c r="AO111" s="925"/>
      <c r="AP111" s="932"/>
      <c r="AQ111" s="870"/>
      <c r="AU111" s="814"/>
      <c r="AV111" s="907"/>
      <c r="AW111" s="907"/>
      <c r="AX111" s="907"/>
    </row>
    <row r="112" spans="2:50" ht="15.95" hidden="1" customHeight="1">
      <c r="B112" s="929">
        <v>49</v>
      </c>
      <c r="C112" s="548"/>
      <c r="D112" s="549"/>
      <c r="E112" s="549"/>
      <c r="F112" s="549"/>
      <c r="G112" s="549"/>
      <c r="H112" s="549"/>
      <c r="I112" s="549"/>
      <c r="J112" s="953" t="str">
        <f>IF(C112="","",INDEX(PMEHVAC[Base Desc 1],MATCH(C112,PMEHVAC[Eff Desc 1],0)))</f>
        <v/>
      </c>
      <c r="K112" s="954"/>
      <c r="L112" s="953" t="str">
        <f>IF(C112="","",INDEX(PMEHVAC[Base Desc 2],MATCH(C112,PMEHVAC[Eff Desc 1],0)))</f>
        <v/>
      </c>
      <c r="M112" s="954"/>
      <c r="N112" s="851"/>
      <c r="O112" s="852"/>
      <c r="P112" s="953" t="str">
        <f>IF(C112="","",INDEX(PMEHVAC[Base Watt],MATCH(C112,PMEHVAC[Eff Desc 1],0)))</f>
        <v/>
      </c>
      <c r="Q112" s="954"/>
      <c r="R112" s="953" t="str">
        <f>IF(C112="","",INDEX(PMEHVAC[Base Watt 2],MATCH(C112,PMEHVAC[Eff Desc 1],0)))</f>
        <v/>
      </c>
      <c r="S112" s="954"/>
      <c r="T112" s="967"/>
      <c r="U112" s="968"/>
      <c r="V112" s="851"/>
      <c r="W112" s="852"/>
      <c r="X112" s="837"/>
      <c r="Y112" s="838"/>
      <c r="Z112" s="839"/>
      <c r="AA112" s="951"/>
      <c r="AB112" s="943"/>
      <c r="AC112" s="943"/>
      <c r="AD112" s="944"/>
      <c r="AE112" s="947" t="str">
        <f>IF(C112="","",INDEX(PMEHVAC[Unit of Measure],MATCH(C112,PMEHVAC[Eff Desc 1],0)))</f>
        <v/>
      </c>
      <c r="AF112" s="947"/>
      <c r="AG112" s="947"/>
      <c r="AH112" s="948"/>
      <c r="AI112" s="923" t="str">
        <f>IF(OR(C112="",N112="",T112="",V112="",X112="",AA112="",AC112=""),"",INDEX(PMEHVAC[Inc Rate Unit],MATCH(C112,PMEHVAC[Eff Desc 1],0)))</f>
        <v/>
      </c>
      <c r="AJ112" s="924"/>
      <c r="AK112" s="939" t="str">
        <f t="shared" ref="AK112" si="158">IFERROR(IF(OR(C112="",N112="",T112="",V112="",X112="",AA112="",AC112="",),"",AW112),"")</f>
        <v/>
      </c>
      <c r="AL112" s="940"/>
      <c r="AM112" s="940"/>
      <c r="AN112" s="941"/>
      <c r="AO112" s="930" t="str">
        <f t="shared" ref="AO112" si="159">IFERROR(IF(OR(C112="",N112="",V112="",X112="",T112="",AA112="",AC112=""),"",IF(BC112&lt;&gt;"",BC112,ROUND(IF(AK112&lt;=0,0,IF(AE112="unit",MIN(AU112*1,AI112),MIN(AU112*1,(N112-L112)*V112*AI112))),2))),"")</f>
        <v/>
      </c>
      <c r="AP112" s="931"/>
      <c r="AQ112" s="868"/>
      <c r="AU112" s="813" t="str">
        <f t="shared" ref="AU112" si="160">IF(OR(C112="",N112="",T112="",V112="",X112="",AA112="",AE112="",AC112=""),"",IF(AK112="","",ROUND((AA112+AC112),2)))</f>
        <v/>
      </c>
      <c r="AV112" s="928" t="str">
        <f>IF(OR(C112="",N112="",T112="",V112="",X112="",AA112="",AC112="",AE112=""),"",ROUND(IF(ISNUMBER(SEARCH("Unit",AE112)),(V112/12)*(1/((-0.02*N112^2)+(1.12*N112)))*0.177*0.08*0.457,
(V112*12)*((1/L112)-(1/N112))*INDEX(ENDUSEALL[Lighting Coincidence Factor],MATCH(AX112,ENDUSEALL[End Use],0))),3))</f>
        <v/>
      </c>
      <c r="AW112" s="906" t="str">
        <f>IFERROR(ROUND(
IF(ISNUMBER(SEARCH("DX",C112)),(V112*12)*((1/L112)-(1/N112))*INDEX(PMEHVAC[EFLHcool],MATCH(C112,PMEHVAC[Eff Desc 1],0)),
IF(ISNUMBER(SEARCH("PTAC",C112)),(V112*12)*((1/L112)-(1/N112))*INDEX(PMEHVAC[EFLHcool],MATCH(C112,PMEHVAC[Eff Desc 1],0)),
IF(ISNUMBER(SEARCH("PTHP",C112)),((V112*12)*((1/L112)-(1/N112))*INDEX(PMEHVAC[EFLHcool],MATCH(C112,PMEHVAC[Eff Desc 1],0)))+(((V112*12)/3.412)*((1/R112)-(1/T112))*INDEX(PMEHVAC[EFLHheat],MATCH(C112,PMEHVAC[Eff Desc 1],0))),
IF(OR(ISNUMBER(SEARCH("ASHP",C112)),ISNUMBER(SEARCH("WSHP",C112)),ISNUMBER(SEARCH("Water Source",C112)),ISNUMBER(SEARCH("GSHP",C112))),((V112*12)*((1/L112)-(1/N112))*INDEX(PMEHVAC[EFLHcool],MATCH(C112,PMEHVAC[Eff Desc 1],0)))+(IF(P112="HSPF",(V112*12),((V112*12)/3.412))*((1/R112)-(1/T112))*INDEX(PMEHVAC[EFLHheat],MATCH(C112,PMEHVAC[Eff Desc 1],0))),
"")))),0),"")</f>
        <v/>
      </c>
      <c r="AX112" s="928" t="str">
        <f>IF(OR(C112="",N112="",T112="",V112="",X112="",AA112="",AE112="",AC112=""),"",INDEX(PMEHVAC[End Use Category],MATCH(C112,PMEHVAC[Eff Desc 1],0)))</f>
        <v/>
      </c>
    </row>
    <row r="113" spans="2:54" ht="15.95" hidden="1" customHeight="1">
      <c r="B113" s="929"/>
      <c r="C113" s="550"/>
      <c r="D113" s="551"/>
      <c r="E113" s="551"/>
      <c r="F113" s="551"/>
      <c r="G113" s="551"/>
      <c r="H113" s="551"/>
      <c r="I113" s="551"/>
      <c r="J113" s="955"/>
      <c r="K113" s="956"/>
      <c r="L113" s="955"/>
      <c r="M113" s="956"/>
      <c r="N113" s="853"/>
      <c r="O113" s="854"/>
      <c r="P113" s="955"/>
      <c r="Q113" s="956"/>
      <c r="R113" s="955"/>
      <c r="S113" s="956"/>
      <c r="T113" s="969"/>
      <c r="U113" s="970"/>
      <c r="V113" s="853"/>
      <c r="W113" s="854"/>
      <c r="X113" s="840"/>
      <c r="Y113" s="841"/>
      <c r="Z113" s="842"/>
      <c r="AA113" s="952"/>
      <c r="AB113" s="945"/>
      <c r="AC113" s="945"/>
      <c r="AD113" s="946"/>
      <c r="AE113" s="949"/>
      <c r="AF113" s="949"/>
      <c r="AG113" s="949"/>
      <c r="AH113" s="950"/>
      <c r="AI113" s="925"/>
      <c r="AJ113" s="870"/>
      <c r="AK113" s="912"/>
      <c r="AL113" s="913"/>
      <c r="AM113" s="913"/>
      <c r="AN113" s="942"/>
      <c r="AO113" s="925"/>
      <c r="AP113" s="932"/>
      <c r="AQ113" s="870"/>
      <c r="AU113" s="814"/>
      <c r="AV113" s="907"/>
      <c r="AW113" s="907"/>
      <c r="AX113" s="907"/>
    </row>
    <row r="114" spans="2:54" ht="15.95" hidden="1" customHeight="1">
      <c r="B114" s="929">
        <v>50</v>
      </c>
      <c r="C114" s="548"/>
      <c r="D114" s="549"/>
      <c r="E114" s="549"/>
      <c r="F114" s="549"/>
      <c r="G114" s="549"/>
      <c r="H114" s="549"/>
      <c r="I114" s="549"/>
      <c r="J114" s="953" t="str">
        <f>IF(C114="","",INDEX(PMEHVAC[Base Desc 1],MATCH(C114,PMEHVAC[Eff Desc 1],0)))</f>
        <v/>
      </c>
      <c r="K114" s="954"/>
      <c r="L114" s="953" t="str">
        <f>IF(C114="","",INDEX(PMEHVAC[Base Desc 2],MATCH(C114,PMEHVAC[Eff Desc 1],0)))</f>
        <v/>
      </c>
      <c r="M114" s="954"/>
      <c r="N114" s="851"/>
      <c r="O114" s="852"/>
      <c r="P114" s="953" t="str">
        <f>IF(C114="","",INDEX(PMEHVAC[Base Watt],MATCH(C114,PMEHVAC[Eff Desc 1],0)))</f>
        <v/>
      </c>
      <c r="Q114" s="954"/>
      <c r="R114" s="953" t="str">
        <f>IF(C114="","",INDEX(PMEHVAC[Base Watt 2],MATCH(C114,PMEHVAC[Eff Desc 1],0)))</f>
        <v/>
      </c>
      <c r="S114" s="954"/>
      <c r="T114" s="967"/>
      <c r="U114" s="968"/>
      <c r="V114" s="851"/>
      <c r="W114" s="852"/>
      <c r="X114" s="837"/>
      <c r="Y114" s="838"/>
      <c r="Z114" s="839"/>
      <c r="AA114" s="951"/>
      <c r="AB114" s="943"/>
      <c r="AC114" s="943"/>
      <c r="AD114" s="944"/>
      <c r="AE114" s="947" t="str">
        <f>IF(C114="","",INDEX(PMEHVAC[Unit of Measure],MATCH(C114,PMEHVAC[Eff Desc 1],0)))</f>
        <v/>
      </c>
      <c r="AF114" s="947"/>
      <c r="AG114" s="947"/>
      <c r="AH114" s="948"/>
      <c r="AI114" s="923" t="str">
        <f>IF(OR(C114="",N114="",T114="",V114="",X114="",AA114="",AC114=""),"",INDEX(PMEHVAC[Inc Rate Unit],MATCH(C114,PMEHVAC[Eff Desc 1],0)))</f>
        <v/>
      </c>
      <c r="AJ114" s="924"/>
      <c r="AK114" s="939" t="str">
        <f t="shared" ref="AK114" si="161">IFERROR(IF(OR(C114="",N114="",T114="",V114="",X114="",AA114="",AC114="",),"",AW114),"")</f>
        <v/>
      </c>
      <c r="AL114" s="940"/>
      <c r="AM114" s="940"/>
      <c r="AN114" s="941"/>
      <c r="AO114" s="930" t="str">
        <f t="shared" ref="AO114" si="162">IFERROR(IF(OR(C114="",N114="",V114="",X114="",T114="",AA114="",AC114=""),"",IF(BC114&lt;&gt;"",BC114,ROUND(IF(AK114&lt;=0,0,IF(AE114="unit",MIN(AU114*1,AI114),MIN(AU114*1,(N114-L114)*V114*AI114))),2))),"")</f>
        <v/>
      </c>
      <c r="AP114" s="931"/>
      <c r="AQ114" s="868"/>
      <c r="AU114" s="813" t="str">
        <f t="shared" ref="AU114" si="163">IF(OR(C114="",N114="",T114="",V114="",X114="",AA114="",AE114="",AC114=""),"",IF(AK114="","",ROUND((AA114+AC114),2)))</f>
        <v/>
      </c>
      <c r="AV114" s="928" t="str">
        <f>IF(OR(C114="",N114="",T114="",V114="",X114="",AA114="",AC114="",AE114=""),"",ROUND(IF(ISNUMBER(SEARCH("Unit",AE114)),(V114/12)*(1/((-0.02*N114^2)+(1.12*N114)))*0.177*0.08*0.457,
(V114*12)*((1/L114)-(1/N114))*INDEX(ENDUSEALL[Lighting Coincidence Factor],MATCH(AX114,ENDUSEALL[End Use],0))),3))</f>
        <v/>
      </c>
      <c r="AW114" s="906" t="str">
        <f>IFERROR(ROUND(
IF(ISNUMBER(SEARCH("DX",C114)),(V114*12)*((1/L114)-(1/N114))*INDEX(PMEHVAC[EFLHcool],MATCH(C114,PMEHVAC[Eff Desc 1],0)),
IF(ISNUMBER(SEARCH("PTAC",C114)),(V114*12)*((1/L114)-(1/N114))*INDEX(PMEHVAC[EFLHcool],MATCH(C114,PMEHVAC[Eff Desc 1],0)),
IF(ISNUMBER(SEARCH("PTHP",C114)),((V114*12)*((1/L114)-(1/N114))*INDEX(PMEHVAC[EFLHcool],MATCH(C114,PMEHVAC[Eff Desc 1],0)))+(((V114*12)/3.412)*((1/R114)-(1/T114))*INDEX(PMEHVAC[EFLHheat],MATCH(C114,PMEHVAC[Eff Desc 1],0))),
IF(OR(ISNUMBER(SEARCH("ASHP",C114)),ISNUMBER(SEARCH("WSHP",C114)),ISNUMBER(SEARCH("Water Source",C114)),ISNUMBER(SEARCH("GSHP",C114))),((V114*12)*((1/L114)-(1/N114))*INDEX(PMEHVAC[EFLHcool],MATCH(C114,PMEHVAC[Eff Desc 1],0)))+(IF(P114="HSPF",(V114*12),((V114*12)/3.412))*((1/R114)-(1/T114))*INDEX(PMEHVAC[EFLHheat],MATCH(C114,PMEHVAC[Eff Desc 1],0))),
"")))),0),"")</f>
        <v/>
      </c>
      <c r="AX114" s="928" t="str">
        <f>IF(OR(C114="",N114="",T114="",V114="",X114="",AA114="",AE114="",AC114=""),"",INDEX(PMEHVAC[End Use Category],MATCH(C114,PMEHVAC[Eff Desc 1],0)))</f>
        <v/>
      </c>
      <c r="AY114" s="552"/>
      <c r="AZ114" s="552"/>
      <c r="BA114" s="552"/>
      <c r="BB114" s="552"/>
    </row>
    <row r="115" spans="2:54" ht="15.95" hidden="1" customHeight="1">
      <c r="B115" s="929"/>
      <c r="C115" s="550"/>
      <c r="D115" s="551"/>
      <c r="E115" s="551"/>
      <c r="F115" s="551"/>
      <c r="G115" s="551"/>
      <c r="H115" s="551"/>
      <c r="I115" s="551"/>
      <c r="J115" s="955"/>
      <c r="K115" s="956"/>
      <c r="L115" s="955"/>
      <c r="M115" s="956"/>
      <c r="N115" s="853"/>
      <c r="O115" s="854"/>
      <c r="P115" s="955"/>
      <c r="Q115" s="956"/>
      <c r="R115" s="955"/>
      <c r="S115" s="956"/>
      <c r="T115" s="969"/>
      <c r="U115" s="970"/>
      <c r="V115" s="853"/>
      <c r="W115" s="854"/>
      <c r="X115" s="840"/>
      <c r="Y115" s="841"/>
      <c r="Z115" s="842"/>
      <c r="AA115" s="952"/>
      <c r="AB115" s="945"/>
      <c r="AC115" s="945"/>
      <c r="AD115" s="946"/>
      <c r="AE115" s="949"/>
      <c r="AF115" s="949"/>
      <c r="AG115" s="949"/>
      <c r="AH115" s="950"/>
      <c r="AI115" s="925"/>
      <c r="AJ115" s="870"/>
      <c r="AK115" s="912"/>
      <c r="AL115" s="913"/>
      <c r="AM115" s="913"/>
      <c r="AN115" s="942"/>
      <c r="AO115" s="925"/>
      <c r="AP115" s="932"/>
      <c r="AQ115" s="870"/>
      <c r="AU115" s="814"/>
      <c r="AV115" s="907"/>
      <c r="AW115" s="907"/>
      <c r="AX115" s="907"/>
      <c r="AY115" s="553"/>
      <c r="AZ115" s="553"/>
      <c r="BA115" s="553"/>
      <c r="BB115" s="553"/>
    </row>
    <row r="116" spans="2:54" ht="15.95" hidden="1" customHeight="1">
      <c r="B116" s="929">
        <v>51</v>
      </c>
      <c r="C116" s="8"/>
      <c r="D116" s="8"/>
      <c r="E116" s="8"/>
      <c r="F116" s="8"/>
      <c r="G116" s="8"/>
      <c r="H116" s="8"/>
      <c r="I116" s="8"/>
      <c r="J116" s="8"/>
      <c r="K116" s="8"/>
      <c r="L116" s="8"/>
      <c r="M116" s="8"/>
      <c r="N116" s="8"/>
      <c r="O116" s="8"/>
      <c r="P116" s="8"/>
      <c r="Q116" s="8"/>
      <c r="R116" s="8"/>
      <c r="S116" s="8"/>
      <c r="T116" s="8"/>
      <c r="U116" s="8"/>
      <c r="V116" s="8"/>
      <c r="W116" s="8"/>
      <c r="X116" s="8"/>
      <c r="Y116" s="8"/>
      <c r="Z116" s="8"/>
      <c r="AA116" s="8"/>
      <c r="AB116" s="8"/>
      <c r="AC116" s="8"/>
      <c r="AD116" s="8"/>
      <c r="AE116" s="8"/>
      <c r="AF116" s="8"/>
      <c r="AG116" s="8"/>
      <c r="AH116" s="8"/>
      <c r="AI116" s="8"/>
      <c r="AJ116" s="8"/>
      <c r="AK116" s="8"/>
      <c r="AL116" s="8"/>
      <c r="AM116" s="8"/>
      <c r="AN116" s="8"/>
      <c r="AO116" s="8"/>
      <c r="AP116" s="8"/>
      <c r="AQ116" s="8"/>
    </row>
    <row r="117" spans="2:54" ht="15.95" hidden="1" customHeight="1">
      <c r="B117" s="929"/>
      <c r="C117" s="8"/>
      <c r="D117" s="8"/>
      <c r="E117" s="8"/>
      <c r="F117" s="8"/>
      <c r="G117" s="8"/>
      <c r="H117" s="8"/>
      <c r="I117" s="8"/>
      <c r="J117" s="8"/>
      <c r="K117" s="8"/>
      <c r="L117" s="8"/>
      <c r="M117" s="8"/>
      <c r="N117" s="8"/>
      <c r="O117" s="8"/>
      <c r="P117" s="8"/>
      <c r="Q117" s="8"/>
      <c r="R117" s="8"/>
      <c r="S117" s="8"/>
      <c r="T117" s="8"/>
      <c r="U117" s="8"/>
      <c r="V117" s="8"/>
      <c r="W117" s="8"/>
      <c r="X117" s="8"/>
      <c r="Y117" s="8"/>
      <c r="Z117" s="8"/>
      <c r="AA117" s="8"/>
      <c r="AB117" s="8"/>
      <c r="AC117" s="8"/>
      <c r="AD117" s="8"/>
      <c r="AE117" s="8"/>
      <c r="AF117" s="8"/>
      <c r="AG117" s="8"/>
      <c r="AH117" s="8"/>
      <c r="AI117" s="8"/>
      <c r="AJ117" s="8"/>
      <c r="AK117" s="8"/>
      <c r="AL117" s="8"/>
      <c r="AM117" s="8"/>
      <c r="AN117" s="8"/>
      <c r="AO117" s="8"/>
      <c r="AP117" s="8"/>
      <c r="AQ117" s="8"/>
    </row>
    <row r="118" spans="2:54" ht="15.95" hidden="1" customHeight="1">
      <c r="B118" s="929">
        <v>52</v>
      </c>
      <c r="C118" s="8"/>
      <c r="D118" s="8"/>
      <c r="E118" s="8"/>
      <c r="F118" s="8"/>
      <c r="G118" s="8"/>
      <c r="H118" s="8"/>
      <c r="I118" s="8"/>
      <c r="J118" s="8"/>
      <c r="K118" s="8"/>
      <c r="L118" s="8"/>
      <c r="M118" s="8"/>
      <c r="N118" s="8"/>
      <c r="O118" s="8"/>
      <c r="P118" s="8"/>
      <c r="Q118" s="8"/>
      <c r="R118" s="8"/>
      <c r="S118" s="8"/>
      <c r="T118" s="8"/>
      <c r="U118" s="8"/>
      <c r="V118" s="8"/>
      <c r="W118" s="8"/>
      <c r="X118" s="8"/>
      <c r="Y118" s="8"/>
      <c r="Z118" s="8"/>
      <c r="AA118" s="8"/>
      <c r="AB118" s="8"/>
      <c r="AC118" s="8"/>
      <c r="AD118" s="8"/>
      <c r="AE118" s="8"/>
      <c r="AF118" s="8"/>
      <c r="AG118" s="8"/>
      <c r="AH118" s="8"/>
      <c r="AI118" s="8"/>
      <c r="AJ118" s="8"/>
      <c r="AK118" s="8"/>
      <c r="AL118" s="8"/>
      <c r="AM118" s="8"/>
      <c r="AN118" s="8"/>
      <c r="AO118" s="8"/>
      <c r="AP118" s="8"/>
      <c r="AQ118" s="8"/>
    </row>
    <row r="119" spans="2:54" ht="15.95" hidden="1" customHeight="1">
      <c r="B119" s="929"/>
      <c r="C119" s="8"/>
      <c r="D119" s="8"/>
      <c r="E119" s="8"/>
      <c r="F119" s="8"/>
      <c r="G119" s="8"/>
      <c r="H119" s="8"/>
      <c r="I119" s="8"/>
      <c r="J119" s="8"/>
      <c r="K119" s="8"/>
      <c r="L119" s="8"/>
      <c r="M119" s="8"/>
      <c r="N119" s="8"/>
      <c r="O119" s="8"/>
      <c r="P119" s="8"/>
      <c r="Q119" s="8"/>
      <c r="R119" s="8"/>
      <c r="S119" s="8"/>
      <c r="T119" s="8"/>
      <c r="U119" s="8"/>
      <c r="V119" s="8"/>
      <c r="W119" s="8"/>
      <c r="X119" s="8"/>
      <c r="Y119" s="8"/>
      <c r="Z119" s="8"/>
      <c r="AA119" s="8"/>
      <c r="AB119" s="8"/>
      <c r="AC119" s="8"/>
      <c r="AD119" s="8"/>
      <c r="AE119" s="8"/>
      <c r="AF119" s="8"/>
      <c r="AG119" s="8"/>
      <c r="AH119" s="8"/>
      <c r="AI119" s="8"/>
      <c r="AJ119" s="8"/>
      <c r="AK119" s="8"/>
      <c r="AL119" s="8"/>
      <c r="AM119" s="8"/>
      <c r="AN119" s="8"/>
      <c r="AO119" s="8"/>
      <c r="AP119" s="8"/>
      <c r="AQ119" s="8"/>
    </row>
    <row r="120" spans="2:54" ht="15.95" hidden="1" customHeight="1">
      <c r="B120" s="929">
        <v>53</v>
      </c>
      <c r="C120" s="8"/>
      <c r="D120" s="8"/>
      <c r="E120" s="8"/>
      <c r="F120" s="8"/>
      <c r="G120" s="8"/>
      <c r="H120" s="8"/>
      <c r="I120" s="8"/>
      <c r="J120" s="8"/>
      <c r="K120" s="8"/>
      <c r="L120" s="8"/>
      <c r="M120" s="8"/>
      <c r="N120" s="8"/>
      <c r="O120" s="8"/>
      <c r="P120" s="8"/>
      <c r="Q120" s="8"/>
      <c r="R120" s="8"/>
      <c r="S120" s="8"/>
      <c r="T120" s="8"/>
      <c r="U120" s="8"/>
      <c r="V120" s="8"/>
      <c r="W120" s="8"/>
      <c r="X120" s="8"/>
      <c r="Y120" s="8"/>
      <c r="Z120" s="8"/>
      <c r="AA120" s="8"/>
      <c r="AB120" s="8"/>
      <c r="AC120" s="8"/>
      <c r="AD120" s="8"/>
      <c r="AE120" s="8"/>
      <c r="AF120" s="8"/>
      <c r="AG120" s="8"/>
      <c r="AH120" s="8"/>
      <c r="AI120" s="8"/>
      <c r="AJ120" s="8"/>
      <c r="AK120" s="8"/>
      <c r="AL120" s="8"/>
      <c r="AM120" s="8"/>
      <c r="AN120" s="8"/>
      <c r="AO120" s="8"/>
      <c r="AP120" s="8"/>
      <c r="AQ120" s="8"/>
    </row>
    <row r="121" spans="2:54" ht="15.95" hidden="1" customHeight="1">
      <c r="B121" s="929"/>
      <c r="C121" s="8"/>
      <c r="D121" s="8"/>
      <c r="E121" s="8"/>
      <c r="F121" s="8"/>
      <c r="G121" s="8"/>
      <c r="H121" s="8"/>
      <c r="I121" s="8"/>
      <c r="J121" s="8"/>
      <c r="K121" s="8"/>
      <c r="L121" s="8"/>
      <c r="M121" s="8"/>
      <c r="N121" s="8"/>
      <c r="O121" s="8"/>
      <c r="P121" s="8"/>
      <c r="Q121" s="8"/>
      <c r="R121" s="8"/>
      <c r="S121" s="8"/>
      <c r="T121" s="8"/>
      <c r="U121" s="8"/>
      <c r="V121" s="8"/>
      <c r="W121" s="8"/>
      <c r="X121" s="8"/>
      <c r="Y121" s="8"/>
      <c r="Z121" s="8"/>
      <c r="AA121" s="8"/>
      <c r="AB121" s="8"/>
      <c r="AC121" s="8"/>
      <c r="AD121" s="8"/>
      <c r="AE121" s="8"/>
      <c r="AF121" s="8"/>
      <c r="AG121" s="8"/>
      <c r="AH121" s="8"/>
      <c r="AI121" s="8"/>
      <c r="AJ121" s="8"/>
      <c r="AK121" s="8"/>
      <c r="AL121" s="8"/>
      <c r="AM121" s="8"/>
      <c r="AN121" s="8"/>
      <c r="AO121" s="8"/>
      <c r="AP121" s="8"/>
      <c r="AQ121" s="8"/>
    </row>
    <row r="122" spans="2:54" ht="15.95" hidden="1" customHeight="1">
      <c r="B122" s="929">
        <v>54</v>
      </c>
      <c r="C122" s="8"/>
      <c r="D122" s="8"/>
      <c r="E122" s="8"/>
      <c r="F122" s="8"/>
      <c r="G122" s="8"/>
      <c r="H122" s="8"/>
      <c r="I122" s="8"/>
      <c r="J122" s="8"/>
      <c r="K122" s="8"/>
      <c r="L122" s="8"/>
      <c r="M122" s="8"/>
      <c r="N122" s="8"/>
      <c r="O122" s="8"/>
      <c r="P122" s="8"/>
      <c r="Q122" s="8"/>
      <c r="R122" s="8"/>
      <c r="S122" s="8"/>
      <c r="T122" s="8"/>
      <c r="U122" s="8"/>
      <c r="V122" s="8"/>
      <c r="W122" s="8"/>
      <c r="X122" s="8"/>
      <c r="Y122" s="8"/>
      <c r="Z122" s="8"/>
      <c r="AA122" s="8"/>
      <c r="AB122" s="8"/>
      <c r="AC122" s="8"/>
      <c r="AD122" s="8"/>
      <c r="AE122" s="8"/>
      <c r="AF122" s="8"/>
      <c r="AG122" s="8"/>
      <c r="AH122" s="8"/>
      <c r="AI122" s="8"/>
      <c r="AJ122" s="8"/>
      <c r="AK122" s="8"/>
      <c r="AL122" s="8"/>
      <c r="AM122" s="8"/>
      <c r="AN122" s="8"/>
      <c r="AO122" s="8"/>
      <c r="AP122" s="8"/>
      <c r="AQ122" s="8"/>
    </row>
    <row r="123" spans="2:54" ht="15.95" hidden="1" customHeight="1">
      <c r="B123" s="929"/>
      <c r="C123" s="8"/>
      <c r="D123" s="8"/>
      <c r="E123" s="8"/>
      <c r="F123" s="8"/>
      <c r="G123" s="8"/>
      <c r="H123" s="8"/>
      <c r="I123" s="8"/>
      <c r="J123" s="8"/>
      <c r="K123" s="8"/>
      <c r="L123" s="8"/>
      <c r="M123" s="8"/>
      <c r="N123" s="8"/>
      <c r="O123" s="8"/>
      <c r="P123" s="8"/>
      <c r="Q123" s="8"/>
      <c r="R123" s="8"/>
      <c r="S123" s="8"/>
      <c r="T123" s="8"/>
      <c r="U123" s="8"/>
      <c r="V123" s="8"/>
      <c r="W123" s="8"/>
      <c r="X123" s="8"/>
      <c r="Y123" s="8"/>
      <c r="Z123" s="8"/>
      <c r="AA123" s="8"/>
      <c r="AB123" s="8"/>
      <c r="AC123" s="8"/>
      <c r="AD123" s="8"/>
      <c r="AE123" s="8"/>
      <c r="AF123" s="8"/>
      <c r="AG123" s="8"/>
      <c r="AH123" s="8"/>
      <c r="AI123" s="8"/>
      <c r="AJ123" s="8"/>
      <c r="AK123" s="8"/>
      <c r="AL123" s="8"/>
      <c r="AM123" s="8"/>
      <c r="AN123" s="8"/>
      <c r="AO123" s="8"/>
      <c r="AP123" s="8"/>
      <c r="AQ123" s="8"/>
    </row>
    <row r="124" spans="2:54" ht="15.95" hidden="1" customHeight="1">
      <c r="B124" s="929">
        <v>55</v>
      </c>
      <c r="C124" s="8"/>
      <c r="D124" s="8"/>
      <c r="E124" s="8"/>
      <c r="F124" s="8"/>
      <c r="G124" s="8"/>
      <c r="H124" s="8"/>
      <c r="I124" s="8"/>
      <c r="J124" s="8"/>
      <c r="K124" s="8"/>
      <c r="L124" s="8"/>
      <c r="M124" s="8"/>
      <c r="N124" s="8"/>
      <c r="O124" s="8"/>
      <c r="P124" s="8"/>
      <c r="Q124" s="8"/>
      <c r="R124" s="8"/>
      <c r="S124" s="8"/>
      <c r="T124" s="8"/>
      <c r="U124" s="8"/>
      <c r="V124" s="8"/>
      <c r="W124" s="8"/>
      <c r="X124" s="8"/>
      <c r="Y124" s="8"/>
      <c r="Z124" s="8"/>
      <c r="AA124" s="8"/>
      <c r="AB124" s="8"/>
      <c r="AC124" s="8"/>
      <c r="AD124" s="8"/>
      <c r="AE124" s="8"/>
      <c r="AF124" s="8"/>
      <c r="AG124" s="8"/>
      <c r="AH124" s="8"/>
      <c r="AI124" s="8"/>
      <c r="AJ124" s="8"/>
      <c r="AK124" s="8"/>
      <c r="AL124" s="8"/>
      <c r="AM124" s="8"/>
      <c r="AN124" s="8"/>
      <c r="AO124" s="8"/>
      <c r="AP124" s="8"/>
      <c r="AQ124" s="8"/>
    </row>
    <row r="125" spans="2:54" ht="15.95" hidden="1" customHeight="1">
      <c r="B125" s="929"/>
      <c r="C125" s="8"/>
      <c r="D125" s="8"/>
      <c r="E125" s="8"/>
      <c r="F125" s="8"/>
      <c r="G125" s="8"/>
      <c r="H125" s="8"/>
      <c r="I125" s="8"/>
      <c r="J125" s="8"/>
      <c r="K125" s="8"/>
      <c r="L125" s="8"/>
      <c r="M125" s="8"/>
      <c r="N125" s="8"/>
      <c r="O125" s="8"/>
      <c r="P125" s="8"/>
      <c r="Q125" s="8"/>
      <c r="R125" s="8"/>
      <c r="S125" s="8"/>
      <c r="T125" s="8"/>
      <c r="U125" s="8"/>
      <c r="V125" s="8"/>
      <c r="W125" s="8"/>
      <c r="X125" s="8"/>
      <c r="Y125" s="8"/>
      <c r="Z125" s="8"/>
      <c r="AA125" s="8"/>
      <c r="AB125" s="8"/>
      <c r="AC125" s="8"/>
      <c r="AD125" s="8"/>
      <c r="AE125" s="8"/>
      <c r="AF125" s="8"/>
      <c r="AG125" s="8"/>
      <c r="AH125" s="8"/>
      <c r="AI125" s="8"/>
      <c r="AJ125" s="8"/>
      <c r="AK125" s="8"/>
      <c r="AL125" s="8"/>
      <c r="AM125" s="8"/>
      <c r="AN125" s="8"/>
      <c r="AO125" s="8"/>
      <c r="AP125" s="8"/>
      <c r="AQ125" s="8"/>
    </row>
    <row r="126" spans="2:54" ht="15.95" hidden="1" customHeight="1">
      <c r="B126" s="929">
        <v>56</v>
      </c>
      <c r="C126" s="8"/>
      <c r="D126" s="8"/>
      <c r="E126" s="8"/>
      <c r="F126" s="8"/>
      <c r="G126" s="8"/>
      <c r="H126" s="8"/>
      <c r="I126" s="8"/>
      <c r="J126" s="8"/>
      <c r="K126" s="8"/>
      <c r="L126" s="8"/>
      <c r="M126" s="8"/>
      <c r="N126" s="8"/>
      <c r="O126" s="8"/>
      <c r="P126" s="8"/>
      <c r="Q126" s="8"/>
      <c r="R126" s="8"/>
      <c r="S126" s="8"/>
      <c r="T126" s="8"/>
      <c r="U126" s="8"/>
      <c r="V126" s="8"/>
      <c r="W126" s="8"/>
      <c r="X126" s="8"/>
      <c r="Y126" s="8"/>
      <c r="Z126" s="8"/>
      <c r="AA126" s="8"/>
      <c r="AB126" s="8"/>
      <c r="AC126" s="8"/>
      <c r="AD126" s="8"/>
      <c r="AE126" s="8"/>
      <c r="AF126" s="8"/>
      <c r="AG126" s="8"/>
      <c r="AH126" s="8"/>
      <c r="AI126" s="8"/>
      <c r="AJ126" s="8"/>
      <c r="AK126" s="8"/>
      <c r="AL126" s="8"/>
      <c r="AM126" s="8"/>
      <c r="AN126" s="8"/>
      <c r="AO126" s="8"/>
      <c r="AP126" s="8"/>
      <c r="AQ126" s="8"/>
    </row>
    <row r="127" spans="2:54" ht="15.95" hidden="1" customHeight="1">
      <c r="B127" s="929"/>
      <c r="C127" s="8"/>
      <c r="D127" s="8"/>
      <c r="E127" s="8"/>
      <c r="F127" s="8"/>
      <c r="G127" s="8"/>
      <c r="H127" s="8"/>
      <c r="I127" s="8"/>
      <c r="J127" s="8"/>
      <c r="K127" s="8"/>
      <c r="L127" s="8"/>
      <c r="M127" s="8"/>
      <c r="N127" s="8"/>
      <c r="O127" s="8"/>
      <c r="P127" s="8"/>
      <c r="Q127" s="8"/>
      <c r="R127" s="8"/>
      <c r="S127" s="8"/>
      <c r="T127" s="8"/>
      <c r="U127" s="8"/>
      <c r="V127" s="8"/>
      <c r="W127" s="8"/>
      <c r="X127" s="8"/>
      <c r="Y127" s="8"/>
      <c r="Z127" s="8"/>
      <c r="AA127" s="8"/>
      <c r="AB127" s="8"/>
      <c r="AC127" s="8"/>
      <c r="AD127" s="8"/>
      <c r="AE127" s="8"/>
      <c r="AF127" s="8"/>
      <c r="AG127" s="8"/>
      <c r="AH127" s="8"/>
      <c r="AI127" s="8"/>
      <c r="AJ127" s="8"/>
      <c r="AK127" s="8"/>
      <c r="AL127" s="8"/>
      <c r="AM127" s="8"/>
      <c r="AN127" s="8"/>
      <c r="AO127" s="8"/>
      <c r="AP127" s="8"/>
      <c r="AQ127" s="8"/>
    </row>
    <row r="128" spans="2:54" ht="15.95" hidden="1" customHeight="1">
      <c r="B128" s="929">
        <v>57</v>
      </c>
      <c r="C128" s="8"/>
      <c r="D128" s="8"/>
      <c r="E128" s="8"/>
      <c r="F128" s="8"/>
      <c r="G128" s="8"/>
      <c r="H128" s="8"/>
      <c r="I128" s="8"/>
      <c r="J128" s="8"/>
      <c r="K128" s="8"/>
      <c r="L128" s="8"/>
      <c r="M128" s="8"/>
      <c r="N128" s="8"/>
      <c r="O128" s="8"/>
      <c r="P128" s="8"/>
      <c r="Q128" s="8"/>
      <c r="R128" s="8"/>
      <c r="S128" s="8"/>
      <c r="T128" s="8"/>
      <c r="U128" s="8"/>
      <c r="V128" s="8"/>
      <c r="W128" s="8"/>
      <c r="X128" s="8"/>
      <c r="Y128" s="8"/>
      <c r="Z128" s="8"/>
      <c r="AA128" s="8"/>
      <c r="AB128" s="8"/>
      <c r="AC128" s="8"/>
      <c r="AD128" s="8"/>
      <c r="AE128" s="8"/>
      <c r="AF128" s="8"/>
      <c r="AG128" s="8"/>
      <c r="AH128" s="8"/>
      <c r="AI128" s="8"/>
      <c r="AJ128" s="8"/>
      <c r="AK128" s="8"/>
      <c r="AL128" s="8"/>
      <c r="AM128" s="8"/>
      <c r="AN128" s="8"/>
      <c r="AO128" s="8"/>
      <c r="AP128" s="8"/>
      <c r="AQ128" s="8"/>
    </row>
    <row r="129" spans="2:43" ht="15.95" hidden="1" customHeight="1">
      <c r="B129" s="929"/>
      <c r="C129" s="8"/>
      <c r="D129" s="8"/>
      <c r="E129" s="8"/>
      <c r="F129" s="8"/>
      <c r="G129" s="8"/>
      <c r="H129" s="8"/>
      <c r="I129" s="8"/>
      <c r="J129" s="8"/>
      <c r="K129" s="8"/>
      <c r="L129" s="8"/>
      <c r="M129" s="8"/>
      <c r="N129" s="8"/>
      <c r="O129" s="8"/>
      <c r="P129" s="8"/>
      <c r="Q129" s="8"/>
      <c r="R129" s="8"/>
      <c r="S129" s="8"/>
      <c r="T129" s="8"/>
      <c r="U129" s="8"/>
      <c r="V129" s="8"/>
      <c r="W129" s="8"/>
      <c r="X129" s="8"/>
      <c r="Y129" s="8"/>
      <c r="Z129" s="8"/>
      <c r="AA129" s="8"/>
      <c r="AB129" s="8"/>
      <c r="AC129" s="8"/>
      <c r="AD129" s="8"/>
      <c r="AE129" s="8"/>
      <c r="AF129" s="8"/>
      <c r="AG129" s="8"/>
      <c r="AH129" s="8"/>
      <c r="AI129" s="8"/>
      <c r="AJ129" s="8"/>
      <c r="AK129" s="8"/>
      <c r="AL129" s="8"/>
      <c r="AM129" s="8"/>
      <c r="AN129" s="8"/>
      <c r="AO129" s="8"/>
      <c r="AP129" s="8"/>
      <c r="AQ129" s="8"/>
    </row>
    <row r="130" spans="2:43" ht="15.95" hidden="1" customHeight="1">
      <c r="B130" s="929">
        <v>58</v>
      </c>
      <c r="C130" s="8"/>
      <c r="D130" s="8"/>
      <c r="E130" s="8"/>
      <c r="F130" s="8"/>
      <c r="G130" s="8"/>
      <c r="H130" s="8"/>
      <c r="I130" s="8"/>
      <c r="J130" s="8"/>
      <c r="K130" s="8"/>
      <c r="L130" s="8"/>
      <c r="M130" s="8"/>
      <c r="N130" s="8"/>
      <c r="O130" s="8"/>
      <c r="P130" s="8"/>
      <c r="Q130" s="8"/>
      <c r="R130" s="8"/>
      <c r="S130" s="8"/>
      <c r="T130" s="8"/>
      <c r="U130" s="8"/>
      <c r="V130" s="8"/>
      <c r="W130" s="8"/>
      <c r="X130" s="8"/>
      <c r="Y130" s="8"/>
      <c r="Z130" s="8"/>
      <c r="AA130" s="8"/>
      <c r="AB130" s="8"/>
      <c r="AC130" s="8"/>
      <c r="AD130" s="8"/>
      <c r="AE130" s="8"/>
      <c r="AF130" s="8"/>
      <c r="AG130" s="8"/>
      <c r="AH130" s="8"/>
      <c r="AI130" s="8"/>
      <c r="AJ130" s="8"/>
      <c r="AK130" s="8"/>
      <c r="AL130" s="8"/>
      <c r="AM130" s="8"/>
      <c r="AN130" s="8"/>
      <c r="AO130" s="8"/>
      <c r="AP130" s="8"/>
      <c r="AQ130" s="8"/>
    </row>
    <row r="131" spans="2:43" ht="15.95" hidden="1" customHeight="1">
      <c r="B131" s="929"/>
      <c r="C131" s="8"/>
      <c r="D131" s="8"/>
      <c r="E131" s="8"/>
      <c r="F131" s="8"/>
      <c r="G131" s="8"/>
      <c r="H131" s="8"/>
      <c r="I131" s="8"/>
      <c r="J131" s="8"/>
      <c r="K131" s="8"/>
      <c r="L131" s="8"/>
      <c r="M131" s="8"/>
      <c r="N131" s="8"/>
      <c r="O131" s="8"/>
      <c r="P131" s="8"/>
      <c r="Q131" s="8"/>
      <c r="R131" s="8"/>
      <c r="S131" s="8"/>
      <c r="T131" s="8"/>
      <c r="U131" s="8"/>
      <c r="V131" s="8"/>
      <c r="W131" s="8"/>
      <c r="X131" s="8"/>
      <c r="Y131" s="8"/>
      <c r="Z131" s="8"/>
      <c r="AA131" s="8"/>
      <c r="AB131" s="8"/>
      <c r="AC131" s="8"/>
      <c r="AD131" s="8"/>
      <c r="AE131" s="8"/>
      <c r="AF131" s="8"/>
      <c r="AG131" s="8"/>
      <c r="AH131" s="8"/>
      <c r="AI131" s="8"/>
      <c r="AJ131" s="8"/>
      <c r="AK131" s="8"/>
      <c r="AL131" s="8"/>
      <c r="AM131" s="8"/>
      <c r="AN131" s="8"/>
      <c r="AO131" s="8"/>
      <c r="AP131" s="8"/>
      <c r="AQ131" s="8"/>
    </row>
    <row r="132" spans="2:43" ht="15.95" hidden="1" customHeight="1">
      <c r="B132" s="929">
        <v>59</v>
      </c>
      <c r="C132" s="8"/>
      <c r="D132" s="8"/>
      <c r="E132" s="8"/>
      <c r="F132" s="8"/>
      <c r="G132" s="8"/>
      <c r="H132" s="8"/>
      <c r="I132" s="8"/>
      <c r="J132" s="8"/>
      <c r="K132" s="8"/>
      <c r="L132" s="8"/>
      <c r="M132" s="8"/>
      <c r="N132" s="8"/>
      <c r="O132" s="8"/>
      <c r="P132" s="8"/>
      <c r="Q132" s="8"/>
      <c r="R132" s="8"/>
      <c r="S132" s="8"/>
      <c r="T132" s="8"/>
      <c r="U132" s="8"/>
      <c r="V132" s="8"/>
      <c r="W132" s="8"/>
      <c r="X132" s="8"/>
      <c r="Y132" s="8"/>
      <c r="Z132" s="8"/>
      <c r="AA132" s="8"/>
      <c r="AB132" s="8"/>
      <c r="AC132" s="8"/>
      <c r="AD132" s="8"/>
      <c r="AE132" s="8"/>
      <c r="AF132" s="8"/>
      <c r="AG132" s="8"/>
      <c r="AH132" s="8"/>
      <c r="AI132" s="8"/>
      <c r="AJ132" s="8"/>
      <c r="AK132" s="8"/>
      <c r="AL132" s="8"/>
      <c r="AM132" s="8"/>
      <c r="AN132" s="8"/>
      <c r="AO132" s="8"/>
      <c r="AP132" s="8"/>
      <c r="AQ132" s="8"/>
    </row>
    <row r="133" spans="2:43" ht="15.95" hidden="1" customHeight="1">
      <c r="B133" s="929"/>
      <c r="C133" s="8"/>
      <c r="D133" s="8"/>
      <c r="E133" s="8"/>
      <c r="F133" s="8"/>
      <c r="G133" s="8"/>
      <c r="H133" s="8"/>
      <c r="I133" s="8"/>
      <c r="J133" s="8"/>
      <c r="K133" s="8"/>
      <c r="L133" s="8"/>
      <c r="M133" s="8"/>
      <c r="N133" s="8"/>
      <c r="O133" s="8"/>
      <c r="P133" s="8"/>
      <c r="Q133" s="8"/>
      <c r="R133" s="8"/>
      <c r="S133" s="8"/>
      <c r="T133" s="8"/>
      <c r="U133" s="8"/>
      <c r="V133" s="8"/>
      <c r="W133" s="8"/>
      <c r="X133" s="8"/>
      <c r="Y133" s="8"/>
      <c r="Z133" s="8"/>
      <c r="AA133" s="8"/>
      <c r="AB133" s="8"/>
      <c r="AC133" s="8"/>
      <c r="AD133" s="8"/>
      <c r="AE133" s="8"/>
      <c r="AF133" s="8"/>
      <c r="AG133" s="8"/>
      <c r="AH133" s="8"/>
      <c r="AI133" s="8"/>
      <c r="AJ133" s="8"/>
      <c r="AK133" s="8"/>
      <c r="AL133" s="8"/>
      <c r="AM133" s="8"/>
      <c r="AN133" s="8"/>
      <c r="AO133" s="8"/>
      <c r="AP133" s="8"/>
      <c r="AQ133" s="8"/>
    </row>
    <row r="134" spans="2:43" ht="15.95" hidden="1" customHeight="1">
      <c r="B134" s="929">
        <v>60</v>
      </c>
      <c r="C134" s="8"/>
      <c r="D134" s="8"/>
      <c r="E134" s="8"/>
      <c r="F134" s="8"/>
      <c r="G134" s="8"/>
      <c r="H134" s="8"/>
      <c r="I134" s="8"/>
      <c r="J134" s="8"/>
      <c r="K134" s="8"/>
      <c r="L134" s="8"/>
      <c r="M134" s="8"/>
      <c r="N134" s="8"/>
      <c r="O134" s="8"/>
      <c r="P134" s="8"/>
      <c r="Q134" s="8"/>
      <c r="R134" s="8"/>
      <c r="S134" s="8"/>
      <c r="T134" s="8"/>
      <c r="U134" s="8"/>
      <c r="V134" s="8"/>
      <c r="W134" s="8"/>
      <c r="X134" s="8"/>
      <c r="Y134" s="8"/>
      <c r="Z134" s="8"/>
      <c r="AA134" s="8"/>
      <c r="AB134" s="8"/>
      <c r="AC134" s="8"/>
      <c r="AD134" s="8"/>
      <c r="AE134" s="8"/>
      <c r="AF134" s="8"/>
      <c r="AG134" s="8"/>
      <c r="AH134" s="8"/>
      <c r="AI134" s="8"/>
      <c r="AJ134" s="8"/>
      <c r="AK134" s="8"/>
      <c r="AL134" s="8"/>
      <c r="AM134" s="8"/>
      <c r="AN134" s="8"/>
      <c r="AO134" s="8"/>
      <c r="AP134" s="8"/>
      <c r="AQ134" s="8"/>
    </row>
    <row r="135" spans="2:43" ht="15.95" hidden="1" customHeight="1">
      <c r="B135" s="929"/>
      <c r="C135" s="8"/>
      <c r="D135" s="8"/>
      <c r="E135" s="8"/>
      <c r="F135" s="8"/>
      <c r="G135" s="8"/>
      <c r="H135" s="8"/>
      <c r="I135" s="8"/>
      <c r="J135" s="8"/>
      <c r="K135" s="8"/>
      <c r="L135" s="8"/>
      <c r="M135" s="8"/>
      <c r="N135" s="8"/>
      <c r="O135" s="8"/>
      <c r="P135" s="8"/>
      <c r="Q135" s="8"/>
      <c r="R135" s="8"/>
      <c r="S135" s="8"/>
      <c r="T135" s="8"/>
      <c r="U135" s="8"/>
      <c r="V135" s="8"/>
      <c r="W135" s="8"/>
      <c r="X135" s="8"/>
      <c r="Y135" s="8"/>
      <c r="Z135" s="8"/>
      <c r="AA135" s="8"/>
      <c r="AB135" s="8"/>
      <c r="AC135" s="8"/>
      <c r="AD135" s="8"/>
      <c r="AE135" s="8"/>
      <c r="AF135" s="8"/>
      <c r="AG135" s="8"/>
      <c r="AH135" s="8"/>
      <c r="AI135" s="8"/>
      <c r="AJ135" s="8"/>
      <c r="AK135" s="8"/>
      <c r="AL135" s="8"/>
      <c r="AM135" s="8"/>
      <c r="AN135" s="8"/>
      <c r="AO135" s="8"/>
      <c r="AP135" s="8"/>
      <c r="AQ135" s="8"/>
    </row>
    <row r="136" spans="2:43" ht="15.95" hidden="1" customHeight="1">
      <c r="B136" s="929">
        <v>61</v>
      </c>
      <c r="C136" s="8"/>
      <c r="D136" s="8"/>
      <c r="E136" s="8"/>
      <c r="F136" s="8"/>
      <c r="G136" s="8"/>
      <c r="H136" s="8"/>
      <c r="I136" s="8"/>
      <c r="J136" s="8"/>
      <c r="K136" s="8"/>
      <c r="L136" s="8"/>
      <c r="M136" s="8"/>
      <c r="N136" s="8"/>
      <c r="O136" s="8"/>
      <c r="P136" s="8"/>
      <c r="Q136" s="8"/>
      <c r="R136" s="8"/>
      <c r="S136" s="8"/>
      <c r="T136" s="8"/>
      <c r="U136" s="8"/>
      <c r="V136" s="8"/>
      <c r="W136" s="8"/>
      <c r="X136" s="8"/>
      <c r="Y136" s="8"/>
      <c r="Z136" s="8"/>
      <c r="AA136" s="8"/>
      <c r="AB136" s="8"/>
      <c r="AC136" s="8"/>
      <c r="AD136" s="8"/>
      <c r="AE136" s="8"/>
      <c r="AF136" s="8"/>
      <c r="AG136" s="8"/>
      <c r="AH136" s="8"/>
      <c r="AI136" s="8"/>
      <c r="AJ136" s="8"/>
      <c r="AK136" s="8"/>
      <c r="AL136" s="8"/>
      <c r="AM136" s="8"/>
      <c r="AN136" s="8"/>
      <c r="AO136" s="8"/>
      <c r="AP136" s="8"/>
      <c r="AQ136" s="8"/>
    </row>
    <row r="137" spans="2:43" ht="15.95" hidden="1" customHeight="1">
      <c r="B137" s="929"/>
      <c r="C137" s="8"/>
      <c r="D137" s="8"/>
      <c r="E137" s="8"/>
      <c r="F137" s="8"/>
      <c r="G137" s="8"/>
      <c r="H137" s="8"/>
      <c r="I137" s="8"/>
      <c r="J137" s="8"/>
      <c r="K137" s="8"/>
      <c r="L137" s="8"/>
      <c r="M137" s="8"/>
      <c r="N137" s="8"/>
      <c r="O137" s="8"/>
      <c r="P137" s="8"/>
      <c r="Q137" s="8"/>
      <c r="R137" s="8"/>
      <c r="S137" s="8"/>
      <c r="T137" s="8"/>
      <c r="U137" s="8"/>
      <c r="V137" s="8"/>
      <c r="W137" s="8"/>
      <c r="X137" s="8"/>
      <c r="Y137" s="8"/>
      <c r="Z137" s="8"/>
      <c r="AA137" s="8"/>
      <c r="AB137" s="8"/>
      <c r="AC137" s="8"/>
      <c r="AD137" s="8"/>
      <c r="AE137" s="8"/>
      <c r="AF137" s="8"/>
      <c r="AG137" s="8"/>
      <c r="AH137" s="8"/>
      <c r="AI137" s="8"/>
      <c r="AJ137" s="8"/>
      <c r="AK137" s="8"/>
      <c r="AL137" s="8"/>
      <c r="AM137" s="8"/>
      <c r="AN137" s="8"/>
      <c r="AO137" s="8"/>
      <c r="AP137" s="8"/>
      <c r="AQ137" s="8"/>
    </row>
    <row r="138" spans="2:43" ht="15.95" hidden="1" customHeight="1">
      <c r="B138" s="929">
        <v>62</v>
      </c>
      <c r="C138" s="8"/>
      <c r="D138" s="8"/>
      <c r="E138" s="8"/>
      <c r="F138" s="8"/>
      <c r="G138" s="8"/>
      <c r="H138" s="8"/>
      <c r="I138" s="8"/>
      <c r="J138" s="8"/>
      <c r="K138" s="8"/>
      <c r="L138" s="8"/>
      <c r="M138" s="8"/>
      <c r="N138" s="8"/>
      <c r="O138" s="8"/>
      <c r="P138" s="8"/>
      <c r="Q138" s="8"/>
      <c r="R138" s="8"/>
      <c r="S138" s="8"/>
      <c r="T138" s="8"/>
      <c r="U138" s="8"/>
      <c r="V138" s="8"/>
      <c r="W138" s="8"/>
      <c r="X138" s="8"/>
      <c r="Y138" s="8"/>
      <c r="Z138" s="8"/>
      <c r="AA138" s="8"/>
      <c r="AB138" s="8"/>
      <c r="AC138" s="8"/>
      <c r="AD138" s="8"/>
      <c r="AE138" s="8"/>
      <c r="AF138" s="8"/>
      <c r="AG138" s="8"/>
      <c r="AH138" s="8"/>
      <c r="AI138" s="8"/>
      <c r="AJ138" s="8"/>
      <c r="AK138" s="8"/>
      <c r="AL138" s="8"/>
      <c r="AM138" s="8"/>
      <c r="AN138" s="8"/>
      <c r="AO138" s="8"/>
      <c r="AP138" s="8"/>
      <c r="AQ138" s="8"/>
    </row>
    <row r="139" spans="2:43" ht="15.95" hidden="1" customHeight="1">
      <c r="B139" s="929"/>
      <c r="C139" s="8"/>
      <c r="D139" s="8"/>
      <c r="E139" s="8"/>
      <c r="F139" s="8"/>
      <c r="G139" s="8"/>
      <c r="H139" s="8"/>
      <c r="I139" s="8"/>
      <c r="J139" s="8"/>
      <c r="K139" s="8"/>
      <c r="L139" s="8"/>
      <c r="M139" s="8"/>
      <c r="N139" s="8"/>
      <c r="O139" s="8"/>
      <c r="P139" s="8"/>
      <c r="Q139" s="8"/>
      <c r="R139" s="8"/>
      <c r="S139" s="8"/>
      <c r="T139" s="8"/>
      <c r="U139" s="8"/>
      <c r="V139" s="8"/>
      <c r="W139" s="8"/>
      <c r="X139" s="8"/>
      <c r="Y139" s="8"/>
      <c r="Z139" s="8"/>
      <c r="AA139" s="8"/>
      <c r="AB139" s="8"/>
      <c r="AC139" s="8"/>
      <c r="AD139" s="8"/>
      <c r="AE139" s="8"/>
      <c r="AF139" s="8"/>
      <c r="AG139" s="8"/>
      <c r="AH139" s="8"/>
      <c r="AI139" s="8"/>
      <c r="AJ139" s="8"/>
      <c r="AK139" s="8"/>
      <c r="AL139" s="8"/>
      <c r="AM139" s="8"/>
      <c r="AN139" s="8"/>
      <c r="AO139" s="8"/>
      <c r="AP139" s="8"/>
      <c r="AQ139" s="8"/>
    </row>
    <row r="140" spans="2:43" ht="15.95" hidden="1" customHeight="1">
      <c r="B140" s="929">
        <v>63</v>
      </c>
      <c r="C140" s="8"/>
      <c r="D140" s="8"/>
      <c r="E140" s="8"/>
      <c r="F140" s="8"/>
      <c r="G140" s="8"/>
      <c r="H140" s="8"/>
      <c r="I140" s="8"/>
      <c r="J140" s="8"/>
      <c r="K140" s="8"/>
      <c r="L140" s="8"/>
      <c r="M140" s="8"/>
      <c r="N140" s="8"/>
      <c r="O140" s="8"/>
      <c r="P140" s="8"/>
      <c r="Q140" s="8"/>
      <c r="R140" s="8"/>
      <c r="S140" s="8"/>
      <c r="T140" s="8"/>
      <c r="U140" s="8"/>
      <c r="V140" s="8"/>
      <c r="W140" s="8"/>
      <c r="X140" s="8"/>
      <c r="Y140" s="8"/>
      <c r="Z140" s="8"/>
      <c r="AA140" s="8"/>
      <c r="AB140" s="8"/>
      <c r="AC140" s="8"/>
      <c r="AD140" s="8"/>
      <c r="AE140" s="8"/>
      <c r="AF140" s="8"/>
      <c r="AG140" s="8"/>
      <c r="AH140" s="8"/>
      <c r="AI140" s="8"/>
      <c r="AJ140" s="8"/>
      <c r="AK140" s="8"/>
      <c r="AL140" s="8"/>
      <c r="AM140" s="8"/>
      <c r="AN140" s="8"/>
      <c r="AO140" s="8"/>
      <c r="AP140" s="8"/>
      <c r="AQ140" s="8"/>
    </row>
    <row r="141" spans="2:43" ht="15.95" hidden="1" customHeight="1">
      <c r="B141" s="929"/>
      <c r="C141" s="8"/>
      <c r="D141" s="8"/>
      <c r="E141" s="8"/>
      <c r="F141" s="8"/>
      <c r="G141" s="8"/>
      <c r="H141" s="8"/>
      <c r="I141" s="8"/>
      <c r="J141" s="8"/>
      <c r="K141" s="8"/>
      <c r="L141" s="8"/>
      <c r="M141" s="8"/>
      <c r="N141" s="8"/>
      <c r="O141" s="8"/>
      <c r="P141" s="8"/>
      <c r="Q141" s="8"/>
      <c r="R141" s="8"/>
      <c r="S141" s="8"/>
      <c r="T141" s="8"/>
      <c r="U141" s="8"/>
      <c r="V141" s="8"/>
      <c r="W141" s="8"/>
      <c r="X141" s="8"/>
      <c r="Y141" s="8"/>
      <c r="Z141" s="8"/>
      <c r="AA141" s="8"/>
      <c r="AB141" s="8"/>
      <c r="AC141" s="8"/>
      <c r="AD141" s="8"/>
      <c r="AE141" s="8"/>
      <c r="AF141" s="8"/>
      <c r="AG141" s="8"/>
      <c r="AH141" s="8"/>
      <c r="AI141" s="8"/>
      <c r="AJ141" s="8"/>
      <c r="AK141" s="8"/>
      <c r="AL141" s="8"/>
      <c r="AM141" s="8"/>
      <c r="AN141" s="8"/>
      <c r="AO141" s="8"/>
      <c r="AP141" s="8"/>
      <c r="AQ141" s="8"/>
    </row>
    <row r="142" spans="2:43" ht="15.95" hidden="1" customHeight="1">
      <c r="B142" s="929">
        <v>64</v>
      </c>
      <c r="C142" s="8"/>
      <c r="D142" s="8"/>
      <c r="E142" s="8"/>
      <c r="F142" s="8"/>
      <c r="G142" s="8"/>
      <c r="H142" s="8"/>
      <c r="I142" s="8"/>
      <c r="J142" s="8"/>
      <c r="K142" s="8"/>
      <c r="L142" s="8"/>
      <c r="M142" s="8"/>
      <c r="N142" s="8"/>
      <c r="O142" s="8"/>
      <c r="P142" s="8"/>
      <c r="Q142" s="8"/>
      <c r="R142" s="8"/>
      <c r="S142" s="8"/>
      <c r="T142" s="8"/>
      <c r="U142" s="8"/>
      <c r="V142" s="8"/>
      <c r="W142" s="8"/>
      <c r="X142" s="8"/>
      <c r="Y142" s="8"/>
      <c r="Z142" s="8"/>
      <c r="AA142" s="8"/>
      <c r="AB142" s="8"/>
      <c r="AC142" s="8"/>
      <c r="AD142" s="8"/>
      <c r="AE142" s="8"/>
      <c r="AF142" s="8"/>
      <c r="AG142" s="8"/>
      <c r="AH142" s="8"/>
      <c r="AI142" s="8"/>
      <c r="AJ142" s="8"/>
      <c r="AK142" s="8"/>
      <c r="AL142" s="8"/>
      <c r="AM142" s="8"/>
      <c r="AN142" s="8"/>
      <c r="AO142" s="8"/>
      <c r="AP142" s="8"/>
      <c r="AQ142" s="8"/>
    </row>
    <row r="143" spans="2:43" ht="15.95" hidden="1" customHeight="1">
      <c r="B143" s="929"/>
      <c r="C143" s="8"/>
      <c r="D143" s="8"/>
      <c r="E143" s="8"/>
      <c r="F143" s="8"/>
      <c r="G143" s="8"/>
      <c r="H143" s="8"/>
      <c r="I143" s="8"/>
      <c r="J143" s="8"/>
      <c r="K143" s="8"/>
      <c r="L143" s="8"/>
      <c r="M143" s="8"/>
      <c r="N143" s="8"/>
      <c r="O143" s="8"/>
      <c r="P143" s="8"/>
      <c r="Q143" s="8"/>
      <c r="R143" s="8"/>
      <c r="S143" s="8"/>
      <c r="T143" s="8"/>
      <c r="U143" s="8"/>
      <c r="V143" s="8"/>
      <c r="W143" s="8"/>
      <c r="X143" s="8"/>
      <c r="Y143" s="8"/>
      <c r="Z143" s="8"/>
      <c r="AA143" s="8"/>
      <c r="AB143" s="8"/>
      <c r="AC143" s="8"/>
      <c r="AD143" s="8"/>
      <c r="AE143" s="8"/>
      <c r="AF143" s="8"/>
      <c r="AG143" s="8"/>
      <c r="AH143" s="8"/>
      <c r="AI143" s="8"/>
      <c r="AJ143" s="8"/>
      <c r="AK143" s="8"/>
      <c r="AL143" s="8"/>
      <c r="AM143" s="8"/>
      <c r="AN143" s="8"/>
      <c r="AO143" s="8"/>
      <c r="AP143" s="8"/>
      <c r="AQ143" s="8"/>
    </row>
    <row r="144" spans="2:43" ht="15.75" hidden="1" customHeight="1">
      <c r="B144" s="929">
        <v>65</v>
      </c>
      <c r="C144" s="8"/>
      <c r="D144" s="8"/>
      <c r="E144" s="8"/>
      <c r="F144" s="8"/>
      <c r="G144" s="8"/>
      <c r="H144" s="8"/>
      <c r="I144" s="8"/>
      <c r="J144" s="8"/>
      <c r="K144" s="8"/>
      <c r="L144" s="8"/>
      <c r="M144" s="8"/>
      <c r="N144" s="8"/>
      <c r="O144" s="8"/>
      <c r="P144" s="8"/>
      <c r="Q144" s="8"/>
      <c r="R144" s="8"/>
      <c r="S144" s="8"/>
      <c r="T144" s="8"/>
      <c r="U144" s="8"/>
      <c r="V144" s="8"/>
      <c r="W144" s="8"/>
      <c r="X144" s="8"/>
      <c r="Y144" s="8"/>
      <c r="Z144" s="8"/>
      <c r="AA144" s="8"/>
      <c r="AB144" s="8"/>
      <c r="AC144" s="8"/>
      <c r="AD144" s="8"/>
      <c r="AE144" s="8"/>
      <c r="AF144" s="8"/>
      <c r="AG144" s="8"/>
      <c r="AH144" s="8"/>
      <c r="AI144" s="8"/>
      <c r="AJ144" s="8"/>
      <c r="AK144" s="8"/>
      <c r="AL144" s="8"/>
      <c r="AM144" s="8"/>
      <c r="AN144" s="8"/>
      <c r="AO144" s="8"/>
      <c r="AP144" s="8"/>
      <c r="AQ144" s="8"/>
    </row>
    <row r="145" spans="2:43" hidden="1">
      <c r="B145" s="929"/>
      <c r="C145" s="8"/>
      <c r="D145" s="8"/>
      <c r="E145" s="8"/>
      <c r="F145" s="8"/>
      <c r="G145" s="8"/>
      <c r="H145" s="8"/>
      <c r="I145" s="8"/>
      <c r="J145" s="8"/>
      <c r="K145" s="8"/>
      <c r="L145" s="8"/>
      <c r="M145" s="8"/>
      <c r="N145" s="8"/>
      <c r="O145" s="8"/>
      <c r="P145" s="8"/>
      <c r="Q145" s="8"/>
      <c r="R145" s="8"/>
      <c r="S145" s="8"/>
      <c r="T145" s="8"/>
      <c r="U145" s="8"/>
      <c r="V145" s="8"/>
      <c r="W145" s="8"/>
      <c r="X145" s="8"/>
      <c r="Y145" s="8"/>
      <c r="Z145" s="8"/>
      <c r="AA145" s="8"/>
      <c r="AB145" s="8"/>
      <c r="AC145" s="8"/>
      <c r="AD145" s="8"/>
      <c r="AE145" s="8"/>
      <c r="AF145" s="8"/>
      <c r="AG145" s="8"/>
      <c r="AH145" s="8"/>
      <c r="AI145" s="8"/>
      <c r="AJ145" s="8"/>
      <c r="AK145" s="8"/>
      <c r="AL145" s="8"/>
      <c r="AM145" s="8"/>
      <c r="AN145" s="8"/>
      <c r="AO145" s="8"/>
      <c r="AP145" s="8"/>
      <c r="AQ145" s="8"/>
    </row>
    <row r="146" spans="2:43" ht="15.95" hidden="1" customHeight="1">
      <c r="B146" s="929">
        <v>66</v>
      </c>
      <c r="C146" s="8"/>
      <c r="D146" s="8"/>
      <c r="E146" s="8"/>
      <c r="F146" s="8"/>
      <c r="G146" s="8"/>
      <c r="H146" s="8"/>
      <c r="I146" s="8"/>
      <c r="J146" s="8"/>
      <c r="K146" s="8"/>
      <c r="L146" s="8"/>
      <c r="M146" s="8"/>
      <c r="N146" s="8"/>
      <c r="O146" s="8"/>
      <c r="P146" s="8"/>
      <c r="Q146" s="8"/>
      <c r="R146" s="8"/>
      <c r="S146" s="8"/>
      <c r="T146" s="8"/>
      <c r="U146" s="8"/>
      <c r="V146" s="8"/>
      <c r="W146" s="8"/>
      <c r="X146" s="8"/>
      <c r="Y146" s="8"/>
      <c r="Z146" s="8"/>
      <c r="AA146" s="8"/>
      <c r="AB146" s="8"/>
      <c r="AC146" s="8"/>
      <c r="AD146" s="8"/>
      <c r="AE146" s="8"/>
      <c r="AF146" s="8"/>
      <c r="AG146" s="8"/>
      <c r="AH146" s="8"/>
      <c r="AI146" s="8"/>
      <c r="AJ146" s="8"/>
      <c r="AK146" s="8"/>
      <c r="AL146" s="8"/>
      <c r="AM146" s="8"/>
      <c r="AN146" s="8"/>
      <c r="AO146" s="8"/>
      <c r="AP146" s="8"/>
      <c r="AQ146" s="8"/>
    </row>
    <row r="147" spans="2:43" ht="15.95" hidden="1" customHeight="1">
      <c r="B147" s="929"/>
      <c r="C147" s="8"/>
      <c r="D147" s="8"/>
      <c r="E147" s="8"/>
      <c r="F147" s="8"/>
      <c r="G147" s="8"/>
      <c r="H147" s="8"/>
      <c r="I147" s="8"/>
      <c r="J147" s="8"/>
      <c r="K147" s="8"/>
      <c r="L147" s="8"/>
      <c r="M147" s="8"/>
      <c r="N147" s="8"/>
      <c r="O147" s="8"/>
      <c r="P147" s="8"/>
      <c r="Q147" s="8"/>
      <c r="R147" s="8"/>
      <c r="S147" s="8"/>
      <c r="T147" s="8"/>
      <c r="U147" s="8"/>
      <c r="V147" s="8"/>
      <c r="W147" s="8"/>
      <c r="X147" s="8"/>
      <c r="Y147" s="8"/>
      <c r="Z147" s="8"/>
      <c r="AA147" s="8"/>
      <c r="AB147" s="8"/>
      <c r="AC147" s="8"/>
      <c r="AD147" s="8"/>
      <c r="AE147" s="8"/>
      <c r="AF147" s="8"/>
      <c r="AG147" s="8"/>
      <c r="AH147" s="8"/>
      <c r="AI147" s="8"/>
      <c r="AJ147" s="8"/>
      <c r="AK147" s="8"/>
      <c r="AL147" s="8"/>
      <c r="AM147" s="8"/>
      <c r="AN147" s="8"/>
      <c r="AO147" s="8"/>
      <c r="AP147" s="8"/>
      <c r="AQ147" s="8"/>
    </row>
    <row r="148" spans="2:43" ht="15.95" hidden="1" customHeight="1">
      <c r="B148" s="929">
        <v>67</v>
      </c>
      <c r="C148" s="8"/>
      <c r="D148" s="8"/>
      <c r="E148" s="8"/>
      <c r="F148" s="8"/>
      <c r="G148" s="8"/>
      <c r="H148" s="8"/>
      <c r="I148" s="8"/>
      <c r="J148" s="8"/>
      <c r="K148" s="8"/>
      <c r="L148" s="8"/>
      <c r="M148" s="8"/>
      <c r="N148" s="8"/>
      <c r="O148" s="8"/>
      <c r="P148" s="8"/>
      <c r="Q148" s="8"/>
      <c r="R148" s="8"/>
      <c r="S148" s="8"/>
      <c r="T148" s="8"/>
      <c r="U148" s="8"/>
      <c r="V148" s="8"/>
      <c r="W148" s="8"/>
      <c r="X148" s="8"/>
      <c r="Y148" s="8"/>
      <c r="Z148" s="8"/>
      <c r="AA148" s="8"/>
      <c r="AB148" s="8"/>
      <c r="AC148" s="8"/>
      <c r="AD148" s="8"/>
      <c r="AE148" s="8"/>
      <c r="AF148" s="8"/>
      <c r="AG148" s="8"/>
      <c r="AH148" s="8"/>
      <c r="AI148" s="8"/>
      <c r="AJ148" s="8"/>
      <c r="AK148" s="8"/>
      <c r="AL148" s="8"/>
      <c r="AM148" s="8"/>
      <c r="AN148" s="8"/>
      <c r="AO148" s="8"/>
      <c r="AP148" s="8"/>
      <c r="AQ148" s="8"/>
    </row>
    <row r="149" spans="2:43" ht="15.95" hidden="1" customHeight="1">
      <c r="B149" s="929"/>
      <c r="C149" s="8"/>
      <c r="D149" s="8"/>
      <c r="E149" s="8"/>
      <c r="F149" s="8"/>
      <c r="G149" s="8"/>
      <c r="H149" s="8"/>
      <c r="I149" s="8"/>
      <c r="J149" s="8"/>
      <c r="K149" s="8"/>
      <c r="L149" s="8"/>
      <c r="M149" s="8"/>
      <c r="N149" s="8"/>
      <c r="O149" s="8"/>
      <c r="P149" s="8"/>
      <c r="Q149" s="8"/>
      <c r="R149" s="8"/>
      <c r="S149" s="8"/>
      <c r="T149" s="8"/>
      <c r="U149" s="8"/>
      <c r="V149" s="8"/>
      <c r="W149" s="8"/>
      <c r="X149" s="8"/>
      <c r="Y149" s="8"/>
      <c r="Z149" s="8"/>
      <c r="AA149" s="8"/>
      <c r="AB149" s="8"/>
      <c r="AC149" s="8"/>
      <c r="AD149" s="8"/>
      <c r="AE149" s="8"/>
      <c r="AF149" s="8"/>
      <c r="AG149" s="8"/>
      <c r="AH149" s="8"/>
      <c r="AI149" s="8"/>
      <c r="AJ149" s="8"/>
      <c r="AK149" s="8"/>
      <c r="AL149" s="8"/>
      <c r="AM149" s="8"/>
      <c r="AN149" s="8"/>
      <c r="AO149" s="8"/>
      <c r="AP149" s="8"/>
      <c r="AQ149" s="8"/>
    </row>
    <row r="150" spans="2:43" ht="15.95" hidden="1" customHeight="1">
      <c r="B150" s="929">
        <v>68</v>
      </c>
      <c r="C150" s="8"/>
      <c r="D150" s="8"/>
      <c r="E150" s="8"/>
      <c r="F150" s="8"/>
      <c r="G150" s="8"/>
      <c r="H150" s="8"/>
      <c r="I150" s="8"/>
      <c r="J150" s="8"/>
      <c r="K150" s="8"/>
      <c r="L150" s="8"/>
      <c r="M150" s="8"/>
      <c r="N150" s="8"/>
      <c r="O150" s="8"/>
      <c r="P150" s="8"/>
      <c r="Q150" s="8"/>
      <c r="R150" s="8"/>
      <c r="S150" s="8"/>
      <c r="T150" s="8"/>
      <c r="U150" s="8"/>
      <c r="V150" s="8"/>
      <c r="W150" s="8"/>
      <c r="X150" s="8"/>
      <c r="Y150" s="8"/>
      <c r="Z150" s="8"/>
      <c r="AA150" s="8"/>
      <c r="AB150" s="8"/>
      <c r="AC150" s="8"/>
      <c r="AD150" s="8"/>
      <c r="AE150" s="8"/>
      <c r="AF150" s="8"/>
      <c r="AG150" s="8"/>
      <c r="AH150" s="8"/>
      <c r="AI150" s="8"/>
      <c r="AJ150" s="8"/>
      <c r="AK150" s="8"/>
      <c r="AL150" s="8"/>
      <c r="AM150" s="8"/>
      <c r="AN150" s="8"/>
      <c r="AO150" s="8"/>
      <c r="AP150" s="8"/>
      <c r="AQ150" s="8"/>
    </row>
    <row r="151" spans="2:43" ht="15.95" hidden="1" customHeight="1">
      <c r="B151" s="929"/>
      <c r="C151" s="8"/>
      <c r="D151" s="8"/>
      <c r="E151" s="8"/>
      <c r="F151" s="8"/>
      <c r="G151" s="8"/>
      <c r="H151" s="8"/>
      <c r="I151" s="8"/>
      <c r="J151" s="8"/>
      <c r="K151" s="8"/>
      <c r="L151" s="8"/>
      <c r="M151" s="8"/>
      <c r="N151" s="8"/>
      <c r="O151" s="8"/>
      <c r="P151" s="8"/>
      <c r="Q151" s="8"/>
      <c r="R151" s="8"/>
      <c r="S151" s="8"/>
      <c r="T151" s="8"/>
      <c r="U151" s="8"/>
      <c r="V151" s="8"/>
      <c r="W151" s="8"/>
      <c r="X151" s="8"/>
      <c r="Y151" s="8"/>
      <c r="Z151" s="8"/>
      <c r="AA151" s="8"/>
      <c r="AB151" s="8"/>
      <c r="AC151" s="8"/>
      <c r="AD151" s="8"/>
      <c r="AE151" s="8"/>
      <c r="AF151" s="8"/>
      <c r="AG151" s="8"/>
      <c r="AH151" s="8"/>
      <c r="AI151" s="8"/>
      <c r="AJ151" s="8"/>
      <c r="AK151" s="8"/>
      <c r="AL151" s="8"/>
      <c r="AM151" s="8"/>
      <c r="AN151" s="8"/>
      <c r="AO151" s="8"/>
      <c r="AP151" s="8"/>
      <c r="AQ151" s="8"/>
    </row>
    <row r="152" spans="2:43" ht="15.95" hidden="1" customHeight="1">
      <c r="B152" s="929">
        <v>69</v>
      </c>
      <c r="C152" s="8"/>
      <c r="D152" s="8"/>
      <c r="E152" s="8"/>
      <c r="F152" s="8"/>
      <c r="G152" s="8"/>
      <c r="H152" s="8"/>
      <c r="I152" s="8"/>
      <c r="J152" s="8"/>
      <c r="K152" s="8"/>
      <c r="L152" s="8"/>
      <c r="M152" s="8"/>
      <c r="N152" s="8"/>
      <c r="O152" s="8"/>
      <c r="P152" s="8"/>
      <c r="Q152" s="8"/>
      <c r="R152" s="8"/>
      <c r="S152" s="8"/>
      <c r="T152" s="8"/>
      <c r="U152" s="8"/>
      <c r="V152" s="8"/>
      <c r="W152" s="8"/>
      <c r="X152" s="8"/>
      <c r="Y152" s="8"/>
      <c r="Z152" s="8"/>
      <c r="AA152" s="8"/>
      <c r="AB152" s="8"/>
      <c r="AC152" s="8"/>
      <c r="AD152" s="8"/>
      <c r="AE152" s="8"/>
      <c r="AF152" s="8"/>
      <c r="AG152" s="8"/>
      <c r="AH152" s="8"/>
      <c r="AI152" s="8"/>
      <c r="AJ152" s="8"/>
      <c r="AK152" s="8"/>
      <c r="AL152" s="8"/>
      <c r="AM152" s="8"/>
      <c r="AN152" s="8"/>
      <c r="AO152" s="8"/>
      <c r="AP152" s="8"/>
      <c r="AQ152" s="8"/>
    </row>
    <row r="153" spans="2:43" ht="15.95" hidden="1" customHeight="1">
      <c r="B153" s="929"/>
      <c r="C153" s="8"/>
      <c r="D153" s="8"/>
      <c r="E153" s="8"/>
      <c r="F153" s="8"/>
      <c r="G153" s="8"/>
      <c r="H153" s="8"/>
      <c r="I153" s="8"/>
      <c r="J153" s="8"/>
      <c r="K153" s="8"/>
      <c r="L153" s="8"/>
      <c r="M153" s="8"/>
      <c r="N153" s="8"/>
      <c r="O153" s="8"/>
      <c r="P153" s="8"/>
      <c r="Q153" s="8"/>
      <c r="R153" s="8"/>
      <c r="S153" s="8"/>
      <c r="T153" s="8"/>
      <c r="U153" s="8"/>
      <c r="V153" s="8"/>
      <c r="W153" s="8"/>
      <c r="X153" s="8"/>
      <c r="Y153" s="8"/>
      <c r="Z153" s="8"/>
      <c r="AA153" s="8"/>
      <c r="AB153" s="8"/>
      <c r="AC153" s="8"/>
      <c r="AD153" s="8"/>
      <c r="AE153" s="8"/>
      <c r="AF153" s="8"/>
      <c r="AG153" s="8"/>
      <c r="AH153" s="8"/>
      <c r="AI153" s="8"/>
      <c r="AJ153" s="8"/>
      <c r="AK153" s="8"/>
      <c r="AL153" s="8"/>
      <c r="AM153" s="8"/>
      <c r="AN153" s="8"/>
      <c r="AO153" s="8"/>
      <c r="AP153" s="8"/>
      <c r="AQ153" s="8"/>
    </row>
    <row r="154" spans="2:43" ht="15.95" hidden="1" customHeight="1">
      <c r="B154" s="929">
        <v>70</v>
      </c>
      <c r="C154" s="8"/>
      <c r="D154" s="8"/>
      <c r="E154" s="8"/>
      <c r="F154" s="8"/>
      <c r="G154" s="8"/>
      <c r="H154" s="8"/>
      <c r="I154" s="8"/>
      <c r="J154" s="8"/>
      <c r="K154" s="8"/>
      <c r="L154" s="8"/>
      <c r="M154" s="8"/>
      <c r="N154" s="8"/>
      <c r="O154" s="8"/>
      <c r="P154" s="8"/>
      <c r="Q154" s="8"/>
      <c r="R154" s="8"/>
      <c r="S154" s="8"/>
      <c r="T154" s="8"/>
      <c r="U154" s="8"/>
      <c r="V154" s="8"/>
      <c r="W154" s="8"/>
      <c r="X154" s="8"/>
      <c r="Y154" s="8"/>
      <c r="Z154" s="8"/>
      <c r="AA154" s="8"/>
      <c r="AB154" s="8"/>
      <c r="AC154" s="8"/>
      <c r="AD154" s="8"/>
      <c r="AE154" s="8"/>
      <c r="AF154" s="8"/>
      <c r="AG154" s="8"/>
      <c r="AH154" s="8"/>
      <c r="AI154" s="8"/>
      <c r="AJ154" s="8"/>
      <c r="AK154" s="8"/>
      <c r="AL154" s="8"/>
      <c r="AM154" s="8"/>
      <c r="AN154" s="8"/>
      <c r="AO154" s="8"/>
      <c r="AP154" s="8"/>
      <c r="AQ154" s="8"/>
    </row>
    <row r="155" spans="2:43" ht="15.95" hidden="1" customHeight="1">
      <c r="B155" s="929"/>
      <c r="C155" s="8"/>
      <c r="D155" s="8"/>
      <c r="E155" s="8"/>
      <c r="F155" s="8"/>
      <c r="G155" s="8"/>
      <c r="H155" s="8"/>
      <c r="I155" s="8"/>
      <c r="J155" s="8"/>
      <c r="K155" s="8"/>
      <c r="L155" s="8"/>
      <c r="M155" s="8"/>
      <c r="N155" s="8"/>
      <c r="O155" s="8"/>
      <c r="P155" s="8"/>
      <c r="Q155" s="8"/>
      <c r="R155" s="8"/>
      <c r="S155" s="8"/>
      <c r="T155" s="8"/>
      <c r="U155" s="8"/>
      <c r="V155" s="8"/>
      <c r="W155" s="8"/>
      <c r="X155" s="8"/>
      <c r="Y155" s="8"/>
      <c r="Z155" s="8"/>
      <c r="AA155" s="8"/>
      <c r="AB155" s="8"/>
      <c r="AC155" s="8"/>
      <c r="AD155" s="8"/>
      <c r="AE155" s="8"/>
      <c r="AF155" s="8"/>
      <c r="AG155" s="8"/>
      <c r="AH155" s="8"/>
      <c r="AI155" s="8"/>
      <c r="AJ155" s="8"/>
      <c r="AK155" s="8"/>
      <c r="AL155" s="8"/>
      <c r="AM155" s="8"/>
      <c r="AN155" s="8"/>
      <c r="AO155" s="8"/>
      <c r="AP155" s="8"/>
      <c r="AQ155" s="8"/>
    </row>
    <row r="156" spans="2:43" ht="15.95" hidden="1" customHeight="1">
      <c r="B156" s="929">
        <v>71</v>
      </c>
      <c r="C156" s="8"/>
      <c r="D156" s="8"/>
      <c r="E156" s="8"/>
      <c r="F156" s="8"/>
      <c r="G156" s="8"/>
      <c r="H156" s="8"/>
      <c r="I156" s="8"/>
      <c r="J156" s="8"/>
      <c r="K156" s="8"/>
      <c r="L156" s="8"/>
      <c r="M156" s="8"/>
      <c r="N156" s="8"/>
      <c r="O156" s="8"/>
      <c r="P156" s="8"/>
      <c r="Q156" s="8"/>
      <c r="R156" s="8"/>
      <c r="S156" s="8"/>
      <c r="T156" s="8"/>
      <c r="U156" s="8"/>
      <c r="V156" s="8"/>
      <c r="W156" s="8"/>
      <c r="X156" s="8"/>
      <c r="Y156" s="8"/>
      <c r="Z156" s="8"/>
      <c r="AA156" s="8"/>
      <c r="AB156" s="8"/>
      <c r="AC156" s="8"/>
      <c r="AD156" s="8"/>
      <c r="AE156" s="8"/>
      <c r="AF156" s="8"/>
      <c r="AG156" s="8"/>
      <c r="AH156" s="8"/>
      <c r="AI156" s="8"/>
      <c r="AJ156" s="8"/>
      <c r="AK156" s="8"/>
      <c r="AL156" s="8"/>
      <c r="AM156" s="8"/>
      <c r="AN156" s="8"/>
      <c r="AO156" s="8"/>
      <c r="AP156" s="8"/>
      <c r="AQ156" s="8"/>
    </row>
    <row r="157" spans="2:43" ht="15.95" hidden="1" customHeight="1">
      <c r="B157" s="929"/>
      <c r="C157" s="8"/>
      <c r="D157" s="8"/>
      <c r="E157" s="8"/>
      <c r="F157" s="8"/>
      <c r="G157" s="8"/>
      <c r="H157" s="8"/>
      <c r="I157" s="8"/>
      <c r="J157" s="8"/>
      <c r="K157" s="8"/>
      <c r="L157" s="8"/>
      <c r="M157" s="8"/>
      <c r="N157" s="8"/>
      <c r="O157" s="8"/>
      <c r="P157" s="8"/>
      <c r="Q157" s="8"/>
      <c r="R157" s="8"/>
      <c r="S157" s="8"/>
      <c r="T157" s="8"/>
      <c r="U157" s="8"/>
      <c r="V157" s="8"/>
      <c r="W157" s="8"/>
      <c r="X157" s="8"/>
      <c r="Y157" s="8"/>
      <c r="Z157" s="8"/>
      <c r="AA157" s="8"/>
      <c r="AB157" s="8"/>
      <c r="AC157" s="8"/>
      <c r="AD157" s="8"/>
      <c r="AE157" s="8"/>
      <c r="AF157" s="8"/>
      <c r="AG157" s="8"/>
      <c r="AH157" s="8"/>
      <c r="AI157" s="8"/>
      <c r="AJ157" s="8"/>
      <c r="AK157" s="8"/>
      <c r="AL157" s="8"/>
      <c r="AM157" s="8"/>
      <c r="AN157" s="8"/>
      <c r="AO157" s="8"/>
      <c r="AP157" s="8"/>
      <c r="AQ157" s="8"/>
    </row>
    <row r="158" spans="2:43" ht="15.95" hidden="1" customHeight="1">
      <c r="B158" s="929">
        <v>72</v>
      </c>
      <c r="C158" s="8"/>
      <c r="D158" s="8"/>
      <c r="E158" s="8"/>
      <c r="F158" s="8"/>
      <c r="G158" s="8"/>
      <c r="H158" s="8"/>
      <c r="I158" s="8"/>
      <c r="J158" s="8"/>
      <c r="K158" s="8"/>
      <c r="L158" s="8"/>
      <c r="M158" s="8"/>
      <c r="N158" s="8"/>
      <c r="O158" s="8"/>
      <c r="P158" s="8"/>
      <c r="Q158" s="8"/>
      <c r="R158" s="8"/>
      <c r="S158" s="8"/>
      <c r="T158" s="8"/>
      <c r="U158" s="8"/>
      <c r="V158" s="8"/>
      <c r="W158" s="8"/>
      <c r="X158" s="8"/>
      <c r="Y158" s="8"/>
      <c r="Z158" s="8"/>
      <c r="AA158" s="8"/>
      <c r="AB158" s="8"/>
      <c r="AC158" s="8"/>
      <c r="AD158" s="8"/>
      <c r="AE158" s="8"/>
      <c r="AF158" s="8"/>
      <c r="AG158" s="8"/>
      <c r="AH158" s="8"/>
      <c r="AI158" s="8"/>
      <c r="AJ158" s="8"/>
      <c r="AK158" s="8"/>
      <c r="AL158" s="8"/>
      <c r="AM158" s="8"/>
      <c r="AN158" s="8"/>
      <c r="AO158" s="8"/>
      <c r="AP158" s="8"/>
      <c r="AQ158" s="8"/>
    </row>
    <row r="159" spans="2:43" ht="15.95" hidden="1" customHeight="1">
      <c r="B159" s="929"/>
      <c r="C159" s="8"/>
      <c r="D159" s="8"/>
      <c r="E159" s="8"/>
      <c r="F159" s="8"/>
      <c r="G159" s="8"/>
      <c r="H159" s="8"/>
      <c r="I159" s="8"/>
      <c r="J159" s="8"/>
      <c r="K159" s="8"/>
      <c r="L159" s="8"/>
      <c r="M159" s="8"/>
      <c r="N159" s="8"/>
      <c r="O159" s="8"/>
      <c r="P159" s="8"/>
      <c r="Q159" s="8"/>
      <c r="R159" s="8"/>
      <c r="S159" s="8"/>
      <c r="T159" s="8"/>
      <c r="U159" s="8"/>
      <c r="V159" s="8"/>
      <c r="W159" s="8"/>
      <c r="X159" s="8"/>
      <c r="Y159" s="8"/>
      <c r="Z159" s="8"/>
      <c r="AA159" s="8"/>
      <c r="AB159" s="8"/>
      <c r="AC159" s="8"/>
      <c r="AD159" s="8"/>
      <c r="AE159" s="8"/>
      <c r="AF159" s="8"/>
      <c r="AG159" s="8"/>
      <c r="AH159" s="8"/>
      <c r="AI159" s="8"/>
      <c r="AJ159" s="8"/>
      <c r="AK159" s="8"/>
      <c r="AL159" s="8"/>
      <c r="AM159" s="8"/>
      <c r="AN159" s="8"/>
      <c r="AO159" s="8"/>
      <c r="AP159" s="8"/>
      <c r="AQ159" s="8"/>
    </row>
    <row r="160" spans="2:43" ht="15.95" hidden="1" customHeight="1">
      <c r="B160" s="929">
        <v>73</v>
      </c>
      <c r="C160" s="8"/>
      <c r="D160" s="8"/>
      <c r="E160" s="8"/>
      <c r="F160" s="8"/>
      <c r="G160" s="8"/>
      <c r="H160" s="8"/>
      <c r="I160" s="8"/>
      <c r="J160" s="8"/>
      <c r="K160" s="8"/>
      <c r="L160" s="8"/>
      <c r="M160" s="8"/>
      <c r="N160" s="8"/>
      <c r="O160" s="8"/>
      <c r="P160" s="8"/>
      <c r="Q160" s="8"/>
      <c r="R160" s="8"/>
      <c r="S160" s="8"/>
      <c r="T160" s="8"/>
      <c r="U160" s="8"/>
      <c r="V160" s="8"/>
      <c r="W160" s="8"/>
      <c r="X160" s="8"/>
      <c r="Y160" s="8"/>
      <c r="Z160" s="8"/>
      <c r="AA160" s="8"/>
      <c r="AB160" s="8"/>
      <c r="AC160" s="8"/>
      <c r="AD160" s="8"/>
      <c r="AE160" s="8"/>
      <c r="AF160" s="8"/>
      <c r="AG160" s="8"/>
      <c r="AH160" s="8"/>
      <c r="AI160" s="8"/>
      <c r="AJ160" s="8"/>
      <c r="AK160" s="8"/>
      <c r="AL160" s="8"/>
      <c r="AM160" s="8"/>
      <c r="AN160" s="8"/>
      <c r="AO160" s="8"/>
      <c r="AP160" s="8"/>
      <c r="AQ160" s="8"/>
    </row>
    <row r="161" spans="2:43" ht="15.95" hidden="1" customHeight="1">
      <c r="B161" s="929"/>
      <c r="C161" s="8"/>
      <c r="D161" s="8"/>
      <c r="E161" s="8"/>
      <c r="F161" s="8"/>
      <c r="G161" s="8"/>
      <c r="H161" s="8"/>
      <c r="I161" s="8"/>
      <c r="J161" s="8"/>
      <c r="K161" s="8"/>
      <c r="L161" s="8"/>
      <c r="M161" s="8"/>
      <c r="N161" s="8"/>
      <c r="O161" s="8"/>
      <c r="P161" s="8"/>
      <c r="Q161" s="8"/>
      <c r="R161" s="8"/>
      <c r="S161" s="8"/>
      <c r="T161" s="8"/>
      <c r="U161" s="8"/>
      <c r="V161" s="8"/>
      <c r="W161" s="8"/>
      <c r="X161" s="8"/>
      <c r="Y161" s="8"/>
      <c r="Z161" s="8"/>
      <c r="AA161" s="8"/>
      <c r="AB161" s="8"/>
      <c r="AC161" s="8"/>
      <c r="AD161" s="8"/>
      <c r="AE161" s="8"/>
      <c r="AF161" s="8"/>
      <c r="AG161" s="8"/>
      <c r="AH161" s="8"/>
      <c r="AI161" s="8"/>
      <c r="AJ161" s="8"/>
      <c r="AK161" s="8"/>
      <c r="AL161" s="8"/>
      <c r="AM161" s="8"/>
      <c r="AN161" s="8"/>
      <c r="AO161" s="8"/>
      <c r="AP161" s="8"/>
      <c r="AQ161" s="8"/>
    </row>
    <row r="162" spans="2:43" ht="15.95" hidden="1" customHeight="1">
      <c r="B162" s="929">
        <v>74</v>
      </c>
      <c r="C162" s="8"/>
      <c r="D162" s="8"/>
      <c r="E162" s="8"/>
      <c r="F162" s="8"/>
      <c r="G162" s="8"/>
      <c r="H162" s="8"/>
      <c r="I162" s="8"/>
      <c r="J162" s="8"/>
      <c r="K162" s="8"/>
      <c r="L162" s="8"/>
      <c r="M162" s="8"/>
      <c r="N162" s="8"/>
      <c r="O162" s="8"/>
      <c r="P162" s="8"/>
      <c r="Q162" s="8"/>
      <c r="R162" s="8"/>
      <c r="S162" s="8"/>
      <c r="T162" s="8"/>
      <c r="U162" s="8"/>
      <c r="V162" s="8"/>
      <c r="W162" s="8"/>
      <c r="X162" s="8"/>
      <c r="Y162" s="8"/>
      <c r="Z162" s="8"/>
      <c r="AA162" s="8"/>
      <c r="AB162" s="8"/>
      <c r="AC162" s="8"/>
      <c r="AD162" s="8"/>
      <c r="AE162" s="8"/>
      <c r="AF162" s="8"/>
      <c r="AG162" s="8"/>
      <c r="AH162" s="8"/>
      <c r="AI162" s="8"/>
      <c r="AJ162" s="8"/>
      <c r="AK162" s="8"/>
      <c r="AL162" s="8"/>
      <c r="AM162" s="8"/>
      <c r="AN162" s="8"/>
      <c r="AO162" s="8"/>
      <c r="AP162" s="8"/>
      <c r="AQ162" s="8"/>
    </row>
    <row r="163" spans="2:43" ht="15.95" hidden="1" customHeight="1">
      <c r="B163" s="929"/>
      <c r="C163" s="8"/>
      <c r="D163" s="8"/>
      <c r="E163" s="8"/>
      <c r="F163" s="8"/>
      <c r="G163" s="8"/>
      <c r="H163" s="8"/>
      <c r="I163" s="8"/>
      <c r="J163" s="8"/>
      <c r="K163" s="8"/>
      <c r="L163" s="8"/>
      <c r="M163" s="8"/>
      <c r="N163" s="8"/>
      <c r="O163" s="8"/>
      <c r="P163" s="8"/>
      <c r="Q163" s="8"/>
      <c r="R163" s="8"/>
      <c r="S163" s="8"/>
      <c r="T163" s="8"/>
      <c r="U163" s="8"/>
      <c r="V163" s="8"/>
      <c r="W163" s="8"/>
      <c r="X163" s="8"/>
      <c r="Y163" s="8"/>
      <c r="Z163" s="8"/>
      <c r="AA163" s="8"/>
      <c r="AB163" s="8"/>
      <c r="AC163" s="8"/>
      <c r="AD163" s="8"/>
      <c r="AE163" s="8"/>
      <c r="AF163" s="8"/>
      <c r="AG163" s="8"/>
      <c r="AH163" s="8"/>
      <c r="AI163" s="8"/>
      <c r="AJ163" s="8"/>
      <c r="AK163" s="8"/>
      <c r="AL163" s="8"/>
      <c r="AM163" s="8"/>
      <c r="AN163" s="8"/>
      <c r="AO163" s="8"/>
      <c r="AP163" s="8"/>
      <c r="AQ163" s="8"/>
    </row>
    <row r="164" spans="2:43" ht="15.95" hidden="1" customHeight="1">
      <c r="B164" s="929">
        <v>75</v>
      </c>
      <c r="C164" s="8"/>
      <c r="D164" s="8"/>
      <c r="E164" s="8"/>
      <c r="F164" s="8"/>
      <c r="G164" s="8"/>
      <c r="H164" s="8"/>
      <c r="I164" s="8"/>
      <c r="J164" s="8"/>
      <c r="K164" s="8"/>
      <c r="L164" s="8"/>
      <c r="M164" s="8"/>
      <c r="N164" s="8"/>
      <c r="O164" s="8"/>
      <c r="P164" s="8"/>
      <c r="Q164" s="8"/>
      <c r="R164" s="8"/>
      <c r="S164" s="8"/>
      <c r="T164" s="8"/>
      <c r="U164" s="8"/>
      <c r="V164" s="8"/>
      <c r="W164" s="8"/>
      <c r="X164" s="8"/>
      <c r="Y164" s="8"/>
      <c r="Z164" s="8"/>
      <c r="AA164" s="8"/>
      <c r="AB164" s="8"/>
      <c r="AC164" s="8"/>
      <c r="AD164" s="8"/>
      <c r="AE164" s="8"/>
      <c r="AF164" s="8"/>
      <c r="AG164" s="8"/>
      <c r="AH164" s="8"/>
      <c r="AI164" s="8"/>
      <c r="AJ164" s="8"/>
      <c r="AK164" s="8"/>
      <c r="AL164" s="8"/>
      <c r="AM164" s="8"/>
      <c r="AN164" s="8"/>
      <c r="AO164" s="8"/>
      <c r="AP164" s="8"/>
      <c r="AQ164" s="8"/>
    </row>
    <row r="165" spans="2:43" ht="15.95" hidden="1" customHeight="1">
      <c r="B165" s="929"/>
      <c r="C165" s="8"/>
      <c r="D165" s="8"/>
      <c r="E165" s="8"/>
      <c r="F165" s="8"/>
      <c r="G165" s="8"/>
      <c r="H165" s="8"/>
      <c r="I165" s="8"/>
      <c r="J165" s="8"/>
      <c r="K165" s="8"/>
      <c r="L165" s="8"/>
      <c r="M165" s="8"/>
      <c r="N165" s="8"/>
      <c r="O165" s="8"/>
      <c r="P165" s="8"/>
      <c r="Q165" s="8"/>
      <c r="R165" s="8"/>
      <c r="S165" s="8"/>
      <c r="T165" s="8"/>
      <c r="U165" s="8"/>
      <c r="V165" s="8"/>
      <c r="W165" s="8"/>
      <c r="X165" s="8"/>
      <c r="Y165" s="8"/>
      <c r="Z165" s="8"/>
      <c r="AA165" s="8"/>
      <c r="AB165" s="8"/>
      <c r="AC165" s="8"/>
      <c r="AD165" s="8"/>
      <c r="AE165" s="8"/>
      <c r="AF165" s="8"/>
      <c r="AG165" s="8"/>
      <c r="AH165" s="8"/>
      <c r="AI165" s="8"/>
      <c r="AJ165" s="8"/>
      <c r="AK165" s="8"/>
      <c r="AL165" s="8"/>
      <c r="AM165" s="8"/>
      <c r="AN165" s="8"/>
      <c r="AO165" s="8"/>
      <c r="AP165" s="8"/>
      <c r="AQ165" s="8"/>
    </row>
    <row r="166" spans="2:43" ht="15.95" hidden="1" customHeight="1">
      <c r="B166" s="929">
        <v>76</v>
      </c>
      <c r="C166" s="8"/>
      <c r="D166" s="8"/>
      <c r="E166" s="8"/>
      <c r="F166" s="8"/>
      <c r="G166" s="8"/>
      <c r="H166" s="8"/>
      <c r="I166" s="8"/>
      <c r="J166" s="8"/>
      <c r="K166" s="8"/>
      <c r="L166" s="8"/>
      <c r="M166" s="8"/>
      <c r="N166" s="8"/>
      <c r="O166" s="8"/>
      <c r="P166" s="8"/>
      <c r="Q166" s="8"/>
      <c r="R166" s="8"/>
      <c r="S166" s="8"/>
      <c r="T166" s="8"/>
      <c r="U166" s="8"/>
      <c r="V166" s="8"/>
      <c r="W166" s="8"/>
      <c r="X166" s="8"/>
      <c r="Y166" s="8"/>
      <c r="Z166" s="8"/>
      <c r="AA166" s="8"/>
      <c r="AB166" s="8"/>
      <c r="AC166" s="8"/>
      <c r="AD166" s="8"/>
      <c r="AE166" s="8"/>
      <c r="AF166" s="8"/>
      <c r="AG166" s="8"/>
      <c r="AH166" s="8"/>
      <c r="AI166" s="8"/>
      <c r="AJ166" s="8"/>
      <c r="AK166" s="8"/>
      <c r="AL166" s="8"/>
      <c r="AM166" s="8"/>
      <c r="AN166" s="8"/>
      <c r="AO166" s="8"/>
      <c r="AP166" s="8"/>
      <c r="AQ166" s="8"/>
    </row>
    <row r="167" spans="2:43" ht="15.95" hidden="1" customHeight="1">
      <c r="B167" s="929"/>
      <c r="C167" s="8"/>
      <c r="D167" s="8"/>
      <c r="E167" s="8"/>
      <c r="F167" s="8"/>
      <c r="G167" s="8"/>
      <c r="H167" s="8"/>
      <c r="I167" s="8"/>
      <c r="J167" s="8"/>
      <c r="K167" s="8"/>
      <c r="L167" s="8"/>
      <c r="M167" s="8"/>
      <c r="N167" s="8"/>
      <c r="O167" s="8"/>
      <c r="P167" s="8"/>
      <c r="Q167" s="8"/>
      <c r="R167" s="8"/>
      <c r="S167" s="8"/>
      <c r="T167" s="8"/>
      <c r="U167" s="8"/>
      <c r="V167" s="8"/>
      <c r="W167" s="8"/>
      <c r="X167" s="8"/>
      <c r="Y167" s="8"/>
      <c r="Z167" s="8"/>
      <c r="AA167" s="8"/>
      <c r="AB167" s="8"/>
      <c r="AC167" s="8"/>
      <c r="AD167" s="8"/>
      <c r="AE167" s="8"/>
      <c r="AF167" s="8"/>
      <c r="AG167" s="8"/>
      <c r="AH167" s="8"/>
      <c r="AI167" s="8"/>
      <c r="AJ167" s="8"/>
      <c r="AK167" s="8"/>
      <c r="AL167" s="8"/>
      <c r="AM167" s="8"/>
      <c r="AN167" s="8"/>
      <c r="AO167" s="8"/>
      <c r="AP167" s="8"/>
      <c r="AQ167" s="8"/>
    </row>
    <row r="168" spans="2:43" ht="15.95" hidden="1" customHeight="1">
      <c r="B168" s="929">
        <v>77</v>
      </c>
      <c r="C168" s="8"/>
      <c r="D168" s="8"/>
      <c r="E168" s="8"/>
      <c r="F168" s="8"/>
      <c r="G168" s="8"/>
      <c r="H168" s="8"/>
      <c r="I168" s="8"/>
      <c r="J168" s="8"/>
      <c r="K168" s="8"/>
      <c r="L168" s="8"/>
      <c r="M168" s="8"/>
      <c r="N168" s="8"/>
      <c r="O168" s="8"/>
      <c r="P168" s="8"/>
      <c r="Q168" s="8"/>
      <c r="R168" s="8"/>
      <c r="S168" s="8"/>
      <c r="T168" s="8"/>
      <c r="U168" s="8"/>
      <c r="V168" s="8"/>
      <c r="W168" s="8"/>
      <c r="X168" s="8"/>
      <c r="Y168" s="8"/>
      <c r="Z168" s="8"/>
      <c r="AA168" s="8"/>
      <c r="AB168" s="8"/>
      <c r="AC168" s="8"/>
      <c r="AD168" s="8"/>
      <c r="AE168" s="8"/>
      <c r="AF168" s="8"/>
      <c r="AG168" s="8"/>
      <c r="AH168" s="8"/>
      <c r="AI168" s="8"/>
      <c r="AJ168" s="8"/>
      <c r="AK168" s="8"/>
      <c r="AL168" s="8"/>
      <c r="AM168" s="8"/>
      <c r="AN168" s="8"/>
      <c r="AO168" s="8"/>
      <c r="AP168" s="8"/>
      <c r="AQ168" s="8"/>
    </row>
    <row r="169" spans="2:43" ht="15.95" hidden="1" customHeight="1">
      <c r="B169" s="929"/>
      <c r="C169" s="8"/>
      <c r="D169" s="8"/>
      <c r="E169" s="8"/>
      <c r="F169" s="8"/>
      <c r="G169" s="8"/>
      <c r="H169" s="8"/>
      <c r="I169" s="8"/>
      <c r="J169" s="8"/>
      <c r="K169" s="8"/>
      <c r="L169" s="8"/>
      <c r="M169" s="8"/>
      <c r="N169" s="8"/>
      <c r="O169" s="8"/>
      <c r="P169" s="8"/>
      <c r="Q169" s="8"/>
      <c r="R169" s="8"/>
      <c r="S169" s="8"/>
      <c r="T169" s="8"/>
      <c r="U169" s="8"/>
      <c r="V169" s="8"/>
      <c r="W169" s="8"/>
      <c r="X169" s="8"/>
      <c r="Y169" s="8"/>
      <c r="Z169" s="8"/>
      <c r="AA169" s="8"/>
      <c r="AB169" s="8"/>
      <c r="AC169" s="8"/>
      <c r="AD169" s="8"/>
      <c r="AE169" s="8"/>
      <c r="AF169" s="8"/>
      <c r="AG169" s="8"/>
      <c r="AH169" s="8"/>
      <c r="AI169" s="8"/>
      <c r="AJ169" s="8"/>
      <c r="AK169" s="8"/>
      <c r="AL169" s="8"/>
      <c r="AM169" s="8"/>
      <c r="AN169" s="8"/>
      <c r="AO169" s="8"/>
      <c r="AP169" s="8"/>
      <c r="AQ169" s="8"/>
    </row>
    <row r="170" spans="2:43" ht="15.95" hidden="1" customHeight="1">
      <c r="B170" s="929">
        <v>78</v>
      </c>
      <c r="C170" s="8"/>
      <c r="D170" s="8"/>
      <c r="E170" s="8"/>
      <c r="F170" s="8"/>
      <c r="G170" s="8"/>
      <c r="H170" s="8"/>
      <c r="I170" s="8"/>
      <c r="J170" s="8"/>
      <c r="K170" s="8"/>
      <c r="L170" s="8"/>
      <c r="M170" s="8"/>
      <c r="N170" s="8"/>
      <c r="O170" s="8"/>
      <c r="P170" s="8"/>
      <c r="Q170" s="8"/>
      <c r="R170" s="8"/>
      <c r="S170" s="8"/>
      <c r="T170" s="8"/>
      <c r="U170" s="8"/>
      <c r="V170" s="8"/>
      <c r="W170" s="8"/>
      <c r="X170" s="8"/>
      <c r="Y170" s="8"/>
      <c r="Z170" s="8"/>
      <c r="AA170" s="8"/>
      <c r="AB170" s="8"/>
      <c r="AC170" s="8"/>
      <c r="AD170" s="8"/>
      <c r="AE170" s="8"/>
      <c r="AF170" s="8"/>
      <c r="AG170" s="8"/>
      <c r="AH170" s="8"/>
      <c r="AI170" s="8"/>
      <c r="AJ170" s="8"/>
      <c r="AK170" s="8"/>
      <c r="AL170" s="8"/>
      <c r="AM170" s="8"/>
      <c r="AN170" s="8"/>
      <c r="AO170" s="8"/>
      <c r="AP170" s="8"/>
      <c r="AQ170" s="8"/>
    </row>
    <row r="171" spans="2:43" ht="15.95" hidden="1" customHeight="1">
      <c r="B171" s="929"/>
      <c r="C171" s="8"/>
      <c r="D171" s="8"/>
      <c r="E171" s="8"/>
      <c r="F171" s="8"/>
      <c r="G171" s="8"/>
      <c r="H171" s="8"/>
      <c r="I171" s="8"/>
      <c r="J171" s="8"/>
      <c r="K171" s="8"/>
      <c r="L171" s="8"/>
      <c r="M171" s="8"/>
      <c r="N171" s="8"/>
      <c r="O171" s="8"/>
      <c r="P171" s="8"/>
      <c r="Q171" s="8"/>
      <c r="R171" s="8"/>
      <c r="S171" s="8"/>
      <c r="T171" s="8"/>
      <c r="U171" s="8"/>
      <c r="V171" s="8"/>
      <c r="W171" s="8"/>
      <c r="X171" s="8"/>
      <c r="Y171" s="8"/>
      <c r="Z171" s="8"/>
      <c r="AA171" s="8"/>
      <c r="AB171" s="8"/>
      <c r="AC171" s="8"/>
      <c r="AD171" s="8"/>
      <c r="AE171" s="8"/>
      <c r="AF171" s="8"/>
      <c r="AG171" s="8"/>
      <c r="AH171" s="8"/>
      <c r="AI171" s="8"/>
      <c r="AJ171" s="8"/>
      <c r="AK171" s="8"/>
      <c r="AL171" s="8"/>
      <c r="AM171" s="8"/>
      <c r="AN171" s="8"/>
      <c r="AO171" s="8"/>
      <c r="AP171" s="8"/>
      <c r="AQ171" s="8"/>
    </row>
    <row r="172" spans="2:43" ht="15.95" hidden="1" customHeight="1">
      <c r="B172" s="929">
        <v>79</v>
      </c>
      <c r="C172" s="8"/>
      <c r="D172" s="8"/>
      <c r="E172" s="8"/>
      <c r="F172" s="8"/>
      <c r="G172" s="8"/>
      <c r="H172" s="8"/>
      <c r="I172" s="8"/>
      <c r="J172" s="8"/>
      <c r="K172" s="8"/>
      <c r="L172" s="8"/>
      <c r="M172" s="8"/>
      <c r="N172" s="8"/>
      <c r="O172" s="8"/>
      <c r="P172" s="8"/>
      <c r="Q172" s="8"/>
      <c r="R172" s="8"/>
      <c r="S172" s="8"/>
      <c r="T172" s="8"/>
      <c r="U172" s="8"/>
      <c r="V172" s="8"/>
      <c r="W172" s="8"/>
      <c r="X172" s="8"/>
      <c r="Y172" s="8"/>
      <c r="Z172" s="8"/>
      <c r="AA172" s="8"/>
      <c r="AB172" s="8"/>
      <c r="AC172" s="8"/>
      <c r="AD172" s="8"/>
      <c r="AE172" s="8"/>
      <c r="AF172" s="8"/>
      <c r="AG172" s="8"/>
      <c r="AH172" s="8"/>
      <c r="AI172" s="8"/>
      <c r="AJ172" s="8"/>
      <c r="AK172" s="8"/>
      <c r="AL172" s="8"/>
      <c r="AM172" s="8"/>
      <c r="AN172" s="8"/>
      <c r="AO172" s="8"/>
      <c r="AP172" s="8"/>
      <c r="AQ172" s="8"/>
    </row>
    <row r="173" spans="2:43" ht="15.95" hidden="1" customHeight="1">
      <c r="B173" s="929"/>
      <c r="C173" s="8"/>
      <c r="D173" s="8"/>
      <c r="E173" s="8"/>
      <c r="F173" s="8"/>
      <c r="G173" s="8"/>
      <c r="H173" s="8"/>
      <c r="I173" s="8"/>
      <c r="J173" s="8"/>
      <c r="K173" s="8"/>
      <c r="L173" s="8"/>
      <c r="M173" s="8"/>
      <c r="N173" s="8"/>
      <c r="O173" s="8"/>
      <c r="P173" s="8"/>
      <c r="Q173" s="8"/>
      <c r="R173" s="8"/>
      <c r="S173" s="8"/>
      <c r="T173" s="8"/>
      <c r="U173" s="8"/>
      <c r="V173" s="8"/>
      <c r="W173" s="8"/>
      <c r="X173" s="8"/>
      <c r="Y173" s="8"/>
      <c r="Z173" s="8"/>
      <c r="AA173" s="8"/>
      <c r="AB173" s="8"/>
      <c r="AC173" s="8"/>
      <c r="AD173" s="8"/>
      <c r="AE173" s="8"/>
      <c r="AF173" s="8"/>
      <c r="AG173" s="8"/>
      <c r="AH173" s="8"/>
      <c r="AI173" s="8"/>
      <c r="AJ173" s="8"/>
      <c r="AK173" s="8"/>
      <c r="AL173" s="8"/>
      <c r="AM173" s="8"/>
      <c r="AN173" s="8"/>
      <c r="AO173" s="8"/>
      <c r="AP173" s="8"/>
      <c r="AQ173" s="8"/>
    </row>
    <row r="174" spans="2:43" ht="15.95" hidden="1" customHeight="1">
      <c r="B174" s="929">
        <v>80</v>
      </c>
      <c r="C174" s="8"/>
      <c r="D174" s="8"/>
      <c r="E174" s="8"/>
      <c r="F174" s="8"/>
      <c r="G174" s="8"/>
      <c r="H174" s="8"/>
      <c r="I174" s="8"/>
      <c r="J174" s="8"/>
      <c r="K174" s="8"/>
      <c r="L174" s="8"/>
      <c r="M174" s="8"/>
      <c r="N174" s="8"/>
      <c r="O174" s="8"/>
      <c r="P174" s="8"/>
      <c r="Q174" s="8"/>
      <c r="R174" s="8"/>
      <c r="S174" s="8"/>
      <c r="T174" s="8"/>
      <c r="U174" s="8"/>
      <c r="V174" s="8"/>
      <c r="W174" s="8"/>
      <c r="X174" s="8"/>
      <c r="Y174" s="8"/>
      <c r="Z174" s="8"/>
      <c r="AA174" s="8"/>
      <c r="AB174" s="8"/>
      <c r="AC174" s="8"/>
      <c r="AD174" s="8"/>
      <c r="AE174" s="8"/>
      <c r="AF174" s="8"/>
      <c r="AG174" s="8"/>
      <c r="AH174" s="8"/>
      <c r="AI174" s="8"/>
      <c r="AJ174" s="8"/>
      <c r="AK174" s="8"/>
      <c r="AL174" s="8"/>
      <c r="AM174" s="8"/>
      <c r="AN174" s="8"/>
      <c r="AO174" s="8"/>
      <c r="AP174" s="8"/>
      <c r="AQ174" s="8"/>
    </row>
    <row r="175" spans="2:43" ht="15.95" hidden="1" customHeight="1">
      <c r="B175" s="929"/>
      <c r="C175" s="8"/>
      <c r="D175" s="8"/>
      <c r="E175" s="8"/>
      <c r="F175" s="8"/>
      <c r="G175" s="8"/>
      <c r="H175" s="8"/>
      <c r="I175" s="8"/>
      <c r="J175" s="8"/>
      <c r="K175" s="8"/>
      <c r="L175" s="8"/>
      <c r="M175" s="8"/>
      <c r="N175" s="8"/>
      <c r="O175" s="8"/>
      <c r="P175" s="8"/>
      <c r="Q175" s="8"/>
      <c r="R175" s="8"/>
      <c r="S175" s="8"/>
      <c r="T175" s="8"/>
      <c r="U175" s="8"/>
      <c r="V175" s="8"/>
      <c r="W175" s="8"/>
      <c r="X175" s="8"/>
      <c r="Y175" s="8"/>
      <c r="Z175" s="8"/>
      <c r="AA175" s="8"/>
      <c r="AB175" s="8"/>
      <c r="AC175" s="8"/>
      <c r="AD175" s="8"/>
      <c r="AE175" s="8"/>
      <c r="AF175" s="8"/>
      <c r="AG175" s="8"/>
      <c r="AH175" s="8"/>
      <c r="AI175" s="8"/>
      <c r="AJ175" s="8"/>
      <c r="AK175" s="8"/>
      <c r="AL175" s="8"/>
      <c r="AM175" s="8"/>
      <c r="AN175" s="8"/>
      <c r="AO175" s="8"/>
      <c r="AP175" s="8"/>
      <c r="AQ175" s="8"/>
    </row>
    <row r="176" spans="2:43" ht="15.95" hidden="1" customHeight="1">
      <c r="B176" s="929">
        <v>81</v>
      </c>
      <c r="C176" s="8"/>
      <c r="D176" s="8"/>
      <c r="E176" s="8"/>
      <c r="F176" s="8"/>
      <c r="G176" s="8"/>
      <c r="H176" s="8"/>
      <c r="I176" s="8"/>
      <c r="J176" s="8"/>
      <c r="K176" s="8"/>
      <c r="L176" s="8"/>
      <c r="M176" s="8"/>
      <c r="N176" s="8"/>
      <c r="O176" s="8"/>
      <c r="P176" s="8"/>
      <c r="Q176" s="8"/>
      <c r="R176" s="8"/>
      <c r="S176" s="8"/>
      <c r="T176" s="8"/>
      <c r="U176" s="8"/>
      <c r="V176" s="8"/>
      <c r="W176" s="8"/>
      <c r="X176" s="8"/>
      <c r="Y176" s="8"/>
      <c r="Z176" s="8"/>
      <c r="AA176" s="8"/>
      <c r="AB176" s="8"/>
      <c r="AC176" s="8"/>
      <c r="AD176" s="8"/>
      <c r="AE176" s="8"/>
      <c r="AF176" s="8"/>
      <c r="AG176" s="8"/>
      <c r="AH176" s="8"/>
      <c r="AI176" s="8"/>
      <c r="AJ176" s="8"/>
      <c r="AK176" s="8"/>
      <c r="AL176" s="8"/>
      <c r="AM176" s="8"/>
      <c r="AN176" s="8"/>
      <c r="AO176" s="8"/>
      <c r="AP176" s="8"/>
      <c r="AQ176" s="8"/>
    </row>
    <row r="177" spans="2:43" ht="15.95" hidden="1" customHeight="1">
      <c r="B177" s="929"/>
      <c r="C177" s="8"/>
      <c r="D177" s="8"/>
      <c r="E177" s="8"/>
      <c r="F177" s="8"/>
      <c r="G177" s="8"/>
      <c r="H177" s="8"/>
      <c r="I177" s="8"/>
      <c r="J177" s="8"/>
      <c r="K177" s="8"/>
      <c r="L177" s="8"/>
      <c r="M177" s="8"/>
      <c r="N177" s="8"/>
      <c r="O177" s="8"/>
      <c r="P177" s="8"/>
      <c r="Q177" s="8"/>
      <c r="R177" s="8"/>
      <c r="S177" s="8"/>
      <c r="T177" s="8"/>
      <c r="U177" s="8"/>
      <c r="V177" s="8"/>
      <c r="W177" s="8"/>
      <c r="X177" s="8"/>
      <c r="Y177" s="8"/>
      <c r="Z177" s="8"/>
      <c r="AA177" s="8"/>
      <c r="AB177" s="8"/>
      <c r="AC177" s="8"/>
      <c r="AD177" s="8"/>
      <c r="AE177" s="8"/>
      <c r="AF177" s="8"/>
      <c r="AG177" s="8"/>
      <c r="AH177" s="8"/>
      <c r="AI177" s="8"/>
      <c r="AJ177" s="8"/>
      <c r="AK177" s="8"/>
      <c r="AL177" s="8"/>
      <c r="AM177" s="8"/>
      <c r="AN177" s="8"/>
      <c r="AO177" s="8"/>
      <c r="AP177" s="8"/>
      <c r="AQ177" s="8"/>
    </row>
    <row r="178" spans="2:43" ht="15.95" hidden="1" customHeight="1">
      <c r="B178" s="929">
        <v>82</v>
      </c>
      <c r="C178" s="8"/>
      <c r="D178" s="8"/>
      <c r="E178" s="8"/>
      <c r="F178" s="8"/>
      <c r="G178" s="8"/>
      <c r="H178" s="8"/>
      <c r="I178" s="8"/>
      <c r="J178" s="8"/>
      <c r="K178" s="8"/>
      <c r="L178" s="8"/>
      <c r="M178" s="8"/>
      <c r="N178" s="8"/>
      <c r="O178" s="8"/>
      <c r="P178" s="8"/>
      <c r="Q178" s="8"/>
      <c r="R178" s="8"/>
      <c r="S178" s="8"/>
      <c r="T178" s="8"/>
      <c r="U178" s="8"/>
      <c r="V178" s="8"/>
      <c r="W178" s="8"/>
      <c r="X178" s="8"/>
      <c r="Y178" s="8"/>
      <c r="Z178" s="8"/>
      <c r="AA178" s="8"/>
      <c r="AB178" s="8"/>
      <c r="AC178" s="8"/>
      <c r="AD178" s="8"/>
      <c r="AE178" s="8"/>
      <c r="AF178" s="8"/>
      <c r="AG178" s="8"/>
      <c r="AH178" s="8"/>
      <c r="AI178" s="8"/>
      <c r="AJ178" s="8"/>
      <c r="AK178" s="8"/>
      <c r="AL178" s="8"/>
      <c r="AM178" s="8"/>
      <c r="AN178" s="8"/>
      <c r="AO178" s="8"/>
      <c r="AP178" s="8"/>
      <c r="AQ178" s="8"/>
    </row>
    <row r="179" spans="2:43" ht="15.95" hidden="1" customHeight="1">
      <c r="B179" s="929"/>
      <c r="C179" s="8"/>
      <c r="D179" s="8"/>
      <c r="E179" s="8"/>
      <c r="F179" s="8"/>
      <c r="G179" s="8"/>
      <c r="H179" s="8"/>
      <c r="I179" s="8"/>
      <c r="J179" s="8"/>
      <c r="K179" s="8"/>
      <c r="L179" s="8"/>
      <c r="M179" s="8"/>
      <c r="N179" s="8"/>
      <c r="O179" s="8"/>
      <c r="P179" s="8"/>
      <c r="Q179" s="8"/>
      <c r="R179" s="8"/>
      <c r="S179" s="8"/>
      <c r="T179" s="8"/>
      <c r="U179" s="8"/>
      <c r="V179" s="8"/>
      <c r="W179" s="8"/>
      <c r="X179" s="8"/>
      <c r="Y179" s="8"/>
      <c r="Z179" s="8"/>
      <c r="AA179" s="8"/>
      <c r="AB179" s="8"/>
      <c r="AC179" s="8"/>
      <c r="AD179" s="8"/>
      <c r="AE179" s="8"/>
      <c r="AF179" s="8"/>
      <c r="AG179" s="8"/>
      <c r="AH179" s="8"/>
      <c r="AI179" s="8"/>
      <c r="AJ179" s="8"/>
      <c r="AK179" s="8"/>
      <c r="AL179" s="8"/>
      <c r="AM179" s="8"/>
      <c r="AN179" s="8"/>
      <c r="AO179" s="8"/>
      <c r="AP179" s="8"/>
      <c r="AQ179" s="8"/>
    </row>
    <row r="180" spans="2:43" ht="15.95" hidden="1" customHeight="1">
      <c r="B180" s="929">
        <v>83</v>
      </c>
      <c r="C180" s="8"/>
      <c r="D180" s="8"/>
      <c r="E180" s="8"/>
      <c r="F180" s="8"/>
      <c r="G180" s="8"/>
      <c r="H180" s="8"/>
      <c r="I180" s="8"/>
      <c r="J180" s="8"/>
      <c r="K180" s="8"/>
      <c r="L180" s="8"/>
      <c r="M180" s="8"/>
      <c r="N180" s="8"/>
      <c r="O180" s="8"/>
      <c r="P180" s="8"/>
      <c r="Q180" s="8"/>
      <c r="R180" s="8"/>
      <c r="S180" s="8"/>
      <c r="T180" s="8"/>
      <c r="U180" s="8"/>
      <c r="V180" s="8"/>
      <c r="W180" s="8"/>
      <c r="X180" s="8"/>
      <c r="Y180" s="8"/>
      <c r="Z180" s="8"/>
      <c r="AA180" s="8"/>
      <c r="AB180" s="8"/>
      <c r="AC180" s="8"/>
      <c r="AD180" s="8"/>
      <c r="AE180" s="8"/>
      <c r="AF180" s="8"/>
      <c r="AG180" s="8"/>
      <c r="AH180" s="8"/>
      <c r="AI180" s="8"/>
      <c r="AJ180" s="8"/>
      <c r="AK180" s="8"/>
      <c r="AL180" s="8"/>
      <c r="AM180" s="8"/>
      <c r="AN180" s="8"/>
      <c r="AO180" s="8"/>
      <c r="AP180" s="8"/>
      <c r="AQ180" s="8"/>
    </row>
    <row r="181" spans="2:43" ht="15.95" hidden="1" customHeight="1">
      <c r="B181" s="929"/>
      <c r="C181" s="8"/>
      <c r="D181" s="8"/>
      <c r="E181" s="8"/>
      <c r="F181" s="8"/>
      <c r="G181" s="8"/>
      <c r="H181" s="8"/>
      <c r="I181" s="8"/>
      <c r="J181" s="8"/>
      <c r="K181" s="8"/>
      <c r="L181" s="8"/>
      <c r="M181" s="8"/>
      <c r="N181" s="8"/>
      <c r="O181" s="8"/>
      <c r="P181" s="8"/>
      <c r="Q181" s="8"/>
      <c r="R181" s="8"/>
      <c r="S181" s="8"/>
      <c r="T181" s="8"/>
      <c r="U181" s="8"/>
      <c r="V181" s="8"/>
      <c r="W181" s="8"/>
      <c r="X181" s="8"/>
      <c r="Y181" s="8"/>
      <c r="Z181" s="8"/>
      <c r="AA181" s="8"/>
      <c r="AB181" s="8"/>
      <c r="AC181" s="8"/>
      <c r="AD181" s="8"/>
      <c r="AE181" s="8"/>
      <c r="AF181" s="8"/>
      <c r="AG181" s="8"/>
      <c r="AH181" s="8"/>
      <c r="AI181" s="8"/>
      <c r="AJ181" s="8"/>
      <c r="AK181" s="8"/>
      <c r="AL181" s="8"/>
      <c r="AM181" s="8"/>
      <c r="AN181" s="8"/>
      <c r="AO181" s="8"/>
      <c r="AP181" s="8"/>
      <c r="AQ181" s="8"/>
    </row>
    <row r="182" spans="2:43" ht="15.95" hidden="1" customHeight="1">
      <c r="B182" s="929">
        <v>84</v>
      </c>
      <c r="C182" s="8"/>
      <c r="D182" s="8"/>
      <c r="E182" s="8"/>
      <c r="F182" s="8"/>
      <c r="G182" s="8"/>
      <c r="H182" s="8"/>
      <c r="I182" s="8"/>
      <c r="J182" s="8"/>
      <c r="K182" s="8"/>
      <c r="L182" s="8"/>
      <c r="M182" s="8"/>
      <c r="N182" s="8"/>
      <c r="O182" s="8"/>
      <c r="P182" s="8"/>
      <c r="Q182" s="8"/>
      <c r="R182" s="8"/>
      <c r="S182" s="8"/>
      <c r="T182" s="8"/>
      <c r="U182" s="8"/>
      <c r="V182" s="8"/>
      <c r="W182" s="8"/>
      <c r="X182" s="8"/>
      <c r="Y182" s="8"/>
      <c r="Z182" s="8"/>
      <c r="AA182" s="8"/>
      <c r="AB182" s="8"/>
      <c r="AC182" s="8"/>
      <c r="AD182" s="8"/>
      <c r="AE182" s="8"/>
      <c r="AF182" s="8"/>
      <c r="AG182" s="8"/>
      <c r="AH182" s="8"/>
      <c r="AI182" s="8"/>
      <c r="AJ182" s="8"/>
      <c r="AK182" s="8"/>
      <c r="AL182" s="8"/>
      <c r="AM182" s="8"/>
      <c r="AN182" s="8"/>
      <c r="AO182" s="8"/>
      <c r="AP182" s="8"/>
      <c r="AQ182" s="8"/>
    </row>
    <row r="183" spans="2:43" ht="15.95" hidden="1" customHeight="1">
      <c r="B183" s="929"/>
      <c r="C183" s="8"/>
      <c r="D183" s="8"/>
      <c r="E183" s="8"/>
      <c r="F183" s="8"/>
      <c r="G183" s="8"/>
      <c r="H183" s="8"/>
      <c r="I183" s="8"/>
      <c r="J183" s="8"/>
      <c r="K183" s="8"/>
      <c r="L183" s="8"/>
      <c r="M183" s="8"/>
      <c r="N183" s="8"/>
      <c r="O183" s="8"/>
      <c r="P183" s="8"/>
      <c r="Q183" s="8"/>
      <c r="R183" s="8"/>
      <c r="S183" s="8"/>
      <c r="T183" s="8"/>
      <c r="U183" s="8"/>
      <c r="V183" s="8"/>
      <c r="W183" s="8"/>
      <c r="X183" s="8"/>
      <c r="Y183" s="8"/>
      <c r="Z183" s="8"/>
      <c r="AA183" s="8"/>
      <c r="AB183" s="8"/>
      <c r="AC183" s="8"/>
      <c r="AD183" s="8"/>
      <c r="AE183" s="8"/>
      <c r="AF183" s="8"/>
      <c r="AG183" s="8"/>
      <c r="AH183" s="8"/>
      <c r="AI183" s="8"/>
      <c r="AJ183" s="8"/>
      <c r="AK183" s="8"/>
      <c r="AL183" s="8"/>
      <c r="AM183" s="8"/>
      <c r="AN183" s="8"/>
      <c r="AO183" s="8"/>
      <c r="AP183" s="8"/>
      <c r="AQ183" s="8"/>
    </row>
    <row r="184" spans="2:43" ht="15.95" hidden="1" customHeight="1">
      <c r="B184" s="929">
        <v>85</v>
      </c>
      <c r="C184" s="8"/>
      <c r="D184" s="8"/>
      <c r="E184" s="8"/>
      <c r="F184" s="8"/>
      <c r="G184" s="8"/>
      <c r="H184" s="8"/>
      <c r="I184" s="8"/>
      <c r="J184" s="8"/>
      <c r="K184" s="8"/>
      <c r="L184" s="8"/>
      <c r="M184" s="8"/>
      <c r="N184" s="8"/>
      <c r="O184" s="8"/>
      <c r="P184" s="8"/>
      <c r="Q184" s="8"/>
      <c r="R184" s="8"/>
      <c r="S184" s="8"/>
      <c r="T184" s="8"/>
      <c r="U184" s="8"/>
      <c r="V184" s="8"/>
      <c r="W184" s="8"/>
      <c r="X184" s="8"/>
      <c r="Y184" s="8"/>
      <c r="Z184" s="8"/>
      <c r="AA184" s="8"/>
      <c r="AB184" s="8"/>
      <c r="AC184" s="8"/>
      <c r="AD184" s="8"/>
      <c r="AE184" s="8"/>
      <c r="AF184" s="8"/>
      <c r="AG184" s="8"/>
      <c r="AH184" s="8"/>
      <c r="AI184" s="8"/>
      <c r="AJ184" s="8"/>
      <c r="AK184" s="8"/>
      <c r="AL184" s="8"/>
      <c r="AM184" s="8"/>
      <c r="AN184" s="8"/>
      <c r="AO184" s="8"/>
      <c r="AP184" s="8"/>
      <c r="AQ184" s="8"/>
    </row>
    <row r="185" spans="2:43" ht="15.95" hidden="1" customHeight="1">
      <c r="B185" s="929"/>
      <c r="C185" s="8"/>
      <c r="D185" s="8"/>
      <c r="E185" s="8"/>
      <c r="F185" s="8"/>
      <c r="G185" s="8"/>
      <c r="H185" s="8"/>
      <c r="I185" s="8"/>
      <c r="J185" s="8"/>
      <c r="K185" s="8"/>
      <c r="L185" s="8"/>
      <c r="M185" s="8"/>
      <c r="N185" s="8"/>
      <c r="O185" s="8"/>
      <c r="P185" s="8"/>
      <c r="Q185" s="8"/>
      <c r="R185" s="8"/>
      <c r="S185" s="8"/>
      <c r="T185" s="8"/>
      <c r="U185" s="8"/>
      <c r="V185" s="8"/>
      <c r="W185" s="8"/>
      <c r="X185" s="8"/>
      <c r="Y185" s="8"/>
      <c r="Z185" s="8"/>
      <c r="AA185" s="8"/>
      <c r="AB185" s="8"/>
      <c r="AC185" s="8"/>
      <c r="AD185" s="8"/>
      <c r="AE185" s="8"/>
      <c r="AF185" s="8"/>
      <c r="AG185" s="8"/>
      <c r="AH185" s="8"/>
      <c r="AI185" s="8"/>
      <c r="AJ185" s="8"/>
      <c r="AK185" s="8"/>
      <c r="AL185" s="8"/>
      <c r="AM185" s="8"/>
      <c r="AN185" s="8"/>
      <c r="AO185" s="8"/>
      <c r="AP185" s="8"/>
      <c r="AQ185" s="8"/>
    </row>
    <row r="186" spans="2:43" ht="15.95" hidden="1" customHeight="1">
      <c r="B186" s="929">
        <v>86</v>
      </c>
      <c r="C186" s="8"/>
      <c r="D186" s="8"/>
      <c r="E186" s="8"/>
      <c r="F186" s="8"/>
      <c r="G186" s="8"/>
      <c r="H186" s="8"/>
      <c r="I186" s="8"/>
      <c r="J186" s="8"/>
      <c r="K186" s="8"/>
      <c r="L186" s="8"/>
      <c r="M186" s="8"/>
      <c r="N186" s="8"/>
      <c r="O186" s="8"/>
      <c r="P186" s="8"/>
      <c r="Q186" s="8"/>
      <c r="R186" s="8"/>
      <c r="S186" s="8"/>
      <c r="T186" s="8"/>
      <c r="U186" s="8"/>
      <c r="V186" s="8"/>
      <c r="W186" s="8"/>
      <c r="X186" s="8"/>
      <c r="Y186" s="8"/>
      <c r="Z186" s="8"/>
      <c r="AA186" s="8"/>
      <c r="AB186" s="8"/>
      <c r="AC186" s="8"/>
      <c r="AD186" s="8"/>
      <c r="AE186" s="8"/>
      <c r="AF186" s="8"/>
      <c r="AG186" s="8"/>
      <c r="AH186" s="8"/>
      <c r="AI186" s="8"/>
      <c r="AJ186" s="8"/>
      <c r="AK186" s="8"/>
      <c r="AL186" s="8"/>
      <c r="AM186" s="8"/>
      <c r="AN186" s="8"/>
      <c r="AO186" s="8"/>
      <c r="AP186" s="8"/>
      <c r="AQ186" s="8"/>
    </row>
    <row r="187" spans="2:43" ht="15.95" hidden="1" customHeight="1">
      <c r="B187" s="929"/>
      <c r="C187" s="8"/>
      <c r="D187" s="8"/>
      <c r="E187" s="8"/>
      <c r="F187" s="8"/>
      <c r="G187" s="8"/>
      <c r="H187" s="8"/>
      <c r="I187" s="8"/>
      <c r="J187" s="8"/>
      <c r="K187" s="8"/>
      <c r="L187" s="8"/>
      <c r="M187" s="8"/>
      <c r="N187" s="8"/>
      <c r="O187" s="8"/>
      <c r="P187" s="8"/>
      <c r="Q187" s="8"/>
      <c r="R187" s="8"/>
      <c r="S187" s="8"/>
      <c r="T187" s="8"/>
      <c r="U187" s="8"/>
      <c r="V187" s="8"/>
      <c r="W187" s="8"/>
      <c r="X187" s="8"/>
      <c r="Y187" s="8"/>
      <c r="Z187" s="8"/>
      <c r="AA187" s="8"/>
      <c r="AB187" s="8"/>
      <c r="AC187" s="8"/>
      <c r="AD187" s="8"/>
      <c r="AE187" s="8"/>
      <c r="AF187" s="8"/>
      <c r="AG187" s="8"/>
      <c r="AH187" s="8"/>
      <c r="AI187" s="8"/>
      <c r="AJ187" s="8"/>
      <c r="AK187" s="8"/>
      <c r="AL187" s="8"/>
      <c r="AM187" s="8"/>
      <c r="AN187" s="8"/>
      <c r="AO187" s="8"/>
      <c r="AP187" s="8"/>
      <c r="AQ187" s="8"/>
    </row>
    <row r="188" spans="2:43" ht="15.95" hidden="1" customHeight="1">
      <c r="B188" s="929">
        <v>87</v>
      </c>
      <c r="C188" s="8"/>
      <c r="D188" s="8"/>
      <c r="E188" s="8"/>
      <c r="F188" s="8"/>
      <c r="G188" s="8"/>
      <c r="H188" s="8"/>
      <c r="I188" s="8"/>
      <c r="J188" s="8"/>
      <c r="K188" s="8"/>
      <c r="L188" s="8"/>
      <c r="M188" s="8"/>
      <c r="N188" s="8"/>
      <c r="O188" s="8"/>
      <c r="P188" s="8"/>
      <c r="Q188" s="8"/>
      <c r="R188" s="8"/>
      <c r="S188" s="8"/>
      <c r="T188" s="8"/>
      <c r="U188" s="8"/>
      <c r="V188" s="8"/>
      <c r="W188" s="8"/>
      <c r="X188" s="8"/>
      <c r="Y188" s="8"/>
      <c r="Z188" s="8"/>
      <c r="AA188" s="8"/>
      <c r="AB188" s="8"/>
      <c r="AC188" s="8"/>
      <c r="AD188" s="8"/>
      <c r="AE188" s="8"/>
      <c r="AF188" s="8"/>
      <c r="AG188" s="8"/>
      <c r="AH188" s="8"/>
      <c r="AI188" s="8"/>
      <c r="AJ188" s="8"/>
      <c r="AK188" s="8"/>
      <c r="AL188" s="8"/>
      <c r="AM188" s="8"/>
      <c r="AN188" s="8"/>
      <c r="AO188" s="8"/>
      <c r="AP188" s="8"/>
      <c r="AQ188" s="8"/>
    </row>
    <row r="189" spans="2:43" ht="15.95" hidden="1" customHeight="1">
      <c r="B189" s="929"/>
      <c r="C189" s="8"/>
      <c r="D189" s="8"/>
      <c r="E189" s="8"/>
      <c r="F189" s="8"/>
      <c r="G189" s="8"/>
      <c r="H189" s="8"/>
      <c r="I189" s="8"/>
      <c r="J189" s="8"/>
      <c r="K189" s="8"/>
      <c r="L189" s="8"/>
      <c r="M189" s="8"/>
      <c r="N189" s="8"/>
      <c r="O189" s="8"/>
      <c r="P189" s="8"/>
      <c r="Q189" s="8"/>
      <c r="R189" s="8"/>
      <c r="S189" s="8"/>
      <c r="T189" s="8"/>
      <c r="U189" s="8"/>
      <c r="V189" s="8"/>
      <c r="W189" s="8"/>
      <c r="X189" s="8"/>
      <c r="Y189" s="8"/>
      <c r="Z189" s="8"/>
      <c r="AA189" s="8"/>
      <c r="AB189" s="8"/>
      <c r="AC189" s="8"/>
      <c r="AD189" s="8"/>
      <c r="AE189" s="8"/>
      <c r="AF189" s="8"/>
      <c r="AG189" s="8"/>
      <c r="AH189" s="8"/>
      <c r="AI189" s="8"/>
      <c r="AJ189" s="8"/>
      <c r="AK189" s="8"/>
      <c r="AL189" s="8"/>
      <c r="AM189" s="8"/>
      <c r="AN189" s="8"/>
      <c r="AO189" s="8"/>
      <c r="AP189" s="8"/>
      <c r="AQ189" s="8"/>
    </row>
    <row r="190" spans="2:43" ht="15.95" hidden="1" customHeight="1">
      <c r="B190" s="929">
        <v>88</v>
      </c>
      <c r="C190" s="8"/>
      <c r="D190" s="8"/>
      <c r="E190" s="8"/>
      <c r="F190" s="8"/>
      <c r="G190" s="8"/>
      <c r="H190" s="8"/>
      <c r="I190" s="8"/>
      <c r="J190" s="8"/>
      <c r="K190" s="8"/>
      <c r="L190" s="8"/>
      <c r="M190" s="8"/>
      <c r="N190" s="8"/>
      <c r="O190" s="8"/>
      <c r="P190" s="8"/>
      <c r="Q190" s="8"/>
      <c r="R190" s="8"/>
      <c r="S190" s="8"/>
      <c r="T190" s="8"/>
      <c r="U190" s="8"/>
      <c r="V190" s="8"/>
      <c r="W190" s="8"/>
      <c r="X190" s="8"/>
      <c r="Y190" s="8"/>
      <c r="Z190" s="8"/>
      <c r="AA190" s="8"/>
      <c r="AB190" s="8"/>
      <c r="AC190" s="8"/>
      <c r="AD190" s="8"/>
      <c r="AE190" s="8"/>
      <c r="AF190" s="8"/>
      <c r="AG190" s="8"/>
      <c r="AH190" s="8"/>
      <c r="AI190" s="8"/>
      <c r="AJ190" s="8"/>
      <c r="AK190" s="8"/>
      <c r="AL190" s="8"/>
      <c r="AM190" s="8"/>
      <c r="AN190" s="8"/>
      <c r="AO190" s="8"/>
      <c r="AP190" s="8"/>
      <c r="AQ190" s="8"/>
    </row>
    <row r="191" spans="2:43" ht="15.95" hidden="1" customHeight="1">
      <c r="B191" s="929"/>
      <c r="C191" s="8"/>
      <c r="D191" s="8"/>
      <c r="E191" s="8"/>
      <c r="F191" s="8"/>
      <c r="G191" s="8"/>
      <c r="H191" s="8"/>
      <c r="I191" s="8"/>
      <c r="J191" s="8"/>
      <c r="K191" s="8"/>
      <c r="L191" s="8"/>
      <c r="M191" s="8"/>
      <c r="N191" s="8"/>
      <c r="O191" s="8"/>
      <c r="P191" s="8"/>
      <c r="Q191" s="8"/>
      <c r="R191" s="8"/>
      <c r="S191" s="8"/>
      <c r="T191" s="8"/>
      <c r="U191" s="8"/>
      <c r="V191" s="8"/>
      <c r="W191" s="8"/>
      <c r="X191" s="8"/>
      <c r="Y191" s="8"/>
      <c r="Z191" s="8"/>
      <c r="AA191" s="8"/>
      <c r="AB191" s="8"/>
      <c r="AC191" s="8"/>
      <c r="AD191" s="8"/>
      <c r="AE191" s="8"/>
      <c r="AF191" s="8"/>
      <c r="AG191" s="8"/>
      <c r="AH191" s="8"/>
      <c r="AI191" s="8"/>
      <c r="AJ191" s="8"/>
      <c r="AK191" s="8"/>
      <c r="AL191" s="8"/>
      <c r="AM191" s="8"/>
      <c r="AN191" s="8"/>
      <c r="AO191" s="8"/>
      <c r="AP191" s="8"/>
      <c r="AQ191" s="8"/>
    </row>
    <row r="192" spans="2:43" ht="15.95" hidden="1" customHeight="1">
      <c r="B192" s="929">
        <v>89</v>
      </c>
      <c r="C192" s="8"/>
      <c r="D192" s="8"/>
      <c r="E192" s="8"/>
      <c r="F192" s="8"/>
      <c r="G192" s="8"/>
      <c r="H192" s="8"/>
      <c r="I192" s="8"/>
      <c r="J192" s="8"/>
      <c r="K192" s="8"/>
      <c r="L192" s="8"/>
      <c r="M192" s="8"/>
      <c r="N192" s="8"/>
      <c r="O192" s="8"/>
      <c r="P192" s="8"/>
      <c r="Q192" s="8"/>
      <c r="R192" s="8"/>
      <c r="S192" s="8"/>
      <c r="T192" s="8"/>
      <c r="U192" s="8"/>
      <c r="V192" s="8"/>
      <c r="W192" s="8"/>
      <c r="X192" s="8"/>
      <c r="Y192" s="8"/>
      <c r="Z192" s="8"/>
      <c r="AA192" s="8"/>
      <c r="AB192" s="8"/>
      <c r="AC192" s="8"/>
      <c r="AD192" s="8"/>
      <c r="AE192" s="8"/>
      <c r="AF192" s="8"/>
      <c r="AG192" s="8"/>
      <c r="AH192" s="8"/>
      <c r="AI192" s="8"/>
      <c r="AJ192" s="8"/>
      <c r="AK192" s="8"/>
      <c r="AL192" s="8"/>
      <c r="AM192" s="8"/>
      <c r="AN192" s="8"/>
      <c r="AO192" s="8"/>
      <c r="AP192" s="8"/>
      <c r="AQ192" s="8"/>
    </row>
    <row r="193" spans="2:48" ht="15.95" hidden="1" customHeight="1">
      <c r="B193" s="929"/>
      <c r="C193" s="8"/>
      <c r="D193" s="8"/>
      <c r="E193" s="8"/>
      <c r="F193" s="8"/>
      <c r="G193" s="8"/>
      <c r="H193" s="8"/>
      <c r="I193" s="8"/>
      <c r="J193" s="8"/>
      <c r="K193" s="8"/>
      <c r="L193" s="8"/>
      <c r="M193" s="8"/>
      <c r="N193" s="8"/>
      <c r="O193" s="8"/>
      <c r="P193" s="8"/>
      <c r="Q193" s="8"/>
      <c r="R193" s="8"/>
      <c r="S193" s="8"/>
      <c r="T193" s="8"/>
      <c r="U193" s="8"/>
      <c r="V193" s="8"/>
      <c r="W193" s="8"/>
      <c r="X193" s="8"/>
      <c r="Y193" s="8"/>
      <c r="Z193" s="8"/>
      <c r="AA193" s="8"/>
      <c r="AB193" s="8"/>
      <c r="AC193" s="8"/>
      <c r="AD193" s="8"/>
      <c r="AE193" s="8"/>
      <c r="AF193" s="8"/>
      <c r="AG193" s="8"/>
      <c r="AH193" s="8"/>
      <c r="AI193" s="8"/>
      <c r="AJ193" s="8"/>
      <c r="AK193" s="8"/>
      <c r="AL193" s="8"/>
      <c r="AM193" s="8"/>
      <c r="AN193" s="8"/>
      <c r="AO193" s="8"/>
      <c r="AP193" s="8"/>
      <c r="AQ193" s="8"/>
    </row>
    <row r="194" spans="2:48" ht="15.95" hidden="1" customHeight="1">
      <c r="B194" s="929">
        <v>90</v>
      </c>
      <c r="C194" s="8"/>
      <c r="D194" s="8"/>
      <c r="E194" s="8"/>
      <c r="F194" s="8"/>
      <c r="G194" s="8"/>
      <c r="H194" s="8"/>
      <c r="I194" s="8"/>
      <c r="J194" s="8"/>
      <c r="K194" s="8"/>
      <c r="L194" s="8"/>
      <c r="M194" s="8"/>
      <c r="N194" s="8"/>
      <c r="O194" s="8"/>
      <c r="P194" s="8"/>
      <c r="Q194" s="8"/>
      <c r="R194" s="8"/>
      <c r="S194" s="8"/>
      <c r="T194" s="8"/>
      <c r="U194" s="8"/>
      <c r="V194" s="8"/>
      <c r="W194" s="8"/>
      <c r="X194" s="8"/>
      <c r="Y194" s="8"/>
      <c r="Z194" s="8"/>
      <c r="AA194" s="8"/>
      <c r="AB194" s="8"/>
      <c r="AC194" s="8"/>
      <c r="AD194" s="8"/>
      <c r="AE194" s="8"/>
      <c r="AF194" s="8"/>
      <c r="AG194" s="8"/>
      <c r="AH194" s="8"/>
      <c r="AI194" s="8"/>
      <c r="AJ194" s="8"/>
      <c r="AK194" s="8"/>
      <c r="AL194" s="8"/>
      <c r="AM194" s="8"/>
      <c r="AN194" s="8"/>
      <c r="AO194" s="8"/>
      <c r="AP194" s="8"/>
      <c r="AQ194" s="8"/>
    </row>
    <row r="195" spans="2:48" ht="15.95" hidden="1" customHeight="1">
      <c r="B195" s="929"/>
      <c r="C195" s="8"/>
      <c r="D195" s="8"/>
      <c r="E195" s="8"/>
      <c r="F195" s="8"/>
      <c r="G195" s="8"/>
      <c r="H195" s="8"/>
      <c r="I195" s="8"/>
      <c r="J195" s="8"/>
      <c r="K195" s="8"/>
      <c r="L195" s="8"/>
      <c r="M195" s="8"/>
      <c r="N195" s="8"/>
      <c r="O195" s="8"/>
      <c r="P195" s="8"/>
      <c r="Q195" s="8"/>
      <c r="R195" s="8"/>
      <c r="S195" s="8"/>
      <c r="T195" s="8"/>
      <c r="U195" s="8"/>
      <c r="V195" s="8"/>
      <c r="W195" s="8"/>
      <c r="X195" s="8"/>
      <c r="Y195" s="8"/>
      <c r="Z195" s="8"/>
      <c r="AA195" s="8"/>
      <c r="AB195" s="8"/>
      <c r="AC195" s="8"/>
      <c r="AD195" s="8"/>
      <c r="AE195" s="8"/>
      <c r="AF195" s="8"/>
      <c r="AG195" s="8"/>
      <c r="AH195" s="8"/>
      <c r="AI195" s="8"/>
      <c r="AJ195" s="8"/>
      <c r="AK195" s="8"/>
      <c r="AL195" s="8"/>
      <c r="AM195" s="8"/>
      <c r="AN195" s="8"/>
      <c r="AO195" s="8"/>
      <c r="AP195" s="8"/>
      <c r="AQ195" s="8"/>
    </row>
    <row r="196" spans="2:48" ht="15.95" hidden="1" customHeight="1">
      <c r="B196" s="929">
        <v>91</v>
      </c>
      <c r="C196" s="8"/>
      <c r="D196" s="8"/>
      <c r="E196" s="8"/>
      <c r="F196" s="8"/>
      <c r="G196" s="8"/>
      <c r="H196" s="8"/>
      <c r="I196" s="8"/>
      <c r="J196" s="8"/>
      <c r="K196" s="8"/>
      <c r="L196" s="8"/>
      <c r="M196" s="8"/>
      <c r="N196" s="8"/>
      <c r="O196" s="8"/>
      <c r="P196" s="8"/>
      <c r="Q196" s="8"/>
      <c r="R196" s="8"/>
      <c r="S196" s="8"/>
      <c r="T196" s="8"/>
      <c r="U196" s="8"/>
      <c r="V196" s="8"/>
      <c r="W196" s="8"/>
      <c r="X196" s="8"/>
      <c r="Y196" s="8"/>
      <c r="Z196" s="8"/>
      <c r="AA196" s="8"/>
      <c r="AB196" s="8"/>
      <c r="AC196" s="8"/>
      <c r="AD196" s="8"/>
      <c r="AE196" s="8"/>
      <c r="AF196" s="8"/>
      <c r="AG196" s="8"/>
      <c r="AH196" s="8"/>
      <c r="AI196" s="8"/>
      <c r="AJ196" s="8"/>
      <c r="AK196" s="8"/>
      <c r="AL196" s="8"/>
      <c r="AM196" s="8"/>
      <c r="AN196" s="8"/>
      <c r="AO196" s="8"/>
      <c r="AP196" s="8"/>
      <c r="AQ196" s="8"/>
    </row>
    <row r="197" spans="2:48" ht="15.95" hidden="1" customHeight="1">
      <c r="B197" s="929"/>
      <c r="C197" s="8"/>
      <c r="D197" s="8"/>
      <c r="E197" s="8"/>
      <c r="F197" s="8"/>
      <c r="G197" s="8"/>
      <c r="H197" s="8"/>
      <c r="I197" s="8"/>
      <c r="J197" s="8"/>
      <c r="K197" s="8"/>
      <c r="L197" s="8"/>
      <c r="M197" s="8"/>
      <c r="N197" s="8"/>
      <c r="O197" s="8"/>
      <c r="P197" s="8"/>
      <c r="Q197" s="8"/>
      <c r="R197" s="8"/>
      <c r="S197" s="8"/>
      <c r="T197" s="8"/>
      <c r="U197" s="8"/>
      <c r="V197" s="8"/>
      <c r="W197" s="8"/>
      <c r="X197" s="8"/>
      <c r="Y197" s="8"/>
      <c r="Z197" s="8"/>
      <c r="AA197" s="8"/>
      <c r="AB197" s="8"/>
      <c r="AC197" s="8"/>
      <c r="AD197" s="8"/>
      <c r="AE197" s="8"/>
      <c r="AF197" s="8"/>
      <c r="AG197" s="8"/>
      <c r="AH197" s="8"/>
      <c r="AI197" s="8"/>
      <c r="AJ197" s="8"/>
      <c r="AK197" s="8"/>
      <c r="AL197" s="8"/>
      <c r="AM197" s="8"/>
      <c r="AN197" s="8"/>
      <c r="AO197" s="8"/>
      <c r="AP197" s="8"/>
      <c r="AQ197" s="8"/>
    </row>
    <row r="198" spans="2:48" ht="15.95" hidden="1" customHeight="1">
      <c r="B198" s="929">
        <v>92</v>
      </c>
      <c r="C198" s="8"/>
      <c r="D198" s="8"/>
      <c r="E198" s="8"/>
      <c r="F198" s="8"/>
      <c r="G198" s="8"/>
      <c r="H198" s="8"/>
      <c r="I198" s="8"/>
      <c r="J198" s="8"/>
      <c r="K198" s="8"/>
      <c r="L198" s="8"/>
      <c r="M198" s="8"/>
      <c r="N198" s="8"/>
      <c r="O198" s="8"/>
      <c r="P198" s="8"/>
      <c r="Q198" s="8"/>
      <c r="R198" s="8"/>
      <c r="S198" s="8"/>
      <c r="T198" s="8"/>
      <c r="U198" s="8"/>
      <c r="V198" s="8"/>
      <c r="W198" s="8"/>
      <c r="X198" s="8"/>
      <c r="Y198" s="8"/>
      <c r="Z198" s="8"/>
      <c r="AA198" s="8"/>
      <c r="AB198" s="8"/>
      <c r="AC198" s="8"/>
      <c r="AD198" s="8"/>
      <c r="AE198" s="8"/>
      <c r="AF198" s="8"/>
      <c r="AG198" s="8"/>
      <c r="AH198" s="8"/>
      <c r="AI198" s="8"/>
      <c r="AJ198" s="8"/>
      <c r="AK198" s="8"/>
      <c r="AL198" s="8"/>
      <c r="AM198" s="8"/>
      <c r="AN198" s="8"/>
      <c r="AO198" s="8"/>
      <c r="AP198" s="8"/>
      <c r="AQ198" s="8"/>
    </row>
    <row r="199" spans="2:48" ht="15.95" hidden="1" customHeight="1">
      <c r="B199" s="929"/>
      <c r="C199" s="8"/>
      <c r="D199" s="8"/>
      <c r="E199" s="8"/>
      <c r="F199" s="8"/>
      <c r="G199" s="8"/>
      <c r="H199" s="8"/>
      <c r="I199" s="8"/>
      <c r="J199" s="8"/>
      <c r="K199" s="8"/>
      <c r="L199" s="8"/>
      <c r="M199" s="8"/>
      <c r="N199" s="8"/>
      <c r="O199" s="8"/>
      <c r="P199" s="8"/>
      <c r="Q199" s="8"/>
      <c r="R199" s="8"/>
      <c r="S199" s="8"/>
      <c r="T199" s="8"/>
      <c r="U199" s="8"/>
      <c r="V199" s="8"/>
      <c r="W199" s="8"/>
      <c r="X199" s="8"/>
      <c r="Y199" s="8"/>
      <c r="Z199" s="8"/>
      <c r="AA199" s="8"/>
      <c r="AB199" s="8"/>
      <c r="AC199" s="8"/>
      <c r="AD199" s="8"/>
      <c r="AE199" s="8"/>
      <c r="AF199" s="8"/>
      <c r="AG199" s="8"/>
      <c r="AH199" s="8"/>
      <c r="AI199" s="8"/>
      <c r="AJ199" s="8"/>
      <c r="AK199" s="8"/>
      <c r="AL199" s="8"/>
      <c r="AM199" s="8"/>
      <c r="AN199" s="8"/>
      <c r="AO199" s="8"/>
      <c r="AP199" s="8"/>
      <c r="AQ199" s="8"/>
    </row>
    <row r="200" spans="2:48" ht="15.95" customHeight="1">
      <c r="B200" s="272" t="str">
        <f>FOOT1</f>
        <v>NIPSCO Energy Efficiency Program</v>
      </c>
      <c r="C200" s="272"/>
      <c r="D200" s="272"/>
      <c r="E200" s="272"/>
      <c r="F200" s="272"/>
      <c r="G200" s="272"/>
      <c r="H200" s="272"/>
      <c r="I200" s="272"/>
      <c r="J200" s="272"/>
      <c r="K200" s="272"/>
      <c r="L200" s="272"/>
      <c r="M200" s="661" t="str">
        <f>FOOT4</f>
        <v>NIPSCO’s energy efficiency programs are administered by TRC, a third‐party implementation specialist that helps homes and businesses save energy.</v>
      </c>
      <c r="N200" s="661"/>
      <c r="O200" s="661"/>
      <c r="P200" s="661"/>
      <c r="Q200" s="661"/>
      <c r="R200" s="661"/>
      <c r="S200" s="661"/>
      <c r="T200" s="661"/>
      <c r="U200" s="661"/>
      <c r="V200" s="661"/>
      <c r="W200" s="661"/>
      <c r="X200" s="661"/>
      <c r="Y200" s="661"/>
      <c r="Z200" s="661"/>
      <c r="AA200" s="661"/>
      <c r="AB200" s="661"/>
      <c r="AC200" s="661"/>
      <c r="AD200" s="661"/>
      <c r="AE200" s="661"/>
      <c r="AF200" s="661"/>
      <c r="AG200" s="661"/>
      <c r="AH200" s="272"/>
      <c r="AI200" s="272"/>
      <c r="AJ200" s="272"/>
      <c r="AK200" s="272"/>
      <c r="AL200" s="272"/>
      <c r="AM200" s="272"/>
      <c r="AN200" s="272"/>
      <c r="AO200" s="272"/>
      <c r="AP200" s="272"/>
      <c r="AQ200" s="272"/>
      <c r="AR200" s="273" t="str">
        <f>FOOTDISCLAIM</f>
        <v/>
      </c>
      <c r="AU200" s="813">
        <f>SUM(AU16:AU199)</f>
        <v>0</v>
      </c>
      <c r="AV200" s="878">
        <f>SUM(AV16:AV199)</f>
        <v>0</v>
      </c>
    </row>
    <row r="201" spans="2:48" ht="15.95" customHeight="1">
      <c r="B201" s="272" t="str">
        <f>FOOT2</f>
        <v>Toll-Free 800-299-2501</v>
      </c>
      <c r="C201" s="272"/>
      <c r="D201" s="272"/>
      <c r="E201" s="272"/>
      <c r="F201" s="272"/>
      <c r="G201" s="272"/>
      <c r="H201" s="272"/>
      <c r="I201" s="272"/>
      <c r="J201" s="272"/>
      <c r="K201" s="272"/>
      <c r="L201" s="272"/>
      <c r="M201" s="661"/>
      <c r="N201" s="661"/>
      <c r="O201" s="661"/>
      <c r="P201" s="661"/>
      <c r="Q201" s="661"/>
      <c r="R201" s="661"/>
      <c r="S201" s="661"/>
      <c r="T201" s="661"/>
      <c r="U201" s="661"/>
      <c r="V201" s="661"/>
      <c r="W201" s="661"/>
      <c r="X201" s="661"/>
      <c r="Y201" s="661"/>
      <c r="Z201" s="661"/>
      <c r="AA201" s="661"/>
      <c r="AB201" s="661"/>
      <c r="AC201" s="661"/>
      <c r="AD201" s="661"/>
      <c r="AE201" s="661"/>
      <c r="AF201" s="661"/>
      <c r="AG201" s="661"/>
      <c r="AH201" s="272"/>
      <c r="AI201" s="272"/>
      <c r="AJ201" s="272"/>
      <c r="AK201" s="272"/>
      <c r="AL201" s="272"/>
      <c r="AM201" s="272"/>
      <c r="AN201" s="272"/>
      <c r="AO201" s="272"/>
      <c r="AP201" s="272"/>
      <c r="AQ201" s="272"/>
      <c r="AR201" s="273" t="str">
        <f>FOOT5</f>
        <v/>
      </c>
      <c r="AU201" s="814"/>
      <c r="AV201" s="879"/>
    </row>
    <row r="202" spans="2:48">
      <c r="B202" s="281" t="s">
        <v>1547</v>
      </c>
      <c r="C202" s="272"/>
      <c r="D202" s="272"/>
      <c r="E202" s="272"/>
      <c r="F202" s="272"/>
      <c r="G202" s="272"/>
      <c r="H202" s="272"/>
      <c r="I202" s="272"/>
      <c r="J202" s="272"/>
      <c r="K202" s="272"/>
      <c r="L202" s="272"/>
      <c r="M202" s="274"/>
      <c r="N202" s="272"/>
      <c r="O202" s="272"/>
      <c r="P202" s="274"/>
      <c r="Q202" s="274"/>
      <c r="R202" s="274"/>
      <c r="S202" s="274"/>
      <c r="T202" s="274"/>
      <c r="U202" s="274"/>
      <c r="V202" s="274"/>
      <c r="W202" s="275" t="str">
        <f>VERSION</f>
        <v>Custom Prescriptive Application v3.7.1</v>
      </c>
      <c r="X202" s="274"/>
      <c r="Y202" s="274"/>
      <c r="Z202" s="274"/>
      <c r="AA202" s="274"/>
      <c r="AB202" s="274"/>
      <c r="AC202" s="274"/>
      <c r="AD202" s="274"/>
      <c r="AE202" s="272"/>
      <c r="AF202" s="272"/>
      <c r="AG202" s="272"/>
      <c r="AH202" s="272"/>
      <c r="AI202" s="272"/>
      <c r="AJ202" s="272"/>
      <c r="AK202" s="272"/>
      <c r="AL202" s="272"/>
      <c r="AM202" s="272"/>
      <c r="AN202" s="272"/>
      <c r="AO202" s="272"/>
      <c r="AP202" s="272"/>
      <c r="AQ202" s="272"/>
      <c r="AR202" s="273" t="str">
        <f>FOOT6</f>
        <v>Product of TRC</v>
      </c>
    </row>
    <row r="203" spans="2:48"/>
  </sheetData>
  <sheetProtection algorithmName="SHA-512" hashValue="KJ6ob5X/rvbISlRZN38wZw6AXdhpVBhjPXl3q4UsbvseOGTGgKRanjUSzoU7ifVLcQ6VSpeuzE3UtfxC3dcCxA==" saltValue="/fxITvB/L+h3IUxMBHljJQ==" spinCount="100000" sheet="1" objects="1" scenarios="1" selectLockedCells="1"/>
  <mergeCells count="1110">
    <mergeCell ref="AU114:AU115"/>
    <mergeCell ref="AV114:AV115"/>
    <mergeCell ref="AW108:AW109"/>
    <mergeCell ref="AX108:AX109"/>
    <mergeCell ref="AW110:AW111"/>
    <mergeCell ref="AX110:AX111"/>
    <mergeCell ref="AW112:AW113"/>
    <mergeCell ref="AX112:AX113"/>
    <mergeCell ref="AW114:AW115"/>
    <mergeCell ref="AX114:AX115"/>
    <mergeCell ref="AU94:AU95"/>
    <mergeCell ref="AV94:AV95"/>
    <mergeCell ref="AU96:AU97"/>
    <mergeCell ref="AV96:AV97"/>
    <mergeCell ref="AU98:AU99"/>
    <mergeCell ref="AV98:AV99"/>
    <mergeCell ref="AU100:AU101"/>
    <mergeCell ref="AV100:AV101"/>
    <mergeCell ref="AU102:AU103"/>
    <mergeCell ref="AV102:AV103"/>
    <mergeCell ref="AU104:AU105"/>
    <mergeCell ref="AV104:AV105"/>
    <mergeCell ref="AU106:AU107"/>
    <mergeCell ref="AV106:AV107"/>
    <mergeCell ref="AU108:AU109"/>
    <mergeCell ref="AV108:AV109"/>
    <mergeCell ref="AU110:AU111"/>
    <mergeCell ref="AW104:AW105"/>
    <mergeCell ref="AX104:AX105"/>
    <mergeCell ref="AW106:AW107"/>
    <mergeCell ref="AX106:AX107"/>
    <mergeCell ref="AW88:AW89"/>
    <mergeCell ref="AX88:AX89"/>
    <mergeCell ref="AW90:AW91"/>
    <mergeCell ref="AX90:AX91"/>
    <mergeCell ref="AW92:AW93"/>
    <mergeCell ref="AX92:AX93"/>
    <mergeCell ref="AW94:AW95"/>
    <mergeCell ref="AX94:AX95"/>
    <mergeCell ref="AY30:AY31"/>
    <mergeCell ref="AY32:AY33"/>
    <mergeCell ref="AY34:AY35"/>
    <mergeCell ref="AU112:AU113"/>
    <mergeCell ref="AV112:AV113"/>
    <mergeCell ref="AW98:AW99"/>
    <mergeCell ref="AX98:AX99"/>
    <mergeCell ref="AV76:AV77"/>
    <mergeCell ref="AU78:AU79"/>
    <mergeCell ref="AV78:AV79"/>
    <mergeCell ref="AU80:AU81"/>
    <mergeCell ref="AV80:AV81"/>
    <mergeCell ref="AU82:AU83"/>
    <mergeCell ref="AV82:AV83"/>
    <mergeCell ref="AU84:AU85"/>
    <mergeCell ref="AV84:AV85"/>
    <mergeCell ref="AU86:AU87"/>
    <mergeCell ref="AV86:AV87"/>
    <mergeCell ref="AU88:AU89"/>
    <mergeCell ref="AV88:AV89"/>
    <mergeCell ref="AU90:AU91"/>
    <mergeCell ref="AV90:AV91"/>
    <mergeCell ref="AU92:AU93"/>
    <mergeCell ref="AV92:AV93"/>
    <mergeCell ref="AV46:AV47"/>
    <mergeCell ref="AU48:AU49"/>
    <mergeCell ref="AV48:AV49"/>
    <mergeCell ref="AU50:AU51"/>
    <mergeCell ref="AV50:AV51"/>
    <mergeCell ref="AU52:AU53"/>
    <mergeCell ref="AV52:AV53"/>
    <mergeCell ref="AU54:AU55"/>
    <mergeCell ref="AV54:AV55"/>
    <mergeCell ref="AU56:AU57"/>
    <mergeCell ref="AV56:AV57"/>
    <mergeCell ref="AU58:AU59"/>
    <mergeCell ref="AV58:AV59"/>
    <mergeCell ref="AU60:AU61"/>
    <mergeCell ref="AV60:AV61"/>
    <mergeCell ref="AU62:AU63"/>
    <mergeCell ref="AV62:AV63"/>
    <mergeCell ref="P18:Q19"/>
    <mergeCell ref="P20:Q21"/>
    <mergeCell ref="P22:Q23"/>
    <mergeCell ref="P24:Q25"/>
    <mergeCell ref="P26:Q27"/>
    <mergeCell ref="AU46:AU47"/>
    <mergeCell ref="AU42:AU43"/>
    <mergeCell ref="T42:U43"/>
    <mergeCell ref="V42:W43"/>
    <mergeCell ref="AI42:AJ43"/>
    <mergeCell ref="AI24:AJ25"/>
    <mergeCell ref="T30:U31"/>
    <mergeCell ref="V30:W31"/>
    <mergeCell ref="AI30:AJ31"/>
    <mergeCell ref="T28:U29"/>
    <mergeCell ref="AE32:AH33"/>
    <mergeCell ref="T34:U35"/>
    <mergeCell ref="V34:W35"/>
    <mergeCell ref="AI34:AJ35"/>
    <mergeCell ref="X34:Z35"/>
    <mergeCell ref="AA34:AB35"/>
    <mergeCell ref="AC34:AD35"/>
    <mergeCell ref="AE34:AH35"/>
    <mergeCell ref="T44:U45"/>
    <mergeCell ref="V44:W45"/>
    <mergeCell ref="AI44:AJ45"/>
    <mergeCell ref="AI22:AJ23"/>
    <mergeCell ref="AI32:AJ33"/>
    <mergeCell ref="X32:Z33"/>
    <mergeCell ref="AA32:AB33"/>
    <mergeCell ref="AC32:AD33"/>
    <mergeCell ref="R42:S43"/>
    <mergeCell ref="C16:I17"/>
    <mergeCell ref="J16:K17"/>
    <mergeCell ref="T18:U19"/>
    <mergeCell ref="V18:W19"/>
    <mergeCell ref="AI18:AJ19"/>
    <mergeCell ref="V20:W21"/>
    <mergeCell ref="AI20:AJ21"/>
    <mergeCell ref="AC16:AD17"/>
    <mergeCell ref="AQ1:AR1"/>
    <mergeCell ref="AQ2:AR3"/>
    <mergeCell ref="R9:AC10"/>
    <mergeCell ref="R12:U13"/>
    <mergeCell ref="V12:Y13"/>
    <mergeCell ref="Z12:AC13"/>
    <mergeCell ref="AH1:AK1"/>
    <mergeCell ref="AL1:AP1"/>
    <mergeCell ref="AH2:AK3"/>
    <mergeCell ref="AL2:AP3"/>
    <mergeCell ref="N18:O19"/>
    <mergeCell ref="N20:O21"/>
    <mergeCell ref="AO14:AQ15"/>
    <mergeCell ref="AE16:AH17"/>
    <mergeCell ref="AK16:AN17"/>
    <mergeCell ref="AO16:AQ17"/>
    <mergeCell ref="L16:M17"/>
    <mergeCell ref="N16:O17"/>
    <mergeCell ref="P16:Q17"/>
    <mergeCell ref="R16:S17"/>
    <mergeCell ref="AC15:AD15"/>
    <mergeCell ref="X14:Z15"/>
    <mergeCell ref="X16:Z17"/>
    <mergeCell ref="AA14:AD14"/>
    <mergeCell ref="L40:M41"/>
    <mergeCell ref="N40:O41"/>
    <mergeCell ref="P40:Q41"/>
    <mergeCell ref="R40:S41"/>
    <mergeCell ref="AV42:AV43"/>
    <mergeCell ref="AU44:AU45"/>
    <mergeCell ref="AV44:AV45"/>
    <mergeCell ref="AU14:AU15"/>
    <mergeCell ref="AV14:AV15"/>
    <mergeCell ref="AU16:AU17"/>
    <mergeCell ref="AV16:AV17"/>
    <mergeCell ref="AU18:AU19"/>
    <mergeCell ref="AV18:AV19"/>
    <mergeCell ref="AU20:AU21"/>
    <mergeCell ref="AV20:AV21"/>
    <mergeCell ref="AU22:AU23"/>
    <mergeCell ref="AV22:AV23"/>
    <mergeCell ref="AU24:AU25"/>
    <mergeCell ref="AV24:AV25"/>
    <mergeCell ref="AU26:AU27"/>
    <mergeCell ref="AV26:AV27"/>
    <mergeCell ref="AU28:AU29"/>
    <mergeCell ref="AV28:AV29"/>
    <mergeCell ref="AU30:AU31"/>
    <mergeCell ref="AU36:AU37"/>
    <mergeCell ref="AV36:AV37"/>
    <mergeCell ref="AU38:AU39"/>
    <mergeCell ref="AV38:AV39"/>
    <mergeCell ref="AU40:AU41"/>
    <mergeCell ref="AV40:AV41"/>
    <mergeCell ref="T22:U23"/>
    <mergeCell ref="V22:W23"/>
    <mergeCell ref="B176:B177"/>
    <mergeCell ref="B178:B179"/>
    <mergeCell ref="B180:B181"/>
    <mergeCell ref="M200:AG201"/>
    <mergeCell ref="B198:B199"/>
    <mergeCell ref="B186:B187"/>
    <mergeCell ref="B188:B189"/>
    <mergeCell ref="B190:B191"/>
    <mergeCell ref="B192:B193"/>
    <mergeCell ref="B194:B195"/>
    <mergeCell ref="B196:B197"/>
    <mergeCell ref="B184:B185"/>
    <mergeCell ref="V28:W29"/>
    <mergeCell ref="AI28:AJ29"/>
    <mergeCell ref="X28:Z29"/>
    <mergeCell ref="X30:Z31"/>
    <mergeCell ref="AA28:AB29"/>
    <mergeCell ref="AA30:AB31"/>
    <mergeCell ref="AC28:AD29"/>
    <mergeCell ref="AC30:AD31"/>
    <mergeCell ref="AE28:AH29"/>
    <mergeCell ref="AE30:AH31"/>
    <mergeCell ref="T36:U37"/>
    <mergeCell ref="V36:W37"/>
    <mergeCell ref="AI36:AJ37"/>
    <mergeCell ref="T38:U39"/>
    <mergeCell ref="V38:W39"/>
    <mergeCell ref="AI38:AJ39"/>
    <mergeCell ref="R38:S39"/>
    <mergeCell ref="T40:U41"/>
    <mergeCell ref="V40:W41"/>
    <mergeCell ref="AI40:AJ41"/>
    <mergeCell ref="B136:B137"/>
    <mergeCell ref="B114:B115"/>
    <mergeCell ref="B116:B117"/>
    <mergeCell ref="B118:B119"/>
    <mergeCell ref="B120:B121"/>
    <mergeCell ref="B122:B123"/>
    <mergeCell ref="B124:B125"/>
    <mergeCell ref="B126:B127"/>
    <mergeCell ref="B128:B129"/>
    <mergeCell ref="B130:B131"/>
    <mergeCell ref="B132:B133"/>
    <mergeCell ref="B134:B135"/>
    <mergeCell ref="B182:B183"/>
    <mergeCell ref="B160:B161"/>
    <mergeCell ref="B138:B139"/>
    <mergeCell ref="B140:B141"/>
    <mergeCell ref="B142:B143"/>
    <mergeCell ref="B144:B145"/>
    <mergeCell ref="B146:B147"/>
    <mergeCell ref="B148:B149"/>
    <mergeCell ref="B150:B151"/>
    <mergeCell ref="B152:B153"/>
    <mergeCell ref="B154:B155"/>
    <mergeCell ref="B156:B157"/>
    <mergeCell ref="B158:B159"/>
    <mergeCell ref="B162:B163"/>
    <mergeCell ref="B164:B165"/>
    <mergeCell ref="B166:B167"/>
    <mergeCell ref="B168:B169"/>
    <mergeCell ref="B170:B171"/>
    <mergeCell ref="B172:B173"/>
    <mergeCell ref="B174:B175"/>
    <mergeCell ref="B62:B63"/>
    <mergeCell ref="B88:B89"/>
    <mergeCell ref="B66:B67"/>
    <mergeCell ref="B68:B69"/>
    <mergeCell ref="B70:B71"/>
    <mergeCell ref="B72:B73"/>
    <mergeCell ref="B74:B75"/>
    <mergeCell ref="B76:B77"/>
    <mergeCell ref="B78:B79"/>
    <mergeCell ref="B80:B81"/>
    <mergeCell ref="B82:B83"/>
    <mergeCell ref="B84:B85"/>
    <mergeCell ref="B86:B87"/>
    <mergeCell ref="B112:B113"/>
    <mergeCell ref="B90:B91"/>
    <mergeCell ref="B92:B93"/>
    <mergeCell ref="B94:B95"/>
    <mergeCell ref="B96:B97"/>
    <mergeCell ref="B98:B99"/>
    <mergeCell ref="B100:B101"/>
    <mergeCell ref="B102:B103"/>
    <mergeCell ref="B104:B105"/>
    <mergeCell ref="B106:B107"/>
    <mergeCell ref="B108:B109"/>
    <mergeCell ref="B110:B111"/>
    <mergeCell ref="AU200:AU201"/>
    <mergeCell ref="AV200:AV201"/>
    <mergeCell ref="B16:B17"/>
    <mergeCell ref="R11:U11"/>
    <mergeCell ref="V11:Y11"/>
    <mergeCell ref="Z11:AC11"/>
    <mergeCell ref="V14:W15"/>
    <mergeCell ref="T16:U17"/>
    <mergeCell ref="V16:W17"/>
    <mergeCell ref="B40:B41"/>
    <mergeCell ref="B18:B19"/>
    <mergeCell ref="B20:B21"/>
    <mergeCell ref="B22:B23"/>
    <mergeCell ref="B24:B25"/>
    <mergeCell ref="B26:B27"/>
    <mergeCell ref="B28:B29"/>
    <mergeCell ref="B30:B31"/>
    <mergeCell ref="B32:B33"/>
    <mergeCell ref="B34:B35"/>
    <mergeCell ref="B36:B37"/>
    <mergeCell ref="B38:B39"/>
    <mergeCell ref="B64:B65"/>
    <mergeCell ref="B42:B43"/>
    <mergeCell ref="B44:B45"/>
    <mergeCell ref="B46:B47"/>
    <mergeCell ref="B48:B49"/>
    <mergeCell ref="B50:B51"/>
    <mergeCell ref="B52:B53"/>
    <mergeCell ref="B54:B55"/>
    <mergeCell ref="B56:B57"/>
    <mergeCell ref="B58:B59"/>
    <mergeCell ref="B60:B61"/>
    <mergeCell ref="AV30:AV31"/>
    <mergeCell ref="AU32:AU33"/>
    <mergeCell ref="AV32:AV33"/>
    <mergeCell ref="AU34:AU35"/>
    <mergeCell ref="AV34:AV35"/>
    <mergeCell ref="BC14:BC15"/>
    <mergeCell ref="BC16:BC17"/>
    <mergeCell ref="BC18:BC19"/>
    <mergeCell ref="BC20:BC21"/>
    <mergeCell ref="BC22:BC23"/>
    <mergeCell ref="BC24:BC25"/>
    <mergeCell ref="BC26:BC27"/>
    <mergeCell ref="BC28:BC29"/>
    <mergeCell ref="BC30:BC31"/>
    <mergeCell ref="AX14:AX15"/>
    <mergeCell ref="AX16:AX17"/>
    <mergeCell ref="AX18:AX19"/>
    <mergeCell ref="AX20:AX21"/>
    <mergeCell ref="AX22:AX23"/>
    <mergeCell ref="AX24:AX25"/>
    <mergeCell ref="AX26:AX27"/>
    <mergeCell ref="AX28:AX29"/>
    <mergeCell ref="AY14:AY15"/>
    <mergeCell ref="AY16:AY17"/>
    <mergeCell ref="AY18:AY19"/>
    <mergeCell ref="AY20:AY21"/>
    <mergeCell ref="AY22:AY23"/>
    <mergeCell ref="AY24:AY25"/>
    <mergeCell ref="AY26:AY27"/>
    <mergeCell ref="AY28:AY29"/>
    <mergeCell ref="T54:U55"/>
    <mergeCell ref="V54:W55"/>
    <mergeCell ref="AI54:AJ55"/>
    <mergeCell ref="T52:U53"/>
    <mergeCell ref="V52:W53"/>
    <mergeCell ref="AI52:AJ53"/>
    <mergeCell ref="C52:I53"/>
    <mergeCell ref="C54:I55"/>
    <mergeCell ref="T50:U51"/>
    <mergeCell ref="V50:W51"/>
    <mergeCell ref="AI50:AJ51"/>
    <mergeCell ref="T48:U49"/>
    <mergeCell ref="V48:W49"/>
    <mergeCell ref="AI48:AJ49"/>
    <mergeCell ref="L48:M49"/>
    <mergeCell ref="N48:O49"/>
    <mergeCell ref="T46:U47"/>
    <mergeCell ref="V46:W47"/>
    <mergeCell ref="AI46:AJ47"/>
    <mergeCell ref="J52:K53"/>
    <mergeCell ref="J54:K55"/>
    <mergeCell ref="L52:M53"/>
    <mergeCell ref="N52:O53"/>
    <mergeCell ref="P52:Q53"/>
    <mergeCell ref="R52:S53"/>
    <mergeCell ref="L46:M47"/>
    <mergeCell ref="N46:O47"/>
    <mergeCell ref="P46:Q47"/>
    <mergeCell ref="R46:S47"/>
    <mergeCell ref="AA54:AB55"/>
    <mergeCell ref="AC54:AD55"/>
    <mergeCell ref="AE54:AH55"/>
    <mergeCell ref="L44:M45"/>
    <mergeCell ref="N44:O45"/>
    <mergeCell ref="P44:Q45"/>
    <mergeCell ref="R44:S45"/>
    <mergeCell ref="T64:U65"/>
    <mergeCell ref="V64:W65"/>
    <mergeCell ref="AI64:AJ65"/>
    <mergeCell ref="C64:I65"/>
    <mergeCell ref="C66:I67"/>
    <mergeCell ref="T62:U63"/>
    <mergeCell ref="V62:W63"/>
    <mergeCell ref="AI62:AJ63"/>
    <mergeCell ref="T60:U61"/>
    <mergeCell ref="V60:W61"/>
    <mergeCell ref="AI60:AJ61"/>
    <mergeCell ref="C60:I61"/>
    <mergeCell ref="C62:I63"/>
    <mergeCell ref="T58:U59"/>
    <mergeCell ref="V58:W59"/>
    <mergeCell ref="AI58:AJ59"/>
    <mergeCell ref="T56:U57"/>
    <mergeCell ref="V56:W57"/>
    <mergeCell ref="AI56:AJ57"/>
    <mergeCell ref="C56:I57"/>
    <mergeCell ref="C58:I59"/>
    <mergeCell ref="J56:K57"/>
    <mergeCell ref="J58:K59"/>
    <mergeCell ref="J60:K61"/>
    <mergeCell ref="J62:K63"/>
    <mergeCell ref="J64:K65"/>
    <mergeCell ref="L66:M67"/>
    <mergeCell ref="N66:O67"/>
    <mergeCell ref="T74:U75"/>
    <mergeCell ref="V74:W75"/>
    <mergeCell ref="AI74:AJ75"/>
    <mergeCell ref="T72:U73"/>
    <mergeCell ref="V72:W73"/>
    <mergeCell ref="AI72:AJ73"/>
    <mergeCell ref="C72:I73"/>
    <mergeCell ref="C74:I75"/>
    <mergeCell ref="T70:U71"/>
    <mergeCell ref="V70:W71"/>
    <mergeCell ref="AI70:AJ71"/>
    <mergeCell ref="T68:U69"/>
    <mergeCell ref="V68:W69"/>
    <mergeCell ref="AI68:AJ69"/>
    <mergeCell ref="C68:I69"/>
    <mergeCell ref="C70:I71"/>
    <mergeCell ref="T66:U67"/>
    <mergeCell ref="V66:W67"/>
    <mergeCell ref="AI66:AJ67"/>
    <mergeCell ref="J66:K67"/>
    <mergeCell ref="J68:K69"/>
    <mergeCell ref="J70:K71"/>
    <mergeCell ref="J72:K73"/>
    <mergeCell ref="J74:K75"/>
    <mergeCell ref="L72:M73"/>
    <mergeCell ref="N72:O73"/>
    <mergeCell ref="P72:Q73"/>
    <mergeCell ref="R72:S73"/>
    <mergeCell ref="L74:M75"/>
    <mergeCell ref="N74:O75"/>
    <mergeCell ref="AA66:AB67"/>
    <mergeCell ref="AC66:AD67"/>
    <mergeCell ref="T84:U85"/>
    <mergeCell ref="V84:W85"/>
    <mergeCell ref="AI84:AJ85"/>
    <mergeCell ref="C84:I85"/>
    <mergeCell ref="C86:I87"/>
    <mergeCell ref="T82:U83"/>
    <mergeCell ref="V82:W83"/>
    <mergeCell ref="AI82:AJ83"/>
    <mergeCell ref="T80:U81"/>
    <mergeCell ref="V80:W81"/>
    <mergeCell ref="AI80:AJ81"/>
    <mergeCell ref="C80:I81"/>
    <mergeCell ref="C82:I83"/>
    <mergeCell ref="T78:U79"/>
    <mergeCell ref="V78:W79"/>
    <mergeCell ref="AI78:AJ79"/>
    <mergeCell ref="T76:U77"/>
    <mergeCell ref="V76:W77"/>
    <mergeCell ref="AI76:AJ77"/>
    <mergeCell ref="C76:I77"/>
    <mergeCell ref="C78:I79"/>
    <mergeCell ref="J76:K77"/>
    <mergeCell ref="J78:K79"/>
    <mergeCell ref="J80:K81"/>
    <mergeCell ref="J82:K83"/>
    <mergeCell ref="J84:K85"/>
    <mergeCell ref="L76:M77"/>
    <mergeCell ref="N76:O77"/>
    <mergeCell ref="P76:Q77"/>
    <mergeCell ref="R76:S77"/>
    <mergeCell ref="L82:M83"/>
    <mergeCell ref="N82:O83"/>
    <mergeCell ref="T94:U95"/>
    <mergeCell ref="V94:W95"/>
    <mergeCell ref="AI94:AJ95"/>
    <mergeCell ref="T92:U93"/>
    <mergeCell ref="V92:W93"/>
    <mergeCell ref="AI92:AJ93"/>
    <mergeCell ref="C92:I93"/>
    <mergeCell ref="C94:I95"/>
    <mergeCell ref="T90:U91"/>
    <mergeCell ref="V90:W91"/>
    <mergeCell ref="AI90:AJ91"/>
    <mergeCell ref="T88:U89"/>
    <mergeCell ref="V88:W89"/>
    <mergeCell ref="AI88:AJ89"/>
    <mergeCell ref="C88:I89"/>
    <mergeCell ref="C90:I91"/>
    <mergeCell ref="T86:U87"/>
    <mergeCell ref="V86:W87"/>
    <mergeCell ref="AI86:AJ87"/>
    <mergeCell ref="J88:K89"/>
    <mergeCell ref="J90:K91"/>
    <mergeCell ref="J92:K93"/>
    <mergeCell ref="J94:K95"/>
    <mergeCell ref="J86:K87"/>
    <mergeCell ref="L90:M91"/>
    <mergeCell ref="N90:O91"/>
    <mergeCell ref="P90:Q91"/>
    <mergeCell ref="R90:S91"/>
    <mergeCell ref="L92:M93"/>
    <mergeCell ref="N92:O93"/>
    <mergeCell ref="P92:Q93"/>
    <mergeCell ref="R92:S93"/>
    <mergeCell ref="T104:U105"/>
    <mergeCell ref="V104:W105"/>
    <mergeCell ref="AI104:AJ105"/>
    <mergeCell ref="C104:I105"/>
    <mergeCell ref="J106:K107"/>
    <mergeCell ref="T102:U103"/>
    <mergeCell ref="V102:W103"/>
    <mergeCell ref="AI102:AJ103"/>
    <mergeCell ref="T100:U101"/>
    <mergeCell ref="V100:W101"/>
    <mergeCell ref="AI100:AJ101"/>
    <mergeCell ref="C100:I101"/>
    <mergeCell ref="C102:I103"/>
    <mergeCell ref="T98:U99"/>
    <mergeCell ref="V98:W99"/>
    <mergeCell ref="AI98:AJ99"/>
    <mergeCell ref="T96:U97"/>
    <mergeCell ref="V96:W97"/>
    <mergeCell ref="AI96:AJ97"/>
    <mergeCell ref="C96:I97"/>
    <mergeCell ref="C98:I99"/>
    <mergeCell ref="J96:K97"/>
    <mergeCell ref="J98:K99"/>
    <mergeCell ref="J100:K101"/>
    <mergeCell ref="J102:K103"/>
    <mergeCell ref="J104:K105"/>
    <mergeCell ref="P98:Q99"/>
    <mergeCell ref="R98:S99"/>
    <mergeCell ref="L100:M101"/>
    <mergeCell ref="N100:O101"/>
    <mergeCell ref="P100:Q101"/>
    <mergeCell ref="R100:S101"/>
    <mergeCell ref="T114:U115"/>
    <mergeCell ref="V114:W115"/>
    <mergeCell ref="AI114:AJ115"/>
    <mergeCell ref="T112:U113"/>
    <mergeCell ref="V112:W113"/>
    <mergeCell ref="AI112:AJ113"/>
    <mergeCell ref="J112:K113"/>
    <mergeCell ref="J114:K115"/>
    <mergeCell ref="T110:U111"/>
    <mergeCell ref="V110:W111"/>
    <mergeCell ref="AI110:AJ111"/>
    <mergeCell ref="T108:U109"/>
    <mergeCell ref="V108:W109"/>
    <mergeCell ref="AI108:AJ109"/>
    <mergeCell ref="J108:K109"/>
    <mergeCell ref="J110:K111"/>
    <mergeCell ref="T106:U107"/>
    <mergeCell ref="V106:W107"/>
    <mergeCell ref="AI106:AJ107"/>
    <mergeCell ref="AA106:AB107"/>
    <mergeCell ref="AC106:AD107"/>
    <mergeCell ref="AA108:AB109"/>
    <mergeCell ref="AC108:AD109"/>
    <mergeCell ref="AA110:AB111"/>
    <mergeCell ref="AC110:AD111"/>
    <mergeCell ref="AA112:AB113"/>
    <mergeCell ref="AC112:AD113"/>
    <mergeCell ref="AA114:AB115"/>
    <mergeCell ref="AC114:AD115"/>
    <mergeCell ref="N112:O113"/>
    <mergeCell ref="P112:Q113"/>
    <mergeCell ref="R112:S113"/>
    <mergeCell ref="AA15:AB15"/>
    <mergeCell ref="AA16:AB17"/>
    <mergeCell ref="AE14:AH15"/>
    <mergeCell ref="C14:I15"/>
    <mergeCell ref="J14:U14"/>
    <mergeCell ref="J15:K15"/>
    <mergeCell ref="L15:M15"/>
    <mergeCell ref="N15:O15"/>
    <mergeCell ref="P15:Q15"/>
    <mergeCell ref="R15:S15"/>
    <mergeCell ref="T15:U15"/>
    <mergeCell ref="AK24:AN25"/>
    <mergeCell ref="AK26:AN27"/>
    <mergeCell ref="AI26:AJ27"/>
    <mergeCell ref="AK14:AN15"/>
    <mergeCell ref="AW32:AW33"/>
    <mergeCell ref="AW34:AW35"/>
    <mergeCell ref="AW14:AW15"/>
    <mergeCell ref="AW16:AW17"/>
    <mergeCell ref="AW18:AW19"/>
    <mergeCell ref="AW20:AW21"/>
    <mergeCell ref="AW22:AW23"/>
    <mergeCell ref="AW24:AW25"/>
    <mergeCell ref="AW26:AW27"/>
    <mergeCell ref="AW28:AW29"/>
    <mergeCell ref="AW30:AW31"/>
    <mergeCell ref="AO18:AQ19"/>
    <mergeCell ref="AK28:AN29"/>
    <mergeCell ref="AK30:AN31"/>
    <mergeCell ref="AK32:AN33"/>
    <mergeCell ref="AK34:AN35"/>
    <mergeCell ref="AO28:AQ29"/>
    <mergeCell ref="AO30:AQ31"/>
    <mergeCell ref="AO32:AQ33"/>
    <mergeCell ref="AO34:AQ35"/>
    <mergeCell ref="AO20:AQ21"/>
    <mergeCell ref="AO22:AQ23"/>
    <mergeCell ref="AO24:AQ25"/>
    <mergeCell ref="AI16:AJ17"/>
    <mergeCell ref="AI14:AJ15"/>
    <mergeCell ref="AX30:AX31"/>
    <mergeCell ref="AX32:AX33"/>
    <mergeCell ref="AX34:AX35"/>
    <mergeCell ref="C18:I19"/>
    <mergeCell ref="C20:I21"/>
    <mergeCell ref="C22:I23"/>
    <mergeCell ref="C24:I25"/>
    <mergeCell ref="C26:I27"/>
    <mergeCell ref="C28:I29"/>
    <mergeCell ref="C30:I31"/>
    <mergeCell ref="C32:I33"/>
    <mergeCell ref="C34:I35"/>
    <mergeCell ref="J18:K19"/>
    <mergeCell ref="L18:M19"/>
    <mergeCell ref="L20:M21"/>
    <mergeCell ref="L22:M23"/>
    <mergeCell ref="L24:M25"/>
    <mergeCell ref="L26:M27"/>
    <mergeCell ref="J20:K21"/>
    <mergeCell ref="J22:K23"/>
    <mergeCell ref="J24:K25"/>
    <mergeCell ref="J26:K27"/>
    <mergeCell ref="T26:U27"/>
    <mergeCell ref="V26:W27"/>
    <mergeCell ref="AE18:AH19"/>
    <mergeCell ref="AE20:AH21"/>
    <mergeCell ref="AE22:AH23"/>
    <mergeCell ref="AE24:AH25"/>
    <mergeCell ref="AE26:AH27"/>
    <mergeCell ref="AK18:AN19"/>
    <mergeCell ref="AK20:AN21"/>
    <mergeCell ref="AK22:AN23"/>
    <mergeCell ref="R28:S29"/>
    <mergeCell ref="R30:S31"/>
    <mergeCell ref="R32:S33"/>
    <mergeCell ref="R34:S35"/>
    <mergeCell ref="AA18:AB19"/>
    <mergeCell ref="AA20:AB21"/>
    <mergeCell ref="AA22:AB23"/>
    <mergeCell ref="AA24:AB25"/>
    <mergeCell ref="AA26:AB27"/>
    <mergeCell ref="T32:U33"/>
    <mergeCell ref="V32:W33"/>
    <mergeCell ref="AC18:AD19"/>
    <mergeCell ref="AC20:AD21"/>
    <mergeCell ref="AC22:AD23"/>
    <mergeCell ref="AC24:AD25"/>
    <mergeCell ref="AC26:AD27"/>
    <mergeCell ref="R18:S19"/>
    <mergeCell ref="R20:S21"/>
    <mergeCell ref="R22:S23"/>
    <mergeCell ref="R24:S25"/>
    <mergeCell ref="R26:S27"/>
    <mergeCell ref="X18:Z19"/>
    <mergeCell ref="X20:Z21"/>
    <mergeCell ref="X22:Z23"/>
    <mergeCell ref="X24:Z25"/>
    <mergeCell ref="X26:Z27"/>
    <mergeCell ref="T24:U25"/>
    <mergeCell ref="V24:W25"/>
    <mergeCell ref="T20:U21"/>
    <mergeCell ref="P38:Q39"/>
    <mergeCell ref="J28:K29"/>
    <mergeCell ref="J30:K31"/>
    <mergeCell ref="J32:K33"/>
    <mergeCell ref="J34:K35"/>
    <mergeCell ref="L28:M29"/>
    <mergeCell ref="L30:M31"/>
    <mergeCell ref="L32:M33"/>
    <mergeCell ref="L34:M35"/>
    <mergeCell ref="N28:O29"/>
    <mergeCell ref="N30:O31"/>
    <mergeCell ref="N32:O33"/>
    <mergeCell ref="N34:O35"/>
    <mergeCell ref="P28:Q29"/>
    <mergeCell ref="P30:Q31"/>
    <mergeCell ref="P32:Q33"/>
    <mergeCell ref="P34:Q35"/>
    <mergeCell ref="X36:Z37"/>
    <mergeCell ref="X38:Z39"/>
    <mergeCell ref="N22:O23"/>
    <mergeCell ref="N24:O25"/>
    <mergeCell ref="N26:O27"/>
    <mergeCell ref="AO26:AQ27"/>
    <mergeCell ref="C36:I37"/>
    <mergeCell ref="C38:I39"/>
    <mergeCell ref="C40:I41"/>
    <mergeCell ref="C42:I43"/>
    <mergeCell ref="C44:I45"/>
    <mergeCell ref="C46:I47"/>
    <mergeCell ref="C48:I49"/>
    <mergeCell ref="C50:I51"/>
    <mergeCell ref="J36:K37"/>
    <mergeCell ref="J38:K39"/>
    <mergeCell ref="J40:K41"/>
    <mergeCell ref="J42:K43"/>
    <mergeCell ref="J44:K45"/>
    <mergeCell ref="J46:K47"/>
    <mergeCell ref="J48:K49"/>
    <mergeCell ref="J50:K51"/>
    <mergeCell ref="L36:M37"/>
    <mergeCell ref="N36:O37"/>
    <mergeCell ref="P36:Q37"/>
    <mergeCell ref="R36:S37"/>
    <mergeCell ref="L38:M39"/>
    <mergeCell ref="N38:O39"/>
    <mergeCell ref="P48:Q49"/>
    <mergeCell ref="R48:S49"/>
    <mergeCell ref="L50:M51"/>
    <mergeCell ref="N50:O51"/>
    <mergeCell ref="P50:Q51"/>
    <mergeCell ref="R50:S51"/>
    <mergeCell ref="L42:M43"/>
    <mergeCell ref="N42:O43"/>
    <mergeCell ref="P42:Q43"/>
    <mergeCell ref="P82:Q83"/>
    <mergeCell ref="R82:S83"/>
    <mergeCell ref="L60:M61"/>
    <mergeCell ref="N60:O61"/>
    <mergeCell ref="P60:Q61"/>
    <mergeCell ref="R60:S61"/>
    <mergeCell ref="L62:M63"/>
    <mergeCell ref="N62:O63"/>
    <mergeCell ref="P62:Q63"/>
    <mergeCell ref="R62:S63"/>
    <mergeCell ref="L64:M65"/>
    <mergeCell ref="N64:O65"/>
    <mergeCell ref="P64:Q65"/>
    <mergeCell ref="R64:S65"/>
    <mergeCell ref="L54:M55"/>
    <mergeCell ref="N54:O55"/>
    <mergeCell ref="P54:Q55"/>
    <mergeCell ref="R54:S55"/>
    <mergeCell ref="L56:M57"/>
    <mergeCell ref="N56:O57"/>
    <mergeCell ref="P56:Q57"/>
    <mergeCell ref="R56:S57"/>
    <mergeCell ref="L58:M59"/>
    <mergeCell ref="N58:O59"/>
    <mergeCell ref="P58:Q59"/>
    <mergeCell ref="R58:S59"/>
    <mergeCell ref="P74:Q75"/>
    <mergeCell ref="R74:S75"/>
    <mergeCell ref="P66:Q67"/>
    <mergeCell ref="R66:S67"/>
    <mergeCell ref="P96:Q97"/>
    <mergeCell ref="R96:S97"/>
    <mergeCell ref="L98:M99"/>
    <mergeCell ref="N98:O99"/>
    <mergeCell ref="L68:M69"/>
    <mergeCell ref="N68:O69"/>
    <mergeCell ref="P68:Q69"/>
    <mergeCell ref="R68:S69"/>
    <mergeCell ref="L70:M71"/>
    <mergeCell ref="N70:O71"/>
    <mergeCell ref="P70:Q71"/>
    <mergeCell ref="R70:S71"/>
    <mergeCell ref="L84:M85"/>
    <mergeCell ref="N84:O85"/>
    <mergeCell ref="P84:Q85"/>
    <mergeCell ref="R84:S85"/>
    <mergeCell ref="L86:M87"/>
    <mergeCell ref="N86:O87"/>
    <mergeCell ref="P86:Q87"/>
    <mergeCell ref="R86:S87"/>
    <mergeCell ref="L88:M89"/>
    <mergeCell ref="N88:O89"/>
    <mergeCell ref="P88:Q89"/>
    <mergeCell ref="R88:S89"/>
    <mergeCell ref="L78:M79"/>
    <mergeCell ref="N78:O79"/>
    <mergeCell ref="P78:Q79"/>
    <mergeCell ref="R78:S79"/>
    <mergeCell ref="L80:M81"/>
    <mergeCell ref="N80:O81"/>
    <mergeCell ref="P80:Q81"/>
    <mergeCell ref="R80:S81"/>
    <mergeCell ref="L114:M115"/>
    <mergeCell ref="N114:O115"/>
    <mergeCell ref="P114:Q115"/>
    <mergeCell ref="R114:S115"/>
    <mergeCell ref="X114:Z115"/>
    <mergeCell ref="L94:M95"/>
    <mergeCell ref="N94:O95"/>
    <mergeCell ref="P94:Q95"/>
    <mergeCell ref="R94:S95"/>
    <mergeCell ref="L108:M109"/>
    <mergeCell ref="N108:O109"/>
    <mergeCell ref="P108:Q109"/>
    <mergeCell ref="R108:S109"/>
    <mergeCell ref="L110:M111"/>
    <mergeCell ref="N110:O111"/>
    <mergeCell ref="P110:Q111"/>
    <mergeCell ref="R110:S111"/>
    <mergeCell ref="L112:M113"/>
    <mergeCell ref="L102:M103"/>
    <mergeCell ref="N102:O103"/>
    <mergeCell ref="P102:Q103"/>
    <mergeCell ref="R102:S103"/>
    <mergeCell ref="L104:M105"/>
    <mergeCell ref="N104:O105"/>
    <mergeCell ref="P104:Q105"/>
    <mergeCell ref="R104:S105"/>
    <mergeCell ref="L106:M107"/>
    <mergeCell ref="N106:O107"/>
    <mergeCell ref="P106:Q107"/>
    <mergeCell ref="R106:S107"/>
    <mergeCell ref="L96:M97"/>
    <mergeCell ref="N96:O97"/>
    <mergeCell ref="X40:Z41"/>
    <mergeCell ref="X42:Z43"/>
    <mergeCell ref="X44:Z45"/>
    <mergeCell ref="X46:Z47"/>
    <mergeCell ref="X48:Z49"/>
    <mergeCell ref="X50:Z51"/>
    <mergeCell ref="X52:Z53"/>
    <mergeCell ref="X54:Z55"/>
    <mergeCell ref="X56:Z57"/>
    <mergeCell ref="X58:Z59"/>
    <mergeCell ref="X60:Z61"/>
    <mergeCell ref="X62:Z63"/>
    <mergeCell ref="X64:Z65"/>
    <mergeCell ref="X66:Z67"/>
    <mergeCell ref="X68:Z69"/>
    <mergeCell ref="X70:Z71"/>
    <mergeCell ref="X112:Z113"/>
    <mergeCell ref="X72:Z73"/>
    <mergeCell ref="X74:Z75"/>
    <mergeCell ref="X110:Z111"/>
    <mergeCell ref="X76:Z77"/>
    <mergeCell ref="X78:Z79"/>
    <mergeCell ref="X80:Z81"/>
    <mergeCell ref="X82:Z83"/>
    <mergeCell ref="X84:Z85"/>
    <mergeCell ref="X86:Z87"/>
    <mergeCell ref="X88:Z89"/>
    <mergeCell ref="X90:Z91"/>
    <mergeCell ref="X92:Z93"/>
    <mergeCell ref="X94:Z95"/>
    <mergeCell ref="X96:Z97"/>
    <mergeCell ref="X98:Z99"/>
    <mergeCell ref="AA36:AB37"/>
    <mergeCell ref="AC36:AD37"/>
    <mergeCell ref="AA38:AB39"/>
    <mergeCell ref="AC38:AD39"/>
    <mergeCell ref="AA40:AB41"/>
    <mergeCell ref="AC40:AD41"/>
    <mergeCell ref="AA42:AB43"/>
    <mergeCell ref="AC42:AD43"/>
    <mergeCell ref="AA44:AB45"/>
    <mergeCell ref="AC44:AD45"/>
    <mergeCell ref="AA46:AB47"/>
    <mergeCell ref="AC46:AD47"/>
    <mergeCell ref="AA48:AB49"/>
    <mergeCell ref="AC48:AD49"/>
    <mergeCell ref="AA50:AB51"/>
    <mergeCell ref="AC50:AD51"/>
    <mergeCell ref="AA52:AB53"/>
    <mergeCell ref="AC52:AD53"/>
    <mergeCell ref="AE56:AH57"/>
    <mergeCell ref="AE58:AH59"/>
    <mergeCell ref="AE60:AH61"/>
    <mergeCell ref="AE62:AH63"/>
    <mergeCell ref="AE64:AH65"/>
    <mergeCell ref="AE66:AH67"/>
    <mergeCell ref="AA98:AB99"/>
    <mergeCell ref="AC98:AD99"/>
    <mergeCell ref="AA88:AB89"/>
    <mergeCell ref="AC88:AD89"/>
    <mergeCell ref="AA90:AB91"/>
    <mergeCell ref="AC90:AD91"/>
    <mergeCell ref="AA92:AB93"/>
    <mergeCell ref="AC92:AD93"/>
    <mergeCell ref="AA94:AB95"/>
    <mergeCell ref="AC94:AD95"/>
    <mergeCell ref="AA96:AB97"/>
    <mergeCell ref="AC96:AD97"/>
    <mergeCell ref="AA78:AB79"/>
    <mergeCell ref="AC78:AD79"/>
    <mergeCell ref="AA80:AB81"/>
    <mergeCell ref="AC80:AD81"/>
    <mergeCell ref="AA56:AB57"/>
    <mergeCell ref="AC56:AD57"/>
    <mergeCell ref="AA58:AB59"/>
    <mergeCell ref="AC58:AD59"/>
    <mergeCell ref="AA60:AB61"/>
    <mergeCell ref="AC60:AD61"/>
    <mergeCell ref="AA62:AB63"/>
    <mergeCell ref="AE82:AH83"/>
    <mergeCell ref="AE84:AH85"/>
    <mergeCell ref="AA82:AB83"/>
    <mergeCell ref="AC82:AD83"/>
    <mergeCell ref="AA84:AB85"/>
    <mergeCell ref="AC84:AD85"/>
    <mergeCell ref="AA86:AB87"/>
    <mergeCell ref="X100:Z101"/>
    <mergeCell ref="X102:Z103"/>
    <mergeCell ref="X104:Z105"/>
    <mergeCell ref="X106:Z107"/>
    <mergeCell ref="X108:Z109"/>
    <mergeCell ref="AA68:AB69"/>
    <mergeCell ref="AC68:AD69"/>
    <mergeCell ref="AA70:AB71"/>
    <mergeCell ref="AC70:AD71"/>
    <mergeCell ref="AA72:AB73"/>
    <mergeCell ref="AC72:AD73"/>
    <mergeCell ref="AA74:AB75"/>
    <mergeCell ref="AC74:AD75"/>
    <mergeCell ref="AA76:AB77"/>
    <mergeCell ref="AC76:AD77"/>
    <mergeCell ref="AA100:AB101"/>
    <mergeCell ref="AC100:AD101"/>
    <mergeCell ref="AE40:AH41"/>
    <mergeCell ref="AE42:AH43"/>
    <mergeCell ref="AE44:AH45"/>
    <mergeCell ref="AE46:AH47"/>
    <mergeCell ref="AE48:AH49"/>
    <mergeCell ref="AE50:AH51"/>
    <mergeCell ref="AE52:AH53"/>
    <mergeCell ref="AC62:AD63"/>
    <mergeCell ref="AA64:AB65"/>
    <mergeCell ref="AC64:AD65"/>
    <mergeCell ref="AA102:AB103"/>
    <mergeCell ref="AC102:AD103"/>
    <mergeCell ref="AA104:AB105"/>
    <mergeCell ref="AC104:AD105"/>
    <mergeCell ref="AK68:AN69"/>
    <mergeCell ref="AK70:AN71"/>
    <mergeCell ref="AE86:AH87"/>
    <mergeCell ref="AE88:AH89"/>
    <mergeCell ref="AE90:AH91"/>
    <mergeCell ref="AE92:AH93"/>
    <mergeCell ref="AE94:AH95"/>
    <mergeCell ref="AE96:AH97"/>
    <mergeCell ref="AE98:AH99"/>
    <mergeCell ref="AE100:AH101"/>
    <mergeCell ref="AE102:AH103"/>
    <mergeCell ref="AE68:AH69"/>
    <mergeCell ref="AE70:AH71"/>
    <mergeCell ref="AE72:AH73"/>
    <mergeCell ref="AE74:AH75"/>
    <mergeCell ref="AE76:AH77"/>
    <mergeCell ref="AE78:AH79"/>
    <mergeCell ref="AE80:AH81"/>
    <mergeCell ref="AK76:AN77"/>
    <mergeCell ref="AK78:AN79"/>
    <mergeCell ref="AK80:AN81"/>
    <mergeCell ref="AK82:AN83"/>
    <mergeCell ref="AK84:AN85"/>
    <mergeCell ref="AK86:AN87"/>
    <mergeCell ref="AK88:AN89"/>
    <mergeCell ref="AC86:AD87"/>
    <mergeCell ref="AE104:AH105"/>
    <mergeCell ref="AE106:AH107"/>
    <mergeCell ref="AE108:AH109"/>
    <mergeCell ref="AE110:AH111"/>
    <mergeCell ref="AE112:AH113"/>
    <mergeCell ref="AE114:AH115"/>
    <mergeCell ref="AK36:AN37"/>
    <mergeCell ref="AK38:AN39"/>
    <mergeCell ref="AK40:AN41"/>
    <mergeCell ref="AK42:AN43"/>
    <mergeCell ref="AK44:AN45"/>
    <mergeCell ref="AK46:AN47"/>
    <mergeCell ref="AK48:AN49"/>
    <mergeCell ref="AK50:AN51"/>
    <mergeCell ref="AK52:AN53"/>
    <mergeCell ref="AK54:AN55"/>
    <mergeCell ref="AK56:AN57"/>
    <mergeCell ref="AK58:AN59"/>
    <mergeCell ref="AK60:AN61"/>
    <mergeCell ref="AK62:AN63"/>
    <mergeCell ref="AK64:AN65"/>
    <mergeCell ref="AK66:AN67"/>
    <mergeCell ref="AE36:AH37"/>
    <mergeCell ref="AE38:AH39"/>
    <mergeCell ref="AK108:AN109"/>
    <mergeCell ref="AK110:AN111"/>
    <mergeCell ref="AK112:AN113"/>
    <mergeCell ref="AK114:AN115"/>
    <mergeCell ref="AO36:AQ37"/>
    <mergeCell ref="AO38:AQ39"/>
    <mergeCell ref="AO40:AQ41"/>
    <mergeCell ref="AO42:AQ43"/>
    <mergeCell ref="AO44:AQ45"/>
    <mergeCell ref="AO46:AQ47"/>
    <mergeCell ref="AO48:AQ49"/>
    <mergeCell ref="AO50:AQ51"/>
    <mergeCell ref="AO52:AQ53"/>
    <mergeCell ref="AO54:AQ55"/>
    <mergeCell ref="AO56:AQ57"/>
    <mergeCell ref="AO58:AQ59"/>
    <mergeCell ref="AO60:AQ61"/>
    <mergeCell ref="AO62:AQ63"/>
    <mergeCell ref="AO64:AQ65"/>
    <mergeCell ref="AO66:AQ67"/>
    <mergeCell ref="AO68:AQ69"/>
    <mergeCell ref="AK90:AN91"/>
    <mergeCell ref="AK92:AN93"/>
    <mergeCell ref="AK94:AN95"/>
    <mergeCell ref="AK96:AN97"/>
    <mergeCell ref="AK98:AN99"/>
    <mergeCell ref="AK100:AN101"/>
    <mergeCell ref="AK102:AN103"/>
    <mergeCell ref="AK104:AN105"/>
    <mergeCell ref="AK106:AN107"/>
    <mergeCell ref="AK72:AN73"/>
    <mergeCell ref="AK74:AN75"/>
    <mergeCell ref="AO110:AQ111"/>
    <mergeCell ref="AO76:AQ77"/>
    <mergeCell ref="AO78:AQ79"/>
    <mergeCell ref="AO80:AQ81"/>
    <mergeCell ref="AO82:AQ83"/>
    <mergeCell ref="AO84:AQ85"/>
    <mergeCell ref="AO86:AQ87"/>
    <mergeCell ref="AO88:AQ89"/>
    <mergeCell ref="AO90:AQ91"/>
    <mergeCell ref="AO92:AQ93"/>
    <mergeCell ref="AU64:AU65"/>
    <mergeCell ref="AO70:AQ71"/>
    <mergeCell ref="AO72:AQ73"/>
    <mergeCell ref="AO74:AQ75"/>
    <mergeCell ref="AU76:AU77"/>
    <mergeCell ref="AV64:AV65"/>
    <mergeCell ref="AU66:AU67"/>
    <mergeCell ref="AV66:AV67"/>
    <mergeCell ref="AU68:AU69"/>
    <mergeCell ref="AV68:AV69"/>
    <mergeCell ref="AU70:AU71"/>
    <mergeCell ref="AV70:AV71"/>
    <mergeCell ref="AU72:AU73"/>
    <mergeCell ref="AV72:AV73"/>
    <mergeCell ref="AU74:AU75"/>
    <mergeCell ref="AV74:AV75"/>
    <mergeCell ref="AV110:AV111"/>
    <mergeCell ref="AO112:AQ113"/>
    <mergeCell ref="AO114:AQ115"/>
    <mergeCell ref="AW36:AW37"/>
    <mergeCell ref="AX36:AX37"/>
    <mergeCell ref="AW38:AW39"/>
    <mergeCell ref="AX38:AX39"/>
    <mergeCell ref="AW40:AW41"/>
    <mergeCell ref="AX40:AX41"/>
    <mergeCell ref="AW42:AW43"/>
    <mergeCell ref="AX42:AX43"/>
    <mergeCell ref="AW44:AW45"/>
    <mergeCell ref="AX44:AX45"/>
    <mergeCell ref="AW46:AW47"/>
    <mergeCell ref="AX46:AX47"/>
    <mergeCell ref="AW48:AW49"/>
    <mergeCell ref="AX48:AX49"/>
    <mergeCell ref="AW50:AW51"/>
    <mergeCell ref="AX50:AX51"/>
    <mergeCell ref="AW52:AW53"/>
    <mergeCell ref="AX52:AX53"/>
    <mergeCell ref="AW54:AW55"/>
    <mergeCell ref="AX54:AX55"/>
    <mergeCell ref="AW56:AW57"/>
    <mergeCell ref="AX56:AX57"/>
    <mergeCell ref="AO94:AQ95"/>
    <mergeCell ref="AO96:AQ97"/>
    <mergeCell ref="AO98:AQ99"/>
    <mergeCell ref="AO100:AQ101"/>
    <mergeCell ref="AO102:AQ103"/>
    <mergeCell ref="AO104:AQ105"/>
    <mergeCell ref="AO106:AQ107"/>
    <mergeCell ref="AO108:AQ109"/>
    <mergeCell ref="BE14:BE15"/>
    <mergeCell ref="BE16:BE17"/>
    <mergeCell ref="BE18:BE19"/>
    <mergeCell ref="BE20:BE21"/>
    <mergeCell ref="BE22:BE23"/>
    <mergeCell ref="BE24:BE25"/>
    <mergeCell ref="BE26:BE27"/>
    <mergeCell ref="BE28:BE29"/>
    <mergeCell ref="BE30:BE31"/>
    <mergeCell ref="BE32:BE33"/>
    <mergeCell ref="BE34:BE35"/>
    <mergeCell ref="BA54:BA55"/>
    <mergeCell ref="AW62:AW63"/>
    <mergeCell ref="AX62:AX63"/>
    <mergeCell ref="AW64:AW65"/>
    <mergeCell ref="AX64:AX65"/>
    <mergeCell ref="AW66:AW67"/>
    <mergeCell ref="AX66:AX67"/>
    <mergeCell ref="BC32:BC33"/>
    <mergeCell ref="BC34:BC35"/>
    <mergeCell ref="AF11:AI11"/>
    <mergeCell ref="AF12:AI13"/>
    <mergeCell ref="AW100:AW101"/>
    <mergeCell ref="AX100:AX101"/>
    <mergeCell ref="AW102:AW103"/>
    <mergeCell ref="AX102:AX103"/>
    <mergeCell ref="AW68:AW69"/>
    <mergeCell ref="AX68:AX69"/>
    <mergeCell ref="AW70:AW71"/>
    <mergeCell ref="AX70:AX71"/>
    <mergeCell ref="AW72:AW73"/>
    <mergeCell ref="AX72:AX73"/>
    <mergeCell ref="AW74:AW75"/>
    <mergeCell ref="AX74:AX75"/>
    <mergeCell ref="AW76:AW77"/>
    <mergeCell ref="AX76:AX77"/>
    <mergeCell ref="AW58:AW59"/>
    <mergeCell ref="AX58:AX59"/>
    <mergeCell ref="AW60:AW61"/>
    <mergeCell ref="AX60:AX61"/>
    <mergeCell ref="AW96:AW97"/>
    <mergeCell ref="AX96:AX97"/>
    <mergeCell ref="AW78:AW79"/>
    <mergeCell ref="AX78:AX79"/>
    <mergeCell ref="AW80:AW81"/>
    <mergeCell ref="AX80:AX81"/>
    <mergeCell ref="AW82:AW83"/>
    <mergeCell ref="AX82:AX83"/>
    <mergeCell ref="AW84:AW85"/>
    <mergeCell ref="AX84:AX85"/>
    <mergeCell ref="AW86:AW87"/>
    <mergeCell ref="AX86:AX87"/>
  </mergeCells>
  <conditionalFormatting sqref="T16:Z115">
    <cfRule type="expression" dxfId="203" priority="6">
      <formula>AND(ISBLANK($C16)=FALSE,OR(ISBLANK(T16)=TRUE,T16=""))</formula>
    </cfRule>
  </conditionalFormatting>
  <conditionalFormatting sqref="AA16:AD115">
    <cfRule type="expression" dxfId="202" priority="4">
      <formula>AND(ISBLANK($C16)=FALSE,OR(ISBLANK(AA16)=TRUE,AA16=""))</formula>
    </cfRule>
  </conditionalFormatting>
  <conditionalFormatting sqref="AH2 AL2">
    <cfRule type="expression" dxfId="201" priority="11">
      <formula>PROJSTATUS=PROJSTATELI</formula>
    </cfRule>
    <cfRule type="expression" dxfId="200" priority="12">
      <formula>PROJSTATUS=PROJSTATREVIEW</formula>
    </cfRule>
    <cfRule type="expression" dxfId="199" priority="16">
      <formula>PROJSTATUS=PROJSTATPREAPPROVE</formula>
    </cfRule>
    <cfRule type="expression" dxfId="198" priority="17">
      <formula>PROJSTATUS=PROJSTATSTANDARD</formula>
    </cfRule>
    <cfRule type="expression" dxfId="197" priority="18">
      <formula>PROJSTATUS=PROJSTATEXP</formula>
    </cfRule>
  </conditionalFormatting>
  <conditionalFormatting sqref="AO16:AQ35">
    <cfRule type="containsText" dxfId="196" priority="1" operator="containsText" text="Improve Efficiency">
      <formula>NOT(ISERROR(SEARCH("Improve Efficiency",AO16)))</formula>
    </cfRule>
  </conditionalFormatting>
  <conditionalFormatting sqref="AQ2:AR3">
    <cfRule type="cellIs" dxfId="195" priority="13" operator="equal">
      <formula>1</formula>
    </cfRule>
    <cfRule type="cellIs" dxfId="194" priority="14" operator="between">
      <formula>0.51</formula>
      <formula>0.99</formula>
    </cfRule>
    <cfRule type="cellIs" dxfId="193" priority="15" operator="lessThanOrEqual">
      <formula>0.5</formula>
    </cfRule>
  </conditionalFormatting>
  <dataValidations xWindow="560" yWindow="557" count="11">
    <dataValidation type="list" allowBlank="1" showInputMessage="1" showErrorMessage="1" sqref="C16 C34 C18 C20 C22 C24 C26 C28 C30 C32 C104 C106:I115 C36 C38 C40 C42 C44 C46 C48 C50 C52 C102 C56 C58 C60 C62 C64 C66 C68 C70 C72 C74 C76 C78 C80 C82 C84 C86 C88 C90 C92 C94 C96 C98 C100" xr:uid="{00000000-0002-0000-1600-000001000000}">
      <formula1>PMEMOTOREFF1</formula1>
    </dataValidation>
    <dataValidation type="decimal" operator="greaterThanOrEqual" allowBlank="1" showInputMessage="1" showErrorMessage="1" error="The proposed efficiency must exceed the baseline efficiency requirements." prompt="Enter the efficiency of the proposed unit. Ensure that the value entered matches the required rating. This value can be found on the equipment specification sheets. " sqref="T38:U115" xr:uid="{235E7F95-A308-4BB7-9801-8F2E1EF710AA}">
      <formula1>INDEX(STDHVACEFFMIN2,MATCH(C38,PMEHVACEFF1,0))</formula1>
    </dataValidation>
    <dataValidation type="decimal" allowBlank="1" showInputMessage="1" showErrorMessage="1" error="The tons entered do not match the Measure selected. Please ensure that the correct Measure and size range was selected." prompt="Enter the nominal tons of the proposed unit. This value can be found on the equipment specification sheets." sqref="V56:W115 V36:W53" xr:uid="{8506AB15-88A0-411D-A972-3C508AB68562}">
      <formula1>INDEX(PMEHVACEFFW1,MATCH(C36,PMEHVACEFF1,0))</formula1>
      <formula2>INDEX(PMEHVACEFFW2,MATCH(C36,PMEHVACEFF1,0))</formula2>
    </dataValidation>
    <dataValidation type="decimal" allowBlank="1" showInputMessage="1" showErrorMessage="1" prompt="This is the TOTAL Labor Cost of the measure, NOT a per unit basis." sqref="AC16:AD115" xr:uid="{A420A895-40C8-43AA-93C1-09A34114863F}">
      <formula1>0</formula1>
      <formula2>999999</formula2>
    </dataValidation>
    <dataValidation type="decimal" allowBlank="1" showInputMessage="1" showErrorMessage="1" prompt="This is the TOTAL Material Cost of the measure, NOT a per unit basis." sqref="AA16:AB115" xr:uid="{77F79668-79D5-43B6-AB8F-AF4FB6031599}">
      <formula1>0</formula1>
      <formula2>999999</formula2>
    </dataValidation>
    <dataValidation type="decimal" operator="greaterThanOrEqual" allowBlank="1" showInputMessage="1" showErrorMessage="1" error="The proposed efficiency must exceed the baseline efficiency requirements." prompt="Enter the efficiency of the proposed unit. Ensure that the value entered matches the required rating. This value can be found on the equipment specification sheets. " sqref="N54:O115" xr:uid="{45395DA2-3F8D-4ADD-B601-AC476D96C8EB}">
      <formula1>INDEX(STDHVACEFFMIN,MATCH(C54,PMEHVACEFF1,0))</formula1>
    </dataValidation>
    <dataValidation type="decimal" allowBlank="1" showInputMessage="1" showErrorMessage="1" error="The tons entered do not match the Measure selected. Please ensure that the correct Measure and size range was selected.  1 ton = 12,000 kBtuh. If thermostat enter number of thermostats installed." prompt="Enter the nominal tons of the proposed unit. This value can be found on the equipment specification sheets. 1 ton = 12,000 kBtuh. If thermostat enter number of thermostats installed." sqref="V16:W35" xr:uid="{4DD74BF4-B55E-4EE8-93C0-40F83D921BA5}">
      <formula1>INDEX(PMEHVACEFFW1,MATCH(C16,PMEHVACEFF1,0))</formula1>
      <formula2>INDEX(PMEHVACEFFW2,MATCH(C16,PMEHVACEFF1,0))</formula2>
    </dataValidation>
    <dataValidation type="decimal" operator="greaterThanOrEqual" allowBlank="1" showInputMessage="1" showErrorMessage="1" error="The proposed efficiency must exceed the baseline efficiency requirements.  If thermostat measure please enter 1." prompt="Enter the efficiency of the proposed unit. Ensure that the value entered matches the required rating. This value can be found on the equipment specification sheets.  If thermostat measure please enter 1._x000a_" sqref="N36:O53" xr:uid="{5A725212-ED59-4BD2-9DC2-A785C3FA8628}">
      <formula1>INDEX(STDHVACEFFMIN,MATCH(C36,PMEHVACEFF1,0))</formula1>
    </dataValidation>
    <dataValidation type="decimal" operator="greaterThanOrEqual" allowBlank="1" showInputMessage="1" showErrorMessage="1" error="The proposed efficiency must exceed the baseline efficiency requirements. If thermostat measure please enter 1." prompt="Enter the efficiency of the proposed unit. Ensure that the value entered matches the required rating. This value can be found on the equipment specification sheets. If thermostat measure please enter 1." sqref="T36:U37" xr:uid="{A336AD35-FD97-4423-865F-2501768AE534}">
      <formula1>INDEX(STDHVACEFFMIN2,MATCH(C36,PMEHVACEFF1,0))</formula1>
    </dataValidation>
    <dataValidation operator="greaterThanOrEqual" allowBlank="1" showInputMessage="1" showErrorMessage="1" error="The proposed efficiency must exceed the baseline efficiency requirements.  If thermostat measure please enter 1." prompt="Enter the efficiency of the proposed unit. Ensure that the value entered matches the required rating. This value can be found on the equipment specification sheets.  If thermostat measure please enter 1._x000a_" sqref="N16:O35" xr:uid="{95CA7CD1-F207-4DC7-915E-E75F8EA70758}"/>
    <dataValidation operator="greaterThanOrEqual" allowBlank="1" showInputMessage="1" showErrorMessage="1" error="The proposed efficiency must exceed the baseline efficiency requirements. If thermostat measure please enter 1." prompt="Enter the efficiency of the proposed unit. Ensure that the value entered matches the required rating. This value can be found on the equipment specification sheets. If thermostat measure please enter 1." sqref="T16:U35" xr:uid="{35AA9872-AC55-4002-929A-0C66B64A0E45}"/>
  </dataValidations>
  <hyperlinks>
    <hyperlink ref="B202" r:id="rId1" xr:uid="{331EDCCF-78DD-41C9-803E-8306984EE4D6}"/>
  </hyperlinks>
  <pageMargins left="0.25" right="0.25" top="0.25" bottom="0.25" header="0.25" footer="0.25"/>
  <pageSetup scale="40" fitToHeight="0" orientation="landscape" r:id="rId2"/>
  <drawing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9">
    <pageSetUpPr fitToPage="1"/>
  </sheetPr>
  <dimension ref="A1:BZ202"/>
  <sheetViews>
    <sheetView showGridLines="0" showRowColHeaders="0" zoomScale="85" zoomScaleNormal="85" workbookViewId="0">
      <selection activeCell="C16" sqref="C16:M17"/>
    </sheetView>
  </sheetViews>
  <sheetFormatPr defaultColWidth="0" defaultRowHeight="15" zeroHeight="1"/>
  <cols>
    <col min="1" max="44" width="4.7109375" customWidth="1"/>
    <col min="45" max="45" width="4.7109375" style="59" customWidth="1"/>
    <col min="46" max="46" width="4.7109375" style="59" hidden="1" customWidth="1"/>
    <col min="47" max="78" width="9.140625" style="59" hidden="1" customWidth="1"/>
    <col min="79" max="16384" width="9.140625" hidden="1"/>
  </cols>
  <sheetData>
    <row r="1" spans="2:57" ht="15.95" customHeight="1">
      <c r="AH1" s="686" t="s">
        <v>471</v>
      </c>
      <c r="AI1" s="686"/>
      <c r="AJ1" s="686"/>
      <c r="AK1" s="686"/>
      <c r="AL1" s="687" t="s">
        <v>736</v>
      </c>
      <c r="AM1" s="687"/>
      <c r="AN1" s="687"/>
      <c r="AO1" s="687"/>
      <c r="AP1" s="687"/>
      <c r="AQ1" s="683" t="s">
        <v>474</v>
      </c>
      <c r="AR1" s="683"/>
    </row>
    <row r="2" spans="2:57" ht="15.95" customHeight="1">
      <c r="AH2" s="688" t="str">
        <f ca="1">INCENSTATUS</f>
        <v>---</v>
      </c>
      <c r="AI2" s="689"/>
      <c r="AJ2" s="689"/>
      <c r="AK2" s="689"/>
      <c r="AL2" s="690" t="str">
        <f ca="1">PROJSTATUS</f>
        <v>Enter Measures</v>
      </c>
      <c r="AM2" s="690"/>
      <c r="AN2" s="690"/>
      <c r="AO2" s="690"/>
      <c r="AP2" s="690"/>
      <c r="AQ2" s="684">
        <f ca="1">PROGRESSSTATUS</f>
        <v>2.8985507246376812E-2</v>
      </c>
      <c r="AR2" s="685"/>
    </row>
    <row r="3" spans="2:57" ht="15.95" customHeight="1">
      <c r="AH3" s="680"/>
      <c r="AI3" s="681"/>
      <c r="AJ3" s="681"/>
      <c r="AK3" s="681"/>
      <c r="AL3" s="673"/>
      <c r="AM3" s="673"/>
      <c r="AN3" s="673"/>
      <c r="AO3" s="673"/>
      <c r="AP3" s="673"/>
      <c r="AQ3" s="667"/>
      <c r="AR3" s="668"/>
    </row>
    <row r="4" spans="2:57" ht="15.95" customHeight="1">
      <c r="AR4" s="171"/>
    </row>
    <row r="5" spans="2:57" ht="15.95" customHeight="1"/>
    <row r="6" spans="2:57" ht="15.95" customHeight="1">
      <c r="AU6" s="59" t="s">
        <v>907</v>
      </c>
      <c r="AV6" s="59">
        <f>PROJID</f>
        <v>0</v>
      </c>
    </row>
    <row r="7" spans="2:57" ht="15.95" customHeight="1">
      <c r="AU7" s="87"/>
      <c r="AV7" s="87" t="s">
        <v>866</v>
      </c>
      <c r="AW7" s="87" t="s">
        <v>231</v>
      </c>
      <c r="AX7" s="87" t="s">
        <v>892</v>
      </c>
    </row>
    <row r="8" spans="2:57" ht="15.95" customHeight="1">
      <c r="AU8" s="87" t="s">
        <v>219</v>
      </c>
      <c r="AV8" s="87" t="str">
        <f ca="1">CBPRESE</f>
        <v>NA</v>
      </c>
      <c r="AW8" s="87" t="str">
        <f ca="1">CBCUSE</f>
        <v>NA</v>
      </c>
      <c r="AX8" s="87" t="str">
        <f ca="1">CBALL</f>
        <v>NA</v>
      </c>
    </row>
    <row r="9" spans="2:57" ht="15.95" customHeight="1">
      <c r="B9" s="59"/>
      <c r="C9" s="59"/>
      <c r="D9" s="59"/>
      <c r="E9" s="59"/>
      <c r="F9" s="59"/>
      <c r="G9" s="59"/>
      <c r="H9" s="59"/>
      <c r="I9" s="59"/>
      <c r="J9" s="59"/>
      <c r="K9" s="59"/>
      <c r="L9" s="59"/>
      <c r="M9" s="59"/>
      <c r="N9" s="59"/>
      <c r="O9" s="59"/>
      <c r="P9" s="59"/>
      <c r="Q9" s="59"/>
      <c r="R9" s="735" t="str">
        <f>CONCATENATE(M3S4," ","Summary")</f>
        <v>Refrigeration Summary</v>
      </c>
      <c r="S9" s="735"/>
      <c r="T9" s="735"/>
      <c r="U9" s="735"/>
      <c r="V9" s="735"/>
      <c r="W9" s="735"/>
      <c r="X9" s="735"/>
      <c r="Y9" s="735"/>
      <c r="Z9" s="735"/>
      <c r="AA9" s="735"/>
      <c r="AB9" s="735"/>
      <c r="AC9" s="735"/>
      <c r="AD9" s="59"/>
      <c r="AE9" s="59"/>
      <c r="AF9" s="59"/>
      <c r="AG9" s="59"/>
      <c r="AH9" s="59"/>
      <c r="AI9" s="59"/>
      <c r="AJ9" s="59"/>
      <c r="AK9" s="59"/>
      <c r="AL9" s="59"/>
      <c r="AM9" s="59"/>
      <c r="AN9" s="59"/>
      <c r="AO9" s="59"/>
      <c r="AP9" s="59"/>
      <c r="AQ9" s="59"/>
      <c r="AR9" s="59"/>
      <c r="AU9" s="87"/>
      <c r="AV9" s="87"/>
      <c r="AW9" s="87"/>
      <c r="AX9" s="87"/>
    </row>
    <row r="10" spans="2:57" ht="15.95" customHeight="1">
      <c r="B10" s="59"/>
      <c r="C10" s="59"/>
      <c r="D10" s="59"/>
      <c r="E10" s="59"/>
      <c r="F10" s="59"/>
      <c r="G10" s="59"/>
      <c r="H10" s="59"/>
      <c r="I10" s="59"/>
      <c r="J10" s="59"/>
      <c r="K10" s="59"/>
      <c r="L10" s="59"/>
      <c r="M10" s="59"/>
      <c r="N10" s="59"/>
      <c r="O10" s="59"/>
      <c r="P10" s="59"/>
      <c r="Q10" s="59"/>
      <c r="R10" s="735"/>
      <c r="S10" s="735"/>
      <c r="T10" s="735"/>
      <c r="U10" s="735"/>
      <c r="V10" s="735"/>
      <c r="W10" s="735"/>
      <c r="X10" s="735"/>
      <c r="Y10" s="735"/>
      <c r="Z10" s="735"/>
      <c r="AA10" s="735"/>
      <c r="AB10" s="735"/>
      <c r="AC10" s="735"/>
      <c r="AD10" s="59"/>
      <c r="AE10" s="59"/>
      <c r="AF10" s="59"/>
      <c r="AG10" s="59"/>
      <c r="AH10" s="59"/>
      <c r="AI10" s="59"/>
      <c r="AJ10" s="59"/>
      <c r="AK10" s="59"/>
      <c r="AL10" s="59"/>
      <c r="AM10" s="59"/>
      <c r="AN10" s="59"/>
      <c r="AO10" s="59"/>
      <c r="AP10" s="59"/>
      <c r="AQ10" s="59"/>
      <c r="AR10" s="59"/>
      <c r="AU10" s="87" t="s">
        <v>581</v>
      </c>
      <c r="AV10" s="87" t="str">
        <f ca="1">PAYPRESE</f>
        <v>NA</v>
      </c>
      <c r="AW10" s="87" t="str">
        <f ca="1">PAYCUSE</f>
        <v>NA</v>
      </c>
      <c r="AX10" s="367" t="str">
        <f ca="1">PAYALL</f>
        <v>NA</v>
      </c>
    </row>
    <row r="11" spans="2:57" ht="15.95" customHeight="1">
      <c r="B11" s="59"/>
      <c r="C11" s="59"/>
      <c r="D11" s="59"/>
      <c r="E11" s="59"/>
      <c r="F11" s="59"/>
      <c r="G11" s="59"/>
      <c r="H11" s="59"/>
      <c r="I11" s="59"/>
      <c r="J11" s="59"/>
      <c r="K11" s="59"/>
      <c r="L11" s="59"/>
      <c r="M11" s="59"/>
      <c r="N11" s="59"/>
      <c r="O11" s="59"/>
      <c r="P11" s="59"/>
      <c r="Q11" s="59"/>
      <c r="R11" s="836" t="s">
        <v>68</v>
      </c>
      <c r="S11" s="836"/>
      <c r="T11" s="836"/>
      <c r="U11" s="836"/>
      <c r="V11" s="836" t="s">
        <v>69</v>
      </c>
      <c r="W11" s="836"/>
      <c r="X11" s="836"/>
      <c r="Y11" s="836"/>
      <c r="Z11" s="836" t="s">
        <v>70</v>
      </c>
      <c r="AA11" s="836"/>
      <c r="AB11" s="836"/>
      <c r="AC11" s="836"/>
      <c r="AD11" s="59"/>
      <c r="AE11" s="59"/>
      <c r="AF11" s="901" t="s">
        <v>2101</v>
      </c>
      <c r="AG11" s="901"/>
      <c r="AH11" s="901"/>
      <c r="AI11" s="901"/>
      <c r="AJ11" s="59"/>
      <c r="AK11" s="59"/>
      <c r="AL11" s="59"/>
      <c r="AM11" s="59"/>
      <c r="AN11" s="59"/>
      <c r="AO11" s="59"/>
      <c r="AP11" s="59"/>
      <c r="AQ11" s="59"/>
      <c r="AR11" s="59"/>
    </row>
    <row r="12" spans="2:57" ht="15.95" customHeight="1">
      <c r="B12" s="59"/>
      <c r="C12" s="59"/>
      <c r="D12" s="59"/>
      <c r="E12" s="59"/>
      <c r="F12" s="59"/>
      <c r="G12" s="59"/>
      <c r="H12" s="59"/>
      <c r="I12" s="59"/>
      <c r="J12" s="59"/>
      <c r="K12" s="59"/>
      <c r="L12" s="59"/>
      <c r="M12" s="59"/>
      <c r="N12" s="59"/>
      <c r="O12" s="59"/>
      <c r="P12" s="59"/>
      <c r="Q12" s="59"/>
      <c r="R12" s="880">
        <f>SUM(AN16:AQ45)</f>
        <v>0</v>
      </c>
      <c r="S12" s="880"/>
      <c r="T12" s="880"/>
      <c r="U12" s="880"/>
      <c r="V12" s="880">
        <f>AU200</f>
        <v>0</v>
      </c>
      <c r="W12" s="880"/>
      <c r="X12" s="880"/>
      <c r="Y12" s="880"/>
      <c r="Z12" s="881">
        <f ca="1">SUMIF(AN16:AQ45,"&gt;0",AK16:AM45)</f>
        <v>0</v>
      </c>
      <c r="AA12" s="881"/>
      <c r="AB12" s="881"/>
      <c r="AC12" s="881"/>
      <c r="AD12" s="59"/>
      <c r="AE12" s="59"/>
      <c r="AF12" s="902">
        <f ca="1">IFERROR(IF(AN46="",0,AN46),0)</f>
        <v>0</v>
      </c>
      <c r="AG12" s="902"/>
      <c r="AH12" s="902"/>
      <c r="AI12" s="902"/>
      <c r="AJ12" s="59"/>
      <c r="AK12" s="59"/>
      <c r="AL12" s="59"/>
      <c r="AM12" s="59"/>
      <c r="AN12" s="59"/>
      <c r="AO12" s="59"/>
      <c r="AP12" s="59"/>
      <c r="AQ12" s="59"/>
      <c r="AR12" s="59"/>
    </row>
    <row r="13" spans="2:57" ht="15.95" customHeight="1">
      <c r="B13" s="59"/>
      <c r="C13" s="59"/>
      <c r="D13" s="59"/>
      <c r="E13" s="59"/>
      <c r="F13" s="59"/>
      <c r="G13" s="59"/>
      <c r="H13" s="59"/>
      <c r="I13" s="59"/>
      <c r="J13" s="59"/>
      <c r="K13" s="59"/>
      <c r="L13" s="59"/>
      <c r="M13" s="59"/>
      <c r="N13" s="59"/>
      <c r="O13" s="59"/>
      <c r="P13" s="59"/>
      <c r="Q13" s="59"/>
      <c r="R13" s="880"/>
      <c r="S13" s="880"/>
      <c r="T13" s="880"/>
      <c r="U13" s="880"/>
      <c r="V13" s="880"/>
      <c r="W13" s="880"/>
      <c r="X13" s="880"/>
      <c r="Y13" s="880"/>
      <c r="Z13" s="881"/>
      <c r="AA13" s="881"/>
      <c r="AB13" s="881"/>
      <c r="AC13" s="881"/>
      <c r="AD13" s="59"/>
      <c r="AE13" s="59"/>
      <c r="AF13" s="902"/>
      <c r="AG13" s="902"/>
      <c r="AH13" s="902"/>
      <c r="AI13" s="902"/>
      <c r="AJ13" s="59"/>
      <c r="AK13" s="59"/>
      <c r="AL13" s="59"/>
      <c r="AM13" s="59"/>
      <c r="AN13" s="59"/>
      <c r="AO13" s="59"/>
      <c r="AP13" s="59"/>
      <c r="AQ13" s="59"/>
      <c r="AR13" s="59"/>
    </row>
    <row r="14" spans="2:57" ht="15.95" customHeight="1">
      <c r="B14" s="59"/>
      <c r="C14" s="809" t="s">
        <v>99</v>
      </c>
      <c r="D14" s="809"/>
      <c r="E14" s="809"/>
      <c r="F14" s="809"/>
      <c r="G14" s="809"/>
      <c r="H14" s="809"/>
      <c r="I14" s="809"/>
      <c r="J14" s="809"/>
      <c r="K14" s="809"/>
      <c r="L14" s="809"/>
      <c r="M14" s="809"/>
      <c r="N14" s="809" t="s">
        <v>103</v>
      </c>
      <c r="O14" s="809"/>
      <c r="P14" s="809"/>
      <c r="Q14" s="809"/>
      <c r="R14" s="809"/>
      <c r="S14" s="809"/>
      <c r="T14" s="809" t="s">
        <v>100</v>
      </c>
      <c r="U14" s="809"/>
      <c r="V14" s="809" t="s">
        <v>91</v>
      </c>
      <c r="W14" s="809"/>
      <c r="X14" s="809" t="s">
        <v>115</v>
      </c>
      <c r="Y14" s="809"/>
      <c r="Z14" s="809"/>
      <c r="AA14" s="809"/>
      <c r="AB14" s="809" t="s">
        <v>104</v>
      </c>
      <c r="AC14" s="809"/>
      <c r="AD14" s="809"/>
      <c r="AE14" s="988" t="s">
        <v>1583</v>
      </c>
      <c r="AF14" s="988"/>
      <c r="AG14" s="988"/>
      <c r="AH14" s="988"/>
      <c r="AI14" s="809" t="s">
        <v>93</v>
      </c>
      <c r="AJ14" s="809"/>
      <c r="AK14" s="809" t="s">
        <v>92</v>
      </c>
      <c r="AL14" s="809"/>
      <c r="AM14" s="809"/>
      <c r="AN14" s="809" t="s">
        <v>108</v>
      </c>
      <c r="AO14" s="809"/>
      <c r="AP14" s="809"/>
      <c r="AQ14" s="809"/>
      <c r="AR14" s="59"/>
      <c r="AU14" s="809" t="s">
        <v>196</v>
      </c>
      <c r="AV14" s="809" t="s">
        <v>197</v>
      </c>
      <c r="AW14" s="809" t="s">
        <v>1162</v>
      </c>
      <c r="AX14" s="809" t="s">
        <v>1840</v>
      </c>
      <c r="AY14" s="809" t="s">
        <v>1839</v>
      </c>
      <c r="BC14" s="809" t="s">
        <v>489</v>
      </c>
      <c r="BE14" s="809" t="s">
        <v>2016</v>
      </c>
    </row>
    <row r="15" spans="2:57" ht="15.95" customHeight="1" thickBot="1">
      <c r="B15" s="59"/>
      <c r="C15" s="810"/>
      <c r="D15" s="810"/>
      <c r="E15" s="810"/>
      <c r="F15" s="810"/>
      <c r="G15" s="810"/>
      <c r="H15" s="810"/>
      <c r="I15" s="810"/>
      <c r="J15" s="810"/>
      <c r="K15" s="810"/>
      <c r="L15" s="810"/>
      <c r="M15" s="810"/>
      <c r="N15" s="810"/>
      <c r="O15" s="810"/>
      <c r="P15" s="810"/>
      <c r="Q15" s="810"/>
      <c r="R15" s="810"/>
      <c r="S15" s="810"/>
      <c r="T15" s="810"/>
      <c r="U15" s="810"/>
      <c r="V15" s="810"/>
      <c r="W15" s="810"/>
      <c r="X15" s="810"/>
      <c r="Y15" s="810"/>
      <c r="Z15" s="810"/>
      <c r="AA15" s="810"/>
      <c r="AB15" s="810"/>
      <c r="AC15" s="810"/>
      <c r="AD15" s="810"/>
      <c r="AE15" s="989" t="s">
        <v>110</v>
      </c>
      <c r="AF15" s="989"/>
      <c r="AG15" s="989" t="s">
        <v>111</v>
      </c>
      <c r="AH15" s="989"/>
      <c r="AI15" s="810"/>
      <c r="AJ15" s="810"/>
      <c r="AK15" s="810"/>
      <c r="AL15" s="810"/>
      <c r="AM15" s="810"/>
      <c r="AN15" s="810"/>
      <c r="AO15" s="810"/>
      <c r="AP15" s="810"/>
      <c r="AQ15" s="810"/>
      <c r="AR15" s="59"/>
      <c r="AU15" s="810"/>
      <c r="AV15" s="810"/>
      <c r="AW15" s="810"/>
      <c r="AX15" s="810"/>
      <c r="AY15" s="810"/>
      <c r="BC15" s="810"/>
      <c r="BE15" s="810"/>
    </row>
    <row r="16" spans="2:57" ht="15.95" customHeight="1">
      <c r="B16" s="834">
        <v>1</v>
      </c>
      <c r="C16" s="837"/>
      <c r="D16" s="838"/>
      <c r="E16" s="838"/>
      <c r="F16" s="838"/>
      <c r="G16" s="838"/>
      <c r="H16" s="838"/>
      <c r="I16" s="838"/>
      <c r="J16" s="838"/>
      <c r="K16" s="838"/>
      <c r="L16" s="838"/>
      <c r="M16" s="839"/>
      <c r="N16" s="914" t="str">
        <f>IFERROR(IF(C16="","",INDEX(PMEREFRI[Base Desc 1],MATCH(C16,PMEREFRI[Eff Desc 1],0))),"")</f>
        <v/>
      </c>
      <c r="O16" s="915"/>
      <c r="P16" s="915"/>
      <c r="Q16" s="915"/>
      <c r="R16" s="915"/>
      <c r="S16" s="916"/>
      <c r="T16" s="953" t="str">
        <f>IFERROR(IF(C16="","",INDEX(PMEREFRI[Unit of Measure],MATCH(C16,PMEREFRI[Eff Desc 1],0))),"")</f>
        <v/>
      </c>
      <c r="U16" s="954"/>
      <c r="V16" s="851"/>
      <c r="W16" s="852"/>
      <c r="X16" s="837"/>
      <c r="Y16" s="838"/>
      <c r="Z16" s="838"/>
      <c r="AA16" s="839"/>
      <c r="AB16" s="837"/>
      <c r="AC16" s="838"/>
      <c r="AD16" s="839"/>
      <c r="AE16" s="863"/>
      <c r="AF16" s="874"/>
      <c r="AG16" s="863"/>
      <c r="AH16" s="874"/>
      <c r="AI16" s="923" t="str">
        <f>IFERROR(IF(C16="","",INDEX(PMEREFRI[Inc Rate Unit],MATCH(C16,PMEREFRI[Eff Desc 1],0))),"")</f>
        <v/>
      </c>
      <c r="AJ16" s="924"/>
      <c r="AK16" s="910" t="str">
        <f>IF(OR(C16="",V16="",X16="",AB16="",AE16="",AG16=""),"",AW16)</f>
        <v/>
      </c>
      <c r="AL16" s="911"/>
      <c r="AM16" s="911"/>
      <c r="AN16" s="820" t="str">
        <f>IF(OR(C16="",V16="",X16="",AB16="",AE16="",AG16=""),"",IF(BC16&lt;&gt;"",BC16,MIN(AU16,ROUND(V16*AI16,2))))</f>
        <v/>
      </c>
      <c r="AO16" s="821"/>
      <c r="AP16" s="821"/>
      <c r="AQ16" s="822"/>
      <c r="AR16" s="59"/>
      <c r="AU16" s="813" t="str">
        <f>IF(OR(C16="",N16="",T16="",V16="",X16="",AG16="",AE16="",AB16=""),"",IF(AK16="","",ROUND((AE16+AG16),2)))</f>
        <v/>
      </c>
      <c r="AV16" s="928" t="str">
        <f>IF(OR(C16="",V16="",X16="",AB16="",AE16="",AG16=""),"",ROUND((V16*INDEX(PMEREFRI[Savings per Unit kW],MATCH(C16,PMEREFRI[Eff Desc 1],0))),3))</f>
        <v/>
      </c>
      <c r="AW16" s="992" t="str">
        <f>IF(OR(C16="",V16="",X16="",AB16="",AE16="",AG16=""),"",ROUND(V16*INDEX(PMEREFRI[Savings per Unit kWh],MATCH(C16,PMEREFRI[Eff Desc 1],2)),2))</f>
        <v/>
      </c>
      <c r="BC16" s="897" t="str">
        <f>IF(OR(N16="",T16="",C16="",V16="",X16="",AB16="",AE16="",AG16=""),"",IF(OR(ISBLANK(M02S02F26),ISBLANK(M02S02F32),ISBLANK(M02S02F46)),MEASUREBLDG,""))</f>
        <v/>
      </c>
      <c r="BE16" s="811" t="str">
        <f ca="1">IF(OR(T16="",N16="",C16="",V16="",X16="",AB16="",AE16="",AG16=""),"",IF('M01-S01'!$V$82&lt;TODAY(),0,IF(M02S02F46="Gas Only",0,IF(OR(AK16="",AK16&lt;0,AU16&lt;=AN16),0,MIN(AU16-AN16,ROUND(AN16*0.4,2))))))</f>
        <v/>
      </c>
    </row>
    <row r="17" spans="2:57" ht="15.95" customHeight="1">
      <c r="B17" s="834"/>
      <c r="C17" s="840"/>
      <c r="D17" s="841"/>
      <c r="E17" s="841"/>
      <c r="F17" s="841"/>
      <c r="G17" s="841"/>
      <c r="H17" s="841"/>
      <c r="I17" s="841"/>
      <c r="J17" s="841"/>
      <c r="K17" s="841"/>
      <c r="L17" s="841"/>
      <c r="M17" s="842"/>
      <c r="N17" s="917"/>
      <c r="O17" s="918"/>
      <c r="P17" s="918"/>
      <c r="Q17" s="918"/>
      <c r="R17" s="918"/>
      <c r="S17" s="919"/>
      <c r="T17" s="955"/>
      <c r="U17" s="956"/>
      <c r="V17" s="853"/>
      <c r="W17" s="854"/>
      <c r="X17" s="840"/>
      <c r="Y17" s="841"/>
      <c r="Z17" s="841"/>
      <c r="AA17" s="842"/>
      <c r="AB17" s="840"/>
      <c r="AC17" s="841"/>
      <c r="AD17" s="842"/>
      <c r="AE17" s="865"/>
      <c r="AF17" s="875"/>
      <c r="AG17" s="865"/>
      <c r="AH17" s="875"/>
      <c r="AI17" s="925"/>
      <c r="AJ17" s="870"/>
      <c r="AK17" s="912"/>
      <c r="AL17" s="913"/>
      <c r="AM17" s="913"/>
      <c r="AN17" s="823"/>
      <c r="AO17" s="824"/>
      <c r="AP17" s="824"/>
      <c r="AQ17" s="825"/>
      <c r="AR17" s="59"/>
      <c r="AU17" s="814"/>
      <c r="AV17" s="907"/>
      <c r="AW17" s="987"/>
      <c r="BC17" s="831"/>
      <c r="BE17" s="812"/>
    </row>
    <row r="18" spans="2:57" ht="15.95" customHeight="1">
      <c r="B18" s="834">
        <v>2</v>
      </c>
      <c r="C18" s="837"/>
      <c r="D18" s="838"/>
      <c r="E18" s="838"/>
      <c r="F18" s="838"/>
      <c r="G18" s="838"/>
      <c r="H18" s="838"/>
      <c r="I18" s="838"/>
      <c r="J18" s="838"/>
      <c r="K18" s="838"/>
      <c r="L18" s="838"/>
      <c r="M18" s="839"/>
      <c r="N18" s="920" t="str">
        <f>IFERROR(IF(C18="","",INDEX(PMEREFRI[Base Desc 1],MATCH(C18,PMEREFRI[Eff Desc 1],0))),"")</f>
        <v/>
      </c>
      <c r="O18" s="921"/>
      <c r="P18" s="921"/>
      <c r="Q18" s="921"/>
      <c r="R18" s="921"/>
      <c r="S18" s="922"/>
      <c r="T18" s="993" t="str">
        <f>IFERROR(IF(C18="","",INDEX(PMEREFRI[Unit of Measure],MATCH(C18,PMEREFRI[Eff Desc 1],0))),"")</f>
        <v/>
      </c>
      <c r="U18" s="994"/>
      <c r="V18" s="851"/>
      <c r="W18" s="852"/>
      <c r="X18" s="837"/>
      <c r="Y18" s="838"/>
      <c r="Z18" s="838"/>
      <c r="AA18" s="839"/>
      <c r="AB18" s="837"/>
      <c r="AC18" s="838"/>
      <c r="AD18" s="839"/>
      <c r="AE18" s="863"/>
      <c r="AF18" s="874"/>
      <c r="AG18" s="863"/>
      <c r="AH18" s="874"/>
      <c r="AI18" s="923" t="str">
        <f>IFERROR(IF(C18="","",INDEX(PMEREFRI[Inc Rate Unit],MATCH(C18,PMEREFRI[Eff Desc 1],0))),"")</f>
        <v/>
      </c>
      <c r="AJ18" s="924"/>
      <c r="AK18" s="910" t="str">
        <f t="shared" ref="AK18" si="0">IF(OR(C18="",V18="",X18="",AB18="",AE18="",AG18=""),"",AW18)</f>
        <v/>
      </c>
      <c r="AL18" s="911"/>
      <c r="AM18" s="975"/>
      <c r="AN18" s="820" t="str">
        <f>IF(OR(C18="",V18="",X18="",AB18="",AE18="",AG18=""),"",IF(BC18&lt;&gt;"",BC18,MIN(AU18,ROUND(V18*AI18,2))))</f>
        <v/>
      </c>
      <c r="AO18" s="821"/>
      <c r="AP18" s="821"/>
      <c r="AQ18" s="822"/>
      <c r="AR18" s="59"/>
      <c r="AU18" s="898" t="str">
        <f t="shared" ref="AU18" si="1">IF(OR(C18="",N18="",T18="",V18="",X18="",AG18="",AE18="",AB18=""),"",IF(AK18="","",ROUND((AE18+AG18),2)))</f>
        <v/>
      </c>
      <c r="AV18" s="906" t="str">
        <f>IF(OR(C18="",V18="",X18="",AB18="",AE18="",AG18=""),"",ROUND((V18*INDEX(PMEREFRI[Savings per Unit kW],MATCH(C18,PMEREFRI[Eff Desc 1],0))),3))</f>
        <v/>
      </c>
      <c r="AW18" s="992" t="str">
        <f>IF(OR(C18="",V18="",X18="",AB18="",AE18="",AG18=""),"",ROUND(V18*INDEX(PMEREFRI[Savings per Unit kWh],MATCH(C18,PMEREFRI[Eff Desc 1],2)),2))</f>
        <v/>
      </c>
      <c r="AY18" s="415"/>
      <c r="BC18" s="897" t="str">
        <f>IF(OR(N18="",T18="",C18="",V18="",X18="",AB18="",AE18="",AG18=""),"",IF(OR(ISBLANK(M02S02F26),ISBLANK(M02S02F32),ISBLANK(M02S02F46)),MEASUREBLDG,""))</f>
        <v/>
      </c>
      <c r="BE18" s="811" t="str">
        <f ca="1">IF(OR(T18="",N18="",C18="",V18="",X18="",AB18="",AE18="",AG18=""),"",IF('M01-S01'!$V$82&lt;TODAY(),0,IF(M02S02F46="Gas Only",0,IF(OR(AK18="",AK18&lt;0,AU18&lt;=AN18),0,MIN(AU18-AN18,ROUND(AN18*0.4,2))))))</f>
        <v/>
      </c>
    </row>
    <row r="19" spans="2:57" ht="15.95" customHeight="1">
      <c r="B19" s="834"/>
      <c r="C19" s="840"/>
      <c r="D19" s="841"/>
      <c r="E19" s="841"/>
      <c r="F19" s="841"/>
      <c r="G19" s="841"/>
      <c r="H19" s="841"/>
      <c r="I19" s="841"/>
      <c r="J19" s="841"/>
      <c r="K19" s="841"/>
      <c r="L19" s="841"/>
      <c r="M19" s="842"/>
      <c r="N19" s="917"/>
      <c r="O19" s="918"/>
      <c r="P19" s="918"/>
      <c r="Q19" s="918"/>
      <c r="R19" s="918"/>
      <c r="S19" s="919"/>
      <c r="T19" s="955"/>
      <c r="U19" s="956"/>
      <c r="V19" s="853"/>
      <c r="W19" s="854"/>
      <c r="X19" s="840"/>
      <c r="Y19" s="841"/>
      <c r="Z19" s="841"/>
      <c r="AA19" s="842"/>
      <c r="AB19" s="840"/>
      <c r="AC19" s="841"/>
      <c r="AD19" s="842"/>
      <c r="AE19" s="865"/>
      <c r="AF19" s="875"/>
      <c r="AG19" s="865"/>
      <c r="AH19" s="875"/>
      <c r="AI19" s="925"/>
      <c r="AJ19" s="870"/>
      <c r="AK19" s="912"/>
      <c r="AL19" s="913"/>
      <c r="AM19" s="942"/>
      <c r="AN19" s="823"/>
      <c r="AO19" s="824"/>
      <c r="AP19" s="824"/>
      <c r="AQ19" s="825"/>
      <c r="AR19" s="59"/>
      <c r="AU19" s="814"/>
      <c r="AV19" s="907"/>
      <c r="AW19" s="987"/>
      <c r="BC19" s="831"/>
      <c r="BE19" s="812"/>
    </row>
    <row r="20" spans="2:57" ht="15.95" customHeight="1">
      <c r="B20" s="834">
        <v>3</v>
      </c>
      <c r="C20" s="837"/>
      <c r="D20" s="838"/>
      <c r="E20" s="838"/>
      <c r="F20" s="838"/>
      <c r="G20" s="838"/>
      <c r="H20" s="838"/>
      <c r="I20" s="838"/>
      <c r="J20" s="838"/>
      <c r="K20" s="838"/>
      <c r="L20" s="838"/>
      <c r="M20" s="839"/>
      <c r="N20" s="920" t="str">
        <f>IFERROR(IF(C20="","",INDEX(PMEREFRI[Base Desc 1],MATCH(C20,PMEREFRI[Eff Desc 1],0))),"")</f>
        <v/>
      </c>
      <c r="O20" s="921"/>
      <c r="P20" s="921"/>
      <c r="Q20" s="921"/>
      <c r="R20" s="921"/>
      <c r="S20" s="922"/>
      <c r="T20" s="993" t="str">
        <f>IFERROR(IF(C20="","",INDEX(PMEREFRI[Unit of Measure],MATCH(C20,PMEREFRI[Eff Desc 1],0))),"")</f>
        <v/>
      </c>
      <c r="U20" s="994"/>
      <c r="V20" s="851"/>
      <c r="W20" s="852"/>
      <c r="X20" s="837"/>
      <c r="Y20" s="838"/>
      <c r="Z20" s="838"/>
      <c r="AA20" s="839"/>
      <c r="AB20" s="837"/>
      <c r="AC20" s="838"/>
      <c r="AD20" s="839"/>
      <c r="AE20" s="863"/>
      <c r="AF20" s="874"/>
      <c r="AG20" s="863"/>
      <c r="AH20" s="874"/>
      <c r="AI20" s="923" t="str">
        <f>IFERROR(IF(C20="","",INDEX(PMEREFRI[Inc Rate Unit],MATCH(C20,PMEREFRI[Eff Desc 1],0))),"")</f>
        <v/>
      </c>
      <c r="AJ20" s="924"/>
      <c r="AK20" s="910" t="str">
        <f t="shared" ref="AK20" si="2">IF(OR(C20="",V20="",X20="",AB20="",AE20="",AG20=""),"",AW20)</f>
        <v/>
      </c>
      <c r="AL20" s="911"/>
      <c r="AM20" s="975"/>
      <c r="AN20" s="820" t="str">
        <f>IF(OR(C20="",V20="",X20="",AB20="",AE20="",AG20=""),"",IF(BC20&lt;&gt;"",BC20,MIN(AU20,ROUND(V20*AI20,2))))</f>
        <v/>
      </c>
      <c r="AO20" s="821"/>
      <c r="AP20" s="821"/>
      <c r="AQ20" s="822"/>
      <c r="AR20" s="59"/>
      <c r="AU20" s="898" t="str">
        <f t="shared" ref="AU20" si="3">IF(OR(C20="",N20="",T20="",V20="",X20="",AG20="",AE20="",AB20=""),"",IF(AK20="","",ROUND((AE20+AG20),2)))</f>
        <v/>
      </c>
      <c r="AV20" s="906" t="str">
        <f>IF(OR(C20="",V20="",X20="",AB20="",AE20="",AG20=""),"",ROUND((V20*INDEX(PMEREFRI[Savings per Unit kW],MATCH(C20,PMEREFRI[Eff Desc 1],0))),3))</f>
        <v/>
      </c>
      <c r="AW20" s="992" t="str">
        <f>IF(OR(C20="",V20="",X20="",AB20="",AE20="",AG20=""),"",ROUND(V20*INDEX(PMEREFRI[Savings per Unit kWh],MATCH(C20,PMEREFRI[Eff Desc 1],2)),2))</f>
        <v/>
      </c>
      <c r="BC20" s="897" t="str">
        <f>IF(OR(N20="",T20="",C20="",V20="",X20="",AB20="",AE20="",AG20=""),"",IF(OR(ISBLANK(M02S02F26),ISBLANK(M02S02F32),ISBLANK(M02S02F46)),MEASUREBLDG,""))</f>
        <v/>
      </c>
      <c r="BE20" s="811" t="str">
        <f ca="1">IF(OR(T20="",N20="",C20="",V20="",X20="",AB20="",AE20="",AG20=""),"",IF('M01-S01'!$V$82&lt;TODAY(),0,IF(M02S02F46="Gas Only",0,IF(OR(AK20="",AK20&lt;0,AU20&lt;=AN20),0,MIN(AU20-AN20,ROUND(AN20*0.4,2))))))</f>
        <v/>
      </c>
    </row>
    <row r="21" spans="2:57" ht="15.95" customHeight="1">
      <c r="B21" s="834"/>
      <c r="C21" s="840"/>
      <c r="D21" s="841"/>
      <c r="E21" s="841"/>
      <c r="F21" s="841"/>
      <c r="G21" s="841"/>
      <c r="H21" s="841"/>
      <c r="I21" s="841"/>
      <c r="J21" s="841"/>
      <c r="K21" s="841"/>
      <c r="L21" s="841"/>
      <c r="M21" s="842"/>
      <c r="N21" s="917"/>
      <c r="O21" s="918"/>
      <c r="P21" s="918"/>
      <c r="Q21" s="918"/>
      <c r="R21" s="918"/>
      <c r="S21" s="919"/>
      <c r="T21" s="955"/>
      <c r="U21" s="956"/>
      <c r="V21" s="853"/>
      <c r="W21" s="854"/>
      <c r="X21" s="840"/>
      <c r="Y21" s="841"/>
      <c r="Z21" s="841"/>
      <c r="AA21" s="842"/>
      <c r="AB21" s="840"/>
      <c r="AC21" s="841"/>
      <c r="AD21" s="842"/>
      <c r="AE21" s="865"/>
      <c r="AF21" s="875"/>
      <c r="AG21" s="865"/>
      <c r="AH21" s="875"/>
      <c r="AI21" s="925"/>
      <c r="AJ21" s="870"/>
      <c r="AK21" s="912"/>
      <c r="AL21" s="913"/>
      <c r="AM21" s="942"/>
      <c r="AN21" s="823"/>
      <c r="AO21" s="824"/>
      <c r="AP21" s="824"/>
      <c r="AQ21" s="825"/>
      <c r="AR21" s="59"/>
      <c r="AU21" s="814"/>
      <c r="AV21" s="907"/>
      <c r="AW21" s="987"/>
      <c r="BC21" s="831"/>
      <c r="BE21" s="812"/>
    </row>
    <row r="22" spans="2:57" ht="15.95" customHeight="1">
      <c r="B22" s="834">
        <v>4</v>
      </c>
      <c r="C22" s="837"/>
      <c r="D22" s="838"/>
      <c r="E22" s="838"/>
      <c r="F22" s="838"/>
      <c r="G22" s="838"/>
      <c r="H22" s="838"/>
      <c r="I22" s="838"/>
      <c r="J22" s="838"/>
      <c r="K22" s="838"/>
      <c r="L22" s="838"/>
      <c r="M22" s="839"/>
      <c r="N22" s="920" t="str">
        <f>IFERROR(IF(C22="","",INDEX(PMEREFRI[Base Desc 1],MATCH(C22,PMEREFRI[Eff Desc 1],0))),"")</f>
        <v/>
      </c>
      <c r="O22" s="921"/>
      <c r="P22" s="921"/>
      <c r="Q22" s="921"/>
      <c r="R22" s="921"/>
      <c r="S22" s="922"/>
      <c r="T22" s="993" t="str">
        <f>IFERROR(IF(C22="","",INDEX(PMEREFRI[Unit of Measure],MATCH(C22,PMEREFRI[Eff Desc 1],0))),"")</f>
        <v/>
      </c>
      <c r="U22" s="994"/>
      <c r="V22" s="851"/>
      <c r="W22" s="852"/>
      <c r="X22" s="837"/>
      <c r="Y22" s="838"/>
      <c r="Z22" s="838"/>
      <c r="AA22" s="839"/>
      <c r="AB22" s="837"/>
      <c r="AC22" s="838"/>
      <c r="AD22" s="839"/>
      <c r="AE22" s="863"/>
      <c r="AF22" s="874"/>
      <c r="AG22" s="863"/>
      <c r="AH22" s="874"/>
      <c r="AI22" s="923" t="str">
        <f>IFERROR(IF(C22="","",INDEX(PMEREFRI[Inc Rate Unit],MATCH(C22,PMEREFRI[Eff Desc 1],0))),"")</f>
        <v/>
      </c>
      <c r="AJ22" s="924"/>
      <c r="AK22" s="910" t="str">
        <f t="shared" ref="AK22" si="4">IF(OR(C22="",V22="",X22="",AB22="",AE22="",AG22=""),"",AW22)</f>
        <v/>
      </c>
      <c r="AL22" s="911"/>
      <c r="AM22" s="975"/>
      <c r="AN22" s="820" t="str">
        <f t="shared" ref="AN22" si="5">IF(OR(C22="",V22="",X22="",AB22="",AE22="",AG22=""),"",IF(BC22&lt;&gt;"",BC22,MIN(AU22,ROUND(V22*AI22,2))))</f>
        <v/>
      </c>
      <c r="AO22" s="821"/>
      <c r="AP22" s="821"/>
      <c r="AQ22" s="822"/>
      <c r="AR22" s="59"/>
      <c r="AU22" s="898" t="str">
        <f t="shared" ref="AU22" si="6">IF(OR(C22="",N22="",T22="",V22="",X22="",AG22="",AE22="",AB22=""),"",IF(AK22="","",ROUND((AE22+AG22),2)))</f>
        <v/>
      </c>
      <c r="AV22" s="906" t="str">
        <f>IF(OR(C22="",V22="",X22="",AB22="",AE22="",AG22=""),"",ROUND((V22*INDEX(PMEREFRI[Savings per Unit kW],MATCH(C22,PMEREFRI[Eff Desc 1],0))),3))</f>
        <v/>
      </c>
      <c r="AW22" s="992" t="str">
        <f>IF(OR(C22="",V22="",X22="",AB22="",AE22="",AG22=""),"",ROUND(V22*INDEX(PMEREFRI[Savings per Unit kWh],MATCH(C22,PMEREFRI[Eff Desc 1],2)),2))</f>
        <v/>
      </c>
      <c r="BC22" s="897" t="str">
        <f>IF(OR(N22="",T22="",C22="",V22="",X22="",AB22="",AE22="",AG22=""),"",IF(OR(ISBLANK(M02S02F26),ISBLANK(M02S02F32),ISBLANK(M02S02F46)),MEASUREBLDG,""))</f>
        <v/>
      </c>
      <c r="BE22" s="811" t="str">
        <f ca="1">IF(OR(T22="",N22="",C22="",V22="",X22="",AB22="",AE22="",AG22=""),"",IF('M01-S01'!$V$82&lt;TODAY(),0,IF(M02S02F46="Gas Only",0,IF(OR(AK22="",AK22&lt;0,AU22&lt;=AN22),0,MIN(AU22-AN22,ROUND(AN22*0.4,2))))))</f>
        <v/>
      </c>
    </row>
    <row r="23" spans="2:57" ht="15.95" customHeight="1">
      <c r="B23" s="834"/>
      <c r="C23" s="840"/>
      <c r="D23" s="841"/>
      <c r="E23" s="841"/>
      <c r="F23" s="841"/>
      <c r="G23" s="841"/>
      <c r="H23" s="841"/>
      <c r="I23" s="841"/>
      <c r="J23" s="841"/>
      <c r="K23" s="841"/>
      <c r="L23" s="841"/>
      <c r="M23" s="842"/>
      <c r="N23" s="917"/>
      <c r="O23" s="918"/>
      <c r="P23" s="918"/>
      <c r="Q23" s="918"/>
      <c r="R23" s="918"/>
      <c r="S23" s="919"/>
      <c r="T23" s="955"/>
      <c r="U23" s="956"/>
      <c r="V23" s="853"/>
      <c r="W23" s="854"/>
      <c r="X23" s="840"/>
      <c r="Y23" s="841"/>
      <c r="Z23" s="841"/>
      <c r="AA23" s="842"/>
      <c r="AB23" s="840"/>
      <c r="AC23" s="841"/>
      <c r="AD23" s="842"/>
      <c r="AE23" s="865"/>
      <c r="AF23" s="875"/>
      <c r="AG23" s="865"/>
      <c r="AH23" s="875"/>
      <c r="AI23" s="925"/>
      <c r="AJ23" s="870"/>
      <c r="AK23" s="912"/>
      <c r="AL23" s="913"/>
      <c r="AM23" s="942"/>
      <c r="AN23" s="823"/>
      <c r="AO23" s="824"/>
      <c r="AP23" s="824"/>
      <c r="AQ23" s="825"/>
      <c r="AR23" s="59"/>
      <c r="AU23" s="814"/>
      <c r="AV23" s="907"/>
      <c r="AW23" s="987"/>
      <c r="BC23" s="831"/>
      <c r="BE23" s="812"/>
    </row>
    <row r="24" spans="2:57" ht="15.95" customHeight="1">
      <c r="B24" s="834">
        <v>5</v>
      </c>
      <c r="C24" s="837"/>
      <c r="D24" s="838"/>
      <c r="E24" s="838"/>
      <c r="F24" s="838"/>
      <c r="G24" s="838"/>
      <c r="H24" s="838"/>
      <c r="I24" s="838"/>
      <c r="J24" s="838"/>
      <c r="K24" s="838"/>
      <c r="L24" s="838"/>
      <c r="M24" s="839"/>
      <c r="N24" s="920" t="str">
        <f>IFERROR(IF(C24="","",INDEX(PMEREFRI[Base Desc 1],MATCH(C24,PMEREFRI[Eff Desc 1],0))),"")</f>
        <v/>
      </c>
      <c r="O24" s="921"/>
      <c r="P24" s="921"/>
      <c r="Q24" s="921"/>
      <c r="R24" s="921"/>
      <c r="S24" s="922"/>
      <c r="T24" s="993" t="str">
        <f>IFERROR(IF(C24="","",INDEX(PMEREFRI[Unit of Measure],MATCH(C24,PMEREFRI[Eff Desc 1],0))),"")</f>
        <v/>
      </c>
      <c r="U24" s="994"/>
      <c r="V24" s="851"/>
      <c r="W24" s="852"/>
      <c r="X24" s="837"/>
      <c r="Y24" s="838"/>
      <c r="Z24" s="838"/>
      <c r="AA24" s="839"/>
      <c r="AB24" s="837"/>
      <c r="AC24" s="838"/>
      <c r="AD24" s="839"/>
      <c r="AE24" s="863"/>
      <c r="AF24" s="874"/>
      <c r="AG24" s="863"/>
      <c r="AH24" s="874"/>
      <c r="AI24" s="923" t="str">
        <f>IFERROR(IF(C24="","",INDEX(PMEREFRI[Inc Rate Unit],MATCH(C24,PMEREFRI[Eff Desc 1],0))),"")</f>
        <v/>
      </c>
      <c r="AJ24" s="924"/>
      <c r="AK24" s="910" t="str">
        <f t="shared" ref="AK24" si="7">IF(OR(C24="",V24="",X24="",AB24="",AE24="",AG24=""),"",AW24)</f>
        <v/>
      </c>
      <c r="AL24" s="911"/>
      <c r="AM24" s="975"/>
      <c r="AN24" s="820" t="str">
        <f t="shared" ref="AN24" si="8">IF(OR(C24="",V24="",X24="",AB24="",AE24="",AG24=""),"",IF(BC24&lt;&gt;"",BC24,MIN(AU24,ROUND(V24*AI24,2))))</f>
        <v/>
      </c>
      <c r="AO24" s="821"/>
      <c r="AP24" s="821"/>
      <c r="AQ24" s="822"/>
      <c r="AR24" s="59"/>
      <c r="AU24" s="898" t="str">
        <f t="shared" ref="AU24" si="9">IF(OR(C24="",N24="",T24="",V24="",X24="",AG24="",AE24="",AB24=""),"",IF(AK24="","",ROUND((AE24+AG24),2)))</f>
        <v/>
      </c>
      <c r="AV24" s="906" t="str">
        <f>IF(OR(C24="",V24="",X24="",AB24="",AE24="",AG24=""),"",ROUND((V24*INDEX(PMEREFRI[Savings per Unit kW],MATCH(C24,PMEREFRI[Eff Desc 1],0))),3))</f>
        <v/>
      </c>
      <c r="AW24" s="992" t="str">
        <f>IF(OR(C24="",V24="",X24="",AB24="",AE24="",AG24=""),"",ROUND(V24*INDEX(PMEREFRI[Savings per Unit kWh],MATCH(C24,PMEREFRI[Eff Desc 1],2)),2))</f>
        <v/>
      </c>
      <c r="BC24" s="897" t="str">
        <f>IF(OR(N24="",T24="",C24="",V24="",X24="",AB24="",AE24="",AG24=""),"",IF(OR(ISBLANK(M02S02F26),ISBLANK(M02S02F32),ISBLANK(M02S02F46)),MEASUREBLDG,""))</f>
        <v/>
      </c>
      <c r="BE24" s="811" t="str">
        <f ca="1">IF(OR(T24="",N24="",C24="",V24="",X24="",AB24="",AE24="",AG24=""),"",IF('M01-S01'!$V$82&lt;TODAY(),0,IF(M02S02F46="Gas Only",0,IF(OR(AK24="",AK24&lt;0,AU24&lt;=AN24),0,MIN(AU24-AN24,ROUND(AN24*0.4,2))))))</f>
        <v/>
      </c>
    </row>
    <row r="25" spans="2:57" ht="15.95" customHeight="1">
      <c r="B25" s="834"/>
      <c r="C25" s="840"/>
      <c r="D25" s="841"/>
      <c r="E25" s="841"/>
      <c r="F25" s="841"/>
      <c r="G25" s="841"/>
      <c r="H25" s="841"/>
      <c r="I25" s="841"/>
      <c r="J25" s="841"/>
      <c r="K25" s="841"/>
      <c r="L25" s="841"/>
      <c r="M25" s="842"/>
      <c r="N25" s="917"/>
      <c r="O25" s="918"/>
      <c r="P25" s="918"/>
      <c r="Q25" s="918"/>
      <c r="R25" s="918"/>
      <c r="S25" s="919"/>
      <c r="T25" s="955"/>
      <c r="U25" s="956"/>
      <c r="V25" s="853"/>
      <c r="W25" s="854"/>
      <c r="X25" s="840"/>
      <c r="Y25" s="841"/>
      <c r="Z25" s="841"/>
      <c r="AA25" s="842"/>
      <c r="AB25" s="840"/>
      <c r="AC25" s="841"/>
      <c r="AD25" s="842"/>
      <c r="AE25" s="865"/>
      <c r="AF25" s="875"/>
      <c r="AG25" s="865"/>
      <c r="AH25" s="875"/>
      <c r="AI25" s="925"/>
      <c r="AJ25" s="870"/>
      <c r="AK25" s="912"/>
      <c r="AL25" s="913"/>
      <c r="AM25" s="942"/>
      <c r="AN25" s="823"/>
      <c r="AO25" s="824"/>
      <c r="AP25" s="824"/>
      <c r="AQ25" s="825"/>
      <c r="AR25" s="59"/>
      <c r="AU25" s="814"/>
      <c r="AV25" s="907"/>
      <c r="AW25" s="987"/>
      <c r="BC25" s="831"/>
      <c r="BE25" s="812"/>
    </row>
    <row r="26" spans="2:57" ht="15.95" customHeight="1">
      <c r="B26" s="834">
        <v>6</v>
      </c>
      <c r="C26" s="837"/>
      <c r="D26" s="838"/>
      <c r="E26" s="838"/>
      <c r="F26" s="838"/>
      <c r="G26" s="838"/>
      <c r="H26" s="838"/>
      <c r="I26" s="838"/>
      <c r="J26" s="838"/>
      <c r="K26" s="838"/>
      <c r="L26" s="838"/>
      <c r="M26" s="839"/>
      <c r="N26" s="920" t="str">
        <f>IFERROR(IF(C26="","",INDEX(PMEREFRI[Base Desc 1],MATCH(C26,PMEREFRI[Eff Desc 1],0))),"")</f>
        <v/>
      </c>
      <c r="O26" s="921"/>
      <c r="P26" s="921"/>
      <c r="Q26" s="921"/>
      <c r="R26" s="921"/>
      <c r="S26" s="922"/>
      <c r="T26" s="993" t="str">
        <f>IFERROR(IF(C26="","",INDEX(PMEREFRI[Unit of Measure],MATCH(C26,PMEREFRI[Eff Desc 1],0))),"")</f>
        <v/>
      </c>
      <c r="U26" s="994"/>
      <c r="V26" s="851"/>
      <c r="W26" s="852"/>
      <c r="X26" s="837"/>
      <c r="Y26" s="838"/>
      <c r="Z26" s="838"/>
      <c r="AA26" s="839"/>
      <c r="AB26" s="837"/>
      <c r="AC26" s="838"/>
      <c r="AD26" s="839"/>
      <c r="AE26" s="863"/>
      <c r="AF26" s="874"/>
      <c r="AG26" s="863"/>
      <c r="AH26" s="874"/>
      <c r="AI26" s="923" t="str">
        <f>IFERROR(IF(C26="","",INDEX(PMEREFRI[Inc Rate Unit],MATCH(C26,PMEREFRI[Eff Desc 1],0))),"")</f>
        <v/>
      </c>
      <c r="AJ26" s="924"/>
      <c r="AK26" s="910" t="str">
        <f t="shared" ref="AK26" si="10">IF(OR(C26="",V26="",X26="",AB26="",AE26="",AG26=""),"",AW26)</f>
        <v/>
      </c>
      <c r="AL26" s="911"/>
      <c r="AM26" s="975"/>
      <c r="AN26" s="820" t="str">
        <f t="shared" ref="AN26" si="11">IF(OR(C26="",V26="",X26="",AB26="",AE26="",AG26=""),"",IF(BC26&lt;&gt;"",BC26,MIN(AU26,ROUND(V26*AI26,2))))</f>
        <v/>
      </c>
      <c r="AO26" s="821"/>
      <c r="AP26" s="821"/>
      <c r="AQ26" s="822"/>
      <c r="AR26" s="59"/>
      <c r="AU26" s="898" t="str">
        <f t="shared" ref="AU26" si="12">IF(OR(C26="",N26="",T26="",V26="",X26="",AG26="",AE26="",AB26=""),"",IF(AK26="","",ROUND((AE26+AG26),2)))</f>
        <v/>
      </c>
      <c r="AV26" s="906" t="str">
        <f>IF(OR(C26="",V26="",X26="",AB26="",AE26="",AG26=""),"",ROUND((V26*INDEX(PMEREFRI[Savings per Unit kW],MATCH(C26,PMEREFRI[Eff Desc 1],0))),3))</f>
        <v/>
      </c>
      <c r="AW26" s="992" t="str">
        <f>IF(OR(C26="",V26="",X26="",AB26="",AE26="",AG26=""),"",ROUND(V26*INDEX(PMEREFRI[Savings per Unit kWh],MATCH(C26,PMEREFRI[Eff Desc 1],2)),2))</f>
        <v/>
      </c>
      <c r="BC26" s="897" t="str">
        <f>IF(OR(N26="",T26="",C26="",V26="",X26="",AB26="",AE26="",AG26=""),"",IF(OR(ISBLANK(M02S02F26),ISBLANK(M02S02F32),ISBLANK(M02S02F46)),MEASUREBLDG,""))</f>
        <v/>
      </c>
      <c r="BE26" s="811" t="str">
        <f ca="1">IF(OR(T26="",N26="",C26="",V26="",X26="",AB26="",AE26="",AG26=""),"",IF('M01-S01'!$V$82&lt;TODAY(),0,IF(M02S02F46="Gas Only",0,IF(OR(AK26="",AK26&lt;0,AU26&lt;=AN26),0,MIN(AU26-AN26,ROUND(AN26*0.4,2))))))</f>
        <v/>
      </c>
    </row>
    <row r="27" spans="2:57" ht="15.95" customHeight="1">
      <c r="B27" s="834"/>
      <c r="C27" s="840"/>
      <c r="D27" s="841"/>
      <c r="E27" s="841"/>
      <c r="F27" s="841"/>
      <c r="G27" s="841"/>
      <c r="H27" s="841"/>
      <c r="I27" s="841"/>
      <c r="J27" s="841"/>
      <c r="K27" s="841"/>
      <c r="L27" s="841"/>
      <c r="M27" s="842"/>
      <c r="N27" s="917"/>
      <c r="O27" s="918"/>
      <c r="P27" s="918"/>
      <c r="Q27" s="918"/>
      <c r="R27" s="918"/>
      <c r="S27" s="919"/>
      <c r="T27" s="955"/>
      <c r="U27" s="956"/>
      <c r="V27" s="853"/>
      <c r="W27" s="854"/>
      <c r="X27" s="840"/>
      <c r="Y27" s="841"/>
      <c r="Z27" s="841"/>
      <c r="AA27" s="842"/>
      <c r="AB27" s="840"/>
      <c r="AC27" s="841"/>
      <c r="AD27" s="842"/>
      <c r="AE27" s="865"/>
      <c r="AF27" s="875"/>
      <c r="AG27" s="865"/>
      <c r="AH27" s="875"/>
      <c r="AI27" s="925"/>
      <c r="AJ27" s="870"/>
      <c r="AK27" s="912"/>
      <c r="AL27" s="913"/>
      <c r="AM27" s="942"/>
      <c r="AN27" s="823"/>
      <c r="AO27" s="824"/>
      <c r="AP27" s="824"/>
      <c r="AQ27" s="825"/>
      <c r="AR27" s="59"/>
      <c r="AU27" s="814"/>
      <c r="AV27" s="907"/>
      <c r="AW27" s="987"/>
      <c r="BC27" s="831"/>
      <c r="BE27" s="812"/>
    </row>
    <row r="28" spans="2:57" ht="15.95" customHeight="1">
      <c r="B28" s="834">
        <v>7</v>
      </c>
      <c r="C28" s="837"/>
      <c r="D28" s="838"/>
      <c r="E28" s="838"/>
      <c r="F28" s="838"/>
      <c r="G28" s="838"/>
      <c r="H28" s="838"/>
      <c r="I28" s="838"/>
      <c r="J28" s="838"/>
      <c r="K28" s="838"/>
      <c r="L28" s="838"/>
      <c r="M28" s="839"/>
      <c r="N28" s="920" t="str">
        <f>IFERROR(IF(C28="","",INDEX(PMEREFRI[Base Desc 1],MATCH(C28,PMEREFRI[Eff Desc 1],0))),"")</f>
        <v/>
      </c>
      <c r="O28" s="921"/>
      <c r="P28" s="921"/>
      <c r="Q28" s="921"/>
      <c r="R28" s="921"/>
      <c r="S28" s="922"/>
      <c r="T28" s="993" t="str">
        <f>IFERROR(IF(C28="","",INDEX(PMEREFRI[Unit of Measure],MATCH(C28,PMEREFRI[Eff Desc 1],0))),"")</f>
        <v/>
      </c>
      <c r="U28" s="994"/>
      <c r="V28" s="851"/>
      <c r="W28" s="852"/>
      <c r="X28" s="837"/>
      <c r="Y28" s="838"/>
      <c r="Z28" s="838"/>
      <c r="AA28" s="839"/>
      <c r="AB28" s="837"/>
      <c r="AC28" s="838"/>
      <c r="AD28" s="839"/>
      <c r="AE28" s="863"/>
      <c r="AF28" s="874"/>
      <c r="AG28" s="863"/>
      <c r="AH28" s="874"/>
      <c r="AI28" s="923" t="str">
        <f>IFERROR(IF(C28="","",INDEX(PMEREFRI[Inc Rate Unit],MATCH(C28,PMEREFRI[Eff Desc 1],0))),"")</f>
        <v/>
      </c>
      <c r="AJ28" s="924"/>
      <c r="AK28" s="910" t="str">
        <f t="shared" ref="AK28" si="13">IF(OR(C28="",V28="",X28="",AB28="",AE28="",AG28=""),"",AW28)</f>
        <v/>
      </c>
      <c r="AL28" s="911"/>
      <c r="AM28" s="975"/>
      <c r="AN28" s="820" t="str">
        <f t="shared" ref="AN28" si="14">IF(OR(C28="",V28="",X28="",AB28="",AE28="",AG28=""),"",IF(BC28&lt;&gt;"",BC28,MIN(AU28,ROUND(V28*AI28,2))))</f>
        <v/>
      </c>
      <c r="AO28" s="821"/>
      <c r="AP28" s="821"/>
      <c r="AQ28" s="822"/>
      <c r="AR28" s="59"/>
      <c r="AU28" s="898" t="str">
        <f t="shared" ref="AU28" si="15">IF(OR(C28="",N28="",T28="",V28="",X28="",AG28="",AE28="",AB28=""),"",IF(AK28="","",ROUND((AE28+AG28),2)))</f>
        <v/>
      </c>
      <c r="AV28" s="906" t="str">
        <f>IF(OR(C28="",V28="",X28="",AB28="",AE28="",AG28=""),"",ROUND((V28*INDEX(PMEREFRI[Savings per Unit kW],MATCH(C28,PMEREFRI[Eff Desc 1],0))),3))</f>
        <v/>
      </c>
      <c r="AW28" s="992" t="str">
        <f>IF(OR(C28="",V28="",X28="",AB28="",AE28="",AG28=""),"",ROUND(V28*INDEX(PMEREFRI[Savings per Unit kWh],MATCH(C28,PMEREFRI[Eff Desc 1],2)),2))</f>
        <v/>
      </c>
      <c r="BC28" s="897" t="str">
        <f>IF(OR(N28="",T28="",C28="",V28="",X28="",AB28="",AE28="",AG28=""),"",IF(OR(ISBLANK(M02S02F26),ISBLANK(M02S02F32),ISBLANK(M02S02F46)),MEASUREBLDG,""))</f>
        <v/>
      </c>
      <c r="BE28" s="811" t="str">
        <f ca="1">IF(OR(T28="",N28="",C28="",V28="",X28="",AB28="",AE28="",AG28=""),"",IF('M01-S01'!$V$82&lt;TODAY(),0,IF(M02S02F46="Gas Only",0,IF(OR(AK28="",AK28&lt;0,AU28&lt;=AN28),0,MIN(AU28-AN28,ROUND(AN28*0.4,2))))))</f>
        <v/>
      </c>
    </row>
    <row r="29" spans="2:57" ht="15.95" customHeight="1">
      <c r="B29" s="834"/>
      <c r="C29" s="840"/>
      <c r="D29" s="841"/>
      <c r="E29" s="841"/>
      <c r="F29" s="841"/>
      <c r="G29" s="841"/>
      <c r="H29" s="841"/>
      <c r="I29" s="841"/>
      <c r="J29" s="841"/>
      <c r="K29" s="841"/>
      <c r="L29" s="841"/>
      <c r="M29" s="842"/>
      <c r="N29" s="917"/>
      <c r="O29" s="918"/>
      <c r="P29" s="918"/>
      <c r="Q29" s="918"/>
      <c r="R29" s="918"/>
      <c r="S29" s="919"/>
      <c r="T29" s="955"/>
      <c r="U29" s="956"/>
      <c r="V29" s="853"/>
      <c r="W29" s="854"/>
      <c r="X29" s="840"/>
      <c r="Y29" s="841"/>
      <c r="Z29" s="841"/>
      <c r="AA29" s="842"/>
      <c r="AB29" s="840"/>
      <c r="AC29" s="841"/>
      <c r="AD29" s="842"/>
      <c r="AE29" s="865"/>
      <c r="AF29" s="875"/>
      <c r="AG29" s="865"/>
      <c r="AH29" s="875"/>
      <c r="AI29" s="925"/>
      <c r="AJ29" s="870"/>
      <c r="AK29" s="912"/>
      <c r="AL29" s="913"/>
      <c r="AM29" s="942"/>
      <c r="AN29" s="823"/>
      <c r="AO29" s="824"/>
      <c r="AP29" s="824"/>
      <c r="AQ29" s="825"/>
      <c r="AR29" s="59"/>
      <c r="AU29" s="814"/>
      <c r="AV29" s="907"/>
      <c r="AW29" s="987"/>
      <c r="BC29" s="831"/>
      <c r="BE29" s="812"/>
    </row>
    <row r="30" spans="2:57" ht="15.95" customHeight="1">
      <c r="B30" s="834">
        <v>8</v>
      </c>
      <c r="C30" s="837"/>
      <c r="D30" s="838"/>
      <c r="E30" s="838"/>
      <c r="F30" s="838"/>
      <c r="G30" s="838"/>
      <c r="H30" s="838"/>
      <c r="I30" s="838"/>
      <c r="J30" s="838"/>
      <c r="K30" s="838"/>
      <c r="L30" s="838"/>
      <c r="M30" s="839"/>
      <c r="N30" s="920" t="str">
        <f>IFERROR(IF(C30="","",INDEX(PMEREFRI[Base Desc 1],MATCH(C30,PMEREFRI[Eff Desc 1],0))),"")</f>
        <v/>
      </c>
      <c r="O30" s="921"/>
      <c r="P30" s="921"/>
      <c r="Q30" s="921"/>
      <c r="R30" s="921"/>
      <c r="S30" s="922"/>
      <c r="T30" s="993" t="str">
        <f>IFERROR(IF(C30="","",INDEX(PMEREFRI[Unit of Measure],MATCH(C30,PMEREFRI[Eff Desc 1],0))),"")</f>
        <v/>
      </c>
      <c r="U30" s="994"/>
      <c r="V30" s="851"/>
      <c r="W30" s="852"/>
      <c r="X30" s="837"/>
      <c r="Y30" s="838"/>
      <c r="Z30" s="838"/>
      <c r="AA30" s="839"/>
      <c r="AB30" s="837"/>
      <c r="AC30" s="838"/>
      <c r="AD30" s="839"/>
      <c r="AE30" s="863"/>
      <c r="AF30" s="874"/>
      <c r="AG30" s="863"/>
      <c r="AH30" s="874"/>
      <c r="AI30" s="923" t="str">
        <f>IFERROR(IF(C30="","",INDEX(PMEREFRI[Inc Rate Unit],MATCH(C30,PMEREFRI[Eff Desc 1],0))),"")</f>
        <v/>
      </c>
      <c r="AJ30" s="924"/>
      <c r="AK30" s="910" t="str">
        <f t="shared" ref="AK30" si="16">IF(OR(C30="",V30="",X30="",AB30="",AE30="",AG30=""),"",AW30)</f>
        <v/>
      </c>
      <c r="AL30" s="911"/>
      <c r="AM30" s="975"/>
      <c r="AN30" s="820" t="str">
        <f t="shared" ref="AN30" si="17">IF(OR(C30="",V30="",X30="",AB30="",AE30="",AG30=""),"",IF(BC30&lt;&gt;"",BC30,MIN(AU30,ROUND(V30*AI30,2))))</f>
        <v/>
      </c>
      <c r="AO30" s="821"/>
      <c r="AP30" s="821"/>
      <c r="AQ30" s="822"/>
      <c r="AR30" s="59"/>
      <c r="AU30" s="898" t="str">
        <f t="shared" ref="AU30" si="18">IF(OR(C30="",N30="",T30="",V30="",X30="",AG30="",AE30="",AB30=""),"",IF(AK30="","",ROUND((AE30+AG30),2)))</f>
        <v/>
      </c>
      <c r="AV30" s="906" t="str">
        <f>IF(OR(C30="",V30="",X30="",AB30="",AE30="",AG30=""),"",ROUND((V30*INDEX(PMEREFRI[Savings per Unit kW],MATCH(C30,PMEREFRI[Eff Desc 1],0))),3))</f>
        <v/>
      </c>
      <c r="AW30" s="992" t="str">
        <f>IF(OR(C30="",V30="",X30="",AB30="",AE30="",AG30=""),"",ROUND(V30*INDEX(PMEREFRI[Savings per Unit kWh],MATCH(C30,PMEREFRI[Eff Desc 1],2)),2))</f>
        <v/>
      </c>
      <c r="BC30" s="897" t="str">
        <f>IF(OR(N30="",T30="",C30="",V30="",X30="",AB30="",AE30="",AG30=""),"",IF(OR(ISBLANK(M02S02F26),ISBLANK(M02S02F32),ISBLANK(M02S02F46)),MEASUREBLDG,""))</f>
        <v/>
      </c>
      <c r="BE30" s="811" t="str">
        <f ca="1">IF(OR(T30="",N30="",C30="",V30="",X30="",AB30="",AE30="",AG30=""),"",IF('M01-S01'!$V$82&lt;TODAY(),0,IF(M02S02F46="Gas Only",0,IF(OR(AK30="",AK30&lt;0,AU30&lt;=AN30),0,MIN(AU30-AN30,ROUND(AN30*0.4,2))))))</f>
        <v/>
      </c>
    </row>
    <row r="31" spans="2:57" ht="15.95" customHeight="1">
      <c r="B31" s="834"/>
      <c r="C31" s="840"/>
      <c r="D31" s="841"/>
      <c r="E31" s="841"/>
      <c r="F31" s="841"/>
      <c r="G31" s="841"/>
      <c r="H31" s="841"/>
      <c r="I31" s="841"/>
      <c r="J31" s="841"/>
      <c r="K31" s="841"/>
      <c r="L31" s="841"/>
      <c r="M31" s="842"/>
      <c r="N31" s="917"/>
      <c r="O31" s="918"/>
      <c r="P31" s="918"/>
      <c r="Q31" s="918"/>
      <c r="R31" s="918"/>
      <c r="S31" s="919"/>
      <c r="T31" s="955"/>
      <c r="U31" s="956"/>
      <c r="V31" s="853"/>
      <c r="W31" s="854"/>
      <c r="X31" s="840"/>
      <c r="Y31" s="841"/>
      <c r="Z31" s="841"/>
      <c r="AA31" s="842"/>
      <c r="AB31" s="840"/>
      <c r="AC31" s="841"/>
      <c r="AD31" s="842"/>
      <c r="AE31" s="865"/>
      <c r="AF31" s="875"/>
      <c r="AG31" s="865"/>
      <c r="AH31" s="875"/>
      <c r="AI31" s="925"/>
      <c r="AJ31" s="870"/>
      <c r="AK31" s="912"/>
      <c r="AL31" s="913"/>
      <c r="AM31" s="942"/>
      <c r="AN31" s="823"/>
      <c r="AO31" s="824"/>
      <c r="AP31" s="824"/>
      <c r="AQ31" s="825"/>
      <c r="AR31" s="59"/>
      <c r="AU31" s="814"/>
      <c r="AV31" s="907"/>
      <c r="AW31" s="987"/>
      <c r="BC31" s="831"/>
      <c r="BE31" s="812"/>
    </row>
    <row r="32" spans="2:57" ht="15.95" customHeight="1">
      <c r="B32" s="834">
        <v>9</v>
      </c>
      <c r="C32" s="837"/>
      <c r="D32" s="838"/>
      <c r="E32" s="838"/>
      <c r="F32" s="838"/>
      <c r="G32" s="838"/>
      <c r="H32" s="838"/>
      <c r="I32" s="838"/>
      <c r="J32" s="838"/>
      <c r="K32" s="838"/>
      <c r="L32" s="838"/>
      <c r="M32" s="839"/>
      <c r="N32" s="920" t="str">
        <f>IFERROR(IF(C32="","",INDEX(PMEREFRI[Base Desc 1],MATCH(C32,PMEREFRI[Eff Desc 1],0))),"")</f>
        <v/>
      </c>
      <c r="O32" s="921"/>
      <c r="P32" s="921"/>
      <c r="Q32" s="921"/>
      <c r="R32" s="921"/>
      <c r="S32" s="922"/>
      <c r="T32" s="993" t="str">
        <f>IFERROR(IF(C32="","",INDEX(PMEREFRI[Unit of Measure],MATCH(C32,PMEREFRI[Eff Desc 1],0))),"")</f>
        <v/>
      </c>
      <c r="U32" s="994"/>
      <c r="V32" s="851"/>
      <c r="W32" s="852"/>
      <c r="X32" s="837"/>
      <c r="Y32" s="838"/>
      <c r="Z32" s="838"/>
      <c r="AA32" s="839"/>
      <c r="AB32" s="837"/>
      <c r="AC32" s="838"/>
      <c r="AD32" s="839"/>
      <c r="AE32" s="863"/>
      <c r="AF32" s="874"/>
      <c r="AG32" s="863"/>
      <c r="AH32" s="874"/>
      <c r="AI32" s="923" t="str">
        <f>IFERROR(IF(C32="","",INDEX(PMEREFRI[Inc Rate Unit],MATCH(C32,PMEREFRI[Eff Desc 1],0))),"")</f>
        <v/>
      </c>
      <c r="AJ32" s="924"/>
      <c r="AK32" s="910" t="str">
        <f t="shared" ref="AK32" si="19">IF(OR(C32="",V32="",X32="",AB32="",AE32="",AG32=""),"",AW32)</f>
        <v/>
      </c>
      <c r="AL32" s="911"/>
      <c r="AM32" s="975"/>
      <c r="AN32" s="820" t="str">
        <f t="shared" ref="AN32" si="20">IF(OR(C32="",V32="",X32="",AB32="",AE32="",AG32=""),"",IF(BC32&lt;&gt;"",BC32,MIN(AU32,ROUND(V32*AI32,2))))</f>
        <v/>
      </c>
      <c r="AO32" s="821"/>
      <c r="AP32" s="821"/>
      <c r="AQ32" s="822"/>
      <c r="AR32" s="59"/>
      <c r="AU32" s="898" t="str">
        <f t="shared" ref="AU32" si="21">IF(OR(C32="",N32="",T32="",V32="",X32="",AG32="",AE32="",AB32=""),"",IF(AK32="","",ROUND((AE32+AG32),2)))</f>
        <v/>
      </c>
      <c r="AV32" s="906" t="str">
        <f>IF(OR(C32="",V32="",X32="",AB32="",AE32="",AG32=""),"",ROUND((V32*INDEX(PMEREFRI[Savings per Unit kW],MATCH(C32,PMEREFRI[Eff Desc 1],0))),3))</f>
        <v/>
      </c>
      <c r="AW32" s="992" t="str">
        <f>IF(OR(C32="",V32="",X32="",AB32="",AE32="",AG32=""),"",ROUND(V32*INDEX(PMEREFRI[Savings per Unit kWh],MATCH(C32,PMEREFRI[Eff Desc 1],2)),2))</f>
        <v/>
      </c>
      <c r="BC32" s="897" t="str">
        <f>IF(OR(N32="",T32="",C32="",V32="",X32="",AB32="",AE32="",AG32=""),"",IF(OR(ISBLANK(M02S02F26),ISBLANK(M02S02F32),ISBLANK(M02S02F46)),MEASUREBLDG,""))</f>
        <v/>
      </c>
      <c r="BE32" s="811" t="str">
        <f ca="1">IF(OR(T32="",N32="",C32="",V32="",X32="",AB32="",AE32="",AG32=""),"",IF('M01-S01'!$V$82&lt;TODAY(),0,IF(M02S02F46="Gas Only",0,IF(OR(AK32="",AK32&lt;0,AU32&lt;=AN32),0,MIN(AU32-AN32,ROUND(AN32*0.4,2))))))</f>
        <v/>
      </c>
    </row>
    <row r="33" spans="2:57" ht="15.95" customHeight="1">
      <c r="B33" s="834"/>
      <c r="C33" s="840"/>
      <c r="D33" s="841"/>
      <c r="E33" s="841"/>
      <c r="F33" s="841"/>
      <c r="G33" s="841"/>
      <c r="H33" s="841"/>
      <c r="I33" s="841"/>
      <c r="J33" s="841"/>
      <c r="K33" s="841"/>
      <c r="L33" s="841"/>
      <c r="M33" s="842"/>
      <c r="N33" s="917"/>
      <c r="O33" s="918"/>
      <c r="P33" s="918"/>
      <c r="Q33" s="918"/>
      <c r="R33" s="918"/>
      <c r="S33" s="919"/>
      <c r="T33" s="955"/>
      <c r="U33" s="956"/>
      <c r="V33" s="853"/>
      <c r="W33" s="854"/>
      <c r="X33" s="840"/>
      <c r="Y33" s="841"/>
      <c r="Z33" s="841"/>
      <c r="AA33" s="842"/>
      <c r="AB33" s="840"/>
      <c r="AC33" s="841"/>
      <c r="AD33" s="842"/>
      <c r="AE33" s="865"/>
      <c r="AF33" s="875"/>
      <c r="AG33" s="865"/>
      <c r="AH33" s="875"/>
      <c r="AI33" s="925"/>
      <c r="AJ33" s="870"/>
      <c r="AK33" s="912"/>
      <c r="AL33" s="913"/>
      <c r="AM33" s="942"/>
      <c r="AN33" s="823"/>
      <c r="AO33" s="824"/>
      <c r="AP33" s="824"/>
      <c r="AQ33" s="825"/>
      <c r="AR33" s="59"/>
      <c r="AU33" s="814"/>
      <c r="AV33" s="907"/>
      <c r="AW33" s="987"/>
      <c r="BC33" s="831"/>
      <c r="BE33" s="812"/>
    </row>
    <row r="34" spans="2:57" ht="15.95" customHeight="1">
      <c r="B34" s="834">
        <v>10</v>
      </c>
      <c r="C34" s="837"/>
      <c r="D34" s="838"/>
      <c r="E34" s="838"/>
      <c r="F34" s="838"/>
      <c r="G34" s="838"/>
      <c r="H34" s="838"/>
      <c r="I34" s="838"/>
      <c r="J34" s="838"/>
      <c r="K34" s="838"/>
      <c r="L34" s="838"/>
      <c r="M34" s="839"/>
      <c r="N34" s="920" t="str">
        <f>IFERROR(IF(C34="","",INDEX(PMEREFRI[Base Desc 1],MATCH(C34,PMEREFRI[Eff Desc 1],0))),"")</f>
        <v/>
      </c>
      <c r="O34" s="921"/>
      <c r="P34" s="921"/>
      <c r="Q34" s="921"/>
      <c r="R34" s="921"/>
      <c r="S34" s="922"/>
      <c r="T34" s="993" t="str">
        <f>IFERROR(IF(C34="","",INDEX(PMEREFRI[Unit of Measure],MATCH(C34,PMEREFRI[Eff Desc 1],0))),"")</f>
        <v/>
      </c>
      <c r="U34" s="994"/>
      <c r="V34" s="851"/>
      <c r="W34" s="852"/>
      <c r="X34" s="837"/>
      <c r="Y34" s="838"/>
      <c r="Z34" s="838"/>
      <c r="AA34" s="839"/>
      <c r="AB34" s="837"/>
      <c r="AC34" s="838"/>
      <c r="AD34" s="839"/>
      <c r="AE34" s="863"/>
      <c r="AF34" s="874"/>
      <c r="AG34" s="863"/>
      <c r="AH34" s="874"/>
      <c r="AI34" s="923" t="str">
        <f>IFERROR(IF(C34="","",INDEX(PMEREFRI[Inc Rate Unit],MATCH(C34,PMEREFRI[Eff Desc 1],0))),"")</f>
        <v/>
      </c>
      <c r="AJ34" s="924"/>
      <c r="AK34" s="910" t="str">
        <f t="shared" ref="AK34" si="22">IF(OR(C34="",V34="",X34="",AB34="",AE34="",AG34=""),"",AW34)</f>
        <v/>
      </c>
      <c r="AL34" s="911"/>
      <c r="AM34" s="975"/>
      <c r="AN34" s="820" t="str">
        <f t="shared" ref="AN34" si="23">IF(OR(C34="",V34="",X34="",AB34="",AE34="",AG34=""),"",IF(BC34&lt;&gt;"",BC34,MIN(AU34,ROUND(V34*AI34,2))))</f>
        <v/>
      </c>
      <c r="AO34" s="821"/>
      <c r="AP34" s="821"/>
      <c r="AQ34" s="822"/>
      <c r="AR34" s="59"/>
      <c r="AU34" s="898" t="str">
        <f t="shared" ref="AU34" si="24">IF(OR(C34="",N34="",T34="",V34="",X34="",AG34="",AE34="",AB34=""),"",IF(AK34="","",ROUND((AE34+AG34),2)))</f>
        <v/>
      </c>
      <c r="AV34" s="906" t="str">
        <f>IF(OR(C34="",V34="",X34="",AB34="",AE34="",AG34=""),"",ROUND((V34*INDEX(PMEREFRI[Savings per Unit kW],MATCH(C34,PMEREFRI[Eff Desc 1],0))),3))</f>
        <v/>
      </c>
      <c r="AW34" s="992" t="str">
        <f>IF(OR(C34="",V34="",X34="",AB34="",AE34="",AG34=""),"",ROUND(V34*INDEX(PMEREFRI[Savings per Unit kWh],MATCH(C34,PMEREFRI[Eff Desc 1],2)),2))</f>
        <v/>
      </c>
      <c r="BC34" s="897" t="str">
        <f>IF(OR(N34="",T34="",C34="",V34="",X34="",AB34="",AE34="",AG34=""),"",IF(OR(ISBLANK(M02S02F26),ISBLANK(M02S02F32),ISBLANK(M02S02F46)),MEASUREBLDG,""))</f>
        <v/>
      </c>
      <c r="BE34" s="811" t="str">
        <f ca="1">IF(OR(T34="",N34="",C34="",V34="",X34="",AB34="",AE34="",AG34=""),"",IF('M01-S01'!$V$82&lt;TODAY(),0,IF(M02S02F46="Gas Only",0,IF(OR(AK34="",AK34&lt;0,AU34&lt;=AN34),0,MIN(AU34-AN34,ROUND(AN34*0.4,2))))))</f>
        <v/>
      </c>
    </row>
    <row r="35" spans="2:57" ht="15.95" customHeight="1">
      <c r="B35" s="834"/>
      <c r="C35" s="840"/>
      <c r="D35" s="841"/>
      <c r="E35" s="841"/>
      <c r="F35" s="841"/>
      <c r="G35" s="841"/>
      <c r="H35" s="841"/>
      <c r="I35" s="841"/>
      <c r="J35" s="841"/>
      <c r="K35" s="841"/>
      <c r="L35" s="841"/>
      <c r="M35" s="842"/>
      <c r="N35" s="917"/>
      <c r="O35" s="918"/>
      <c r="P35" s="918"/>
      <c r="Q35" s="918"/>
      <c r="R35" s="918"/>
      <c r="S35" s="919"/>
      <c r="T35" s="955"/>
      <c r="U35" s="956"/>
      <c r="V35" s="853"/>
      <c r="W35" s="854"/>
      <c r="X35" s="840"/>
      <c r="Y35" s="841"/>
      <c r="Z35" s="841"/>
      <c r="AA35" s="842"/>
      <c r="AB35" s="840"/>
      <c r="AC35" s="841"/>
      <c r="AD35" s="842"/>
      <c r="AE35" s="865"/>
      <c r="AF35" s="875"/>
      <c r="AG35" s="865"/>
      <c r="AH35" s="875"/>
      <c r="AI35" s="925"/>
      <c r="AJ35" s="870"/>
      <c r="AK35" s="912"/>
      <c r="AL35" s="913"/>
      <c r="AM35" s="942"/>
      <c r="AN35" s="823"/>
      <c r="AO35" s="824"/>
      <c r="AP35" s="824"/>
      <c r="AQ35" s="825"/>
      <c r="AR35" s="59"/>
      <c r="AU35" s="814"/>
      <c r="AV35" s="907"/>
      <c r="AW35" s="987"/>
      <c r="BC35" s="831"/>
      <c r="BE35" s="812"/>
    </row>
    <row r="36" spans="2:57" ht="15.95" customHeight="1">
      <c r="B36" s="834">
        <v>11</v>
      </c>
      <c r="C36" s="995" t="s">
        <v>1823</v>
      </c>
      <c r="D36" s="996"/>
      <c r="E36" s="996"/>
      <c r="F36" s="996"/>
      <c r="G36" s="996"/>
      <c r="H36" s="996"/>
      <c r="I36" s="996"/>
      <c r="J36" s="996"/>
      <c r="K36" s="996"/>
      <c r="L36" s="996"/>
      <c r="M36" s="996"/>
      <c r="N36" s="996"/>
      <c r="O36" s="996"/>
      <c r="P36" s="996"/>
      <c r="Q36" s="996"/>
      <c r="R36" s="996"/>
      <c r="S36" s="996"/>
      <c r="T36" s="996"/>
      <c r="U36" s="996"/>
      <c r="V36" s="996"/>
      <c r="W36" s="996"/>
      <c r="X36" s="996"/>
      <c r="Y36" s="996"/>
      <c r="Z36" s="996"/>
      <c r="AA36" s="996"/>
      <c r="AB36" s="996"/>
      <c r="AC36" s="996"/>
      <c r="AD36" s="996"/>
      <c r="AE36" s="990" t="s">
        <v>1583</v>
      </c>
      <c r="AF36" s="990"/>
      <c r="AG36" s="990"/>
      <c r="AH36" s="990"/>
      <c r="AI36" s="931"/>
      <c r="AJ36" s="931"/>
      <c r="AK36" s="931"/>
      <c r="AL36" s="931"/>
      <c r="AM36" s="931"/>
      <c r="AN36" s="931"/>
      <c r="AO36" s="931"/>
      <c r="AP36" s="931"/>
      <c r="AQ36" s="868"/>
      <c r="AR36" s="59"/>
      <c r="AU36"/>
      <c r="AV36"/>
      <c r="AW36"/>
      <c r="AX36"/>
      <c r="AY36"/>
      <c r="AZ36"/>
      <c r="BA36"/>
      <c r="BB36"/>
      <c r="BC36"/>
      <c r="BE36" s="811"/>
    </row>
    <row r="37" spans="2:57" ht="15.95" customHeight="1">
      <c r="B37" s="834"/>
      <c r="C37" s="998" t="s">
        <v>99</v>
      </c>
      <c r="D37" s="997"/>
      <c r="E37" s="997"/>
      <c r="F37" s="997"/>
      <c r="G37" s="997"/>
      <c r="H37" s="997"/>
      <c r="I37" s="997"/>
      <c r="J37" s="997"/>
      <c r="K37" s="997"/>
      <c r="L37" s="997"/>
      <c r="M37" s="997"/>
      <c r="N37" s="999" t="s">
        <v>102</v>
      </c>
      <c r="O37" s="999"/>
      <c r="P37" s="999"/>
      <c r="Q37" s="999"/>
      <c r="R37" s="999"/>
      <c r="S37" s="999"/>
      <c r="T37" s="997" t="s">
        <v>146</v>
      </c>
      <c r="U37" s="997"/>
      <c r="V37" s="997" t="s">
        <v>1826</v>
      </c>
      <c r="W37" s="997"/>
      <c r="X37" s="997" t="s">
        <v>1825</v>
      </c>
      <c r="Y37" s="997"/>
      <c r="Z37" s="513" t="s">
        <v>1824</v>
      </c>
      <c r="AA37" s="997" t="s">
        <v>1827</v>
      </c>
      <c r="AB37" s="997"/>
      <c r="AC37" s="997" t="s">
        <v>95</v>
      </c>
      <c r="AD37" s="997"/>
      <c r="AE37" s="991" t="s">
        <v>110</v>
      </c>
      <c r="AF37" s="991"/>
      <c r="AG37" s="991" t="s">
        <v>111</v>
      </c>
      <c r="AH37" s="991"/>
      <c r="AI37" s="932"/>
      <c r="AJ37" s="932"/>
      <c r="AK37" s="932"/>
      <c r="AL37" s="932"/>
      <c r="AM37" s="932"/>
      <c r="AN37" s="932"/>
      <c r="AO37" s="932"/>
      <c r="AP37" s="932"/>
      <c r="AQ37" s="870"/>
      <c r="AR37" s="59"/>
      <c r="AU37"/>
      <c r="AV37"/>
      <c r="AW37"/>
      <c r="AX37"/>
      <c r="AY37"/>
      <c r="AZ37"/>
      <c r="BA37"/>
      <c r="BB37"/>
      <c r="BC37"/>
      <c r="BE37" s="812"/>
    </row>
    <row r="38" spans="2:57" ht="15.95" customHeight="1">
      <c r="B38" s="834">
        <v>12</v>
      </c>
      <c r="C38" s="837"/>
      <c r="D38" s="838"/>
      <c r="E38" s="838"/>
      <c r="F38" s="838"/>
      <c r="G38" s="838"/>
      <c r="H38" s="838"/>
      <c r="I38" s="838"/>
      <c r="J38" s="838"/>
      <c r="K38" s="838"/>
      <c r="L38" s="838"/>
      <c r="M38" s="839"/>
      <c r="N38" s="914" t="str">
        <f>IF(C38="","",INDEX(AHSD[Base Desc 1],MATCH(C38,AHSD[Type],0)))</f>
        <v/>
      </c>
      <c r="O38" s="915"/>
      <c r="P38" s="915"/>
      <c r="Q38" s="915"/>
      <c r="R38" s="915"/>
      <c r="S38" s="916"/>
      <c r="T38" s="953" t="str">
        <f>IF(C38="","",INDEX(AHSD[Unit of Measure],MATCH(C38,AHSD[Type],0)))</f>
        <v/>
      </c>
      <c r="U38" s="954"/>
      <c r="V38" s="851"/>
      <c r="W38" s="852"/>
      <c r="X38" s="851"/>
      <c r="Y38" s="852"/>
      <c r="Z38" s="876"/>
      <c r="AA38" s="851"/>
      <c r="AB38" s="852"/>
      <c r="AC38" s="851"/>
      <c r="AD38" s="852"/>
      <c r="AE38" s="863"/>
      <c r="AF38" s="874"/>
      <c r="AG38" s="863"/>
      <c r="AH38" s="874"/>
      <c r="AI38" s="923" t="str">
        <f>IF(C38="","",INDEX(AHSD[Inc Rate Unit],MATCH(C38,AHSD[Type],0)))</f>
        <v/>
      </c>
      <c r="AJ38" s="924"/>
      <c r="AK38" s="910" t="str">
        <f>IF(OR(C38="",V38="",X38="",AA38="",AE38="",AG38="",Z38="",AC38=""),"",AW38)</f>
        <v/>
      </c>
      <c r="AL38" s="911"/>
      <c r="AM38" s="911"/>
      <c r="AN38" s="957" t="str">
        <f>IF(OR(C38="",V38="",X38="",AA38="",AE38="",AG38="",Z38="",AC38=""),"",IF(BC38&lt;&gt;"",BC38,MIN(AU38,ROUND((V38*X38)*Z38*AI38,2))))</f>
        <v/>
      </c>
      <c r="AO38" s="958"/>
      <c r="AP38" s="958"/>
      <c r="AQ38" s="959"/>
      <c r="AR38" s="59"/>
      <c r="AU38" s="898" t="str">
        <f>IF(OR(C38="",N38="",T38="",V38="",X38="",Z38="",AA38="",AG38="",AE38="",AC38=""),"",IF(AK38="","",ROUND((AE38+AG38),2)))</f>
        <v/>
      </c>
      <c r="AV38" s="1001" t="str">
        <f>IF(OR(C38="",V38="",X38="",AA38="",AE38="",AG38="",Z38="",AC38=""),"",ROUND((AW38/INDEX(AHSD[t],MATCH(C38,AHSD[Type],0)))*1,3))</f>
        <v/>
      </c>
      <c r="AW38" s="986" t="str">
        <f>IF(OR(C38="",V38="",X38="",AA38="",AE38="",AG38="",Z38="",AC38=""),"",ROUND(Z38*(0.0000833*AX38*INDEX(AHSD[Df],MATCH(C38,AHSD[Type],0))*INDEX(AHSD[Efficiency],MATCH(C38,AHSD[Type],0))*(INDEX(AHSD[Dtb],MATCH(C38,AHSD[Type],0))*(1-INDEX(AHSD[Eb],MATCH(C38,AHSD[Type],0)))-INDEX(AHSD[Dte],MATCH(C38,AHSD[Type],0))*(1-INDEX(AHSD[Ee],MATCH(C38,AHSD[Type],0))))-INDEX(AHSD[Dtm],MATCH(C38,AHSD[Type],0))*1.49)*INDEX(AHSD[t],MATCH(C38,AHSD[Type],0)),2))</f>
        <v/>
      </c>
      <c r="AX38" s="906" t="str">
        <f>IF(OR(C38="",V38="",X38="",AA38="",AE38="",AG38="",Z38="",AC38=""),"",3790*X38*V38^1.5*INDEX(AHSD[Qs/A],MATCH(C38,AHSD[Type],0))*(1/INDEX(AHSD[Rs],MATCH(C38,AHSD[Type]))))</f>
        <v/>
      </c>
      <c r="AY38" s="906" t="str">
        <f>IF(OR(C38="",V38="",X38="",AA38="",AE38="",AG38="",Z38="",AC38=""),"",ROUND((V38*X38)*Z38,2))</f>
        <v/>
      </c>
      <c r="BC38" s="986" t="str">
        <f>IF(OR(V38="",X38="",C38="",Z38="",AA38="",AC38="",AE38="",AG38=""),"",IF(OR(ISBLANK(M02S02F26),ISBLANK(M02S02F32),ISBLANK(M02S02F46)),MEASUREBLDG,""))</f>
        <v/>
      </c>
      <c r="BE38" s="811" t="str">
        <f ca="1">IF(OR(T38="",N38="",C38="",V38="",X38="",Z38="",AE38="",AG38=""),"",IF('M01-S01'!$V$82&lt;TODAY(),0,IF(M02S02F46="Gas Only",0,IF(OR(AK38="",AK38&lt;0,AU38&lt;=AN38),0,MIN(AU38-AN38,ROUND(AN38*0.4,2))))))</f>
        <v/>
      </c>
    </row>
    <row r="39" spans="2:57" ht="15.95" customHeight="1">
      <c r="B39" s="834"/>
      <c r="C39" s="840"/>
      <c r="D39" s="841"/>
      <c r="E39" s="841"/>
      <c r="F39" s="841"/>
      <c r="G39" s="841"/>
      <c r="H39" s="841"/>
      <c r="I39" s="841"/>
      <c r="J39" s="841"/>
      <c r="K39" s="841"/>
      <c r="L39" s="841"/>
      <c r="M39" s="842"/>
      <c r="N39" s="917"/>
      <c r="O39" s="918"/>
      <c r="P39" s="918"/>
      <c r="Q39" s="918"/>
      <c r="R39" s="918"/>
      <c r="S39" s="919"/>
      <c r="T39" s="955"/>
      <c r="U39" s="956"/>
      <c r="V39" s="853"/>
      <c r="W39" s="854"/>
      <c r="X39" s="853"/>
      <c r="Y39" s="854"/>
      <c r="Z39" s="853"/>
      <c r="AA39" s="853"/>
      <c r="AB39" s="854"/>
      <c r="AC39" s="853"/>
      <c r="AD39" s="854"/>
      <c r="AE39" s="865"/>
      <c r="AF39" s="875"/>
      <c r="AG39" s="865"/>
      <c r="AH39" s="875"/>
      <c r="AI39" s="925"/>
      <c r="AJ39" s="870"/>
      <c r="AK39" s="912"/>
      <c r="AL39" s="913"/>
      <c r="AM39" s="913"/>
      <c r="AN39" s="960"/>
      <c r="AO39" s="961"/>
      <c r="AP39" s="961"/>
      <c r="AQ39" s="962"/>
      <c r="AR39" s="59"/>
      <c r="AU39" s="814"/>
      <c r="AV39" s="1002"/>
      <c r="AW39" s="987"/>
      <c r="AX39" s="907"/>
      <c r="AY39" s="907"/>
      <c r="BC39" s="987"/>
      <c r="BE39" s="812"/>
    </row>
    <row r="40" spans="2:57" ht="15.95" customHeight="1">
      <c r="B40" s="834">
        <v>13</v>
      </c>
      <c r="C40" s="837"/>
      <c r="D40" s="838"/>
      <c r="E40" s="838"/>
      <c r="F40" s="838"/>
      <c r="G40" s="838"/>
      <c r="H40" s="838"/>
      <c r="I40" s="838"/>
      <c r="J40" s="838"/>
      <c r="K40" s="838"/>
      <c r="L40" s="838"/>
      <c r="M40" s="839"/>
      <c r="N40" s="920" t="str">
        <f>IF(C40="","",INDEX(AHSD[Base Desc 1],MATCH(C40,AHSD[Type],0)))</f>
        <v/>
      </c>
      <c r="O40" s="921"/>
      <c r="P40" s="921"/>
      <c r="Q40" s="921"/>
      <c r="R40" s="921"/>
      <c r="S40" s="922"/>
      <c r="T40" s="993" t="str">
        <f>IF(C40="","",INDEX(AHSD[Unit of Measure],MATCH(C40,AHSD[Type],0)))</f>
        <v/>
      </c>
      <c r="U40" s="994"/>
      <c r="V40" s="851"/>
      <c r="W40" s="852"/>
      <c r="X40" s="851"/>
      <c r="Y40" s="852"/>
      <c r="Z40" s="876"/>
      <c r="AA40" s="851"/>
      <c r="AB40" s="852"/>
      <c r="AC40" s="851"/>
      <c r="AD40" s="852"/>
      <c r="AE40" s="863"/>
      <c r="AF40" s="874"/>
      <c r="AG40" s="863"/>
      <c r="AH40" s="874"/>
      <c r="AI40" s="930" t="str">
        <f>IF(C40="","",INDEX(AHSD[Inc Rate Unit],MATCH(C40,AHSD[Type],0)))</f>
        <v/>
      </c>
      <c r="AJ40" s="868"/>
      <c r="AK40" s="910" t="str">
        <f t="shared" ref="AK40" si="25">IF(OR(C40="",V40="",X40="",AA40="",AE40="",AG40="",Z40="",AC40=""),"",AW40)</f>
        <v/>
      </c>
      <c r="AL40" s="911"/>
      <c r="AM40" s="975"/>
      <c r="AN40" s="957" t="str">
        <f t="shared" ref="AN40" si="26">IF(OR(C40="",V40="",X40="",AA40="",AE40="",AG40="",Z40="",AC40=""),"",IF(BC40&lt;&gt;"",BC40,MIN(AU40,ROUND((V40*X40)*Z40*AI40,2))))</f>
        <v/>
      </c>
      <c r="AO40" s="958"/>
      <c r="AP40" s="958"/>
      <c r="AQ40" s="959"/>
      <c r="AR40" s="59"/>
      <c r="AU40" s="898" t="str">
        <f t="shared" ref="AU40" si="27">IF(OR(C40="",N40="",T40="",V40="",X40="",Z40="",AA40="",AG40="",AE40="",AC40=""),"",IF(AK40="","",ROUND((AE40+AG40),2)))</f>
        <v/>
      </c>
      <c r="AV40" s="1000" t="str">
        <f>IF(OR(C40="",V40="",X40="",AA40="",AE40="",AG40="",Z40="",AC40=""),"",ROUND((AW40/INDEX(AHSD[t],MATCH(C40,AHSD[Type],0)))*1,3))</f>
        <v/>
      </c>
      <c r="AW40" s="986" t="str">
        <f>IF(OR(C40="",V40="",X40="",AA40="",AE40="",AG40="",Z40="",AC40=""),"",ROUND(Z40*(0.0000833*AX40*INDEX(AHSD[Df],MATCH(C40,AHSD[Type],0))*INDEX(AHSD[Efficiency],MATCH(C40,AHSD[Type],0))*(INDEX(AHSD[Dtb],MATCH(C40,AHSD[Type],0))*(1-INDEX(AHSD[Eb],MATCH(C40,AHSD[Type],0)))-INDEX(AHSD[Dte],MATCH(C40,AHSD[Type],0))*(1-INDEX(AHSD[Ee],MATCH(C40,AHSD[Type],0))))-INDEX(AHSD[Dtm],MATCH(C40,AHSD[Type],0))*1.49)*INDEX(AHSD[t],MATCH(C40,AHSD[Type],0)),2))</f>
        <v/>
      </c>
      <c r="AX40" s="906" t="str">
        <f>IF(OR(C40="",V40="",X40="",AA40="",AE40="",AG40="",Z40="",AC40=""),"",3790*X40*V40^1.5*INDEX(AHSD[Qs/A],MATCH(C40,AHSD[Type],0))*(1/INDEX(AHSD[Rs],MATCH(C40,AHSD[Type]))))</f>
        <v/>
      </c>
      <c r="AY40" s="906" t="str">
        <f t="shared" ref="AY40" si="28">IF(OR(C40="",V40="",X40="",AA40="",AE40="",AG40="",Z40="",AC40=""),"",ROUND((V40*X40)*Z40,2))</f>
        <v/>
      </c>
      <c r="BC40" s="986" t="str">
        <f>IF(OR(V40="",X40="",C40="",Z40="",AA40="",AC40="",AE40="",AG40=""),"",IF(OR(ISBLANK(M02S02F26),ISBLANK(M02S02F32),ISBLANK(M02S02F46)),MEASUREBLDG,""))</f>
        <v/>
      </c>
      <c r="BE40" s="811" t="str">
        <f ca="1">IF(OR(T40="",N40="",C40="",V40="",X40="",Z40="",AE40="",AG40=""),"",IF('M01-S01'!$V$82&lt;TODAY(),0,IF(M02S02F46="Gas Only",0,IF(OR(AK40="",AK40&lt;0,AU40&lt;=AN40),0,MIN(AU40-AN40,ROUND(AN40*0.4,2))))))</f>
        <v/>
      </c>
    </row>
    <row r="41" spans="2:57" ht="15.95" customHeight="1">
      <c r="B41" s="834"/>
      <c r="C41" s="840"/>
      <c r="D41" s="841"/>
      <c r="E41" s="841"/>
      <c r="F41" s="841"/>
      <c r="G41" s="841"/>
      <c r="H41" s="841"/>
      <c r="I41" s="841"/>
      <c r="J41" s="841"/>
      <c r="K41" s="841"/>
      <c r="L41" s="841"/>
      <c r="M41" s="842"/>
      <c r="N41" s="917"/>
      <c r="O41" s="918"/>
      <c r="P41" s="918"/>
      <c r="Q41" s="918"/>
      <c r="R41" s="918"/>
      <c r="S41" s="919"/>
      <c r="T41" s="955"/>
      <c r="U41" s="956"/>
      <c r="V41" s="853"/>
      <c r="W41" s="854"/>
      <c r="X41" s="853"/>
      <c r="Y41" s="854"/>
      <c r="Z41" s="853"/>
      <c r="AA41" s="853"/>
      <c r="AB41" s="854"/>
      <c r="AC41" s="853"/>
      <c r="AD41" s="854"/>
      <c r="AE41" s="865"/>
      <c r="AF41" s="875"/>
      <c r="AG41" s="865"/>
      <c r="AH41" s="875"/>
      <c r="AI41" s="925"/>
      <c r="AJ41" s="870"/>
      <c r="AK41" s="912"/>
      <c r="AL41" s="913"/>
      <c r="AM41" s="942"/>
      <c r="AN41" s="960"/>
      <c r="AO41" s="961"/>
      <c r="AP41" s="961"/>
      <c r="AQ41" s="962"/>
      <c r="AR41" s="59"/>
      <c r="AU41" s="814"/>
      <c r="AV41" s="879"/>
      <c r="AW41" s="987"/>
      <c r="AX41" s="907"/>
      <c r="AY41" s="907"/>
      <c r="BC41" s="987"/>
      <c r="BE41" s="812"/>
    </row>
    <row r="42" spans="2:57" ht="15.95" customHeight="1">
      <c r="B42" s="834">
        <v>14</v>
      </c>
      <c r="C42" s="837"/>
      <c r="D42" s="838"/>
      <c r="E42" s="838"/>
      <c r="F42" s="838"/>
      <c r="G42" s="838"/>
      <c r="H42" s="838"/>
      <c r="I42" s="838"/>
      <c r="J42" s="838"/>
      <c r="K42" s="838"/>
      <c r="L42" s="838"/>
      <c r="M42" s="839"/>
      <c r="N42" s="920" t="str">
        <f>IF(C42="","",INDEX(AHSD[Base Desc 1],MATCH(C42,AHSD[Type],0)))</f>
        <v/>
      </c>
      <c r="O42" s="921"/>
      <c r="P42" s="921"/>
      <c r="Q42" s="921"/>
      <c r="R42" s="921"/>
      <c r="S42" s="922"/>
      <c r="T42" s="993" t="str">
        <f>IF(C42="","",INDEX(AHSD[Unit of Measure],MATCH(C42,AHSD[Type],0)))</f>
        <v/>
      </c>
      <c r="U42" s="994"/>
      <c r="V42" s="851"/>
      <c r="W42" s="852"/>
      <c r="X42" s="851"/>
      <c r="Y42" s="852"/>
      <c r="Z42" s="876"/>
      <c r="AA42" s="851"/>
      <c r="AB42" s="852"/>
      <c r="AC42" s="851"/>
      <c r="AD42" s="852"/>
      <c r="AE42" s="863"/>
      <c r="AF42" s="874"/>
      <c r="AG42" s="863"/>
      <c r="AH42" s="874"/>
      <c r="AI42" s="930" t="str">
        <f>IF(C42="","",INDEX(AHSD[Inc Rate Unit],MATCH(C42,AHSD[Type],0)))</f>
        <v/>
      </c>
      <c r="AJ42" s="868"/>
      <c r="AK42" s="910" t="str">
        <f t="shared" ref="AK42" si="29">IF(OR(C42="",V42="",X42="",AA42="",AE42="",AG42="",Z42="",AC42=""),"",AW42)</f>
        <v/>
      </c>
      <c r="AL42" s="911"/>
      <c r="AM42" s="975"/>
      <c r="AN42" s="957" t="str">
        <f t="shared" ref="AN42" si="30">IF(OR(C42="",V42="",X42="",AA42="",AE42="",AG42="",Z42="",AC42=""),"",IF(BC42&lt;&gt;"",BC42,MIN(AU42,ROUND((V42*X42)*Z42*AI42,2))))</f>
        <v/>
      </c>
      <c r="AO42" s="958"/>
      <c r="AP42" s="958"/>
      <c r="AQ42" s="959"/>
      <c r="AR42" s="59"/>
      <c r="AU42" s="898" t="str">
        <f t="shared" ref="AU42" si="31">IF(OR(C42="",N42="",T42="",V42="",X42="",Z42="",AA42="",AG42="",AE42="",AC42=""),"",IF(AK42="","",ROUND((AE42+AG42),2)))</f>
        <v/>
      </c>
      <c r="AV42" s="1000" t="str">
        <f>IF(OR(C42="",V42="",X42="",AA42="",AE42="",AG42="",Z42="",AC42=""),"",ROUND((AW42/INDEX(AHSD[t],MATCH(C42,AHSD[Type],0)))*1,3))</f>
        <v/>
      </c>
      <c r="AW42" s="986" t="str">
        <f>IF(OR(C42="",V42="",X42="",AA42="",AE42="",AG42="",Z42="",AC42=""),"",ROUND(Z42*(0.0000833*AX42*INDEX(AHSD[Df],MATCH(C42,AHSD[Type],0))*INDEX(AHSD[Efficiency],MATCH(C42,AHSD[Type],0))*(INDEX(AHSD[Dtb],MATCH(C42,AHSD[Type],0))*(1-INDEX(AHSD[Eb],MATCH(C42,AHSD[Type],0)))-INDEX(AHSD[Dte],MATCH(C42,AHSD[Type],0))*(1-INDEX(AHSD[Ee],MATCH(C42,AHSD[Type],0))))-INDEX(AHSD[Dtm],MATCH(C42,AHSD[Type],0))*1.49)*INDEX(AHSD[t],MATCH(C42,AHSD[Type],0)),2))</f>
        <v/>
      </c>
      <c r="AX42" s="906" t="str">
        <f>IF(OR(C42="",V42="",X42="",AA42="",AE42="",AG42="",Z42="",AC42=""),"",3790*X42*V42^1.5*INDEX(AHSD[Qs/A],MATCH(C42,AHSD[Type],0))*(1/INDEX(AHSD[Rs],MATCH(C42,AHSD[Type]))))</f>
        <v/>
      </c>
      <c r="AY42" s="906" t="str">
        <f t="shared" ref="AY42" si="32">IF(OR(C42="",V42="",X42="",AA42="",AE42="",AG42="",Z42="",AC42=""),"",ROUND((V42*X42)*Z42,2))</f>
        <v/>
      </c>
      <c r="BC42" s="986" t="str">
        <f>IF(OR(V42="",X42="",C42="",Z42="",AA42="",AC42="",AE42="",AG42=""),"",IF(OR(ISBLANK(M02S02F26),ISBLANK(M02S02F32),ISBLANK(M02S02F46)),MEASUREBLDG,""))</f>
        <v/>
      </c>
      <c r="BE42" s="811" t="str">
        <f ca="1">IF(OR(T42="",N42="",C42="",V42="",X42="",Z42="",AE42="",AG42=""),"",IF('M01-S01'!$V$82&lt;TODAY(),0,IF(M02S02F46="Gas Only",0,IF(OR(AK42="",AK42&lt;0,AU42&lt;=AN42),0,MIN(AU42-AN42,ROUND(AN42*0.4,2))))))</f>
        <v/>
      </c>
    </row>
    <row r="43" spans="2:57" ht="15.95" customHeight="1">
      <c r="B43" s="834"/>
      <c r="C43" s="840"/>
      <c r="D43" s="841"/>
      <c r="E43" s="841"/>
      <c r="F43" s="841"/>
      <c r="G43" s="841"/>
      <c r="H43" s="841"/>
      <c r="I43" s="841"/>
      <c r="J43" s="841"/>
      <c r="K43" s="841"/>
      <c r="L43" s="841"/>
      <c r="M43" s="842"/>
      <c r="N43" s="917"/>
      <c r="O43" s="918"/>
      <c r="P43" s="918"/>
      <c r="Q43" s="918"/>
      <c r="R43" s="918"/>
      <c r="S43" s="919"/>
      <c r="T43" s="955"/>
      <c r="U43" s="956"/>
      <c r="V43" s="853"/>
      <c r="W43" s="854"/>
      <c r="X43" s="853"/>
      <c r="Y43" s="854"/>
      <c r="Z43" s="853"/>
      <c r="AA43" s="853"/>
      <c r="AB43" s="854"/>
      <c r="AC43" s="853"/>
      <c r="AD43" s="854"/>
      <c r="AE43" s="865"/>
      <c r="AF43" s="875"/>
      <c r="AG43" s="865"/>
      <c r="AH43" s="875"/>
      <c r="AI43" s="925"/>
      <c r="AJ43" s="870"/>
      <c r="AK43" s="912"/>
      <c r="AL43" s="913"/>
      <c r="AM43" s="942"/>
      <c r="AN43" s="960"/>
      <c r="AO43" s="961"/>
      <c r="AP43" s="961"/>
      <c r="AQ43" s="962"/>
      <c r="AR43" s="59"/>
      <c r="AU43" s="814"/>
      <c r="AV43" s="879"/>
      <c r="AW43" s="987"/>
      <c r="AX43" s="907"/>
      <c r="AY43" s="907"/>
      <c r="BC43" s="987"/>
      <c r="BE43" s="812"/>
    </row>
    <row r="44" spans="2:57" ht="15.95" hidden="1" customHeight="1">
      <c r="B44" s="834">
        <v>15</v>
      </c>
      <c r="C44" s="837"/>
      <c r="D44" s="838"/>
      <c r="E44" s="838"/>
      <c r="F44" s="838"/>
      <c r="G44" s="838"/>
      <c r="H44" s="838"/>
      <c r="I44" s="838"/>
      <c r="J44" s="838"/>
      <c r="K44" s="838"/>
      <c r="L44" s="838"/>
      <c r="M44" s="839"/>
      <c r="N44" s="920" t="str">
        <f>IF(C44="","",INDEX(AHSD[Base Desc 1],MATCH(C44,AHSD[Type],0)))</f>
        <v/>
      </c>
      <c r="O44" s="921"/>
      <c r="P44" s="921"/>
      <c r="Q44" s="921"/>
      <c r="R44" s="921"/>
      <c r="S44" s="922"/>
      <c r="T44" s="993" t="str">
        <f>IF(C44="","",INDEX(AHSD[Unit of Measure],MATCH(C44,AHSD[Type],0)))</f>
        <v/>
      </c>
      <c r="U44" s="994"/>
      <c r="V44" s="851"/>
      <c r="W44" s="852"/>
      <c r="X44" s="851"/>
      <c r="Y44" s="852"/>
      <c r="Z44" s="876"/>
      <c r="AA44" s="851"/>
      <c r="AB44" s="852"/>
      <c r="AC44" s="851"/>
      <c r="AD44" s="852"/>
      <c r="AE44" s="863"/>
      <c r="AF44" s="874"/>
      <c r="AG44" s="863"/>
      <c r="AH44" s="874"/>
      <c r="AI44" s="930" t="str">
        <f>IF(C44="","",INDEX(AHSD[Inc Rate Unit],MATCH(C44,AHSD[Type],0)))</f>
        <v/>
      </c>
      <c r="AJ44" s="868"/>
      <c r="AK44" s="910" t="str">
        <f t="shared" ref="AK44" si="33">IF(OR(C44="",V44="",X44="",AA44="",AE44="",AG44="",Z44="",AC44=""),"",AW44)</f>
        <v/>
      </c>
      <c r="AL44" s="911"/>
      <c r="AM44" s="975"/>
      <c r="AN44" s="957" t="str">
        <f t="shared" ref="AN44" si="34">IF(OR(C44="",V44="",X44="",AA44="",AE44="",AG44="",Z44="",AC44=""),"",IF(BC44&lt;&gt;"",BC44,MIN(AU44,ROUND((V44*X44)*Z44*AI44,2))))</f>
        <v/>
      </c>
      <c r="AO44" s="958"/>
      <c r="AP44" s="958"/>
      <c r="AQ44" s="959"/>
      <c r="AR44" s="59"/>
      <c r="AU44" s="898" t="str">
        <f t="shared" ref="AU44" si="35">IF(OR(C44="",N44="",T44="",V44="",X44="",Z44="",AA44="",AG44="",AE44="",AC44=""),"",IF(AK44="","",ROUND((AE44+AG44),2)))</f>
        <v/>
      </c>
      <c r="AV44" s="1000" t="str">
        <f>IF(OR(C44="",V44="",X44="",AA44="",AE44="",AG44="",Z44="",AC44=""),"",ROUND((AW44/INDEX(AHSD[t],MATCH(C44,AHSD[Type],0)))*1,3))</f>
        <v/>
      </c>
      <c r="AW44" s="986" t="str">
        <f>IF(OR(C44="",V44="",X44="",AA44="",AE44="",AG44="",Z44="",AC44=""),"",ROUND(Z44*(0.0000833*AX44*INDEX(AHSD[Df],MATCH(C44,AHSD[Type],0))*INDEX(AHSD[Efficiency],MATCH(C44,AHSD[Type],0))*(INDEX(AHSD[Dtb],MATCH(C44,AHSD[Type],0))*(1-INDEX(AHSD[Eb],MATCH(C44,AHSD[Type],0)))-INDEX(AHSD[Dte],MATCH(C44,AHSD[Type],0))*(1-INDEX(AHSD[Ee],MATCH(C44,AHSD[Type],0))))-INDEX(AHSD[Dtm],MATCH(C44,AHSD[Type],0))*1.49)*INDEX(AHSD[t],MATCH(C44,AHSD[Type],0)),0))</f>
        <v/>
      </c>
      <c r="AX44" s="906" t="str">
        <f>IF(OR(C44="",V44="",X44="",AA44="",AE44="",AG44="",Z44="",AC44=""),"",3790*X44*V44^1.5*INDEX(AHSD[Qs/A],MATCH(C44,AHSD[Type],0))*(1/INDEX(AHSD[Rs],MATCH(C44,AHSD[Type]))))</f>
        <v/>
      </c>
      <c r="AY44" s="906" t="str">
        <f t="shared" ref="AY44" si="36">IF(OR(C44="",V44="",X44="",AA44="",AE44="",AG44="",Z44="",AC44=""),"",ROUND((V44*X44)*Z44,2))</f>
        <v/>
      </c>
      <c r="AZ44" s="813"/>
      <c r="BA44" s="813"/>
      <c r="BB44" s="813"/>
      <c r="BC44" s="986" t="str">
        <f>IF(OR(V44="",X44="",C44="",Z44="",AA44="",AC44="",AE44="",AG44=""),"",IF(OR(ISBLANK(M02S02F26),ISBLANK(M02S02F32),ISBLANK(M02S02F46)),MEASUREBLDG,""))</f>
        <v/>
      </c>
      <c r="BE44" s="811" t="str">
        <f ca="1">IF(OR(T44="",N44="",C44="",V44="",X44="",AB44="",AE44="",AG44=""),"",IF('M01-S01'!$V$82&lt;TODAY(),0,IF(M02S02F46="Gas Only",0,IF(OR(AK44="",AK44&lt;0,AU44&lt;=AN44),0,MIN(AU44-AN44,ROUND(AN44*0.4,2))))))</f>
        <v/>
      </c>
    </row>
    <row r="45" spans="2:57" ht="15.95" hidden="1" customHeight="1">
      <c r="B45" s="834"/>
      <c r="C45" s="840"/>
      <c r="D45" s="841"/>
      <c r="E45" s="841"/>
      <c r="F45" s="841"/>
      <c r="G45" s="841"/>
      <c r="H45" s="841"/>
      <c r="I45" s="841"/>
      <c r="J45" s="841"/>
      <c r="K45" s="841"/>
      <c r="L45" s="841"/>
      <c r="M45" s="842"/>
      <c r="N45" s="917"/>
      <c r="O45" s="918"/>
      <c r="P45" s="918"/>
      <c r="Q45" s="918"/>
      <c r="R45" s="918"/>
      <c r="S45" s="919"/>
      <c r="T45" s="955"/>
      <c r="U45" s="956"/>
      <c r="V45" s="853"/>
      <c r="W45" s="854"/>
      <c r="X45" s="853"/>
      <c r="Y45" s="854"/>
      <c r="Z45" s="853"/>
      <c r="AA45" s="853"/>
      <c r="AB45" s="854"/>
      <c r="AC45" s="853"/>
      <c r="AD45" s="854"/>
      <c r="AE45" s="865"/>
      <c r="AF45" s="875"/>
      <c r="AG45" s="865"/>
      <c r="AH45" s="875"/>
      <c r="AI45" s="925"/>
      <c r="AJ45" s="870"/>
      <c r="AK45" s="912"/>
      <c r="AL45" s="913"/>
      <c r="AM45" s="942"/>
      <c r="AN45" s="960"/>
      <c r="AO45" s="961"/>
      <c r="AP45" s="961"/>
      <c r="AQ45" s="962"/>
      <c r="AR45" s="59"/>
      <c r="AU45" s="814"/>
      <c r="AV45" s="879"/>
      <c r="AW45" s="987"/>
      <c r="AX45" s="907"/>
      <c r="AY45" s="907"/>
      <c r="AZ45" s="814"/>
      <c r="BA45" s="814"/>
      <c r="BB45" s="814"/>
      <c r="BC45" s="987"/>
      <c r="BE45" s="812"/>
    </row>
    <row r="46" spans="2:57" ht="15.95" hidden="1" customHeight="1">
      <c r="B46" s="929">
        <v>16</v>
      </c>
      <c r="C46" s="837">
        <f ca="1">IF(SUM(BE16:BE45)=0,0,INDEX(PMEBONUS[],2,3))</f>
        <v>0</v>
      </c>
      <c r="D46" s="838"/>
      <c r="E46" s="838"/>
      <c r="F46" s="838"/>
      <c r="G46" s="838"/>
      <c r="H46" s="838"/>
      <c r="I46" s="838"/>
      <c r="J46" s="838"/>
      <c r="K46" s="838"/>
      <c r="L46" s="838"/>
      <c r="M46" s="839"/>
      <c r="N46" s="914" t="str">
        <f ca="1">IF(SUM(BE16:BE45)=0,"",INDEX(PMEBONUS[],3,30))</f>
        <v/>
      </c>
      <c r="O46" s="915"/>
      <c r="P46" s="915"/>
      <c r="Q46" s="915"/>
      <c r="R46" s="915"/>
      <c r="S46" s="916"/>
      <c r="T46" s="953"/>
      <c r="U46" s="954"/>
      <c r="V46" s="851">
        <f ca="1">IF(OR(C46=0,C46=""),0,1)</f>
        <v>0</v>
      </c>
      <c r="W46" s="852"/>
      <c r="X46" s="837"/>
      <c r="Y46" s="838"/>
      <c r="Z46" s="838"/>
      <c r="AA46" s="839"/>
      <c r="AB46" s="837"/>
      <c r="AC46" s="838"/>
      <c r="AD46" s="839"/>
      <c r="AE46" s="863"/>
      <c r="AF46" s="874"/>
      <c r="AG46" s="863"/>
      <c r="AH46" s="874"/>
      <c r="AI46" s="923"/>
      <c r="AJ46" s="924"/>
      <c r="AK46" s="910"/>
      <c r="AL46" s="911"/>
      <c r="AM46" s="911"/>
      <c r="AN46" s="930" t="str">
        <f ca="1">IF(BA46="","",BA46)</f>
        <v/>
      </c>
      <c r="AO46" s="931"/>
      <c r="AP46" s="931"/>
      <c r="AQ46" s="868"/>
      <c r="BA46" s="813" t="str">
        <f ca="1">IFERROR(IF(OR(C46="",N46="",SUM(AK16:AM45)=0,SUM(BE16:BE45)=0),"",SUM(BE16:BE45)),"")</f>
        <v/>
      </c>
      <c r="BC46" s="830"/>
    </row>
    <row r="47" spans="2:57" ht="15.95" hidden="1" customHeight="1">
      <c r="B47" s="929"/>
      <c r="C47" s="840"/>
      <c r="D47" s="841"/>
      <c r="E47" s="841"/>
      <c r="F47" s="841"/>
      <c r="G47" s="841"/>
      <c r="H47" s="841"/>
      <c r="I47" s="841"/>
      <c r="J47" s="841"/>
      <c r="K47" s="841"/>
      <c r="L47" s="841"/>
      <c r="M47" s="842"/>
      <c r="N47" s="917"/>
      <c r="O47" s="918"/>
      <c r="P47" s="918"/>
      <c r="Q47" s="918"/>
      <c r="R47" s="918"/>
      <c r="S47" s="919"/>
      <c r="T47" s="955"/>
      <c r="U47" s="956"/>
      <c r="V47" s="853"/>
      <c r="W47" s="854"/>
      <c r="X47" s="840"/>
      <c r="Y47" s="841"/>
      <c r="Z47" s="841"/>
      <c r="AA47" s="842"/>
      <c r="AB47" s="840"/>
      <c r="AC47" s="841"/>
      <c r="AD47" s="842"/>
      <c r="AE47" s="865"/>
      <c r="AF47" s="875"/>
      <c r="AG47" s="865"/>
      <c r="AH47" s="875"/>
      <c r="AI47" s="925"/>
      <c r="AJ47" s="870"/>
      <c r="AK47" s="912"/>
      <c r="AL47" s="913"/>
      <c r="AM47" s="913"/>
      <c r="AN47" s="925"/>
      <c r="AO47" s="932"/>
      <c r="AP47" s="932"/>
      <c r="AQ47" s="870"/>
      <c r="BA47" s="814"/>
      <c r="BC47" s="831"/>
    </row>
    <row r="48" spans="2:57" ht="15.95" hidden="1" customHeight="1">
      <c r="B48" s="929">
        <v>17</v>
      </c>
      <c r="C48" s="871"/>
      <c r="D48" s="872"/>
      <c r="E48" s="872"/>
      <c r="F48" s="872"/>
      <c r="G48" s="872"/>
      <c r="H48" s="872"/>
      <c r="I48" s="872"/>
      <c r="J48" s="872"/>
      <c r="K48" s="872"/>
      <c r="L48" s="872"/>
      <c r="M48" s="873"/>
      <c r="N48" s="920" t="str">
        <f>IF(C48="","",INDEX(PMEREFRI[Base Desc 1],MATCH(C48,PMEREFRI[Eff Desc 1],0)))</f>
        <v/>
      </c>
      <c r="O48" s="921"/>
      <c r="P48" s="921"/>
      <c r="Q48" s="921"/>
      <c r="R48" s="921"/>
      <c r="S48" s="922"/>
      <c r="T48" s="993" t="str">
        <f>IF(C48="","",INDEX(PMEREFRI[Unit of Measure],MATCH(C48,PMEREFRI[Eff Desc 1],0)))</f>
        <v/>
      </c>
      <c r="U48" s="994"/>
      <c r="V48" s="876"/>
      <c r="W48" s="877"/>
      <c r="X48" s="837"/>
      <c r="Y48" s="838"/>
      <c r="Z48" s="838"/>
      <c r="AA48" s="839"/>
      <c r="AB48" s="837"/>
      <c r="AC48" s="838"/>
      <c r="AD48" s="839"/>
      <c r="AE48" s="863"/>
      <c r="AF48" s="874"/>
      <c r="AG48" s="863"/>
      <c r="AH48" s="874"/>
      <c r="AI48" s="930" t="str">
        <f>IF(C48="","",INDEX(PMEREFRI[Inc Rate Unit],MATCH(C48,PMEREFRI[Eff Desc 1],0)))</f>
        <v/>
      </c>
      <c r="AJ48" s="868"/>
      <c r="AK48" s="910" t="str">
        <f>IF(OR(C48="",V48="",X48="",AB48="",AE48="",AG48=""),"",ROUND(V48*INDEX(PMEREFRI[Savings per Unit kWh],MATCH(C48,PMEREFRI[Eff Desc 1],0)),0))</f>
        <v/>
      </c>
      <c r="AL48" s="911"/>
      <c r="AM48" s="975"/>
      <c r="AN48" s="930" t="str">
        <f t="shared" ref="AN48" si="37">IF(OR(C48="",V48="",X48="",AB48="",AE48="",AG48=""),"",IF(BC48&lt;&gt;"",BC48,MIN(AU48,ROUND(V48*AI48,2))))</f>
        <v/>
      </c>
      <c r="AO48" s="931"/>
      <c r="AP48" s="931"/>
      <c r="AQ48" s="868"/>
      <c r="AZ48" s="415"/>
      <c r="BC48" s="830"/>
    </row>
    <row r="49" spans="2:55" ht="15.95" hidden="1" customHeight="1">
      <c r="B49" s="929"/>
      <c r="C49" s="840"/>
      <c r="D49" s="841"/>
      <c r="E49" s="841"/>
      <c r="F49" s="841"/>
      <c r="G49" s="841"/>
      <c r="H49" s="841"/>
      <c r="I49" s="841"/>
      <c r="J49" s="841"/>
      <c r="K49" s="841"/>
      <c r="L49" s="841"/>
      <c r="M49" s="842"/>
      <c r="N49" s="917"/>
      <c r="O49" s="918"/>
      <c r="P49" s="918"/>
      <c r="Q49" s="918"/>
      <c r="R49" s="918"/>
      <c r="S49" s="919"/>
      <c r="T49" s="955"/>
      <c r="U49" s="956"/>
      <c r="V49" s="853"/>
      <c r="W49" s="854"/>
      <c r="X49" s="840"/>
      <c r="Y49" s="841"/>
      <c r="Z49" s="841"/>
      <c r="AA49" s="842"/>
      <c r="AB49" s="840"/>
      <c r="AC49" s="841"/>
      <c r="AD49" s="842"/>
      <c r="AE49" s="865"/>
      <c r="AF49" s="875"/>
      <c r="AG49" s="865"/>
      <c r="AH49" s="875"/>
      <c r="AI49" s="925"/>
      <c r="AJ49" s="870"/>
      <c r="AK49" s="912"/>
      <c r="AL49" s="913"/>
      <c r="AM49" s="942"/>
      <c r="AN49" s="925"/>
      <c r="AO49" s="932"/>
      <c r="AP49" s="932"/>
      <c r="AQ49" s="870"/>
      <c r="AZ49" s="415"/>
      <c r="BA49" s="415"/>
      <c r="BC49" s="831"/>
    </row>
    <row r="50" spans="2:55" ht="15.95" hidden="1" customHeight="1">
      <c r="B50" s="929">
        <v>18</v>
      </c>
      <c r="C50" s="837"/>
      <c r="D50" s="838"/>
      <c r="E50" s="838"/>
      <c r="F50" s="838"/>
      <c r="G50" s="838"/>
      <c r="H50" s="838"/>
      <c r="I50" s="838"/>
      <c r="J50" s="838"/>
      <c r="K50" s="838"/>
      <c r="L50" s="838"/>
      <c r="M50" s="839"/>
      <c r="N50" s="914" t="str">
        <f>IF(C50="","",INDEX(PMEREFRI[Base Desc 1],MATCH(C50,PMEREFRI[Eff Desc 1],0)))</f>
        <v/>
      </c>
      <c r="O50" s="915"/>
      <c r="P50" s="915"/>
      <c r="Q50" s="915"/>
      <c r="R50" s="915"/>
      <c r="S50" s="916"/>
      <c r="T50" s="953" t="str">
        <f>IF(C50="","",INDEX(PMEREFRI[Unit of Measure],MATCH(C50,PMEREFRI[Eff Desc 1],0)))</f>
        <v/>
      </c>
      <c r="U50" s="954"/>
      <c r="V50" s="851"/>
      <c r="W50" s="852"/>
      <c r="X50" s="837"/>
      <c r="Y50" s="838"/>
      <c r="Z50" s="838"/>
      <c r="AA50" s="839"/>
      <c r="AB50" s="837"/>
      <c r="AC50" s="838"/>
      <c r="AD50" s="839"/>
      <c r="AE50" s="863"/>
      <c r="AF50" s="874"/>
      <c r="AG50" s="863"/>
      <c r="AH50" s="874"/>
      <c r="AI50" s="923" t="str">
        <f>IF(C50="","",INDEX(PMEREFRI[Inc Rate Unit],MATCH(C50,PMEREFRI[Eff Desc 1],0)))</f>
        <v/>
      </c>
      <c r="AJ50" s="924"/>
      <c r="AK50" s="910" t="str">
        <f>IF(OR(C50="",V50="",X50="",AB50="",AE50="",AG50=""),"",ROUND(V50*INDEX(PMEREFRI[Savings per Unit kWh],MATCH(C50,PMEREFRI[Eff Desc 1],0)),0))</f>
        <v/>
      </c>
      <c r="AL50" s="911"/>
      <c r="AM50" s="911"/>
      <c r="AN50" s="930" t="str">
        <f t="shared" ref="AN50" si="38">IF(OR(C50="",V50="",X50="",AB50="",AE50="",AG50=""),"",IF(BC50&lt;&gt;"",BC50,MIN(AU50,ROUND(V50*AI50,2))))</f>
        <v/>
      </c>
      <c r="AO50" s="931"/>
      <c r="AP50" s="931"/>
      <c r="AQ50" s="868"/>
      <c r="BC50" s="830"/>
    </row>
    <row r="51" spans="2:55" ht="15.95" hidden="1" customHeight="1">
      <c r="B51" s="929"/>
      <c r="C51" s="840"/>
      <c r="D51" s="841"/>
      <c r="E51" s="841"/>
      <c r="F51" s="841"/>
      <c r="G51" s="841"/>
      <c r="H51" s="841"/>
      <c r="I51" s="841"/>
      <c r="J51" s="841"/>
      <c r="K51" s="841"/>
      <c r="L51" s="841"/>
      <c r="M51" s="842"/>
      <c r="N51" s="917"/>
      <c r="O51" s="918"/>
      <c r="P51" s="918"/>
      <c r="Q51" s="918"/>
      <c r="R51" s="918"/>
      <c r="S51" s="919"/>
      <c r="T51" s="955"/>
      <c r="U51" s="956"/>
      <c r="V51" s="853"/>
      <c r="W51" s="854"/>
      <c r="X51" s="840"/>
      <c r="Y51" s="841"/>
      <c r="Z51" s="841"/>
      <c r="AA51" s="842"/>
      <c r="AB51" s="840"/>
      <c r="AC51" s="841"/>
      <c r="AD51" s="842"/>
      <c r="AE51" s="865"/>
      <c r="AF51" s="875"/>
      <c r="AG51" s="865"/>
      <c r="AH51" s="875"/>
      <c r="AI51" s="925"/>
      <c r="AJ51" s="870"/>
      <c r="AK51" s="912"/>
      <c r="AL51" s="913"/>
      <c r="AM51" s="913"/>
      <c r="AN51" s="925"/>
      <c r="AO51" s="932"/>
      <c r="AP51" s="932"/>
      <c r="AQ51" s="870"/>
      <c r="BC51" s="831"/>
    </row>
    <row r="52" spans="2:55" ht="15.95" hidden="1" customHeight="1">
      <c r="B52" s="929">
        <v>19</v>
      </c>
      <c r="C52" s="837"/>
      <c r="D52" s="838"/>
      <c r="E52" s="838"/>
      <c r="F52" s="838"/>
      <c r="G52" s="838"/>
      <c r="H52" s="838"/>
      <c r="I52" s="838"/>
      <c r="J52" s="838"/>
      <c r="K52" s="838"/>
      <c r="L52" s="838"/>
      <c r="M52" s="839"/>
      <c r="N52" s="914" t="str">
        <f>IF(C52="","",INDEX(PMEREFRI[Base Desc 1],MATCH(C52,PMEREFRI[Eff Desc 1],0)))</f>
        <v/>
      </c>
      <c r="O52" s="915"/>
      <c r="P52" s="915"/>
      <c r="Q52" s="915"/>
      <c r="R52" s="915"/>
      <c r="S52" s="916"/>
      <c r="T52" s="953" t="str">
        <f>IF(C52="","",INDEX(PMEREFRI[Unit of Measure],MATCH(C52,PMEREFRI[Eff Desc 1],0)))</f>
        <v/>
      </c>
      <c r="U52" s="954"/>
      <c r="V52" s="851"/>
      <c r="W52" s="852"/>
      <c r="X52" s="837"/>
      <c r="Y52" s="838"/>
      <c r="Z52" s="838"/>
      <c r="AA52" s="839"/>
      <c r="AB52" s="837"/>
      <c r="AC52" s="838"/>
      <c r="AD52" s="839"/>
      <c r="AE52" s="863"/>
      <c r="AF52" s="874"/>
      <c r="AG52" s="863"/>
      <c r="AH52" s="874"/>
      <c r="AI52" s="923" t="str">
        <f>IF(C52="","",INDEX(PMEREFRI[Inc Rate Unit],MATCH(C52,PMEREFRI[Eff Desc 1],0)))</f>
        <v/>
      </c>
      <c r="AJ52" s="924"/>
      <c r="AK52" s="910" t="str">
        <f>IF(OR(C52="",V52="",X52="",AB52="",AE52="",AG52=""),"",ROUND(V52*INDEX(PMEREFRI[Savings per Unit kWh],MATCH(C52,PMEREFRI[Eff Desc 1],0)),0))</f>
        <v/>
      </c>
      <c r="AL52" s="911"/>
      <c r="AM52" s="911"/>
      <c r="AN52" s="930" t="str">
        <f t="shared" ref="AN52" si="39">IF(OR(C52="",V52="",X52="",AB52="",AE52="",AG52=""),"",IF(BC52&lt;&gt;"",BC52,MIN(AU52,ROUND(V52*AI52,2))))</f>
        <v/>
      </c>
      <c r="AO52" s="931"/>
      <c r="AP52" s="931"/>
      <c r="AQ52" s="868"/>
      <c r="BC52" s="830"/>
    </row>
    <row r="53" spans="2:55" ht="15.95" hidden="1" customHeight="1">
      <c r="B53" s="929"/>
      <c r="C53" s="840"/>
      <c r="D53" s="841"/>
      <c r="E53" s="841"/>
      <c r="F53" s="841"/>
      <c r="G53" s="841"/>
      <c r="H53" s="841"/>
      <c r="I53" s="841"/>
      <c r="J53" s="841"/>
      <c r="K53" s="841"/>
      <c r="L53" s="841"/>
      <c r="M53" s="842"/>
      <c r="N53" s="917"/>
      <c r="O53" s="918"/>
      <c r="P53" s="918"/>
      <c r="Q53" s="918"/>
      <c r="R53" s="918"/>
      <c r="S53" s="919"/>
      <c r="T53" s="955"/>
      <c r="U53" s="956"/>
      <c r="V53" s="853"/>
      <c r="W53" s="854"/>
      <c r="X53" s="840"/>
      <c r="Y53" s="841"/>
      <c r="Z53" s="841"/>
      <c r="AA53" s="842"/>
      <c r="AB53" s="840"/>
      <c r="AC53" s="841"/>
      <c r="AD53" s="842"/>
      <c r="AE53" s="865"/>
      <c r="AF53" s="875"/>
      <c r="AG53" s="865"/>
      <c r="AH53" s="875"/>
      <c r="AI53" s="925"/>
      <c r="AJ53" s="870"/>
      <c r="AK53" s="912"/>
      <c r="AL53" s="913"/>
      <c r="AM53" s="913"/>
      <c r="AN53" s="925"/>
      <c r="AO53" s="932"/>
      <c r="AP53" s="932"/>
      <c r="AQ53" s="870"/>
      <c r="BC53" s="831"/>
    </row>
    <row r="54" spans="2:55" ht="15.95" hidden="1" customHeight="1">
      <c r="B54" s="929">
        <v>20</v>
      </c>
      <c r="C54" s="837"/>
      <c r="D54" s="838"/>
      <c r="E54" s="838"/>
      <c r="F54" s="838"/>
      <c r="G54" s="838"/>
      <c r="H54" s="838"/>
      <c r="I54" s="838"/>
      <c r="J54" s="838"/>
      <c r="K54" s="838"/>
      <c r="L54" s="838"/>
      <c r="M54" s="839"/>
      <c r="N54" s="914"/>
      <c r="O54" s="915"/>
      <c r="P54" s="915"/>
      <c r="Q54" s="915"/>
      <c r="R54" s="915"/>
      <c r="S54" s="916"/>
      <c r="T54" s="953"/>
      <c r="U54" s="954"/>
      <c r="V54" s="851"/>
      <c r="W54" s="852"/>
      <c r="X54" s="837"/>
      <c r="Y54" s="838"/>
      <c r="Z54" s="838"/>
      <c r="AA54" s="839"/>
      <c r="AB54" s="837"/>
      <c r="AC54" s="838"/>
      <c r="AD54" s="839"/>
      <c r="AE54" s="863"/>
      <c r="AF54" s="874"/>
      <c r="AG54" s="863"/>
      <c r="AH54" s="874"/>
      <c r="AI54" s="923"/>
      <c r="AJ54" s="924"/>
      <c r="AK54" s="910"/>
      <c r="AL54" s="911"/>
      <c r="AM54" s="911"/>
      <c r="AN54" s="930"/>
      <c r="AO54" s="931"/>
      <c r="AP54" s="931"/>
      <c r="AQ54" s="868"/>
      <c r="BA54" s="813"/>
      <c r="BC54" s="830"/>
    </row>
    <row r="55" spans="2:55" ht="15.95" hidden="1" customHeight="1">
      <c r="B55" s="929"/>
      <c r="C55" s="840"/>
      <c r="D55" s="841"/>
      <c r="E55" s="841"/>
      <c r="F55" s="841"/>
      <c r="G55" s="841"/>
      <c r="H55" s="841"/>
      <c r="I55" s="841"/>
      <c r="J55" s="841"/>
      <c r="K55" s="841"/>
      <c r="L55" s="841"/>
      <c r="M55" s="842"/>
      <c r="N55" s="917"/>
      <c r="O55" s="918"/>
      <c r="P55" s="918"/>
      <c r="Q55" s="918"/>
      <c r="R55" s="918"/>
      <c r="S55" s="919"/>
      <c r="T55" s="955"/>
      <c r="U55" s="956"/>
      <c r="V55" s="853"/>
      <c r="W55" s="854"/>
      <c r="X55" s="840"/>
      <c r="Y55" s="841"/>
      <c r="Z55" s="841"/>
      <c r="AA55" s="842"/>
      <c r="AB55" s="840"/>
      <c r="AC55" s="841"/>
      <c r="AD55" s="842"/>
      <c r="AE55" s="865"/>
      <c r="AF55" s="875"/>
      <c r="AG55" s="865"/>
      <c r="AH55" s="875"/>
      <c r="AI55" s="925"/>
      <c r="AJ55" s="870"/>
      <c r="AK55" s="912"/>
      <c r="AL55" s="913"/>
      <c r="AM55" s="913"/>
      <c r="AN55" s="925"/>
      <c r="AO55" s="932"/>
      <c r="AP55" s="932"/>
      <c r="AQ55" s="870"/>
      <c r="BA55" s="814"/>
      <c r="BC55" s="831"/>
    </row>
    <row r="56" spans="2:55" ht="15.95" hidden="1" customHeight="1">
      <c r="B56" s="929">
        <v>21</v>
      </c>
      <c r="C56" s="837"/>
      <c r="D56" s="838"/>
      <c r="E56" s="838"/>
      <c r="F56" s="838"/>
      <c r="G56" s="838"/>
      <c r="H56" s="838"/>
      <c r="I56" s="838"/>
      <c r="J56" s="838"/>
      <c r="K56" s="838"/>
      <c r="L56" s="838"/>
      <c r="M56" s="839"/>
      <c r="N56" s="914" t="str">
        <f>IF(C56="","",INDEX(PMEREFRI[Base Desc 1],MATCH(C56,PMEREFRI[Eff Desc 1],0)))</f>
        <v/>
      </c>
      <c r="O56" s="915"/>
      <c r="P56" s="915"/>
      <c r="Q56" s="915"/>
      <c r="R56" s="915"/>
      <c r="S56" s="916"/>
      <c r="T56" s="953" t="str">
        <f>IF(C56="","",INDEX(PMEREFRI[Unit of Measure],MATCH(C56,PMEREFRI[Eff Desc 1],0)))</f>
        <v/>
      </c>
      <c r="U56" s="954"/>
      <c r="V56" s="851"/>
      <c r="W56" s="852"/>
      <c r="X56" s="837"/>
      <c r="Y56" s="838"/>
      <c r="Z56" s="838"/>
      <c r="AA56" s="839"/>
      <c r="AB56" s="837"/>
      <c r="AC56" s="838"/>
      <c r="AD56" s="839"/>
      <c r="AE56" s="863"/>
      <c r="AF56" s="874"/>
      <c r="AG56" s="863"/>
      <c r="AH56" s="874"/>
      <c r="AI56" s="923" t="str">
        <f>IF(C56="","",INDEX(PMEREFRI[Inc Rate Unit],MATCH(C56,PMEREFRI[Eff Desc 1],0)))</f>
        <v/>
      </c>
      <c r="AJ56" s="924"/>
      <c r="AK56" s="910" t="str">
        <f>IF(OR(C56="",V56="",X56="",AB56="",AE56="",AG56=""),"",ROUND(V56*INDEX(PMEREFRI[Savings per Unit kWh],MATCH(C56,PMEREFRI[Eff Desc 1],0)),0))</f>
        <v/>
      </c>
      <c r="AL56" s="911"/>
      <c r="AM56" s="911"/>
      <c r="AN56" s="930" t="str">
        <f t="shared" ref="AN56" si="40">IF(OR(C56="",V56="",X56="",AB56="",AE56="",AG56=""),"",IF(BC56&lt;&gt;"",BC56,MIN(AU56,ROUND(V56*AI56,2))))</f>
        <v/>
      </c>
      <c r="AO56" s="931"/>
      <c r="AP56" s="931"/>
      <c r="AQ56" s="868"/>
      <c r="BC56" s="830"/>
    </row>
    <row r="57" spans="2:55" ht="15.95" hidden="1" customHeight="1">
      <c r="B57" s="929"/>
      <c r="C57" s="840"/>
      <c r="D57" s="841"/>
      <c r="E57" s="841"/>
      <c r="F57" s="841"/>
      <c r="G57" s="841"/>
      <c r="H57" s="841"/>
      <c r="I57" s="841"/>
      <c r="J57" s="841"/>
      <c r="K57" s="841"/>
      <c r="L57" s="841"/>
      <c r="M57" s="842"/>
      <c r="N57" s="917"/>
      <c r="O57" s="918"/>
      <c r="P57" s="918"/>
      <c r="Q57" s="918"/>
      <c r="R57" s="918"/>
      <c r="S57" s="919"/>
      <c r="T57" s="955"/>
      <c r="U57" s="956"/>
      <c r="V57" s="853"/>
      <c r="W57" s="854"/>
      <c r="X57" s="840"/>
      <c r="Y57" s="841"/>
      <c r="Z57" s="841"/>
      <c r="AA57" s="842"/>
      <c r="AB57" s="840"/>
      <c r="AC57" s="841"/>
      <c r="AD57" s="842"/>
      <c r="AE57" s="865"/>
      <c r="AF57" s="875"/>
      <c r="AG57" s="865"/>
      <c r="AH57" s="875"/>
      <c r="AI57" s="925"/>
      <c r="AJ57" s="870"/>
      <c r="AK57" s="912"/>
      <c r="AL57" s="913"/>
      <c r="AM57" s="913"/>
      <c r="AN57" s="925"/>
      <c r="AO57" s="932"/>
      <c r="AP57" s="932"/>
      <c r="AQ57" s="870"/>
      <c r="BC57" s="831"/>
    </row>
    <row r="58" spans="2:55" ht="15.95" hidden="1" customHeight="1">
      <c r="B58" s="929">
        <v>22</v>
      </c>
      <c r="C58" s="837"/>
      <c r="D58" s="838"/>
      <c r="E58" s="838"/>
      <c r="F58" s="838"/>
      <c r="G58" s="838"/>
      <c r="H58" s="838"/>
      <c r="I58" s="838"/>
      <c r="J58" s="838"/>
      <c r="K58" s="838"/>
      <c r="L58" s="838"/>
      <c r="M58" s="839"/>
      <c r="N58" s="914" t="str">
        <f>IF(C58="","",INDEX(PMEREFRI[Base Desc 1],MATCH(C58,PMEREFRI[Eff Desc 1],0)))</f>
        <v/>
      </c>
      <c r="O58" s="915"/>
      <c r="P58" s="915"/>
      <c r="Q58" s="915"/>
      <c r="R58" s="915"/>
      <c r="S58" s="916"/>
      <c r="T58" s="953" t="str">
        <f>IF(C58="","",INDEX(PMEREFRI[Unit of Measure],MATCH(C58,PMEREFRI[Eff Desc 1],0)))</f>
        <v/>
      </c>
      <c r="U58" s="954"/>
      <c r="V58" s="851"/>
      <c r="W58" s="852"/>
      <c r="X58" s="837"/>
      <c r="Y58" s="838"/>
      <c r="Z58" s="838"/>
      <c r="AA58" s="839"/>
      <c r="AB58" s="837"/>
      <c r="AC58" s="838"/>
      <c r="AD58" s="839"/>
      <c r="AE58" s="863"/>
      <c r="AF58" s="874"/>
      <c r="AG58" s="863"/>
      <c r="AH58" s="874"/>
      <c r="AI58" s="923" t="str">
        <f>IF(C58="","",INDEX(PMEREFRI[Inc Rate Unit],MATCH(C58,PMEREFRI[Eff Desc 1],0)))</f>
        <v/>
      </c>
      <c r="AJ58" s="924"/>
      <c r="AK58" s="910" t="str">
        <f>IF(OR(C58="",V58="",X58="",AB58="",AE58="",AG58=""),"",ROUND(V58*INDEX(PMEREFRI[Savings per Unit kWh],MATCH(C58,PMEREFRI[Eff Desc 1],0)),0))</f>
        <v/>
      </c>
      <c r="AL58" s="911"/>
      <c r="AM58" s="911"/>
      <c r="AN58" s="930" t="str">
        <f t="shared" ref="AN58" si="41">IF(OR(C58="",V58="",X58="",AB58="",AE58="",AG58=""),"",IF(BC58&lt;&gt;"",BC58,MIN(AU58,ROUND(V58*AI58,2))))</f>
        <v/>
      </c>
      <c r="AO58" s="931"/>
      <c r="AP58" s="931"/>
      <c r="AQ58" s="868"/>
      <c r="BC58" s="830"/>
    </row>
    <row r="59" spans="2:55" ht="15.95" hidden="1" customHeight="1">
      <c r="B59" s="929"/>
      <c r="C59" s="840"/>
      <c r="D59" s="841"/>
      <c r="E59" s="841"/>
      <c r="F59" s="841"/>
      <c r="G59" s="841"/>
      <c r="H59" s="841"/>
      <c r="I59" s="841"/>
      <c r="J59" s="841"/>
      <c r="K59" s="841"/>
      <c r="L59" s="841"/>
      <c r="M59" s="842"/>
      <c r="N59" s="917"/>
      <c r="O59" s="918"/>
      <c r="P59" s="918"/>
      <c r="Q59" s="918"/>
      <c r="R59" s="918"/>
      <c r="S59" s="919"/>
      <c r="T59" s="955"/>
      <c r="U59" s="956"/>
      <c r="V59" s="853"/>
      <c r="W59" s="854"/>
      <c r="X59" s="840"/>
      <c r="Y59" s="841"/>
      <c r="Z59" s="841"/>
      <c r="AA59" s="842"/>
      <c r="AB59" s="840"/>
      <c r="AC59" s="841"/>
      <c r="AD59" s="842"/>
      <c r="AE59" s="865"/>
      <c r="AF59" s="875"/>
      <c r="AG59" s="865"/>
      <c r="AH59" s="875"/>
      <c r="AI59" s="925"/>
      <c r="AJ59" s="870"/>
      <c r="AK59" s="912"/>
      <c r="AL59" s="913"/>
      <c r="AM59" s="913"/>
      <c r="AN59" s="925"/>
      <c r="AO59" s="932"/>
      <c r="AP59" s="932"/>
      <c r="AQ59" s="870"/>
      <c r="BC59" s="831"/>
    </row>
    <row r="60" spans="2:55" ht="15.95" hidden="1" customHeight="1">
      <c r="B60" s="929">
        <v>23</v>
      </c>
      <c r="C60" s="837"/>
      <c r="D60" s="838"/>
      <c r="E60" s="838"/>
      <c r="F60" s="838"/>
      <c r="G60" s="838"/>
      <c r="H60" s="838"/>
      <c r="I60" s="838"/>
      <c r="J60" s="838"/>
      <c r="K60" s="838"/>
      <c r="L60" s="838"/>
      <c r="M60" s="839"/>
      <c r="N60" s="914" t="str">
        <f>IF(C60="","",INDEX(PMEREFRI[Base Desc 1],MATCH(C60,PMEREFRI[Eff Desc 1],0)))</f>
        <v/>
      </c>
      <c r="O60" s="915"/>
      <c r="P60" s="915"/>
      <c r="Q60" s="915"/>
      <c r="R60" s="915"/>
      <c r="S60" s="916"/>
      <c r="T60" s="953" t="str">
        <f>IF(C60="","",INDEX(PMEREFRI[Unit of Measure],MATCH(C60,PMEREFRI[Eff Desc 1],0)))</f>
        <v/>
      </c>
      <c r="U60" s="954"/>
      <c r="V60" s="851"/>
      <c r="W60" s="852"/>
      <c r="X60" s="837"/>
      <c r="Y60" s="838"/>
      <c r="Z60" s="838"/>
      <c r="AA60" s="839"/>
      <c r="AB60" s="837"/>
      <c r="AC60" s="838"/>
      <c r="AD60" s="839"/>
      <c r="AE60" s="863"/>
      <c r="AF60" s="874"/>
      <c r="AG60" s="863"/>
      <c r="AH60" s="874"/>
      <c r="AI60" s="923" t="str">
        <f>IF(C60="","",INDEX(PMEREFRI[Inc Rate Unit],MATCH(C60,PMEREFRI[Eff Desc 1],0)))</f>
        <v/>
      </c>
      <c r="AJ60" s="924"/>
      <c r="AK60" s="910" t="str">
        <f>IF(OR(C60="",V60="",X60="",AB60="",AE60="",AG60=""),"",ROUND(V60*INDEX(PMEREFRI[Savings per Unit kWh],MATCH(C60,PMEREFRI[Eff Desc 1],0)),0))</f>
        <v/>
      </c>
      <c r="AL60" s="911"/>
      <c r="AM60" s="911"/>
      <c r="AN60" s="930" t="str">
        <f t="shared" ref="AN60" si="42">IF(OR(C60="",V60="",X60="",AB60="",AE60="",AG60=""),"",IF(BC60&lt;&gt;"",BC60,MIN(AU60,ROUND(V60*AI60,2))))</f>
        <v/>
      </c>
      <c r="AO60" s="931"/>
      <c r="AP60" s="931"/>
      <c r="AQ60" s="868"/>
      <c r="BC60" s="830"/>
    </row>
    <row r="61" spans="2:55" ht="15.95" hidden="1" customHeight="1">
      <c r="B61" s="929"/>
      <c r="C61" s="840"/>
      <c r="D61" s="841"/>
      <c r="E61" s="841"/>
      <c r="F61" s="841"/>
      <c r="G61" s="841"/>
      <c r="H61" s="841"/>
      <c r="I61" s="841"/>
      <c r="J61" s="841"/>
      <c r="K61" s="841"/>
      <c r="L61" s="841"/>
      <c r="M61" s="842"/>
      <c r="N61" s="917"/>
      <c r="O61" s="918"/>
      <c r="P61" s="918"/>
      <c r="Q61" s="918"/>
      <c r="R61" s="918"/>
      <c r="S61" s="919"/>
      <c r="T61" s="955"/>
      <c r="U61" s="956"/>
      <c r="V61" s="853"/>
      <c r="W61" s="854"/>
      <c r="X61" s="840"/>
      <c r="Y61" s="841"/>
      <c r="Z61" s="841"/>
      <c r="AA61" s="842"/>
      <c r="AB61" s="840"/>
      <c r="AC61" s="841"/>
      <c r="AD61" s="842"/>
      <c r="AE61" s="865"/>
      <c r="AF61" s="875"/>
      <c r="AG61" s="865"/>
      <c r="AH61" s="875"/>
      <c r="AI61" s="925"/>
      <c r="AJ61" s="870"/>
      <c r="AK61" s="912"/>
      <c r="AL61" s="913"/>
      <c r="AM61" s="913"/>
      <c r="AN61" s="925"/>
      <c r="AO61" s="932"/>
      <c r="AP61" s="932"/>
      <c r="AQ61" s="870"/>
      <c r="BC61" s="831"/>
    </row>
    <row r="62" spans="2:55" ht="15.95" hidden="1" customHeight="1">
      <c r="B62" s="929">
        <v>24</v>
      </c>
      <c r="C62" s="837"/>
      <c r="D62" s="838"/>
      <c r="E62" s="838"/>
      <c r="F62" s="838"/>
      <c r="G62" s="838"/>
      <c r="H62" s="838"/>
      <c r="I62" s="838"/>
      <c r="J62" s="838"/>
      <c r="K62" s="838"/>
      <c r="L62" s="838"/>
      <c r="M62" s="839"/>
      <c r="N62" s="914" t="str">
        <f>IF(C62="","",INDEX(PMEREFRI[Base Desc 1],MATCH(C62,PMEREFRI[Eff Desc 1],0)))</f>
        <v/>
      </c>
      <c r="O62" s="915"/>
      <c r="P62" s="915"/>
      <c r="Q62" s="915"/>
      <c r="R62" s="915"/>
      <c r="S62" s="916"/>
      <c r="T62" s="953" t="str">
        <f>IF(C62="","",INDEX(PMEREFRI[Unit of Measure],MATCH(C62,PMEREFRI[Eff Desc 1],0)))</f>
        <v/>
      </c>
      <c r="U62" s="954"/>
      <c r="V62" s="851"/>
      <c r="W62" s="852"/>
      <c r="X62" s="837"/>
      <c r="Y62" s="838"/>
      <c r="Z62" s="838"/>
      <c r="AA62" s="839"/>
      <c r="AB62" s="837"/>
      <c r="AC62" s="838"/>
      <c r="AD62" s="839"/>
      <c r="AE62" s="863"/>
      <c r="AF62" s="874"/>
      <c r="AG62" s="863"/>
      <c r="AH62" s="874"/>
      <c r="AI62" s="923" t="str">
        <f>IF(C62="","",INDEX(PMEREFRI[Inc Rate Unit],MATCH(C62,PMEREFRI[Eff Desc 1],0)))</f>
        <v/>
      </c>
      <c r="AJ62" s="924"/>
      <c r="AK62" s="910" t="str">
        <f>IF(OR(C62="",V62="",X62="",AB62="",AE62="",AG62=""),"",ROUND(V62*INDEX(PMEREFRI[Savings per Unit kWh],MATCH(C62,PMEREFRI[Eff Desc 1],0)),0))</f>
        <v/>
      </c>
      <c r="AL62" s="911"/>
      <c r="AM62" s="911"/>
      <c r="AN62" s="930" t="str">
        <f t="shared" ref="AN62" si="43">IF(OR(C62="",V62="",X62="",AB62="",AE62="",AG62=""),"",IF(BC62&lt;&gt;"",BC62,MIN(AU62,ROUND(V62*AI62,2))))</f>
        <v/>
      </c>
      <c r="AO62" s="931"/>
      <c r="AP62" s="931"/>
      <c r="AQ62" s="868"/>
      <c r="BC62" s="830"/>
    </row>
    <row r="63" spans="2:55" ht="15.95" hidden="1" customHeight="1">
      <c r="B63" s="929"/>
      <c r="C63" s="840"/>
      <c r="D63" s="841"/>
      <c r="E63" s="841"/>
      <c r="F63" s="841"/>
      <c r="G63" s="841"/>
      <c r="H63" s="841"/>
      <c r="I63" s="841"/>
      <c r="J63" s="841"/>
      <c r="K63" s="841"/>
      <c r="L63" s="841"/>
      <c r="M63" s="842"/>
      <c r="N63" s="917"/>
      <c r="O63" s="918"/>
      <c r="P63" s="918"/>
      <c r="Q63" s="918"/>
      <c r="R63" s="918"/>
      <c r="S63" s="919"/>
      <c r="T63" s="955"/>
      <c r="U63" s="956"/>
      <c r="V63" s="853"/>
      <c r="W63" s="854"/>
      <c r="X63" s="840"/>
      <c r="Y63" s="841"/>
      <c r="Z63" s="841"/>
      <c r="AA63" s="842"/>
      <c r="AB63" s="840"/>
      <c r="AC63" s="841"/>
      <c r="AD63" s="842"/>
      <c r="AE63" s="865"/>
      <c r="AF63" s="875"/>
      <c r="AG63" s="865"/>
      <c r="AH63" s="875"/>
      <c r="AI63" s="925"/>
      <c r="AJ63" s="870"/>
      <c r="AK63" s="912"/>
      <c r="AL63" s="913"/>
      <c r="AM63" s="913"/>
      <c r="AN63" s="925"/>
      <c r="AO63" s="932"/>
      <c r="AP63" s="932"/>
      <c r="AQ63" s="870"/>
      <c r="BC63" s="831"/>
    </row>
    <row r="64" spans="2:55" ht="15.95" hidden="1" customHeight="1">
      <c r="B64" s="929">
        <v>25</v>
      </c>
      <c r="C64" s="837"/>
      <c r="D64" s="838"/>
      <c r="E64" s="838"/>
      <c r="F64" s="838"/>
      <c r="G64" s="838"/>
      <c r="H64" s="838"/>
      <c r="I64" s="838"/>
      <c r="J64" s="838"/>
      <c r="K64" s="838"/>
      <c r="L64" s="838"/>
      <c r="M64" s="839"/>
      <c r="N64" s="914" t="str">
        <f>IF(C64="","",INDEX(PMEREFRI[Base Desc 1],MATCH(C64,PMEREFRI[Eff Desc 1],0)))</f>
        <v/>
      </c>
      <c r="O64" s="915"/>
      <c r="P64" s="915"/>
      <c r="Q64" s="915"/>
      <c r="R64" s="915"/>
      <c r="S64" s="916"/>
      <c r="T64" s="953" t="str">
        <f>IF(C64="","",INDEX(PMEREFRI[Unit of Measure],MATCH(C64,PMEREFRI[Eff Desc 1],0)))</f>
        <v/>
      </c>
      <c r="U64" s="954"/>
      <c r="V64" s="851"/>
      <c r="W64" s="852"/>
      <c r="X64" s="837"/>
      <c r="Y64" s="838"/>
      <c r="Z64" s="838"/>
      <c r="AA64" s="839"/>
      <c r="AB64" s="837"/>
      <c r="AC64" s="838"/>
      <c r="AD64" s="839"/>
      <c r="AE64" s="863"/>
      <c r="AF64" s="874"/>
      <c r="AG64" s="863"/>
      <c r="AH64" s="874"/>
      <c r="AI64" s="923" t="str">
        <f>IF(C64="","",INDEX(PMEREFRI[Inc Rate Unit],MATCH(C64,PMEREFRI[Eff Desc 1],0)))</f>
        <v/>
      </c>
      <c r="AJ64" s="924"/>
      <c r="AK64" s="910" t="str">
        <f>IF(OR(C64="",V64="",X64="",AB64="",AE64="",AG64=""),"",ROUND(V64*INDEX(PMEREFRI[Savings per Unit kWh],MATCH(C64,PMEREFRI[Eff Desc 1],0)),0))</f>
        <v/>
      </c>
      <c r="AL64" s="911"/>
      <c r="AM64" s="911"/>
      <c r="AN64" s="930" t="str">
        <f t="shared" ref="AN64" si="44">IF(OR(C64="",V64="",X64="",AB64="",AE64="",AG64=""),"",IF(BC64&lt;&gt;"",BC64,MIN(AU64,ROUND(V64*AI64,2))))</f>
        <v/>
      </c>
      <c r="AO64" s="931"/>
      <c r="AP64" s="931"/>
      <c r="AQ64" s="868"/>
      <c r="BC64" s="830"/>
    </row>
    <row r="65" spans="2:55" ht="15.95" hidden="1" customHeight="1">
      <c r="B65" s="929"/>
      <c r="C65" s="840"/>
      <c r="D65" s="841"/>
      <c r="E65" s="841"/>
      <c r="F65" s="841"/>
      <c r="G65" s="841"/>
      <c r="H65" s="841"/>
      <c r="I65" s="841"/>
      <c r="J65" s="841"/>
      <c r="K65" s="841"/>
      <c r="L65" s="841"/>
      <c r="M65" s="842"/>
      <c r="N65" s="917"/>
      <c r="O65" s="918"/>
      <c r="P65" s="918"/>
      <c r="Q65" s="918"/>
      <c r="R65" s="918"/>
      <c r="S65" s="919"/>
      <c r="T65" s="955"/>
      <c r="U65" s="956"/>
      <c r="V65" s="853"/>
      <c r="W65" s="854"/>
      <c r="X65" s="840"/>
      <c r="Y65" s="841"/>
      <c r="Z65" s="841"/>
      <c r="AA65" s="842"/>
      <c r="AB65" s="840"/>
      <c r="AC65" s="841"/>
      <c r="AD65" s="842"/>
      <c r="AE65" s="865"/>
      <c r="AF65" s="875"/>
      <c r="AG65" s="865"/>
      <c r="AH65" s="875"/>
      <c r="AI65" s="925"/>
      <c r="AJ65" s="870"/>
      <c r="AK65" s="912"/>
      <c r="AL65" s="913"/>
      <c r="AM65" s="913"/>
      <c r="AN65" s="925"/>
      <c r="AO65" s="932"/>
      <c r="AP65" s="932"/>
      <c r="AQ65" s="870"/>
      <c r="BC65" s="831"/>
    </row>
    <row r="66" spans="2:55" ht="15.95" hidden="1" customHeight="1">
      <c r="B66" s="929">
        <v>26</v>
      </c>
      <c r="C66" s="837"/>
      <c r="D66" s="838"/>
      <c r="E66" s="838"/>
      <c r="F66" s="838"/>
      <c r="G66" s="838"/>
      <c r="H66" s="838"/>
      <c r="I66" s="838"/>
      <c r="J66" s="838"/>
      <c r="K66" s="838"/>
      <c r="L66" s="838"/>
      <c r="M66" s="839"/>
      <c r="N66" s="914" t="str">
        <f>IF(C66="","",INDEX(PMEREFRI[Base Desc 1],MATCH(C66,PMEREFRI[Eff Desc 1],0)))</f>
        <v/>
      </c>
      <c r="O66" s="915"/>
      <c r="P66" s="915"/>
      <c r="Q66" s="915"/>
      <c r="R66" s="915"/>
      <c r="S66" s="916"/>
      <c r="T66" s="953" t="str">
        <f>IF(C66="","",INDEX(PMEREFRI[Unit of Measure],MATCH(C66,PMEREFRI[Eff Desc 1],0)))</f>
        <v/>
      </c>
      <c r="U66" s="954"/>
      <c r="V66" s="851"/>
      <c r="W66" s="852"/>
      <c r="X66" s="837"/>
      <c r="Y66" s="838"/>
      <c r="Z66" s="838"/>
      <c r="AA66" s="839"/>
      <c r="AB66" s="837"/>
      <c r="AC66" s="838"/>
      <c r="AD66" s="839"/>
      <c r="AE66" s="863"/>
      <c r="AF66" s="874"/>
      <c r="AG66" s="863"/>
      <c r="AH66" s="874"/>
      <c r="AI66" s="923" t="str">
        <f>IF(C66="","",INDEX(PMEREFRI[Inc Rate Unit],MATCH(C66,PMEREFRI[Eff Desc 1],0)))</f>
        <v/>
      </c>
      <c r="AJ66" s="924"/>
      <c r="AK66" s="910" t="str">
        <f>IF(OR(C66="",V66="",X66="",AB66="",AE66="",AG66=""),"",ROUND(V66*INDEX(PMEREFRI[Savings per Unit kWh],MATCH(C66,PMEREFRI[Eff Desc 1],0)),0))</f>
        <v/>
      </c>
      <c r="AL66" s="911"/>
      <c r="AM66" s="911"/>
      <c r="AN66" s="930" t="str">
        <f t="shared" ref="AN66" si="45">IF(OR(C66="",V66="",X66="",AB66="",AE66="",AG66=""),"",IF(BC66&lt;&gt;"",BC66,MIN(AU66,ROUND(V66*AI66,2))))</f>
        <v/>
      </c>
      <c r="AO66" s="931"/>
      <c r="AP66" s="931"/>
      <c r="AQ66" s="868"/>
      <c r="BC66" s="830"/>
    </row>
    <row r="67" spans="2:55" ht="15.95" hidden="1" customHeight="1">
      <c r="B67" s="929"/>
      <c r="C67" s="840"/>
      <c r="D67" s="841"/>
      <c r="E67" s="841"/>
      <c r="F67" s="841"/>
      <c r="G67" s="841"/>
      <c r="H67" s="841"/>
      <c r="I67" s="841"/>
      <c r="J67" s="841"/>
      <c r="K67" s="841"/>
      <c r="L67" s="841"/>
      <c r="M67" s="842"/>
      <c r="N67" s="917"/>
      <c r="O67" s="918"/>
      <c r="P67" s="918"/>
      <c r="Q67" s="918"/>
      <c r="R67" s="918"/>
      <c r="S67" s="919"/>
      <c r="T67" s="955"/>
      <c r="U67" s="956"/>
      <c r="V67" s="853"/>
      <c r="W67" s="854"/>
      <c r="X67" s="840"/>
      <c r="Y67" s="841"/>
      <c r="Z67" s="841"/>
      <c r="AA67" s="842"/>
      <c r="AB67" s="840"/>
      <c r="AC67" s="841"/>
      <c r="AD67" s="842"/>
      <c r="AE67" s="865"/>
      <c r="AF67" s="875"/>
      <c r="AG67" s="865"/>
      <c r="AH67" s="875"/>
      <c r="AI67" s="925"/>
      <c r="AJ67" s="870"/>
      <c r="AK67" s="912"/>
      <c r="AL67" s="913"/>
      <c r="AM67" s="913"/>
      <c r="AN67" s="925"/>
      <c r="AO67" s="932"/>
      <c r="AP67" s="932"/>
      <c r="AQ67" s="870"/>
      <c r="BC67" s="831"/>
    </row>
    <row r="68" spans="2:55" ht="15.95" hidden="1" customHeight="1">
      <c r="B68" s="929">
        <v>27</v>
      </c>
      <c r="C68" s="837"/>
      <c r="D68" s="838"/>
      <c r="E68" s="838"/>
      <c r="F68" s="838"/>
      <c r="G68" s="838"/>
      <c r="H68" s="838"/>
      <c r="I68" s="838"/>
      <c r="J68" s="838"/>
      <c r="K68" s="838"/>
      <c r="L68" s="838"/>
      <c r="M68" s="839"/>
      <c r="N68" s="914" t="str">
        <f>IF(C68="","",INDEX(PMEREFRI[Base Desc 1],MATCH(C68,PMEREFRI[Eff Desc 1],0)))</f>
        <v/>
      </c>
      <c r="O68" s="915"/>
      <c r="P68" s="915"/>
      <c r="Q68" s="915"/>
      <c r="R68" s="915"/>
      <c r="S68" s="916"/>
      <c r="T68" s="953" t="str">
        <f>IF(C68="","",INDEX(PMEREFRI[Unit of Measure],MATCH(C68,PMEREFRI[Eff Desc 1],0)))</f>
        <v/>
      </c>
      <c r="U68" s="954"/>
      <c r="V68" s="851"/>
      <c r="W68" s="852"/>
      <c r="X68" s="837"/>
      <c r="Y68" s="838"/>
      <c r="Z68" s="838"/>
      <c r="AA68" s="839"/>
      <c r="AB68" s="837"/>
      <c r="AC68" s="838"/>
      <c r="AD68" s="839"/>
      <c r="AE68" s="863"/>
      <c r="AF68" s="874"/>
      <c r="AG68" s="863"/>
      <c r="AH68" s="874"/>
      <c r="AI68" s="923" t="str">
        <f>IF(C68="","",INDEX(PMEREFRI[Inc Rate Unit],MATCH(C68,PMEREFRI[Eff Desc 1],0)))</f>
        <v/>
      </c>
      <c r="AJ68" s="924"/>
      <c r="AK68" s="910" t="str">
        <f>IF(OR(C68="",V68="",X68="",AB68="",AE68="",AG68=""),"",ROUND(V68*INDEX(PMEREFRI[Savings per Unit kWh],MATCH(C68,PMEREFRI[Eff Desc 1],0)),0))</f>
        <v/>
      </c>
      <c r="AL68" s="911"/>
      <c r="AM68" s="911"/>
      <c r="AN68" s="930" t="str">
        <f t="shared" ref="AN68" si="46">IF(OR(C68="",V68="",X68="",AB68="",AE68="",AG68=""),"",IF(BC68&lt;&gt;"",BC68,MIN(AU68,ROUND(V68*AI68,2))))</f>
        <v/>
      </c>
      <c r="AO68" s="931"/>
      <c r="AP68" s="931"/>
      <c r="AQ68" s="868"/>
      <c r="BC68" s="830"/>
    </row>
    <row r="69" spans="2:55" ht="15.95" hidden="1" customHeight="1">
      <c r="B69" s="929"/>
      <c r="C69" s="840"/>
      <c r="D69" s="841"/>
      <c r="E69" s="841"/>
      <c r="F69" s="841"/>
      <c r="G69" s="841"/>
      <c r="H69" s="841"/>
      <c r="I69" s="841"/>
      <c r="J69" s="841"/>
      <c r="K69" s="841"/>
      <c r="L69" s="841"/>
      <c r="M69" s="842"/>
      <c r="N69" s="917"/>
      <c r="O69" s="918"/>
      <c r="P69" s="918"/>
      <c r="Q69" s="918"/>
      <c r="R69" s="918"/>
      <c r="S69" s="919"/>
      <c r="T69" s="955"/>
      <c r="U69" s="956"/>
      <c r="V69" s="853"/>
      <c r="W69" s="854"/>
      <c r="X69" s="840"/>
      <c r="Y69" s="841"/>
      <c r="Z69" s="841"/>
      <c r="AA69" s="842"/>
      <c r="AB69" s="840"/>
      <c r="AC69" s="841"/>
      <c r="AD69" s="842"/>
      <c r="AE69" s="865"/>
      <c r="AF69" s="875"/>
      <c r="AG69" s="865"/>
      <c r="AH69" s="875"/>
      <c r="AI69" s="925"/>
      <c r="AJ69" s="870"/>
      <c r="AK69" s="912"/>
      <c r="AL69" s="913"/>
      <c r="AM69" s="913"/>
      <c r="AN69" s="925"/>
      <c r="AO69" s="932"/>
      <c r="AP69" s="932"/>
      <c r="AQ69" s="870"/>
      <c r="BC69" s="831"/>
    </row>
    <row r="70" spans="2:55" ht="15.95" hidden="1" customHeight="1">
      <c r="B70" s="929">
        <v>28</v>
      </c>
      <c r="C70" s="837"/>
      <c r="D70" s="838"/>
      <c r="E70" s="838"/>
      <c r="F70" s="838"/>
      <c r="G70" s="838"/>
      <c r="H70" s="838"/>
      <c r="I70" s="838"/>
      <c r="J70" s="838"/>
      <c r="K70" s="838"/>
      <c r="L70" s="838"/>
      <c r="M70" s="839"/>
      <c r="N70" s="914" t="str">
        <f>IF(C70="","",INDEX(PMEREFRI[Base Desc 1],MATCH(C70,PMEREFRI[Eff Desc 1],0)))</f>
        <v/>
      </c>
      <c r="O70" s="915"/>
      <c r="P70" s="915"/>
      <c r="Q70" s="915"/>
      <c r="R70" s="915"/>
      <c r="S70" s="916"/>
      <c r="T70" s="953" t="str">
        <f>IF(C70="","",INDEX(PMEREFRI[Unit of Measure],MATCH(C70,PMEREFRI[Eff Desc 1],0)))</f>
        <v/>
      </c>
      <c r="U70" s="954"/>
      <c r="V70" s="851"/>
      <c r="W70" s="852"/>
      <c r="X70" s="837"/>
      <c r="Y70" s="838"/>
      <c r="Z70" s="838"/>
      <c r="AA70" s="839"/>
      <c r="AB70" s="837"/>
      <c r="AC70" s="838"/>
      <c r="AD70" s="839"/>
      <c r="AE70" s="863"/>
      <c r="AF70" s="874"/>
      <c r="AG70" s="863"/>
      <c r="AH70" s="874"/>
      <c r="AI70" s="923" t="str">
        <f>IF(C70="","",INDEX(PMEREFRI[Inc Rate Unit],MATCH(C70,PMEREFRI[Eff Desc 1],0)))</f>
        <v/>
      </c>
      <c r="AJ70" s="924"/>
      <c r="AK70" s="910" t="str">
        <f>IF(OR(C70="",V70="",X70="",AB70="",AE70="",AG70=""),"",ROUND(V70*INDEX(PMEREFRI[Savings per Unit kWh],MATCH(C70,PMEREFRI[Eff Desc 1],0)),0))</f>
        <v/>
      </c>
      <c r="AL70" s="911"/>
      <c r="AM70" s="911"/>
      <c r="AN70" s="930" t="str">
        <f t="shared" ref="AN70" si="47">IF(OR(C70="",V70="",X70="",AB70="",AE70="",AG70=""),"",IF(BC70&lt;&gt;"",BC70,MIN(AU70,ROUND(V70*AI70,2))))</f>
        <v/>
      </c>
      <c r="AO70" s="931"/>
      <c r="AP70" s="931"/>
      <c r="AQ70" s="868"/>
      <c r="BC70" s="830"/>
    </row>
    <row r="71" spans="2:55" ht="15.95" hidden="1" customHeight="1">
      <c r="B71" s="929"/>
      <c r="C71" s="840"/>
      <c r="D71" s="841"/>
      <c r="E71" s="841"/>
      <c r="F71" s="841"/>
      <c r="G71" s="841"/>
      <c r="H71" s="841"/>
      <c r="I71" s="841"/>
      <c r="J71" s="841"/>
      <c r="K71" s="841"/>
      <c r="L71" s="841"/>
      <c r="M71" s="842"/>
      <c r="N71" s="917"/>
      <c r="O71" s="918"/>
      <c r="P71" s="918"/>
      <c r="Q71" s="918"/>
      <c r="R71" s="918"/>
      <c r="S71" s="919"/>
      <c r="T71" s="955"/>
      <c r="U71" s="956"/>
      <c r="V71" s="853"/>
      <c r="W71" s="854"/>
      <c r="X71" s="840"/>
      <c r="Y71" s="841"/>
      <c r="Z71" s="841"/>
      <c r="AA71" s="842"/>
      <c r="AB71" s="840"/>
      <c r="AC71" s="841"/>
      <c r="AD71" s="842"/>
      <c r="AE71" s="865"/>
      <c r="AF71" s="875"/>
      <c r="AG71" s="865"/>
      <c r="AH71" s="875"/>
      <c r="AI71" s="925"/>
      <c r="AJ71" s="870"/>
      <c r="AK71" s="912"/>
      <c r="AL71" s="913"/>
      <c r="AM71" s="913"/>
      <c r="AN71" s="925"/>
      <c r="AO71" s="932"/>
      <c r="AP71" s="932"/>
      <c r="AQ71" s="870"/>
      <c r="BC71" s="831"/>
    </row>
    <row r="72" spans="2:55" ht="15.95" hidden="1" customHeight="1">
      <c r="B72" s="929">
        <v>29</v>
      </c>
      <c r="C72" s="837"/>
      <c r="D72" s="838"/>
      <c r="E72" s="838"/>
      <c r="F72" s="838"/>
      <c r="G72" s="838"/>
      <c r="H72" s="838"/>
      <c r="I72" s="838"/>
      <c r="J72" s="838"/>
      <c r="K72" s="838"/>
      <c r="L72" s="838"/>
      <c r="M72" s="839"/>
      <c r="N72" s="914" t="str">
        <f>IF(C72="","",INDEX(PMEREFRI[Base Desc 1],MATCH(C72,PMEREFRI[Eff Desc 1],0)))</f>
        <v/>
      </c>
      <c r="O72" s="915"/>
      <c r="P72" s="915"/>
      <c r="Q72" s="915"/>
      <c r="R72" s="915"/>
      <c r="S72" s="916"/>
      <c r="T72" s="953" t="str">
        <f>IF(C72="","",INDEX(PMEREFRI[Unit of Measure],MATCH(C72,PMEREFRI[Eff Desc 1],0)))</f>
        <v/>
      </c>
      <c r="U72" s="954"/>
      <c r="V72" s="851"/>
      <c r="W72" s="852"/>
      <c r="X72" s="837"/>
      <c r="Y72" s="838"/>
      <c r="Z72" s="838"/>
      <c r="AA72" s="839"/>
      <c r="AB72" s="837"/>
      <c r="AC72" s="838"/>
      <c r="AD72" s="839"/>
      <c r="AE72" s="863"/>
      <c r="AF72" s="874"/>
      <c r="AG72" s="863"/>
      <c r="AH72" s="874"/>
      <c r="AI72" s="923" t="str">
        <f>IF(C72="","",INDEX(PMEREFRI[Inc Rate Unit],MATCH(C72,PMEREFRI[Eff Desc 1],0)))</f>
        <v/>
      </c>
      <c r="AJ72" s="924"/>
      <c r="AK72" s="910" t="str">
        <f>IF(OR(C72="",V72="",X72="",AB72="",AE72="",AG72=""),"",ROUND(V72*INDEX(PMEREFRI[Savings per Unit kWh],MATCH(C72,PMEREFRI[Eff Desc 1],0)),0))</f>
        <v/>
      </c>
      <c r="AL72" s="911"/>
      <c r="AM72" s="911"/>
      <c r="AN72" s="930" t="str">
        <f t="shared" ref="AN72" si="48">IF(OR(C72="",V72="",X72="",AB72="",AE72="",AG72=""),"",IF(BC72&lt;&gt;"",BC72,MIN(AU72,ROUND(V72*AI72,2))))</f>
        <v/>
      </c>
      <c r="AO72" s="931"/>
      <c r="AP72" s="931"/>
      <c r="AQ72" s="868"/>
      <c r="BC72" s="830"/>
    </row>
    <row r="73" spans="2:55" ht="15.95" hidden="1" customHeight="1">
      <c r="B73" s="929"/>
      <c r="C73" s="840"/>
      <c r="D73" s="841"/>
      <c r="E73" s="841"/>
      <c r="F73" s="841"/>
      <c r="G73" s="841"/>
      <c r="H73" s="841"/>
      <c r="I73" s="841"/>
      <c r="J73" s="841"/>
      <c r="K73" s="841"/>
      <c r="L73" s="841"/>
      <c r="M73" s="842"/>
      <c r="N73" s="917"/>
      <c r="O73" s="918"/>
      <c r="P73" s="918"/>
      <c r="Q73" s="918"/>
      <c r="R73" s="918"/>
      <c r="S73" s="919"/>
      <c r="T73" s="955"/>
      <c r="U73" s="956"/>
      <c r="V73" s="853"/>
      <c r="W73" s="854"/>
      <c r="X73" s="840"/>
      <c r="Y73" s="841"/>
      <c r="Z73" s="841"/>
      <c r="AA73" s="842"/>
      <c r="AB73" s="840"/>
      <c r="AC73" s="841"/>
      <c r="AD73" s="842"/>
      <c r="AE73" s="865"/>
      <c r="AF73" s="875"/>
      <c r="AG73" s="865"/>
      <c r="AH73" s="875"/>
      <c r="AI73" s="925"/>
      <c r="AJ73" s="870"/>
      <c r="AK73" s="912"/>
      <c r="AL73" s="913"/>
      <c r="AM73" s="913"/>
      <c r="AN73" s="925"/>
      <c r="AO73" s="932"/>
      <c r="AP73" s="932"/>
      <c r="AQ73" s="870"/>
      <c r="BC73" s="831"/>
    </row>
    <row r="74" spans="2:55" ht="15.95" hidden="1" customHeight="1">
      <c r="B74" s="929">
        <v>30</v>
      </c>
      <c r="C74" s="837"/>
      <c r="D74" s="838"/>
      <c r="E74" s="838"/>
      <c r="F74" s="838"/>
      <c r="G74" s="838"/>
      <c r="H74" s="838"/>
      <c r="I74" s="838"/>
      <c r="J74" s="838"/>
      <c r="K74" s="838"/>
      <c r="L74" s="838"/>
      <c r="M74" s="839"/>
      <c r="N74" s="914" t="str">
        <f>IF(C74="","",INDEX(PMEREFRI[Base Desc 1],MATCH(C74,PMEREFRI[Eff Desc 1],0)))</f>
        <v/>
      </c>
      <c r="O74" s="915"/>
      <c r="P74" s="915"/>
      <c r="Q74" s="915"/>
      <c r="R74" s="915"/>
      <c r="S74" s="916"/>
      <c r="T74" s="953" t="str">
        <f>IF(C74="","",INDEX(PMEREFRI[Unit of Measure],MATCH(C74,PMEREFRI[Eff Desc 1],0)))</f>
        <v/>
      </c>
      <c r="U74" s="954"/>
      <c r="V74" s="851"/>
      <c r="W74" s="852"/>
      <c r="X74" s="837"/>
      <c r="Y74" s="838"/>
      <c r="Z74" s="838"/>
      <c r="AA74" s="839"/>
      <c r="AB74" s="837"/>
      <c r="AC74" s="838"/>
      <c r="AD74" s="839"/>
      <c r="AE74" s="863"/>
      <c r="AF74" s="874"/>
      <c r="AG74" s="863"/>
      <c r="AH74" s="874"/>
      <c r="AI74" s="923" t="str">
        <f>IF(C74="","",INDEX(PMEREFRI[Inc Rate Unit],MATCH(C74,PMEREFRI[Eff Desc 1],0)))</f>
        <v/>
      </c>
      <c r="AJ74" s="924"/>
      <c r="AK74" s="910" t="str">
        <f>IF(OR(C74="",V74="",X74="",AB74="",AE74="",AG74=""),"",ROUND(V74*INDEX(PMEREFRI[Savings per Unit kWh],MATCH(C74,PMEREFRI[Eff Desc 1],0)),0))</f>
        <v/>
      </c>
      <c r="AL74" s="911"/>
      <c r="AM74" s="911"/>
      <c r="AN74" s="930" t="str">
        <f t="shared" ref="AN74" si="49">IF(OR(C74="",V74="",X74="",AB74="",AE74="",AG74=""),"",IF(BC74&lt;&gt;"",BC74,MIN(AU74,ROUND(V74*AI74,2))))</f>
        <v/>
      </c>
      <c r="AO74" s="931"/>
      <c r="AP74" s="931"/>
      <c r="AQ74" s="868"/>
      <c r="BC74" s="830"/>
    </row>
    <row r="75" spans="2:55" ht="15.95" hidden="1" customHeight="1">
      <c r="B75" s="929"/>
      <c r="C75" s="840"/>
      <c r="D75" s="841"/>
      <c r="E75" s="841"/>
      <c r="F75" s="841"/>
      <c r="G75" s="841"/>
      <c r="H75" s="841"/>
      <c r="I75" s="841"/>
      <c r="J75" s="841"/>
      <c r="K75" s="841"/>
      <c r="L75" s="841"/>
      <c r="M75" s="842"/>
      <c r="N75" s="917"/>
      <c r="O75" s="918"/>
      <c r="P75" s="918"/>
      <c r="Q75" s="918"/>
      <c r="R75" s="918"/>
      <c r="S75" s="919"/>
      <c r="T75" s="955"/>
      <c r="U75" s="956"/>
      <c r="V75" s="853"/>
      <c r="W75" s="854"/>
      <c r="X75" s="840"/>
      <c r="Y75" s="841"/>
      <c r="Z75" s="841"/>
      <c r="AA75" s="842"/>
      <c r="AB75" s="840"/>
      <c r="AC75" s="841"/>
      <c r="AD75" s="842"/>
      <c r="AE75" s="865"/>
      <c r="AF75" s="875"/>
      <c r="AG75" s="865"/>
      <c r="AH75" s="875"/>
      <c r="AI75" s="925"/>
      <c r="AJ75" s="870"/>
      <c r="AK75" s="912"/>
      <c r="AL75" s="913"/>
      <c r="AM75" s="913"/>
      <c r="AN75" s="925"/>
      <c r="AO75" s="932"/>
      <c r="AP75" s="932"/>
      <c r="AQ75" s="870"/>
      <c r="BC75" s="831"/>
    </row>
    <row r="76" spans="2:55" ht="15.95" hidden="1" customHeight="1">
      <c r="B76" s="929">
        <v>31</v>
      </c>
      <c r="C76" s="837"/>
      <c r="D76" s="838"/>
      <c r="E76" s="838"/>
      <c r="F76" s="838"/>
      <c r="G76" s="838"/>
      <c r="H76" s="838"/>
      <c r="I76" s="838"/>
      <c r="J76" s="838"/>
      <c r="K76" s="838"/>
      <c r="L76" s="838"/>
      <c r="M76" s="839"/>
      <c r="N76" s="914" t="str">
        <f>IF(C76="","",INDEX(PMEREFRI[Base Desc 1],MATCH(C76,PMEREFRI[Eff Desc 1],0)))</f>
        <v/>
      </c>
      <c r="O76" s="915"/>
      <c r="P76" s="915"/>
      <c r="Q76" s="915"/>
      <c r="R76" s="915"/>
      <c r="S76" s="916"/>
      <c r="T76" s="953" t="str">
        <f>IF(C76="","",INDEX(PMEREFRI[Unit of Measure],MATCH(C76,PMEREFRI[Eff Desc 1],0)))</f>
        <v/>
      </c>
      <c r="U76" s="954"/>
      <c r="V76" s="851"/>
      <c r="W76" s="852"/>
      <c r="X76" s="837"/>
      <c r="Y76" s="838"/>
      <c r="Z76" s="838"/>
      <c r="AA76" s="839"/>
      <c r="AB76" s="837"/>
      <c r="AC76" s="838"/>
      <c r="AD76" s="839"/>
      <c r="AE76" s="863"/>
      <c r="AF76" s="874"/>
      <c r="AG76" s="863"/>
      <c r="AH76" s="874"/>
      <c r="AI76" s="923" t="str">
        <f>IF(C76="","",INDEX(PMEREFRI[Inc Rate Unit],MATCH(C76,PMEREFRI[Eff Desc 1],0)))</f>
        <v/>
      </c>
      <c r="AJ76" s="924"/>
      <c r="AK76" s="910" t="str">
        <f>IF(OR(C76="",V76="",X76="",AB76="",AE76="",AG76=""),"",ROUND(V76*INDEX(PMEREFRI[Savings per Unit kWh],MATCH(C76,PMEREFRI[Eff Desc 1],0)),0))</f>
        <v/>
      </c>
      <c r="AL76" s="911"/>
      <c r="AM76" s="911"/>
      <c r="AN76" s="930" t="str">
        <f t="shared" ref="AN76" si="50">IF(OR(C76="",V76="",X76="",AB76="",AE76="",AG76=""),"",IF(BC76&lt;&gt;"",BC76,MIN(AU76,ROUND(V76*AI76,2))))</f>
        <v/>
      </c>
      <c r="AO76" s="931"/>
      <c r="AP76" s="931"/>
      <c r="AQ76" s="868"/>
      <c r="BC76" s="830"/>
    </row>
    <row r="77" spans="2:55" ht="15.95" hidden="1" customHeight="1">
      <c r="B77" s="929"/>
      <c r="C77" s="840"/>
      <c r="D77" s="841"/>
      <c r="E77" s="841"/>
      <c r="F77" s="841"/>
      <c r="G77" s="841"/>
      <c r="H77" s="841"/>
      <c r="I77" s="841"/>
      <c r="J77" s="841"/>
      <c r="K77" s="841"/>
      <c r="L77" s="841"/>
      <c r="M77" s="842"/>
      <c r="N77" s="917"/>
      <c r="O77" s="918"/>
      <c r="P77" s="918"/>
      <c r="Q77" s="918"/>
      <c r="R77" s="918"/>
      <c r="S77" s="919"/>
      <c r="T77" s="955"/>
      <c r="U77" s="956"/>
      <c r="V77" s="853"/>
      <c r="W77" s="854"/>
      <c r="X77" s="840"/>
      <c r="Y77" s="841"/>
      <c r="Z77" s="841"/>
      <c r="AA77" s="842"/>
      <c r="AB77" s="840"/>
      <c r="AC77" s="841"/>
      <c r="AD77" s="842"/>
      <c r="AE77" s="865"/>
      <c r="AF77" s="875"/>
      <c r="AG77" s="865"/>
      <c r="AH77" s="875"/>
      <c r="AI77" s="925"/>
      <c r="AJ77" s="870"/>
      <c r="AK77" s="912"/>
      <c r="AL77" s="913"/>
      <c r="AM77" s="913"/>
      <c r="AN77" s="925"/>
      <c r="AO77" s="932"/>
      <c r="AP77" s="932"/>
      <c r="AQ77" s="870"/>
      <c r="BC77" s="831"/>
    </row>
    <row r="78" spans="2:55" ht="15.95" hidden="1" customHeight="1">
      <c r="B78" s="929">
        <v>32</v>
      </c>
      <c r="C78" s="837"/>
      <c r="D78" s="838"/>
      <c r="E78" s="838"/>
      <c r="F78" s="838"/>
      <c r="G78" s="838"/>
      <c r="H78" s="838"/>
      <c r="I78" s="838"/>
      <c r="J78" s="838"/>
      <c r="K78" s="838"/>
      <c r="L78" s="838"/>
      <c r="M78" s="839"/>
      <c r="N78" s="914" t="str">
        <f>IF(C78="","",INDEX(PMEREFRI[Base Desc 1],MATCH(C78,PMEREFRI[Eff Desc 1],0)))</f>
        <v/>
      </c>
      <c r="O78" s="915"/>
      <c r="P78" s="915"/>
      <c r="Q78" s="915"/>
      <c r="R78" s="915"/>
      <c r="S78" s="916"/>
      <c r="T78" s="953" t="str">
        <f>IF(C78="","",INDEX(PMEREFRI[Unit of Measure],MATCH(C78,PMEREFRI[Eff Desc 1],0)))</f>
        <v/>
      </c>
      <c r="U78" s="954"/>
      <c r="V78" s="851"/>
      <c r="W78" s="852"/>
      <c r="X78" s="837"/>
      <c r="Y78" s="838"/>
      <c r="Z78" s="838"/>
      <c r="AA78" s="839"/>
      <c r="AB78" s="837"/>
      <c r="AC78" s="838"/>
      <c r="AD78" s="839"/>
      <c r="AE78" s="863"/>
      <c r="AF78" s="874"/>
      <c r="AG78" s="863"/>
      <c r="AH78" s="874"/>
      <c r="AI78" s="923" t="str">
        <f>IF(C78="","",INDEX(PMEREFRI[Inc Rate Unit],MATCH(C78,PMEREFRI[Eff Desc 1],0)))</f>
        <v/>
      </c>
      <c r="AJ78" s="924"/>
      <c r="AK78" s="910" t="str">
        <f>IF(OR(C78="",V78="",X78="",AB78="",AE78="",AG78=""),"",ROUND(V78*INDEX(PMEREFRI[Savings per Unit kWh],MATCH(C78,PMEREFRI[Eff Desc 1],0)),0))</f>
        <v/>
      </c>
      <c r="AL78" s="911"/>
      <c r="AM78" s="911"/>
      <c r="AN78" s="930" t="str">
        <f t="shared" ref="AN78" si="51">IF(OR(C78="",V78="",X78="",AB78="",AE78="",AG78=""),"",IF(BC78&lt;&gt;"",BC78,MIN(AU78,ROUND(V78*AI78,2))))</f>
        <v/>
      </c>
      <c r="AO78" s="931"/>
      <c r="AP78" s="931"/>
      <c r="AQ78" s="868"/>
      <c r="BC78" s="830"/>
    </row>
    <row r="79" spans="2:55" ht="15.95" hidden="1" customHeight="1">
      <c r="B79" s="929"/>
      <c r="C79" s="840"/>
      <c r="D79" s="841"/>
      <c r="E79" s="841"/>
      <c r="F79" s="841"/>
      <c r="G79" s="841"/>
      <c r="H79" s="841"/>
      <c r="I79" s="841"/>
      <c r="J79" s="841"/>
      <c r="K79" s="841"/>
      <c r="L79" s="841"/>
      <c r="M79" s="842"/>
      <c r="N79" s="917"/>
      <c r="O79" s="918"/>
      <c r="P79" s="918"/>
      <c r="Q79" s="918"/>
      <c r="R79" s="918"/>
      <c r="S79" s="919"/>
      <c r="T79" s="955"/>
      <c r="U79" s="956"/>
      <c r="V79" s="853"/>
      <c r="W79" s="854"/>
      <c r="X79" s="840"/>
      <c r="Y79" s="841"/>
      <c r="Z79" s="841"/>
      <c r="AA79" s="842"/>
      <c r="AB79" s="840"/>
      <c r="AC79" s="841"/>
      <c r="AD79" s="842"/>
      <c r="AE79" s="865"/>
      <c r="AF79" s="875"/>
      <c r="AG79" s="865"/>
      <c r="AH79" s="875"/>
      <c r="AI79" s="925"/>
      <c r="AJ79" s="870"/>
      <c r="AK79" s="912"/>
      <c r="AL79" s="913"/>
      <c r="AM79" s="913"/>
      <c r="AN79" s="925"/>
      <c r="AO79" s="932"/>
      <c r="AP79" s="932"/>
      <c r="AQ79" s="870"/>
      <c r="BC79" s="831"/>
    </row>
    <row r="80" spans="2:55" ht="15.95" hidden="1" customHeight="1">
      <c r="B80" s="929">
        <v>33</v>
      </c>
      <c r="C80" s="837"/>
      <c r="D80" s="838"/>
      <c r="E80" s="838"/>
      <c r="F80" s="838"/>
      <c r="G80" s="838"/>
      <c r="H80" s="838"/>
      <c r="I80" s="838"/>
      <c r="J80" s="838"/>
      <c r="K80" s="838"/>
      <c r="L80" s="838"/>
      <c r="M80" s="839"/>
      <c r="N80" s="914" t="str">
        <f>IF(C80="","",INDEX(PMEREFRI[Base Desc 1],MATCH(C80,PMEREFRI[Eff Desc 1],0)))</f>
        <v/>
      </c>
      <c r="O80" s="915"/>
      <c r="P80" s="915"/>
      <c r="Q80" s="915"/>
      <c r="R80" s="915"/>
      <c r="S80" s="916"/>
      <c r="T80" s="953" t="str">
        <f>IF(C80="","",INDEX(PMEREFRI[Unit of Measure],MATCH(C80,PMEREFRI[Eff Desc 1],0)))</f>
        <v/>
      </c>
      <c r="U80" s="954"/>
      <c r="V80" s="851"/>
      <c r="W80" s="852"/>
      <c r="X80" s="837"/>
      <c r="Y80" s="838"/>
      <c r="Z80" s="838"/>
      <c r="AA80" s="839"/>
      <c r="AB80" s="837"/>
      <c r="AC80" s="838"/>
      <c r="AD80" s="839"/>
      <c r="AE80" s="863"/>
      <c r="AF80" s="874"/>
      <c r="AG80" s="863"/>
      <c r="AH80" s="874"/>
      <c r="AI80" s="923" t="str">
        <f>IF(C80="","",INDEX(PMEREFRI[Inc Rate Unit],MATCH(C80,PMEREFRI[Eff Desc 1],0)))</f>
        <v/>
      </c>
      <c r="AJ80" s="924"/>
      <c r="AK80" s="910" t="str">
        <f>IF(OR(C80="",V80="",X80="",AB80="",AE80="",AG80=""),"",ROUND(V80*INDEX(PMEREFRI[Savings per Unit kWh],MATCH(C80,PMEREFRI[Eff Desc 1],0)),0))</f>
        <v/>
      </c>
      <c r="AL80" s="911"/>
      <c r="AM80" s="911"/>
      <c r="AN80" s="930" t="str">
        <f t="shared" ref="AN80" si="52">IF(OR(C80="",V80="",X80="",AB80="",AE80="",AG80=""),"",IF(BC80&lt;&gt;"",BC80,MIN(AU80,ROUND(V80*AI80,2))))</f>
        <v/>
      </c>
      <c r="AO80" s="931"/>
      <c r="AP80" s="931"/>
      <c r="AQ80" s="868"/>
      <c r="BC80" s="830"/>
    </row>
    <row r="81" spans="2:55" ht="15.95" hidden="1" customHeight="1">
      <c r="B81" s="929"/>
      <c r="C81" s="840"/>
      <c r="D81" s="841"/>
      <c r="E81" s="841"/>
      <c r="F81" s="841"/>
      <c r="G81" s="841"/>
      <c r="H81" s="841"/>
      <c r="I81" s="841"/>
      <c r="J81" s="841"/>
      <c r="K81" s="841"/>
      <c r="L81" s="841"/>
      <c r="M81" s="842"/>
      <c r="N81" s="917"/>
      <c r="O81" s="918"/>
      <c r="P81" s="918"/>
      <c r="Q81" s="918"/>
      <c r="R81" s="918"/>
      <c r="S81" s="919"/>
      <c r="T81" s="955"/>
      <c r="U81" s="956"/>
      <c r="V81" s="853"/>
      <c r="W81" s="854"/>
      <c r="X81" s="840"/>
      <c r="Y81" s="841"/>
      <c r="Z81" s="841"/>
      <c r="AA81" s="842"/>
      <c r="AB81" s="840"/>
      <c r="AC81" s="841"/>
      <c r="AD81" s="842"/>
      <c r="AE81" s="865"/>
      <c r="AF81" s="875"/>
      <c r="AG81" s="865"/>
      <c r="AH81" s="875"/>
      <c r="AI81" s="925"/>
      <c r="AJ81" s="870"/>
      <c r="AK81" s="912"/>
      <c r="AL81" s="913"/>
      <c r="AM81" s="913"/>
      <c r="AN81" s="925"/>
      <c r="AO81" s="932"/>
      <c r="AP81" s="932"/>
      <c r="AQ81" s="870"/>
      <c r="BC81" s="831"/>
    </row>
    <row r="82" spans="2:55" ht="15.95" hidden="1" customHeight="1">
      <c r="B82" s="929">
        <v>34</v>
      </c>
      <c r="C82" s="837"/>
      <c r="D82" s="838"/>
      <c r="E82" s="838"/>
      <c r="F82" s="838"/>
      <c r="G82" s="838"/>
      <c r="H82" s="838"/>
      <c r="I82" s="838"/>
      <c r="J82" s="838"/>
      <c r="K82" s="838"/>
      <c r="L82" s="838"/>
      <c r="M82" s="839"/>
      <c r="N82" s="914" t="str">
        <f>IF(C82="","",INDEX(PMEREFRI[Base Desc 1],MATCH(C82,PMEREFRI[Eff Desc 1],0)))</f>
        <v/>
      </c>
      <c r="O82" s="915"/>
      <c r="P82" s="915"/>
      <c r="Q82" s="915"/>
      <c r="R82" s="915"/>
      <c r="S82" s="916"/>
      <c r="T82" s="953" t="str">
        <f>IF(C82="","",INDEX(PMEREFRI[Unit of Measure],MATCH(C82,PMEREFRI[Eff Desc 1],0)))</f>
        <v/>
      </c>
      <c r="U82" s="954"/>
      <c r="V82" s="851"/>
      <c r="W82" s="852"/>
      <c r="X82" s="837"/>
      <c r="Y82" s="838"/>
      <c r="Z82" s="838"/>
      <c r="AA82" s="839"/>
      <c r="AB82" s="837"/>
      <c r="AC82" s="838"/>
      <c r="AD82" s="839"/>
      <c r="AE82" s="863"/>
      <c r="AF82" s="874"/>
      <c r="AG82" s="863"/>
      <c r="AH82" s="874"/>
      <c r="AI82" s="923" t="str">
        <f>IF(C82="","",INDEX(PMEREFRI[Inc Rate Unit],MATCH(C82,PMEREFRI[Eff Desc 1],0)))</f>
        <v/>
      </c>
      <c r="AJ82" s="924"/>
      <c r="AK82" s="910" t="str">
        <f>IF(OR(C82="",V82="",X82="",AB82="",AE82="",AG82=""),"",ROUND(V82*INDEX(PMEREFRI[Savings per Unit kWh],MATCH(C82,PMEREFRI[Eff Desc 1],0)),0))</f>
        <v/>
      </c>
      <c r="AL82" s="911"/>
      <c r="AM82" s="911"/>
      <c r="AN82" s="930" t="str">
        <f t="shared" ref="AN82" si="53">IF(OR(C82="",V82="",X82="",AB82="",AE82="",AG82=""),"",IF(BC82&lt;&gt;"",BC82,MIN(AU82,ROUND(V82*AI82,2))))</f>
        <v/>
      </c>
      <c r="AO82" s="931"/>
      <c r="AP82" s="931"/>
      <c r="AQ82" s="868"/>
      <c r="BC82" s="830"/>
    </row>
    <row r="83" spans="2:55" ht="15.95" hidden="1" customHeight="1">
      <c r="B83" s="929"/>
      <c r="C83" s="840"/>
      <c r="D83" s="841"/>
      <c r="E83" s="841"/>
      <c r="F83" s="841"/>
      <c r="G83" s="841"/>
      <c r="H83" s="841"/>
      <c r="I83" s="841"/>
      <c r="J83" s="841"/>
      <c r="K83" s="841"/>
      <c r="L83" s="841"/>
      <c r="M83" s="842"/>
      <c r="N83" s="917"/>
      <c r="O83" s="918"/>
      <c r="P83" s="918"/>
      <c r="Q83" s="918"/>
      <c r="R83" s="918"/>
      <c r="S83" s="919"/>
      <c r="T83" s="955"/>
      <c r="U83" s="956"/>
      <c r="V83" s="853"/>
      <c r="W83" s="854"/>
      <c r="X83" s="840"/>
      <c r="Y83" s="841"/>
      <c r="Z83" s="841"/>
      <c r="AA83" s="842"/>
      <c r="AB83" s="840"/>
      <c r="AC83" s="841"/>
      <c r="AD83" s="842"/>
      <c r="AE83" s="865"/>
      <c r="AF83" s="875"/>
      <c r="AG83" s="865"/>
      <c r="AH83" s="875"/>
      <c r="AI83" s="925"/>
      <c r="AJ83" s="870"/>
      <c r="AK83" s="912"/>
      <c r="AL83" s="913"/>
      <c r="AM83" s="913"/>
      <c r="AN83" s="925"/>
      <c r="AO83" s="932"/>
      <c r="AP83" s="932"/>
      <c r="AQ83" s="870"/>
      <c r="BC83" s="831"/>
    </row>
    <row r="84" spans="2:55" ht="15.95" hidden="1" customHeight="1">
      <c r="B84" s="929">
        <v>35</v>
      </c>
      <c r="C84" s="837"/>
      <c r="D84" s="838"/>
      <c r="E84" s="838"/>
      <c r="F84" s="838"/>
      <c r="G84" s="838"/>
      <c r="H84" s="838"/>
      <c r="I84" s="838"/>
      <c r="J84" s="838"/>
      <c r="K84" s="838"/>
      <c r="L84" s="838"/>
      <c r="M84" s="839"/>
      <c r="N84" s="914" t="str">
        <f>IF(C84="","",INDEX(PMEREFRI[Base Desc 1],MATCH(C84,PMEREFRI[Eff Desc 1],0)))</f>
        <v/>
      </c>
      <c r="O84" s="915"/>
      <c r="P84" s="915"/>
      <c r="Q84" s="915"/>
      <c r="R84" s="915"/>
      <c r="S84" s="916"/>
      <c r="T84" s="953" t="str">
        <f>IF(C84="","",INDEX(PMEREFRI[Unit of Measure],MATCH(C84,PMEREFRI[Eff Desc 1],0)))</f>
        <v/>
      </c>
      <c r="U84" s="954"/>
      <c r="V84" s="851"/>
      <c r="W84" s="852"/>
      <c r="X84" s="837"/>
      <c r="Y84" s="838"/>
      <c r="Z84" s="838"/>
      <c r="AA84" s="839"/>
      <c r="AB84" s="837"/>
      <c r="AC84" s="838"/>
      <c r="AD84" s="839"/>
      <c r="AE84" s="863"/>
      <c r="AF84" s="874"/>
      <c r="AG84" s="863"/>
      <c r="AH84" s="874"/>
      <c r="AI84" s="923" t="str">
        <f>IF(C84="","",INDEX(PMEREFRI[Inc Rate Unit],MATCH(C84,PMEREFRI[Eff Desc 1],0)))</f>
        <v/>
      </c>
      <c r="AJ84" s="924"/>
      <c r="AK84" s="910" t="str">
        <f>IF(OR(C84="",V84="",X84="",AB84="",AE84="",AG84=""),"",ROUND(V84*INDEX(PMEREFRI[Savings per Unit kWh],MATCH(C84,PMEREFRI[Eff Desc 1],0)),0))</f>
        <v/>
      </c>
      <c r="AL84" s="911"/>
      <c r="AM84" s="911"/>
      <c r="AN84" s="930" t="str">
        <f t="shared" ref="AN84" si="54">IF(OR(C84="",V84="",X84="",AB84="",AE84="",AG84=""),"",IF(BC84&lt;&gt;"",BC84,MIN(AU84,ROUND(V84*AI84,2))))</f>
        <v/>
      </c>
      <c r="AO84" s="931"/>
      <c r="AP84" s="931"/>
      <c r="AQ84" s="868"/>
      <c r="BC84" s="830"/>
    </row>
    <row r="85" spans="2:55" ht="15.95" hidden="1" customHeight="1">
      <c r="B85" s="929"/>
      <c r="C85" s="840"/>
      <c r="D85" s="841"/>
      <c r="E85" s="841"/>
      <c r="F85" s="841"/>
      <c r="G85" s="841"/>
      <c r="H85" s="841"/>
      <c r="I85" s="841"/>
      <c r="J85" s="841"/>
      <c r="K85" s="841"/>
      <c r="L85" s="841"/>
      <c r="M85" s="842"/>
      <c r="N85" s="917"/>
      <c r="O85" s="918"/>
      <c r="P85" s="918"/>
      <c r="Q85" s="918"/>
      <c r="R85" s="918"/>
      <c r="S85" s="919"/>
      <c r="T85" s="955"/>
      <c r="U85" s="956"/>
      <c r="V85" s="853"/>
      <c r="W85" s="854"/>
      <c r="X85" s="840"/>
      <c r="Y85" s="841"/>
      <c r="Z85" s="841"/>
      <c r="AA85" s="842"/>
      <c r="AB85" s="840"/>
      <c r="AC85" s="841"/>
      <c r="AD85" s="842"/>
      <c r="AE85" s="865"/>
      <c r="AF85" s="875"/>
      <c r="AG85" s="865"/>
      <c r="AH85" s="875"/>
      <c r="AI85" s="925"/>
      <c r="AJ85" s="870"/>
      <c r="AK85" s="912"/>
      <c r="AL85" s="913"/>
      <c r="AM85" s="913"/>
      <c r="AN85" s="925"/>
      <c r="AO85" s="932"/>
      <c r="AP85" s="932"/>
      <c r="AQ85" s="870"/>
      <c r="BC85" s="831"/>
    </row>
    <row r="86" spans="2:55" ht="15.95" hidden="1" customHeight="1">
      <c r="B86" s="929">
        <v>36</v>
      </c>
      <c r="C86" s="837"/>
      <c r="D86" s="838"/>
      <c r="E86" s="838"/>
      <c r="F86" s="838"/>
      <c r="G86" s="838"/>
      <c r="H86" s="838"/>
      <c r="I86" s="838"/>
      <c r="J86" s="838"/>
      <c r="K86" s="838"/>
      <c r="L86" s="838"/>
      <c r="M86" s="839"/>
      <c r="N86" s="914" t="str">
        <f>IF(C86="","",INDEX(PMEREFRI[Base Desc 1],MATCH(C86,PMEREFRI[Eff Desc 1],0)))</f>
        <v/>
      </c>
      <c r="O86" s="915"/>
      <c r="P86" s="915"/>
      <c r="Q86" s="915"/>
      <c r="R86" s="915"/>
      <c r="S86" s="916"/>
      <c r="T86" s="953" t="str">
        <f>IF(C86="","",INDEX(PMEREFRI[Unit of Measure],MATCH(C86,PMEREFRI[Eff Desc 1],0)))</f>
        <v/>
      </c>
      <c r="U86" s="954"/>
      <c r="V86" s="851"/>
      <c r="W86" s="852"/>
      <c r="X86" s="837"/>
      <c r="Y86" s="838"/>
      <c r="Z86" s="838"/>
      <c r="AA86" s="839"/>
      <c r="AB86" s="837"/>
      <c r="AC86" s="838"/>
      <c r="AD86" s="839"/>
      <c r="AE86" s="863"/>
      <c r="AF86" s="874"/>
      <c r="AG86" s="863"/>
      <c r="AH86" s="874"/>
      <c r="AI86" s="923" t="str">
        <f>IF(C86="","",INDEX(PMEREFRI[Inc Rate Unit],MATCH(C86,PMEREFRI[Eff Desc 1],0)))</f>
        <v/>
      </c>
      <c r="AJ86" s="924"/>
      <c r="AK86" s="910" t="str">
        <f>IF(OR(C86="",V86="",X86="",AB86="",AE86="",AG86=""),"",ROUND(V86*INDEX(PMEREFRI[Savings per Unit kWh],MATCH(C86,PMEREFRI[Eff Desc 1],0)),0))</f>
        <v/>
      </c>
      <c r="AL86" s="911"/>
      <c r="AM86" s="911"/>
      <c r="AN86" s="930" t="str">
        <f t="shared" ref="AN86" si="55">IF(OR(C86="",V86="",X86="",AB86="",AE86="",AG86=""),"",IF(BC86&lt;&gt;"",BC86,MIN(AU86,ROUND(V86*AI86,2))))</f>
        <v/>
      </c>
      <c r="AO86" s="931"/>
      <c r="AP86" s="931"/>
      <c r="AQ86" s="868"/>
      <c r="BC86" s="830"/>
    </row>
    <row r="87" spans="2:55" ht="15.95" hidden="1" customHeight="1">
      <c r="B87" s="929"/>
      <c r="C87" s="840"/>
      <c r="D87" s="841"/>
      <c r="E87" s="841"/>
      <c r="F87" s="841"/>
      <c r="G87" s="841"/>
      <c r="H87" s="841"/>
      <c r="I87" s="841"/>
      <c r="J87" s="841"/>
      <c r="K87" s="841"/>
      <c r="L87" s="841"/>
      <c r="M87" s="842"/>
      <c r="N87" s="917"/>
      <c r="O87" s="918"/>
      <c r="P87" s="918"/>
      <c r="Q87" s="918"/>
      <c r="R87" s="918"/>
      <c r="S87" s="919"/>
      <c r="T87" s="955"/>
      <c r="U87" s="956"/>
      <c r="V87" s="853"/>
      <c r="W87" s="854"/>
      <c r="X87" s="840"/>
      <c r="Y87" s="841"/>
      <c r="Z87" s="841"/>
      <c r="AA87" s="842"/>
      <c r="AB87" s="840"/>
      <c r="AC87" s="841"/>
      <c r="AD87" s="842"/>
      <c r="AE87" s="865"/>
      <c r="AF87" s="875"/>
      <c r="AG87" s="865"/>
      <c r="AH87" s="875"/>
      <c r="AI87" s="925"/>
      <c r="AJ87" s="870"/>
      <c r="AK87" s="912"/>
      <c r="AL87" s="913"/>
      <c r="AM87" s="913"/>
      <c r="AN87" s="925"/>
      <c r="AO87" s="932"/>
      <c r="AP87" s="932"/>
      <c r="AQ87" s="870"/>
      <c r="BC87" s="831"/>
    </row>
    <row r="88" spans="2:55" ht="15.95" hidden="1" customHeight="1">
      <c r="B88" s="929">
        <v>37</v>
      </c>
      <c r="C88" s="837"/>
      <c r="D88" s="838"/>
      <c r="E88" s="838"/>
      <c r="F88" s="838"/>
      <c r="G88" s="838"/>
      <c r="H88" s="838"/>
      <c r="I88" s="838"/>
      <c r="J88" s="838"/>
      <c r="K88" s="838"/>
      <c r="L88" s="838"/>
      <c r="M88" s="839"/>
      <c r="N88" s="914" t="str">
        <f>IF(C88="","",INDEX(PMEREFRI[Base Desc 1],MATCH(C88,PMEREFRI[Eff Desc 1],0)))</f>
        <v/>
      </c>
      <c r="O88" s="915"/>
      <c r="P88" s="915"/>
      <c r="Q88" s="915"/>
      <c r="R88" s="915"/>
      <c r="S88" s="916"/>
      <c r="T88" s="953" t="str">
        <f>IF(C88="","",INDEX(PMEREFRI[Unit of Measure],MATCH(C88,PMEREFRI[Eff Desc 1],0)))</f>
        <v/>
      </c>
      <c r="U88" s="954"/>
      <c r="V88" s="851"/>
      <c r="W88" s="852"/>
      <c r="X88" s="837"/>
      <c r="Y88" s="838"/>
      <c r="Z88" s="838"/>
      <c r="AA88" s="839"/>
      <c r="AB88" s="837"/>
      <c r="AC88" s="838"/>
      <c r="AD88" s="839"/>
      <c r="AE88" s="863"/>
      <c r="AF88" s="874"/>
      <c r="AG88" s="863"/>
      <c r="AH88" s="874"/>
      <c r="AI88" s="923" t="str">
        <f>IF(C88="","",INDEX(PMEREFRI[Inc Rate Unit],MATCH(C88,PMEREFRI[Eff Desc 1],0)))</f>
        <v/>
      </c>
      <c r="AJ88" s="924"/>
      <c r="AK88" s="910" t="str">
        <f>IF(OR(C88="",V88="",X88="",AB88="",AE88="",AG88=""),"",ROUND(V88*INDEX(PMEREFRI[Savings per Unit kWh],MATCH(C88,PMEREFRI[Eff Desc 1],0)),0))</f>
        <v/>
      </c>
      <c r="AL88" s="911"/>
      <c r="AM88" s="911"/>
      <c r="AN88" s="930" t="str">
        <f t="shared" ref="AN88" si="56">IF(OR(C88="",V88="",X88="",AB88="",AE88="",AG88=""),"",IF(BC88&lt;&gt;"",BC88,MIN(AU88,ROUND(V88*AI88,2))))</f>
        <v/>
      </c>
      <c r="AO88" s="931"/>
      <c r="AP88" s="931"/>
      <c r="AQ88" s="868"/>
      <c r="BC88" s="830"/>
    </row>
    <row r="89" spans="2:55" ht="15.95" hidden="1" customHeight="1">
      <c r="B89" s="929"/>
      <c r="C89" s="840"/>
      <c r="D89" s="841"/>
      <c r="E89" s="841"/>
      <c r="F89" s="841"/>
      <c r="G89" s="841"/>
      <c r="H89" s="841"/>
      <c r="I89" s="841"/>
      <c r="J89" s="841"/>
      <c r="K89" s="841"/>
      <c r="L89" s="841"/>
      <c r="M89" s="842"/>
      <c r="N89" s="917"/>
      <c r="O89" s="918"/>
      <c r="P89" s="918"/>
      <c r="Q89" s="918"/>
      <c r="R89" s="918"/>
      <c r="S89" s="919"/>
      <c r="T89" s="955"/>
      <c r="U89" s="956"/>
      <c r="V89" s="853"/>
      <c r="W89" s="854"/>
      <c r="X89" s="840"/>
      <c r="Y89" s="841"/>
      <c r="Z89" s="841"/>
      <c r="AA89" s="842"/>
      <c r="AB89" s="840"/>
      <c r="AC89" s="841"/>
      <c r="AD89" s="842"/>
      <c r="AE89" s="865"/>
      <c r="AF89" s="875"/>
      <c r="AG89" s="865"/>
      <c r="AH89" s="875"/>
      <c r="AI89" s="925"/>
      <c r="AJ89" s="870"/>
      <c r="AK89" s="912"/>
      <c r="AL89" s="913"/>
      <c r="AM89" s="913"/>
      <c r="AN89" s="925"/>
      <c r="AO89" s="932"/>
      <c r="AP89" s="932"/>
      <c r="AQ89" s="870"/>
      <c r="BC89" s="831"/>
    </row>
    <row r="90" spans="2:55" ht="15.95" hidden="1" customHeight="1">
      <c r="B90" s="929">
        <v>38</v>
      </c>
      <c r="C90" s="837"/>
      <c r="D90" s="838"/>
      <c r="E90" s="838"/>
      <c r="F90" s="838"/>
      <c r="G90" s="838"/>
      <c r="H90" s="838"/>
      <c r="I90" s="838"/>
      <c r="J90" s="838"/>
      <c r="K90" s="838"/>
      <c r="L90" s="838"/>
      <c r="M90" s="839"/>
      <c r="N90" s="914" t="str">
        <f>IF(C90="","",INDEX(PMEREFRI[Base Desc 1],MATCH(C90,PMEREFRI[Eff Desc 1],0)))</f>
        <v/>
      </c>
      <c r="O90" s="915"/>
      <c r="P90" s="915"/>
      <c r="Q90" s="915"/>
      <c r="R90" s="915"/>
      <c r="S90" s="916"/>
      <c r="T90" s="953" t="str">
        <f>IF(C90="","",INDEX(PMEREFRI[Unit of Measure],MATCH(C90,PMEREFRI[Eff Desc 1],0)))</f>
        <v/>
      </c>
      <c r="U90" s="954"/>
      <c r="V90" s="851"/>
      <c r="W90" s="852"/>
      <c r="X90" s="837"/>
      <c r="Y90" s="838"/>
      <c r="Z90" s="838"/>
      <c r="AA90" s="839"/>
      <c r="AB90" s="837"/>
      <c r="AC90" s="838"/>
      <c r="AD90" s="839"/>
      <c r="AE90" s="863"/>
      <c r="AF90" s="874"/>
      <c r="AG90" s="863"/>
      <c r="AH90" s="874"/>
      <c r="AI90" s="923" t="str">
        <f>IF(C90="","",INDEX(PMEREFRI[Inc Rate Unit],MATCH(C90,PMEREFRI[Eff Desc 1],0)))</f>
        <v/>
      </c>
      <c r="AJ90" s="924"/>
      <c r="AK90" s="910" t="str">
        <f>IF(OR(C90="",V90="",X90="",AB90="",AE90="",AG90=""),"",ROUND(V90*INDEX(PMEREFRI[Savings per Unit kWh],MATCH(C90,PMEREFRI[Eff Desc 1],0)),0))</f>
        <v/>
      </c>
      <c r="AL90" s="911"/>
      <c r="AM90" s="911"/>
      <c r="AN90" s="930" t="str">
        <f t="shared" ref="AN90" si="57">IF(OR(C90="",V90="",X90="",AB90="",AE90="",AG90=""),"",IF(BC90&lt;&gt;"",BC90,MIN(AU90,ROUND(V90*AI90,2))))</f>
        <v/>
      </c>
      <c r="AO90" s="931"/>
      <c r="AP90" s="931"/>
      <c r="AQ90" s="868"/>
      <c r="BC90" s="830"/>
    </row>
    <row r="91" spans="2:55" ht="15.95" hidden="1" customHeight="1">
      <c r="B91" s="929"/>
      <c r="C91" s="840"/>
      <c r="D91" s="841"/>
      <c r="E91" s="841"/>
      <c r="F91" s="841"/>
      <c r="G91" s="841"/>
      <c r="H91" s="841"/>
      <c r="I91" s="841"/>
      <c r="J91" s="841"/>
      <c r="K91" s="841"/>
      <c r="L91" s="841"/>
      <c r="M91" s="842"/>
      <c r="N91" s="917"/>
      <c r="O91" s="918"/>
      <c r="P91" s="918"/>
      <c r="Q91" s="918"/>
      <c r="R91" s="918"/>
      <c r="S91" s="919"/>
      <c r="T91" s="955"/>
      <c r="U91" s="956"/>
      <c r="V91" s="853"/>
      <c r="W91" s="854"/>
      <c r="X91" s="840"/>
      <c r="Y91" s="841"/>
      <c r="Z91" s="841"/>
      <c r="AA91" s="842"/>
      <c r="AB91" s="840"/>
      <c r="AC91" s="841"/>
      <c r="AD91" s="842"/>
      <c r="AE91" s="865"/>
      <c r="AF91" s="875"/>
      <c r="AG91" s="865"/>
      <c r="AH91" s="875"/>
      <c r="AI91" s="925"/>
      <c r="AJ91" s="870"/>
      <c r="AK91" s="912"/>
      <c r="AL91" s="913"/>
      <c r="AM91" s="913"/>
      <c r="AN91" s="925"/>
      <c r="AO91" s="932"/>
      <c r="AP91" s="932"/>
      <c r="AQ91" s="870"/>
      <c r="BC91" s="831"/>
    </row>
    <row r="92" spans="2:55" ht="15.95" hidden="1" customHeight="1">
      <c r="B92" s="929">
        <v>39</v>
      </c>
      <c r="C92" s="837"/>
      <c r="D92" s="838"/>
      <c r="E92" s="838"/>
      <c r="F92" s="838"/>
      <c r="G92" s="838"/>
      <c r="H92" s="838"/>
      <c r="I92" s="838"/>
      <c r="J92" s="838"/>
      <c r="K92" s="838"/>
      <c r="L92" s="838"/>
      <c r="M92" s="839"/>
      <c r="N92" s="914" t="str">
        <f>IF(C92="","",INDEX(PMEREFRI[Base Desc 1],MATCH(C92,PMEREFRI[Eff Desc 1],0)))</f>
        <v/>
      </c>
      <c r="O92" s="915"/>
      <c r="P92" s="915"/>
      <c r="Q92" s="915"/>
      <c r="R92" s="915"/>
      <c r="S92" s="916"/>
      <c r="T92" s="953" t="str">
        <f>IF(C92="","",INDEX(PMEREFRI[Unit of Measure],MATCH(C92,PMEREFRI[Eff Desc 1],0)))</f>
        <v/>
      </c>
      <c r="U92" s="954"/>
      <c r="V92" s="851"/>
      <c r="W92" s="852"/>
      <c r="X92" s="837"/>
      <c r="Y92" s="838"/>
      <c r="Z92" s="838"/>
      <c r="AA92" s="839"/>
      <c r="AB92" s="837"/>
      <c r="AC92" s="838"/>
      <c r="AD92" s="839"/>
      <c r="AE92" s="863"/>
      <c r="AF92" s="874"/>
      <c r="AG92" s="863"/>
      <c r="AH92" s="874"/>
      <c r="AI92" s="923" t="str">
        <f>IF(C92="","",INDEX(PMEREFRI[Inc Rate Unit],MATCH(C92,PMEREFRI[Eff Desc 1],0)))</f>
        <v/>
      </c>
      <c r="AJ92" s="924"/>
      <c r="AK92" s="910" t="str">
        <f>IF(OR(C92="",V92="",X92="",AB92="",AE92="",AG92=""),"",ROUND(V92*INDEX(PMEREFRI[Savings per Unit kWh],MATCH(C92,PMEREFRI[Eff Desc 1],0)),0))</f>
        <v/>
      </c>
      <c r="AL92" s="911"/>
      <c r="AM92" s="911"/>
      <c r="AN92" s="930" t="str">
        <f t="shared" ref="AN92" si="58">IF(OR(C92="",V92="",X92="",AB92="",AE92="",AG92=""),"",IF(BC92&lt;&gt;"",BC92,MIN(AU92,ROUND(V92*AI92,2))))</f>
        <v/>
      </c>
      <c r="AO92" s="931"/>
      <c r="AP92" s="931"/>
      <c r="AQ92" s="868"/>
      <c r="BC92" s="830"/>
    </row>
    <row r="93" spans="2:55" ht="15.95" hidden="1" customHeight="1">
      <c r="B93" s="929"/>
      <c r="C93" s="840"/>
      <c r="D93" s="841"/>
      <c r="E93" s="841"/>
      <c r="F93" s="841"/>
      <c r="G93" s="841"/>
      <c r="H93" s="841"/>
      <c r="I93" s="841"/>
      <c r="J93" s="841"/>
      <c r="K93" s="841"/>
      <c r="L93" s="841"/>
      <c r="M93" s="842"/>
      <c r="N93" s="917"/>
      <c r="O93" s="918"/>
      <c r="P93" s="918"/>
      <c r="Q93" s="918"/>
      <c r="R93" s="918"/>
      <c r="S93" s="919"/>
      <c r="T93" s="955"/>
      <c r="U93" s="956"/>
      <c r="V93" s="853"/>
      <c r="W93" s="854"/>
      <c r="X93" s="840"/>
      <c r="Y93" s="841"/>
      <c r="Z93" s="841"/>
      <c r="AA93" s="842"/>
      <c r="AB93" s="840"/>
      <c r="AC93" s="841"/>
      <c r="AD93" s="842"/>
      <c r="AE93" s="865"/>
      <c r="AF93" s="875"/>
      <c r="AG93" s="865"/>
      <c r="AH93" s="875"/>
      <c r="AI93" s="925"/>
      <c r="AJ93" s="870"/>
      <c r="AK93" s="912"/>
      <c r="AL93" s="913"/>
      <c r="AM93" s="913"/>
      <c r="AN93" s="925"/>
      <c r="AO93" s="932"/>
      <c r="AP93" s="932"/>
      <c r="AQ93" s="870"/>
      <c r="BC93" s="831"/>
    </row>
    <row r="94" spans="2:55" ht="15.95" hidden="1" customHeight="1">
      <c r="B94" s="929">
        <v>40</v>
      </c>
      <c r="C94" s="837"/>
      <c r="D94" s="838"/>
      <c r="E94" s="838"/>
      <c r="F94" s="838"/>
      <c r="G94" s="838"/>
      <c r="H94" s="838"/>
      <c r="I94" s="838"/>
      <c r="J94" s="838"/>
      <c r="K94" s="838"/>
      <c r="L94" s="838"/>
      <c r="M94" s="839"/>
      <c r="N94" s="914"/>
      <c r="O94" s="915"/>
      <c r="P94" s="915"/>
      <c r="Q94" s="915"/>
      <c r="R94" s="915"/>
      <c r="S94" s="916"/>
      <c r="T94" s="953"/>
      <c r="U94" s="954"/>
      <c r="V94" s="851"/>
      <c r="W94" s="852"/>
      <c r="X94" s="837"/>
      <c r="Y94" s="838"/>
      <c r="Z94" s="838"/>
      <c r="AA94" s="839"/>
      <c r="AB94" s="837"/>
      <c r="AC94" s="838"/>
      <c r="AD94" s="839"/>
      <c r="AE94" s="863"/>
      <c r="AF94" s="874"/>
      <c r="AG94" s="863"/>
      <c r="AH94" s="874"/>
      <c r="AI94" s="923"/>
      <c r="AJ94" s="924"/>
      <c r="AK94" s="910" t="str">
        <f>IF(OR(C94="",V94="",X94="",AB94="",AE94="",AG94=""),"",ROUND(V94*INDEX(PMEREFRI[Savings per Unit kWh],MATCH(C94,PMEREFRI[Eff Desc 1],0)),0))</f>
        <v/>
      </c>
      <c r="AL94" s="911"/>
      <c r="AM94" s="911"/>
      <c r="AN94" s="930"/>
      <c r="AO94" s="931"/>
      <c r="AP94" s="931"/>
      <c r="AQ94" s="868"/>
      <c r="AY94" s="813"/>
      <c r="BC94" s="830"/>
    </row>
    <row r="95" spans="2:55" ht="15.95" hidden="1" customHeight="1">
      <c r="B95" s="929"/>
      <c r="C95" s="840"/>
      <c r="D95" s="841"/>
      <c r="E95" s="841"/>
      <c r="F95" s="841"/>
      <c r="G95" s="841"/>
      <c r="H95" s="841"/>
      <c r="I95" s="841"/>
      <c r="J95" s="841"/>
      <c r="K95" s="841"/>
      <c r="L95" s="841"/>
      <c r="M95" s="842"/>
      <c r="N95" s="917"/>
      <c r="O95" s="918"/>
      <c r="P95" s="918"/>
      <c r="Q95" s="918"/>
      <c r="R95" s="918"/>
      <c r="S95" s="919"/>
      <c r="T95" s="955"/>
      <c r="U95" s="956"/>
      <c r="V95" s="853"/>
      <c r="W95" s="854"/>
      <c r="X95" s="840"/>
      <c r="Y95" s="841"/>
      <c r="Z95" s="841"/>
      <c r="AA95" s="842"/>
      <c r="AB95" s="840"/>
      <c r="AC95" s="841"/>
      <c r="AD95" s="842"/>
      <c r="AE95" s="865"/>
      <c r="AF95" s="875"/>
      <c r="AG95" s="865"/>
      <c r="AH95" s="875"/>
      <c r="AI95" s="925"/>
      <c r="AJ95" s="870"/>
      <c r="AK95" s="912"/>
      <c r="AL95" s="913"/>
      <c r="AM95" s="913"/>
      <c r="AN95" s="925"/>
      <c r="AO95" s="932"/>
      <c r="AP95" s="932"/>
      <c r="AQ95" s="870"/>
      <c r="AY95" s="814"/>
      <c r="BC95" s="831"/>
    </row>
    <row r="96" spans="2:55" ht="15.95" hidden="1" customHeight="1">
      <c r="B96" s="929">
        <v>41</v>
      </c>
      <c r="C96" s="8"/>
      <c r="D96" s="8"/>
      <c r="E96" s="8"/>
      <c r="F96" s="8"/>
      <c r="G96" s="8"/>
      <c r="H96" s="8"/>
      <c r="I96" s="8"/>
      <c r="J96" s="8"/>
      <c r="K96" s="8"/>
      <c r="L96" s="8"/>
      <c r="M96" s="8"/>
      <c r="N96" s="8"/>
      <c r="O96" s="8"/>
      <c r="P96" s="8"/>
      <c r="Q96" s="8"/>
      <c r="R96" s="8"/>
      <c r="S96" s="8"/>
      <c r="T96" s="8"/>
      <c r="U96" s="8"/>
      <c r="V96" s="8"/>
      <c r="W96" s="8"/>
      <c r="X96" s="8"/>
      <c r="Y96" s="8"/>
      <c r="Z96" s="8"/>
      <c r="AA96" s="8"/>
      <c r="AB96" s="8"/>
      <c r="AC96" s="8"/>
      <c r="AD96" s="8"/>
      <c r="AE96" s="8"/>
      <c r="AF96" s="8"/>
      <c r="AG96" s="8"/>
      <c r="AH96" s="8"/>
      <c r="AI96" s="8"/>
      <c r="AJ96" s="8"/>
      <c r="AK96" s="8"/>
      <c r="AL96" s="8"/>
      <c r="AM96" s="8"/>
      <c r="AN96" s="8"/>
      <c r="AO96" s="8"/>
      <c r="AP96" s="8"/>
      <c r="AQ96" s="8"/>
      <c r="BC96" s="830"/>
    </row>
    <row r="97" spans="2:55" ht="15.95" hidden="1" customHeight="1">
      <c r="B97" s="929"/>
      <c r="C97" s="8"/>
      <c r="D97" s="8"/>
      <c r="E97" s="8"/>
      <c r="F97" s="8"/>
      <c r="G97" s="8"/>
      <c r="H97" s="8"/>
      <c r="I97" s="8"/>
      <c r="J97" s="8"/>
      <c r="K97" s="8"/>
      <c r="L97" s="8"/>
      <c r="M97" s="8"/>
      <c r="N97" s="8"/>
      <c r="O97" s="8"/>
      <c r="P97" s="8"/>
      <c r="Q97" s="8"/>
      <c r="R97" s="8"/>
      <c r="S97" s="8"/>
      <c r="T97" s="8"/>
      <c r="U97" s="8"/>
      <c r="V97" s="8"/>
      <c r="W97" s="8"/>
      <c r="X97" s="8"/>
      <c r="Y97" s="8"/>
      <c r="Z97" s="8"/>
      <c r="AA97" s="8"/>
      <c r="AB97" s="8"/>
      <c r="AC97" s="8"/>
      <c r="AD97" s="8"/>
      <c r="AE97" s="8"/>
      <c r="AF97" s="8"/>
      <c r="AG97" s="8"/>
      <c r="AH97" s="8"/>
      <c r="AI97" s="8"/>
      <c r="AJ97" s="8"/>
      <c r="AK97" s="8"/>
      <c r="AL97" s="8"/>
      <c r="AM97" s="8"/>
      <c r="AN97" s="8"/>
      <c r="AO97" s="8"/>
      <c r="AP97" s="8"/>
      <c r="AQ97" s="8"/>
      <c r="BC97" s="831"/>
    </row>
    <row r="98" spans="2:55" ht="15.95" hidden="1" customHeight="1">
      <c r="B98" s="929">
        <v>42</v>
      </c>
      <c r="C98" s="8"/>
      <c r="D98" s="8"/>
      <c r="E98" s="8"/>
      <c r="F98" s="8"/>
      <c r="G98" s="8"/>
      <c r="H98" s="8"/>
      <c r="I98" s="8"/>
      <c r="J98" s="8"/>
      <c r="K98" s="8"/>
      <c r="L98" s="8"/>
      <c r="M98" s="8"/>
      <c r="N98" s="8"/>
      <c r="O98" s="8"/>
      <c r="P98" s="8"/>
      <c r="Q98" s="8"/>
      <c r="R98" s="8"/>
      <c r="S98" s="8"/>
      <c r="T98" s="8"/>
      <c r="U98" s="8"/>
      <c r="V98" s="8"/>
      <c r="W98" s="8"/>
      <c r="X98" s="8"/>
      <c r="Y98" s="8"/>
      <c r="Z98" s="8"/>
      <c r="AA98" s="8"/>
      <c r="AB98" s="8"/>
      <c r="AC98" s="8"/>
      <c r="AD98" s="8"/>
      <c r="AE98" s="8"/>
      <c r="AF98" s="8"/>
      <c r="AG98" s="8"/>
      <c r="AH98" s="8"/>
      <c r="AI98" s="8"/>
      <c r="AJ98" s="8"/>
      <c r="AK98" s="8"/>
      <c r="AL98" s="8"/>
      <c r="AM98" s="8"/>
      <c r="AN98" s="8"/>
      <c r="AO98" s="8"/>
      <c r="AP98" s="8"/>
      <c r="AQ98" s="8"/>
      <c r="BC98" s="830"/>
    </row>
    <row r="99" spans="2:55" ht="15.95" hidden="1" customHeight="1">
      <c r="B99" s="929"/>
      <c r="C99" s="8"/>
      <c r="D99" s="8"/>
      <c r="E99" s="8"/>
      <c r="F99" s="8"/>
      <c r="G99" s="8"/>
      <c r="H99" s="8"/>
      <c r="I99" s="8"/>
      <c r="J99" s="8"/>
      <c r="K99" s="8"/>
      <c r="L99" s="8"/>
      <c r="M99" s="8"/>
      <c r="N99" s="8"/>
      <c r="O99" s="8"/>
      <c r="P99" s="8"/>
      <c r="Q99" s="8"/>
      <c r="R99" s="8"/>
      <c r="S99" s="8"/>
      <c r="T99" s="8"/>
      <c r="U99" s="8"/>
      <c r="V99" s="8"/>
      <c r="W99" s="8"/>
      <c r="X99" s="8"/>
      <c r="Y99" s="8"/>
      <c r="Z99" s="8"/>
      <c r="AA99" s="8"/>
      <c r="AB99" s="8"/>
      <c r="AC99" s="8"/>
      <c r="AD99" s="8"/>
      <c r="AE99" s="8"/>
      <c r="AF99" s="8"/>
      <c r="AG99" s="8"/>
      <c r="AH99" s="8"/>
      <c r="AI99" s="8"/>
      <c r="AJ99" s="8"/>
      <c r="AK99" s="8"/>
      <c r="AL99" s="8"/>
      <c r="AM99" s="8"/>
      <c r="AN99" s="8"/>
      <c r="AO99" s="8"/>
      <c r="AP99" s="8"/>
      <c r="AQ99" s="8"/>
      <c r="BC99" s="831"/>
    </row>
    <row r="100" spans="2:55" ht="15.95" hidden="1" customHeight="1">
      <c r="B100" s="929">
        <v>43</v>
      </c>
      <c r="C100" s="8"/>
      <c r="D100" s="8"/>
      <c r="E100" s="8"/>
      <c r="F100" s="8"/>
      <c r="G100" s="8"/>
      <c r="H100" s="8"/>
      <c r="I100" s="8"/>
      <c r="J100" s="8"/>
      <c r="K100" s="8"/>
      <c r="L100" s="8"/>
      <c r="M100" s="8"/>
      <c r="N100" s="8"/>
      <c r="O100" s="8"/>
      <c r="P100" s="8"/>
      <c r="Q100" s="8"/>
      <c r="R100" s="8"/>
      <c r="S100" s="8"/>
      <c r="T100" s="8"/>
      <c r="U100" s="8"/>
      <c r="V100" s="8"/>
      <c r="W100" s="8"/>
      <c r="X100" s="8"/>
      <c r="Y100" s="8"/>
      <c r="Z100" s="8"/>
      <c r="AA100" s="8"/>
      <c r="AB100" s="8"/>
      <c r="AC100" s="8"/>
      <c r="AD100" s="8"/>
      <c r="AE100" s="8"/>
      <c r="AF100" s="8"/>
      <c r="AG100" s="8"/>
      <c r="AH100" s="8"/>
      <c r="AI100" s="8"/>
      <c r="AJ100" s="8"/>
      <c r="AK100" s="8"/>
      <c r="AL100" s="8"/>
      <c r="AM100" s="8"/>
      <c r="AN100" s="8"/>
      <c r="AO100" s="8"/>
      <c r="AP100" s="8"/>
      <c r="AQ100" s="8"/>
      <c r="BC100" s="830"/>
    </row>
    <row r="101" spans="2:55" ht="15.95" hidden="1" customHeight="1">
      <c r="B101" s="929"/>
      <c r="C101" s="8"/>
      <c r="D101" s="8"/>
      <c r="E101" s="8"/>
      <c r="F101" s="8"/>
      <c r="G101" s="8"/>
      <c r="H101" s="8"/>
      <c r="I101" s="8"/>
      <c r="J101" s="8"/>
      <c r="K101" s="8"/>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c r="AL101" s="8"/>
      <c r="AM101" s="8"/>
      <c r="AN101" s="8"/>
      <c r="AO101" s="8"/>
      <c r="AP101" s="8"/>
      <c r="AQ101" s="8"/>
      <c r="BC101" s="831"/>
    </row>
    <row r="102" spans="2:55" ht="15.95" hidden="1" customHeight="1">
      <c r="B102" s="929">
        <v>44</v>
      </c>
      <c r="C102" s="8"/>
      <c r="D102" s="8"/>
      <c r="E102" s="8"/>
      <c r="F102" s="8"/>
      <c r="G102" s="8"/>
      <c r="H102" s="8"/>
      <c r="I102" s="8"/>
      <c r="J102" s="8"/>
      <c r="K102" s="8"/>
      <c r="L102" s="8"/>
      <c r="M102" s="8"/>
      <c r="N102" s="8"/>
      <c r="O102" s="8"/>
      <c r="P102" s="8"/>
      <c r="Q102" s="8"/>
      <c r="R102" s="8"/>
      <c r="S102" s="8"/>
      <c r="T102" s="8"/>
      <c r="U102" s="8"/>
      <c r="V102" s="8"/>
      <c r="W102" s="8"/>
      <c r="X102" s="8"/>
      <c r="Y102" s="8"/>
      <c r="Z102" s="8"/>
      <c r="AA102" s="8"/>
      <c r="AB102" s="8"/>
      <c r="AC102" s="8"/>
      <c r="AD102" s="8"/>
      <c r="AE102" s="8"/>
      <c r="AF102" s="8"/>
      <c r="AG102" s="8"/>
      <c r="AH102" s="8"/>
      <c r="AI102" s="8"/>
      <c r="AJ102" s="8"/>
      <c r="AK102" s="8"/>
      <c r="AL102" s="8"/>
      <c r="AM102" s="8"/>
      <c r="AN102" s="8"/>
      <c r="AO102" s="8"/>
      <c r="AP102" s="8"/>
      <c r="AQ102" s="8"/>
      <c r="BC102" s="830"/>
    </row>
    <row r="103" spans="2:55" ht="15.95" hidden="1" customHeight="1">
      <c r="B103" s="929"/>
      <c r="C103" s="8"/>
      <c r="D103" s="8"/>
      <c r="E103" s="8"/>
      <c r="F103" s="8"/>
      <c r="G103" s="8"/>
      <c r="H103" s="8"/>
      <c r="I103" s="8"/>
      <c r="J103" s="8"/>
      <c r="K103" s="8"/>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c r="AM103" s="8"/>
      <c r="AN103" s="8"/>
      <c r="AO103" s="8"/>
      <c r="AP103" s="8"/>
      <c r="AQ103" s="8"/>
      <c r="BC103" s="831"/>
    </row>
    <row r="104" spans="2:55" ht="15.95" hidden="1" customHeight="1">
      <c r="B104" s="929">
        <v>45</v>
      </c>
      <c r="C104" s="8"/>
      <c r="D104" s="8"/>
      <c r="E104" s="8"/>
      <c r="F104" s="8"/>
      <c r="G104" s="8"/>
      <c r="H104" s="8"/>
      <c r="I104" s="8"/>
      <c r="J104" s="8"/>
      <c r="K104" s="8"/>
      <c r="L104" s="8"/>
      <c r="M104" s="8"/>
      <c r="N104" s="8"/>
      <c r="O104" s="8"/>
      <c r="P104" s="8"/>
      <c r="Q104" s="8"/>
      <c r="R104" s="8"/>
      <c r="S104" s="8"/>
      <c r="T104" s="8"/>
      <c r="U104" s="8"/>
      <c r="V104" s="8"/>
      <c r="W104" s="8"/>
      <c r="X104" s="8"/>
      <c r="Y104" s="8"/>
      <c r="Z104" s="8"/>
      <c r="AA104" s="8"/>
      <c r="AB104" s="8"/>
      <c r="AC104" s="8"/>
      <c r="AD104" s="8"/>
      <c r="AE104" s="8"/>
      <c r="AF104" s="8"/>
      <c r="AG104" s="8"/>
      <c r="AH104" s="8"/>
      <c r="AI104" s="8"/>
      <c r="AJ104" s="8"/>
      <c r="AK104" s="8"/>
      <c r="AL104" s="8"/>
      <c r="AM104" s="8"/>
      <c r="AN104" s="8"/>
      <c r="AO104" s="8"/>
      <c r="AP104" s="8"/>
      <c r="AQ104" s="8"/>
      <c r="BC104" s="830"/>
    </row>
    <row r="105" spans="2:55" ht="15.95" hidden="1" customHeight="1">
      <c r="B105" s="929"/>
      <c r="C105" s="8"/>
      <c r="D105" s="8"/>
      <c r="E105" s="8"/>
      <c r="F105" s="8"/>
      <c r="G105" s="8"/>
      <c r="H105" s="8"/>
      <c r="I105" s="8"/>
      <c r="J105" s="8"/>
      <c r="K105" s="8"/>
      <c r="L105" s="8"/>
      <c r="M105" s="8"/>
      <c r="N105" s="8"/>
      <c r="O105" s="8"/>
      <c r="P105" s="8"/>
      <c r="Q105" s="8"/>
      <c r="R105" s="8"/>
      <c r="S105" s="8"/>
      <c r="T105" s="8"/>
      <c r="U105" s="8"/>
      <c r="V105" s="8"/>
      <c r="W105" s="8"/>
      <c r="X105" s="8"/>
      <c r="Y105" s="8"/>
      <c r="Z105" s="8"/>
      <c r="AA105" s="8"/>
      <c r="AB105" s="8"/>
      <c r="AC105" s="8"/>
      <c r="AD105" s="8"/>
      <c r="AE105" s="8"/>
      <c r="AF105" s="8"/>
      <c r="AG105" s="8"/>
      <c r="AH105" s="8"/>
      <c r="AI105" s="8"/>
      <c r="AJ105" s="8"/>
      <c r="AK105" s="8"/>
      <c r="AL105" s="8"/>
      <c r="AM105" s="8"/>
      <c r="AN105" s="8"/>
      <c r="AO105" s="8"/>
      <c r="AP105" s="8"/>
      <c r="AQ105" s="8"/>
      <c r="BC105" s="831"/>
    </row>
    <row r="106" spans="2:55" ht="15.95" hidden="1" customHeight="1">
      <c r="B106" s="929">
        <v>46</v>
      </c>
      <c r="C106" s="8"/>
      <c r="D106" s="8"/>
      <c r="E106" s="8"/>
      <c r="F106" s="8"/>
      <c r="G106" s="8"/>
      <c r="H106" s="8"/>
      <c r="I106" s="8"/>
      <c r="J106" s="8"/>
      <c r="K106" s="8"/>
      <c r="L106" s="8"/>
      <c r="M106" s="8"/>
      <c r="N106" s="8"/>
      <c r="O106" s="8"/>
      <c r="P106" s="8"/>
      <c r="Q106" s="8"/>
      <c r="R106" s="8"/>
      <c r="S106" s="8"/>
      <c r="T106" s="8"/>
      <c r="U106" s="8"/>
      <c r="V106" s="8"/>
      <c r="W106" s="8"/>
      <c r="X106" s="8"/>
      <c r="Y106" s="8"/>
      <c r="Z106" s="8"/>
      <c r="AA106" s="8"/>
      <c r="AB106" s="8"/>
      <c r="AC106" s="8"/>
      <c r="AD106" s="8"/>
      <c r="AE106" s="8"/>
      <c r="AF106" s="8"/>
      <c r="AG106" s="8"/>
      <c r="AH106" s="8"/>
      <c r="AI106" s="8"/>
      <c r="AJ106" s="8"/>
      <c r="AK106" s="8"/>
      <c r="AL106" s="8"/>
      <c r="AM106" s="8"/>
      <c r="AN106" s="8"/>
      <c r="AO106" s="8"/>
      <c r="AP106" s="8"/>
      <c r="AQ106" s="8"/>
      <c r="BC106" s="830"/>
    </row>
    <row r="107" spans="2:55" ht="15.95" hidden="1" customHeight="1">
      <c r="B107" s="929"/>
      <c r="C107" s="8"/>
      <c r="D107" s="8"/>
      <c r="E107" s="8"/>
      <c r="F107" s="8"/>
      <c r="G107" s="8"/>
      <c r="H107" s="8"/>
      <c r="I107" s="8"/>
      <c r="J107" s="8"/>
      <c r="K107" s="8"/>
      <c r="L107" s="8"/>
      <c r="M107" s="8"/>
      <c r="N107" s="8"/>
      <c r="O107" s="8"/>
      <c r="P107" s="8"/>
      <c r="Q107" s="8"/>
      <c r="R107" s="8"/>
      <c r="S107" s="8"/>
      <c r="T107" s="8"/>
      <c r="U107" s="8"/>
      <c r="V107" s="8"/>
      <c r="W107" s="8"/>
      <c r="X107" s="8"/>
      <c r="Y107" s="8"/>
      <c r="Z107" s="8"/>
      <c r="AA107" s="8"/>
      <c r="AB107" s="8"/>
      <c r="AC107" s="8"/>
      <c r="AD107" s="8"/>
      <c r="AE107" s="8"/>
      <c r="AF107" s="8"/>
      <c r="AG107" s="8"/>
      <c r="AH107" s="8"/>
      <c r="AI107" s="8"/>
      <c r="AJ107" s="8"/>
      <c r="AK107" s="8"/>
      <c r="AL107" s="8"/>
      <c r="AM107" s="8"/>
      <c r="AN107" s="8"/>
      <c r="AO107" s="8"/>
      <c r="AP107" s="8"/>
      <c r="AQ107" s="8"/>
      <c r="BC107" s="831"/>
    </row>
    <row r="108" spans="2:55" ht="15.95" hidden="1" customHeight="1">
      <c r="B108" s="929">
        <v>47</v>
      </c>
      <c r="C108" s="8"/>
      <c r="D108" s="8"/>
      <c r="E108" s="8"/>
      <c r="F108" s="8"/>
      <c r="G108" s="8"/>
      <c r="H108" s="8"/>
      <c r="I108" s="8"/>
      <c r="J108" s="8"/>
      <c r="K108" s="8"/>
      <c r="L108" s="8"/>
      <c r="M108" s="8"/>
      <c r="N108" s="8"/>
      <c r="O108" s="8"/>
      <c r="P108" s="8"/>
      <c r="Q108" s="8"/>
      <c r="R108" s="8"/>
      <c r="S108" s="8"/>
      <c r="T108" s="8"/>
      <c r="U108" s="8"/>
      <c r="V108" s="8"/>
      <c r="W108" s="8"/>
      <c r="X108" s="8"/>
      <c r="Y108" s="8"/>
      <c r="Z108" s="8"/>
      <c r="AA108" s="8"/>
      <c r="AB108" s="8"/>
      <c r="AC108" s="8"/>
      <c r="AD108" s="8"/>
      <c r="AE108" s="8"/>
      <c r="AF108" s="8"/>
      <c r="AG108" s="8"/>
      <c r="AH108" s="8"/>
      <c r="AI108" s="8"/>
      <c r="AJ108" s="8"/>
      <c r="AK108" s="8"/>
      <c r="AL108" s="8"/>
      <c r="AM108" s="8"/>
      <c r="AN108" s="8"/>
      <c r="AO108" s="8"/>
      <c r="AP108" s="8"/>
      <c r="AQ108" s="8"/>
      <c r="BC108" s="830"/>
    </row>
    <row r="109" spans="2:55" ht="15.95" hidden="1" customHeight="1">
      <c r="B109" s="929"/>
      <c r="C109" s="8"/>
      <c r="D109" s="8"/>
      <c r="E109" s="8"/>
      <c r="F109" s="8"/>
      <c r="G109" s="8"/>
      <c r="H109" s="8"/>
      <c r="I109" s="8"/>
      <c r="J109" s="8"/>
      <c r="K109" s="8"/>
      <c r="L109" s="8"/>
      <c r="M109" s="8"/>
      <c r="N109" s="8"/>
      <c r="O109" s="8"/>
      <c r="P109" s="8"/>
      <c r="Q109" s="8"/>
      <c r="R109" s="8"/>
      <c r="S109" s="8"/>
      <c r="T109" s="8"/>
      <c r="U109" s="8"/>
      <c r="V109" s="8"/>
      <c r="W109" s="8"/>
      <c r="X109" s="8"/>
      <c r="Y109" s="8"/>
      <c r="Z109" s="8"/>
      <c r="AA109" s="8"/>
      <c r="AB109" s="8"/>
      <c r="AC109" s="8"/>
      <c r="AD109" s="8"/>
      <c r="AE109" s="8"/>
      <c r="AF109" s="8"/>
      <c r="AG109" s="8"/>
      <c r="AH109" s="8"/>
      <c r="AI109" s="8"/>
      <c r="AJ109" s="8"/>
      <c r="AK109" s="8"/>
      <c r="AL109" s="8"/>
      <c r="AM109" s="8"/>
      <c r="AN109" s="8"/>
      <c r="AO109" s="8"/>
      <c r="AP109" s="8"/>
      <c r="AQ109" s="8"/>
      <c r="BC109" s="831"/>
    </row>
    <row r="110" spans="2:55" ht="15.95" hidden="1" customHeight="1">
      <c r="B110" s="929">
        <v>48</v>
      </c>
      <c r="C110" s="8"/>
      <c r="D110" s="8"/>
      <c r="E110" s="8"/>
      <c r="F110" s="8"/>
      <c r="G110" s="8"/>
      <c r="H110" s="8"/>
      <c r="I110" s="8"/>
      <c r="J110" s="8"/>
      <c r="K110" s="8"/>
      <c r="L110" s="8"/>
      <c r="M110" s="8"/>
      <c r="N110" s="8"/>
      <c r="O110" s="8"/>
      <c r="P110" s="8"/>
      <c r="Q110" s="8"/>
      <c r="R110" s="8"/>
      <c r="S110" s="8"/>
      <c r="T110" s="8"/>
      <c r="U110" s="8"/>
      <c r="V110" s="8"/>
      <c r="W110" s="8"/>
      <c r="X110" s="8"/>
      <c r="Y110" s="8"/>
      <c r="Z110" s="8"/>
      <c r="AA110" s="8"/>
      <c r="AB110" s="8"/>
      <c r="AC110" s="8"/>
      <c r="AD110" s="8"/>
      <c r="AE110" s="8"/>
      <c r="AF110" s="8"/>
      <c r="AG110" s="8"/>
      <c r="AH110" s="8"/>
      <c r="AI110" s="8"/>
      <c r="AJ110" s="8"/>
      <c r="AK110" s="8"/>
      <c r="AL110" s="8"/>
      <c r="AM110" s="8"/>
      <c r="AN110" s="8"/>
      <c r="AO110" s="8"/>
      <c r="AP110" s="8"/>
      <c r="AQ110" s="8"/>
      <c r="BC110" s="830"/>
    </row>
    <row r="111" spans="2:55" ht="15.95" hidden="1" customHeight="1">
      <c r="B111" s="929"/>
      <c r="C111" s="8"/>
      <c r="D111" s="8"/>
      <c r="E111" s="8"/>
      <c r="F111" s="8"/>
      <c r="G111" s="8"/>
      <c r="H111" s="8"/>
      <c r="I111" s="8"/>
      <c r="J111" s="8"/>
      <c r="K111" s="8"/>
      <c r="L111" s="8"/>
      <c r="M111" s="8"/>
      <c r="N111" s="8"/>
      <c r="O111" s="8"/>
      <c r="P111" s="8"/>
      <c r="Q111" s="8"/>
      <c r="R111" s="8"/>
      <c r="S111" s="8"/>
      <c r="T111" s="8"/>
      <c r="U111" s="8"/>
      <c r="V111" s="8"/>
      <c r="W111" s="8"/>
      <c r="X111" s="8"/>
      <c r="Y111" s="8"/>
      <c r="Z111" s="8"/>
      <c r="AA111" s="8"/>
      <c r="AB111" s="8"/>
      <c r="AC111" s="8"/>
      <c r="AD111" s="8"/>
      <c r="AE111" s="8"/>
      <c r="AF111" s="8"/>
      <c r="AG111" s="8"/>
      <c r="AH111" s="8"/>
      <c r="AI111" s="8"/>
      <c r="AJ111" s="8"/>
      <c r="AK111" s="8"/>
      <c r="AL111" s="8"/>
      <c r="AM111" s="8"/>
      <c r="AN111" s="8"/>
      <c r="AO111" s="8"/>
      <c r="AP111" s="8"/>
      <c r="AQ111" s="8"/>
      <c r="BC111" s="831"/>
    </row>
    <row r="112" spans="2:55" ht="15.95" hidden="1" customHeight="1">
      <c r="B112" s="929">
        <v>49</v>
      </c>
      <c r="C112" s="8"/>
      <c r="D112" s="8"/>
      <c r="E112" s="8"/>
      <c r="F112" s="8"/>
      <c r="G112" s="8"/>
      <c r="H112" s="8"/>
      <c r="I112" s="8"/>
      <c r="J112" s="8"/>
      <c r="K112" s="8"/>
      <c r="L112" s="8"/>
      <c r="M112" s="8"/>
      <c r="N112" s="8"/>
      <c r="O112" s="8"/>
      <c r="P112" s="8"/>
      <c r="Q112" s="8"/>
      <c r="R112" s="8"/>
      <c r="S112" s="8"/>
      <c r="T112" s="8"/>
      <c r="U112" s="8"/>
      <c r="V112" s="8"/>
      <c r="W112" s="8"/>
      <c r="X112" s="8"/>
      <c r="Y112" s="8"/>
      <c r="Z112" s="8"/>
      <c r="AA112" s="8"/>
      <c r="AB112" s="8"/>
      <c r="AC112" s="8"/>
      <c r="AD112" s="8"/>
      <c r="AE112" s="8"/>
      <c r="AF112" s="8"/>
      <c r="AG112" s="8"/>
      <c r="AH112" s="8"/>
      <c r="AI112" s="8"/>
      <c r="AJ112" s="8"/>
      <c r="AK112" s="8"/>
      <c r="AL112" s="8"/>
      <c r="AM112" s="8"/>
      <c r="AN112" s="8"/>
      <c r="AO112" s="8"/>
      <c r="AP112" s="8"/>
      <c r="AQ112" s="8"/>
      <c r="BC112" s="830"/>
    </row>
    <row r="113" spans="2:55" ht="15.95" hidden="1" customHeight="1">
      <c r="B113" s="929"/>
      <c r="C113" s="8"/>
      <c r="D113" s="8"/>
      <c r="E113" s="8"/>
      <c r="F113" s="8"/>
      <c r="G113" s="8"/>
      <c r="H113" s="8"/>
      <c r="I113" s="8"/>
      <c r="J113" s="8"/>
      <c r="K113" s="8"/>
      <c r="L113" s="8"/>
      <c r="M113" s="8"/>
      <c r="N113" s="8"/>
      <c r="O113" s="8"/>
      <c r="P113" s="8"/>
      <c r="Q113" s="8"/>
      <c r="R113" s="8"/>
      <c r="S113" s="8"/>
      <c r="T113" s="8"/>
      <c r="U113" s="8"/>
      <c r="V113" s="8"/>
      <c r="W113" s="8"/>
      <c r="X113" s="8"/>
      <c r="Y113" s="8"/>
      <c r="Z113" s="8"/>
      <c r="AA113" s="8"/>
      <c r="AB113" s="8"/>
      <c r="AC113" s="8"/>
      <c r="AD113" s="8"/>
      <c r="AE113" s="8"/>
      <c r="AF113" s="8"/>
      <c r="AG113" s="8"/>
      <c r="AH113" s="8"/>
      <c r="AI113" s="8"/>
      <c r="AJ113" s="8"/>
      <c r="AK113" s="8"/>
      <c r="AL113" s="8"/>
      <c r="AM113" s="8"/>
      <c r="AN113" s="8"/>
      <c r="AO113" s="8"/>
      <c r="AP113" s="8"/>
      <c r="AQ113" s="8"/>
      <c r="BC113" s="831"/>
    </row>
    <row r="114" spans="2:55" ht="15.95" hidden="1" customHeight="1">
      <c r="B114" s="929">
        <v>50</v>
      </c>
      <c r="C114" s="8"/>
      <c r="D114" s="8"/>
      <c r="E114" s="8"/>
      <c r="F114" s="8"/>
      <c r="G114" s="8"/>
      <c r="H114" s="8"/>
      <c r="I114" s="8"/>
      <c r="J114" s="8"/>
      <c r="K114" s="8"/>
      <c r="L114" s="8"/>
      <c r="M114" s="8"/>
      <c r="N114" s="8"/>
      <c r="O114" s="8"/>
      <c r="P114" s="8"/>
      <c r="Q114" s="8"/>
      <c r="R114" s="8"/>
      <c r="S114" s="8"/>
      <c r="T114" s="8"/>
      <c r="U114" s="8"/>
      <c r="V114" s="8"/>
      <c r="W114" s="8"/>
      <c r="X114" s="8"/>
      <c r="Y114" s="8"/>
      <c r="Z114" s="8"/>
      <c r="AA114" s="8"/>
      <c r="AB114" s="8"/>
      <c r="AC114" s="8"/>
      <c r="AD114" s="8"/>
      <c r="AE114" s="8"/>
      <c r="AF114" s="8"/>
      <c r="AG114" s="8"/>
      <c r="AH114" s="8"/>
      <c r="AI114" s="8"/>
      <c r="AJ114" s="8"/>
      <c r="AK114" s="8"/>
      <c r="AL114" s="8"/>
      <c r="AM114" s="8"/>
      <c r="AN114" s="8"/>
      <c r="AO114" s="8"/>
      <c r="AP114" s="8"/>
      <c r="AQ114" s="8"/>
      <c r="BC114" s="830"/>
    </row>
    <row r="115" spans="2:55" ht="15.95" hidden="1" customHeight="1">
      <c r="B115" s="929"/>
      <c r="C115" s="8"/>
      <c r="D115" s="8"/>
      <c r="E115" s="8"/>
      <c r="F115" s="8"/>
      <c r="G115" s="8"/>
      <c r="H115" s="8"/>
      <c r="I115" s="8"/>
      <c r="J115" s="8"/>
      <c r="K115" s="8"/>
      <c r="L115" s="8"/>
      <c r="M115" s="8"/>
      <c r="N115" s="8"/>
      <c r="O115" s="8"/>
      <c r="P115" s="8"/>
      <c r="Q115" s="8"/>
      <c r="R115" s="8"/>
      <c r="S115" s="8"/>
      <c r="T115" s="8"/>
      <c r="U115" s="8"/>
      <c r="V115" s="8"/>
      <c r="W115" s="8"/>
      <c r="X115" s="8"/>
      <c r="Y115" s="8"/>
      <c r="Z115" s="8"/>
      <c r="AA115" s="8"/>
      <c r="AB115" s="8"/>
      <c r="AC115" s="8"/>
      <c r="AD115" s="8"/>
      <c r="AE115" s="8"/>
      <c r="AF115" s="8"/>
      <c r="AG115" s="8"/>
      <c r="AH115" s="8"/>
      <c r="AI115" s="8"/>
      <c r="AJ115" s="8"/>
      <c r="AK115" s="8"/>
      <c r="AL115" s="8"/>
      <c r="AM115" s="8"/>
      <c r="AN115" s="8"/>
      <c r="AO115" s="8"/>
      <c r="AP115" s="8"/>
      <c r="AQ115" s="8"/>
      <c r="BC115" s="831"/>
    </row>
    <row r="116" spans="2:55" ht="15.95" hidden="1" customHeight="1">
      <c r="B116" s="929">
        <v>51</v>
      </c>
      <c r="C116" s="8"/>
      <c r="D116" s="8"/>
      <c r="E116" s="8"/>
      <c r="F116" s="8"/>
      <c r="G116" s="8"/>
      <c r="H116" s="8"/>
      <c r="I116" s="8"/>
      <c r="J116" s="8"/>
      <c r="K116" s="8"/>
      <c r="L116" s="8"/>
      <c r="M116" s="8"/>
      <c r="N116" s="8"/>
      <c r="O116" s="8"/>
      <c r="P116" s="8"/>
      <c r="Q116" s="8"/>
      <c r="R116" s="8"/>
      <c r="S116" s="8"/>
      <c r="T116" s="8"/>
      <c r="U116" s="8"/>
      <c r="V116" s="8"/>
      <c r="W116" s="8"/>
      <c r="X116" s="8"/>
      <c r="Y116" s="8"/>
      <c r="Z116" s="8"/>
      <c r="AA116" s="8"/>
      <c r="AB116" s="8"/>
      <c r="AC116" s="8"/>
      <c r="AD116" s="8"/>
      <c r="AE116" s="8"/>
      <c r="AF116" s="8"/>
      <c r="AG116" s="8"/>
      <c r="AH116" s="8"/>
      <c r="AI116" s="8"/>
      <c r="AJ116" s="8"/>
      <c r="AK116" s="8"/>
      <c r="AL116" s="8"/>
      <c r="AM116" s="8"/>
      <c r="AN116" s="8"/>
      <c r="AO116" s="8"/>
      <c r="AP116" s="8"/>
      <c r="AQ116" s="8"/>
      <c r="BC116" s="830"/>
    </row>
    <row r="117" spans="2:55" ht="15.95" hidden="1" customHeight="1">
      <c r="B117" s="929"/>
      <c r="C117" s="8"/>
      <c r="D117" s="8"/>
      <c r="E117" s="8"/>
      <c r="F117" s="8"/>
      <c r="G117" s="8"/>
      <c r="H117" s="8"/>
      <c r="I117" s="8"/>
      <c r="J117" s="8"/>
      <c r="K117" s="8"/>
      <c r="L117" s="8"/>
      <c r="M117" s="8"/>
      <c r="N117" s="8"/>
      <c r="O117" s="8"/>
      <c r="P117" s="8"/>
      <c r="Q117" s="8"/>
      <c r="R117" s="8"/>
      <c r="S117" s="8"/>
      <c r="T117" s="8"/>
      <c r="U117" s="8"/>
      <c r="V117" s="8"/>
      <c r="W117" s="8"/>
      <c r="X117" s="8"/>
      <c r="Y117" s="8"/>
      <c r="Z117" s="8"/>
      <c r="AA117" s="8"/>
      <c r="AB117" s="8"/>
      <c r="AC117" s="8"/>
      <c r="AD117" s="8"/>
      <c r="AE117" s="8"/>
      <c r="AF117" s="8"/>
      <c r="AG117" s="8"/>
      <c r="AH117" s="8"/>
      <c r="AI117" s="8"/>
      <c r="AJ117" s="8"/>
      <c r="AK117" s="8"/>
      <c r="AL117" s="8"/>
      <c r="AM117" s="8"/>
      <c r="AN117" s="8"/>
      <c r="AO117" s="8"/>
      <c r="AP117" s="8"/>
      <c r="AQ117" s="8"/>
      <c r="BC117" s="831"/>
    </row>
    <row r="118" spans="2:55" ht="15.95" hidden="1" customHeight="1">
      <c r="B118" s="929">
        <v>52</v>
      </c>
      <c r="C118" s="8"/>
      <c r="D118" s="8"/>
      <c r="E118" s="8"/>
      <c r="F118" s="8"/>
      <c r="G118" s="8"/>
      <c r="H118" s="8"/>
      <c r="I118" s="8"/>
      <c r="J118" s="8"/>
      <c r="K118" s="8"/>
      <c r="L118" s="8"/>
      <c r="M118" s="8"/>
      <c r="N118" s="8"/>
      <c r="O118" s="8"/>
      <c r="P118" s="8"/>
      <c r="Q118" s="8"/>
      <c r="R118" s="8"/>
      <c r="S118" s="8"/>
      <c r="T118" s="8"/>
      <c r="U118" s="8"/>
      <c r="V118" s="8"/>
      <c r="W118" s="8"/>
      <c r="X118" s="8"/>
      <c r="Y118" s="8"/>
      <c r="Z118" s="8"/>
      <c r="AA118" s="8"/>
      <c r="AB118" s="8"/>
      <c r="AC118" s="8"/>
      <c r="AD118" s="8"/>
      <c r="AE118" s="8"/>
      <c r="AF118" s="8"/>
      <c r="AG118" s="8"/>
      <c r="AH118" s="8"/>
      <c r="AI118" s="8"/>
      <c r="AJ118" s="8"/>
      <c r="AK118" s="8"/>
      <c r="AL118" s="8"/>
      <c r="AM118" s="8"/>
      <c r="AN118" s="8"/>
      <c r="AO118" s="8"/>
      <c r="AP118" s="8"/>
      <c r="AQ118" s="8"/>
      <c r="BC118" s="830"/>
    </row>
    <row r="119" spans="2:55" ht="15.95" hidden="1" customHeight="1">
      <c r="B119" s="929"/>
      <c r="C119" s="8"/>
      <c r="D119" s="8"/>
      <c r="E119" s="8"/>
      <c r="F119" s="8"/>
      <c r="G119" s="8"/>
      <c r="H119" s="8"/>
      <c r="I119" s="8"/>
      <c r="J119" s="8"/>
      <c r="K119" s="8"/>
      <c r="L119" s="8"/>
      <c r="M119" s="8"/>
      <c r="N119" s="8"/>
      <c r="O119" s="8"/>
      <c r="P119" s="8"/>
      <c r="Q119" s="8"/>
      <c r="R119" s="8"/>
      <c r="S119" s="8"/>
      <c r="T119" s="8"/>
      <c r="U119" s="8"/>
      <c r="V119" s="8"/>
      <c r="W119" s="8"/>
      <c r="X119" s="8"/>
      <c r="Y119" s="8"/>
      <c r="Z119" s="8"/>
      <c r="AA119" s="8"/>
      <c r="AB119" s="8"/>
      <c r="AC119" s="8"/>
      <c r="AD119" s="8"/>
      <c r="AE119" s="8"/>
      <c r="AF119" s="8"/>
      <c r="AG119" s="8"/>
      <c r="AH119" s="8"/>
      <c r="AI119" s="8"/>
      <c r="AJ119" s="8"/>
      <c r="AK119" s="8"/>
      <c r="AL119" s="8"/>
      <c r="AM119" s="8"/>
      <c r="AN119" s="8"/>
      <c r="AO119" s="8"/>
      <c r="AP119" s="8"/>
      <c r="AQ119" s="8"/>
      <c r="BC119" s="831"/>
    </row>
    <row r="120" spans="2:55" ht="15.95" hidden="1" customHeight="1">
      <c r="B120" s="929">
        <v>53</v>
      </c>
      <c r="C120" s="8"/>
      <c r="D120" s="8"/>
      <c r="E120" s="8"/>
      <c r="F120" s="8"/>
      <c r="G120" s="8"/>
      <c r="H120" s="8"/>
      <c r="I120" s="8"/>
      <c r="J120" s="8"/>
      <c r="K120" s="8"/>
      <c r="L120" s="8"/>
      <c r="M120" s="8"/>
      <c r="N120" s="8"/>
      <c r="O120" s="8"/>
      <c r="P120" s="8"/>
      <c r="Q120" s="8"/>
      <c r="R120" s="8"/>
      <c r="S120" s="8"/>
      <c r="T120" s="8"/>
      <c r="U120" s="8"/>
      <c r="V120" s="8"/>
      <c r="W120" s="8"/>
      <c r="X120" s="8"/>
      <c r="Y120" s="8"/>
      <c r="Z120" s="8"/>
      <c r="AA120" s="8"/>
      <c r="AB120" s="8"/>
      <c r="AC120" s="8"/>
      <c r="AD120" s="8"/>
      <c r="AE120" s="8"/>
      <c r="AF120" s="8"/>
      <c r="AG120" s="8"/>
      <c r="AH120" s="8"/>
      <c r="AI120" s="8"/>
      <c r="AJ120" s="8"/>
      <c r="AK120" s="8"/>
      <c r="AL120" s="8"/>
      <c r="AM120" s="8"/>
      <c r="AN120" s="8"/>
      <c r="AO120" s="8"/>
      <c r="AP120" s="8"/>
      <c r="AQ120" s="8"/>
      <c r="BC120" s="830"/>
    </row>
    <row r="121" spans="2:55" ht="15.95" hidden="1" customHeight="1">
      <c r="B121" s="929"/>
      <c r="C121" s="8"/>
      <c r="D121" s="8"/>
      <c r="E121" s="8"/>
      <c r="F121" s="8"/>
      <c r="G121" s="8"/>
      <c r="H121" s="8"/>
      <c r="I121" s="8"/>
      <c r="J121" s="8"/>
      <c r="K121" s="8"/>
      <c r="L121" s="8"/>
      <c r="M121" s="8"/>
      <c r="N121" s="8"/>
      <c r="O121" s="8"/>
      <c r="P121" s="8"/>
      <c r="Q121" s="8"/>
      <c r="R121" s="8"/>
      <c r="S121" s="8"/>
      <c r="T121" s="8"/>
      <c r="U121" s="8"/>
      <c r="V121" s="8"/>
      <c r="W121" s="8"/>
      <c r="X121" s="8"/>
      <c r="Y121" s="8"/>
      <c r="Z121" s="8"/>
      <c r="AA121" s="8"/>
      <c r="AB121" s="8"/>
      <c r="AC121" s="8"/>
      <c r="AD121" s="8"/>
      <c r="AE121" s="8"/>
      <c r="AF121" s="8"/>
      <c r="AG121" s="8"/>
      <c r="AH121" s="8"/>
      <c r="AI121" s="8"/>
      <c r="AJ121" s="8"/>
      <c r="AK121" s="8"/>
      <c r="AL121" s="8"/>
      <c r="AM121" s="8"/>
      <c r="AN121" s="8"/>
      <c r="AO121" s="8"/>
      <c r="AP121" s="8"/>
      <c r="AQ121" s="8"/>
      <c r="BC121" s="831"/>
    </row>
    <row r="122" spans="2:55" ht="15.95" hidden="1" customHeight="1">
      <c r="B122" s="929">
        <v>54</v>
      </c>
      <c r="C122" s="8"/>
      <c r="D122" s="8"/>
      <c r="E122" s="8"/>
      <c r="F122" s="8"/>
      <c r="G122" s="8"/>
      <c r="H122" s="8"/>
      <c r="I122" s="8"/>
      <c r="J122" s="8"/>
      <c r="K122" s="8"/>
      <c r="L122" s="8"/>
      <c r="M122" s="8"/>
      <c r="N122" s="8"/>
      <c r="O122" s="8"/>
      <c r="P122" s="8"/>
      <c r="Q122" s="8"/>
      <c r="R122" s="8"/>
      <c r="S122" s="8"/>
      <c r="T122" s="8"/>
      <c r="U122" s="8"/>
      <c r="V122" s="8"/>
      <c r="W122" s="8"/>
      <c r="X122" s="8"/>
      <c r="Y122" s="8"/>
      <c r="Z122" s="8"/>
      <c r="AA122" s="8"/>
      <c r="AB122" s="8"/>
      <c r="AC122" s="8"/>
      <c r="AD122" s="8"/>
      <c r="AE122" s="8"/>
      <c r="AF122" s="8"/>
      <c r="AG122" s="8"/>
      <c r="AH122" s="8"/>
      <c r="AI122" s="8"/>
      <c r="AJ122" s="8"/>
      <c r="AK122" s="8"/>
      <c r="AL122" s="8"/>
      <c r="AM122" s="8"/>
      <c r="AN122" s="8"/>
      <c r="AO122" s="8"/>
      <c r="AP122" s="8"/>
      <c r="AQ122" s="8"/>
      <c r="BC122" s="830"/>
    </row>
    <row r="123" spans="2:55" ht="15.95" hidden="1" customHeight="1">
      <c r="B123" s="929"/>
      <c r="C123" s="8"/>
      <c r="D123" s="8"/>
      <c r="E123" s="8"/>
      <c r="F123" s="8"/>
      <c r="G123" s="8"/>
      <c r="H123" s="8"/>
      <c r="I123" s="8"/>
      <c r="J123" s="8"/>
      <c r="K123" s="8"/>
      <c r="L123" s="8"/>
      <c r="M123" s="8"/>
      <c r="N123" s="8"/>
      <c r="O123" s="8"/>
      <c r="P123" s="8"/>
      <c r="Q123" s="8"/>
      <c r="R123" s="8"/>
      <c r="S123" s="8"/>
      <c r="T123" s="8"/>
      <c r="U123" s="8"/>
      <c r="V123" s="8"/>
      <c r="W123" s="8"/>
      <c r="X123" s="8"/>
      <c r="Y123" s="8"/>
      <c r="Z123" s="8"/>
      <c r="AA123" s="8"/>
      <c r="AB123" s="8"/>
      <c r="AC123" s="8"/>
      <c r="AD123" s="8"/>
      <c r="AE123" s="8"/>
      <c r="AF123" s="8"/>
      <c r="AG123" s="8"/>
      <c r="AH123" s="8"/>
      <c r="AI123" s="8"/>
      <c r="AJ123" s="8"/>
      <c r="AK123" s="8"/>
      <c r="AL123" s="8"/>
      <c r="AM123" s="8"/>
      <c r="AN123" s="8"/>
      <c r="AO123" s="8"/>
      <c r="AP123" s="8"/>
      <c r="AQ123" s="8"/>
      <c r="BC123" s="831"/>
    </row>
    <row r="124" spans="2:55" ht="15.95" hidden="1" customHeight="1">
      <c r="B124" s="929">
        <v>55</v>
      </c>
      <c r="C124" s="8"/>
      <c r="D124" s="8"/>
      <c r="E124" s="8"/>
      <c r="F124" s="8"/>
      <c r="G124" s="8"/>
      <c r="H124" s="8"/>
      <c r="I124" s="8"/>
      <c r="J124" s="8"/>
      <c r="K124" s="8"/>
      <c r="L124" s="8"/>
      <c r="M124" s="8"/>
      <c r="N124" s="8"/>
      <c r="O124" s="8"/>
      <c r="P124" s="8"/>
      <c r="Q124" s="8"/>
      <c r="R124" s="8"/>
      <c r="S124" s="8"/>
      <c r="T124" s="8"/>
      <c r="U124" s="8"/>
      <c r="V124" s="8"/>
      <c r="W124" s="8"/>
      <c r="X124" s="8"/>
      <c r="Y124" s="8"/>
      <c r="Z124" s="8"/>
      <c r="AA124" s="8"/>
      <c r="AB124" s="8"/>
      <c r="AC124" s="8"/>
      <c r="AD124" s="8"/>
      <c r="AE124" s="8"/>
      <c r="AF124" s="8"/>
      <c r="AG124" s="8"/>
      <c r="AH124" s="8"/>
      <c r="AI124" s="8"/>
      <c r="AJ124" s="8"/>
      <c r="AK124" s="8"/>
      <c r="AL124" s="8"/>
      <c r="AM124" s="8"/>
      <c r="AN124" s="8"/>
      <c r="AO124" s="8"/>
      <c r="AP124" s="8"/>
      <c r="AQ124" s="8"/>
      <c r="BC124" s="830"/>
    </row>
    <row r="125" spans="2:55" ht="15.95" hidden="1" customHeight="1">
      <c r="B125" s="929"/>
      <c r="C125" s="8"/>
      <c r="D125" s="8"/>
      <c r="E125" s="8"/>
      <c r="F125" s="8"/>
      <c r="G125" s="8"/>
      <c r="H125" s="8"/>
      <c r="I125" s="8"/>
      <c r="J125" s="8"/>
      <c r="K125" s="8"/>
      <c r="L125" s="8"/>
      <c r="M125" s="8"/>
      <c r="N125" s="8"/>
      <c r="O125" s="8"/>
      <c r="P125" s="8"/>
      <c r="Q125" s="8"/>
      <c r="R125" s="8"/>
      <c r="S125" s="8"/>
      <c r="T125" s="8"/>
      <c r="U125" s="8"/>
      <c r="V125" s="8"/>
      <c r="W125" s="8"/>
      <c r="X125" s="8"/>
      <c r="Y125" s="8"/>
      <c r="Z125" s="8"/>
      <c r="AA125" s="8"/>
      <c r="AB125" s="8"/>
      <c r="AC125" s="8"/>
      <c r="AD125" s="8"/>
      <c r="AE125" s="8"/>
      <c r="AF125" s="8"/>
      <c r="AG125" s="8"/>
      <c r="AH125" s="8"/>
      <c r="AI125" s="8"/>
      <c r="AJ125" s="8"/>
      <c r="AK125" s="8"/>
      <c r="AL125" s="8"/>
      <c r="AM125" s="8"/>
      <c r="AN125" s="8"/>
      <c r="AO125" s="8"/>
      <c r="AP125" s="8"/>
      <c r="AQ125" s="8"/>
      <c r="BC125" s="831"/>
    </row>
    <row r="126" spans="2:55" ht="15.95" hidden="1" customHeight="1">
      <c r="B126" s="929">
        <v>56</v>
      </c>
      <c r="C126" s="8"/>
      <c r="D126" s="8"/>
      <c r="E126" s="8"/>
      <c r="F126" s="8"/>
      <c r="G126" s="8"/>
      <c r="H126" s="8"/>
      <c r="I126" s="8"/>
      <c r="J126" s="8"/>
      <c r="K126" s="8"/>
      <c r="L126" s="8"/>
      <c r="M126" s="8"/>
      <c r="N126" s="8"/>
      <c r="O126" s="8"/>
      <c r="P126" s="8"/>
      <c r="Q126" s="8"/>
      <c r="R126" s="8"/>
      <c r="S126" s="8"/>
      <c r="T126" s="8"/>
      <c r="U126" s="8"/>
      <c r="V126" s="8"/>
      <c r="W126" s="8"/>
      <c r="X126" s="8"/>
      <c r="Y126" s="8"/>
      <c r="Z126" s="8"/>
      <c r="AA126" s="8"/>
      <c r="AB126" s="8"/>
      <c r="AC126" s="8"/>
      <c r="AD126" s="8"/>
      <c r="AE126" s="8"/>
      <c r="AF126" s="8"/>
      <c r="AG126" s="8"/>
      <c r="AH126" s="8"/>
      <c r="AI126" s="8"/>
      <c r="AJ126" s="8"/>
      <c r="AK126" s="8"/>
      <c r="AL126" s="8"/>
      <c r="AM126" s="8"/>
      <c r="AN126" s="8"/>
      <c r="AO126" s="8"/>
      <c r="AP126" s="8"/>
      <c r="AQ126" s="8"/>
      <c r="BC126" s="830"/>
    </row>
    <row r="127" spans="2:55" ht="15.95" hidden="1" customHeight="1">
      <c r="B127" s="929"/>
      <c r="C127" s="8"/>
      <c r="D127" s="8"/>
      <c r="E127" s="8"/>
      <c r="F127" s="8"/>
      <c r="G127" s="8"/>
      <c r="H127" s="8"/>
      <c r="I127" s="8"/>
      <c r="J127" s="8"/>
      <c r="K127" s="8"/>
      <c r="L127" s="8"/>
      <c r="M127" s="8"/>
      <c r="N127" s="8"/>
      <c r="O127" s="8"/>
      <c r="P127" s="8"/>
      <c r="Q127" s="8"/>
      <c r="R127" s="8"/>
      <c r="S127" s="8"/>
      <c r="T127" s="8"/>
      <c r="U127" s="8"/>
      <c r="V127" s="8"/>
      <c r="W127" s="8"/>
      <c r="X127" s="8"/>
      <c r="Y127" s="8"/>
      <c r="Z127" s="8"/>
      <c r="AA127" s="8"/>
      <c r="AB127" s="8"/>
      <c r="AC127" s="8"/>
      <c r="AD127" s="8"/>
      <c r="AE127" s="8"/>
      <c r="AF127" s="8"/>
      <c r="AG127" s="8"/>
      <c r="AH127" s="8"/>
      <c r="AI127" s="8"/>
      <c r="AJ127" s="8"/>
      <c r="AK127" s="8"/>
      <c r="AL127" s="8"/>
      <c r="AM127" s="8"/>
      <c r="AN127" s="8"/>
      <c r="AO127" s="8"/>
      <c r="AP127" s="8"/>
      <c r="AQ127" s="8"/>
      <c r="BC127" s="831"/>
    </row>
    <row r="128" spans="2:55" ht="15.95" hidden="1" customHeight="1">
      <c r="B128" s="929">
        <v>57</v>
      </c>
      <c r="C128" s="8"/>
      <c r="D128" s="8"/>
      <c r="E128" s="8"/>
      <c r="F128" s="8"/>
      <c r="G128" s="8"/>
      <c r="H128" s="8"/>
      <c r="I128" s="8"/>
      <c r="J128" s="8"/>
      <c r="K128" s="8"/>
      <c r="L128" s="8"/>
      <c r="M128" s="8"/>
      <c r="N128" s="8"/>
      <c r="O128" s="8"/>
      <c r="P128" s="8"/>
      <c r="Q128" s="8"/>
      <c r="R128" s="8"/>
      <c r="S128" s="8"/>
      <c r="T128" s="8"/>
      <c r="U128" s="8"/>
      <c r="V128" s="8"/>
      <c r="W128" s="8"/>
      <c r="X128" s="8"/>
      <c r="Y128" s="8"/>
      <c r="Z128" s="8"/>
      <c r="AA128" s="8"/>
      <c r="AB128" s="8"/>
      <c r="AC128" s="8"/>
      <c r="AD128" s="8"/>
      <c r="AE128" s="8"/>
      <c r="AF128" s="8"/>
      <c r="AG128" s="8"/>
      <c r="AH128" s="8"/>
      <c r="AI128" s="8"/>
      <c r="AJ128" s="8"/>
      <c r="AK128" s="8"/>
      <c r="AL128" s="8"/>
      <c r="AM128" s="8"/>
      <c r="AN128" s="8"/>
      <c r="AO128" s="8"/>
      <c r="AP128" s="8"/>
      <c r="AQ128" s="8"/>
      <c r="BC128" s="830"/>
    </row>
    <row r="129" spans="2:55" ht="15.95" hidden="1" customHeight="1">
      <c r="B129" s="929"/>
      <c r="C129" s="8"/>
      <c r="D129" s="8"/>
      <c r="E129" s="8"/>
      <c r="F129" s="8"/>
      <c r="G129" s="8"/>
      <c r="H129" s="8"/>
      <c r="I129" s="8"/>
      <c r="J129" s="8"/>
      <c r="K129" s="8"/>
      <c r="L129" s="8"/>
      <c r="M129" s="8"/>
      <c r="N129" s="8"/>
      <c r="O129" s="8"/>
      <c r="P129" s="8"/>
      <c r="Q129" s="8"/>
      <c r="R129" s="8"/>
      <c r="S129" s="8"/>
      <c r="T129" s="8"/>
      <c r="U129" s="8"/>
      <c r="V129" s="8"/>
      <c r="W129" s="8"/>
      <c r="X129" s="8"/>
      <c r="Y129" s="8"/>
      <c r="Z129" s="8"/>
      <c r="AA129" s="8"/>
      <c r="AB129" s="8"/>
      <c r="AC129" s="8"/>
      <c r="AD129" s="8"/>
      <c r="AE129" s="8"/>
      <c r="AF129" s="8"/>
      <c r="AG129" s="8"/>
      <c r="AH129" s="8"/>
      <c r="AI129" s="8"/>
      <c r="AJ129" s="8"/>
      <c r="AK129" s="8"/>
      <c r="AL129" s="8"/>
      <c r="AM129" s="8"/>
      <c r="AN129" s="8"/>
      <c r="AO129" s="8"/>
      <c r="AP129" s="8"/>
      <c r="AQ129" s="8"/>
      <c r="BC129" s="831"/>
    </row>
    <row r="130" spans="2:55" ht="15.95" hidden="1" customHeight="1">
      <c r="B130" s="929">
        <v>58</v>
      </c>
      <c r="C130" s="8"/>
      <c r="D130" s="8"/>
      <c r="E130" s="8"/>
      <c r="F130" s="8"/>
      <c r="G130" s="8"/>
      <c r="H130" s="8"/>
      <c r="I130" s="8"/>
      <c r="J130" s="8"/>
      <c r="K130" s="8"/>
      <c r="L130" s="8"/>
      <c r="M130" s="8"/>
      <c r="N130" s="8"/>
      <c r="O130" s="8"/>
      <c r="P130" s="8"/>
      <c r="Q130" s="8"/>
      <c r="R130" s="8"/>
      <c r="S130" s="8"/>
      <c r="T130" s="8"/>
      <c r="U130" s="8"/>
      <c r="V130" s="8"/>
      <c r="W130" s="8"/>
      <c r="X130" s="8"/>
      <c r="Y130" s="8"/>
      <c r="Z130" s="8"/>
      <c r="AA130" s="8"/>
      <c r="AB130" s="8"/>
      <c r="AC130" s="8"/>
      <c r="AD130" s="8"/>
      <c r="AE130" s="8"/>
      <c r="AF130" s="8"/>
      <c r="AG130" s="8"/>
      <c r="AH130" s="8"/>
      <c r="AI130" s="8"/>
      <c r="AJ130" s="8"/>
      <c r="AK130" s="8"/>
      <c r="AL130" s="8"/>
      <c r="AM130" s="8"/>
      <c r="AN130" s="8"/>
      <c r="AO130" s="8"/>
      <c r="AP130" s="8"/>
      <c r="AQ130" s="8"/>
      <c r="BC130" s="830"/>
    </row>
    <row r="131" spans="2:55" ht="15.95" hidden="1" customHeight="1">
      <c r="B131" s="929"/>
      <c r="C131" s="8"/>
      <c r="D131" s="8"/>
      <c r="E131" s="8"/>
      <c r="F131" s="8"/>
      <c r="G131" s="8"/>
      <c r="H131" s="8"/>
      <c r="I131" s="8"/>
      <c r="J131" s="8"/>
      <c r="K131" s="8"/>
      <c r="L131" s="8"/>
      <c r="M131" s="8"/>
      <c r="N131" s="8"/>
      <c r="O131" s="8"/>
      <c r="P131" s="8"/>
      <c r="Q131" s="8"/>
      <c r="R131" s="8"/>
      <c r="S131" s="8"/>
      <c r="T131" s="8"/>
      <c r="U131" s="8"/>
      <c r="V131" s="8"/>
      <c r="W131" s="8"/>
      <c r="X131" s="8"/>
      <c r="Y131" s="8"/>
      <c r="Z131" s="8"/>
      <c r="AA131" s="8"/>
      <c r="AB131" s="8"/>
      <c r="AC131" s="8"/>
      <c r="AD131" s="8"/>
      <c r="AE131" s="8"/>
      <c r="AF131" s="8"/>
      <c r="AG131" s="8"/>
      <c r="AH131" s="8"/>
      <c r="AI131" s="8"/>
      <c r="AJ131" s="8"/>
      <c r="AK131" s="8"/>
      <c r="AL131" s="8"/>
      <c r="AM131" s="8"/>
      <c r="AN131" s="8"/>
      <c r="AO131" s="8"/>
      <c r="AP131" s="8"/>
      <c r="AQ131" s="8"/>
      <c r="BC131" s="831"/>
    </row>
    <row r="132" spans="2:55" ht="15.95" hidden="1" customHeight="1">
      <c r="B132" s="929">
        <v>59</v>
      </c>
      <c r="C132" s="8"/>
      <c r="D132" s="8"/>
      <c r="E132" s="8"/>
      <c r="F132" s="8"/>
      <c r="G132" s="8"/>
      <c r="H132" s="8"/>
      <c r="I132" s="8"/>
      <c r="J132" s="8"/>
      <c r="K132" s="8"/>
      <c r="L132" s="8"/>
      <c r="M132" s="8"/>
      <c r="N132" s="8"/>
      <c r="O132" s="8"/>
      <c r="P132" s="8"/>
      <c r="Q132" s="8"/>
      <c r="R132" s="8"/>
      <c r="S132" s="8"/>
      <c r="T132" s="8"/>
      <c r="U132" s="8"/>
      <c r="V132" s="8"/>
      <c r="W132" s="8"/>
      <c r="X132" s="8"/>
      <c r="Y132" s="8"/>
      <c r="Z132" s="8"/>
      <c r="AA132" s="8"/>
      <c r="AB132" s="8"/>
      <c r="AC132" s="8"/>
      <c r="AD132" s="8"/>
      <c r="AE132" s="8"/>
      <c r="AF132" s="8"/>
      <c r="AG132" s="8"/>
      <c r="AH132" s="8"/>
      <c r="AI132" s="8"/>
      <c r="AJ132" s="8"/>
      <c r="AK132" s="8"/>
      <c r="AL132" s="8"/>
      <c r="AM132" s="8"/>
      <c r="AN132" s="8"/>
      <c r="AO132" s="8"/>
      <c r="AP132" s="8"/>
      <c r="AQ132" s="8"/>
      <c r="BC132" s="830"/>
    </row>
    <row r="133" spans="2:55" ht="15.95" hidden="1" customHeight="1">
      <c r="B133" s="929"/>
      <c r="C133" s="8"/>
      <c r="D133" s="8"/>
      <c r="E133" s="8"/>
      <c r="F133" s="8"/>
      <c r="G133" s="8"/>
      <c r="H133" s="8"/>
      <c r="I133" s="8"/>
      <c r="J133" s="8"/>
      <c r="K133" s="8"/>
      <c r="L133" s="8"/>
      <c r="M133" s="8"/>
      <c r="N133" s="8"/>
      <c r="O133" s="8"/>
      <c r="P133" s="8"/>
      <c r="Q133" s="8"/>
      <c r="R133" s="8"/>
      <c r="S133" s="8"/>
      <c r="T133" s="8"/>
      <c r="U133" s="8"/>
      <c r="V133" s="8"/>
      <c r="W133" s="8"/>
      <c r="X133" s="8"/>
      <c r="Y133" s="8"/>
      <c r="Z133" s="8"/>
      <c r="AA133" s="8"/>
      <c r="AB133" s="8"/>
      <c r="AC133" s="8"/>
      <c r="AD133" s="8"/>
      <c r="AE133" s="8"/>
      <c r="AF133" s="8"/>
      <c r="AG133" s="8"/>
      <c r="AH133" s="8"/>
      <c r="AI133" s="8"/>
      <c r="AJ133" s="8"/>
      <c r="AK133" s="8"/>
      <c r="AL133" s="8"/>
      <c r="AM133" s="8"/>
      <c r="AN133" s="8"/>
      <c r="AO133" s="8"/>
      <c r="AP133" s="8"/>
      <c r="AQ133" s="8"/>
      <c r="BC133" s="831"/>
    </row>
    <row r="134" spans="2:55" ht="15.95" hidden="1" customHeight="1">
      <c r="B134" s="929">
        <v>60</v>
      </c>
      <c r="C134" s="8"/>
      <c r="D134" s="8"/>
      <c r="E134" s="8"/>
      <c r="F134" s="8"/>
      <c r="G134" s="8"/>
      <c r="H134" s="8"/>
      <c r="I134" s="8"/>
      <c r="J134" s="8"/>
      <c r="K134" s="8"/>
      <c r="L134" s="8"/>
      <c r="M134" s="8"/>
      <c r="N134" s="8"/>
      <c r="O134" s="8"/>
      <c r="P134" s="8"/>
      <c r="Q134" s="8"/>
      <c r="R134" s="8"/>
      <c r="S134" s="8"/>
      <c r="T134" s="8"/>
      <c r="U134" s="8"/>
      <c r="V134" s="8"/>
      <c r="W134" s="8"/>
      <c r="X134" s="8"/>
      <c r="Y134" s="8"/>
      <c r="Z134" s="8"/>
      <c r="AA134" s="8"/>
      <c r="AB134" s="8"/>
      <c r="AC134" s="8"/>
      <c r="AD134" s="8"/>
      <c r="AE134" s="8"/>
      <c r="AF134" s="8"/>
      <c r="AG134" s="8"/>
      <c r="AH134" s="8"/>
      <c r="AI134" s="8"/>
      <c r="AJ134" s="8"/>
      <c r="AK134" s="8"/>
      <c r="AL134" s="8"/>
      <c r="AM134" s="8"/>
      <c r="AN134" s="8"/>
      <c r="AO134" s="8"/>
      <c r="AP134" s="8"/>
      <c r="AQ134" s="8"/>
      <c r="BC134" s="830"/>
    </row>
    <row r="135" spans="2:55" ht="15.95" hidden="1" customHeight="1">
      <c r="B135" s="929"/>
      <c r="C135" s="8"/>
      <c r="D135" s="8"/>
      <c r="E135" s="8"/>
      <c r="F135" s="8"/>
      <c r="G135" s="8"/>
      <c r="H135" s="8"/>
      <c r="I135" s="8"/>
      <c r="J135" s="8"/>
      <c r="K135" s="8"/>
      <c r="L135" s="8"/>
      <c r="M135" s="8"/>
      <c r="N135" s="8"/>
      <c r="O135" s="8"/>
      <c r="P135" s="8"/>
      <c r="Q135" s="8"/>
      <c r="R135" s="8"/>
      <c r="S135" s="8"/>
      <c r="T135" s="8"/>
      <c r="U135" s="8"/>
      <c r="V135" s="8"/>
      <c r="W135" s="8"/>
      <c r="X135" s="8"/>
      <c r="Y135" s="8"/>
      <c r="Z135" s="8"/>
      <c r="AA135" s="8"/>
      <c r="AB135" s="8"/>
      <c r="AC135" s="8"/>
      <c r="AD135" s="8"/>
      <c r="AE135" s="8"/>
      <c r="AF135" s="8"/>
      <c r="AG135" s="8"/>
      <c r="AH135" s="8"/>
      <c r="AI135" s="8"/>
      <c r="AJ135" s="8"/>
      <c r="AK135" s="8"/>
      <c r="AL135" s="8"/>
      <c r="AM135" s="8"/>
      <c r="AN135" s="8"/>
      <c r="AO135" s="8"/>
      <c r="AP135" s="8"/>
      <c r="AQ135" s="8"/>
      <c r="BC135" s="831"/>
    </row>
    <row r="136" spans="2:55" ht="15.95" hidden="1" customHeight="1">
      <c r="B136" s="929">
        <v>61</v>
      </c>
      <c r="C136" s="8"/>
      <c r="D136" s="8"/>
      <c r="E136" s="8"/>
      <c r="F136" s="8"/>
      <c r="G136" s="8"/>
      <c r="H136" s="8"/>
      <c r="I136" s="8"/>
      <c r="J136" s="8"/>
      <c r="K136" s="8"/>
      <c r="L136" s="8"/>
      <c r="M136" s="8"/>
      <c r="N136" s="8"/>
      <c r="O136" s="8"/>
      <c r="P136" s="8"/>
      <c r="Q136" s="8"/>
      <c r="R136" s="8"/>
      <c r="S136" s="8"/>
      <c r="T136" s="8"/>
      <c r="U136" s="8"/>
      <c r="V136" s="8"/>
      <c r="W136" s="8"/>
      <c r="X136" s="8"/>
      <c r="Y136" s="8"/>
      <c r="Z136" s="8"/>
      <c r="AA136" s="8"/>
      <c r="AB136" s="8"/>
      <c r="AC136" s="8"/>
      <c r="AD136" s="8"/>
      <c r="AE136" s="8"/>
      <c r="AF136" s="8"/>
      <c r="AG136" s="8"/>
      <c r="AH136" s="8"/>
      <c r="AI136" s="8"/>
      <c r="AJ136" s="8"/>
      <c r="AK136" s="8"/>
      <c r="AL136" s="8"/>
      <c r="AM136" s="8"/>
      <c r="AN136" s="8"/>
      <c r="AO136" s="8"/>
      <c r="AP136" s="8"/>
      <c r="AQ136" s="8"/>
      <c r="BC136" s="830"/>
    </row>
    <row r="137" spans="2:55" ht="15.95" hidden="1" customHeight="1">
      <c r="B137" s="929"/>
      <c r="C137" s="8"/>
      <c r="D137" s="8"/>
      <c r="E137" s="8"/>
      <c r="F137" s="8"/>
      <c r="G137" s="8"/>
      <c r="H137" s="8"/>
      <c r="I137" s="8"/>
      <c r="J137" s="8"/>
      <c r="K137" s="8"/>
      <c r="L137" s="8"/>
      <c r="M137" s="8"/>
      <c r="N137" s="8"/>
      <c r="O137" s="8"/>
      <c r="P137" s="8"/>
      <c r="Q137" s="8"/>
      <c r="R137" s="8"/>
      <c r="S137" s="8"/>
      <c r="T137" s="8"/>
      <c r="U137" s="8"/>
      <c r="V137" s="8"/>
      <c r="W137" s="8"/>
      <c r="X137" s="8"/>
      <c r="Y137" s="8"/>
      <c r="Z137" s="8"/>
      <c r="AA137" s="8"/>
      <c r="AB137" s="8"/>
      <c r="AC137" s="8"/>
      <c r="AD137" s="8"/>
      <c r="AE137" s="8"/>
      <c r="AF137" s="8"/>
      <c r="AG137" s="8"/>
      <c r="AH137" s="8"/>
      <c r="AI137" s="8"/>
      <c r="AJ137" s="8"/>
      <c r="AK137" s="8"/>
      <c r="AL137" s="8"/>
      <c r="AM137" s="8"/>
      <c r="AN137" s="8"/>
      <c r="AO137" s="8"/>
      <c r="AP137" s="8"/>
      <c r="AQ137" s="8"/>
      <c r="BC137" s="831"/>
    </row>
    <row r="138" spans="2:55" ht="15.95" hidden="1" customHeight="1">
      <c r="B138" s="929">
        <v>62</v>
      </c>
      <c r="C138" s="8"/>
      <c r="D138" s="8"/>
      <c r="E138" s="8"/>
      <c r="F138" s="8"/>
      <c r="G138" s="8"/>
      <c r="H138" s="8"/>
      <c r="I138" s="8"/>
      <c r="J138" s="8"/>
      <c r="K138" s="8"/>
      <c r="L138" s="8"/>
      <c r="M138" s="8"/>
      <c r="N138" s="8"/>
      <c r="O138" s="8"/>
      <c r="P138" s="8"/>
      <c r="Q138" s="8"/>
      <c r="R138" s="8"/>
      <c r="S138" s="8"/>
      <c r="T138" s="8"/>
      <c r="U138" s="8"/>
      <c r="V138" s="8"/>
      <c r="W138" s="8"/>
      <c r="X138" s="8"/>
      <c r="Y138" s="8"/>
      <c r="Z138" s="8"/>
      <c r="AA138" s="8"/>
      <c r="AB138" s="8"/>
      <c r="AC138" s="8"/>
      <c r="AD138" s="8"/>
      <c r="AE138" s="8"/>
      <c r="AF138" s="8"/>
      <c r="AG138" s="8"/>
      <c r="AH138" s="8"/>
      <c r="AI138" s="8"/>
      <c r="AJ138" s="8"/>
      <c r="AK138" s="8"/>
      <c r="AL138" s="8"/>
      <c r="AM138" s="8"/>
      <c r="AN138" s="8"/>
      <c r="AO138" s="8"/>
      <c r="AP138" s="8"/>
      <c r="AQ138" s="8"/>
      <c r="BC138" s="830"/>
    </row>
    <row r="139" spans="2:55" ht="15.95" hidden="1" customHeight="1">
      <c r="B139" s="929"/>
      <c r="C139" s="8"/>
      <c r="D139" s="8"/>
      <c r="E139" s="8"/>
      <c r="F139" s="8"/>
      <c r="G139" s="8"/>
      <c r="H139" s="8"/>
      <c r="I139" s="8"/>
      <c r="J139" s="8"/>
      <c r="K139" s="8"/>
      <c r="L139" s="8"/>
      <c r="M139" s="8"/>
      <c r="N139" s="8"/>
      <c r="O139" s="8"/>
      <c r="P139" s="8"/>
      <c r="Q139" s="8"/>
      <c r="R139" s="8"/>
      <c r="S139" s="8"/>
      <c r="T139" s="8"/>
      <c r="U139" s="8"/>
      <c r="V139" s="8"/>
      <c r="W139" s="8"/>
      <c r="X139" s="8"/>
      <c r="Y139" s="8"/>
      <c r="Z139" s="8"/>
      <c r="AA139" s="8"/>
      <c r="AB139" s="8"/>
      <c r="AC139" s="8"/>
      <c r="AD139" s="8"/>
      <c r="AE139" s="8"/>
      <c r="AF139" s="8"/>
      <c r="AG139" s="8"/>
      <c r="AH139" s="8"/>
      <c r="AI139" s="8"/>
      <c r="AJ139" s="8"/>
      <c r="AK139" s="8"/>
      <c r="AL139" s="8"/>
      <c r="AM139" s="8"/>
      <c r="AN139" s="8"/>
      <c r="AO139" s="8"/>
      <c r="AP139" s="8"/>
      <c r="AQ139" s="8"/>
      <c r="BC139" s="831"/>
    </row>
    <row r="140" spans="2:55" ht="15.95" hidden="1" customHeight="1">
      <c r="B140" s="929">
        <v>63</v>
      </c>
      <c r="C140" s="8"/>
      <c r="D140" s="8"/>
      <c r="E140" s="8"/>
      <c r="F140" s="8"/>
      <c r="G140" s="8"/>
      <c r="H140" s="8"/>
      <c r="I140" s="8"/>
      <c r="J140" s="8"/>
      <c r="K140" s="8"/>
      <c r="L140" s="8"/>
      <c r="M140" s="8"/>
      <c r="N140" s="8"/>
      <c r="O140" s="8"/>
      <c r="P140" s="8"/>
      <c r="Q140" s="8"/>
      <c r="R140" s="8"/>
      <c r="S140" s="8"/>
      <c r="T140" s="8"/>
      <c r="U140" s="8"/>
      <c r="V140" s="8"/>
      <c r="W140" s="8"/>
      <c r="X140" s="8"/>
      <c r="Y140" s="8"/>
      <c r="Z140" s="8"/>
      <c r="AA140" s="8"/>
      <c r="AB140" s="8"/>
      <c r="AC140" s="8"/>
      <c r="AD140" s="8"/>
      <c r="AE140" s="8"/>
      <c r="AF140" s="8"/>
      <c r="AG140" s="8"/>
      <c r="AH140" s="8"/>
      <c r="AI140" s="8"/>
      <c r="AJ140" s="8"/>
      <c r="AK140" s="8"/>
      <c r="AL140" s="8"/>
      <c r="AM140" s="8"/>
      <c r="AN140" s="8"/>
      <c r="AO140" s="8"/>
      <c r="AP140" s="8"/>
      <c r="AQ140" s="8"/>
      <c r="BC140" s="830"/>
    </row>
    <row r="141" spans="2:55" ht="15.95" hidden="1" customHeight="1">
      <c r="B141" s="929"/>
      <c r="C141" s="8"/>
      <c r="D141" s="8"/>
      <c r="E141" s="8"/>
      <c r="F141" s="8"/>
      <c r="G141" s="8"/>
      <c r="H141" s="8"/>
      <c r="I141" s="8"/>
      <c r="J141" s="8"/>
      <c r="K141" s="8"/>
      <c r="L141" s="8"/>
      <c r="M141" s="8"/>
      <c r="N141" s="8"/>
      <c r="O141" s="8"/>
      <c r="P141" s="8"/>
      <c r="Q141" s="8"/>
      <c r="R141" s="8"/>
      <c r="S141" s="8"/>
      <c r="T141" s="8"/>
      <c r="U141" s="8"/>
      <c r="V141" s="8"/>
      <c r="W141" s="8"/>
      <c r="X141" s="8"/>
      <c r="Y141" s="8"/>
      <c r="Z141" s="8"/>
      <c r="AA141" s="8"/>
      <c r="AB141" s="8"/>
      <c r="AC141" s="8"/>
      <c r="AD141" s="8"/>
      <c r="AE141" s="8"/>
      <c r="AF141" s="8"/>
      <c r="AG141" s="8"/>
      <c r="AH141" s="8"/>
      <c r="AI141" s="8"/>
      <c r="AJ141" s="8"/>
      <c r="AK141" s="8"/>
      <c r="AL141" s="8"/>
      <c r="AM141" s="8"/>
      <c r="AN141" s="8"/>
      <c r="AO141" s="8"/>
      <c r="AP141" s="8"/>
      <c r="AQ141" s="8"/>
      <c r="BC141" s="831"/>
    </row>
    <row r="142" spans="2:55" ht="15.95" hidden="1" customHeight="1">
      <c r="B142" s="929">
        <v>64</v>
      </c>
      <c r="C142" s="8"/>
      <c r="D142" s="8"/>
      <c r="E142" s="8"/>
      <c r="F142" s="8"/>
      <c r="G142" s="8"/>
      <c r="H142" s="8"/>
      <c r="I142" s="8"/>
      <c r="J142" s="8"/>
      <c r="K142" s="8"/>
      <c r="L142" s="8"/>
      <c r="M142" s="8"/>
      <c r="N142" s="8"/>
      <c r="O142" s="8"/>
      <c r="P142" s="8"/>
      <c r="Q142" s="8"/>
      <c r="R142" s="8"/>
      <c r="S142" s="8"/>
      <c r="T142" s="8"/>
      <c r="U142" s="8"/>
      <c r="V142" s="8"/>
      <c r="W142" s="8"/>
      <c r="X142" s="8"/>
      <c r="Y142" s="8"/>
      <c r="Z142" s="8"/>
      <c r="AA142" s="8"/>
      <c r="AB142" s="8"/>
      <c r="AC142" s="8"/>
      <c r="AD142" s="8"/>
      <c r="AE142" s="8"/>
      <c r="AF142" s="8"/>
      <c r="AG142" s="8"/>
      <c r="AH142" s="8"/>
      <c r="AI142" s="8"/>
      <c r="AJ142" s="8"/>
      <c r="AK142" s="8"/>
      <c r="AL142" s="8"/>
      <c r="AM142" s="8"/>
      <c r="AN142" s="8"/>
      <c r="AO142" s="8"/>
      <c r="AP142" s="8"/>
      <c r="AQ142" s="8"/>
      <c r="BC142" s="830"/>
    </row>
    <row r="143" spans="2:55" ht="15.95" hidden="1" customHeight="1">
      <c r="B143" s="929"/>
      <c r="C143" s="8"/>
      <c r="D143" s="8"/>
      <c r="E143" s="8"/>
      <c r="F143" s="8"/>
      <c r="G143" s="8"/>
      <c r="H143" s="8"/>
      <c r="I143" s="8"/>
      <c r="J143" s="8"/>
      <c r="K143" s="8"/>
      <c r="L143" s="8"/>
      <c r="M143" s="8"/>
      <c r="N143" s="8"/>
      <c r="O143" s="8"/>
      <c r="P143" s="8"/>
      <c r="Q143" s="8"/>
      <c r="R143" s="8"/>
      <c r="S143" s="8"/>
      <c r="T143" s="8"/>
      <c r="U143" s="8"/>
      <c r="V143" s="8"/>
      <c r="W143" s="8"/>
      <c r="X143" s="8"/>
      <c r="Y143" s="8"/>
      <c r="Z143" s="8"/>
      <c r="AA143" s="8"/>
      <c r="AB143" s="8"/>
      <c r="AC143" s="8"/>
      <c r="AD143" s="8"/>
      <c r="AE143" s="8"/>
      <c r="AF143" s="8"/>
      <c r="AG143" s="8"/>
      <c r="AH143" s="8"/>
      <c r="AI143" s="8"/>
      <c r="AJ143" s="8"/>
      <c r="AK143" s="8"/>
      <c r="AL143" s="8"/>
      <c r="AM143" s="8"/>
      <c r="AN143" s="8"/>
      <c r="AO143" s="8"/>
      <c r="AP143" s="8"/>
      <c r="AQ143" s="8"/>
      <c r="BC143" s="831"/>
    </row>
    <row r="144" spans="2:55" ht="15.95" hidden="1" customHeight="1">
      <c r="B144" s="929">
        <v>65</v>
      </c>
      <c r="C144" s="8"/>
      <c r="D144" s="8"/>
      <c r="E144" s="8"/>
      <c r="F144" s="8"/>
      <c r="G144" s="8"/>
      <c r="H144" s="8"/>
      <c r="I144" s="8"/>
      <c r="J144" s="8"/>
      <c r="K144" s="8"/>
      <c r="L144" s="8"/>
      <c r="M144" s="8"/>
      <c r="N144" s="8"/>
      <c r="O144" s="8"/>
      <c r="P144" s="8"/>
      <c r="Q144" s="8"/>
      <c r="R144" s="8"/>
      <c r="S144" s="8"/>
      <c r="T144" s="8"/>
      <c r="U144" s="8"/>
      <c r="V144" s="8"/>
      <c r="W144" s="8"/>
      <c r="X144" s="8"/>
      <c r="Y144" s="8"/>
      <c r="Z144" s="8"/>
      <c r="AA144" s="8"/>
      <c r="AB144" s="8"/>
      <c r="AC144" s="8"/>
      <c r="AD144" s="8"/>
      <c r="AE144" s="8"/>
      <c r="AF144" s="8"/>
      <c r="AG144" s="8"/>
      <c r="AH144" s="8"/>
      <c r="AI144" s="8"/>
      <c r="AJ144" s="8"/>
      <c r="AK144" s="8"/>
      <c r="AL144" s="8"/>
      <c r="AM144" s="8"/>
      <c r="AN144" s="8"/>
      <c r="AO144" s="8"/>
      <c r="AP144" s="8"/>
      <c r="AQ144" s="8"/>
      <c r="BC144" s="830"/>
    </row>
    <row r="145" spans="2:55" ht="15.95" hidden="1" customHeight="1">
      <c r="B145" s="929"/>
      <c r="C145" s="8"/>
      <c r="D145" s="8"/>
      <c r="E145" s="8"/>
      <c r="F145" s="8"/>
      <c r="G145" s="8"/>
      <c r="H145" s="8"/>
      <c r="I145" s="8"/>
      <c r="J145" s="8"/>
      <c r="K145" s="8"/>
      <c r="L145" s="8"/>
      <c r="M145" s="8"/>
      <c r="N145" s="8"/>
      <c r="O145" s="8"/>
      <c r="P145" s="8"/>
      <c r="Q145" s="8"/>
      <c r="R145" s="8"/>
      <c r="S145" s="8"/>
      <c r="T145" s="8"/>
      <c r="U145" s="8"/>
      <c r="V145" s="8"/>
      <c r="W145" s="8"/>
      <c r="X145" s="8"/>
      <c r="Y145" s="8"/>
      <c r="Z145" s="8"/>
      <c r="AA145" s="8"/>
      <c r="AB145" s="8"/>
      <c r="AC145" s="8"/>
      <c r="AD145" s="8"/>
      <c r="AE145" s="8"/>
      <c r="AF145" s="8"/>
      <c r="AG145" s="8"/>
      <c r="AH145" s="8"/>
      <c r="AI145" s="8"/>
      <c r="AJ145" s="8"/>
      <c r="AK145" s="8"/>
      <c r="AL145" s="8"/>
      <c r="AM145" s="8"/>
      <c r="AN145" s="8"/>
      <c r="AO145" s="8"/>
      <c r="AP145" s="8"/>
      <c r="AQ145" s="8"/>
      <c r="BC145" s="831"/>
    </row>
    <row r="146" spans="2:55" ht="15.95" hidden="1" customHeight="1">
      <c r="B146" s="929">
        <v>66</v>
      </c>
      <c r="C146" s="8"/>
      <c r="D146" s="8"/>
      <c r="E146" s="8"/>
      <c r="F146" s="8"/>
      <c r="G146" s="8"/>
      <c r="H146" s="8"/>
      <c r="I146" s="8"/>
      <c r="J146" s="8"/>
      <c r="K146" s="8"/>
      <c r="L146" s="8"/>
      <c r="M146" s="8"/>
      <c r="N146" s="8"/>
      <c r="O146" s="8"/>
      <c r="P146" s="8"/>
      <c r="Q146" s="8"/>
      <c r="R146" s="8"/>
      <c r="S146" s="8"/>
      <c r="T146" s="8"/>
      <c r="U146" s="8"/>
      <c r="V146" s="8"/>
      <c r="W146" s="8"/>
      <c r="X146" s="8"/>
      <c r="Y146" s="8"/>
      <c r="Z146" s="8"/>
      <c r="AA146" s="8"/>
      <c r="AB146" s="8"/>
      <c r="AC146" s="8"/>
      <c r="AD146" s="8"/>
      <c r="AE146" s="8"/>
      <c r="AF146" s="8"/>
      <c r="AG146" s="8"/>
      <c r="AH146" s="8"/>
      <c r="AI146" s="8"/>
      <c r="AJ146" s="8"/>
      <c r="AK146" s="8"/>
      <c r="AL146" s="8"/>
      <c r="AM146" s="8"/>
      <c r="AN146" s="8"/>
      <c r="AO146" s="8"/>
      <c r="AP146" s="8"/>
      <c r="AQ146" s="8"/>
      <c r="BC146" s="830"/>
    </row>
    <row r="147" spans="2:55" ht="15.95" hidden="1" customHeight="1">
      <c r="B147" s="929"/>
      <c r="C147" s="8"/>
      <c r="D147" s="8"/>
      <c r="E147" s="8"/>
      <c r="F147" s="8"/>
      <c r="G147" s="8"/>
      <c r="H147" s="8"/>
      <c r="I147" s="8"/>
      <c r="J147" s="8"/>
      <c r="K147" s="8"/>
      <c r="L147" s="8"/>
      <c r="M147" s="8"/>
      <c r="N147" s="8"/>
      <c r="O147" s="8"/>
      <c r="P147" s="8"/>
      <c r="Q147" s="8"/>
      <c r="R147" s="8"/>
      <c r="S147" s="8"/>
      <c r="T147" s="8"/>
      <c r="U147" s="8"/>
      <c r="V147" s="8"/>
      <c r="W147" s="8"/>
      <c r="X147" s="8"/>
      <c r="Y147" s="8"/>
      <c r="Z147" s="8"/>
      <c r="AA147" s="8"/>
      <c r="AB147" s="8"/>
      <c r="AC147" s="8"/>
      <c r="AD147" s="8"/>
      <c r="AE147" s="8"/>
      <c r="AF147" s="8"/>
      <c r="AG147" s="8"/>
      <c r="AH147" s="8"/>
      <c r="AI147" s="8"/>
      <c r="AJ147" s="8"/>
      <c r="AK147" s="8"/>
      <c r="AL147" s="8"/>
      <c r="AM147" s="8"/>
      <c r="AN147" s="8"/>
      <c r="AO147" s="8"/>
      <c r="AP147" s="8"/>
      <c r="AQ147" s="8"/>
      <c r="BC147" s="831"/>
    </row>
    <row r="148" spans="2:55" ht="15.95" hidden="1" customHeight="1">
      <c r="B148" s="929">
        <v>67</v>
      </c>
      <c r="C148" s="8"/>
      <c r="D148" s="8"/>
      <c r="E148" s="8"/>
      <c r="F148" s="8"/>
      <c r="G148" s="8"/>
      <c r="H148" s="8"/>
      <c r="I148" s="8"/>
      <c r="J148" s="8"/>
      <c r="K148" s="8"/>
      <c r="L148" s="8"/>
      <c r="M148" s="8"/>
      <c r="N148" s="8"/>
      <c r="O148" s="8"/>
      <c r="P148" s="8"/>
      <c r="Q148" s="8"/>
      <c r="R148" s="8"/>
      <c r="S148" s="8"/>
      <c r="T148" s="8"/>
      <c r="U148" s="8"/>
      <c r="V148" s="8"/>
      <c r="W148" s="8"/>
      <c r="X148" s="8"/>
      <c r="Y148" s="8"/>
      <c r="Z148" s="8"/>
      <c r="AA148" s="8"/>
      <c r="AB148" s="8"/>
      <c r="AC148" s="8"/>
      <c r="AD148" s="8"/>
      <c r="AE148" s="8"/>
      <c r="AF148" s="8"/>
      <c r="AG148" s="8"/>
      <c r="AH148" s="8"/>
      <c r="AI148" s="8"/>
      <c r="AJ148" s="8"/>
      <c r="AK148" s="8"/>
      <c r="AL148" s="8"/>
      <c r="AM148" s="8"/>
      <c r="AN148" s="8"/>
      <c r="AO148" s="8"/>
      <c r="AP148" s="8"/>
      <c r="AQ148" s="8"/>
      <c r="BC148" s="830"/>
    </row>
    <row r="149" spans="2:55" ht="15.95" hidden="1" customHeight="1">
      <c r="B149" s="929"/>
      <c r="C149" s="8"/>
      <c r="D149" s="8"/>
      <c r="E149" s="8"/>
      <c r="F149" s="8"/>
      <c r="G149" s="8"/>
      <c r="H149" s="8"/>
      <c r="I149" s="8"/>
      <c r="J149" s="8"/>
      <c r="K149" s="8"/>
      <c r="L149" s="8"/>
      <c r="M149" s="8"/>
      <c r="N149" s="8"/>
      <c r="O149" s="8"/>
      <c r="P149" s="8"/>
      <c r="Q149" s="8"/>
      <c r="R149" s="8"/>
      <c r="S149" s="8"/>
      <c r="T149" s="8"/>
      <c r="U149" s="8"/>
      <c r="V149" s="8"/>
      <c r="W149" s="8"/>
      <c r="X149" s="8"/>
      <c r="Y149" s="8"/>
      <c r="Z149" s="8"/>
      <c r="AA149" s="8"/>
      <c r="AB149" s="8"/>
      <c r="AC149" s="8"/>
      <c r="AD149" s="8"/>
      <c r="AE149" s="8"/>
      <c r="AF149" s="8"/>
      <c r="AG149" s="8"/>
      <c r="AH149" s="8"/>
      <c r="AI149" s="8"/>
      <c r="AJ149" s="8"/>
      <c r="AK149" s="8"/>
      <c r="AL149" s="8"/>
      <c r="AM149" s="8"/>
      <c r="AN149" s="8"/>
      <c r="AO149" s="8"/>
      <c r="AP149" s="8"/>
      <c r="AQ149" s="8"/>
      <c r="BC149" s="831"/>
    </row>
    <row r="150" spans="2:55" ht="15.95" hidden="1" customHeight="1">
      <c r="B150" s="929">
        <v>68</v>
      </c>
      <c r="C150" s="8"/>
      <c r="D150" s="8"/>
      <c r="E150" s="8"/>
      <c r="F150" s="8"/>
      <c r="G150" s="8"/>
      <c r="H150" s="8"/>
      <c r="I150" s="8"/>
      <c r="J150" s="8"/>
      <c r="K150" s="8"/>
      <c r="L150" s="8"/>
      <c r="M150" s="8"/>
      <c r="N150" s="8"/>
      <c r="O150" s="8"/>
      <c r="P150" s="8"/>
      <c r="Q150" s="8"/>
      <c r="R150" s="8"/>
      <c r="S150" s="8"/>
      <c r="T150" s="8"/>
      <c r="U150" s="8"/>
      <c r="V150" s="8"/>
      <c r="W150" s="8"/>
      <c r="X150" s="8"/>
      <c r="Y150" s="8"/>
      <c r="Z150" s="8"/>
      <c r="AA150" s="8"/>
      <c r="AB150" s="8"/>
      <c r="AC150" s="8"/>
      <c r="AD150" s="8"/>
      <c r="AE150" s="8"/>
      <c r="AF150" s="8"/>
      <c r="AG150" s="8"/>
      <c r="AH150" s="8"/>
      <c r="AI150" s="8"/>
      <c r="AJ150" s="8"/>
      <c r="AK150" s="8"/>
      <c r="AL150" s="8"/>
      <c r="AM150" s="8"/>
      <c r="AN150" s="8"/>
      <c r="AO150" s="8"/>
      <c r="AP150" s="8"/>
      <c r="AQ150" s="8"/>
      <c r="BC150" s="830"/>
    </row>
    <row r="151" spans="2:55" ht="15.95" hidden="1" customHeight="1">
      <c r="B151" s="929"/>
      <c r="C151" s="8"/>
      <c r="D151" s="8"/>
      <c r="E151" s="8"/>
      <c r="F151" s="8"/>
      <c r="G151" s="8"/>
      <c r="H151" s="8"/>
      <c r="I151" s="8"/>
      <c r="J151" s="8"/>
      <c r="K151" s="8"/>
      <c r="L151" s="8"/>
      <c r="M151" s="8"/>
      <c r="N151" s="8"/>
      <c r="O151" s="8"/>
      <c r="P151" s="8"/>
      <c r="Q151" s="8"/>
      <c r="R151" s="8"/>
      <c r="S151" s="8"/>
      <c r="T151" s="8"/>
      <c r="U151" s="8"/>
      <c r="V151" s="8"/>
      <c r="W151" s="8"/>
      <c r="X151" s="8"/>
      <c r="Y151" s="8"/>
      <c r="Z151" s="8"/>
      <c r="AA151" s="8"/>
      <c r="AB151" s="8"/>
      <c r="AC151" s="8"/>
      <c r="AD151" s="8"/>
      <c r="AE151" s="8"/>
      <c r="AF151" s="8"/>
      <c r="AG151" s="8"/>
      <c r="AH151" s="8"/>
      <c r="AI151" s="8"/>
      <c r="AJ151" s="8"/>
      <c r="AK151" s="8"/>
      <c r="AL151" s="8"/>
      <c r="AM151" s="8"/>
      <c r="AN151" s="8"/>
      <c r="AO151" s="8"/>
      <c r="AP151" s="8"/>
      <c r="AQ151" s="8"/>
      <c r="BC151" s="831"/>
    </row>
    <row r="152" spans="2:55" ht="15.95" hidden="1" customHeight="1">
      <c r="B152" s="929">
        <v>69</v>
      </c>
      <c r="C152" s="8"/>
      <c r="D152" s="8"/>
      <c r="E152" s="8"/>
      <c r="F152" s="8"/>
      <c r="G152" s="8"/>
      <c r="H152" s="8"/>
      <c r="I152" s="8"/>
      <c r="J152" s="8"/>
      <c r="K152" s="8"/>
      <c r="L152" s="8"/>
      <c r="M152" s="8"/>
      <c r="N152" s="8"/>
      <c r="O152" s="8"/>
      <c r="P152" s="8"/>
      <c r="Q152" s="8"/>
      <c r="R152" s="8"/>
      <c r="S152" s="8"/>
      <c r="T152" s="8"/>
      <c r="U152" s="8"/>
      <c r="V152" s="8"/>
      <c r="W152" s="8"/>
      <c r="X152" s="8"/>
      <c r="Y152" s="8"/>
      <c r="Z152" s="8"/>
      <c r="AA152" s="8"/>
      <c r="AB152" s="8"/>
      <c r="AC152" s="8"/>
      <c r="AD152" s="8"/>
      <c r="AE152" s="8"/>
      <c r="AF152" s="8"/>
      <c r="AG152" s="8"/>
      <c r="AH152" s="8"/>
      <c r="AI152" s="8"/>
      <c r="AJ152" s="8"/>
      <c r="AK152" s="8"/>
      <c r="AL152" s="8"/>
      <c r="AM152" s="8"/>
      <c r="AN152" s="8"/>
      <c r="AO152" s="8"/>
      <c r="AP152" s="8"/>
      <c r="AQ152" s="8"/>
      <c r="BC152" s="830"/>
    </row>
    <row r="153" spans="2:55" ht="15.95" hidden="1" customHeight="1">
      <c r="B153" s="929"/>
      <c r="C153" s="8"/>
      <c r="D153" s="8"/>
      <c r="E153" s="8"/>
      <c r="F153" s="8"/>
      <c r="G153" s="8"/>
      <c r="H153" s="8"/>
      <c r="I153" s="8"/>
      <c r="J153" s="8"/>
      <c r="K153" s="8"/>
      <c r="L153" s="8"/>
      <c r="M153" s="8"/>
      <c r="N153" s="8"/>
      <c r="O153" s="8"/>
      <c r="P153" s="8"/>
      <c r="Q153" s="8"/>
      <c r="R153" s="8"/>
      <c r="S153" s="8"/>
      <c r="T153" s="8"/>
      <c r="U153" s="8"/>
      <c r="V153" s="8"/>
      <c r="W153" s="8"/>
      <c r="X153" s="8"/>
      <c r="Y153" s="8"/>
      <c r="Z153" s="8"/>
      <c r="AA153" s="8"/>
      <c r="AB153" s="8"/>
      <c r="AC153" s="8"/>
      <c r="AD153" s="8"/>
      <c r="AE153" s="8"/>
      <c r="AF153" s="8"/>
      <c r="AG153" s="8"/>
      <c r="AH153" s="8"/>
      <c r="AI153" s="8"/>
      <c r="AJ153" s="8"/>
      <c r="AK153" s="8"/>
      <c r="AL153" s="8"/>
      <c r="AM153" s="8"/>
      <c r="AN153" s="8"/>
      <c r="AO153" s="8"/>
      <c r="AP153" s="8"/>
      <c r="AQ153" s="8"/>
      <c r="BC153" s="831"/>
    </row>
    <row r="154" spans="2:55" ht="15.95" hidden="1" customHeight="1">
      <c r="B154" s="929">
        <v>70</v>
      </c>
      <c r="C154" s="8"/>
      <c r="D154" s="8"/>
      <c r="E154" s="8"/>
      <c r="F154" s="8"/>
      <c r="G154" s="8"/>
      <c r="H154" s="8"/>
      <c r="I154" s="8"/>
      <c r="J154" s="8"/>
      <c r="K154" s="8"/>
      <c r="L154" s="8"/>
      <c r="M154" s="8"/>
      <c r="N154" s="8"/>
      <c r="O154" s="8"/>
      <c r="P154" s="8"/>
      <c r="Q154" s="8"/>
      <c r="R154" s="8"/>
      <c r="S154" s="8"/>
      <c r="T154" s="8"/>
      <c r="U154" s="8"/>
      <c r="V154" s="8"/>
      <c r="W154" s="8"/>
      <c r="X154" s="8"/>
      <c r="Y154" s="8"/>
      <c r="Z154" s="8"/>
      <c r="AA154" s="8"/>
      <c r="AB154" s="8"/>
      <c r="AC154" s="8"/>
      <c r="AD154" s="8"/>
      <c r="AE154" s="8"/>
      <c r="AF154" s="8"/>
      <c r="AG154" s="8"/>
      <c r="AH154" s="8"/>
      <c r="AI154" s="8"/>
      <c r="AJ154" s="8"/>
      <c r="AK154" s="8"/>
      <c r="AL154" s="8"/>
      <c r="AM154" s="8"/>
      <c r="AN154" s="8"/>
      <c r="AO154" s="8"/>
      <c r="AP154" s="8"/>
      <c r="AQ154" s="8"/>
      <c r="BC154" s="830"/>
    </row>
    <row r="155" spans="2:55" ht="15.95" hidden="1" customHeight="1">
      <c r="B155" s="929"/>
      <c r="C155" s="8"/>
      <c r="D155" s="8"/>
      <c r="E155" s="8"/>
      <c r="F155" s="8"/>
      <c r="G155" s="8"/>
      <c r="H155" s="8"/>
      <c r="I155" s="8"/>
      <c r="J155" s="8"/>
      <c r="K155" s="8"/>
      <c r="L155" s="8"/>
      <c r="M155" s="8"/>
      <c r="N155" s="8"/>
      <c r="O155" s="8"/>
      <c r="P155" s="8"/>
      <c r="Q155" s="8"/>
      <c r="R155" s="8"/>
      <c r="S155" s="8"/>
      <c r="T155" s="8"/>
      <c r="U155" s="8"/>
      <c r="V155" s="8"/>
      <c r="W155" s="8"/>
      <c r="X155" s="8"/>
      <c r="Y155" s="8"/>
      <c r="Z155" s="8"/>
      <c r="AA155" s="8"/>
      <c r="AB155" s="8"/>
      <c r="AC155" s="8"/>
      <c r="AD155" s="8"/>
      <c r="AE155" s="8"/>
      <c r="AF155" s="8"/>
      <c r="AG155" s="8"/>
      <c r="AH155" s="8"/>
      <c r="AI155" s="8"/>
      <c r="AJ155" s="8"/>
      <c r="AK155" s="8"/>
      <c r="AL155" s="8"/>
      <c r="AM155" s="8"/>
      <c r="AN155" s="8"/>
      <c r="AO155" s="8"/>
      <c r="AP155" s="8"/>
      <c r="AQ155" s="8"/>
      <c r="BC155" s="831"/>
    </row>
    <row r="156" spans="2:55" ht="15.95" hidden="1" customHeight="1">
      <c r="B156" s="929">
        <v>71</v>
      </c>
      <c r="C156" s="8"/>
      <c r="D156" s="8"/>
      <c r="E156" s="8"/>
      <c r="F156" s="8"/>
      <c r="G156" s="8"/>
      <c r="H156" s="8"/>
      <c r="I156" s="8"/>
      <c r="J156" s="8"/>
      <c r="K156" s="8"/>
      <c r="L156" s="8"/>
      <c r="M156" s="8"/>
      <c r="N156" s="8"/>
      <c r="O156" s="8"/>
      <c r="P156" s="8"/>
      <c r="Q156" s="8"/>
      <c r="R156" s="8"/>
      <c r="S156" s="8"/>
      <c r="T156" s="8"/>
      <c r="U156" s="8"/>
      <c r="V156" s="8"/>
      <c r="W156" s="8"/>
      <c r="X156" s="8"/>
      <c r="Y156" s="8"/>
      <c r="Z156" s="8"/>
      <c r="AA156" s="8"/>
      <c r="AB156" s="8"/>
      <c r="AC156" s="8"/>
      <c r="AD156" s="8"/>
      <c r="AE156" s="8"/>
      <c r="AF156" s="8"/>
      <c r="AG156" s="8"/>
      <c r="AH156" s="8"/>
      <c r="AI156" s="8"/>
      <c r="AJ156" s="8"/>
      <c r="AK156" s="8"/>
      <c r="AL156" s="8"/>
      <c r="AM156" s="8"/>
      <c r="AN156" s="8"/>
      <c r="AO156" s="8"/>
      <c r="AP156" s="8"/>
      <c r="AQ156" s="8"/>
      <c r="BC156" s="830"/>
    </row>
    <row r="157" spans="2:55" ht="15.95" hidden="1" customHeight="1">
      <c r="B157" s="929"/>
      <c r="C157" s="8"/>
      <c r="D157" s="8"/>
      <c r="E157" s="8"/>
      <c r="F157" s="8"/>
      <c r="G157" s="8"/>
      <c r="H157" s="8"/>
      <c r="I157" s="8"/>
      <c r="J157" s="8"/>
      <c r="K157" s="8"/>
      <c r="L157" s="8"/>
      <c r="M157" s="8"/>
      <c r="N157" s="8"/>
      <c r="O157" s="8"/>
      <c r="P157" s="8"/>
      <c r="Q157" s="8"/>
      <c r="R157" s="8"/>
      <c r="S157" s="8"/>
      <c r="T157" s="8"/>
      <c r="U157" s="8"/>
      <c r="V157" s="8"/>
      <c r="W157" s="8"/>
      <c r="X157" s="8"/>
      <c r="Y157" s="8"/>
      <c r="Z157" s="8"/>
      <c r="AA157" s="8"/>
      <c r="AB157" s="8"/>
      <c r="AC157" s="8"/>
      <c r="AD157" s="8"/>
      <c r="AE157" s="8"/>
      <c r="AF157" s="8"/>
      <c r="AG157" s="8"/>
      <c r="AH157" s="8"/>
      <c r="AI157" s="8"/>
      <c r="AJ157" s="8"/>
      <c r="AK157" s="8"/>
      <c r="AL157" s="8"/>
      <c r="AM157" s="8"/>
      <c r="AN157" s="8"/>
      <c r="AO157" s="8"/>
      <c r="AP157" s="8"/>
      <c r="AQ157" s="8"/>
      <c r="BC157" s="831"/>
    </row>
    <row r="158" spans="2:55" ht="15.95" hidden="1" customHeight="1">
      <c r="B158" s="929">
        <v>72</v>
      </c>
      <c r="C158" s="8"/>
      <c r="D158" s="8"/>
      <c r="E158" s="8"/>
      <c r="F158" s="8"/>
      <c r="G158" s="8"/>
      <c r="H158" s="8"/>
      <c r="I158" s="8"/>
      <c r="J158" s="8"/>
      <c r="K158" s="8"/>
      <c r="L158" s="8"/>
      <c r="M158" s="8"/>
      <c r="N158" s="8"/>
      <c r="O158" s="8"/>
      <c r="P158" s="8"/>
      <c r="Q158" s="8"/>
      <c r="R158" s="8"/>
      <c r="S158" s="8"/>
      <c r="T158" s="8"/>
      <c r="U158" s="8"/>
      <c r="V158" s="8"/>
      <c r="W158" s="8"/>
      <c r="X158" s="8"/>
      <c r="Y158" s="8"/>
      <c r="Z158" s="8"/>
      <c r="AA158" s="8"/>
      <c r="AB158" s="8"/>
      <c r="AC158" s="8"/>
      <c r="AD158" s="8"/>
      <c r="AE158" s="8"/>
      <c r="AF158" s="8"/>
      <c r="AG158" s="8"/>
      <c r="AH158" s="8"/>
      <c r="AI158" s="8"/>
      <c r="AJ158" s="8"/>
      <c r="AK158" s="8"/>
      <c r="AL158" s="8"/>
      <c r="AM158" s="8"/>
      <c r="AN158" s="8"/>
      <c r="AO158" s="8"/>
      <c r="AP158" s="8"/>
      <c r="AQ158" s="8"/>
      <c r="BC158" s="830"/>
    </row>
    <row r="159" spans="2:55" ht="15.95" hidden="1" customHeight="1">
      <c r="B159" s="929"/>
      <c r="C159" s="8"/>
      <c r="D159" s="8"/>
      <c r="E159" s="8"/>
      <c r="F159" s="8"/>
      <c r="G159" s="8"/>
      <c r="H159" s="8"/>
      <c r="I159" s="8"/>
      <c r="J159" s="8"/>
      <c r="K159" s="8"/>
      <c r="L159" s="8"/>
      <c r="M159" s="8"/>
      <c r="N159" s="8"/>
      <c r="O159" s="8"/>
      <c r="P159" s="8"/>
      <c r="Q159" s="8"/>
      <c r="R159" s="8"/>
      <c r="S159" s="8"/>
      <c r="T159" s="8"/>
      <c r="U159" s="8"/>
      <c r="V159" s="8"/>
      <c r="W159" s="8"/>
      <c r="X159" s="8"/>
      <c r="Y159" s="8"/>
      <c r="Z159" s="8"/>
      <c r="AA159" s="8"/>
      <c r="AB159" s="8"/>
      <c r="AC159" s="8"/>
      <c r="AD159" s="8"/>
      <c r="AE159" s="8"/>
      <c r="AF159" s="8"/>
      <c r="AG159" s="8"/>
      <c r="AH159" s="8"/>
      <c r="AI159" s="8"/>
      <c r="AJ159" s="8"/>
      <c r="AK159" s="8"/>
      <c r="AL159" s="8"/>
      <c r="AM159" s="8"/>
      <c r="AN159" s="8"/>
      <c r="AO159" s="8"/>
      <c r="AP159" s="8"/>
      <c r="AQ159" s="8"/>
      <c r="BC159" s="831"/>
    </row>
    <row r="160" spans="2:55" ht="15.95" hidden="1" customHeight="1">
      <c r="B160" s="929">
        <v>73</v>
      </c>
      <c r="C160" s="8"/>
      <c r="D160" s="8"/>
      <c r="E160" s="8"/>
      <c r="F160" s="8"/>
      <c r="G160" s="8"/>
      <c r="H160" s="8"/>
      <c r="I160" s="8"/>
      <c r="J160" s="8"/>
      <c r="K160" s="8"/>
      <c r="L160" s="8"/>
      <c r="M160" s="8"/>
      <c r="N160" s="8"/>
      <c r="O160" s="8"/>
      <c r="P160" s="8"/>
      <c r="Q160" s="8"/>
      <c r="R160" s="8"/>
      <c r="S160" s="8"/>
      <c r="T160" s="8"/>
      <c r="U160" s="8"/>
      <c r="V160" s="8"/>
      <c r="W160" s="8"/>
      <c r="X160" s="8"/>
      <c r="Y160" s="8"/>
      <c r="Z160" s="8"/>
      <c r="AA160" s="8"/>
      <c r="AB160" s="8"/>
      <c r="AC160" s="8"/>
      <c r="AD160" s="8"/>
      <c r="AE160" s="8"/>
      <c r="AF160" s="8"/>
      <c r="AG160" s="8"/>
      <c r="AH160" s="8"/>
      <c r="AI160" s="8"/>
      <c r="AJ160" s="8"/>
      <c r="AK160" s="8"/>
      <c r="AL160" s="8"/>
      <c r="AM160" s="8"/>
      <c r="AN160" s="8"/>
      <c r="AO160" s="8"/>
      <c r="AP160" s="8"/>
      <c r="AQ160" s="8"/>
      <c r="BC160" s="830"/>
    </row>
    <row r="161" spans="2:55" ht="15.95" hidden="1" customHeight="1">
      <c r="B161" s="929"/>
      <c r="C161" s="8"/>
      <c r="D161" s="8"/>
      <c r="E161" s="8"/>
      <c r="F161" s="8"/>
      <c r="G161" s="8"/>
      <c r="H161" s="8"/>
      <c r="I161" s="8"/>
      <c r="J161" s="8"/>
      <c r="K161" s="8"/>
      <c r="L161" s="8"/>
      <c r="M161" s="8"/>
      <c r="N161" s="8"/>
      <c r="O161" s="8"/>
      <c r="P161" s="8"/>
      <c r="Q161" s="8"/>
      <c r="R161" s="8"/>
      <c r="S161" s="8"/>
      <c r="T161" s="8"/>
      <c r="U161" s="8"/>
      <c r="V161" s="8"/>
      <c r="W161" s="8"/>
      <c r="X161" s="8"/>
      <c r="Y161" s="8"/>
      <c r="Z161" s="8"/>
      <c r="AA161" s="8"/>
      <c r="AB161" s="8"/>
      <c r="AC161" s="8"/>
      <c r="AD161" s="8"/>
      <c r="AE161" s="8"/>
      <c r="AF161" s="8"/>
      <c r="AG161" s="8"/>
      <c r="AH161" s="8"/>
      <c r="AI161" s="8"/>
      <c r="AJ161" s="8"/>
      <c r="AK161" s="8"/>
      <c r="AL161" s="8"/>
      <c r="AM161" s="8"/>
      <c r="AN161" s="8"/>
      <c r="AO161" s="8"/>
      <c r="AP161" s="8"/>
      <c r="AQ161" s="8"/>
      <c r="BC161" s="831"/>
    </row>
    <row r="162" spans="2:55" ht="15.95" hidden="1" customHeight="1">
      <c r="B162" s="929">
        <v>74</v>
      </c>
      <c r="C162" s="8"/>
      <c r="D162" s="8"/>
      <c r="E162" s="8"/>
      <c r="F162" s="8"/>
      <c r="G162" s="8"/>
      <c r="H162" s="8"/>
      <c r="I162" s="8"/>
      <c r="J162" s="8"/>
      <c r="K162" s="8"/>
      <c r="L162" s="8"/>
      <c r="M162" s="8"/>
      <c r="N162" s="8"/>
      <c r="O162" s="8"/>
      <c r="P162" s="8"/>
      <c r="Q162" s="8"/>
      <c r="R162" s="8"/>
      <c r="S162" s="8"/>
      <c r="T162" s="8"/>
      <c r="U162" s="8"/>
      <c r="V162" s="8"/>
      <c r="W162" s="8"/>
      <c r="X162" s="8"/>
      <c r="Y162" s="8"/>
      <c r="Z162" s="8"/>
      <c r="AA162" s="8"/>
      <c r="AB162" s="8"/>
      <c r="AC162" s="8"/>
      <c r="AD162" s="8"/>
      <c r="AE162" s="8"/>
      <c r="AF162" s="8"/>
      <c r="AG162" s="8"/>
      <c r="AH162" s="8"/>
      <c r="AI162" s="8"/>
      <c r="AJ162" s="8"/>
      <c r="AK162" s="8"/>
      <c r="AL162" s="8"/>
      <c r="AM162" s="8"/>
      <c r="AN162" s="8"/>
      <c r="AO162" s="8"/>
      <c r="AP162" s="8"/>
      <c r="AQ162" s="8"/>
      <c r="BC162" s="830"/>
    </row>
    <row r="163" spans="2:55" ht="15.95" hidden="1" customHeight="1">
      <c r="B163" s="929"/>
      <c r="C163" s="8"/>
      <c r="D163" s="8"/>
      <c r="E163" s="8"/>
      <c r="F163" s="8"/>
      <c r="G163" s="8"/>
      <c r="H163" s="8"/>
      <c r="I163" s="8"/>
      <c r="J163" s="8"/>
      <c r="K163" s="8"/>
      <c r="L163" s="8"/>
      <c r="M163" s="8"/>
      <c r="N163" s="8"/>
      <c r="O163" s="8"/>
      <c r="P163" s="8"/>
      <c r="Q163" s="8"/>
      <c r="R163" s="8"/>
      <c r="S163" s="8"/>
      <c r="T163" s="8"/>
      <c r="U163" s="8"/>
      <c r="V163" s="8"/>
      <c r="W163" s="8"/>
      <c r="X163" s="8"/>
      <c r="Y163" s="8"/>
      <c r="Z163" s="8"/>
      <c r="AA163" s="8"/>
      <c r="AB163" s="8"/>
      <c r="AC163" s="8"/>
      <c r="AD163" s="8"/>
      <c r="AE163" s="8"/>
      <c r="AF163" s="8"/>
      <c r="AG163" s="8"/>
      <c r="AH163" s="8"/>
      <c r="AI163" s="8"/>
      <c r="AJ163" s="8"/>
      <c r="AK163" s="8"/>
      <c r="AL163" s="8"/>
      <c r="AM163" s="8"/>
      <c r="AN163" s="8"/>
      <c r="AO163" s="8"/>
      <c r="AP163" s="8"/>
      <c r="AQ163" s="8"/>
      <c r="BC163" s="831"/>
    </row>
    <row r="164" spans="2:55" ht="15.95" hidden="1" customHeight="1">
      <c r="B164" s="929">
        <v>75</v>
      </c>
      <c r="C164" s="8"/>
      <c r="D164" s="8"/>
      <c r="E164" s="8"/>
      <c r="F164" s="8"/>
      <c r="G164" s="8"/>
      <c r="H164" s="8"/>
      <c r="I164" s="8"/>
      <c r="J164" s="8"/>
      <c r="K164" s="8"/>
      <c r="L164" s="8"/>
      <c r="M164" s="8"/>
      <c r="N164" s="8"/>
      <c r="O164" s="8"/>
      <c r="P164" s="8"/>
      <c r="Q164" s="8"/>
      <c r="R164" s="8"/>
      <c r="S164" s="8"/>
      <c r="T164" s="8"/>
      <c r="U164" s="8"/>
      <c r="V164" s="8"/>
      <c r="W164" s="8"/>
      <c r="X164" s="8"/>
      <c r="Y164" s="8"/>
      <c r="Z164" s="8"/>
      <c r="AA164" s="8"/>
      <c r="AB164" s="8"/>
      <c r="AC164" s="8"/>
      <c r="AD164" s="8"/>
      <c r="AE164" s="8"/>
      <c r="AF164" s="8"/>
      <c r="AG164" s="8"/>
      <c r="AH164" s="8"/>
      <c r="AI164" s="8"/>
      <c r="AJ164" s="8"/>
      <c r="AK164" s="8"/>
      <c r="AL164" s="8"/>
      <c r="AM164" s="8"/>
      <c r="AN164" s="8"/>
      <c r="AO164" s="8"/>
      <c r="AP164" s="8"/>
      <c r="AQ164" s="8"/>
      <c r="BC164" s="830"/>
    </row>
    <row r="165" spans="2:55" ht="15.95" hidden="1" customHeight="1">
      <c r="B165" s="929"/>
      <c r="C165" s="8"/>
      <c r="D165" s="8"/>
      <c r="E165" s="8"/>
      <c r="F165" s="8"/>
      <c r="G165" s="8"/>
      <c r="H165" s="8"/>
      <c r="I165" s="8"/>
      <c r="J165" s="8"/>
      <c r="K165" s="8"/>
      <c r="L165" s="8"/>
      <c r="M165" s="8"/>
      <c r="N165" s="8"/>
      <c r="O165" s="8"/>
      <c r="P165" s="8"/>
      <c r="Q165" s="8"/>
      <c r="R165" s="8"/>
      <c r="S165" s="8"/>
      <c r="T165" s="8"/>
      <c r="U165" s="8"/>
      <c r="V165" s="8"/>
      <c r="W165" s="8"/>
      <c r="X165" s="8"/>
      <c r="Y165" s="8"/>
      <c r="Z165" s="8"/>
      <c r="AA165" s="8"/>
      <c r="AB165" s="8"/>
      <c r="AC165" s="8"/>
      <c r="AD165" s="8"/>
      <c r="AE165" s="8"/>
      <c r="AF165" s="8"/>
      <c r="AG165" s="8"/>
      <c r="AH165" s="8"/>
      <c r="AI165" s="8"/>
      <c r="AJ165" s="8"/>
      <c r="AK165" s="8"/>
      <c r="AL165" s="8"/>
      <c r="AM165" s="8"/>
      <c r="AN165" s="8"/>
      <c r="AO165" s="8"/>
      <c r="AP165" s="8"/>
      <c r="AQ165" s="8"/>
      <c r="BC165" s="831"/>
    </row>
    <row r="166" spans="2:55" ht="15.95" hidden="1" customHeight="1">
      <c r="B166" s="929">
        <v>76</v>
      </c>
      <c r="C166" s="8"/>
      <c r="D166" s="8"/>
      <c r="E166" s="8"/>
      <c r="F166" s="8"/>
      <c r="G166" s="8"/>
      <c r="H166" s="8"/>
      <c r="I166" s="8"/>
      <c r="J166" s="8"/>
      <c r="K166" s="8"/>
      <c r="L166" s="8"/>
      <c r="M166" s="8"/>
      <c r="N166" s="8"/>
      <c r="O166" s="8"/>
      <c r="P166" s="8"/>
      <c r="Q166" s="8"/>
      <c r="R166" s="8"/>
      <c r="S166" s="8"/>
      <c r="T166" s="8"/>
      <c r="U166" s="8"/>
      <c r="V166" s="8"/>
      <c r="W166" s="8"/>
      <c r="X166" s="8"/>
      <c r="Y166" s="8"/>
      <c r="Z166" s="8"/>
      <c r="AA166" s="8"/>
      <c r="AB166" s="8"/>
      <c r="AC166" s="8"/>
      <c r="AD166" s="8"/>
      <c r="AE166" s="8"/>
      <c r="AF166" s="8"/>
      <c r="AG166" s="8"/>
      <c r="AH166" s="8"/>
      <c r="AI166" s="8"/>
      <c r="AJ166" s="8"/>
      <c r="AK166" s="8"/>
      <c r="AL166" s="8"/>
      <c r="AM166" s="8"/>
      <c r="AN166" s="8"/>
      <c r="AO166" s="8"/>
      <c r="AP166" s="8"/>
      <c r="AQ166" s="8"/>
      <c r="BC166" s="830"/>
    </row>
    <row r="167" spans="2:55" ht="15.95" hidden="1" customHeight="1">
      <c r="B167" s="929"/>
      <c r="C167" s="8"/>
      <c r="D167" s="8"/>
      <c r="E167" s="8"/>
      <c r="F167" s="8"/>
      <c r="G167" s="8"/>
      <c r="H167" s="8"/>
      <c r="I167" s="8"/>
      <c r="J167" s="8"/>
      <c r="K167" s="8"/>
      <c r="L167" s="8"/>
      <c r="M167" s="8"/>
      <c r="N167" s="8"/>
      <c r="O167" s="8"/>
      <c r="P167" s="8"/>
      <c r="Q167" s="8"/>
      <c r="R167" s="8"/>
      <c r="S167" s="8"/>
      <c r="T167" s="8"/>
      <c r="U167" s="8"/>
      <c r="V167" s="8"/>
      <c r="W167" s="8"/>
      <c r="X167" s="8"/>
      <c r="Y167" s="8"/>
      <c r="Z167" s="8"/>
      <c r="AA167" s="8"/>
      <c r="AB167" s="8"/>
      <c r="AC167" s="8"/>
      <c r="AD167" s="8"/>
      <c r="AE167" s="8"/>
      <c r="AF167" s="8"/>
      <c r="AG167" s="8"/>
      <c r="AH167" s="8"/>
      <c r="AI167" s="8"/>
      <c r="AJ167" s="8"/>
      <c r="AK167" s="8"/>
      <c r="AL167" s="8"/>
      <c r="AM167" s="8"/>
      <c r="AN167" s="8"/>
      <c r="AO167" s="8"/>
      <c r="AP167" s="8"/>
      <c r="AQ167" s="8"/>
      <c r="BC167" s="831"/>
    </row>
    <row r="168" spans="2:55" ht="15.95" hidden="1" customHeight="1">
      <c r="B168" s="929">
        <v>77</v>
      </c>
      <c r="C168" s="8"/>
      <c r="D168" s="8"/>
      <c r="E168" s="8"/>
      <c r="F168" s="8"/>
      <c r="G168" s="8"/>
      <c r="H168" s="8"/>
      <c r="I168" s="8"/>
      <c r="J168" s="8"/>
      <c r="K168" s="8"/>
      <c r="L168" s="8"/>
      <c r="M168" s="8"/>
      <c r="N168" s="8"/>
      <c r="O168" s="8"/>
      <c r="P168" s="8"/>
      <c r="Q168" s="8"/>
      <c r="R168" s="8"/>
      <c r="S168" s="8"/>
      <c r="T168" s="8"/>
      <c r="U168" s="8"/>
      <c r="V168" s="8"/>
      <c r="W168" s="8"/>
      <c r="X168" s="8"/>
      <c r="Y168" s="8"/>
      <c r="Z168" s="8"/>
      <c r="AA168" s="8"/>
      <c r="AB168" s="8"/>
      <c r="AC168" s="8"/>
      <c r="AD168" s="8"/>
      <c r="AE168" s="8"/>
      <c r="AF168" s="8"/>
      <c r="AG168" s="8"/>
      <c r="AH168" s="8"/>
      <c r="AI168" s="8"/>
      <c r="AJ168" s="8"/>
      <c r="AK168" s="8"/>
      <c r="AL168" s="8"/>
      <c r="AM168" s="8"/>
      <c r="AN168" s="8"/>
      <c r="AO168" s="8"/>
      <c r="AP168" s="8"/>
      <c r="AQ168" s="8"/>
      <c r="BC168" s="830"/>
    </row>
    <row r="169" spans="2:55" ht="15.95" hidden="1" customHeight="1">
      <c r="B169" s="929"/>
      <c r="C169" s="8"/>
      <c r="D169" s="8"/>
      <c r="E169" s="8"/>
      <c r="F169" s="8"/>
      <c r="G169" s="8"/>
      <c r="H169" s="8"/>
      <c r="I169" s="8"/>
      <c r="J169" s="8"/>
      <c r="K169" s="8"/>
      <c r="L169" s="8"/>
      <c r="M169" s="8"/>
      <c r="N169" s="8"/>
      <c r="O169" s="8"/>
      <c r="P169" s="8"/>
      <c r="Q169" s="8"/>
      <c r="R169" s="8"/>
      <c r="S169" s="8"/>
      <c r="T169" s="8"/>
      <c r="U169" s="8"/>
      <c r="V169" s="8"/>
      <c r="W169" s="8"/>
      <c r="X169" s="8"/>
      <c r="Y169" s="8"/>
      <c r="Z169" s="8"/>
      <c r="AA169" s="8"/>
      <c r="AB169" s="8"/>
      <c r="AC169" s="8"/>
      <c r="AD169" s="8"/>
      <c r="AE169" s="8"/>
      <c r="AF169" s="8"/>
      <c r="AG169" s="8"/>
      <c r="AH169" s="8"/>
      <c r="AI169" s="8"/>
      <c r="AJ169" s="8"/>
      <c r="AK169" s="8"/>
      <c r="AL169" s="8"/>
      <c r="AM169" s="8"/>
      <c r="AN169" s="8"/>
      <c r="AO169" s="8"/>
      <c r="AP169" s="8"/>
      <c r="AQ169" s="8"/>
      <c r="BC169" s="831"/>
    </row>
    <row r="170" spans="2:55" ht="15.95" hidden="1" customHeight="1">
      <c r="B170" s="929">
        <v>78</v>
      </c>
      <c r="C170" s="8"/>
      <c r="D170" s="8"/>
      <c r="E170" s="8"/>
      <c r="F170" s="8"/>
      <c r="G170" s="8"/>
      <c r="H170" s="8"/>
      <c r="I170" s="8"/>
      <c r="J170" s="8"/>
      <c r="K170" s="8"/>
      <c r="L170" s="8"/>
      <c r="M170" s="8"/>
      <c r="N170" s="8"/>
      <c r="O170" s="8"/>
      <c r="P170" s="8"/>
      <c r="Q170" s="8"/>
      <c r="R170" s="8"/>
      <c r="S170" s="8"/>
      <c r="T170" s="8"/>
      <c r="U170" s="8"/>
      <c r="V170" s="8"/>
      <c r="W170" s="8"/>
      <c r="X170" s="8"/>
      <c r="Y170" s="8"/>
      <c r="Z170" s="8"/>
      <c r="AA170" s="8"/>
      <c r="AB170" s="8"/>
      <c r="AC170" s="8"/>
      <c r="AD170" s="8"/>
      <c r="AE170" s="8"/>
      <c r="AF170" s="8"/>
      <c r="AG170" s="8"/>
      <c r="AH170" s="8"/>
      <c r="AI170" s="8"/>
      <c r="AJ170" s="8"/>
      <c r="AK170" s="8"/>
      <c r="AL170" s="8"/>
      <c r="AM170" s="8"/>
      <c r="AN170" s="8"/>
      <c r="AO170" s="8"/>
      <c r="AP170" s="8"/>
      <c r="AQ170" s="8"/>
      <c r="BC170" s="830"/>
    </row>
    <row r="171" spans="2:55" ht="15.95" hidden="1" customHeight="1">
      <c r="B171" s="929"/>
      <c r="C171" s="8"/>
      <c r="D171" s="8"/>
      <c r="E171" s="8"/>
      <c r="F171" s="8"/>
      <c r="G171" s="8"/>
      <c r="H171" s="8"/>
      <c r="I171" s="8"/>
      <c r="J171" s="8"/>
      <c r="K171" s="8"/>
      <c r="L171" s="8"/>
      <c r="M171" s="8"/>
      <c r="N171" s="8"/>
      <c r="O171" s="8"/>
      <c r="P171" s="8"/>
      <c r="Q171" s="8"/>
      <c r="R171" s="8"/>
      <c r="S171" s="8"/>
      <c r="T171" s="8"/>
      <c r="U171" s="8"/>
      <c r="V171" s="8"/>
      <c r="W171" s="8"/>
      <c r="X171" s="8"/>
      <c r="Y171" s="8"/>
      <c r="Z171" s="8"/>
      <c r="AA171" s="8"/>
      <c r="AB171" s="8"/>
      <c r="AC171" s="8"/>
      <c r="AD171" s="8"/>
      <c r="AE171" s="8"/>
      <c r="AF171" s="8"/>
      <c r="AG171" s="8"/>
      <c r="AH171" s="8"/>
      <c r="AI171" s="8"/>
      <c r="AJ171" s="8"/>
      <c r="AK171" s="8"/>
      <c r="AL171" s="8"/>
      <c r="AM171" s="8"/>
      <c r="AN171" s="8"/>
      <c r="AO171" s="8"/>
      <c r="AP171" s="8"/>
      <c r="AQ171" s="8"/>
      <c r="BC171" s="831"/>
    </row>
    <row r="172" spans="2:55" ht="15.95" hidden="1" customHeight="1">
      <c r="B172" s="929">
        <v>79</v>
      </c>
      <c r="C172" s="8"/>
      <c r="D172" s="8"/>
      <c r="E172" s="8"/>
      <c r="F172" s="8"/>
      <c r="G172" s="8"/>
      <c r="H172" s="8"/>
      <c r="I172" s="8"/>
      <c r="J172" s="8"/>
      <c r="K172" s="8"/>
      <c r="L172" s="8"/>
      <c r="M172" s="8"/>
      <c r="N172" s="8"/>
      <c r="O172" s="8"/>
      <c r="P172" s="8"/>
      <c r="Q172" s="8"/>
      <c r="R172" s="8"/>
      <c r="S172" s="8"/>
      <c r="T172" s="8"/>
      <c r="U172" s="8"/>
      <c r="V172" s="8"/>
      <c r="W172" s="8"/>
      <c r="X172" s="8"/>
      <c r="Y172" s="8"/>
      <c r="Z172" s="8"/>
      <c r="AA172" s="8"/>
      <c r="AB172" s="8"/>
      <c r="AC172" s="8"/>
      <c r="AD172" s="8"/>
      <c r="AE172" s="8"/>
      <c r="AF172" s="8"/>
      <c r="AG172" s="8"/>
      <c r="AH172" s="8"/>
      <c r="AI172" s="8"/>
      <c r="AJ172" s="8"/>
      <c r="AK172" s="8"/>
      <c r="AL172" s="8"/>
      <c r="AM172" s="8"/>
      <c r="AN172" s="8"/>
      <c r="AO172" s="8"/>
      <c r="AP172" s="8"/>
      <c r="AQ172" s="8"/>
      <c r="BC172" s="830"/>
    </row>
    <row r="173" spans="2:55" ht="15.95" hidden="1" customHeight="1">
      <c r="B173" s="929"/>
      <c r="C173" s="8"/>
      <c r="D173" s="8"/>
      <c r="E173" s="8"/>
      <c r="F173" s="8"/>
      <c r="G173" s="8"/>
      <c r="H173" s="8"/>
      <c r="I173" s="8"/>
      <c r="J173" s="8"/>
      <c r="K173" s="8"/>
      <c r="L173" s="8"/>
      <c r="M173" s="8"/>
      <c r="N173" s="8"/>
      <c r="O173" s="8"/>
      <c r="P173" s="8"/>
      <c r="Q173" s="8"/>
      <c r="R173" s="8"/>
      <c r="S173" s="8"/>
      <c r="T173" s="8"/>
      <c r="U173" s="8"/>
      <c r="V173" s="8"/>
      <c r="W173" s="8"/>
      <c r="X173" s="8"/>
      <c r="Y173" s="8"/>
      <c r="Z173" s="8"/>
      <c r="AA173" s="8"/>
      <c r="AB173" s="8"/>
      <c r="AC173" s="8"/>
      <c r="AD173" s="8"/>
      <c r="AE173" s="8"/>
      <c r="AF173" s="8"/>
      <c r="AG173" s="8"/>
      <c r="AH173" s="8"/>
      <c r="AI173" s="8"/>
      <c r="AJ173" s="8"/>
      <c r="AK173" s="8"/>
      <c r="AL173" s="8"/>
      <c r="AM173" s="8"/>
      <c r="AN173" s="8"/>
      <c r="AO173" s="8"/>
      <c r="AP173" s="8"/>
      <c r="AQ173" s="8"/>
      <c r="BC173" s="831"/>
    </row>
    <row r="174" spans="2:55" ht="15.95" hidden="1" customHeight="1">
      <c r="B174" s="929">
        <v>80</v>
      </c>
      <c r="C174" s="8"/>
      <c r="D174" s="8"/>
      <c r="E174" s="8"/>
      <c r="F174" s="8"/>
      <c r="G174" s="8"/>
      <c r="H174" s="8"/>
      <c r="I174" s="8"/>
      <c r="J174" s="8"/>
      <c r="K174" s="8"/>
      <c r="L174" s="8"/>
      <c r="M174" s="8"/>
      <c r="N174" s="8"/>
      <c r="O174" s="8"/>
      <c r="P174" s="8"/>
      <c r="Q174" s="8"/>
      <c r="R174" s="8"/>
      <c r="S174" s="8"/>
      <c r="T174" s="8"/>
      <c r="U174" s="8"/>
      <c r="V174" s="8"/>
      <c r="W174" s="8"/>
      <c r="X174" s="8"/>
      <c r="Y174" s="8"/>
      <c r="Z174" s="8"/>
      <c r="AA174" s="8"/>
      <c r="AB174" s="8"/>
      <c r="AC174" s="8"/>
      <c r="AD174" s="8"/>
      <c r="AE174" s="8"/>
      <c r="AF174" s="8"/>
      <c r="AG174" s="8"/>
      <c r="AH174" s="8"/>
      <c r="AI174" s="8"/>
      <c r="AJ174" s="8"/>
      <c r="AK174" s="8"/>
      <c r="AL174" s="8"/>
      <c r="AM174" s="8"/>
      <c r="AN174" s="8"/>
      <c r="AO174" s="8"/>
      <c r="AP174" s="8"/>
      <c r="AQ174" s="8"/>
      <c r="BC174" s="830"/>
    </row>
    <row r="175" spans="2:55" ht="15.95" hidden="1" customHeight="1">
      <c r="B175" s="929"/>
      <c r="C175" s="8"/>
      <c r="D175" s="8"/>
      <c r="E175" s="8"/>
      <c r="F175" s="8"/>
      <c r="G175" s="8"/>
      <c r="H175" s="8"/>
      <c r="I175" s="8"/>
      <c r="J175" s="8"/>
      <c r="K175" s="8"/>
      <c r="L175" s="8"/>
      <c r="M175" s="8"/>
      <c r="N175" s="8"/>
      <c r="O175" s="8"/>
      <c r="P175" s="8"/>
      <c r="Q175" s="8"/>
      <c r="R175" s="8"/>
      <c r="S175" s="8"/>
      <c r="T175" s="8"/>
      <c r="U175" s="8"/>
      <c r="V175" s="8"/>
      <c r="W175" s="8"/>
      <c r="X175" s="8"/>
      <c r="Y175" s="8"/>
      <c r="Z175" s="8"/>
      <c r="AA175" s="8"/>
      <c r="AB175" s="8"/>
      <c r="AC175" s="8"/>
      <c r="AD175" s="8"/>
      <c r="AE175" s="8"/>
      <c r="AF175" s="8"/>
      <c r="AG175" s="8"/>
      <c r="AH175" s="8"/>
      <c r="AI175" s="8"/>
      <c r="AJ175" s="8"/>
      <c r="AK175" s="8"/>
      <c r="AL175" s="8"/>
      <c r="AM175" s="8"/>
      <c r="AN175" s="8"/>
      <c r="AO175" s="8"/>
      <c r="AP175" s="8"/>
      <c r="AQ175" s="8"/>
      <c r="BC175" s="831"/>
    </row>
    <row r="176" spans="2:55" ht="15.95" hidden="1" customHeight="1">
      <c r="B176" s="929">
        <v>81</v>
      </c>
      <c r="C176" s="8"/>
      <c r="D176" s="8"/>
      <c r="E176" s="8"/>
      <c r="F176" s="8"/>
      <c r="G176" s="8"/>
      <c r="H176" s="8"/>
      <c r="I176" s="8"/>
      <c r="J176" s="8"/>
      <c r="K176" s="8"/>
      <c r="L176" s="8"/>
      <c r="M176" s="8"/>
      <c r="N176" s="8"/>
      <c r="O176" s="8"/>
      <c r="P176" s="8"/>
      <c r="Q176" s="8"/>
      <c r="R176" s="8"/>
      <c r="S176" s="8"/>
      <c r="T176" s="8"/>
      <c r="U176" s="8"/>
      <c r="V176" s="8"/>
      <c r="W176" s="8"/>
      <c r="X176" s="8"/>
      <c r="Y176" s="8"/>
      <c r="Z176" s="8"/>
      <c r="AA176" s="8"/>
      <c r="AB176" s="8"/>
      <c r="AC176" s="8"/>
      <c r="AD176" s="8"/>
      <c r="AE176" s="8"/>
      <c r="AF176" s="8"/>
      <c r="AG176" s="8"/>
      <c r="AH176" s="8"/>
      <c r="AI176" s="8"/>
      <c r="AJ176" s="8"/>
      <c r="AK176" s="8"/>
      <c r="AL176" s="8"/>
      <c r="AM176" s="8"/>
      <c r="AN176" s="8"/>
      <c r="AO176" s="8"/>
      <c r="AP176" s="8"/>
      <c r="AQ176" s="8"/>
      <c r="BC176" s="830"/>
    </row>
    <row r="177" spans="2:55" ht="15.95" hidden="1" customHeight="1">
      <c r="B177" s="929"/>
      <c r="C177" s="8"/>
      <c r="D177" s="8"/>
      <c r="E177" s="8"/>
      <c r="F177" s="8"/>
      <c r="G177" s="8"/>
      <c r="H177" s="8"/>
      <c r="I177" s="8"/>
      <c r="J177" s="8"/>
      <c r="K177" s="8"/>
      <c r="L177" s="8"/>
      <c r="M177" s="8"/>
      <c r="N177" s="8"/>
      <c r="O177" s="8"/>
      <c r="P177" s="8"/>
      <c r="Q177" s="8"/>
      <c r="R177" s="8"/>
      <c r="S177" s="8"/>
      <c r="T177" s="8"/>
      <c r="U177" s="8"/>
      <c r="V177" s="8"/>
      <c r="W177" s="8"/>
      <c r="X177" s="8"/>
      <c r="Y177" s="8"/>
      <c r="Z177" s="8"/>
      <c r="AA177" s="8"/>
      <c r="AB177" s="8"/>
      <c r="AC177" s="8"/>
      <c r="AD177" s="8"/>
      <c r="AE177" s="8"/>
      <c r="AF177" s="8"/>
      <c r="AG177" s="8"/>
      <c r="AH177" s="8"/>
      <c r="AI177" s="8"/>
      <c r="AJ177" s="8"/>
      <c r="AK177" s="8"/>
      <c r="AL177" s="8"/>
      <c r="AM177" s="8"/>
      <c r="AN177" s="8"/>
      <c r="AO177" s="8"/>
      <c r="AP177" s="8"/>
      <c r="AQ177" s="8"/>
      <c r="BC177" s="831"/>
    </row>
    <row r="178" spans="2:55" ht="15.95" hidden="1" customHeight="1">
      <c r="B178" s="929">
        <v>82</v>
      </c>
      <c r="C178" s="8"/>
      <c r="D178" s="8"/>
      <c r="E178" s="8"/>
      <c r="F178" s="8"/>
      <c r="G178" s="8"/>
      <c r="H178" s="8"/>
      <c r="I178" s="8"/>
      <c r="J178" s="8"/>
      <c r="K178" s="8"/>
      <c r="L178" s="8"/>
      <c r="M178" s="8"/>
      <c r="N178" s="8"/>
      <c r="O178" s="8"/>
      <c r="P178" s="8"/>
      <c r="Q178" s="8"/>
      <c r="R178" s="8"/>
      <c r="S178" s="8"/>
      <c r="T178" s="8"/>
      <c r="U178" s="8"/>
      <c r="V178" s="8"/>
      <c r="W178" s="8"/>
      <c r="X178" s="8"/>
      <c r="Y178" s="8"/>
      <c r="Z178" s="8"/>
      <c r="AA178" s="8"/>
      <c r="AB178" s="8"/>
      <c r="AC178" s="8"/>
      <c r="AD178" s="8"/>
      <c r="AE178" s="8"/>
      <c r="AF178" s="8"/>
      <c r="AG178" s="8"/>
      <c r="AH178" s="8"/>
      <c r="AI178" s="8"/>
      <c r="AJ178" s="8"/>
      <c r="AK178" s="8"/>
      <c r="AL178" s="8"/>
      <c r="AM178" s="8"/>
      <c r="AN178" s="8"/>
      <c r="AO178" s="8"/>
      <c r="AP178" s="8"/>
      <c r="AQ178" s="8"/>
      <c r="BC178" s="830"/>
    </row>
    <row r="179" spans="2:55" ht="15.95" hidden="1" customHeight="1">
      <c r="B179" s="929"/>
      <c r="C179" s="8"/>
      <c r="D179" s="8"/>
      <c r="E179" s="8"/>
      <c r="F179" s="8"/>
      <c r="G179" s="8"/>
      <c r="H179" s="8"/>
      <c r="I179" s="8"/>
      <c r="J179" s="8"/>
      <c r="K179" s="8"/>
      <c r="L179" s="8"/>
      <c r="M179" s="8"/>
      <c r="N179" s="8"/>
      <c r="O179" s="8"/>
      <c r="P179" s="8"/>
      <c r="Q179" s="8"/>
      <c r="R179" s="8"/>
      <c r="S179" s="8"/>
      <c r="T179" s="8"/>
      <c r="U179" s="8"/>
      <c r="V179" s="8"/>
      <c r="W179" s="8"/>
      <c r="X179" s="8"/>
      <c r="Y179" s="8"/>
      <c r="Z179" s="8"/>
      <c r="AA179" s="8"/>
      <c r="AB179" s="8"/>
      <c r="AC179" s="8"/>
      <c r="AD179" s="8"/>
      <c r="AE179" s="8"/>
      <c r="AF179" s="8"/>
      <c r="AG179" s="8"/>
      <c r="AH179" s="8"/>
      <c r="AI179" s="8"/>
      <c r="AJ179" s="8"/>
      <c r="AK179" s="8"/>
      <c r="AL179" s="8"/>
      <c r="AM179" s="8"/>
      <c r="AN179" s="8"/>
      <c r="AO179" s="8"/>
      <c r="AP179" s="8"/>
      <c r="AQ179" s="8"/>
      <c r="BC179" s="831"/>
    </row>
    <row r="180" spans="2:55" ht="15.95" hidden="1" customHeight="1">
      <c r="B180" s="929">
        <v>83</v>
      </c>
      <c r="C180" s="8"/>
      <c r="D180" s="8"/>
      <c r="E180" s="8"/>
      <c r="F180" s="8"/>
      <c r="G180" s="8"/>
      <c r="H180" s="8"/>
      <c r="I180" s="8"/>
      <c r="J180" s="8"/>
      <c r="K180" s="8"/>
      <c r="L180" s="8"/>
      <c r="M180" s="8"/>
      <c r="N180" s="8"/>
      <c r="O180" s="8"/>
      <c r="P180" s="8"/>
      <c r="Q180" s="8"/>
      <c r="R180" s="8"/>
      <c r="S180" s="8"/>
      <c r="T180" s="8"/>
      <c r="U180" s="8"/>
      <c r="V180" s="8"/>
      <c r="W180" s="8"/>
      <c r="X180" s="8"/>
      <c r="Y180" s="8"/>
      <c r="Z180" s="8"/>
      <c r="AA180" s="8"/>
      <c r="AB180" s="8"/>
      <c r="AC180" s="8"/>
      <c r="AD180" s="8"/>
      <c r="AE180" s="8"/>
      <c r="AF180" s="8"/>
      <c r="AG180" s="8"/>
      <c r="AH180" s="8"/>
      <c r="AI180" s="8"/>
      <c r="AJ180" s="8"/>
      <c r="AK180" s="8"/>
      <c r="AL180" s="8"/>
      <c r="AM180" s="8"/>
      <c r="AN180" s="8"/>
      <c r="AO180" s="8"/>
      <c r="AP180" s="8"/>
      <c r="AQ180" s="8"/>
      <c r="BC180" s="830"/>
    </row>
    <row r="181" spans="2:55" ht="15.95" hidden="1" customHeight="1">
      <c r="B181" s="929"/>
      <c r="C181" s="8"/>
      <c r="D181" s="8"/>
      <c r="E181" s="8"/>
      <c r="F181" s="8"/>
      <c r="G181" s="8"/>
      <c r="H181" s="8"/>
      <c r="I181" s="8"/>
      <c r="J181" s="8"/>
      <c r="K181" s="8"/>
      <c r="L181" s="8"/>
      <c r="M181" s="8"/>
      <c r="N181" s="8"/>
      <c r="O181" s="8"/>
      <c r="P181" s="8"/>
      <c r="Q181" s="8"/>
      <c r="R181" s="8"/>
      <c r="S181" s="8"/>
      <c r="T181" s="8"/>
      <c r="U181" s="8"/>
      <c r="V181" s="8"/>
      <c r="W181" s="8"/>
      <c r="X181" s="8"/>
      <c r="Y181" s="8"/>
      <c r="Z181" s="8"/>
      <c r="AA181" s="8"/>
      <c r="AB181" s="8"/>
      <c r="AC181" s="8"/>
      <c r="AD181" s="8"/>
      <c r="AE181" s="8"/>
      <c r="AF181" s="8"/>
      <c r="AG181" s="8"/>
      <c r="AH181" s="8"/>
      <c r="AI181" s="8"/>
      <c r="AJ181" s="8"/>
      <c r="AK181" s="8"/>
      <c r="AL181" s="8"/>
      <c r="AM181" s="8"/>
      <c r="AN181" s="8"/>
      <c r="AO181" s="8"/>
      <c r="AP181" s="8"/>
      <c r="AQ181" s="8"/>
      <c r="BC181" s="831"/>
    </row>
    <row r="182" spans="2:55" ht="15.95" hidden="1" customHeight="1">
      <c r="B182" s="929">
        <v>84</v>
      </c>
      <c r="C182" s="8"/>
      <c r="D182" s="8"/>
      <c r="E182" s="8"/>
      <c r="F182" s="8"/>
      <c r="G182" s="8"/>
      <c r="H182" s="8"/>
      <c r="I182" s="8"/>
      <c r="J182" s="8"/>
      <c r="K182" s="8"/>
      <c r="L182" s="8"/>
      <c r="M182" s="8"/>
      <c r="N182" s="8"/>
      <c r="O182" s="8"/>
      <c r="P182" s="8"/>
      <c r="Q182" s="8"/>
      <c r="R182" s="8"/>
      <c r="S182" s="8"/>
      <c r="T182" s="8"/>
      <c r="U182" s="8"/>
      <c r="V182" s="8"/>
      <c r="W182" s="8"/>
      <c r="X182" s="8"/>
      <c r="Y182" s="8"/>
      <c r="Z182" s="8"/>
      <c r="AA182" s="8"/>
      <c r="AB182" s="8"/>
      <c r="AC182" s="8"/>
      <c r="AD182" s="8"/>
      <c r="AE182" s="8"/>
      <c r="AF182" s="8"/>
      <c r="AG182" s="8"/>
      <c r="AH182" s="8"/>
      <c r="AI182" s="8"/>
      <c r="AJ182" s="8"/>
      <c r="AK182" s="8"/>
      <c r="AL182" s="8"/>
      <c r="AM182" s="8"/>
      <c r="AN182" s="8"/>
      <c r="AO182" s="8"/>
      <c r="AP182" s="8"/>
      <c r="AQ182" s="8"/>
      <c r="BC182" s="830"/>
    </row>
    <row r="183" spans="2:55" ht="15.95" hidden="1" customHeight="1">
      <c r="B183" s="929"/>
      <c r="C183" s="8"/>
      <c r="D183" s="8"/>
      <c r="E183" s="8"/>
      <c r="F183" s="8"/>
      <c r="G183" s="8"/>
      <c r="H183" s="8"/>
      <c r="I183" s="8"/>
      <c r="J183" s="8"/>
      <c r="K183" s="8"/>
      <c r="L183" s="8"/>
      <c r="M183" s="8"/>
      <c r="N183" s="8"/>
      <c r="O183" s="8"/>
      <c r="P183" s="8"/>
      <c r="Q183" s="8"/>
      <c r="R183" s="8"/>
      <c r="S183" s="8"/>
      <c r="T183" s="8"/>
      <c r="U183" s="8"/>
      <c r="V183" s="8"/>
      <c r="W183" s="8"/>
      <c r="X183" s="8"/>
      <c r="Y183" s="8"/>
      <c r="Z183" s="8"/>
      <c r="AA183" s="8"/>
      <c r="AB183" s="8"/>
      <c r="AC183" s="8"/>
      <c r="AD183" s="8"/>
      <c r="AE183" s="8"/>
      <c r="AF183" s="8"/>
      <c r="AG183" s="8"/>
      <c r="AH183" s="8"/>
      <c r="AI183" s="8"/>
      <c r="AJ183" s="8"/>
      <c r="AK183" s="8"/>
      <c r="AL183" s="8"/>
      <c r="AM183" s="8"/>
      <c r="AN183" s="8"/>
      <c r="AO183" s="8"/>
      <c r="AP183" s="8"/>
      <c r="AQ183" s="8"/>
      <c r="BC183" s="831"/>
    </row>
    <row r="184" spans="2:55" ht="15.95" hidden="1" customHeight="1">
      <c r="B184" s="929">
        <v>85</v>
      </c>
      <c r="C184" s="8"/>
      <c r="D184" s="8"/>
      <c r="E184" s="8"/>
      <c r="F184" s="8"/>
      <c r="G184" s="8"/>
      <c r="H184" s="8"/>
      <c r="I184" s="8"/>
      <c r="J184" s="8"/>
      <c r="K184" s="8"/>
      <c r="L184" s="8"/>
      <c r="M184" s="8"/>
      <c r="N184" s="8"/>
      <c r="O184" s="8"/>
      <c r="P184" s="8"/>
      <c r="Q184" s="8"/>
      <c r="R184" s="8"/>
      <c r="S184" s="8"/>
      <c r="T184" s="8"/>
      <c r="U184" s="8"/>
      <c r="V184" s="8"/>
      <c r="W184" s="8"/>
      <c r="X184" s="8"/>
      <c r="Y184" s="8"/>
      <c r="Z184" s="8"/>
      <c r="AA184" s="8"/>
      <c r="AB184" s="8"/>
      <c r="AC184" s="8"/>
      <c r="AD184" s="8"/>
      <c r="AE184" s="8"/>
      <c r="AF184" s="8"/>
      <c r="AG184" s="8"/>
      <c r="AH184" s="8"/>
      <c r="AI184" s="8"/>
      <c r="AJ184" s="8"/>
      <c r="AK184" s="8"/>
      <c r="AL184" s="8"/>
      <c r="AM184" s="8"/>
      <c r="AN184" s="8"/>
      <c r="AO184" s="8"/>
      <c r="AP184" s="8"/>
      <c r="AQ184" s="8"/>
      <c r="BC184" s="830"/>
    </row>
    <row r="185" spans="2:55" ht="15.95" hidden="1" customHeight="1">
      <c r="B185" s="929"/>
      <c r="C185" s="8"/>
      <c r="D185" s="8"/>
      <c r="E185" s="8"/>
      <c r="F185" s="8"/>
      <c r="G185" s="8"/>
      <c r="H185" s="8"/>
      <c r="I185" s="8"/>
      <c r="J185" s="8"/>
      <c r="K185" s="8"/>
      <c r="L185" s="8"/>
      <c r="M185" s="8"/>
      <c r="N185" s="8"/>
      <c r="O185" s="8"/>
      <c r="P185" s="8"/>
      <c r="Q185" s="8"/>
      <c r="R185" s="8"/>
      <c r="S185" s="8"/>
      <c r="T185" s="8"/>
      <c r="U185" s="8"/>
      <c r="V185" s="8"/>
      <c r="W185" s="8"/>
      <c r="X185" s="8"/>
      <c r="Y185" s="8"/>
      <c r="Z185" s="8"/>
      <c r="AA185" s="8"/>
      <c r="AB185" s="8"/>
      <c r="AC185" s="8"/>
      <c r="AD185" s="8"/>
      <c r="AE185" s="8"/>
      <c r="AF185" s="8"/>
      <c r="AG185" s="8"/>
      <c r="AH185" s="8"/>
      <c r="AI185" s="8"/>
      <c r="AJ185" s="8"/>
      <c r="AK185" s="8"/>
      <c r="AL185" s="8"/>
      <c r="AM185" s="8"/>
      <c r="AN185" s="8"/>
      <c r="AO185" s="8"/>
      <c r="AP185" s="8"/>
      <c r="AQ185" s="8"/>
      <c r="BC185" s="831"/>
    </row>
    <row r="186" spans="2:55" ht="15.95" hidden="1" customHeight="1">
      <c r="B186" s="929">
        <v>86</v>
      </c>
      <c r="C186" s="8"/>
      <c r="D186" s="8"/>
      <c r="E186" s="8"/>
      <c r="F186" s="8"/>
      <c r="G186" s="8"/>
      <c r="H186" s="8"/>
      <c r="I186" s="8"/>
      <c r="J186" s="8"/>
      <c r="K186" s="8"/>
      <c r="L186" s="8"/>
      <c r="M186" s="8"/>
      <c r="N186" s="8"/>
      <c r="O186" s="8"/>
      <c r="P186" s="8"/>
      <c r="Q186" s="8"/>
      <c r="R186" s="8"/>
      <c r="S186" s="8"/>
      <c r="T186" s="8"/>
      <c r="U186" s="8"/>
      <c r="V186" s="8"/>
      <c r="W186" s="8"/>
      <c r="X186" s="8"/>
      <c r="Y186" s="8"/>
      <c r="Z186" s="8"/>
      <c r="AA186" s="8"/>
      <c r="AB186" s="8"/>
      <c r="AC186" s="8"/>
      <c r="AD186" s="8"/>
      <c r="AE186" s="8"/>
      <c r="AF186" s="8"/>
      <c r="AG186" s="8"/>
      <c r="AH186" s="8"/>
      <c r="AI186" s="8"/>
      <c r="AJ186" s="8"/>
      <c r="AK186" s="8"/>
      <c r="AL186" s="8"/>
      <c r="AM186" s="8"/>
      <c r="AN186" s="8"/>
      <c r="AO186" s="8"/>
      <c r="AP186" s="8"/>
      <c r="AQ186" s="8"/>
      <c r="BC186" s="830"/>
    </row>
    <row r="187" spans="2:55" ht="15.95" hidden="1" customHeight="1">
      <c r="B187" s="929"/>
      <c r="C187" s="8"/>
      <c r="D187" s="8"/>
      <c r="E187" s="8"/>
      <c r="F187" s="8"/>
      <c r="G187" s="8"/>
      <c r="H187" s="8"/>
      <c r="I187" s="8"/>
      <c r="J187" s="8"/>
      <c r="K187" s="8"/>
      <c r="L187" s="8"/>
      <c r="M187" s="8"/>
      <c r="N187" s="8"/>
      <c r="O187" s="8"/>
      <c r="P187" s="8"/>
      <c r="Q187" s="8"/>
      <c r="R187" s="8"/>
      <c r="S187" s="8"/>
      <c r="T187" s="8"/>
      <c r="U187" s="8"/>
      <c r="V187" s="8"/>
      <c r="W187" s="8"/>
      <c r="X187" s="8"/>
      <c r="Y187" s="8"/>
      <c r="Z187" s="8"/>
      <c r="AA187" s="8"/>
      <c r="AB187" s="8"/>
      <c r="AC187" s="8"/>
      <c r="AD187" s="8"/>
      <c r="AE187" s="8"/>
      <c r="AF187" s="8"/>
      <c r="AG187" s="8"/>
      <c r="AH187" s="8"/>
      <c r="AI187" s="8"/>
      <c r="AJ187" s="8"/>
      <c r="AK187" s="8"/>
      <c r="AL187" s="8"/>
      <c r="AM187" s="8"/>
      <c r="AN187" s="8"/>
      <c r="AO187" s="8"/>
      <c r="AP187" s="8"/>
      <c r="AQ187" s="8"/>
      <c r="BC187" s="831"/>
    </row>
    <row r="188" spans="2:55" ht="15.95" hidden="1" customHeight="1">
      <c r="B188" s="929">
        <v>87</v>
      </c>
      <c r="C188" s="8"/>
      <c r="D188" s="8"/>
      <c r="E188" s="8"/>
      <c r="F188" s="8"/>
      <c r="G188" s="8"/>
      <c r="H188" s="8"/>
      <c r="I188" s="8"/>
      <c r="J188" s="8"/>
      <c r="K188" s="8"/>
      <c r="L188" s="8"/>
      <c r="M188" s="8"/>
      <c r="N188" s="8"/>
      <c r="O188" s="8"/>
      <c r="P188" s="8"/>
      <c r="Q188" s="8"/>
      <c r="R188" s="8"/>
      <c r="S188" s="8"/>
      <c r="T188" s="8"/>
      <c r="U188" s="8"/>
      <c r="V188" s="8"/>
      <c r="W188" s="8"/>
      <c r="X188" s="8"/>
      <c r="Y188" s="8"/>
      <c r="Z188" s="8"/>
      <c r="AA188" s="8"/>
      <c r="AB188" s="8"/>
      <c r="AC188" s="8"/>
      <c r="AD188" s="8"/>
      <c r="AE188" s="8"/>
      <c r="AF188" s="8"/>
      <c r="AG188" s="8"/>
      <c r="AH188" s="8"/>
      <c r="AI188" s="8"/>
      <c r="AJ188" s="8"/>
      <c r="AK188" s="8"/>
      <c r="AL188" s="8"/>
      <c r="AM188" s="8"/>
      <c r="AN188" s="8"/>
      <c r="AO188" s="8"/>
      <c r="AP188" s="8"/>
      <c r="AQ188" s="8"/>
      <c r="BC188" s="830"/>
    </row>
    <row r="189" spans="2:55" ht="15.95" hidden="1" customHeight="1">
      <c r="B189" s="929"/>
      <c r="C189" s="8"/>
      <c r="D189" s="8"/>
      <c r="E189" s="8"/>
      <c r="F189" s="8"/>
      <c r="G189" s="8"/>
      <c r="H189" s="8"/>
      <c r="I189" s="8"/>
      <c r="J189" s="8"/>
      <c r="K189" s="8"/>
      <c r="L189" s="8"/>
      <c r="M189" s="8"/>
      <c r="N189" s="8"/>
      <c r="O189" s="8"/>
      <c r="P189" s="8"/>
      <c r="Q189" s="8"/>
      <c r="R189" s="8"/>
      <c r="S189" s="8"/>
      <c r="T189" s="8"/>
      <c r="U189" s="8"/>
      <c r="V189" s="8"/>
      <c r="W189" s="8"/>
      <c r="X189" s="8"/>
      <c r="Y189" s="8"/>
      <c r="Z189" s="8"/>
      <c r="AA189" s="8"/>
      <c r="AB189" s="8"/>
      <c r="AC189" s="8"/>
      <c r="AD189" s="8"/>
      <c r="AE189" s="8"/>
      <c r="AF189" s="8"/>
      <c r="AG189" s="8"/>
      <c r="AH189" s="8"/>
      <c r="AI189" s="8"/>
      <c r="AJ189" s="8"/>
      <c r="AK189" s="8"/>
      <c r="AL189" s="8"/>
      <c r="AM189" s="8"/>
      <c r="AN189" s="8"/>
      <c r="AO189" s="8"/>
      <c r="AP189" s="8"/>
      <c r="AQ189" s="8"/>
      <c r="BC189" s="831"/>
    </row>
    <row r="190" spans="2:55" ht="15.95" hidden="1" customHeight="1">
      <c r="B190" s="929">
        <v>88</v>
      </c>
      <c r="C190" s="8"/>
      <c r="D190" s="8"/>
      <c r="E190" s="8"/>
      <c r="F190" s="8"/>
      <c r="G190" s="8"/>
      <c r="H190" s="8"/>
      <c r="I190" s="8"/>
      <c r="J190" s="8"/>
      <c r="K190" s="8"/>
      <c r="L190" s="8"/>
      <c r="M190" s="8"/>
      <c r="N190" s="8"/>
      <c r="O190" s="8"/>
      <c r="P190" s="8"/>
      <c r="Q190" s="8"/>
      <c r="R190" s="8"/>
      <c r="S190" s="8"/>
      <c r="T190" s="8"/>
      <c r="U190" s="8"/>
      <c r="V190" s="8"/>
      <c r="W190" s="8"/>
      <c r="X190" s="8"/>
      <c r="Y190" s="8"/>
      <c r="Z190" s="8"/>
      <c r="AA190" s="8"/>
      <c r="AB190" s="8"/>
      <c r="AC190" s="8"/>
      <c r="AD190" s="8"/>
      <c r="AE190" s="8"/>
      <c r="AF190" s="8"/>
      <c r="AG190" s="8"/>
      <c r="AH190" s="8"/>
      <c r="AI190" s="8"/>
      <c r="AJ190" s="8"/>
      <c r="AK190" s="8"/>
      <c r="AL190" s="8"/>
      <c r="AM190" s="8"/>
      <c r="AN190" s="8"/>
      <c r="AO190" s="8"/>
      <c r="AP190" s="8"/>
      <c r="AQ190" s="8"/>
      <c r="BC190" s="830"/>
    </row>
    <row r="191" spans="2:55" ht="15.95" hidden="1" customHeight="1">
      <c r="B191" s="929"/>
      <c r="C191" s="8"/>
      <c r="D191" s="8"/>
      <c r="E191" s="8"/>
      <c r="F191" s="8"/>
      <c r="G191" s="8"/>
      <c r="H191" s="8"/>
      <c r="I191" s="8"/>
      <c r="J191" s="8"/>
      <c r="K191" s="8"/>
      <c r="L191" s="8"/>
      <c r="M191" s="8"/>
      <c r="N191" s="8"/>
      <c r="O191" s="8"/>
      <c r="P191" s="8"/>
      <c r="Q191" s="8"/>
      <c r="R191" s="8"/>
      <c r="S191" s="8"/>
      <c r="T191" s="8"/>
      <c r="U191" s="8"/>
      <c r="V191" s="8"/>
      <c r="W191" s="8"/>
      <c r="X191" s="8"/>
      <c r="Y191" s="8"/>
      <c r="Z191" s="8"/>
      <c r="AA191" s="8"/>
      <c r="AB191" s="8"/>
      <c r="AC191" s="8"/>
      <c r="AD191" s="8"/>
      <c r="AE191" s="8"/>
      <c r="AF191" s="8"/>
      <c r="AG191" s="8"/>
      <c r="AH191" s="8"/>
      <c r="AI191" s="8"/>
      <c r="AJ191" s="8"/>
      <c r="AK191" s="8"/>
      <c r="AL191" s="8"/>
      <c r="AM191" s="8"/>
      <c r="AN191" s="8"/>
      <c r="AO191" s="8"/>
      <c r="AP191" s="8"/>
      <c r="AQ191" s="8"/>
      <c r="BC191" s="831"/>
    </row>
    <row r="192" spans="2:55" ht="15.95" hidden="1" customHeight="1">
      <c r="B192" s="929">
        <v>89</v>
      </c>
      <c r="C192" s="8"/>
      <c r="D192" s="8"/>
      <c r="E192" s="8"/>
      <c r="F192" s="8"/>
      <c r="G192" s="8"/>
      <c r="H192" s="8"/>
      <c r="I192" s="8"/>
      <c r="J192" s="8"/>
      <c r="K192" s="8"/>
      <c r="L192" s="8"/>
      <c r="M192" s="8"/>
      <c r="N192" s="8"/>
      <c r="O192" s="8"/>
      <c r="P192" s="8"/>
      <c r="Q192" s="8"/>
      <c r="R192" s="8"/>
      <c r="S192" s="8"/>
      <c r="T192" s="8"/>
      <c r="U192" s="8"/>
      <c r="V192" s="8"/>
      <c r="W192" s="8"/>
      <c r="X192" s="8"/>
      <c r="Y192" s="8"/>
      <c r="Z192" s="8"/>
      <c r="AA192" s="8"/>
      <c r="AB192" s="8"/>
      <c r="AC192" s="8"/>
      <c r="AD192" s="8"/>
      <c r="AE192" s="8"/>
      <c r="AF192" s="8"/>
      <c r="AG192" s="8"/>
      <c r="AH192" s="8"/>
      <c r="AI192" s="8"/>
      <c r="AJ192" s="8"/>
      <c r="AK192" s="8"/>
      <c r="AL192" s="8"/>
      <c r="AM192" s="8"/>
      <c r="AN192" s="8"/>
      <c r="AO192" s="8"/>
      <c r="AP192" s="8"/>
      <c r="AQ192" s="8"/>
      <c r="BC192" s="830"/>
    </row>
    <row r="193" spans="2:55" ht="15.95" hidden="1" customHeight="1">
      <c r="B193" s="929"/>
      <c r="C193" s="8"/>
      <c r="D193" s="8"/>
      <c r="E193" s="8"/>
      <c r="F193" s="8"/>
      <c r="G193" s="8"/>
      <c r="H193" s="8"/>
      <c r="I193" s="8"/>
      <c r="J193" s="8"/>
      <c r="K193" s="8"/>
      <c r="L193" s="8"/>
      <c r="M193" s="8"/>
      <c r="N193" s="8"/>
      <c r="O193" s="8"/>
      <c r="P193" s="8"/>
      <c r="Q193" s="8"/>
      <c r="R193" s="8"/>
      <c r="S193" s="8"/>
      <c r="T193" s="8"/>
      <c r="U193" s="8"/>
      <c r="V193" s="8"/>
      <c r="W193" s="8"/>
      <c r="X193" s="8"/>
      <c r="Y193" s="8"/>
      <c r="Z193" s="8"/>
      <c r="AA193" s="8"/>
      <c r="AB193" s="8"/>
      <c r="AC193" s="8"/>
      <c r="AD193" s="8"/>
      <c r="AE193" s="8"/>
      <c r="AF193" s="8"/>
      <c r="AG193" s="8"/>
      <c r="AH193" s="8"/>
      <c r="AI193" s="8"/>
      <c r="AJ193" s="8"/>
      <c r="AK193" s="8"/>
      <c r="AL193" s="8"/>
      <c r="AM193" s="8"/>
      <c r="AN193" s="8"/>
      <c r="AO193" s="8"/>
      <c r="AP193" s="8"/>
      <c r="AQ193" s="8"/>
      <c r="BC193" s="831"/>
    </row>
    <row r="194" spans="2:55" ht="15.95" hidden="1" customHeight="1">
      <c r="B194" s="929">
        <v>90</v>
      </c>
      <c r="C194" s="8"/>
      <c r="D194" s="8"/>
      <c r="E194" s="8"/>
      <c r="F194" s="8"/>
      <c r="G194" s="8"/>
      <c r="H194" s="8"/>
      <c r="I194" s="8"/>
      <c r="J194" s="8"/>
      <c r="K194" s="8"/>
      <c r="L194" s="8"/>
      <c r="M194" s="8"/>
      <c r="N194" s="8"/>
      <c r="O194" s="8"/>
      <c r="P194" s="8"/>
      <c r="Q194" s="8"/>
      <c r="R194" s="8"/>
      <c r="S194" s="8"/>
      <c r="T194" s="8"/>
      <c r="U194" s="8"/>
      <c r="V194" s="8"/>
      <c r="W194" s="8"/>
      <c r="X194" s="8"/>
      <c r="Y194" s="8"/>
      <c r="Z194" s="8"/>
      <c r="AA194" s="8"/>
      <c r="AB194" s="8"/>
      <c r="AC194" s="8"/>
      <c r="AD194" s="8"/>
      <c r="AE194" s="8"/>
      <c r="AF194" s="8"/>
      <c r="AG194" s="8"/>
      <c r="AH194" s="8"/>
      <c r="AI194" s="8"/>
      <c r="AJ194" s="8"/>
      <c r="AK194" s="8"/>
      <c r="AL194" s="8"/>
      <c r="AM194" s="8"/>
      <c r="AN194" s="8"/>
      <c r="AO194" s="8"/>
      <c r="AP194" s="8"/>
      <c r="AQ194" s="8"/>
      <c r="BC194" s="830"/>
    </row>
    <row r="195" spans="2:55" ht="15.95" hidden="1" customHeight="1">
      <c r="B195" s="929"/>
      <c r="C195" s="8"/>
      <c r="D195" s="8"/>
      <c r="E195" s="8"/>
      <c r="F195" s="8"/>
      <c r="G195" s="8"/>
      <c r="H195" s="8"/>
      <c r="I195" s="8"/>
      <c r="J195" s="8"/>
      <c r="K195" s="8"/>
      <c r="L195" s="8"/>
      <c r="M195" s="8"/>
      <c r="N195" s="8"/>
      <c r="O195" s="8"/>
      <c r="P195" s="8"/>
      <c r="Q195" s="8"/>
      <c r="R195" s="8"/>
      <c r="S195" s="8"/>
      <c r="T195" s="8"/>
      <c r="U195" s="8"/>
      <c r="V195" s="8"/>
      <c r="W195" s="8"/>
      <c r="X195" s="8"/>
      <c r="Y195" s="8"/>
      <c r="Z195" s="8"/>
      <c r="AA195" s="8"/>
      <c r="AB195" s="8"/>
      <c r="AC195" s="8"/>
      <c r="AD195" s="8"/>
      <c r="AE195" s="8"/>
      <c r="AF195" s="8"/>
      <c r="AG195" s="8"/>
      <c r="AH195" s="8"/>
      <c r="AI195" s="8"/>
      <c r="AJ195" s="8"/>
      <c r="AK195" s="8"/>
      <c r="AL195" s="8"/>
      <c r="AM195" s="8"/>
      <c r="AN195" s="8"/>
      <c r="AO195" s="8"/>
      <c r="AP195" s="8"/>
      <c r="AQ195" s="8"/>
      <c r="BC195" s="831"/>
    </row>
    <row r="196" spans="2:55" ht="15.95" hidden="1" customHeight="1">
      <c r="B196" s="929">
        <v>91</v>
      </c>
      <c r="C196" s="8"/>
      <c r="D196" s="8"/>
      <c r="E196" s="8"/>
      <c r="F196" s="8"/>
      <c r="G196" s="8"/>
      <c r="H196" s="8"/>
      <c r="I196" s="8"/>
      <c r="J196" s="8"/>
      <c r="K196" s="8"/>
      <c r="L196" s="8"/>
      <c r="M196" s="8"/>
      <c r="N196" s="8"/>
      <c r="O196" s="8"/>
      <c r="P196" s="8"/>
      <c r="Q196" s="8"/>
      <c r="R196" s="8"/>
      <c r="S196" s="8"/>
      <c r="T196" s="8"/>
      <c r="U196" s="8"/>
      <c r="V196" s="8"/>
      <c r="W196" s="8"/>
      <c r="X196" s="8"/>
      <c r="Y196" s="8"/>
      <c r="Z196" s="8"/>
      <c r="AA196" s="8"/>
      <c r="AB196" s="8"/>
      <c r="AC196" s="8"/>
      <c r="AD196" s="8"/>
      <c r="AE196" s="8"/>
      <c r="AF196" s="8"/>
      <c r="AG196" s="8"/>
      <c r="AH196" s="8"/>
      <c r="AI196" s="8"/>
      <c r="AJ196" s="8"/>
      <c r="AK196" s="8"/>
      <c r="AL196" s="8"/>
      <c r="AM196" s="8"/>
      <c r="AN196" s="8"/>
      <c r="AO196" s="8"/>
      <c r="AP196" s="8"/>
      <c r="AQ196" s="8"/>
      <c r="BC196" s="830"/>
    </row>
    <row r="197" spans="2:55" hidden="1">
      <c r="B197" s="929"/>
      <c r="C197" s="8"/>
      <c r="D197" s="8"/>
      <c r="E197" s="8"/>
      <c r="F197" s="8"/>
      <c r="G197" s="8"/>
      <c r="H197" s="8"/>
      <c r="I197" s="8"/>
      <c r="J197" s="8"/>
      <c r="K197" s="8"/>
      <c r="L197" s="8"/>
      <c r="M197" s="8"/>
      <c r="N197" s="8"/>
      <c r="O197" s="8"/>
      <c r="P197" s="8"/>
      <c r="Q197" s="8"/>
      <c r="R197" s="8"/>
      <c r="S197" s="8"/>
      <c r="T197" s="8"/>
      <c r="U197" s="8"/>
      <c r="V197" s="8"/>
      <c r="W197" s="8"/>
      <c r="X197" s="8"/>
      <c r="Y197" s="8"/>
      <c r="Z197" s="8"/>
      <c r="AA197" s="8"/>
      <c r="AB197" s="8"/>
      <c r="AC197" s="8"/>
      <c r="AD197" s="8"/>
      <c r="AE197" s="8"/>
      <c r="AF197" s="8"/>
      <c r="AG197" s="8"/>
      <c r="AH197" s="8"/>
      <c r="AI197" s="8"/>
      <c r="AJ197" s="8"/>
      <c r="AK197" s="8"/>
      <c r="AL197" s="8"/>
      <c r="AM197" s="8"/>
      <c r="AN197" s="8"/>
      <c r="AO197" s="8"/>
      <c r="AP197" s="8"/>
      <c r="AQ197" s="8"/>
      <c r="BC197" s="831"/>
    </row>
    <row r="198" spans="2:55" hidden="1">
      <c r="B198" s="929">
        <v>92</v>
      </c>
      <c r="C198" s="8"/>
      <c r="D198" s="8"/>
      <c r="E198" s="8"/>
      <c r="F198" s="8"/>
      <c r="G198" s="8"/>
      <c r="H198" s="8"/>
      <c r="I198" s="8"/>
      <c r="J198" s="8"/>
      <c r="K198" s="8"/>
      <c r="L198" s="8"/>
      <c r="M198" s="8"/>
      <c r="N198" s="8"/>
      <c r="O198" s="8"/>
      <c r="P198" s="8"/>
      <c r="Q198" s="8"/>
      <c r="R198" s="8"/>
      <c r="S198" s="8"/>
      <c r="T198" s="8"/>
      <c r="U198" s="8"/>
      <c r="V198" s="8"/>
      <c r="W198" s="8"/>
      <c r="X198" s="8"/>
      <c r="Y198" s="8"/>
      <c r="Z198" s="8"/>
      <c r="AA198" s="8"/>
      <c r="AB198" s="8"/>
      <c r="AC198" s="8"/>
      <c r="AD198" s="8"/>
      <c r="AE198" s="8"/>
      <c r="AF198" s="8"/>
      <c r="AG198" s="8"/>
      <c r="AH198" s="8"/>
      <c r="AI198" s="8"/>
      <c r="AJ198" s="8"/>
      <c r="AK198" s="8"/>
      <c r="AL198" s="8"/>
      <c r="AM198" s="8"/>
      <c r="AN198" s="8"/>
      <c r="AO198" s="8"/>
      <c r="AP198" s="8"/>
      <c r="AQ198" s="8"/>
      <c r="BC198" s="830"/>
    </row>
    <row r="199" spans="2:55" hidden="1">
      <c r="B199" s="929"/>
      <c r="C199" s="8"/>
      <c r="D199" s="8"/>
      <c r="E199" s="8"/>
      <c r="F199" s="8"/>
      <c r="G199" s="8"/>
      <c r="H199" s="8"/>
      <c r="I199" s="8"/>
      <c r="J199" s="8"/>
      <c r="K199" s="8"/>
      <c r="L199" s="8"/>
      <c r="M199" s="8"/>
      <c r="N199" s="8"/>
      <c r="O199" s="8"/>
      <c r="P199" s="8"/>
      <c r="Q199" s="8"/>
      <c r="R199" s="8"/>
      <c r="S199" s="8"/>
      <c r="T199" s="8"/>
      <c r="U199" s="8"/>
      <c r="V199" s="8"/>
      <c r="W199" s="8"/>
      <c r="X199" s="8"/>
      <c r="Y199" s="8"/>
      <c r="Z199" s="8"/>
      <c r="AA199" s="8"/>
      <c r="AB199" s="8"/>
      <c r="AC199" s="8"/>
      <c r="AD199" s="8"/>
      <c r="AE199" s="8"/>
      <c r="AF199" s="8"/>
      <c r="AG199" s="8"/>
      <c r="AH199" s="8"/>
      <c r="AI199" s="8"/>
      <c r="AJ199" s="8"/>
      <c r="AK199" s="8"/>
      <c r="AL199" s="8"/>
      <c r="AM199" s="8"/>
      <c r="AN199" s="8"/>
      <c r="AO199" s="8"/>
      <c r="AP199" s="8"/>
      <c r="AQ199" s="8"/>
      <c r="BC199" s="831"/>
    </row>
    <row r="200" spans="2:55">
      <c r="B200" s="272" t="str">
        <f>FOOT1</f>
        <v>NIPSCO Energy Efficiency Program</v>
      </c>
      <c r="C200" s="272"/>
      <c r="D200" s="272"/>
      <c r="E200" s="272"/>
      <c r="F200" s="272"/>
      <c r="G200" s="272"/>
      <c r="H200" s="272"/>
      <c r="I200" s="272"/>
      <c r="J200" s="272"/>
      <c r="K200" s="272"/>
      <c r="L200" s="272"/>
      <c r="M200" s="661" t="str">
        <f>FOOT4</f>
        <v>NIPSCO’s energy efficiency programs are administered by TRC, a third‐party implementation specialist that helps homes and businesses save energy.</v>
      </c>
      <c r="N200" s="661"/>
      <c r="O200" s="661"/>
      <c r="P200" s="661"/>
      <c r="Q200" s="661"/>
      <c r="R200" s="661"/>
      <c r="S200" s="661"/>
      <c r="T200" s="661"/>
      <c r="U200" s="661"/>
      <c r="V200" s="661"/>
      <c r="W200" s="661"/>
      <c r="X200" s="661"/>
      <c r="Y200" s="661"/>
      <c r="Z200" s="661"/>
      <c r="AA200" s="661"/>
      <c r="AB200" s="661"/>
      <c r="AC200" s="661"/>
      <c r="AD200" s="661"/>
      <c r="AE200" s="661"/>
      <c r="AF200" s="661"/>
      <c r="AG200" s="661"/>
      <c r="AH200" s="272"/>
      <c r="AI200" s="272"/>
      <c r="AJ200" s="272"/>
      <c r="AK200" s="272"/>
      <c r="AL200" s="272"/>
      <c r="AM200" s="272"/>
      <c r="AN200" s="272"/>
      <c r="AO200" s="272"/>
      <c r="AP200" s="272"/>
      <c r="AQ200" s="272"/>
      <c r="AR200" s="273" t="str">
        <f>FOOTDISCLAIM</f>
        <v/>
      </c>
      <c r="AU200" s="813">
        <f>SUM(AU16:AU199)</f>
        <v>0</v>
      </c>
      <c r="AV200" s="878">
        <f>SUM(AV16:AV199)</f>
        <v>0</v>
      </c>
    </row>
    <row r="201" spans="2:55">
      <c r="B201" s="272" t="str">
        <f>FOOT2</f>
        <v>Toll-Free 800-299-2501</v>
      </c>
      <c r="C201" s="272"/>
      <c r="D201" s="272"/>
      <c r="E201" s="272"/>
      <c r="F201" s="272"/>
      <c r="G201" s="272"/>
      <c r="H201" s="272"/>
      <c r="I201" s="272"/>
      <c r="J201" s="272"/>
      <c r="K201" s="272"/>
      <c r="L201" s="272"/>
      <c r="M201" s="661"/>
      <c r="N201" s="661"/>
      <c r="O201" s="661"/>
      <c r="P201" s="661"/>
      <c r="Q201" s="661"/>
      <c r="R201" s="661"/>
      <c r="S201" s="661"/>
      <c r="T201" s="661"/>
      <c r="U201" s="661"/>
      <c r="V201" s="661"/>
      <c r="W201" s="661"/>
      <c r="X201" s="661"/>
      <c r="Y201" s="661"/>
      <c r="Z201" s="661"/>
      <c r="AA201" s="661"/>
      <c r="AB201" s="661"/>
      <c r="AC201" s="661"/>
      <c r="AD201" s="661"/>
      <c r="AE201" s="661"/>
      <c r="AF201" s="661"/>
      <c r="AG201" s="661"/>
      <c r="AH201" s="272"/>
      <c r="AI201" s="272"/>
      <c r="AJ201" s="272"/>
      <c r="AK201" s="272"/>
      <c r="AL201" s="272"/>
      <c r="AM201" s="272"/>
      <c r="AN201" s="272"/>
      <c r="AO201" s="272"/>
      <c r="AP201" s="272"/>
      <c r="AQ201" s="272"/>
      <c r="AR201" s="273" t="str">
        <f>FOOT5</f>
        <v/>
      </c>
      <c r="AU201" s="814"/>
      <c r="AV201" s="879"/>
    </row>
    <row r="202" spans="2:55">
      <c r="B202" s="281" t="s">
        <v>1547</v>
      </c>
      <c r="C202" s="272"/>
      <c r="D202" s="272"/>
      <c r="E202" s="272"/>
      <c r="F202" s="272"/>
      <c r="G202" s="272"/>
      <c r="H202" s="272"/>
      <c r="I202" s="272"/>
      <c r="J202" s="272"/>
      <c r="K202" s="272"/>
      <c r="L202" s="272"/>
      <c r="M202" s="274"/>
      <c r="N202" s="272"/>
      <c r="O202" s="272"/>
      <c r="P202" s="274"/>
      <c r="Q202" s="274"/>
      <c r="R202" s="274"/>
      <c r="S202" s="274"/>
      <c r="T202" s="274"/>
      <c r="U202" s="274"/>
      <c r="V202" s="274"/>
      <c r="W202" s="275" t="str">
        <f>VERSION</f>
        <v>Custom Prescriptive Application v3.7.1</v>
      </c>
      <c r="X202" s="274"/>
      <c r="Y202" s="274"/>
      <c r="Z202" s="274"/>
      <c r="AA202" s="274"/>
      <c r="AB202" s="274"/>
      <c r="AC202" s="274"/>
      <c r="AD202" s="274"/>
      <c r="AE202" s="272"/>
      <c r="AF202" s="272"/>
      <c r="AG202" s="272"/>
      <c r="AH202" s="272"/>
      <c r="AI202" s="272"/>
      <c r="AJ202" s="272"/>
      <c r="AK202" s="272"/>
      <c r="AL202" s="272"/>
      <c r="AM202" s="272"/>
      <c r="AN202" s="272"/>
      <c r="AO202" s="272"/>
      <c r="AP202" s="272"/>
      <c r="AQ202" s="272"/>
      <c r="AR202" s="273" t="str">
        <f>FOOT6</f>
        <v>Product of TRC</v>
      </c>
    </row>
  </sheetData>
  <sheetProtection algorithmName="SHA-512" hashValue="2CeWcOLzHCWN6g4OroatIPmP/I2nOnLderagU+HrGdV9ypZIxDWp3lBUWx2sJoNIIkPyxJibRx8PMtZ0wWeuWw==" saltValue="Z8Fnn7xTTeaSuW8/qFz76Q==" spinCount="100000" sheet="1" objects="1" scenarios="1" selectLockedCells="1"/>
  <mergeCells count="742">
    <mergeCell ref="AH1:AK1"/>
    <mergeCell ref="AL1:AP1"/>
    <mergeCell ref="AH2:AK3"/>
    <mergeCell ref="AL2:AP3"/>
    <mergeCell ref="AQ1:AR1"/>
    <mergeCell ref="AQ2:AR3"/>
    <mergeCell ref="AI42:AJ43"/>
    <mergeCell ref="AU26:AU27"/>
    <mergeCell ref="AV26:AV27"/>
    <mergeCell ref="AU28:AU29"/>
    <mergeCell ref="AV28:AV29"/>
    <mergeCell ref="AU30:AU31"/>
    <mergeCell ref="AV30:AV31"/>
    <mergeCell ref="AU32:AU33"/>
    <mergeCell ref="AV32:AV33"/>
    <mergeCell ref="AU14:AU15"/>
    <mergeCell ref="AV14:AV15"/>
    <mergeCell ref="AU16:AU17"/>
    <mergeCell ref="AV16:AV17"/>
    <mergeCell ref="AK34:AM35"/>
    <mergeCell ref="AK18:AM19"/>
    <mergeCell ref="AK16:AM17"/>
    <mergeCell ref="AK20:AM21"/>
    <mergeCell ref="AK22:AM23"/>
    <mergeCell ref="R9:AC10"/>
    <mergeCell ref="AI16:AJ17"/>
    <mergeCell ref="AI14:AJ15"/>
    <mergeCell ref="AK14:AM15"/>
    <mergeCell ref="AN14:AQ15"/>
    <mergeCell ref="AV18:AV19"/>
    <mergeCell ref="AZ44:AZ45"/>
    <mergeCell ref="BA44:BA45"/>
    <mergeCell ref="BB44:BB45"/>
    <mergeCell ref="AY44:AY45"/>
    <mergeCell ref="AI36:AJ37"/>
    <mergeCell ref="AI40:AJ41"/>
    <mergeCell ref="AN28:AQ29"/>
    <mergeCell ref="AN30:AQ31"/>
    <mergeCell ref="AN32:AQ33"/>
    <mergeCell ref="AN34:AQ35"/>
    <mergeCell ref="AK40:AM41"/>
    <mergeCell ref="AN40:AQ41"/>
    <mergeCell ref="AK42:AM43"/>
    <mergeCell ref="AN42:AQ43"/>
    <mergeCell ref="AK44:AM45"/>
    <mergeCell ref="AN44:AQ45"/>
    <mergeCell ref="AK36:AM37"/>
    <mergeCell ref="AK32:AM33"/>
    <mergeCell ref="C44:M45"/>
    <mergeCell ref="N44:S45"/>
    <mergeCell ref="T44:U45"/>
    <mergeCell ref="V44:W45"/>
    <mergeCell ref="AE44:AF45"/>
    <mergeCell ref="AG44:AH45"/>
    <mergeCell ref="AI44:AJ45"/>
    <mergeCell ref="X44:Y45"/>
    <mergeCell ref="Z44:Z45"/>
    <mergeCell ref="AA44:AB45"/>
    <mergeCell ref="AC44:AD45"/>
    <mergeCell ref="AE38:AF39"/>
    <mergeCell ref="AG38:AH39"/>
    <mergeCell ref="AI38:AJ39"/>
    <mergeCell ref="X40:Y41"/>
    <mergeCell ref="Z40:Z41"/>
    <mergeCell ref="AA40:AB41"/>
    <mergeCell ref="AC40:AD41"/>
    <mergeCell ref="C42:M43"/>
    <mergeCell ref="N42:S43"/>
    <mergeCell ref="T42:U43"/>
    <mergeCell ref="V42:W43"/>
    <mergeCell ref="AE42:AF43"/>
    <mergeCell ref="AG42:AH43"/>
    <mergeCell ref="C40:M41"/>
    <mergeCell ref="N40:S41"/>
    <mergeCell ref="T40:U41"/>
    <mergeCell ref="V40:W41"/>
    <mergeCell ref="AE40:AF41"/>
    <mergeCell ref="AG40:AH41"/>
    <mergeCell ref="X42:Y43"/>
    <mergeCell ref="Z42:Z43"/>
    <mergeCell ref="AA42:AB43"/>
    <mergeCell ref="AC42:AD43"/>
    <mergeCell ref="X32:AA33"/>
    <mergeCell ref="AB32:AD33"/>
    <mergeCell ref="AE32:AF33"/>
    <mergeCell ref="AG32:AH33"/>
    <mergeCell ref="AI32:AJ33"/>
    <mergeCell ref="C34:M35"/>
    <mergeCell ref="N34:S35"/>
    <mergeCell ref="T34:U35"/>
    <mergeCell ref="V34:W35"/>
    <mergeCell ref="X34:AA35"/>
    <mergeCell ref="AB34:AD35"/>
    <mergeCell ref="AE34:AF35"/>
    <mergeCell ref="AG34:AH35"/>
    <mergeCell ref="AI34:AJ35"/>
    <mergeCell ref="C30:M31"/>
    <mergeCell ref="N30:S31"/>
    <mergeCell ref="T30:U31"/>
    <mergeCell ref="V30:W31"/>
    <mergeCell ref="X30:AA31"/>
    <mergeCell ref="AB30:AD31"/>
    <mergeCell ref="AE30:AF31"/>
    <mergeCell ref="AG30:AH31"/>
    <mergeCell ref="AI30:AJ31"/>
    <mergeCell ref="C28:M29"/>
    <mergeCell ref="N28:S29"/>
    <mergeCell ref="T28:U29"/>
    <mergeCell ref="V28:W29"/>
    <mergeCell ref="X28:AA29"/>
    <mergeCell ref="AB28:AD29"/>
    <mergeCell ref="AE28:AF29"/>
    <mergeCell ref="AG28:AH29"/>
    <mergeCell ref="AI28:AJ29"/>
    <mergeCell ref="C20:M21"/>
    <mergeCell ref="N20:S21"/>
    <mergeCell ref="T20:U21"/>
    <mergeCell ref="V20:W21"/>
    <mergeCell ref="X20:AA21"/>
    <mergeCell ref="AB20:AD21"/>
    <mergeCell ref="AE20:AF21"/>
    <mergeCell ref="AG20:AH21"/>
    <mergeCell ref="AI20:AJ21"/>
    <mergeCell ref="C22:M23"/>
    <mergeCell ref="N22:S23"/>
    <mergeCell ref="T22:U23"/>
    <mergeCell ref="V22:W23"/>
    <mergeCell ref="X22:AA23"/>
    <mergeCell ref="AB22:AD23"/>
    <mergeCell ref="AE22:AF23"/>
    <mergeCell ref="AG22:AH23"/>
    <mergeCell ref="AI22:AJ23"/>
    <mergeCell ref="C18:M19"/>
    <mergeCell ref="N18:S19"/>
    <mergeCell ref="T18:U19"/>
    <mergeCell ref="V18:W19"/>
    <mergeCell ref="X18:AA19"/>
    <mergeCell ref="AB18:AD19"/>
    <mergeCell ref="AE18:AF19"/>
    <mergeCell ref="AG18:AH19"/>
    <mergeCell ref="AI18:AJ19"/>
    <mergeCell ref="M200:AG201"/>
    <mergeCell ref="B198:B199"/>
    <mergeCell ref="B186:B187"/>
    <mergeCell ref="B188:B189"/>
    <mergeCell ref="B190:B191"/>
    <mergeCell ref="B192:B193"/>
    <mergeCell ref="B194:B195"/>
    <mergeCell ref="B196:B197"/>
    <mergeCell ref="B184:B185"/>
    <mergeCell ref="B162:B163"/>
    <mergeCell ref="B164:B165"/>
    <mergeCell ref="B166:B167"/>
    <mergeCell ref="B168:B169"/>
    <mergeCell ref="B170:B171"/>
    <mergeCell ref="B172:B173"/>
    <mergeCell ref="B174:B175"/>
    <mergeCell ref="B176:B177"/>
    <mergeCell ref="B178:B179"/>
    <mergeCell ref="B180:B181"/>
    <mergeCell ref="AE16:AF17"/>
    <mergeCell ref="AG16:AH17"/>
    <mergeCell ref="B182:B183"/>
    <mergeCell ref="B160:B161"/>
    <mergeCell ref="B138:B139"/>
    <mergeCell ref="B140:B141"/>
    <mergeCell ref="B142:B143"/>
    <mergeCell ref="B144:B145"/>
    <mergeCell ref="B146:B147"/>
    <mergeCell ref="B148:B149"/>
    <mergeCell ref="B150:B151"/>
    <mergeCell ref="B152:B153"/>
    <mergeCell ref="B154:B155"/>
    <mergeCell ref="B156:B157"/>
    <mergeCell ref="B158:B159"/>
    <mergeCell ref="B136:B137"/>
    <mergeCell ref="B114:B115"/>
    <mergeCell ref="B116:B117"/>
    <mergeCell ref="B118:B119"/>
    <mergeCell ref="B120:B121"/>
    <mergeCell ref="B122:B123"/>
    <mergeCell ref="B124:B125"/>
    <mergeCell ref="B126:B127"/>
    <mergeCell ref="B128:B129"/>
    <mergeCell ref="B130:B131"/>
    <mergeCell ref="B132:B133"/>
    <mergeCell ref="B134:B135"/>
    <mergeCell ref="B112:B113"/>
    <mergeCell ref="B90:B91"/>
    <mergeCell ref="B92:B93"/>
    <mergeCell ref="B94:B95"/>
    <mergeCell ref="B96:B97"/>
    <mergeCell ref="B98:B99"/>
    <mergeCell ref="B100:B101"/>
    <mergeCell ref="B102:B103"/>
    <mergeCell ref="B104:B105"/>
    <mergeCell ref="B106:B107"/>
    <mergeCell ref="B108:B109"/>
    <mergeCell ref="B110:B111"/>
    <mergeCell ref="B88:B89"/>
    <mergeCell ref="B66:B67"/>
    <mergeCell ref="B68:B69"/>
    <mergeCell ref="B70:B71"/>
    <mergeCell ref="B72:B73"/>
    <mergeCell ref="B74:B75"/>
    <mergeCell ref="B76:B77"/>
    <mergeCell ref="B78:B79"/>
    <mergeCell ref="B80:B81"/>
    <mergeCell ref="B82:B83"/>
    <mergeCell ref="B84:B85"/>
    <mergeCell ref="B86:B87"/>
    <mergeCell ref="B64:B65"/>
    <mergeCell ref="B42:B43"/>
    <mergeCell ref="B44:B45"/>
    <mergeCell ref="B46:B47"/>
    <mergeCell ref="B48:B49"/>
    <mergeCell ref="B50:B51"/>
    <mergeCell ref="B52:B53"/>
    <mergeCell ref="B54:B55"/>
    <mergeCell ref="B56:B57"/>
    <mergeCell ref="B58:B59"/>
    <mergeCell ref="B60:B61"/>
    <mergeCell ref="B62:B63"/>
    <mergeCell ref="B40:B41"/>
    <mergeCell ref="B18:B19"/>
    <mergeCell ref="B20:B21"/>
    <mergeCell ref="B22:B23"/>
    <mergeCell ref="B24:B25"/>
    <mergeCell ref="B26:B27"/>
    <mergeCell ref="B28:B29"/>
    <mergeCell ref="B30:B31"/>
    <mergeCell ref="B32:B33"/>
    <mergeCell ref="B34:B35"/>
    <mergeCell ref="B36:B37"/>
    <mergeCell ref="B38:B39"/>
    <mergeCell ref="B16:B17"/>
    <mergeCell ref="R11:U11"/>
    <mergeCell ref="V11:Y11"/>
    <mergeCell ref="Z11:AC11"/>
    <mergeCell ref="C14:M15"/>
    <mergeCell ref="N14:S15"/>
    <mergeCell ref="T14:U15"/>
    <mergeCell ref="V14:W15"/>
    <mergeCell ref="X14:AA15"/>
    <mergeCell ref="AB14:AD15"/>
    <mergeCell ref="C16:M17"/>
    <mergeCell ref="N16:S17"/>
    <mergeCell ref="T16:U17"/>
    <mergeCell ref="V16:W17"/>
    <mergeCell ref="X16:AA17"/>
    <mergeCell ref="AB16:AD17"/>
    <mergeCell ref="R12:U13"/>
    <mergeCell ref="V12:Y13"/>
    <mergeCell ref="Z12:AC13"/>
    <mergeCell ref="BC28:BC29"/>
    <mergeCell ref="BC30:BC31"/>
    <mergeCell ref="AU20:AU21"/>
    <mergeCell ref="AV20:AV21"/>
    <mergeCell ref="AU22:AU23"/>
    <mergeCell ref="AV22:AV23"/>
    <mergeCell ref="AU44:AU45"/>
    <mergeCell ref="AV44:AV45"/>
    <mergeCell ref="AU200:AU201"/>
    <mergeCell ref="AV200:AV201"/>
    <mergeCell ref="AU34:AU35"/>
    <mergeCell ref="AV34:AV35"/>
    <mergeCell ref="AU38:AU39"/>
    <mergeCell ref="AV38:AV39"/>
    <mergeCell ref="AU40:AU41"/>
    <mergeCell ref="AV40:AV41"/>
    <mergeCell ref="AU42:AU43"/>
    <mergeCell ref="AV42:AV43"/>
    <mergeCell ref="AY94:AY95"/>
    <mergeCell ref="AU24:AU25"/>
    <mergeCell ref="AV24:AV25"/>
    <mergeCell ref="BC32:BC33"/>
    <mergeCell ref="BC34:BC35"/>
    <mergeCell ref="AX40:AX41"/>
    <mergeCell ref="BC14:BC15"/>
    <mergeCell ref="BC16:BC17"/>
    <mergeCell ref="BC18:BC19"/>
    <mergeCell ref="BC20:BC21"/>
    <mergeCell ref="BC22:BC23"/>
    <mergeCell ref="BC24:BC25"/>
    <mergeCell ref="BC26:BC27"/>
    <mergeCell ref="AU18:AU19"/>
    <mergeCell ref="AN16:AQ17"/>
    <mergeCell ref="AN20:AQ21"/>
    <mergeCell ref="AN22:AQ23"/>
    <mergeCell ref="AN24:AQ25"/>
    <mergeCell ref="AN26:AQ27"/>
    <mergeCell ref="AX14:AX15"/>
    <mergeCell ref="AY14:AY15"/>
    <mergeCell ref="AN18:AQ19"/>
    <mergeCell ref="AW14:AW15"/>
    <mergeCell ref="AW16:AW17"/>
    <mergeCell ref="AW18:AW19"/>
    <mergeCell ref="AW20:AW21"/>
    <mergeCell ref="AW22:AW23"/>
    <mergeCell ref="AW24:AW25"/>
    <mergeCell ref="AW26:AW27"/>
    <mergeCell ref="AK46:AM47"/>
    <mergeCell ref="AN46:AQ47"/>
    <mergeCell ref="C48:M49"/>
    <mergeCell ref="N48:S49"/>
    <mergeCell ref="T48:U49"/>
    <mergeCell ref="V48:W49"/>
    <mergeCell ref="X48:AA49"/>
    <mergeCell ref="AB48:AD49"/>
    <mergeCell ref="AE48:AF49"/>
    <mergeCell ref="AG48:AH49"/>
    <mergeCell ref="AI48:AJ49"/>
    <mergeCell ref="AK48:AM49"/>
    <mergeCell ref="AN48:AQ49"/>
    <mergeCell ref="C46:M47"/>
    <mergeCell ref="N46:S47"/>
    <mergeCell ref="T46:U47"/>
    <mergeCell ref="V46:W47"/>
    <mergeCell ref="X46:AA47"/>
    <mergeCell ref="AB46:AD47"/>
    <mergeCell ref="AE46:AF47"/>
    <mergeCell ref="AG46:AH47"/>
    <mergeCell ref="AI46:AJ47"/>
    <mergeCell ref="AK50:AM51"/>
    <mergeCell ref="AN50:AQ51"/>
    <mergeCell ref="C52:M53"/>
    <mergeCell ref="N52:S53"/>
    <mergeCell ref="T52:U53"/>
    <mergeCell ref="V52:W53"/>
    <mergeCell ref="X52:AA53"/>
    <mergeCell ref="AB52:AD53"/>
    <mergeCell ref="AE52:AF53"/>
    <mergeCell ref="AG52:AH53"/>
    <mergeCell ref="AI52:AJ53"/>
    <mergeCell ref="AK52:AM53"/>
    <mergeCell ref="AN52:AQ53"/>
    <mergeCell ref="C50:M51"/>
    <mergeCell ref="N50:S51"/>
    <mergeCell ref="T50:U51"/>
    <mergeCell ref="V50:W51"/>
    <mergeCell ref="X50:AA51"/>
    <mergeCell ref="AB50:AD51"/>
    <mergeCell ref="AE50:AF51"/>
    <mergeCell ref="AG50:AH51"/>
    <mergeCell ref="AI50:AJ51"/>
    <mergeCell ref="AK54:AM55"/>
    <mergeCell ref="AN54:AQ55"/>
    <mergeCell ref="C56:M57"/>
    <mergeCell ref="N56:S57"/>
    <mergeCell ref="T56:U57"/>
    <mergeCell ref="V56:W57"/>
    <mergeCell ref="X56:AA57"/>
    <mergeCell ref="AB56:AD57"/>
    <mergeCell ref="AE56:AF57"/>
    <mergeCell ref="AG56:AH57"/>
    <mergeCell ref="AI56:AJ57"/>
    <mergeCell ref="AK56:AM57"/>
    <mergeCell ref="AN56:AQ57"/>
    <mergeCell ref="C54:M55"/>
    <mergeCell ref="N54:S55"/>
    <mergeCell ref="T54:U55"/>
    <mergeCell ref="V54:W55"/>
    <mergeCell ref="X54:AA55"/>
    <mergeCell ref="AB54:AD55"/>
    <mergeCell ref="AE54:AF55"/>
    <mergeCell ref="AG54:AH55"/>
    <mergeCell ref="AI54:AJ55"/>
    <mergeCell ref="AK58:AM59"/>
    <mergeCell ref="AN58:AQ59"/>
    <mergeCell ref="C60:M61"/>
    <mergeCell ref="N60:S61"/>
    <mergeCell ref="T60:U61"/>
    <mergeCell ref="V60:W61"/>
    <mergeCell ref="X60:AA61"/>
    <mergeCell ref="AB60:AD61"/>
    <mergeCell ref="AE60:AF61"/>
    <mergeCell ref="AG60:AH61"/>
    <mergeCell ref="AI60:AJ61"/>
    <mergeCell ref="AK60:AM61"/>
    <mergeCell ref="AN60:AQ61"/>
    <mergeCell ref="C58:M59"/>
    <mergeCell ref="N58:S59"/>
    <mergeCell ref="T58:U59"/>
    <mergeCell ref="V58:W59"/>
    <mergeCell ref="X58:AA59"/>
    <mergeCell ref="AB58:AD59"/>
    <mergeCell ref="AE58:AF59"/>
    <mergeCell ref="AG58:AH59"/>
    <mergeCell ref="AI58:AJ59"/>
    <mergeCell ref="AK62:AM63"/>
    <mergeCell ref="AN62:AQ63"/>
    <mergeCell ref="C64:M65"/>
    <mergeCell ref="N64:S65"/>
    <mergeCell ref="T64:U65"/>
    <mergeCell ref="V64:W65"/>
    <mergeCell ref="X64:AA65"/>
    <mergeCell ref="AB64:AD65"/>
    <mergeCell ref="AE64:AF65"/>
    <mergeCell ref="AG64:AH65"/>
    <mergeCell ref="AI64:AJ65"/>
    <mergeCell ref="AK64:AM65"/>
    <mergeCell ref="AN64:AQ65"/>
    <mergeCell ref="C62:M63"/>
    <mergeCell ref="N62:S63"/>
    <mergeCell ref="T62:U63"/>
    <mergeCell ref="V62:W63"/>
    <mergeCell ref="X62:AA63"/>
    <mergeCell ref="AB62:AD63"/>
    <mergeCell ref="AE62:AF63"/>
    <mergeCell ref="AG62:AH63"/>
    <mergeCell ref="AI62:AJ63"/>
    <mergeCell ref="AK66:AM67"/>
    <mergeCell ref="AN66:AQ67"/>
    <mergeCell ref="C68:M69"/>
    <mergeCell ref="N68:S69"/>
    <mergeCell ref="T68:U69"/>
    <mergeCell ref="V68:W69"/>
    <mergeCell ref="X68:AA69"/>
    <mergeCell ref="AB68:AD69"/>
    <mergeCell ref="AE68:AF69"/>
    <mergeCell ref="AG68:AH69"/>
    <mergeCell ref="AI68:AJ69"/>
    <mergeCell ref="AK68:AM69"/>
    <mergeCell ref="AN68:AQ69"/>
    <mergeCell ref="C66:M67"/>
    <mergeCell ref="N66:S67"/>
    <mergeCell ref="T66:U67"/>
    <mergeCell ref="V66:W67"/>
    <mergeCell ref="X66:AA67"/>
    <mergeCell ref="AB66:AD67"/>
    <mergeCell ref="AE66:AF67"/>
    <mergeCell ref="AG66:AH67"/>
    <mergeCell ref="AI66:AJ67"/>
    <mergeCell ref="AK70:AM71"/>
    <mergeCell ref="AN70:AQ71"/>
    <mergeCell ref="C72:M73"/>
    <mergeCell ref="N72:S73"/>
    <mergeCell ref="T72:U73"/>
    <mergeCell ref="V72:W73"/>
    <mergeCell ref="X72:AA73"/>
    <mergeCell ref="AB72:AD73"/>
    <mergeCell ref="AE72:AF73"/>
    <mergeCell ref="AG72:AH73"/>
    <mergeCell ref="AI72:AJ73"/>
    <mergeCell ref="AK72:AM73"/>
    <mergeCell ref="AN72:AQ73"/>
    <mergeCell ref="C70:M71"/>
    <mergeCell ref="N70:S71"/>
    <mergeCell ref="T70:U71"/>
    <mergeCell ref="V70:W71"/>
    <mergeCell ref="X70:AA71"/>
    <mergeCell ref="AB70:AD71"/>
    <mergeCell ref="AE70:AF71"/>
    <mergeCell ref="AG70:AH71"/>
    <mergeCell ref="AI70:AJ71"/>
    <mergeCell ref="AK74:AM75"/>
    <mergeCell ref="AN74:AQ75"/>
    <mergeCell ref="C76:M77"/>
    <mergeCell ref="N76:S77"/>
    <mergeCell ref="T76:U77"/>
    <mergeCell ref="V76:W77"/>
    <mergeCell ref="X76:AA77"/>
    <mergeCell ref="AB76:AD77"/>
    <mergeCell ref="AE76:AF77"/>
    <mergeCell ref="AG76:AH77"/>
    <mergeCell ref="AI76:AJ77"/>
    <mergeCell ref="AK76:AM77"/>
    <mergeCell ref="AN76:AQ77"/>
    <mergeCell ref="C74:M75"/>
    <mergeCell ref="N74:S75"/>
    <mergeCell ref="T74:U75"/>
    <mergeCell ref="V74:W75"/>
    <mergeCell ref="X74:AA75"/>
    <mergeCell ref="AB74:AD75"/>
    <mergeCell ref="AE74:AF75"/>
    <mergeCell ref="AG74:AH75"/>
    <mergeCell ref="AI74:AJ75"/>
    <mergeCell ref="AK78:AM79"/>
    <mergeCell ref="AN78:AQ79"/>
    <mergeCell ref="C80:M81"/>
    <mergeCell ref="N80:S81"/>
    <mergeCell ref="T80:U81"/>
    <mergeCell ref="V80:W81"/>
    <mergeCell ref="X80:AA81"/>
    <mergeCell ref="AB80:AD81"/>
    <mergeCell ref="AE80:AF81"/>
    <mergeCell ref="AG80:AH81"/>
    <mergeCell ref="AI80:AJ81"/>
    <mergeCell ref="AK80:AM81"/>
    <mergeCell ref="AN80:AQ81"/>
    <mergeCell ref="C78:M79"/>
    <mergeCell ref="N78:S79"/>
    <mergeCell ref="T78:U79"/>
    <mergeCell ref="V78:W79"/>
    <mergeCell ref="X78:AA79"/>
    <mergeCell ref="AB78:AD79"/>
    <mergeCell ref="AE78:AF79"/>
    <mergeCell ref="AG78:AH79"/>
    <mergeCell ref="AI78:AJ79"/>
    <mergeCell ref="AK82:AM83"/>
    <mergeCell ref="AN82:AQ83"/>
    <mergeCell ref="C84:M85"/>
    <mergeCell ref="N84:S85"/>
    <mergeCell ref="T84:U85"/>
    <mergeCell ref="V84:W85"/>
    <mergeCell ref="X84:AA85"/>
    <mergeCell ref="AB84:AD85"/>
    <mergeCell ref="AE84:AF85"/>
    <mergeCell ref="AG84:AH85"/>
    <mergeCell ref="AI84:AJ85"/>
    <mergeCell ref="AK84:AM85"/>
    <mergeCell ref="AN84:AQ85"/>
    <mergeCell ref="C82:M83"/>
    <mergeCell ref="N82:S83"/>
    <mergeCell ref="T82:U83"/>
    <mergeCell ref="V82:W83"/>
    <mergeCell ref="X82:AA83"/>
    <mergeCell ref="AB82:AD83"/>
    <mergeCell ref="AE82:AF83"/>
    <mergeCell ref="AG82:AH83"/>
    <mergeCell ref="AI82:AJ83"/>
    <mergeCell ref="AK86:AM87"/>
    <mergeCell ref="AN86:AQ87"/>
    <mergeCell ref="C88:M89"/>
    <mergeCell ref="N88:S89"/>
    <mergeCell ref="T88:U89"/>
    <mergeCell ref="V88:W89"/>
    <mergeCell ref="X88:AA89"/>
    <mergeCell ref="AB88:AD89"/>
    <mergeCell ref="AE88:AF89"/>
    <mergeCell ref="AG88:AH89"/>
    <mergeCell ref="AI88:AJ89"/>
    <mergeCell ref="AK88:AM89"/>
    <mergeCell ref="AN88:AQ89"/>
    <mergeCell ref="C86:M87"/>
    <mergeCell ref="N86:S87"/>
    <mergeCell ref="T86:U87"/>
    <mergeCell ref="V86:W87"/>
    <mergeCell ref="X86:AA87"/>
    <mergeCell ref="AB86:AD87"/>
    <mergeCell ref="AE86:AF87"/>
    <mergeCell ref="AG86:AH87"/>
    <mergeCell ref="AI86:AJ87"/>
    <mergeCell ref="AK90:AM91"/>
    <mergeCell ref="AN90:AQ91"/>
    <mergeCell ref="C92:M93"/>
    <mergeCell ref="N92:S93"/>
    <mergeCell ref="T92:U93"/>
    <mergeCell ref="V92:W93"/>
    <mergeCell ref="X92:AA93"/>
    <mergeCell ref="AB92:AD93"/>
    <mergeCell ref="AE92:AF93"/>
    <mergeCell ref="AG92:AH93"/>
    <mergeCell ref="AI92:AJ93"/>
    <mergeCell ref="AK92:AM93"/>
    <mergeCell ref="AN92:AQ93"/>
    <mergeCell ref="C90:M91"/>
    <mergeCell ref="N90:S91"/>
    <mergeCell ref="T90:U91"/>
    <mergeCell ref="V90:W91"/>
    <mergeCell ref="X90:AA91"/>
    <mergeCell ref="AB90:AD91"/>
    <mergeCell ref="AE90:AF91"/>
    <mergeCell ref="AG90:AH91"/>
    <mergeCell ref="AI90:AJ91"/>
    <mergeCell ref="AK94:AM95"/>
    <mergeCell ref="AN94:AQ95"/>
    <mergeCell ref="C94:M95"/>
    <mergeCell ref="N94:S95"/>
    <mergeCell ref="T94:U95"/>
    <mergeCell ref="V94:W95"/>
    <mergeCell ref="X94:AA95"/>
    <mergeCell ref="AB94:AD95"/>
    <mergeCell ref="AE94:AF95"/>
    <mergeCell ref="AG94:AH95"/>
    <mergeCell ref="AI94:AJ95"/>
    <mergeCell ref="C36:AD36"/>
    <mergeCell ref="AC37:AD37"/>
    <mergeCell ref="AW38:AW39"/>
    <mergeCell ref="AN36:AQ37"/>
    <mergeCell ref="AK38:AM39"/>
    <mergeCell ref="AN38:AQ39"/>
    <mergeCell ref="C32:M33"/>
    <mergeCell ref="N32:S33"/>
    <mergeCell ref="C37:M37"/>
    <mergeCell ref="X38:Y39"/>
    <mergeCell ref="Z38:Z39"/>
    <mergeCell ref="X37:Y37"/>
    <mergeCell ref="V37:W37"/>
    <mergeCell ref="N37:S37"/>
    <mergeCell ref="T37:U37"/>
    <mergeCell ref="AA38:AB39"/>
    <mergeCell ref="AC38:AD39"/>
    <mergeCell ref="AA37:AB37"/>
    <mergeCell ref="C38:M39"/>
    <mergeCell ref="N38:S39"/>
    <mergeCell ref="T38:U39"/>
    <mergeCell ref="V38:W39"/>
    <mergeCell ref="T32:U33"/>
    <mergeCell ref="V32:W33"/>
    <mergeCell ref="AK24:AM25"/>
    <mergeCell ref="AK26:AM27"/>
    <mergeCell ref="AK28:AM29"/>
    <mergeCell ref="AK30:AM31"/>
    <mergeCell ref="AW30:AW31"/>
    <mergeCell ref="C26:M27"/>
    <mergeCell ref="N26:S27"/>
    <mergeCell ref="T26:U27"/>
    <mergeCell ref="V26:W27"/>
    <mergeCell ref="X26:AA27"/>
    <mergeCell ref="AB26:AD27"/>
    <mergeCell ref="AE26:AF27"/>
    <mergeCell ref="AG26:AH27"/>
    <mergeCell ref="AI26:AJ27"/>
    <mergeCell ref="C24:M25"/>
    <mergeCell ref="N24:S25"/>
    <mergeCell ref="AW28:AW29"/>
    <mergeCell ref="T24:U25"/>
    <mergeCell ref="V24:W25"/>
    <mergeCell ref="X24:AA25"/>
    <mergeCell ref="AB24:AD25"/>
    <mergeCell ref="AE24:AF25"/>
    <mergeCell ref="AG24:AH25"/>
    <mergeCell ref="AI24:AJ25"/>
    <mergeCell ref="AX38:AX39"/>
    <mergeCell ref="AY38:AY39"/>
    <mergeCell ref="BC50:BC51"/>
    <mergeCell ref="BC52:BC53"/>
    <mergeCell ref="AX42:AX43"/>
    <mergeCell ref="AX44:AX45"/>
    <mergeCell ref="AY40:AY41"/>
    <mergeCell ref="AY42:AY43"/>
    <mergeCell ref="AW32:AW33"/>
    <mergeCell ref="AW34:AW35"/>
    <mergeCell ref="BC38:BC39"/>
    <mergeCell ref="BC40:BC41"/>
    <mergeCell ref="BC42:BC43"/>
    <mergeCell ref="BC44:BC45"/>
    <mergeCell ref="BC56:BC57"/>
    <mergeCell ref="BC58:BC59"/>
    <mergeCell ref="BC60:BC61"/>
    <mergeCell ref="BC62:BC63"/>
    <mergeCell ref="BC64:BC65"/>
    <mergeCell ref="BC66:BC67"/>
    <mergeCell ref="BC68:BC69"/>
    <mergeCell ref="BC70:BC71"/>
    <mergeCell ref="BC46:BC47"/>
    <mergeCell ref="BC48:BC49"/>
    <mergeCell ref="BC72:BC73"/>
    <mergeCell ref="BC74:BC75"/>
    <mergeCell ref="BC76:BC77"/>
    <mergeCell ref="BC78:BC79"/>
    <mergeCell ref="BC80:BC81"/>
    <mergeCell ref="BC82:BC83"/>
    <mergeCell ref="BC84:BC85"/>
    <mergeCell ref="BC86:BC87"/>
    <mergeCell ref="BC88:BC89"/>
    <mergeCell ref="BC90:BC91"/>
    <mergeCell ref="BC92:BC93"/>
    <mergeCell ref="BC94:BC95"/>
    <mergeCell ref="BC96:BC97"/>
    <mergeCell ref="BC98:BC99"/>
    <mergeCell ref="BC100:BC101"/>
    <mergeCell ref="BC102:BC103"/>
    <mergeCell ref="BC104:BC105"/>
    <mergeCell ref="BC106:BC107"/>
    <mergeCell ref="BC108:BC109"/>
    <mergeCell ref="BC110:BC111"/>
    <mergeCell ref="BC112:BC113"/>
    <mergeCell ref="BC114:BC115"/>
    <mergeCell ref="BC116:BC117"/>
    <mergeCell ref="BC118:BC119"/>
    <mergeCell ref="BC120:BC121"/>
    <mergeCell ref="BC122:BC123"/>
    <mergeCell ref="BC124:BC125"/>
    <mergeCell ref="BC126:BC127"/>
    <mergeCell ref="BC128:BC129"/>
    <mergeCell ref="BC130:BC131"/>
    <mergeCell ref="BC132:BC133"/>
    <mergeCell ref="BC134:BC135"/>
    <mergeCell ref="BC136:BC137"/>
    <mergeCell ref="BC138:BC139"/>
    <mergeCell ref="BC170:BC171"/>
    <mergeCell ref="BC172:BC173"/>
    <mergeCell ref="BC174:BC175"/>
    <mergeCell ref="BC140:BC141"/>
    <mergeCell ref="BC142:BC143"/>
    <mergeCell ref="BC144:BC145"/>
    <mergeCell ref="BC146:BC147"/>
    <mergeCell ref="BC148:BC149"/>
    <mergeCell ref="BC150:BC151"/>
    <mergeCell ref="BC152:BC153"/>
    <mergeCell ref="BC154:BC155"/>
    <mergeCell ref="BC156:BC157"/>
    <mergeCell ref="BC194:BC195"/>
    <mergeCell ref="BC196:BC197"/>
    <mergeCell ref="BC198:BC199"/>
    <mergeCell ref="AE14:AH14"/>
    <mergeCell ref="AE15:AF15"/>
    <mergeCell ref="AG15:AH15"/>
    <mergeCell ref="AE36:AH36"/>
    <mergeCell ref="AE37:AF37"/>
    <mergeCell ref="AG37:AH37"/>
    <mergeCell ref="BC176:BC177"/>
    <mergeCell ref="BC178:BC179"/>
    <mergeCell ref="BC180:BC181"/>
    <mergeCell ref="BC182:BC183"/>
    <mergeCell ref="BC184:BC185"/>
    <mergeCell ref="BC186:BC187"/>
    <mergeCell ref="BC188:BC189"/>
    <mergeCell ref="BC190:BC191"/>
    <mergeCell ref="BC192:BC193"/>
    <mergeCell ref="BC158:BC159"/>
    <mergeCell ref="BC160:BC161"/>
    <mergeCell ref="BC162:BC163"/>
    <mergeCell ref="BC164:BC165"/>
    <mergeCell ref="BC166:BC167"/>
    <mergeCell ref="BC168:BC169"/>
    <mergeCell ref="BE32:BE33"/>
    <mergeCell ref="BE34:BE35"/>
    <mergeCell ref="BE36:BE37"/>
    <mergeCell ref="BE38:BE39"/>
    <mergeCell ref="BE40:BE41"/>
    <mergeCell ref="BE42:BE43"/>
    <mergeCell ref="BE44:BE45"/>
    <mergeCell ref="BA54:BA55"/>
    <mergeCell ref="AF11:AI11"/>
    <mergeCell ref="AF12:AI13"/>
    <mergeCell ref="BA46:BA47"/>
    <mergeCell ref="BE14:BE15"/>
    <mergeCell ref="BE16:BE17"/>
    <mergeCell ref="BE18:BE19"/>
    <mergeCell ref="BE20:BE21"/>
    <mergeCell ref="BE22:BE23"/>
    <mergeCell ref="BE24:BE25"/>
    <mergeCell ref="BE26:BE27"/>
    <mergeCell ref="BE28:BE29"/>
    <mergeCell ref="BE30:BE31"/>
    <mergeCell ref="BC54:BC55"/>
    <mergeCell ref="AW40:AW41"/>
    <mergeCell ref="AW42:AW43"/>
    <mergeCell ref="AW44:AW45"/>
  </mergeCells>
  <conditionalFormatting sqref="AH2 AL2">
    <cfRule type="expression" dxfId="192" priority="3">
      <formula>PROJSTATUS=PROJSTATELI</formula>
    </cfRule>
    <cfRule type="expression" dxfId="191" priority="4">
      <formula>PROJSTATUS=PROJSTATREVIEW</formula>
    </cfRule>
    <cfRule type="expression" dxfId="190" priority="8">
      <formula>PROJSTATUS=PROJSTATPREAPPROVE</formula>
    </cfRule>
    <cfRule type="expression" dxfId="189" priority="9">
      <formula>PROJSTATUS=PROJSTATSTANDARD</formula>
    </cfRule>
    <cfRule type="expression" dxfId="188" priority="10">
      <formula>PROJSTATUS=PROJSTATEXP</formula>
    </cfRule>
  </conditionalFormatting>
  <conditionalFormatting sqref="AQ2:AR3">
    <cfRule type="cellIs" dxfId="187" priority="5" operator="equal">
      <formula>1</formula>
    </cfRule>
    <cfRule type="cellIs" dxfId="186" priority="6" operator="between">
      <formula>0.51</formula>
      <formula>0.99</formula>
    </cfRule>
    <cfRule type="cellIs" dxfId="185" priority="7" operator="lessThanOrEqual">
      <formula>0.5</formula>
    </cfRule>
  </conditionalFormatting>
  <dataValidations count="9">
    <dataValidation type="decimal" allowBlank="1" showInputMessage="1" showErrorMessage="1" error="Please enter a numerical value" sqref="AG56:AH95 AG48:AH53" xr:uid="{00000000-0002-0000-1700-000000000000}">
      <formula1>0</formula1>
      <formula2>999999</formula2>
    </dataValidation>
    <dataValidation type="list" allowBlank="1" showInputMessage="1" showErrorMessage="1" sqref="C16:M35 C56:M93 C48:M53" xr:uid="{00000000-0002-0000-1700-000001000000}">
      <formula1>PMEREFRIEFF1</formula1>
    </dataValidation>
    <dataValidation type="whole" allowBlank="1" showInputMessage="1" showErrorMessage="1" error="Please enter a numerical value" prompt="Reference the &quot;Unit of Measure&quot; column to ensure you enter the correct value based on unit type." sqref="V16:W35 V56:W95 V48:W53" xr:uid="{00000000-0002-0000-1700-000002000000}">
      <formula1>1</formula1>
      <formula2>99999</formula2>
    </dataValidation>
    <dataValidation type="decimal" allowBlank="1" showInputMessage="1" showErrorMessage="1" error="Please enter a numerical value" sqref="AE56:AF95 AE48:AF53" xr:uid="{00000000-0002-0000-1700-000003000000}">
      <formula1>0.01</formula1>
      <formula2>999999</formula2>
    </dataValidation>
    <dataValidation type="decimal" allowBlank="1" showInputMessage="1" showErrorMessage="1" prompt="Please enter the door width or average door width." sqref="X38:Y45" xr:uid="{B75DEF9C-3BDD-4B56-B58E-9CE205B128EC}">
      <formula1>0</formula1>
      <formula2>9999</formula2>
    </dataValidation>
    <dataValidation type="whole" allowBlank="1" showInputMessage="1" showErrorMessage="1" prompt="Please enter the number of doors." sqref="Z38:Z45" xr:uid="{82B4F7FD-A0DF-4F7A-BF54-BB47281A6E9C}">
      <formula1>0</formula1>
      <formula2>99999</formula2>
    </dataValidation>
    <dataValidation type="decimal" allowBlank="1" showInputMessage="1" showErrorMessage="1" error="Please enter a numerical value" prompt="This is the TOTAL Material Cost of the measure, NOT a per unit basis." sqref="AE16:AF35 AE38:AF45" xr:uid="{1761B777-C3EE-48B9-83EA-A90EFDA9403F}">
      <formula1>0.01</formula1>
      <formula2>999999</formula2>
    </dataValidation>
    <dataValidation type="decimal" allowBlank="1" showInputMessage="1" showErrorMessage="1" error="Please enter a numerical value" prompt="This is the TOTAL Labor Cost of the measure, NOT a per unit basis." sqref="AG16:AH35 AG38:AH45" xr:uid="{B86A4A60-F46C-4C4D-AA4E-80F5D5B28402}">
      <formula1>0</formula1>
      <formula2>999999</formula2>
    </dataValidation>
    <dataValidation type="whole" allowBlank="1" showInputMessage="1" showErrorMessage="1" error="Please enter a numerical value" prompt="Please enter the door height or average door height." sqref="V38:W45" xr:uid="{5E516760-74A8-45A9-A371-D5AE7147B058}">
      <formula1>1</formula1>
      <formula2>99999</formula2>
    </dataValidation>
  </dataValidations>
  <hyperlinks>
    <hyperlink ref="B202" r:id="rId1" xr:uid="{0D0BA277-449D-4149-87E2-CFDD084679A0}"/>
  </hyperlinks>
  <pageMargins left="0.25" right="0.25" top="0.25" bottom="0.25" header="0.25" footer="0.25"/>
  <pageSetup scale="56" fitToHeight="0" orientation="landscape" r:id="rId2"/>
  <drawing r:id="rId3"/>
  <extLst>
    <ext xmlns:x14="http://schemas.microsoft.com/office/spreadsheetml/2009/9/main" uri="{CCE6A557-97BC-4b89-ADB6-D9C93CAAB3DF}">
      <x14:dataValidations xmlns:xm="http://schemas.microsoft.com/office/excel/2006/main" count="1">
        <x14:dataValidation type="list" allowBlank="1" showInputMessage="1" showErrorMessage="1" xr:uid="{61EADF68-8D37-446B-90C4-07E5D8E26E93}">
          <x14:formula1>
            <xm:f>PRESCRIPTIVE!$E$222:$E$224</xm:f>
          </x14:formula1>
          <xm:sqref>C38:M45</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30">
    <pageSetUpPr fitToPage="1"/>
  </sheetPr>
  <dimension ref="A1:BZ202"/>
  <sheetViews>
    <sheetView showGridLines="0" showRowColHeaders="0" zoomScale="85" zoomScaleNormal="85" workbookViewId="0">
      <selection activeCell="C16" sqref="C16:M17"/>
    </sheetView>
  </sheetViews>
  <sheetFormatPr defaultColWidth="0" defaultRowHeight="15" zeroHeight="1"/>
  <cols>
    <col min="1" max="45" width="4.7109375" customWidth="1"/>
    <col min="46" max="46" width="4.7109375" hidden="1" customWidth="1"/>
    <col min="47" max="78" width="9.140625" hidden="1" customWidth="1"/>
    <col min="79" max="16384" width="9.140625" hidden="1"/>
  </cols>
  <sheetData>
    <row r="1" spans="2:78" ht="15.95" customHeight="1">
      <c r="AH1" s="686" t="s">
        <v>471</v>
      </c>
      <c r="AI1" s="686"/>
      <c r="AJ1" s="686"/>
      <c r="AK1" s="686"/>
      <c r="AL1" s="687" t="s">
        <v>736</v>
      </c>
      <c r="AM1" s="687"/>
      <c r="AN1" s="687"/>
      <c r="AO1" s="687"/>
      <c r="AP1" s="687"/>
      <c r="AQ1" s="683" t="s">
        <v>474</v>
      </c>
      <c r="AR1" s="683"/>
      <c r="AS1" s="59"/>
      <c r="AT1" s="59"/>
      <c r="AU1" s="59"/>
      <c r="AV1" s="59"/>
      <c r="AW1" s="59"/>
      <c r="AX1" s="59"/>
      <c r="AY1" s="59"/>
      <c r="AZ1" s="59"/>
      <c r="BA1" s="59"/>
      <c r="BB1" s="59"/>
      <c r="BC1" s="59"/>
      <c r="BD1" s="59"/>
      <c r="BE1" s="59"/>
      <c r="BF1" s="59"/>
      <c r="BG1" s="59"/>
      <c r="BH1" s="59"/>
      <c r="BI1" s="59"/>
      <c r="BJ1" s="59"/>
      <c r="BK1" s="59"/>
      <c r="BL1" s="59"/>
      <c r="BM1" s="59"/>
      <c r="BN1" s="59"/>
      <c r="BO1" s="59"/>
      <c r="BP1" s="59"/>
      <c r="BQ1" s="59"/>
      <c r="BR1" s="59"/>
      <c r="BS1" s="59"/>
      <c r="BT1" s="59"/>
      <c r="BU1" s="59"/>
      <c r="BV1" s="59"/>
      <c r="BW1" s="59"/>
      <c r="BX1" s="59"/>
      <c r="BY1" s="59"/>
      <c r="BZ1" s="59"/>
    </row>
    <row r="2" spans="2:78" ht="15.95" customHeight="1">
      <c r="AH2" s="688" t="str">
        <f ca="1">INCENSTATUS</f>
        <v>---</v>
      </c>
      <c r="AI2" s="689"/>
      <c r="AJ2" s="689"/>
      <c r="AK2" s="689"/>
      <c r="AL2" s="690" t="str">
        <f ca="1">PROJSTATUS</f>
        <v>Enter Measures</v>
      </c>
      <c r="AM2" s="690"/>
      <c r="AN2" s="690"/>
      <c r="AO2" s="690"/>
      <c r="AP2" s="690"/>
      <c r="AQ2" s="684">
        <f ca="1">PROGRESSSTATUS</f>
        <v>2.8985507246376812E-2</v>
      </c>
      <c r="AR2" s="685"/>
      <c r="AS2" s="59"/>
      <c r="AT2" s="59"/>
      <c r="AU2" s="59"/>
      <c r="AV2" s="59"/>
      <c r="AW2" s="59"/>
      <c r="AX2" s="59"/>
      <c r="AY2" s="59"/>
      <c r="AZ2" s="59"/>
      <c r="BA2" s="59"/>
      <c r="BB2" s="59"/>
      <c r="BC2" s="59"/>
      <c r="BD2" s="59"/>
      <c r="BE2" s="59"/>
      <c r="BF2" s="59"/>
      <c r="BG2" s="59"/>
      <c r="BH2" s="59"/>
      <c r="BI2" s="59"/>
      <c r="BJ2" s="59"/>
      <c r="BK2" s="59"/>
      <c r="BL2" s="59"/>
      <c r="BM2" s="59"/>
      <c r="BN2" s="59"/>
      <c r="BO2" s="59"/>
      <c r="BP2" s="59"/>
      <c r="BQ2" s="59"/>
      <c r="BR2" s="59"/>
      <c r="BS2" s="59"/>
      <c r="BT2" s="59"/>
      <c r="BU2" s="59"/>
      <c r="BV2" s="59"/>
      <c r="BW2" s="59"/>
      <c r="BX2" s="59"/>
      <c r="BY2" s="59"/>
      <c r="BZ2" s="59"/>
    </row>
    <row r="3" spans="2:78" ht="15.95" customHeight="1">
      <c r="AH3" s="680"/>
      <c r="AI3" s="681"/>
      <c r="AJ3" s="681"/>
      <c r="AK3" s="681"/>
      <c r="AL3" s="673"/>
      <c r="AM3" s="673"/>
      <c r="AN3" s="673"/>
      <c r="AO3" s="673"/>
      <c r="AP3" s="673"/>
      <c r="AQ3" s="667"/>
      <c r="AR3" s="668"/>
      <c r="AS3" s="59"/>
      <c r="AT3" s="59"/>
      <c r="AU3" s="59"/>
      <c r="AV3" s="59"/>
      <c r="AW3" s="59"/>
      <c r="AX3" s="59"/>
      <c r="AY3" s="59"/>
      <c r="AZ3" s="59"/>
      <c r="BA3" s="59"/>
      <c r="BB3" s="59"/>
      <c r="BC3" s="59"/>
      <c r="BD3" s="59"/>
      <c r="BE3" s="59"/>
      <c r="BF3" s="59"/>
      <c r="BG3" s="59"/>
      <c r="BH3" s="59"/>
      <c r="BI3" s="59"/>
      <c r="BJ3" s="59"/>
      <c r="BK3" s="59"/>
      <c r="BL3" s="59"/>
      <c r="BM3" s="59"/>
      <c r="BN3" s="59"/>
      <c r="BO3" s="59"/>
      <c r="BP3" s="59"/>
      <c r="BQ3" s="59"/>
      <c r="BR3" s="59"/>
      <c r="BS3" s="59"/>
      <c r="BT3" s="59"/>
      <c r="BU3" s="59"/>
      <c r="BV3" s="59"/>
      <c r="BW3" s="59"/>
      <c r="BX3" s="59"/>
      <c r="BY3" s="59"/>
      <c r="BZ3" s="59"/>
    </row>
    <row r="4" spans="2:78" ht="15.95" customHeight="1">
      <c r="AR4" s="171"/>
      <c r="AS4" s="59"/>
      <c r="AT4" s="59"/>
      <c r="AU4" s="59"/>
      <c r="AV4" s="59"/>
      <c r="AW4" s="59"/>
      <c r="AX4" s="59"/>
      <c r="AY4" s="59"/>
      <c r="AZ4" s="59"/>
      <c r="BA4" s="59"/>
      <c r="BB4" s="59"/>
      <c r="BC4" s="59"/>
      <c r="BD4" s="59"/>
      <c r="BE4" s="59"/>
      <c r="BF4" s="59"/>
      <c r="BG4" s="59"/>
      <c r="BH4" s="59"/>
      <c r="BI4" s="59"/>
      <c r="BJ4" s="59"/>
      <c r="BK4" s="59"/>
      <c r="BL4" s="59"/>
      <c r="BM4" s="59"/>
      <c r="BN4" s="59"/>
      <c r="BO4" s="59"/>
      <c r="BP4" s="59"/>
      <c r="BQ4" s="59"/>
      <c r="BR4" s="59"/>
      <c r="BS4" s="59"/>
      <c r="BT4" s="59"/>
      <c r="BU4" s="59"/>
      <c r="BV4" s="59"/>
      <c r="BW4" s="59"/>
      <c r="BX4" s="59"/>
      <c r="BY4" s="59"/>
      <c r="BZ4" s="59"/>
    </row>
    <row r="5" spans="2:78" ht="15.95" customHeight="1">
      <c r="AS5" s="59"/>
      <c r="AT5" s="59"/>
      <c r="AU5" s="59"/>
      <c r="AV5" s="59"/>
      <c r="AW5" s="59"/>
      <c r="AX5" s="59"/>
      <c r="AY5" s="59"/>
      <c r="AZ5" s="59"/>
      <c r="BA5" s="59"/>
      <c r="BB5" s="59"/>
      <c r="BC5" s="59"/>
      <c r="BD5" s="59"/>
      <c r="BE5" s="59"/>
      <c r="BF5" s="59"/>
      <c r="BG5" s="59"/>
      <c r="BH5" s="59"/>
      <c r="BI5" s="59"/>
      <c r="BJ5" s="59"/>
      <c r="BK5" s="59"/>
      <c r="BL5" s="59"/>
      <c r="BM5" s="59"/>
      <c r="BN5" s="59"/>
      <c r="BO5" s="59"/>
      <c r="BP5" s="59"/>
      <c r="BQ5" s="59"/>
      <c r="BR5" s="59"/>
      <c r="BS5" s="59"/>
      <c r="BT5" s="59"/>
      <c r="BU5" s="59"/>
      <c r="BV5" s="59"/>
      <c r="BW5" s="59"/>
      <c r="BX5" s="59"/>
      <c r="BY5" s="59"/>
      <c r="BZ5" s="59"/>
    </row>
    <row r="6" spans="2:78" ht="15.95" customHeight="1">
      <c r="AS6" s="59"/>
      <c r="AT6" s="59"/>
      <c r="AU6" s="59" t="s">
        <v>907</v>
      </c>
      <c r="AV6" s="59">
        <f>PROJID</f>
        <v>0</v>
      </c>
      <c r="AW6" s="59"/>
      <c r="AX6" s="59"/>
      <c r="AY6" s="59"/>
      <c r="AZ6" s="59"/>
      <c r="BA6" s="59"/>
      <c r="BB6" s="59"/>
      <c r="BC6" s="59"/>
      <c r="BD6" s="59"/>
      <c r="BE6" s="59"/>
      <c r="BF6" s="59"/>
      <c r="BG6" s="59"/>
      <c r="BH6" s="59"/>
      <c r="BI6" s="59"/>
      <c r="BJ6" s="59"/>
      <c r="BK6" s="59"/>
      <c r="BL6" s="59"/>
      <c r="BM6" s="59"/>
      <c r="BN6" s="59"/>
      <c r="BO6" s="59"/>
      <c r="BP6" s="59"/>
      <c r="BQ6" s="59"/>
      <c r="BR6" s="59"/>
      <c r="BS6" s="59"/>
      <c r="BT6" s="59"/>
      <c r="BU6" s="59"/>
      <c r="BV6" s="59"/>
      <c r="BW6" s="59"/>
      <c r="BX6" s="59"/>
      <c r="BY6" s="59"/>
      <c r="BZ6" s="59"/>
    </row>
    <row r="7" spans="2:78" ht="15.95" customHeight="1">
      <c r="AS7" s="59"/>
      <c r="AT7" s="59"/>
      <c r="AU7" s="87"/>
      <c r="AV7" s="87" t="s">
        <v>866</v>
      </c>
      <c r="AW7" s="87" t="s">
        <v>231</v>
      </c>
      <c r="AX7" s="87" t="s">
        <v>892</v>
      </c>
      <c r="AY7" s="59"/>
      <c r="AZ7" s="59"/>
      <c r="BA7" s="59"/>
      <c r="BB7" s="59"/>
      <c r="BC7" s="59"/>
      <c r="BD7" s="59"/>
      <c r="BE7" s="59"/>
      <c r="BF7" s="59"/>
      <c r="BG7" s="59"/>
      <c r="BH7" s="59"/>
      <c r="BI7" s="59"/>
      <c r="BJ7" s="59"/>
      <c r="BK7" s="59"/>
      <c r="BL7" s="59"/>
      <c r="BM7" s="59"/>
      <c r="BN7" s="59"/>
      <c r="BO7" s="59"/>
      <c r="BP7" s="59"/>
      <c r="BQ7" s="59"/>
      <c r="BR7" s="59"/>
      <c r="BS7" s="59"/>
      <c r="BT7" s="59"/>
      <c r="BU7" s="59"/>
      <c r="BV7" s="59"/>
      <c r="BW7" s="59"/>
      <c r="BX7" s="59"/>
      <c r="BY7" s="59"/>
      <c r="BZ7" s="59"/>
    </row>
    <row r="8" spans="2:78" ht="15.95" customHeight="1">
      <c r="AS8" s="59"/>
      <c r="AT8" s="59"/>
      <c r="AU8" s="87" t="s">
        <v>219</v>
      </c>
      <c r="AV8" s="87" t="str">
        <f ca="1">CBPRESE</f>
        <v>NA</v>
      </c>
      <c r="AW8" s="87" t="str">
        <f ca="1">CBCUSE</f>
        <v>NA</v>
      </c>
      <c r="AX8" s="87" t="str">
        <f ca="1">CBALL</f>
        <v>NA</v>
      </c>
      <c r="AY8" s="59"/>
      <c r="AZ8" s="59"/>
      <c r="BA8" s="59"/>
      <c r="BB8" s="59"/>
      <c r="BC8" s="59"/>
      <c r="BD8" s="59"/>
      <c r="BE8" s="59"/>
      <c r="BF8" s="59"/>
      <c r="BG8" s="59"/>
      <c r="BH8" s="59"/>
      <c r="BI8" s="59"/>
      <c r="BJ8" s="59"/>
      <c r="BK8" s="59"/>
      <c r="BL8" s="59"/>
      <c r="BM8" s="59"/>
      <c r="BN8" s="59"/>
      <c r="BO8" s="59"/>
      <c r="BP8" s="59"/>
      <c r="BQ8" s="59"/>
      <c r="BR8" s="59"/>
      <c r="BS8" s="59"/>
      <c r="BT8" s="59"/>
      <c r="BU8" s="59"/>
      <c r="BV8" s="59"/>
      <c r="BW8" s="59"/>
      <c r="BX8" s="59"/>
      <c r="BY8" s="59"/>
      <c r="BZ8" s="59"/>
    </row>
    <row r="9" spans="2:78" ht="15.95" customHeight="1">
      <c r="B9" s="59"/>
      <c r="C9" s="59"/>
      <c r="D9" s="59"/>
      <c r="E9" s="59"/>
      <c r="F9" s="59"/>
      <c r="G9" s="59"/>
      <c r="H9" s="59"/>
      <c r="I9" s="59"/>
      <c r="J9" s="59"/>
      <c r="K9" s="59"/>
      <c r="L9" s="59"/>
      <c r="M9" s="59"/>
      <c r="N9" s="59"/>
      <c r="O9" s="59"/>
      <c r="P9" s="59"/>
      <c r="Q9" s="59"/>
      <c r="R9" s="735" t="str">
        <f>CONCATENATE(M3S5," ","Summary")</f>
        <v>Commercial Cooking (Elec/Gas) Summary</v>
      </c>
      <c r="S9" s="735"/>
      <c r="T9" s="735"/>
      <c r="U9" s="735"/>
      <c r="V9" s="735"/>
      <c r="W9" s="735"/>
      <c r="X9" s="735"/>
      <c r="Y9" s="735"/>
      <c r="Z9" s="735"/>
      <c r="AA9" s="735"/>
      <c r="AB9" s="735"/>
      <c r="AC9" s="735"/>
      <c r="AD9" s="59"/>
      <c r="AE9" s="59"/>
      <c r="AF9" s="59"/>
      <c r="AG9" s="59"/>
      <c r="AH9" s="59"/>
      <c r="AI9" s="59"/>
      <c r="AJ9" s="59"/>
      <c r="AK9" s="59"/>
      <c r="AL9" s="59"/>
      <c r="AM9" s="59"/>
      <c r="AN9" s="59"/>
      <c r="AO9" s="59"/>
      <c r="AP9" s="59"/>
      <c r="AQ9" s="59"/>
      <c r="AR9" s="59"/>
      <c r="AS9" s="59"/>
      <c r="AT9" s="59"/>
      <c r="AU9" s="87"/>
      <c r="AV9" s="87"/>
      <c r="AW9" s="87"/>
      <c r="AX9" s="87"/>
      <c r="AY9" s="59"/>
      <c r="AZ9" s="59"/>
      <c r="BA9" s="59"/>
      <c r="BB9" s="59"/>
      <c r="BC9" s="59"/>
      <c r="BD9" s="59"/>
      <c r="BE9" s="59"/>
      <c r="BF9" s="59"/>
      <c r="BG9" s="59"/>
      <c r="BH9" s="59"/>
      <c r="BI9" s="59"/>
      <c r="BJ9" s="59"/>
      <c r="BK9" s="59"/>
      <c r="BL9" s="59"/>
      <c r="BM9" s="59"/>
      <c r="BN9" s="59"/>
      <c r="BO9" s="59"/>
      <c r="BP9" s="59"/>
      <c r="BQ9" s="59"/>
      <c r="BR9" s="59"/>
      <c r="BS9" s="59"/>
      <c r="BT9" s="59"/>
      <c r="BU9" s="59"/>
      <c r="BV9" s="59"/>
      <c r="BW9" s="59"/>
      <c r="BX9" s="59"/>
      <c r="BY9" s="59"/>
      <c r="BZ9" s="59"/>
    </row>
    <row r="10" spans="2:78" ht="15.95" customHeight="1">
      <c r="B10" s="59"/>
      <c r="C10" s="59"/>
      <c r="D10" s="59"/>
      <c r="E10" s="59"/>
      <c r="F10" s="59"/>
      <c r="G10" s="59"/>
      <c r="H10" s="59"/>
      <c r="I10" s="59"/>
      <c r="J10" s="59"/>
      <c r="K10" s="59"/>
      <c r="L10" s="59"/>
      <c r="M10" s="59"/>
      <c r="N10" s="59"/>
      <c r="O10" s="59"/>
      <c r="P10" s="59"/>
      <c r="Q10" s="59"/>
      <c r="R10" s="735"/>
      <c r="S10" s="735"/>
      <c r="T10" s="735"/>
      <c r="U10" s="735"/>
      <c r="V10" s="735"/>
      <c r="W10" s="735"/>
      <c r="X10" s="735"/>
      <c r="Y10" s="735"/>
      <c r="Z10" s="735"/>
      <c r="AA10" s="735"/>
      <c r="AB10" s="735"/>
      <c r="AC10" s="735"/>
      <c r="AD10" s="59"/>
      <c r="AE10" s="59"/>
      <c r="AF10" s="59"/>
      <c r="AG10" s="59"/>
      <c r="AH10" s="59"/>
      <c r="AI10" s="59"/>
      <c r="AJ10" s="59"/>
      <c r="AK10" s="59"/>
      <c r="AL10" s="59"/>
      <c r="AM10" s="59"/>
      <c r="AN10" s="59"/>
      <c r="AO10" s="59"/>
      <c r="AP10" s="59"/>
      <c r="AQ10" s="59"/>
      <c r="AR10" s="59"/>
      <c r="AS10" s="59"/>
      <c r="AT10" s="59"/>
      <c r="AU10" s="87" t="s">
        <v>581</v>
      </c>
      <c r="AV10" s="87" t="str">
        <f ca="1">PAYPRESE</f>
        <v>NA</v>
      </c>
      <c r="AW10" s="87" t="str">
        <f ca="1">PAYCUSE</f>
        <v>NA</v>
      </c>
      <c r="AX10" s="367" t="str">
        <f ca="1">PAYALL</f>
        <v>NA</v>
      </c>
      <c r="AY10" s="59"/>
      <c r="AZ10" s="59"/>
      <c r="BA10" s="59"/>
      <c r="BB10" s="59"/>
      <c r="BC10" s="59"/>
      <c r="BD10" s="59"/>
      <c r="BE10" s="59"/>
      <c r="BF10" s="59"/>
      <c r="BG10" s="59"/>
      <c r="BH10" s="59"/>
      <c r="BI10" s="59"/>
      <c r="BJ10" s="59"/>
      <c r="BK10" s="59"/>
      <c r="BL10" s="59"/>
      <c r="BM10" s="59"/>
      <c r="BN10" s="59"/>
      <c r="BO10" s="59"/>
      <c r="BP10" s="59"/>
      <c r="BQ10" s="59"/>
      <c r="BR10" s="59"/>
      <c r="BS10" s="59"/>
      <c r="BT10" s="59"/>
      <c r="BU10" s="59"/>
      <c r="BV10" s="59"/>
      <c r="BW10" s="59"/>
      <c r="BX10" s="59"/>
      <c r="BY10" s="59"/>
      <c r="BZ10" s="59"/>
    </row>
    <row r="11" spans="2:78" ht="15.95" customHeight="1">
      <c r="B11" s="59"/>
      <c r="C11" s="59"/>
      <c r="D11" s="59"/>
      <c r="E11" s="59"/>
      <c r="F11" s="1018" t="s">
        <v>2379</v>
      </c>
      <c r="G11" s="1018"/>
      <c r="H11" s="1018"/>
      <c r="I11" s="1018"/>
      <c r="J11" s="1018"/>
      <c r="K11" s="1018"/>
      <c r="L11" s="1018"/>
      <c r="M11" s="1018"/>
      <c r="N11" s="1018"/>
      <c r="O11" s="1018"/>
      <c r="P11" s="1018"/>
      <c r="Q11" s="59"/>
      <c r="R11" s="836" t="s">
        <v>68</v>
      </c>
      <c r="S11" s="836"/>
      <c r="T11" s="836"/>
      <c r="U11" s="836"/>
      <c r="V11" s="836" t="s">
        <v>69</v>
      </c>
      <c r="W11" s="836"/>
      <c r="X11" s="836"/>
      <c r="Y11" s="836"/>
      <c r="Z11" s="836" t="s">
        <v>70</v>
      </c>
      <c r="AA11" s="836"/>
      <c r="AB11" s="836"/>
      <c r="AC11" s="836"/>
      <c r="AD11" s="59"/>
      <c r="AE11" s="836" t="s">
        <v>198</v>
      </c>
      <c r="AF11" s="836"/>
      <c r="AG11" s="836"/>
      <c r="AH11" s="836"/>
      <c r="AJ11" s="901" t="s">
        <v>2101</v>
      </c>
      <c r="AK11" s="901"/>
      <c r="AL11" s="901"/>
      <c r="AM11" s="901"/>
      <c r="AN11" s="59"/>
      <c r="AO11" s="59"/>
      <c r="AP11" s="59"/>
      <c r="AQ11" s="59"/>
      <c r="AR11" s="59"/>
      <c r="AS11" s="59"/>
      <c r="AT11" s="59"/>
      <c r="AU11" s="59"/>
      <c r="AV11" s="59"/>
      <c r="AW11" s="59"/>
      <c r="AX11" s="59"/>
      <c r="AY11" s="59"/>
      <c r="AZ11" s="59"/>
      <c r="BA11" s="59"/>
      <c r="BB11" s="59"/>
      <c r="BC11" s="59"/>
      <c r="BD11" s="59"/>
      <c r="BE11" s="59"/>
      <c r="BF11" s="59"/>
      <c r="BG11" s="59"/>
      <c r="BH11" s="59"/>
      <c r="BI11" s="59"/>
      <c r="BJ11" s="59"/>
      <c r="BK11" s="59"/>
      <c r="BL11" s="59"/>
      <c r="BM11" s="59"/>
      <c r="BN11" s="59"/>
      <c r="BO11" s="59"/>
      <c r="BP11" s="59"/>
      <c r="BQ11" s="59"/>
      <c r="BR11" s="59"/>
      <c r="BS11" s="59"/>
      <c r="BT11" s="59"/>
      <c r="BU11" s="59"/>
      <c r="BV11" s="59"/>
      <c r="BW11" s="59"/>
      <c r="BX11" s="59"/>
      <c r="BY11" s="59"/>
      <c r="BZ11" s="59"/>
    </row>
    <row r="12" spans="2:78" ht="15.95" customHeight="1">
      <c r="B12" s="59"/>
      <c r="C12" s="59"/>
      <c r="D12" s="59"/>
      <c r="E12" s="59"/>
      <c r="F12" s="1018"/>
      <c r="G12" s="1018"/>
      <c r="H12" s="1018"/>
      <c r="I12" s="1018"/>
      <c r="J12" s="1018"/>
      <c r="K12" s="1018"/>
      <c r="L12" s="1018"/>
      <c r="M12" s="1018"/>
      <c r="N12" s="1018"/>
      <c r="O12" s="1018"/>
      <c r="P12" s="1018"/>
      <c r="Q12" s="59"/>
      <c r="R12" s="880">
        <f>SUM(AN16:AQ35)+SUM(AN40:AQ61)</f>
        <v>0</v>
      </c>
      <c r="S12" s="880"/>
      <c r="T12" s="880"/>
      <c r="U12" s="880"/>
      <c r="V12" s="880">
        <f>AU200+AX200</f>
        <v>0</v>
      </c>
      <c r="W12" s="880"/>
      <c r="X12" s="880"/>
      <c r="Y12" s="880"/>
      <c r="Z12" s="881">
        <f ca="1">SUMIF(AN16:AQ35,"&gt;0",AK16:AM35)</f>
        <v>0</v>
      </c>
      <c r="AA12" s="881"/>
      <c r="AB12" s="881"/>
      <c r="AC12" s="881"/>
      <c r="AD12" s="59"/>
      <c r="AE12" s="1003">
        <f ca="1">SUMIF(AN40:AQ61,"&gt;0",AK40:AM61)</f>
        <v>0</v>
      </c>
      <c r="AF12" s="1003"/>
      <c r="AG12" s="1003"/>
      <c r="AH12" s="1003"/>
      <c r="AJ12" s="902">
        <f ca="1">IFERROR(IF(AN62="",0,AN62),0)</f>
        <v>0</v>
      </c>
      <c r="AK12" s="902"/>
      <c r="AL12" s="902"/>
      <c r="AM12" s="902"/>
      <c r="AN12" s="59"/>
      <c r="AO12" s="59"/>
      <c r="AP12" s="59"/>
      <c r="AQ12" s="59"/>
      <c r="AR12" s="59"/>
      <c r="AS12" s="59"/>
      <c r="AT12" s="59"/>
      <c r="AU12" s="59"/>
      <c r="AV12" s="59"/>
      <c r="AW12" s="59"/>
      <c r="AX12" s="59"/>
      <c r="AY12" s="59"/>
      <c r="AZ12" s="59"/>
      <c r="BA12" s="59"/>
      <c r="BB12" s="59"/>
      <c r="BC12" s="59"/>
      <c r="BD12" s="59"/>
      <c r="BE12" s="59"/>
      <c r="BF12" s="59"/>
      <c r="BG12" s="59"/>
      <c r="BH12" s="59"/>
      <c r="BI12" s="59"/>
      <c r="BJ12" s="59"/>
      <c r="BK12" s="59"/>
      <c r="BL12" s="59"/>
      <c r="BM12" s="59"/>
      <c r="BN12" s="59"/>
      <c r="BO12" s="59"/>
      <c r="BP12" s="59"/>
      <c r="BQ12" s="59"/>
      <c r="BR12" s="59"/>
      <c r="BS12" s="59"/>
      <c r="BT12" s="59"/>
      <c r="BU12" s="59"/>
      <c r="BV12" s="59"/>
      <c r="BW12" s="59"/>
      <c r="BX12" s="59"/>
      <c r="BY12" s="59"/>
      <c r="BZ12" s="59"/>
    </row>
    <row r="13" spans="2:78" ht="15.95" customHeight="1">
      <c r="B13" s="59"/>
      <c r="C13" s="59"/>
      <c r="D13" s="59"/>
      <c r="E13" s="59"/>
      <c r="F13" s="59"/>
      <c r="G13" s="59"/>
      <c r="H13" s="59"/>
      <c r="I13" s="59"/>
      <c r="J13" s="59"/>
      <c r="K13" s="59"/>
      <c r="L13" s="59"/>
      <c r="M13" s="59"/>
      <c r="N13" s="59"/>
      <c r="O13" s="59"/>
      <c r="P13" s="59"/>
      <c r="Q13" s="59"/>
      <c r="R13" s="880"/>
      <c r="S13" s="880"/>
      <c r="T13" s="880"/>
      <c r="U13" s="880"/>
      <c r="V13" s="880"/>
      <c r="W13" s="880"/>
      <c r="X13" s="880"/>
      <c r="Y13" s="880"/>
      <c r="Z13" s="881"/>
      <c r="AA13" s="881"/>
      <c r="AB13" s="881"/>
      <c r="AC13" s="881"/>
      <c r="AD13" s="59"/>
      <c r="AE13" s="1003"/>
      <c r="AF13" s="1003"/>
      <c r="AG13" s="1003"/>
      <c r="AH13" s="1003"/>
      <c r="AJ13" s="902"/>
      <c r="AK13" s="902"/>
      <c r="AL13" s="902"/>
      <c r="AM13" s="902"/>
      <c r="AN13" s="59"/>
      <c r="AO13" s="59"/>
      <c r="AP13" s="59"/>
      <c r="AQ13" s="59"/>
      <c r="AR13" s="59"/>
      <c r="AS13" s="59"/>
      <c r="AT13" s="59"/>
      <c r="AU13" s="59"/>
      <c r="AV13" s="59"/>
      <c r="AW13" s="59"/>
      <c r="AX13" s="59"/>
      <c r="AY13" s="59"/>
      <c r="AZ13" s="59"/>
      <c r="BA13" s="59"/>
      <c r="BB13" s="59"/>
      <c r="BC13" s="59"/>
      <c r="BD13" s="59"/>
      <c r="BE13" s="59"/>
      <c r="BF13" s="59"/>
      <c r="BG13" s="59"/>
      <c r="BH13" s="59"/>
      <c r="BI13" s="59"/>
      <c r="BJ13" s="59"/>
      <c r="BK13" s="59"/>
      <c r="BL13" s="59"/>
      <c r="BM13" s="59"/>
      <c r="BN13" s="59"/>
      <c r="BO13" s="59"/>
      <c r="BP13" s="59"/>
      <c r="BQ13" s="59"/>
      <c r="BR13" s="59"/>
      <c r="BS13" s="59"/>
      <c r="BT13" s="59"/>
      <c r="BU13" s="59"/>
      <c r="BV13" s="59"/>
      <c r="BW13" s="59"/>
      <c r="BX13" s="59"/>
      <c r="BY13" s="59"/>
      <c r="BZ13" s="59"/>
    </row>
    <row r="14" spans="2:78" ht="15.95" customHeight="1">
      <c r="B14" s="59"/>
      <c r="C14" s="809" t="s">
        <v>99</v>
      </c>
      <c r="D14" s="809"/>
      <c r="E14" s="809"/>
      <c r="F14" s="809"/>
      <c r="G14" s="809"/>
      <c r="H14" s="809"/>
      <c r="I14" s="809"/>
      <c r="J14" s="809"/>
      <c r="K14" s="809"/>
      <c r="L14" s="809"/>
      <c r="M14" s="809"/>
      <c r="N14" s="809" t="s">
        <v>103</v>
      </c>
      <c r="O14" s="809"/>
      <c r="P14" s="809"/>
      <c r="Q14" s="809"/>
      <c r="R14" s="809"/>
      <c r="S14" s="809"/>
      <c r="T14" s="809" t="s">
        <v>100</v>
      </c>
      <c r="U14" s="809"/>
      <c r="V14" s="809" t="s">
        <v>91</v>
      </c>
      <c r="W14" s="809"/>
      <c r="X14" s="809" t="s">
        <v>115</v>
      </c>
      <c r="Y14" s="809"/>
      <c r="Z14" s="809"/>
      <c r="AA14" s="809"/>
      <c r="AB14" s="809" t="s">
        <v>104</v>
      </c>
      <c r="AC14" s="809"/>
      <c r="AD14" s="809"/>
      <c r="AE14" s="809" t="s">
        <v>97</v>
      </c>
      <c r="AF14" s="809"/>
      <c r="AG14" s="809" t="s">
        <v>98</v>
      </c>
      <c r="AH14" s="809"/>
      <c r="AI14" s="809" t="s">
        <v>93</v>
      </c>
      <c r="AJ14" s="809"/>
      <c r="AK14" s="809" t="s">
        <v>92</v>
      </c>
      <c r="AL14" s="809"/>
      <c r="AM14" s="809"/>
      <c r="AN14" s="809" t="s">
        <v>108</v>
      </c>
      <c r="AO14" s="809"/>
      <c r="AP14" s="809"/>
      <c r="AQ14" s="809"/>
      <c r="AR14" s="59"/>
      <c r="AS14" s="59"/>
      <c r="AT14" s="59"/>
      <c r="AU14" s="809" t="s">
        <v>196</v>
      </c>
      <c r="AV14" s="809" t="s">
        <v>197</v>
      </c>
      <c r="AW14" s="809" t="s">
        <v>1924</v>
      </c>
      <c r="AX14" s="59"/>
      <c r="AY14" s="59"/>
      <c r="AZ14" s="59"/>
      <c r="BA14" s="59"/>
      <c r="BB14" s="59"/>
      <c r="BC14" s="809" t="s">
        <v>489</v>
      </c>
      <c r="BD14" s="59"/>
      <c r="BE14" s="809" t="s">
        <v>2016</v>
      </c>
      <c r="BF14" s="59"/>
      <c r="BG14" s="59"/>
      <c r="BH14" s="59"/>
      <c r="BI14" s="59"/>
      <c r="BJ14" s="59"/>
      <c r="BK14" s="59"/>
      <c r="BL14" s="59"/>
      <c r="BM14" s="59"/>
      <c r="BN14" s="59"/>
      <c r="BO14" s="59"/>
      <c r="BP14" s="59"/>
      <c r="BQ14" s="59"/>
      <c r="BR14" s="59"/>
      <c r="BS14" s="59"/>
      <c r="BT14" s="59"/>
      <c r="BU14" s="59"/>
      <c r="BV14" s="59"/>
      <c r="BW14" s="59"/>
      <c r="BX14" s="59"/>
      <c r="BY14" s="59"/>
      <c r="BZ14" s="59"/>
    </row>
    <row r="15" spans="2:78" ht="15.95" customHeight="1" thickBot="1">
      <c r="B15" s="59"/>
      <c r="C15" s="810"/>
      <c r="D15" s="810"/>
      <c r="E15" s="810"/>
      <c r="F15" s="810"/>
      <c r="G15" s="810"/>
      <c r="H15" s="810"/>
      <c r="I15" s="810"/>
      <c r="J15" s="810"/>
      <c r="K15" s="810"/>
      <c r="L15" s="810"/>
      <c r="M15" s="810"/>
      <c r="N15" s="810"/>
      <c r="O15" s="810"/>
      <c r="P15" s="810"/>
      <c r="Q15" s="810"/>
      <c r="R15" s="810"/>
      <c r="S15" s="810"/>
      <c r="T15" s="810"/>
      <c r="U15" s="810"/>
      <c r="V15" s="810"/>
      <c r="W15" s="810"/>
      <c r="X15" s="810"/>
      <c r="Y15" s="810"/>
      <c r="Z15" s="810"/>
      <c r="AA15" s="810"/>
      <c r="AB15" s="810"/>
      <c r="AC15" s="810"/>
      <c r="AD15" s="810"/>
      <c r="AE15" s="810"/>
      <c r="AF15" s="810"/>
      <c r="AG15" s="810"/>
      <c r="AH15" s="810"/>
      <c r="AI15" s="810"/>
      <c r="AJ15" s="810"/>
      <c r="AK15" s="810"/>
      <c r="AL15" s="810"/>
      <c r="AM15" s="810"/>
      <c r="AN15" s="810"/>
      <c r="AO15" s="810"/>
      <c r="AP15" s="810"/>
      <c r="AQ15" s="810"/>
      <c r="AR15" s="59"/>
      <c r="AS15" s="59"/>
      <c r="AT15" s="59"/>
      <c r="AU15" s="810"/>
      <c r="AV15" s="810"/>
      <c r="AW15" s="810"/>
      <c r="AX15" s="59"/>
      <c r="AY15" s="59"/>
      <c r="AZ15" s="59"/>
      <c r="BA15" s="59"/>
      <c r="BB15" s="59"/>
      <c r="BC15" s="810"/>
      <c r="BD15" s="59"/>
      <c r="BE15" s="810"/>
      <c r="BF15" s="59"/>
      <c r="BG15" s="59"/>
      <c r="BH15" s="59"/>
      <c r="BI15" s="59"/>
      <c r="BJ15" s="59"/>
      <c r="BK15" s="59"/>
      <c r="BL15" s="59"/>
      <c r="BM15" s="59"/>
      <c r="BN15" s="59"/>
      <c r="BO15" s="59"/>
      <c r="BP15" s="59"/>
      <c r="BQ15" s="59"/>
      <c r="BR15" s="59"/>
      <c r="BS15" s="59"/>
      <c r="BT15" s="59"/>
      <c r="BU15" s="59"/>
      <c r="BV15" s="59"/>
      <c r="BW15" s="59"/>
      <c r="BX15" s="59"/>
      <c r="BY15" s="59"/>
      <c r="BZ15" s="59"/>
    </row>
    <row r="16" spans="2:78" ht="15.95" customHeight="1">
      <c r="B16" s="835">
        <v>1</v>
      </c>
      <c r="C16" s="837"/>
      <c r="D16" s="838"/>
      <c r="E16" s="838"/>
      <c r="F16" s="838"/>
      <c r="G16" s="838"/>
      <c r="H16" s="838"/>
      <c r="I16" s="838"/>
      <c r="J16" s="838"/>
      <c r="K16" s="838"/>
      <c r="L16" s="838"/>
      <c r="M16" s="839"/>
      <c r="N16" s="914" t="str">
        <f>IFERROR(IF(C16="","",INDEX(PMEKITCHEN[Base Desc 1],MATCH(C16,PMEKITCHEN[Eff Desc 1],0))),"")</f>
        <v/>
      </c>
      <c r="O16" s="915"/>
      <c r="P16" s="915"/>
      <c r="Q16" s="915"/>
      <c r="R16" s="915"/>
      <c r="S16" s="916"/>
      <c r="T16" s="1010" t="str">
        <f>IFERROR(IF(C16="","",INDEX(PMEKITCHEN[Unit of Measure],MATCH(C16,PMEKITCHEN[Eff Desc 1],0))),"")</f>
        <v/>
      </c>
      <c r="U16" s="1011"/>
      <c r="V16" s="851"/>
      <c r="W16" s="852"/>
      <c r="X16" s="837"/>
      <c r="Y16" s="838"/>
      <c r="Z16" s="838"/>
      <c r="AA16" s="839"/>
      <c r="AB16" s="837"/>
      <c r="AC16" s="838"/>
      <c r="AD16" s="839"/>
      <c r="AE16" s="863"/>
      <c r="AF16" s="874"/>
      <c r="AG16" s="863"/>
      <c r="AH16" s="874"/>
      <c r="AI16" s="923" t="str">
        <f>IFERROR(IF(C16="","",INDEX(PMEKITCHEN[Inc Rate Unit],MATCH(C16,PMEKITCHEN[Eff Desc 1],0))),"")</f>
        <v/>
      </c>
      <c r="AJ16" s="924"/>
      <c r="AK16" s="910" t="str">
        <f>IF(OR(C16="",V16="",X16="",AB16="",AE16="",AG16=""),"",ROUND(V16*INDEX(PMEKITCHEN[Savings per Unit kWh],MATCH(C16,PMEKITCHEN[Eff Desc 1],2)),0))</f>
        <v/>
      </c>
      <c r="AL16" s="911"/>
      <c r="AM16" s="911"/>
      <c r="AN16" s="820" t="str">
        <f>IF(OR(C16="",V16="",X16="",AB16="",AE16="",AG16=""),"",IF(BC16&lt;&gt;"",BC16,MIN(AU16,ROUND(V16*AI16,2))))</f>
        <v/>
      </c>
      <c r="AO16" s="821"/>
      <c r="AP16" s="821"/>
      <c r="AQ16" s="822"/>
      <c r="AR16" s="59"/>
      <c r="AS16" s="59"/>
      <c r="AT16" s="59"/>
      <c r="AU16" s="813" t="str">
        <f>IF(OR(,V16="",X16="",AB16="",AE16="",AG16=""),"",ROUND((AE16+AG16)*V16,2))</f>
        <v/>
      </c>
      <c r="AV16" s="928" t="str">
        <f>IF(OR(C16="",V16="",X16="",AB16="",AE16="",AG16=""),"",ROUND((V16*INDEX(PMEKITCHEN[Savings per Unit kW],MATCH(C16,PMEKITCHEN[Eff Desc 1],0)))*INDEX(ENDUSEALL[Lighting Coincidence Factor],MATCH("Commercial Cooking",ENDUSEALL[End Use],0)),3))</f>
        <v/>
      </c>
      <c r="AW16" s="1019"/>
      <c r="AX16" s="59"/>
      <c r="AY16" s="59"/>
      <c r="AZ16" s="59"/>
      <c r="BA16" s="59"/>
      <c r="BB16" s="59"/>
      <c r="BC16" s="830" t="str">
        <f>IF(OR(N16="",T16="",C16="",V16="",X16="",AB16="",AE16="",AG16=""),"",IF(OR(ISBLANK(M02S02F26),ISBLANK(M02S02F32),ISBLANK(M02S02F46)),MEASUREBLDG,""))</f>
        <v/>
      </c>
      <c r="BD16" s="59"/>
      <c r="BE16" s="811" t="str">
        <f ca="1">IF(OR(T16="",N16="",C16="",V16="",X16="",AB16="",AE16="",AG16=""),"",IF('M01-S01'!$V$82&lt;TODAY(),0,IF(M02S02F46="Gas Only",0,IF(OR(AK16="",AK16&lt;0,AU16&lt;=AN16),0,MIN(AU16-AN16,ROUND(AN16*0.2,2))))))</f>
        <v/>
      </c>
      <c r="BF16" s="811"/>
      <c r="BG16" s="59"/>
      <c r="BH16" s="59"/>
      <c r="BI16" s="59"/>
      <c r="BJ16" s="59"/>
      <c r="BK16" s="59"/>
      <c r="BL16" s="59"/>
      <c r="BM16" s="59"/>
      <c r="BN16" s="59"/>
      <c r="BO16" s="59"/>
      <c r="BP16" s="59"/>
      <c r="BQ16" s="59"/>
      <c r="BR16" s="59"/>
      <c r="BS16" s="59"/>
      <c r="BT16" s="59"/>
      <c r="BU16" s="59"/>
      <c r="BV16" s="59"/>
      <c r="BW16" s="59"/>
      <c r="BX16" s="59"/>
      <c r="BY16" s="59"/>
      <c r="BZ16" s="59"/>
    </row>
    <row r="17" spans="2:78" ht="15.95" customHeight="1">
      <c r="B17" s="835"/>
      <c r="C17" s="840"/>
      <c r="D17" s="841"/>
      <c r="E17" s="841"/>
      <c r="F17" s="841"/>
      <c r="G17" s="841"/>
      <c r="H17" s="841"/>
      <c r="I17" s="841"/>
      <c r="J17" s="841"/>
      <c r="K17" s="841"/>
      <c r="L17" s="841"/>
      <c r="M17" s="842"/>
      <c r="N17" s="917"/>
      <c r="O17" s="918"/>
      <c r="P17" s="918"/>
      <c r="Q17" s="918"/>
      <c r="R17" s="918"/>
      <c r="S17" s="919"/>
      <c r="T17" s="1012"/>
      <c r="U17" s="1013"/>
      <c r="V17" s="853"/>
      <c r="W17" s="854"/>
      <c r="X17" s="840"/>
      <c r="Y17" s="841"/>
      <c r="Z17" s="841"/>
      <c r="AA17" s="842"/>
      <c r="AB17" s="840"/>
      <c r="AC17" s="841"/>
      <c r="AD17" s="842"/>
      <c r="AE17" s="865"/>
      <c r="AF17" s="875"/>
      <c r="AG17" s="865"/>
      <c r="AH17" s="875"/>
      <c r="AI17" s="925"/>
      <c r="AJ17" s="870"/>
      <c r="AK17" s="912"/>
      <c r="AL17" s="913"/>
      <c r="AM17" s="913"/>
      <c r="AN17" s="823"/>
      <c r="AO17" s="824"/>
      <c r="AP17" s="824"/>
      <c r="AQ17" s="825"/>
      <c r="AR17" s="59"/>
      <c r="AS17" s="59"/>
      <c r="AT17" s="59"/>
      <c r="AU17" s="814"/>
      <c r="AV17" s="907"/>
      <c r="AW17" s="981"/>
      <c r="AX17" s="59"/>
      <c r="AY17" s="59"/>
      <c r="AZ17" s="59"/>
      <c r="BA17" s="59"/>
      <c r="BB17" s="59"/>
      <c r="BC17" s="831"/>
      <c r="BD17" s="59"/>
      <c r="BE17" s="812"/>
      <c r="BF17" s="812"/>
      <c r="BG17" s="59"/>
      <c r="BH17" s="59"/>
      <c r="BI17" s="59"/>
      <c r="BJ17" s="59"/>
      <c r="BK17" s="59"/>
      <c r="BL17" s="59"/>
      <c r="BM17" s="59"/>
      <c r="BN17" s="59"/>
      <c r="BO17" s="59"/>
      <c r="BP17" s="59"/>
      <c r="BQ17" s="59"/>
      <c r="BR17" s="59"/>
      <c r="BS17" s="59"/>
      <c r="BT17" s="59"/>
      <c r="BU17" s="59"/>
      <c r="BV17" s="59"/>
      <c r="BW17" s="59"/>
      <c r="BX17" s="59"/>
      <c r="BY17" s="59"/>
      <c r="BZ17" s="59"/>
    </row>
    <row r="18" spans="2:78" ht="15.95" customHeight="1">
      <c r="B18" s="834">
        <v>2</v>
      </c>
      <c r="C18" s="837"/>
      <c r="D18" s="838"/>
      <c r="E18" s="838"/>
      <c r="F18" s="838"/>
      <c r="G18" s="838"/>
      <c r="H18" s="838"/>
      <c r="I18" s="838"/>
      <c r="J18" s="838"/>
      <c r="K18" s="838"/>
      <c r="L18" s="838"/>
      <c r="M18" s="839"/>
      <c r="N18" s="914" t="str">
        <f>IFERROR(IF(C18="","",INDEX(PMEKITCHEN[Base Desc 1],MATCH(C18,PMEKITCHEN[Eff Desc 1],0))),"")</f>
        <v/>
      </c>
      <c r="O18" s="915"/>
      <c r="P18" s="915"/>
      <c r="Q18" s="915"/>
      <c r="R18" s="915"/>
      <c r="S18" s="916"/>
      <c r="T18" s="1010" t="str">
        <f>IFERROR(IF(C18="","",INDEX(PMEKITCHEN[Unit of Measure],MATCH(C18,PMEKITCHEN[Eff Desc 1],0))),"")</f>
        <v/>
      </c>
      <c r="U18" s="1011"/>
      <c r="V18" s="851"/>
      <c r="W18" s="852"/>
      <c r="X18" s="837"/>
      <c r="Y18" s="838"/>
      <c r="Z18" s="838"/>
      <c r="AA18" s="839"/>
      <c r="AB18" s="837"/>
      <c r="AC18" s="838"/>
      <c r="AD18" s="839"/>
      <c r="AE18" s="863"/>
      <c r="AF18" s="874"/>
      <c r="AG18" s="863"/>
      <c r="AH18" s="874"/>
      <c r="AI18" s="923" t="str">
        <f>IFERROR(IF(C18="","",INDEX(PMEKITCHEN[Inc Rate Unit],MATCH(C18,PMEKITCHEN[Eff Desc 1],0))),"")</f>
        <v/>
      </c>
      <c r="AJ18" s="924"/>
      <c r="AK18" s="910" t="str">
        <f>IF(OR(C18="",V18="",X18="",AB18="",AE18="",AG18=""),"",ROUND(V18*INDEX(PMEKITCHEN[Savings per Unit kWh],MATCH(C18,PMEKITCHEN[Eff Desc 1],2)),0))</f>
        <v/>
      </c>
      <c r="AL18" s="911"/>
      <c r="AM18" s="975"/>
      <c r="AN18" s="820" t="str">
        <f>IF(OR(C18="",V18="",X18="",AB18="",AE18="",AG18=""),"",IF(BC18&lt;&gt;"",BC18,MIN(AU18,ROUND(V18*AI18,2))))</f>
        <v/>
      </c>
      <c r="AO18" s="821"/>
      <c r="AP18" s="821"/>
      <c r="AQ18" s="822"/>
      <c r="AR18" s="59"/>
      <c r="AS18" s="59"/>
      <c r="AT18" s="59"/>
      <c r="AU18" s="813" t="str">
        <f>IF(OR(,V18="",X18="",AB18="",AE18="",AG18=""),"",ROUND((AE18+AG18)*V18,2))</f>
        <v/>
      </c>
      <c r="AV18" s="928" t="str">
        <f>IF(OR(C18="",V18="",X18="",AB18="",AE18="",AG18=""),"",ROUND((V18*INDEX(PMEKITCHEN[Savings per Unit kW],MATCH(C18,PMEKITCHEN[Eff Desc 1],0)))*INDEX(ENDUSEALL[Lighting Coincidence Factor],MATCH("Commercial Cooking",ENDUSEALL[End Use],0)),3))</f>
        <v/>
      </c>
      <c r="AW18" s="980"/>
      <c r="AX18" s="59"/>
      <c r="AY18" s="59"/>
      <c r="AZ18" s="59"/>
      <c r="BA18" s="59"/>
      <c r="BB18" s="59"/>
      <c r="BC18" s="830" t="str">
        <f>IF(OR(N18="",T18="",C18="",V18="",X18="",AB18="",AE18="",AG18=""),"",IF(OR(ISBLANK(M02S02F26),ISBLANK(M02S02F32),ISBLANK(M02S02F46)),MEASUREBLDG,""))</f>
        <v/>
      </c>
      <c r="BD18" s="59"/>
      <c r="BE18" s="811" t="str">
        <f ca="1">IF(OR(T18="",N18="",C18="",V18="",X18="",AB18="",AE18="",AG18=""),"",IF('M01-S01'!$V$82&lt;TODAY(),0,IF(M02S02F46="Gas Only",0,IF(OR(AK18="",AK18&lt;0,AU18&lt;=AN18),0,MIN(AU18-AN18,ROUND(AN18*0.2,2))))))</f>
        <v/>
      </c>
      <c r="BF18" s="811"/>
      <c r="BG18" s="59"/>
      <c r="BH18" s="59"/>
      <c r="BI18" s="59"/>
      <c r="BJ18" s="59"/>
      <c r="BK18" s="59"/>
      <c r="BL18" s="59"/>
      <c r="BM18" s="59"/>
      <c r="BN18" s="59"/>
      <c r="BO18" s="59"/>
      <c r="BP18" s="59"/>
      <c r="BQ18" s="59"/>
      <c r="BR18" s="59"/>
      <c r="BS18" s="59"/>
      <c r="BT18" s="59"/>
      <c r="BU18" s="59"/>
      <c r="BV18" s="59"/>
      <c r="BW18" s="59"/>
      <c r="BX18" s="59"/>
      <c r="BY18" s="59"/>
      <c r="BZ18" s="59"/>
    </row>
    <row r="19" spans="2:78" ht="15.95" customHeight="1">
      <c r="B19" s="834"/>
      <c r="C19" s="840"/>
      <c r="D19" s="841"/>
      <c r="E19" s="841"/>
      <c r="F19" s="841"/>
      <c r="G19" s="841"/>
      <c r="H19" s="841"/>
      <c r="I19" s="841"/>
      <c r="J19" s="841"/>
      <c r="K19" s="841"/>
      <c r="L19" s="841"/>
      <c r="M19" s="842"/>
      <c r="N19" s="917"/>
      <c r="O19" s="918"/>
      <c r="P19" s="918"/>
      <c r="Q19" s="918"/>
      <c r="R19" s="918"/>
      <c r="S19" s="919"/>
      <c r="T19" s="1012"/>
      <c r="U19" s="1013"/>
      <c r="V19" s="853"/>
      <c r="W19" s="854"/>
      <c r="X19" s="840"/>
      <c r="Y19" s="841"/>
      <c r="Z19" s="841"/>
      <c r="AA19" s="842"/>
      <c r="AB19" s="840"/>
      <c r="AC19" s="841"/>
      <c r="AD19" s="842"/>
      <c r="AE19" s="865"/>
      <c r="AF19" s="875"/>
      <c r="AG19" s="865"/>
      <c r="AH19" s="875"/>
      <c r="AI19" s="925"/>
      <c r="AJ19" s="870"/>
      <c r="AK19" s="912"/>
      <c r="AL19" s="913"/>
      <c r="AM19" s="942"/>
      <c r="AN19" s="823"/>
      <c r="AO19" s="824"/>
      <c r="AP19" s="824"/>
      <c r="AQ19" s="825"/>
      <c r="AR19" s="59"/>
      <c r="AS19" s="59"/>
      <c r="AT19" s="59"/>
      <c r="AU19" s="814"/>
      <c r="AV19" s="907"/>
      <c r="AW19" s="981"/>
      <c r="AX19" s="59"/>
      <c r="AY19" s="59"/>
      <c r="AZ19" s="59"/>
      <c r="BA19" s="59"/>
      <c r="BB19" s="59"/>
      <c r="BC19" s="831"/>
      <c r="BD19" s="59"/>
      <c r="BE19" s="812"/>
      <c r="BF19" s="812"/>
      <c r="BG19" s="59"/>
      <c r="BH19" s="59"/>
      <c r="BI19" s="59"/>
      <c r="BJ19" s="59"/>
      <c r="BK19" s="59"/>
      <c r="BL19" s="59"/>
      <c r="BM19" s="59"/>
      <c r="BN19" s="59"/>
      <c r="BO19" s="59"/>
      <c r="BP19" s="59"/>
      <c r="BQ19" s="59"/>
      <c r="BR19" s="59"/>
      <c r="BS19" s="59"/>
      <c r="BT19" s="59"/>
      <c r="BU19" s="59"/>
      <c r="BV19" s="59"/>
      <c r="BW19" s="59"/>
      <c r="BX19" s="59"/>
      <c r="BY19" s="59"/>
      <c r="BZ19" s="59"/>
    </row>
    <row r="20" spans="2:78" ht="15.95" customHeight="1">
      <c r="B20" s="834">
        <v>3</v>
      </c>
      <c r="C20" s="837"/>
      <c r="D20" s="838"/>
      <c r="E20" s="838"/>
      <c r="F20" s="838"/>
      <c r="G20" s="838"/>
      <c r="H20" s="838"/>
      <c r="I20" s="838"/>
      <c r="J20" s="838"/>
      <c r="K20" s="838"/>
      <c r="L20" s="838"/>
      <c r="M20" s="839"/>
      <c r="N20" s="914" t="str">
        <f>IFERROR(IF(C20="","",INDEX(PMEKITCHEN[Base Desc 1],MATCH(C20,PMEKITCHEN[Eff Desc 1],0))),"")</f>
        <v/>
      </c>
      <c r="O20" s="915"/>
      <c r="P20" s="915"/>
      <c r="Q20" s="915"/>
      <c r="R20" s="915"/>
      <c r="S20" s="916"/>
      <c r="T20" s="1010" t="str">
        <f>IFERROR(IF(C20="","",INDEX(PMEKITCHEN[Unit of Measure],MATCH(C20,PMEKITCHEN[Eff Desc 1],0))),"")</f>
        <v/>
      </c>
      <c r="U20" s="1011"/>
      <c r="V20" s="851"/>
      <c r="W20" s="852"/>
      <c r="X20" s="837"/>
      <c r="Y20" s="838"/>
      <c r="Z20" s="838"/>
      <c r="AA20" s="839"/>
      <c r="AB20" s="837"/>
      <c r="AC20" s="838"/>
      <c r="AD20" s="839"/>
      <c r="AE20" s="863"/>
      <c r="AF20" s="874"/>
      <c r="AG20" s="863"/>
      <c r="AH20" s="874"/>
      <c r="AI20" s="923" t="str">
        <f>IFERROR(IF(C20="","",INDEX(PMEKITCHEN[Inc Rate Unit],MATCH(C20,PMEKITCHEN[Eff Desc 1],0))),"")</f>
        <v/>
      </c>
      <c r="AJ20" s="924"/>
      <c r="AK20" s="910" t="str">
        <f>IF(OR(C20="",V20="",X20="",AB20="",AE20="",AG20=""),"",ROUND(V20*INDEX(PMEKITCHEN[Savings per Unit kWh],MATCH(C20,PMEKITCHEN[Eff Desc 1],2)),0))</f>
        <v/>
      </c>
      <c r="AL20" s="911"/>
      <c r="AM20" s="975"/>
      <c r="AN20" s="820" t="str">
        <f t="shared" ref="AN20" si="0">IF(OR(C20="",V20="",X20="",AB20="",AE20="",AG20=""),"",IF(BC20&lt;&gt;"",BC20,MIN(AU20,ROUND(V20*AI20,2))))</f>
        <v/>
      </c>
      <c r="AO20" s="821"/>
      <c r="AP20" s="821"/>
      <c r="AQ20" s="822"/>
      <c r="AR20" s="59"/>
      <c r="AS20" s="59"/>
      <c r="AT20" s="59"/>
      <c r="AU20" s="813" t="str">
        <f>IF(OR(,V20="",X20="",AB20="",AE20="",AG20=""),"",ROUND((AE20+AG20)*V20,2))</f>
        <v/>
      </c>
      <c r="AV20" s="928" t="str">
        <f>IF(OR(C20="",V20="",X20="",AB20="",AE20="",AG20=""),"",ROUND((V20*INDEX(PMEKITCHEN[Savings per Unit kW],MATCH(C20,PMEKITCHEN[Eff Desc 1],0)))*INDEX(ENDUSEALL[Lighting Coincidence Factor],MATCH("Commercial Cooking",ENDUSEALL[End Use],0)),3))</f>
        <v/>
      </c>
      <c r="AW20" s="980"/>
      <c r="AX20" s="59"/>
      <c r="AY20" s="59"/>
      <c r="AZ20" s="59"/>
      <c r="BA20" s="59"/>
      <c r="BB20" s="59"/>
      <c r="BC20" s="830" t="str">
        <f>IF(OR(N20="",T20="",C20="",V20="",X20="",AB20="",AE20="",AG20=""),"",IF(OR(ISBLANK(M02S02F26),ISBLANK(M02S02F32),ISBLANK(M02S02F46)),MEASUREBLDG,""))</f>
        <v/>
      </c>
      <c r="BD20" s="59"/>
      <c r="BE20" s="811" t="str">
        <f ca="1">IF(OR(T20="",N20="",C20="",V20="",X20="",AB20="",AE20="",AG20=""),"",IF('M01-S01'!$V$82&lt;TODAY(),0,IF(M02S02F46="Gas Only",0,IF(OR(AK20="",AK20&lt;0,AU20&lt;=AN20),0,MIN(AU20-AN20,ROUND(AN20*0.2,2))))))</f>
        <v/>
      </c>
      <c r="BF20" s="811"/>
      <c r="BG20" s="59"/>
      <c r="BH20" s="59"/>
      <c r="BI20" s="59"/>
      <c r="BJ20" s="59"/>
      <c r="BK20" s="59"/>
      <c r="BL20" s="59"/>
      <c r="BM20" s="59"/>
      <c r="BN20" s="59"/>
      <c r="BO20" s="59"/>
      <c r="BP20" s="59"/>
      <c r="BQ20" s="59"/>
      <c r="BR20" s="59"/>
      <c r="BS20" s="59"/>
      <c r="BT20" s="59"/>
      <c r="BU20" s="59"/>
      <c r="BV20" s="59"/>
      <c r="BW20" s="59"/>
      <c r="BX20" s="59"/>
      <c r="BY20" s="59"/>
      <c r="BZ20" s="59"/>
    </row>
    <row r="21" spans="2:78" ht="15.95" customHeight="1">
      <c r="B21" s="834"/>
      <c r="C21" s="840"/>
      <c r="D21" s="841"/>
      <c r="E21" s="841"/>
      <c r="F21" s="841"/>
      <c r="G21" s="841"/>
      <c r="H21" s="841"/>
      <c r="I21" s="841"/>
      <c r="J21" s="841"/>
      <c r="K21" s="841"/>
      <c r="L21" s="841"/>
      <c r="M21" s="842"/>
      <c r="N21" s="917"/>
      <c r="O21" s="918"/>
      <c r="P21" s="918"/>
      <c r="Q21" s="918"/>
      <c r="R21" s="918"/>
      <c r="S21" s="919"/>
      <c r="T21" s="1012"/>
      <c r="U21" s="1013"/>
      <c r="V21" s="853"/>
      <c r="W21" s="854"/>
      <c r="X21" s="840"/>
      <c r="Y21" s="841"/>
      <c r="Z21" s="841"/>
      <c r="AA21" s="842"/>
      <c r="AB21" s="840"/>
      <c r="AC21" s="841"/>
      <c r="AD21" s="842"/>
      <c r="AE21" s="865"/>
      <c r="AF21" s="875"/>
      <c r="AG21" s="865"/>
      <c r="AH21" s="875"/>
      <c r="AI21" s="925"/>
      <c r="AJ21" s="870"/>
      <c r="AK21" s="912"/>
      <c r="AL21" s="913"/>
      <c r="AM21" s="942"/>
      <c r="AN21" s="823"/>
      <c r="AO21" s="824"/>
      <c r="AP21" s="824"/>
      <c r="AQ21" s="825"/>
      <c r="AR21" s="59"/>
      <c r="AS21" s="59"/>
      <c r="AT21" s="59"/>
      <c r="AU21" s="814"/>
      <c r="AV21" s="907"/>
      <c r="AW21" s="981"/>
      <c r="AX21" s="59"/>
      <c r="AY21" s="59"/>
      <c r="AZ21" s="59"/>
      <c r="BA21" s="59"/>
      <c r="BB21" s="59"/>
      <c r="BC21" s="831"/>
      <c r="BD21" s="59"/>
      <c r="BE21" s="812"/>
      <c r="BF21" s="812"/>
      <c r="BG21" s="59"/>
      <c r="BH21" s="59"/>
      <c r="BI21" s="59"/>
      <c r="BJ21" s="59"/>
      <c r="BK21" s="59"/>
      <c r="BL21" s="59"/>
      <c r="BM21" s="59"/>
      <c r="BN21" s="59"/>
      <c r="BO21" s="59"/>
      <c r="BP21" s="59"/>
      <c r="BQ21" s="59"/>
      <c r="BR21" s="59"/>
      <c r="BS21" s="59"/>
      <c r="BT21" s="59"/>
      <c r="BU21" s="59"/>
      <c r="BV21" s="59"/>
      <c r="BW21" s="59"/>
      <c r="BX21" s="59"/>
      <c r="BY21" s="59"/>
      <c r="BZ21" s="59"/>
    </row>
    <row r="22" spans="2:78" ht="15.95" customHeight="1">
      <c r="B22" s="834">
        <v>4</v>
      </c>
      <c r="C22" s="837"/>
      <c r="D22" s="838"/>
      <c r="E22" s="838"/>
      <c r="F22" s="838"/>
      <c r="G22" s="838"/>
      <c r="H22" s="838"/>
      <c r="I22" s="838"/>
      <c r="J22" s="838"/>
      <c r="K22" s="838"/>
      <c r="L22" s="838"/>
      <c r="M22" s="839"/>
      <c r="N22" s="914" t="str">
        <f>IFERROR(IF(C22="","",INDEX(PMEKITCHEN[Base Desc 1],MATCH(C22,PMEKITCHEN[Eff Desc 1],0))),"")</f>
        <v/>
      </c>
      <c r="O22" s="915"/>
      <c r="P22" s="915"/>
      <c r="Q22" s="915"/>
      <c r="R22" s="915"/>
      <c r="S22" s="916"/>
      <c r="T22" s="1010" t="str">
        <f>IFERROR(IF(C22="","",INDEX(PMEKITCHEN[Unit of Measure],MATCH(C22,PMEKITCHEN[Eff Desc 1],0))),"")</f>
        <v/>
      </c>
      <c r="U22" s="1011"/>
      <c r="V22" s="851"/>
      <c r="W22" s="852"/>
      <c r="X22" s="837"/>
      <c r="Y22" s="838"/>
      <c r="Z22" s="838"/>
      <c r="AA22" s="839"/>
      <c r="AB22" s="837"/>
      <c r="AC22" s="838"/>
      <c r="AD22" s="839"/>
      <c r="AE22" s="863"/>
      <c r="AF22" s="874"/>
      <c r="AG22" s="863"/>
      <c r="AH22" s="874"/>
      <c r="AI22" s="923" t="str">
        <f>IFERROR(IF(C22="","",INDEX(PMEKITCHEN[Inc Rate Unit],MATCH(C22,PMEKITCHEN[Eff Desc 1],0))),"")</f>
        <v/>
      </c>
      <c r="AJ22" s="924"/>
      <c r="AK22" s="910" t="str">
        <f>IF(OR(C22="",V22="",X22="",AB22="",AE22="",AG22=""),"",ROUND(V22*INDEX(PMEKITCHEN[Savings per Unit kWh],MATCH(C22,PMEKITCHEN[Eff Desc 1],2)),0))</f>
        <v/>
      </c>
      <c r="AL22" s="911"/>
      <c r="AM22" s="975"/>
      <c r="AN22" s="820" t="str">
        <f t="shared" ref="AN22" si="1">IF(OR(C22="",V22="",X22="",AB22="",AE22="",AG22=""),"",IF(BC22&lt;&gt;"",BC22,MIN(AU22,ROUND(V22*AI22,2))))</f>
        <v/>
      </c>
      <c r="AO22" s="821"/>
      <c r="AP22" s="821"/>
      <c r="AQ22" s="822"/>
      <c r="AR22" s="59"/>
      <c r="AS22" s="59"/>
      <c r="AT22" s="59"/>
      <c r="AU22" s="813" t="str">
        <f>IF(OR(,V22="",X22="",AB22="",AE22="",AG22=""),"",ROUND((AE22+AG22)*V22,2))</f>
        <v/>
      </c>
      <c r="AV22" s="928" t="str">
        <f>IF(OR(C22="",V22="",X22="",AB22="",AE22="",AG22=""),"",ROUND((V22*INDEX(PMEKITCHEN[Savings per Unit kW],MATCH(C22,PMEKITCHEN[Eff Desc 1],0)))*INDEX(ENDUSEALL[Lighting Coincidence Factor],MATCH("Commercial Cooking",ENDUSEALL[End Use],0)),3))</f>
        <v/>
      </c>
      <c r="AW22" s="980"/>
      <c r="AX22" s="59"/>
      <c r="AY22" s="59"/>
      <c r="AZ22" s="59"/>
      <c r="BA22" s="59"/>
      <c r="BB22" s="59"/>
      <c r="BC22" s="830" t="str">
        <f>IF(OR(N22="",T22="",C22="",V22="",X22="",AB22="",AE22="",AG22=""),"",IF(OR(ISBLANK(M02S02F26),ISBLANK(M02S02F32),ISBLANK(M02S02F46)),MEASUREBLDG,""))</f>
        <v/>
      </c>
      <c r="BD22" s="59"/>
      <c r="BE22" s="811" t="str">
        <f ca="1">IF(OR(T22="",N22="",C22="",V22="",X22="",AB22="",AE22="",AG22=""),"",IF('M01-S01'!$V$82&lt;TODAY(),0,IF(M02S02F46="Gas Only",0,IF(OR(AK22="",AK22&lt;0,AU22&lt;=AN22),0,MIN(AU22-AN22,ROUND(AN22*0.2,2))))))</f>
        <v/>
      </c>
      <c r="BF22" s="811"/>
      <c r="BG22" s="59"/>
      <c r="BH22" s="59"/>
      <c r="BI22" s="59"/>
      <c r="BJ22" s="59"/>
      <c r="BK22" s="59"/>
      <c r="BL22" s="59"/>
      <c r="BM22" s="59"/>
      <c r="BN22" s="59"/>
      <c r="BO22" s="59"/>
      <c r="BP22" s="59"/>
      <c r="BQ22" s="59"/>
      <c r="BR22" s="59"/>
      <c r="BS22" s="59"/>
      <c r="BT22" s="59"/>
      <c r="BU22" s="59"/>
      <c r="BV22" s="59"/>
      <c r="BW22" s="59"/>
      <c r="BX22" s="59"/>
      <c r="BY22" s="59"/>
      <c r="BZ22" s="59"/>
    </row>
    <row r="23" spans="2:78" ht="15.95" customHeight="1">
      <c r="B23" s="834"/>
      <c r="C23" s="840"/>
      <c r="D23" s="841"/>
      <c r="E23" s="841"/>
      <c r="F23" s="841"/>
      <c r="G23" s="841"/>
      <c r="H23" s="841"/>
      <c r="I23" s="841"/>
      <c r="J23" s="841"/>
      <c r="K23" s="841"/>
      <c r="L23" s="841"/>
      <c r="M23" s="842"/>
      <c r="N23" s="917"/>
      <c r="O23" s="918"/>
      <c r="P23" s="918"/>
      <c r="Q23" s="918"/>
      <c r="R23" s="918"/>
      <c r="S23" s="919"/>
      <c r="T23" s="1012"/>
      <c r="U23" s="1013"/>
      <c r="V23" s="853"/>
      <c r="W23" s="854"/>
      <c r="X23" s="840"/>
      <c r="Y23" s="841"/>
      <c r="Z23" s="841"/>
      <c r="AA23" s="842"/>
      <c r="AB23" s="840"/>
      <c r="AC23" s="841"/>
      <c r="AD23" s="842"/>
      <c r="AE23" s="865"/>
      <c r="AF23" s="875"/>
      <c r="AG23" s="865"/>
      <c r="AH23" s="875"/>
      <c r="AI23" s="925"/>
      <c r="AJ23" s="870"/>
      <c r="AK23" s="912"/>
      <c r="AL23" s="913"/>
      <c r="AM23" s="942"/>
      <c r="AN23" s="823"/>
      <c r="AO23" s="824"/>
      <c r="AP23" s="824"/>
      <c r="AQ23" s="825"/>
      <c r="AR23" s="59"/>
      <c r="AS23" s="59"/>
      <c r="AT23" s="59"/>
      <c r="AU23" s="814"/>
      <c r="AV23" s="907"/>
      <c r="AW23" s="981"/>
      <c r="AX23" s="59"/>
      <c r="AY23" s="59"/>
      <c r="AZ23" s="59"/>
      <c r="BA23" s="59"/>
      <c r="BB23" s="59"/>
      <c r="BC23" s="831"/>
      <c r="BD23" s="59"/>
      <c r="BE23" s="812"/>
      <c r="BF23" s="812"/>
      <c r="BG23" s="59"/>
      <c r="BH23" s="59"/>
      <c r="BI23" s="59"/>
      <c r="BJ23" s="59"/>
      <c r="BK23" s="59"/>
      <c r="BL23" s="59"/>
      <c r="BM23" s="59"/>
      <c r="BN23" s="59"/>
      <c r="BO23" s="59"/>
      <c r="BP23" s="59"/>
      <c r="BQ23" s="59"/>
      <c r="BR23" s="59"/>
      <c r="BS23" s="59"/>
      <c r="BT23" s="59"/>
      <c r="BU23" s="59"/>
      <c r="BV23" s="59"/>
      <c r="BW23" s="59"/>
      <c r="BX23" s="59"/>
      <c r="BY23" s="59"/>
      <c r="BZ23" s="59"/>
    </row>
    <row r="24" spans="2:78" ht="15.95" customHeight="1">
      <c r="B24" s="834">
        <v>5</v>
      </c>
      <c r="C24" s="837"/>
      <c r="D24" s="838"/>
      <c r="E24" s="838"/>
      <c r="F24" s="838"/>
      <c r="G24" s="838"/>
      <c r="H24" s="838"/>
      <c r="I24" s="838"/>
      <c r="J24" s="838"/>
      <c r="K24" s="838"/>
      <c r="L24" s="838"/>
      <c r="M24" s="839"/>
      <c r="N24" s="914" t="str">
        <f>IFERROR(IF(C24="","",INDEX(PMEKITCHEN[Base Desc 1],MATCH(C24,PMEKITCHEN[Eff Desc 1],0))),"")</f>
        <v/>
      </c>
      <c r="O24" s="915"/>
      <c r="P24" s="915"/>
      <c r="Q24" s="915"/>
      <c r="R24" s="915"/>
      <c r="S24" s="916"/>
      <c r="T24" s="1010" t="str">
        <f>IFERROR(IF(C24="","",INDEX(PMEKITCHEN[Unit of Measure],MATCH(C24,PMEKITCHEN[Eff Desc 1],0))),"")</f>
        <v/>
      </c>
      <c r="U24" s="1011"/>
      <c r="V24" s="851"/>
      <c r="W24" s="852"/>
      <c r="X24" s="837"/>
      <c r="Y24" s="838"/>
      <c r="Z24" s="838"/>
      <c r="AA24" s="839"/>
      <c r="AB24" s="837"/>
      <c r="AC24" s="838"/>
      <c r="AD24" s="839"/>
      <c r="AE24" s="863"/>
      <c r="AF24" s="874"/>
      <c r="AG24" s="863"/>
      <c r="AH24" s="874"/>
      <c r="AI24" s="923" t="str">
        <f>IFERROR(IF(C24="","",INDEX(PMEKITCHEN[Inc Rate Unit],MATCH(C24,PMEKITCHEN[Eff Desc 1],0))),"")</f>
        <v/>
      </c>
      <c r="AJ24" s="924"/>
      <c r="AK24" s="910" t="str">
        <f>IF(OR(C24="",V24="",X24="",AB24="",AE24="",AG24=""),"",ROUND(V24*INDEX(PMEKITCHEN[Savings per Unit kWh],MATCH(C24,PMEKITCHEN[Eff Desc 1],2)),0))</f>
        <v/>
      </c>
      <c r="AL24" s="911"/>
      <c r="AM24" s="975"/>
      <c r="AN24" s="820" t="str">
        <f t="shared" ref="AN24" si="2">IF(OR(C24="",V24="",X24="",AB24="",AE24="",AG24=""),"",IF(BC24&lt;&gt;"",BC24,MIN(AU24,ROUND(V24*AI24,2))))</f>
        <v/>
      </c>
      <c r="AO24" s="821"/>
      <c r="AP24" s="821"/>
      <c r="AQ24" s="822"/>
      <c r="AR24" s="59"/>
      <c r="AS24" s="59"/>
      <c r="AT24" s="59"/>
      <c r="AU24" s="813" t="str">
        <f>IF(OR(,V24="",X24="",AB24="",AE24="",AG24=""),"",ROUND((AE24+AG24)*V24,2))</f>
        <v/>
      </c>
      <c r="AV24" s="928" t="str">
        <f>IF(OR(C24="",V24="",X24="",AB24="",AE24="",AG24=""),"",ROUND((V24*INDEX(PMEKITCHEN[Savings per Unit kW],MATCH(C24,PMEKITCHEN[Eff Desc 1],0)))*INDEX(ENDUSEALL[Lighting Coincidence Factor],MATCH("Commercial Cooking",ENDUSEALL[End Use],0)),3))</f>
        <v/>
      </c>
      <c r="AW24" s="980"/>
      <c r="AX24" s="59"/>
      <c r="AY24" s="59"/>
      <c r="AZ24" s="59"/>
      <c r="BA24" s="59"/>
      <c r="BB24" s="59"/>
      <c r="BC24" s="830" t="str">
        <f>IF(OR(N24="",T24="",C24="",V24="",X24="",AB24="",AE24="",AG24=""),"",IF(OR(ISBLANK(M02S02F26),ISBLANK(M02S02F32),ISBLANK(M02S02F46)),MEASUREBLDG,""))</f>
        <v/>
      </c>
      <c r="BD24" s="59"/>
      <c r="BE24" s="811" t="str">
        <f ca="1">IF(OR(T24="",N24="",C24="",V24="",X24="",AB24="",AE24="",AG24=""),"",IF('M01-S01'!$V$82&lt;TODAY(),0,IF(M02S02F46="Gas Only",0,IF(OR(AK24="",AK24&lt;0,AU24&lt;=AN24),0,MIN(AU24-AN24,ROUND(AN24*0.2,2))))))</f>
        <v/>
      </c>
      <c r="BF24" s="811"/>
      <c r="BG24" s="59"/>
      <c r="BH24" s="59"/>
      <c r="BI24" s="59"/>
      <c r="BJ24" s="59"/>
      <c r="BK24" s="59"/>
      <c r="BL24" s="59"/>
      <c r="BM24" s="59"/>
      <c r="BN24" s="59"/>
      <c r="BO24" s="59"/>
      <c r="BP24" s="59"/>
      <c r="BQ24" s="59"/>
      <c r="BR24" s="59"/>
      <c r="BS24" s="59"/>
      <c r="BT24" s="59"/>
      <c r="BU24" s="59"/>
      <c r="BV24" s="59"/>
      <c r="BW24" s="59"/>
      <c r="BX24" s="59"/>
      <c r="BY24" s="59"/>
      <c r="BZ24" s="59"/>
    </row>
    <row r="25" spans="2:78" ht="15.95" customHeight="1">
      <c r="B25" s="834"/>
      <c r="C25" s="840"/>
      <c r="D25" s="841"/>
      <c r="E25" s="841"/>
      <c r="F25" s="841"/>
      <c r="G25" s="841"/>
      <c r="H25" s="841"/>
      <c r="I25" s="841"/>
      <c r="J25" s="841"/>
      <c r="K25" s="841"/>
      <c r="L25" s="841"/>
      <c r="M25" s="842"/>
      <c r="N25" s="917"/>
      <c r="O25" s="918"/>
      <c r="P25" s="918"/>
      <c r="Q25" s="918"/>
      <c r="R25" s="918"/>
      <c r="S25" s="919"/>
      <c r="T25" s="1012"/>
      <c r="U25" s="1013"/>
      <c r="V25" s="853"/>
      <c r="W25" s="854"/>
      <c r="X25" s="840"/>
      <c r="Y25" s="841"/>
      <c r="Z25" s="841"/>
      <c r="AA25" s="842"/>
      <c r="AB25" s="840"/>
      <c r="AC25" s="841"/>
      <c r="AD25" s="842"/>
      <c r="AE25" s="865"/>
      <c r="AF25" s="875"/>
      <c r="AG25" s="865"/>
      <c r="AH25" s="875"/>
      <c r="AI25" s="925"/>
      <c r="AJ25" s="870"/>
      <c r="AK25" s="912"/>
      <c r="AL25" s="913"/>
      <c r="AM25" s="942"/>
      <c r="AN25" s="823"/>
      <c r="AO25" s="824"/>
      <c r="AP25" s="824"/>
      <c r="AQ25" s="825"/>
      <c r="AR25" s="59"/>
      <c r="AS25" s="59"/>
      <c r="AT25" s="59"/>
      <c r="AU25" s="814"/>
      <c r="AV25" s="907"/>
      <c r="AW25" s="981"/>
      <c r="AX25" s="59"/>
      <c r="AY25" s="59"/>
      <c r="AZ25" s="59"/>
      <c r="BA25" s="59"/>
      <c r="BB25" s="59"/>
      <c r="BC25" s="831"/>
      <c r="BD25" s="59"/>
      <c r="BE25" s="812"/>
      <c r="BF25" s="812"/>
      <c r="BG25" s="59"/>
      <c r="BH25" s="59"/>
      <c r="BI25" s="59"/>
      <c r="BJ25" s="59"/>
      <c r="BK25" s="59"/>
      <c r="BL25" s="59"/>
      <c r="BM25" s="59"/>
      <c r="BN25" s="59"/>
      <c r="BO25" s="59"/>
      <c r="BP25" s="59"/>
      <c r="BQ25" s="59"/>
      <c r="BR25" s="59"/>
      <c r="BS25" s="59"/>
      <c r="BT25" s="59"/>
      <c r="BU25" s="59"/>
      <c r="BV25" s="59"/>
      <c r="BW25" s="59"/>
      <c r="BX25" s="59"/>
      <c r="BY25" s="59"/>
      <c r="BZ25" s="59"/>
    </row>
    <row r="26" spans="2:78" ht="15.95" customHeight="1">
      <c r="B26" s="834">
        <v>6</v>
      </c>
      <c r="C26" s="837"/>
      <c r="D26" s="838"/>
      <c r="E26" s="838"/>
      <c r="F26" s="838"/>
      <c r="G26" s="838"/>
      <c r="H26" s="838"/>
      <c r="I26" s="838"/>
      <c r="J26" s="838"/>
      <c r="K26" s="838"/>
      <c r="L26" s="838"/>
      <c r="M26" s="839"/>
      <c r="N26" s="914" t="str">
        <f>IFERROR(IF(C26="","",INDEX(PMEKITCHEN[Base Desc 1],MATCH(C26,PMEKITCHEN[Eff Desc 1],0))),"")</f>
        <v/>
      </c>
      <c r="O26" s="915"/>
      <c r="P26" s="915"/>
      <c r="Q26" s="915"/>
      <c r="R26" s="915"/>
      <c r="S26" s="916"/>
      <c r="T26" s="1010" t="str">
        <f>IFERROR(IF(C26="","",INDEX(PMEKITCHEN[Unit of Measure],MATCH(C26,PMEKITCHEN[Eff Desc 1],0))),"")</f>
        <v/>
      </c>
      <c r="U26" s="1011"/>
      <c r="V26" s="851"/>
      <c r="W26" s="852"/>
      <c r="X26" s="837"/>
      <c r="Y26" s="838"/>
      <c r="Z26" s="838"/>
      <c r="AA26" s="839"/>
      <c r="AB26" s="837"/>
      <c r="AC26" s="838"/>
      <c r="AD26" s="839"/>
      <c r="AE26" s="863"/>
      <c r="AF26" s="874"/>
      <c r="AG26" s="863"/>
      <c r="AH26" s="874"/>
      <c r="AI26" s="923" t="str">
        <f>IFERROR(IF(C26="","",INDEX(PMEKITCHEN[Inc Rate Unit],MATCH(C26,PMEKITCHEN[Eff Desc 1],0))),"")</f>
        <v/>
      </c>
      <c r="AJ26" s="924"/>
      <c r="AK26" s="910" t="str">
        <f>IF(OR(C26="",V26="",X26="",AB26="",AE26="",AG26=""),"",ROUND(V26*INDEX(PMEKITCHEN[Savings per Unit kWh],MATCH(C26,PMEKITCHEN[Eff Desc 1],2)),0))</f>
        <v/>
      </c>
      <c r="AL26" s="911"/>
      <c r="AM26" s="975"/>
      <c r="AN26" s="820" t="str">
        <f t="shared" ref="AN26" si="3">IF(OR(C26="",V26="",X26="",AB26="",AE26="",AG26=""),"",IF(BC26&lt;&gt;"",BC26,MIN(AU26,ROUND(V26*AI26,2))))</f>
        <v/>
      </c>
      <c r="AO26" s="821"/>
      <c r="AP26" s="821"/>
      <c r="AQ26" s="822"/>
      <c r="AR26" s="59"/>
      <c r="AS26" s="59"/>
      <c r="AT26" s="59"/>
      <c r="AU26" s="813" t="str">
        <f>IF(OR(,V26="",X26="",AB26="",AE26="",AG26=""),"",ROUND((AE26+AG26)*V26,2))</f>
        <v/>
      </c>
      <c r="AV26" s="928" t="str">
        <f>IF(OR(C26="",V26="",X26="",AB26="",AE26="",AG26=""),"",ROUND((V26*INDEX(PMEKITCHEN[Savings per Unit kW],MATCH(C26,PMEKITCHEN[Eff Desc 1],0)))*INDEX(ENDUSEALL[Lighting Coincidence Factor],MATCH("Commercial Cooking",ENDUSEALL[End Use],0)),3))</f>
        <v/>
      </c>
      <c r="AW26" s="980"/>
      <c r="AX26" s="59"/>
      <c r="AY26" s="59"/>
      <c r="AZ26" s="59"/>
      <c r="BA26" s="59"/>
      <c r="BB26" s="59"/>
      <c r="BC26" s="830" t="str">
        <f>IF(OR(N26="",T26="",C26="",V26="",X26="",AB26="",AE26="",AG26=""),"",IF(OR(ISBLANK(M02S02F26),ISBLANK(M02S02F32),ISBLANK(M02S02F46)),MEASUREBLDG,""))</f>
        <v/>
      </c>
      <c r="BD26" s="59"/>
      <c r="BE26" s="811" t="str">
        <f ca="1">IF(OR(T26="",N26="",C26="",V26="",X26="",AB26="",AE26="",AG26=""),"",IF('M01-S01'!$V$82&lt;TODAY(),0,IF(M02S02F46="Gas Only",0,IF(OR(AK26="",AK26&lt;0,AU26&lt;=AN26),0,MIN(AU26-AN26,ROUND(AN26*0.2,2))))))</f>
        <v/>
      </c>
      <c r="BF26" s="811"/>
      <c r="BG26" s="59"/>
      <c r="BH26" s="59"/>
      <c r="BI26" s="59"/>
      <c r="BJ26" s="59"/>
      <c r="BK26" s="59"/>
      <c r="BL26" s="59"/>
      <c r="BM26" s="59"/>
      <c r="BN26" s="59"/>
      <c r="BO26" s="59"/>
      <c r="BP26" s="59"/>
      <c r="BQ26" s="59"/>
      <c r="BR26" s="59"/>
      <c r="BS26" s="59"/>
      <c r="BT26" s="59"/>
      <c r="BU26" s="59"/>
      <c r="BV26" s="59"/>
      <c r="BW26" s="59"/>
      <c r="BX26" s="59"/>
      <c r="BY26" s="59"/>
      <c r="BZ26" s="59"/>
    </row>
    <row r="27" spans="2:78" ht="15.95" customHeight="1">
      <c r="B27" s="834"/>
      <c r="C27" s="840"/>
      <c r="D27" s="841"/>
      <c r="E27" s="841"/>
      <c r="F27" s="841"/>
      <c r="G27" s="841"/>
      <c r="H27" s="841"/>
      <c r="I27" s="841"/>
      <c r="J27" s="841"/>
      <c r="K27" s="841"/>
      <c r="L27" s="841"/>
      <c r="M27" s="842"/>
      <c r="N27" s="917"/>
      <c r="O27" s="918"/>
      <c r="P27" s="918"/>
      <c r="Q27" s="918"/>
      <c r="R27" s="918"/>
      <c r="S27" s="919"/>
      <c r="T27" s="1012"/>
      <c r="U27" s="1013"/>
      <c r="V27" s="853"/>
      <c r="W27" s="854"/>
      <c r="X27" s="840"/>
      <c r="Y27" s="841"/>
      <c r="Z27" s="841"/>
      <c r="AA27" s="842"/>
      <c r="AB27" s="840"/>
      <c r="AC27" s="841"/>
      <c r="AD27" s="842"/>
      <c r="AE27" s="865"/>
      <c r="AF27" s="875"/>
      <c r="AG27" s="865"/>
      <c r="AH27" s="875"/>
      <c r="AI27" s="925"/>
      <c r="AJ27" s="870"/>
      <c r="AK27" s="912"/>
      <c r="AL27" s="913"/>
      <c r="AM27" s="942"/>
      <c r="AN27" s="823"/>
      <c r="AO27" s="824"/>
      <c r="AP27" s="824"/>
      <c r="AQ27" s="825"/>
      <c r="AR27" s="59"/>
      <c r="AS27" s="59"/>
      <c r="AT27" s="59"/>
      <c r="AU27" s="814"/>
      <c r="AV27" s="907"/>
      <c r="AW27" s="981"/>
      <c r="AX27" s="59"/>
      <c r="AY27" s="59"/>
      <c r="AZ27" s="59"/>
      <c r="BA27" s="59"/>
      <c r="BB27" s="59"/>
      <c r="BC27" s="831"/>
      <c r="BD27" s="59"/>
      <c r="BE27" s="812"/>
      <c r="BF27" s="812"/>
      <c r="BG27" s="59"/>
      <c r="BH27" s="59"/>
      <c r="BI27" s="59"/>
      <c r="BJ27" s="59"/>
      <c r="BK27" s="59"/>
      <c r="BL27" s="59"/>
      <c r="BM27" s="59"/>
      <c r="BN27" s="59"/>
      <c r="BO27" s="59"/>
      <c r="BP27" s="59"/>
      <c r="BQ27" s="59"/>
      <c r="BR27" s="59"/>
      <c r="BS27" s="59"/>
      <c r="BT27" s="59"/>
      <c r="BU27" s="59"/>
      <c r="BV27" s="59"/>
      <c r="BW27" s="59"/>
      <c r="BX27" s="59"/>
      <c r="BY27" s="59"/>
      <c r="BZ27" s="59"/>
    </row>
    <row r="28" spans="2:78" ht="15.95" customHeight="1">
      <c r="B28" s="834">
        <v>7</v>
      </c>
      <c r="C28" s="837"/>
      <c r="D28" s="838"/>
      <c r="E28" s="838"/>
      <c r="F28" s="838"/>
      <c r="G28" s="838"/>
      <c r="H28" s="838"/>
      <c r="I28" s="838"/>
      <c r="J28" s="838"/>
      <c r="K28" s="838"/>
      <c r="L28" s="838"/>
      <c r="M28" s="839"/>
      <c r="N28" s="914" t="str">
        <f>IFERROR(IF(C28="","",INDEX(PMEKITCHEN[Base Desc 1],MATCH(C28,PMEKITCHEN[Eff Desc 1],0))),"")</f>
        <v/>
      </c>
      <c r="O28" s="915"/>
      <c r="P28" s="915"/>
      <c r="Q28" s="915"/>
      <c r="R28" s="915"/>
      <c r="S28" s="916"/>
      <c r="T28" s="1010" t="str">
        <f>IFERROR(IF(C28="","",INDEX(PMEKITCHEN[Unit of Measure],MATCH(C28,PMEKITCHEN[Eff Desc 1],0))),"")</f>
        <v/>
      </c>
      <c r="U28" s="1011"/>
      <c r="V28" s="851"/>
      <c r="W28" s="852"/>
      <c r="X28" s="837"/>
      <c r="Y28" s="838"/>
      <c r="Z28" s="838"/>
      <c r="AA28" s="839"/>
      <c r="AB28" s="837"/>
      <c r="AC28" s="838"/>
      <c r="AD28" s="839"/>
      <c r="AE28" s="863"/>
      <c r="AF28" s="874"/>
      <c r="AG28" s="863"/>
      <c r="AH28" s="874"/>
      <c r="AI28" s="923" t="str">
        <f>IFERROR(IF(C28="","",INDEX(PMEKITCHEN[Inc Rate Unit],MATCH(C28,PMEKITCHEN[Eff Desc 1],0))),"")</f>
        <v/>
      </c>
      <c r="AJ28" s="924"/>
      <c r="AK28" s="910" t="str">
        <f>IF(OR(C28="",V28="",X28="",AB28="",AE28="",AG28=""),"",ROUND(V28*INDEX(PMEKITCHEN[Savings per Unit kWh],MATCH(C28,PMEKITCHEN[Eff Desc 1],2)),0))</f>
        <v/>
      </c>
      <c r="AL28" s="911"/>
      <c r="AM28" s="975"/>
      <c r="AN28" s="820" t="str">
        <f t="shared" ref="AN28" si="4">IF(OR(C28="",V28="",X28="",AB28="",AE28="",AG28=""),"",IF(BC28&lt;&gt;"",BC28,MIN(AU28,ROUND(V28*AI28,2))))</f>
        <v/>
      </c>
      <c r="AO28" s="821"/>
      <c r="AP28" s="821"/>
      <c r="AQ28" s="822"/>
      <c r="AR28" s="59"/>
      <c r="AS28" s="59"/>
      <c r="AT28" s="59"/>
      <c r="AU28" s="813" t="str">
        <f>IF(OR(,V28="",X28="",AB28="",AE28="",AG28=""),"",ROUND((AE28+AG28)*V28,2))</f>
        <v/>
      </c>
      <c r="AV28" s="928" t="str">
        <f>IF(OR(C28="",V28="",X28="",AB28="",AE28="",AG28=""),"",ROUND((V28*INDEX(PMEKITCHEN[Savings per Unit kW],MATCH(C28,PMEKITCHEN[Eff Desc 1],0)))*INDEX(ENDUSEALL[Lighting Coincidence Factor],MATCH("Commercial Cooking",ENDUSEALL[End Use],0)),3))</f>
        <v/>
      </c>
      <c r="AW28" s="980"/>
      <c r="AX28" s="59"/>
      <c r="AY28" s="59"/>
      <c r="AZ28" s="59"/>
      <c r="BA28" s="59"/>
      <c r="BB28" s="59"/>
      <c r="BC28" s="830" t="str">
        <f>IF(OR(N28="",T28="",C28="",V28="",X28="",AB28="",AE28="",AG28=""),"",IF(OR(ISBLANK(M02S02F26),ISBLANK(M02S02F32),ISBLANK(M02S02F46)),MEASUREBLDG,""))</f>
        <v/>
      </c>
      <c r="BD28" s="59"/>
      <c r="BE28" s="811" t="str">
        <f ca="1">IF(OR(T28="",N28="",C28="",V28="",X28="",AB28="",AE28="",AG28=""),"",IF('M01-S01'!$V$82&lt;TODAY(),0,IF(M02S02F46="Gas Only",0,IF(OR(AK28="",AK28&lt;0,AU28&lt;=AN28),0,MIN(AU28-AN28,ROUND(AN28*0.2,2))))))</f>
        <v/>
      </c>
      <c r="BF28" s="811"/>
      <c r="BG28" s="59"/>
      <c r="BH28" s="59"/>
      <c r="BI28" s="59"/>
      <c r="BJ28" s="59"/>
      <c r="BK28" s="59"/>
      <c r="BL28" s="59"/>
      <c r="BM28" s="59"/>
      <c r="BN28" s="59"/>
      <c r="BO28" s="59"/>
      <c r="BP28" s="59"/>
      <c r="BQ28" s="59"/>
      <c r="BR28" s="59"/>
      <c r="BS28" s="59"/>
      <c r="BT28" s="59"/>
      <c r="BU28" s="59"/>
      <c r="BV28" s="59"/>
      <c r="BW28" s="59"/>
      <c r="BX28" s="59"/>
      <c r="BY28" s="59"/>
      <c r="BZ28" s="59"/>
    </row>
    <row r="29" spans="2:78" ht="15.95" customHeight="1">
      <c r="B29" s="834"/>
      <c r="C29" s="840"/>
      <c r="D29" s="841"/>
      <c r="E29" s="841"/>
      <c r="F29" s="841"/>
      <c r="G29" s="841"/>
      <c r="H29" s="841"/>
      <c r="I29" s="841"/>
      <c r="J29" s="841"/>
      <c r="K29" s="841"/>
      <c r="L29" s="841"/>
      <c r="M29" s="842"/>
      <c r="N29" s="917"/>
      <c r="O29" s="918"/>
      <c r="P29" s="918"/>
      <c r="Q29" s="918"/>
      <c r="R29" s="918"/>
      <c r="S29" s="919"/>
      <c r="T29" s="1012"/>
      <c r="U29" s="1013"/>
      <c r="V29" s="853"/>
      <c r="W29" s="854"/>
      <c r="X29" s="840"/>
      <c r="Y29" s="841"/>
      <c r="Z29" s="841"/>
      <c r="AA29" s="842"/>
      <c r="AB29" s="840"/>
      <c r="AC29" s="841"/>
      <c r="AD29" s="842"/>
      <c r="AE29" s="865"/>
      <c r="AF29" s="875"/>
      <c r="AG29" s="865"/>
      <c r="AH29" s="875"/>
      <c r="AI29" s="925"/>
      <c r="AJ29" s="870"/>
      <c r="AK29" s="912"/>
      <c r="AL29" s="913"/>
      <c r="AM29" s="942"/>
      <c r="AN29" s="823"/>
      <c r="AO29" s="824"/>
      <c r="AP29" s="824"/>
      <c r="AQ29" s="825"/>
      <c r="AR29" s="59"/>
      <c r="AS29" s="59"/>
      <c r="AT29" s="59"/>
      <c r="AU29" s="814"/>
      <c r="AV29" s="907"/>
      <c r="AW29" s="981"/>
      <c r="AX29" s="59"/>
      <c r="AY29" s="59"/>
      <c r="AZ29" s="59"/>
      <c r="BA29" s="59"/>
      <c r="BB29" s="59"/>
      <c r="BC29" s="831"/>
      <c r="BD29" s="59"/>
      <c r="BE29" s="812"/>
      <c r="BF29" s="812"/>
      <c r="BG29" s="59"/>
      <c r="BH29" s="59"/>
      <c r="BI29" s="59"/>
      <c r="BJ29" s="59"/>
      <c r="BK29" s="59"/>
      <c r="BL29" s="59"/>
      <c r="BM29" s="59"/>
      <c r="BN29" s="59"/>
      <c r="BO29" s="59"/>
      <c r="BP29" s="59"/>
      <c r="BQ29" s="59"/>
      <c r="BR29" s="59"/>
      <c r="BS29" s="59"/>
      <c r="BT29" s="59"/>
      <c r="BU29" s="59"/>
      <c r="BV29" s="59"/>
      <c r="BW29" s="59"/>
      <c r="BX29" s="59"/>
      <c r="BY29" s="59"/>
      <c r="BZ29" s="59"/>
    </row>
    <row r="30" spans="2:78" ht="15.95" customHeight="1">
      <c r="B30" s="834">
        <v>8</v>
      </c>
      <c r="C30" s="837"/>
      <c r="D30" s="838"/>
      <c r="E30" s="838"/>
      <c r="F30" s="838"/>
      <c r="G30" s="838"/>
      <c r="H30" s="838"/>
      <c r="I30" s="838"/>
      <c r="J30" s="838"/>
      <c r="K30" s="838"/>
      <c r="L30" s="838"/>
      <c r="M30" s="839"/>
      <c r="N30" s="914" t="str">
        <f>IFERROR(IF(C30="","",INDEX(PMEKITCHEN[Base Desc 1],MATCH(C30,PMEKITCHEN[Eff Desc 1],0))),"")</f>
        <v/>
      </c>
      <c r="O30" s="915"/>
      <c r="P30" s="915"/>
      <c r="Q30" s="915"/>
      <c r="R30" s="915"/>
      <c r="S30" s="916"/>
      <c r="T30" s="1010" t="str">
        <f>IFERROR(IF(C30="","",INDEX(PMEKITCHEN[Unit of Measure],MATCH(C30,PMEKITCHEN[Eff Desc 1],0))),"")</f>
        <v/>
      </c>
      <c r="U30" s="1011"/>
      <c r="V30" s="851"/>
      <c r="W30" s="852"/>
      <c r="X30" s="837"/>
      <c r="Y30" s="838"/>
      <c r="Z30" s="838"/>
      <c r="AA30" s="839"/>
      <c r="AB30" s="837"/>
      <c r="AC30" s="838"/>
      <c r="AD30" s="839"/>
      <c r="AE30" s="863"/>
      <c r="AF30" s="874"/>
      <c r="AG30" s="863"/>
      <c r="AH30" s="874"/>
      <c r="AI30" s="923" t="str">
        <f>IFERROR(IF(C30="","",INDEX(PMEKITCHEN[Inc Rate Unit],MATCH(C30,PMEKITCHEN[Eff Desc 1],0))),"")</f>
        <v/>
      </c>
      <c r="AJ30" s="924"/>
      <c r="AK30" s="910" t="str">
        <f>IF(OR(C30="",V30="",X30="",AB30="",AE30="",AG30=""),"",ROUND(V30*INDEX(PMEKITCHEN[Savings per Unit kWh],MATCH(C30,PMEKITCHEN[Eff Desc 1],2)),0))</f>
        <v/>
      </c>
      <c r="AL30" s="911"/>
      <c r="AM30" s="975"/>
      <c r="AN30" s="820" t="str">
        <f t="shared" ref="AN30" si="5">IF(OR(C30="",V30="",X30="",AB30="",AE30="",AG30=""),"",IF(BC30&lt;&gt;"",BC30,MIN(AU30,ROUND(V30*AI30,2))))</f>
        <v/>
      </c>
      <c r="AO30" s="821"/>
      <c r="AP30" s="821"/>
      <c r="AQ30" s="822"/>
      <c r="AR30" s="59"/>
      <c r="AS30" s="59"/>
      <c r="AT30" s="59"/>
      <c r="AU30" s="813" t="str">
        <f>IF(OR(,V30="",X30="",AB30="",AE30="",AG30=""),"",ROUND((AE30+AG30)*V30,2))</f>
        <v/>
      </c>
      <c r="AV30" s="928" t="str">
        <f>IF(OR(C30="",V30="",X30="",AB30="",AE30="",AG30=""),"",ROUND((V30*INDEX(PMEKITCHEN[Savings per Unit kW],MATCH(C30,PMEKITCHEN[Eff Desc 1],0)))*INDEX(ENDUSEALL[Lighting Coincidence Factor],MATCH("Commercial Cooking",ENDUSEALL[End Use],0)),3))</f>
        <v/>
      </c>
      <c r="AW30" s="980"/>
      <c r="AX30" s="59"/>
      <c r="AY30" s="59"/>
      <c r="AZ30" s="59"/>
      <c r="BA30" s="59"/>
      <c r="BB30" s="59"/>
      <c r="BC30" s="830" t="str">
        <f>IF(OR(N30="",T30="",C30="",V30="",X30="",AB30="",AE30="",AG30=""),"",IF(OR(ISBLANK(M02S02F26),ISBLANK(M02S02F32),ISBLANK(M02S02F46)),MEASUREBLDG,""))</f>
        <v/>
      </c>
      <c r="BD30" s="59"/>
      <c r="BE30" s="811" t="str">
        <f ca="1">IF(OR(T30="",N30="",C30="",V30="",X30="",AB30="",AE30="",AG30=""),"",IF('M01-S01'!$V$82&lt;TODAY(),0,IF(M02S02F46="Gas Only",0,IF(OR(AK30="",AK30&lt;0,AU30&lt;=AN30),0,MIN(AU30-AN30,ROUND(AN30*0.2,2))))))</f>
        <v/>
      </c>
      <c r="BF30" s="811"/>
      <c r="BG30" s="59"/>
      <c r="BH30" s="59"/>
      <c r="BI30" s="59"/>
      <c r="BJ30" s="59"/>
      <c r="BK30" s="59"/>
      <c r="BL30" s="59"/>
      <c r="BM30" s="59"/>
      <c r="BN30" s="59"/>
      <c r="BO30" s="59"/>
      <c r="BP30" s="59"/>
      <c r="BQ30" s="59"/>
      <c r="BR30" s="59"/>
      <c r="BS30" s="59"/>
      <c r="BT30" s="59"/>
      <c r="BU30" s="59"/>
      <c r="BV30" s="59"/>
      <c r="BW30" s="59"/>
      <c r="BX30" s="59"/>
      <c r="BY30" s="59"/>
      <c r="BZ30" s="59"/>
    </row>
    <row r="31" spans="2:78" ht="15.95" customHeight="1">
      <c r="B31" s="834"/>
      <c r="C31" s="840"/>
      <c r="D31" s="841"/>
      <c r="E31" s="841"/>
      <c r="F31" s="841"/>
      <c r="G31" s="841"/>
      <c r="H31" s="841"/>
      <c r="I31" s="841"/>
      <c r="J31" s="841"/>
      <c r="K31" s="841"/>
      <c r="L31" s="841"/>
      <c r="M31" s="842"/>
      <c r="N31" s="917"/>
      <c r="O31" s="918"/>
      <c r="P31" s="918"/>
      <c r="Q31" s="918"/>
      <c r="R31" s="918"/>
      <c r="S31" s="919"/>
      <c r="T31" s="1012"/>
      <c r="U31" s="1013"/>
      <c r="V31" s="853"/>
      <c r="W31" s="854"/>
      <c r="X31" s="840"/>
      <c r="Y31" s="841"/>
      <c r="Z31" s="841"/>
      <c r="AA31" s="842"/>
      <c r="AB31" s="840"/>
      <c r="AC31" s="841"/>
      <c r="AD31" s="842"/>
      <c r="AE31" s="865"/>
      <c r="AF31" s="875"/>
      <c r="AG31" s="865"/>
      <c r="AH31" s="875"/>
      <c r="AI31" s="925"/>
      <c r="AJ31" s="870"/>
      <c r="AK31" s="912"/>
      <c r="AL31" s="913"/>
      <c r="AM31" s="942"/>
      <c r="AN31" s="823"/>
      <c r="AO31" s="824"/>
      <c r="AP31" s="824"/>
      <c r="AQ31" s="825"/>
      <c r="AR31" s="59"/>
      <c r="AS31" s="59"/>
      <c r="AT31" s="59"/>
      <c r="AU31" s="814"/>
      <c r="AV31" s="907"/>
      <c r="AW31" s="981"/>
      <c r="AX31" s="59"/>
      <c r="AY31" s="59"/>
      <c r="AZ31" s="59"/>
      <c r="BA31" s="59"/>
      <c r="BB31" s="59"/>
      <c r="BC31" s="831"/>
      <c r="BD31" s="59"/>
      <c r="BE31" s="812"/>
      <c r="BF31" s="812"/>
      <c r="BG31" s="59"/>
      <c r="BH31" s="59"/>
      <c r="BI31" s="59"/>
      <c r="BJ31" s="59"/>
      <c r="BK31" s="59"/>
      <c r="BL31" s="59"/>
      <c r="BM31" s="59"/>
      <c r="BN31" s="59"/>
      <c r="BO31" s="59"/>
      <c r="BP31" s="59"/>
      <c r="BQ31" s="59"/>
      <c r="BR31" s="59"/>
      <c r="BS31" s="59"/>
      <c r="BT31" s="59"/>
      <c r="BU31" s="59"/>
      <c r="BV31" s="59"/>
      <c r="BW31" s="59"/>
      <c r="BX31" s="59"/>
      <c r="BY31" s="59"/>
      <c r="BZ31" s="59"/>
    </row>
    <row r="32" spans="2:78" ht="15.95" customHeight="1">
      <c r="B32" s="834">
        <v>9</v>
      </c>
      <c r="C32" s="837"/>
      <c r="D32" s="838"/>
      <c r="E32" s="838"/>
      <c r="F32" s="838"/>
      <c r="G32" s="838"/>
      <c r="H32" s="838"/>
      <c r="I32" s="838"/>
      <c r="J32" s="838"/>
      <c r="K32" s="838"/>
      <c r="L32" s="838"/>
      <c r="M32" s="839"/>
      <c r="N32" s="914" t="str">
        <f>IFERROR(IF(C32="","",INDEX(PMEKITCHEN[Base Desc 1],MATCH(C32,PMEKITCHEN[Eff Desc 1],0))),"")</f>
        <v/>
      </c>
      <c r="O32" s="915"/>
      <c r="P32" s="915"/>
      <c r="Q32" s="915"/>
      <c r="R32" s="915"/>
      <c r="S32" s="916"/>
      <c r="T32" s="1010" t="str">
        <f>IFERROR(IF(C32="","",INDEX(PMEKITCHEN[Unit of Measure],MATCH(C32,PMEKITCHEN[Eff Desc 1],0))),"")</f>
        <v/>
      </c>
      <c r="U32" s="1011"/>
      <c r="V32" s="851"/>
      <c r="W32" s="852"/>
      <c r="X32" s="837"/>
      <c r="Y32" s="838"/>
      <c r="Z32" s="838"/>
      <c r="AA32" s="839"/>
      <c r="AB32" s="837"/>
      <c r="AC32" s="838"/>
      <c r="AD32" s="839"/>
      <c r="AE32" s="863"/>
      <c r="AF32" s="874"/>
      <c r="AG32" s="863"/>
      <c r="AH32" s="874"/>
      <c r="AI32" s="923" t="str">
        <f>IFERROR(IF(C32="","",INDEX(PMEKITCHEN[Inc Rate Unit],MATCH(C32,PMEKITCHEN[Eff Desc 1],0))),"")</f>
        <v/>
      </c>
      <c r="AJ32" s="924"/>
      <c r="AK32" s="910" t="str">
        <f>IF(OR(C32="",V32="",X32="",AB32="",AE32="",AG32=""),"",ROUND(V32*INDEX(PMEKITCHEN[Savings per Unit kWh],MATCH(C32,PMEKITCHEN[Eff Desc 1],2)),0))</f>
        <v/>
      </c>
      <c r="AL32" s="911"/>
      <c r="AM32" s="975"/>
      <c r="AN32" s="820" t="str">
        <f t="shared" ref="AN32" si="6">IF(OR(C32="",V32="",X32="",AB32="",AE32="",AG32=""),"",IF(BC32&lt;&gt;"",BC32,MIN(AU32,ROUND(V32*AI32,2))))</f>
        <v/>
      </c>
      <c r="AO32" s="821"/>
      <c r="AP32" s="821"/>
      <c r="AQ32" s="822"/>
      <c r="AR32" s="59"/>
      <c r="AS32" s="59"/>
      <c r="AT32" s="59"/>
      <c r="AU32" s="813" t="str">
        <f>IF(OR(,V32="",X32="",AB32="",AE32="",AG32=""),"",ROUND((AE32+AG32)*V32,2))</f>
        <v/>
      </c>
      <c r="AV32" s="928" t="str">
        <f>IF(OR(C32="",V32="",X32="",AB32="",AE32="",AG32=""),"",ROUND((V32*INDEX(PMEKITCHEN[Savings per Unit kW],MATCH(C32,PMEKITCHEN[Eff Desc 1],0)))*INDEX(ENDUSEALL[Lighting Coincidence Factor],MATCH("Commercial Cooking",ENDUSEALL[End Use],0)),3))</f>
        <v/>
      </c>
      <c r="AW32" s="980"/>
      <c r="AX32" s="59"/>
      <c r="AY32" s="59"/>
      <c r="AZ32" s="59"/>
      <c r="BA32" s="59"/>
      <c r="BB32" s="59"/>
      <c r="BC32" s="830" t="str">
        <f>IF(OR(N32="",T32="",C32="",V32="",X32="",AB32="",AE32="",AG32=""),"",IF(OR(ISBLANK(M02S02F26),ISBLANK(M02S02F32),ISBLANK(M02S02F46)),MEASUREBLDG,""))</f>
        <v/>
      </c>
      <c r="BD32" s="59"/>
      <c r="BE32" s="811" t="str">
        <f ca="1">IF(OR(T32="",N32="",C32="",V32="",X32="",AB32="",AE32="",AG32=""),"",IF('M01-S01'!$V$82&lt;TODAY(),0,IF(M02S02F46="Gas Only",0,IF(OR(AK32="",AK32&lt;0,AU32&lt;=AN32),0,MIN(AU32-AN32,ROUND(AN32*0.2,2))))))</f>
        <v/>
      </c>
      <c r="BF32" s="811"/>
      <c r="BG32" s="59"/>
      <c r="BH32" s="59"/>
      <c r="BI32" s="59"/>
      <c r="BJ32" s="59"/>
      <c r="BK32" s="59"/>
      <c r="BL32" s="59"/>
      <c r="BM32" s="59"/>
      <c r="BN32" s="59"/>
      <c r="BO32" s="59"/>
      <c r="BP32" s="59"/>
      <c r="BQ32" s="59"/>
      <c r="BR32" s="59"/>
      <c r="BS32" s="59"/>
      <c r="BT32" s="59"/>
      <c r="BU32" s="59"/>
      <c r="BV32" s="59"/>
      <c r="BW32" s="59"/>
      <c r="BX32" s="59"/>
      <c r="BY32" s="59"/>
      <c r="BZ32" s="59"/>
    </row>
    <row r="33" spans="2:78" ht="15.95" customHeight="1">
      <c r="B33" s="834"/>
      <c r="C33" s="840"/>
      <c r="D33" s="841"/>
      <c r="E33" s="841"/>
      <c r="F33" s="841"/>
      <c r="G33" s="841"/>
      <c r="H33" s="841"/>
      <c r="I33" s="841"/>
      <c r="J33" s="841"/>
      <c r="K33" s="841"/>
      <c r="L33" s="841"/>
      <c r="M33" s="842"/>
      <c r="N33" s="917"/>
      <c r="O33" s="918"/>
      <c r="P33" s="918"/>
      <c r="Q33" s="918"/>
      <c r="R33" s="918"/>
      <c r="S33" s="919"/>
      <c r="T33" s="1012"/>
      <c r="U33" s="1013"/>
      <c r="V33" s="853"/>
      <c r="W33" s="854"/>
      <c r="X33" s="840"/>
      <c r="Y33" s="841"/>
      <c r="Z33" s="841"/>
      <c r="AA33" s="842"/>
      <c r="AB33" s="840"/>
      <c r="AC33" s="841"/>
      <c r="AD33" s="842"/>
      <c r="AE33" s="865"/>
      <c r="AF33" s="875"/>
      <c r="AG33" s="865"/>
      <c r="AH33" s="875"/>
      <c r="AI33" s="925"/>
      <c r="AJ33" s="870"/>
      <c r="AK33" s="912"/>
      <c r="AL33" s="913"/>
      <c r="AM33" s="942"/>
      <c r="AN33" s="823"/>
      <c r="AO33" s="824"/>
      <c r="AP33" s="824"/>
      <c r="AQ33" s="825"/>
      <c r="AR33" s="59"/>
      <c r="AS33" s="59"/>
      <c r="AT33" s="59"/>
      <c r="AU33" s="814"/>
      <c r="AV33" s="907"/>
      <c r="AW33" s="981"/>
      <c r="AX33" s="59"/>
      <c r="AY33" s="59"/>
      <c r="AZ33" s="59"/>
      <c r="BA33" s="59"/>
      <c r="BB33" s="59"/>
      <c r="BC33" s="831"/>
      <c r="BD33" s="59"/>
      <c r="BE33" s="812"/>
      <c r="BF33" s="812"/>
      <c r="BG33" s="59"/>
      <c r="BH33" s="59"/>
      <c r="BI33" s="59"/>
      <c r="BJ33" s="59"/>
      <c r="BK33" s="59"/>
      <c r="BL33" s="59"/>
      <c r="BM33" s="59"/>
      <c r="BN33" s="59"/>
      <c r="BO33" s="59"/>
      <c r="BP33" s="59"/>
      <c r="BQ33" s="59"/>
      <c r="BR33" s="59"/>
      <c r="BS33" s="59"/>
      <c r="BT33" s="59"/>
      <c r="BU33" s="59"/>
      <c r="BV33" s="59"/>
      <c r="BW33" s="59"/>
      <c r="BX33" s="59"/>
      <c r="BY33" s="59"/>
      <c r="BZ33" s="59"/>
    </row>
    <row r="34" spans="2:78" ht="15.95" customHeight="1">
      <c r="B34" s="834">
        <v>10</v>
      </c>
      <c r="C34" s="837"/>
      <c r="D34" s="838"/>
      <c r="E34" s="838"/>
      <c r="F34" s="838"/>
      <c r="G34" s="838"/>
      <c r="H34" s="838"/>
      <c r="I34" s="838"/>
      <c r="J34" s="838"/>
      <c r="K34" s="838"/>
      <c r="L34" s="838"/>
      <c r="M34" s="839"/>
      <c r="N34" s="914" t="str">
        <f>IFERROR(IF(C34="","",INDEX(PMEKITCHEN[Base Desc 1],MATCH(C34,PMEKITCHEN[Eff Desc 1],0))),"")</f>
        <v/>
      </c>
      <c r="O34" s="915"/>
      <c r="P34" s="915"/>
      <c r="Q34" s="915"/>
      <c r="R34" s="915"/>
      <c r="S34" s="916"/>
      <c r="T34" s="1010" t="str">
        <f>IFERROR(IF(C34="","",INDEX(PMEKITCHEN[Unit of Measure],MATCH(C34,PMEKITCHEN[Eff Desc 1],0))),"")</f>
        <v/>
      </c>
      <c r="U34" s="1011"/>
      <c r="V34" s="851"/>
      <c r="W34" s="852"/>
      <c r="X34" s="837"/>
      <c r="Y34" s="838"/>
      <c r="Z34" s="838"/>
      <c r="AA34" s="839"/>
      <c r="AB34" s="837"/>
      <c r="AC34" s="838"/>
      <c r="AD34" s="839"/>
      <c r="AE34" s="863"/>
      <c r="AF34" s="874"/>
      <c r="AG34" s="863"/>
      <c r="AH34" s="874"/>
      <c r="AI34" s="923" t="str">
        <f>IFERROR(IF(C34="","",INDEX(PMEKITCHEN[Inc Rate Unit],MATCH(C34,PMEKITCHEN[Eff Desc 1],0))),"")</f>
        <v/>
      </c>
      <c r="AJ34" s="924"/>
      <c r="AK34" s="910" t="str">
        <f>IF(OR(C34="",V34="",X34="",AB34="",AE34="",AG34=""),"",ROUND(V34*INDEX(PMEKITCHEN[Savings per Unit kWh],MATCH(C34,PMEKITCHEN[Eff Desc 1],2)),0))</f>
        <v/>
      </c>
      <c r="AL34" s="911"/>
      <c r="AM34" s="975"/>
      <c r="AN34" s="820" t="str">
        <f t="shared" ref="AN34" si="7">IF(OR(C34="",V34="",X34="",AB34="",AE34="",AG34=""),"",IF(BC34&lt;&gt;"",BC34,MIN(AU34,ROUND(V34*AI34,2))))</f>
        <v/>
      </c>
      <c r="AO34" s="821"/>
      <c r="AP34" s="821"/>
      <c r="AQ34" s="822"/>
      <c r="AR34" s="59"/>
      <c r="AS34" s="59"/>
      <c r="AT34" s="59"/>
      <c r="AU34" s="813" t="str">
        <f>IF(OR(,V34="",X34="",AB34="",AE34="",AG34=""),"",ROUND((AE34+AG34)*V34,2))</f>
        <v/>
      </c>
      <c r="AV34" s="928" t="str">
        <f>IF(OR(C34="",V34="",X34="",AB34="",AE34="",AG34=""),"",ROUND((V34*INDEX(PMEKITCHEN[Savings per Unit kW],MATCH(C34,PMEKITCHEN[Eff Desc 1],0)))*INDEX(ENDUSEALL[Lighting Coincidence Factor],MATCH("Commercial Cooking",ENDUSEALL[End Use],0)),3))</f>
        <v/>
      </c>
      <c r="AW34" s="980"/>
      <c r="AX34" s="59"/>
      <c r="AY34" s="59"/>
      <c r="AZ34" s="59"/>
      <c r="BA34" s="59"/>
      <c r="BB34" s="59"/>
      <c r="BC34" s="830" t="str">
        <f>IF(OR(N34="",T34="",C34="",V34="",X34="",AB34="",AE34="",AG34=""),"",IF(OR(ISBLANK(M02S02F26),ISBLANK(M02S02F32),ISBLANK(M02S02F46)),MEASUREBLDG,""))</f>
        <v/>
      </c>
      <c r="BD34" s="59"/>
      <c r="BE34" s="811" t="str">
        <f ca="1">IF(OR(T34="",N34="",C34="",V34="",X34="",AB34="",AE34="",AG34=""),"",IF('M01-S01'!$V$82&lt;TODAY(),0,IF(M02S02F46="Gas Only",0,IF(OR(AK34="",AK34&lt;0,AU34&lt;=AN34),0,MIN(AU34-AN34,ROUND(AN34*0.2,2))))))</f>
        <v/>
      </c>
      <c r="BF34" s="811"/>
      <c r="BG34" s="59"/>
      <c r="BH34" s="59"/>
      <c r="BI34" s="59"/>
      <c r="BJ34" s="59"/>
      <c r="BK34" s="59"/>
      <c r="BL34" s="59"/>
      <c r="BM34" s="59"/>
      <c r="BN34" s="59"/>
      <c r="BO34" s="59"/>
      <c r="BP34" s="59"/>
      <c r="BQ34" s="59"/>
      <c r="BR34" s="59"/>
      <c r="BS34" s="59"/>
      <c r="BT34" s="59"/>
      <c r="BU34" s="59"/>
      <c r="BV34" s="59"/>
      <c r="BW34" s="59"/>
      <c r="BX34" s="59"/>
      <c r="BY34" s="59"/>
      <c r="BZ34" s="59"/>
    </row>
    <row r="35" spans="2:78" ht="15.95" customHeight="1">
      <c r="B35" s="834"/>
      <c r="C35" s="840"/>
      <c r="D35" s="841"/>
      <c r="E35" s="841"/>
      <c r="F35" s="841"/>
      <c r="G35" s="841"/>
      <c r="H35" s="841"/>
      <c r="I35" s="841"/>
      <c r="J35" s="841"/>
      <c r="K35" s="841"/>
      <c r="L35" s="841"/>
      <c r="M35" s="842"/>
      <c r="N35" s="917"/>
      <c r="O35" s="918"/>
      <c r="P35" s="918"/>
      <c r="Q35" s="918"/>
      <c r="R35" s="918"/>
      <c r="S35" s="919"/>
      <c r="T35" s="1012"/>
      <c r="U35" s="1013"/>
      <c r="V35" s="853"/>
      <c r="W35" s="854"/>
      <c r="X35" s="840"/>
      <c r="Y35" s="841"/>
      <c r="Z35" s="841"/>
      <c r="AA35" s="842"/>
      <c r="AB35" s="840"/>
      <c r="AC35" s="841"/>
      <c r="AD35" s="842"/>
      <c r="AE35" s="865"/>
      <c r="AF35" s="875"/>
      <c r="AG35" s="865"/>
      <c r="AH35" s="875"/>
      <c r="AI35" s="925"/>
      <c r="AJ35" s="870"/>
      <c r="AK35" s="912"/>
      <c r="AL35" s="913"/>
      <c r="AM35" s="942"/>
      <c r="AN35" s="823"/>
      <c r="AO35" s="824"/>
      <c r="AP35" s="824"/>
      <c r="AQ35" s="825"/>
      <c r="AR35" s="59"/>
      <c r="AS35" s="59"/>
      <c r="AT35" s="59"/>
      <c r="AU35" s="814"/>
      <c r="AV35" s="907"/>
      <c r="AW35" s="981"/>
      <c r="AX35" s="59"/>
      <c r="AY35" s="59"/>
      <c r="AZ35" s="59"/>
      <c r="BA35" s="59"/>
      <c r="BB35" s="59"/>
      <c r="BC35" s="831"/>
      <c r="BD35" s="59"/>
      <c r="BE35" s="812"/>
      <c r="BF35" s="812"/>
      <c r="BG35" s="59"/>
      <c r="BH35" s="59"/>
      <c r="BI35" s="59"/>
      <c r="BJ35" s="59"/>
      <c r="BK35" s="59"/>
      <c r="BL35" s="59"/>
      <c r="BM35" s="59"/>
      <c r="BN35" s="59"/>
      <c r="BO35" s="59"/>
      <c r="BP35" s="59"/>
      <c r="BQ35" s="59"/>
      <c r="BR35" s="59"/>
      <c r="BS35" s="59"/>
      <c r="BT35" s="59"/>
      <c r="BU35" s="59"/>
      <c r="BV35" s="59"/>
      <c r="BW35" s="59"/>
      <c r="BX35" s="59"/>
      <c r="BY35" s="59"/>
      <c r="BZ35" s="59"/>
    </row>
    <row r="36" spans="2:78" ht="15.95" customHeight="1">
      <c r="C36" s="1014" t="s">
        <v>2378</v>
      </c>
      <c r="D36" s="1015"/>
      <c r="E36" s="1015"/>
      <c r="F36" s="1015"/>
      <c r="G36" s="1015"/>
      <c r="H36" s="1015"/>
      <c r="I36" s="1015"/>
      <c r="J36" s="1015"/>
      <c r="K36" s="1015"/>
      <c r="L36" s="1015"/>
      <c r="M36" s="1015"/>
      <c r="N36" s="1015"/>
      <c r="O36" s="1015"/>
      <c r="P36" s="1015"/>
      <c r="Q36" s="1015"/>
      <c r="R36" s="1015"/>
      <c r="S36" s="1015"/>
      <c r="T36" s="1015"/>
      <c r="U36" s="1015"/>
      <c r="V36" s="1015"/>
      <c r="W36" s="1015"/>
      <c r="X36" s="1015"/>
      <c r="Y36" s="1015"/>
      <c r="Z36" s="1015"/>
      <c r="AA36" s="1015"/>
      <c r="AB36" s="1015"/>
      <c r="AC36" s="1015"/>
      <c r="AD36" s="1015"/>
      <c r="AE36" s="1015"/>
      <c r="AF36" s="1015"/>
      <c r="AG36" s="1015"/>
      <c r="AH36" s="1015"/>
      <c r="AI36" s="1015"/>
      <c r="AJ36" s="1015"/>
      <c r="AK36" s="1015"/>
      <c r="AL36" s="1015"/>
      <c r="AM36" s="1015"/>
      <c r="AN36" s="1015"/>
      <c r="AO36" s="1015"/>
      <c r="AP36" s="1015"/>
      <c r="AQ36" s="1015"/>
      <c r="AR36" s="59"/>
      <c r="AS36" s="59"/>
      <c r="AT36" s="59"/>
      <c r="AU36" s="813"/>
      <c r="AV36" s="878"/>
      <c r="AW36" s="1019"/>
      <c r="AX36" s="59"/>
      <c r="AY36" s="59"/>
      <c r="AZ36" s="59"/>
      <c r="BA36" s="59"/>
      <c r="BB36" s="59"/>
      <c r="BC36" s="59"/>
      <c r="BD36" s="59"/>
      <c r="BE36" s="59"/>
      <c r="BF36" s="59"/>
      <c r="BG36" s="59"/>
      <c r="BH36" s="59"/>
      <c r="BI36" s="59"/>
      <c r="BJ36" s="59"/>
      <c r="BK36" s="59"/>
      <c r="BL36" s="59"/>
      <c r="BM36" s="59"/>
      <c r="BN36" s="59"/>
      <c r="BO36" s="59"/>
      <c r="BP36" s="59"/>
      <c r="BQ36" s="59"/>
      <c r="BR36" s="59"/>
      <c r="BS36" s="59"/>
      <c r="BT36" s="59"/>
      <c r="BU36" s="59"/>
      <c r="BV36" s="59"/>
      <c r="BW36" s="59"/>
      <c r="BX36" s="59"/>
      <c r="BY36" s="59"/>
      <c r="BZ36" s="59"/>
    </row>
    <row r="37" spans="2:78" ht="15.95" customHeight="1">
      <c r="C37" s="1016"/>
      <c r="D37" s="1017"/>
      <c r="E37" s="1017"/>
      <c r="F37" s="1017"/>
      <c r="G37" s="1017"/>
      <c r="H37" s="1017"/>
      <c r="I37" s="1017"/>
      <c r="J37" s="1017"/>
      <c r="K37" s="1017"/>
      <c r="L37" s="1017"/>
      <c r="M37" s="1017"/>
      <c r="N37" s="1017"/>
      <c r="O37" s="1017"/>
      <c r="P37" s="1017"/>
      <c r="Q37" s="1017"/>
      <c r="R37" s="1017"/>
      <c r="S37" s="1017"/>
      <c r="T37" s="1017"/>
      <c r="U37" s="1017"/>
      <c r="V37" s="1017"/>
      <c r="W37" s="1017"/>
      <c r="X37" s="1017"/>
      <c r="Y37" s="1017"/>
      <c r="Z37" s="1017"/>
      <c r="AA37" s="1017"/>
      <c r="AB37" s="1017"/>
      <c r="AC37" s="1017"/>
      <c r="AD37" s="1017"/>
      <c r="AE37" s="1017"/>
      <c r="AF37" s="1017"/>
      <c r="AG37" s="1017"/>
      <c r="AH37" s="1017"/>
      <c r="AI37" s="1017"/>
      <c r="AJ37" s="1017"/>
      <c r="AK37" s="1017"/>
      <c r="AL37" s="1017"/>
      <c r="AM37" s="1017"/>
      <c r="AN37" s="1017"/>
      <c r="AO37" s="1017"/>
      <c r="AP37" s="1017"/>
      <c r="AQ37" s="1017"/>
      <c r="AR37" s="59"/>
      <c r="AS37" s="59"/>
      <c r="AT37" s="59"/>
      <c r="AU37" s="814"/>
      <c r="AV37" s="879"/>
      <c r="AW37" s="981"/>
      <c r="AX37" s="59"/>
      <c r="AY37" s="59"/>
      <c r="AZ37" s="59"/>
      <c r="BA37" s="59"/>
      <c r="BB37" s="59"/>
      <c r="BC37" s="59"/>
      <c r="BD37" s="59"/>
      <c r="BE37" s="59"/>
      <c r="BF37" s="59"/>
      <c r="BG37" s="59"/>
      <c r="BH37" s="59"/>
      <c r="BI37" s="59"/>
      <c r="BJ37" s="59"/>
      <c r="BK37" s="59"/>
      <c r="BL37" s="59"/>
      <c r="BM37" s="59"/>
      <c r="BN37" s="59"/>
      <c r="BO37" s="59"/>
      <c r="BP37" s="59"/>
      <c r="BQ37" s="59"/>
      <c r="BR37" s="59"/>
      <c r="BS37" s="59"/>
      <c r="BT37" s="59"/>
      <c r="BU37" s="59"/>
      <c r="BV37" s="59"/>
      <c r="BW37" s="59"/>
      <c r="BX37" s="59"/>
      <c r="BY37" s="59"/>
      <c r="BZ37" s="59"/>
    </row>
    <row r="38" spans="2:78" ht="15.95" customHeight="1">
      <c r="C38" s="809" t="s">
        <v>99</v>
      </c>
      <c r="D38" s="809"/>
      <c r="E38" s="809"/>
      <c r="F38" s="809"/>
      <c r="G38" s="809"/>
      <c r="H38" s="809"/>
      <c r="I38" s="809"/>
      <c r="J38" s="809"/>
      <c r="K38" s="809"/>
      <c r="L38" s="809"/>
      <c r="M38" s="809"/>
      <c r="N38" s="809" t="s">
        <v>103</v>
      </c>
      <c r="O38" s="809"/>
      <c r="P38" s="809"/>
      <c r="Q38" s="809"/>
      <c r="R38" s="809"/>
      <c r="S38" s="809"/>
      <c r="T38" s="809" t="s">
        <v>100</v>
      </c>
      <c r="U38" s="809"/>
      <c r="V38" s="809" t="s">
        <v>91</v>
      </c>
      <c r="W38" s="809"/>
      <c r="X38" s="809" t="s">
        <v>115</v>
      </c>
      <c r="Y38" s="809"/>
      <c r="Z38" s="809"/>
      <c r="AA38" s="809"/>
      <c r="AB38" s="809" t="s">
        <v>104</v>
      </c>
      <c r="AC38" s="809"/>
      <c r="AD38" s="809"/>
      <c r="AE38" s="809" t="s">
        <v>97</v>
      </c>
      <c r="AF38" s="809"/>
      <c r="AG38" s="809" t="s">
        <v>98</v>
      </c>
      <c r="AH38" s="809"/>
      <c r="AI38" s="809" t="s">
        <v>93</v>
      </c>
      <c r="AJ38" s="809"/>
      <c r="AK38" s="809" t="s">
        <v>1358</v>
      </c>
      <c r="AL38" s="809"/>
      <c r="AM38" s="809"/>
      <c r="AN38" s="809" t="s">
        <v>108</v>
      </c>
      <c r="AO38" s="809"/>
      <c r="AP38" s="809"/>
      <c r="AQ38" s="809"/>
      <c r="AR38" s="59"/>
      <c r="AS38" s="59"/>
      <c r="AT38" s="59"/>
      <c r="AU38" s="813"/>
      <c r="AV38" s="878"/>
      <c r="AW38" s="980"/>
      <c r="AX38" s="59"/>
      <c r="AY38" s="59"/>
      <c r="AZ38" s="59"/>
      <c r="BA38" s="59"/>
      <c r="BB38" s="59"/>
      <c r="BC38" s="59"/>
      <c r="BD38" s="59"/>
      <c r="BE38" s="59"/>
      <c r="BF38" s="59"/>
      <c r="BG38" s="59"/>
      <c r="BH38" s="59"/>
      <c r="BI38" s="59"/>
      <c r="BJ38" s="59"/>
      <c r="BK38" s="59"/>
      <c r="BL38" s="59"/>
      <c r="BM38" s="59"/>
      <c r="BN38" s="59"/>
      <c r="BO38" s="59"/>
      <c r="BP38" s="59"/>
      <c r="BQ38" s="59"/>
      <c r="BR38" s="59"/>
      <c r="BS38" s="59"/>
      <c r="BT38" s="59"/>
      <c r="BU38" s="59"/>
      <c r="BV38" s="59"/>
      <c r="BW38" s="59"/>
      <c r="BX38" s="59"/>
      <c r="BY38" s="59"/>
      <c r="BZ38" s="59"/>
    </row>
    <row r="39" spans="2:78" ht="15.95" customHeight="1" thickBot="1">
      <c r="C39" s="810"/>
      <c r="D39" s="810"/>
      <c r="E39" s="810"/>
      <c r="F39" s="810"/>
      <c r="G39" s="810"/>
      <c r="H39" s="810"/>
      <c r="I39" s="810"/>
      <c r="J39" s="810"/>
      <c r="K39" s="810"/>
      <c r="L39" s="810"/>
      <c r="M39" s="810"/>
      <c r="N39" s="810"/>
      <c r="O39" s="810"/>
      <c r="P39" s="810"/>
      <c r="Q39" s="810"/>
      <c r="R39" s="810"/>
      <c r="S39" s="810"/>
      <c r="T39" s="810"/>
      <c r="U39" s="810"/>
      <c r="V39" s="810"/>
      <c r="W39" s="810"/>
      <c r="X39" s="810"/>
      <c r="Y39" s="810"/>
      <c r="Z39" s="810"/>
      <c r="AA39" s="810"/>
      <c r="AB39" s="810"/>
      <c r="AC39" s="810"/>
      <c r="AD39" s="810"/>
      <c r="AE39" s="810"/>
      <c r="AF39" s="810"/>
      <c r="AG39" s="810"/>
      <c r="AH39" s="810"/>
      <c r="AI39" s="810"/>
      <c r="AJ39" s="810"/>
      <c r="AK39" s="810"/>
      <c r="AL39" s="810"/>
      <c r="AM39" s="810"/>
      <c r="AN39" s="810"/>
      <c r="AO39" s="810"/>
      <c r="AP39" s="810"/>
      <c r="AQ39" s="810"/>
      <c r="AR39" s="59"/>
      <c r="AS39" s="59"/>
      <c r="AT39" s="59"/>
      <c r="AU39" s="814"/>
      <c r="AV39" s="879"/>
      <c r="AW39" s="981"/>
      <c r="AX39" s="59"/>
      <c r="AY39" s="59"/>
      <c r="AZ39" s="59"/>
      <c r="BA39" s="59"/>
      <c r="BB39" s="59"/>
      <c r="BC39" s="59"/>
      <c r="BD39" s="59"/>
      <c r="BE39" s="59"/>
      <c r="BF39" s="59"/>
      <c r="BG39" s="59"/>
      <c r="BH39" s="59"/>
      <c r="BI39" s="59"/>
      <c r="BJ39" s="59"/>
      <c r="BK39" s="59"/>
      <c r="BL39" s="59"/>
      <c r="BM39" s="59"/>
      <c r="BN39" s="59"/>
      <c r="BO39" s="59"/>
      <c r="BP39" s="59"/>
      <c r="BQ39" s="59"/>
      <c r="BR39" s="59"/>
      <c r="BS39" s="59"/>
      <c r="BT39" s="59"/>
      <c r="BU39" s="59"/>
      <c r="BV39" s="59"/>
      <c r="BW39" s="59"/>
      <c r="BX39" s="59"/>
      <c r="BY39" s="59"/>
      <c r="BZ39" s="59"/>
    </row>
    <row r="40" spans="2:78" ht="15.95" customHeight="1">
      <c r="B40" s="834">
        <v>13</v>
      </c>
      <c r="C40" s="837"/>
      <c r="D40" s="838"/>
      <c r="E40" s="838"/>
      <c r="F40" s="838"/>
      <c r="G40" s="838"/>
      <c r="H40" s="838"/>
      <c r="I40" s="838"/>
      <c r="J40" s="838"/>
      <c r="K40" s="838"/>
      <c r="L40" s="838"/>
      <c r="M40" s="839"/>
      <c r="N40" s="914" t="str">
        <f>IFERROR(IF(C40="","",INDEX(PMGKITCHEN[Base Desc 1],MATCH(C40,PMGKITCHEN[Eff Desc 1],0))),"")</f>
        <v/>
      </c>
      <c r="O40" s="915"/>
      <c r="P40" s="915"/>
      <c r="Q40" s="915"/>
      <c r="R40" s="915"/>
      <c r="S40" s="916"/>
      <c r="T40" s="1010" t="str">
        <f>IFERROR(IF(C40="","",INDEX(PMGKITCHEN[Unit of Measure],MATCH(C40,PMGKITCHEN[Eff Desc 1],0))),"")</f>
        <v/>
      </c>
      <c r="U40" s="1011"/>
      <c r="V40" s="851"/>
      <c r="W40" s="852"/>
      <c r="X40" s="837"/>
      <c r="Y40" s="838"/>
      <c r="Z40" s="838"/>
      <c r="AA40" s="839"/>
      <c r="AB40" s="837"/>
      <c r="AC40" s="838"/>
      <c r="AD40" s="839"/>
      <c r="AE40" s="863"/>
      <c r="AF40" s="874"/>
      <c r="AG40" s="863"/>
      <c r="AH40" s="874"/>
      <c r="AI40" s="923" t="str">
        <f>IFERROR(IF(C40="","",INDEX(PMGKITCHEN[Inc Rate Unit],MATCH(C40,PMGKITCHEN[Eff Desc 1],0))),"")</f>
        <v/>
      </c>
      <c r="AJ40" s="924"/>
      <c r="AK40" s="1004" t="str">
        <f>IF(OR(C40="",V40="",X40="",AB40="",AE40="",AG40=""),"",ROUND(V40*INDEX(PMGKITCHEN[Savings per Unit Therm],MATCH(C40,PMGKITCHEN[Eff Desc 1],2)),0))</f>
        <v/>
      </c>
      <c r="AL40" s="1005"/>
      <c r="AM40" s="1006"/>
      <c r="AN40" s="820" t="str">
        <f t="shared" ref="AN40" si="8">IF(OR(C40="",V40="",X40="",AB40="",AE40="",AG40=""),"",IF(BC40&lt;&gt;"",BC40,MIN(AU40,ROUND(V40*AI40,2))))</f>
        <v/>
      </c>
      <c r="AO40" s="821"/>
      <c r="AP40" s="821"/>
      <c r="AQ40" s="822"/>
      <c r="AR40" s="59"/>
      <c r="AS40" s="59"/>
      <c r="AT40" s="59"/>
      <c r="AU40" s="813" t="str">
        <f>IF(OR(,V40="",X40="",AB40="",AE40="",AG40=""),"",ROUND((AE40+AG40)*V40,2))</f>
        <v/>
      </c>
      <c r="AV40" s="878">
        <v>0</v>
      </c>
      <c r="AW40" s="980"/>
      <c r="AX40" s="59"/>
      <c r="AY40" s="59"/>
      <c r="AZ40" s="59"/>
      <c r="BA40" s="59"/>
      <c r="BB40" s="59"/>
      <c r="BC40" s="830" t="str">
        <f>IF(OR(N40="",T40="",C40="",V40="",X40="",AB40="",AE40="",AG40=""),"",IF(OR(ISBLANK(M02S02F26),ISBLANK(M02S02F32),ISBLANK(M02S02F46)),MEASUREBLDG,""))</f>
        <v/>
      </c>
      <c r="BD40" s="59"/>
      <c r="BE40" s="811"/>
      <c r="BF40" s="59"/>
      <c r="BG40" s="59"/>
      <c r="BH40" s="59"/>
      <c r="BI40" s="59"/>
      <c r="BJ40" s="59"/>
      <c r="BK40" s="59"/>
      <c r="BL40" s="59"/>
      <c r="BM40" s="59"/>
      <c r="BN40" s="59"/>
      <c r="BO40" s="59"/>
      <c r="BP40" s="59"/>
      <c r="BQ40" s="59"/>
      <c r="BR40" s="59"/>
      <c r="BS40" s="59"/>
      <c r="BT40" s="59"/>
      <c r="BU40" s="59"/>
      <c r="BV40" s="59"/>
      <c r="BW40" s="59"/>
      <c r="BX40" s="59"/>
      <c r="BY40" s="59"/>
      <c r="BZ40" s="59"/>
    </row>
    <row r="41" spans="2:78" ht="15.95" customHeight="1">
      <c r="B41" s="834"/>
      <c r="C41" s="840"/>
      <c r="D41" s="841"/>
      <c r="E41" s="841"/>
      <c r="F41" s="841"/>
      <c r="G41" s="841"/>
      <c r="H41" s="841"/>
      <c r="I41" s="841"/>
      <c r="J41" s="841"/>
      <c r="K41" s="841"/>
      <c r="L41" s="841"/>
      <c r="M41" s="842"/>
      <c r="N41" s="917"/>
      <c r="O41" s="918"/>
      <c r="P41" s="918"/>
      <c r="Q41" s="918"/>
      <c r="R41" s="918"/>
      <c r="S41" s="919"/>
      <c r="T41" s="1012"/>
      <c r="U41" s="1013"/>
      <c r="V41" s="853"/>
      <c r="W41" s="854"/>
      <c r="X41" s="840"/>
      <c r="Y41" s="841"/>
      <c r="Z41" s="841"/>
      <c r="AA41" s="842"/>
      <c r="AB41" s="840"/>
      <c r="AC41" s="841"/>
      <c r="AD41" s="842"/>
      <c r="AE41" s="865"/>
      <c r="AF41" s="875"/>
      <c r="AG41" s="865"/>
      <c r="AH41" s="875"/>
      <c r="AI41" s="925"/>
      <c r="AJ41" s="870"/>
      <c r="AK41" s="1007"/>
      <c r="AL41" s="1008"/>
      <c r="AM41" s="1009"/>
      <c r="AN41" s="823"/>
      <c r="AO41" s="824"/>
      <c r="AP41" s="824"/>
      <c r="AQ41" s="825"/>
      <c r="AR41" s="59"/>
      <c r="AS41" s="59"/>
      <c r="AT41" s="59"/>
      <c r="AU41" s="814"/>
      <c r="AV41" s="879"/>
      <c r="AW41" s="981"/>
      <c r="AX41" s="59"/>
      <c r="AY41" s="59"/>
      <c r="AZ41" s="59"/>
      <c r="BA41" s="59"/>
      <c r="BB41" s="59"/>
      <c r="BC41" s="831"/>
      <c r="BD41" s="59"/>
      <c r="BE41" s="812"/>
      <c r="BF41" s="59"/>
      <c r="BG41" s="59"/>
      <c r="BH41" s="59"/>
      <c r="BI41" s="59"/>
      <c r="BJ41" s="59"/>
      <c r="BK41" s="59"/>
      <c r="BL41" s="59"/>
      <c r="BM41" s="59"/>
      <c r="BN41" s="59"/>
      <c r="BO41" s="59"/>
      <c r="BP41" s="59"/>
      <c r="BQ41" s="59"/>
      <c r="BR41" s="59"/>
      <c r="BS41" s="59"/>
      <c r="BT41" s="59"/>
      <c r="BU41" s="59"/>
      <c r="BV41" s="59"/>
      <c r="BW41" s="59"/>
      <c r="BX41" s="59"/>
      <c r="BY41" s="59"/>
      <c r="BZ41" s="59"/>
    </row>
    <row r="42" spans="2:78" ht="15.95" customHeight="1">
      <c r="B42" s="834">
        <v>14</v>
      </c>
      <c r="C42" s="837"/>
      <c r="D42" s="838"/>
      <c r="E42" s="838"/>
      <c r="F42" s="838"/>
      <c r="G42" s="838"/>
      <c r="H42" s="838"/>
      <c r="I42" s="838"/>
      <c r="J42" s="838"/>
      <c r="K42" s="838"/>
      <c r="L42" s="838"/>
      <c r="M42" s="839"/>
      <c r="N42" s="914" t="str">
        <f>IFERROR(IF(C42="","",INDEX(PMGKITCHEN[Base Desc 1],MATCH(C42,PMGKITCHEN[Eff Desc 1],0))),"")</f>
        <v/>
      </c>
      <c r="O42" s="915"/>
      <c r="P42" s="915"/>
      <c r="Q42" s="915"/>
      <c r="R42" s="915"/>
      <c r="S42" s="916"/>
      <c r="T42" s="1010" t="str">
        <f>IFERROR(IF(C42="","",INDEX(PMGKITCHEN[Unit of Measure],MATCH(C42,PMGKITCHEN[Eff Desc 1],0))),"")</f>
        <v/>
      </c>
      <c r="U42" s="1011"/>
      <c r="V42" s="851"/>
      <c r="W42" s="852"/>
      <c r="X42" s="837"/>
      <c r="Y42" s="838"/>
      <c r="Z42" s="838"/>
      <c r="AA42" s="839"/>
      <c r="AB42" s="837"/>
      <c r="AC42" s="838"/>
      <c r="AD42" s="839"/>
      <c r="AE42" s="863"/>
      <c r="AF42" s="874"/>
      <c r="AG42" s="863"/>
      <c r="AH42" s="874"/>
      <c r="AI42" s="923" t="str">
        <f>IFERROR(IF(C42="","",INDEX(PMGKITCHEN[Inc Rate Unit],MATCH(C42,PMGKITCHEN[Eff Desc 1],0))),"")</f>
        <v/>
      </c>
      <c r="AJ42" s="924"/>
      <c r="AK42" s="1004" t="str">
        <f>IF(OR(C42="",V42="",X42="",AB42="",AE42="",AG42=""),"",ROUND(V42*INDEX(PMGKITCHEN[Savings per Unit Therm],MATCH(C42,PMGKITCHEN[Eff Desc 1],2)),0))</f>
        <v/>
      </c>
      <c r="AL42" s="1005"/>
      <c r="AM42" s="1006"/>
      <c r="AN42" s="820" t="str">
        <f t="shared" ref="AN42" si="9">IF(OR(C42="",V42="",X42="",AB42="",AE42="",AG42=""),"",IF(BC42&lt;&gt;"",BC42,MIN(AU42,ROUND(V42*AI42,2))))</f>
        <v/>
      </c>
      <c r="AO42" s="821"/>
      <c r="AP42" s="821"/>
      <c r="AQ42" s="822"/>
      <c r="AR42" s="59"/>
      <c r="AS42" s="59"/>
      <c r="AT42" s="59"/>
      <c r="AU42" s="813" t="str">
        <f>IF(OR(,V42="",X42="",AB42="",AE42="",AG42=""),"",ROUND((AE42+AG42)*V42,2))</f>
        <v/>
      </c>
      <c r="AV42" s="878">
        <v>0</v>
      </c>
      <c r="AW42" s="980"/>
      <c r="AX42" s="59"/>
      <c r="AY42" s="59"/>
      <c r="AZ42" s="59"/>
      <c r="BA42" s="59"/>
      <c r="BB42" s="59"/>
      <c r="BC42" s="830" t="str">
        <f>IF(OR(N42="",T42="",C42="",V42="",X42="",AB42="",AE42="",AG42=""),"",IF(OR(ISBLANK(M02S02F26),ISBLANK(M02S02F32),ISBLANK(M02S02F46)),MEASUREBLDG,""))</f>
        <v/>
      </c>
      <c r="BD42" s="59"/>
      <c r="BE42" s="811"/>
      <c r="BF42" s="59"/>
      <c r="BG42" s="59"/>
      <c r="BH42" s="59"/>
      <c r="BI42" s="59"/>
      <c r="BJ42" s="59"/>
      <c r="BK42" s="59"/>
      <c r="BL42" s="59"/>
      <c r="BM42" s="59"/>
      <c r="BN42" s="59"/>
      <c r="BO42" s="59"/>
      <c r="BP42" s="59"/>
      <c r="BQ42" s="59"/>
      <c r="BR42" s="59"/>
      <c r="BS42" s="59"/>
      <c r="BT42" s="59"/>
      <c r="BU42" s="59"/>
      <c r="BV42" s="59"/>
      <c r="BW42" s="59"/>
      <c r="BX42" s="59"/>
      <c r="BY42" s="59"/>
      <c r="BZ42" s="59"/>
    </row>
    <row r="43" spans="2:78" ht="15.95" customHeight="1">
      <c r="B43" s="834"/>
      <c r="C43" s="840"/>
      <c r="D43" s="841"/>
      <c r="E43" s="841"/>
      <c r="F43" s="841"/>
      <c r="G43" s="841"/>
      <c r="H43" s="841"/>
      <c r="I43" s="841"/>
      <c r="J43" s="841"/>
      <c r="K43" s="841"/>
      <c r="L43" s="841"/>
      <c r="M43" s="842"/>
      <c r="N43" s="917"/>
      <c r="O43" s="918"/>
      <c r="P43" s="918"/>
      <c r="Q43" s="918"/>
      <c r="R43" s="918"/>
      <c r="S43" s="919"/>
      <c r="T43" s="1012"/>
      <c r="U43" s="1013"/>
      <c r="V43" s="853"/>
      <c r="W43" s="854"/>
      <c r="X43" s="840"/>
      <c r="Y43" s="841"/>
      <c r="Z43" s="841"/>
      <c r="AA43" s="842"/>
      <c r="AB43" s="840"/>
      <c r="AC43" s="841"/>
      <c r="AD43" s="842"/>
      <c r="AE43" s="865"/>
      <c r="AF43" s="875"/>
      <c r="AG43" s="865"/>
      <c r="AH43" s="875"/>
      <c r="AI43" s="925"/>
      <c r="AJ43" s="870"/>
      <c r="AK43" s="1007"/>
      <c r="AL43" s="1008"/>
      <c r="AM43" s="1009"/>
      <c r="AN43" s="823"/>
      <c r="AO43" s="824"/>
      <c r="AP43" s="824"/>
      <c r="AQ43" s="825"/>
      <c r="AR43" s="59"/>
      <c r="AS43" s="59"/>
      <c r="AT43" s="59"/>
      <c r="AU43" s="814"/>
      <c r="AV43" s="879"/>
      <c r="AW43" s="981"/>
      <c r="AX43" s="59"/>
      <c r="AY43" s="59"/>
      <c r="AZ43" s="59"/>
      <c r="BA43" s="59"/>
      <c r="BB43" s="59"/>
      <c r="BC43" s="831"/>
      <c r="BD43" s="59"/>
      <c r="BE43" s="812"/>
      <c r="BF43" s="59"/>
      <c r="BG43" s="59"/>
      <c r="BH43" s="59"/>
      <c r="BI43" s="59"/>
      <c r="BJ43" s="59"/>
      <c r="BK43" s="59"/>
      <c r="BL43" s="59"/>
      <c r="BM43" s="59"/>
      <c r="BN43" s="59"/>
      <c r="BO43" s="59"/>
      <c r="BP43" s="59"/>
      <c r="BQ43" s="59"/>
      <c r="BR43" s="59"/>
      <c r="BS43" s="59"/>
      <c r="BT43" s="59"/>
      <c r="BU43" s="59"/>
      <c r="BV43" s="59"/>
      <c r="BW43" s="59"/>
      <c r="BX43" s="59"/>
      <c r="BY43" s="59"/>
      <c r="BZ43" s="59"/>
    </row>
    <row r="44" spans="2:78" ht="15.95" customHeight="1">
      <c r="B44" s="834">
        <v>15</v>
      </c>
      <c r="C44" s="837"/>
      <c r="D44" s="838"/>
      <c r="E44" s="838"/>
      <c r="F44" s="838"/>
      <c r="G44" s="838"/>
      <c r="H44" s="838"/>
      <c r="I44" s="838"/>
      <c r="J44" s="838"/>
      <c r="K44" s="838"/>
      <c r="L44" s="838"/>
      <c r="M44" s="839"/>
      <c r="N44" s="914" t="str">
        <f>IFERROR(IF(C44="","",INDEX(PMGKITCHEN[Base Desc 1],MATCH(C44,PMGKITCHEN[Eff Desc 1],0))),"")</f>
        <v/>
      </c>
      <c r="O44" s="915"/>
      <c r="P44" s="915"/>
      <c r="Q44" s="915"/>
      <c r="R44" s="915"/>
      <c r="S44" s="916"/>
      <c r="T44" s="1010" t="str">
        <f>IFERROR(IF(C44="","",INDEX(PMGKITCHEN[Unit of Measure],MATCH(C44,PMGKITCHEN[Eff Desc 1],0))),"")</f>
        <v/>
      </c>
      <c r="U44" s="1011"/>
      <c r="V44" s="851"/>
      <c r="W44" s="852"/>
      <c r="X44" s="837"/>
      <c r="Y44" s="838"/>
      <c r="Z44" s="838"/>
      <c r="AA44" s="839"/>
      <c r="AB44" s="837"/>
      <c r="AC44" s="838"/>
      <c r="AD44" s="839"/>
      <c r="AE44" s="863"/>
      <c r="AF44" s="874"/>
      <c r="AG44" s="863"/>
      <c r="AH44" s="874"/>
      <c r="AI44" s="923" t="str">
        <f>IFERROR(IF(C44="","",INDEX(PMGKITCHEN[Inc Rate Unit],MATCH(C44,PMGKITCHEN[Eff Desc 1],0))),"")</f>
        <v/>
      </c>
      <c r="AJ44" s="924"/>
      <c r="AK44" s="1004" t="str">
        <f>IF(OR(C44="",V44="",X44="",AB44="",AE44="",AG44=""),"",ROUND(V44*INDEX(PMGKITCHEN[Savings per Unit Therm],MATCH(C44,PMGKITCHEN[Eff Desc 1],2)),0))</f>
        <v/>
      </c>
      <c r="AL44" s="1005"/>
      <c r="AM44" s="1006"/>
      <c r="AN44" s="820" t="str">
        <f t="shared" ref="AN44" si="10">IF(OR(C44="",V44="",X44="",AB44="",AE44="",AG44=""),"",IF(BC44&lt;&gt;"",BC44,MIN(AU44,ROUND(V44*AI44,2))))</f>
        <v/>
      </c>
      <c r="AO44" s="821"/>
      <c r="AP44" s="821"/>
      <c r="AQ44" s="822"/>
      <c r="AS44" s="59"/>
      <c r="AT44" s="59"/>
      <c r="AU44" s="813" t="str">
        <f t="shared" ref="AU44" si="11">IF(OR(,V44="",X44="",AB44="",AE44="",AG44=""),"",ROUND((AE44+AG44)*V44,2))</f>
        <v/>
      </c>
      <c r="AV44" s="878">
        <v>0</v>
      </c>
      <c r="AW44" s="980"/>
      <c r="AX44" s="59"/>
      <c r="AZ44" s="59"/>
      <c r="BC44" s="830" t="str">
        <f>IF(OR(N44="",T44="",C44="",V44="",X44="",AB44="",AE44="",AG44=""),"",IF(OR(ISBLANK(M02S02F26),ISBLANK(M02S02F32),ISBLANK(M02S02F46)),MEASUREBLDG,""))</f>
        <v/>
      </c>
      <c r="BD44" s="59"/>
      <c r="BE44" s="811"/>
      <c r="BF44" s="59"/>
      <c r="BG44" s="59"/>
      <c r="BH44" s="59"/>
      <c r="BI44" s="59"/>
      <c r="BJ44" s="59"/>
      <c r="BK44" s="59"/>
      <c r="BL44" s="59"/>
      <c r="BM44" s="59"/>
      <c r="BN44" s="59"/>
      <c r="BO44" s="59"/>
      <c r="BP44" s="59"/>
      <c r="BQ44" s="59"/>
      <c r="BR44" s="59"/>
      <c r="BS44" s="59"/>
      <c r="BT44" s="59"/>
      <c r="BU44" s="59"/>
      <c r="BV44" s="59"/>
      <c r="BW44" s="59"/>
      <c r="BX44" s="59"/>
      <c r="BY44" s="59"/>
      <c r="BZ44" s="59"/>
    </row>
    <row r="45" spans="2:78" ht="15.95" customHeight="1">
      <c r="B45" s="834"/>
      <c r="C45" s="840"/>
      <c r="D45" s="841"/>
      <c r="E45" s="841"/>
      <c r="F45" s="841"/>
      <c r="G45" s="841"/>
      <c r="H45" s="841"/>
      <c r="I45" s="841"/>
      <c r="J45" s="841"/>
      <c r="K45" s="841"/>
      <c r="L45" s="841"/>
      <c r="M45" s="842"/>
      <c r="N45" s="917"/>
      <c r="O45" s="918"/>
      <c r="P45" s="918"/>
      <c r="Q45" s="918"/>
      <c r="R45" s="918"/>
      <c r="S45" s="919"/>
      <c r="T45" s="1012"/>
      <c r="U45" s="1013"/>
      <c r="V45" s="853"/>
      <c r="W45" s="854"/>
      <c r="X45" s="840"/>
      <c r="Y45" s="841"/>
      <c r="Z45" s="841"/>
      <c r="AA45" s="842"/>
      <c r="AB45" s="840"/>
      <c r="AC45" s="841"/>
      <c r="AD45" s="842"/>
      <c r="AE45" s="865"/>
      <c r="AF45" s="875"/>
      <c r="AG45" s="865"/>
      <c r="AH45" s="875"/>
      <c r="AI45" s="925"/>
      <c r="AJ45" s="870"/>
      <c r="AK45" s="1007"/>
      <c r="AL45" s="1008"/>
      <c r="AM45" s="1009"/>
      <c r="AN45" s="823"/>
      <c r="AO45" s="824"/>
      <c r="AP45" s="824"/>
      <c r="AQ45" s="825"/>
      <c r="AS45" s="59"/>
      <c r="AT45" s="59"/>
      <c r="AU45" s="814"/>
      <c r="AV45" s="879"/>
      <c r="AW45" s="981"/>
      <c r="AX45" s="59"/>
      <c r="AZ45" s="59"/>
      <c r="BC45" s="831"/>
      <c r="BD45" s="59"/>
      <c r="BE45" s="812"/>
      <c r="BF45" s="59"/>
      <c r="BG45" s="59"/>
      <c r="BH45" s="59"/>
      <c r="BI45" s="59"/>
      <c r="BJ45" s="59"/>
      <c r="BK45" s="59"/>
      <c r="BL45" s="59"/>
      <c r="BM45" s="59"/>
      <c r="BN45" s="59"/>
      <c r="BO45" s="59"/>
      <c r="BP45" s="59"/>
      <c r="BQ45" s="59"/>
      <c r="BR45" s="59"/>
      <c r="BS45" s="59"/>
      <c r="BT45" s="59"/>
      <c r="BU45" s="59"/>
      <c r="BV45" s="59"/>
      <c r="BW45" s="59"/>
      <c r="BX45" s="59"/>
      <c r="BY45" s="59"/>
      <c r="BZ45" s="59"/>
    </row>
    <row r="46" spans="2:78" ht="15.95" customHeight="1">
      <c r="B46" s="929">
        <v>16</v>
      </c>
      <c r="C46" s="837"/>
      <c r="D46" s="838"/>
      <c r="E46" s="838"/>
      <c r="F46" s="838"/>
      <c r="G46" s="838"/>
      <c r="H46" s="838"/>
      <c r="I46" s="838"/>
      <c r="J46" s="838"/>
      <c r="K46" s="838"/>
      <c r="L46" s="838"/>
      <c r="M46" s="839"/>
      <c r="N46" s="914" t="str">
        <f>IFERROR(IF(C46="","",INDEX(PMGKITCHEN[Base Desc 1],MATCH(C46,PMGKITCHEN[Eff Desc 1],0))),"")</f>
        <v/>
      </c>
      <c r="O46" s="915"/>
      <c r="P46" s="915"/>
      <c r="Q46" s="915"/>
      <c r="R46" s="915"/>
      <c r="S46" s="916"/>
      <c r="T46" s="1010" t="str">
        <f>IFERROR(IF(C46="","",INDEX(PMGKITCHEN[Unit of Measure],MATCH(C46,PMGKITCHEN[Eff Desc 1],0))),"")</f>
        <v/>
      </c>
      <c r="U46" s="1011"/>
      <c r="V46" s="851"/>
      <c r="W46" s="852"/>
      <c r="X46" s="837"/>
      <c r="Y46" s="838"/>
      <c r="Z46" s="838"/>
      <c r="AA46" s="839"/>
      <c r="AB46" s="837"/>
      <c r="AC46" s="838"/>
      <c r="AD46" s="839"/>
      <c r="AE46" s="863"/>
      <c r="AF46" s="874"/>
      <c r="AG46" s="863"/>
      <c r="AH46" s="874"/>
      <c r="AI46" s="923" t="str">
        <f>IFERROR(IF(C46="","",INDEX(PMGKITCHEN[Inc Rate Unit],MATCH(C46,PMGKITCHEN[Eff Desc 1],0))),"")</f>
        <v/>
      </c>
      <c r="AJ46" s="924"/>
      <c r="AK46" s="1004" t="str">
        <f>IF(OR(C46="",V46="",X46="",AB46="",AE46="",AG46=""),"",ROUND(V46*INDEX(PMGKITCHEN[Savings per Unit Therm],MATCH(C46,PMGKITCHEN[Eff Desc 1],2)),0))</f>
        <v/>
      </c>
      <c r="AL46" s="1005"/>
      <c r="AM46" s="1006"/>
      <c r="AN46" s="820" t="str">
        <f t="shared" ref="AN46" si="12">IF(OR(C46="",V46="",X46="",AB46="",AE46="",AG46=""),"",IF(BC46&lt;&gt;"",BC46,MIN(AU46,ROUND(V46*AI46,2))))</f>
        <v/>
      </c>
      <c r="AO46" s="821"/>
      <c r="AP46" s="821"/>
      <c r="AQ46" s="822"/>
      <c r="AS46" s="59"/>
      <c r="AT46" s="59"/>
      <c r="AU46" s="813" t="str">
        <f t="shared" ref="AU46" si="13">IF(OR(,V46="",X46="",AB46="",AE46="",AG46=""),"",ROUND((AE46+AG46)*V46,2))</f>
        <v/>
      </c>
      <c r="AV46" s="878">
        <v>0</v>
      </c>
      <c r="AW46" s="980"/>
      <c r="AX46" s="59"/>
      <c r="AY46" s="59"/>
      <c r="AZ46" s="59"/>
      <c r="BA46" s="59"/>
      <c r="BB46" s="59"/>
      <c r="BC46" s="830" t="str">
        <f>IF(OR(N46="",T46="",C46="",V46="",X46="",AB46="",AE46="",AG46=""),"",IF(OR(ISBLANK(M02S02F26),ISBLANK(M02S02F32),ISBLANK(M02S02F46)),MEASUREBLDG,""))</f>
        <v/>
      </c>
      <c r="BD46" s="59"/>
      <c r="BE46" s="811"/>
      <c r="BF46" s="59"/>
      <c r="BG46" s="59"/>
      <c r="BH46" s="59"/>
      <c r="BI46" s="59"/>
      <c r="BJ46" s="59"/>
      <c r="BK46" s="59"/>
      <c r="BL46" s="59"/>
      <c r="BM46" s="59"/>
      <c r="BN46" s="59"/>
      <c r="BO46" s="59"/>
      <c r="BP46" s="59"/>
      <c r="BQ46" s="59"/>
      <c r="BR46" s="59"/>
      <c r="BS46" s="59"/>
      <c r="BT46" s="59"/>
      <c r="BU46" s="59"/>
      <c r="BV46" s="59"/>
      <c r="BW46" s="59"/>
      <c r="BX46" s="59"/>
      <c r="BY46" s="59"/>
      <c r="BZ46" s="59"/>
    </row>
    <row r="47" spans="2:78" ht="15.95" customHeight="1">
      <c r="B47" s="929"/>
      <c r="C47" s="840"/>
      <c r="D47" s="841"/>
      <c r="E47" s="841"/>
      <c r="F47" s="841"/>
      <c r="G47" s="841"/>
      <c r="H47" s="841"/>
      <c r="I47" s="841"/>
      <c r="J47" s="841"/>
      <c r="K47" s="841"/>
      <c r="L47" s="841"/>
      <c r="M47" s="842"/>
      <c r="N47" s="917"/>
      <c r="O47" s="918"/>
      <c r="P47" s="918"/>
      <c r="Q47" s="918"/>
      <c r="R47" s="918"/>
      <c r="S47" s="919"/>
      <c r="T47" s="1012"/>
      <c r="U47" s="1013"/>
      <c r="V47" s="853"/>
      <c r="W47" s="854"/>
      <c r="X47" s="840"/>
      <c r="Y47" s="841"/>
      <c r="Z47" s="841"/>
      <c r="AA47" s="842"/>
      <c r="AB47" s="840"/>
      <c r="AC47" s="841"/>
      <c r="AD47" s="842"/>
      <c r="AE47" s="865"/>
      <c r="AF47" s="875"/>
      <c r="AG47" s="865"/>
      <c r="AH47" s="875"/>
      <c r="AI47" s="925"/>
      <c r="AJ47" s="870"/>
      <c r="AK47" s="1007"/>
      <c r="AL47" s="1008"/>
      <c r="AM47" s="1009"/>
      <c r="AN47" s="823"/>
      <c r="AO47" s="824"/>
      <c r="AP47" s="824"/>
      <c r="AQ47" s="825"/>
      <c r="AS47" s="59"/>
      <c r="AT47" s="59"/>
      <c r="AU47" s="814"/>
      <c r="AV47" s="879"/>
      <c r="AW47" s="981"/>
      <c r="AX47" s="59"/>
      <c r="AY47" s="59"/>
      <c r="AZ47" s="59"/>
      <c r="BA47" s="59"/>
      <c r="BB47" s="59"/>
      <c r="BC47" s="831"/>
      <c r="BD47" s="59"/>
      <c r="BE47" s="812"/>
      <c r="BF47" s="59"/>
      <c r="BG47" s="59"/>
      <c r="BH47" s="59"/>
      <c r="BI47" s="59"/>
      <c r="BJ47" s="59"/>
      <c r="BK47" s="59"/>
      <c r="BL47" s="59"/>
      <c r="BM47" s="59"/>
      <c r="BN47" s="59"/>
      <c r="BO47" s="59"/>
      <c r="BP47" s="59"/>
      <c r="BQ47" s="59"/>
      <c r="BR47" s="59"/>
      <c r="BS47" s="59"/>
      <c r="BT47" s="59"/>
      <c r="BU47" s="59"/>
      <c r="BV47" s="59"/>
      <c r="BW47" s="59"/>
      <c r="BX47" s="59"/>
      <c r="BY47" s="59"/>
      <c r="BZ47" s="59"/>
    </row>
    <row r="48" spans="2:78" ht="15.95" customHeight="1">
      <c r="B48" s="929">
        <v>17</v>
      </c>
      <c r="C48" s="837"/>
      <c r="D48" s="838"/>
      <c r="E48" s="838"/>
      <c r="F48" s="838"/>
      <c r="G48" s="838"/>
      <c r="H48" s="838"/>
      <c r="I48" s="838"/>
      <c r="J48" s="838"/>
      <c r="K48" s="838"/>
      <c r="L48" s="838"/>
      <c r="M48" s="839"/>
      <c r="N48" s="914" t="str">
        <f>IFERROR(IF(C48="","",INDEX(PMGKITCHEN[Base Desc 1],MATCH(C48,PMGKITCHEN[Eff Desc 1],0))),"")</f>
        <v/>
      </c>
      <c r="O48" s="915"/>
      <c r="P48" s="915"/>
      <c r="Q48" s="915"/>
      <c r="R48" s="915"/>
      <c r="S48" s="916"/>
      <c r="T48" s="1010" t="str">
        <f>IFERROR(IF(C48="","",INDEX(PMGKITCHEN[Unit of Measure],MATCH(C48,PMGKITCHEN[Eff Desc 1],0))),"")</f>
        <v/>
      </c>
      <c r="U48" s="1011"/>
      <c r="V48" s="851"/>
      <c r="W48" s="852"/>
      <c r="X48" s="837"/>
      <c r="Y48" s="838"/>
      <c r="Z48" s="838"/>
      <c r="AA48" s="839"/>
      <c r="AB48" s="837"/>
      <c r="AC48" s="838"/>
      <c r="AD48" s="839"/>
      <c r="AE48" s="863"/>
      <c r="AF48" s="874"/>
      <c r="AG48" s="863"/>
      <c r="AH48" s="874"/>
      <c r="AI48" s="923" t="str">
        <f>IFERROR(IF(C48="","",INDEX(PMGKITCHEN[Inc Rate Unit],MATCH(C48,PMGKITCHEN[Eff Desc 1],0))),"")</f>
        <v/>
      </c>
      <c r="AJ48" s="924"/>
      <c r="AK48" s="1004" t="str">
        <f>IF(OR(C48="",V48="",X48="",AB48="",AE48="",AG48=""),"",ROUND(V48*INDEX(PMGKITCHEN[Savings per Unit Therm],MATCH(C48,PMGKITCHEN[Eff Desc 1],2)),0))</f>
        <v/>
      </c>
      <c r="AL48" s="1005"/>
      <c r="AM48" s="1006"/>
      <c r="AN48" s="820" t="str">
        <f t="shared" ref="AN48" si="14">IF(OR(C48="",V48="",X48="",AB48="",AE48="",AG48=""),"",IF(BC48&lt;&gt;"",BC48,MIN(AU48,ROUND(V48*AI48,2))))</f>
        <v/>
      </c>
      <c r="AO48" s="821"/>
      <c r="AP48" s="821"/>
      <c r="AQ48" s="822"/>
      <c r="AS48" s="59"/>
      <c r="AT48" s="59"/>
      <c r="AU48" s="813" t="str">
        <f t="shared" ref="AU48" si="15">IF(OR(,V48="",X48="",AB48="",AE48="",AG48=""),"",ROUND((AE48+AG48)*V48,2))</f>
        <v/>
      </c>
      <c r="AV48" s="878">
        <v>0</v>
      </c>
      <c r="AW48" s="980"/>
      <c r="AX48" s="59"/>
      <c r="AY48" s="59"/>
      <c r="AZ48" s="59"/>
      <c r="BA48" s="59"/>
      <c r="BB48" s="59"/>
      <c r="BC48" s="830" t="str">
        <f>IF(OR(N48="",T48="",C48="",V48="",X48="",AB48="",AE48="",AG48=""),"",IF(OR(ISBLANK(M02S02F26),ISBLANK(M02S02F32),ISBLANK(M02S02F46)),MEASUREBLDG,""))</f>
        <v/>
      </c>
      <c r="BD48" s="59"/>
      <c r="BE48" s="811"/>
      <c r="BF48" s="59"/>
      <c r="BG48" s="59"/>
      <c r="BH48" s="59"/>
      <c r="BI48" s="59"/>
      <c r="BJ48" s="59"/>
      <c r="BK48" s="59"/>
      <c r="BL48" s="59"/>
      <c r="BM48" s="59"/>
      <c r="BN48" s="59"/>
      <c r="BO48" s="59"/>
      <c r="BP48" s="59"/>
      <c r="BQ48" s="59"/>
      <c r="BR48" s="59"/>
      <c r="BS48" s="59"/>
      <c r="BT48" s="59"/>
      <c r="BU48" s="59"/>
      <c r="BV48" s="59"/>
      <c r="BW48" s="59"/>
      <c r="BX48" s="59"/>
      <c r="BY48" s="59"/>
      <c r="BZ48" s="59"/>
    </row>
    <row r="49" spans="2:78" ht="15.95" customHeight="1">
      <c r="B49" s="929"/>
      <c r="C49" s="840"/>
      <c r="D49" s="841"/>
      <c r="E49" s="841"/>
      <c r="F49" s="841"/>
      <c r="G49" s="841"/>
      <c r="H49" s="841"/>
      <c r="I49" s="841"/>
      <c r="J49" s="841"/>
      <c r="K49" s="841"/>
      <c r="L49" s="841"/>
      <c r="M49" s="842"/>
      <c r="N49" s="917"/>
      <c r="O49" s="918"/>
      <c r="P49" s="918"/>
      <c r="Q49" s="918"/>
      <c r="R49" s="918"/>
      <c r="S49" s="919"/>
      <c r="T49" s="1012"/>
      <c r="U49" s="1013"/>
      <c r="V49" s="853"/>
      <c r="W49" s="854"/>
      <c r="X49" s="840"/>
      <c r="Y49" s="841"/>
      <c r="Z49" s="841"/>
      <c r="AA49" s="842"/>
      <c r="AB49" s="840"/>
      <c r="AC49" s="841"/>
      <c r="AD49" s="842"/>
      <c r="AE49" s="865"/>
      <c r="AF49" s="875"/>
      <c r="AG49" s="865"/>
      <c r="AH49" s="875"/>
      <c r="AI49" s="925"/>
      <c r="AJ49" s="870"/>
      <c r="AK49" s="1007"/>
      <c r="AL49" s="1008"/>
      <c r="AM49" s="1009"/>
      <c r="AN49" s="823"/>
      <c r="AO49" s="824"/>
      <c r="AP49" s="824"/>
      <c r="AQ49" s="825"/>
      <c r="AS49" s="59"/>
      <c r="AT49" s="59"/>
      <c r="AU49" s="814"/>
      <c r="AV49" s="879"/>
      <c r="AW49" s="981"/>
      <c r="AX49" s="59"/>
      <c r="AY49" s="59"/>
      <c r="AZ49" s="59"/>
      <c r="BA49" s="59"/>
      <c r="BB49" s="59"/>
      <c r="BC49" s="831"/>
      <c r="BD49" s="59"/>
      <c r="BE49" s="812"/>
      <c r="BF49" s="59"/>
      <c r="BG49" s="59"/>
      <c r="BH49" s="59"/>
      <c r="BI49" s="59"/>
      <c r="BJ49" s="59"/>
      <c r="BK49" s="59"/>
      <c r="BL49" s="59"/>
      <c r="BM49" s="59"/>
      <c r="BN49" s="59"/>
      <c r="BO49" s="59"/>
      <c r="BP49" s="59"/>
      <c r="BQ49" s="59"/>
      <c r="BR49" s="59"/>
      <c r="BS49" s="59"/>
      <c r="BT49" s="59"/>
      <c r="BU49" s="59"/>
      <c r="BV49" s="59"/>
      <c r="BW49" s="59"/>
      <c r="BX49" s="59"/>
      <c r="BY49" s="59"/>
      <c r="BZ49" s="59"/>
    </row>
    <row r="50" spans="2:78" ht="15.95" customHeight="1">
      <c r="B50" s="929">
        <v>18</v>
      </c>
      <c r="C50" s="837"/>
      <c r="D50" s="838"/>
      <c r="E50" s="838"/>
      <c r="F50" s="838"/>
      <c r="G50" s="838"/>
      <c r="H50" s="838"/>
      <c r="I50" s="838"/>
      <c r="J50" s="838"/>
      <c r="K50" s="838"/>
      <c r="L50" s="838"/>
      <c r="M50" s="839"/>
      <c r="N50" s="914" t="str">
        <f>IFERROR(IF(C50="","",INDEX(PMGKITCHEN[Base Desc 1],MATCH(C50,PMGKITCHEN[Eff Desc 1],0))),"")</f>
        <v/>
      </c>
      <c r="O50" s="915"/>
      <c r="P50" s="915"/>
      <c r="Q50" s="915"/>
      <c r="R50" s="915"/>
      <c r="S50" s="916"/>
      <c r="T50" s="1010" t="str">
        <f>IFERROR(IF(C50="","",INDEX(PMGKITCHEN[Unit of Measure],MATCH(C50,PMGKITCHEN[Eff Desc 1],0))),"")</f>
        <v/>
      </c>
      <c r="U50" s="1011"/>
      <c r="V50" s="851"/>
      <c r="W50" s="852"/>
      <c r="X50" s="837"/>
      <c r="Y50" s="838"/>
      <c r="Z50" s="838"/>
      <c r="AA50" s="839"/>
      <c r="AB50" s="837"/>
      <c r="AC50" s="838"/>
      <c r="AD50" s="839"/>
      <c r="AE50" s="863"/>
      <c r="AF50" s="874"/>
      <c r="AG50" s="863"/>
      <c r="AH50" s="874"/>
      <c r="AI50" s="923" t="str">
        <f>IFERROR(IF(C50="","",INDEX(PMGKITCHEN[Inc Rate Unit],MATCH(C50,PMGKITCHEN[Eff Desc 1],0))),"")</f>
        <v/>
      </c>
      <c r="AJ50" s="924"/>
      <c r="AK50" s="1004" t="str">
        <f>IF(OR(C50="",V50="",X50="",AB50="",AE50="",AG50=""),"",ROUND(V50*INDEX(PMGKITCHEN[Savings per Unit Therm],MATCH(C50,PMGKITCHEN[Eff Desc 1],2)),0))</f>
        <v/>
      </c>
      <c r="AL50" s="1005"/>
      <c r="AM50" s="1006"/>
      <c r="AN50" s="820" t="str">
        <f t="shared" ref="AN50" si="16">IF(OR(C50="",V50="",X50="",AB50="",AE50="",AG50=""),"",IF(BC50&lt;&gt;"",BC50,MIN(AU50,ROUND(V50*AI50,2))))</f>
        <v/>
      </c>
      <c r="AO50" s="821"/>
      <c r="AP50" s="821"/>
      <c r="AQ50" s="822"/>
      <c r="AS50" s="59"/>
      <c r="AT50" s="59"/>
      <c r="AU50" s="813" t="str">
        <f t="shared" ref="AU50" si="17">IF(OR(,V50="",X50="",AB50="",AE50="",AG50=""),"",ROUND((AE50+AG50)*V50,2))</f>
        <v/>
      </c>
      <c r="AV50" s="878">
        <v>0</v>
      </c>
      <c r="AW50" s="980"/>
      <c r="AX50" s="59"/>
      <c r="AY50" s="59"/>
      <c r="AZ50" s="59"/>
      <c r="BA50" s="59"/>
      <c r="BB50" s="59"/>
      <c r="BC50" s="830" t="str">
        <f>IF(OR(N50="",T50="",C50="",V50="",X50="",AB50="",AE50="",AG50=""),"",IF(OR(ISBLANK(M02S02F26),ISBLANK(M02S02F32),ISBLANK(M02S02F46)),MEASUREBLDG,""))</f>
        <v/>
      </c>
      <c r="BD50" s="59"/>
      <c r="BE50" s="811"/>
      <c r="BF50" s="59"/>
      <c r="BG50" s="59"/>
      <c r="BH50" s="59"/>
      <c r="BI50" s="59"/>
      <c r="BJ50" s="59"/>
      <c r="BK50" s="59"/>
      <c r="BL50" s="59"/>
      <c r="BM50" s="59"/>
      <c r="BN50" s="59"/>
      <c r="BO50" s="59"/>
      <c r="BP50" s="59"/>
      <c r="BQ50" s="59"/>
      <c r="BR50" s="59"/>
      <c r="BS50" s="59"/>
      <c r="BT50" s="59"/>
      <c r="BU50" s="59"/>
      <c r="BV50" s="59"/>
      <c r="BW50" s="59"/>
      <c r="BX50" s="59"/>
      <c r="BY50" s="59"/>
      <c r="BZ50" s="59"/>
    </row>
    <row r="51" spans="2:78" ht="15.95" customHeight="1">
      <c r="B51" s="929"/>
      <c r="C51" s="840"/>
      <c r="D51" s="841"/>
      <c r="E51" s="841"/>
      <c r="F51" s="841"/>
      <c r="G51" s="841"/>
      <c r="H51" s="841"/>
      <c r="I51" s="841"/>
      <c r="J51" s="841"/>
      <c r="K51" s="841"/>
      <c r="L51" s="841"/>
      <c r="M51" s="842"/>
      <c r="N51" s="917"/>
      <c r="O51" s="918"/>
      <c r="P51" s="918"/>
      <c r="Q51" s="918"/>
      <c r="R51" s="918"/>
      <c r="S51" s="919"/>
      <c r="T51" s="1012"/>
      <c r="U51" s="1013"/>
      <c r="V51" s="853"/>
      <c r="W51" s="854"/>
      <c r="X51" s="840"/>
      <c r="Y51" s="841"/>
      <c r="Z51" s="841"/>
      <c r="AA51" s="842"/>
      <c r="AB51" s="840"/>
      <c r="AC51" s="841"/>
      <c r="AD51" s="842"/>
      <c r="AE51" s="865"/>
      <c r="AF51" s="875"/>
      <c r="AG51" s="865"/>
      <c r="AH51" s="875"/>
      <c r="AI51" s="925"/>
      <c r="AJ51" s="870"/>
      <c r="AK51" s="1007"/>
      <c r="AL51" s="1008"/>
      <c r="AM51" s="1009"/>
      <c r="AN51" s="823"/>
      <c r="AO51" s="824"/>
      <c r="AP51" s="824"/>
      <c r="AQ51" s="825"/>
      <c r="AS51" s="59"/>
      <c r="AT51" s="59"/>
      <c r="AU51" s="814"/>
      <c r="AV51" s="879"/>
      <c r="AW51" s="981"/>
      <c r="AX51" s="59"/>
      <c r="AY51" s="59"/>
      <c r="AZ51" s="59"/>
      <c r="BA51" s="59"/>
      <c r="BB51" s="59"/>
      <c r="BC51" s="831"/>
      <c r="BD51" s="59"/>
      <c r="BE51" s="812"/>
      <c r="BF51" s="59"/>
      <c r="BG51" s="59"/>
      <c r="BH51" s="59"/>
      <c r="BI51" s="59"/>
      <c r="BJ51" s="59"/>
      <c r="BK51" s="59"/>
      <c r="BL51" s="59"/>
      <c r="BM51" s="59"/>
      <c r="BN51" s="59"/>
      <c r="BO51" s="59"/>
      <c r="BP51" s="59"/>
      <c r="BQ51" s="59"/>
      <c r="BR51" s="59"/>
      <c r="BS51" s="59"/>
      <c r="BT51" s="59"/>
      <c r="BU51" s="59"/>
      <c r="BV51" s="59"/>
      <c r="BW51" s="59"/>
      <c r="BX51" s="59"/>
      <c r="BY51" s="59"/>
      <c r="BZ51" s="59"/>
    </row>
    <row r="52" spans="2:78" ht="15.95" customHeight="1">
      <c r="B52" s="929">
        <v>19</v>
      </c>
      <c r="C52" s="837"/>
      <c r="D52" s="838"/>
      <c r="E52" s="838"/>
      <c r="F52" s="838"/>
      <c r="G52" s="838"/>
      <c r="H52" s="838"/>
      <c r="I52" s="838"/>
      <c r="J52" s="838"/>
      <c r="K52" s="838"/>
      <c r="L52" s="838"/>
      <c r="M52" s="839"/>
      <c r="N52" s="914" t="str">
        <f>IFERROR(IF(C52="","",INDEX(PMGKITCHEN[Base Desc 1],MATCH(C52,PMGKITCHEN[Eff Desc 1],0))),"")</f>
        <v/>
      </c>
      <c r="O52" s="915"/>
      <c r="P52" s="915"/>
      <c r="Q52" s="915"/>
      <c r="R52" s="915"/>
      <c r="S52" s="916"/>
      <c r="T52" s="1010" t="str">
        <f>IFERROR(IF(C52="","",INDEX(PMGKITCHEN[Unit of Measure],MATCH(C52,PMGKITCHEN[Eff Desc 1],0))),"")</f>
        <v/>
      </c>
      <c r="U52" s="1011"/>
      <c r="V52" s="851"/>
      <c r="W52" s="852"/>
      <c r="X52" s="837"/>
      <c r="Y52" s="838"/>
      <c r="Z52" s="838"/>
      <c r="AA52" s="839"/>
      <c r="AB52" s="837"/>
      <c r="AC52" s="838"/>
      <c r="AD52" s="839"/>
      <c r="AE52" s="863"/>
      <c r="AF52" s="874"/>
      <c r="AG52" s="863"/>
      <c r="AH52" s="874"/>
      <c r="AI52" s="923" t="str">
        <f>IFERROR(IF(C52="","",INDEX(PMGKITCHEN[Inc Rate Unit],MATCH(C52,PMGKITCHEN[Eff Desc 1],0))),"")</f>
        <v/>
      </c>
      <c r="AJ52" s="924"/>
      <c r="AK52" s="1004" t="str">
        <f>IF(OR(C52="",V52="",X52="",AB52="",AE52="",AG52=""),"",ROUND(V52*INDEX(PMGKITCHEN[Savings per Unit Therm],MATCH(C52,PMGKITCHEN[Eff Desc 1],2)),0))</f>
        <v/>
      </c>
      <c r="AL52" s="1005"/>
      <c r="AM52" s="1006"/>
      <c r="AN52" s="820" t="str">
        <f t="shared" ref="AN52" si="18">IF(OR(C52="",V52="",X52="",AB52="",AE52="",AG52=""),"",IF(BC52&lt;&gt;"",BC52,MIN(AU52,ROUND(V52*AI52,2))))</f>
        <v/>
      </c>
      <c r="AO52" s="821"/>
      <c r="AP52" s="821"/>
      <c r="AQ52" s="822"/>
      <c r="AS52" s="59"/>
      <c r="AT52" s="59"/>
      <c r="AU52" s="813" t="str">
        <f t="shared" ref="AU52" si="19">IF(OR(,V52="",X52="",AB52="",AE52="",AG52=""),"",ROUND((AE52+AG52)*V52,2))</f>
        <v/>
      </c>
      <c r="AV52" s="878">
        <v>0</v>
      </c>
      <c r="AW52" s="980"/>
      <c r="AX52" s="59"/>
      <c r="AY52" s="59"/>
      <c r="AZ52" s="59"/>
      <c r="BA52" s="59"/>
      <c r="BB52" s="59"/>
      <c r="BC52" s="830" t="str">
        <f>IF(OR(N52="",T52="",C52="",V52="",X52="",AB52="",AE52="",AG52=""),"",IF(OR(ISBLANK(M02S02F26),ISBLANK(M02S02F32),ISBLANK(M02S02F46)),MEASUREBLDG,""))</f>
        <v/>
      </c>
      <c r="BD52" s="59"/>
      <c r="BE52" s="811"/>
      <c r="BF52" s="59"/>
      <c r="BG52" s="59"/>
      <c r="BH52" s="59"/>
      <c r="BI52" s="59"/>
      <c r="BJ52" s="59"/>
      <c r="BK52" s="59"/>
      <c r="BL52" s="59"/>
      <c r="BM52" s="59"/>
      <c r="BN52" s="59"/>
      <c r="BO52" s="59"/>
      <c r="BP52" s="59"/>
      <c r="BQ52" s="59"/>
      <c r="BR52" s="59"/>
      <c r="BS52" s="59"/>
      <c r="BT52" s="59"/>
      <c r="BU52" s="59"/>
      <c r="BV52" s="59"/>
      <c r="BW52" s="59"/>
      <c r="BX52" s="59"/>
      <c r="BY52" s="59"/>
      <c r="BZ52" s="59"/>
    </row>
    <row r="53" spans="2:78" ht="15.95" customHeight="1">
      <c r="B53" s="929"/>
      <c r="C53" s="840"/>
      <c r="D53" s="841"/>
      <c r="E53" s="841"/>
      <c r="F53" s="841"/>
      <c r="G53" s="841"/>
      <c r="H53" s="841"/>
      <c r="I53" s="841"/>
      <c r="J53" s="841"/>
      <c r="K53" s="841"/>
      <c r="L53" s="841"/>
      <c r="M53" s="842"/>
      <c r="N53" s="917"/>
      <c r="O53" s="918"/>
      <c r="P53" s="918"/>
      <c r="Q53" s="918"/>
      <c r="R53" s="918"/>
      <c r="S53" s="919"/>
      <c r="T53" s="1012"/>
      <c r="U53" s="1013"/>
      <c r="V53" s="853"/>
      <c r="W53" s="854"/>
      <c r="X53" s="840"/>
      <c r="Y53" s="841"/>
      <c r="Z53" s="841"/>
      <c r="AA53" s="842"/>
      <c r="AB53" s="840"/>
      <c r="AC53" s="841"/>
      <c r="AD53" s="842"/>
      <c r="AE53" s="865"/>
      <c r="AF53" s="875"/>
      <c r="AG53" s="865"/>
      <c r="AH53" s="875"/>
      <c r="AI53" s="925"/>
      <c r="AJ53" s="870"/>
      <c r="AK53" s="1007"/>
      <c r="AL53" s="1008"/>
      <c r="AM53" s="1009"/>
      <c r="AN53" s="823"/>
      <c r="AO53" s="824"/>
      <c r="AP53" s="824"/>
      <c r="AQ53" s="825"/>
      <c r="AS53" s="59"/>
      <c r="AT53" s="59"/>
      <c r="AU53" s="814"/>
      <c r="AV53" s="879"/>
      <c r="AW53" s="981"/>
      <c r="AX53" s="59"/>
      <c r="AY53" s="59"/>
      <c r="AZ53" s="59"/>
      <c r="BA53" s="59"/>
      <c r="BB53" s="59"/>
      <c r="BC53" s="831"/>
      <c r="BD53" s="59"/>
      <c r="BE53" s="812"/>
      <c r="BF53" s="59"/>
      <c r="BG53" s="59"/>
      <c r="BH53" s="59"/>
      <c r="BI53" s="59"/>
      <c r="BJ53" s="59"/>
      <c r="BK53" s="59"/>
      <c r="BL53" s="59"/>
      <c r="BM53" s="59"/>
      <c r="BN53" s="59"/>
      <c r="BO53" s="59"/>
      <c r="BP53" s="59"/>
      <c r="BQ53" s="59"/>
      <c r="BR53" s="59"/>
      <c r="BS53" s="59"/>
      <c r="BT53" s="59"/>
      <c r="BU53" s="59"/>
      <c r="BV53" s="59"/>
      <c r="BW53" s="59"/>
      <c r="BX53" s="59"/>
      <c r="BY53" s="59"/>
      <c r="BZ53" s="59"/>
    </row>
    <row r="54" spans="2:78" ht="15.95" customHeight="1">
      <c r="B54" s="929">
        <v>20</v>
      </c>
      <c r="C54" s="837"/>
      <c r="D54" s="838"/>
      <c r="E54" s="838"/>
      <c r="F54" s="838"/>
      <c r="G54" s="838"/>
      <c r="H54" s="838"/>
      <c r="I54" s="838"/>
      <c r="J54" s="838"/>
      <c r="K54" s="838"/>
      <c r="L54" s="838"/>
      <c r="M54" s="839"/>
      <c r="N54" s="914" t="str">
        <f>IFERROR(IF(C54="","",INDEX(PMGKITCHEN[Base Desc 1],MATCH(C54,PMGKITCHEN[Eff Desc 1],0))),"")</f>
        <v/>
      </c>
      <c r="O54" s="915"/>
      <c r="P54" s="915"/>
      <c r="Q54" s="915"/>
      <c r="R54" s="915"/>
      <c r="S54" s="916"/>
      <c r="T54" s="1010" t="str">
        <f>IFERROR(IF(C54="","",INDEX(PMGKITCHEN[Unit of Measure],MATCH(C54,PMGKITCHEN[Eff Desc 1],0))),"")</f>
        <v/>
      </c>
      <c r="U54" s="1011"/>
      <c r="V54" s="851"/>
      <c r="W54" s="852"/>
      <c r="X54" s="837"/>
      <c r="Y54" s="838"/>
      <c r="Z54" s="838"/>
      <c r="AA54" s="839"/>
      <c r="AB54" s="837"/>
      <c r="AC54" s="838"/>
      <c r="AD54" s="839"/>
      <c r="AE54" s="863"/>
      <c r="AF54" s="874"/>
      <c r="AG54" s="863"/>
      <c r="AH54" s="874"/>
      <c r="AI54" s="923" t="str">
        <f>IFERROR(IF(C54="","",INDEX(PMGKITCHEN[Inc Rate Unit],MATCH(C54,PMGKITCHEN[Eff Desc 1],0))),"")</f>
        <v/>
      </c>
      <c r="AJ54" s="924"/>
      <c r="AK54" s="1004" t="str">
        <f>IF(OR(C54="",V54="",X54="",AB54="",AE54="",AG54=""),"",ROUND(V54*INDEX(PMGKITCHEN[Savings per Unit Therm],MATCH(C54,PMGKITCHEN[Eff Desc 1],2)),0))</f>
        <v/>
      </c>
      <c r="AL54" s="1005"/>
      <c r="AM54" s="1006"/>
      <c r="AN54" s="820" t="str">
        <f t="shared" ref="AN54" si="20">IF(OR(C54="",V54="",X54="",AB54="",AE54="",AG54=""),"",IF(BC54&lt;&gt;"",BC54,MIN(AU54,ROUND(V54*AI54,2))))</f>
        <v/>
      </c>
      <c r="AO54" s="821"/>
      <c r="AP54" s="821"/>
      <c r="AQ54" s="822"/>
      <c r="AS54" s="59"/>
      <c r="AT54" s="59"/>
      <c r="AU54" s="813" t="str">
        <f t="shared" ref="AU54" si="21">IF(OR(,V54="",X54="",AB54="",AE54="",AG54=""),"",ROUND((AE54+AG54)*V54,2))</f>
        <v/>
      </c>
      <c r="AV54" s="878">
        <v>0</v>
      </c>
      <c r="AW54" s="980"/>
      <c r="AX54" s="59"/>
      <c r="AY54" s="813"/>
      <c r="AZ54" s="59"/>
      <c r="BA54" s="813"/>
      <c r="BB54" s="59"/>
      <c r="BC54" s="830" t="str">
        <f>IF(OR(N54="",T54="",C54="",V54="",X54="",AB54="",AE54="",AG54=""),"",IF(OR(ISBLANK(M02S02F26),ISBLANK(M02S02F32),ISBLANK(M02S02F46)),MEASUREBLDG,""))</f>
        <v/>
      </c>
      <c r="BD54" s="59"/>
      <c r="BE54" s="811"/>
      <c r="BF54" s="59"/>
      <c r="BG54" s="59"/>
      <c r="BH54" s="59"/>
      <c r="BI54" s="59"/>
      <c r="BJ54" s="59"/>
      <c r="BK54" s="59"/>
      <c r="BL54" s="59"/>
      <c r="BM54" s="59"/>
      <c r="BN54" s="59"/>
      <c r="BO54" s="59"/>
      <c r="BP54" s="59"/>
      <c r="BQ54" s="59"/>
      <c r="BR54" s="59"/>
      <c r="BS54" s="59"/>
      <c r="BT54" s="59"/>
      <c r="BU54" s="59"/>
      <c r="BV54" s="59"/>
      <c r="BW54" s="59"/>
      <c r="BX54" s="59"/>
      <c r="BY54" s="59"/>
      <c r="BZ54" s="59"/>
    </row>
    <row r="55" spans="2:78" ht="15.95" customHeight="1">
      <c r="B55" s="929"/>
      <c r="C55" s="840"/>
      <c r="D55" s="841"/>
      <c r="E55" s="841"/>
      <c r="F55" s="841"/>
      <c r="G55" s="841"/>
      <c r="H55" s="841"/>
      <c r="I55" s="841"/>
      <c r="J55" s="841"/>
      <c r="K55" s="841"/>
      <c r="L55" s="841"/>
      <c r="M55" s="842"/>
      <c r="N55" s="917"/>
      <c r="O55" s="918"/>
      <c r="P55" s="918"/>
      <c r="Q55" s="918"/>
      <c r="R55" s="918"/>
      <c r="S55" s="919"/>
      <c r="T55" s="1012"/>
      <c r="U55" s="1013"/>
      <c r="V55" s="853"/>
      <c r="W55" s="854"/>
      <c r="X55" s="840"/>
      <c r="Y55" s="841"/>
      <c r="Z55" s="841"/>
      <c r="AA55" s="842"/>
      <c r="AB55" s="840"/>
      <c r="AC55" s="841"/>
      <c r="AD55" s="842"/>
      <c r="AE55" s="865"/>
      <c r="AF55" s="875"/>
      <c r="AG55" s="865"/>
      <c r="AH55" s="875"/>
      <c r="AI55" s="925"/>
      <c r="AJ55" s="870"/>
      <c r="AK55" s="1007"/>
      <c r="AL55" s="1008"/>
      <c r="AM55" s="1009"/>
      <c r="AN55" s="823"/>
      <c r="AO55" s="824"/>
      <c r="AP55" s="824"/>
      <c r="AQ55" s="825"/>
      <c r="AS55" s="59"/>
      <c r="AT55" s="59"/>
      <c r="AU55" s="814"/>
      <c r="AV55" s="879"/>
      <c r="AW55" s="981"/>
      <c r="AX55" s="59"/>
      <c r="AY55" s="814"/>
      <c r="AZ55" s="59"/>
      <c r="BA55" s="814"/>
      <c r="BB55" s="59"/>
      <c r="BC55" s="831"/>
      <c r="BD55" s="59"/>
      <c r="BE55" s="812"/>
      <c r="BF55" s="59"/>
      <c r="BG55" s="59"/>
      <c r="BH55" s="59"/>
      <c r="BI55" s="59"/>
      <c r="BJ55" s="59"/>
      <c r="BK55" s="59"/>
      <c r="BL55" s="59"/>
      <c r="BM55" s="59"/>
      <c r="BN55" s="59"/>
      <c r="BO55" s="59"/>
      <c r="BP55" s="59"/>
      <c r="BQ55" s="59"/>
      <c r="BR55" s="59"/>
      <c r="BS55" s="59"/>
      <c r="BT55" s="59"/>
      <c r="BU55" s="59"/>
      <c r="BV55" s="59"/>
      <c r="BW55" s="59"/>
      <c r="BX55" s="59"/>
      <c r="BY55" s="59"/>
      <c r="BZ55" s="59"/>
    </row>
    <row r="56" spans="2:78" ht="15.95" customHeight="1">
      <c r="B56" s="929">
        <v>21</v>
      </c>
      <c r="C56" s="837"/>
      <c r="D56" s="838"/>
      <c r="E56" s="838"/>
      <c r="F56" s="838"/>
      <c r="G56" s="838"/>
      <c r="H56" s="838"/>
      <c r="I56" s="838"/>
      <c r="J56" s="838"/>
      <c r="K56" s="838"/>
      <c r="L56" s="838"/>
      <c r="M56" s="839"/>
      <c r="N56" s="914" t="str">
        <f>IFERROR(IF(C56="","",INDEX(PMGKITCHEN[Base Desc 1],MATCH(C56,PMGKITCHEN[Eff Desc 1],0))),"")</f>
        <v/>
      </c>
      <c r="O56" s="915"/>
      <c r="P56" s="915"/>
      <c r="Q56" s="915"/>
      <c r="R56" s="915"/>
      <c r="S56" s="916"/>
      <c r="T56" s="1010" t="str">
        <f>IFERROR(IF(C56="","",INDEX(PMGKITCHEN[Unit of Measure],MATCH(C56,PMGKITCHEN[Eff Desc 1],0))),"")</f>
        <v/>
      </c>
      <c r="U56" s="1011"/>
      <c r="V56" s="851"/>
      <c r="W56" s="852"/>
      <c r="X56" s="837"/>
      <c r="Y56" s="838"/>
      <c r="Z56" s="838"/>
      <c r="AA56" s="839"/>
      <c r="AB56" s="837"/>
      <c r="AC56" s="838"/>
      <c r="AD56" s="839"/>
      <c r="AE56" s="863"/>
      <c r="AF56" s="874"/>
      <c r="AG56" s="863"/>
      <c r="AH56" s="874"/>
      <c r="AI56" s="923" t="str">
        <f>IFERROR(IF(C56="","",INDEX(PMGKITCHEN[Inc Rate Unit],MATCH(C56,PMGKITCHEN[Eff Desc 1],0))),"")</f>
        <v/>
      </c>
      <c r="AJ56" s="924"/>
      <c r="AK56" s="1004" t="str">
        <f>IF(OR(C56="",V56="",X56="",AB56="",AE56="",AG56=""),"",ROUND(V56*INDEX(PMGKITCHEN[Savings per Unit Therm],MATCH(C56,PMGKITCHEN[Eff Desc 1],2)),0))</f>
        <v/>
      </c>
      <c r="AL56" s="1005"/>
      <c r="AM56" s="1006"/>
      <c r="AN56" s="820" t="str">
        <f t="shared" ref="AN56" si="22">IF(OR(C56="",V56="",X56="",AB56="",AE56="",AG56=""),"",IF(BC56&lt;&gt;"",BC56,MIN(AU56,ROUND(V56*AI56,2))))</f>
        <v/>
      </c>
      <c r="AO56" s="821"/>
      <c r="AP56" s="821"/>
      <c r="AQ56" s="822"/>
      <c r="AS56" s="59"/>
      <c r="AT56" s="59"/>
      <c r="AU56" s="813" t="str">
        <f t="shared" ref="AU56" si="23">IF(OR(,V56="",X56="",AB56="",AE56="",AG56=""),"",ROUND((AE56+AG56)*V56,2))</f>
        <v/>
      </c>
      <c r="AV56" s="878">
        <v>0</v>
      </c>
      <c r="AW56" s="1019"/>
      <c r="AX56" s="59"/>
      <c r="AY56" s="813"/>
      <c r="AZ56" s="59"/>
      <c r="BA56" s="813"/>
      <c r="BB56" s="59"/>
      <c r="BC56" s="830" t="str">
        <f>IF(OR(N56="",T56="",C56="",V56="",X56="",AB56="",AE56="",AG56=""),"",IF(OR(ISBLANK(M02S02F26),ISBLANK(M02S02F32),ISBLANK(M02S02F46)),MEASUREBLDG,""))</f>
        <v/>
      </c>
      <c r="BD56" s="59"/>
      <c r="BE56" s="811"/>
      <c r="BF56" s="59"/>
      <c r="BG56" s="59"/>
      <c r="BH56" s="59"/>
      <c r="BI56" s="59"/>
      <c r="BJ56" s="59"/>
      <c r="BK56" s="59"/>
      <c r="BL56" s="59"/>
      <c r="BM56" s="59"/>
      <c r="BN56" s="59"/>
      <c r="BO56" s="59"/>
      <c r="BP56" s="59"/>
      <c r="BQ56" s="59"/>
      <c r="BR56" s="59"/>
      <c r="BS56" s="59"/>
      <c r="BT56" s="59"/>
      <c r="BU56" s="59"/>
      <c r="BV56" s="59"/>
      <c r="BW56" s="59"/>
      <c r="BX56" s="59"/>
      <c r="BY56" s="59"/>
      <c r="BZ56" s="59"/>
    </row>
    <row r="57" spans="2:78" ht="15.95" customHeight="1">
      <c r="B57" s="929"/>
      <c r="C57" s="840"/>
      <c r="D57" s="841"/>
      <c r="E57" s="841"/>
      <c r="F57" s="841"/>
      <c r="G57" s="841"/>
      <c r="H57" s="841"/>
      <c r="I57" s="841"/>
      <c r="J57" s="841"/>
      <c r="K57" s="841"/>
      <c r="L57" s="841"/>
      <c r="M57" s="842"/>
      <c r="N57" s="917"/>
      <c r="O57" s="918"/>
      <c r="P57" s="918"/>
      <c r="Q57" s="918"/>
      <c r="R57" s="918"/>
      <c r="S57" s="919"/>
      <c r="T57" s="1012"/>
      <c r="U57" s="1013"/>
      <c r="V57" s="853"/>
      <c r="W57" s="854"/>
      <c r="X57" s="840"/>
      <c r="Y57" s="841"/>
      <c r="Z57" s="841"/>
      <c r="AA57" s="842"/>
      <c r="AB57" s="840"/>
      <c r="AC57" s="841"/>
      <c r="AD57" s="842"/>
      <c r="AE57" s="865"/>
      <c r="AF57" s="875"/>
      <c r="AG57" s="865"/>
      <c r="AH57" s="875"/>
      <c r="AI57" s="925"/>
      <c r="AJ57" s="870"/>
      <c r="AK57" s="1007"/>
      <c r="AL57" s="1008"/>
      <c r="AM57" s="1009"/>
      <c r="AN57" s="823"/>
      <c r="AO57" s="824"/>
      <c r="AP57" s="824"/>
      <c r="AQ57" s="825"/>
      <c r="AS57" s="59"/>
      <c r="AT57" s="59"/>
      <c r="AU57" s="814"/>
      <c r="AV57" s="879"/>
      <c r="AW57" s="981"/>
      <c r="AX57" s="59"/>
      <c r="AY57" s="814"/>
      <c r="AZ57" s="59"/>
      <c r="BA57" s="814"/>
      <c r="BB57" s="59"/>
      <c r="BC57" s="831"/>
      <c r="BD57" s="59"/>
      <c r="BE57" s="812"/>
      <c r="BF57" s="59"/>
      <c r="BG57" s="59"/>
      <c r="BH57" s="59"/>
      <c r="BI57" s="59"/>
      <c r="BJ57" s="59"/>
      <c r="BK57" s="59"/>
      <c r="BL57" s="59"/>
      <c r="BM57" s="59"/>
      <c r="BN57" s="59"/>
      <c r="BO57" s="59"/>
      <c r="BP57" s="59"/>
      <c r="BQ57" s="59"/>
      <c r="BR57" s="59"/>
      <c r="BS57" s="59"/>
      <c r="BT57" s="59"/>
      <c r="BU57" s="59"/>
      <c r="BV57" s="59"/>
      <c r="BW57" s="59"/>
      <c r="BX57" s="59"/>
      <c r="BY57" s="59"/>
      <c r="BZ57" s="59"/>
    </row>
    <row r="58" spans="2:78" ht="15.95" customHeight="1">
      <c r="B58" s="929">
        <v>22</v>
      </c>
      <c r="C58" s="837"/>
      <c r="D58" s="838"/>
      <c r="E58" s="838"/>
      <c r="F58" s="838"/>
      <c r="G58" s="838"/>
      <c r="H58" s="838"/>
      <c r="I58" s="838"/>
      <c r="J58" s="838"/>
      <c r="K58" s="838"/>
      <c r="L58" s="838"/>
      <c r="M58" s="839"/>
      <c r="N58" s="914" t="str">
        <f>IFERROR(IF(C58="","",INDEX(PMGKITCHEN[Base Desc 1],MATCH(C58,PMGKITCHEN[Eff Desc 1],0))),"")</f>
        <v/>
      </c>
      <c r="O58" s="915"/>
      <c r="P58" s="915"/>
      <c r="Q58" s="915"/>
      <c r="R58" s="915"/>
      <c r="S58" s="916"/>
      <c r="T58" s="1010" t="str">
        <f>IFERROR(IF(C58="","",INDEX(PMGKITCHEN[Unit of Measure],MATCH(C58,PMGKITCHEN[Eff Desc 1],0))),"")</f>
        <v/>
      </c>
      <c r="U58" s="1011"/>
      <c r="V58" s="851"/>
      <c r="W58" s="852"/>
      <c r="X58" s="837"/>
      <c r="Y58" s="838"/>
      <c r="Z58" s="838"/>
      <c r="AA58" s="839"/>
      <c r="AB58" s="837"/>
      <c r="AC58" s="838"/>
      <c r="AD58" s="839"/>
      <c r="AE58" s="863"/>
      <c r="AF58" s="874"/>
      <c r="AG58" s="863"/>
      <c r="AH58" s="874"/>
      <c r="AI58" s="923" t="str">
        <f>IFERROR(IF(C58="","",INDEX(PMGKITCHEN[Inc Rate Unit],MATCH(C58,PMGKITCHEN[Eff Desc 1],0))),"")</f>
        <v/>
      </c>
      <c r="AJ58" s="924"/>
      <c r="AK58" s="1004" t="str">
        <f>IF(OR(C58="",V58="",X58="",AB58="",AE58="",AG58=""),"",ROUND(V58*INDEX(PMGKITCHEN[Savings per Unit Therm],MATCH(C58,PMGKITCHEN[Eff Desc 1],2)),0))</f>
        <v/>
      </c>
      <c r="AL58" s="1005"/>
      <c r="AM58" s="1006"/>
      <c r="AN58" s="820" t="str">
        <f t="shared" ref="AN58" si="24">IF(OR(C58="",V58="",X58="",AB58="",AE58="",AG58=""),"",IF(BC58&lt;&gt;"",BC58,MIN(AU58,ROUND(V58*AI58,2))))</f>
        <v/>
      </c>
      <c r="AO58" s="821"/>
      <c r="AP58" s="821"/>
      <c r="AQ58" s="822"/>
      <c r="AS58" s="59"/>
      <c r="AT58" s="59"/>
      <c r="AU58" s="813" t="str">
        <f t="shared" ref="AU58" si="25">IF(OR(,V58="",X58="",AB58="",AE58="",AG58=""),"",ROUND((AE58+AG58)*V58,2))</f>
        <v/>
      </c>
      <c r="AV58" s="878">
        <v>0</v>
      </c>
      <c r="AW58" s="980"/>
      <c r="AX58" s="59"/>
      <c r="AY58" s="813"/>
      <c r="AZ58" s="59"/>
      <c r="BA58" s="813"/>
      <c r="BB58" s="59"/>
      <c r="BC58" s="830" t="str">
        <f>IF(OR(N58="",T58="",C58="",V58="",X58="",AB58="",AE58="",AG58=""),"",IF(OR(ISBLANK(M02S02F26),ISBLANK(M02S02F32),ISBLANK(M02S02F46)),MEASUREBLDG,""))</f>
        <v/>
      </c>
      <c r="BD58" s="59"/>
      <c r="BE58" s="811"/>
      <c r="BF58" s="59"/>
      <c r="BG58" s="59"/>
      <c r="BH58" s="59"/>
      <c r="BI58" s="59"/>
      <c r="BJ58" s="59"/>
      <c r="BK58" s="59"/>
      <c r="BL58" s="59"/>
      <c r="BM58" s="59"/>
      <c r="BN58" s="59"/>
      <c r="BO58" s="59"/>
      <c r="BP58" s="59"/>
      <c r="BQ58" s="59"/>
      <c r="BR58" s="59"/>
      <c r="BS58" s="59"/>
      <c r="BT58" s="59"/>
      <c r="BU58" s="59"/>
      <c r="BV58" s="59"/>
      <c r="BW58" s="59"/>
      <c r="BX58" s="59"/>
      <c r="BY58" s="59"/>
      <c r="BZ58" s="59"/>
    </row>
    <row r="59" spans="2:78" ht="15.95" customHeight="1">
      <c r="B59" s="929"/>
      <c r="C59" s="840"/>
      <c r="D59" s="841"/>
      <c r="E59" s="841"/>
      <c r="F59" s="841"/>
      <c r="G59" s="841"/>
      <c r="H59" s="841"/>
      <c r="I59" s="841"/>
      <c r="J59" s="841"/>
      <c r="K59" s="841"/>
      <c r="L59" s="841"/>
      <c r="M59" s="842"/>
      <c r="N59" s="917"/>
      <c r="O59" s="918"/>
      <c r="P59" s="918"/>
      <c r="Q59" s="918"/>
      <c r="R59" s="918"/>
      <c r="S59" s="919"/>
      <c r="T59" s="1012"/>
      <c r="U59" s="1013"/>
      <c r="V59" s="853"/>
      <c r="W59" s="854"/>
      <c r="X59" s="840"/>
      <c r="Y59" s="841"/>
      <c r="Z59" s="841"/>
      <c r="AA59" s="842"/>
      <c r="AB59" s="840"/>
      <c r="AC59" s="841"/>
      <c r="AD59" s="842"/>
      <c r="AE59" s="865"/>
      <c r="AF59" s="875"/>
      <c r="AG59" s="865"/>
      <c r="AH59" s="875"/>
      <c r="AI59" s="925"/>
      <c r="AJ59" s="870"/>
      <c r="AK59" s="1007"/>
      <c r="AL59" s="1008"/>
      <c r="AM59" s="1009"/>
      <c r="AN59" s="823"/>
      <c r="AO59" s="824"/>
      <c r="AP59" s="824"/>
      <c r="AQ59" s="825"/>
      <c r="AS59" s="59"/>
      <c r="AT59" s="59"/>
      <c r="AU59" s="814"/>
      <c r="AV59" s="879"/>
      <c r="AW59" s="981"/>
      <c r="AX59" s="59"/>
      <c r="AY59" s="814"/>
      <c r="AZ59" s="59"/>
      <c r="BA59" s="814"/>
      <c r="BB59" s="59"/>
      <c r="BC59" s="831"/>
      <c r="BD59" s="59"/>
      <c r="BE59" s="812"/>
      <c r="BF59" s="59"/>
      <c r="BG59" s="59"/>
      <c r="BH59" s="59"/>
      <c r="BI59" s="59"/>
      <c r="BJ59" s="59"/>
      <c r="BK59" s="59"/>
      <c r="BL59" s="59"/>
      <c r="BM59" s="59"/>
      <c r="BN59" s="59"/>
      <c r="BO59" s="59"/>
      <c r="BP59" s="59"/>
      <c r="BQ59" s="59"/>
      <c r="BR59" s="59"/>
      <c r="BS59" s="59"/>
      <c r="BT59" s="59"/>
      <c r="BU59" s="59"/>
      <c r="BV59" s="59"/>
      <c r="BW59" s="59"/>
      <c r="BX59" s="59"/>
      <c r="BY59" s="59"/>
      <c r="BZ59" s="59"/>
    </row>
    <row r="60" spans="2:78" ht="15.95" customHeight="1">
      <c r="B60" s="929">
        <v>23</v>
      </c>
      <c r="C60" s="837"/>
      <c r="D60" s="838"/>
      <c r="E60" s="838"/>
      <c r="F60" s="838"/>
      <c r="G60" s="838"/>
      <c r="H60" s="838"/>
      <c r="I60" s="838"/>
      <c r="J60" s="838"/>
      <c r="K60" s="838"/>
      <c r="L60" s="838"/>
      <c r="M60" s="839"/>
      <c r="N60" s="914" t="str">
        <f>IFERROR(IF(C60="","",INDEX(PMGKITCHEN[Base Desc 1],MATCH(C60,PMGKITCHEN[Eff Desc 1],0))),"")</f>
        <v/>
      </c>
      <c r="O60" s="915"/>
      <c r="P60" s="915"/>
      <c r="Q60" s="915"/>
      <c r="R60" s="915"/>
      <c r="S60" s="916"/>
      <c r="T60" s="1010" t="str">
        <f>IFERROR(IF(C60="","",INDEX(PMGKITCHEN[Unit of Measure],MATCH(C60,PMGKITCHEN[Eff Desc 1],0))),"")</f>
        <v/>
      </c>
      <c r="U60" s="1011"/>
      <c r="V60" s="851"/>
      <c r="W60" s="852"/>
      <c r="X60" s="837"/>
      <c r="Y60" s="838"/>
      <c r="Z60" s="838"/>
      <c r="AA60" s="839"/>
      <c r="AB60" s="837"/>
      <c r="AC60" s="838"/>
      <c r="AD60" s="839"/>
      <c r="AE60" s="863"/>
      <c r="AF60" s="874"/>
      <c r="AG60" s="863"/>
      <c r="AH60" s="874"/>
      <c r="AI60" s="923" t="str">
        <f>IFERROR(IF(C60="","",INDEX(PMGKITCHEN[Inc Rate Unit],MATCH(C60,PMGKITCHEN[Eff Desc 1],0))),"")</f>
        <v/>
      </c>
      <c r="AJ60" s="924"/>
      <c r="AK60" s="1004" t="str">
        <f>IF(OR(C60="",V60="",X60="",AB60="",AE60="",AG60=""),"",ROUND(V60*INDEX(PMGKITCHEN[Savings per Unit Therm],MATCH(C60,PMGKITCHEN[Eff Desc 1],2)),0))</f>
        <v/>
      </c>
      <c r="AL60" s="1005"/>
      <c r="AM60" s="1006"/>
      <c r="AN60" s="820" t="str">
        <f t="shared" ref="AN60" si="26">IF(OR(C60="",V60="",X60="",AB60="",AE60="",AG60=""),"",IF(BC60&lt;&gt;"",BC60,MIN(AU60,ROUND(V60*AI60,2))))</f>
        <v/>
      </c>
      <c r="AO60" s="821"/>
      <c r="AP60" s="821"/>
      <c r="AQ60" s="822"/>
      <c r="AS60" s="59"/>
      <c r="AT60" s="59"/>
      <c r="AU60" s="813" t="str">
        <f t="shared" ref="AU60" si="27">IF(OR(,V60="",X60="",AB60="",AE60="",AG60=""),"",ROUND((AE60+AG60)*V60,2))</f>
        <v/>
      </c>
      <c r="AV60" s="878">
        <v>0</v>
      </c>
      <c r="AW60" s="980"/>
      <c r="AX60" s="59"/>
      <c r="AY60" s="813"/>
      <c r="AZ60" s="59"/>
      <c r="BA60" s="813"/>
      <c r="BB60" s="59"/>
      <c r="BC60" s="830" t="str">
        <f>IF(OR(N60="",T60="",C60="",V60="",X60="",AB60="",AE60="",AG60=""),"",IF(OR(ISBLANK(M02S02F26),ISBLANK(M02S02F32),ISBLANK(M02S02F46)),MEASUREBLDG,""))</f>
        <v/>
      </c>
      <c r="BD60" s="59"/>
      <c r="BE60" s="811"/>
      <c r="BF60" s="59"/>
      <c r="BG60" s="59"/>
      <c r="BH60" s="59"/>
      <c r="BI60" s="59"/>
      <c r="BJ60" s="59"/>
      <c r="BK60" s="59"/>
      <c r="BL60" s="59"/>
      <c r="BM60" s="59"/>
      <c r="BN60" s="59"/>
      <c r="BO60" s="59"/>
      <c r="BP60" s="59"/>
      <c r="BQ60" s="59"/>
      <c r="BR60" s="59"/>
      <c r="BS60" s="59"/>
      <c r="BT60" s="59"/>
      <c r="BU60" s="59"/>
      <c r="BV60" s="59"/>
      <c r="BW60" s="59"/>
      <c r="BX60" s="59"/>
      <c r="BY60" s="59"/>
      <c r="BZ60" s="59"/>
    </row>
    <row r="61" spans="2:78" ht="15.95" customHeight="1">
      <c r="B61" s="929"/>
      <c r="C61" s="840"/>
      <c r="D61" s="841"/>
      <c r="E61" s="841"/>
      <c r="F61" s="841"/>
      <c r="G61" s="841"/>
      <c r="H61" s="841"/>
      <c r="I61" s="841"/>
      <c r="J61" s="841"/>
      <c r="K61" s="841"/>
      <c r="L61" s="841"/>
      <c r="M61" s="842"/>
      <c r="N61" s="917"/>
      <c r="O61" s="918"/>
      <c r="P61" s="918"/>
      <c r="Q61" s="918"/>
      <c r="R61" s="918"/>
      <c r="S61" s="919"/>
      <c r="T61" s="1012"/>
      <c r="U61" s="1013"/>
      <c r="V61" s="853"/>
      <c r="W61" s="854"/>
      <c r="X61" s="840"/>
      <c r="Y61" s="841"/>
      <c r="Z61" s="841"/>
      <c r="AA61" s="842"/>
      <c r="AB61" s="840"/>
      <c r="AC61" s="841"/>
      <c r="AD61" s="842"/>
      <c r="AE61" s="865"/>
      <c r="AF61" s="875"/>
      <c r="AG61" s="865"/>
      <c r="AH61" s="875"/>
      <c r="AI61" s="925"/>
      <c r="AJ61" s="870"/>
      <c r="AK61" s="1007"/>
      <c r="AL61" s="1008"/>
      <c r="AM61" s="1009"/>
      <c r="AN61" s="823"/>
      <c r="AO61" s="824"/>
      <c r="AP61" s="824"/>
      <c r="AQ61" s="825"/>
      <c r="AS61" s="59"/>
      <c r="AT61" s="59"/>
      <c r="AU61" s="814"/>
      <c r="AV61" s="879"/>
      <c r="AW61" s="981"/>
      <c r="AX61" s="59"/>
      <c r="AY61" s="814"/>
      <c r="AZ61" s="59"/>
      <c r="BA61" s="814"/>
      <c r="BB61" s="59"/>
      <c r="BC61" s="831"/>
      <c r="BD61" s="59"/>
      <c r="BE61" s="812"/>
      <c r="BF61" s="59"/>
      <c r="BG61" s="59"/>
      <c r="BH61" s="59"/>
      <c r="BI61" s="59"/>
      <c r="BJ61" s="59"/>
      <c r="BK61" s="59"/>
      <c r="BL61" s="59"/>
      <c r="BM61" s="59"/>
      <c r="BN61" s="59"/>
      <c r="BO61" s="59"/>
      <c r="BP61" s="59"/>
      <c r="BQ61" s="59"/>
      <c r="BR61" s="59"/>
      <c r="BS61" s="59"/>
      <c r="BT61" s="59"/>
      <c r="BU61" s="59"/>
      <c r="BV61" s="59"/>
      <c r="BW61" s="59"/>
      <c r="BX61" s="59"/>
      <c r="BY61" s="59"/>
      <c r="BZ61" s="59"/>
    </row>
    <row r="62" spans="2:78" ht="15.95" hidden="1" customHeight="1">
      <c r="B62" s="929">
        <v>24</v>
      </c>
      <c r="C62" s="837">
        <f ca="1">IF(SUM(BE16:BE35)=0,0,INDEX(PMEBONUS[],3,3))</f>
        <v>0</v>
      </c>
      <c r="D62" s="838"/>
      <c r="E62" s="838"/>
      <c r="F62" s="838"/>
      <c r="G62" s="838"/>
      <c r="H62" s="838"/>
      <c r="I62" s="838"/>
      <c r="J62" s="838"/>
      <c r="K62" s="838"/>
      <c r="L62" s="838"/>
      <c r="M62" s="839"/>
      <c r="N62" s="914" t="str">
        <f ca="1">IF(SUM(BE16:BE35)=0,"",INDEX(PMEBONUS[],3,30))</f>
        <v/>
      </c>
      <c r="O62" s="915"/>
      <c r="P62" s="915"/>
      <c r="Q62" s="915"/>
      <c r="R62" s="915"/>
      <c r="S62" s="916"/>
      <c r="T62" s="953"/>
      <c r="U62" s="954"/>
      <c r="V62" s="851">
        <f ca="1">IF(OR(C62=0,C62=""),0,1)</f>
        <v>0</v>
      </c>
      <c r="W62" s="852"/>
      <c r="X62" s="837"/>
      <c r="Y62" s="838"/>
      <c r="Z62" s="838"/>
      <c r="AA62" s="839"/>
      <c r="AB62" s="837"/>
      <c r="AC62" s="838"/>
      <c r="AD62" s="839"/>
      <c r="AE62" s="863"/>
      <c r="AF62" s="874"/>
      <c r="AG62" s="863"/>
      <c r="AH62" s="874"/>
      <c r="AI62" s="923"/>
      <c r="AJ62" s="924"/>
      <c r="AK62" s="910"/>
      <c r="AL62" s="911"/>
      <c r="AM62" s="911"/>
      <c r="AN62" s="930" t="str">
        <f ca="1">IF(BA62="","",BA62)</f>
        <v/>
      </c>
      <c r="AO62" s="931"/>
      <c r="AP62" s="931"/>
      <c r="AQ62" s="868"/>
      <c r="AS62" s="59"/>
      <c r="AT62" s="59"/>
      <c r="AU62" s="59"/>
      <c r="AV62" s="59"/>
      <c r="AW62" s="59"/>
      <c r="AX62" s="59"/>
      <c r="AY62" s="813"/>
      <c r="AZ62" s="59"/>
      <c r="BA62" s="813" t="str">
        <f ca="1">IFERROR(IF(OR(C62="",N62="",SUM(AK16:AM35)=0,SUM(BE16:BE35)=0),"",SUM(BE16:BE35)),"")</f>
        <v/>
      </c>
      <c r="BB62" s="813"/>
      <c r="BC62" s="59"/>
      <c r="BD62" s="59"/>
      <c r="BE62" s="59"/>
      <c r="BF62" s="59"/>
      <c r="BG62" s="59"/>
      <c r="BH62" s="59"/>
      <c r="BI62" s="59"/>
      <c r="BJ62" s="59"/>
      <c r="BK62" s="59"/>
      <c r="BL62" s="59"/>
      <c r="BM62" s="59"/>
      <c r="BN62" s="59"/>
      <c r="BO62" s="59"/>
      <c r="BP62" s="59"/>
      <c r="BQ62" s="59"/>
      <c r="BR62" s="59"/>
      <c r="BS62" s="59"/>
      <c r="BT62" s="59"/>
      <c r="BU62" s="59"/>
      <c r="BV62" s="59"/>
      <c r="BW62" s="59"/>
      <c r="BX62" s="59"/>
      <c r="BY62" s="59"/>
      <c r="BZ62" s="59"/>
    </row>
    <row r="63" spans="2:78" ht="15.95" hidden="1" customHeight="1">
      <c r="B63" s="929"/>
      <c r="C63" s="840"/>
      <c r="D63" s="841"/>
      <c r="E63" s="841"/>
      <c r="F63" s="841"/>
      <c r="G63" s="841"/>
      <c r="H63" s="841"/>
      <c r="I63" s="841"/>
      <c r="J63" s="841"/>
      <c r="K63" s="841"/>
      <c r="L63" s="841"/>
      <c r="M63" s="842"/>
      <c r="N63" s="917"/>
      <c r="O63" s="918"/>
      <c r="P63" s="918"/>
      <c r="Q63" s="918"/>
      <c r="R63" s="918"/>
      <c r="S63" s="919"/>
      <c r="T63" s="955"/>
      <c r="U63" s="956"/>
      <c r="V63" s="853"/>
      <c r="W63" s="854"/>
      <c r="X63" s="840"/>
      <c r="Y63" s="841"/>
      <c r="Z63" s="841"/>
      <c r="AA63" s="842"/>
      <c r="AB63" s="840"/>
      <c r="AC63" s="841"/>
      <c r="AD63" s="842"/>
      <c r="AE63" s="865"/>
      <c r="AF63" s="875"/>
      <c r="AG63" s="865"/>
      <c r="AH63" s="875"/>
      <c r="AI63" s="925"/>
      <c r="AJ63" s="870"/>
      <c r="AK63" s="912"/>
      <c r="AL63" s="913"/>
      <c r="AM63" s="913"/>
      <c r="AN63" s="925"/>
      <c r="AO63" s="932"/>
      <c r="AP63" s="932"/>
      <c r="AQ63" s="870"/>
      <c r="AS63" s="59"/>
      <c r="AT63" s="59"/>
      <c r="AU63" s="59"/>
      <c r="AV63" s="59"/>
      <c r="AW63" s="59"/>
      <c r="AX63" s="59"/>
      <c r="AY63" s="814"/>
      <c r="AZ63" s="59"/>
      <c r="BA63" s="814"/>
      <c r="BB63" s="814"/>
      <c r="BC63" s="59"/>
      <c r="BD63" s="59"/>
      <c r="BE63" s="59"/>
      <c r="BF63" s="59"/>
      <c r="BG63" s="59"/>
      <c r="BH63" s="59"/>
      <c r="BI63" s="59"/>
      <c r="BJ63" s="59"/>
      <c r="BK63" s="59"/>
      <c r="BL63" s="59"/>
      <c r="BM63" s="59"/>
      <c r="BN63" s="59"/>
      <c r="BO63" s="59"/>
      <c r="BP63" s="59"/>
      <c r="BQ63" s="59"/>
      <c r="BR63" s="59"/>
      <c r="BS63" s="59"/>
      <c r="BT63" s="59"/>
      <c r="BU63" s="59"/>
      <c r="BV63" s="59"/>
      <c r="BW63" s="59"/>
      <c r="BX63" s="59"/>
      <c r="BY63" s="59"/>
      <c r="BZ63" s="59"/>
    </row>
    <row r="64" spans="2:78" ht="15.95" hidden="1" customHeight="1">
      <c r="B64" s="929">
        <v>25</v>
      </c>
      <c r="C64" s="837"/>
      <c r="D64" s="838"/>
      <c r="E64" s="838"/>
      <c r="F64" s="838"/>
      <c r="G64" s="838"/>
      <c r="H64" s="838"/>
      <c r="I64" s="838"/>
      <c r="J64" s="838"/>
      <c r="K64" s="838"/>
      <c r="L64" s="838"/>
      <c r="M64" s="839"/>
      <c r="N64" s="914"/>
      <c r="O64" s="915"/>
      <c r="P64" s="915"/>
      <c r="Q64" s="915"/>
      <c r="R64" s="915"/>
      <c r="S64" s="916"/>
      <c r="T64" s="953"/>
      <c r="U64" s="954"/>
      <c r="V64" s="851"/>
      <c r="W64" s="852"/>
      <c r="X64" s="837"/>
      <c r="Y64" s="838"/>
      <c r="Z64" s="838"/>
      <c r="AA64" s="839"/>
      <c r="AB64" s="837"/>
      <c r="AC64" s="838"/>
      <c r="AD64" s="839"/>
      <c r="AE64" s="863"/>
      <c r="AF64" s="874"/>
      <c r="AG64" s="863"/>
      <c r="AH64" s="874"/>
      <c r="AI64" s="923"/>
      <c r="AJ64" s="924"/>
      <c r="AK64" s="910"/>
      <c r="AL64" s="911"/>
      <c r="AM64" s="911"/>
      <c r="AN64" s="930"/>
      <c r="AO64" s="931"/>
      <c r="AP64" s="931"/>
      <c r="AQ64" s="868"/>
      <c r="AS64" s="59"/>
      <c r="AT64" s="59"/>
      <c r="AU64" s="59"/>
      <c r="AV64" s="59"/>
      <c r="AW64" s="59"/>
      <c r="AX64" s="59"/>
      <c r="AY64" s="59"/>
      <c r="AZ64" s="59"/>
      <c r="BA64" s="813" t="str">
        <f>IFERROR(IF(OR(C64="",N64="",SUM(AK16:AM35)=0,SUM(BF16:BF35)=0),"",SUM(BF16:BF35)),"")</f>
        <v/>
      </c>
      <c r="BB64" s="59"/>
      <c r="BC64" s="59"/>
      <c r="BD64" s="59"/>
      <c r="BE64" s="59"/>
      <c r="BF64" s="59"/>
      <c r="BG64" s="59"/>
      <c r="BH64" s="59"/>
      <c r="BI64" s="59"/>
      <c r="BJ64" s="59"/>
      <c r="BK64" s="59"/>
      <c r="BL64" s="59"/>
      <c r="BM64" s="59"/>
      <c r="BN64" s="59"/>
      <c r="BO64" s="59"/>
      <c r="BP64" s="59"/>
      <c r="BQ64" s="59"/>
      <c r="BR64" s="59"/>
      <c r="BS64" s="59"/>
      <c r="BT64" s="59"/>
      <c r="BU64" s="59"/>
      <c r="BV64" s="59"/>
      <c r="BW64" s="59"/>
      <c r="BX64" s="59"/>
      <c r="BY64" s="59"/>
      <c r="BZ64" s="59"/>
    </row>
    <row r="65" spans="2:78" ht="15.95" hidden="1" customHeight="1">
      <c r="B65" s="929"/>
      <c r="C65" s="840"/>
      <c r="D65" s="841"/>
      <c r="E65" s="841"/>
      <c r="F65" s="841"/>
      <c r="G65" s="841"/>
      <c r="H65" s="841"/>
      <c r="I65" s="841"/>
      <c r="J65" s="841"/>
      <c r="K65" s="841"/>
      <c r="L65" s="841"/>
      <c r="M65" s="842"/>
      <c r="N65" s="917"/>
      <c r="O65" s="918"/>
      <c r="P65" s="918"/>
      <c r="Q65" s="918"/>
      <c r="R65" s="918"/>
      <c r="S65" s="919"/>
      <c r="T65" s="955"/>
      <c r="U65" s="956"/>
      <c r="V65" s="853"/>
      <c r="W65" s="854"/>
      <c r="X65" s="840"/>
      <c r="Y65" s="841"/>
      <c r="Z65" s="841"/>
      <c r="AA65" s="842"/>
      <c r="AB65" s="840"/>
      <c r="AC65" s="841"/>
      <c r="AD65" s="842"/>
      <c r="AE65" s="865"/>
      <c r="AF65" s="875"/>
      <c r="AG65" s="865"/>
      <c r="AH65" s="875"/>
      <c r="AI65" s="925"/>
      <c r="AJ65" s="870"/>
      <c r="AK65" s="912"/>
      <c r="AL65" s="913"/>
      <c r="AM65" s="913"/>
      <c r="AN65" s="925"/>
      <c r="AO65" s="932"/>
      <c r="AP65" s="932"/>
      <c r="AQ65" s="870"/>
      <c r="AS65" s="59"/>
      <c r="AT65" s="59"/>
      <c r="AU65" s="59"/>
      <c r="AV65" s="59"/>
      <c r="AW65" s="59"/>
      <c r="AX65" s="59"/>
      <c r="AY65" s="59"/>
      <c r="AZ65" s="59"/>
      <c r="BA65" s="814"/>
      <c r="BB65" s="59"/>
      <c r="BC65" s="59"/>
      <c r="BD65" s="59"/>
      <c r="BE65" s="59"/>
      <c r="BF65" s="59"/>
      <c r="BG65" s="59"/>
      <c r="BH65" s="59"/>
      <c r="BI65" s="59"/>
      <c r="BJ65" s="59"/>
      <c r="BK65" s="59"/>
      <c r="BL65" s="59"/>
      <c r="BM65" s="59"/>
      <c r="BN65" s="59"/>
      <c r="BO65" s="59"/>
      <c r="BP65" s="59"/>
      <c r="BQ65" s="59"/>
      <c r="BR65" s="59"/>
      <c r="BS65" s="59"/>
      <c r="BT65" s="59"/>
      <c r="BU65" s="59"/>
      <c r="BV65" s="59"/>
      <c r="BW65" s="59"/>
      <c r="BX65" s="59"/>
      <c r="BY65" s="59"/>
      <c r="BZ65" s="59"/>
    </row>
    <row r="66" spans="2:78" ht="15.95" hidden="1" customHeight="1">
      <c r="B66" s="929">
        <v>26</v>
      </c>
      <c r="C66" s="8"/>
      <c r="D66" s="8"/>
      <c r="E66" s="8"/>
      <c r="F66" s="8"/>
      <c r="G66" s="8"/>
      <c r="H66" s="8"/>
      <c r="I66" s="8"/>
      <c r="J66" s="8"/>
      <c r="K66" s="8"/>
      <c r="L66" s="8"/>
      <c r="M66" s="8"/>
      <c r="N66" s="8"/>
      <c r="O66" s="8"/>
      <c r="P66" s="8"/>
      <c r="Q66" s="8"/>
      <c r="R66" s="8"/>
      <c r="S66" s="8"/>
      <c r="T66" s="8"/>
      <c r="U66" s="8"/>
      <c r="V66" s="8"/>
      <c r="W66" s="8"/>
      <c r="X66" s="8"/>
      <c r="Y66" s="8"/>
      <c r="Z66" s="8"/>
      <c r="AA66" s="8"/>
      <c r="AB66" s="8"/>
      <c r="AC66" s="8"/>
      <c r="AD66" s="8"/>
      <c r="AE66" s="8"/>
      <c r="AF66" s="8"/>
      <c r="AG66" s="8"/>
      <c r="AH66" s="8"/>
      <c r="AI66" s="8"/>
      <c r="AJ66" s="8"/>
      <c r="AK66" s="8"/>
      <c r="AL66" s="8"/>
      <c r="AM66" s="8"/>
      <c r="AN66" s="8"/>
      <c r="AO66" s="8"/>
      <c r="AP66" s="8"/>
      <c r="AQ66" s="8"/>
      <c r="AS66" s="59"/>
      <c r="AT66" s="59"/>
      <c r="AU66" s="59"/>
      <c r="AV66" s="59"/>
      <c r="AW66" s="59"/>
      <c r="AX66" s="59"/>
      <c r="AY66" s="59"/>
      <c r="AZ66" s="59"/>
      <c r="BA66" s="59"/>
      <c r="BB66" s="59"/>
      <c r="BC66" s="59"/>
      <c r="BD66" s="59"/>
      <c r="BE66" s="59"/>
      <c r="BF66" s="59"/>
      <c r="BG66" s="59"/>
      <c r="BH66" s="59"/>
      <c r="BI66" s="59"/>
      <c r="BJ66" s="59"/>
      <c r="BK66" s="59"/>
      <c r="BL66" s="59"/>
      <c r="BM66" s="59"/>
      <c r="BN66" s="59"/>
      <c r="BO66" s="59"/>
      <c r="BP66" s="59"/>
      <c r="BQ66" s="59"/>
      <c r="BR66" s="59"/>
      <c r="BS66" s="59"/>
      <c r="BT66" s="59"/>
      <c r="BU66" s="59"/>
      <c r="BV66" s="59"/>
      <c r="BW66" s="59"/>
      <c r="BX66" s="59"/>
      <c r="BY66" s="59"/>
      <c r="BZ66" s="59"/>
    </row>
    <row r="67" spans="2:78" ht="15.95" hidden="1" customHeight="1">
      <c r="B67" s="929"/>
      <c r="C67" s="8"/>
      <c r="D67" s="8"/>
      <c r="E67" s="8"/>
      <c r="F67" s="8"/>
      <c r="G67" s="8"/>
      <c r="H67" s="8"/>
      <c r="I67" s="8"/>
      <c r="J67" s="8"/>
      <c r="K67" s="8"/>
      <c r="L67" s="8"/>
      <c r="M67" s="8"/>
      <c r="N67" s="8"/>
      <c r="O67" s="8"/>
      <c r="P67" s="8"/>
      <c r="Q67" s="8"/>
      <c r="R67" s="8"/>
      <c r="S67" s="8"/>
      <c r="T67" s="8"/>
      <c r="U67" s="8"/>
      <c r="V67" s="8"/>
      <c r="W67" s="8"/>
      <c r="X67" s="8"/>
      <c r="Y67" s="8"/>
      <c r="Z67" s="8"/>
      <c r="AA67" s="8"/>
      <c r="AB67" s="8"/>
      <c r="AC67" s="8"/>
      <c r="AD67" s="8"/>
      <c r="AE67" s="8"/>
      <c r="AF67" s="8"/>
      <c r="AG67" s="8"/>
      <c r="AH67" s="8"/>
      <c r="AI67" s="8"/>
      <c r="AJ67" s="8"/>
      <c r="AK67" s="8"/>
      <c r="AL67" s="8"/>
      <c r="AM67" s="8"/>
      <c r="AN67" s="8"/>
      <c r="AO67" s="8"/>
      <c r="AP67" s="8"/>
      <c r="AQ67" s="8"/>
      <c r="AS67" s="59"/>
      <c r="AT67" s="59"/>
      <c r="AU67" s="59"/>
      <c r="AV67" s="59"/>
      <c r="AW67" s="59"/>
      <c r="AX67" s="59"/>
      <c r="AY67" s="59"/>
      <c r="AZ67" s="59"/>
      <c r="BA67" s="59"/>
      <c r="BB67" s="59"/>
      <c r="BC67" s="59"/>
      <c r="BD67" s="59"/>
      <c r="BE67" s="59"/>
      <c r="BF67" s="59"/>
      <c r="BG67" s="59"/>
      <c r="BH67" s="59"/>
      <c r="BI67" s="59"/>
      <c r="BJ67" s="59"/>
      <c r="BK67" s="59"/>
      <c r="BL67" s="59"/>
      <c r="BM67" s="59"/>
      <c r="BN67" s="59"/>
      <c r="BO67" s="59"/>
      <c r="BP67" s="59"/>
      <c r="BQ67" s="59"/>
      <c r="BR67" s="59"/>
      <c r="BS67" s="59"/>
      <c r="BT67" s="59"/>
      <c r="BU67" s="59"/>
      <c r="BV67" s="59"/>
      <c r="BW67" s="59"/>
      <c r="BX67" s="59"/>
      <c r="BY67" s="59"/>
      <c r="BZ67" s="59"/>
    </row>
    <row r="68" spans="2:78" ht="15.95" hidden="1" customHeight="1">
      <c r="B68" s="929">
        <v>27</v>
      </c>
      <c r="C68" s="8"/>
      <c r="D68" s="8"/>
      <c r="E68" s="8"/>
      <c r="F68" s="8"/>
      <c r="G68" s="8"/>
      <c r="H68" s="8"/>
      <c r="I68" s="8"/>
      <c r="J68" s="8"/>
      <c r="K68" s="8"/>
      <c r="L68" s="8"/>
      <c r="M68" s="8"/>
      <c r="N68" s="8"/>
      <c r="O68" s="8"/>
      <c r="P68" s="8"/>
      <c r="Q68" s="8"/>
      <c r="R68" s="8"/>
      <c r="S68" s="8"/>
      <c r="T68" s="8"/>
      <c r="U68" s="8"/>
      <c r="V68" s="8"/>
      <c r="W68" s="8"/>
      <c r="X68" s="8"/>
      <c r="Y68" s="8"/>
      <c r="Z68" s="8"/>
      <c r="AA68" s="8"/>
      <c r="AB68" s="8"/>
      <c r="AC68" s="8"/>
      <c r="AD68" s="8"/>
      <c r="AE68" s="8"/>
      <c r="AF68" s="8"/>
      <c r="AG68" s="8"/>
      <c r="AH68" s="8"/>
      <c r="AI68" s="8"/>
      <c r="AJ68" s="8"/>
      <c r="AK68" s="8"/>
      <c r="AL68" s="8"/>
      <c r="AM68" s="8"/>
      <c r="AN68" s="8"/>
      <c r="AO68" s="8"/>
      <c r="AP68" s="8"/>
      <c r="AQ68" s="8"/>
      <c r="AS68" s="59"/>
      <c r="AT68" s="59"/>
      <c r="AU68" s="59"/>
      <c r="AV68" s="59"/>
      <c r="AW68" s="59"/>
      <c r="AX68" s="59"/>
      <c r="AY68" s="59"/>
      <c r="AZ68" s="59"/>
      <c r="BA68" s="59"/>
      <c r="BB68" s="59"/>
      <c r="BC68" s="59"/>
      <c r="BD68" s="59"/>
      <c r="BE68" s="59"/>
      <c r="BF68" s="59"/>
      <c r="BG68" s="59"/>
      <c r="BH68" s="59"/>
      <c r="BI68" s="59"/>
      <c r="BJ68" s="59"/>
      <c r="BK68" s="59"/>
      <c r="BL68" s="59"/>
      <c r="BM68" s="59"/>
      <c r="BN68" s="59"/>
      <c r="BO68" s="59"/>
      <c r="BP68" s="59"/>
      <c r="BQ68" s="59"/>
      <c r="BR68" s="59"/>
      <c r="BS68" s="59"/>
      <c r="BT68" s="59"/>
      <c r="BU68" s="59"/>
      <c r="BV68" s="59"/>
      <c r="BW68" s="59"/>
      <c r="BX68" s="59"/>
      <c r="BY68" s="59"/>
      <c r="BZ68" s="59"/>
    </row>
    <row r="69" spans="2:78" ht="15.95" hidden="1" customHeight="1">
      <c r="B69" s="929"/>
      <c r="C69" s="8"/>
      <c r="D69" s="8"/>
      <c r="E69" s="8"/>
      <c r="F69" s="8"/>
      <c r="G69" s="8"/>
      <c r="H69" s="8"/>
      <c r="I69" s="8"/>
      <c r="J69" s="8"/>
      <c r="K69" s="8"/>
      <c r="L69" s="8"/>
      <c r="M69" s="8"/>
      <c r="N69" s="8"/>
      <c r="O69" s="8"/>
      <c r="P69" s="8"/>
      <c r="Q69" s="8"/>
      <c r="R69" s="8"/>
      <c r="S69" s="8"/>
      <c r="T69" s="8"/>
      <c r="U69" s="8"/>
      <c r="V69" s="8"/>
      <c r="W69" s="8"/>
      <c r="X69" s="8"/>
      <c r="Y69" s="8"/>
      <c r="Z69" s="8"/>
      <c r="AA69" s="8"/>
      <c r="AB69" s="8"/>
      <c r="AC69" s="8"/>
      <c r="AD69" s="8"/>
      <c r="AE69" s="8"/>
      <c r="AF69" s="8"/>
      <c r="AG69" s="8"/>
      <c r="AH69" s="8"/>
      <c r="AI69" s="8"/>
      <c r="AJ69" s="8"/>
      <c r="AK69" s="8"/>
      <c r="AL69" s="8"/>
      <c r="AM69" s="8"/>
      <c r="AN69" s="8"/>
      <c r="AO69" s="8"/>
      <c r="AP69" s="8"/>
      <c r="AQ69" s="8"/>
      <c r="AS69" s="59"/>
      <c r="AT69" s="59"/>
      <c r="AU69" s="59"/>
      <c r="AV69" s="59"/>
      <c r="AW69" s="59"/>
      <c r="AX69" s="59"/>
      <c r="AY69" s="59"/>
      <c r="AZ69" s="59"/>
      <c r="BA69" s="59"/>
      <c r="BB69" s="59"/>
      <c r="BC69" s="59"/>
      <c r="BD69" s="59"/>
      <c r="BE69" s="59"/>
      <c r="BF69" s="59"/>
      <c r="BG69" s="59"/>
      <c r="BH69" s="59"/>
      <c r="BI69" s="59"/>
      <c r="BJ69" s="59"/>
      <c r="BK69" s="59"/>
      <c r="BL69" s="59"/>
      <c r="BM69" s="59"/>
      <c r="BN69" s="59"/>
      <c r="BO69" s="59"/>
      <c r="BP69" s="59"/>
      <c r="BQ69" s="59"/>
      <c r="BR69" s="59"/>
      <c r="BS69" s="59"/>
      <c r="BT69" s="59"/>
      <c r="BU69" s="59"/>
      <c r="BV69" s="59"/>
      <c r="BW69" s="59"/>
      <c r="BX69" s="59"/>
      <c r="BY69" s="59"/>
      <c r="BZ69" s="59"/>
    </row>
    <row r="70" spans="2:78" ht="15.95" hidden="1" customHeight="1">
      <c r="B70" s="929">
        <v>28</v>
      </c>
      <c r="C70" s="8"/>
      <c r="D70" s="8"/>
      <c r="E70" s="8"/>
      <c r="F70" s="8"/>
      <c r="G70" s="8"/>
      <c r="H70" s="8"/>
      <c r="I70" s="8"/>
      <c r="J70" s="8"/>
      <c r="K70" s="8"/>
      <c r="L70" s="8"/>
      <c r="M70" s="8"/>
      <c r="N70" s="8"/>
      <c r="O70" s="8"/>
      <c r="P70" s="8"/>
      <c r="Q70" s="8"/>
      <c r="R70" s="8"/>
      <c r="S70" s="8"/>
      <c r="T70" s="8"/>
      <c r="U70" s="8"/>
      <c r="V70" s="8"/>
      <c r="W70" s="8"/>
      <c r="X70" s="8"/>
      <c r="Y70" s="8"/>
      <c r="Z70" s="8"/>
      <c r="AA70" s="8"/>
      <c r="AB70" s="8"/>
      <c r="AC70" s="8"/>
      <c r="AD70" s="8"/>
      <c r="AE70" s="8"/>
      <c r="AF70" s="8"/>
      <c r="AG70" s="8"/>
      <c r="AH70" s="8"/>
      <c r="AI70" s="8"/>
      <c r="AJ70" s="8"/>
      <c r="AK70" s="8"/>
      <c r="AL70" s="8"/>
      <c r="AM70" s="8"/>
      <c r="AN70" s="8"/>
      <c r="AO70" s="8"/>
      <c r="AP70" s="8"/>
      <c r="AQ70" s="8"/>
      <c r="AS70" s="59"/>
      <c r="AT70" s="59"/>
      <c r="AU70" s="59"/>
      <c r="AV70" s="59"/>
      <c r="AW70" s="59"/>
      <c r="AX70" s="59"/>
      <c r="AY70" s="59"/>
      <c r="AZ70" s="59"/>
      <c r="BA70" s="59"/>
      <c r="BB70" s="59"/>
      <c r="BC70" s="59"/>
      <c r="BD70" s="59"/>
      <c r="BE70" s="59"/>
      <c r="BF70" s="59"/>
      <c r="BG70" s="59"/>
      <c r="BH70" s="59"/>
      <c r="BI70" s="59"/>
      <c r="BJ70" s="59"/>
      <c r="BK70" s="59"/>
      <c r="BL70" s="59"/>
      <c r="BM70" s="59"/>
      <c r="BN70" s="59"/>
      <c r="BO70" s="59"/>
      <c r="BP70" s="59"/>
      <c r="BQ70" s="59"/>
      <c r="BR70" s="59"/>
      <c r="BS70" s="59"/>
      <c r="BT70" s="59"/>
      <c r="BU70" s="59"/>
      <c r="BV70" s="59"/>
      <c r="BW70" s="59"/>
      <c r="BX70" s="59"/>
      <c r="BY70" s="59"/>
      <c r="BZ70" s="59"/>
    </row>
    <row r="71" spans="2:78" ht="15.95" hidden="1" customHeight="1">
      <c r="B71" s="929"/>
      <c r="C71" s="8"/>
      <c r="D71" s="8"/>
      <c r="E71" s="8"/>
      <c r="F71" s="8"/>
      <c r="G71" s="8"/>
      <c r="H71" s="8"/>
      <c r="I71" s="8"/>
      <c r="J71" s="8"/>
      <c r="K71" s="8"/>
      <c r="L71" s="8"/>
      <c r="M71" s="8"/>
      <c r="N71" s="8"/>
      <c r="O71" s="8"/>
      <c r="P71" s="8"/>
      <c r="Q71" s="8"/>
      <c r="R71" s="8"/>
      <c r="S71" s="8"/>
      <c r="T71" s="8"/>
      <c r="U71" s="8"/>
      <c r="V71" s="8"/>
      <c r="W71" s="8"/>
      <c r="X71" s="8"/>
      <c r="Y71" s="8"/>
      <c r="Z71" s="8"/>
      <c r="AA71" s="8"/>
      <c r="AB71" s="8"/>
      <c r="AC71" s="8"/>
      <c r="AD71" s="8"/>
      <c r="AE71" s="8"/>
      <c r="AF71" s="8"/>
      <c r="AG71" s="8"/>
      <c r="AH71" s="8"/>
      <c r="AI71" s="8"/>
      <c r="AJ71" s="8"/>
      <c r="AK71" s="8"/>
      <c r="AL71" s="8"/>
      <c r="AM71" s="8"/>
      <c r="AN71" s="8"/>
      <c r="AO71" s="8"/>
      <c r="AP71" s="8"/>
      <c r="AQ71" s="8"/>
      <c r="AS71" s="59"/>
      <c r="AT71" s="59"/>
      <c r="AU71" s="59"/>
      <c r="AV71" s="59"/>
      <c r="AW71" s="59"/>
      <c r="AX71" s="59"/>
      <c r="AY71" s="59"/>
      <c r="AZ71" s="59"/>
      <c r="BA71" s="59"/>
      <c r="BB71" s="59"/>
      <c r="BC71" s="59"/>
      <c r="BD71" s="59"/>
      <c r="BE71" s="59"/>
      <c r="BF71" s="59"/>
      <c r="BG71" s="59"/>
      <c r="BH71" s="59"/>
      <c r="BI71" s="59"/>
      <c r="BJ71" s="59"/>
      <c r="BK71" s="59"/>
      <c r="BL71" s="59"/>
      <c r="BM71" s="59"/>
      <c r="BN71" s="59"/>
      <c r="BO71" s="59"/>
      <c r="BP71" s="59"/>
      <c r="BQ71" s="59"/>
      <c r="BR71" s="59"/>
      <c r="BS71" s="59"/>
      <c r="BT71" s="59"/>
      <c r="BU71" s="59"/>
      <c r="BV71" s="59"/>
      <c r="BW71" s="59"/>
      <c r="BX71" s="59"/>
      <c r="BY71" s="59"/>
      <c r="BZ71" s="59"/>
    </row>
    <row r="72" spans="2:78" ht="15.95" hidden="1" customHeight="1">
      <c r="B72" s="929">
        <v>29</v>
      </c>
      <c r="C72" s="8"/>
      <c r="D72" s="8"/>
      <c r="E72" s="8"/>
      <c r="F72" s="8"/>
      <c r="G72" s="8"/>
      <c r="H72" s="8"/>
      <c r="I72" s="8"/>
      <c r="J72" s="8"/>
      <c r="K72" s="8"/>
      <c r="L72" s="8"/>
      <c r="M72" s="8"/>
      <c r="N72" s="8"/>
      <c r="O72" s="8"/>
      <c r="P72" s="8"/>
      <c r="Q72" s="8"/>
      <c r="R72" s="8"/>
      <c r="S72" s="8"/>
      <c r="T72" s="8"/>
      <c r="U72" s="8"/>
      <c r="V72" s="8"/>
      <c r="W72" s="8"/>
      <c r="X72" s="8"/>
      <c r="Y72" s="8"/>
      <c r="Z72" s="8"/>
      <c r="AA72" s="8"/>
      <c r="AB72" s="8"/>
      <c r="AC72" s="8"/>
      <c r="AD72" s="8"/>
      <c r="AE72" s="8"/>
      <c r="AF72" s="8"/>
      <c r="AG72" s="8"/>
      <c r="AH72" s="8"/>
      <c r="AI72" s="8"/>
      <c r="AJ72" s="8"/>
      <c r="AK72" s="8"/>
      <c r="AL72" s="8"/>
      <c r="AM72" s="8"/>
      <c r="AN72" s="8"/>
      <c r="AO72" s="8"/>
      <c r="AP72" s="8"/>
      <c r="AQ72" s="8"/>
      <c r="AS72" s="59"/>
      <c r="AT72" s="59"/>
      <c r="AU72" s="59"/>
      <c r="AV72" s="59"/>
      <c r="AW72" s="59"/>
      <c r="AX72" s="59"/>
      <c r="AY72" s="59"/>
      <c r="AZ72" s="59"/>
      <c r="BA72" s="59"/>
      <c r="BB72" s="59"/>
      <c r="BC72" s="59"/>
      <c r="BD72" s="59"/>
      <c r="BE72" s="59"/>
      <c r="BF72" s="59"/>
      <c r="BG72" s="59"/>
      <c r="BH72" s="59"/>
      <c r="BI72" s="59"/>
      <c r="BJ72" s="59"/>
      <c r="BK72" s="59"/>
      <c r="BL72" s="59"/>
      <c r="BM72" s="59"/>
      <c r="BN72" s="59"/>
      <c r="BO72" s="59"/>
      <c r="BP72" s="59"/>
      <c r="BQ72" s="59"/>
      <c r="BR72" s="59"/>
      <c r="BS72" s="59"/>
      <c r="BT72" s="59"/>
      <c r="BU72" s="59"/>
      <c r="BV72" s="59"/>
      <c r="BW72" s="59"/>
      <c r="BX72" s="59"/>
      <c r="BY72" s="59"/>
      <c r="BZ72" s="59"/>
    </row>
    <row r="73" spans="2:78" ht="15.95" hidden="1" customHeight="1">
      <c r="B73" s="929"/>
      <c r="C73" s="8"/>
      <c r="D73" s="8"/>
      <c r="E73" s="8"/>
      <c r="F73" s="8"/>
      <c r="G73" s="8"/>
      <c r="H73" s="8"/>
      <c r="I73" s="8"/>
      <c r="J73" s="8"/>
      <c r="K73" s="8"/>
      <c r="L73" s="8"/>
      <c r="M73" s="8"/>
      <c r="N73" s="8"/>
      <c r="O73" s="8"/>
      <c r="P73" s="8"/>
      <c r="Q73" s="8"/>
      <c r="R73" s="8"/>
      <c r="S73" s="8"/>
      <c r="T73" s="8"/>
      <c r="U73" s="8"/>
      <c r="V73" s="8"/>
      <c r="W73" s="8"/>
      <c r="X73" s="8"/>
      <c r="Y73" s="8"/>
      <c r="Z73" s="8"/>
      <c r="AA73" s="8"/>
      <c r="AB73" s="8"/>
      <c r="AC73" s="8"/>
      <c r="AD73" s="8"/>
      <c r="AE73" s="8"/>
      <c r="AF73" s="8"/>
      <c r="AG73" s="8"/>
      <c r="AH73" s="8"/>
      <c r="AI73" s="8"/>
      <c r="AJ73" s="8"/>
      <c r="AK73" s="8"/>
      <c r="AL73" s="8"/>
      <c r="AM73" s="8"/>
      <c r="AN73" s="8"/>
      <c r="AO73" s="8"/>
      <c r="AP73" s="8"/>
      <c r="AQ73" s="8"/>
      <c r="AS73" s="59"/>
      <c r="AT73" s="59"/>
      <c r="AU73" s="59"/>
      <c r="AV73" s="59"/>
      <c r="AW73" s="59"/>
      <c r="AX73" s="59"/>
      <c r="AY73" s="59"/>
      <c r="AZ73" s="59"/>
      <c r="BA73" s="59"/>
      <c r="BB73" s="59"/>
      <c r="BC73" s="59"/>
      <c r="BD73" s="59"/>
      <c r="BE73" s="59"/>
      <c r="BF73" s="59"/>
      <c r="BG73" s="59"/>
      <c r="BH73" s="59"/>
      <c r="BI73" s="59"/>
      <c r="BJ73" s="59"/>
      <c r="BK73" s="59"/>
      <c r="BL73" s="59"/>
      <c r="BM73" s="59"/>
      <c r="BN73" s="59"/>
      <c r="BO73" s="59"/>
      <c r="BP73" s="59"/>
      <c r="BQ73" s="59"/>
      <c r="BR73" s="59"/>
      <c r="BS73" s="59"/>
      <c r="BT73" s="59"/>
      <c r="BU73" s="59"/>
      <c r="BV73" s="59"/>
      <c r="BW73" s="59"/>
      <c r="BX73" s="59"/>
      <c r="BY73" s="59"/>
      <c r="BZ73" s="59"/>
    </row>
    <row r="74" spans="2:78" ht="15.95" hidden="1" customHeight="1">
      <c r="B74" s="929">
        <v>30</v>
      </c>
      <c r="C74" s="8"/>
      <c r="D74" s="8"/>
      <c r="E74" s="8"/>
      <c r="F74" s="8"/>
      <c r="G74" s="8"/>
      <c r="H74" s="8"/>
      <c r="I74" s="8"/>
      <c r="J74" s="8"/>
      <c r="K74" s="8"/>
      <c r="L74" s="8"/>
      <c r="M74" s="8"/>
      <c r="N74" s="8"/>
      <c r="O74" s="8"/>
      <c r="P74" s="8"/>
      <c r="Q74" s="8"/>
      <c r="R74" s="8"/>
      <c r="S74" s="8"/>
      <c r="T74" s="8"/>
      <c r="U74" s="8"/>
      <c r="V74" s="8"/>
      <c r="W74" s="8"/>
      <c r="X74" s="8"/>
      <c r="Y74" s="8"/>
      <c r="Z74" s="8"/>
      <c r="AA74" s="8"/>
      <c r="AB74" s="8"/>
      <c r="AC74" s="8"/>
      <c r="AD74" s="8"/>
      <c r="AE74" s="8"/>
      <c r="AF74" s="8"/>
      <c r="AG74" s="8"/>
      <c r="AH74" s="8"/>
      <c r="AI74" s="8"/>
      <c r="AJ74" s="8"/>
      <c r="AK74" s="8"/>
      <c r="AL74" s="8"/>
      <c r="AM74" s="8"/>
      <c r="AN74" s="8"/>
      <c r="AO74" s="8"/>
      <c r="AP74" s="8"/>
      <c r="AQ74" s="8"/>
      <c r="AS74" s="59"/>
      <c r="AT74" s="59"/>
      <c r="AU74" s="59"/>
      <c r="AV74" s="59"/>
      <c r="AW74" s="59"/>
      <c r="AX74" s="59"/>
      <c r="AY74" s="59"/>
      <c r="AZ74" s="59"/>
      <c r="BA74" s="59"/>
      <c r="BB74" s="59"/>
      <c r="BC74" s="59"/>
      <c r="BD74" s="59"/>
      <c r="BE74" s="59"/>
      <c r="BF74" s="59"/>
      <c r="BG74" s="59"/>
      <c r="BH74" s="59"/>
      <c r="BI74" s="59"/>
      <c r="BJ74" s="59"/>
      <c r="BK74" s="59"/>
      <c r="BL74" s="59"/>
      <c r="BM74" s="59"/>
      <c r="BN74" s="59"/>
      <c r="BO74" s="59"/>
      <c r="BP74" s="59"/>
      <c r="BQ74" s="59"/>
      <c r="BR74" s="59"/>
      <c r="BS74" s="59"/>
      <c r="BT74" s="59"/>
      <c r="BU74" s="59"/>
      <c r="BV74" s="59"/>
      <c r="BW74" s="59"/>
      <c r="BX74" s="59"/>
      <c r="BY74" s="59"/>
      <c r="BZ74" s="59"/>
    </row>
    <row r="75" spans="2:78" ht="15.95" hidden="1" customHeight="1">
      <c r="B75" s="929"/>
      <c r="C75" s="8"/>
      <c r="D75" s="8"/>
      <c r="E75" s="8"/>
      <c r="F75" s="8"/>
      <c r="G75" s="8"/>
      <c r="H75" s="8"/>
      <c r="I75" s="8"/>
      <c r="J75" s="8"/>
      <c r="K75" s="8"/>
      <c r="L75" s="8"/>
      <c r="M75" s="8"/>
      <c r="N75" s="8"/>
      <c r="O75" s="8"/>
      <c r="P75" s="8"/>
      <c r="Q75" s="8"/>
      <c r="R75" s="8"/>
      <c r="S75" s="8"/>
      <c r="T75" s="8"/>
      <c r="U75" s="8"/>
      <c r="V75" s="8"/>
      <c r="W75" s="8"/>
      <c r="X75" s="8"/>
      <c r="Y75" s="8"/>
      <c r="Z75" s="8"/>
      <c r="AA75" s="8"/>
      <c r="AB75" s="8"/>
      <c r="AC75" s="8"/>
      <c r="AD75" s="8"/>
      <c r="AE75" s="8"/>
      <c r="AF75" s="8"/>
      <c r="AG75" s="8"/>
      <c r="AH75" s="8"/>
      <c r="AI75" s="8"/>
      <c r="AJ75" s="8"/>
      <c r="AK75" s="8"/>
      <c r="AL75" s="8"/>
      <c r="AM75" s="8"/>
      <c r="AN75" s="8"/>
      <c r="AO75" s="8"/>
      <c r="AP75" s="8"/>
      <c r="AQ75" s="8"/>
      <c r="AS75" s="59"/>
      <c r="AT75" s="59"/>
      <c r="AU75" s="59"/>
      <c r="AV75" s="59"/>
      <c r="AW75" s="59"/>
      <c r="AX75" s="59"/>
      <c r="AY75" s="59"/>
      <c r="AZ75" s="59"/>
      <c r="BA75" s="59"/>
      <c r="BB75" s="59"/>
      <c r="BC75" s="59"/>
      <c r="BD75" s="59"/>
      <c r="BE75" s="59"/>
      <c r="BF75" s="59"/>
      <c r="BG75" s="59"/>
      <c r="BH75" s="59"/>
      <c r="BI75" s="59"/>
      <c r="BJ75" s="59"/>
      <c r="BK75" s="59"/>
      <c r="BL75" s="59"/>
      <c r="BM75" s="59"/>
      <c r="BN75" s="59"/>
      <c r="BO75" s="59"/>
      <c r="BP75" s="59"/>
      <c r="BQ75" s="59"/>
      <c r="BR75" s="59"/>
      <c r="BS75" s="59"/>
      <c r="BT75" s="59"/>
      <c r="BU75" s="59"/>
      <c r="BV75" s="59"/>
      <c r="BW75" s="59"/>
      <c r="BX75" s="59"/>
      <c r="BY75" s="59"/>
      <c r="BZ75" s="59"/>
    </row>
    <row r="76" spans="2:78" ht="15.95" hidden="1" customHeight="1">
      <c r="B76" s="929">
        <v>31</v>
      </c>
      <c r="C76" s="8"/>
      <c r="D76" s="8"/>
      <c r="E76" s="8"/>
      <c r="F76" s="8"/>
      <c r="G76" s="8"/>
      <c r="H76" s="8"/>
      <c r="I76" s="8"/>
      <c r="J76" s="8"/>
      <c r="K76" s="8"/>
      <c r="L76" s="8"/>
      <c r="M76" s="8"/>
      <c r="N76" s="8"/>
      <c r="O76" s="8"/>
      <c r="P76" s="8"/>
      <c r="Q76" s="8"/>
      <c r="R76" s="8"/>
      <c r="S76" s="8"/>
      <c r="T76" s="8"/>
      <c r="U76" s="8"/>
      <c r="V76" s="8"/>
      <c r="W76" s="8"/>
      <c r="X76" s="8"/>
      <c r="Y76" s="8"/>
      <c r="Z76" s="8"/>
      <c r="AA76" s="8"/>
      <c r="AB76" s="8"/>
      <c r="AC76" s="8"/>
      <c r="AD76" s="8"/>
      <c r="AE76" s="8"/>
      <c r="AF76" s="8"/>
      <c r="AG76" s="8"/>
      <c r="AH76" s="8"/>
      <c r="AI76" s="8"/>
      <c r="AJ76" s="8"/>
      <c r="AK76" s="8"/>
      <c r="AL76" s="8"/>
      <c r="AM76" s="8"/>
      <c r="AN76" s="8"/>
      <c r="AO76" s="8"/>
      <c r="AP76" s="8"/>
      <c r="AQ76" s="8"/>
      <c r="AS76" s="59"/>
      <c r="AT76" s="59"/>
      <c r="AU76" s="59"/>
      <c r="AV76" s="59"/>
      <c r="AW76" s="59"/>
      <c r="AX76" s="59"/>
      <c r="AY76" s="59"/>
      <c r="AZ76" s="59"/>
      <c r="BA76" s="59"/>
      <c r="BB76" s="59"/>
      <c r="BC76" s="59"/>
      <c r="BD76" s="59"/>
      <c r="BE76" s="59"/>
      <c r="BF76" s="59"/>
      <c r="BG76" s="59"/>
      <c r="BH76" s="59"/>
      <c r="BI76" s="59"/>
      <c r="BJ76" s="59"/>
      <c r="BK76" s="59"/>
      <c r="BL76" s="59"/>
      <c r="BM76" s="59"/>
      <c r="BN76" s="59"/>
      <c r="BO76" s="59"/>
      <c r="BP76" s="59"/>
      <c r="BQ76" s="59"/>
      <c r="BR76" s="59"/>
      <c r="BS76" s="59"/>
      <c r="BT76" s="59"/>
      <c r="BU76" s="59"/>
      <c r="BV76" s="59"/>
      <c r="BW76" s="59"/>
      <c r="BX76" s="59"/>
      <c r="BY76" s="59"/>
      <c r="BZ76" s="59"/>
    </row>
    <row r="77" spans="2:78" ht="15.95" hidden="1" customHeight="1">
      <c r="B77" s="929"/>
      <c r="C77" s="8"/>
      <c r="D77" s="8"/>
      <c r="E77" s="8"/>
      <c r="F77" s="8"/>
      <c r="G77" s="8"/>
      <c r="H77" s="8"/>
      <c r="I77" s="8"/>
      <c r="J77" s="8"/>
      <c r="K77" s="8"/>
      <c r="L77" s="8"/>
      <c r="M77" s="8"/>
      <c r="N77" s="8"/>
      <c r="O77" s="8"/>
      <c r="P77" s="8"/>
      <c r="Q77" s="8"/>
      <c r="R77" s="8"/>
      <c r="S77" s="8"/>
      <c r="T77" s="8"/>
      <c r="U77" s="8"/>
      <c r="V77" s="8"/>
      <c r="W77" s="8"/>
      <c r="X77" s="8"/>
      <c r="Y77" s="8"/>
      <c r="Z77" s="8"/>
      <c r="AA77" s="8"/>
      <c r="AB77" s="8"/>
      <c r="AC77" s="8"/>
      <c r="AD77" s="8"/>
      <c r="AE77" s="8"/>
      <c r="AF77" s="8"/>
      <c r="AG77" s="8"/>
      <c r="AH77" s="8"/>
      <c r="AI77" s="8"/>
      <c r="AJ77" s="8"/>
      <c r="AK77" s="8"/>
      <c r="AL77" s="8"/>
      <c r="AM77" s="8"/>
      <c r="AN77" s="8"/>
      <c r="AO77" s="8"/>
      <c r="AP77" s="8"/>
      <c r="AQ77" s="8"/>
      <c r="AS77" s="59"/>
      <c r="AT77" s="59"/>
      <c r="AU77" s="59"/>
      <c r="AV77" s="59"/>
      <c r="AW77" s="59"/>
      <c r="AX77" s="59"/>
      <c r="AY77" s="59"/>
      <c r="AZ77" s="59"/>
      <c r="BA77" s="59"/>
      <c r="BB77" s="59"/>
      <c r="BC77" s="59"/>
      <c r="BD77" s="59"/>
      <c r="BE77" s="59"/>
      <c r="BF77" s="59"/>
      <c r="BG77" s="59"/>
      <c r="BH77" s="59"/>
      <c r="BI77" s="59"/>
      <c r="BJ77" s="59"/>
      <c r="BK77" s="59"/>
      <c r="BL77" s="59"/>
      <c r="BM77" s="59"/>
      <c r="BN77" s="59"/>
      <c r="BO77" s="59"/>
      <c r="BP77" s="59"/>
      <c r="BQ77" s="59"/>
      <c r="BR77" s="59"/>
      <c r="BS77" s="59"/>
      <c r="BT77" s="59"/>
      <c r="BU77" s="59"/>
      <c r="BV77" s="59"/>
      <c r="BW77" s="59"/>
      <c r="BX77" s="59"/>
      <c r="BY77" s="59"/>
      <c r="BZ77" s="59"/>
    </row>
    <row r="78" spans="2:78" ht="15.95" hidden="1" customHeight="1">
      <c r="B78" s="929">
        <v>32</v>
      </c>
      <c r="C78" s="8"/>
      <c r="D78" s="8"/>
      <c r="E78" s="8"/>
      <c r="F78" s="8"/>
      <c r="G78" s="8"/>
      <c r="H78" s="8"/>
      <c r="I78" s="8"/>
      <c r="J78" s="8"/>
      <c r="K78" s="8"/>
      <c r="L78" s="8"/>
      <c r="M78" s="8"/>
      <c r="N78" s="8"/>
      <c r="O78" s="8"/>
      <c r="P78" s="8"/>
      <c r="Q78" s="8"/>
      <c r="R78" s="8"/>
      <c r="S78" s="8"/>
      <c r="T78" s="8"/>
      <c r="U78" s="8"/>
      <c r="V78" s="8"/>
      <c r="W78" s="8"/>
      <c r="X78" s="8"/>
      <c r="Y78" s="8"/>
      <c r="Z78" s="8"/>
      <c r="AA78" s="8"/>
      <c r="AB78" s="8"/>
      <c r="AC78" s="8"/>
      <c r="AD78" s="8"/>
      <c r="AE78" s="8"/>
      <c r="AF78" s="8"/>
      <c r="AG78" s="8"/>
      <c r="AH78" s="8"/>
      <c r="AI78" s="8"/>
      <c r="AJ78" s="8"/>
      <c r="AK78" s="8"/>
      <c r="AL78" s="8"/>
      <c r="AM78" s="8"/>
      <c r="AN78" s="8"/>
      <c r="AO78" s="8"/>
      <c r="AP78" s="8"/>
      <c r="AQ78" s="8"/>
      <c r="AS78" s="59"/>
      <c r="AT78" s="59"/>
      <c r="AU78" s="59"/>
      <c r="AV78" s="59"/>
      <c r="AW78" s="59"/>
      <c r="AX78" s="59"/>
      <c r="AY78" s="59"/>
      <c r="AZ78" s="59"/>
      <c r="BA78" s="59"/>
      <c r="BB78" s="59"/>
      <c r="BC78" s="59"/>
      <c r="BD78" s="59"/>
      <c r="BE78" s="59"/>
      <c r="BF78" s="59"/>
      <c r="BG78" s="59"/>
      <c r="BH78" s="59"/>
      <c r="BI78" s="59"/>
      <c r="BJ78" s="59"/>
      <c r="BK78" s="59"/>
      <c r="BL78" s="59"/>
      <c r="BM78" s="59"/>
      <c r="BN78" s="59"/>
      <c r="BO78" s="59"/>
      <c r="BP78" s="59"/>
      <c r="BQ78" s="59"/>
      <c r="BR78" s="59"/>
      <c r="BS78" s="59"/>
      <c r="BT78" s="59"/>
      <c r="BU78" s="59"/>
      <c r="BV78" s="59"/>
      <c r="BW78" s="59"/>
      <c r="BX78" s="59"/>
      <c r="BY78" s="59"/>
      <c r="BZ78" s="59"/>
    </row>
    <row r="79" spans="2:78" ht="15.95" hidden="1" customHeight="1">
      <c r="B79" s="929"/>
      <c r="C79" s="8"/>
      <c r="D79" s="8"/>
      <c r="E79" s="8"/>
      <c r="F79" s="8"/>
      <c r="G79" s="8"/>
      <c r="H79" s="8"/>
      <c r="I79" s="8"/>
      <c r="J79" s="8"/>
      <c r="K79" s="8"/>
      <c r="L79" s="8"/>
      <c r="M79" s="8"/>
      <c r="N79" s="8"/>
      <c r="O79" s="8"/>
      <c r="P79" s="8"/>
      <c r="Q79" s="8"/>
      <c r="R79" s="8"/>
      <c r="S79" s="8"/>
      <c r="T79" s="8"/>
      <c r="U79" s="8"/>
      <c r="V79" s="8"/>
      <c r="W79" s="8"/>
      <c r="X79" s="8"/>
      <c r="Y79" s="8"/>
      <c r="Z79" s="8"/>
      <c r="AA79" s="8"/>
      <c r="AB79" s="8"/>
      <c r="AC79" s="8"/>
      <c r="AD79" s="8"/>
      <c r="AE79" s="8"/>
      <c r="AF79" s="8"/>
      <c r="AG79" s="8"/>
      <c r="AH79" s="8"/>
      <c r="AI79" s="8"/>
      <c r="AJ79" s="8"/>
      <c r="AK79" s="8"/>
      <c r="AL79" s="8"/>
      <c r="AM79" s="8"/>
      <c r="AN79" s="8"/>
      <c r="AO79" s="8"/>
      <c r="AP79" s="8"/>
      <c r="AQ79" s="8"/>
      <c r="AS79" s="59"/>
      <c r="AT79" s="59"/>
      <c r="AU79" s="59"/>
      <c r="AV79" s="59"/>
      <c r="AW79" s="59"/>
      <c r="AX79" s="59"/>
      <c r="AY79" s="59"/>
      <c r="AZ79" s="59"/>
      <c r="BA79" s="59"/>
      <c r="BB79" s="59"/>
      <c r="BC79" s="59"/>
      <c r="BD79" s="59"/>
      <c r="BE79" s="59"/>
      <c r="BF79" s="59"/>
      <c r="BG79" s="59"/>
      <c r="BH79" s="59"/>
      <c r="BI79" s="59"/>
      <c r="BJ79" s="59"/>
      <c r="BK79" s="59"/>
      <c r="BL79" s="59"/>
      <c r="BM79" s="59"/>
      <c r="BN79" s="59"/>
      <c r="BO79" s="59"/>
      <c r="BP79" s="59"/>
      <c r="BQ79" s="59"/>
      <c r="BR79" s="59"/>
      <c r="BS79" s="59"/>
      <c r="BT79" s="59"/>
      <c r="BU79" s="59"/>
      <c r="BV79" s="59"/>
      <c r="BW79" s="59"/>
      <c r="BX79" s="59"/>
      <c r="BY79" s="59"/>
      <c r="BZ79" s="59"/>
    </row>
    <row r="80" spans="2:78" ht="15.95" hidden="1" customHeight="1">
      <c r="B80" s="929">
        <v>33</v>
      </c>
      <c r="C80" s="8"/>
      <c r="D80" s="8"/>
      <c r="E80" s="8"/>
      <c r="F80" s="8"/>
      <c r="G80" s="8"/>
      <c r="H80" s="8"/>
      <c r="I80" s="8"/>
      <c r="J80" s="8"/>
      <c r="K80" s="8"/>
      <c r="L80" s="8"/>
      <c r="M80" s="8"/>
      <c r="N80" s="8"/>
      <c r="O80" s="8"/>
      <c r="P80" s="8"/>
      <c r="Q80" s="8"/>
      <c r="R80" s="8"/>
      <c r="S80" s="8"/>
      <c r="T80" s="8"/>
      <c r="U80" s="8"/>
      <c r="V80" s="8"/>
      <c r="W80" s="8"/>
      <c r="X80" s="8"/>
      <c r="Y80" s="8"/>
      <c r="Z80" s="8"/>
      <c r="AA80" s="8"/>
      <c r="AB80" s="8"/>
      <c r="AC80" s="8"/>
      <c r="AD80" s="8"/>
      <c r="AE80" s="8"/>
      <c r="AF80" s="8"/>
      <c r="AG80" s="8"/>
      <c r="AH80" s="8"/>
      <c r="AI80" s="8"/>
      <c r="AJ80" s="8"/>
      <c r="AK80" s="8"/>
      <c r="AL80" s="8"/>
      <c r="AM80" s="8"/>
      <c r="AN80" s="8"/>
      <c r="AO80" s="8"/>
      <c r="AP80" s="8"/>
      <c r="AQ80" s="8"/>
      <c r="AS80" s="59"/>
      <c r="AT80" s="59"/>
      <c r="AU80" s="59"/>
      <c r="AV80" s="59"/>
      <c r="AW80" s="59"/>
      <c r="AX80" s="59"/>
      <c r="AY80" s="59"/>
      <c r="AZ80" s="59"/>
      <c r="BA80" s="59"/>
      <c r="BB80" s="59"/>
      <c r="BC80" s="59"/>
      <c r="BD80" s="59"/>
      <c r="BE80" s="59"/>
      <c r="BF80" s="59"/>
      <c r="BG80" s="59"/>
      <c r="BH80" s="59"/>
      <c r="BI80" s="59"/>
      <c r="BJ80" s="59"/>
      <c r="BK80" s="59"/>
      <c r="BL80" s="59"/>
      <c r="BM80" s="59"/>
      <c r="BN80" s="59"/>
      <c r="BO80" s="59"/>
      <c r="BP80" s="59"/>
      <c r="BQ80" s="59"/>
      <c r="BR80" s="59"/>
      <c r="BS80" s="59"/>
      <c r="BT80" s="59"/>
      <c r="BU80" s="59"/>
      <c r="BV80" s="59"/>
      <c r="BW80" s="59"/>
      <c r="BX80" s="59"/>
      <c r="BY80" s="59"/>
      <c r="BZ80" s="59"/>
    </row>
    <row r="81" spans="2:78" ht="15.95" hidden="1" customHeight="1">
      <c r="B81" s="929"/>
      <c r="C81" s="8"/>
      <c r="D81" s="8"/>
      <c r="E81" s="8"/>
      <c r="F81" s="8"/>
      <c r="G81" s="8"/>
      <c r="H81" s="8"/>
      <c r="I81" s="8"/>
      <c r="J81" s="8"/>
      <c r="K81" s="8"/>
      <c r="L81" s="8"/>
      <c r="M81" s="8"/>
      <c r="N81" s="8"/>
      <c r="O81" s="8"/>
      <c r="P81" s="8"/>
      <c r="Q81" s="8"/>
      <c r="R81" s="8"/>
      <c r="S81" s="8"/>
      <c r="T81" s="8"/>
      <c r="U81" s="8"/>
      <c r="V81" s="8"/>
      <c r="W81" s="8"/>
      <c r="X81" s="8"/>
      <c r="Y81" s="8"/>
      <c r="Z81" s="8"/>
      <c r="AA81" s="8"/>
      <c r="AB81" s="8"/>
      <c r="AC81" s="8"/>
      <c r="AD81" s="8"/>
      <c r="AE81" s="8"/>
      <c r="AF81" s="8"/>
      <c r="AG81" s="8"/>
      <c r="AH81" s="8"/>
      <c r="AI81" s="8"/>
      <c r="AJ81" s="8"/>
      <c r="AK81" s="8"/>
      <c r="AL81" s="8"/>
      <c r="AM81" s="8"/>
      <c r="AN81" s="8"/>
      <c r="AO81" s="8"/>
      <c r="AP81" s="8"/>
      <c r="AQ81" s="8"/>
      <c r="AS81" s="59"/>
      <c r="AT81" s="59"/>
      <c r="AU81" s="59"/>
      <c r="AV81" s="59"/>
      <c r="AW81" s="59"/>
      <c r="AX81" s="59"/>
      <c r="AY81" s="59"/>
      <c r="AZ81" s="59"/>
      <c r="BA81" s="59"/>
      <c r="BB81" s="59"/>
      <c r="BC81" s="59"/>
      <c r="BD81" s="59"/>
      <c r="BE81" s="59"/>
      <c r="BF81" s="59"/>
      <c r="BG81" s="59"/>
      <c r="BH81" s="59"/>
      <c r="BI81" s="59"/>
      <c r="BJ81" s="59"/>
      <c r="BK81" s="59"/>
      <c r="BL81" s="59"/>
      <c r="BM81" s="59"/>
      <c r="BN81" s="59"/>
      <c r="BO81" s="59"/>
      <c r="BP81" s="59"/>
      <c r="BQ81" s="59"/>
      <c r="BR81" s="59"/>
      <c r="BS81" s="59"/>
      <c r="BT81" s="59"/>
      <c r="BU81" s="59"/>
      <c r="BV81" s="59"/>
      <c r="BW81" s="59"/>
      <c r="BX81" s="59"/>
      <c r="BY81" s="59"/>
      <c r="BZ81" s="59"/>
    </row>
    <row r="82" spans="2:78" ht="15.95" hidden="1" customHeight="1">
      <c r="B82" s="929">
        <v>34</v>
      </c>
      <c r="C82" s="8"/>
      <c r="D82" s="8"/>
      <c r="E82" s="8"/>
      <c r="F82" s="8"/>
      <c r="G82" s="8"/>
      <c r="H82" s="8"/>
      <c r="I82" s="8"/>
      <c r="J82" s="8"/>
      <c r="K82" s="8"/>
      <c r="L82" s="8"/>
      <c r="M82" s="8"/>
      <c r="N82" s="8"/>
      <c r="O82" s="8"/>
      <c r="P82" s="8"/>
      <c r="Q82" s="8"/>
      <c r="R82" s="8"/>
      <c r="S82" s="8"/>
      <c r="T82" s="8"/>
      <c r="U82" s="8"/>
      <c r="V82" s="8"/>
      <c r="W82" s="8"/>
      <c r="X82" s="8"/>
      <c r="Y82" s="8"/>
      <c r="Z82" s="8"/>
      <c r="AA82" s="8"/>
      <c r="AB82" s="8"/>
      <c r="AC82" s="8"/>
      <c r="AD82" s="8"/>
      <c r="AE82" s="8"/>
      <c r="AF82" s="8"/>
      <c r="AG82" s="8"/>
      <c r="AH82" s="8"/>
      <c r="AI82" s="8"/>
      <c r="AJ82" s="8"/>
      <c r="AK82" s="8"/>
      <c r="AL82" s="8"/>
      <c r="AM82" s="8"/>
      <c r="AN82" s="8"/>
      <c r="AO82" s="8"/>
      <c r="AP82" s="8"/>
      <c r="AQ82" s="8"/>
      <c r="AS82" s="59"/>
      <c r="AT82" s="59"/>
      <c r="AU82" s="59"/>
      <c r="AV82" s="59"/>
      <c r="AW82" s="59"/>
      <c r="AX82" s="59"/>
      <c r="AY82" s="59"/>
      <c r="AZ82" s="59"/>
      <c r="BA82" s="59"/>
      <c r="BB82" s="59"/>
      <c r="BC82" s="59"/>
      <c r="BD82" s="59"/>
      <c r="BE82" s="59"/>
      <c r="BF82" s="59"/>
      <c r="BG82" s="59"/>
      <c r="BH82" s="59"/>
      <c r="BI82" s="59"/>
      <c r="BJ82" s="59"/>
      <c r="BK82" s="59"/>
      <c r="BL82" s="59"/>
      <c r="BM82" s="59"/>
      <c r="BN82" s="59"/>
      <c r="BO82" s="59"/>
      <c r="BP82" s="59"/>
      <c r="BQ82" s="59"/>
      <c r="BR82" s="59"/>
      <c r="BS82" s="59"/>
      <c r="BT82" s="59"/>
      <c r="BU82" s="59"/>
      <c r="BV82" s="59"/>
      <c r="BW82" s="59"/>
      <c r="BX82" s="59"/>
      <c r="BY82" s="59"/>
      <c r="BZ82" s="59"/>
    </row>
    <row r="83" spans="2:78" ht="15.95" hidden="1" customHeight="1">
      <c r="B83" s="929"/>
      <c r="C83" s="8"/>
      <c r="D83" s="8"/>
      <c r="E83" s="8"/>
      <c r="F83" s="8"/>
      <c r="G83" s="8"/>
      <c r="H83" s="8"/>
      <c r="I83" s="8"/>
      <c r="J83" s="8"/>
      <c r="K83" s="8"/>
      <c r="L83" s="8"/>
      <c r="M83" s="8"/>
      <c r="N83" s="8"/>
      <c r="O83" s="8"/>
      <c r="P83" s="8"/>
      <c r="Q83" s="8"/>
      <c r="R83" s="8"/>
      <c r="S83" s="8"/>
      <c r="T83" s="8"/>
      <c r="U83" s="8"/>
      <c r="V83" s="8"/>
      <c r="W83" s="8"/>
      <c r="X83" s="8"/>
      <c r="Y83" s="8"/>
      <c r="Z83" s="8"/>
      <c r="AA83" s="8"/>
      <c r="AB83" s="8"/>
      <c r="AC83" s="8"/>
      <c r="AD83" s="8"/>
      <c r="AE83" s="8"/>
      <c r="AF83" s="8"/>
      <c r="AG83" s="8"/>
      <c r="AH83" s="8"/>
      <c r="AI83" s="8"/>
      <c r="AJ83" s="8"/>
      <c r="AK83" s="8"/>
      <c r="AL83" s="8"/>
      <c r="AM83" s="8"/>
      <c r="AN83" s="8"/>
      <c r="AO83" s="8"/>
      <c r="AP83" s="8"/>
      <c r="AQ83" s="8"/>
      <c r="AS83" s="59"/>
      <c r="AT83" s="59"/>
      <c r="AU83" s="59"/>
      <c r="AV83" s="59"/>
      <c r="AW83" s="59"/>
      <c r="AX83" s="59"/>
      <c r="AY83" s="59"/>
      <c r="AZ83" s="59"/>
      <c r="BA83" s="59"/>
      <c r="BB83" s="59"/>
      <c r="BC83" s="59"/>
      <c r="BD83" s="59"/>
      <c r="BE83" s="59"/>
      <c r="BF83" s="59"/>
      <c r="BG83" s="59"/>
      <c r="BH83" s="59"/>
      <c r="BI83" s="59"/>
      <c r="BJ83" s="59"/>
      <c r="BK83" s="59"/>
      <c r="BL83" s="59"/>
      <c r="BM83" s="59"/>
      <c r="BN83" s="59"/>
      <c r="BO83" s="59"/>
      <c r="BP83" s="59"/>
      <c r="BQ83" s="59"/>
      <c r="BR83" s="59"/>
      <c r="BS83" s="59"/>
      <c r="BT83" s="59"/>
      <c r="BU83" s="59"/>
      <c r="BV83" s="59"/>
      <c r="BW83" s="59"/>
      <c r="BX83" s="59"/>
      <c r="BY83" s="59"/>
      <c r="BZ83" s="59"/>
    </row>
    <row r="84" spans="2:78" ht="15.95" hidden="1" customHeight="1">
      <c r="B84" s="929">
        <v>35</v>
      </c>
      <c r="C84" s="8"/>
      <c r="D84" s="8"/>
      <c r="E84" s="8"/>
      <c r="F84" s="8"/>
      <c r="G84" s="8"/>
      <c r="H84" s="8"/>
      <c r="I84" s="8"/>
      <c r="J84" s="8"/>
      <c r="K84" s="8"/>
      <c r="L84" s="8"/>
      <c r="M84" s="8"/>
      <c r="N84" s="8"/>
      <c r="O84" s="8"/>
      <c r="P84" s="8"/>
      <c r="Q84" s="8"/>
      <c r="R84" s="8"/>
      <c r="S84" s="8"/>
      <c r="T84" s="8"/>
      <c r="U84" s="8"/>
      <c r="V84" s="8"/>
      <c r="W84" s="8"/>
      <c r="X84" s="8"/>
      <c r="Y84" s="8"/>
      <c r="Z84" s="8"/>
      <c r="AA84" s="8"/>
      <c r="AB84" s="8"/>
      <c r="AC84" s="8"/>
      <c r="AD84" s="8"/>
      <c r="AE84" s="8"/>
      <c r="AF84" s="8"/>
      <c r="AG84" s="8"/>
      <c r="AH84" s="8"/>
      <c r="AI84" s="8"/>
      <c r="AJ84" s="8"/>
      <c r="AK84" s="8"/>
      <c r="AL84" s="8"/>
      <c r="AM84" s="8"/>
      <c r="AN84" s="8"/>
      <c r="AO84" s="8"/>
      <c r="AP84" s="8"/>
      <c r="AQ84" s="8"/>
      <c r="AS84" s="59"/>
      <c r="AT84" s="59"/>
      <c r="AU84" s="59"/>
      <c r="AV84" s="59"/>
      <c r="AW84" s="59"/>
      <c r="AX84" s="59"/>
      <c r="AY84" s="59"/>
      <c r="AZ84" s="59"/>
      <c r="BA84" s="59"/>
      <c r="BB84" s="59"/>
      <c r="BC84" s="59"/>
      <c r="BD84" s="59"/>
      <c r="BE84" s="59"/>
      <c r="BF84" s="59"/>
      <c r="BG84" s="59"/>
      <c r="BH84" s="59"/>
      <c r="BI84" s="59"/>
      <c r="BJ84" s="59"/>
      <c r="BK84" s="59"/>
      <c r="BL84" s="59"/>
      <c r="BM84" s="59"/>
      <c r="BN84" s="59"/>
      <c r="BO84" s="59"/>
      <c r="BP84" s="59"/>
      <c r="BQ84" s="59"/>
      <c r="BR84" s="59"/>
      <c r="BS84" s="59"/>
      <c r="BT84" s="59"/>
      <c r="BU84" s="59"/>
      <c r="BV84" s="59"/>
      <c r="BW84" s="59"/>
      <c r="BX84" s="59"/>
      <c r="BY84" s="59"/>
      <c r="BZ84" s="59"/>
    </row>
    <row r="85" spans="2:78" ht="15.95" hidden="1" customHeight="1">
      <c r="B85" s="929"/>
      <c r="C85" s="8"/>
      <c r="D85" s="8"/>
      <c r="E85" s="8"/>
      <c r="F85" s="8"/>
      <c r="G85" s="8"/>
      <c r="H85" s="8"/>
      <c r="I85" s="8"/>
      <c r="J85" s="8"/>
      <c r="K85" s="8"/>
      <c r="L85" s="8"/>
      <c r="M85" s="8"/>
      <c r="N85" s="8"/>
      <c r="O85" s="8"/>
      <c r="P85" s="8"/>
      <c r="Q85" s="8"/>
      <c r="R85" s="8"/>
      <c r="S85" s="8"/>
      <c r="T85" s="8"/>
      <c r="U85" s="8"/>
      <c r="V85" s="8"/>
      <c r="W85" s="8"/>
      <c r="X85" s="8"/>
      <c r="Y85" s="8"/>
      <c r="Z85" s="8"/>
      <c r="AA85" s="8"/>
      <c r="AB85" s="8"/>
      <c r="AC85" s="8"/>
      <c r="AD85" s="8"/>
      <c r="AE85" s="8"/>
      <c r="AF85" s="8"/>
      <c r="AG85" s="8"/>
      <c r="AH85" s="8"/>
      <c r="AI85" s="8"/>
      <c r="AJ85" s="8"/>
      <c r="AK85" s="8"/>
      <c r="AL85" s="8"/>
      <c r="AM85" s="8"/>
      <c r="AN85" s="8"/>
      <c r="AO85" s="8"/>
      <c r="AP85" s="8"/>
      <c r="AQ85" s="8"/>
      <c r="AS85" s="59"/>
      <c r="AT85" s="59"/>
      <c r="AU85" s="59"/>
      <c r="AV85" s="59"/>
      <c r="AW85" s="59"/>
      <c r="AX85" s="59"/>
      <c r="AY85" s="59"/>
      <c r="AZ85" s="59"/>
      <c r="BA85" s="59"/>
      <c r="BB85" s="59"/>
      <c r="BC85" s="59"/>
      <c r="BD85" s="59"/>
      <c r="BE85" s="59"/>
      <c r="BF85" s="59"/>
      <c r="BG85" s="59"/>
      <c r="BH85" s="59"/>
      <c r="BI85" s="59"/>
      <c r="BJ85" s="59"/>
      <c r="BK85" s="59"/>
      <c r="BL85" s="59"/>
      <c r="BM85" s="59"/>
      <c r="BN85" s="59"/>
      <c r="BO85" s="59"/>
      <c r="BP85" s="59"/>
      <c r="BQ85" s="59"/>
      <c r="BR85" s="59"/>
      <c r="BS85" s="59"/>
      <c r="BT85" s="59"/>
      <c r="BU85" s="59"/>
      <c r="BV85" s="59"/>
      <c r="BW85" s="59"/>
      <c r="BX85" s="59"/>
      <c r="BY85" s="59"/>
      <c r="BZ85" s="59"/>
    </row>
    <row r="86" spans="2:78" ht="15.95" hidden="1" customHeight="1">
      <c r="B86" s="929">
        <v>36</v>
      </c>
      <c r="C86" s="8"/>
      <c r="D86" s="8"/>
      <c r="E86" s="8"/>
      <c r="F86" s="8"/>
      <c r="G86" s="8"/>
      <c r="H86" s="8"/>
      <c r="I86" s="8"/>
      <c r="J86" s="8"/>
      <c r="K86" s="8"/>
      <c r="L86" s="8"/>
      <c r="M86" s="8"/>
      <c r="N86" s="8"/>
      <c r="O86" s="8"/>
      <c r="P86" s="8"/>
      <c r="Q86" s="8"/>
      <c r="R86" s="8"/>
      <c r="S86" s="8"/>
      <c r="T86" s="8"/>
      <c r="U86" s="8"/>
      <c r="V86" s="8"/>
      <c r="W86" s="8"/>
      <c r="X86" s="8"/>
      <c r="Y86" s="8"/>
      <c r="Z86" s="8"/>
      <c r="AA86" s="8"/>
      <c r="AB86" s="8"/>
      <c r="AC86" s="8"/>
      <c r="AD86" s="8"/>
      <c r="AE86" s="8"/>
      <c r="AF86" s="8"/>
      <c r="AG86" s="8"/>
      <c r="AH86" s="8"/>
      <c r="AI86" s="8"/>
      <c r="AJ86" s="8"/>
      <c r="AK86" s="8"/>
      <c r="AL86" s="8"/>
      <c r="AM86" s="8"/>
      <c r="AN86" s="8"/>
      <c r="AO86" s="8"/>
      <c r="AP86" s="8"/>
      <c r="AQ86" s="8"/>
      <c r="AS86" s="59"/>
      <c r="AT86" s="59"/>
      <c r="AU86" s="59"/>
      <c r="AV86" s="59"/>
      <c r="AW86" s="59"/>
      <c r="AX86" s="59"/>
      <c r="AY86" s="59"/>
      <c r="AZ86" s="59"/>
      <c r="BA86" s="59"/>
      <c r="BB86" s="59"/>
      <c r="BC86" s="59"/>
      <c r="BD86" s="59"/>
      <c r="BE86" s="59"/>
      <c r="BF86" s="59"/>
      <c r="BG86" s="59"/>
      <c r="BH86" s="59"/>
      <c r="BI86" s="59"/>
      <c r="BJ86" s="59"/>
      <c r="BK86" s="59"/>
      <c r="BL86" s="59"/>
      <c r="BM86" s="59"/>
      <c r="BN86" s="59"/>
      <c r="BO86" s="59"/>
      <c r="BP86" s="59"/>
      <c r="BQ86" s="59"/>
      <c r="BR86" s="59"/>
      <c r="BS86" s="59"/>
      <c r="BT86" s="59"/>
      <c r="BU86" s="59"/>
      <c r="BV86" s="59"/>
      <c r="BW86" s="59"/>
      <c r="BX86" s="59"/>
      <c r="BY86" s="59"/>
      <c r="BZ86" s="59"/>
    </row>
    <row r="87" spans="2:78" ht="15.95" hidden="1" customHeight="1">
      <c r="B87" s="929"/>
      <c r="C87" s="8"/>
      <c r="D87" s="8"/>
      <c r="E87" s="8"/>
      <c r="F87" s="8"/>
      <c r="G87" s="8"/>
      <c r="H87" s="8"/>
      <c r="I87" s="8"/>
      <c r="J87" s="8"/>
      <c r="K87" s="8"/>
      <c r="L87" s="8"/>
      <c r="M87" s="8"/>
      <c r="N87" s="8"/>
      <c r="O87" s="8"/>
      <c r="P87" s="8"/>
      <c r="Q87" s="8"/>
      <c r="R87" s="8"/>
      <c r="S87" s="8"/>
      <c r="T87" s="8"/>
      <c r="U87" s="8"/>
      <c r="V87" s="8"/>
      <c r="W87" s="8"/>
      <c r="X87" s="8"/>
      <c r="Y87" s="8"/>
      <c r="Z87" s="8"/>
      <c r="AA87" s="8"/>
      <c r="AB87" s="8"/>
      <c r="AC87" s="8"/>
      <c r="AD87" s="8"/>
      <c r="AE87" s="8"/>
      <c r="AF87" s="8"/>
      <c r="AG87" s="8"/>
      <c r="AH87" s="8"/>
      <c r="AI87" s="8"/>
      <c r="AJ87" s="8"/>
      <c r="AK87" s="8"/>
      <c r="AL87" s="8"/>
      <c r="AM87" s="8"/>
      <c r="AN87" s="8"/>
      <c r="AO87" s="8"/>
      <c r="AP87" s="8"/>
      <c r="AQ87" s="8"/>
      <c r="AS87" s="59"/>
      <c r="AT87" s="59"/>
      <c r="AU87" s="59"/>
      <c r="AV87" s="59"/>
      <c r="AW87" s="59"/>
      <c r="AX87" s="59"/>
      <c r="AY87" s="59"/>
      <c r="AZ87" s="59"/>
      <c r="BA87" s="59"/>
      <c r="BB87" s="59"/>
      <c r="BC87" s="59"/>
      <c r="BD87" s="59"/>
      <c r="BE87" s="59"/>
      <c r="BF87" s="59"/>
      <c r="BG87" s="59"/>
      <c r="BH87" s="59"/>
      <c r="BI87" s="59"/>
      <c r="BJ87" s="59"/>
      <c r="BK87" s="59"/>
      <c r="BL87" s="59"/>
      <c r="BM87" s="59"/>
      <c r="BN87" s="59"/>
      <c r="BO87" s="59"/>
      <c r="BP87" s="59"/>
      <c r="BQ87" s="59"/>
      <c r="BR87" s="59"/>
      <c r="BS87" s="59"/>
      <c r="BT87" s="59"/>
      <c r="BU87" s="59"/>
      <c r="BV87" s="59"/>
      <c r="BW87" s="59"/>
      <c r="BX87" s="59"/>
      <c r="BY87" s="59"/>
      <c r="BZ87" s="59"/>
    </row>
    <row r="88" spans="2:78" ht="15.95" hidden="1" customHeight="1">
      <c r="B88" s="929">
        <v>37</v>
      </c>
      <c r="C88" s="8"/>
      <c r="D88" s="8"/>
      <c r="E88" s="8"/>
      <c r="F88" s="8"/>
      <c r="G88" s="8"/>
      <c r="H88" s="8"/>
      <c r="I88" s="8"/>
      <c r="J88" s="8"/>
      <c r="K88" s="8"/>
      <c r="L88" s="8"/>
      <c r="M88" s="8"/>
      <c r="N88" s="8"/>
      <c r="O88" s="8"/>
      <c r="P88" s="8"/>
      <c r="Q88" s="8"/>
      <c r="R88" s="8"/>
      <c r="S88" s="8"/>
      <c r="T88" s="8"/>
      <c r="U88" s="8"/>
      <c r="V88" s="8"/>
      <c r="W88" s="8"/>
      <c r="X88" s="8"/>
      <c r="Y88" s="8"/>
      <c r="Z88" s="8"/>
      <c r="AA88" s="8"/>
      <c r="AB88" s="8"/>
      <c r="AC88" s="8"/>
      <c r="AD88" s="8"/>
      <c r="AE88" s="8"/>
      <c r="AF88" s="8"/>
      <c r="AG88" s="8"/>
      <c r="AH88" s="8"/>
      <c r="AI88" s="8"/>
      <c r="AJ88" s="8"/>
      <c r="AK88" s="8"/>
      <c r="AL88" s="8"/>
      <c r="AM88" s="8"/>
      <c r="AN88" s="8"/>
      <c r="AO88" s="8"/>
      <c r="AP88" s="8"/>
      <c r="AQ88" s="8"/>
      <c r="AS88" s="59"/>
      <c r="AT88" s="59"/>
      <c r="AU88" s="59"/>
      <c r="AV88" s="59"/>
      <c r="AW88" s="59"/>
      <c r="AX88" s="59"/>
      <c r="AY88" s="59"/>
      <c r="AZ88" s="59"/>
      <c r="BA88" s="59"/>
      <c r="BB88" s="59"/>
      <c r="BC88" s="59"/>
      <c r="BD88" s="59"/>
      <c r="BE88" s="59"/>
      <c r="BF88" s="59"/>
      <c r="BG88" s="59"/>
      <c r="BH88" s="59"/>
      <c r="BI88" s="59"/>
      <c r="BJ88" s="59"/>
      <c r="BK88" s="59"/>
      <c r="BL88" s="59"/>
      <c r="BM88" s="59"/>
      <c r="BN88" s="59"/>
      <c r="BO88" s="59"/>
      <c r="BP88" s="59"/>
      <c r="BQ88" s="59"/>
      <c r="BR88" s="59"/>
      <c r="BS88" s="59"/>
      <c r="BT88" s="59"/>
      <c r="BU88" s="59"/>
      <c r="BV88" s="59"/>
      <c r="BW88" s="59"/>
      <c r="BX88" s="59"/>
      <c r="BY88" s="59"/>
      <c r="BZ88" s="59"/>
    </row>
    <row r="89" spans="2:78" ht="15.95" hidden="1" customHeight="1">
      <c r="B89" s="929"/>
      <c r="C89" s="8"/>
      <c r="D89" s="8"/>
      <c r="E89" s="8"/>
      <c r="F89" s="8"/>
      <c r="G89" s="8"/>
      <c r="H89" s="8"/>
      <c r="I89" s="8"/>
      <c r="J89" s="8"/>
      <c r="K89" s="8"/>
      <c r="L89" s="8"/>
      <c r="M89" s="8"/>
      <c r="N89" s="8"/>
      <c r="O89" s="8"/>
      <c r="P89" s="8"/>
      <c r="Q89" s="8"/>
      <c r="R89" s="8"/>
      <c r="S89" s="8"/>
      <c r="T89" s="8"/>
      <c r="U89" s="8"/>
      <c r="V89" s="8"/>
      <c r="W89" s="8"/>
      <c r="X89" s="8"/>
      <c r="Y89" s="8"/>
      <c r="Z89" s="8"/>
      <c r="AA89" s="8"/>
      <c r="AB89" s="8"/>
      <c r="AC89" s="8"/>
      <c r="AD89" s="8"/>
      <c r="AE89" s="8"/>
      <c r="AF89" s="8"/>
      <c r="AG89" s="8"/>
      <c r="AH89" s="8"/>
      <c r="AI89" s="8"/>
      <c r="AJ89" s="8"/>
      <c r="AK89" s="8"/>
      <c r="AL89" s="8"/>
      <c r="AM89" s="8"/>
      <c r="AN89" s="8"/>
      <c r="AO89" s="8"/>
      <c r="AP89" s="8"/>
      <c r="AQ89" s="8"/>
      <c r="AS89" s="59"/>
      <c r="AT89" s="59"/>
      <c r="AU89" s="59"/>
      <c r="AV89" s="59"/>
      <c r="AW89" s="59"/>
      <c r="AX89" s="59"/>
      <c r="AY89" s="59"/>
      <c r="AZ89" s="59"/>
      <c r="BA89" s="59"/>
      <c r="BB89" s="59"/>
      <c r="BC89" s="59"/>
      <c r="BD89" s="59"/>
      <c r="BE89" s="59"/>
      <c r="BF89" s="59"/>
      <c r="BG89" s="59"/>
      <c r="BH89" s="59"/>
      <c r="BI89" s="59"/>
      <c r="BJ89" s="59"/>
      <c r="BK89" s="59"/>
      <c r="BL89" s="59"/>
      <c r="BM89" s="59"/>
      <c r="BN89" s="59"/>
      <c r="BO89" s="59"/>
      <c r="BP89" s="59"/>
      <c r="BQ89" s="59"/>
      <c r="BR89" s="59"/>
      <c r="BS89" s="59"/>
      <c r="BT89" s="59"/>
      <c r="BU89" s="59"/>
      <c r="BV89" s="59"/>
      <c r="BW89" s="59"/>
      <c r="BX89" s="59"/>
      <c r="BY89" s="59"/>
      <c r="BZ89" s="59"/>
    </row>
    <row r="90" spans="2:78" ht="15.95" hidden="1" customHeight="1">
      <c r="B90" s="929">
        <v>38</v>
      </c>
      <c r="C90" s="8"/>
      <c r="D90" s="8"/>
      <c r="E90" s="8"/>
      <c r="F90" s="8"/>
      <c r="G90" s="8"/>
      <c r="H90" s="8"/>
      <c r="I90" s="8"/>
      <c r="J90" s="8"/>
      <c r="K90" s="8"/>
      <c r="L90" s="8"/>
      <c r="M90" s="8"/>
      <c r="N90" s="8"/>
      <c r="O90" s="8"/>
      <c r="P90" s="8"/>
      <c r="Q90" s="8"/>
      <c r="R90" s="8"/>
      <c r="S90" s="8"/>
      <c r="T90" s="8"/>
      <c r="U90" s="8"/>
      <c r="V90" s="8"/>
      <c r="W90" s="8"/>
      <c r="X90" s="8"/>
      <c r="Y90" s="8"/>
      <c r="Z90" s="8"/>
      <c r="AA90" s="8"/>
      <c r="AB90" s="8"/>
      <c r="AC90" s="8"/>
      <c r="AD90" s="8"/>
      <c r="AE90" s="8"/>
      <c r="AF90" s="8"/>
      <c r="AG90" s="8"/>
      <c r="AH90" s="8"/>
      <c r="AI90" s="8"/>
      <c r="AJ90" s="8"/>
      <c r="AK90" s="8"/>
      <c r="AL90" s="8"/>
      <c r="AM90" s="8"/>
      <c r="AN90" s="8"/>
      <c r="AO90" s="8"/>
      <c r="AP90" s="8"/>
      <c r="AQ90" s="8"/>
      <c r="AS90" s="59"/>
      <c r="AT90" s="59"/>
      <c r="AU90" s="59"/>
      <c r="AV90" s="59"/>
      <c r="AW90" s="59"/>
      <c r="AX90" s="59"/>
      <c r="AY90" s="59"/>
      <c r="AZ90" s="59"/>
      <c r="BA90" s="59"/>
      <c r="BB90" s="59"/>
      <c r="BC90" s="59"/>
      <c r="BD90" s="59"/>
      <c r="BE90" s="59"/>
      <c r="BF90" s="59"/>
      <c r="BG90" s="59"/>
      <c r="BH90" s="59"/>
      <c r="BI90" s="59"/>
      <c r="BJ90" s="59"/>
      <c r="BK90" s="59"/>
      <c r="BL90" s="59"/>
      <c r="BM90" s="59"/>
      <c r="BN90" s="59"/>
      <c r="BO90" s="59"/>
      <c r="BP90" s="59"/>
      <c r="BQ90" s="59"/>
      <c r="BR90" s="59"/>
      <c r="BS90" s="59"/>
      <c r="BT90" s="59"/>
      <c r="BU90" s="59"/>
      <c r="BV90" s="59"/>
      <c r="BW90" s="59"/>
      <c r="BX90" s="59"/>
      <c r="BY90" s="59"/>
      <c r="BZ90" s="59"/>
    </row>
    <row r="91" spans="2:78" ht="15.95" hidden="1" customHeight="1">
      <c r="B91" s="929"/>
      <c r="C91" s="8"/>
      <c r="D91" s="8"/>
      <c r="E91" s="8"/>
      <c r="F91" s="8"/>
      <c r="G91" s="8"/>
      <c r="H91" s="8"/>
      <c r="I91" s="8"/>
      <c r="J91" s="8"/>
      <c r="K91" s="8"/>
      <c r="L91" s="8"/>
      <c r="M91" s="8"/>
      <c r="N91" s="8"/>
      <c r="O91" s="8"/>
      <c r="P91" s="8"/>
      <c r="Q91" s="8"/>
      <c r="R91" s="8"/>
      <c r="S91" s="8"/>
      <c r="T91" s="8"/>
      <c r="U91" s="8"/>
      <c r="V91" s="8"/>
      <c r="W91" s="8"/>
      <c r="X91" s="8"/>
      <c r="Y91" s="8"/>
      <c r="Z91" s="8"/>
      <c r="AA91" s="8"/>
      <c r="AB91" s="8"/>
      <c r="AC91" s="8"/>
      <c r="AD91" s="8"/>
      <c r="AE91" s="8"/>
      <c r="AF91" s="8"/>
      <c r="AG91" s="8"/>
      <c r="AH91" s="8"/>
      <c r="AI91" s="8"/>
      <c r="AJ91" s="8"/>
      <c r="AK91" s="8"/>
      <c r="AL91" s="8"/>
      <c r="AM91" s="8"/>
      <c r="AN91" s="8"/>
      <c r="AO91" s="8"/>
      <c r="AP91" s="8"/>
      <c r="AQ91" s="8"/>
      <c r="AS91" s="59"/>
      <c r="AT91" s="59"/>
      <c r="AU91" s="59"/>
      <c r="AV91" s="59"/>
      <c r="AW91" s="59"/>
      <c r="AX91" s="59"/>
      <c r="AY91" s="59"/>
      <c r="AZ91" s="59"/>
      <c r="BA91" s="59"/>
      <c r="BB91" s="59"/>
      <c r="BC91" s="59"/>
      <c r="BD91" s="59"/>
      <c r="BE91" s="59"/>
      <c r="BF91" s="59"/>
      <c r="BG91" s="59"/>
      <c r="BH91" s="59"/>
      <c r="BI91" s="59"/>
      <c r="BJ91" s="59"/>
      <c r="BK91" s="59"/>
      <c r="BL91" s="59"/>
      <c r="BM91" s="59"/>
      <c r="BN91" s="59"/>
      <c r="BO91" s="59"/>
      <c r="BP91" s="59"/>
      <c r="BQ91" s="59"/>
      <c r="BR91" s="59"/>
      <c r="BS91" s="59"/>
      <c r="BT91" s="59"/>
      <c r="BU91" s="59"/>
      <c r="BV91" s="59"/>
      <c r="BW91" s="59"/>
      <c r="BX91" s="59"/>
      <c r="BY91" s="59"/>
      <c r="BZ91" s="59"/>
    </row>
    <row r="92" spans="2:78" ht="15.95" hidden="1" customHeight="1">
      <c r="B92" s="929">
        <v>39</v>
      </c>
      <c r="C92" s="8"/>
      <c r="D92" s="8"/>
      <c r="E92" s="8"/>
      <c r="F92" s="8"/>
      <c r="G92" s="8"/>
      <c r="H92" s="8"/>
      <c r="I92" s="8"/>
      <c r="J92" s="8"/>
      <c r="K92" s="8"/>
      <c r="L92" s="8"/>
      <c r="M92" s="8"/>
      <c r="N92" s="8"/>
      <c r="O92" s="8"/>
      <c r="P92" s="8"/>
      <c r="Q92" s="8"/>
      <c r="R92" s="8"/>
      <c r="S92" s="8"/>
      <c r="T92" s="8"/>
      <c r="U92" s="8"/>
      <c r="V92" s="8"/>
      <c r="W92" s="8"/>
      <c r="X92" s="8"/>
      <c r="Y92" s="8"/>
      <c r="Z92" s="8"/>
      <c r="AA92" s="8"/>
      <c r="AB92" s="8"/>
      <c r="AC92" s="8"/>
      <c r="AD92" s="8"/>
      <c r="AE92" s="8"/>
      <c r="AF92" s="8"/>
      <c r="AG92" s="8"/>
      <c r="AH92" s="8"/>
      <c r="AI92" s="8"/>
      <c r="AJ92" s="8"/>
      <c r="AK92" s="8"/>
      <c r="AL92" s="8"/>
      <c r="AM92" s="8"/>
      <c r="AN92" s="8"/>
      <c r="AO92" s="8"/>
      <c r="AP92" s="8"/>
      <c r="AQ92" s="8"/>
      <c r="AS92" s="59"/>
      <c r="AT92" s="59"/>
      <c r="AU92" s="59"/>
      <c r="AV92" s="59"/>
      <c r="AW92" s="59"/>
      <c r="AX92" s="59"/>
      <c r="AY92" s="59"/>
      <c r="AZ92" s="59"/>
      <c r="BA92" s="59"/>
      <c r="BB92" s="59"/>
      <c r="BC92" s="59"/>
      <c r="BD92" s="59"/>
      <c r="BE92" s="59"/>
      <c r="BF92" s="59"/>
      <c r="BG92" s="59"/>
      <c r="BH92" s="59"/>
      <c r="BI92" s="59"/>
      <c r="BJ92" s="59"/>
      <c r="BK92" s="59"/>
      <c r="BL92" s="59"/>
      <c r="BM92" s="59"/>
      <c r="BN92" s="59"/>
      <c r="BO92" s="59"/>
      <c r="BP92" s="59"/>
      <c r="BQ92" s="59"/>
      <c r="BR92" s="59"/>
      <c r="BS92" s="59"/>
      <c r="BT92" s="59"/>
      <c r="BU92" s="59"/>
      <c r="BV92" s="59"/>
      <c r="BW92" s="59"/>
      <c r="BX92" s="59"/>
      <c r="BY92" s="59"/>
      <c r="BZ92" s="59"/>
    </row>
    <row r="93" spans="2:78" ht="15.95" hidden="1" customHeight="1">
      <c r="B93" s="929"/>
      <c r="C93" s="8"/>
      <c r="D93" s="8"/>
      <c r="E93" s="8"/>
      <c r="F93" s="8"/>
      <c r="G93" s="8"/>
      <c r="H93" s="8"/>
      <c r="I93" s="8"/>
      <c r="J93" s="8"/>
      <c r="K93" s="8"/>
      <c r="L93" s="8"/>
      <c r="M93" s="8"/>
      <c r="N93" s="8"/>
      <c r="O93" s="8"/>
      <c r="P93" s="8"/>
      <c r="Q93" s="8"/>
      <c r="R93" s="8"/>
      <c r="S93" s="8"/>
      <c r="T93" s="8"/>
      <c r="U93" s="8"/>
      <c r="V93" s="8"/>
      <c r="W93" s="8"/>
      <c r="X93" s="8"/>
      <c r="Y93" s="8"/>
      <c r="Z93" s="8"/>
      <c r="AA93" s="8"/>
      <c r="AB93" s="8"/>
      <c r="AC93" s="8"/>
      <c r="AD93" s="8"/>
      <c r="AE93" s="8"/>
      <c r="AF93" s="8"/>
      <c r="AG93" s="8"/>
      <c r="AH93" s="8"/>
      <c r="AI93" s="8"/>
      <c r="AJ93" s="8"/>
      <c r="AK93" s="8"/>
      <c r="AL93" s="8"/>
      <c r="AM93" s="8"/>
      <c r="AN93" s="8"/>
      <c r="AO93" s="8"/>
      <c r="AP93" s="8"/>
      <c r="AQ93" s="8"/>
      <c r="AS93" s="59"/>
      <c r="AT93" s="59"/>
      <c r="AU93" s="59"/>
      <c r="AV93" s="59"/>
      <c r="AW93" s="59"/>
      <c r="AX93" s="59"/>
      <c r="AY93" s="59"/>
      <c r="AZ93" s="59"/>
      <c r="BA93" s="59"/>
      <c r="BB93" s="59"/>
      <c r="BC93" s="59"/>
      <c r="BD93" s="59"/>
      <c r="BE93" s="59"/>
      <c r="BF93" s="59"/>
      <c r="BG93" s="59"/>
      <c r="BH93" s="59"/>
      <c r="BI93" s="59"/>
      <c r="BJ93" s="59"/>
      <c r="BK93" s="59"/>
      <c r="BL93" s="59"/>
      <c r="BM93" s="59"/>
      <c r="BN93" s="59"/>
      <c r="BO93" s="59"/>
      <c r="BP93" s="59"/>
      <c r="BQ93" s="59"/>
      <c r="BR93" s="59"/>
      <c r="BS93" s="59"/>
      <c r="BT93" s="59"/>
      <c r="BU93" s="59"/>
      <c r="BV93" s="59"/>
      <c r="BW93" s="59"/>
      <c r="BX93" s="59"/>
      <c r="BY93" s="59"/>
      <c r="BZ93" s="59"/>
    </row>
    <row r="94" spans="2:78" ht="15.95" hidden="1" customHeight="1">
      <c r="B94" s="929">
        <v>40</v>
      </c>
      <c r="C94" s="8"/>
      <c r="D94" s="8"/>
      <c r="E94" s="8"/>
      <c r="F94" s="8"/>
      <c r="G94" s="8"/>
      <c r="H94" s="8"/>
      <c r="I94" s="8"/>
      <c r="J94" s="8"/>
      <c r="K94" s="8"/>
      <c r="L94" s="8"/>
      <c r="M94" s="8"/>
      <c r="N94" s="8"/>
      <c r="O94" s="8"/>
      <c r="P94" s="8"/>
      <c r="Q94" s="8"/>
      <c r="R94" s="8"/>
      <c r="S94" s="8"/>
      <c r="T94" s="8"/>
      <c r="U94" s="8"/>
      <c r="V94" s="8"/>
      <c r="W94" s="8"/>
      <c r="X94" s="8"/>
      <c r="Y94" s="8"/>
      <c r="Z94" s="8"/>
      <c r="AA94" s="8"/>
      <c r="AB94" s="8"/>
      <c r="AC94" s="8"/>
      <c r="AD94" s="8"/>
      <c r="AE94" s="8"/>
      <c r="AF94" s="8"/>
      <c r="AG94" s="8"/>
      <c r="AH94" s="8"/>
      <c r="AI94" s="8"/>
      <c r="AJ94" s="8"/>
      <c r="AK94" s="8"/>
      <c r="AL94" s="8"/>
      <c r="AM94" s="8"/>
      <c r="AN94" s="8"/>
      <c r="AO94" s="8"/>
      <c r="AP94" s="8"/>
      <c r="AQ94" s="8"/>
      <c r="AS94" s="59"/>
      <c r="AT94" s="59"/>
      <c r="AU94" s="59"/>
      <c r="AV94" s="59"/>
      <c r="AW94" s="59"/>
      <c r="AX94" s="59"/>
      <c r="AY94" s="59"/>
      <c r="AZ94" s="59"/>
      <c r="BA94" s="59"/>
      <c r="BB94" s="59"/>
      <c r="BC94" s="59"/>
      <c r="BD94" s="59"/>
      <c r="BE94" s="59"/>
      <c r="BF94" s="59"/>
      <c r="BG94" s="59"/>
      <c r="BH94" s="59"/>
      <c r="BI94" s="59"/>
      <c r="BJ94" s="59"/>
      <c r="BK94" s="59"/>
      <c r="BL94" s="59"/>
      <c r="BM94" s="59"/>
      <c r="BN94" s="59"/>
      <c r="BO94" s="59"/>
      <c r="BP94" s="59"/>
      <c r="BQ94" s="59"/>
      <c r="BR94" s="59"/>
      <c r="BS94" s="59"/>
      <c r="BT94" s="59"/>
      <c r="BU94" s="59"/>
      <c r="BV94" s="59"/>
      <c r="BW94" s="59"/>
      <c r="BX94" s="59"/>
      <c r="BY94" s="59"/>
      <c r="BZ94" s="59"/>
    </row>
    <row r="95" spans="2:78" ht="15.95" hidden="1" customHeight="1">
      <c r="B95" s="929"/>
      <c r="C95" s="8"/>
      <c r="D95" s="8"/>
      <c r="E95" s="8"/>
      <c r="F95" s="8"/>
      <c r="G95" s="8"/>
      <c r="H95" s="8"/>
      <c r="I95" s="8"/>
      <c r="J95" s="8"/>
      <c r="K95" s="8"/>
      <c r="L95" s="8"/>
      <c r="M95" s="8"/>
      <c r="N95" s="8"/>
      <c r="O95" s="8"/>
      <c r="P95" s="8"/>
      <c r="Q95" s="8"/>
      <c r="R95" s="8"/>
      <c r="S95" s="8"/>
      <c r="T95" s="8"/>
      <c r="U95" s="8"/>
      <c r="V95" s="8"/>
      <c r="W95" s="8"/>
      <c r="X95" s="8"/>
      <c r="Y95" s="8"/>
      <c r="Z95" s="8"/>
      <c r="AA95" s="8"/>
      <c r="AB95" s="8"/>
      <c r="AC95" s="8"/>
      <c r="AD95" s="8"/>
      <c r="AE95" s="8"/>
      <c r="AF95" s="8"/>
      <c r="AG95" s="8"/>
      <c r="AH95" s="8"/>
      <c r="AI95" s="8"/>
      <c r="AJ95" s="8"/>
      <c r="AK95" s="8"/>
      <c r="AL95" s="8"/>
      <c r="AM95" s="8"/>
      <c r="AN95" s="8"/>
      <c r="AO95" s="8"/>
      <c r="AP95" s="8"/>
      <c r="AQ95" s="8"/>
      <c r="AS95" s="59"/>
      <c r="AT95" s="59"/>
      <c r="AU95" s="59"/>
      <c r="AV95" s="59"/>
      <c r="AW95" s="59"/>
      <c r="AX95" s="59"/>
      <c r="AY95" s="59"/>
      <c r="AZ95" s="59"/>
      <c r="BA95" s="59"/>
      <c r="BB95" s="59"/>
      <c r="BC95" s="59"/>
      <c r="BD95" s="59"/>
      <c r="BE95" s="59"/>
      <c r="BF95" s="59"/>
      <c r="BG95" s="59"/>
      <c r="BH95" s="59"/>
      <c r="BI95" s="59"/>
      <c r="BJ95" s="59"/>
      <c r="BK95" s="59"/>
      <c r="BL95" s="59"/>
      <c r="BM95" s="59"/>
      <c r="BN95" s="59"/>
      <c r="BO95" s="59"/>
      <c r="BP95" s="59"/>
      <c r="BQ95" s="59"/>
      <c r="BR95" s="59"/>
      <c r="BS95" s="59"/>
      <c r="BT95" s="59"/>
      <c r="BU95" s="59"/>
      <c r="BV95" s="59"/>
      <c r="BW95" s="59"/>
      <c r="BX95" s="59"/>
      <c r="BY95" s="59"/>
      <c r="BZ95" s="59"/>
    </row>
    <row r="96" spans="2:78" ht="15.95" hidden="1" customHeight="1">
      <c r="B96" s="929">
        <v>41</v>
      </c>
      <c r="C96" s="8"/>
      <c r="D96" s="8"/>
      <c r="E96" s="8"/>
      <c r="F96" s="8"/>
      <c r="G96" s="8"/>
      <c r="H96" s="8"/>
      <c r="I96" s="8"/>
      <c r="J96" s="8"/>
      <c r="K96" s="8"/>
      <c r="L96" s="8"/>
      <c r="M96" s="8"/>
      <c r="N96" s="8"/>
      <c r="O96" s="8"/>
      <c r="P96" s="8"/>
      <c r="Q96" s="8"/>
      <c r="R96" s="8"/>
      <c r="S96" s="8"/>
      <c r="T96" s="8"/>
      <c r="U96" s="8"/>
      <c r="V96" s="8"/>
      <c r="W96" s="8"/>
      <c r="X96" s="8"/>
      <c r="Y96" s="8"/>
      <c r="Z96" s="8"/>
      <c r="AA96" s="8"/>
      <c r="AB96" s="8"/>
      <c r="AC96" s="8"/>
      <c r="AD96" s="8"/>
      <c r="AE96" s="8"/>
      <c r="AF96" s="8"/>
      <c r="AG96" s="8"/>
      <c r="AH96" s="8"/>
      <c r="AI96" s="8"/>
      <c r="AJ96" s="8"/>
      <c r="AK96" s="8"/>
      <c r="AL96" s="8"/>
      <c r="AM96" s="8"/>
      <c r="AN96" s="8"/>
      <c r="AO96" s="8"/>
      <c r="AP96" s="8"/>
      <c r="AQ96" s="8"/>
      <c r="AS96" s="59"/>
      <c r="AT96" s="59"/>
      <c r="AU96" s="59"/>
      <c r="AV96" s="59"/>
      <c r="AW96" s="59"/>
      <c r="AX96" s="59"/>
      <c r="AY96" s="59"/>
      <c r="AZ96" s="59"/>
      <c r="BA96" s="59"/>
      <c r="BB96" s="59"/>
      <c r="BC96" s="59"/>
      <c r="BD96" s="59"/>
      <c r="BE96" s="59"/>
      <c r="BF96" s="59"/>
      <c r="BG96" s="59"/>
      <c r="BH96" s="59"/>
      <c r="BI96" s="59"/>
      <c r="BJ96" s="59"/>
      <c r="BK96" s="59"/>
      <c r="BL96" s="59"/>
      <c r="BM96" s="59"/>
      <c r="BN96" s="59"/>
      <c r="BO96" s="59"/>
      <c r="BP96" s="59"/>
      <c r="BQ96" s="59"/>
      <c r="BR96" s="59"/>
      <c r="BS96" s="59"/>
      <c r="BT96" s="59"/>
      <c r="BU96" s="59"/>
      <c r="BV96" s="59"/>
      <c r="BW96" s="59"/>
      <c r="BX96" s="59"/>
      <c r="BY96" s="59"/>
      <c r="BZ96" s="59"/>
    </row>
    <row r="97" spans="2:78" ht="15.95" hidden="1" customHeight="1">
      <c r="B97" s="929"/>
      <c r="C97" s="8"/>
      <c r="D97" s="8"/>
      <c r="E97" s="8"/>
      <c r="F97" s="8"/>
      <c r="G97" s="8"/>
      <c r="H97" s="8"/>
      <c r="I97" s="8"/>
      <c r="J97" s="8"/>
      <c r="K97" s="8"/>
      <c r="L97" s="8"/>
      <c r="M97" s="8"/>
      <c r="N97" s="8"/>
      <c r="O97" s="8"/>
      <c r="P97" s="8"/>
      <c r="Q97" s="8"/>
      <c r="R97" s="8"/>
      <c r="S97" s="8"/>
      <c r="T97" s="8"/>
      <c r="U97" s="8"/>
      <c r="V97" s="8"/>
      <c r="W97" s="8"/>
      <c r="X97" s="8"/>
      <c r="Y97" s="8"/>
      <c r="Z97" s="8"/>
      <c r="AA97" s="8"/>
      <c r="AB97" s="8"/>
      <c r="AC97" s="8"/>
      <c r="AD97" s="8"/>
      <c r="AE97" s="8"/>
      <c r="AF97" s="8"/>
      <c r="AG97" s="8"/>
      <c r="AH97" s="8"/>
      <c r="AI97" s="8"/>
      <c r="AJ97" s="8"/>
      <c r="AK97" s="8"/>
      <c r="AL97" s="8"/>
      <c r="AM97" s="8"/>
      <c r="AN97" s="8"/>
      <c r="AO97" s="8"/>
      <c r="AP97" s="8"/>
      <c r="AQ97" s="8"/>
      <c r="AS97" s="59"/>
      <c r="AT97" s="59"/>
      <c r="AU97" s="59"/>
      <c r="AV97" s="59"/>
      <c r="AW97" s="59"/>
      <c r="AX97" s="59"/>
      <c r="AY97" s="59"/>
      <c r="AZ97" s="59"/>
      <c r="BA97" s="59"/>
      <c r="BB97" s="59"/>
      <c r="BC97" s="59"/>
      <c r="BD97" s="59"/>
      <c r="BE97" s="59"/>
      <c r="BF97" s="59"/>
      <c r="BG97" s="59"/>
      <c r="BH97" s="59"/>
      <c r="BI97" s="59"/>
      <c r="BJ97" s="59"/>
      <c r="BK97" s="59"/>
      <c r="BL97" s="59"/>
      <c r="BM97" s="59"/>
      <c r="BN97" s="59"/>
      <c r="BO97" s="59"/>
      <c r="BP97" s="59"/>
      <c r="BQ97" s="59"/>
      <c r="BR97" s="59"/>
      <c r="BS97" s="59"/>
      <c r="BT97" s="59"/>
      <c r="BU97" s="59"/>
      <c r="BV97" s="59"/>
      <c r="BW97" s="59"/>
      <c r="BX97" s="59"/>
      <c r="BY97" s="59"/>
      <c r="BZ97" s="59"/>
    </row>
    <row r="98" spans="2:78" ht="15.95" hidden="1" customHeight="1">
      <c r="B98" s="929">
        <v>42</v>
      </c>
      <c r="C98" s="8"/>
      <c r="D98" s="8"/>
      <c r="E98" s="8"/>
      <c r="F98" s="8"/>
      <c r="G98" s="8"/>
      <c r="H98" s="8"/>
      <c r="I98" s="8"/>
      <c r="J98" s="8"/>
      <c r="K98" s="8"/>
      <c r="L98" s="8"/>
      <c r="M98" s="8"/>
      <c r="N98" s="8"/>
      <c r="O98" s="8"/>
      <c r="P98" s="8"/>
      <c r="Q98" s="8"/>
      <c r="R98" s="8"/>
      <c r="S98" s="8"/>
      <c r="T98" s="8"/>
      <c r="U98" s="8"/>
      <c r="V98" s="8"/>
      <c r="W98" s="8"/>
      <c r="X98" s="8"/>
      <c r="Y98" s="8"/>
      <c r="Z98" s="8"/>
      <c r="AA98" s="8"/>
      <c r="AB98" s="8"/>
      <c r="AC98" s="8"/>
      <c r="AD98" s="8"/>
      <c r="AE98" s="8"/>
      <c r="AF98" s="8"/>
      <c r="AG98" s="8"/>
      <c r="AH98" s="8"/>
      <c r="AI98" s="8"/>
      <c r="AJ98" s="8"/>
      <c r="AK98" s="8"/>
      <c r="AL98" s="8"/>
      <c r="AM98" s="8"/>
      <c r="AN98" s="8"/>
      <c r="AO98" s="8"/>
      <c r="AP98" s="8"/>
      <c r="AQ98" s="8"/>
      <c r="AS98" s="59"/>
      <c r="AT98" s="59"/>
      <c r="AU98" s="59"/>
      <c r="AV98" s="59"/>
      <c r="AW98" s="59"/>
      <c r="AX98" s="59"/>
      <c r="AY98" s="59"/>
      <c r="AZ98" s="59"/>
      <c r="BA98" s="59"/>
      <c r="BB98" s="59"/>
      <c r="BC98" s="59"/>
      <c r="BD98" s="59"/>
      <c r="BE98" s="59"/>
      <c r="BF98" s="59"/>
      <c r="BG98" s="59"/>
      <c r="BH98" s="59"/>
      <c r="BI98" s="59"/>
      <c r="BJ98" s="59"/>
      <c r="BK98" s="59"/>
      <c r="BL98" s="59"/>
      <c r="BM98" s="59"/>
      <c r="BN98" s="59"/>
      <c r="BO98" s="59"/>
      <c r="BP98" s="59"/>
      <c r="BQ98" s="59"/>
      <c r="BR98" s="59"/>
      <c r="BS98" s="59"/>
      <c r="BT98" s="59"/>
      <c r="BU98" s="59"/>
      <c r="BV98" s="59"/>
      <c r="BW98" s="59"/>
      <c r="BX98" s="59"/>
      <c r="BY98" s="59"/>
      <c r="BZ98" s="59"/>
    </row>
    <row r="99" spans="2:78" ht="15.95" hidden="1" customHeight="1">
      <c r="B99" s="929"/>
      <c r="C99" s="8"/>
      <c r="D99" s="8"/>
      <c r="E99" s="8"/>
      <c r="F99" s="8"/>
      <c r="G99" s="8"/>
      <c r="H99" s="8"/>
      <c r="I99" s="8"/>
      <c r="J99" s="8"/>
      <c r="K99" s="8"/>
      <c r="L99" s="8"/>
      <c r="M99" s="8"/>
      <c r="N99" s="8"/>
      <c r="O99" s="8"/>
      <c r="P99" s="8"/>
      <c r="Q99" s="8"/>
      <c r="R99" s="8"/>
      <c r="S99" s="8"/>
      <c r="T99" s="8"/>
      <c r="U99" s="8"/>
      <c r="V99" s="8"/>
      <c r="W99" s="8"/>
      <c r="X99" s="8"/>
      <c r="Y99" s="8"/>
      <c r="Z99" s="8"/>
      <c r="AA99" s="8"/>
      <c r="AB99" s="8"/>
      <c r="AC99" s="8"/>
      <c r="AD99" s="8"/>
      <c r="AE99" s="8"/>
      <c r="AF99" s="8"/>
      <c r="AG99" s="8"/>
      <c r="AH99" s="8"/>
      <c r="AI99" s="8"/>
      <c r="AJ99" s="8"/>
      <c r="AK99" s="8"/>
      <c r="AL99" s="8"/>
      <c r="AM99" s="8"/>
      <c r="AN99" s="8"/>
      <c r="AO99" s="8"/>
      <c r="AP99" s="8"/>
      <c r="AQ99" s="8"/>
      <c r="AS99" s="59"/>
      <c r="AT99" s="59"/>
      <c r="AU99" s="59"/>
      <c r="AV99" s="59"/>
      <c r="AW99" s="59"/>
      <c r="AX99" s="59"/>
      <c r="AY99" s="59"/>
      <c r="AZ99" s="59"/>
      <c r="BA99" s="59"/>
      <c r="BB99" s="59"/>
      <c r="BC99" s="59"/>
      <c r="BD99" s="59"/>
      <c r="BE99" s="59"/>
      <c r="BF99" s="59"/>
      <c r="BG99" s="59"/>
      <c r="BH99" s="59"/>
      <c r="BI99" s="59"/>
      <c r="BJ99" s="59"/>
      <c r="BK99" s="59"/>
      <c r="BL99" s="59"/>
      <c r="BM99" s="59"/>
      <c r="BN99" s="59"/>
      <c r="BO99" s="59"/>
      <c r="BP99" s="59"/>
      <c r="BQ99" s="59"/>
      <c r="BR99" s="59"/>
      <c r="BS99" s="59"/>
      <c r="BT99" s="59"/>
      <c r="BU99" s="59"/>
      <c r="BV99" s="59"/>
      <c r="BW99" s="59"/>
      <c r="BX99" s="59"/>
      <c r="BY99" s="59"/>
      <c r="BZ99" s="59"/>
    </row>
    <row r="100" spans="2:78" ht="15.95" hidden="1" customHeight="1">
      <c r="B100" s="929">
        <v>43</v>
      </c>
      <c r="C100" s="8"/>
      <c r="D100" s="8"/>
      <c r="E100" s="8"/>
      <c r="F100" s="8"/>
      <c r="G100" s="8"/>
      <c r="H100" s="8"/>
      <c r="I100" s="8"/>
      <c r="J100" s="8"/>
      <c r="K100" s="8"/>
      <c r="L100" s="8"/>
      <c r="M100" s="8"/>
      <c r="N100" s="8"/>
      <c r="O100" s="8"/>
      <c r="P100" s="8"/>
      <c r="Q100" s="8"/>
      <c r="R100" s="8"/>
      <c r="S100" s="8"/>
      <c r="T100" s="8"/>
      <c r="U100" s="8"/>
      <c r="V100" s="8"/>
      <c r="W100" s="8"/>
      <c r="X100" s="8"/>
      <c r="Y100" s="8"/>
      <c r="Z100" s="8"/>
      <c r="AA100" s="8"/>
      <c r="AB100" s="8"/>
      <c r="AC100" s="8"/>
      <c r="AD100" s="8"/>
      <c r="AE100" s="8"/>
      <c r="AF100" s="8"/>
      <c r="AG100" s="8"/>
      <c r="AH100" s="8"/>
      <c r="AI100" s="8"/>
      <c r="AJ100" s="8"/>
      <c r="AK100" s="8"/>
      <c r="AL100" s="8"/>
      <c r="AM100" s="8"/>
      <c r="AN100" s="8"/>
      <c r="AO100" s="8"/>
      <c r="AP100" s="8"/>
      <c r="AQ100" s="8"/>
      <c r="AS100" s="59"/>
      <c r="AT100" s="59"/>
      <c r="AU100" s="59"/>
      <c r="AV100" s="59"/>
      <c r="AW100" s="59"/>
      <c r="AX100" s="59"/>
      <c r="AY100" s="59"/>
      <c r="AZ100" s="59"/>
      <c r="BA100" s="59"/>
      <c r="BB100" s="59"/>
      <c r="BC100" s="59"/>
      <c r="BD100" s="59"/>
      <c r="BE100" s="59"/>
      <c r="BF100" s="59"/>
      <c r="BG100" s="59"/>
      <c r="BH100" s="59"/>
      <c r="BI100" s="59"/>
      <c r="BJ100" s="59"/>
      <c r="BK100" s="59"/>
      <c r="BL100" s="59"/>
      <c r="BM100" s="59"/>
      <c r="BN100" s="59"/>
      <c r="BO100" s="59"/>
      <c r="BP100" s="59"/>
      <c r="BQ100" s="59"/>
      <c r="BR100" s="59"/>
      <c r="BS100" s="59"/>
      <c r="BT100" s="59"/>
      <c r="BU100" s="59"/>
      <c r="BV100" s="59"/>
      <c r="BW100" s="59"/>
      <c r="BX100" s="59"/>
      <c r="BY100" s="59"/>
      <c r="BZ100" s="59"/>
    </row>
    <row r="101" spans="2:78" ht="15.95" hidden="1" customHeight="1">
      <c r="B101" s="929"/>
      <c r="C101" s="8"/>
      <c r="D101" s="8"/>
      <c r="E101" s="8"/>
      <c r="F101" s="8"/>
      <c r="G101" s="8"/>
      <c r="H101" s="8"/>
      <c r="I101" s="8"/>
      <c r="J101" s="8"/>
      <c r="K101" s="8"/>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c r="AL101" s="8"/>
      <c r="AM101" s="8"/>
      <c r="AN101" s="8"/>
      <c r="AO101" s="8"/>
      <c r="AP101" s="8"/>
      <c r="AQ101" s="8"/>
      <c r="AS101" s="59"/>
      <c r="AT101" s="59"/>
      <c r="AU101" s="59"/>
      <c r="AV101" s="59"/>
      <c r="AW101" s="59"/>
      <c r="AX101" s="59"/>
      <c r="AY101" s="59"/>
      <c r="AZ101" s="59"/>
      <c r="BA101" s="59"/>
      <c r="BB101" s="59"/>
      <c r="BC101" s="59"/>
      <c r="BD101" s="59"/>
      <c r="BE101" s="59"/>
      <c r="BF101" s="59"/>
      <c r="BG101" s="59"/>
      <c r="BH101" s="59"/>
      <c r="BI101" s="59"/>
      <c r="BJ101" s="59"/>
      <c r="BK101" s="59"/>
      <c r="BL101" s="59"/>
      <c r="BM101" s="59"/>
      <c r="BN101" s="59"/>
      <c r="BO101" s="59"/>
      <c r="BP101" s="59"/>
      <c r="BQ101" s="59"/>
      <c r="BR101" s="59"/>
      <c r="BS101" s="59"/>
      <c r="BT101" s="59"/>
      <c r="BU101" s="59"/>
      <c r="BV101" s="59"/>
      <c r="BW101" s="59"/>
      <c r="BX101" s="59"/>
      <c r="BY101" s="59"/>
      <c r="BZ101" s="59"/>
    </row>
    <row r="102" spans="2:78" ht="15.95" hidden="1" customHeight="1">
      <c r="B102" s="929">
        <v>44</v>
      </c>
      <c r="C102" s="8"/>
      <c r="D102" s="8"/>
      <c r="E102" s="8"/>
      <c r="F102" s="8"/>
      <c r="G102" s="8"/>
      <c r="H102" s="8"/>
      <c r="I102" s="8"/>
      <c r="J102" s="8"/>
      <c r="K102" s="8"/>
      <c r="L102" s="8"/>
      <c r="M102" s="8"/>
      <c r="N102" s="8"/>
      <c r="O102" s="8"/>
      <c r="P102" s="8"/>
      <c r="Q102" s="8"/>
      <c r="R102" s="8"/>
      <c r="S102" s="8"/>
      <c r="T102" s="8"/>
      <c r="U102" s="8"/>
      <c r="V102" s="8"/>
      <c r="W102" s="8"/>
      <c r="X102" s="8"/>
      <c r="Y102" s="8"/>
      <c r="Z102" s="8"/>
      <c r="AA102" s="8"/>
      <c r="AB102" s="8"/>
      <c r="AC102" s="8"/>
      <c r="AD102" s="8"/>
      <c r="AE102" s="8"/>
      <c r="AF102" s="8"/>
      <c r="AG102" s="8"/>
      <c r="AH102" s="8"/>
      <c r="AI102" s="8"/>
      <c r="AJ102" s="8"/>
      <c r="AK102" s="8"/>
      <c r="AL102" s="8"/>
      <c r="AM102" s="8"/>
      <c r="AN102" s="8"/>
      <c r="AO102" s="8"/>
      <c r="AP102" s="8"/>
      <c r="AQ102" s="8"/>
      <c r="AS102" s="59"/>
      <c r="AT102" s="59"/>
      <c r="AU102" s="59"/>
      <c r="AV102" s="59"/>
      <c r="AW102" s="59"/>
      <c r="AX102" s="59"/>
      <c r="AY102" s="59"/>
      <c r="AZ102" s="59"/>
      <c r="BA102" s="59"/>
      <c r="BB102" s="59"/>
      <c r="BC102" s="59"/>
      <c r="BD102" s="59"/>
      <c r="BE102" s="59"/>
      <c r="BF102" s="59"/>
      <c r="BG102" s="59"/>
      <c r="BH102" s="59"/>
      <c r="BI102" s="59"/>
      <c r="BJ102" s="59"/>
      <c r="BK102" s="59"/>
      <c r="BL102" s="59"/>
      <c r="BM102" s="59"/>
      <c r="BN102" s="59"/>
      <c r="BO102" s="59"/>
      <c r="BP102" s="59"/>
      <c r="BQ102" s="59"/>
      <c r="BR102" s="59"/>
      <c r="BS102" s="59"/>
      <c r="BT102" s="59"/>
      <c r="BU102" s="59"/>
      <c r="BV102" s="59"/>
      <c r="BW102" s="59"/>
      <c r="BX102" s="59"/>
      <c r="BY102" s="59"/>
      <c r="BZ102" s="59"/>
    </row>
    <row r="103" spans="2:78" ht="15.95" hidden="1" customHeight="1">
      <c r="B103" s="929"/>
      <c r="C103" s="8"/>
      <c r="D103" s="8"/>
      <c r="E103" s="8"/>
      <c r="F103" s="8"/>
      <c r="G103" s="8"/>
      <c r="H103" s="8"/>
      <c r="I103" s="8"/>
      <c r="J103" s="8"/>
      <c r="K103" s="8"/>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c r="AM103" s="8"/>
      <c r="AN103" s="8"/>
      <c r="AO103" s="8"/>
      <c r="AP103" s="8"/>
      <c r="AQ103" s="8"/>
      <c r="AS103" s="59"/>
      <c r="AT103" s="59"/>
      <c r="AU103" s="59"/>
      <c r="AV103" s="59"/>
      <c r="AW103" s="59"/>
      <c r="AX103" s="59"/>
      <c r="AY103" s="59"/>
      <c r="AZ103" s="59"/>
      <c r="BA103" s="59"/>
      <c r="BB103" s="59"/>
      <c r="BC103" s="59"/>
      <c r="BD103" s="59"/>
      <c r="BE103" s="59"/>
      <c r="BF103" s="59"/>
      <c r="BG103" s="59"/>
      <c r="BH103" s="59"/>
      <c r="BI103" s="59"/>
      <c r="BJ103" s="59"/>
      <c r="BK103" s="59"/>
      <c r="BL103" s="59"/>
      <c r="BM103" s="59"/>
      <c r="BN103" s="59"/>
      <c r="BO103" s="59"/>
      <c r="BP103" s="59"/>
      <c r="BQ103" s="59"/>
      <c r="BR103" s="59"/>
      <c r="BS103" s="59"/>
      <c r="BT103" s="59"/>
      <c r="BU103" s="59"/>
      <c r="BV103" s="59"/>
      <c r="BW103" s="59"/>
      <c r="BX103" s="59"/>
      <c r="BY103" s="59"/>
      <c r="BZ103" s="59"/>
    </row>
    <row r="104" spans="2:78" ht="15.95" hidden="1" customHeight="1">
      <c r="B104" s="929">
        <v>45</v>
      </c>
      <c r="C104" s="8"/>
      <c r="D104" s="8"/>
      <c r="E104" s="8"/>
      <c r="F104" s="8"/>
      <c r="G104" s="8"/>
      <c r="H104" s="8"/>
      <c r="I104" s="8"/>
      <c r="J104" s="8"/>
      <c r="K104" s="8"/>
      <c r="L104" s="8"/>
      <c r="M104" s="8"/>
      <c r="N104" s="8"/>
      <c r="O104" s="8"/>
      <c r="P104" s="8"/>
      <c r="Q104" s="8"/>
      <c r="R104" s="8"/>
      <c r="S104" s="8"/>
      <c r="T104" s="8"/>
      <c r="U104" s="8"/>
      <c r="V104" s="8"/>
      <c r="W104" s="8"/>
      <c r="X104" s="8"/>
      <c r="Y104" s="8"/>
      <c r="Z104" s="8"/>
      <c r="AA104" s="8"/>
      <c r="AB104" s="8"/>
      <c r="AC104" s="8"/>
      <c r="AD104" s="8"/>
      <c r="AE104" s="8"/>
      <c r="AF104" s="8"/>
      <c r="AG104" s="8"/>
      <c r="AH104" s="8"/>
      <c r="AI104" s="8"/>
      <c r="AJ104" s="8"/>
      <c r="AK104" s="8"/>
      <c r="AL104" s="8"/>
      <c r="AM104" s="8"/>
      <c r="AN104" s="8"/>
      <c r="AO104" s="8"/>
      <c r="AP104" s="8"/>
      <c r="AQ104" s="8"/>
      <c r="AS104" s="59"/>
      <c r="AT104" s="59"/>
      <c r="AU104" s="59"/>
      <c r="AV104" s="59"/>
      <c r="AW104" s="59"/>
      <c r="AX104" s="59"/>
      <c r="AY104" s="59"/>
      <c r="AZ104" s="59"/>
      <c r="BA104" s="59"/>
      <c r="BB104" s="59"/>
      <c r="BC104" s="59"/>
      <c r="BD104" s="59"/>
      <c r="BE104" s="59"/>
      <c r="BF104" s="59"/>
      <c r="BG104" s="59"/>
      <c r="BH104" s="59"/>
      <c r="BI104" s="59"/>
      <c r="BJ104" s="59"/>
      <c r="BK104" s="59"/>
      <c r="BL104" s="59"/>
      <c r="BM104" s="59"/>
      <c r="BN104" s="59"/>
      <c r="BO104" s="59"/>
      <c r="BP104" s="59"/>
      <c r="BQ104" s="59"/>
      <c r="BR104" s="59"/>
      <c r="BS104" s="59"/>
      <c r="BT104" s="59"/>
      <c r="BU104" s="59"/>
      <c r="BV104" s="59"/>
      <c r="BW104" s="59"/>
      <c r="BX104" s="59"/>
      <c r="BY104" s="59"/>
      <c r="BZ104" s="59"/>
    </row>
    <row r="105" spans="2:78" ht="15.95" hidden="1" customHeight="1">
      <c r="B105" s="929"/>
      <c r="C105" s="8"/>
      <c r="D105" s="8"/>
      <c r="E105" s="8"/>
      <c r="F105" s="8"/>
      <c r="G105" s="8"/>
      <c r="H105" s="8"/>
      <c r="I105" s="8"/>
      <c r="J105" s="8"/>
      <c r="K105" s="8"/>
      <c r="L105" s="8"/>
      <c r="M105" s="8"/>
      <c r="N105" s="8"/>
      <c r="O105" s="8"/>
      <c r="P105" s="8"/>
      <c r="Q105" s="8"/>
      <c r="R105" s="8"/>
      <c r="S105" s="8"/>
      <c r="T105" s="8"/>
      <c r="U105" s="8"/>
      <c r="V105" s="8"/>
      <c r="W105" s="8"/>
      <c r="X105" s="8"/>
      <c r="Y105" s="8"/>
      <c r="Z105" s="8"/>
      <c r="AA105" s="8"/>
      <c r="AB105" s="8"/>
      <c r="AC105" s="8"/>
      <c r="AD105" s="8"/>
      <c r="AE105" s="8"/>
      <c r="AF105" s="8"/>
      <c r="AG105" s="8"/>
      <c r="AH105" s="8"/>
      <c r="AI105" s="8"/>
      <c r="AJ105" s="8"/>
      <c r="AK105" s="8"/>
      <c r="AL105" s="8"/>
      <c r="AM105" s="8"/>
      <c r="AN105" s="8"/>
      <c r="AO105" s="8"/>
      <c r="AP105" s="8"/>
      <c r="AQ105" s="8"/>
      <c r="AS105" s="59"/>
      <c r="AT105" s="59"/>
      <c r="AU105" s="59"/>
      <c r="AV105" s="59"/>
      <c r="AW105" s="59"/>
      <c r="AX105" s="59"/>
      <c r="AY105" s="59"/>
      <c r="AZ105" s="59"/>
      <c r="BA105" s="59"/>
      <c r="BB105" s="59"/>
      <c r="BC105" s="59"/>
      <c r="BD105" s="59"/>
      <c r="BE105" s="59"/>
      <c r="BF105" s="59"/>
      <c r="BG105" s="59"/>
      <c r="BH105" s="59"/>
      <c r="BI105" s="59"/>
      <c r="BJ105" s="59"/>
      <c r="BK105" s="59"/>
      <c r="BL105" s="59"/>
      <c r="BM105" s="59"/>
      <c r="BN105" s="59"/>
      <c r="BO105" s="59"/>
      <c r="BP105" s="59"/>
      <c r="BQ105" s="59"/>
      <c r="BR105" s="59"/>
      <c r="BS105" s="59"/>
      <c r="BT105" s="59"/>
      <c r="BU105" s="59"/>
      <c r="BV105" s="59"/>
      <c r="BW105" s="59"/>
      <c r="BX105" s="59"/>
      <c r="BY105" s="59"/>
      <c r="BZ105" s="59"/>
    </row>
    <row r="106" spans="2:78" ht="15.95" hidden="1" customHeight="1">
      <c r="B106" s="929">
        <v>46</v>
      </c>
      <c r="C106" s="8"/>
      <c r="D106" s="8"/>
      <c r="E106" s="8"/>
      <c r="F106" s="8"/>
      <c r="G106" s="8"/>
      <c r="H106" s="8"/>
      <c r="I106" s="8"/>
      <c r="J106" s="8"/>
      <c r="K106" s="8"/>
      <c r="L106" s="8"/>
      <c r="M106" s="8"/>
      <c r="N106" s="8"/>
      <c r="O106" s="8"/>
      <c r="P106" s="8"/>
      <c r="Q106" s="8"/>
      <c r="R106" s="8"/>
      <c r="S106" s="8"/>
      <c r="T106" s="8"/>
      <c r="U106" s="8"/>
      <c r="V106" s="8"/>
      <c r="W106" s="8"/>
      <c r="X106" s="8"/>
      <c r="Y106" s="8"/>
      <c r="Z106" s="8"/>
      <c r="AA106" s="8"/>
      <c r="AB106" s="8"/>
      <c r="AC106" s="8"/>
      <c r="AD106" s="8"/>
      <c r="AE106" s="8"/>
      <c r="AF106" s="8"/>
      <c r="AG106" s="8"/>
      <c r="AH106" s="8"/>
      <c r="AI106" s="8"/>
      <c r="AJ106" s="8"/>
      <c r="AK106" s="8"/>
      <c r="AL106" s="8"/>
      <c r="AM106" s="8"/>
      <c r="AN106" s="8"/>
      <c r="AO106" s="8"/>
      <c r="AP106" s="8"/>
      <c r="AQ106" s="8"/>
      <c r="AS106" s="59"/>
      <c r="AT106" s="59"/>
      <c r="AU106" s="59"/>
      <c r="AV106" s="59"/>
      <c r="AW106" s="59"/>
      <c r="AX106" s="59"/>
      <c r="AY106" s="59"/>
      <c r="AZ106" s="59"/>
      <c r="BA106" s="59"/>
      <c r="BB106" s="59"/>
      <c r="BC106" s="59"/>
      <c r="BD106" s="59"/>
      <c r="BE106" s="59"/>
      <c r="BF106" s="59"/>
      <c r="BG106" s="59"/>
      <c r="BH106" s="59"/>
      <c r="BI106" s="59"/>
      <c r="BJ106" s="59"/>
      <c r="BK106" s="59"/>
      <c r="BL106" s="59"/>
      <c r="BM106" s="59"/>
      <c r="BN106" s="59"/>
      <c r="BO106" s="59"/>
      <c r="BP106" s="59"/>
      <c r="BQ106" s="59"/>
      <c r="BR106" s="59"/>
      <c r="BS106" s="59"/>
      <c r="BT106" s="59"/>
      <c r="BU106" s="59"/>
      <c r="BV106" s="59"/>
      <c r="BW106" s="59"/>
      <c r="BX106" s="59"/>
      <c r="BY106" s="59"/>
      <c r="BZ106" s="59"/>
    </row>
    <row r="107" spans="2:78" ht="15.95" hidden="1" customHeight="1">
      <c r="B107" s="929"/>
      <c r="C107" s="8"/>
      <c r="D107" s="8"/>
      <c r="E107" s="8"/>
      <c r="F107" s="8"/>
      <c r="G107" s="8"/>
      <c r="H107" s="8"/>
      <c r="I107" s="8"/>
      <c r="J107" s="8"/>
      <c r="K107" s="8"/>
      <c r="L107" s="8"/>
      <c r="M107" s="8"/>
      <c r="N107" s="8"/>
      <c r="O107" s="8"/>
      <c r="P107" s="8"/>
      <c r="Q107" s="8"/>
      <c r="R107" s="8"/>
      <c r="S107" s="8"/>
      <c r="T107" s="8"/>
      <c r="U107" s="8"/>
      <c r="V107" s="8"/>
      <c r="W107" s="8"/>
      <c r="X107" s="8"/>
      <c r="Y107" s="8"/>
      <c r="Z107" s="8"/>
      <c r="AA107" s="8"/>
      <c r="AB107" s="8"/>
      <c r="AC107" s="8"/>
      <c r="AD107" s="8"/>
      <c r="AE107" s="8"/>
      <c r="AF107" s="8"/>
      <c r="AG107" s="8"/>
      <c r="AH107" s="8"/>
      <c r="AI107" s="8"/>
      <c r="AJ107" s="8"/>
      <c r="AK107" s="8"/>
      <c r="AL107" s="8"/>
      <c r="AM107" s="8"/>
      <c r="AN107" s="8"/>
      <c r="AO107" s="8"/>
      <c r="AP107" s="8"/>
      <c r="AQ107" s="8"/>
      <c r="AS107" s="59"/>
      <c r="AT107" s="59"/>
      <c r="AU107" s="59"/>
      <c r="AV107" s="59"/>
      <c r="AW107" s="59"/>
      <c r="AX107" s="59"/>
      <c r="AY107" s="59"/>
      <c r="AZ107" s="59"/>
      <c r="BA107" s="59"/>
      <c r="BB107" s="59"/>
      <c r="BC107" s="59"/>
      <c r="BD107" s="59"/>
      <c r="BE107" s="59"/>
      <c r="BF107" s="59"/>
      <c r="BG107" s="59"/>
      <c r="BH107" s="59"/>
      <c r="BI107" s="59"/>
      <c r="BJ107" s="59"/>
      <c r="BK107" s="59"/>
      <c r="BL107" s="59"/>
      <c r="BM107" s="59"/>
      <c r="BN107" s="59"/>
      <c r="BO107" s="59"/>
      <c r="BP107" s="59"/>
      <c r="BQ107" s="59"/>
      <c r="BR107" s="59"/>
      <c r="BS107" s="59"/>
      <c r="BT107" s="59"/>
      <c r="BU107" s="59"/>
      <c r="BV107" s="59"/>
      <c r="BW107" s="59"/>
      <c r="BX107" s="59"/>
      <c r="BY107" s="59"/>
      <c r="BZ107" s="59"/>
    </row>
    <row r="108" spans="2:78" ht="15.95" hidden="1" customHeight="1">
      <c r="B108" s="929">
        <v>47</v>
      </c>
      <c r="C108" s="8"/>
      <c r="D108" s="8"/>
      <c r="E108" s="8"/>
      <c r="F108" s="8"/>
      <c r="G108" s="8"/>
      <c r="H108" s="8"/>
      <c r="I108" s="8"/>
      <c r="J108" s="8"/>
      <c r="K108" s="8"/>
      <c r="L108" s="8"/>
      <c r="M108" s="8"/>
      <c r="N108" s="8"/>
      <c r="O108" s="8"/>
      <c r="P108" s="8"/>
      <c r="Q108" s="8"/>
      <c r="R108" s="8"/>
      <c r="S108" s="8"/>
      <c r="T108" s="8"/>
      <c r="U108" s="8"/>
      <c r="V108" s="8"/>
      <c r="W108" s="8"/>
      <c r="X108" s="8"/>
      <c r="Y108" s="8"/>
      <c r="Z108" s="8"/>
      <c r="AA108" s="8"/>
      <c r="AB108" s="8"/>
      <c r="AC108" s="8"/>
      <c r="AD108" s="8"/>
      <c r="AE108" s="8"/>
      <c r="AF108" s="8"/>
      <c r="AG108" s="8"/>
      <c r="AH108" s="8"/>
      <c r="AI108" s="8"/>
      <c r="AJ108" s="8"/>
      <c r="AK108" s="8"/>
      <c r="AL108" s="8"/>
      <c r="AM108" s="8"/>
      <c r="AN108" s="8"/>
      <c r="AO108" s="8"/>
      <c r="AP108" s="8"/>
      <c r="AQ108" s="8"/>
      <c r="AS108" s="59"/>
      <c r="AT108" s="59"/>
      <c r="AU108" s="59"/>
      <c r="AV108" s="59"/>
      <c r="AW108" s="59"/>
      <c r="AX108" s="59"/>
      <c r="AY108" s="59"/>
      <c r="AZ108" s="59"/>
      <c r="BA108" s="59"/>
      <c r="BB108" s="59"/>
      <c r="BC108" s="59"/>
      <c r="BD108" s="59"/>
      <c r="BE108" s="59"/>
      <c r="BF108" s="59"/>
      <c r="BG108" s="59"/>
      <c r="BH108" s="59"/>
      <c r="BI108" s="59"/>
      <c r="BJ108" s="59"/>
      <c r="BK108" s="59"/>
      <c r="BL108" s="59"/>
      <c r="BM108" s="59"/>
      <c r="BN108" s="59"/>
      <c r="BO108" s="59"/>
      <c r="BP108" s="59"/>
      <c r="BQ108" s="59"/>
      <c r="BR108" s="59"/>
      <c r="BS108" s="59"/>
      <c r="BT108" s="59"/>
      <c r="BU108" s="59"/>
      <c r="BV108" s="59"/>
      <c r="BW108" s="59"/>
      <c r="BX108" s="59"/>
      <c r="BY108" s="59"/>
      <c r="BZ108" s="59"/>
    </row>
    <row r="109" spans="2:78" ht="15.95" hidden="1" customHeight="1">
      <c r="B109" s="929"/>
      <c r="C109" s="8"/>
      <c r="D109" s="8"/>
      <c r="E109" s="8"/>
      <c r="F109" s="8"/>
      <c r="G109" s="8"/>
      <c r="H109" s="8"/>
      <c r="I109" s="8"/>
      <c r="J109" s="8"/>
      <c r="K109" s="8"/>
      <c r="L109" s="8"/>
      <c r="M109" s="8"/>
      <c r="N109" s="8"/>
      <c r="O109" s="8"/>
      <c r="P109" s="8"/>
      <c r="Q109" s="8"/>
      <c r="R109" s="8"/>
      <c r="S109" s="8"/>
      <c r="T109" s="8"/>
      <c r="U109" s="8"/>
      <c r="V109" s="8"/>
      <c r="W109" s="8"/>
      <c r="X109" s="8"/>
      <c r="Y109" s="8"/>
      <c r="Z109" s="8"/>
      <c r="AA109" s="8"/>
      <c r="AB109" s="8"/>
      <c r="AC109" s="8"/>
      <c r="AD109" s="8"/>
      <c r="AE109" s="8"/>
      <c r="AF109" s="8"/>
      <c r="AG109" s="8"/>
      <c r="AH109" s="8"/>
      <c r="AI109" s="8"/>
      <c r="AJ109" s="8"/>
      <c r="AK109" s="8"/>
      <c r="AL109" s="8"/>
      <c r="AM109" s="8"/>
      <c r="AN109" s="8"/>
      <c r="AO109" s="8"/>
      <c r="AP109" s="8"/>
      <c r="AQ109" s="8"/>
      <c r="AS109" s="59"/>
      <c r="AT109" s="59"/>
      <c r="AU109" s="59"/>
      <c r="AV109" s="59"/>
      <c r="AW109" s="59"/>
      <c r="AX109" s="59"/>
      <c r="AY109" s="59"/>
      <c r="AZ109" s="59"/>
      <c r="BA109" s="59"/>
      <c r="BB109" s="59"/>
      <c r="BC109" s="59"/>
      <c r="BD109" s="59"/>
      <c r="BE109" s="59"/>
      <c r="BF109" s="59"/>
      <c r="BG109" s="59"/>
      <c r="BH109" s="59"/>
      <c r="BI109" s="59"/>
      <c r="BJ109" s="59"/>
      <c r="BK109" s="59"/>
      <c r="BL109" s="59"/>
      <c r="BM109" s="59"/>
      <c r="BN109" s="59"/>
      <c r="BO109" s="59"/>
      <c r="BP109" s="59"/>
      <c r="BQ109" s="59"/>
      <c r="BR109" s="59"/>
      <c r="BS109" s="59"/>
      <c r="BT109" s="59"/>
      <c r="BU109" s="59"/>
      <c r="BV109" s="59"/>
      <c r="BW109" s="59"/>
      <c r="BX109" s="59"/>
      <c r="BY109" s="59"/>
      <c r="BZ109" s="59"/>
    </row>
    <row r="110" spans="2:78" ht="15.95" hidden="1" customHeight="1">
      <c r="B110" s="929">
        <v>48</v>
      </c>
      <c r="C110" s="8"/>
      <c r="D110" s="8"/>
      <c r="E110" s="8"/>
      <c r="F110" s="8"/>
      <c r="G110" s="8"/>
      <c r="H110" s="8"/>
      <c r="I110" s="8"/>
      <c r="J110" s="8"/>
      <c r="K110" s="8"/>
      <c r="L110" s="8"/>
      <c r="M110" s="8"/>
      <c r="N110" s="8"/>
      <c r="O110" s="8"/>
      <c r="P110" s="8"/>
      <c r="Q110" s="8"/>
      <c r="R110" s="8"/>
      <c r="S110" s="8"/>
      <c r="T110" s="8"/>
      <c r="U110" s="8"/>
      <c r="V110" s="8"/>
      <c r="W110" s="8"/>
      <c r="X110" s="8"/>
      <c r="Y110" s="8"/>
      <c r="Z110" s="8"/>
      <c r="AA110" s="8"/>
      <c r="AB110" s="8"/>
      <c r="AC110" s="8"/>
      <c r="AD110" s="8"/>
      <c r="AE110" s="8"/>
      <c r="AF110" s="8"/>
      <c r="AG110" s="8"/>
      <c r="AH110" s="8"/>
      <c r="AI110" s="8"/>
      <c r="AJ110" s="8"/>
      <c r="AK110" s="8"/>
      <c r="AL110" s="8"/>
      <c r="AM110" s="8"/>
      <c r="AN110" s="8"/>
      <c r="AO110" s="8"/>
      <c r="AP110" s="8"/>
      <c r="AQ110" s="8"/>
      <c r="AS110" s="59"/>
      <c r="AT110" s="59"/>
      <c r="AU110" s="59"/>
      <c r="AV110" s="59"/>
      <c r="AW110" s="59"/>
      <c r="AX110" s="59"/>
      <c r="AY110" s="59"/>
      <c r="AZ110" s="59"/>
      <c r="BA110" s="59"/>
      <c r="BB110" s="59"/>
      <c r="BC110" s="59"/>
      <c r="BD110" s="59"/>
      <c r="BE110" s="59"/>
      <c r="BF110" s="59"/>
      <c r="BG110" s="59"/>
      <c r="BH110" s="59"/>
      <c r="BI110" s="59"/>
      <c r="BJ110" s="59"/>
      <c r="BK110" s="59"/>
      <c r="BL110" s="59"/>
      <c r="BM110" s="59"/>
      <c r="BN110" s="59"/>
      <c r="BO110" s="59"/>
      <c r="BP110" s="59"/>
      <c r="BQ110" s="59"/>
      <c r="BR110" s="59"/>
      <c r="BS110" s="59"/>
      <c r="BT110" s="59"/>
      <c r="BU110" s="59"/>
      <c r="BV110" s="59"/>
      <c r="BW110" s="59"/>
      <c r="BX110" s="59"/>
      <c r="BY110" s="59"/>
      <c r="BZ110" s="59"/>
    </row>
    <row r="111" spans="2:78" ht="15.95" hidden="1" customHeight="1">
      <c r="B111" s="929"/>
      <c r="C111" s="8"/>
      <c r="D111" s="8"/>
      <c r="E111" s="8"/>
      <c r="F111" s="8"/>
      <c r="G111" s="8"/>
      <c r="H111" s="8"/>
      <c r="I111" s="8"/>
      <c r="J111" s="8"/>
      <c r="K111" s="8"/>
      <c r="L111" s="8"/>
      <c r="M111" s="8"/>
      <c r="N111" s="8"/>
      <c r="O111" s="8"/>
      <c r="P111" s="8"/>
      <c r="Q111" s="8"/>
      <c r="R111" s="8"/>
      <c r="S111" s="8"/>
      <c r="T111" s="8"/>
      <c r="U111" s="8"/>
      <c r="V111" s="8"/>
      <c r="W111" s="8"/>
      <c r="X111" s="8"/>
      <c r="Y111" s="8"/>
      <c r="Z111" s="8"/>
      <c r="AA111" s="8"/>
      <c r="AB111" s="8"/>
      <c r="AC111" s="8"/>
      <c r="AD111" s="8"/>
      <c r="AE111" s="8"/>
      <c r="AF111" s="8"/>
      <c r="AG111" s="8"/>
      <c r="AH111" s="8"/>
      <c r="AI111" s="8"/>
      <c r="AJ111" s="8"/>
      <c r="AK111" s="8"/>
      <c r="AL111" s="8"/>
      <c r="AM111" s="8"/>
      <c r="AN111" s="8"/>
      <c r="AO111" s="8"/>
      <c r="AP111" s="8"/>
      <c r="AQ111" s="8"/>
      <c r="AS111" s="59"/>
      <c r="AT111" s="59"/>
      <c r="AU111" s="59"/>
      <c r="AV111" s="59"/>
      <c r="AW111" s="59"/>
      <c r="AX111" s="59"/>
      <c r="AY111" s="59"/>
      <c r="AZ111" s="59"/>
      <c r="BA111" s="59"/>
      <c r="BB111" s="59"/>
      <c r="BC111" s="59"/>
      <c r="BD111" s="59"/>
      <c r="BE111" s="59"/>
      <c r="BF111" s="59"/>
      <c r="BG111" s="59"/>
      <c r="BH111" s="59"/>
      <c r="BI111" s="59"/>
      <c r="BJ111" s="59"/>
      <c r="BK111" s="59"/>
      <c r="BL111" s="59"/>
      <c r="BM111" s="59"/>
      <c r="BN111" s="59"/>
      <c r="BO111" s="59"/>
      <c r="BP111" s="59"/>
      <c r="BQ111" s="59"/>
      <c r="BR111" s="59"/>
      <c r="BS111" s="59"/>
      <c r="BT111" s="59"/>
      <c r="BU111" s="59"/>
      <c r="BV111" s="59"/>
      <c r="BW111" s="59"/>
      <c r="BX111" s="59"/>
      <c r="BY111" s="59"/>
      <c r="BZ111" s="59"/>
    </row>
    <row r="112" spans="2:78" ht="15.95" hidden="1" customHeight="1">
      <c r="B112" s="929">
        <v>49</v>
      </c>
      <c r="C112" s="8"/>
      <c r="D112" s="8"/>
      <c r="E112" s="8"/>
      <c r="F112" s="8"/>
      <c r="G112" s="8"/>
      <c r="H112" s="8"/>
      <c r="I112" s="8"/>
      <c r="J112" s="8"/>
      <c r="K112" s="8"/>
      <c r="L112" s="8"/>
      <c r="M112" s="8"/>
      <c r="N112" s="8"/>
      <c r="O112" s="8"/>
      <c r="P112" s="8"/>
      <c r="Q112" s="8"/>
      <c r="R112" s="8"/>
      <c r="S112" s="8"/>
      <c r="T112" s="8"/>
      <c r="U112" s="8"/>
      <c r="V112" s="8"/>
      <c r="W112" s="8"/>
      <c r="X112" s="8"/>
      <c r="Y112" s="8"/>
      <c r="Z112" s="8"/>
      <c r="AA112" s="8"/>
      <c r="AB112" s="8"/>
      <c r="AC112" s="8"/>
      <c r="AD112" s="8"/>
      <c r="AE112" s="8"/>
      <c r="AF112" s="8"/>
      <c r="AG112" s="8"/>
      <c r="AH112" s="8"/>
      <c r="AI112" s="8"/>
      <c r="AJ112" s="8"/>
      <c r="AK112" s="8"/>
      <c r="AL112" s="8"/>
      <c r="AM112" s="8"/>
      <c r="AN112" s="8"/>
      <c r="AO112" s="8"/>
      <c r="AP112" s="8"/>
      <c r="AQ112" s="8"/>
      <c r="AS112" s="59"/>
      <c r="AT112" s="59"/>
      <c r="AU112" s="59"/>
      <c r="AV112" s="59"/>
      <c r="AW112" s="59"/>
      <c r="AX112" s="59"/>
      <c r="AY112" s="59"/>
      <c r="AZ112" s="59"/>
      <c r="BA112" s="59"/>
      <c r="BB112" s="59"/>
      <c r="BC112" s="59"/>
      <c r="BD112" s="59"/>
      <c r="BE112" s="59"/>
      <c r="BF112" s="59"/>
      <c r="BG112" s="59"/>
      <c r="BH112" s="59"/>
      <c r="BI112" s="59"/>
      <c r="BJ112" s="59"/>
      <c r="BK112" s="59"/>
      <c r="BL112" s="59"/>
      <c r="BM112" s="59"/>
      <c r="BN112" s="59"/>
      <c r="BO112" s="59"/>
      <c r="BP112" s="59"/>
      <c r="BQ112" s="59"/>
      <c r="BR112" s="59"/>
      <c r="BS112" s="59"/>
      <c r="BT112" s="59"/>
      <c r="BU112" s="59"/>
      <c r="BV112" s="59"/>
      <c r="BW112" s="59"/>
      <c r="BX112" s="59"/>
      <c r="BY112" s="59"/>
      <c r="BZ112" s="59"/>
    </row>
    <row r="113" spans="2:78" ht="15.95" hidden="1" customHeight="1">
      <c r="B113" s="929"/>
      <c r="C113" s="8"/>
      <c r="D113" s="8"/>
      <c r="E113" s="8"/>
      <c r="F113" s="8"/>
      <c r="G113" s="8"/>
      <c r="H113" s="8"/>
      <c r="I113" s="8"/>
      <c r="J113" s="8"/>
      <c r="K113" s="8"/>
      <c r="L113" s="8"/>
      <c r="M113" s="8"/>
      <c r="N113" s="8"/>
      <c r="O113" s="8"/>
      <c r="P113" s="8"/>
      <c r="Q113" s="8"/>
      <c r="R113" s="8"/>
      <c r="S113" s="8"/>
      <c r="T113" s="8"/>
      <c r="U113" s="8"/>
      <c r="V113" s="8"/>
      <c r="W113" s="8"/>
      <c r="X113" s="8"/>
      <c r="Y113" s="8"/>
      <c r="Z113" s="8"/>
      <c r="AA113" s="8"/>
      <c r="AB113" s="8"/>
      <c r="AC113" s="8"/>
      <c r="AD113" s="8"/>
      <c r="AE113" s="8"/>
      <c r="AF113" s="8"/>
      <c r="AG113" s="8"/>
      <c r="AH113" s="8"/>
      <c r="AI113" s="8"/>
      <c r="AJ113" s="8"/>
      <c r="AK113" s="8"/>
      <c r="AL113" s="8"/>
      <c r="AM113" s="8"/>
      <c r="AN113" s="8"/>
      <c r="AO113" s="8"/>
      <c r="AP113" s="8"/>
      <c r="AQ113" s="8"/>
      <c r="AS113" s="59"/>
      <c r="AT113" s="59"/>
      <c r="AU113" s="59"/>
      <c r="AV113" s="59"/>
      <c r="AW113" s="59"/>
      <c r="AX113" s="59"/>
      <c r="AY113" s="59"/>
      <c r="AZ113" s="59"/>
      <c r="BA113" s="59"/>
      <c r="BB113" s="59"/>
      <c r="BC113" s="59"/>
      <c r="BD113" s="59"/>
      <c r="BE113" s="59"/>
      <c r="BF113" s="59"/>
      <c r="BG113" s="59"/>
      <c r="BH113" s="59"/>
      <c r="BI113" s="59"/>
      <c r="BJ113" s="59"/>
      <c r="BK113" s="59"/>
      <c r="BL113" s="59"/>
      <c r="BM113" s="59"/>
      <c r="BN113" s="59"/>
      <c r="BO113" s="59"/>
      <c r="BP113" s="59"/>
      <c r="BQ113" s="59"/>
      <c r="BR113" s="59"/>
      <c r="BS113" s="59"/>
      <c r="BT113" s="59"/>
      <c r="BU113" s="59"/>
      <c r="BV113" s="59"/>
      <c r="BW113" s="59"/>
      <c r="BX113" s="59"/>
      <c r="BY113" s="59"/>
      <c r="BZ113" s="59"/>
    </row>
    <row r="114" spans="2:78" ht="15.95" hidden="1" customHeight="1">
      <c r="B114" s="929">
        <v>50</v>
      </c>
      <c r="C114" s="8"/>
      <c r="D114" s="8"/>
      <c r="E114" s="8"/>
      <c r="F114" s="8"/>
      <c r="G114" s="8"/>
      <c r="H114" s="8"/>
      <c r="I114" s="8"/>
      <c r="J114" s="8"/>
      <c r="K114" s="8"/>
      <c r="L114" s="8"/>
      <c r="M114" s="8"/>
      <c r="N114" s="8"/>
      <c r="O114" s="8"/>
      <c r="P114" s="8"/>
      <c r="Q114" s="8"/>
      <c r="R114" s="8"/>
      <c r="S114" s="8"/>
      <c r="T114" s="8"/>
      <c r="U114" s="8"/>
      <c r="V114" s="8"/>
      <c r="W114" s="8"/>
      <c r="X114" s="8"/>
      <c r="Y114" s="8"/>
      <c r="Z114" s="8"/>
      <c r="AA114" s="8"/>
      <c r="AB114" s="8"/>
      <c r="AC114" s="8"/>
      <c r="AD114" s="8"/>
      <c r="AE114" s="8"/>
      <c r="AF114" s="8"/>
      <c r="AG114" s="8"/>
      <c r="AH114" s="8"/>
      <c r="AI114" s="8"/>
      <c r="AJ114" s="8"/>
      <c r="AK114" s="8"/>
      <c r="AL114" s="8"/>
      <c r="AM114" s="8"/>
      <c r="AN114" s="8"/>
      <c r="AO114" s="8"/>
      <c r="AP114" s="8"/>
      <c r="AQ114" s="8"/>
      <c r="AS114" s="59"/>
      <c r="AT114" s="59"/>
      <c r="AU114" s="59"/>
      <c r="AV114" s="59"/>
      <c r="AW114" s="59"/>
      <c r="AX114" s="59"/>
      <c r="AY114" s="59"/>
      <c r="AZ114" s="59"/>
      <c r="BA114" s="59"/>
      <c r="BB114" s="59"/>
      <c r="BC114" s="59"/>
      <c r="BD114" s="59"/>
      <c r="BE114" s="59"/>
      <c r="BF114" s="59"/>
      <c r="BG114" s="59"/>
      <c r="BH114" s="59"/>
      <c r="BI114" s="59"/>
      <c r="BJ114" s="59"/>
      <c r="BK114" s="59"/>
      <c r="BL114" s="59"/>
      <c r="BM114" s="59"/>
      <c r="BN114" s="59"/>
      <c r="BO114" s="59"/>
      <c r="BP114" s="59"/>
      <c r="BQ114" s="59"/>
      <c r="BR114" s="59"/>
      <c r="BS114" s="59"/>
      <c r="BT114" s="59"/>
      <c r="BU114" s="59"/>
      <c r="BV114" s="59"/>
      <c r="BW114" s="59"/>
      <c r="BX114" s="59"/>
      <c r="BY114" s="59"/>
      <c r="BZ114" s="59"/>
    </row>
    <row r="115" spans="2:78" ht="15.95" hidden="1" customHeight="1">
      <c r="B115" s="929"/>
      <c r="C115" s="8"/>
      <c r="D115" s="8"/>
      <c r="E115" s="8"/>
      <c r="F115" s="8"/>
      <c r="G115" s="8"/>
      <c r="H115" s="8"/>
      <c r="I115" s="8"/>
      <c r="J115" s="8"/>
      <c r="K115" s="8"/>
      <c r="L115" s="8"/>
      <c r="M115" s="8"/>
      <c r="N115" s="8"/>
      <c r="O115" s="8"/>
      <c r="P115" s="8"/>
      <c r="Q115" s="8"/>
      <c r="R115" s="8"/>
      <c r="S115" s="8"/>
      <c r="T115" s="8"/>
      <c r="U115" s="8"/>
      <c r="V115" s="8"/>
      <c r="W115" s="8"/>
      <c r="X115" s="8"/>
      <c r="Y115" s="8"/>
      <c r="Z115" s="8"/>
      <c r="AA115" s="8"/>
      <c r="AB115" s="8"/>
      <c r="AC115" s="8"/>
      <c r="AD115" s="8"/>
      <c r="AE115" s="8"/>
      <c r="AF115" s="8"/>
      <c r="AG115" s="8"/>
      <c r="AH115" s="8"/>
      <c r="AI115" s="8"/>
      <c r="AJ115" s="8"/>
      <c r="AK115" s="8"/>
      <c r="AL115" s="8"/>
      <c r="AM115" s="8"/>
      <c r="AN115" s="8"/>
      <c r="AO115" s="8"/>
      <c r="AP115" s="8"/>
      <c r="AQ115" s="8"/>
      <c r="AS115" s="59"/>
      <c r="AT115" s="59"/>
      <c r="AU115" s="59"/>
      <c r="AV115" s="59"/>
      <c r="AW115" s="59"/>
      <c r="AX115" s="59"/>
      <c r="AY115" s="59"/>
      <c r="AZ115" s="59"/>
      <c r="BA115" s="59"/>
      <c r="BB115" s="59"/>
      <c r="BC115" s="59"/>
      <c r="BD115" s="59"/>
      <c r="BE115" s="59"/>
      <c r="BF115" s="59"/>
      <c r="BG115" s="59"/>
      <c r="BH115" s="59"/>
      <c r="BI115" s="59"/>
      <c r="BJ115" s="59"/>
      <c r="BK115" s="59"/>
      <c r="BL115" s="59"/>
      <c r="BM115" s="59"/>
      <c r="BN115" s="59"/>
      <c r="BO115" s="59"/>
      <c r="BP115" s="59"/>
      <c r="BQ115" s="59"/>
      <c r="BR115" s="59"/>
      <c r="BS115" s="59"/>
      <c r="BT115" s="59"/>
      <c r="BU115" s="59"/>
      <c r="BV115" s="59"/>
      <c r="BW115" s="59"/>
      <c r="BX115" s="59"/>
      <c r="BY115" s="59"/>
      <c r="BZ115" s="59"/>
    </row>
    <row r="116" spans="2:78" ht="15.95" hidden="1" customHeight="1">
      <c r="B116" s="929">
        <v>51</v>
      </c>
      <c r="C116" s="8"/>
      <c r="D116" s="8"/>
      <c r="E116" s="8"/>
      <c r="F116" s="8"/>
      <c r="G116" s="8"/>
      <c r="H116" s="8"/>
      <c r="I116" s="8"/>
      <c r="J116" s="8"/>
      <c r="K116" s="8"/>
      <c r="L116" s="8"/>
      <c r="M116" s="8"/>
      <c r="N116" s="8"/>
      <c r="O116" s="8"/>
      <c r="P116" s="8"/>
      <c r="Q116" s="8"/>
      <c r="R116" s="8"/>
      <c r="S116" s="8"/>
      <c r="T116" s="8"/>
      <c r="U116" s="8"/>
      <c r="V116" s="8"/>
      <c r="W116" s="8"/>
      <c r="X116" s="8"/>
      <c r="Y116" s="8"/>
      <c r="Z116" s="8"/>
      <c r="AA116" s="8"/>
      <c r="AB116" s="8"/>
      <c r="AC116" s="8"/>
      <c r="AD116" s="8"/>
      <c r="AE116" s="8"/>
      <c r="AF116" s="8"/>
      <c r="AG116" s="8"/>
      <c r="AH116" s="8"/>
      <c r="AI116" s="8"/>
      <c r="AJ116" s="8"/>
      <c r="AK116" s="8"/>
      <c r="AL116" s="8"/>
      <c r="AM116" s="8"/>
      <c r="AN116" s="8"/>
      <c r="AO116" s="8"/>
      <c r="AP116" s="8"/>
      <c r="AQ116" s="8"/>
      <c r="AS116" s="59"/>
      <c r="AT116" s="59"/>
      <c r="AU116" s="59"/>
      <c r="AV116" s="59"/>
      <c r="AW116" s="59"/>
      <c r="AX116" s="59"/>
      <c r="AY116" s="59"/>
      <c r="AZ116" s="59"/>
      <c r="BA116" s="59"/>
      <c r="BB116" s="59"/>
      <c r="BC116" s="59"/>
      <c r="BD116" s="59"/>
      <c r="BE116" s="59"/>
      <c r="BF116" s="59"/>
      <c r="BG116" s="59"/>
      <c r="BH116" s="59"/>
      <c r="BI116" s="59"/>
      <c r="BJ116" s="59"/>
      <c r="BK116" s="59"/>
      <c r="BL116" s="59"/>
      <c r="BM116" s="59"/>
      <c r="BN116" s="59"/>
      <c r="BO116" s="59"/>
      <c r="BP116" s="59"/>
      <c r="BQ116" s="59"/>
      <c r="BR116" s="59"/>
      <c r="BS116" s="59"/>
      <c r="BT116" s="59"/>
      <c r="BU116" s="59"/>
      <c r="BV116" s="59"/>
      <c r="BW116" s="59"/>
      <c r="BX116" s="59"/>
      <c r="BY116" s="59"/>
      <c r="BZ116" s="59"/>
    </row>
    <row r="117" spans="2:78" ht="15.95" hidden="1" customHeight="1">
      <c r="B117" s="929"/>
      <c r="C117" s="8"/>
      <c r="D117" s="8"/>
      <c r="E117" s="8"/>
      <c r="F117" s="8"/>
      <c r="G117" s="8"/>
      <c r="H117" s="8"/>
      <c r="I117" s="8"/>
      <c r="J117" s="8"/>
      <c r="K117" s="8"/>
      <c r="L117" s="8"/>
      <c r="M117" s="8"/>
      <c r="N117" s="8"/>
      <c r="O117" s="8"/>
      <c r="P117" s="8"/>
      <c r="Q117" s="8"/>
      <c r="R117" s="8"/>
      <c r="S117" s="8"/>
      <c r="T117" s="8"/>
      <c r="U117" s="8"/>
      <c r="V117" s="8"/>
      <c r="W117" s="8"/>
      <c r="X117" s="8"/>
      <c r="Y117" s="8"/>
      <c r="Z117" s="8"/>
      <c r="AA117" s="8"/>
      <c r="AB117" s="8"/>
      <c r="AC117" s="8"/>
      <c r="AD117" s="8"/>
      <c r="AE117" s="8"/>
      <c r="AF117" s="8"/>
      <c r="AG117" s="8"/>
      <c r="AH117" s="8"/>
      <c r="AI117" s="8"/>
      <c r="AJ117" s="8"/>
      <c r="AK117" s="8"/>
      <c r="AL117" s="8"/>
      <c r="AM117" s="8"/>
      <c r="AN117" s="8"/>
      <c r="AO117" s="8"/>
      <c r="AP117" s="8"/>
      <c r="AQ117" s="8"/>
      <c r="AS117" s="59"/>
      <c r="AT117" s="59"/>
      <c r="AU117" s="59"/>
      <c r="AV117" s="59"/>
      <c r="AW117" s="59"/>
      <c r="AX117" s="59"/>
      <c r="AY117" s="59"/>
      <c r="AZ117" s="59"/>
      <c r="BA117" s="59"/>
      <c r="BB117" s="59"/>
      <c r="BC117" s="59"/>
      <c r="BD117" s="59"/>
      <c r="BE117" s="59"/>
      <c r="BF117" s="59"/>
      <c r="BG117" s="59"/>
      <c r="BH117" s="59"/>
      <c r="BI117" s="59"/>
      <c r="BJ117" s="59"/>
      <c r="BK117" s="59"/>
      <c r="BL117" s="59"/>
      <c r="BM117" s="59"/>
      <c r="BN117" s="59"/>
      <c r="BO117" s="59"/>
      <c r="BP117" s="59"/>
      <c r="BQ117" s="59"/>
      <c r="BR117" s="59"/>
      <c r="BS117" s="59"/>
      <c r="BT117" s="59"/>
      <c r="BU117" s="59"/>
      <c r="BV117" s="59"/>
      <c r="BW117" s="59"/>
      <c r="BX117" s="59"/>
      <c r="BY117" s="59"/>
      <c r="BZ117" s="59"/>
    </row>
    <row r="118" spans="2:78" ht="15.95" hidden="1" customHeight="1">
      <c r="B118" s="929">
        <v>52</v>
      </c>
      <c r="C118" s="8"/>
      <c r="D118" s="8"/>
      <c r="E118" s="8"/>
      <c r="F118" s="8"/>
      <c r="G118" s="8"/>
      <c r="H118" s="8"/>
      <c r="I118" s="8"/>
      <c r="J118" s="8"/>
      <c r="K118" s="8"/>
      <c r="L118" s="8"/>
      <c r="M118" s="8"/>
      <c r="N118" s="8"/>
      <c r="O118" s="8"/>
      <c r="P118" s="8"/>
      <c r="Q118" s="8"/>
      <c r="R118" s="8"/>
      <c r="S118" s="8"/>
      <c r="T118" s="8"/>
      <c r="U118" s="8"/>
      <c r="V118" s="8"/>
      <c r="W118" s="8"/>
      <c r="X118" s="8"/>
      <c r="Y118" s="8"/>
      <c r="Z118" s="8"/>
      <c r="AA118" s="8"/>
      <c r="AB118" s="8"/>
      <c r="AC118" s="8"/>
      <c r="AD118" s="8"/>
      <c r="AE118" s="8"/>
      <c r="AF118" s="8"/>
      <c r="AG118" s="8"/>
      <c r="AH118" s="8"/>
      <c r="AI118" s="8"/>
      <c r="AJ118" s="8"/>
      <c r="AK118" s="8"/>
      <c r="AL118" s="8"/>
      <c r="AM118" s="8"/>
      <c r="AN118" s="8"/>
      <c r="AO118" s="8"/>
      <c r="AP118" s="8"/>
      <c r="AQ118" s="8"/>
      <c r="AS118" s="59"/>
      <c r="AT118" s="59"/>
      <c r="AU118" s="59"/>
      <c r="AV118" s="59"/>
      <c r="AW118" s="59"/>
      <c r="AX118" s="59"/>
      <c r="AY118" s="59"/>
      <c r="AZ118" s="59"/>
      <c r="BA118" s="59"/>
      <c r="BB118" s="59"/>
      <c r="BC118" s="59"/>
      <c r="BD118" s="59"/>
      <c r="BE118" s="59"/>
      <c r="BF118" s="59"/>
      <c r="BG118" s="59"/>
      <c r="BH118" s="59"/>
      <c r="BI118" s="59"/>
      <c r="BJ118" s="59"/>
      <c r="BK118" s="59"/>
      <c r="BL118" s="59"/>
      <c r="BM118" s="59"/>
      <c r="BN118" s="59"/>
      <c r="BO118" s="59"/>
      <c r="BP118" s="59"/>
      <c r="BQ118" s="59"/>
      <c r="BR118" s="59"/>
      <c r="BS118" s="59"/>
      <c r="BT118" s="59"/>
      <c r="BU118" s="59"/>
      <c r="BV118" s="59"/>
      <c r="BW118" s="59"/>
      <c r="BX118" s="59"/>
      <c r="BY118" s="59"/>
      <c r="BZ118" s="59"/>
    </row>
    <row r="119" spans="2:78" ht="15.95" hidden="1" customHeight="1">
      <c r="B119" s="929"/>
      <c r="C119" s="8"/>
      <c r="D119" s="8"/>
      <c r="E119" s="8"/>
      <c r="F119" s="8"/>
      <c r="G119" s="8"/>
      <c r="H119" s="8"/>
      <c r="I119" s="8"/>
      <c r="J119" s="8"/>
      <c r="K119" s="8"/>
      <c r="L119" s="8"/>
      <c r="M119" s="8"/>
      <c r="N119" s="8"/>
      <c r="O119" s="8"/>
      <c r="P119" s="8"/>
      <c r="Q119" s="8"/>
      <c r="R119" s="8"/>
      <c r="S119" s="8"/>
      <c r="T119" s="8"/>
      <c r="U119" s="8"/>
      <c r="V119" s="8"/>
      <c r="W119" s="8"/>
      <c r="X119" s="8"/>
      <c r="Y119" s="8"/>
      <c r="Z119" s="8"/>
      <c r="AA119" s="8"/>
      <c r="AB119" s="8"/>
      <c r="AC119" s="8"/>
      <c r="AD119" s="8"/>
      <c r="AE119" s="8"/>
      <c r="AF119" s="8"/>
      <c r="AG119" s="8"/>
      <c r="AH119" s="8"/>
      <c r="AI119" s="8"/>
      <c r="AJ119" s="8"/>
      <c r="AK119" s="8"/>
      <c r="AL119" s="8"/>
      <c r="AM119" s="8"/>
      <c r="AN119" s="8"/>
      <c r="AO119" s="8"/>
      <c r="AP119" s="8"/>
      <c r="AQ119" s="8"/>
      <c r="AS119" s="59"/>
      <c r="AT119" s="59"/>
      <c r="AU119" s="59"/>
      <c r="AV119" s="59"/>
      <c r="AW119" s="59"/>
      <c r="AX119" s="59"/>
      <c r="AY119" s="59"/>
      <c r="AZ119" s="59"/>
      <c r="BA119" s="59"/>
      <c r="BB119" s="59"/>
      <c r="BC119" s="59"/>
      <c r="BD119" s="59"/>
      <c r="BE119" s="59"/>
      <c r="BF119" s="59"/>
      <c r="BG119" s="59"/>
      <c r="BH119" s="59"/>
      <c r="BI119" s="59"/>
      <c r="BJ119" s="59"/>
      <c r="BK119" s="59"/>
      <c r="BL119" s="59"/>
      <c r="BM119" s="59"/>
      <c r="BN119" s="59"/>
      <c r="BO119" s="59"/>
      <c r="BP119" s="59"/>
      <c r="BQ119" s="59"/>
      <c r="BR119" s="59"/>
      <c r="BS119" s="59"/>
      <c r="BT119" s="59"/>
      <c r="BU119" s="59"/>
      <c r="BV119" s="59"/>
      <c r="BW119" s="59"/>
      <c r="BX119" s="59"/>
      <c r="BY119" s="59"/>
      <c r="BZ119" s="59"/>
    </row>
    <row r="120" spans="2:78" ht="15.95" hidden="1" customHeight="1">
      <c r="B120" s="929">
        <v>53</v>
      </c>
      <c r="C120" s="8"/>
      <c r="D120" s="8"/>
      <c r="E120" s="8"/>
      <c r="F120" s="8"/>
      <c r="G120" s="8"/>
      <c r="H120" s="8"/>
      <c r="I120" s="8"/>
      <c r="J120" s="8"/>
      <c r="K120" s="8"/>
      <c r="L120" s="8"/>
      <c r="M120" s="8"/>
      <c r="N120" s="8"/>
      <c r="O120" s="8"/>
      <c r="P120" s="8"/>
      <c r="Q120" s="8"/>
      <c r="R120" s="8"/>
      <c r="S120" s="8"/>
      <c r="T120" s="8"/>
      <c r="U120" s="8"/>
      <c r="V120" s="8"/>
      <c r="W120" s="8"/>
      <c r="X120" s="8"/>
      <c r="Y120" s="8"/>
      <c r="Z120" s="8"/>
      <c r="AA120" s="8"/>
      <c r="AB120" s="8"/>
      <c r="AC120" s="8"/>
      <c r="AD120" s="8"/>
      <c r="AE120" s="8"/>
      <c r="AF120" s="8"/>
      <c r="AG120" s="8"/>
      <c r="AH120" s="8"/>
      <c r="AI120" s="8"/>
      <c r="AJ120" s="8"/>
      <c r="AK120" s="8"/>
      <c r="AL120" s="8"/>
      <c r="AM120" s="8"/>
      <c r="AN120" s="8"/>
      <c r="AO120" s="8"/>
      <c r="AP120" s="8"/>
      <c r="AQ120" s="8"/>
      <c r="AS120" s="59"/>
      <c r="AT120" s="59"/>
      <c r="AU120" s="59"/>
      <c r="AV120" s="59"/>
      <c r="AW120" s="59"/>
      <c r="AX120" s="59"/>
      <c r="AY120" s="59"/>
      <c r="AZ120" s="59"/>
      <c r="BA120" s="59"/>
      <c r="BB120" s="59"/>
      <c r="BC120" s="59"/>
      <c r="BD120" s="59"/>
      <c r="BE120" s="59"/>
      <c r="BF120" s="59"/>
      <c r="BG120" s="59"/>
      <c r="BH120" s="59"/>
      <c r="BI120" s="59"/>
      <c r="BJ120" s="59"/>
      <c r="BK120" s="59"/>
      <c r="BL120" s="59"/>
      <c r="BM120" s="59"/>
      <c r="BN120" s="59"/>
      <c r="BO120" s="59"/>
      <c r="BP120" s="59"/>
      <c r="BQ120" s="59"/>
      <c r="BR120" s="59"/>
      <c r="BS120" s="59"/>
      <c r="BT120" s="59"/>
      <c r="BU120" s="59"/>
      <c r="BV120" s="59"/>
      <c r="BW120" s="59"/>
      <c r="BX120" s="59"/>
      <c r="BY120" s="59"/>
      <c r="BZ120" s="59"/>
    </row>
    <row r="121" spans="2:78" ht="15.95" hidden="1" customHeight="1">
      <c r="B121" s="929"/>
      <c r="C121" s="8"/>
      <c r="D121" s="8"/>
      <c r="E121" s="8"/>
      <c r="F121" s="8"/>
      <c r="G121" s="8"/>
      <c r="H121" s="8"/>
      <c r="I121" s="8"/>
      <c r="J121" s="8"/>
      <c r="K121" s="8"/>
      <c r="L121" s="8"/>
      <c r="M121" s="8"/>
      <c r="N121" s="8"/>
      <c r="O121" s="8"/>
      <c r="P121" s="8"/>
      <c r="Q121" s="8"/>
      <c r="R121" s="8"/>
      <c r="S121" s="8"/>
      <c r="T121" s="8"/>
      <c r="U121" s="8"/>
      <c r="V121" s="8"/>
      <c r="W121" s="8"/>
      <c r="X121" s="8"/>
      <c r="Y121" s="8"/>
      <c r="Z121" s="8"/>
      <c r="AA121" s="8"/>
      <c r="AB121" s="8"/>
      <c r="AC121" s="8"/>
      <c r="AD121" s="8"/>
      <c r="AE121" s="8"/>
      <c r="AF121" s="8"/>
      <c r="AG121" s="8"/>
      <c r="AH121" s="8"/>
      <c r="AI121" s="8"/>
      <c r="AJ121" s="8"/>
      <c r="AK121" s="8"/>
      <c r="AL121" s="8"/>
      <c r="AM121" s="8"/>
      <c r="AN121" s="8"/>
      <c r="AO121" s="8"/>
      <c r="AP121" s="8"/>
      <c r="AQ121" s="8"/>
      <c r="AS121" s="59"/>
      <c r="AT121" s="59"/>
      <c r="AU121" s="59"/>
      <c r="AV121" s="59"/>
      <c r="AW121" s="59"/>
      <c r="AX121" s="59"/>
      <c r="AY121" s="59"/>
      <c r="AZ121" s="59"/>
      <c r="BA121" s="59"/>
      <c r="BB121" s="59"/>
      <c r="BC121" s="59"/>
      <c r="BD121" s="59"/>
      <c r="BE121" s="59"/>
      <c r="BF121" s="59"/>
      <c r="BG121" s="59"/>
      <c r="BH121" s="59"/>
      <c r="BI121" s="59"/>
      <c r="BJ121" s="59"/>
      <c r="BK121" s="59"/>
      <c r="BL121" s="59"/>
      <c r="BM121" s="59"/>
      <c r="BN121" s="59"/>
      <c r="BO121" s="59"/>
      <c r="BP121" s="59"/>
      <c r="BQ121" s="59"/>
      <c r="BR121" s="59"/>
      <c r="BS121" s="59"/>
      <c r="BT121" s="59"/>
      <c r="BU121" s="59"/>
      <c r="BV121" s="59"/>
      <c r="BW121" s="59"/>
      <c r="BX121" s="59"/>
      <c r="BY121" s="59"/>
      <c r="BZ121" s="59"/>
    </row>
    <row r="122" spans="2:78" ht="15.95" hidden="1" customHeight="1">
      <c r="B122" s="929">
        <v>54</v>
      </c>
      <c r="C122" s="8"/>
      <c r="D122" s="8"/>
      <c r="E122" s="8"/>
      <c r="F122" s="8"/>
      <c r="G122" s="8"/>
      <c r="H122" s="8"/>
      <c r="I122" s="8"/>
      <c r="J122" s="8"/>
      <c r="K122" s="8"/>
      <c r="L122" s="8"/>
      <c r="M122" s="8"/>
      <c r="N122" s="8"/>
      <c r="O122" s="8"/>
      <c r="P122" s="8"/>
      <c r="Q122" s="8"/>
      <c r="R122" s="8"/>
      <c r="S122" s="8"/>
      <c r="T122" s="8"/>
      <c r="U122" s="8"/>
      <c r="V122" s="8"/>
      <c r="W122" s="8"/>
      <c r="X122" s="8"/>
      <c r="Y122" s="8"/>
      <c r="Z122" s="8"/>
      <c r="AA122" s="8"/>
      <c r="AB122" s="8"/>
      <c r="AC122" s="8"/>
      <c r="AD122" s="8"/>
      <c r="AE122" s="8"/>
      <c r="AF122" s="8"/>
      <c r="AG122" s="8"/>
      <c r="AH122" s="8"/>
      <c r="AI122" s="8"/>
      <c r="AJ122" s="8"/>
      <c r="AK122" s="8"/>
      <c r="AL122" s="8"/>
      <c r="AM122" s="8"/>
      <c r="AN122" s="8"/>
      <c r="AO122" s="8"/>
      <c r="AP122" s="8"/>
      <c r="AQ122" s="8"/>
      <c r="AS122" s="59"/>
      <c r="AT122" s="59"/>
      <c r="AU122" s="59"/>
      <c r="AV122" s="59"/>
      <c r="AW122" s="59"/>
      <c r="AX122" s="59"/>
      <c r="AY122" s="59"/>
      <c r="AZ122" s="59"/>
      <c r="BA122" s="59"/>
      <c r="BB122" s="59"/>
      <c r="BC122" s="59"/>
      <c r="BD122" s="59"/>
      <c r="BE122" s="59"/>
      <c r="BF122" s="59"/>
      <c r="BG122" s="59"/>
      <c r="BH122" s="59"/>
      <c r="BI122" s="59"/>
      <c r="BJ122" s="59"/>
      <c r="BK122" s="59"/>
      <c r="BL122" s="59"/>
      <c r="BM122" s="59"/>
      <c r="BN122" s="59"/>
      <c r="BO122" s="59"/>
      <c r="BP122" s="59"/>
      <c r="BQ122" s="59"/>
      <c r="BR122" s="59"/>
      <c r="BS122" s="59"/>
      <c r="BT122" s="59"/>
      <c r="BU122" s="59"/>
      <c r="BV122" s="59"/>
      <c r="BW122" s="59"/>
      <c r="BX122" s="59"/>
      <c r="BY122" s="59"/>
      <c r="BZ122" s="59"/>
    </row>
    <row r="123" spans="2:78" ht="15.95" hidden="1" customHeight="1">
      <c r="B123" s="929"/>
      <c r="C123" s="8"/>
      <c r="D123" s="8"/>
      <c r="E123" s="8"/>
      <c r="F123" s="8"/>
      <c r="G123" s="8"/>
      <c r="H123" s="8"/>
      <c r="I123" s="8"/>
      <c r="J123" s="8"/>
      <c r="K123" s="8"/>
      <c r="L123" s="8"/>
      <c r="M123" s="8"/>
      <c r="N123" s="8"/>
      <c r="O123" s="8"/>
      <c r="P123" s="8"/>
      <c r="Q123" s="8"/>
      <c r="R123" s="8"/>
      <c r="S123" s="8"/>
      <c r="T123" s="8"/>
      <c r="U123" s="8"/>
      <c r="V123" s="8"/>
      <c r="W123" s="8"/>
      <c r="X123" s="8"/>
      <c r="Y123" s="8"/>
      <c r="Z123" s="8"/>
      <c r="AA123" s="8"/>
      <c r="AB123" s="8"/>
      <c r="AC123" s="8"/>
      <c r="AD123" s="8"/>
      <c r="AE123" s="8"/>
      <c r="AF123" s="8"/>
      <c r="AG123" s="8"/>
      <c r="AH123" s="8"/>
      <c r="AI123" s="8"/>
      <c r="AJ123" s="8"/>
      <c r="AK123" s="8"/>
      <c r="AL123" s="8"/>
      <c r="AM123" s="8"/>
      <c r="AN123" s="8"/>
      <c r="AO123" s="8"/>
      <c r="AP123" s="8"/>
      <c r="AQ123" s="8"/>
      <c r="AS123" s="59"/>
      <c r="AT123" s="59"/>
      <c r="AU123" s="59"/>
      <c r="AV123" s="59"/>
      <c r="AW123" s="59"/>
      <c r="AX123" s="59"/>
      <c r="AY123" s="59"/>
      <c r="AZ123" s="59"/>
      <c r="BA123" s="59"/>
      <c r="BB123" s="59"/>
      <c r="BC123" s="59"/>
      <c r="BD123" s="59"/>
      <c r="BE123" s="59"/>
      <c r="BF123" s="59"/>
      <c r="BG123" s="59"/>
      <c r="BH123" s="59"/>
      <c r="BI123" s="59"/>
      <c r="BJ123" s="59"/>
      <c r="BK123" s="59"/>
      <c r="BL123" s="59"/>
      <c r="BM123" s="59"/>
      <c r="BN123" s="59"/>
      <c r="BO123" s="59"/>
      <c r="BP123" s="59"/>
      <c r="BQ123" s="59"/>
      <c r="BR123" s="59"/>
      <c r="BS123" s="59"/>
      <c r="BT123" s="59"/>
      <c r="BU123" s="59"/>
      <c r="BV123" s="59"/>
      <c r="BW123" s="59"/>
      <c r="BX123" s="59"/>
      <c r="BY123" s="59"/>
      <c r="BZ123" s="59"/>
    </row>
    <row r="124" spans="2:78" ht="15.95" hidden="1" customHeight="1">
      <c r="B124" s="929">
        <v>55</v>
      </c>
      <c r="C124" s="8"/>
      <c r="D124" s="8"/>
      <c r="E124" s="8"/>
      <c r="F124" s="8"/>
      <c r="G124" s="8"/>
      <c r="H124" s="8"/>
      <c r="I124" s="8"/>
      <c r="J124" s="8"/>
      <c r="K124" s="8"/>
      <c r="L124" s="8"/>
      <c r="M124" s="8"/>
      <c r="N124" s="8"/>
      <c r="O124" s="8"/>
      <c r="P124" s="8"/>
      <c r="Q124" s="8"/>
      <c r="R124" s="8"/>
      <c r="S124" s="8"/>
      <c r="T124" s="8"/>
      <c r="U124" s="8"/>
      <c r="V124" s="8"/>
      <c r="W124" s="8"/>
      <c r="X124" s="8"/>
      <c r="Y124" s="8"/>
      <c r="Z124" s="8"/>
      <c r="AA124" s="8"/>
      <c r="AB124" s="8"/>
      <c r="AC124" s="8"/>
      <c r="AD124" s="8"/>
      <c r="AE124" s="8"/>
      <c r="AF124" s="8"/>
      <c r="AG124" s="8"/>
      <c r="AH124" s="8"/>
      <c r="AI124" s="8"/>
      <c r="AJ124" s="8"/>
      <c r="AK124" s="8"/>
      <c r="AL124" s="8"/>
      <c r="AM124" s="8"/>
      <c r="AN124" s="8"/>
      <c r="AO124" s="8"/>
      <c r="AP124" s="8"/>
      <c r="AQ124" s="8"/>
      <c r="AS124" s="59"/>
      <c r="AT124" s="59"/>
      <c r="AU124" s="59"/>
      <c r="AV124" s="59"/>
      <c r="AW124" s="59"/>
      <c r="AX124" s="59"/>
      <c r="AY124" s="59"/>
      <c r="AZ124" s="59"/>
      <c r="BA124" s="59"/>
      <c r="BB124" s="59"/>
      <c r="BC124" s="59"/>
      <c r="BD124" s="59"/>
      <c r="BE124" s="59"/>
      <c r="BF124" s="59"/>
      <c r="BG124" s="59"/>
      <c r="BH124" s="59"/>
      <c r="BI124" s="59"/>
      <c r="BJ124" s="59"/>
      <c r="BK124" s="59"/>
      <c r="BL124" s="59"/>
      <c r="BM124" s="59"/>
      <c r="BN124" s="59"/>
      <c r="BO124" s="59"/>
      <c r="BP124" s="59"/>
      <c r="BQ124" s="59"/>
      <c r="BR124" s="59"/>
      <c r="BS124" s="59"/>
      <c r="BT124" s="59"/>
      <c r="BU124" s="59"/>
      <c r="BV124" s="59"/>
      <c r="BW124" s="59"/>
      <c r="BX124" s="59"/>
      <c r="BY124" s="59"/>
      <c r="BZ124" s="59"/>
    </row>
    <row r="125" spans="2:78" ht="15.95" hidden="1" customHeight="1">
      <c r="B125" s="929"/>
      <c r="C125" s="8"/>
      <c r="D125" s="8"/>
      <c r="E125" s="8"/>
      <c r="F125" s="8"/>
      <c r="G125" s="8"/>
      <c r="H125" s="8"/>
      <c r="I125" s="8"/>
      <c r="J125" s="8"/>
      <c r="K125" s="8"/>
      <c r="L125" s="8"/>
      <c r="M125" s="8"/>
      <c r="N125" s="8"/>
      <c r="O125" s="8"/>
      <c r="P125" s="8"/>
      <c r="Q125" s="8"/>
      <c r="R125" s="8"/>
      <c r="S125" s="8"/>
      <c r="T125" s="8"/>
      <c r="U125" s="8"/>
      <c r="V125" s="8"/>
      <c r="W125" s="8"/>
      <c r="X125" s="8"/>
      <c r="Y125" s="8"/>
      <c r="Z125" s="8"/>
      <c r="AA125" s="8"/>
      <c r="AB125" s="8"/>
      <c r="AC125" s="8"/>
      <c r="AD125" s="8"/>
      <c r="AE125" s="8"/>
      <c r="AF125" s="8"/>
      <c r="AG125" s="8"/>
      <c r="AH125" s="8"/>
      <c r="AI125" s="8"/>
      <c r="AJ125" s="8"/>
      <c r="AK125" s="8"/>
      <c r="AL125" s="8"/>
      <c r="AM125" s="8"/>
      <c r="AN125" s="8"/>
      <c r="AO125" s="8"/>
      <c r="AP125" s="8"/>
      <c r="AQ125" s="8"/>
      <c r="AS125" s="59"/>
      <c r="AT125" s="59"/>
      <c r="AU125" s="59"/>
      <c r="AV125" s="59"/>
      <c r="AW125" s="59"/>
      <c r="AX125" s="59"/>
      <c r="AY125" s="59"/>
      <c r="AZ125" s="59"/>
      <c r="BA125" s="59"/>
      <c r="BB125" s="59"/>
      <c r="BC125" s="59"/>
      <c r="BD125" s="59"/>
      <c r="BE125" s="59"/>
      <c r="BF125" s="59"/>
      <c r="BG125" s="59"/>
      <c r="BH125" s="59"/>
      <c r="BI125" s="59"/>
      <c r="BJ125" s="59"/>
      <c r="BK125" s="59"/>
      <c r="BL125" s="59"/>
      <c r="BM125" s="59"/>
      <c r="BN125" s="59"/>
      <c r="BO125" s="59"/>
      <c r="BP125" s="59"/>
      <c r="BQ125" s="59"/>
      <c r="BR125" s="59"/>
      <c r="BS125" s="59"/>
      <c r="BT125" s="59"/>
      <c r="BU125" s="59"/>
      <c r="BV125" s="59"/>
      <c r="BW125" s="59"/>
      <c r="BX125" s="59"/>
      <c r="BY125" s="59"/>
      <c r="BZ125" s="59"/>
    </row>
    <row r="126" spans="2:78" ht="15.95" hidden="1" customHeight="1">
      <c r="B126" s="929">
        <v>56</v>
      </c>
      <c r="C126" s="8"/>
      <c r="D126" s="8"/>
      <c r="E126" s="8"/>
      <c r="F126" s="8"/>
      <c r="G126" s="8"/>
      <c r="H126" s="8"/>
      <c r="I126" s="8"/>
      <c r="J126" s="8"/>
      <c r="K126" s="8"/>
      <c r="L126" s="8"/>
      <c r="M126" s="8"/>
      <c r="N126" s="8"/>
      <c r="O126" s="8"/>
      <c r="P126" s="8"/>
      <c r="Q126" s="8"/>
      <c r="R126" s="8"/>
      <c r="S126" s="8"/>
      <c r="T126" s="8"/>
      <c r="U126" s="8"/>
      <c r="V126" s="8"/>
      <c r="W126" s="8"/>
      <c r="X126" s="8"/>
      <c r="Y126" s="8"/>
      <c r="Z126" s="8"/>
      <c r="AA126" s="8"/>
      <c r="AB126" s="8"/>
      <c r="AC126" s="8"/>
      <c r="AD126" s="8"/>
      <c r="AE126" s="8"/>
      <c r="AF126" s="8"/>
      <c r="AG126" s="8"/>
      <c r="AH126" s="8"/>
      <c r="AI126" s="8"/>
      <c r="AJ126" s="8"/>
      <c r="AK126" s="8"/>
      <c r="AL126" s="8"/>
      <c r="AM126" s="8"/>
      <c r="AN126" s="8"/>
      <c r="AO126" s="8"/>
      <c r="AP126" s="8"/>
      <c r="AQ126" s="8"/>
      <c r="AS126" s="59"/>
      <c r="AT126" s="59"/>
      <c r="AU126" s="59"/>
      <c r="AV126" s="59"/>
      <c r="AW126" s="59"/>
      <c r="AX126" s="59"/>
      <c r="AY126" s="59"/>
      <c r="AZ126" s="59"/>
      <c r="BA126" s="59"/>
      <c r="BB126" s="59"/>
      <c r="BC126" s="59"/>
      <c r="BD126" s="59"/>
      <c r="BE126" s="59"/>
      <c r="BF126" s="59"/>
      <c r="BG126" s="59"/>
      <c r="BH126" s="59"/>
      <c r="BI126" s="59"/>
      <c r="BJ126" s="59"/>
      <c r="BK126" s="59"/>
      <c r="BL126" s="59"/>
      <c r="BM126" s="59"/>
      <c r="BN126" s="59"/>
      <c r="BO126" s="59"/>
      <c r="BP126" s="59"/>
      <c r="BQ126" s="59"/>
      <c r="BR126" s="59"/>
      <c r="BS126" s="59"/>
      <c r="BT126" s="59"/>
      <c r="BU126" s="59"/>
      <c r="BV126" s="59"/>
      <c r="BW126" s="59"/>
      <c r="BX126" s="59"/>
      <c r="BY126" s="59"/>
      <c r="BZ126" s="59"/>
    </row>
    <row r="127" spans="2:78" ht="15.95" hidden="1" customHeight="1">
      <c r="B127" s="929"/>
      <c r="C127" s="8"/>
      <c r="D127" s="8"/>
      <c r="E127" s="8"/>
      <c r="F127" s="8"/>
      <c r="G127" s="8"/>
      <c r="H127" s="8"/>
      <c r="I127" s="8"/>
      <c r="J127" s="8"/>
      <c r="K127" s="8"/>
      <c r="L127" s="8"/>
      <c r="M127" s="8"/>
      <c r="N127" s="8"/>
      <c r="O127" s="8"/>
      <c r="P127" s="8"/>
      <c r="Q127" s="8"/>
      <c r="R127" s="8"/>
      <c r="S127" s="8"/>
      <c r="T127" s="8"/>
      <c r="U127" s="8"/>
      <c r="V127" s="8"/>
      <c r="W127" s="8"/>
      <c r="X127" s="8"/>
      <c r="Y127" s="8"/>
      <c r="Z127" s="8"/>
      <c r="AA127" s="8"/>
      <c r="AB127" s="8"/>
      <c r="AC127" s="8"/>
      <c r="AD127" s="8"/>
      <c r="AE127" s="8"/>
      <c r="AF127" s="8"/>
      <c r="AG127" s="8"/>
      <c r="AH127" s="8"/>
      <c r="AI127" s="8"/>
      <c r="AJ127" s="8"/>
      <c r="AK127" s="8"/>
      <c r="AL127" s="8"/>
      <c r="AM127" s="8"/>
      <c r="AN127" s="8"/>
      <c r="AO127" s="8"/>
      <c r="AP127" s="8"/>
      <c r="AQ127" s="8"/>
      <c r="AS127" s="59"/>
      <c r="AT127" s="59"/>
      <c r="AU127" s="59"/>
      <c r="AV127" s="59"/>
      <c r="AW127" s="59"/>
      <c r="AX127" s="59"/>
      <c r="AY127" s="59"/>
      <c r="AZ127" s="59"/>
      <c r="BA127" s="59"/>
      <c r="BB127" s="59"/>
      <c r="BC127" s="59"/>
      <c r="BD127" s="59"/>
      <c r="BE127" s="59"/>
      <c r="BF127" s="59"/>
      <c r="BG127" s="59"/>
      <c r="BH127" s="59"/>
      <c r="BI127" s="59"/>
      <c r="BJ127" s="59"/>
      <c r="BK127" s="59"/>
      <c r="BL127" s="59"/>
      <c r="BM127" s="59"/>
      <c r="BN127" s="59"/>
      <c r="BO127" s="59"/>
      <c r="BP127" s="59"/>
      <c r="BQ127" s="59"/>
      <c r="BR127" s="59"/>
      <c r="BS127" s="59"/>
      <c r="BT127" s="59"/>
      <c r="BU127" s="59"/>
      <c r="BV127" s="59"/>
      <c r="BW127" s="59"/>
      <c r="BX127" s="59"/>
      <c r="BY127" s="59"/>
      <c r="BZ127" s="59"/>
    </row>
    <row r="128" spans="2:78" ht="15.95" hidden="1" customHeight="1">
      <c r="B128" s="929">
        <v>57</v>
      </c>
      <c r="C128" s="8"/>
      <c r="D128" s="8"/>
      <c r="E128" s="8"/>
      <c r="F128" s="8"/>
      <c r="G128" s="8"/>
      <c r="H128" s="8"/>
      <c r="I128" s="8"/>
      <c r="J128" s="8"/>
      <c r="K128" s="8"/>
      <c r="L128" s="8"/>
      <c r="M128" s="8"/>
      <c r="N128" s="8"/>
      <c r="O128" s="8"/>
      <c r="P128" s="8"/>
      <c r="Q128" s="8"/>
      <c r="R128" s="8"/>
      <c r="S128" s="8"/>
      <c r="T128" s="8"/>
      <c r="U128" s="8"/>
      <c r="V128" s="8"/>
      <c r="W128" s="8"/>
      <c r="X128" s="8"/>
      <c r="Y128" s="8"/>
      <c r="Z128" s="8"/>
      <c r="AA128" s="8"/>
      <c r="AB128" s="8"/>
      <c r="AC128" s="8"/>
      <c r="AD128" s="8"/>
      <c r="AE128" s="8"/>
      <c r="AF128" s="8"/>
      <c r="AG128" s="8"/>
      <c r="AH128" s="8"/>
      <c r="AI128" s="8"/>
      <c r="AJ128" s="8"/>
      <c r="AK128" s="8"/>
      <c r="AL128" s="8"/>
      <c r="AM128" s="8"/>
      <c r="AN128" s="8"/>
      <c r="AO128" s="8"/>
      <c r="AP128" s="8"/>
      <c r="AQ128" s="8"/>
      <c r="AS128" s="59"/>
      <c r="AT128" s="59"/>
      <c r="AU128" s="59"/>
      <c r="AV128" s="59"/>
      <c r="AW128" s="59"/>
      <c r="AX128" s="59"/>
      <c r="AY128" s="59"/>
      <c r="AZ128" s="59"/>
      <c r="BA128" s="59"/>
      <c r="BB128" s="59"/>
      <c r="BC128" s="59"/>
      <c r="BD128" s="59"/>
      <c r="BE128" s="59"/>
      <c r="BF128" s="59"/>
      <c r="BG128" s="59"/>
      <c r="BH128" s="59"/>
      <c r="BI128" s="59"/>
      <c r="BJ128" s="59"/>
      <c r="BK128" s="59"/>
      <c r="BL128" s="59"/>
      <c r="BM128" s="59"/>
      <c r="BN128" s="59"/>
      <c r="BO128" s="59"/>
      <c r="BP128" s="59"/>
      <c r="BQ128" s="59"/>
      <c r="BR128" s="59"/>
      <c r="BS128" s="59"/>
      <c r="BT128" s="59"/>
      <c r="BU128" s="59"/>
      <c r="BV128" s="59"/>
      <c r="BW128" s="59"/>
      <c r="BX128" s="59"/>
      <c r="BY128" s="59"/>
      <c r="BZ128" s="59"/>
    </row>
    <row r="129" spans="2:78" ht="15.95" hidden="1" customHeight="1">
      <c r="B129" s="929"/>
      <c r="C129" s="8"/>
      <c r="D129" s="8"/>
      <c r="E129" s="8"/>
      <c r="F129" s="8"/>
      <c r="G129" s="8"/>
      <c r="H129" s="8"/>
      <c r="I129" s="8"/>
      <c r="J129" s="8"/>
      <c r="K129" s="8"/>
      <c r="L129" s="8"/>
      <c r="M129" s="8"/>
      <c r="N129" s="8"/>
      <c r="O129" s="8"/>
      <c r="P129" s="8"/>
      <c r="Q129" s="8"/>
      <c r="R129" s="8"/>
      <c r="S129" s="8"/>
      <c r="T129" s="8"/>
      <c r="U129" s="8"/>
      <c r="V129" s="8"/>
      <c r="W129" s="8"/>
      <c r="X129" s="8"/>
      <c r="Y129" s="8"/>
      <c r="Z129" s="8"/>
      <c r="AA129" s="8"/>
      <c r="AB129" s="8"/>
      <c r="AC129" s="8"/>
      <c r="AD129" s="8"/>
      <c r="AE129" s="8"/>
      <c r="AF129" s="8"/>
      <c r="AG129" s="8"/>
      <c r="AH129" s="8"/>
      <c r="AI129" s="8"/>
      <c r="AJ129" s="8"/>
      <c r="AK129" s="8"/>
      <c r="AL129" s="8"/>
      <c r="AM129" s="8"/>
      <c r="AN129" s="8"/>
      <c r="AO129" s="8"/>
      <c r="AP129" s="8"/>
      <c r="AQ129" s="8"/>
      <c r="AS129" s="59"/>
      <c r="AT129" s="59"/>
      <c r="AU129" s="59"/>
      <c r="AV129" s="59"/>
      <c r="AW129" s="59"/>
      <c r="AX129" s="59"/>
      <c r="AY129" s="59"/>
      <c r="AZ129" s="59"/>
      <c r="BA129" s="59"/>
      <c r="BB129" s="59"/>
      <c r="BC129" s="59"/>
      <c r="BD129" s="59"/>
      <c r="BE129" s="59"/>
      <c r="BF129" s="59"/>
      <c r="BG129" s="59"/>
      <c r="BH129" s="59"/>
      <c r="BI129" s="59"/>
      <c r="BJ129" s="59"/>
      <c r="BK129" s="59"/>
      <c r="BL129" s="59"/>
      <c r="BM129" s="59"/>
      <c r="BN129" s="59"/>
      <c r="BO129" s="59"/>
      <c r="BP129" s="59"/>
      <c r="BQ129" s="59"/>
      <c r="BR129" s="59"/>
      <c r="BS129" s="59"/>
      <c r="BT129" s="59"/>
      <c r="BU129" s="59"/>
      <c r="BV129" s="59"/>
      <c r="BW129" s="59"/>
      <c r="BX129" s="59"/>
      <c r="BY129" s="59"/>
      <c r="BZ129" s="59"/>
    </row>
    <row r="130" spans="2:78" ht="15.95" hidden="1" customHeight="1">
      <c r="B130" s="929">
        <v>58</v>
      </c>
      <c r="C130" s="8"/>
      <c r="D130" s="8"/>
      <c r="E130" s="8"/>
      <c r="F130" s="8"/>
      <c r="G130" s="8"/>
      <c r="H130" s="8"/>
      <c r="I130" s="8"/>
      <c r="J130" s="8"/>
      <c r="K130" s="8"/>
      <c r="L130" s="8"/>
      <c r="M130" s="8"/>
      <c r="N130" s="8"/>
      <c r="O130" s="8"/>
      <c r="P130" s="8"/>
      <c r="Q130" s="8"/>
      <c r="R130" s="8"/>
      <c r="S130" s="8"/>
      <c r="T130" s="8"/>
      <c r="U130" s="8"/>
      <c r="V130" s="8"/>
      <c r="W130" s="8"/>
      <c r="X130" s="8"/>
      <c r="Y130" s="8"/>
      <c r="Z130" s="8"/>
      <c r="AA130" s="8"/>
      <c r="AB130" s="8"/>
      <c r="AC130" s="8"/>
      <c r="AD130" s="8"/>
      <c r="AE130" s="8"/>
      <c r="AF130" s="8"/>
      <c r="AG130" s="8"/>
      <c r="AH130" s="8"/>
      <c r="AI130" s="8"/>
      <c r="AJ130" s="8"/>
      <c r="AK130" s="8"/>
      <c r="AL130" s="8"/>
      <c r="AM130" s="8"/>
      <c r="AN130" s="8"/>
      <c r="AO130" s="8"/>
      <c r="AP130" s="8"/>
      <c r="AQ130" s="8"/>
      <c r="AS130" s="59"/>
      <c r="AT130" s="59"/>
      <c r="AU130" s="59"/>
      <c r="AV130" s="59"/>
      <c r="AW130" s="59"/>
      <c r="AX130" s="59"/>
      <c r="AY130" s="59"/>
      <c r="AZ130" s="59"/>
      <c r="BA130" s="59"/>
      <c r="BB130" s="59"/>
      <c r="BC130" s="59"/>
      <c r="BD130" s="59"/>
      <c r="BE130" s="59"/>
      <c r="BF130" s="59"/>
      <c r="BG130" s="59"/>
      <c r="BH130" s="59"/>
      <c r="BI130" s="59"/>
      <c r="BJ130" s="59"/>
      <c r="BK130" s="59"/>
      <c r="BL130" s="59"/>
      <c r="BM130" s="59"/>
      <c r="BN130" s="59"/>
      <c r="BO130" s="59"/>
      <c r="BP130" s="59"/>
      <c r="BQ130" s="59"/>
      <c r="BR130" s="59"/>
      <c r="BS130" s="59"/>
      <c r="BT130" s="59"/>
      <c r="BU130" s="59"/>
      <c r="BV130" s="59"/>
      <c r="BW130" s="59"/>
      <c r="BX130" s="59"/>
      <c r="BY130" s="59"/>
      <c r="BZ130" s="59"/>
    </row>
    <row r="131" spans="2:78" ht="15.95" hidden="1" customHeight="1">
      <c r="B131" s="929"/>
      <c r="C131" s="8"/>
      <c r="D131" s="8"/>
      <c r="E131" s="8"/>
      <c r="F131" s="8"/>
      <c r="G131" s="8"/>
      <c r="H131" s="8"/>
      <c r="I131" s="8"/>
      <c r="J131" s="8"/>
      <c r="K131" s="8"/>
      <c r="L131" s="8"/>
      <c r="M131" s="8"/>
      <c r="N131" s="8"/>
      <c r="O131" s="8"/>
      <c r="P131" s="8"/>
      <c r="Q131" s="8"/>
      <c r="R131" s="8"/>
      <c r="S131" s="8"/>
      <c r="T131" s="8"/>
      <c r="U131" s="8"/>
      <c r="V131" s="8"/>
      <c r="W131" s="8"/>
      <c r="X131" s="8"/>
      <c r="Y131" s="8"/>
      <c r="Z131" s="8"/>
      <c r="AA131" s="8"/>
      <c r="AB131" s="8"/>
      <c r="AC131" s="8"/>
      <c r="AD131" s="8"/>
      <c r="AE131" s="8"/>
      <c r="AF131" s="8"/>
      <c r="AG131" s="8"/>
      <c r="AH131" s="8"/>
      <c r="AI131" s="8"/>
      <c r="AJ131" s="8"/>
      <c r="AK131" s="8"/>
      <c r="AL131" s="8"/>
      <c r="AM131" s="8"/>
      <c r="AN131" s="8"/>
      <c r="AO131" s="8"/>
      <c r="AP131" s="8"/>
      <c r="AQ131" s="8"/>
      <c r="AS131" s="59"/>
      <c r="AT131" s="59"/>
      <c r="AU131" s="59"/>
      <c r="AV131" s="59"/>
      <c r="AW131" s="59"/>
      <c r="AX131" s="59"/>
      <c r="AY131" s="59"/>
      <c r="AZ131" s="59"/>
      <c r="BA131" s="59"/>
      <c r="BB131" s="59"/>
      <c r="BC131" s="59"/>
      <c r="BD131" s="59"/>
      <c r="BE131" s="59"/>
      <c r="BF131" s="59"/>
      <c r="BG131" s="59"/>
      <c r="BH131" s="59"/>
      <c r="BI131" s="59"/>
      <c r="BJ131" s="59"/>
      <c r="BK131" s="59"/>
      <c r="BL131" s="59"/>
      <c r="BM131" s="59"/>
      <c r="BN131" s="59"/>
      <c r="BO131" s="59"/>
      <c r="BP131" s="59"/>
      <c r="BQ131" s="59"/>
      <c r="BR131" s="59"/>
      <c r="BS131" s="59"/>
      <c r="BT131" s="59"/>
      <c r="BU131" s="59"/>
      <c r="BV131" s="59"/>
      <c r="BW131" s="59"/>
      <c r="BX131" s="59"/>
      <c r="BY131" s="59"/>
      <c r="BZ131" s="59"/>
    </row>
    <row r="132" spans="2:78" ht="15.95" hidden="1" customHeight="1">
      <c r="B132" s="929">
        <v>59</v>
      </c>
      <c r="C132" s="8"/>
      <c r="D132" s="8"/>
      <c r="E132" s="8"/>
      <c r="F132" s="8"/>
      <c r="G132" s="8"/>
      <c r="H132" s="8"/>
      <c r="I132" s="8"/>
      <c r="J132" s="8"/>
      <c r="K132" s="8"/>
      <c r="L132" s="8"/>
      <c r="M132" s="8"/>
      <c r="N132" s="8"/>
      <c r="O132" s="8"/>
      <c r="P132" s="8"/>
      <c r="Q132" s="8"/>
      <c r="R132" s="8"/>
      <c r="S132" s="8"/>
      <c r="T132" s="8"/>
      <c r="U132" s="8"/>
      <c r="V132" s="8"/>
      <c r="W132" s="8"/>
      <c r="X132" s="8"/>
      <c r="Y132" s="8"/>
      <c r="Z132" s="8"/>
      <c r="AA132" s="8"/>
      <c r="AB132" s="8"/>
      <c r="AC132" s="8"/>
      <c r="AD132" s="8"/>
      <c r="AE132" s="8"/>
      <c r="AF132" s="8"/>
      <c r="AG132" s="8"/>
      <c r="AH132" s="8"/>
      <c r="AI132" s="8"/>
      <c r="AJ132" s="8"/>
      <c r="AK132" s="8"/>
      <c r="AL132" s="8"/>
      <c r="AM132" s="8"/>
      <c r="AN132" s="8"/>
      <c r="AO132" s="8"/>
      <c r="AP132" s="8"/>
      <c r="AQ132" s="8"/>
      <c r="AS132" s="59"/>
      <c r="AT132" s="59"/>
      <c r="AU132" s="59"/>
      <c r="AV132" s="59"/>
      <c r="AW132" s="59"/>
      <c r="AX132" s="59"/>
      <c r="AY132" s="59"/>
      <c r="AZ132" s="59"/>
      <c r="BA132" s="59"/>
      <c r="BB132" s="59"/>
      <c r="BC132" s="59"/>
      <c r="BD132" s="59"/>
      <c r="BE132" s="59"/>
      <c r="BF132" s="59"/>
      <c r="BG132" s="59"/>
      <c r="BH132" s="59"/>
      <c r="BI132" s="59"/>
      <c r="BJ132" s="59"/>
      <c r="BK132" s="59"/>
      <c r="BL132" s="59"/>
      <c r="BM132" s="59"/>
      <c r="BN132" s="59"/>
      <c r="BO132" s="59"/>
      <c r="BP132" s="59"/>
      <c r="BQ132" s="59"/>
      <c r="BR132" s="59"/>
      <c r="BS132" s="59"/>
      <c r="BT132" s="59"/>
      <c r="BU132" s="59"/>
      <c r="BV132" s="59"/>
      <c r="BW132" s="59"/>
      <c r="BX132" s="59"/>
      <c r="BY132" s="59"/>
      <c r="BZ132" s="59"/>
    </row>
    <row r="133" spans="2:78" ht="15.95" hidden="1" customHeight="1">
      <c r="B133" s="929"/>
      <c r="C133" s="8"/>
      <c r="D133" s="8"/>
      <c r="E133" s="8"/>
      <c r="F133" s="8"/>
      <c r="G133" s="8"/>
      <c r="H133" s="8"/>
      <c r="I133" s="8"/>
      <c r="J133" s="8"/>
      <c r="K133" s="8"/>
      <c r="L133" s="8"/>
      <c r="M133" s="8"/>
      <c r="N133" s="8"/>
      <c r="O133" s="8"/>
      <c r="P133" s="8"/>
      <c r="Q133" s="8"/>
      <c r="R133" s="8"/>
      <c r="S133" s="8"/>
      <c r="T133" s="8"/>
      <c r="U133" s="8"/>
      <c r="V133" s="8"/>
      <c r="W133" s="8"/>
      <c r="X133" s="8"/>
      <c r="Y133" s="8"/>
      <c r="Z133" s="8"/>
      <c r="AA133" s="8"/>
      <c r="AB133" s="8"/>
      <c r="AC133" s="8"/>
      <c r="AD133" s="8"/>
      <c r="AE133" s="8"/>
      <c r="AF133" s="8"/>
      <c r="AG133" s="8"/>
      <c r="AH133" s="8"/>
      <c r="AI133" s="8"/>
      <c r="AJ133" s="8"/>
      <c r="AK133" s="8"/>
      <c r="AL133" s="8"/>
      <c r="AM133" s="8"/>
      <c r="AN133" s="8"/>
      <c r="AO133" s="8"/>
      <c r="AP133" s="8"/>
      <c r="AQ133" s="8"/>
      <c r="AS133" s="59"/>
      <c r="AT133" s="59"/>
      <c r="AU133" s="59"/>
      <c r="AV133" s="59"/>
      <c r="AW133" s="59"/>
      <c r="AX133" s="59"/>
      <c r="AY133" s="59"/>
      <c r="AZ133" s="59"/>
      <c r="BA133" s="59"/>
      <c r="BB133" s="59"/>
      <c r="BC133" s="59"/>
      <c r="BD133" s="59"/>
      <c r="BE133" s="59"/>
      <c r="BF133" s="59"/>
      <c r="BG133" s="59"/>
      <c r="BH133" s="59"/>
      <c r="BI133" s="59"/>
      <c r="BJ133" s="59"/>
      <c r="BK133" s="59"/>
      <c r="BL133" s="59"/>
      <c r="BM133" s="59"/>
      <c r="BN133" s="59"/>
      <c r="BO133" s="59"/>
      <c r="BP133" s="59"/>
      <c r="BQ133" s="59"/>
      <c r="BR133" s="59"/>
      <c r="BS133" s="59"/>
      <c r="BT133" s="59"/>
      <c r="BU133" s="59"/>
      <c r="BV133" s="59"/>
      <c r="BW133" s="59"/>
      <c r="BX133" s="59"/>
      <c r="BY133" s="59"/>
      <c r="BZ133" s="59"/>
    </row>
    <row r="134" spans="2:78" ht="15.95" hidden="1" customHeight="1">
      <c r="B134" s="929">
        <v>60</v>
      </c>
      <c r="C134" s="8"/>
      <c r="D134" s="8"/>
      <c r="E134" s="8"/>
      <c r="F134" s="8"/>
      <c r="G134" s="8"/>
      <c r="H134" s="8"/>
      <c r="I134" s="8"/>
      <c r="J134" s="8"/>
      <c r="K134" s="8"/>
      <c r="L134" s="8"/>
      <c r="M134" s="8"/>
      <c r="N134" s="8"/>
      <c r="O134" s="8"/>
      <c r="P134" s="8"/>
      <c r="Q134" s="8"/>
      <c r="R134" s="8"/>
      <c r="S134" s="8"/>
      <c r="T134" s="8"/>
      <c r="U134" s="8"/>
      <c r="V134" s="8"/>
      <c r="W134" s="8"/>
      <c r="X134" s="8"/>
      <c r="Y134" s="8"/>
      <c r="Z134" s="8"/>
      <c r="AA134" s="8"/>
      <c r="AB134" s="8"/>
      <c r="AC134" s="8"/>
      <c r="AD134" s="8"/>
      <c r="AE134" s="8"/>
      <c r="AF134" s="8"/>
      <c r="AG134" s="8"/>
      <c r="AH134" s="8"/>
      <c r="AI134" s="8"/>
      <c r="AJ134" s="8"/>
      <c r="AK134" s="8"/>
      <c r="AL134" s="8"/>
      <c r="AM134" s="8"/>
      <c r="AN134" s="8"/>
      <c r="AO134" s="8"/>
      <c r="AP134" s="8"/>
      <c r="AQ134" s="8"/>
      <c r="AS134" s="59"/>
      <c r="AT134" s="59"/>
      <c r="AU134" s="59"/>
      <c r="AV134" s="59"/>
      <c r="AW134" s="59"/>
      <c r="AX134" s="59"/>
      <c r="AY134" s="59"/>
      <c r="AZ134" s="59"/>
      <c r="BA134" s="59"/>
      <c r="BB134" s="59"/>
      <c r="BC134" s="59"/>
      <c r="BD134" s="59"/>
      <c r="BE134" s="59"/>
      <c r="BF134" s="59"/>
      <c r="BG134" s="59"/>
      <c r="BH134" s="59"/>
      <c r="BI134" s="59"/>
      <c r="BJ134" s="59"/>
      <c r="BK134" s="59"/>
      <c r="BL134" s="59"/>
      <c r="BM134" s="59"/>
      <c r="BN134" s="59"/>
      <c r="BO134" s="59"/>
      <c r="BP134" s="59"/>
      <c r="BQ134" s="59"/>
      <c r="BR134" s="59"/>
      <c r="BS134" s="59"/>
      <c r="BT134" s="59"/>
      <c r="BU134" s="59"/>
      <c r="BV134" s="59"/>
      <c r="BW134" s="59"/>
      <c r="BX134" s="59"/>
      <c r="BY134" s="59"/>
      <c r="BZ134" s="59"/>
    </row>
    <row r="135" spans="2:78" ht="15.95" hidden="1" customHeight="1">
      <c r="B135" s="929"/>
      <c r="C135" s="8"/>
      <c r="D135" s="8"/>
      <c r="E135" s="8"/>
      <c r="F135" s="8"/>
      <c r="G135" s="8"/>
      <c r="H135" s="8"/>
      <c r="I135" s="8"/>
      <c r="J135" s="8"/>
      <c r="K135" s="8"/>
      <c r="L135" s="8"/>
      <c r="M135" s="8"/>
      <c r="N135" s="8"/>
      <c r="O135" s="8"/>
      <c r="P135" s="8"/>
      <c r="Q135" s="8"/>
      <c r="R135" s="8"/>
      <c r="S135" s="8"/>
      <c r="T135" s="8"/>
      <c r="U135" s="8"/>
      <c r="V135" s="8"/>
      <c r="W135" s="8"/>
      <c r="X135" s="8"/>
      <c r="Y135" s="8"/>
      <c r="Z135" s="8"/>
      <c r="AA135" s="8"/>
      <c r="AB135" s="8"/>
      <c r="AC135" s="8"/>
      <c r="AD135" s="8"/>
      <c r="AE135" s="8"/>
      <c r="AF135" s="8"/>
      <c r="AG135" s="8"/>
      <c r="AH135" s="8"/>
      <c r="AI135" s="8"/>
      <c r="AJ135" s="8"/>
      <c r="AK135" s="8"/>
      <c r="AL135" s="8"/>
      <c r="AM135" s="8"/>
      <c r="AN135" s="8"/>
      <c r="AO135" s="8"/>
      <c r="AP135" s="8"/>
      <c r="AQ135" s="8"/>
      <c r="AS135" s="59"/>
      <c r="AT135" s="59"/>
      <c r="AU135" s="59"/>
      <c r="AV135" s="59"/>
      <c r="AW135" s="59"/>
      <c r="AX135" s="59"/>
      <c r="AY135" s="59"/>
      <c r="AZ135" s="59"/>
      <c r="BA135" s="59"/>
      <c r="BB135" s="59"/>
      <c r="BC135" s="59"/>
      <c r="BD135" s="59"/>
      <c r="BE135" s="59"/>
      <c r="BF135" s="59"/>
      <c r="BG135" s="59"/>
      <c r="BH135" s="59"/>
      <c r="BI135" s="59"/>
      <c r="BJ135" s="59"/>
      <c r="BK135" s="59"/>
      <c r="BL135" s="59"/>
      <c r="BM135" s="59"/>
      <c r="BN135" s="59"/>
      <c r="BO135" s="59"/>
      <c r="BP135" s="59"/>
      <c r="BQ135" s="59"/>
      <c r="BR135" s="59"/>
      <c r="BS135" s="59"/>
      <c r="BT135" s="59"/>
      <c r="BU135" s="59"/>
      <c r="BV135" s="59"/>
      <c r="BW135" s="59"/>
      <c r="BX135" s="59"/>
      <c r="BY135" s="59"/>
      <c r="BZ135" s="59"/>
    </row>
    <row r="136" spans="2:78" ht="15.95" hidden="1" customHeight="1">
      <c r="B136" s="929">
        <v>61</v>
      </c>
      <c r="C136" s="8"/>
      <c r="D136" s="8"/>
      <c r="E136" s="8"/>
      <c r="F136" s="8"/>
      <c r="G136" s="8"/>
      <c r="H136" s="8"/>
      <c r="I136" s="8"/>
      <c r="J136" s="8"/>
      <c r="K136" s="8"/>
      <c r="L136" s="8"/>
      <c r="M136" s="8"/>
      <c r="N136" s="8"/>
      <c r="O136" s="8"/>
      <c r="P136" s="8"/>
      <c r="Q136" s="8"/>
      <c r="R136" s="8"/>
      <c r="S136" s="8"/>
      <c r="T136" s="8"/>
      <c r="U136" s="8"/>
      <c r="V136" s="8"/>
      <c r="W136" s="8"/>
      <c r="X136" s="8"/>
      <c r="Y136" s="8"/>
      <c r="Z136" s="8"/>
      <c r="AA136" s="8"/>
      <c r="AB136" s="8"/>
      <c r="AC136" s="8"/>
      <c r="AD136" s="8"/>
      <c r="AE136" s="8"/>
      <c r="AF136" s="8"/>
      <c r="AG136" s="8"/>
      <c r="AH136" s="8"/>
      <c r="AI136" s="8"/>
      <c r="AJ136" s="8"/>
      <c r="AK136" s="8"/>
      <c r="AL136" s="8"/>
      <c r="AM136" s="8"/>
      <c r="AN136" s="8"/>
      <c r="AO136" s="8"/>
      <c r="AP136" s="8"/>
      <c r="AQ136" s="8"/>
      <c r="AS136" s="59"/>
      <c r="AT136" s="59"/>
      <c r="AU136" s="59"/>
      <c r="AV136" s="59"/>
      <c r="AW136" s="59"/>
      <c r="AX136" s="59"/>
      <c r="AY136" s="59"/>
      <c r="AZ136" s="59"/>
      <c r="BA136" s="59"/>
      <c r="BB136" s="59"/>
      <c r="BC136" s="59"/>
      <c r="BD136" s="59"/>
      <c r="BE136" s="59"/>
      <c r="BF136" s="59"/>
      <c r="BG136" s="59"/>
      <c r="BH136" s="59"/>
      <c r="BI136" s="59"/>
      <c r="BJ136" s="59"/>
      <c r="BK136" s="59"/>
      <c r="BL136" s="59"/>
      <c r="BM136" s="59"/>
      <c r="BN136" s="59"/>
      <c r="BO136" s="59"/>
      <c r="BP136" s="59"/>
      <c r="BQ136" s="59"/>
      <c r="BR136" s="59"/>
      <c r="BS136" s="59"/>
      <c r="BT136" s="59"/>
      <c r="BU136" s="59"/>
      <c r="BV136" s="59"/>
      <c r="BW136" s="59"/>
      <c r="BX136" s="59"/>
      <c r="BY136" s="59"/>
      <c r="BZ136" s="59"/>
    </row>
    <row r="137" spans="2:78" ht="15.95" hidden="1" customHeight="1">
      <c r="B137" s="929"/>
      <c r="C137" s="8"/>
      <c r="D137" s="8"/>
      <c r="E137" s="8"/>
      <c r="F137" s="8"/>
      <c r="G137" s="8"/>
      <c r="H137" s="8"/>
      <c r="I137" s="8"/>
      <c r="J137" s="8"/>
      <c r="K137" s="8"/>
      <c r="L137" s="8"/>
      <c r="M137" s="8"/>
      <c r="N137" s="8"/>
      <c r="O137" s="8"/>
      <c r="P137" s="8"/>
      <c r="Q137" s="8"/>
      <c r="R137" s="8"/>
      <c r="S137" s="8"/>
      <c r="T137" s="8"/>
      <c r="U137" s="8"/>
      <c r="V137" s="8"/>
      <c r="W137" s="8"/>
      <c r="X137" s="8"/>
      <c r="Y137" s="8"/>
      <c r="Z137" s="8"/>
      <c r="AA137" s="8"/>
      <c r="AB137" s="8"/>
      <c r="AC137" s="8"/>
      <c r="AD137" s="8"/>
      <c r="AE137" s="8"/>
      <c r="AF137" s="8"/>
      <c r="AG137" s="8"/>
      <c r="AH137" s="8"/>
      <c r="AI137" s="8"/>
      <c r="AJ137" s="8"/>
      <c r="AK137" s="8"/>
      <c r="AL137" s="8"/>
      <c r="AM137" s="8"/>
      <c r="AN137" s="8"/>
      <c r="AO137" s="8"/>
      <c r="AP137" s="8"/>
      <c r="AQ137" s="8"/>
      <c r="AS137" s="59"/>
      <c r="AT137" s="59"/>
      <c r="AU137" s="59"/>
      <c r="AV137" s="59"/>
      <c r="AW137" s="59"/>
      <c r="AX137" s="59"/>
      <c r="AY137" s="59"/>
      <c r="AZ137" s="59"/>
      <c r="BA137" s="59"/>
      <c r="BB137" s="59"/>
      <c r="BC137" s="59"/>
      <c r="BD137" s="59"/>
      <c r="BE137" s="59"/>
      <c r="BF137" s="59"/>
      <c r="BG137" s="59"/>
      <c r="BH137" s="59"/>
      <c r="BI137" s="59"/>
      <c r="BJ137" s="59"/>
      <c r="BK137" s="59"/>
      <c r="BL137" s="59"/>
      <c r="BM137" s="59"/>
      <c r="BN137" s="59"/>
      <c r="BO137" s="59"/>
      <c r="BP137" s="59"/>
      <c r="BQ137" s="59"/>
      <c r="BR137" s="59"/>
      <c r="BS137" s="59"/>
      <c r="BT137" s="59"/>
      <c r="BU137" s="59"/>
      <c r="BV137" s="59"/>
      <c r="BW137" s="59"/>
      <c r="BX137" s="59"/>
      <c r="BY137" s="59"/>
      <c r="BZ137" s="59"/>
    </row>
    <row r="138" spans="2:78" ht="15.95" hidden="1" customHeight="1">
      <c r="B138" s="929">
        <v>62</v>
      </c>
      <c r="C138" s="8"/>
      <c r="D138" s="8"/>
      <c r="E138" s="8"/>
      <c r="F138" s="8"/>
      <c r="G138" s="8"/>
      <c r="H138" s="8"/>
      <c r="I138" s="8"/>
      <c r="J138" s="8"/>
      <c r="K138" s="8"/>
      <c r="L138" s="8"/>
      <c r="M138" s="8"/>
      <c r="N138" s="8"/>
      <c r="O138" s="8"/>
      <c r="P138" s="8"/>
      <c r="Q138" s="8"/>
      <c r="R138" s="8"/>
      <c r="S138" s="8"/>
      <c r="T138" s="8"/>
      <c r="U138" s="8"/>
      <c r="V138" s="8"/>
      <c r="W138" s="8"/>
      <c r="X138" s="8"/>
      <c r="Y138" s="8"/>
      <c r="Z138" s="8"/>
      <c r="AA138" s="8"/>
      <c r="AB138" s="8"/>
      <c r="AC138" s="8"/>
      <c r="AD138" s="8"/>
      <c r="AE138" s="8"/>
      <c r="AF138" s="8"/>
      <c r="AG138" s="8"/>
      <c r="AH138" s="8"/>
      <c r="AI138" s="8"/>
      <c r="AJ138" s="8"/>
      <c r="AK138" s="8"/>
      <c r="AL138" s="8"/>
      <c r="AM138" s="8"/>
      <c r="AN138" s="8"/>
      <c r="AO138" s="8"/>
      <c r="AP138" s="8"/>
      <c r="AQ138" s="8"/>
      <c r="AS138" s="59"/>
      <c r="AT138" s="59"/>
      <c r="AU138" s="59"/>
      <c r="AV138" s="59"/>
      <c r="AW138" s="59"/>
      <c r="AX138" s="59"/>
      <c r="AY138" s="59"/>
      <c r="AZ138" s="59"/>
      <c r="BA138" s="59"/>
      <c r="BB138" s="59"/>
      <c r="BC138" s="59"/>
      <c r="BD138" s="59"/>
      <c r="BE138" s="59"/>
      <c r="BF138" s="59"/>
      <c r="BG138" s="59"/>
      <c r="BH138" s="59"/>
      <c r="BI138" s="59"/>
      <c r="BJ138" s="59"/>
      <c r="BK138" s="59"/>
      <c r="BL138" s="59"/>
      <c r="BM138" s="59"/>
      <c r="BN138" s="59"/>
      <c r="BO138" s="59"/>
      <c r="BP138" s="59"/>
      <c r="BQ138" s="59"/>
      <c r="BR138" s="59"/>
      <c r="BS138" s="59"/>
      <c r="BT138" s="59"/>
      <c r="BU138" s="59"/>
      <c r="BV138" s="59"/>
      <c r="BW138" s="59"/>
      <c r="BX138" s="59"/>
      <c r="BY138" s="59"/>
      <c r="BZ138" s="59"/>
    </row>
    <row r="139" spans="2:78" ht="15.95" hidden="1" customHeight="1">
      <c r="B139" s="929"/>
      <c r="C139" s="8"/>
      <c r="D139" s="8"/>
      <c r="E139" s="8"/>
      <c r="F139" s="8"/>
      <c r="G139" s="8"/>
      <c r="H139" s="8"/>
      <c r="I139" s="8"/>
      <c r="J139" s="8"/>
      <c r="K139" s="8"/>
      <c r="L139" s="8"/>
      <c r="M139" s="8"/>
      <c r="N139" s="8"/>
      <c r="O139" s="8"/>
      <c r="P139" s="8"/>
      <c r="Q139" s="8"/>
      <c r="R139" s="8"/>
      <c r="S139" s="8"/>
      <c r="T139" s="8"/>
      <c r="U139" s="8"/>
      <c r="V139" s="8"/>
      <c r="W139" s="8"/>
      <c r="X139" s="8"/>
      <c r="Y139" s="8"/>
      <c r="Z139" s="8"/>
      <c r="AA139" s="8"/>
      <c r="AB139" s="8"/>
      <c r="AC139" s="8"/>
      <c r="AD139" s="8"/>
      <c r="AE139" s="8"/>
      <c r="AF139" s="8"/>
      <c r="AG139" s="8"/>
      <c r="AH139" s="8"/>
      <c r="AI139" s="8"/>
      <c r="AJ139" s="8"/>
      <c r="AK139" s="8"/>
      <c r="AL139" s="8"/>
      <c r="AM139" s="8"/>
      <c r="AN139" s="8"/>
      <c r="AO139" s="8"/>
      <c r="AP139" s="8"/>
      <c r="AQ139" s="8"/>
      <c r="AS139" s="59"/>
      <c r="AT139" s="59"/>
      <c r="AU139" s="59"/>
      <c r="AV139" s="59"/>
      <c r="AW139" s="59"/>
      <c r="AX139" s="59"/>
      <c r="AY139" s="59"/>
      <c r="AZ139" s="59"/>
      <c r="BA139" s="59"/>
      <c r="BB139" s="59"/>
      <c r="BC139" s="59"/>
      <c r="BD139" s="59"/>
      <c r="BE139" s="59"/>
      <c r="BF139" s="59"/>
      <c r="BG139" s="59"/>
      <c r="BH139" s="59"/>
      <c r="BI139" s="59"/>
      <c r="BJ139" s="59"/>
      <c r="BK139" s="59"/>
      <c r="BL139" s="59"/>
      <c r="BM139" s="59"/>
      <c r="BN139" s="59"/>
      <c r="BO139" s="59"/>
      <c r="BP139" s="59"/>
      <c r="BQ139" s="59"/>
      <c r="BR139" s="59"/>
      <c r="BS139" s="59"/>
      <c r="BT139" s="59"/>
      <c r="BU139" s="59"/>
      <c r="BV139" s="59"/>
      <c r="BW139" s="59"/>
      <c r="BX139" s="59"/>
      <c r="BY139" s="59"/>
      <c r="BZ139" s="59"/>
    </row>
    <row r="140" spans="2:78" ht="15.95" hidden="1" customHeight="1">
      <c r="B140" s="929">
        <v>63</v>
      </c>
      <c r="C140" s="8"/>
      <c r="D140" s="8"/>
      <c r="E140" s="8"/>
      <c r="F140" s="8"/>
      <c r="G140" s="8"/>
      <c r="H140" s="8"/>
      <c r="I140" s="8"/>
      <c r="J140" s="8"/>
      <c r="K140" s="8"/>
      <c r="L140" s="8"/>
      <c r="M140" s="8"/>
      <c r="N140" s="8"/>
      <c r="O140" s="8"/>
      <c r="P140" s="8"/>
      <c r="Q140" s="8"/>
      <c r="R140" s="8"/>
      <c r="S140" s="8"/>
      <c r="T140" s="8"/>
      <c r="U140" s="8"/>
      <c r="V140" s="8"/>
      <c r="W140" s="8"/>
      <c r="X140" s="8"/>
      <c r="Y140" s="8"/>
      <c r="Z140" s="8"/>
      <c r="AA140" s="8"/>
      <c r="AB140" s="8"/>
      <c r="AC140" s="8"/>
      <c r="AD140" s="8"/>
      <c r="AE140" s="8"/>
      <c r="AF140" s="8"/>
      <c r="AG140" s="8"/>
      <c r="AH140" s="8"/>
      <c r="AI140" s="8"/>
      <c r="AJ140" s="8"/>
      <c r="AK140" s="8"/>
      <c r="AL140" s="8"/>
      <c r="AM140" s="8"/>
      <c r="AN140" s="8"/>
      <c r="AO140" s="8"/>
      <c r="AP140" s="8"/>
      <c r="AQ140" s="8"/>
      <c r="AS140" s="59"/>
      <c r="AT140" s="59"/>
      <c r="AU140" s="59"/>
      <c r="AV140" s="59"/>
      <c r="AW140" s="59"/>
      <c r="AX140" s="59"/>
      <c r="AY140" s="59"/>
      <c r="AZ140" s="59"/>
      <c r="BA140" s="59"/>
      <c r="BB140" s="59"/>
      <c r="BC140" s="59"/>
      <c r="BD140" s="59"/>
      <c r="BE140" s="59"/>
      <c r="BF140" s="59"/>
      <c r="BG140" s="59"/>
      <c r="BH140" s="59"/>
      <c r="BI140" s="59"/>
      <c r="BJ140" s="59"/>
      <c r="BK140" s="59"/>
      <c r="BL140" s="59"/>
      <c r="BM140" s="59"/>
      <c r="BN140" s="59"/>
      <c r="BO140" s="59"/>
      <c r="BP140" s="59"/>
      <c r="BQ140" s="59"/>
      <c r="BR140" s="59"/>
      <c r="BS140" s="59"/>
      <c r="BT140" s="59"/>
      <c r="BU140" s="59"/>
      <c r="BV140" s="59"/>
      <c r="BW140" s="59"/>
      <c r="BX140" s="59"/>
      <c r="BY140" s="59"/>
      <c r="BZ140" s="59"/>
    </row>
    <row r="141" spans="2:78" ht="15.95" hidden="1" customHeight="1">
      <c r="B141" s="929"/>
      <c r="C141" s="8"/>
      <c r="D141" s="8"/>
      <c r="E141" s="8"/>
      <c r="F141" s="8"/>
      <c r="G141" s="8"/>
      <c r="H141" s="8"/>
      <c r="I141" s="8"/>
      <c r="J141" s="8"/>
      <c r="K141" s="8"/>
      <c r="L141" s="8"/>
      <c r="M141" s="8"/>
      <c r="N141" s="8"/>
      <c r="O141" s="8"/>
      <c r="P141" s="8"/>
      <c r="Q141" s="8"/>
      <c r="R141" s="8"/>
      <c r="S141" s="8"/>
      <c r="T141" s="8"/>
      <c r="U141" s="8"/>
      <c r="V141" s="8"/>
      <c r="W141" s="8"/>
      <c r="X141" s="8"/>
      <c r="Y141" s="8"/>
      <c r="Z141" s="8"/>
      <c r="AA141" s="8"/>
      <c r="AB141" s="8"/>
      <c r="AC141" s="8"/>
      <c r="AD141" s="8"/>
      <c r="AE141" s="8"/>
      <c r="AF141" s="8"/>
      <c r="AG141" s="8"/>
      <c r="AH141" s="8"/>
      <c r="AI141" s="8"/>
      <c r="AJ141" s="8"/>
      <c r="AK141" s="8"/>
      <c r="AL141" s="8"/>
      <c r="AM141" s="8"/>
      <c r="AN141" s="8"/>
      <c r="AO141" s="8"/>
      <c r="AP141" s="8"/>
      <c r="AQ141" s="8"/>
      <c r="AS141" s="59"/>
      <c r="AT141" s="59"/>
      <c r="AU141" s="59"/>
      <c r="AV141" s="59"/>
      <c r="AW141" s="59"/>
      <c r="AX141" s="59"/>
      <c r="AY141" s="59"/>
      <c r="AZ141" s="59"/>
      <c r="BA141" s="59"/>
      <c r="BB141" s="59"/>
      <c r="BC141" s="59"/>
      <c r="BD141" s="59"/>
      <c r="BE141" s="59"/>
      <c r="BF141" s="59"/>
      <c r="BG141" s="59"/>
      <c r="BH141" s="59"/>
      <c r="BI141" s="59"/>
      <c r="BJ141" s="59"/>
      <c r="BK141" s="59"/>
      <c r="BL141" s="59"/>
      <c r="BM141" s="59"/>
      <c r="BN141" s="59"/>
      <c r="BO141" s="59"/>
      <c r="BP141" s="59"/>
      <c r="BQ141" s="59"/>
      <c r="BR141" s="59"/>
      <c r="BS141" s="59"/>
      <c r="BT141" s="59"/>
      <c r="BU141" s="59"/>
      <c r="BV141" s="59"/>
      <c r="BW141" s="59"/>
      <c r="BX141" s="59"/>
      <c r="BY141" s="59"/>
      <c r="BZ141" s="59"/>
    </row>
    <row r="142" spans="2:78" ht="15.95" hidden="1" customHeight="1">
      <c r="B142" s="929">
        <v>64</v>
      </c>
      <c r="C142" s="8"/>
      <c r="D142" s="8"/>
      <c r="E142" s="8"/>
      <c r="F142" s="8"/>
      <c r="G142" s="8"/>
      <c r="H142" s="8"/>
      <c r="I142" s="8"/>
      <c r="J142" s="8"/>
      <c r="K142" s="8"/>
      <c r="L142" s="8"/>
      <c r="M142" s="8"/>
      <c r="N142" s="8"/>
      <c r="O142" s="8"/>
      <c r="P142" s="8"/>
      <c r="Q142" s="8"/>
      <c r="R142" s="8"/>
      <c r="S142" s="8"/>
      <c r="T142" s="8"/>
      <c r="U142" s="8"/>
      <c r="V142" s="8"/>
      <c r="W142" s="8"/>
      <c r="X142" s="8"/>
      <c r="Y142" s="8"/>
      <c r="Z142" s="8"/>
      <c r="AA142" s="8"/>
      <c r="AB142" s="8"/>
      <c r="AC142" s="8"/>
      <c r="AD142" s="8"/>
      <c r="AE142" s="8"/>
      <c r="AF142" s="8"/>
      <c r="AG142" s="8"/>
      <c r="AH142" s="8"/>
      <c r="AI142" s="8"/>
      <c r="AJ142" s="8"/>
      <c r="AK142" s="8"/>
      <c r="AL142" s="8"/>
      <c r="AM142" s="8"/>
      <c r="AN142" s="8"/>
      <c r="AO142" s="8"/>
      <c r="AP142" s="8"/>
      <c r="AQ142" s="8"/>
      <c r="AS142" s="59"/>
      <c r="AT142" s="59"/>
      <c r="AU142" s="59"/>
      <c r="AV142" s="59"/>
      <c r="AW142" s="59"/>
      <c r="AX142" s="59"/>
      <c r="AY142" s="59"/>
      <c r="AZ142" s="59"/>
      <c r="BA142" s="59"/>
      <c r="BB142" s="59"/>
      <c r="BC142" s="59"/>
      <c r="BD142" s="59"/>
      <c r="BE142" s="59"/>
      <c r="BF142" s="59"/>
      <c r="BG142" s="59"/>
      <c r="BH142" s="59"/>
      <c r="BI142" s="59"/>
      <c r="BJ142" s="59"/>
      <c r="BK142" s="59"/>
      <c r="BL142" s="59"/>
      <c r="BM142" s="59"/>
      <c r="BN142" s="59"/>
      <c r="BO142" s="59"/>
      <c r="BP142" s="59"/>
      <c r="BQ142" s="59"/>
      <c r="BR142" s="59"/>
      <c r="BS142" s="59"/>
      <c r="BT142" s="59"/>
      <c r="BU142" s="59"/>
      <c r="BV142" s="59"/>
      <c r="BW142" s="59"/>
      <c r="BX142" s="59"/>
      <c r="BY142" s="59"/>
      <c r="BZ142" s="59"/>
    </row>
    <row r="143" spans="2:78" ht="15.95" hidden="1" customHeight="1">
      <c r="B143" s="929"/>
      <c r="C143" s="8"/>
      <c r="D143" s="8"/>
      <c r="E143" s="8"/>
      <c r="F143" s="8"/>
      <c r="G143" s="8"/>
      <c r="H143" s="8"/>
      <c r="I143" s="8"/>
      <c r="J143" s="8"/>
      <c r="K143" s="8"/>
      <c r="L143" s="8"/>
      <c r="M143" s="8"/>
      <c r="N143" s="8"/>
      <c r="O143" s="8"/>
      <c r="P143" s="8"/>
      <c r="Q143" s="8"/>
      <c r="R143" s="8"/>
      <c r="S143" s="8"/>
      <c r="T143" s="8"/>
      <c r="U143" s="8"/>
      <c r="V143" s="8"/>
      <c r="W143" s="8"/>
      <c r="X143" s="8"/>
      <c r="Y143" s="8"/>
      <c r="Z143" s="8"/>
      <c r="AA143" s="8"/>
      <c r="AB143" s="8"/>
      <c r="AC143" s="8"/>
      <c r="AD143" s="8"/>
      <c r="AE143" s="8"/>
      <c r="AF143" s="8"/>
      <c r="AG143" s="8"/>
      <c r="AH143" s="8"/>
      <c r="AI143" s="8"/>
      <c r="AJ143" s="8"/>
      <c r="AK143" s="8"/>
      <c r="AL143" s="8"/>
      <c r="AM143" s="8"/>
      <c r="AN143" s="8"/>
      <c r="AO143" s="8"/>
      <c r="AP143" s="8"/>
      <c r="AQ143" s="8"/>
      <c r="AS143" s="59"/>
      <c r="AT143" s="59"/>
      <c r="AU143" s="59"/>
      <c r="AV143" s="59"/>
      <c r="AW143" s="59"/>
      <c r="AX143" s="59"/>
      <c r="AY143" s="59"/>
      <c r="AZ143" s="59"/>
      <c r="BA143" s="59"/>
      <c r="BB143" s="59"/>
      <c r="BC143" s="59"/>
      <c r="BD143" s="59"/>
      <c r="BE143" s="59"/>
      <c r="BF143" s="59"/>
      <c r="BG143" s="59"/>
      <c r="BH143" s="59"/>
      <c r="BI143" s="59"/>
      <c r="BJ143" s="59"/>
      <c r="BK143" s="59"/>
      <c r="BL143" s="59"/>
      <c r="BM143" s="59"/>
      <c r="BN143" s="59"/>
      <c r="BO143" s="59"/>
      <c r="BP143" s="59"/>
      <c r="BQ143" s="59"/>
      <c r="BR143" s="59"/>
      <c r="BS143" s="59"/>
      <c r="BT143" s="59"/>
      <c r="BU143" s="59"/>
      <c r="BV143" s="59"/>
      <c r="BW143" s="59"/>
      <c r="BX143" s="59"/>
      <c r="BY143" s="59"/>
      <c r="BZ143" s="59"/>
    </row>
    <row r="144" spans="2:78" ht="15.95" hidden="1" customHeight="1">
      <c r="B144" s="929">
        <v>65</v>
      </c>
      <c r="C144" s="8"/>
      <c r="D144" s="8"/>
      <c r="E144" s="8"/>
      <c r="F144" s="8"/>
      <c r="G144" s="8"/>
      <c r="H144" s="8"/>
      <c r="I144" s="8"/>
      <c r="J144" s="8"/>
      <c r="K144" s="8"/>
      <c r="L144" s="8"/>
      <c r="M144" s="8"/>
      <c r="N144" s="8"/>
      <c r="O144" s="8"/>
      <c r="P144" s="8"/>
      <c r="Q144" s="8"/>
      <c r="R144" s="8"/>
      <c r="S144" s="8"/>
      <c r="T144" s="8"/>
      <c r="U144" s="8"/>
      <c r="V144" s="8"/>
      <c r="W144" s="8"/>
      <c r="X144" s="8"/>
      <c r="Y144" s="8"/>
      <c r="Z144" s="8"/>
      <c r="AA144" s="8"/>
      <c r="AB144" s="8"/>
      <c r="AC144" s="8"/>
      <c r="AD144" s="8"/>
      <c r="AE144" s="8"/>
      <c r="AF144" s="8"/>
      <c r="AG144" s="8"/>
      <c r="AH144" s="8"/>
      <c r="AI144" s="8"/>
      <c r="AJ144" s="8"/>
      <c r="AK144" s="8"/>
      <c r="AL144" s="8"/>
      <c r="AM144" s="8"/>
      <c r="AN144" s="8"/>
      <c r="AO144" s="8"/>
      <c r="AP144" s="8"/>
      <c r="AQ144" s="8"/>
      <c r="AS144" s="59"/>
      <c r="AT144" s="59"/>
      <c r="AU144" s="59"/>
      <c r="AV144" s="59"/>
      <c r="AW144" s="59"/>
      <c r="AX144" s="59"/>
      <c r="AY144" s="59"/>
      <c r="AZ144" s="59"/>
      <c r="BA144" s="59"/>
      <c r="BB144" s="59"/>
      <c r="BC144" s="59"/>
      <c r="BD144" s="59"/>
      <c r="BE144" s="59"/>
      <c r="BF144" s="59"/>
      <c r="BG144" s="59"/>
      <c r="BH144" s="59"/>
      <c r="BI144" s="59"/>
      <c r="BJ144" s="59"/>
      <c r="BK144" s="59"/>
      <c r="BL144" s="59"/>
      <c r="BM144" s="59"/>
      <c r="BN144" s="59"/>
      <c r="BO144" s="59"/>
      <c r="BP144" s="59"/>
      <c r="BQ144" s="59"/>
      <c r="BR144" s="59"/>
      <c r="BS144" s="59"/>
      <c r="BT144" s="59"/>
      <c r="BU144" s="59"/>
      <c r="BV144" s="59"/>
      <c r="BW144" s="59"/>
      <c r="BX144" s="59"/>
      <c r="BY144" s="59"/>
      <c r="BZ144" s="59"/>
    </row>
    <row r="145" spans="2:78" ht="15.95" hidden="1" customHeight="1">
      <c r="B145" s="929"/>
      <c r="C145" s="8"/>
      <c r="D145" s="8"/>
      <c r="E145" s="8"/>
      <c r="F145" s="8"/>
      <c r="G145" s="8"/>
      <c r="H145" s="8"/>
      <c r="I145" s="8"/>
      <c r="J145" s="8"/>
      <c r="K145" s="8"/>
      <c r="L145" s="8"/>
      <c r="M145" s="8"/>
      <c r="N145" s="8"/>
      <c r="O145" s="8"/>
      <c r="P145" s="8"/>
      <c r="Q145" s="8"/>
      <c r="R145" s="8"/>
      <c r="S145" s="8"/>
      <c r="T145" s="8"/>
      <c r="U145" s="8"/>
      <c r="V145" s="8"/>
      <c r="W145" s="8"/>
      <c r="X145" s="8"/>
      <c r="Y145" s="8"/>
      <c r="Z145" s="8"/>
      <c r="AA145" s="8"/>
      <c r="AB145" s="8"/>
      <c r="AC145" s="8"/>
      <c r="AD145" s="8"/>
      <c r="AE145" s="8"/>
      <c r="AF145" s="8"/>
      <c r="AG145" s="8"/>
      <c r="AH145" s="8"/>
      <c r="AI145" s="8"/>
      <c r="AJ145" s="8"/>
      <c r="AK145" s="8"/>
      <c r="AL145" s="8"/>
      <c r="AM145" s="8"/>
      <c r="AN145" s="8"/>
      <c r="AO145" s="8"/>
      <c r="AP145" s="8"/>
      <c r="AQ145" s="8"/>
      <c r="AS145" s="59"/>
      <c r="AT145" s="59"/>
      <c r="AU145" s="59"/>
      <c r="AV145" s="59"/>
      <c r="AW145" s="59"/>
      <c r="AX145" s="59"/>
      <c r="AY145" s="59"/>
      <c r="AZ145" s="59"/>
      <c r="BA145" s="59"/>
      <c r="BB145" s="59"/>
      <c r="BC145" s="59"/>
      <c r="BD145" s="59"/>
      <c r="BE145" s="59"/>
      <c r="BF145" s="59"/>
      <c r="BG145" s="59"/>
      <c r="BH145" s="59"/>
      <c r="BI145" s="59"/>
      <c r="BJ145" s="59"/>
      <c r="BK145" s="59"/>
      <c r="BL145" s="59"/>
      <c r="BM145" s="59"/>
      <c r="BN145" s="59"/>
      <c r="BO145" s="59"/>
      <c r="BP145" s="59"/>
      <c r="BQ145" s="59"/>
      <c r="BR145" s="59"/>
      <c r="BS145" s="59"/>
      <c r="BT145" s="59"/>
      <c r="BU145" s="59"/>
      <c r="BV145" s="59"/>
      <c r="BW145" s="59"/>
      <c r="BX145" s="59"/>
      <c r="BY145" s="59"/>
      <c r="BZ145" s="59"/>
    </row>
    <row r="146" spans="2:78" ht="15.95" hidden="1" customHeight="1">
      <c r="B146" s="929">
        <v>66</v>
      </c>
      <c r="C146" s="8"/>
      <c r="D146" s="8"/>
      <c r="E146" s="8"/>
      <c r="F146" s="8"/>
      <c r="G146" s="8"/>
      <c r="H146" s="8"/>
      <c r="I146" s="8"/>
      <c r="J146" s="8"/>
      <c r="K146" s="8"/>
      <c r="L146" s="8"/>
      <c r="M146" s="8"/>
      <c r="N146" s="8"/>
      <c r="O146" s="8"/>
      <c r="P146" s="8"/>
      <c r="Q146" s="8"/>
      <c r="R146" s="8"/>
      <c r="S146" s="8"/>
      <c r="T146" s="8"/>
      <c r="U146" s="8"/>
      <c r="V146" s="8"/>
      <c r="W146" s="8"/>
      <c r="X146" s="8"/>
      <c r="Y146" s="8"/>
      <c r="Z146" s="8"/>
      <c r="AA146" s="8"/>
      <c r="AB146" s="8"/>
      <c r="AC146" s="8"/>
      <c r="AD146" s="8"/>
      <c r="AE146" s="8"/>
      <c r="AF146" s="8"/>
      <c r="AG146" s="8"/>
      <c r="AH146" s="8"/>
      <c r="AI146" s="8"/>
      <c r="AJ146" s="8"/>
      <c r="AK146" s="8"/>
      <c r="AL146" s="8"/>
      <c r="AM146" s="8"/>
      <c r="AN146" s="8"/>
      <c r="AO146" s="8"/>
      <c r="AP146" s="8"/>
      <c r="AQ146" s="8"/>
      <c r="AS146" s="59"/>
      <c r="AT146" s="59"/>
      <c r="AU146" s="59"/>
      <c r="AV146" s="59"/>
      <c r="AW146" s="59"/>
      <c r="AX146" s="59"/>
      <c r="AY146" s="59"/>
      <c r="AZ146" s="59"/>
      <c r="BA146" s="59"/>
      <c r="BB146" s="59"/>
      <c r="BC146" s="59"/>
      <c r="BD146" s="59"/>
      <c r="BE146" s="59"/>
      <c r="BF146" s="59"/>
      <c r="BG146" s="59"/>
      <c r="BH146" s="59"/>
      <c r="BI146" s="59"/>
      <c r="BJ146" s="59"/>
      <c r="BK146" s="59"/>
      <c r="BL146" s="59"/>
      <c r="BM146" s="59"/>
      <c r="BN146" s="59"/>
      <c r="BO146" s="59"/>
      <c r="BP146" s="59"/>
      <c r="BQ146" s="59"/>
      <c r="BR146" s="59"/>
      <c r="BS146" s="59"/>
      <c r="BT146" s="59"/>
      <c r="BU146" s="59"/>
      <c r="BV146" s="59"/>
      <c r="BW146" s="59"/>
      <c r="BX146" s="59"/>
      <c r="BY146" s="59"/>
      <c r="BZ146" s="59"/>
    </row>
    <row r="147" spans="2:78" ht="15.95" hidden="1" customHeight="1">
      <c r="B147" s="929"/>
      <c r="C147" s="8"/>
      <c r="D147" s="8"/>
      <c r="E147" s="8"/>
      <c r="F147" s="8"/>
      <c r="G147" s="8"/>
      <c r="H147" s="8"/>
      <c r="I147" s="8"/>
      <c r="J147" s="8"/>
      <c r="K147" s="8"/>
      <c r="L147" s="8"/>
      <c r="M147" s="8"/>
      <c r="N147" s="8"/>
      <c r="O147" s="8"/>
      <c r="P147" s="8"/>
      <c r="Q147" s="8"/>
      <c r="R147" s="8"/>
      <c r="S147" s="8"/>
      <c r="T147" s="8"/>
      <c r="U147" s="8"/>
      <c r="V147" s="8"/>
      <c r="W147" s="8"/>
      <c r="X147" s="8"/>
      <c r="Y147" s="8"/>
      <c r="Z147" s="8"/>
      <c r="AA147" s="8"/>
      <c r="AB147" s="8"/>
      <c r="AC147" s="8"/>
      <c r="AD147" s="8"/>
      <c r="AE147" s="8"/>
      <c r="AF147" s="8"/>
      <c r="AG147" s="8"/>
      <c r="AH147" s="8"/>
      <c r="AI147" s="8"/>
      <c r="AJ147" s="8"/>
      <c r="AK147" s="8"/>
      <c r="AL147" s="8"/>
      <c r="AM147" s="8"/>
      <c r="AN147" s="8"/>
      <c r="AO147" s="8"/>
      <c r="AP147" s="8"/>
      <c r="AQ147" s="8"/>
      <c r="AS147" s="59"/>
      <c r="AT147" s="59"/>
      <c r="AU147" s="59"/>
      <c r="AV147" s="59"/>
      <c r="AW147" s="59"/>
      <c r="AX147" s="59"/>
      <c r="AY147" s="59"/>
      <c r="AZ147" s="59"/>
      <c r="BA147" s="59"/>
      <c r="BB147" s="59"/>
      <c r="BC147" s="59"/>
      <c r="BD147" s="59"/>
      <c r="BE147" s="59"/>
      <c r="BF147" s="59"/>
      <c r="BG147" s="59"/>
      <c r="BH147" s="59"/>
      <c r="BI147" s="59"/>
      <c r="BJ147" s="59"/>
      <c r="BK147" s="59"/>
      <c r="BL147" s="59"/>
      <c r="BM147" s="59"/>
      <c r="BN147" s="59"/>
      <c r="BO147" s="59"/>
      <c r="BP147" s="59"/>
      <c r="BQ147" s="59"/>
      <c r="BR147" s="59"/>
      <c r="BS147" s="59"/>
      <c r="BT147" s="59"/>
      <c r="BU147" s="59"/>
      <c r="BV147" s="59"/>
      <c r="BW147" s="59"/>
      <c r="BX147" s="59"/>
      <c r="BY147" s="59"/>
      <c r="BZ147" s="59"/>
    </row>
    <row r="148" spans="2:78" ht="15.95" hidden="1" customHeight="1">
      <c r="B148" s="929">
        <v>67</v>
      </c>
      <c r="C148" s="8"/>
      <c r="D148" s="8"/>
      <c r="E148" s="8"/>
      <c r="F148" s="8"/>
      <c r="G148" s="8"/>
      <c r="H148" s="8"/>
      <c r="I148" s="8"/>
      <c r="J148" s="8"/>
      <c r="K148" s="8"/>
      <c r="L148" s="8"/>
      <c r="M148" s="8"/>
      <c r="N148" s="8"/>
      <c r="O148" s="8"/>
      <c r="P148" s="8"/>
      <c r="Q148" s="8"/>
      <c r="R148" s="8"/>
      <c r="S148" s="8"/>
      <c r="T148" s="8"/>
      <c r="U148" s="8"/>
      <c r="V148" s="8"/>
      <c r="W148" s="8"/>
      <c r="X148" s="8"/>
      <c r="Y148" s="8"/>
      <c r="Z148" s="8"/>
      <c r="AA148" s="8"/>
      <c r="AB148" s="8"/>
      <c r="AC148" s="8"/>
      <c r="AD148" s="8"/>
      <c r="AE148" s="8"/>
      <c r="AF148" s="8"/>
      <c r="AG148" s="8"/>
      <c r="AH148" s="8"/>
      <c r="AI148" s="8"/>
      <c r="AJ148" s="8"/>
      <c r="AK148" s="8"/>
      <c r="AL148" s="8"/>
      <c r="AM148" s="8"/>
      <c r="AN148" s="8"/>
      <c r="AO148" s="8"/>
      <c r="AP148" s="8"/>
      <c r="AQ148" s="8"/>
      <c r="AS148" s="59"/>
      <c r="AT148" s="59"/>
      <c r="AU148" s="59"/>
      <c r="AV148" s="59"/>
      <c r="AW148" s="59"/>
      <c r="AX148" s="59"/>
      <c r="AY148" s="59"/>
      <c r="AZ148" s="59"/>
      <c r="BA148" s="59"/>
      <c r="BB148" s="59"/>
      <c r="BC148" s="59"/>
      <c r="BD148" s="59"/>
      <c r="BE148" s="59"/>
      <c r="BF148" s="59"/>
      <c r="BG148" s="59"/>
      <c r="BH148" s="59"/>
      <c r="BI148" s="59"/>
      <c r="BJ148" s="59"/>
      <c r="BK148" s="59"/>
      <c r="BL148" s="59"/>
      <c r="BM148" s="59"/>
      <c r="BN148" s="59"/>
      <c r="BO148" s="59"/>
      <c r="BP148" s="59"/>
      <c r="BQ148" s="59"/>
      <c r="BR148" s="59"/>
      <c r="BS148" s="59"/>
      <c r="BT148" s="59"/>
      <c r="BU148" s="59"/>
      <c r="BV148" s="59"/>
      <c r="BW148" s="59"/>
      <c r="BX148" s="59"/>
      <c r="BY148" s="59"/>
      <c r="BZ148" s="59"/>
    </row>
    <row r="149" spans="2:78" ht="15.95" hidden="1" customHeight="1">
      <c r="B149" s="929"/>
      <c r="C149" s="8"/>
      <c r="D149" s="8"/>
      <c r="E149" s="8"/>
      <c r="F149" s="8"/>
      <c r="G149" s="8"/>
      <c r="H149" s="8"/>
      <c r="I149" s="8"/>
      <c r="J149" s="8"/>
      <c r="K149" s="8"/>
      <c r="L149" s="8"/>
      <c r="M149" s="8"/>
      <c r="N149" s="8"/>
      <c r="O149" s="8"/>
      <c r="P149" s="8"/>
      <c r="Q149" s="8"/>
      <c r="R149" s="8"/>
      <c r="S149" s="8"/>
      <c r="T149" s="8"/>
      <c r="U149" s="8"/>
      <c r="V149" s="8"/>
      <c r="W149" s="8"/>
      <c r="X149" s="8"/>
      <c r="Y149" s="8"/>
      <c r="Z149" s="8"/>
      <c r="AA149" s="8"/>
      <c r="AB149" s="8"/>
      <c r="AC149" s="8"/>
      <c r="AD149" s="8"/>
      <c r="AE149" s="8"/>
      <c r="AF149" s="8"/>
      <c r="AG149" s="8"/>
      <c r="AH149" s="8"/>
      <c r="AI149" s="8"/>
      <c r="AJ149" s="8"/>
      <c r="AK149" s="8"/>
      <c r="AL149" s="8"/>
      <c r="AM149" s="8"/>
      <c r="AN149" s="8"/>
      <c r="AO149" s="8"/>
      <c r="AP149" s="8"/>
      <c r="AQ149" s="8"/>
      <c r="AS149" s="59"/>
      <c r="AT149" s="59"/>
      <c r="AU149" s="59"/>
      <c r="AV149" s="59"/>
      <c r="AW149" s="59"/>
      <c r="AX149" s="59"/>
      <c r="AY149" s="59"/>
      <c r="AZ149" s="59"/>
      <c r="BA149" s="59"/>
      <c r="BB149" s="59"/>
      <c r="BC149" s="59"/>
      <c r="BD149" s="59"/>
      <c r="BE149" s="59"/>
      <c r="BF149" s="59"/>
      <c r="BG149" s="59"/>
      <c r="BH149" s="59"/>
      <c r="BI149" s="59"/>
      <c r="BJ149" s="59"/>
      <c r="BK149" s="59"/>
      <c r="BL149" s="59"/>
      <c r="BM149" s="59"/>
      <c r="BN149" s="59"/>
      <c r="BO149" s="59"/>
      <c r="BP149" s="59"/>
      <c r="BQ149" s="59"/>
      <c r="BR149" s="59"/>
      <c r="BS149" s="59"/>
      <c r="BT149" s="59"/>
      <c r="BU149" s="59"/>
      <c r="BV149" s="59"/>
      <c r="BW149" s="59"/>
      <c r="BX149" s="59"/>
      <c r="BY149" s="59"/>
      <c r="BZ149" s="59"/>
    </row>
    <row r="150" spans="2:78" ht="15.95" hidden="1" customHeight="1">
      <c r="B150" s="929">
        <v>68</v>
      </c>
      <c r="C150" s="8"/>
      <c r="D150" s="8"/>
      <c r="E150" s="8"/>
      <c r="F150" s="8"/>
      <c r="G150" s="8"/>
      <c r="H150" s="8"/>
      <c r="I150" s="8"/>
      <c r="J150" s="8"/>
      <c r="K150" s="8"/>
      <c r="L150" s="8"/>
      <c r="M150" s="8"/>
      <c r="N150" s="8"/>
      <c r="O150" s="8"/>
      <c r="P150" s="8"/>
      <c r="Q150" s="8"/>
      <c r="R150" s="8"/>
      <c r="S150" s="8"/>
      <c r="T150" s="8"/>
      <c r="U150" s="8"/>
      <c r="V150" s="8"/>
      <c r="W150" s="8"/>
      <c r="X150" s="8"/>
      <c r="Y150" s="8"/>
      <c r="Z150" s="8"/>
      <c r="AA150" s="8"/>
      <c r="AB150" s="8"/>
      <c r="AC150" s="8"/>
      <c r="AD150" s="8"/>
      <c r="AE150" s="8"/>
      <c r="AF150" s="8"/>
      <c r="AG150" s="8"/>
      <c r="AH150" s="8"/>
      <c r="AI150" s="8"/>
      <c r="AJ150" s="8"/>
      <c r="AK150" s="8"/>
      <c r="AL150" s="8"/>
      <c r="AM150" s="8"/>
      <c r="AN150" s="8"/>
      <c r="AO150" s="8"/>
      <c r="AP150" s="8"/>
      <c r="AQ150" s="8"/>
      <c r="AS150" s="59"/>
      <c r="AT150" s="59"/>
      <c r="AU150" s="59"/>
      <c r="AV150" s="59"/>
      <c r="AW150" s="59"/>
      <c r="AX150" s="59"/>
      <c r="AY150" s="59"/>
      <c r="AZ150" s="59"/>
      <c r="BA150" s="59"/>
      <c r="BB150" s="59"/>
      <c r="BC150" s="59"/>
      <c r="BD150" s="59"/>
      <c r="BE150" s="59"/>
      <c r="BF150" s="59"/>
      <c r="BG150" s="59"/>
      <c r="BH150" s="59"/>
      <c r="BI150" s="59"/>
      <c r="BJ150" s="59"/>
      <c r="BK150" s="59"/>
      <c r="BL150" s="59"/>
      <c r="BM150" s="59"/>
      <c r="BN150" s="59"/>
      <c r="BO150" s="59"/>
      <c r="BP150" s="59"/>
      <c r="BQ150" s="59"/>
      <c r="BR150" s="59"/>
      <c r="BS150" s="59"/>
      <c r="BT150" s="59"/>
      <c r="BU150" s="59"/>
      <c r="BV150" s="59"/>
      <c r="BW150" s="59"/>
      <c r="BX150" s="59"/>
      <c r="BY150" s="59"/>
      <c r="BZ150" s="59"/>
    </row>
    <row r="151" spans="2:78" ht="15.95" hidden="1" customHeight="1">
      <c r="B151" s="929"/>
      <c r="C151" s="8"/>
      <c r="D151" s="8"/>
      <c r="E151" s="8"/>
      <c r="F151" s="8"/>
      <c r="G151" s="8"/>
      <c r="H151" s="8"/>
      <c r="I151" s="8"/>
      <c r="J151" s="8"/>
      <c r="K151" s="8"/>
      <c r="L151" s="8"/>
      <c r="M151" s="8"/>
      <c r="N151" s="8"/>
      <c r="O151" s="8"/>
      <c r="P151" s="8"/>
      <c r="Q151" s="8"/>
      <c r="R151" s="8"/>
      <c r="S151" s="8"/>
      <c r="T151" s="8"/>
      <c r="U151" s="8"/>
      <c r="V151" s="8"/>
      <c r="W151" s="8"/>
      <c r="X151" s="8"/>
      <c r="Y151" s="8"/>
      <c r="Z151" s="8"/>
      <c r="AA151" s="8"/>
      <c r="AB151" s="8"/>
      <c r="AC151" s="8"/>
      <c r="AD151" s="8"/>
      <c r="AE151" s="8"/>
      <c r="AF151" s="8"/>
      <c r="AG151" s="8"/>
      <c r="AH151" s="8"/>
      <c r="AI151" s="8"/>
      <c r="AJ151" s="8"/>
      <c r="AK151" s="8"/>
      <c r="AL151" s="8"/>
      <c r="AM151" s="8"/>
      <c r="AN151" s="8"/>
      <c r="AO151" s="8"/>
      <c r="AP151" s="8"/>
      <c r="AQ151" s="8"/>
      <c r="AS151" s="59"/>
      <c r="AT151" s="59"/>
      <c r="AU151" s="59"/>
      <c r="AV151" s="59"/>
      <c r="AW151" s="59"/>
      <c r="AX151" s="59"/>
      <c r="AY151" s="59"/>
      <c r="AZ151" s="59"/>
      <c r="BA151" s="59"/>
      <c r="BB151" s="59"/>
      <c r="BC151" s="59"/>
      <c r="BD151" s="59"/>
      <c r="BE151" s="59"/>
      <c r="BF151" s="59"/>
      <c r="BG151" s="59"/>
      <c r="BH151" s="59"/>
      <c r="BI151" s="59"/>
      <c r="BJ151" s="59"/>
      <c r="BK151" s="59"/>
      <c r="BL151" s="59"/>
      <c r="BM151" s="59"/>
      <c r="BN151" s="59"/>
      <c r="BO151" s="59"/>
      <c r="BP151" s="59"/>
      <c r="BQ151" s="59"/>
      <c r="BR151" s="59"/>
      <c r="BS151" s="59"/>
      <c r="BT151" s="59"/>
      <c r="BU151" s="59"/>
      <c r="BV151" s="59"/>
      <c r="BW151" s="59"/>
      <c r="BX151" s="59"/>
      <c r="BY151" s="59"/>
      <c r="BZ151" s="59"/>
    </row>
    <row r="152" spans="2:78" ht="15.95" hidden="1" customHeight="1">
      <c r="B152" s="929">
        <v>69</v>
      </c>
      <c r="C152" s="8"/>
      <c r="D152" s="8"/>
      <c r="E152" s="8"/>
      <c r="F152" s="8"/>
      <c r="G152" s="8"/>
      <c r="H152" s="8"/>
      <c r="I152" s="8"/>
      <c r="J152" s="8"/>
      <c r="K152" s="8"/>
      <c r="L152" s="8"/>
      <c r="M152" s="8"/>
      <c r="N152" s="8"/>
      <c r="O152" s="8"/>
      <c r="P152" s="8"/>
      <c r="Q152" s="8"/>
      <c r="R152" s="8"/>
      <c r="S152" s="8"/>
      <c r="T152" s="8"/>
      <c r="U152" s="8"/>
      <c r="V152" s="8"/>
      <c r="W152" s="8"/>
      <c r="X152" s="8"/>
      <c r="Y152" s="8"/>
      <c r="Z152" s="8"/>
      <c r="AA152" s="8"/>
      <c r="AB152" s="8"/>
      <c r="AC152" s="8"/>
      <c r="AD152" s="8"/>
      <c r="AE152" s="8"/>
      <c r="AF152" s="8"/>
      <c r="AG152" s="8"/>
      <c r="AH152" s="8"/>
      <c r="AI152" s="8"/>
      <c r="AJ152" s="8"/>
      <c r="AK152" s="8"/>
      <c r="AL152" s="8"/>
      <c r="AM152" s="8"/>
      <c r="AN152" s="8"/>
      <c r="AO152" s="8"/>
      <c r="AP152" s="8"/>
      <c r="AQ152" s="8"/>
      <c r="AS152" s="59"/>
      <c r="AT152" s="59"/>
      <c r="AU152" s="59"/>
      <c r="AV152" s="59"/>
      <c r="AW152" s="59"/>
      <c r="AX152" s="59"/>
      <c r="AY152" s="59"/>
      <c r="AZ152" s="59"/>
      <c r="BA152" s="59"/>
      <c r="BB152" s="59"/>
      <c r="BC152" s="59"/>
      <c r="BD152" s="59"/>
      <c r="BE152" s="59"/>
      <c r="BF152" s="59"/>
      <c r="BG152" s="59"/>
      <c r="BH152" s="59"/>
      <c r="BI152" s="59"/>
      <c r="BJ152" s="59"/>
      <c r="BK152" s="59"/>
      <c r="BL152" s="59"/>
      <c r="BM152" s="59"/>
      <c r="BN152" s="59"/>
      <c r="BO152" s="59"/>
      <c r="BP152" s="59"/>
      <c r="BQ152" s="59"/>
      <c r="BR152" s="59"/>
      <c r="BS152" s="59"/>
      <c r="BT152" s="59"/>
      <c r="BU152" s="59"/>
      <c r="BV152" s="59"/>
      <c r="BW152" s="59"/>
      <c r="BX152" s="59"/>
      <c r="BY152" s="59"/>
      <c r="BZ152" s="59"/>
    </row>
    <row r="153" spans="2:78" ht="15.95" hidden="1" customHeight="1">
      <c r="B153" s="929"/>
      <c r="C153" s="8"/>
      <c r="D153" s="8"/>
      <c r="E153" s="8"/>
      <c r="F153" s="8"/>
      <c r="G153" s="8"/>
      <c r="H153" s="8"/>
      <c r="I153" s="8"/>
      <c r="J153" s="8"/>
      <c r="K153" s="8"/>
      <c r="L153" s="8"/>
      <c r="M153" s="8"/>
      <c r="N153" s="8"/>
      <c r="O153" s="8"/>
      <c r="P153" s="8"/>
      <c r="Q153" s="8"/>
      <c r="R153" s="8"/>
      <c r="S153" s="8"/>
      <c r="T153" s="8"/>
      <c r="U153" s="8"/>
      <c r="V153" s="8"/>
      <c r="W153" s="8"/>
      <c r="X153" s="8"/>
      <c r="Y153" s="8"/>
      <c r="Z153" s="8"/>
      <c r="AA153" s="8"/>
      <c r="AB153" s="8"/>
      <c r="AC153" s="8"/>
      <c r="AD153" s="8"/>
      <c r="AE153" s="8"/>
      <c r="AF153" s="8"/>
      <c r="AG153" s="8"/>
      <c r="AH153" s="8"/>
      <c r="AI153" s="8"/>
      <c r="AJ153" s="8"/>
      <c r="AK153" s="8"/>
      <c r="AL153" s="8"/>
      <c r="AM153" s="8"/>
      <c r="AN153" s="8"/>
      <c r="AO153" s="8"/>
      <c r="AP153" s="8"/>
      <c r="AQ153" s="8"/>
      <c r="AS153" s="59"/>
      <c r="AT153" s="59"/>
      <c r="AU153" s="59"/>
      <c r="AV153" s="59"/>
      <c r="AW153" s="59"/>
      <c r="AX153" s="59"/>
      <c r="AY153" s="59"/>
      <c r="AZ153" s="59"/>
      <c r="BA153" s="59"/>
      <c r="BB153" s="59"/>
      <c r="BC153" s="59"/>
      <c r="BD153" s="59"/>
      <c r="BE153" s="59"/>
      <c r="BF153" s="59"/>
      <c r="BG153" s="59"/>
      <c r="BH153" s="59"/>
      <c r="BI153" s="59"/>
      <c r="BJ153" s="59"/>
      <c r="BK153" s="59"/>
      <c r="BL153" s="59"/>
      <c r="BM153" s="59"/>
      <c r="BN153" s="59"/>
      <c r="BO153" s="59"/>
      <c r="BP153" s="59"/>
      <c r="BQ153" s="59"/>
      <c r="BR153" s="59"/>
      <c r="BS153" s="59"/>
      <c r="BT153" s="59"/>
      <c r="BU153" s="59"/>
      <c r="BV153" s="59"/>
      <c r="BW153" s="59"/>
      <c r="BX153" s="59"/>
      <c r="BY153" s="59"/>
      <c r="BZ153" s="59"/>
    </row>
    <row r="154" spans="2:78" ht="15.95" hidden="1" customHeight="1">
      <c r="B154" s="929">
        <v>70</v>
      </c>
      <c r="C154" s="8"/>
      <c r="D154" s="8"/>
      <c r="E154" s="8"/>
      <c r="F154" s="8"/>
      <c r="G154" s="8"/>
      <c r="H154" s="8"/>
      <c r="I154" s="8"/>
      <c r="J154" s="8"/>
      <c r="K154" s="8"/>
      <c r="L154" s="8"/>
      <c r="M154" s="8"/>
      <c r="N154" s="8"/>
      <c r="O154" s="8"/>
      <c r="P154" s="8"/>
      <c r="Q154" s="8"/>
      <c r="R154" s="8"/>
      <c r="S154" s="8"/>
      <c r="T154" s="8"/>
      <c r="U154" s="8"/>
      <c r="V154" s="8"/>
      <c r="W154" s="8"/>
      <c r="X154" s="8"/>
      <c r="Y154" s="8"/>
      <c r="Z154" s="8"/>
      <c r="AA154" s="8"/>
      <c r="AB154" s="8"/>
      <c r="AC154" s="8"/>
      <c r="AD154" s="8"/>
      <c r="AE154" s="8"/>
      <c r="AF154" s="8"/>
      <c r="AG154" s="8"/>
      <c r="AH154" s="8"/>
      <c r="AI154" s="8"/>
      <c r="AJ154" s="8"/>
      <c r="AK154" s="8"/>
      <c r="AL154" s="8"/>
      <c r="AM154" s="8"/>
      <c r="AN154" s="8"/>
      <c r="AO154" s="8"/>
      <c r="AP154" s="8"/>
      <c r="AQ154" s="8"/>
      <c r="AS154" s="59"/>
      <c r="AT154" s="59"/>
      <c r="AU154" s="59"/>
      <c r="AV154" s="59"/>
      <c r="AW154" s="59"/>
      <c r="AX154" s="59"/>
      <c r="AY154" s="59"/>
      <c r="AZ154" s="59"/>
      <c r="BA154" s="59"/>
      <c r="BB154" s="59"/>
      <c r="BC154" s="59"/>
      <c r="BD154" s="59"/>
      <c r="BE154" s="59"/>
      <c r="BF154" s="59"/>
      <c r="BG154" s="59"/>
      <c r="BH154" s="59"/>
      <c r="BI154" s="59"/>
      <c r="BJ154" s="59"/>
      <c r="BK154" s="59"/>
      <c r="BL154" s="59"/>
      <c r="BM154" s="59"/>
      <c r="BN154" s="59"/>
      <c r="BO154" s="59"/>
      <c r="BP154" s="59"/>
      <c r="BQ154" s="59"/>
      <c r="BR154" s="59"/>
      <c r="BS154" s="59"/>
      <c r="BT154" s="59"/>
      <c r="BU154" s="59"/>
      <c r="BV154" s="59"/>
      <c r="BW154" s="59"/>
      <c r="BX154" s="59"/>
      <c r="BY154" s="59"/>
      <c r="BZ154" s="59"/>
    </row>
    <row r="155" spans="2:78" ht="15.95" hidden="1" customHeight="1">
      <c r="B155" s="929"/>
      <c r="C155" s="8"/>
      <c r="D155" s="8"/>
      <c r="E155" s="8"/>
      <c r="F155" s="8"/>
      <c r="G155" s="8"/>
      <c r="H155" s="8"/>
      <c r="I155" s="8"/>
      <c r="J155" s="8"/>
      <c r="K155" s="8"/>
      <c r="L155" s="8"/>
      <c r="M155" s="8"/>
      <c r="N155" s="8"/>
      <c r="O155" s="8"/>
      <c r="P155" s="8"/>
      <c r="Q155" s="8"/>
      <c r="R155" s="8"/>
      <c r="S155" s="8"/>
      <c r="T155" s="8"/>
      <c r="U155" s="8"/>
      <c r="V155" s="8"/>
      <c r="W155" s="8"/>
      <c r="X155" s="8"/>
      <c r="Y155" s="8"/>
      <c r="Z155" s="8"/>
      <c r="AA155" s="8"/>
      <c r="AB155" s="8"/>
      <c r="AC155" s="8"/>
      <c r="AD155" s="8"/>
      <c r="AE155" s="8"/>
      <c r="AF155" s="8"/>
      <c r="AG155" s="8"/>
      <c r="AH155" s="8"/>
      <c r="AI155" s="8"/>
      <c r="AJ155" s="8"/>
      <c r="AK155" s="8"/>
      <c r="AL155" s="8"/>
      <c r="AM155" s="8"/>
      <c r="AN155" s="8"/>
      <c r="AO155" s="8"/>
      <c r="AP155" s="8"/>
      <c r="AQ155" s="8"/>
      <c r="AS155" s="59"/>
      <c r="AT155" s="59"/>
      <c r="AU155" s="59"/>
      <c r="AV155" s="59"/>
      <c r="AW155" s="59"/>
      <c r="AX155" s="59"/>
      <c r="AY155" s="59"/>
      <c r="AZ155" s="59"/>
      <c r="BA155" s="59"/>
      <c r="BB155" s="59"/>
      <c r="BC155" s="59"/>
      <c r="BD155" s="59"/>
      <c r="BE155" s="59"/>
      <c r="BF155" s="59"/>
      <c r="BG155" s="59"/>
      <c r="BH155" s="59"/>
      <c r="BI155" s="59"/>
      <c r="BJ155" s="59"/>
      <c r="BK155" s="59"/>
      <c r="BL155" s="59"/>
      <c r="BM155" s="59"/>
      <c r="BN155" s="59"/>
      <c r="BO155" s="59"/>
      <c r="BP155" s="59"/>
      <c r="BQ155" s="59"/>
      <c r="BR155" s="59"/>
      <c r="BS155" s="59"/>
      <c r="BT155" s="59"/>
      <c r="BU155" s="59"/>
      <c r="BV155" s="59"/>
      <c r="BW155" s="59"/>
      <c r="BX155" s="59"/>
      <c r="BY155" s="59"/>
      <c r="BZ155" s="59"/>
    </row>
    <row r="156" spans="2:78" ht="15.95" hidden="1" customHeight="1">
      <c r="B156" s="929">
        <v>71</v>
      </c>
      <c r="C156" s="8"/>
      <c r="D156" s="8"/>
      <c r="E156" s="8"/>
      <c r="F156" s="8"/>
      <c r="G156" s="8"/>
      <c r="H156" s="8"/>
      <c r="I156" s="8"/>
      <c r="J156" s="8"/>
      <c r="K156" s="8"/>
      <c r="L156" s="8"/>
      <c r="M156" s="8"/>
      <c r="N156" s="8"/>
      <c r="O156" s="8"/>
      <c r="P156" s="8"/>
      <c r="Q156" s="8"/>
      <c r="R156" s="8"/>
      <c r="S156" s="8"/>
      <c r="T156" s="8"/>
      <c r="U156" s="8"/>
      <c r="V156" s="8"/>
      <c r="W156" s="8"/>
      <c r="X156" s="8"/>
      <c r="Y156" s="8"/>
      <c r="Z156" s="8"/>
      <c r="AA156" s="8"/>
      <c r="AB156" s="8"/>
      <c r="AC156" s="8"/>
      <c r="AD156" s="8"/>
      <c r="AE156" s="8"/>
      <c r="AF156" s="8"/>
      <c r="AG156" s="8"/>
      <c r="AH156" s="8"/>
      <c r="AI156" s="8"/>
      <c r="AJ156" s="8"/>
      <c r="AK156" s="8"/>
      <c r="AL156" s="8"/>
      <c r="AM156" s="8"/>
      <c r="AN156" s="8"/>
      <c r="AO156" s="8"/>
      <c r="AP156" s="8"/>
      <c r="AQ156" s="8"/>
      <c r="AS156" s="59"/>
      <c r="AT156" s="59"/>
      <c r="AU156" s="59"/>
      <c r="AV156" s="59"/>
      <c r="AW156" s="59"/>
      <c r="AX156" s="59"/>
      <c r="AY156" s="59"/>
      <c r="AZ156" s="59"/>
      <c r="BA156" s="59"/>
      <c r="BB156" s="59"/>
      <c r="BC156" s="59"/>
      <c r="BD156" s="59"/>
      <c r="BE156" s="59"/>
      <c r="BF156" s="59"/>
      <c r="BG156" s="59"/>
      <c r="BH156" s="59"/>
      <c r="BI156" s="59"/>
      <c r="BJ156" s="59"/>
      <c r="BK156" s="59"/>
      <c r="BL156" s="59"/>
      <c r="BM156" s="59"/>
      <c r="BN156" s="59"/>
      <c r="BO156" s="59"/>
      <c r="BP156" s="59"/>
      <c r="BQ156" s="59"/>
      <c r="BR156" s="59"/>
      <c r="BS156" s="59"/>
      <c r="BT156" s="59"/>
      <c r="BU156" s="59"/>
      <c r="BV156" s="59"/>
      <c r="BW156" s="59"/>
      <c r="BX156" s="59"/>
      <c r="BY156" s="59"/>
      <c r="BZ156" s="59"/>
    </row>
    <row r="157" spans="2:78" ht="15.95" hidden="1" customHeight="1">
      <c r="B157" s="929"/>
      <c r="C157" s="8"/>
      <c r="D157" s="8"/>
      <c r="E157" s="8"/>
      <c r="F157" s="8"/>
      <c r="G157" s="8"/>
      <c r="H157" s="8"/>
      <c r="I157" s="8"/>
      <c r="J157" s="8"/>
      <c r="K157" s="8"/>
      <c r="L157" s="8"/>
      <c r="M157" s="8"/>
      <c r="N157" s="8"/>
      <c r="O157" s="8"/>
      <c r="P157" s="8"/>
      <c r="Q157" s="8"/>
      <c r="R157" s="8"/>
      <c r="S157" s="8"/>
      <c r="T157" s="8"/>
      <c r="U157" s="8"/>
      <c r="V157" s="8"/>
      <c r="W157" s="8"/>
      <c r="X157" s="8"/>
      <c r="Y157" s="8"/>
      <c r="Z157" s="8"/>
      <c r="AA157" s="8"/>
      <c r="AB157" s="8"/>
      <c r="AC157" s="8"/>
      <c r="AD157" s="8"/>
      <c r="AE157" s="8"/>
      <c r="AF157" s="8"/>
      <c r="AG157" s="8"/>
      <c r="AH157" s="8"/>
      <c r="AI157" s="8"/>
      <c r="AJ157" s="8"/>
      <c r="AK157" s="8"/>
      <c r="AL157" s="8"/>
      <c r="AM157" s="8"/>
      <c r="AN157" s="8"/>
      <c r="AO157" s="8"/>
      <c r="AP157" s="8"/>
      <c r="AQ157" s="8"/>
      <c r="AS157" s="59"/>
      <c r="AT157" s="59"/>
      <c r="AU157" s="59"/>
      <c r="AV157" s="59"/>
      <c r="AW157" s="59"/>
      <c r="AX157" s="59"/>
      <c r="AY157" s="59"/>
      <c r="AZ157" s="59"/>
      <c r="BA157" s="59"/>
      <c r="BB157" s="59"/>
      <c r="BC157" s="59"/>
      <c r="BD157" s="59"/>
      <c r="BE157" s="59"/>
      <c r="BF157" s="59"/>
      <c r="BG157" s="59"/>
      <c r="BH157" s="59"/>
      <c r="BI157" s="59"/>
      <c r="BJ157" s="59"/>
      <c r="BK157" s="59"/>
      <c r="BL157" s="59"/>
      <c r="BM157" s="59"/>
      <c r="BN157" s="59"/>
      <c r="BO157" s="59"/>
      <c r="BP157" s="59"/>
      <c r="BQ157" s="59"/>
      <c r="BR157" s="59"/>
      <c r="BS157" s="59"/>
      <c r="BT157" s="59"/>
      <c r="BU157" s="59"/>
      <c r="BV157" s="59"/>
      <c r="BW157" s="59"/>
      <c r="BX157" s="59"/>
      <c r="BY157" s="59"/>
      <c r="BZ157" s="59"/>
    </row>
    <row r="158" spans="2:78" ht="15.95" hidden="1" customHeight="1">
      <c r="B158" s="929">
        <v>72</v>
      </c>
      <c r="C158" s="8"/>
      <c r="D158" s="8"/>
      <c r="E158" s="8"/>
      <c r="F158" s="8"/>
      <c r="G158" s="8"/>
      <c r="H158" s="8"/>
      <c r="I158" s="8"/>
      <c r="J158" s="8"/>
      <c r="K158" s="8"/>
      <c r="L158" s="8"/>
      <c r="M158" s="8"/>
      <c r="N158" s="8"/>
      <c r="O158" s="8"/>
      <c r="P158" s="8"/>
      <c r="Q158" s="8"/>
      <c r="R158" s="8"/>
      <c r="S158" s="8"/>
      <c r="T158" s="8"/>
      <c r="U158" s="8"/>
      <c r="V158" s="8"/>
      <c r="W158" s="8"/>
      <c r="X158" s="8"/>
      <c r="Y158" s="8"/>
      <c r="Z158" s="8"/>
      <c r="AA158" s="8"/>
      <c r="AB158" s="8"/>
      <c r="AC158" s="8"/>
      <c r="AD158" s="8"/>
      <c r="AE158" s="8"/>
      <c r="AF158" s="8"/>
      <c r="AG158" s="8"/>
      <c r="AH158" s="8"/>
      <c r="AI158" s="8"/>
      <c r="AJ158" s="8"/>
      <c r="AK158" s="8"/>
      <c r="AL158" s="8"/>
      <c r="AM158" s="8"/>
      <c r="AN158" s="8"/>
      <c r="AO158" s="8"/>
      <c r="AP158" s="8"/>
      <c r="AQ158" s="8"/>
      <c r="AS158" s="59"/>
      <c r="AT158" s="59"/>
      <c r="AU158" s="59"/>
      <c r="AV158" s="59"/>
      <c r="AW158" s="59"/>
      <c r="AX158" s="59"/>
      <c r="AY158" s="59"/>
      <c r="AZ158" s="59"/>
      <c r="BA158" s="59"/>
      <c r="BB158" s="59"/>
      <c r="BC158" s="59"/>
      <c r="BD158" s="59"/>
      <c r="BE158" s="59"/>
      <c r="BF158" s="59"/>
      <c r="BG158" s="59"/>
      <c r="BH158" s="59"/>
      <c r="BI158" s="59"/>
      <c r="BJ158" s="59"/>
      <c r="BK158" s="59"/>
      <c r="BL158" s="59"/>
      <c r="BM158" s="59"/>
      <c r="BN158" s="59"/>
      <c r="BO158" s="59"/>
      <c r="BP158" s="59"/>
      <c r="BQ158" s="59"/>
      <c r="BR158" s="59"/>
      <c r="BS158" s="59"/>
      <c r="BT158" s="59"/>
      <c r="BU158" s="59"/>
      <c r="BV158" s="59"/>
      <c r="BW158" s="59"/>
      <c r="BX158" s="59"/>
      <c r="BY158" s="59"/>
      <c r="BZ158" s="59"/>
    </row>
    <row r="159" spans="2:78" ht="15.95" hidden="1" customHeight="1">
      <c r="B159" s="929"/>
      <c r="C159" s="8"/>
      <c r="D159" s="8"/>
      <c r="E159" s="8"/>
      <c r="F159" s="8"/>
      <c r="G159" s="8"/>
      <c r="H159" s="8"/>
      <c r="I159" s="8"/>
      <c r="J159" s="8"/>
      <c r="K159" s="8"/>
      <c r="L159" s="8"/>
      <c r="M159" s="8"/>
      <c r="N159" s="8"/>
      <c r="O159" s="8"/>
      <c r="P159" s="8"/>
      <c r="Q159" s="8"/>
      <c r="R159" s="8"/>
      <c r="S159" s="8"/>
      <c r="T159" s="8"/>
      <c r="U159" s="8"/>
      <c r="V159" s="8"/>
      <c r="W159" s="8"/>
      <c r="X159" s="8"/>
      <c r="Y159" s="8"/>
      <c r="Z159" s="8"/>
      <c r="AA159" s="8"/>
      <c r="AB159" s="8"/>
      <c r="AC159" s="8"/>
      <c r="AD159" s="8"/>
      <c r="AE159" s="8"/>
      <c r="AF159" s="8"/>
      <c r="AG159" s="8"/>
      <c r="AH159" s="8"/>
      <c r="AI159" s="8"/>
      <c r="AJ159" s="8"/>
      <c r="AK159" s="8"/>
      <c r="AL159" s="8"/>
      <c r="AM159" s="8"/>
      <c r="AN159" s="8"/>
      <c r="AO159" s="8"/>
      <c r="AP159" s="8"/>
      <c r="AQ159" s="8"/>
      <c r="AS159" s="59"/>
      <c r="AT159" s="59"/>
      <c r="AU159" s="59"/>
      <c r="AV159" s="59"/>
      <c r="AW159" s="59"/>
      <c r="AX159" s="59"/>
      <c r="AY159" s="59"/>
      <c r="AZ159" s="59"/>
      <c r="BA159" s="59"/>
      <c r="BB159" s="59"/>
      <c r="BC159" s="59"/>
      <c r="BD159" s="59"/>
      <c r="BE159" s="59"/>
      <c r="BF159" s="59"/>
      <c r="BG159" s="59"/>
      <c r="BH159" s="59"/>
      <c r="BI159" s="59"/>
      <c r="BJ159" s="59"/>
      <c r="BK159" s="59"/>
      <c r="BL159" s="59"/>
      <c r="BM159" s="59"/>
      <c r="BN159" s="59"/>
      <c r="BO159" s="59"/>
      <c r="BP159" s="59"/>
      <c r="BQ159" s="59"/>
      <c r="BR159" s="59"/>
      <c r="BS159" s="59"/>
      <c r="BT159" s="59"/>
      <c r="BU159" s="59"/>
      <c r="BV159" s="59"/>
      <c r="BW159" s="59"/>
      <c r="BX159" s="59"/>
      <c r="BY159" s="59"/>
      <c r="BZ159" s="59"/>
    </row>
    <row r="160" spans="2:78" ht="15.95" hidden="1" customHeight="1">
      <c r="B160" s="929">
        <v>73</v>
      </c>
      <c r="C160" s="8"/>
      <c r="D160" s="8"/>
      <c r="E160" s="8"/>
      <c r="F160" s="8"/>
      <c r="G160" s="8"/>
      <c r="H160" s="8"/>
      <c r="I160" s="8"/>
      <c r="J160" s="8"/>
      <c r="K160" s="8"/>
      <c r="L160" s="8"/>
      <c r="M160" s="8"/>
      <c r="N160" s="8"/>
      <c r="O160" s="8"/>
      <c r="P160" s="8"/>
      <c r="Q160" s="8"/>
      <c r="R160" s="8"/>
      <c r="S160" s="8"/>
      <c r="T160" s="8"/>
      <c r="U160" s="8"/>
      <c r="V160" s="8"/>
      <c r="W160" s="8"/>
      <c r="X160" s="8"/>
      <c r="Y160" s="8"/>
      <c r="Z160" s="8"/>
      <c r="AA160" s="8"/>
      <c r="AB160" s="8"/>
      <c r="AC160" s="8"/>
      <c r="AD160" s="8"/>
      <c r="AE160" s="8"/>
      <c r="AF160" s="8"/>
      <c r="AG160" s="8"/>
      <c r="AH160" s="8"/>
      <c r="AI160" s="8"/>
      <c r="AJ160" s="8"/>
      <c r="AK160" s="8"/>
      <c r="AL160" s="8"/>
      <c r="AM160" s="8"/>
      <c r="AN160" s="8"/>
      <c r="AO160" s="8"/>
      <c r="AP160" s="8"/>
      <c r="AQ160" s="8"/>
      <c r="AS160" s="59"/>
      <c r="AT160" s="59"/>
      <c r="AU160" s="59"/>
      <c r="AV160" s="59"/>
      <c r="AW160" s="59"/>
      <c r="AX160" s="59"/>
      <c r="AY160" s="59"/>
      <c r="AZ160" s="59"/>
      <c r="BA160" s="59"/>
      <c r="BB160" s="59"/>
      <c r="BC160" s="59"/>
      <c r="BD160" s="59"/>
      <c r="BE160" s="59"/>
      <c r="BF160" s="59"/>
      <c r="BG160" s="59"/>
      <c r="BH160" s="59"/>
      <c r="BI160" s="59"/>
      <c r="BJ160" s="59"/>
      <c r="BK160" s="59"/>
      <c r="BL160" s="59"/>
      <c r="BM160" s="59"/>
      <c r="BN160" s="59"/>
      <c r="BO160" s="59"/>
      <c r="BP160" s="59"/>
      <c r="BQ160" s="59"/>
      <c r="BR160" s="59"/>
      <c r="BS160" s="59"/>
      <c r="BT160" s="59"/>
      <c r="BU160" s="59"/>
      <c r="BV160" s="59"/>
      <c r="BW160" s="59"/>
      <c r="BX160" s="59"/>
      <c r="BY160" s="59"/>
      <c r="BZ160" s="59"/>
    </row>
    <row r="161" spans="2:78" ht="15.95" hidden="1" customHeight="1">
      <c r="B161" s="929"/>
      <c r="C161" s="8"/>
      <c r="D161" s="8"/>
      <c r="E161" s="8"/>
      <c r="F161" s="8"/>
      <c r="G161" s="8"/>
      <c r="H161" s="8"/>
      <c r="I161" s="8"/>
      <c r="J161" s="8"/>
      <c r="K161" s="8"/>
      <c r="L161" s="8"/>
      <c r="M161" s="8"/>
      <c r="N161" s="8"/>
      <c r="O161" s="8"/>
      <c r="P161" s="8"/>
      <c r="Q161" s="8"/>
      <c r="R161" s="8"/>
      <c r="S161" s="8"/>
      <c r="T161" s="8"/>
      <c r="U161" s="8"/>
      <c r="V161" s="8"/>
      <c r="W161" s="8"/>
      <c r="X161" s="8"/>
      <c r="Y161" s="8"/>
      <c r="Z161" s="8"/>
      <c r="AA161" s="8"/>
      <c r="AB161" s="8"/>
      <c r="AC161" s="8"/>
      <c r="AD161" s="8"/>
      <c r="AE161" s="8"/>
      <c r="AF161" s="8"/>
      <c r="AG161" s="8"/>
      <c r="AH161" s="8"/>
      <c r="AI161" s="8"/>
      <c r="AJ161" s="8"/>
      <c r="AK161" s="8"/>
      <c r="AL161" s="8"/>
      <c r="AM161" s="8"/>
      <c r="AN161" s="8"/>
      <c r="AO161" s="8"/>
      <c r="AP161" s="8"/>
      <c r="AQ161" s="8"/>
      <c r="AS161" s="59"/>
      <c r="AT161" s="59"/>
      <c r="AU161" s="59"/>
      <c r="AV161" s="59"/>
      <c r="AW161" s="59"/>
      <c r="AX161" s="59"/>
      <c r="AY161" s="59"/>
      <c r="AZ161" s="59"/>
      <c r="BA161" s="59"/>
      <c r="BB161" s="59"/>
      <c r="BC161" s="59"/>
      <c r="BD161" s="59"/>
      <c r="BE161" s="59"/>
      <c r="BF161" s="59"/>
      <c r="BG161" s="59"/>
      <c r="BH161" s="59"/>
      <c r="BI161" s="59"/>
      <c r="BJ161" s="59"/>
      <c r="BK161" s="59"/>
      <c r="BL161" s="59"/>
      <c r="BM161" s="59"/>
      <c r="BN161" s="59"/>
      <c r="BO161" s="59"/>
      <c r="BP161" s="59"/>
      <c r="BQ161" s="59"/>
      <c r="BR161" s="59"/>
      <c r="BS161" s="59"/>
      <c r="BT161" s="59"/>
      <c r="BU161" s="59"/>
      <c r="BV161" s="59"/>
      <c r="BW161" s="59"/>
      <c r="BX161" s="59"/>
      <c r="BY161" s="59"/>
      <c r="BZ161" s="59"/>
    </row>
    <row r="162" spans="2:78" ht="15.95" hidden="1" customHeight="1">
      <c r="B162" s="929">
        <v>74</v>
      </c>
      <c r="C162" s="8"/>
      <c r="D162" s="8"/>
      <c r="E162" s="8"/>
      <c r="F162" s="8"/>
      <c r="G162" s="8"/>
      <c r="H162" s="8"/>
      <c r="I162" s="8"/>
      <c r="J162" s="8"/>
      <c r="K162" s="8"/>
      <c r="L162" s="8"/>
      <c r="M162" s="8"/>
      <c r="N162" s="8"/>
      <c r="O162" s="8"/>
      <c r="P162" s="8"/>
      <c r="Q162" s="8"/>
      <c r="R162" s="8"/>
      <c r="S162" s="8"/>
      <c r="T162" s="8"/>
      <c r="U162" s="8"/>
      <c r="V162" s="8"/>
      <c r="W162" s="8"/>
      <c r="X162" s="8"/>
      <c r="Y162" s="8"/>
      <c r="Z162" s="8"/>
      <c r="AA162" s="8"/>
      <c r="AB162" s="8"/>
      <c r="AC162" s="8"/>
      <c r="AD162" s="8"/>
      <c r="AE162" s="8"/>
      <c r="AF162" s="8"/>
      <c r="AG162" s="8"/>
      <c r="AH162" s="8"/>
      <c r="AI162" s="8"/>
      <c r="AJ162" s="8"/>
      <c r="AK162" s="8"/>
      <c r="AL162" s="8"/>
      <c r="AM162" s="8"/>
      <c r="AN162" s="8"/>
      <c r="AO162" s="8"/>
      <c r="AP162" s="8"/>
      <c r="AQ162" s="8"/>
      <c r="AS162" s="59"/>
      <c r="AT162" s="59"/>
      <c r="AU162" s="59"/>
      <c r="AV162" s="59"/>
      <c r="AW162" s="59"/>
      <c r="AX162" s="59"/>
      <c r="AY162" s="59"/>
      <c r="AZ162" s="59"/>
      <c r="BA162" s="59"/>
      <c r="BB162" s="59"/>
      <c r="BC162" s="59"/>
      <c r="BD162" s="59"/>
      <c r="BE162" s="59"/>
      <c r="BF162" s="59"/>
      <c r="BG162" s="59"/>
      <c r="BH162" s="59"/>
      <c r="BI162" s="59"/>
      <c r="BJ162" s="59"/>
      <c r="BK162" s="59"/>
      <c r="BL162" s="59"/>
      <c r="BM162" s="59"/>
      <c r="BN162" s="59"/>
      <c r="BO162" s="59"/>
      <c r="BP162" s="59"/>
      <c r="BQ162" s="59"/>
      <c r="BR162" s="59"/>
      <c r="BS162" s="59"/>
      <c r="BT162" s="59"/>
      <c r="BU162" s="59"/>
      <c r="BV162" s="59"/>
      <c r="BW162" s="59"/>
      <c r="BX162" s="59"/>
      <c r="BY162" s="59"/>
      <c r="BZ162" s="59"/>
    </row>
    <row r="163" spans="2:78" ht="15.95" hidden="1" customHeight="1">
      <c r="B163" s="929"/>
      <c r="C163" s="8"/>
      <c r="D163" s="8"/>
      <c r="E163" s="8"/>
      <c r="F163" s="8"/>
      <c r="G163" s="8"/>
      <c r="H163" s="8"/>
      <c r="I163" s="8"/>
      <c r="J163" s="8"/>
      <c r="K163" s="8"/>
      <c r="L163" s="8"/>
      <c r="M163" s="8"/>
      <c r="N163" s="8"/>
      <c r="O163" s="8"/>
      <c r="P163" s="8"/>
      <c r="Q163" s="8"/>
      <c r="R163" s="8"/>
      <c r="S163" s="8"/>
      <c r="T163" s="8"/>
      <c r="U163" s="8"/>
      <c r="V163" s="8"/>
      <c r="W163" s="8"/>
      <c r="X163" s="8"/>
      <c r="Y163" s="8"/>
      <c r="Z163" s="8"/>
      <c r="AA163" s="8"/>
      <c r="AB163" s="8"/>
      <c r="AC163" s="8"/>
      <c r="AD163" s="8"/>
      <c r="AE163" s="8"/>
      <c r="AF163" s="8"/>
      <c r="AG163" s="8"/>
      <c r="AH163" s="8"/>
      <c r="AI163" s="8"/>
      <c r="AJ163" s="8"/>
      <c r="AK163" s="8"/>
      <c r="AL163" s="8"/>
      <c r="AM163" s="8"/>
      <c r="AN163" s="8"/>
      <c r="AO163" s="8"/>
      <c r="AP163" s="8"/>
      <c r="AQ163" s="8"/>
      <c r="AS163" s="59"/>
      <c r="AT163" s="59"/>
      <c r="AU163" s="59"/>
      <c r="AV163" s="59"/>
      <c r="AW163" s="59"/>
      <c r="AX163" s="59"/>
      <c r="AY163" s="59"/>
      <c r="AZ163" s="59"/>
      <c r="BA163" s="59"/>
      <c r="BB163" s="59"/>
      <c r="BC163" s="59"/>
      <c r="BD163" s="59"/>
      <c r="BE163" s="59"/>
      <c r="BF163" s="59"/>
      <c r="BG163" s="59"/>
      <c r="BH163" s="59"/>
      <c r="BI163" s="59"/>
      <c r="BJ163" s="59"/>
      <c r="BK163" s="59"/>
      <c r="BL163" s="59"/>
      <c r="BM163" s="59"/>
      <c r="BN163" s="59"/>
      <c r="BO163" s="59"/>
      <c r="BP163" s="59"/>
      <c r="BQ163" s="59"/>
      <c r="BR163" s="59"/>
      <c r="BS163" s="59"/>
      <c r="BT163" s="59"/>
      <c r="BU163" s="59"/>
      <c r="BV163" s="59"/>
      <c r="BW163" s="59"/>
      <c r="BX163" s="59"/>
      <c r="BY163" s="59"/>
      <c r="BZ163" s="59"/>
    </row>
    <row r="164" spans="2:78" ht="15.95" hidden="1" customHeight="1">
      <c r="B164" s="929">
        <v>75</v>
      </c>
      <c r="C164" s="8"/>
      <c r="D164" s="8"/>
      <c r="E164" s="8"/>
      <c r="F164" s="8"/>
      <c r="G164" s="8"/>
      <c r="H164" s="8"/>
      <c r="I164" s="8"/>
      <c r="J164" s="8"/>
      <c r="K164" s="8"/>
      <c r="L164" s="8"/>
      <c r="M164" s="8"/>
      <c r="N164" s="8"/>
      <c r="O164" s="8"/>
      <c r="P164" s="8"/>
      <c r="Q164" s="8"/>
      <c r="R164" s="8"/>
      <c r="S164" s="8"/>
      <c r="T164" s="8"/>
      <c r="U164" s="8"/>
      <c r="V164" s="8"/>
      <c r="W164" s="8"/>
      <c r="X164" s="8"/>
      <c r="Y164" s="8"/>
      <c r="Z164" s="8"/>
      <c r="AA164" s="8"/>
      <c r="AB164" s="8"/>
      <c r="AC164" s="8"/>
      <c r="AD164" s="8"/>
      <c r="AE164" s="8"/>
      <c r="AF164" s="8"/>
      <c r="AG164" s="8"/>
      <c r="AH164" s="8"/>
      <c r="AI164" s="8"/>
      <c r="AJ164" s="8"/>
      <c r="AK164" s="8"/>
      <c r="AL164" s="8"/>
      <c r="AM164" s="8"/>
      <c r="AN164" s="8"/>
      <c r="AO164" s="8"/>
      <c r="AP164" s="8"/>
      <c r="AQ164" s="8"/>
      <c r="AS164" s="59"/>
      <c r="AT164" s="59"/>
      <c r="AU164" s="59"/>
      <c r="AV164" s="59"/>
      <c r="AW164" s="59"/>
      <c r="AX164" s="59"/>
      <c r="AY164" s="59"/>
      <c r="AZ164" s="59"/>
      <c r="BA164" s="59"/>
      <c r="BB164" s="59"/>
      <c r="BC164" s="59"/>
      <c r="BD164" s="59"/>
      <c r="BE164" s="59"/>
      <c r="BF164" s="59"/>
      <c r="BG164" s="59"/>
      <c r="BH164" s="59"/>
      <c r="BI164" s="59"/>
      <c r="BJ164" s="59"/>
      <c r="BK164" s="59"/>
      <c r="BL164" s="59"/>
      <c r="BM164" s="59"/>
      <c r="BN164" s="59"/>
      <c r="BO164" s="59"/>
      <c r="BP164" s="59"/>
      <c r="BQ164" s="59"/>
      <c r="BR164" s="59"/>
      <c r="BS164" s="59"/>
      <c r="BT164" s="59"/>
      <c r="BU164" s="59"/>
      <c r="BV164" s="59"/>
      <c r="BW164" s="59"/>
      <c r="BX164" s="59"/>
      <c r="BY164" s="59"/>
      <c r="BZ164" s="59"/>
    </row>
    <row r="165" spans="2:78" ht="15.95" hidden="1" customHeight="1">
      <c r="B165" s="929"/>
      <c r="C165" s="8"/>
      <c r="D165" s="8"/>
      <c r="E165" s="8"/>
      <c r="F165" s="8"/>
      <c r="G165" s="8"/>
      <c r="H165" s="8"/>
      <c r="I165" s="8"/>
      <c r="J165" s="8"/>
      <c r="K165" s="8"/>
      <c r="L165" s="8"/>
      <c r="M165" s="8"/>
      <c r="N165" s="8"/>
      <c r="O165" s="8"/>
      <c r="P165" s="8"/>
      <c r="Q165" s="8"/>
      <c r="R165" s="8"/>
      <c r="S165" s="8"/>
      <c r="T165" s="8"/>
      <c r="U165" s="8"/>
      <c r="V165" s="8"/>
      <c r="W165" s="8"/>
      <c r="X165" s="8"/>
      <c r="Y165" s="8"/>
      <c r="Z165" s="8"/>
      <c r="AA165" s="8"/>
      <c r="AB165" s="8"/>
      <c r="AC165" s="8"/>
      <c r="AD165" s="8"/>
      <c r="AE165" s="8"/>
      <c r="AF165" s="8"/>
      <c r="AG165" s="8"/>
      <c r="AH165" s="8"/>
      <c r="AI165" s="8"/>
      <c r="AJ165" s="8"/>
      <c r="AK165" s="8"/>
      <c r="AL165" s="8"/>
      <c r="AM165" s="8"/>
      <c r="AN165" s="8"/>
      <c r="AO165" s="8"/>
      <c r="AP165" s="8"/>
      <c r="AQ165" s="8"/>
      <c r="AS165" s="59"/>
      <c r="AT165" s="59"/>
      <c r="AU165" s="59"/>
      <c r="AV165" s="59"/>
      <c r="AW165" s="59"/>
      <c r="AX165" s="59"/>
      <c r="AY165" s="59"/>
      <c r="AZ165" s="59"/>
      <c r="BA165" s="59"/>
      <c r="BB165" s="59"/>
      <c r="BC165" s="59"/>
      <c r="BD165" s="59"/>
      <c r="BE165" s="59"/>
      <c r="BF165" s="59"/>
      <c r="BG165" s="59"/>
      <c r="BH165" s="59"/>
      <c r="BI165" s="59"/>
      <c r="BJ165" s="59"/>
      <c r="BK165" s="59"/>
      <c r="BL165" s="59"/>
      <c r="BM165" s="59"/>
      <c r="BN165" s="59"/>
      <c r="BO165" s="59"/>
      <c r="BP165" s="59"/>
      <c r="BQ165" s="59"/>
      <c r="BR165" s="59"/>
      <c r="BS165" s="59"/>
      <c r="BT165" s="59"/>
      <c r="BU165" s="59"/>
      <c r="BV165" s="59"/>
      <c r="BW165" s="59"/>
      <c r="BX165" s="59"/>
      <c r="BY165" s="59"/>
      <c r="BZ165" s="59"/>
    </row>
    <row r="166" spans="2:78" ht="15.95" hidden="1" customHeight="1">
      <c r="B166" s="929">
        <v>76</v>
      </c>
      <c r="C166" s="8"/>
      <c r="D166" s="8"/>
      <c r="E166" s="8"/>
      <c r="F166" s="8"/>
      <c r="G166" s="8"/>
      <c r="H166" s="8"/>
      <c r="I166" s="8"/>
      <c r="J166" s="8"/>
      <c r="K166" s="8"/>
      <c r="L166" s="8"/>
      <c r="M166" s="8"/>
      <c r="N166" s="8"/>
      <c r="O166" s="8"/>
      <c r="P166" s="8"/>
      <c r="Q166" s="8"/>
      <c r="R166" s="8"/>
      <c r="S166" s="8"/>
      <c r="T166" s="8"/>
      <c r="U166" s="8"/>
      <c r="V166" s="8"/>
      <c r="W166" s="8"/>
      <c r="X166" s="8"/>
      <c r="Y166" s="8"/>
      <c r="Z166" s="8"/>
      <c r="AA166" s="8"/>
      <c r="AB166" s="8"/>
      <c r="AC166" s="8"/>
      <c r="AD166" s="8"/>
      <c r="AE166" s="8"/>
      <c r="AF166" s="8"/>
      <c r="AG166" s="8"/>
      <c r="AH166" s="8"/>
      <c r="AI166" s="8"/>
      <c r="AJ166" s="8"/>
      <c r="AK166" s="8"/>
      <c r="AL166" s="8"/>
      <c r="AM166" s="8"/>
      <c r="AN166" s="8"/>
      <c r="AO166" s="8"/>
      <c r="AP166" s="8"/>
      <c r="AQ166" s="8"/>
      <c r="AS166" s="59"/>
      <c r="AT166" s="59"/>
      <c r="AU166" s="59"/>
      <c r="AV166" s="59"/>
      <c r="AW166" s="59"/>
      <c r="AX166" s="59"/>
      <c r="AY166" s="59"/>
      <c r="AZ166" s="59"/>
      <c r="BA166" s="59"/>
      <c r="BB166" s="59"/>
      <c r="BC166" s="59"/>
      <c r="BD166" s="59"/>
      <c r="BE166" s="59"/>
      <c r="BF166" s="59"/>
      <c r="BG166" s="59"/>
      <c r="BH166" s="59"/>
      <c r="BI166" s="59"/>
      <c r="BJ166" s="59"/>
      <c r="BK166" s="59"/>
      <c r="BL166" s="59"/>
      <c r="BM166" s="59"/>
      <c r="BN166" s="59"/>
      <c r="BO166" s="59"/>
      <c r="BP166" s="59"/>
      <c r="BQ166" s="59"/>
      <c r="BR166" s="59"/>
      <c r="BS166" s="59"/>
      <c r="BT166" s="59"/>
      <c r="BU166" s="59"/>
      <c r="BV166" s="59"/>
      <c r="BW166" s="59"/>
      <c r="BX166" s="59"/>
      <c r="BY166" s="59"/>
      <c r="BZ166" s="59"/>
    </row>
    <row r="167" spans="2:78" ht="15.95" hidden="1" customHeight="1">
      <c r="B167" s="929"/>
      <c r="C167" s="8"/>
      <c r="D167" s="8"/>
      <c r="E167" s="8"/>
      <c r="F167" s="8"/>
      <c r="G167" s="8"/>
      <c r="H167" s="8"/>
      <c r="I167" s="8"/>
      <c r="J167" s="8"/>
      <c r="K167" s="8"/>
      <c r="L167" s="8"/>
      <c r="M167" s="8"/>
      <c r="N167" s="8"/>
      <c r="O167" s="8"/>
      <c r="P167" s="8"/>
      <c r="Q167" s="8"/>
      <c r="R167" s="8"/>
      <c r="S167" s="8"/>
      <c r="T167" s="8"/>
      <c r="U167" s="8"/>
      <c r="V167" s="8"/>
      <c r="W167" s="8"/>
      <c r="X167" s="8"/>
      <c r="Y167" s="8"/>
      <c r="Z167" s="8"/>
      <c r="AA167" s="8"/>
      <c r="AB167" s="8"/>
      <c r="AC167" s="8"/>
      <c r="AD167" s="8"/>
      <c r="AE167" s="8"/>
      <c r="AF167" s="8"/>
      <c r="AG167" s="8"/>
      <c r="AH167" s="8"/>
      <c r="AI167" s="8"/>
      <c r="AJ167" s="8"/>
      <c r="AK167" s="8"/>
      <c r="AL167" s="8"/>
      <c r="AM167" s="8"/>
      <c r="AN167" s="8"/>
      <c r="AO167" s="8"/>
      <c r="AP167" s="8"/>
      <c r="AQ167" s="8"/>
      <c r="AS167" s="59"/>
      <c r="AT167" s="59"/>
      <c r="AU167" s="59"/>
      <c r="AV167" s="59"/>
      <c r="AW167" s="59"/>
      <c r="AX167" s="59"/>
      <c r="AY167" s="59"/>
      <c r="AZ167" s="59"/>
      <c r="BA167" s="59"/>
      <c r="BB167" s="59"/>
      <c r="BC167" s="59"/>
      <c r="BD167" s="59"/>
      <c r="BE167" s="59"/>
      <c r="BF167" s="59"/>
      <c r="BG167" s="59"/>
      <c r="BH167" s="59"/>
      <c r="BI167" s="59"/>
      <c r="BJ167" s="59"/>
      <c r="BK167" s="59"/>
      <c r="BL167" s="59"/>
      <c r="BM167" s="59"/>
      <c r="BN167" s="59"/>
      <c r="BO167" s="59"/>
      <c r="BP167" s="59"/>
      <c r="BQ167" s="59"/>
      <c r="BR167" s="59"/>
      <c r="BS167" s="59"/>
      <c r="BT167" s="59"/>
      <c r="BU167" s="59"/>
      <c r="BV167" s="59"/>
      <c r="BW167" s="59"/>
      <c r="BX167" s="59"/>
      <c r="BY167" s="59"/>
      <c r="BZ167" s="59"/>
    </row>
    <row r="168" spans="2:78" ht="15.95" hidden="1" customHeight="1">
      <c r="B168" s="929">
        <v>77</v>
      </c>
      <c r="C168" s="8"/>
      <c r="D168" s="8"/>
      <c r="E168" s="8"/>
      <c r="F168" s="8"/>
      <c r="G168" s="8"/>
      <c r="H168" s="8"/>
      <c r="I168" s="8"/>
      <c r="J168" s="8"/>
      <c r="K168" s="8"/>
      <c r="L168" s="8"/>
      <c r="M168" s="8"/>
      <c r="N168" s="8"/>
      <c r="O168" s="8"/>
      <c r="P168" s="8"/>
      <c r="Q168" s="8"/>
      <c r="R168" s="8"/>
      <c r="S168" s="8"/>
      <c r="T168" s="8"/>
      <c r="U168" s="8"/>
      <c r="V168" s="8"/>
      <c r="W168" s="8"/>
      <c r="X168" s="8"/>
      <c r="Y168" s="8"/>
      <c r="Z168" s="8"/>
      <c r="AA168" s="8"/>
      <c r="AB168" s="8"/>
      <c r="AC168" s="8"/>
      <c r="AD168" s="8"/>
      <c r="AE168" s="8"/>
      <c r="AF168" s="8"/>
      <c r="AG168" s="8"/>
      <c r="AH168" s="8"/>
      <c r="AI168" s="8"/>
      <c r="AJ168" s="8"/>
      <c r="AK168" s="8"/>
      <c r="AL168" s="8"/>
      <c r="AM168" s="8"/>
      <c r="AN168" s="8"/>
      <c r="AO168" s="8"/>
      <c r="AP168" s="8"/>
      <c r="AQ168" s="8"/>
      <c r="AS168" s="59"/>
      <c r="AT168" s="59"/>
      <c r="AU168" s="59"/>
      <c r="AV168" s="59"/>
      <c r="AW168" s="59"/>
      <c r="AX168" s="59"/>
      <c r="AY168" s="59"/>
      <c r="AZ168" s="59"/>
      <c r="BA168" s="59"/>
      <c r="BB168" s="59"/>
      <c r="BC168" s="59"/>
      <c r="BD168" s="59"/>
      <c r="BE168" s="59"/>
      <c r="BF168" s="59"/>
      <c r="BG168" s="59"/>
      <c r="BH168" s="59"/>
      <c r="BI168" s="59"/>
      <c r="BJ168" s="59"/>
      <c r="BK168" s="59"/>
      <c r="BL168" s="59"/>
      <c r="BM168" s="59"/>
      <c r="BN168" s="59"/>
      <c r="BO168" s="59"/>
      <c r="BP168" s="59"/>
      <c r="BQ168" s="59"/>
      <c r="BR168" s="59"/>
      <c r="BS168" s="59"/>
      <c r="BT168" s="59"/>
      <c r="BU168" s="59"/>
      <c r="BV168" s="59"/>
      <c r="BW168" s="59"/>
      <c r="BX168" s="59"/>
      <c r="BY168" s="59"/>
      <c r="BZ168" s="59"/>
    </row>
    <row r="169" spans="2:78" ht="15.95" hidden="1" customHeight="1">
      <c r="B169" s="929"/>
      <c r="C169" s="8"/>
      <c r="D169" s="8"/>
      <c r="E169" s="8"/>
      <c r="F169" s="8"/>
      <c r="G169" s="8"/>
      <c r="H169" s="8"/>
      <c r="I169" s="8"/>
      <c r="J169" s="8"/>
      <c r="K169" s="8"/>
      <c r="L169" s="8"/>
      <c r="M169" s="8"/>
      <c r="N169" s="8"/>
      <c r="O169" s="8"/>
      <c r="P169" s="8"/>
      <c r="Q169" s="8"/>
      <c r="R169" s="8"/>
      <c r="S169" s="8"/>
      <c r="T169" s="8"/>
      <c r="U169" s="8"/>
      <c r="V169" s="8"/>
      <c r="W169" s="8"/>
      <c r="X169" s="8"/>
      <c r="Y169" s="8"/>
      <c r="Z169" s="8"/>
      <c r="AA169" s="8"/>
      <c r="AB169" s="8"/>
      <c r="AC169" s="8"/>
      <c r="AD169" s="8"/>
      <c r="AE169" s="8"/>
      <c r="AF169" s="8"/>
      <c r="AG169" s="8"/>
      <c r="AH169" s="8"/>
      <c r="AI169" s="8"/>
      <c r="AJ169" s="8"/>
      <c r="AK169" s="8"/>
      <c r="AL169" s="8"/>
      <c r="AM169" s="8"/>
      <c r="AN169" s="8"/>
      <c r="AO169" s="8"/>
      <c r="AP169" s="8"/>
      <c r="AQ169" s="8"/>
      <c r="AS169" s="59"/>
      <c r="AT169" s="59"/>
      <c r="AU169" s="59"/>
      <c r="AV169" s="59"/>
      <c r="AW169" s="59"/>
      <c r="AX169" s="59"/>
      <c r="AY169" s="59"/>
      <c r="AZ169" s="59"/>
      <c r="BA169" s="59"/>
      <c r="BB169" s="59"/>
      <c r="BC169" s="59"/>
      <c r="BD169" s="59"/>
      <c r="BE169" s="59"/>
      <c r="BF169" s="59"/>
      <c r="BG169" s="59"/>
      <c r="BH169" s="59"/>
      <c r="BI169" s="59"/>
      <c r="BJ169" s="59"/>
      <c r="BK169" s="59"/>
      <c r="BL169" s="59"/>
      <c r="BM169" s="59"/>
      <c r="BN169" s="59"/>
      <c r="BO169" s="59"/>
      <c r="BP169" s="59"/>
      <c r="BQ169" s="59"/>
      <c r="BR169" s="59"/>
      <c r="BS169" s="59"/>
      <c r="BT169" s="59"/>
      <c r="BU169" s="59"/>
      <c r="BV169" s="59"/>
      <c r="BW169" s="59"/>
      <c r="BX169" s="59"/>
      <c r="BY169" s="59"/>
      <c r="BZ169" s="59"/>
    </row>
    <row r="170" spans="2:78" ht="15.95" hidden="1" customHeight="1">
      <c r="B170" s="929">
        <v>78</v>
      </c>
      <c r="C170" s="8"/>
      <c r="D170" s="8"/>
      <c r="E170" s="8"/>
      <c r="F170" s="8"/>
      <c r="G170" s="8"/>
      <c r="H170" s="8"/>
      <c r="I170" s="8"/>
      <c r="J170" s="8"/>
      <c r="K170" s="8"/>
      <c r="L170" s="8"/>
      <c r="M170" s="8"/>
      <c r="N170" s="8"/>
      <c r="O170" s="8"/>
      <c r="P170" s="8"/>
      <c r="Q170" s="8"/>
      <c r="R170" s="8"/>
      <c r="S170" s="8"/>
      <c r="T170" s="8"/>
      <c r="U170" s="8"/>
      <c r="V170" s="8"/>
      <c r="W170" s="8"/>
      <c r="X170" s="8"/>
      <c r="Y170" s="8"/>
      <c r="Z170" s="8"/>
      <c r="AA170" s="8"/>
      <c r="AB170" s="8"/>
      <c r="AC170" s="8"/>
      <c r="AD170" s="8"/>
      <c r="AE170" s="8"/>
      <c r="AF170" s="8"/>
      <c r="AG170" s="8"/>
      <c r="AH170" s="8"/>
      <c r="AI170" s="8"/>
      <c r="AJ170" s="8"/>
      <c r="AK170" s="8"/>
      <c r="AL170" s="8"/>
      <c r="AM170" s="8"/>
      <c r="AN170" s="8"/>
      <c r="AO170" s="8"/>
      <c r="AP170" s="8"/>
      <c r="AQ170" s="8"/>
      <c r="AS170" s="59"/>
      <c r="AT170" s="59"/>
      <c r="AU170" s="59"/>
      <c r="AV170" s="59"/>
      <c r="AW170" s="59"/>
      <c r="AX170" s="59"/>
      <c r="AY170" s="59"/>
      <c r="AZ170" s="59"/>
      <c r="BA170" s="59"/>
      <c r="BB170" s="59"/>
      <c r="BC170" s="59"/>
      <c r="BD170" s="59"/>
      <c r="BE170" s="59"/>
      <c r="BF170" s="59"/>
      <c r="BG170" s="59"/>
      <c r="BH170" s="59"/>
      <c r="BI170" s="59"/>
      <c r="BJ170" s="59"/>
      <c r="BK170" s="59"/>
      <c r="BL170" s="59"/>
      <c r="BM170" s="59"/>
      <c r="BN170" s="59"/>
      <c r="BO170" s="59"/>
      <c r="BP170" s="59"/>
      <c r="BQ170" s="59"/>
      <c r="BR170" s="59"/>
      <c r="BS170" s="59"/>
      <c r="BT170" s="59"/>
      <c r="BU170" s="59"/>
      <c r="BV170" s="59"/>
      <c r="BW170" s="59"/>
      <c r="BX170" s="59"/>
      <c r="BY170" s="59"/>
      <c r="BZ170" s="59"/>
    </row>
    <row r="171" spans="2:78" ht="15.95" hidden="1" customHeight="1">
      <c r="B171" s="929"/>
      <c r="C171" s="8"/>
      <c r="D171" s="8"/>
      <c r="E171" s="8"/>
      <c r="F171" s="8"/>
      <c r="G171" s="8"/>
      <c r="H171" s="8"/>
      <c r="I171" s="8"/>
      <c r="J171" s="8"/>
      <c r="K171" s="8"/>
      <c r="L171" s="8"/>
      <c r="M171" s="8"/>
      <c r="N171" s="8"/>
      <c r="O171" s="8"/>
      <c r="P171" s="8"/>
      <c r="Q171" s="8"/>
      <c r="R171" s="8"/>
      <c r="S171" s="8"/>
      <c r="T171" s="8"/>
      <c r="U171" s="8"/>
      <c r="V171" s="8"/>
      <c r="W171" s="8"/>
      <c r="X171" s="8"/>
      <c r="Y171" s="8"/>
      <c r="Z171" s="8"/>
      <c r="AA171" s="8"/>
      <c r="AB171" s="8"/>
      <c r="AC171" s="8"/>
      <c r="AD171" s="8"/>
      <c r="AE171" s="8"/>
      <c r="AF171" s="8"/>
      <c r="AG171" s="8"/>
      <c r="AH171" s="8"/>
      <c r="AI171" s="8"/>
      <c r="AJ171" s="8"/>
      <c r="AK171" s="8"/>
      <c r="AL171" s="8"/>
      <c r="AM171" s="8"/>
      <c r="AN171" s="8"/>
      <c r="AO171" s="8"/>
      <c r="AP171" s="8"/>
      <c r="AQ171" s="8"/>
      <c r="AS171" s="59"/>
      <c r="AT171" s="59"/>
      <c r="AU171" s="59"/>
      <c r="AV171" s="59"/>
      <c r="AW171" s="59"/>
      <c r="AX171" s="59"/>
      <c r="AY171" s="59"/>
      <c r="AZ171" s="59"/>
      <c r="BA171" s="59"/>
      <c r="BB171" s="59"/>
      <c r="BC171" s="59"/>
      <c r="BD171" s="59"/>
      <c r="BE171" s="59"/>
      <c r="BF171" s="59"/>
      <c r="BG171" s="59"/>
      <c r="BH171" s="59"/>
      <c r="BI171" s="59"/>
      <c r="BJ171" s="59"/>
      <c r="BK171" s="59"/>
      <c r="BL171" s="59"/>
      <c r="BM171" s="59"/>
      <c r="BN171" s="59"/>
      <c r="BO171" s="59"/>
      <c r="BP171" s="59"/>
      <c r="BQ171" s="59"/>
      <c r="BR171" s="59"/>
      <c r="BS171" s="59"/>
      <c r="BT171" s="59"/>
      <c r="BU171" s="59"/>
      <c r="BV171" s="59"/>
      <c r="BW171" s="59"/>
      <c r="BX171" s="59"/>
      <c r="BY171" s="59"/>
      <c r="BZ171" s="59"/>
    </row>
    <row r="172" spans="2:78" ht="15.95" hidden="1" customHeight="1">
      <c r="B172" s="929">
        <v>79</v>
      </c>
      <c r="C172" s="8"/>
      <c r="D172" s="8"/>
      <c r="E172" s="8"/>
      <c r="F172" s="8"/>
      <c r="G172" s="8"/>
      <c r="H172" s="8"/>
      <c r="I172" s="8"/>
      <c r="J172" s="8"/>
      <c r="K172" s="8"/>
      <c r="L172" s="8"/>
      <c r="M172" s="8"/>
      <c r="N172" s="8"/>
      <c r="O172" s="8"/>
      <c r="P172" s="8"/>
      <c r="Q172" s="8"/>
      <c r="R172" s="8"/>
      <c r="S172" s="8"/>
      <c r="T172" s="8"/>
      <c r="U172" s="8"/>
      <c r="V172" s="8"/>
      <c r="W172" s="8"/>
      <c r="X172" s="8"/>
      <c r="Y172" s="8"/>
      <c r="Z172" s="8"/>
      <c r="AA172" s="8"/>
      <c r="AB172" s="8"/>
      <c r="AC172" s="8"/>
      <c r="AD172" s="8"/>
      <c r="AE172" s="8"/>
      <c r="AF172" s="8"/>
      <c r="AG172" s="8"/>
      <c r="AH172" s="8"/>
      <c r="AI172" s="8"/>
      <c r="AJ172" s="8"/>
      <c r="AK172" s="8"/>
      <c r="AL172" s="8"/>
      <c r="AM172" s="8"/>
      <c r="AN172" s="8"/>
      <c r="AO172" s="8"/>
      <c r="AP172" s="8"/>
      <c r="AQ172" s="8"/>
      <c r="AS172" s="59"/>
      <c r="AT172" s="59"/>
      <c r="AU172" s="59"/>
      <c r="AV172" s="59"/>
      <c r="AW172" s="59"/>
      <c r="AX172" s="59"/>
      <c r="AY172" s="59"/>
      <c r="AZ172" s="59"/>
      <c r="BA172" s="59"/>
      <c r="BB172" s="59"/>
      <c r="BC172" s="59"/>
      <c r="BD172" s="59"/>
      <c r="BE172" s="59"/>
      <c r="BF172" s="59"/>
      <c r="BG172" s="59"/>
      <c r="BH172" s="59"/>
      <c r="BI172" s="59"/>
      <c r="BJ172" s="59"/>
      <c r="BK172" s="59"/>
      <c r="BL172" s="59"/>
      <c r="BM172" s="59"/>
      <c r="BN172" s="59"/>
      <c r="BO172" s="59"/>
      <c r="BP172" s="59"/>
      <c r="BQ172" s="59"/>
      <c r="BR172" s="59"/>
      <c r="BS172" s="59"/>
      <c r="BT172" s="59"/>
      <c r="BU172" s="59"/>
      <c r="BV172" s="59"/>
      <c r="BW172" s="59"/>
      <c r="BX172" s="59"/>
      <c r="BY172" s="59"/>
      <c r="BZ172" s="59"/>
    </row>
    <row r="173" spans="2:78" ht="15.95" hidden="1" customHeight="1">
      <c r="B173" s="929"/>
      <c r="C173" s="8"/>
      <c r="D173" s="8"/>
      <c r="E173" s="8"/>
      <c r="F173" s="8"/>
      <c r="G173" s="8"/>
      <c r="H173" s="8"/>
      <c r="I173" s="8"/>
      <c r="J173" s="8"/>
      <c r="K173" s="8"/>
      <c r="L173" s="8"/>
      <c r="M173" s="8"/>
      <c r="N173" s="8"/>
      <c r="O173" s="8"/>
      <c r="P173" s="8"/>
      <c r="Q173" s="8"/>
      <c r="R173" s="8"/>
      <c r="S173" s="8"/>
      <c r="T173" s="8"/>
      <c r="U173" s="8"/>
      <c r="V173" s="8"/>
      <c r="W173" s="8"/>
      <c r="X173" s="8"/>
      <c r="Y173" s="8"/>
      <c r="Z173" s="8"/>
      <c r="AA173" s="8"/>
      <c r="AB173" s="8"/>
      <c r="AC173" s="8"/>
      <c r="AD173" s="8"/>
      <c r="AE173" s="8"/>
      <c r="AF173" s="8"/>
      <c r="AG173" s="8"/>
      <c r="AH173" s="8"/>
      <c r="AI173" s="8"/>
      <c r="AJ173" s="8"/>
      <c r="AK173" s="8"/>
      <c r="AL173" s="8"/>
      <c r="AM173" s="8"/>
      <c r="AN173" s="8"/>
      <c r="AO173" s="8"/>
      <c r="AP173" s="8"/>
      <c r="AQ173" s="8"/>
      <c r="AS173" s="59"/>
      <c r="AT173" s="59"/>
      <c r="AU173" s="59"/>
      <c r="AV173" s="59"/>
      <c r="AW173" s="59"/>
      <c r="AX173" s="59"/>
      <c r="AY173" s="59"/>
      <c r="AZ173" s="59"/>
      <c r="BA173" s="59"/>
      <c r="BB173" s="59"/>
      <c r="BC173" s="59"/>
      <c r="BD173" s="59"/>
      <c r="BE173" s="59"/>
      <c r="BF173" s="59"/>
      <c r="BG173" s="59"/>
      <c r="BH173" s="59"/>
      <c r="BI173" s="59"/>
      <c r="BJ173" s="59"/>
      <c r="BK173" s="59"/>
      <c r="BL173" s="59"/>
      <c r="BM173" s="59"/>
      <c r="BN173" s="59"/>
      <c r="BO173" s="59"/>
      <c r="BP173" s="59"/>
      <c r="BQ173" s="59"/>
      <c r="BR173" s="59"/>
      <c r="BS173" s="59"/>
      <c r="BT173" s="59"/>
      <c r="BU173" s="59"/>
      <c r="BV173" s="59"/>
      <c r="BW173" s="59"/>
      <c r="BX173" s="59"/>
      <c r="BY173" s="59"/>
      <c r="BZ173" s="59"/>
    </row>
    <row r="174" spans="2:78" ht="15.95" hidden="1" customHeight="1">
      <c r="B174" s="929">
        <v>80</v>
      </c>
      <c r="C174" s="8"/>
      <c r="D174" s="8"/>
      <c r="E174" s="8"/>
      <c r="F174" s="8"/>
      <c r="G174" s="8"/>
      <c r="H174" s="8"/>
      <c r="I174" s="8"/>
      <c r="J174" s="8"/>
      <c r="K174" s="8"/>
      <c r="L174" s="8"/>
      <c r="M174" s="8"/>
      <c r="N174" s="8"/>
      <c r="O174" s="8"/>
      <c r="P174" s="8"/>
      <c r="Q174" s="8"/>
      <c r="R174" s="8"/>
      <c r="S174" s="8"/>
      <c r="T174" s="8"/>
      <c r="U174" s="8"/>
      <c r="V174" s="8"/>
      <c r="W174" s="8"/>
      <c r="X174" s="8"/>
      <c r="Y174" s="8"/>
      <c r="Z174" s="8"/>
      <c r="AA174" s="8"/>
      <c r="AB174" s="8"/>
      <c r="AC174" s="8"/>
      <c r="AD174" s="8"/>
      <c r="AE174" s="8"/>
      <c r="AF174" s="8"/>
      <c r="AG174" s="8"/>
      <c r="AH174" s="8"/>
      <c r="AI174" s="8"/>
      <c r="AJ174" s="8"/>
      <c r="AK174" s="8"/>
      <c r="AL174" s="8"/>
      <c r="AM174" s="8"/>
      <c r="AN174" s="8"/>
      <c r="AO174" s="8"/>
      <c r="AP174" s="8"/>
      <c r="AQ174" s="8"/>
      <c r="AS174" s="59"/>
      <c r="AT174" s="59"/>
      <c r="AU174" s="59"/>
      <c r="AV174" s="59"/>
      <c r="AW174" s="59"/>
      <c r="AX174" s="59"/>
      <c r="AY174" s="59"/>
      <c r="AZ174" s="59"/>
      <c r="BA174" s="59"/>
      <c r="BB174" s="59"/>
      <c r="BC174" s="59"/>
      <c r="BD174" s="59"/>
      <c r="BE174" s="59"/>
      <c r="BF174" s="59"/>
      <c r="BG174" s="59"/>
      <c r="BH174" s="59"/>
      <c r="BI174" s="59"/>
      <c r="BJ174" s="59"/>
      <c r="BK174" s="59"/>
      <c r="BL174" s="59"/>
      <c r="BM174" s="59"/>
      <c r="BN174" s="59"/>
      <c r="BO174" s="59"/>
      <c r="BP174" s="59"/>
      <c r="BQ174" s="59"/>
      <c r="BR174" s="59"/>
      <c r="BS174" s="59"/>
      <c r="BT174" s="59"/>
      <c r="BU174" s="59"/>
      <c r="BV174" s="59"/>
      <c r="BW174" s="59"/>
      <c r="BX174" s="59"/>
      <c r="BY174" s="59"/>
      <c r="BZ174" s="59"/>
    </row>
    <row r="175" spans="2:78" ht="15.95" hidden="1" customHeight="1">
      <c r="B175" s="929"/>
      <c r="C175" s="8"/>
      <c r="D175" s="8"/>
      <c r="E175" s="8"/>
      <c r="F175" s="8"/>
      <c r="G175" s="8"/>
      <c r="H175" s="8"/>
      <c r="I175" s="8"/>
      <c r="J175" s="8"/>
      <c r="K175" s="8"/>
      <c r="L175" s="8"/>
      <c r="M175" s="8"/>
      <c r="N175" s="8"/>
      <c r="O175" s="8"/>
      <c r="P175" s="8"/>
      <c r="Q175" s="8"/>
      <c r="R175" s="8"/>
      <c r="S175" s="8"/>
      <c r="T175" s="8"/>
      <c r="U175" s="8"/>
      <c r="V175" s="8"/>
      <c r="W175" s="8"/>
      <c r="X175" s="8"/>
      <c r="Y175" s="8"/>
      <c r="Z175" s="8"/>
      <c r="AA175" s="8"/>
      <c r="AB175" s="8"/>
      <c r="AC175" s="8"/>
      <c r="AD175" s="8"/>
      <c r="AE175" s="8"/>
      <c r="AF175" s="8"/>
      <c r="AG175" s="8"/>
      <c r="AH175" s="8"/>
      <c r="AI175" s="8"/>
      <c r="AJ175" s="8"/>
      <c r="AK175" s="8"/>
      <c r="AL175" s="8"/>
      <c r="AM175" s="8"/>
      <c r="AN175" s="8"/>
      <c r="AO175" s="8"/>
      <c r="AP175" s="8"/>
      <c r="AQ175" s="8"/>
      <c r="AS175" s="59"/>
      <c r="AT175" s="59"/>
      <c r="AU175" s="59"/>
      <c r="AV175" s="59"/>
      <c r="AW175" s="59"/>
      <c r="AX175" s="59"/>
      <c r="AY175" s="59"/>
      <c r="AZ175" s="59"/>
      <c r="BA175" s="59"/>
      <c r="BB175" s="59"/>
      <c r="BC175" s="59"/>
      <c r="BD175" s="59"/>
      <c r="BE175" s="59"/>
      <c r="BF175" s="59"/>
      <c r="BG175" s="59"/>
      <c r="BH175" s="59"/>
      <c r="BI175" s="59"/>
      <c r="BJ175" s="59"/>
      <c r="BK175" s="59"/>
      <c r="BL175" s="59"/>
      <c r="BM175" s="59"/>
      <c r="BN175" s="59"/>
      <c r="BO175" s="59"/>
      <c r="BP175" s="59"/>
      <c r="BQ175" s="59"/>
      <c r="BR175" s="59"/>
      <c r="BS175" s="59"/>
      <c r="BT175" s="59"/>
      <c r="BU175" s="59"/>
      <c r="BV175" s="59"/>
      <c r="BW175" s="59"/>
      <c r="BX175" s="59"/>
      <c r="BY175" s="59"/>
      <c r="BZ175" s="59"/>
    </row>
    <row r="176" spans="2:78" ht="15.95" hidden="1" customHeight="1">
      <c r="B176" s="929">
        <v>81</v>
      </c>
      <c r="C176" s="8"/>
      <c r="D176" s="8"/>
      <c r="E176" s="8"/>
      <c r="F176" s="8"/>
      <c r="G176" s="8"/>
      <c r="H176" s="8"/>
      <c r="I176" s="8"/>
      <c r="J176" s="8"/>
      <c r="K176" s="8"/>
      <c r="L176" s="8"/>
      <c r="M176" s="8"/>
      <c r="N176" s="8"/>
      <c r="O176" s="8"/>
      <c r="P176" s="8"/>
      <c r="Q176" s="8"/>
      <c r="R176" s="8"/>
      <c r="S176" s="8"/>
      <c r="T176" s="8"/>
      <c r="U176" s="8"/>
      <c r="V176" s="8"/>
      <c r="W176" s="8"/>
      <c r="X176" s="8"/>
      <c r="Y176" s="8"/>
      <c r="Z176" s="8"/>
      <c r="AA176" s="8"/>
      <c r="AB176" s="8"/>
      <c r="AC176" s="8"/>
      <c r="AD176" s="8"/>
      <c r="AE176" s="8"/>
      <c r="AF176" s="8"/>
      <c r="AG176" s="8"/>
      <c r="AH176" s="8"/>
      <c r="AI176" s="8"/>
      <c r="AJ176" s="8"/>
      <c r="AK176" s="8"/>
      <c r="AL176" s="8"/>
      <c r="AM176" s="8"/>
      <c r="AN176" s="8"/>
      <c r="AO176" s="8"/>
      <c r="AP176" s="8"/>
      <c r="AQ176" s="8"/>
      <c r="AS176" s="59"/>
      <c r="AT176" s="59"/>
      <c r="AU176" s="59"/>
      <c r="AV176" s="59"/>
      <c r="AW176" s="59"/>
      <c r="AX176" s="59"/>
      <c r="AY176" s="59"/>
      <c r="AZ176" s="59"/>
      <c r="BA176" s="59"/>
      <c r="BB176" s="59"/>
      <c r="BC176" s="59"/>
      <c r="BD176" s="59"/>
      <c r="BE176" s="59"/>
      <c r="BF176" s="59"/>
      <c r="BG176" s="59"/>
      <c r="BH176" s="59"/>
      <c r="BI176" s="59"/>
      <c r="BJ176" s="59"/>
      <c r="BK176" s="59"/>
      <c r="BL176" s="59"/>
      <c r="BM176" s="59"/>
      <c r="BN176" s="59"/>
      <c r="BO176" s="59"/>
      <c r="BP176" s="59"/>
      <c r="BQ176" s="59"/>
      <c r="BR176" s="59"/>
      <c r="BS176" s="59"/>
      <c r="BT176" s="59"/>
      <c r="BU176" s="59"/>
      <c r="BV176" s="59"/>
      <c r="BW176" s="59"/>
      <c r="BX176" s="59"/>
      <c r="BY176" s="59"/>
      <c r="BZ176" s="59"/>
    </row>
    <row r="177" spans="2:78" ht="15.95" hidden="1" customHeight="1">
      <c r="B177" s="929"/>
      <c r="C177" s="8"/>
      <c r="D177" s="8"/>
      <c r="E177" s="8"/>
      <c r="F177" s="8"/>
      <c r="G177" s="8"/>
      <c r="H177" s="8"/>
      <c r="I177" s="8"/>
      <c r="J177" s="8"/>
      <c r="K177" s="8"/>
      <c r="L177" s="8"/>
      <c r="M177" s="8"/>
      <c r="N177" s="8"/>
      <c r="O177" s="8"/>
      <c r="P177" s="8"/>
      <c r="Q177" s="8"/>
      <c r="R177" s="8"/>
      <c r="S177" s="8"/>
      <c r="T177" s="8"/>
      <c r="U177" s="8"/>
      <c r="V177" s="8"/>
      <c r="W177" s="8"/>
      <c r="X177" s="8"/>
      <c r="Y177" s="8"/>
      <c r="Z177" s="8"/>
      <c r="AA177" s="8"/>
      <c r="AB177" s="8"/>
      <c r="AC177" s="8"/>
      <c r="AD177" s="8"/>
      <c r="AE177" s="8"/>
      <c r="AF177" s="8"/>
      <c r="AG177" s="8"/>
      <c r="AH177" s="8"/>
      <c r="AI177" s="8"/>
      <c r="AJ177" s="8"/>
      <c r="AK177" s="8"/>
      <c r="AL177" s="8"/>
      <c r="AM177" s="8"/>
      <c r="AN177" s="8"/>
      <c r="AO177" s="8"/>
      <c r="AP177" s="8"/>
      <c r="AQ177" s="8"/>
      <c r="AS177" s="59"/>
      <c r="AT177" s="59"/>
      <c r="AU177" s="59"/>
      <c r="AV177" s="59"/>
      <c r="AW177" s="59"/>
      <c r="AX177" s="59"/>
      <c r="AY177" s="59"/>
      <c r="AZ177" s="59"/>
      <c r="BA177" s="59"/>
      <c r="BB177" s="59"/>
      <c r="BC177" s="59"/>
      <c r="BD177" s="59"/>
      <c r="BE177" s="59"/>
      <c r="BF177" s="59"/>
      <c r="BG177" s="59"/>
      <c r="BH177" s="59"/>
      <c r="BI177" s="59"/>
      <c r="BJ177" s="59"/>
      <c r="BK177" s="59"/>
      <c r="BL177" s="59"/>
      <c r="BM177" s="59"/>
      <c r="BN177" s="59"/>
      <c r="BO177" s="59"/>
      <c r="BP177" s="59"/>
      <c r="BQ177" s="59"/>
      <c r="BR177" s="59"/>
      <c r="BS177" s="59"/>
      <c r="BT177" s="59"/>
      <c r="BU177" s="59"/>
      <c r="BV177" s="59"/>
      <c r="BW177" s="59"/>
      <c r="BX177" s="59"/>
      <c r="BY177" s="59"/>
      <c r="BZ177" s="59"/>
    </row>
    <row r="178" spans="2:78" ht="15.95" hidden="1" customHeight="1">
      <c r="B178" s="929">
        <v>82</v>
      </c>
      <c r="C178" s="8"/>
      <c r="D178" s="8"/>
      <c r="E178" s="8"/>
      <c r="F178" s="8"/>
      <c r="G178" s="8"/>
      <c r="H178" s="8"/>
      <c r="I178" s="8"/>
      <c r="J178" s="8"/>
      <c r="K178" s="8"/>
      <c r="L178" s="8"/>
      <c r="M178" s="8"/>
      <c r="N178" s="8"/>
      <c r="O178" s="8"/>
      <c r="P178" s="8"/>
      <c r="Q178" s="8"/>
      <c r="R178" s="8"/>
      <c r="S178" s="8"/>
      <c r="T178" s="8"/>
      <c r="U178" s="8"/>
      <c r="V178" s="8"/>
      <c r="W178" s="8"/>
      <c r="X178" s="8"/>
      <c r="Y178" s="8"/>
      <c r="Z178" s="8"/>
      <c r="AA178" s="8"/>
      <c r="AB178" s="8"/>
      <c r="AC178" s="8"/>
      <c r="AD178" s="8"/>
      <c r="AE178" s="8"/>
      <c r="AF178" s="8"/>
      <c r="AG178" s="8"/>
      <c r="AH178" s="8"/>
      <c r="AI178" s="8"/>
      <c r="AJ178" s="8"/>
      <c r="AK178" s="8"/>
      <c r="AL178" s="8"/>
      <c r="AM178" s="8"/>
      <c r="AN178" s="8"/>
      <c r="AO178" s="8"/>
      <c r="AP178" s="8"/>
      <c r="AQ178" s="8"/>
      <c r="AS178" s="59"/>
      <c r="AT178" s="59"/>
      <c r="AU178" s="59"/>
      <c r="AV178" s="59"/>
      <c r="AW178" s="59"/>
      <c r="AX178" s="59"/>
      <c r="AY178" s="59"/>
      <c r="AZ178" s="59"/>
      <c r="BA178" s="59"/>
      <c r="BB178" s="59"/>
      <c r="BC178" s="59"/>
      <c r="BD178" s="59"/>
      <c r="BE178" s="59"/>
      <c r="BF178" s="59"/>
      <c r="BG178" s="59"/>
      <c r="BH178" s="59"/>
      <c r="BI178" s="59"/>
      <c r="BJ178" s="59"/>
      <c r="BK178" s="59"/>
      <c r="BL178" s="59"/>
      <c r="BM178" s="59"/>
      <c r="BN178" s="59"/>
      <c r="BO178" s="59"/>
      <c r="BP178" s="59"/>
      <c r="BQ178" s="59"/>
      <c r="BR178" s="59"/>
      <c r="BS178" s="59"/>
      <c r="BT178" s="59"/>
      <c r="BU178" s="59"/>
      <c r="BV178" s="59"/>
      <c r="BW178" s="59"/>
      <c r="BX178" s="59"/>
      <c r="BY178" s="59"/>
      <c r="BZ178" s="59"/>
    </row>
    <row r="179" spans="2:78" ht="15.95" hidden="1" customHeight="1">
      <c r="B179" s="929"/>
      <c r="C179" s="8"/>
      <c r="D179" s="8"/>
      <c r="E179" s="8"/>
      <c r="F179" s="8"/>
      <c r="G179" s="8"/>
      <c r="H179" s="8"/>
      <c r="I179" s="8"/>
      <c r="J179" s="8"/>
      <c r="K179" s="8"/>
      <c r="L179" s="8"/>
      <c r="M179" s="8"/>
      <c r="N179" s="8"/>
      <c r="O179" s="8"/>
      <c r="P179" s="8"/>
      <c r="Q179" s="8"/>
      <c r="R179" s="8"/>
      <c r="S179" s="8"/>
      <c r="T179" s="8"/>
      <c r="U179" s="8"/>
      <c r="V179" s="8"/>
      <c r="W179" s="8"/>
      <c r="X179" s="8"/>
      <c r="Y179" s="8"/>
      <c r="Z179" s="8"/>
      <c r="AA179" s="8"/>
      <c r="AB179" s="8"/>
      <c r="AC179" s="8"/>
      <c r="AD179" s="8"/>
      <c r="AE179" s="8"/>
      <c r="AF179" s="8"/>
      <c r="AG179" s="8"/>
      <c r="AH179" s="8"/>
      <c r="AI179" s="8"/>
      <c r="AJ179" s="8"/>
      <c r="AK179" s="8"/>
      <c r="AL179" s="8"/>
      <c r="AM179" s="8"/>
      <c r="AN179" s="8"/>
      <c r="AO179" s="8"/>
      <c r="AP179" s="8"/>
      <c r="AQ179" s="8"/>
      <c r="AS179" s="59"/>
      <c r="AT179" s="59"/>
      <c r="AU179" s="59"/>
      <c r="AV179" s="59"/>
      <c r="AW179" s="59"/>
      <c r="AX179" s="59"/>
      <c r="AY179" s="59"/>
      <c r="AZ179" s="59"/>
      <c r="BA179" s="59"/>
      <c r="BB179" s="59"/>
      <c r="BC179" s="59"/>
      <c r="BD179" s="59"/>
      <c r="BE179" s="59"/>
      <c r="BF179" s="59"/>
      <c r="BG179" s="59"/>
      <c r="BH179" s="59"/>
      <c r="BI179" s="59"/>
      <c r="BJ179" s="59"/>
      <c r="BK179" s="59"/>
      <c r="BL179" s="59"/>
      <c r="BM179" s="59"/>
      <c r="BN179" s="59"/>
      <c r="BO179" s="59"/>
      <c r="BP179" s="59"/>
      <c r="BQ179" s="59"/>
      <c r="BR179" s="59"/>
      <c r="BS179" s="59"/>
      <c r="BT179" s="59"/>
      <c r="BU179" s="59"/>
      <c r="BV179" s="59"/>
      <c r="BW179" s="59"/>
      <c r="BX179" s="59"/>
      <c r="BY179" s="59"/>
      <c r="BZ179" s="59"/>
    </row>
    <row r="180" spans="2:78" ht="15.95" hidden="1" customHeight="1">
      <c r="B180" s="929">
        <v>83</v>
      </c>
      <c r="C180" s="8"/>
      <c r="D180" s="8"/>
      <c r="E180" s="8"/>
      <c r="F180" s="8"/>
      <c r="G180" s="8"/>
      <c r="H180" s="8"/>
      <c r="I180" s="8"/>
      <c r="J180" s="8"/>
      <c r="K180" s="8"/>
      <c r="L180" s="8"/>
      <c r="M180" s="8"/>
      <c r="N180" s="8"/>
      <c r="O180" s="8"/>
      <c r="P180" s="8"/>
      <c r="Q180" s="8"/>
      <c r="R180" s="8"/>
      <c r="S180" s="8"/>
      <c r="T180" s="8"/>
      <c r="U180" s="8"/>
      <c r="V180" s="8"/>
      <c r="W180" s="8"/>
      <c r="X180" s="8"/>
      <c r="Y180" s="8"/>
      <c r="Z180" s="8"/>
      <c r="AA180" s="8"/>
      <c r="AB180" s="8"/>
      <c r="AC180" s="8"/>
      <c r="AD180" s="8"/>
      <c r="AE180" s="8"/>
      <c r="AF180" s="8"/>
      <c r="AG180" s="8"/>
      <c r="AH180" s="8"/>
      <c r="AI180" s="8"/>
      <c r="AJ180" s="8"/>
      <c r="AK180" s="8"/>
      <c r="AL180" s="8"/>
      <c r="AM180" s="8"/>
      <c r="AN180" s="8"/>
      <c r="AO180" s="8"/>
      <c r="AP180" s="8"/>
      <c r="AQ180" s="8"/>
      <c r="AS180" s="59"/>
      <c r="AT180" s="59"/>
      <c r="AU180" s="59"/>
      <c r="AV180" s="59"/>
      <c r="AW180" s="59"/>
      <c r="AX180" s="59"/>
      <c r="AY180" s="59"/>
      <c r="AZ180" s="59"/>
      <c r="BA180" s="59"/>
      <c r="BB180" s="59"/>
      <c r="BC180" s="59"/>
      <c r="BD180" s="59"/>
      <c r="BE180" s="59"/>
      <c r="BF180" s="59"/>
      <c r="BG180" s="59"/>
      <c r="BH180" s="59"/>
      <c r="BI180" s="59"/>
      <c r="BJ180" s="59"/>
      <c r="BK180" s="59"/>
      <c r="BL180" s="59"/>
      <c r="BM180" s="59"/>
      <c r="BN180" s="59"/>
      <c r="BO180" s="59"/>
      <c r="BP180" s="59"/>
      <c r="BQ180" s="59"/>
      <c r="BR180" s="59"/>
      <c r="BS180" s="59"/>
      <c r="BT180" s="59"/>
      <c r="BU180" s="59"/>
      <c r="BV180" s="59"/>
      <c r="BW180" s="59"/>
      <c r="BX180" s="59"/>
      <c r="BY180" s="59"/>
      <c r="BZ180" s="59"/>
    </row>
    <row r="181" spans="2:78" ht="15.95" hidden="1" customHeight="1">
      <c r="B181" s="929"/>
      <c r="C181" s="8"/>
      <c r="D181" s="8"/>
      <c r="E181" s="8"/>
      <c r="F181" s="8"/>
      <c r="G181" s="8"/>
      <c r="H181" s="8"/>
      <c r="I181" s="8"/>
      <c r="J181" s="8"/>
      <c r="K181" s="8"/>
      <c r="L181" s="8"/>
      <c r="M181" s="8"/>
      <c r="N181" s="8"/>
      <c r="O181" s="8"/>
      <c r="P181" s="8"/>
      <c r="Q181" s="8"/>
      <c r="R181" s="8"/>
      <c r="S181" s="8"/>
      <c r="T181" s="8"/>
      <c r="U181" s="8"/>
      <c r="V181" s="8"/>
      <c r="W181" s="8"/>
      <c r="X181" s="8"/>
      <c r="Y181" s="8"/>
      <c r="Z181" s="8"/>
      <c r="AA181" s="8"/>
      <c r="AB181" s="8"/>
      <c r="AC181" s="8"/>
      <c r="AD181" s="8"/>
      <c r="AE181" s="8"/>
      <c r="AF181" s="8"/>
      <c r="AG181" s="8"/>
      <c r="AH181" s="8"/>
      <c r="AI181" s="8"/>
      <c r="AJ181" s="8"/>
      <c r="AK181" s="8"/>
      <c r="AL181" s="8"/>
      <c r="AM181" s="8"/>
      <c r="AN181" s="8"/>
      <c r="AO181" s="8"/>
      <c r="AP181" s="8"/>
      <c r="AQ181" s="8"/>
      <c r="AS181" s="59"/>
      <c r="AT181" s="59"/>
      <c r="AU181" s="59"/>
      <c r="AV181" s="59"/>
      <c r="AW181" s="59"/>
      <c r="AX181" s="59"/>
      <c r="AY181" s="59"/>
      <c r="AZ181" s="59"/>
      <c r="BA181" s="59"/>
      <c r="BB181" s="59"/>
      <c r="BC181" s="59"/>
      <c r="BD181" s="59"/>
      <c r="BE181" s="59"/>
      <c r="BF181" s="59"/>
      <c r="BG181" s="59"/>
      <c r="BH181" s="59"/>
      <c r="BI181" s="59"/>
      <c r="BJ181" s="59"/>
      <c r="BK181" s="59"/>
      <c r="BL181" s="59"/>
      <c r="BM181" s="59"/>
      <c r="BN181" s="59"/>
      <c r="BO181" s="59"/>
      <c r="BP181" s="59"/>
      <c r="BQ181" s="59"/>
      <c r="BR181" s="59"/>
      <c r="BS181" s="59"/>
      <c r="BT181" s="59"/>
      <c r="BU181" s="59"/>
      <c r="BV181" s="59"/>
      <c r="BW181" s="59"/>
      <c r="BX181" s="59"/>
      <c r="BY181" s="59"/>
      <c r="BZ181" s="59"/>
    </row>
    <row r="182" spans="2:78" ht="15.95" hidden="1" customHeight="1">
      <c r="B182" s="929">
        <v>84</v>
      </c>
      <c r="C182" s="8"/>
      <c r="D182" s="8"/>
      <c r="E182" s="8"/>
      <c r="F182" s="8"/>
      <c r="G182" s="8"/>
      <c r="H182" s="8"/>
      <c r="I182" s="8"/>
      <c r="J182" s="8"/>
      <c r="K182" s="8"/>
      <c r="L182" s="8"/>
      <c r="M182" s="8"/>
      <c r="N182" s="8"/>
      <c r="O182" s="8"/>
      <c r="P182" s="8"/>
      <c r="Q182" s="8"/>
      <c r="R182" s="8"/>
      <c r="S182" s="8"/>
      <c r="T182" s="8"/>
      <c r="U182" s="8"/>
      <c r="V182" s="8"/>
      <c r="W182" s="8"/>
      <c r="X182" s="8"/>
      <c r="Y182" s="8"/>
      <c r="Z182" s="8"/>
      <c r="AA182" s="8"/>
      <c r="AB182" s="8"/>
      <c r="AC182" s="8"/>
      <c r="AD182" s="8"/>
      <c r="AE182" s="8"/>
      <c r="AF182" s="8"/>
      <c r="AG182" s="8"/>
      <c r="AH182" s="8"/>
      <c r="AI182" s="8"/>
      <c r="AJ182" s="8"/>
      <c r="AK182" s="8"/>
      <c r="AL182" s="8"/>
      <c r="AM182" s="8"/>
      <c r="AN182" s="8"/>
      <c r="AO182" s="8"/>
      <c r="AP182" s="8"/>
      <c r="AQ182" s="8"/>
      <c r="AS182" s="59"/>
      <c r="AT182" s="59"/>
      <c r="AU182" s="59"/>
      <c r="AV182" s="59"/>
      <c r="AW182" s="59"/>
      <c r="AX182" s="59"/>
      <c r="AY182" s="59"/>
      <c r="AZ182" s="59"/>
      <c r="BA182" s="59"/>
      <c r="BB182" s="59"/>
      <c r="BC182" s="59"/>
      <c r="BD182" s="59"/>
      <c r="BE182" s="59"/>
      <c r="BF182" s="59"/>
      <c r="BG182" s="59"/>
      <c r="BH182" s="59"/>
      <c r="BI182" s="59"/>
      <c r="BJ182" s="59"/>
      <c r="BK182" s="59"/>
      <c r="BL182" s="59"/>
      <c r="BM182" s="59"/>
      <c r="BN182" s="59"/>
      <c r="BO182" s="59"/>
      <c r="BP182" s="59"/>
      <c r="BQ182" s="59"/>
      <c r="BR182" s="59"/>
      <c r="BS182" s="59"/>
      <c r="BT182" s="59"/>
      <c r="BU182" s="59"/>
      <c r="BV182" s="59"/>
      <c r="BW182" s="59"/>
      <c r="BX182" s="59"/>
      <c r="BY182" s="59"/>
      <c r="BZ182" s="59"/>
    </row>
    <row r="183" spans="2:78" ht="15.95" hidden="1" customHeight="1">
      <c r="B183" s="929"/>
      <c r="C183" s="8"/>
      <c r="D183" s="8"/>
      <c r="E183" s="8"/>
      <c r="F183" s="8"/>
      <c r="G183" s="8"/>
      <c r="H183" s="8"/>
      <c r="I183" s="8"/>
      <c r="J183" s="8"/>
      <c r="K183" s="8"/>
      <c r="L183" s="8"/>
      <c r="M183" s="8"/>
      <c r="N183" s="8"/>
      <c r="O183" s="8"/>
      <c r="P183" s="8"/>
      <c r="Q183" s="8"/>
      <c r="R183" s="8"/>
      <c r="S183" s="8"/>
      <c r="T183" s="8"/>
      <c r="U183" s="8"/>
      <c r="V183" s="8"/>
      <c r="W183" s="8"/>
      <c r="X183" s="8"/>
      <c r="Y183" s="8"/>
      <c r="Z183" s="8"/>
      <c r="AA183" s="8"/>
      <c r="AB183" s="8"/>
      <c r="AC183" s="8"/>
      <c r="AD183" s="8"/>
      <c r="AE183" s="8"/>
      <c r="AF183" s="8"/>
      <c r="AG183" s="8"/>
      <c r="AH183" s="8"/>
      <c r="AI183" s="8"/>
      <c r="AJ183" s="8"/>
      <c r="AK183" s="8"/>
      <c r="AL183" s="8"/>
      <c r="AM183" s="8"/>
      <c r="AN183" s="8"/>
      <c r="AO183" s="8"/>
      <c r="AP183" s="8"/>
      <c r="AQ183" s="8"/>
      <c r="AS183" s="59"/>
      <c r="AT183" s="59"/>
      <c r="AU183" s="59"/>
      <c r="AV183" s="59"/>
      <c r="AW183" s="59"/>
      <c r="AX183" s="59"/>
      <c r="AY183" s="59"/>
      <c r="AZ183" s="59"/>
      <c r="BA183" s="59"/>
      <c r="BB183" s="59"/>
      <c r="BC183" s="59"/>
      <c r="BD183" s="59"/>
      <c r="BE183" s="59"/>
      <c r="BF183" s="59"/>
      <c r="BG183" s="59"/>
      <c r="BH183" s="59"/>
      <c r="BI183" s="59"/>
      <c r="BJ183" s="59"/>
      <c r="BK183" s="59"/>
      <c r="BL183" s="59"/>
      <c r="BM183" s="59"/>
      <c r="BN183" s="59"/>
      <c r="BO183" s="59"/>
      <c r="BP183" s="59"/>
      <c r="BQ183" s="59"/>
      <c r="BR183" s="59"/>
      <c r="BS183" s="59"/>
      <c r="BT183" s="59"/>
      <c r="BU183" s="59"/>
      <c r="BV183" s="59"/>
      <c r="BW183" s="59"/>
      <c r="BX183" s="59"/>
      <c r="BY183" s="59"/>
      <c r="BZ183" s="59"/>
    </row>
    <row r="184" spans="2:78" ht="15.95" hidden="1" customHeight="1">
      <c r="B184" s="929">
        <v>85</v>
      </c>
      <c r="C184" s="8"/>
      <c r="D184" s="8"/>
      <c r="E184" s="8"/>
      <c r="F184" s="8"/>
      <c r="G184" s="8"/>
      <c r="H184" s="8"/>
      <c r="I184" s="8"/>
      <c r="J184" s="8"/>
      <c r="K184" s="8"/>
      <c r="L184" s="8"/>
      <c r="M184" s="8"/>
      <c r="N184" s="8"/>
      <c r="O184" s="8"/>
      <c r="P184" s="8"/>
      <c r="Q184" s="8"/>
      <c r="R184" s="8"/>
      <c r="S184" s="8"/>
      <c r="T184" s="8"/>
      <c r="U184" s="8"/>
      <c r="V184" s="8"/>
      <c r="W184" s="8"/>
      <c r="X184" s="8"/>
      <c r="Y184" s="8"/>
      <c r="Z184" s="8"/>
      <c r="AA184" s="8"/>
      <c r="AB184" s="8"/>
      <c r="AC184" s="8"/>
      <c r="AD184" s="8"/>
      <c r="AE184" s="8"/>
      <c r="AF184" s="8"/>
      <c r="AG184" s="8"/>
      <c r="AH184" s="8"/>
      <c r="AI184" s="8"/>
      <c r="AJ184" s="8"/>
      <c r="AK184" s="8"/>
      <c r="AL184" s="8"/>
      <c r="AM184" s="8"/>
      <c r="AN184" s="8"/>
      <c r="AO184" s="8"/>
      <c r="AP184" s="8"/>
      <c r="AQ184" s="8"/>
      <c r="AS184" s="59"/>
      <c r="AT184" s="59"/>
      <c r="AU184" s="59"/>
      <c r="AV184" s="59"/>
      <c r="AW184" s="59"/>
      <c r="AX184" s="59"/>
      <c r="AY184" s="59"/>
      <c r="AZ184" s="59"/>
      <c r="BA184" s="59"/>
      <c r="BB184" s="59"/>
      <c r="BC184" s="59"/>
      <c r="BD184" s="59"/>
      <c r="BE184" s="59"/>
      <c r="BF184" s="59"/>
      <c r="BG184" s="59"/>
      <c r="BH184" s="59"/>
      <c r="BI184" s="59"/>
      <c r="BJ184" s="59"/>
      <c r="BK184" s="59"/>
      <c r="BL184" s="59"/>
      <c r="BM184" s="59"/>
      <c r="BN184" s="59"/>
      <c r="BO184" s="59"/>
      <c r="BP184" s="59"/>
      <c r="BQ184" s="59"/>
      <c r="BR184" s="59"/>
      <c r="BS184" s="59"/>
      <c r="BT184" s="59"/>
      <c r="BU184" s="59"/>
      <c r="BV184" s="59"/>
      <c r="BW184" s="59"/>
      <c r="BX184" s="59"/>
      <c r="BY184" s="59"/>
      <c r="BZ184" s="59"/>
    </row>
    <row r="185" spans="2:78" ht="15.95" hidden="1" customHeight="1">
      <c r="B185" s="929"/>
      <c r="C185" s="8"/>
      <c r="D185" s="8"/>
      <c r="E185" s="8"/>
      <c r="F185" s="8"/>
      <c r="G185" s="8"/>
      <c r="H185" s="8"/>
      <c r="I185" s="8"/>
      <c r="J185" s="8"/>
      <c r="K185" s="8"/>
      <c r="L185" s="8"/>
      <c r="M185" s="8"/>
      <c r="N185" s="8"/>
      <c r="O185" s="8"/>
      <c r="P185" s="8"/>
      <c r="Q185" s="8"/>
      <c r="R185" s="8"/>
      <c r="S185" s="8"/>
      <c r="T185" s="8"/>
      <c r="U185" s="8"/>
      <c r="V185" s="8"/>
      <c r="W185" s="8"/>
      <c r="X185" s="8"/>
      <c r="Y185" s="8"/>
      <c r="Z185" s="8"/>
      <c r="AA185" s="8"/>
      <c r="AB185" s="8"/>
      <c r="AC185" s="8"/>
      <c r="AD185" s="8"/>
      <c r="AE185" s="8"/>
      <c r="AF185" s="8"/>
      <c r="AG185" s="8"/>
      <c r="AH185" s="8"/>
      <c r="AI185" s="8"/>
      <c r="AJ185" s="8"/>
      <c r="AK185" s="8"/>
      <c r="AL185" s="8"/>
      <c r="AM185" s="8"/>
      <c r="AN185" s="8"/>
      <c r="AO185" s="8"/>
      <c r="AP185" s="8"/>
      <c r="AQ185" s="8"/>
      <c r="AS185" s="59"/>
      <c r="AT185" s="59"/>
      <c r="AU185" s="59"/>
      <c r="AV185" s="59"/>
      <c r="AW185" s="59"/>
      <c r="AX185" s="59"/>
      <c r="AY185" s="59"/>
      <c r="AZ185" s="59"/>
      <c r="BA185" s="59"/>
      <c r="BB185" s="59"/>
      <c r="BC185" s="59"/>
      <c r="BD185" s="59"/>
      <c r="BE185" s="59"/>
      <c r="BF185" s="59"/>
      <c r="BG185" s="59"/>
      <c r="BH185" s="59"/>
      <c r="BI185" s="59"/>
      <c r="BJ185" s="59"/>
      <c r="BK185" s="59"/>
      <c r="BL185" s="59"/>
      <c r="BM185" s="59"/>
      <c r="BN185" s="59"/>
      <c r="BO185" s="59"/>
      <c r="BP185" s="59"/>
      <c r="BQ185" s="59"/>
      <c r="BR185" s="59"/>
      <c r="BS185" s="59"/>
      <c r="BT185" s="59"/>
      <c r="BU185" s="59"/>
      <c r="BV185" s="59"/>
      <c r="BW185" s="59"/>
      <c r="BX185" s="59"/>
      <c r="BY185" s="59"/>
      <c r="BZ185" s="59"/>
    </row>
    <row r="186" spans="2:78" ht="15.95" hidden="1" customHeight="1">
      <c r="B186" s="929">
        <v>86</v>
      </c>
      <c r="C186" s="8"/>
      <c r="D186" s="8"/>
      <c r="E186" s="8"/>
      <c r="F186" s="8"/>
      <c r="G186" s="8"/>
      <c r="H186" s="8"/>
      <c r="I186" s="8"/>
      <c r="J186" s="8"/>
      <c r="K186" s="8"/>
      <c r="L186" s="8"/>
      <c r="M186" s="8"/>
      <c r="N186" s="8"/>
      <c r="O186" s="8"/>
      <c r="P186" s="8"/>
      <c r="Q186" s="8"/>
      <c r="R186" s="8"/>
      <c r="S186" s="8"/>
      <c r="T186" s="8"/>
      <c r="U186" s="8"/>
      <c r="V186" s="8"/>
      <c r="W186" s="8"/>
      <c r="X186" s="8"/>
      <c r="Y186" s="8"/>
      <c r="Z186" s="8"/>
      <c r="AA186" s="8"/>
      <c r="AB186" s="8"/>
      <c r="AC186" s="8"/>
      <c r="AD186" s="8"/>
      <c r="AE186" s="8"/>
      <c r="AF186" s="8"/>
      <c r="AG186" s="8"/>
      <c r="AH186" s="8"/>
      <c r="AI186" s="8"/>
      <c r="AJ186" s="8"/>
      <c r="AK186" s="8"/>
      <c r="AL186" s="8"/>
      <c r="AM186" s="8"/>
      <c r="AN186" s="8"/>
      <c r="AO186" s="8"/>
      <c r="AP186" s="8"/>
      <c r="AQ186" s="8"/>
      <c r="AS186" s="59"/>
      <c r="AT186" s="59"/>
      <c r="AU186" s="59"/>
      <c r="AV186" s="59"/>
      <c r="AW186" s="59"/>
      <c r="AX186" s="59"/>
      <c r="AY186" s="59"/>
      <c r="AZ186" s="59"/>
      <c r="BA186" s="59"/>
      <c r="BB186" s="59"/>
      <c r="BC186" s="59"/>
      <c r="BD186" s="59"/>
      <c r="BE186" s="59"/>
      <c r="BF186" s="59"/>
      <c r="BG186" s="59"/>
      <c r="BH186" s="59"/>
      <c r="BI186" s="59"/>
      <c r="BJ186" s="59"/>
      <c r="BK186" s="59"/>
      <c r="BL186" s="59"/>
      <c r="BM186" s="59"/>
      <c r="BN186" s="59"/>
      <c r="BO186" s="59"/>
      <c r="BP186" s="59"/>
      <c r="BQ186" s="59"/>
      <c r="BR186" s="59"/>
      <c r="BS186" s="59"/>
      <c r="BT186" s="59"/>
      <c r="BU186" s="59"/>
      <c r="BV186" s="59"/>
      <c r="BW186" s="59"/>
      <c r="BX186" s="59"/>
      <c r="BY186" s="59"/>
      <c r="BZ186" s="59"/>
    </row>
    <row r="187" spans="2:78" ht="15.95" hidden="1" customHeight="1">
      <c r="B187" s="929"/>
      <c r="C187" s="8"/>
      <c r="D187" s="8"/>
      <c r="E187" s="8"/>
      <c r="F187" s="8"/>
      <c r="G187" s="8"/>
      <c r="H187" s="8"/>
      <c r="I187" s="8"/>
      <c r="J187" s="8"/>
      <c r="K187" s="8"/>
      <c r="L187" s="8"/>
      <c r="M187" s="8"/>
      <c r="N187" s="8"/>
      <c r="O187" s="8"/>
      <c r="P187" s="8"/>
      <c r="Q187" s="8"/>
      <c r="R187" s="8"/>
      <c r="S187" s="8"/>
      <c r="T187" s="8"/>
      <c r="U187" s="8"/>
      <c r="V187" s="8"/>
      <c r="W187" s="8"/>
      <c r="X187" s="8"/>
      <c r="Y187" s="8"/>
      <c r="Z187" s="8"/>
      <c r="AA187" s="8"/>
      <c r="AB187" s="8"/>
      <c r="AC187" s="8"/>
      <c r="AD187" s="8"/>
      <c r="AE187" s="8"/>
      <c r="AF187" s="8"/>
      <c r="AG187" s="8"/>
      <c r="AH187" s="8"/>
      <c r="AI187" s="8"/>
      <c r="AJ187" s="8"/>
      <c r="AK187" s="8"/>
      <c r="AL187" s="8"/>
      <c r="AM187" s="8"/>
      <c r="AN187" s="8"/>
      <c r="AO187" s="8"/>
      <c r="AP187" s="8"/>
      <c r="AQ187" s="8"/>
      <c r="AS187" s="59"/>
      <c r="AT187" s="59"/>
      <c r="AU187" s="59"/>
      <c r="AV187" s="59"/>
      <c r="AW187" s="59"/>
      <c r="AX187" s="59"/>
      <c r="AY187" s="59"/>
      <c r="AZ187" s="59"/>
      <c r="BA187" s="59"/>
      <c r="BB187" s="59"/>
      <c r="BC187" s="59"/>
      <c r="BD187" s="59"/>
      <c r="BE187" s="59"/>
      <c r="BF187" s="59"/>
      <c r="BG187" s="59"/>
      <c r="BH187" s="59"/>
      <c r="BI187" s="59"/>
      <c r="BJ187" s="59"/>
      <c r="BK187" s="59"/>
      <c r="BL187" s="59"/>
      <c r="BM187" s="59"/>
      <c r="BN187" s="59"/>
      <c r="BO187" s="59"/>
      <c r="BP187" s="59"/>
      <c r="BQ187" s="59"/>
      <c r="BR187" s="59"/>
      <c r="BS187" s="59"/>
      <c r="BT187" s="59"/>
      <c r="BU187" s="59"/>
      <c r="BV187" s="59"/>
      <c r="BW187" s="59"/>
      <c r="BX187" s="59"/>
      <c r="BY187" s="59"/>
      <c r="BZ187" s="59"/>
    </row>
    <row r="188" spans="2:78" ht="15.95" hidden="1" customHeight="1">
      <c r="B188" s="929">
        <v>87</v>
      </c>
      <c r="C188" s="8"/>
      <c r="D188" s="8"/>
      <c r="E188" s="8"/>
      <c r="F188" s="8"/>
      <c r="G188" s="8"/>
      <c r="H188" s="8"/>
      <c r="I188" s="8"/>
      <c r="J188" s="8"/>
      <c r="K188" s="8"/>
      <c r="L188" s="8"/>
      <c r="M188" s="8"/>
      <c r="N188" s="8"/>
      <c r="O188" s="8"/>
      <c r="P188" s="8"/>
      <c r="Q188" s="8"/>
      <c r="R188" s="8"/>
      <c r="S188" s="8"/>
      <c r="T188" s="8"/>
      <c r="U188" s="8"/>
      <c r="V188" s="8"/>
      <c r="W188" s="8"/>
      <c r="X188" s="8"/>
      <c r="Y188" s="8"/>
      <c r="Z188" s="8"/>
      <c r="AA188" s="8"/>
      <c r="AB188" s="8"/>
      <c r="AC188" s="8"/>
      <c r="AD188" s="8"/>
      <c r="AE188" s="8"/>
      <c r="AF188" s="8"/>
      <c r="AG188" s="8"/>
      <c r="AH188" s="8"/>
      <c r="AI188" s="8"/>
      <c r="AJ188" s="8"/>
      <c r="AK188" s="8"/>
      <c r="AL188" s="8"/>
      <c r="AM188" s="8"/>
      <c r="AN188" s="8"/>
      <c r="AO188" s="8"/>
      <c r="AP188" s="8"/>
      <c r="AQ188" s="8"/>
      <c r="AS188" s="59"/>
      <c r="AT188" s="59"/>
      <c r="AU188" s="59"/>
      <c r="AV188" s="59"/>
      <c r="AW188" s="59"/>
      <c r="AX188" s="59"/>
      <c r="AY188" s="59"/>
      <c r="AZ188" s="59"/>
      <c r="BA188" s="59"/>
      <c r="BB188" s="59"/>
      <c r="BC188" s="59"/>
      <c r="BD188" s="59"/>
      <c r="BE188" s="59"/>
      <c r="BF188" s="59"/>
      <c r="BG188" s="59"/>
      <c r="BH188" s="59"/>
      <c r="BI188" s="59"/>
      <c r="BJ188" s="59"/>
      <c r="BK188" s="59"/>
      <c r="BL188" s="59"/>
      <c r="BM188" s="59"/>
      <c r="BN188" s="59"/>
      <c r="BO188" s="59"/>
      <c r="BP188" s="59"/>
      <c r="BQ188" s="59"/>
      <c r="BR188" s="59"/>
      <c r="BS188" s="59"/>
      <c r="BT188" s="59"/>
      <c r="BU188" s="59"/>
      <c r="BV188" s="59"/>
      <c r="BW188" s="59"/>
      <c r="BX188" s="59"/>
      <c r="BY188" s="59"/>
      <c r="BZ188" s="59"/>
    </row>
    <row r="189" spans="2:78" ht="15.95" hidden="1" customHeight="1">
      <c r="B189" s="929"/>
      <c r="C189" s="8"/>
      <c r="D189" s="8"/>
      <c r="E189" s="8"/>
      <c r="F189" s="8"/>
      <c r="G189" s="8"/>
      <c r="H189" s="8"/>
      <c r="I189" s="8"/>
      <c r="J189" s="8"/>
      <c r="K189" s="8"/>
      <c r="L189" s="8"/>
      <c r="M189" s="8"/>
      <c r="N189" s="8"/>
      <c r="O189" s="8"/>
      <c r="P189" s="8"/>
      <c r="Q189" s="8"/>
      <c r="R189" s="8"/>
      <c r="S189" s="8"/>
      <c r="T189" s="8"/>
      <c r="U189" s="8"/>
      <c r="V189" s="8"/>
      <c r="W189" s="8"/>
      <c r="X189" s="8"/>
      <c r="Y189" s="8"/>
      <c r="Z189" s="8"/>
      <c r="AA189" s="8"/>
      <c r="AB189" s="8"/>
      <c r="AC189" s="8"/>
      <c r="AD189" s="8"/>
      <c r="AE189" s="8"/>
      <c r="AF189" s="8"/>
      <c r="AG189" s="8"/>
      <c r="AH189" s="8"/>
      <c r="AI189" s="8"/>
      <c r="AJ189" s="8"/>
      <c r="AK189" s="8"/>
      <c r="AL189" s="8"/>
      <c r="AM189" s="8"/>
      <c r="AN189" s="8"/>
      <c r="AO189" s="8"/>
      <c r="AP189" s="8"/>
      <c r="AQ189" s="8"/>
      <c r="AS189" s="59"/>
      <c r="AT189" s="59"/>
      <c r="AU189" s="59"/>
      <c r="AV189" s="59"/>
      <c r="AW189" s="59"/>
      <c r="AX189" s="59"/>
      <c r="AY189" s="59"/>
      <c r="AZ189" s="59"/>
      <c r="BA189" s="59"/>
      <c r="BB189" s="59"/>
      <c r="BC189" s="59"/>
      <c r="BD189" s="59"/>
      <c r="BE189" s="59"/>
      <c r="BF189" s="59"/>
      <c r="BG189" s="59"/>
      <c r="BH189" s="59"/>
      <c r="BI189" s="59"/>
      <c r="BJ189" s="59"/>
      <c r="BK189" s="59"/>
      <c r="BL189" s="59"/>
      <c r="BM189" s="59"/>
      <c r="BN189" s="59"/>
      <c r="BO189" s="59"/>
      <c r="BP189" s="59"/>
      <c r="BQ189" s="59"/>
      <c r="BR189" s="59"/>
      <c r="BS189" s="59"/>
      <c r="BT189" s="59"/>
      <c r="BU189" s="59"/>
      <c r="BV189" s="59"/>
      <c r="BW189" s="59"/>
      <c r="BX189" s="59"/>
      <c r="BY189" s="59"/>
      <c r="BZ189" s="59"/>
    </row>
    <row r="190" spans="2:78" ht="15.95" hidden="1" customHeight="1">
      <c r="B190" s="929">
        <v>88</v>
      </c>
      <c r="C190" s="8"/>
      <c r="D190" s="8"/>
      <c r="E190" s="8"/>
      <c r="F190" s="8"/>
      <c r="G190" s="8"/>
      <c r="H190" s="8"/>
      <c r="I190" s="8"/>
      <c r="J190" s="8"/>
      <c r="K190" s="8"/>
      <c r="L190" s="8"/>
      <c r="M190" s="8"/>
      <c r="N190" s="8"/>
      <c r="O190" s="8"/>
      <c r="P190" s="8"/>
      <c r="Q190" s="8"/>
      <c r="R190" s="8"/>
      <c r="S190" s="8"/>
      <c r="T190" s="8"/>
      <c r="U190" s="8"/>
      <c r="V190" s="8"/>
      <c r="W190" s="8"/>
      <c r="X190" s="8"/>
      <c r="Y190" s="8"/>
      <c r="Z190" s="8"/>
      <c r="AA190" s="8"/>
      <c r="AB190" s="8"/>
      <c r="AC190" s="8"/>
      <c r="AD190" s="8"/>
      <c r="AE190" s="8"/>
      <c r="AF190" s="8"/>
      <c r="AG190" s="8"/>
      <c r="AH190" s="8"/>
      <c r="AI190" s="8"/>
      <c r="AJ190" s="8"/>
      <c r="AK190" s="8"/>
      <c r="AL190" s="8"/>
      <c r="AM190" s="8"/>
      <c r="AN190" s="8"/>
      <c r="AO190" s="8"/>
      <c r="AP190" s="8"/>
      <c r="AQ190" s="8"/>
      <c r="AS190" s="59"/>
      <c r="AT190" s="59"/>
      <c r="AU190" s="59"/>
      <c r="AV190" s="59"/>
      <c r="AW190" s="59"/>
      <c r="AX190" s="59"/>
      <c r="AY190" s="59"/>
      <c r="AZ190" s="59"/>
      <c r="BA190" s="59"/>
      <c r="BB190" s="59"/>
      <c r="BC190" s="59"/>
      <c r="BD190" s="59"/>
      <c r="BE190" s="59"/>
      <c r="BF190" s="59"/>
      <c r="BG190" s="59"/>
      <c r="BH190" s="59"/>
      <c r="BI190" s="59"/>
      <c r="BJ190" s="59"/>
      <c r="BK190" s="59"/>
      <c r="BL190" s="59"/>
      <c r="BM190" s="59"/>
      <c r="BN190" s="59"/>
      <c r="BO190" s="59"/>
      <c r="BP190" s="59"/>
      <c r="BQ190" s="59"/>
      <c r="BR190" s="59"/>
      <c r="BS190" s="59"/>
      <c r="BT190" s="59"/>
      <c r="BU190" s="59"/>
      <c r="BV190" s="59"/>
      <c r="BW190" s="59"/>
      <c r="BX190" s="59"/>
      <c r="BY190" s="59"/>
      <c r="BZ190" s="59"/>
    </row>
    <row r="191" spans="2:78" ht="15.95" hidden="1" customHeight="1">
      <c r="B191" s="929"/>
      <c r="C191" s="8"/>
      <c r="D191" s="8"/>
      <c r="E191" s="8"/>
      <c r="F191" s="8"/>
      <c r="G191" s="8"/>
      <c r="H191" s="8"/>
      <c r="I191" s="8"/>
      <c r="J191" s="8"/>
      <c r="K191" s="8"/>
      <c r="L191" s="8"/>
      <c r="M191" s="8"/>
      <c r="N191" s="8"/>
      <c r="O191" s="8"/>
      <c r="P191" s="8"/>
      <c r="Q191" s="8"/>
      <c r="R191" s="8"/>
      <c r="S191" s="8"/>
      <c r="T191" s="8"/>
      <c r="U191" s="8"/>
      <c r="V191" s="8"/>
      <c r="W191" s="8"/>
      <c r="X191" s="8"/>
      <c r="Y191" s="8"/>
      <c r="Z191" s="8"/>
      <c r="AA191" s="8"/>
      <c r="AB191" s="8"/>
      <c r="AC191" s="8"/>
      <c r="AD191" s="8"/>
      <c r="AE191" s="8"/>
      <c r="AF191" s="8"/>
      <c r="AG191" s="8"/>
      <c r="AH191" s="8"/>
      <c r="AI191" s="8"/>
      <c r="AJ191" s="8"/>
      <c r="AK191" s="8"/>
      <c r="AL191" s="8"/>
      <c r="AM191" s="8"/>
      <c r="AN191" s="8"/>
      <c r="AO191" s="8"/>
      <c r="AP191" s="8"/>
      <c r="AQ191" s="8"/>
      <c r="AS191" s="59"/>
      <c r="AT191" s="59"/>
      <c r="AU191" s="59"/>
      <c r="AV191" s="59"/>
      <c r="AW191" s="59"/>
      <c r="AX191" s="59"/>
      <c r="AY191" s="59"/>
      <c r="AZ191" s="59"/>
      <c r="BA191" s="59"/>
      <c r="BB191" s="59"/>
      <c r="BC191" s="59"/>
      <c r="BD191" s="59"/>
      <c r="BE191" s="59"/>
      <c r="BF191" s="59"/>
      <c r="BG191" s="59"/>
      <c r="BH191" s="59"/>
      <c r="BI191" s="59"/>
      <c r="BJ191" s="59"/>
      <c r="BK191" s="59"/>
      <c r="BL191" s="59"/>
      <c r="BM191" s="59"/>
      <c r="BN191" s="59"/>
      <c r="BO191" s="59"/>
      <c r="BP191" s="59"/>
      <c r="BQ191" s="59"/>
      <c r="BR191" s="59"/>
      <c r="BS191" s="59"/>
      <c r="BT191" s="59"/>
      <c r="BU191" s="59"/>
      <c r="BV191" s="59"/>
      <c r="BW191" s="59"/>
      <c r="BX191" s="59"/>
      <c r="BY191" s="59"/>
      <c r="BZ191" s="59"/>
    </row>
    <row r="192" spans="2:78" ht="15.95" hidden="1" customHeight="1">
      <c r="B192" s="929">
        <v>89</v>
      </c>
      <c r="C192" s="8"/>
      <c r="D192" s="8"/>
      <c r="E192" s="8"/>
      <c r="F192" s="8"/>
      <c r="G192" s="8"/>
      <c r="H192" s="8"/>
      <c r="I192" s="8"/>
      <c r="J192" s="8"/>
      <c r="K192" s="8"/>
      <c r="L192" s="8"/>
      <c r="M192" s="8"/>
      <c r="N192" s="8"/>
      <c r="O192" s="8"/>
      <c r="P192" s="8"/>
      <c r="Q192" s="8"/>
      <c r="R192" s="8"/>
      <c r="S192" s="8"/>
      <c r="T192" s="8"/>
      <c r="U192" s="8"/>
      <c r="V192" s="8"/>
      <c r="W192" s="8"/>
      <c r="X192" s="8"/>
      <c r="Y192" s="8"/>
      <c r="Z192" s="8"/>
      <c r="AA192" s="8"/>
      <c r="AB192" s="8"/>
      <c r="AC192" s="8"/>
      <c r="AD192" s="8"/>
      <c r="AE192" s="8"/>
      <c r="AF192" s="8"/>
      <c r="AG192" s="8"/>
      <c r="AH192" s="8"/>
      <c r="AI192" s="8"/>
      <c r="AJ192" s="8"/>
      <c r="AK192" s="8"/>
      <c r="AL192" s="8"/>
      <c r="AM192" s="8"/>
      <c r="AN192" s="8"/>
      <c r="AO192" s="8"/>
      <c r="AP192" s="8"/>
      <c r="AQ192" s="8"/>
      <c r="AS192" s="59"/>
      <c r="AT192" s="59"/>
      <c r="AU192" s="59"/>
      <c r="AV192" s="59"/>
      <c r="AW192" s="59"/>
      <c r="AX192" s="59"/>
      <c r="AY192" s="59"/>
      <c r="AZ192" s="59"/>
      <c r="BA192" s="59"/>
      <c r="BB192" s="59"/>
      <c r="BC192" s="59"/>
      <c r="BD192" s="59"/>
      <c r="BE192" s="59"/>
      <c r="BF192" s="59"/>
      <c r="BG192" s="59"/>
      <c r="BH192" s="59"/>
      <c r="BI192" s="59"/>
      <c r="BJ192" s="59"/>
      <c r="BK192" s="59"/>
      <c r="BL192" s="59"/>
      <c r="BM192" s="59"/>
      <c r="BN192" s="59"/>
      <c r="BO192" s="59"/>
      <c r="BP192" s="59"/>
      <c r="BQ192" s="59"/>
      <c r="BR192" s="59"/>
      <c r="BS192" s="59"/>
      <c r="BT192" s="59"/>
      <c r="BU192" s="59"/>
      <c r="BV192" s="59"/>
      <c r="BW192" s="59"/>
      <c r="BX192" s="59"/>
      <c r="BY192" s="59"/>
      <c r="BZ192" s="59"/>
    </row>
    <row r="193" spans="2:78" ht="15.95" hidden="1" customHeight="1">
      <c r="B193" s="929"/>
      <c r="C193" s="8"/>
      <c r="D193" s="8"/>
      <c r="E193" s="8"/>
      <c r="F193" s="8"/>
      <c r="G193" s="8"/>
      <c r="H193" s="8"/>
      <c r="I193" s="8"/>
      <c r="J193" s="8"/>
      <c r="K193" s="8"/>
      <c r="L193" s="8"/>
      <c r="M193" s="8"/>
      <c r="N193" s="8"/>
      <c r="O193" s="8"/>
      <c r="P193" s="8"/>
      <c r="Q193" s="8"/>
      <c r="R193" s="8"/>
      <c r="S193" s="8"/>
      <c r="T193" s="8"/>
      <c r="U193" s="8"/>
      <c r="V193" s="8"/>
      <c r="W193" s="8"/>
      <c r="X193" s="8"/>
      <c r="Y193" s="8"/>
      <c r="Z193" s="8"/>
      <c r="AA193" s="8"/>
      <c r="AB193" s="8"/>
      <c r="AC193" s="8"/>
      <c r="AD193" s="8"/>
      <c r="AE193" s="8"/>
      <c r="AF193" s="8"/>
      <c r="AG193" s="8"/>
      <c r="AH193" s="8"/>
      <c r="AI193" s="8"/>
      <c r="AJ193" s="8"/>
      <c r="AK193" s="8"/>
      <c r="AL193" s="8"/>
      <c r="AM193" s="8"/>
      <c r="AN193" s="8"/>
      <c r="AO193" s="8"/>
      <c r="AP193" s="8"/>
      <c r="AQ193" s="8"/>
      <c r="AS193" s="59"/>
      <c r="AT193" s="59"/>
      <c r="AU193" s="59"/>
      <c r="AV193" s="59"/>
      <c r="AW193" s="59"/>
      <c r="AX193" s="59"/>
      <c r="AY193" s="59"/>
      <c r="AZ193" s="59"/>
      <c r="BA193" s="59"/>
      <c r="BB193" s="59"/>
      <c r="BC193" s="59"/>
      <c r="BD193" s="59"/>
      <c r="BE193" s="59"/>
      <c r="BF193" s="59"/>
      <c r="BG193" s="59"/>
      <c r="BH193" s="59"/>
      <c r="BI193" s="59"/>
      <c r="BJ193" s="59"/>
      <c r="BK193" s="59"/>
      <c r="BL193" s="59"/>
      <c r="BM193" s="59"/>
      <c r="BN193" s="59"/>
      <c r="BO193" s="59"/>
      <c r="BP193" s="59"/>
      <c r="BQ193" s="59"/>
      <c r="BR193" s="59"/>
      <c r="BS193" s="59"/>
      <c r="BT193" s="59"/>
      <c r="BU193" s="59"/>
      <c r="BV193" s="59"/>
      <c r="BW193" s="59"/>
      <c r="BX193" s="59"/>
      <c r="BY193" s="59"/>
      <c r="BZ193" s="59"/>
    </row>
    <row r="194" spans="2:78" ht="15.95" hidden="1" customHeight="1">
      <c r="B194" s="929">
        <v>90</v>
      </c>
      <c r="C194" s="8"/>
      <c r="D194" s="8"/>
      <c r="E194" s="8"/>
      <c r="F194" s="8"/>
      <c r="G194" s="8"/>
      <c r="H194" s="8"/>
      <c r="I194" s="8"/>
      <c r="J194" s="8"/>
      <c r="K194" s="8"/>
      <c r="L194" s="8"/>
      <c r="M194" s="8"/>
      <c r="N194" s="8"/>
      <c r="O194" s="8"/>
      <c r="P194" s="8"/>
      <c r="Q194" s="8"/>
      <c r="R194" s="8"/>
      <c r="S194" s="8"/>
      <c r="T194" s="8"/>
      <c r="U194" s="8"/>
      <c r="V194" s="8"/>
      <c r="W194" s="8"/>
      <c r="X194" s="8"/>
      <c r="Y194" s="8"/>
      <c r="Z194" s="8"/>
      <c r="AA194" s="8"/>
      <c r="AB194" s="8"/>
      <c r="AC194" s="8"/>
      <c r="AD194" s="8"/>
      <c r="AE194" s="8"/>
      <c r="AF194" s="8"/>
      <c r="AG194" s="8"/>
      <c r="AH194" s="8"/>
      <c r="AI194" s="8"/>
      <c r="AJ194" s="8"/>
      <c r="AK194" s="8"/>
      <c r="AL194" s="8"/>
      <c r="AM194" s="8"/>
      <c r="AN194" s="8"/>
      <c r="AO194" s="8"/>
      <c r="AP194" s="8"/>
      <c r="AQ194" s="8"/>
      <c r="AS194" s="59"/>
      <c r="AT194" s="59"/>
      <c r="AU194" s="59"/>
      <c r="AV194" s="59"/>
      <c r="AW194" s="59"/>
      <c r="AX194" s="59"/>
      <c r="AY194" s="59"/>
      <c r="AZ194" s="59"/>
      <c r="BA194" s="59"/>
      <c r="BB194" s="59"/>
      <c r="BC194" s="59"/>
      <c r="BD194" s="59"/>
      <c r="BE194" s="59"/>
      <c r="BF194" s="59"/>
      <c r="BG194" s="59"/>
      <c r="BH194" s="59"/>
      <c r="BI194" s="59"/>
      <c r="BJ194" s="59"/>
      <c r="BK194" s="59"/>
      <c r="BL194" s="59"/>
      <c r="BM194" s="59"/>
      <c r="BN194" s="59"/>
      <c r="BO194" s="59"/>
      <c r="BP194" s="59"/>
      <c r="BQ194" s="59"/>
      <c r="BR194" s="59"/>
      <c r="BS194" s="59"/>
      <c r="BT194" s="59"/>
      <c r="BU194" s="59"/>
      <c r="BV194" s="59"/>
      <c r="BW194" s="59"/>
      <c r="BX194" s="59"/>
      <c r="BY194" s="59"/>
      <c r="BZ194" s="59"/>
    </row>
    <row r="195" spans="2:78" ht="15.95" hidden="1" customHeight="1">
      <c r="B195" s="929"/>
      <c r="C195" s="8"/>
      <c r="D195" s="8"/>
      <c r="E195" s="8"/>
      <c r="F195" s="8"/>
      <c r="G195" s="8"/>
      <c r="H195" s="8"/>
      <c r="I195" s="8"/>
      <c r="J195" s="8"/>
      <c r="K195" s="8"/>
      <c r="L195" s="8"/>
      <c r="M195" s="8"/>
      <c r="N195" s="8"/>
      <c r="O195" s="8"/>
      <c r="P195" s="8"/>
      <c r="Q195" s="8"/>
      <c r="R195" s="8"/>
      <c r="S195" s="8"/>
      <c r="T195" s="8"/>
      <c r="U195" s="8"/>
      <c r="V195" s="8"/>
      <c r="W195" s="8"/>
      <c r="X195" s="8"/>
      <c r="Y195" s="8"/>
      <c r="Z195" s="8"/>
      <c r="AA195" s="8"/>
      <c r="AB195" s="8"/>
      <c r="AC195" s="8"/>
      <c r="AD195" s="8"/>
      <c r="AE195" s="8"/>
      <c r="AF195" s="8"/>
      <c r="AG195" s="8"/>
      <c r="AH195" s="8"/>
      <c r="AI195" s="8"/>
      <c r="AJ195" s="8"/>
      <c r="AK195" s="8"/>
      <c r="AL195" s="8"/>
      <c r="AM195" s="8"/>
      <c r="AN195" s="8"/>
      <c r="AO195" s="8"/>
      <c r="AP195" s="8"/>
      <c r="AQ195" s="8"/>
      <c r="AS195" s="59"/>
      <c r="AT195" s="59"/>
      <c r="AU195" s="59"/>
      <c r="AV195" s="59"/>
      <c r="AW195" s="59"/>
      <c r="AX195" s="59"/>
      <c r="AY195" s="59"/>
      <c r="AZ195" s="59"/>
      <c r="BA195" s="59"/>
      <c r="BB195" s="59"/>
      <c r="BC195" s="59"/>
      <c r="BD195" s="59"/>
      <c r="BE195" s="59"/>
      <c r="BF195" s="59"/>
      <c r="BG195" s="59"/>
      <c r="BH195" s="59"/>
      <c r="BI195" s="59"/>
      <c r="BJ195" s="59"/>
      <c r="BK195" s="59"/>
      <c r="BL195" s="59"/>
      <c r="BM195" s="59"/>
      <c r="BN195" s="59"/>
      <c r="BO195" s="59"/>
      <c r="BP195" s="59"/>
      <c r="BQ195" s="59"/>
      <c r="BR195" s="59"/>
      <c r="BS195" s="59"/>
      <c r="BT195" s="59"/>
      <c r="BU195" s="59"/>
      <c r="BV195" s="59"/>
      <c r="BW195" s="59"/>
      <c r="BX195" s="59"/>
      <c r="BY195" s="59"/>
      <c r="BZ195" s="59"/>
    </row>
    <row r="196" spans="2:78" ht="15.95" hidden="1" customHeight="1">
      <c r="B196" s="929">
        <v>91</v>
      </c>
      <c r="C196" s="8"/>
      <c r="D196" s="8"/>
      <c r="E196" s="8"/>
      <c r="F196" s="8"/>
      <c r="G196" s="8"/>
      <c r="H196" s="8"/>
      <c r="I196" s="8"/>
      <c r="J196" s="8"/>
      <c r="K196" s="8"/>
      <c r="L196" s="8"/>
      <c r="M196" s="8"/>
      <c r="N196" s="8"/>
      <c r="O196" s="8"/>
      <c r="P196" s="8"/>
      <c r="Q196" s="8"/>
      <c r="R196" s="8"/>
      <c r="S196" s="8"/>
      <c r="T196" s="8"/>
      <c r="U196" s="8"/>
      <c r="V196" s="8"/>
      <c r="W196" s="8"/>
      <c r="X196" s="8"/>
      <c r="Y196" s="8"/>
      <c r="Z196" s="8"/>
      <c r="AA196" s="8"/>
      <c r="AB196" s="8"/>
      <c r="AC196" s="8"/>
      <c r="AD196" s="8"/>
      <c r="AE196" s="8"/>
      <c r="AF196" s="8"/>
      <c r="AG196" s="8"/>
      <c r="AH196" s="8"/>
      <c r="AI196" s="8"/>
      <c r="AJ196" s="8"/>
      <c r="AK196" s="8"/>
      <c r="AL196" s="8"/>
      <c r="AM196" s="8"/>
      <c r="AN196" s="8"/>
      <c r="AO196" s="8"/>
      <c r="AP196" s="8"/>
      <c r="AQ196" s="8"/>
      <c r="AS196" s="59"/>
      <c r="AT196" s="59"/>
      <c r="AU196" s="59"/>
      <c r="AV196" s="59"/>
      <c r="AW196" s="59"/>
      <c r="AX196" s="59"/>
      <c r="AY196" s="59"/>
      <c r="AZ196" s="59"/>
      <c r="BA196" s="59"/>
      <c r="BB196" s="59"/>
      <c r="BC196" s="59"/>
      <c r="BD196" s="59"/>
      <c r="BE196" s="59"/>
      <c r="BF196" s="59"/>
      <c r="BG196" s="59"/>
      <c r="BH196" s="59"/>
      <c r="BI196" s="59"/>
      <c r="BJ196" s="59"/>
      <c r="BK196" s="59"/>
      <c r="BL196" s="59"/>
      <c r="BM196" s="59"/>
      <c r="BN196" s="59"/>
      <c r="BO196" s="59"/>
      <c r="BP196" s="59"/>
      <c r="BQ196" s="59"/>
      <c r="BR196" s="59"/>
      <c r="BS196" s="59"/>
      <c r="BT196" s="59"/>
      <c r="BU196" s="59"/>
      <c r="BV196" s="59"/>
      <c r="BW196" s="59"/>
      <c r="BX196" s="59"/>
      <c r="BY196" s="59"/>
      <c r="BZ196" s="59"/>
    </row>
    <row r="197" spans="2:78" ht="15.95" hidden="1" customHeight="1">
      <c r="B197" s="929"/>
      <c r="C197" s="8"/>
      <c r="D197" s="8"/>
      <c r="E197" s="8"/>
      <c r="F197" s="8"/>
      <c r="G197" s="8"/>
      <c r="H197" s="8"/>
      <c r="I197" s="8"/>
      <c r="J197" s="8"/>
      <c r="K197" s="8"/>
      <c r="L197" s="8"/>
      <c r="M197" s="8"/>
      <c r="N197" s="8"/>
      <c r="O197" s="8"/>
      <c r="P197" s="8"/>
      <c r="Q197" s="8"/>
      <c r="R197" s="8"/>
      <c r="S197" s="8"/>
      <c r="T197" s="8"/>
      <c r="U197" s="8"/>
      <c r="V197" s="8"/>
      <c r="W197" s="8"/>
      <c r="X197" s="8"/>
      <c r="Y197" s="8"/>
      <c r="Z197" s="8"/>
      <c r="AA197" s="8"/>
      <c r="AB197" s="8"/>
      <c r="AC197" s="8"/>
      <c r="AD197" s="8"/>
      <c r="AE197" s="8"/>
      <c r="AF197" s="8"/>
      <c r="AG197" s="8"/>
      <c r="AH197" s="8"/>
      <c r="AI197" s="8"/>
      <c r="AJ197" s="8"/>
      <c r="AK197" s="8"/>
      <c r="AL197" s="8"/>
      <c r="AM197" s="8"/>
      <c r="AN197" s="8"/>
      <c r="AO197" s="8"/>
      <c r="AP197" s="8"/>
      <c r="AQ197" s="8"/>
      <c r="AS197" s="59"/>
      <c r="AT197" s="59"/>
      <c r="AU197" s="59"/>
      <c r="AV197" s="59"/>
      <c r="AW197" s="59"/>
      <c r="AX197" s="59"/>
      <c r="AY197" s="59"/>
      <c r="AZ197" s="59"/>
      <c r="BA197" s="59"/>
      <c r="BB197" s="59"/>
      <c r="BC197" s="59"/>
      <c r="BD197" s="59"/>
      <c r="BE197" s="59"/>
      <c r="BF197" s="59"/>
      <c r="BG197" s="59"/>
      <c r="BH197" s="59"/>
      <c r="BI197" s="59"/>
      <c r="BJ197" s="59"/>
      <c r="BK197" s="59"/>
      <c r="BL197" s="59"/>
      <c r="BM197" s="59"/>
      <c r="BN197" s="59"/>
      <c r="BO197" s="59"/>
      <c r="BP197" s="59"/>
      <c r="BQ197" s="59"/>
      <c r="BR197" s="59"/>
      <c r="BS197" s="59"/>
      <c r="BT197" s="59"/>
      <c r="BU197" s="59"/>
      <c r="BV197" s="59"/>
      <c r="BW197" s="59"/>
      <c r="BX197" s="59"/>
      <c r="BY197" s="59"/>
      <c r="BZ197" s="59"/>
    </row>
    <row r="198" spans="2:78" ht="15.95" hidden="1" customHeight="1">
      <c r="B198" s="929">
        <v>92</v>
      </c>
      <c r="C198" s="8"/>
      <c r="D198" s="8"/>
      <c r="E198" s="8"/>
      <c r="F198" s="8"/>
      <c r="G198" s="8"/>
      <c r="H198" s="8"/>
      <c r="I198" s="8"/>
      <c r="J198" s="8"/>
      <c r="K198" s="8"/>
      <c r="L198" s="8"/>
      <c r="M198" s="8"/>
      <c r="N198" s="8"/>
      <c r="O198" s="8"/>
      <c r="P198" s="8"/>
      <c r="Q198" s="8"/>
      <c r="R198" s="8"/>
      <c r="S198" s="8"/>
      <c r="T198" s="8"/>
      <c r="U198" s="8"/>
      <c r="V198" s="8"/>
      <c r="W198" s="8"/>
      <c r="X198" s="8"/>
      <c r="Y198" s="8"/>
      <c r="Z198" s="8"/>
      <c r="AA198" s="8"/>
      <c r="AB198" s="8"/>
      <c r="AC198" s="8"/>
      <c r="AD198" s="8"/>
      <c r="AE198" s="8"/>
      <c r="AF198" s="8"/>
      <c r="AG198" s="8"/>
      <c r="AH198" s="8"/>
      <c r="AI198" s="8"/>
      <c r="AJ198" s="8"/>
      <c r="AK198" s="8"/>
      <c r="AL198" s="8"/>
      <c r="AM198" s="8"/>
      <c r="AN198" s="8"/>
      <c r="AO198" s="8"/>
      <c r="AP198" s="8"/>
      <c r="AQ198" s="8"/>
      <c r="AS198" s="59"/>
      <c r="AT198" s="59"/>
      <c r="AU198" s="59"/>
      <c r="AV198" s="59"/>
      <c r="AW198" s="59"/>
      <c r="AX198" s="59"/>
      <c r="AY198" s="59"/>
      <c r="AZ198" s="59"/>
      <c r="BA198" s="59"/>
      <c r="BB198" s="59"/>
      <c r="BC198" s="59"/>
      <c r="BD198" s="59"/>
      <c r="BE198" s="59"/>
      <c r="BF198" s="59"/>
      <c r="BG198" s="59"/>
      <c r="BH198" s="59"/>
      <c r="BI198" s="59"/>
      <c r="BJ198" s="59"/>
      <c r="BK198" s="59"/>
      <c r="BL198" s="59"/>
      <c r="BM198" s="59"/>
      <c r="BN198" s="59"/>
      <c r="BO198" s="59"/>
      <c r="BP198" s="59"/>
      <c r="BQ198" s="59"/>
      <c r="BR198" s="59"/>
      <c r="BS198" s="59"/>
      <c r="BT198" s="59"/>
      <c r="BU198" s="59"/>
      <c r="BV198" s="59"/>
      <c r="BW198" s="59"/>
      <c r="BX198" s="59"/>
      <c r="BY198" s="59"/>
      <c r="BZ198" s="59"/>
    </row>
    <row r="199" spans="2:78" ht="15.95" hidden="1" customHeight="1">
      <c r="B199" s="929"/>
      <c r="C199" s="8"/>
      <c r="D199" s="8"/>
      <c r="E199" s="8"/>
      <c r="F199" s="8"/>
      <c r="G199" s="8"/>
      <c r="H199" s="8"/>
      <c r="I199" s="8"/>
      <c r="J199" s="8"/>
      <c r="K199" s="8"/>
      <c r="L199" s="8"/>
      <c r="M199" s="8"/>
      <c r="N199" s="8"/>
      <c r="O199" s="8"/>
      <c r="P199" s="8"/>
      <c r="Q199" s="8"/>
      <c r="R199" s="8"/>
      <c r="S199" s="8"/>
      <c r="T199" s="8"/>
      <c r="U199" s="8"/>
      <c r="V199" s="8"/>
      <c r="W199" s="8"/>
      <c r="X199" s="8"/>
      <c r="Y199" s="8"/>
      <c r="Z199" s="8"/>
      <c r="AA199" s="8"/>
      <c r="AB199" s="8"/>
      <c r="AC199" s="8"/>
      <c r="AD199" s="8"/>
      <c r="AE199" s="8"/>
      <c r="AF199" s="8"/>
      <c r="AG199" s="8"/>
      <c r="AH199" s="8"/>
      <c r="AI199" s="8"/>
      <c r="AJ199" s="8"/>
      <c r="AK199" s="8"/>
      <c r="AL199" s="8"/>
      <c r="AM199" s="8"/>
      <c r="AN199" s="8"/>
      <c r="AO199" s="8"/>
      <c r="AP199" s="8"/>
      <c r="AQ199" s="8"/>
      <c r="AS199" s="59"/>
      <c r="AT199" s="59"/>
      <c r="AU199" s="59"/>
      <c r="AV199" s="59"/>
      <c r="AW199" s="59"/>
      <c r="AX199" s="59"/>
      <c r="AY199" s="59"/>
      <c r="AZ199" s="59"/>
      <c r="BA199" s="59"/>
      <c r="BB199" s="59"/>
      <c r="BC199" s="59"/>
      <c r="BD199" s="59"/>
      <c r="BE199" s="59"/>
      <c r="BF199" s="59"/>
      <c r="BG199" s="59"/>
      <c r="BH199" s="59"/>
      <c r="BI199" s="59"/>
      <c r="BJ199" s="59"/>
      <c r="BK199" s="59"/>
      <c r="BL199" s="59"/>
      <c r="BM199" s="59"/>
      <c r="BN199" s="59"/>
      <c r="BO199" s="59"/>
      <c r="BP199" s="59"/>
      <c r="BQ199" s="59"/>
      <c r="BR199" s="59"/>
      <c r="BS199" s="59"/>
      <c r="BT199" s="59"/>
      <c r="BU199" s="59"/>
      <c r="BV199" s="59"/>
      <c r="BW199" s="59"/>
      <c r="BX199" s="59"/>
      <c r="BY199" s="59"/>
      <c r="BZ199" s="59"/>
    </row>
    <row r="200" spans="2:78">
      <c r="B200" s="272" t="str">
        <f>FOOT1</f>
        <v>NIPSCO Energy Efficiency Program</v>
      </c>
      <c r="C200" s="272"/>
      <c r="D200" s="272"/>
      <c r="E200" s="272"/>
      <c r="F200" s="272"/>
      <c r="G200" s="272"/>
      <c r="H200" s="272"/>
      <c r="I200" s="272"/>
      <c r="J200" s="272"/>
      <c r="K200" s="272"/>
      <c r="L200" s="272"/>
      <c r="M200" s="661" t="str">
        <f>FOOT4</f>
        <v>NIPSCO’s energy efficiency programs are administered by TRC, a third‐party implementation specialist that helps homes and businesses save energy.</v>
      </c>
      <c r="N200" s="661"/>
      <c r="O200" s="661"/>
      <c r="P200" s="661"/>
      <c r="Q200" s="661"/>
      <c r="R200" s="661"/>
      <c r="S200" s="661"/>
      <c r="T200" s="661"/>
      <c r="U200" s="661"/>
      <c r="V200" s="661"/>
      <c r="W200" s="661"/>
      <c r="X200" s="661"/>
      <c r="Y200" s="661"/>
      <c r="Z200" s="661"/>
      <c r="AA200" s="661"/>
      <c r="AB200" s="661"/>
      <c r="AC200" s="661"/>
      <c r="AD200" s="661"/>
      <c r="AE200" s="661"/>
      <c r="AF200" s="661"/>
      <c r="AG200" s="661"/>
      <c r="AH200" s="272"/>
      <c r="AI200" s="272"/>
      <c r="AJ200" s="272"/>
      <c r="AK200" s="272"/>
      <c r="AL200" s="272"/>
      <c r="AM200" s="272"/>
      <c r="AN200" s="272"/>
      <c r="AO200" s="272"/>
      <c r="AP200" s="272"/>
      <c r="AQ200" s="272"/>
      <c r="AR200" s="273" t="str">
        <f>FOOTDISCLAIM</f>
        <v/>
      </c>
      <c r="AS200" s="59"/>
      <c r="AT200" s="59"/>
      <c r="AU200" s="813">
        <f>SUM(AU16:AU35)</f>
        <v>0</v>
      </c>
      <c r="AV200" s="878">
        <f>SUM(AV16:AV199)</f>
        <v>0</v>
      </c>
      <c r="AW200" s="59"/>
      <c r="AX200" s="813">
        <f>SUM(AU40:AU61)</f>
        <v>0</v>
      </c>
      <c r="AZ200" s="813">
        <f>SUM(AN16:AQ35)</f>
        <v>0</v>
      </c>
      <c r="BA200" s="813">
        <f>SUM(AN40:AQ61)</f>
        <v>0</v>
      </c>
      <c r="BB200" s="59"/>
      <c r="BC200" s="59"/>
      <c r="BD200" s="59"/>
      <c r="BE200" s="59"/>
      <c r="BF200" s="59"/>
      <c r="BG200" s="59"/>
      <c r="BH200" s="59"/>
      <c r="BI200" s="59"/>
      <c r="BJ200" s="59"/>
      <c r="BK200" s="59"/>
      <c r="BL200" s="59"/>
      <c r="BM200" s="59"/>
      <c r="BN200" s="59"/>
      <c r="BO200" s="59"/>
      <c r="BP200" s="59"/>
      <c r="BQ200" s="59"/>
      <c r="BR200" s="59"/>
      <c r="BS200" s="59"/>
      <c r="BT200" s="59"/>
      <c r="BU200" s="59"/>
      <c r="BV200" s="59"/>
      <c r="BW200" s="59"/>
      <c r="BX200" s="59"/>
      <c r="BY200" s="59"/>
      <c r="BZ200" s="59"/>
    </row>
    <row r="201" spans="2:78">
      <c r="B201" s="272" t="str">
        <f>FOOT2</f>
        <v>Toll-Free 800-299-2501</v>
      </c>
      <c r="C201" s="272"/>
      <c r="D201" s="272"/>
      <c r="E201" s="272"/>
      <c r="F201" s="272"/>
      <c r="G201" s="272"/>
      <c r="H201" s="272"/>
      <c r="I201" s="272"/>
      <c r="J201" s="272"/>
      <c r="K201" s="272"/>
      <c r="L201" s="272"/>
      <c r="M201" s="661"/>
      <c r="N201" s="661"/>
      <c r="O201" s="661"/>
      <c r="P201" s="661"/>
      <c r="Q201" s="661"/>
      <c r="R201" s="661"/>
      <c r="S201" s="661"/>
      <c r="T201" s="661"/>
      <c r="U201" s="661"/>
      <c r="V201" s="661"/>
      <c r="W201" s="661"/>
      <c r="X201" s="661"/>
      <c r="Y201" s="661"/>
      <c r="Z201" s="661"/>
      <c r="AA201" s="661"/>
      <c r="AB201" s="661"/>
      <c r="AC201" s="661"/>
      <c r="AD201" s="661"/>
      <c r="AE201" s="661"/>
      <c r="AF201" s="661"/>
      <c r="AG201" s="661"/>
      <c r="AH201" s="272"/>
      <c r="AI201" s="272"/>
      <c r="AJ201" s="272"/>
      <c r="AK201" s="272"/>
      <c r="AL201" s="272"/>
      <c r="AM201" s="272"/>
      <c r="AN201" s="272"/>
      <c r="AO201" s="272"/>
      <c r="AP201" s="272"/>
      <c r="AQ201" s="272"/>
      <c r="AR201" s="273" t="str">
        <f>FOOT5</f>
        <v/>
      </c>
      <c r="AS201" s="59"/>
      <c r="AT201" s="59"/>
      <c r="AU201" s="814"/>
      <c r="AV201" s="879"/>
      <c r="AW201" s="59"/>
      <c r="AX201" s="814"/>
      <c r="AZ201" s="814"/>
      <c r="BA201" s="814"/>
      <c r="BB201" s="59"/>
      <c r="BC201" s="59"/>
      <c r="BD201" s="59"/>
      <c r="BE201" s="59"/>
      <c r="BF201" s="59"/>
      <c r="BG201" s="59"/>
      <c r="BH201" s="59"/>
      <c r="BI201" s="59"/>
      <c r="BJ201" s="59"/>
      <c r="BK201" s="59"/>
      <c r="BL201" s="59"/>
      <c r="BM201" s="59"/>
      <c r="BN201" s="59"/>
      <c r="BO201" s="59"/>
      <c r="BP201" s="59"/>
      <c r="BQ201" s="59"/>
      <c r="BR201" s="59"/>
      <c r="BS201" s="59"/>
      <c r="BT201" s="59"/>
      <c r="BU201" s="59"/>
      <c r="BV201" s="59"/>
      <c r="BW201" s="59"/>
      <c r="BX201" s="59"/>
      <c r="BY201" s="59"/>
      <c r="BZ201" s="59"/>
    </row>
    <row r="202" spans="2:78">
      <c r="B202" s="281" t="s">
        <v>1547</v>
      </c>
      <c r="C202" s="272"/>
      <c r="D202" s="272"/>
      <c r="E202" s="272"/>
      <c r="F202" s="272"/>
      <c r="G202" s="272"/>
      <c r="H202" s="272"/>
      <c r="I202" s="272"/>
      <c r="J202" s="272"/>
      <c r="K202" s="272"/>
      <c r="L202" s="272"/>
      <c r="M202" s="274"/>
      <c r="N202" s="272"/>
      <c r="O202" s="272"/>
      <c r="P202" s="274"/>
      <c r="Q202" s="274"/>
      <c r="R202" s="274"/>
      <c r="S202" s="274"/>
      <c r="T202" s="274"/>
      <c r="U202" s="274"/>
      <c r="V202" s="274"/>
      <c r="W202" s="275" t="str">
        <f>VERSION</f>
        <v>Custom Prescriptive Application v3.7.1</v>
      </c>
      <c r="X202" s="274"/>
      <c r="Y202" s="274"/>
      <c r="Z202" s="274"/>
      <c r="AA202" s="274"/>
      <c r="AB202" s="274"/>
      <c r="AC202" s="274"/>
      <c r="AD202" s="274"/>
      <c r="AE202" s="272"/>
      <c r="AF202" s="272"/>
      <c r="AG202" s="272"/>
      <c r="AH202" s="272"/>
      <c r="AI202" s="272"/>
      <c r="AJ202" s="272"/>
      <c r="AK202" s="272"/>
      <c r="AL202" s="272"/>
      <c r="AM202" s="272"/>
      <c r="AN202" s="272"/>
      <c r="AO202" s="272"/>
      <c r="AP202" s="272"/>
      <c r="AQ202" s="272"/>
      <c r="AR202" s="273" t="str">
        <f>FOOT6</f>
        <v>Product of TRC</v>
      </c>
      <c r="AS202" s="59"/>
      <c r="AT202" s="59"/>
      <c r="AU202" s="59"/>
      <c r="AV202" s="59"/>
      <c r="AW202" s="59"/>
      <c r="AX202" s="59"/>
      <c r="AY202" s="59"/>
      <c r="AZ202" s="59"/>
      <c r="BA202" s="59"/>
      <c r="BB202" s="59"/>
      <c r="BC202" s="59"/>
      <c r="BD202" s="59"/>
      <c r="BE202" s="59"/>
      <c r="BF202" s="59"/>
      <c r="BG202" s="59"/>
      <c r="BH202" s="59"/>
      <c r="BI202" s="59"/>
      <c r="BJ202" s="59"/>
      <c r="BK202" s="59"/>
      <c r="BL202" s="59"/>
      <c r="BM202" s="59"/>
      <c r="BN202" s="59"/>
      <c r="BO202" s="59"/>
      <c r="BP202" s="59"/>
      <c r="BQ202" s="59"/>
      <c r="BR202" s="59"/>
      <c r="BS202" s="59"/>
      <c r="BT202" s="59"/>
      <c r="BU202" s="59"/>
      <c r="BV202" s="59"/>
      <c r="BW202" s="59"/>
      <c r="BX202" s="59"/>
      <c r="BY202" s="59"/>
      <c r="BZ202" s="59"/>
    </row>
  </sheetData>
  <sheetProtection algorithmName="SHA-512" hashValue="6N7Qcm4uPES8cKT9CaDbuFhYtgKenjLeFb6RYwKR/C/85TEppB3Rbw/nerCEnWrBVRUdVNTAdW77a8e/D+JxQg==" saltValue="hZ3dx2kj6hM8seBSUVbT7A==" spinCount="100000" sheet="1" objects="1" scenarios="1" selectLockedCells="1"/>
  <mergeCells count="528">
    <mergeCell ref="AX200:AX201"/>
    <mergeCell ref="AV50:AV51"/>
    <mergeCell ref="AV52:AV53"/>
    <mergeCell ref="AV54:AV55"/>
    <mergeCell ref="AV56:AV57"/>
    <mergeCell ref="AV58:AV59"/>
    <mergeCell ref="AV60:AV61"/>
    <mergeCell ref="BB62:BB63"/>
    <mergeCell ref="AY54:AY55"/>
    <mergeCell ref="AZ200:AZ201"/>
    <mergeCell ref="BA200:BA201"/>
    <mergeCell ref="BA64:BA65"/>
    <mergeCell ref="AK38:AM39"/>
    <mergeCell ref="AU14:AU15"/>
    <mergeCell ref="AV14:AV15"/>
    <mergeCell ref="AU16:AU17"/>
    <mergeCell ref="AV16:AV17"/>
    <mergeCell ref="AU18:AU19"/>
    <mergeCell ref="AV18:AV19"/>
    <mergeCell ref="AU20:AU21"/>
    <mergeCell ref="AV20:AV21"/>
    <mergeCell ref="AU22:AU23"/>
    <mergeCell ref="AV22:AV23"/>
    <mergeCell ref="AU24:AU25"/>
    <mergeCell ref="AV24:AV25"/>
    <mergeCell ref="AU26:AU27"/>
    <mergeCell ref="AV26:AV27"/>
    <mergeCell ref="AU28:AU29"/>
    <mergeCell ref="AV28:AV29"/>
    <mergeCell ref="AU30:AU31"/>
    <mergeCell ref="AU32:AU33"/>
    <mergeCell ref="AV32:AV33"/>
    <mergeCell ref="BE54:BE55"/>
    <mergeCell ref="BE56:BE57"/>
    <mergeCell ref="BE58:BE59"/>
    <mergeCell ref="BE60:BE61"/>
    <mergeCell ref="BC40:BC41"/>
    <mergeCell ref="BC42:BC43"/>
    <mergeCell ref="BC44:BC45"/>
    <mergeCell ref="BC46:BC47"/>
    <mergeCell ref="BC48:BC49"/>
    <mergeCell ref="BE40:BE41"/>
    <mergeCell ref="BE42:BE43"/>
    <mergeCell ref="BE44:BE45"/>
    <mergeCell ref="BE46:BE47"/>
    <mergeCell ref="BE48:BE49"/>
    <mergeCell ref="BE50:BE51"/>
    <mergeCell ref="BE52:BE53"/>
    <mergeCell ref="BC50:BC51"/>
    <mergeCell ref="BC52:BC53"/>
    <mergeCell ref="BC54:BC55"/>
    <mergeCell ref="BC56:BC57"/>
    <mergeCell ref="BC58:BC59"/>
    <mergeCell ref="BC60:BC61"/>
    <mergeCell ref="AK64:AM65"/>
    <mergeCell ref="AN64:AQ65"/>
    <mergeCell ref="AW14:AW15"/>
    <mergeCell ref="AW16:AW17"/>
    <mergeCell ref="AW18:AW19"/>
    <mergeCell ref="AW20:AW21"/>
    <mergeCell ref="AW22:AW23"/>
    <mergeCell ref="AW24:AW25"/>
    <mergeCell ref="AW26:AW27"/>
    <mergeCell ref="AW28:AW29"/>
    <mergeCell ref="AW30:AW31"/>
    <mergeCell ref="AW32:AW33"/>
    <mergeCell ref="AW34:AW35"/>
    <mergeCell ref="AW36:AW37"/>
    <mergeCell ref="AW38:AW39"/>
    <mergeCell ref="AW40:AW41"/>
    <mergeCell ref="AW42:AW43"/>
    <mergeCell ref="AW44:AW45"/>
    <mergeCell ref="AW46:AW47"/>
    <mergeCell ref="AW48:AW49"/>
    <mergeCell ref="AW50:AW51"/>
    <mergeCell ref="AW52:AW53"/>
    <mergeCell ref="AW54:AW55"/>
    <mergeCell ref="AW56:AW57"/>
    <mergeCell ref="C64:M65"/>
    <mergeCell ref="N64:S65"/>
    <mergeCell ref="T64:U65"/>
    <mergeCell ref="V64:W65"/>
    <mergeCell ref="X64:AA65"/>
    <mergeCell ref="AB64:AD65"/>
    <mergeCell ref="AE64:AF65"/>
    <mergeCell ref="AG64:AH65"/>
    <mergeCell ref="AI64:AJ65"/>
    <mergeCell ref="C56:M57"/>
    <mergeCell ref="AK60:AM61"/>
    <mergeCell ref="AN60:AQ61"/>
    <mergeCell ref="AY60:AY61"/>
    <mergeCell ref="BA60:BA61"/>
    <mergeCell ref="C62:M63"/>
    <mergeCell ref="N62:S63"/>
    <mergeCell ref="T62:U63"/>
    <mergeCell ref="V62:W63"/>
    <mergeCell ref="X62:AA63"/>
    <mergeCell ref="AB62:AD63"/>
    <mergeCell ref="AE62:AF63"/>
    <mergeCell ref="AG62:AH63"/>
    <mergeCell ref="AI62:AJ63"/>
    <mergeCell ref="AK62:AM63"/>
    <mergeCell ref="AN62:AQ63"/>
    <mergeCell ref="AY62:AY63"/>
    <mergeCell ref="AU60:AU61"/>
    <mergeCell ref="AW60:AW61"/>
    <mergeCell ref="C60:M61"/>
    <mergeCell ref="N60:S61"/>
    <mergeCell ref="T60:U61"/>
    <mergeCell ref="V60:W61"/>
    <mergeCell ref="X60:AA61"/>
    <mergeCell ref="C58:M59"/>
    <mergeCell ref="N58:S59"/>
    <mergeCell ref="T58:U59"/>
    <mergeCell ref="V58:W59"/>
    <mergeCell ref="X58:AA59"/>
    <mergeCell ref="AB58:AD59"/>
    <mergeCell ref="AE58:AF59"/>
    <mergeCell ref="AG58:AH59"/>
    <mergeCell ref="AI58:AJ59"/>
    <mergeCell ref="N56:S57"/>
    <mergeCell ref="T56:U57"/>
    <mergeCell ref="V56:W57"/>
    <mergeCell ref="X56:AA57"/>
    <mergeCell ref="AB56:AD57"/>
    <mergeCell ref="AE56:AF57"/>
    <mergeCell ref="AG56:AH57"/>
    <mergeCell ref="AI56:AJ57"/>
    <mergeCell ref="BA62:BA63"/>
    <mergeCell ref="AE60:AF61"/>
    <mergeCell ref="AG60:AH61"/>
    <mergeCell ref="AI60:AJ61"/>
    <mergeCell ref="AK56:AM57"/>
    <mergeCell ref="AN56:AQ57"/>
    <mergeCell ref="AY56:AY57"/>
    <mergeCell ref="BA56:BA57"/>
    <mergeCell ref="AK58:AM59"/>
    <mergeCell ref="AN58:AQ59"/>
    <mergeCell ref="AY58:AY59"/>
    <mergeCell ref="BA58:BA59"/>
    <mergeCell ref="AU56:AU57"/>
    <mergeCell ref="AU58:AU59"/>
    <mergeCell ref="AW58:AW59"/>
    <mergeCell ref="AB60:AD61"/>
    <mergeCell ref="AH1:AK1"/>
    <mergeCell ref="AL1:AP1"/>
    <mergeCell ref="AH2:AK3"/>
    <mergeCell ref="AL2:AP3"/>
    <mergeCell ref="AQ1:AR1"/>
    <mergeCell ref="AQ2:AR3"/>
    <mergeCell ref="AV30:AV31"/>
    <mergeCell ref="AJ11:AM11"/>
    <mergeCell ref="AJ12:AM13"/>
    <mergeCell ref="AG38:AH39"/>
    <mergeCell ref="AI38:AJ39"/>
    <mergeCell ref="AN38:AQ39"/>
    <mergeCell ref="C36:AQ37"/>
    <mergeCell ref="F11:P12"/>
    <mergeCell ref="R9:AC10"/>
    <mergeCell ref="AI16:AJ17"/>
    <mergeCell ref="AE14:AF15"/>
    <mergeCell ref="AG14:AH15"/>
    <mergeCell ref="AI14:AJ15"/>
    <mergeCell ref="AE38:AF39"/>
    <mergeCell ref="C34:M35"/>
    <mergeCell ref="N34:S35"/>
    <mergeCell ref="T34:U35"/>
    <mergeCell ref="V34:W35"/>
    <mergeCell ref="X34:AA35"/>
    <mergeCell ref="AB34:AD35"/>
    <mergeCell ref="AE34:AF35"/>
    <mergeCell ref="AG34:AH35"/>
    <mergeCell ref="AI34:AJ35"/>
    <mergeCell ref="C32:M33"/>
    <mergeCell ref="N32:S33"/>
    <mergeCell ref="T32:U33"/>
    <mergeCell ref="V32:W33"/>
    <mergeCell ref="C44:M45"/>
    <mergeCell ref="N44:S45"/>
    <mergeCell ref="T44:U45"/>
    <mergeCell ref="V44:W45"/>
    <mergeCell ref="X44:AA45"/>
    <mergeCell ref="AB44:AD45"/>
    <mergeCell ref="AE44:AF45"/>
    <mergeCell ref="AG44:AH45"/>
    <mergeCell ref="AI44:AJ45"/>
    <mergeCell ref="X32:AA33"/>
    <mergeCell ref="AB32:AD33"/>
    <mergeCell ref="AE32:AF33"/>
    <mergeCell ref="AG32:AH33"/>
    <mergeCell ref="AI32:AJ33"/>
    <mergeCell ref="C30:M31"/>
    <mergeCell ref="N30:S31"/>
    <mergeCell ref="T30:U31"/>
    <mergeCell ref="V30:W31"/>
    <mergeCell ref="X30:AA31"/>
    <mergeCell ref="AB30:AD31"/>
    <mergeCell ref="AE30:AF31"/>
    <mergeCell ref="AG30:AH31"/>
    <mergeCell ref="AI30:AJ31"/>
    <mergeCell ref="C28:M29"/>
    <mergeCell ref="N28:S29"/>
    <mergeCell ref="T28:U29"/>
    <mergeCell ref="V28:W29"/>
    <mergeCell ref="X28:AA29"/>
    <mergeCell ref="AB28:AD29"/>
    <mergeCell ref="AE28:AF29"/>
    <mergeCell ref="AG28:AH29"/>
    <mergeCell ref="AI28:AJ29"/>
    <mergeCell ref="C24:M25"/>
    <mergeCell ref="N24:S25"/>
    <mergeCell ref="T24:U25"/>
    <mergeCell ref="V24:W25"/>
    <mergeCell ref="X24:AA25"/>
    <mergeCell ref="AB24:AD25"/>
    <mergeCell ref="AE24:AF25"/>
    <mergeCell ref="AG24:AH25"/>
    <mergeCell ref="AI24:AJ25"/>
    <mergeCell ref="C26:M27"/>
    <mergeCell ref="N26:S27"/>
    <mergeCell ref="T26:U27"/>
    <mergeCell ref="V26:W27"/>
    <mergeCell ref="X26:AA27"/>
    <mergeCell ref="AB26:AD27"/>
    <mergeCell ref="AE26:AF27"/>
    <mergeCell ref="AG26:AH27"/>
    <mergeCell ref="AI26:AJ27"/>
    <mergeCell ref="C20:M21"/>
    <mergeCell ref="N20:S21"/>
    <mergeCell ref="T20:U21"/>
    <mergeCell ref="V20:W21"/>
    <mergeCell ref="X20:AA21"/>
    <mergeCell ref="AB20:AD21"/>
    <mergeCell ref="AE20:AF21"/>
    <mergeCell ref="AG20:AH21"/>
    <mergeCell ref="AI20:AJ21"/>
    <mergeCell ref="C22:M23"/>
    <mergeCell ref="N22:S23"/>
    <mergeCell ref="T22:U23"/>
    <mergeCell ref="V22:W23"/>
    <mergeCell ref="X22:AA23"/>
    <mergeCell ref="AB22:AD23"/>
    <mergeCell ref="AE22:AF23"/>
    <mergeCell ref="AG22:AH23"/>
    <mergeCell ref="AI22:AJ23"/>
    <mergeCell ref="C18:M19"/>
    <mergeCell ref="N18:S19"/>
    <mergeCell ref="T18:U19"/>
    <mergeCell ref="V18:W19"/>
    <mergeCell ref="X18:AA19"/>
    <mergeCell ref="AB18:AD19"/>
    <mergeCell ref="AE18:AF19"/>
    <mergeCell ref="AG18:AH19"/>
    <mergeCell ref="AI18:AJ19"/>
    <mergeCell ref="M200:AG201"/>
    <mergeCell ref="B198:B199"/>
    <mergeCell ref="B186:B187"/>
    <mergeCell ref="B188:B189"/>
    <mergeCell ref="B190:B191"/>
    <mergeCell ref="B192:B193"/>
    <mergeCell ref="B194:B195"/>
    <mergeCell ref="B196:B197"/>
    <mergeCell ref="B184:B185"/>
    <mergeCell ref="B162:B163"/>
    <mergeCell ref="B164:B165"/>
    <mergeCell ref="B166:B167"/>
    <mergeCell ref="B168:B169"/>
    <mergeCell ref="B170:B171"/>
    <mergeCell ref="B172:B173"/>
    <mergeCell ref="B174:B175"/>
    <mergeCell ref="B176:B177"/>
    <mergeCell ref="B178:B179"/>
    <mergeCell ref="B180:B181"/>
    <mergeCell ref="AE16:AF17"/>
    <mergeCell ref="AG16:AH17"/>
    <mergeCell ref="B182:B183"/>
    <mergeCell ref="B160:B161"/>
    <mergeCell ref="B138:B139"/>
    <mergeCell ref="B140:B141"/>
    <mergeCell ref="B142:B143"/>
    <mergeCell ref="B144:B145"/>
    <mergeCell ref="B146:B147"/>
    <mergeCell ref="B148:B149"/>
    <mergeCell ref="B150:B151"/>
    <mergeCell ref="B152:B153"/>
    <mergeCell ref="B154:B155"/>
    <mergeCell ref="B156:B157"/>
    <mergeCell ref="B158:B159"/>
    <mergeCell ref="B136:B137"/>
    <mergeCell ref="B114:B115"/>
    <mergeCell ref="B116:B117"/>
    <mergeCell ref="B118:B119"/>
    <mergeCell ref="B120:B121"/>
    <mergeCell ref="B122:B123"/>
    <mergeCell ref="B124:B125"/>
    <mergeCell ref="B126:B127"/>
    <mergeCell ref="B128:B129"/>
    <mergeCell ref="B130:B131"/>
    <mergeCell ref="B132:B133"/>
    <mergeCell ref="B134:B135"/>
    <mergeCell ref="B112:B113"/>
    <mergeCell ref="B90:B91"/>
    <mergeCell ref="B92:B93"/>
    <mergeCell ref="B94:B95"/>
    <mergeCell ref="B96:B97"/>
    <mergeCell ref="B98:B99"/>
    <mergeCell ref="B100:B101"/>
    <mergeCell ref="B102:B103"/>
    <mergeCell ref="B104:B105"/>
    <mergeCell ref="B106:B107"/>
    <mergeCell ref="B108:B109"/>
    <mergeCell ref="B110:B111"/>
    <mergeCell ref="B88:B89"/>
    <mergeCell ref="B66:B67"/>
    <mergeCell ref="B68:B69"/>
    <mergeCell ref="B70:B71"/>
    <mergeCell ref="B72:B73"/>
    <mergeCell ref="B74:B75"/>
    <mergeCell ref="B76:B77"/>
    <mergeCell ref="B78:B79"/>
    <mergeCell ref="B80:B81"/>
    <mergeCell ref="B82:B83"/>
    <mergeCell ref="B84:B85"/>
    <mergeCell ref="B86:B87"/>
    <mergeCell ref="B64:B65"/>
    <mergeCell ref="B42:B43"/>
    <mergeCell ref="B44:B45"/>
    <mergeCell ref="B46:B47"/>
    <mergeCell ref="B48:B49"/>
    <mergeCell ref="B50:B51"/>
    <mergeCell ref="B52:B53"/>
    <mergeCell ref="B54:B55"/>
    <mergeCell ref="B56:B57"/>
    <mergeCell ref="B58:B59"/>
    <mergeCell ref="B60:B61"/>
    <mergeCell ref="B62:B63"/>
    <mergeCell ref="B40:B41"/>
    <mergeCell ref="B18:B19"/>
    <mergeCell ref="B20:B21"/>
    <mergeCell ref="B22:B23"/>
    <mergeCell ref="B24:B25"/>
    <mergeCell ref="B26:B27"/>
    <mergeCell ref="B28:B29"/>
    <mergeCell ref="B30:B31"/>
    <mergeCell ref="B32:B33"/>
    <mergeCell ref="B34:B35"/>
    <mergeCell ref="B16:B17"/>
    <mergeCell ref="R11:U11"/>
    <mergeCell ref="V11:Y11"/>
    <mergeCell ref="Z11:AC11"/>
    <mergeCell ref="C14:M15"/>
    <mergeCell ref="N14:S15"/>
    <mergeCell ref="T14:U15"/>
    <mergeCell ref="V14:W15"/>
    <mergeCell ref="X14:AA15"/>
    <mergeCell ref="AB14:AD15"/>
    <mergeCell ref="C16:M17"/>
    <mergeCell ref="N16:S17"/>
    <mergeCell ref="T16:U17"/>
    <mergeCell ref="V16:W17"/>
    <mergeCell ref="X16:AA17"/>
    <mergeCell ref="AB16:AD17"/>
    <mergeCell ref="R12:U13"/>
    <mergeCell ref="V12:Y13"/>
    <mergeCell ref="Z12:AC13"/>
    <mergeCell ref="AU200:AU201"/>
    <mergeCell ref="AV200:AV201"/>
    <mergeCell ref="AU34:AU35"/>
    <mergeCell ref="AV34:AV35"/>
    <mergeCell ref="AU36:AU37"/>
    <mergeCell ref="AV36:AV37"/>
    <mergeCell ref="AU38:AU39"/>
    <mergeCell ref="AV38:AV39"/>
    <mergeCell ref="AU40:AU41"/>
    <mergeCell ref="AV40:AV41"/>
    <mergeCell ref="AU42:AU43"/>
    <mergeCell ref="AV42:AV43"/>
    <mergeCell ref="AU44:AU45"/>
    <mergeCell ref="AU46:AU47"/>
    <mergeCell ref="AU48:AU49"/>
    <mergeCell ref="AU50:AU51"/>
    <mergeCell ref="AU52:AU53"/>
    <mergeCell ref="AU54:AU55"/>
    <mergeCell ref="AV44:AV45"/>
    <mergeCell ref="AV46:AV47"/>
    <mergeCell ref="AV48:AV49"/>
    <mergeCell ref="BC14:BC15"/>
    <mergeCell ref="BC16:BC17"/>
    <mergeCell ref="BC18:BC19"/>
    <mergeCell ref="BC20:BC21"/>
    <mergeCell ref="BC22:BC23"/>
    <mergeCell ref="BC24:BC25"/>
    <mergeCell ref="BC26:BC27"/>
    <mergeCell ref="BC28:BC29"/>
    <mergeCell ref="BC30:BC31"/>
    <mergeCell ref="BC32:BC33"/>
    <mergeCell ref="BC34:BC35"/>
    <mergeCell ref="AK14:AM15"/>
    <mergeCell ref="AK18:AM19"/>
    <mergeCell ref="AK16:AM17"/>
    <mergeCell ref="AK20:AM21"/>
    <mergeCell ref="AK22:AM23"/>
    <mergeCell ref="AK24:AM25"/>
    <mergeCell ref="AK26:AM27"/>
    <mergeCell ref="AK28:AM29"/>
    <mergeCell ref="AK30:AM31"/>
    <mergeCell ref="AK32:AM33"/>
    <mergeCell ref="AK34:AM35"/>
    <mergeCell ref="AN18:AQ19"/>
    <mergeCell ref="AN16:AQ17"/>
    <mergeCell ref="AN20:AQ21"/>
    <mergeCell ref="AN22:AQ23"/>
    <mergeCell ref="AN24:AQ25"/>
    <mergeCell ref="AN26:AQ27"/>
    <mergeCell ref="AN28:AQ29"/>
    <mergeCell ref="AN30:AQ31"/>
    <mergeCell ref="AN32:AQ33"/>
    <mergeCell ref="AN34:AQ35"/>
    <mergeCell ref="AN14:AQ15"/>
    <mergeCell ref="X46:AA47"/>
    <mergeCell ref="AB46:AD47"/>
    <mergeCell ref="AE46:AF47"/>
    <mergeCell ref="AG46:AH47"/>
    <mergeCell ref="AI46:AJ47"/>
    <mergeCell ref="AK46:AM47"/>
    <mergeCell ref="AN46:AQ47"/>
    <mergeCell ref="C40:M41"/>
    <mergeCell ref="N40:S41"/>
    <mergeCell ref="T40:U41"/>
    <mergeCell ref="V40:W41"/>
    <mergeCell ref="X40:AA41"/>
    <mergeCell ref="AB40:AD41"/>
    <mergeCell ref="AE40:AF41"/>
    <mergeCell ref="AG40:AH41"/>
    <mergeCell ref="C42:M43"/>
    <mergeCell ref="N42:S43"/>
    <mergeCell ref="T42:U43"/>
    <mergeCell ref="V42:W43"/>
    <mergeCell ref="X42:AA43"/>
    <mergeCell ref="AB42:AD43"/>
    <mergeCell ref="AE42:AF43"/>
    <mergeCell ref="AG42:AH43"/>
    <mergeCell ref="AI42:AJ43"/>
    <mergeCell ref="C50:M51"/>
    <mergeCell ref="N50:S51"/>
    <mergeCell ref="T50:U51"/>
    <mergeCell ref="V50:W51"/>
    <mergeCell ref="X50:AA51"/>
    <mergeCell ref="AB50:AD51"/>
    <mergeCell ref="AE50:AF51"/>
    <mergeCell ref="AG50:AH51"/>
    <mergeCell ref="AI50:AJ51"/>
    <mergeCell ref="C38:M39"/>
    <mergeCell ref="N38:S39"/>
    <mergeCell ref="T38:U39"/>
    <mergeCell ref="V38:W39"/>
    <mergeCell ref="X38:AA39"/>
    <mergeCell ref="AB38:AD39"/>
    <mergeCell ref="AK48:AM49"/>
    <mergeCell ref="AK40:AM41"/>
    <mergeCell ref="AI40:AJ41"/>
    <mergeCell ref="AB48:AD49"/>
    <mergeCell ref="AE48:AF49"/>
    <mergeCell ref="AG48:AH49"/>
    <mergeCell ref="AI48:AJ49"/>
    <mergeCell ref="C48:M49"/>
    <mergeCell ref="N48:S49"/>
    <mergeCell ref="T48:U49"/>
    <mergeCell ref="V48:W49"/>
    <mergeCell ref="X48:AA49"/>
    <mergeCell ref="AK42:AM43"/>
    <mergeCell ref="AK44:AM45"/>
    <mergeCell ref="C46:M47"/>
    <mergeCell ref="N46:S47"/>
    <mergeCell ref="T46:U47"/>
    <mergeCell ref="V46:W47"/>
    <mergeCell ref="C52:M53"/>
    <mergeCell ref="N52:S53"/>
    <mergeCell ref="T52:U53"/>
    <mergeCell ref="V52:W53"/>
    <mergeCell ref="X52:AA53"/>
    <mergeCell ref="AB52:AD53"/>
    <mergeCell ref="AE52:AF53"/>
    <mergeCell ref="AG52:AH53"/>
    <mergeCell ref="AI52:AJ53"/>
    <mergeCell ref="C54:M55"/>
    <mergeCell ref="N54:S55"/>
    <mergeCell ref="T54:U55"/>
    <mergeCell ref="V54:W55"/>
    <mergeCell ref="X54:AA55"/>
    <mergeCell ref="AB54:AD55"/>
    <mergeCell ref="AE54:AF55"/>
    <mergeCell ref="AG54:AH55"/>
    <mergeCell ref="AI54:AJ55"/>
    <mergeCell ref="BE32:BE33"/>
    <mergeCell ref="BE34:BE35"/>
    <mergeCell ref="BA54:BA55"/>
    <mergeCell ref="AE11:AH11"/>
    <mergeCell ref="AE12:AH13"/>
    <mergeCell ref="BE14:BE15"/>
    <mergeCell ref="BE16:BE17"/>
    <mergeCell ref="BE18:BE19"/>
    <mergeCell ref="BE20:BE21"/>
    <mergeCell ref="BE22:BE23"/>
    <mergeCell ref="BE24:BE25"/>
    <mergeCell ref="BE26:BE27"/>
    <mergeCell ref="BE28:BE29"/>
    <mergeCell ref="BE30:BE31"/>
    <mergeCell ref="AN52:AQ53"/>
    <mergeCell ref="AK54:AM55"/>
    <mergeCell ref="AN54:AQ55"/>
    <mergeCell ref="AK52:AM53"/>
    <mergeCell ref="AN48:AQ49"/>
    <mergeCell ref="AK50:AM51"/>
    <mergeCell ref="AN50:AQ51"/>
    <mergeCell ref="AN40:AQ41"/>
    <mergeCell ref="AN42:AQ43"/>
    <mergeCell ref="AN44:AQ45"/>
    <mergeCell ref="BF34:BF35"/>
    <mergeCell ref="BF16:BF17"/>
    <mergeCell ref="BF18:BF19"/>
    <mergeCell ref="BF20:BF21"/>
    <mergeCell ref="BF22:BF23"/>
    <mergeCell ref="BF24:BF25"/>
    <mergeCell ref="BF26:BF27"/>
    <mergeCell ref="BF28:BF29"/>
    <mergeCell ref="BF30:BF31"/>
    <mergeCell ref="BF32:BF33"/>
  </mergeCells>
  <conditionalFormatting sqref="AH2 AL2">
    <cfRule type="expression" dxfId="184" priority="2">
      <formula>PROJSTATUS=PROJSTATELI</formula>
    </cfRule>
    <cfRule type="expression" dxfId="183" priority="3">
      <formula>PROJSTATUS=PROJSTATREVIEW</formula>
    </cfRule>
    <cfRule type="expression" dxfId="182" priority="7">
      <formula>PROJSTATUS=PROJSTATPREAPPROVE</formula>
    </cfRule>
    <cfRule type="expression" dxfId="181" priority="8">
      <formula>PROJSTATUS=PROJSTATSTANDARD</formula>
    </cfRule>
    <cfRule type="expression" dxfId="180" priority="9">
      <formula>PROJSTATUS=PROJSTATEXP</formula>
    </cfRule>
  </conditionalFormatting>
  <conditionalFormatting sqref="AN16 AN18 AN20 AN22 AN24 AN26 AN28 AN30 AN32 AN34 AN40 AN42 AN44 AN46 AN48 AN50 AN52 AN54 AN56 AN58 AN60">
    <cfRule type="expression" dxfId="179" priority="1">
      <formula>ISNUMBER(AN16)=FALSE</formula>
    </cfRule>
  </conditionalFormatting>
  <conditionalFormatting sqref="AQ2:AR3">
    <cfRule type="cellIs" dxfId="178" priority="4" operator="equal">
      <formula>1</formula>
    </cfRule>
    <cfRule type="cellIs" dxfId="177" priority="5" operator="between">
      <formula>0.51</formula>
      <formula>0.99</formula>
    </cfRule>
    <cfRule type="cellIs" dxfId="176" priority="6" operator="lessThanOrEqual">
      <formula>0.5</formula>
    </cfRule>
  </conditionalFormatting>
  <dataValidations xWindow="641" yWindow="648" count="5">
    <dataValidation type="decimal" allowBlank="1" showInputMessage="1" showErrorMessage="1" error="Please enter a numerical value" sqref="AG16:AH35 AG40:AH61" xr:uid="{00000000-0002-0000-1800-000000000000}">
      <formula1>0</formula1>
      <formula2>999999</formula2>
    </dataValidation>
    <dataValidation type="whole" allowBlank="1" showInputMessage="1" showErrorMessage="1" error="Please enter a numerical value" prompt="Reference the &quot;Unit of Measure&quot; column to ensure you enter the correct value based on unit type." sqref="V16:W35 V40:W61" xr:uid="{00000000-0002-0000-1800-000001000000}">
      <formula1>1</formula1>
      <formula2>99999</formula2>
    </dataValidation>
    <dataValidation type="list" allowBlank="1" showInputMessage="1" showErrorMessage="1" sqref="C16:M35" xr:uid="{00000000-0002-0000-1800-000002000000}">
      <formula1>PMEKITCHENEFF1</formula1>
    </dataValidation>
    <dataValidation type="decimal" allowBlank="1" showInputMessage="1" showErrorMessage="1" error="Please enter a numerical value" sqref="AE16:AF35 AE40:AF61" xr:uid="{00000000-0002-0000-1800-000003000000}">
      <formula1>0.01</formula1>
      <formula2>999999</formula2>
    </dataValidation>
    <dataValidation type="list" allowBlank="1" showInputMessage="1" showErrorMessage="1" sqref="C40:M61" xr:uid="{EB75E029-903F-4772-8CB9-8B552F79B8C1}">
      <formula1>PMGKITCHENEFF1</formula1>
    </dataValidation>
  </dataValidations>
  <hyperlinks>
    <hyperlink ref="B202" r:id="rId1" xr:uid="{A9E2014D-6419-42DA-9DE5-711EC96D9F66}"/>
  </hyperlinks>
  <pageMargins left="0.25" right="0.25" top="0.25" bottom="0.25" header="0.25" footer="0.25"/>
  <pageSetup scale="56" fitToHeight="0" orientation="landscape" r:id="rId2"/>
  <drawing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555DC5-FCD8-4BC0-AEBF-0D7170507845}">
  <sheetPr codeName="Sheet1">
    <pageSetUpPr fitToPage="1"/>
  </sheetPr>
  <dimension ref="A1:BZ203"/>
  <sheetViews>
    <sheetView showGridLines="0" showRowColHeaders="0" zoomScale="85" zoomScaleNormal="85" workbookViewId="0">
      <selection activeCell="C16" sqref="C16:I17"/>
    </sheetView>
  </sheetViews>
  <sheetFormatPr defaultColWidth="0" defaultRowHeight="0" customHeight="1" zeroHeight="1"/>
  <cols>
    <col min="1" max="44" width="4.7109375" customWidth="1"/>
    <col min="45" max="45" width="4.7109375" style="59" customWidth="1"/>
    <col min="46" max="46" width="4.7109375" style="59" hidden="1" customWidth="1"/>
    <col min="47" max="78" width="9.140625" style="59" hidden="1" customWidth="1"/>
    <col min="79" max="16384" width="9.140625" hidden="1"/>
  </cols>
  <sheetData>
    <row r="1" spans="2:58" ht="15.95" customHeight="1">
      <c r="AH1" s="686" t="s">
        <v>471</v>
      </c>
      <c r="AI1" s="686"/>
      <c r="AJ1" s="686"/>
      <c r="AK1" s="686"/>
      <c r="AL1" s="687" t="s">
        <v>736</v>
      </c>
      <c r="AM1" s="687"/>
      <c r="AN1" s="687"/>
      <c r="AO1" s="687"/>
      <c r="AP1" s="687"/>
      <c r="AQ1" s="683" t="s">
        <v>474</v>
      </c>
      <c r="AR1" s="683"/>
    </row>
    <row r="2" spans="2:58" ht="15.95" customHeight="1">
      <c r="AH2" s="688" t="str">
        <f ca="1">INCENSTATUS</f>
        <v>---</v>
      </c>
      <c r="AI2" s="689"/>
      <c r="AJ2" s="689"/>
      <c r="AK2" s="689"/>
      <c r="AL2" s="690" t="str">
        <f ca="1">PROJSTATUS</f>
        <v>Enter Measures</v>
      </c>
      <c r="AM2" s="690"/>
      <c r="AN2" s="690"/>
      <c r="AO2" s="690"/>
      <c r="AP2" s="690"/>
      <c r="AQ2" s="684">
        <f ca="1">PROGRESSSTATUS</f>
        <v>2.8985507246376812E-2</v>
      </c>
      <c r="AR2" s="685"/>
    </row>
    <row r="3" spans="2:58" ht="15.95" customHeight="1">
      <c r="AH3" s="680"/>
      <c r="AI3" s="681"/>
      <c r="AJ3" s="681"/>
      <c r="AK3" s="681"/>
      <c r="AL3" s="673"/>
      <c r="AM3" s="673"/>
      <c r="AN3" s="673"/>
      <c r="AO3" s="673"/>
      <c r="AP3" s="673"/>
      <c r="AQ3" s="667"/>
      <c r="AR3" s="668"/>
    </row>
    <row r="4" spans="2:58" ht="15.95" customHeight="1">
      <c r="AR4" s="171"/>
      <c r="AZ4" s="310"/>
    </row>
    <row r="5" spans="2:58" ht="15.95" customHeight="1">
      <c r="AZ5" s="310"/>
    </row>
    <row r="6" spans="2:58" ht="15.95" customHeight="1">
      <c r="AU6" s="59" t="s">
        <v>907</v>
      </c>
      <c r="AV6" s="59">
        <f>PROJID</f>
        <v>0</v>
      </c>
    </row>
    <row r="7" spans="2:58" ht="15.95" customHeight="1">
      <c r="AU7" s="87"/>
      <c r="AV7" s="87" t="s">
        <v>866</v>
      </c>
      <c r="AW7" s="87" t="s">
        <v>231</v>
      </c>
      <c r="AX7" s="87" t="s">
        <v>892</v>
      </c>
      <c r="BD7" s="83"/>
    </row>
    <row r="8" spans="2:58" ht="15.95" customHeight="1">
      <c r="AU8" s="87" t="s">
        <v>219</v>
      </c>
      <c r="AV8" s="87" t="str">
        <f ca="1">CBPRESE</f>
        <v>NA</v>
      </c>
      <c r="AW8" s="87" t="str">
        <f ca="1">CBCUSE</f>
        <v>NA</v>
      </c>
      <c r="AX8" s="87" t="str">
        <f ca="1">CBALL</f>
        <v>NA</v>
      </c>
    </row>
    <row r="9" spans="2:58" ht="15.95" customHeight="1">
      <c r="B9" s="59"/>
      <c r="C9" s="59"/>
      <c r="D9" s="59"/>
      <c r="E9" s="59"/>
      <c r="F9" s="59"/>
      <c r="G9" s="59"/>
      <c r="H9" s="59"/>
      <c r="I9" s="59"/>
      <c r="J9" s="59"/>
      <c r="K9" s="59"/>
      <c r="L9" s="59"/>
      <c r="M9" s="59"/>
      <c r="N9" s="59"/>
      <c r="O9" s="59"/>
      <c r="P9" s="59"/>
      <c r="Q9" s="59"/>
      <c r="R9" s="735" t="str">
        <f>CONCATENATE(M3S8," ","Summary")</f>
        <v>Misc / Compressed Air / VFDs Summary</v>
      </c>
      <c r="S9" s="735"/>
      <c r="T9" s="735"/>
      <c r="U9" s="735"/>
      <c r="V9" s="735"/>
      <c r="W9" s="735"/>
      <c r="X9" s="735"/>
      <c r="Y9" s="735"/>
      <c r="Z9" s="735"/>
      <c r="AA9" s="735"/>
      <c r="AB9" s="735"/>
      <c r="AC9" s="735"/>
      <c r="AD9" s="59"/>
      <c r="AE9" s="59"/>
      <c r="AF9" s="59"/>
      <c r="AG9" s="59"/>
      <c r="AH9" s="59"/>
      <c r="AI9" s="59"/>
      <c r="AJ9" s="59"/>
      <c r="AK9" s="59"/>
      <c r="AL9" s="59"/>
      <c r="AM9" s="59"/>
      <c r="AN9" s="59"/>
      <c r="AO9" s="59"/>
      <c r="AP9" s="59"/>
      <c r="AQ9" s="59"/>
      <c r="AR9" s="59"/>
      <c r="AU9" s="87"/>
      <c r="AV9" s="87"/>
      <c r="AW9" s="87"/>
      <c r="AX9" s="87"/>
    </row>
    <row r="10" spans="2:58" ht="15.95" customHeight="1">
      <c r="B10" s="59"/>
      <c r="C10" s="59"/>
      <c r="D10" s="59"/>
      <c r="E10" s="59"/>
      <c r="F10" s="59"/>
      <c r="G10" s="59"/>
      <c r="H10" s="59"/>
      <c r="I10" s="59"/>
      <c r="J10" s="59"/>
      <c r="K10" s="59"/>
      <c r="L10" s="59"/>
      <c r="M10" s="59"/>
      <c r="N10" s="59"/>
      <c r="O10" s="59"/>
      <c r="P10" s="59"/>
      <c r="Q10" s="59"/>
      <c r="R10" s="735"/>
      <c r="S10" s="735"/>
      <c r="T10" s="735"/>
      <c r="U10" s="735"/>
      <c r="V10" s="735"/>
      <c r="W10" s="735"/>
      <c r="X10" s="735"/>
      <c r="Y10" s="735"/>
      <c r="Z10" s="735"/>
      <c r="AA10" s="735"/>
      <c r="AB10" s="735"/>
      <c r="AC10" s="735"/>
      <c r="AD10" s="59"/>
      <c r="AE10" s="59"/>
      <c r="AF10" s="59"/>
      <c r="AG10" s="59"/>
      <c r="AH10" s="59"/>
      <c r="AI10" s="59"/>
      <c r="AJ10" s="59"/>
      <c r="AK10" s="59"/>
      <c r="AL10" s="59"/>
      <c r="AM10" s="59"/>
      <c r="AN10" s="59"/>
      <c r="AO10" s="59"/>
      <c r="AP10" s="59"/>
      <c r="AQ10" s="59"/>
      <c r="AR10" s="59"/>
      <c r="AU10" s="87" t="s">
        <v>581</v>
      </c>
      <c r="AV10" s="87" t="str">
        <f ca="1">PAYPRESE</f>
        <v>NA</v>
      </c>
      <c r="AW10" s="87" t="str">
        <f ca="1">PAYCUSE</f>
        <v>NA</v>
      </c>
      <c r="AX10" s="367" t="str">
        <f ca="1">PAYALL</f>
        <v>NA</v>
      </c>
    </row>
    <row r="11" spans="2:58" ht="15.95" customHeight="1">
      <c r="B11" s="59"/>
      <c r="C11" s="59"/>
      <c r="D11" s="59"/>
      <c r="E11" s="59"/>
      <c r="F11" s="59"/>
      <c r="G11" s="59"/>
      <c r="H11" s="59"/>
      <c r="I11" s="59"/>
      <c r="J11" s="59"/>
      <c r="K11" s="59"/>
      <c r="L11" s="59"/>
      <c r="M11" s="59"/>
      <c r="N11" s="59"/>
      <c r="O11" s="59"/>
      <c r="P11" s="59"/>
      <c r="Q11" s="59"/>
      <c r="R11" s="836" t="s">
        <v>68</v>
      </c>
      <c r="S11" s="836"/>
      <c r="T11" s="836"/>
      <c r="U11" s="836"/>
      <c r="V11" s="836" t="s">
        <v>69</v>
      </c>
      <c r="W11" s="836"/>
      <c r="X11" s="836"/>
      <c r="Y11" s="836"/>
      <c r="Z11" s="836" t="s">
        <v>70</v>
      </c>
      <c r="AA11" s="836"/>
      <c r="AB11" s="836"/>
      <c r="AC11" s="836"/>
      <c r="AD11" s="59"/>
      <c r="AE11" s="59"/>
      <c r="AF11" s="901" t="s">
        <v>2101</v>
      </c>
      <c r="AG11" s="901"/>
      <c r="AH11" s="901"/>
      <c r="AI11" s="901"/>
      <c r="AJ11" s="59"/>
      <c r="AK11" s="59"/>
      <c r="AL11" s="59"/>
      <c r="AM11" s="59"/>
      <c r="AN11" s="59"/>
      <c r="AO11" s="59"/>
      <c r="AP11" s="59"/>
      <c r="AQ11" s="59"/>
      <c r="AR11" s="59"/>
    </row>
    <row r="12" spans="2:58" ht="15.95" customHeight="1">
      <c r="B12" s="59"/>
      <c r="C12" s="59"/>
      <c r="D12" s="59"/>
      <c r="E12" s="59"/>
      <c r="F12" s="59"/>
      <c r="G12" s="59"/>
      <c r="H12" s="59"/>
      <c r="I12" s="59"/>
      <c r="J12" s="59"/>
      <c r="K12" s="59"/>
      <c r="L12" s="59"/>
      <c r="M12" s="59"/>
      <c r="N12" s="59"/>
      <c r="O12" s="59"/>
      <c r="P12" s="59"/>
      <c r="Q12" s="59"/>
      <c r="R12" s="880">
        <f>SUM(AO16:AQ33)+SUM(AO38:AQ43)</f>
        <v>0</v>
      </c>
      <c r="S12" s="880"/>
      <c r="T12" s="880"/>
      <c r="U12" s="880"/>
      <c r="V12" s="880">
        <f>AU200</f>
        <v>0</v>
      </c>
      <c r="W12" s="880"/>
      <c r="X12" s="880"/>
      <c r="Y12" s="880"/>
      <c r="Z12" s="881">
        <f>SUMIF(AO16:AQ33,"&gt;0",AK16:AN33)+SUMIF(AO38:AQ43,"&gt;0",AK38:AN43)</f>
        <v>0</v>
      </c>
      <c r="AA12" s="881"/>
      <c r="AB12" s="881"/>
      <c r="AC12" s="881"/>
      <c r="AD12" s="59"/>
      <c r="AE12" s="59"/>
      <c r="AF12" s="902">
        <f ca="1">IFERROR(IF(AO44="",0,AO44),0)</f>
        <v>0</v>
      </c>
      <c r="AG12" s="902"/>
      <c r="AH12" s="902"/>
      <c r="AI12" s="902"/>
      <c r="AJ12" s="59"/>
      <c r="AK12" s="59"/>
      <c r="AL12" s="59"/>
      <c r="AM12" s="59"/>
      <c r="AN12" s="59"/>
      <c r="AO12" s="59"/>
      <c r="AP12" s="59"/>
      <c r="AQ12" s="59"/>
      <c r="AR12" s="59"/>
    </row>
    <row r="13" spans="2:58" ht="15.95" customHeight="1">
      <c r="B13" s="59"/>
      <c r="C13" s="59"/>
      <c r="D13" s="59"/>
      <c r="E13" s="59"/>
      <c r="F13" s="59"/>
      <c r="G13" s="59"/>
      <c r="H13" s="59"/>
      <c r="I13" s="59"/>
      <c r="J13" s="59"/>
      <c r="K13" s="59"/>
      <c r="L13" s="59"/>
      <c r="M13" s="59"/>
      <c r="N13" s="59"/>
      <c r="O13" s="59"/>
      <c r="P13" s="59"/>
      <c r="Q13" s="59"/>
      <c r="R13" s="880"/>
      <c r="S13" s="880"/>
      <c r="T13" s="880"/>
      <c r="U13" s="880"/>
      <c r="V13" s="880"/>
      <c r="W13" s="880"/>
      <c r="X13" s="880"/>
      <c r="Y13" s="880"/>
      <c r="Z13" s="881"/>
      <c r="AA13" s="881"/>
      <c r="AB13" s="881"/>
      <c r="AC13" s="881"/>
      <c r="AD13" s="59"/>
      <c r="AE13" s="59"/>
      <c r="AF13" s="902"/>
      <c r="AG13" s="902"/>
      <c r="AH13" s="902"/>
      <c r="AI13" s="902"/>
      <c r="AJ13" s="59"/>
      <c r="AK13" s="59"/>
      <c r="AL13" s="59"/>
      <c r="AM13" s="59"/>
      <c r="AN13" s="59"/>
      <c r="AO13" s="59"/>
      <c r="AP13" s="59"/>
      <c r="AQ13" s="59"/>
      <c r="AR13" s="59"/>
    </row>
    <row r="14" spans="2:58" ht="15.95" customHeight="1">
      <c r="C14" s="809" t="s">
        <v>99</v>
      </c>
      <c r="D14" s="809"/>
      <c r="E14" s="809"/>
      <c r="F14" s="809"/>
      <c r="G14" s="809"/>
      <c r="H14" s="809"/>
      <c r="I14" s="809"/>
      <c r="J14" s="1048" t="s">
        <v>2405</v>
      </c>
      <c r="K14" s="1048"/>
      <c r="L14" s="1048"/>
      <c r="M14" s="1048"/>
      <c r="N14" s="1050" t="s">
        <v>1618</v>
      </c>
      <c r="O14" s="1050"/>
      <c r="P14" s="473"/>
      <c r="Q14" s="473"/>
      <c r="R14" s="473"/>
      <c r="S14" s="473"/>
      <c r="T14" s="809" t="s">
        <v>100</v>
      </c>
      <c r="U14" s="809"/>
      <c r="V14" s="470"/>
      <c r="W14" s="470"/>
      <c r="X14" s="1051" t="s">
        <v>1582</v>
      </c>
      <c r="Y14" s="1051"/>
      <c r="Z14" s="1051"/>
      <c r="AA14" s="988" t="s">
        <v>1583</v>
      </c>
      <c r="AB14" s="988"/>
      <c r="AC14" s="988"/>
      <c r="AD14" s="988"/>
      <c r="AE14" s="1053" t="s">
        <v>1584</v>
      </c>
      <c r="AF14" s="1053"/>
      <c r="AG14" s="1053"/>
      <c r="AH14" s="1053"/>
      <c r="AI14" s="809" t="s">
        <v>93</v>
      </c>
      <c r="AJ14" s="809"/>
      <c r="AK14" s="809" t="s">
        <v>92</v>
      </c>
      <c r="AL14" s="809"/>
      <c r="AM14" s="809"/>
      <c r="AN14" s="809"/>
      <c r="AO14" s="809" t="s">
        <v>1585</v>
      </c>
      <c r="AP14" s="809"/>
      <c r="AQ14" s="809"/>
      <c r="AU14" s="809" t="s">
        <v>196</v>
      </c>
      <c r="AV14" s="809" t="s">
        <v>1580</v>
      </c>
      <c r="AW14" s="809" t="s">
        <v>1581</v>
      </c>
      <c r="AX14" s="809" t="s">
        <v>1600</v>
      </c>
      <c r="AY14" s="809" t="s">
        <v>136</v>
      </c>
      <c r="BC14" s="809" t="s">
        <v>489</v>
      </c>
      <c r="BE14" s="809" t="s">
        <v>2016</v>
      </c>
      <c r="BF14" s="809" t="s">
        <v>2142</v>
      </c>
    </row>
    <row r="15" spans="2:58" ht="15.95" customHeight="1" thickBot="1">
      <c r="C15" s="810"/>
      <c r="D15" s="810"/>
      <c r="E15" s="810"/>
      <c r="F15" s="810"/>
      <c r="G15" s="810"/>
      <c r="H15" s="810"/>
      <c r="I15" s="810"/>
      <c r="J15" s="1049"/>
      <c r="K15" s="1049"/>
      <c r="L15" s="1049"/>
      <c r="M15" s="1049"/>
      <c r="N15" s="989"/>
      <c r="O15" s="989"/>
      <c r="P15" s="1020" t="s">
        <v>1586</v>
      </c>
      <c r="Q15" s="1020"/>
      <c r="R15" s="1020"/>
      <c r="S15" s="1020"/>
      <c r="T15" s="810"/>
      <c r="U15" s="810"/>
      <c r="V15" s="1021" t="s">
        <v>1599</v>
      </c>
      <c r="W15" s="1021"/>
      <c r="X15" s="1052"/>
      <c r="Y15" s="1052"/>
      <c r="Z15" s="1052"/>
      <c r="AA15" s="989" t="s">
        <v>110</v>
      </c>
      <c r="AB15" s="989"/>
      <c r="AC15" s="989" t="s">
        <v>111</v>
      </c>
      <c r="AD15" s="989"/>
      <c r="AE15" s="1052"/>
      <c r="AF15" s="1052"/>
      <c r="AG15" s="1052"/>
      <c r="AH15" s="1052"/>
      <c r="AI15" s="810"/>
      <c r="AJ15" s="810"/>
      <c r="AK15" s="810"/>
      <c r="AL15" s="810"/>
      <c r="AM15" s="810"/>
      <c r="AN15" s="810"/>
      <c r="AO15" s="810"/>
      <c r="AP15" s="810"/>
      <c r="AQ15" s="810"/>
      <c r="AU15" s="810"/>
      <c r="AV15" s="810"/>
      <c r="AW15" s="810"/>
      <c r="AX15" s="810"/>
      <c r="AY15" s="810"/>
      <c r="BC15" s="810"/>
      <c r="BE15" s="810"/>
      <c r="BF15" s="810"/>
    </row>
    <row r="16" spans="2:58" ht="15.95" customHeight="1">
      <c r="B16" s="835">
        <v>1</v>
      </c>
      <c r="C16" s="871"/>
      <c r="D16" s="872"/>
      <c r="E16" s="872"/>
      <c r="F16" s="872"/>
      <c r="G16" s="872"/>
      <c r="H16" s="872"/>
      <c r="I16" s="873"/>
      <c r="J16" s="837"/>
      <c r="K16" s="838"/>
      <c r="L16" s="838"/>
      <c r="M16" s="839"/>
      <c r="N16" s="851"/>
      <c r="O16" s="857"/>
      <c r="P16" s="1054" t="str">
        <f>IFERROR(IF(C16="","",INDEX(PMECA[Eff Desc 2],MATCH(C16,PMECA[Eff Desc 1],0))),"")</f>
        <v/>
      </c>
      <c r="Q16" s="1055"/>
      <c r="R16" s="1055"/>
      <c r="S16" s="1056"/>
      <c r="T16" s="1062" t="str">
        <f>IFERROR(IF(C16="","",INDEX(PMECA[Unit of Measure],MATCH(C16,PMECA[Eff Desc 1],0))),"")</f>
        <v/>
      </c>
      <c r="U16" s="1044"/>
      <c r="V16" s="851"/>
      <c r="W16" s="852"/>
      <c r="X16" s="837"/>
      <c r="Y16" s="838"/>
      <c r="Z16" s="839"/>
      <c r="AA16" s="951"/>
      <c r="AB16" s="943"/>
      <c r="AC16" s="943"/>
      <c r="AD16" s="944"/>
      <c r="AE16" s="947" t="str">
        <f>IFERROR(IF(C16="","",INDEX(PMECA[Base Desc 1],MATCH(C16,PMECA[Eff Desc 1],0))),"")</f>
        <v/>
      </c>
      <c r="AF16" s="947"/>
      <c r="AG16" s="947"/>
      <c r="AH16" s="948"/>
      <c r="AI16" s="923" t="str">
        <f>IFERROR(IF(C16="","",INDEX(PMECA[Inc Rate Unit],MATCH(C16,PMECA[Eff Desc 1],0))),"")</f>
        <v/>
      </c>
      <c r="AJ16" s="924"/>
      <c r="AK16" s="1026" t="str">
        <f>IFERROR(IF(OR(C16="",V16="",X16="",AA16="",J16="",N16="",AC16="",BC16&lt;&gt;""),"",AV16),"")</f>
        <v/>
      </c>
      <c r="AL16" s="1027"/>
      <c r="AM16" s="1027"/>
      <c r="AN16" s="1028" t="str">
        <f>IF(OR(C16="",V16="",X16="",AB16="",AE16="",AG16=""),"",IF(BC16&lt;&gt;"",BC16,MIN(AU16,ROUND(V16*AI16,2))))</f>
        <v/>
      </c>
      <c r="AO16" s="1065" t="str">
        <f>IFERROR(IF(OR(C16="",V16="",X16="",AA16="",J16="",N16="",AC16=""),"",AY16),"")</f>
        <v/>
      </c>
      <c r="AP16" s="1066"/>
      <c r="AQ16" s="1067"/>
      <c r="AU16" s="1061" t="str">
        <f>IF(OR(C16="",J16="",AA16="",X16="",V16="",AC16=""),"",ROUND((AA16+AC16),2))</f>
        <v/>
      </c>
      <c r="AV16" s="980" t="str">
        <f>IFERROR(IF(OR(C16="",J16="",N16="",V16="",X16="",AA16="",AC16=""),"",IF(BC16&lt;&gt;"",BC16,ROUND(
IF(ISNUMBER(SEARCH("VSD on Air Compressor",C16)),V16*0.9*(INDEX(CAShifts[Hours],MATCH(N16,CAShifts[Shift],0)))*
(IF(V16&lt;=40,(INDEX(CABaseline[CFb (≤ 40 HP)],MATCH(J16,CABaseline[Baseline],0))),(INDEX(CABaseline[CFb (50-200HP)],MATCH(J16,CABaseline[Baseline],0))))-IF(V16&lt;=40,0.705,0.658)),
IF(ISNUMBER(SEARCH("Leak",C16)),(V16*(J16*6.1*INDEX(CAShifts[Hours],MATCH(N16,CAShifts[Shift],0))*0.19*0.3/100)),
IF(ISNUMBER(SEARCH("Digital Scroll",C16)),(0.007*(INDEX(PMECA[Base Desc 2],MATCH(C16,PMECA[Eff Desc 1],0))-INDEX(PMECA[Base Watt],MATCH(C16,PMECA[Eff Desc 1],0)))*INDEX(CAShifts[Hours],MATCH(N16,CAShifts[Shift],0))*V16),
IF(ISNUMBER(SEARCH("VS Air Dryer",C16)),(0.007*(INDEX(PMECA[Base Desc 2],MATCH(C16,PMECA[Eff Desc 1],0))-INDEX(PMECA[Base Watt],MATCH(C16,PMECA[Eff Desc 1],0)))*INDEX(CAShifts[Hours],MATCH(N16,CAShifts[Shift],0))*V16),
IF(ISNUMBER(SEARCH("Thermal Mass",C16)),(0.007*(INDEX(PMECA[Base Desc 2],MATCH(C16,PMECA[Eff Desc 1],0))-INDEX(PMECA[Base Watt],MATCH(C16,PMECA[Eff Desc 1],0)))*INDEX(CAShifts[Hours],MATCH(N16,CAShifts[Shift],0))*V16),
IF(ISNUMBER(SEARCH("Heated Desiccant",C16)),(V16*((0.15*INDEX(CABaseline[Column1],MATCH(J16,CABaseline[Baseline],0)))-((INDEX(PMECA[Base Desc 2],MATCH(C16,PMECA[Eff Desc 1],0)))*INDEX(CABaseline[Column1],MATCH(J16,CABaseline[Baseline],0))+INDEX(PMECA[Base Watt],MATCH(C16,PMECA[Eff Desc 1],0))+INDEX(PMECA[Base Watt 2],MATCH(C16,PMECA[Eff Desc 1],0))))*INDEX(CAShifts[Hours],MATCH(N16,CAShifts[Shift],0))),
IF(ISNUMBER(SEARCH("Blower Purge",C16)),(V16*((0.15*INDEX(CABaseline[Column1],MATCH(J16,CABaseline[Baseline],0)))-((INDEX(PMECA[Base Desc 2],MATCH(C16,PMECA[Eff Desc 1],0)))*INDEX(CABaseline[Column1],MATCH(J16,CABaseline[Baseline],0))+INDEX(PMECA[Base Watt],MATCH(C16,PMECA[Eff Desc 1],0))+INDEX(PMECA[Base Watt 2],MATCH(C16,PMECA[Eff Desc 1],0))))*INDEX(CAShifts[Hours],MATCH(N16,CAShifts[Shift],0))),
IF(ISNUMBER(SEARCH("Drop Filter",C16)),(INDEX(CABaseline[Column1],MATCH(J16,CABaseline[Baseline],0))*2*0.005*INDEX(CAShifts[Hours],MATCH(N16,CAShifts[Shift],0))/100)*V16,
IF(ISNUMBER(SEARCH("Condensate Drains",C16)),V16*3*INDEX(CABaseline[Column1],MATCH(J16,CABaseline[Baseline],0))*INDEX(CAShifts[Hours],MATCH(N16,CAShifts[Shift],0)),
IF(ISNUMBER(SEARCH("HVAC Supply and Return",C16)),((0.746*V16*(0.65/0.95))*INDEX(LightingWHF[Total Fan Run Hours],MATCH(M02S02F26,LightingWHF[Building/Space Type],0))*INDEX(CABaseline[Column1],MATCH(J16,CABaseline[Baseline],0))-((0.746*V16*(0.65/0.95))*INDEX(LightingWHF[Total Fan Run Hours],MATCH(M02S02F26,LightingWHF[Building/Space Type],0))*0.3))*(1+0.157),
IF(ISNUMBER(SEARCH("HVAC Pumps",C16)),(V16*0.65)/0.93*(IF(J16="Hot Water Pump",INDEX(LightingWHF[Heating Run Hours],MATCH(M02S02F26,LightingWHF[Building/Space Type],0)),INDEX(LightingWHF[Cooling Run Hours],MATCH(M02S02F26,LightingWHF[Building/Space Type],0))))*INDEX(CABaseline[Column1],MATCH(J16,CABaseline[Baseline],0)),
IF(ISNUMBER(SEARCH("Nozzle",C16)),(INDEX(PMECA[Base Desc 2],MATCH(C16,PMECA[Eff Desc 1]))*0.5)*INDEX(CABaseline[Column1],MATCH(J16,CABaseline[Baseline],0))*0.05*INDEX(CAShifts[Hours],MATCH(N16,CAShifts[Shift],0)),
IF(ISNUMBER(SEARCH("Tankless",C16)),V16*INDEX(PMECA[Savings per Unit kWh],MATCH(C16,PMECA[Eff Desc 1],0)),
IF(ISNUMBER(SEARCH("Pool",C16)),V16*INDEX(PMECA[Savings per Unit kWh],MATCH(C16,PMECA[Eff Desc 1],0)),
)))))))))))))),2))),"")</f>
        <v/>
      </c>
      <c r="AW16" s="1060" t="str">
        <f>IFERROR(IF(OR(C16="",J16="",N16="",V16="",X16="",AA16="",AC16=""),"",ROUND(
IF(OR(ISNUMBER(SEARCH("VSD on Air Compressor",C16)),ISNUMBER(SEARCH("Nozzle",C16)),ISNUMBER(SEARCH("Digital Scroll",C16)),ISNUMBER(SEARCH("Leak",C16)),ISNUMBER(SEARCH("VS Air Dryer",C16)),ISNUMBER(SEARCH("Thermal Mass",C16)),ISNUMBER(SEARCH("Heated Desiccant",C16)),ISNUMBER(SEARCH("Blower Purge",C16)),ISNUMBER(SEARCH("Drop Filter",C16))),AV16/(INDEX(CAShifts[Hours],MATCH(N16,CAShifts[Shift],0)))*(INDEX(CAShifts[CF],MATCH(N16,CAShifts[Shift],0))),
IF(ISNUMBER(SEARCH("Condensate Drains",C16)),AV16/(INDEX(CAShifts[Hours],MATCH(N16,CAShifts[Shift],0)))*0.95,
IF(ISNUMBER(SEARCH("VSD for HVAC Pumps",C16)),IF(ISNUMBER(SEARCH("Pump",J16)),0,(V16*0.65)/0.93*INDEX(PMECA[Base Desc 2],MATCH(C16,PMECA[Eff Desc 1],0))),
IF(ISNUMBER(SEARCH("HVAC Supply and Return",C16)),IF(((0.746*V16*(0.65/0.95))*INDEX(CABaseline[CFb (50-200HP)],MATCH(J16,CABaseline[Baseline],0))-((0.746*V16*(0.65/0.95))*1.01))*(1+0.157)&lt;0,0,(0.746*V16*(0.65/0.95))*INDEX(CABaseline[CFb (50-200HP)],MATCH(J16,CABaseline[Baseline],0))-((0.746*V16*(0.65/0.95))*1.01))*(1+0.157),
IF(OR(ISNUMBER(SEARCH("Pool",C16)),ISNUMBER(SEARCH("Tankless",C16))),V16*INDEX(PMECA[Savings per Unit kW],MATCH(C16,PMECA[Eff Desc 1],0)),
))))),3)),"")</f>
        <v/>
      </c>
      <c r="AX16" s="813" t="str">
        <f>IF(OR(C16="",J16="",AA16="",X16="",V16="",AC16=""),"",
IF(ISNUMBER(SEARCH("Leak",C16)),V16*INDEX(PMECA[Incremental Cost],MATCH(C16,PMECA[Eff Desc 1],0)),(127*V16)+1446))</f>
        <v/>
      </c>
      <c r="AY16" s="813" t="str">
        <f>IF(OR(C16="",J16="",N16="",V16="",X16="",AA16="",AC16="",AI16="",AK16=""),"",IF(BC16&lt;&gt;"",BC16,IF(AV16=0,0,MIN(AU16,ROUND(V16*AI16,2)))))</f>
        <v/>
      </c>
      <c r="BC16" s="830" t="str">
        <f>IF(OR(J16="",N16="",C16="",V16="",X16="",AA16="",AE16="",AC16="",P16="",T16=""),"",IF(OR(ISBLANK(M02S02F26),ISBLANK(M02S02F32),ISBLANK(M02S02F46)),MEASUREBLDG,""))</f>
        <v/>
      </c>
      <c r="BE16" s="811" t="str">
        <f ca="1">IF(OR(C16="",J16="",N16="",P16="",T16="",V16="",AA16="",X16="",AC16=""),"",IF('M01-S01'!$V$82&lt;TODAY(),0,IF(M02S02F46="Gas Only",0,IF(OR(AK16="",AK16&lt;0,AU16&lt;=AO16),0,MIN(AU16-AO16,ROUND(AO16*0.2,2))))))</f>
        <v/>
      </c>
      <c r="BF16" s="811"/>
    </row>
    <row r="17" spans="2:58" ht="15.95" customHeight="1">
      <c r="B17" s="835"/>
      <c r="C17" s="840"/>
      <c r="D17" s="841"/>
      <c r="E17" s="841"/>
      <c r="F17" s="841"/>
      <c r="G17" s="841"/>
      <c r="H17" s="841"/>
      <c r="I17" s="842"/>
      <c r="J17" s="840"/>
      <c r="K17" s="841"/>
      <c r="L17" s="841"/>
      <c r="M17" s="842"/>
      <c r="N17" s="853"/>
      <c r="O17" s="858"/>
      <c r="P17" s="1057"/>
      <c r="Q17" s="1058"/>
      <c r="R17" s="1058"/>
      <c r="S17" s="1059"/>
      <c r="T17" s="1063"/>
      <c r="U17" s="1046"/>
      <c r="V17" s="853"/>
      <c r="W17" s="854"/>
      <c r="X17" s="840"/>
      <c r="Y17" s="841"/>
      <c r="Z17" s="842"/>
      <c r="AA17" s="952"/>
      <c r="AB17" s="945"/>
      <c r="AC17" s="945"/>
      <c r="AD17" s="946"/>
      <c r="AE17" s="949"/>
      <c r="AF17" s="949"/>
      <c r="AG17" s="949"/>
      <c r="AH17" s="950"/>
      <c r="AI17" s="925"/>
      <c r="AJ17" s="870"/>
      <c r="AK17" s="828"/>
      <c r="AL17" s="829"/>
      <c r="AM17" s="829"/>
      <c r="AN17" s="833"/>
      <c r="AO17" s="960"/>
      <c r="AP17" s="961"/>
      <c r="AQ17" s="962"/>
      <c r="AU17" s="814"/>
      <c r="AV17" s="981"/>
      <c r="AW17" s="1002"/>
      <c r="AX17" s="814"/>
      <c r="AY17" s="814"/>
      <c r="BC17" s="831"/>
      <c r="BE17" s="812"/>
      <c r="BF17" s="812"/>
    </row>
    <row r="18" spans="2:58" ht="15.95" customHeight="1">
      <c r="B18" s="834">
        <v>2</v>
      </c>
      <c r="C18" s="871"/>
      <c r="D18" s="872"/>
      <c r="E18" s="872"/>
      <c r="F18" s="872"/>
      <c r="G18" s="872"/>
      <c r="H18" s="872"/>
      <c r="I18" s="873"/>
      <c r="J18" s="837"/>
      <c r="K18" s="838"/>
      <c r="L18" s="838"/>
      <c r="M18" s="839"/>
      <c r="N18" s="851"/>
      <c r="O18" s="852"/>
      <c r="P18" s="1068" t="str">
        <f>IFERROR(IF(C18="","",INDEX(PMECA[Eff Desc 2],MATCH(C18,PMECA[Eff Desc 1],0))),"")</f>
        <v/>
      </c>
      <c r="Q18" s="1069"/>
      <c r="R18" s="1069"/>
      <c r="S18" s="1070"/>
      <c r="T18" s="1043" t="str">
        <f>IFERROR(IF(C18="","",INDEX(PMECA[Unit of Measure],MATCH(C18,PMECA[Eff Desc 1],0))),"")</f>
        <v/>
      </c>
      <c r="U18" s="1044"/>
      <c r="V18" s="851"/>
      <c r="W18" s="852"/>
      <c r="X18" s="837"/>
      <c r="Y18" s="838"/>
      <c r="Z18" s="839"/>
      <c r="AA18" s="951"/>
      <c r="AB18" s="943"/>
      <c r="AC18" s="943"/>
      <c r="AD18" s="944"/>
      <c r="AE18" s="1022" t="str">
        <f>IFERROR(IF(C18="","",INDEX(PMECA[Base Desc 1],MATCH(C18,PMECA[Eff Desc 1],0))),"")</f>
        <v/>
      </c>
      <c r="AF18" s="1023"/>
      <c r="AG18" s="1023"/>
      <c r="AH18" s="1024"/>
      <c r="AI18" s="1029" t="str">
        <f>IFERROR(IF(C18="","",INDEX(PMECA[Inc Rate Unit],MATCH(C18,PMECA[Eff Desc 1],0))),"")</f>
        <v/>
      </c>
      <c r="AJ18" s="868"/>
      <c r="AK18" s="826" t="str">
        <f>IFERROR(IF(OR(C18="",V18="",X18="",AA18="",J18="",N18="",AC18=""),"",AV18),"")</f>
        <v/>
      </c>
      <c r="AL18" s="827"/>
      <c r="AM18" s="827"/>
      <c r="AN18" s="832" t="str">
        <f t="shared" ref="AN18" si="0">IF(OR(C18="",V18="",X18="",AB18="",AE18="",AG18=""),"",IF(BC18&lt;&gt;"",BC18,MIN(AU18,ROUND(V18*AI18,2))))</f>
        <v/>
      </c>
      <c r="AO18" s="957" t="str">
        <f t="shared" ref="AO18" si="1">IFERROR(IF(OR(C18="",V18="",X18="",AA18="",J18="",N18="",AC18=""),"",AY18),"")</f>
        <v/>
      </c>
      <c r="AP18" s="958"/>
      <c r="AQ18" s="958"/>
      <c r="AU18" s="898" t="str">
        <f t="shared" ref="AU18" si="2">IF(OR(C18="",J18="",AA18="",X18="",V18="",AC18=""),"",ROUND((AA18+AC18),2))</f>
        <v/>
      </c>
      <c r="AV18" s="980" t="str">
        <f>IFERROR(IF(OR(C18="",J18="",N18="",V18="",X18="",AA18="",AC18=""),"",IF(BC18&lt;&gt;"",BC18,ROUND(
IF(ISNUMBER(SEARCH("VSD on Air Compressor",C18)),V18*0.9*(INDEX(CAShifts[Hours],MATCH(N18,CAShifts[Shift],0)))*
(IF(V18&lt;=40,(INDEX(CABaseline[CFb (≤ 40 HP)],MATCH(J18,CABaseline[Baseline],0))),(INDEX(CABaseline[CFb (50-200HP)],MATCH(J18,CABaseline[Baseline],0))))-IF(V18&lt;=40,0.705,0.658)),
IF(ISNUMBER(SEARCH("Leak",C18)),(V18*(J18*6.1*INDEX(CAShifts[Hours],MATCH(N18,CAShifts[Shift],0))*0.19*0.3/100)),
IF(ISNUMBER(SEARCH("Digital Scroll",C18)),(0.007*(INDEX(PMECA[Base Desc 2],MATCH(C18,PMECA[Eff Desc 1],0))-INDEX(PMECA[Base Watt],MATCH(C18,PMECA[Eff Desc 1],0)))*INDEX(CAShifts[Hours],MATCH(N18,CAShifts[Shift],0))*V18),
IF(ISNUMBER(SEARCH("VS Air Dryer",C18)),(0.007*(INDEX(PMECA[Base Desc 2],MATCH(C18,PMECA[Eff Desc 1],0))-INDEX(PMECA[Base Watt],MATCH(C18,PMECA[Eff Desc 1],0)))*INDEX(CAShifts[Hours],MATCH(N18,CAShifts[Shift],0))*V18),
IF(ISNUMBER(SEARCH("Thermal Mass",C18)),(0.007*(INDEX(PMECA[Base Desc 2],MATCH(C18,PMECA[Eff Desc 1],0))-INDEX(PMECA[Base Watt],MATCH(C18,PMECA[Eff Desc 1],0)))*INDEX(CAShifts[Hours],MATCH(N18,CAShifts[Shift],0))*V18),
IF(ISNUMBER(SEARCH("Heated Desiccant",C18)),(V18*((0.15*INDEX(CABaseline[Column1],MATCH(J18,CABaseline[Baseline],0)))-((INDEX(PMECA[Base Desc 2],MATCH(C18,PMECA[Eff Desc 1],0)))*INDEX(CABaseline[Column1],MATCH(J18,CABaseline[Baseline],0))+INDEX(PMECA[Base Watt],MATCH(C18,PMECA[Eff Desc 1],0))+INDEX(PMECA[Base Watt 2],MATCH(C18,PMECA[Eff Desc 1],0))))*INDEX(CAShifts[Hours],MATCH(N18,CAShifts[Shift],0))),
IF(ISNUMBER(SEARCH("Blower Purge",C18)),(V18*((0.15*INDEX(CABaseline[Column1],MATCH(J18,CABaseline[Baseline],0)))-((INDEX(PMECA[Base Desc 2],MATCH(C18,PMECA[Eff Desc 1],0)))*INDEX(CABaseline[Column1],MATCH(J18,CABaseline[Baseline],0))+INDEX(PMECA[Base Watt],MATCH(C18,PMECA[Eff Desc 1],0))+INDEX(PMECA[Base Watt 2],MATCH(C18,PMECA[Eff Desc 1],0))))*INDEX(CAShifts[Hours],MATCH(N18,CAShifts[Shift],0))),
IF(ISNUMBER(SEARCH("Drop Filter",C18)),(INDEX(CABaseline[Column1],MATCH(J18,CABaseline[Baseline],0))*2*0.005*INDEX(CAShifts[Hours],MATCH(N18,CAShifts[Shift],0))/100)*V18,
IF(ISNUMBER(SEARCH("Condensate Drains",C18)),V18*3*INDEX(CABaseline[Column1],MATCH(J18,CABaseline[Baseline],0))*INDEX(CAShifts[Hours],MATCH(N18,CAShifts[Shift],0)),
IF(ISNUMBER(SEARCH("HVAC Supply and Return",C18)),((0.746*V18*(0.65/0.95))*INDEX(LightingWHF[Total Fan Run Hours],MATCH(M02S02F26,LightingWHF[Building/Space Type],0))*INDEX(CABaseline[Column1],MATCH(J18,CABaseline[Baseline],0))-((0.746*V18*(0.65/0.95))*INDEX(LightingWHF[Total Fan Run Hours],MATCH(M02S02F26,LightingWHF[Building/Space Type],0))*0.3))*(1+0.157),
IF(ISNUMBER(SEARCH("HVAC Pumps",C18)),(V18*0.65)/0.93*(IF(J18="Hot Water Pump",INDEX(LightingWHF[Heating Run Hours],MATCH(M02S02F26,LightingWHF[Building/Space Type],0)),INDEX(LightingWHF[Cooling Run Hours],MATCH(M02S02F26,LightingWHF[Building/Space Type],0))))*INDEX(CABaseline[Column1],MATCH(J18,CABaseline[Baseline],0)),
IF(ISNUMBER(SEARCH("Nozzle",C18)),(INDEX(PMECA[Base Desc 2],MATCH(C18,PMECA[Eff Desc 1]))*0.5)*INDEX(CABaseline[Column1],MATCH(J18,CABaseline[Baseline],0))*0.05*INDEX(CAShifts[Hours],MATCH(N18,CAShifts[Shift],0)),
IF(ISNUMBER(SEARCH("Tankless",C18)),V18*INDEX(PMECA[Savings per Unit kWh],MATCH(C18,PMECA[Eff Desc 1],0)),
IF(ISNUMBER(SEARCH("Pool",C18)),V18*INDEX(PMECA[Savings per Unit kWh],MATCH(C18,PMECA[Eff Desc 1],0)),
)))))))))))))),2))),"")</f>
        <v/>
      </c>
      <c r="AW18" s="1060" t="str">
        <f>IFERROR(IF(OR(C18="",J18="",N18="",V18="",X18="",AA18="",AC18=""),"",ROUND(
IF(OR(ISNUMBER(SEARCH("VSD on Air Compressor",C18)),ISNUMBER(SEARCH("Nozzle",C18)),ISNUMBER(SEARCH("Digital Scroll",C18)),ISNUMBER(SEARCH("Leak",C18)),ISNUMBER(SEARCH("VS Air Dryer",C18)),ISNUMBER(SEARCH("Thermal Mass",C18)),ISNUMBER(SEARCH("Heated Desiccant",C18)),ISNUMBER(SEARCH("Blower Purge",C18)),ISNUMBER(SEARCH("Drop Filter",C18))),AV18/(INDEX(CAShifts[Hours],MATCH(N18,CAShifts[Shift],0)))*(INDEX(CAShifts[CF],MATCH(N18,CAShifts[Shift],0))),
IF(ISNUMBER(SEARCH("Condensate Drains",C18)),AV18/(INDEX(CAShifts[Hours],MATCH(N18,CAShifts[Shift],0)))*0.95,
IF(ISNUMBER(SEARCH("VSD for HVAC Pumps",C18)),IF(ISNUMBER(SEARCH("Pump",J18)),0,(V18*0.65)/0.93*INDEX(PMECA[Base Desc 2],MATCH(C18,PMECA[Eff Desc 1],0))),
IF(ISNUMBER(SEARCH("HVAC Supply and Return",C18)),IF(((0.746*V18*(0.65/0.95))*INDEX(CABaseline[CFb (50-200HP)],MATCH(J18,CABaseline[Baseline],0))-((0.746*V18*(0.65/0.95))*1.01))*(1+0.157)&lt;0,0,(0.746*V18*(0.65/0.95))*INDEX(CABaseline[CFb (50-200HP)],MATCH(J18,CABaseline[Baseline],0))-((0.746*V18*(0.65/0.95))*1.01))*(1+0.157),
IF(OR(ISNUMBER(SEARCH("Pool",C18)),ISNUMBER(SEARCH("Tankless",C18))),V18*INDEX(PMECA[Savings per Unit kW],MATCH(C18,PMECA[Eff Desc 1],0)),
))))),3)),"")</f>
        <v/>
      </c>
      <c r="AX18" s="898" t="str">
        <f>IF(OR(C18="",J18="",AA18="",X18="",V18="",AC18=""),"",
IF(ISNUMBER(SEARCH("Leak",C18)),V18*INDEX(PMECA[Incremental Cost],MATCH(C18,PMECA[Eff Desc 1],0)),(127*V18)+1446))</f>
        <v/>
      </c>
      <c r="AY18" s="980" t="str">
        <f t="shared" ref="AY18" si="3">IF(OR(C18="",J18="",N18="",V18="",X18="",AA18="",AC18="",AI18="",AK18=""),"",IF(BC18&lt;&gt;"",BC18,IF(AV18=0,0,MIN(AU18,ROUND(V18*AI18,2)))))</f>
        <v/>
      </c>
      <c r="BC18" s="830" t="str">
        <f>IF(OR(J18="",N18="",C18="",V18="",X18="",AA18="",AE18="",AC18="",P18="",T18=""),"",IF(OR(ISBLANK(M02S02F26),ISBLANK(M02S02F32),ISBLANK(M02S02F46)),MEASUREBLDG,""))</f>
        <v/>
      </c>
      <c r="BE18" s="811" t="str">
        <f ca="1">IF(OR(C18="",J18="",N18="",P18="",T18="",V18="",AA18="",X18="",AC18=""),"",IF('M01-S01'!$V$82&lt;TODAY(),0,IF(M02S02F46="Gas Only",0,IF(OR(AK18="",AK18&lt;0,AU18&lt;=AO18),0,MIN(AU18-AO18,ROUND(AO18*0.2,2))))))</f>
        <v/>
      </c>
      <c r="BF18" s="811"/>
    </row>
    <row r="19" spans="2:58" ht="15.95" customHeight="1">
      <c r="B19" s="834"/>
      <c r="C19" s="840"/>
      <c r="D19" s="841"/>
      <c r="E19" s="841"/>
      <c r="F19" s="841"/>
      <c r="G19" s="841"/>
      <c r="H19" s="841"/>
      <c r="I19" s="842"/>
      <c r="J19" s="840"/>
      <c r="K19" s="841"/>
      <c r="L19" s="841"/>
      <c r="M19" s="842"/>
      <c r="N19" s="853"/>
      <c r="O19" s="854"/>
      <c r="P19" s="1040"/>
      <c r="Q19" s="1041"/>
      <c r="R19" s="1041"/>
      <c r="S19" s="1042"/>
      <c r="T19" s="1045"/>
      <c r="U19" s="1046"/>
      <c r="V19" s="853"/>
      <c r="W19" s="854"/>
      <c r="X19" s="840"/>
      <c r="Y19" s="841"/>
      <c r="Z19" s="842"/>
      <c r="AA19" s="952"/>
      <c r="AB19" s="945"/>
      <c r="AC19" s="945"/>
      <c r="AD19" s="946"/>
      <c r="AE19" s="1025"/>
      <c r="AF19" s="947"/>
      <c r="AG19" s="947"/>
      <c r="AH19" s="948"/>
      <c r="AI19" s="1030"/>
      <c r="AJ19" s="870"/>
      <c r="AK19" s="828"/>
      <c r="AL19" s="829"/>
      <c r="AM19" s="829"/>
      <c r="AN19" s="833"/>
      <c r="AO19" s="960"/>
      <c r="AP19" s="961"/>
      <c r="AQ19" s="961"/>
      <c r="AU19" s="814"/>
      <c r="AV19" s="981"/>
      <c r="AW19" s="1002"/>
      <c r="AX19" s="814"/>
      <c r="AY19" s="981"/>
      <c r="BC19" s="831"/>
      <c r="BE19" s="812"/>
      <c r="BF19" s="812"/>
    </row>
    <row r="20" spans="2:58" ht="15.95" customHeight="1">
      <c r="B20" s="834">
        <v>3</v>
      </c>
      <c r="C20" s="871"/>
      <c r="D20" s="872"/>
      <c r="E20" s="872"/>
      <c r="F20" s="872"/>
      <c r="G20" s="872"/>
      <c r="H20" s="872"/>
      <c r="I20" s="873"/>
      <c r="J20" s="837"/>
      <c r="K20" s="838"/>
      <c r="L20" s="838"/>
      <c r="M20" s="839"/>
      <c r="N20" s="851"/>
      <c r="O20" s="852"/>
      <c r="P20" s="1037" t="str">
        <f>IFERROR(IF(C20="","",INDEX(PMECA[Eff Desc 2],MATCH(C20,PMECA[Eff Desc 1],0))),"")</f>
        <v/>
      </c>
      <c r="Q20" s="1038"/>
      <c r="R20" s="1038"/>
      <c r="S20" s="1039"/>
      <c r="T20" s="1043" t="str">
        <f>IFERROR(IF(C20="","",INDEX(PMECA[Unit of Measure],MATCH(C20,PMECA[Eff Desc 1],0))),"")</f>
        <v/>
      </c>
      <c r="U20" s="1044"/>
      <c r="V20" s="851"/>
      <c r="W20" s="852"/>
      <c r="X20" s="837"/>
      <c r="Y20" s="838"/>
      <c r="Z20" s="839"/>
      <c r="AA20" s="951"/>
      <c r="AB20" s="943"/>
      <c r="AC20" s="943"/>
      <c r="AD20" s="944"/>
      <c r="AE20" s="1022" t="str">
        <f>IFERROR(IF(C20="","",INDEX(PMECA[Base Desc 1],MATCH(C20,PMECA[Eff Desc 1],0))),"")</f>
        <v/>
      </c>
      <c r="AF20" s="1023"/>
      <c r="AG20" s="1023"/>
      <c r="AH20" s="1024"/>
      <c r="AI20" s="1029" t="str">
        <f>IFERROR(IF(C20="","",INDEX(PMECA[Inc Rate Unit],MATCH(C20,PMECA[Eff Desc 1],0))),"")</f>
        <v/>
      </c>
      <c r="AJ20" s="868"/>
      <c r="AK20" s="826" t="str">
        <f t="shared" ref="AK20" si="4">IFERROR(IF(OR(C20="",V20="",X20="",AA20="",J20="",N20="",AC20=""),"",AV20),"")</f>
        <v/>
      </c>
      <c r="AL20" s="827"/>
      <c r="AM20" s="827"/>
      <c r="AN20" s="832" t="str">
        <f t="shared" ref="AN20" si="5">IF(OR(C20="",V20="",X20="",AB20="",AE20="",AG20=""),"",IF(BC20&lt;&gt;"",BC20,MIN(AU20,ROUND(V20*AI20,2))))</f>
        <v/>
      </c>
      <c r="AO20" s="957" t="str">
        <f t="shared" ref="AO20" si="6">IFERROR(IF(OR(C20="",V20="",X20="",AA20="",J20="",N20="",AC20=""),"",AY20),"")</f>
        <v/>
      </c>
      <c r="AP20" s="958"/>
      <c r="AQ20" s="958"/>
      <c r="AU20" s="898" t="str">
        <f t="shared" ref="AU20" si="7">IF(OR(C20="",J20="",AA20="",X20="",V20="",AC20=""),"",ROUND((AA20+AC20),2))</f>
        <v/>
      </c>
      <c r="AV20" s="980" t="str">
        <f>IFERROR(IF(OR(C20="",J20="",N20="",V20="",X20="",AA20="",AC20=""),"",IF(BC20&lt;&gt;"",BC20,ROUND(
IF(ISNUMBER(SEARCH("VSD on Air Compressor",C20)),V20*0.9*(INDEX(CAShifts[Hours],MATCH(N20,CAShifts[Shift],0)))*
(IF(V20&lt;=40,(INDEX(CABaseline[CFb (≤ 40 HP)],MATCH(J20,CABaseline[Baseline],0))),(INDEX(CABaseline[CFb (50-200HP)],MATCH(J20,CABaseline[Baseline],0))))-IF(V20&lt;=40,0.705,0.658)),
IF(ISNUMBER(SEARCH("Leak",C20)),(V20*(J20*6.1*INDEX(CAShifts[Hours],MATCH(N20,CAShifts[Shift],0))*0.19*0.3/100)),
IF(ISNUMBER(SEARCH("Digital Scroll",C20)),(0.007*(INDEX(PMECA[Base Desc 2],MATCH(C20,PMECA[Eff Desc 1],0))-INDEX(PMECA[Base Watt],MATCH(C20,PMECA[Eff Desc 1],0)))*INDEX(CAShifts[Hours],MATCH(N20,CAShifts[Shift],0))*V20),
IF(ISNUMBER(SEARCH("VS Air Dryer",C20)),(0.007*(INDEX(PMECA[Base Desc 2],MATCH(C20,PMECA[Eff Desc 1],0))-INDEX(PMECA[Base Watt],MATCH(C20,PMECA[Eff Desc 1],0)))*INDEX(CAShifts[Hours],MATCH(N20,CAShifts[Shift],0))*V20),
IF(ISNUMBER(SEARCH("Thermal Mass",C20)),(0.007*(INDEX(PMECA[Base Desc 2],MATCH(C20,PMECA[Eff Desc 1],0))-INDEX(PMECA[Base Watt],MATCH(C20,PMECA[Eff Desc 1],0)))*INDEX(CAShifts[Hours],MATCH(N20,CAShifts[Shift],0))*V20),
IF(ISNUMBER(SEARCH("Heated Desiccant",C20)),(V20*((0.15*INDEX(CABaseline[Column1],MATCH(J20,CABaseline[Baseline],0)))-((INDEX(PMECA[Base Desc 2],MATCH(C20,PMECA[Eff Desc 1],0)))*INDEX(CABaseline[Column1],MATCH(J20,CABaseline[Baseline],0))+INDEX(PMECA[Base Watt],MATCH(C20,PMECA[Eff Desc 1],0))+INDEX(PMECA[Base Watt 2],MATCH(C20,PMECA[Eff Desc 1],0))))*INDEX(CAShifts[Hours],MATCH(N20,CAShifts[Shift],0))),
IF(ISNUMBER(SEARCH("Blower Purge",C20)),(V20*((0.15*INDEX(CABaseline[Column1],MATCH(J20,CABaseline[Baseline],0)))-((INDEX(PMECA[Base Desc 2],MATCH(C20,PMECA[Eff Desc 1],0)))*INDEX(CABaseline[Column1],MATCH(J20,CABaseline[Baseline],0))+INDEX(PMECA[Base Watt],MATCH(C20,PMECA[Eff Desc 1],0))+INDEX(PMECA[Base Watt 2],MATCH(C20,PMECA[Eff Desc 1],0))))*INDEX(CAShifts[Hours],MATCH(N20,CAShifts[Shift],0))),
IF(ISNUMBER(SEARCH("Drop Filter",C20)),(INDEX(CABaseline[Column1],MATCH(J20,CABaseline[Baseline],0))*2*0.005*INDEX(CAShifts[Hours],MATCH(N20,CAShifts[Shift],0))/100)*V20,
IF(ISNUMBER(SEARCH("Condensate Drains",C20)),V20*3*INDEX(CABaseline[Column1],MATCH(J20,CABaseline[Baseline],0))*INDEX(CAShifts[Hours],MATCH(N20,CAShifts[Shift],0)),
IF(ISNUMBER(SEARCH("HVAC Supply and Return",C20)),((0.746*V20*(0.65/0.95))*INDEX(LightingWHF[Total Fan Run Hours],MATCH(M02S02F26,LightingWHF[Building/Space Type],0))*INDEX(CABaseline[Column1],MATCH(J20,CABaseline[Baseline],0))-((0.746*V20*(0.65/0.95))*INDEX(LightingWHF[Total Fan Run Hours],MATCH(M02S02F26,LightingWHF[Building/Space Type],0))*0.3))*(1+0.157),
IF(ISNUMBER(SEARCH("HVAC Pumps",C20)),(V20*0.65)/0.93*(IF(J20="Hot Water Pump",INDEX(LightingWHF[Heating Run Hours],MATCH(M02S02F26,LightingWHF[Building/Space Type],0)),INDEX(LightingWHF[Cooling Run Hours],MATCH(M02S02F26,LightingWHF[Building/Space Type],0))))*INDEX(CABaseline[Column1],MATCH(J20,CABaseline[Baseline],0)),
IF(ISNUMBER(SEARCH("Nozzle",C20)),(INDEX(PMECA[Base Desc 2],MATCH(C20,PMECA[Eff Desc 1]))*0.5)*INDEX(CABaseline[Column1],MATCH(J20,CABaseline[Baseline],0))*0.05*INDEX(CAShifts[Hours],MATCH(N20,CAShifts[Shift],0)),
IF(ISNUMBER(SEARCH("Tankless",C20)),V20*INDEX(PMECA[Savings per Unit kWh],MATCH(C20,PMECA[Eff Desc 1],0)),
IF(ISNUMBER(SEARCH("Pool",C20)),V20*INDEX(PMECA[Savings per Unit kWh],MATCH(C20,PMECA[Eff Desc 1],0)),
)))))))))))))),2))),"")</f>
        <v/>
      </c>
      <c r="AW20" s="1060" t="str">
        <f>IFERROR(IF(OR(C20="",J20="",N20="",V20="",X20="",AA20="",AC20=""),"",ROUND(
IF(OR(ISNUMBER(SEARCH("VSD on Air Compressor",C20)),ISNUMBER(SEARCH("Nozzle",C20)),ISNUMBER(SEARCH("Digital Scroll",C20)),ISNUMBER(SEARCH("Leak",C20)),ISNUMBER(SEARCH("VS Air Dryer",C20)),ISNUMBER(SEARCH("Thermal Mass",C20)),ISNUMBER(SEARCH("Heated Desiccant",C20)),ISNUMBER(SEARCH("Blower Purge",C20)),ISNUMBER(SEARCH("Drop Filter",C20))),AV20/(INDEX(CAShifts[Hours],MATCH(N20,CAShifts[Shift],0)))*(INDEX(CAShifts[CF],MATCH(N20,CAShifts[Shift],0))),
IF(ISNUMBER(SEARCH("Condensate Drains",C20)),AV20/(INDEX(CAShifts[Hours],MATCH(N20,CAShifts[Shift],0)))*0.95,
IF(ISNUMBER(SEARCH("VSD for HVAC Pumps",C20)),IF(ISNUMBER(SEARCH("Pump",J20)),0,(V20*0.65)/0.93*INDEX(PMECA[Base Desc 2],MATCH(C20,PMECA[Eff Desc 1],0))),
IF(ISNUMBER(SEARCH("HVAC Supply and Return",C20)),IF(((0.746*V20*(0.65/0.95))*INDEX(CABaseline[CFb (50-200HP)],MATCH(J20,CABaseline[Baseline],0))-((0.746*V20*(0.65/0.95))*1.01))*(1+0.157)&lt;0,0,(0.746*V20*(0.65/0.95))*INDEX(CABaseline[CFb (50-200HP)],MATCH(J20,CABaseline[Baseline],0))-((0.746*V20*(0.65/0.95))*1.01))*(1+0.157),
IF(OR(ISNUMBER(SEARCH("Pool",C20)),ISNUMBER(SEARCH("Tankless",C20))),V20*INDEX(PMECA[Savings per Unit kW],MATCH(C20,PMECA[Eff Desc 1],0)),
))))),3)),"")</f>
        <v/>
      </c>
      <c r="AX20" s="898" t="str">
        <f>IF(OR(C20="",J20="",AA20="",X20="",V20="",AC20=""),"",
IF(ISNUMBER(SEARCH("Leak",C20)),V20*INDEX(PMECA[Incremental Cost],MATCH(C20,PMECA[Eff Desc 1],0)),(127*V20)+1446))</f>
        <v/>
      </c>
      <c r="AY20" s="980" t="str">
        <f t="shared" ref="AY20" si="8">IF(OR(C20="",J20="",N20="",V20="",X20="",AA20="",AC20="",AI20="",AK20=""),"",IF(BC20&lt;&gt;"",BC20,IF(AV20=0,0,MIN(AU20,ROUND(V20*AI20,2)))))</f>
        <v/>
      </c>
      <c r="BC20" s="830" t="str">
        <f>IF(OR(J20="",N20="",C20="",V20="",X20="",AA20="",AE20="",AC20="",P20="",T20=""),"",IF(OR(ISBLANK(M02S02F26),ISBLANK(M02S02F32),ISBLANK(M02S02F46)),MEASUREBLDG,""))</f>
        <v/>
      </c>
      <c r="BE20" s="811" t="str">
        <f ca="1">IF(OR(C20="",J20="",N20="",P20="",T20="",V20="",AA20="",X20="",AC20=""),"",IF('M01-S01'!$V$82&lt;TODAY(),0,IF(M02S02F46="Gas Only",0,IF(OR(AK20="",AK20&lt;0,AU20&lt;=AO20),0,MIN(AU20-AO20,ROUND(AO20*0.2,2))))))</f>
        <v/>
      </c>
      <c r="BF20" s="811"/>
    </row>
    <row r="21" spans="2:58" ht="15.95" customHeight="1">
      <c r="B21" s="834"/>
      <c r="C21" s="840"/>
      <c r="D21" s="841"/>
      <c r="E21" s="841"/>
      <c r="F21" s="841"/>
      <c r="G21" s="841"/>
      <c r="H21" s="841"/>
      <c r="I21" s="842"/>
      <c r="J21" s="840"/>
      <c r="K21" s="841"/>
      <c r="L21" s="841"/>
      <c r="M21" s="842"/>
      <c r="N21" s="853"/>
      <c r="O21" s="854"/>
      <c r="P21" s="1040"/>
      <c r="Q21" s="1041"/>
      <c r="R21" s="1041"/>
      <c r="S21" s="1042"/>
      <c r="T21" s="1045"/>
      <c r="U21" s="1046"/>
      <c r="V21" s="853"/>
      <c r="W21" s="854"/>
      <c r="X21" s="840"/>
      <c r="Y21" s="841"/>
      <c r="Z21" s="842"/>
      <c r="AA21" s="952"/>
      <c r="AB21" s="945"/>
      <c r="AC21" s="945"/>
      <c r="AD21" s="946"/>
      <c r="AE21" s="1025"/>
      <c r="AF21" s="947"/>
      <c r="AG21" s="947"/>
      <c r="AH21" s="948"/>
      <c r="AI21" s="1030"/>
      <c r="AJ21" s="870"/>
      <c r="AK21" s="828"/>
      <c r="AL21" s="829"/>
      <c r="AM21" s="829"/>
      <c r="AN21" s="833"/>
      <c r="AO21" s="960"/>
      <c r="AP21" s="961"/>
      <c r="AQ21" s="961"/>
      <c r="AU21" s="814"/>
      <c r="AV21" s="981"/>
      <c r="AW21" s="1002"/>
      <c r="AX21" s="814"/>
      <c r="AY21" s="981"/>
      <c r="BC21" s="831"/>
      <c r="BE21" s="812"/>
      <c r="BF21" s="812"/>
    </row>
    <row r="22" spans="2:58" ht="15.95" customHeight="1">
      <c r="B22" s="834">
        <v>4</v>
      </c>
      <c r="C22" s="871"/>
      <c r="D22" s="872"/>
      <c r="E22" s="872"/>
      <c r="F22" s="872"/>
      <c r="G22" s="872"/>
      <c r="H22" s="872"/>
      <c r="I22" s="873"/>
      <c r="J22" s="837"/>
      <c r="K22" s="838"/>
      <c r="L22" s="838"/>
      <c r="M22" s="839"/>
      <c r="N22" s="851"/>
      <c r="O22" s="852"/>
      <c r="P22" s="1037" t="str">
        <f>IFERROR(IF(C22="","",INDEX(PMECA[Eff Desc 2],MATCH(C22,PMECA[Eff Desc 1],0))),"")</f>
        <v/>
      </c>
      <c r="Q22" s="1038"/>
      <c r="R22" s="1038"/>
      <c r="S22" s="1039"/>
      <c r="T22" s="1043" t="str">
        <f>IFERROR(IF(C22="","",INDEX(PMECA[Unit of Measure],MATCH(C22,PMECA[Eff Desc 1],0))),"")</f>
        <v/>
      </c>
      <c r="U22" s="1044"/>
      <c r="V22" s="851"/>
      <c r="W22" s="852"/>
      <c r="X22" s="837"/>
      <c r="Y22" s="838"/>
      <c r="Z22" s="839"/>
      <c r="AA22" s="951"/>
      <c r="AB22" s="943"/>
      <c r="AC22" s="943"/>
      <c r="AD22" s="944"/>
      <c r="AE22" s="1022" t="str">
        <f>IFERROR(IF(C22="","",INDEX(PMECA[Base Desc 1],MATCH(C22,PMECA[Eff Desc 1],0))),"")</f>
        <v/>
      </c>
      <c r="AF22" s="1023"/>
      <c r="AG22" s="1023"/>
      <c r="AH22" s="1024"/>
      <c r="AI22" s="1029" t="str">
        <f>IFERROR(IF(C22="","",INDEX(PMECA[Inc Rate Unit],MATCH(C22,PMECA[Eff Desc 1],0))),"")</f>
        <v/>
      </c>
      <c r="AJ22" s="868"/>
      <c r="AK22" s="826" t="str">
        <f t="shared" ref="AK22" si="9">IFERROR(IF(OR(C22="",V22="",X22="",AA22="",J22="",N22="",AC22=""),"",AV22),"")</f>
        <v/>
      </c>
      <c r="AL22" s="827"/>
      <c r="AM22" s="827"/>
      <c r="AN22" s="832" t="str">
        <f t="shared" ref="AN22" si="10">IF(OR(C22="",V22="",X22="",AB22="",AE22="",AG22=""),"",IF(BC22&lt;&gt;"",BC22,MIN(AU22,ROUND(V22*AI22,2))))</f>
        <v/>
      </c>
      <c r="AO22" s="957" t="str">
        <f t="shared" ref="AO22" si="11">IFERROR(IF(OR(C22="",V22="",X22="",AA22="",J22="",N22="",AC22=""),"",AY22),"")</f>
        <v/>
      </c>
      <c r="AP22" s="958"/>
      <c r="AQ22" s="958"/>
      <c r="AU22" s="898" t="str">
        <f t="shared" ref="AU22" si="12">IF(OR(C22="",J22="",AA22="",X22="",V22="",AC22=""),"",ROUND((AA22+AC22),2))</f>
        <v/>
      </c>
      <c r="AV22" s="980" t="str">
        <f>IFERROR(IF(OR(C22="",J22="",N22="",V22="",X22="",AA22="",AC22=""),"",IF(BC22&lt;&gt;"",BC22,ROUND(
IF(ISNUMBER(SEARCH("VSD on Air Compressor",C22)),V22*0.9*(INDEX(CAShifts[Hours],MATCH(N22,CAShifts[Shift],0)))*
(IF(V22&lt;=40,(INDEX(CABaseline[CFb (≤ 40 HP)],MATCH(J22,CABaseline[Baseline],0))),(INDEX(CABaseline[CFb (50-200HP)],MATCH(J22,CABaseline[Baseline],0))))-IF(V22&lt;=40,0.705,0.658)),
IF(ISNUMBER(SEARCH("Leak",C22)),(V22*(J22*6.1*INDEX(CAShifts[Hours],MATCH(N22,CAShifts[Shift],0))*0.19*0.3/100)),
IF(ISNUMBER(SEARCH("Digital Scroll",C22)),(0.007*(INDEX(PMECA[Base Desc 2],MATCH(C22,PMECA[Eff Desc 1],0))-INDEX(PMECA[Base Watt],MATCH(C22,PMECA[Eff Desc 1],0)))*INDEX(CAShifts[Hours],MATCH(N22,CAShifts[Shift],0))*V22),
IF(ISNUMBER(SEARCH("VS Air Dryer",C22)),(0.007*(INDEX(PMECA[Base Desc 2],MATCH(C22,PMECA[Eff Desc 1],0))-INDEX(PMECA[Base Watt],MATCH(C22,PMECA[Eff Desc 1],0)))*INDEX(CAShifts[Hours],MATCH(N22,CAShifts[Shift],0))*V22),
IF(ISNUMBER(SEARCH("Thermal Mass",C22)),(0.007*(INDEX(PMECA[Base Desc 2],MATCH(C22,PMECA[Eff Desc 1],0))-INDEX(PMECA[Base Watt],MATCH(C22,PMECA[Eff Desc 1],0)))*INDEX(CAShifts[Hours],MATCH(N22,CAShifts[Shift],0))*V22),
IF(ISNUMBER(SEARCH("Heated Desiccant",C22)),(V22*((0.15*INDEX(CABaseline[Column1],MATCH(J22,CABaseline[Baseline],0)))-((INDEX(PMECA[Base Desc 2],MATCH(C22,PMECA[Eff Desc 1],0)))*INDEX(CABaseline[Column1],MATCH(J22,CABaseline[Baseline],0))+INDEX(PMECA[Base Watt],MATCH(C22,PMECA[Eff Desc 1],0))+INDEX(PMECA[Base Watt 2],MATCH(C22,PMECA[Eff Desc 1],0))))*INDEX(CAShifts[Hours],MATCH(N22,CAShifts[Shift],0))),
IF(ISNUMBER(SEARCH("Blower Purge",C22)),(V22*((0.15*INDEX(CABaseline[Column1],MATCH(J22,CABaseline[Baseline],0)))-((INDEX(PMECA[Base Desc 2],MATCH(C22,PMECA[Eff Desc 1],0)))*INDEX(CABaseline[Column1],MATCH(J22,CABaseline[Baseline],0))+INDEX(PMECA[Base Watt],MATCH(C22,PMECA[Eff Desc 1],0))+INDEX(PMECA[Base Watt 2],MATCH(C22,PMECA[Eff Desc 1],0))))*INDEX(CAShifts[Hours],MATCH(N22,CAShifts[Shift],0))),
IF(ISNUMBER(SEARCH("Drop Filter",C22)),(INDEX(CABaseline[Column1],MATCH(J22,CABaseline[Baseline],0))*2*0.005*INDEX(CAShifts[Hours],MATCH(N22,CAShifts[Shift],0))/100)*V22,
IF(ISNUMBER(SEARCH("Condensate Drains",C22)),V22*3*INDEX(CABaseline[Column1],MATCH(J22,CABaseline[Baseline],0))*INDEX(CAShifts[Hours],MATCH(N22,CAShifts[Shift],0)),
IF(ISNUMBER(SEARCH("HVAC Supply and Return",C22)),((0.746*V22*(0.65/0.95))*INDEX(LightingWHF[Total Fan Run Hours],MATCH(M02S02F26,LightingWHF[Building/Space Type],0))*INDEX(CABaseline[Column1],MATCH(J22,CABaseline[Baseline],0))-((0.746*V22*(0.65/0.95))*INDEX(LightingWHF[Total Fan Run Hours],MATCH(M02S02F26,LightingWHF[Building/Space Type],0))*0.3))*(1+0.157),
IF(ISNUMBER(SEARCH("HVAC Pumps",C22)),(V22*0.65)/0.93*(IF(J22="Hot Water Pump",INDEX(LightingWHF[Heating Run Hours],MATCH(M02S02F26,LightingWHF[Building/Space Type],0)),INDEX(LightingWHF[Cooling Run Hours],MATCH(M02S02F26,LightingWHF[Building/Space Type],0))))*INDEX(CABaseline[Column1],MATCH(J22,CABaseline[Baseline],0)),
IF(ISNUMBER(SEARCH("Nozzle",C22)),(INDEX(PMECA[Base Desc 2],MATCH(C22,PMECA[Eff Desc 1]))*0.5)*INDEX(CABaseline[Column1],MATCH(J22,CABaseline[Baseline],0))*0.05*INDEX(CAShifts[Hours],MATCH(N22,CAShifts[Shift],0)),
IF(ISNUMBER(SEARCH("Tankless",C22)),V22*INDEX(PMECA[Savings per Unit kWh],MATCH(C22,PMECA[Eff Desc 1],0)),
IF(ISNUMBER(SEARCH("Pool",C22)),V22*INDEX(PMECA[Savings per Unit kWh],MATCH(C22,PMECA[Eff Desc 1],0)),
)))))))))))))),2))),"")</f>
        <v/>
      </c>
      <c r="AW22" s="1060" t="str">
        <f>IFERROR(IF(OR(C22="",J22="",N22="",V22="",X22="",AA22="",AC22=""),"",ROUND(
IF(OR(ISNUMBER(SEARCH("VSD on Air Compressor",C22)),ISNUMBER(SEARCH("Nozzle",C22)),ISNUMBER(SEARCH("Digital Scroll",C22)),ISNUMBER(SEARCH("Leak",C22)),ISNUMBER(SEARCH("VS Air Dryer",C22)),ISNUMBER(SEARCH("Thermal Mass",C22)),ISNUMBER(SEARCH("Heated Desiccant",C22)),ISNUMBER(SEARCH("Blower Purge",C22)),ISNUMBER(SEARCH("Drop Filter",C22))),AV22/(INDEX(CAShifts[Hours],MATCH(N22,CAShifts[Shift],0)))*(INDEX(CAShifts[CF],MATCH(N22,CAShifts[Shift],0))),
IF(ISNUMBER(SEARCH("Condensate Drains",C22)),AV22/(INDEX(CAShifts[Hours],MATCH(N22,CAShifts[Shift],0)))*0.95,
IF(ISNUMBER(SEARCH("VSD for HVAC Pumps",C22)),IF(ISNUMBER(SEARCH("Pump",J22)),0,(V22*0.65)/0.93*INDEX(PMECA[Base Desc 2],MATCH(C22,PMECA[Eff Desc 1],0))),
IF(ISNUMBER(SEARCH("HVAC Supply and Return",C22)),IF(((0.746*V22*(0.65/0.95))*INDEX(CABaseline[CFb (50-200HP)],MATCH(J22,CABaseline[Baseline],0))-((0.746*V22*(0.65/0.95))*1.01))*(1+0.157)&lt;0,0,(0.746*V22*(0.65/0.95))*INDEX(CABaseline[CFb (50-200HP)],MATCH(J22,CABaseline[Baseline],0))-((0.746*V22*(0.65/0.95))*1.01))*(1+0.157),
IF(OR(ISNUMBER(SEARCH("Pool",C22)),ISNUMBER(SEARCH("Tankless",C22))),V22*INDEX(PMECA[Savings per Unit kW],MATCH(C22,PMECA[Eff Desc 1],0)),
))))),3)),"")</f>
        <v/>
      </c>
      <c r="AX22" s="898" t="str">
        <f>IF(OR(C22="",J22="",AA22="",X22="",V22="",AC22=""),"",
IF(ISNUMBER(SEARCH("Leak",C22)),V22*INDEX(PMECA[Incremental Cost],MATCH(C22,PMECA[Eff Desc 1],0)),(127*V22)+1446))</f>
        <v/>
      </c>
      <c r="AY22" s="980" t="str">
        <f t="shared" ref="AY22" si="13">IF(OR(C22="",J22="",N22="",V22="",X22="",AA22="",AC22="",AI22="",AK22=""),"",IF(BC22&lt;&gt;"",BC22,IF(AV22=0,0,MIN(AU22,ROUND(V22*AI22,2)))))</f>
        <v/>
      </c>
      <c r="BC22" s="830" t="str">
        <f>IF(OR(J22="",N22="",C22="",V22="",X22="",AA22="",AE22="",AC22="",P22="",T22=""),"",IF(OR(ISBLANK(M02S02F26),ISBLANK(M02S02F32),ISBLANK(M02S02F46)),MEASUREBLDG,""))</f>
        <v/>
      </c>
      <c r="BE22" s="811" t="str">
        <f ca="1">IF(OR(C22="",J22="",N22="",P22="",T22="",V22="",AA22="",X22="",AC22=""),"",IF('M01-S01'!$V$82&lt;TODAY(),0,IF(M02S02F46="Gas Only",0,IF(OR(AK22="",AK22&lt;0,AU22&lt;=AO22),0,MIN(AU22-AO22,ROUND(AO22*0.2,2))))))</f>
        <v/>
      </c>
      <c r="BF22" s="811"/>
    </row>
    <row r="23" spans="2:58" ht="15.95" customHeight="1">
      <c r="B23" s="834"/>
      <c r="C23" s="840"/>
      <c r="D23" s="841"/>
      <c r="E23" s="841"/>
      <c r="F23" s="841"/>
      <c r="G23" s="841"/>
      <c r="H23" s="841"/>
      <c r="I23" s="842"/>
      <c r="J23" s="840"/>
      <c r="K23" s="841"/>
      <c r="L23" s="841"/>
      <c r="M23" s="842"/>
      <c r="N23" s="853"/>
      <c r="O23" s="854"/>
      <c r="P23" s="1040"/>
      <c r="Q23" s="1041"/>
      <c r="R23" s="1041"/>
      <c r="S23" s="1042"/>
      <c r="T23" s="1045"/>
      <c r="U23" s="1046"/>
      <c r="V23" s="853"/>
      <c r="W23" s="854"/>
      <c r="X23" s="840"/>
      <c r="Y23" s="841"/>
      <c r="Z23" s="842"/>
      <c r="AA23" s="952"/>
      <c r="AB23" s="945"/>
      <c r="AC23" s="945"/>
      <c r="AD23" s="946"/>
      <c r="AE23" s="1025"/>
      <c r="AF23" s="947"/>
      <c r="AG23" s="947"/>
      <c r="AH23" s="948"/>
      <c r="AI23" s="1030"/>
      <c r="AJ23" s="870"/>
      <c r="AK23" s="828"/>
      <c r="AL23" s="829"/>
      <c r="AM23" s="829"/>
      <c r="AN23" s="833"/>
      <c r="AO23" s="960"/>
      <c r="AP23" s="961"/>
      <c r="AQ23" s="961"/>
      <c r="AU23" s="814"/>
      <c r="AV23" s="981"/>
      <c r="AW23" s="1002"/>
      <c r="AX23" s="814"/>
      <c r="AY23" s="981"/>
      <c r="BC23" s="831"/>
      <c r="BE23" s="812"/>
      <c r="BF23" s="812"/>
    </row>
    <row r="24" spans="2:58" ht="15.95" customHeight="1">
      <c r="B24" s="834">
        <v>5</v>
      </c>
      <c r="C24" s="871"/>
      <c r="D24" s="872"/>
      <c r="E24" s="872"/>
      <c r="F24" s="872"/>
      <c r="G24" s="872"/>
      <c r="H24" s="872"/>
      <c r="I24" s="873"/>
      <c r="J24" s="837"/>
      <c r="K24" s="838"/>
      <c r="L24" s="838"/>
      <c r="M24" s="839"/>
      <c r="N24" s="851"/>
      <c r="O24" s="852"/>
      <c r="P24" s="1037" t="str">
        <f>IFERROR(IF(C24="","",INDEX(PMECA[Eff Desc 2],MATCH(C24,PMECA[Eff Desc 1],0))),"")</f>
        <v/>
      </c>
      <c r="Q24" s="1038"/>
      <c r="R24" s="1038"/>
      <c r="S24" s="1039"/>
      <c r="T24" s="1043" t="str">
        <f>IFERROR(IF(C24="","",INDEX(PMECA[Unit of Measure],MATCH(C24,PMECA[Eff Desc 1],0))),"")</f>
        <v/>
      </c>
      <c r="U24" s="1044"/>
      <c r="V24" s="851"/>
      <c r="W24" s="852"/>
      <c r="X24" s="837"/>
      <c r="Y24" s="838"/>
      <c r="Z24" s="839"/>
      <c r="AA24" s="951"/>
      <c r="AB24" s="943"/>
      <c r="AC24" s="943"/>
      <c r="AD24" s="944"/>
      <c r="AE24" s="1022" t="str">
        <f>IFERROR(IF(C24="","",INDEX(PMECA[Base Desc 1],MATCH(C24,PMECA[Eff Desc 1],0))),"")</f>
        <v/>
      </c>
      <c r="AF24" s="1023"/>
      <c r="AG24" s="1023"/>
      <c r="AH24" s="1024"/>
      <c r="AI24" s="1029" t="str">
        <f>IFERROR(IF(C24="","",INDEX(PMECA[Inc Rate Unit],MATCH(C24,PMECA[Eff Desc 1],0))),"")</f>
        <v/>
      </c>
      <c r="AJ24" s="868"/>
      <c r="AK24" s="826" t="str">
        <f t="shared" ref="AK24" si="14">IFERROR(IF(OR(C24="",V24="",X24="",AA24="",J24="",N24="",AC24=""),"",AV24),"")</f>
        <v/>
      </c>
      <c r="AL24" s="827"/>
      <c r="AM24" s="827"/>
      <c r="AN24" s="832" t="str">
        <f t="shared" ref="AN24" si="15">IF(OR(C24="",V24="",X24="",AB24="",AE24="",AG24=""),"",IF(BC24&lt;&gt;"",BC24,MIN(AU24,ROUND(V24*AI24,2))))</f>
        <v/>
      </c>
      <c r="AO24" s="957" t="str">
        <f t="shared" ref="AO24" si="16">IFERROR(IF(OR(C24="",V24="",X24="",AA24="",J24="",N24="",AC24=""),"",AY24),"")</f>
        <v/>
      </c>
      <c r="AP24" s="958"/>
      <c r="AQ24" s="958"/>
      <c r="AU24" s="898" t="str">
        <f t="shared" ref="AU24" si="17">IF(OR(C24="",J24="",AA24="",X24="",V24="",AC24=""),"",ROUND((AA24+AC24),2))</f>
        <v/>
      </c>
      <c r="AV24" s="980" t="str">
        <f>IFERROR(IF(OR(C24="",J24="",N24="",V24="",X24="",AA24="",AC24=""),"",IF(BC24&lt;&gt;"",BC24,ROUND(
IF(ISNUMBER(SEARCH("VSD on Air Compressor",C24)),V24*0.9*(INDEX(CAShifts[Hours],MATCH(N24,CAShifts[Shift],0)))*
(IF(V24&lt;=40,(INDEX(CABaseline[CFb (≤ 40 HP)],MATCH(J24,CABaseline[Baseline],0))),(INDEX(CABaseline[CFb (50-200HP)],MATCH(J24,CABaseline[Baseline],0))))-IF(V24&lt;=40,0.705,0.658)),
IF(ISNUMBER(SEARCH("Leak",C24)),(V24*(J24*6.1*INDEX(CAShifts[Hours],MATCH(N24,CAShifts[Shift],0))*0.19*0.3/100)),
IF(ISNUMBER(SEARCH("Digital Scroll",C24)),(0.007*(INDEX(PMECA[Base Desc 2],MATCH(C24,PMECA[Eff Desc 1],0))-INDEX(PMECA[Base Watt],MATCH(C24,PMECA[Eff Desc 1],0)))*INDEX(CAShifts[Hours],MATCH(N24,CAShifts[Shift],0))*V24),
IF(ISNUMBER(SEARCH("VS Air Dryer",C24)),(0.007*(INDEX(PMECA[Base Desc 2],MATCH(C24,PMECA[Eff Desc 1],0))-INDEX(PMECA[Base Watt],MATCH(C24,PMECA[Eff Desc 1],0)))*INDEX(CAShifts[Hours],MATCH(N24,CAShifts[Shift],0))*V24),
IF(ISNUMBER(SEARCH("Thermal Mass",C24)),(0.007*(INDEX(PMECA[Base Desc 2],MATCH(C24,PMECA[Eff Desc 1],0))-INDEX(PMECA[Base Watt],MATCH(C24,PMECA[Eff Desc 1],0)))*INDEX(CAShifts[Hours],MATCH(N24,CAShifts[Shift],0))*V24),
IF(ISNUMBER(SEARCH("Heated Desiccant",C24)),(V24*((0.15*INDEX(CABaseline[Column1],MATCH(J24,CABaseline[Baseline],0)))-((INDEX(PMECA[Base Desc 2],MATCH(C24,PMECA[Eff Desc 1],0)))*INDEX(CABaseline[Column1],MATCH(J24,CABaseline[Baseline],0))+INDEX(PMECA[Base Watt],MATCH(C24,PMECA[Eff Desc 1],0))+INDEX(PMECA[Base Watt 2],MATCH(C24,PMECA[Eff Desc 1],0))))*INDEX(CAShifts[Hours],MATCH(N24,CAShifts[Shift],0))),
IF(ISNUMBER(SEARCH("Blower Purge",C24)),(V24*((0.15*INDEX(CABaseline[Column1],MATCH(J24,CABaseline[Baseline],0)))-((INDEX(PMECA[Base Desc 2],MATCH(C24,PMECA[Eff Desc 1],0)))*INDEX(CABaseline[Column1],MATCH(J24,CABaseline[Baseline],0))+INDEX(PMECA[Base Watt],MATCH(C24,PMECA[Eff Desc 1],0))+INDEX(PMECA[Base Watt 2],MATCH(C24,PMECA[Eff Desc 1],0))))*INDEX(CAShifts[Hours],MATCH(N24,CAShifts[Shift],0))),
IF(ISNUMBER(SEARCH("Drop Filter",C24)),(INDEX(CABaseline[Column1],MATCH(J24,CABaseline[Baseline],0))*2*0.005*INDEX(CAShifts[Hours],MATCH(N24,CAShifts[Shift],0))/100)*V24,
IF(ISNUMBER(SEARCH("Condensate Drains",C24)),V24*3*INDEX(CABaseline[Column1],MATCH(J24,CABaseline[Baseline],0))*INDEX(CAShifts[Hours],MATCH(N24,CAShifts[Shift],0)),
IF(ISNUMBER(SEARCH("HVAC Supply and Return",C24)),((0.746*V24*(0.65/0.95))*INDEX(LightingWHF[Total Fan Run Hours],MATCH(M02S02F26,LightingWHF[Building/Space Type],0))*INDEX(CABaseline[Column1],MATCH(J24,CABaseline[Baseline],0))-((0.746*V24*(0.65/0.95))*INDEX(LightingWHF[Total Fan Run Hours],MATCH(M02S02F26,LightingWHF[Building/Space Type],0))*0.3))*(1+0.157),
IF(ISNUMBER(SEARCH("HVAC Pumps",C24)),(V24*0.65)/0.93*(IF(J24="Hot Water Pump",INDEX(LightingWHF[Heating Run Hours],MATCH(M02S02F26,LightingWHF[Building/Space Type],0)),INDEX(LightingWHF[Cooling Run Hours],MATCH(M02S02F26,LightingWHF[Building/Space Type],0))))*INDEX(CABaseline[Column1],MATCH(J24,CABaseline[Baseline],0)),
IF(ISNUMBER(SEARCH("Nozzle",C24)),(INDEX(PMECA[Base Desc 2],MATCH(C24,PMECA[Eff Desc 1]))*0.5)*INDEX(CABaseline[Column1],MATCH(J24,CABaseline[Baseline],0))*0.05*INDEX(CAShifts[Hours],MATCH(N24,CAShifts[Shift],0)),
IF(ISNUMBER(SEARCH("Tankless",C24)),V24*INDEX(PMECA[Savings per Unit kWh],MATCH(C24,PMECA[Eff Desc 1],0)),
IF(ISNUMBER(SEARCH("Pool",C24)),V24*INDEX(PMECA[Savings per Unit kWh],MATCH(C24,PMECA[Eff Desc 1],0)),
)))))))))))))),2))),"")</f>
        <v/>
      </c>
      <c r="AW24" s="1060" t="str">
        <f>IFERROR(IF(OR(C24="",J24="",N24="",V24="",X24="",AA24="",AC24=""),"",ROUND(
IF(OR(ISNUMBER(SEARCH("VSD on Air Compressor",C24)),ISNUMBER(SEARCH("Nozzle",C24)),ISNUMBER(SEARCH("Digital Scroll",C24)),ISNUMBER(SEARCH("Leak",C24)),ISNUMBER(SEARCH("VS Air Dryer",C24)),ISNUMBER(SEARCH("Thermal Mass",C24)),ISNUMBER(SEARCH("Heated Desiccant",C24)),ISNUMBER(SEARCH("Blower Purge",C24)),ISNUMBER(SEARCH("Drop Filter",C24))),AV24/(INDEX(CAShifts[Hours],MATCH(N24,CAShifts[Shift],0)))*(INDEX(CAShifts[CF],MATCH(N24,CAShifts[Shift],0))),
IF(ISNUMBER(SEARCH("Condensate Drains",C24)),AV24/(INDEX(CAShifts[Hours],MATCH(N24,CAShifts[Shift],0)))*0.95,
IF(ISNUMBER(SEARCH("VSD for HVAC Pumps",C24)),IF(ISNUMBER(SEARCH("Pump",J24)),0,(V24*0.65)/0.93*INDEX(PMECA[Base Desc 2],MATCH(C24,PMECA[Eff Desc 1],0))),
IF(ISNUMBER(SEARCH("HVAC Supply and Return",C24)),IF(((0.746*V24*(0.65/0.95))*INDEX(CABaseline[CFb (50-200HP)],MATCH(J24,CABaseline[Baseline],0))-((0.746*V24*(0.65/0.95))*1.01))*(1+0.157)&lt;0,0,(0.746*V24*(0.65/0.95))*INDEX(CABaseline[CFb (50-200HP)],MATCH(J24,CABaseline[Baseline],0))-((0.746*V24*(0.65/0.95))*1.01))*(1+0.157),
IF(OR(ISNUMBER(SEARCH("Pool",C24)),ISNUMBER(SEARCH("Tankless",C24))),V24*INDEX(PMECA[Savings per Unit kW],MATCH(C24,PMECA[Eff Desc 1],0)),
))))),3)),"")</f>
        <v/>
      </c>
      <c r="AX24" s="898" t="str">
        <f>IF(OR(C24="",J24="",AA24="",X24="",V24="",AC24=""),"",
IF(ISNUMBER(SEARCH("Leak",C24)),V24*INDEX(PMECA[Incremental Cost],MATCH(C24,PMECA[Eff Desc 1],0)),(127*V24)+1446))</f>
        <v/>
      </c>
      <c r="AY24" s="980" t="str">
        <f t="shared" ref="AY24" si="18">IF(OR(C24="",J24="",N24="",V24="",X24="",AA24="",AC24="",AI24="",AK24=""),"",IF(BC24&lt;&gt;"",BC24,IF(AV24=0,0,MIN(AU24,ROUND(V24*AI24,2)))))</f>
        <v/>
      </c>
      <c r="BC24" s="830" t="str">
        <f>IF(OR(J24="",N24="",C24="",V24="",X24="",AA24="",AE24="",AC24="",P24="",T24=""),"",IF(OR(ISBLANK(M02S02F26),ISBLANK(M02S02F32),ISBLANK(M02S02F46)),MEASUREBLDG,""))</f>
        <v/>
      </c>
      <c r="BE24" s="811" t="str">
        <f ca="1">IF(OR(C24="",J24="",N24="",P24="",T24="",V24="",AA24="",X24="",AC24=""),"",IF('M01-S01'!$V$82&lt;TODAY(),0,IF(M02S02F46="Gas Only",0,IF(OR(AK24="",AK24&lt;0,AU24&lt;=AO24),0,MIN(AU24-AO24,ROUND(AO24*0.2,2))))))</f>
        <v/>
      </c>
      <c r="BF24" s="811"/>
    </row>
    <row r="25" spans="2:58" ht="15.95" customHeight="1">
      <c r="B25" s="834"/>
      <c r="C25" s="840"/>
      <c r="D25" s="841"/>
      <c r="E25" s="841"/>
      <c r="F25" s="841"/>
      <c r="G25" s="841"/>
      <c r="H25" s="841"/>
      <c r="I25" s="842"/>
      <c r="J25" s="840"/>
      <c r="K25" s="841"/>
      <c r="L25" s="841"/>
      <c r="M25" s="842"/>
      <c r="N25" s="853"/>
      <c r="O25" s="854"/>
      <c r="P25" s="1040"/>
      <c r="Q25" s="1041"/>
      <c r="R25" s="1041"/>
      <c r="S25" s="1042"/>
      <c r="T25" s="1045"/>
      <c r="U25" s="1046"/>
      <c r="V25" s="853"/>
      <c r="W25" s="854"/>
      <c r="X25" s="840"/>
      <c r="Y25" s="841"/>
      <c r="Z25" s="842"/>
      <c r="AA25" s="952"/>
      <c r="AB25" s="945"/>
      <c r="AC25" s="945"/>
      <c r="AD25" s="946"/>
      <c r="AE25" s="1025"/>
      <c r="AF25" s="947"/>
      <c r="AG25" s="947"/>
      <c r="AH25" s="948"/>
      <c r="AI25" s="1030"/>
      <c r="AJ25" s="870"/>
      <c r="AK25" s="828"/>
      <c r="AL25" s="829"/>
      <c r="AM25" s="829"/>
      <c r="AN25" s="833"/>
      <c r="AO25" s="960"/>
      <c r="AP25" s="961"/>
      <c r="AQ25" s="961"/>
      <c r="AU25" s="814"/>
      <c r="AV25" s="981"/>
      <c r="AW25" s="1002"/>
      <c r="AX25" s="814"/>
      <c r="AY25" s="981"/>
      <c r="BC25" s="831"/>
      <c r="BE25" s="812"/>
      <c r="BF25" s="812"/>
    </row>
    <row r="26" spans="2:58" ht="15.95" customHeight="1">
      <c r="B26" s="834">
        <v>6</v>
      </c>
      <c r="C26" s="871"/>
      <c r="D26" s="872"/>
      <c r="E26" s="872"/>
      <c r="F26" s="872"/>
      <c r="G26" s="872"/>
      <c r="H26" s="872"/>
      <c r="I26" s="873"/>
      <c r="J26" s="837"/>
      <c r="K26" s="838"/>
      <c r="L26" s="838"/>
      <c r="M26" s="839"/>
      <c r="N26" s="851"/>
      <c r="O26" s="852"/>
      <c r="P26" s="1037" t="str">
        <f>IFERROR(IF(C26="","",INDEX(PMECA[Eff Desc 2],MATCH(C26,PMECA[Eff Desc 1],0))),"")</f>
        <v/>
      </c>
      <c r="Q26" s="1038"/>
      <c r="R26" s="1038"/>
      <c r="S26" s="1039"/>
      <c r="T26" s="1043" t="str">
        <f>IFERROR(IF(C26="","",INDEX(PMECA[Unit of Measure],MATCH(C26,PMECA[Eff Desc 1],0))),"")</f>
        <v/>
      </c>
      <c r="U26" s="1044"/>
      <c r="V26" s="851"/>
      <c r="W26" s="852"/>
      <c r="X26" s="837"/>
      <c r="Y26" s="838"/>
      <c r="Z26" s="839"/>
      <c r="AA26" s="951"/>
      <c r="AB26" s="943"/>
      <c r="AC26" s="943"/>
      <c r="AD26" s="944"/>
      <c r="AE26" s="1022" t="str">
        <f>IFERROR(IF(C26="","",INDEX(PMECA[Base Desc 1],MATCH(C26,PMECA[Eff Desc 1],0))),"")</f>
        <v/>
      </c>
      <c r="AF26" s="1023"/>
      <c r="AG26" s="1023"/>
      <c r="AH26" s="1024"/>
      <c r="AI26" s="1029" t="str">
        <f>IFERROR(IF(C26="","",INDEX(PMECA[Inc Rate Unit],MATCH(C26,PMECA[Eff Desc 1],0))),"")</f>
        <v/>
      </c>
      <c r="AJ26" s="868"/>
      <c r="AK26" s="826" t="str">
        <f t="shared" ref="AK26" si="19">IFERROR(IF(OR(C26="",V26="",X26="",AA26="",J26="",N26="",AC26=""),"",AV26),"")</f>
        <v/>
      </c>
      <c r="AL26" s="827"/>
      <c r="AM26" s="827"/>
      <c r="AN26" s="832" t="str">
        <f t="shared" ref="AN26" si="20">IF(OR(C26="",V26="",X26="",AB26="",AE26="",AG26=""),"",IF(BC26&lt;&gt;"",BC26,MIN(AU26,ROUND(V26*AI26,2))))</f>
        <v/>
      </c>
      <c r="AO26" s="957" t="str">
        <f t="shared" ref="AO26" si="21">IFERROR(IF(OR(C26="",V26="",X26="",AA26="",J26="",N26="",AC26=""),"",AY26),"")</f>
        <v/>
      </c>
      <c r="AP26" s="958"/>
      <c r="AQ26" s="958"/>
      <c r="AU26" s="898" t="str">
        <f t="shared" ref="AU26" si="22">IF(OR(C26="",J26="",AA26="",X26="",V26="",AC26=""),"",ROUND((AA26+AC26),2))</f>
        <v/>
      </c>
      <c r="AV26" s="980" t="str">
        <f>IFERROR(IF(OR(C26="",J26="",N26="",V26="",X26="",AA26="",AC26=""),"",IF(BC26&lt;&gt;"",BC26,ROUND(
IF(ISNUMBER(SEARCH("VSD on Air Compressor",C26)),V26*0.9*(INDEX(CAShifts[Hours],MATCH(N26,CAShifts[Shift],0)))*
(IF(V26&lt;=40,(INDEX(CABaseline[CFb (≤ 40 HP)],MATCH(J26,CABaseline[Baseline],0))),(INDEX(CABaseline[CFb (50-200HP)],MATCH(J26,CABaseline[Baseline],0))))-IF(V26&lt;=40,0.705,0.658)),
IF(ISNUMBER(SEARCH("Leak",C26)),(V26*(J26*6.1*INDEX(CAShifts[Hours],MATCH(N26,CAShifts[Shift],0))*0.19*0.3/100)),
IF(ISNUMBER(SEARCH("Digital Scroll",C26)),(0.007*(INDEX(PMECA[Base Desc 2],MATCH(C26,PMECA[Eff Desc 1],0))-INDEX(PMECA[Base Watt],MATCH(C26,PMECA[Eff Desc 1],0)))*INDEX(CAShifts[Hours],MATCH(N26,CAShifts[Shift],0))*V26),
IF(ISNUMBER(SEARCH("VS Air Dryer",C26)),(0.007*(INDEX(PMECA[Base Desc 2],MATCH(C26,PMECA[Eff Desc 1],0))-INDEX(PMECA[Base Watt],MATCH(C26,PMECA[Eff Desc 1],0)))*INDEX(CAShifts[Hours],MATCH(N26,CAShifts[Shift],0))*V26),
IF(ISNUMBER(SEARCH("Thermal Mass",C26)),(0.007*(INDEX(PMECA[Base Desc 2],MATCH(C26,PMECA[Eff Desc 1],0))-INDEX(PMECA[Base Watt],MATCH(C26,PMECA[Eff Desc 1],0)))*INDEX(CAShifts[Hours],MATCH(N26,CAShifts[Shift],0))*V26),
IF(ISNUMBER(SEARCH("Heated Desiccant",C26)),(V26*((0.15*INDEX(CABaseline[Column1],MATCH(J26,CABaseline[Baseline],0)))-((INDEX(PMECA[Base Desc 2],MATCH(C26,PMECA[Eff Desc 1],0)))*INDEX(CABaseline[Column1],MATCH(J26,CABaseline[Baseline],0))+INDEX(PMECA[Base Watt],MATCH(C26,PMECA[Eff Desc 1],0))+INDEX(PMECA[Base Watt 2],MATCH(C26,PMECA[Eff Desc 1],0))))*INDEX(CAShifts[Hours],MATCH(N26,CAShifts[Shift],0))),
IF(ISNUMBER(SEARCH("Blower Purge",C26)),(V26*((0.15*INDEX(CABaseline[Column1],MATCH(J26,CABaseline[Baseline],0)))-((INDEX(PMECA[Base Desc 2],MATCH(C26,PMECA[Eff Desc 1],0)))*INDEX(CABaseline[Column1],MATCH(J26,CABaseline[Baseline],0))+INDEX(PMECA[Base Watt],MATCH(C26,PMECA[Eff Desc 1],0))+INDEX(PMECA[Base Watt 2],MATCH(C26,PMECA[Eff Desc 1],0))))*INDEX(CAShifts[Hours],MATCH(N26,CAShifts[Shift],0))),
IF(ISNUMBER(SEARCH("Drop Filter",C26)),(INDEX(CABaseline[Column1],MATCH(J26,CABaseline[Baseline],0))*2*0.005*INDEX(CAShifts[Hours],MATCH(N26,CAShifts[Shift],0))/100)*V26,
IF(ISNUMBER(SEARCH("Condensate Drains",C26)),V26*3*INDEX(CABaseline[Column1],MATCH(J26,CABaseline[Baseline],0))*INDEX(CAShifts[Hours],MATCH(N26,CAShifts[Shift],0)),
IF(ISNUMBER(SEARCH("HVAC Supply and Return",C26)),((0.746*V26*(0.65/0.95))*INDEX(LightingWHF[Total Fan Run Hours],MATCH(M02S02F26,LightingWHF[Building/Space Type],0))*INDEX(CABaseline[Column1],MATCH(J26,CABaseline[Baseline],0))-((0.746*V26*(0.65/0.95))*INDEX(LightingWHF[Total Fan Run Hours],MATCH(M02S02F26,LightingWHF[Building/Space Type],0))*0.3))*(1+0.157),
IF(ISNUMBER(SEARCH("HVAC Pumps",C26)),(V26*0.65)/0.93*(IF(J26="Hot Water Pump",INDEX(LightingWHF[Heating Run Hours],MATCH(M02S02F26,LightingWHF[Building/Space Type],0)),INDEX(LightingWHF[Cooling Run Hours],MATCH(M02S02F26,LightingWHF[Building/Space Type],0))))*INDEX(CABaseline[Column1],MATCH(J26,CABaseline[Baseline],0)),
IF(ISNUMBER(SEARCH("Nozzle",C26)),(INDEX(PMECA[Base Desc 2],MATCH(C26,PMECA[Eff Desc 1]))*0.5)*INDEX(CABaseline[Column1],MATCH(J26,CABaseline[Baseline],0))*0.05*INDEX(CAShifts[Hours],MATCH(N26,CAShifts[Shift],0)),
IF(ISNUMBER(SEARCH("Tankless",C26)),V26*INDEX(PMECA[Savings per Unit kWh],MATCH(C26,PMECA[Eff Desc 1],0)),
IF(ISNUMBER(SEARCH("Pool",C26)),V26*INDEX(PMECA[Savings per Unit kWh],MATCH(C26,PMECA[Eff Desc 1],0)),
)))))))))))))),2))),"")</f>
        <v/>
      </c>
      <c r="AW26" s="1060" t="str">
        <f>IFERROR(IF(OR(C26="",J26="",N26="",V26="",X26="",AA26="",AC26=""),"",ROUND(
IF(OR(ISNUMBER(SEARCH("VSD on Air Compressor",C26)),ISNUMBER(SEARCH("Nozzle",C26)),ISNUMBER(SEARCH("Digital Scroll",C26)),ISNUMBER(SEARCH("Leak",C26)),ISNUMBER(SEARCH("VS Air Dryer",C26)),ISNUMBER(SEARCH("Thermal Mass",C26)),ISNUMBER(SEARCH("Heated Desiccant",C26)),ISNUMBER(SEARCH("Blower Purge",C26)),ISNUMBER(SEARCH("Drop Filter",C26))),AV26/(INDEX(CAShifts[Hours],MATCH(N26,CAShifts[Shift],0)))*(INDEX(CAShifts[CF],MATCH(N26,CAShifts[Shift],0))),
IF(ISNUMBER(SEARCH("Condensate Drains",C26)),AV26/(INDEX(CAShifts[Hours],MATCH(N26,CAShifts[Shift],0)))*0.95,
IF(ISNUMBER(SEARCH("VSD for HVAC Pumps",C26)),IF(ISNUMBER(SEARCH("Pump",J26)),0,(V26*0.65)/0.93*INDEX(PMECA[Base Desc 2],MATCH(C26,PMECA[Eff Desc 1],0))),
IF(ISNUMBER(SEARCH("HVAC Supply and Return",C26)),IF(((0.746*V26*(0.65/0.95))*INDEX(CABaseline[CFb (50-200HP)],MATCH(J26,CABaseline[Baseline],0))-((0.746*V26*(0.65/0.95))*1.01))*(1+0.157)&lt;0,0,(0.746*V26*(0.65/0.95))*INDEX(CABaseline[CFb (50-200HP)],MATCH(J26,CABaseline[Baseline],0))-((0.746*V26*(0.65/0.95))*1.01))*(1+0.157),
IF(OR(ISNUMBER(SEARCH("Pool",C26)),ISNUMBER(SEARCH("Tankless",C26))),V26*INDEX(PMECA[Savings per Unit kW],MATCH(C26,PMECA[Eff Desc 1],0)),
))))),3)),"")</f>
        <v/>
      </c>
      <c r="AX26" s="898" t="str">
        <f>IF(OR(C26="",J26="",AA26="",X26="",V26="",AC26=""),"",
IF(ISNUMBER(SEARCH("Leak",C26)),V26*INDEX(PMECA[Incremental Cost],MATCH(C26,PMECA[Eff Desc 1],0)),(127*V26)+1446))</f>
        <v/>
      </c>
      <c r="AY26" s="980" t="str">
        <f t="shared" ref="AY26" si="23">IF(OR(C26="",J26="",N26="",V26="",X26="",AA26="",AC26="",AI26="",AK26=""),"",IF(BC26&lt;&gt;"",BC26,IF(AV26=0,0,MIN(AU26,ROUND(V26*AI26,2)))))</f>
        <v/>
      </c>
      <c r="BC26" s="830" t="str">
        <f>IF(OR(J26="",N26="",C26="",V26="",X26="",AA26="",AE26="",AC26="",P26="",T26=""),"",IF(OR(ISBLANK(M02S02F26),ISBLANK(M02S02F32),ISBLANK(M02S02F46)),MEASUREBLDG,""))</f>
        <v/>
      </c>
      <c r="BE26" s="811" t="str">
        <f ca="1">IF(OR(C26="",J26="",N26="",P26="",T26="",V26="",AA26="",X26="",AC26=""),"",IF('M01-S01'!$V$82&lt;TODAY(),0,IF(M02S02F46="Gas Only",0,IF(OR(AK26="",AK26&lt;0,AU26&lt;=AO26),0,MIN(AU26-AO26,ROUND(AO26*0.2,2))))))</f>
        <v/>
      </c>
      <c r="BF26" s="811"/>
    </row>
    <row r="27" spans="2:58" ht="15.95" customHeight="1">
      <c r="B27" s="834"/>
      <c r="C27" s="840"/>
      <c r="D27" s="841"/>
      <c r="E27" s="841"/>
      <c r="F27" s="841"/>
      <c r="G27" s="841"/>
      <c r="H27" s="841"/>
      <c r="I27" s="842"/>
      <c r="J27" s="840"/>
      <c r="K27" s="841"/>
      <c r="L27" s="841"/>
      <c r="M27" s="842"/>
      <c r="N27" s="853"/>
      <c r="O27" s="854"/>
      <c r="P27" s="1040"/>
      <c r="Q27" s="1041"/>
      <c r="R27" s="1041"/>
      <c r="S27" s="1042"/>
      <c r="T27" s="1045"/>
      <c r="U27" s="1046"/>
      <c r="V27" s="853"/>
      <c r="W27" s="854"/>
      <c r="X27" s="840"/>
      <c r="Y27" s="841"/>
      <c r="Z27" s="842"/>
      <c r="AA27" s="952"/>
      <c r="AB27" s="945"/>
      <c r="AC27" s="945"/>
      <c r="AD27" s="946"/>
      <c r="AE27" s="1025"/>
      <c r="AF27" s="947"/>
      <c r="AG27" s="947"/>
      <c r="AH27" s="948"/>
      <c r="AI27" s="1030"/>
      <c r="AJ27" s="870"/>
      <c r="AK27" s="828"/>
      <c r="AL27" s="829"/>
      <c r="AM27" s="829"/>
      <c r="AN27" s="833"/>
      <c r="AO27" s="960"/>
      <c r="AP27" s="961"/>
      <c r="AQ27" s="961"/>
      <c r="AU27" s="814"/>
      <c r="AV27" s="981"/>
      <c r="AW27" s="1002"/>
      <c r="AX27" s="814"/>
      <c r="AY27" s="981"/>
      <c r="BC27" s="831"/>
      <c r="BE27" s="812"/>
      <c r="BF27" s="812"/>
    </row>
    <row r="28" spans="2:58" ht="15.95" customHeight="1">
      <c r="B28" s="834">
        <v>7</v>
      </c>
      <c r="C28" s="871"/>
      <c r="D28" s="872"/>
      <c r="E28" s="872"/>
      <c r="F28" s="872"/>
      <c r="G28" s="872"/>
      <c r="H28" s="872"/>
      <c r="I28" s="873"/>
      <c r="J28" s="837"/>
      <c r="K28" s="838"/>
      <c r="L28" s="838"/>
      <c r="M28" s="839"/>
      <c r="N28" s="851"/>
      <c r="O28" s="852"/>
      <c r="P28" s="1037" t="str">
        <f>IFERROR(IF(C28="","",INDEX(PMECA[Eff Desc 2],MATCH(C28,PMECA[Eff Desc 1],0))),"")</f>
        <v/>
      </c>
      <c r="Q28" s="1038"/>
      <c r="R28" s="1038"/>
      <c r="S28" s="1039"/>
      <c r="T28" s="1043" t="str">
        <f>IFERROR(IF(C28="","",INDEX(PMECA[Unit of Measure],MATCH(C28,PMECA[Eff Desc 1],0))),"")</f>
        <v/>
      </c>
      <c r="U28" s="1044"/>
      <c r="V28" s="851"/>
      <c r="W28" s="852"/>
      <c r="X28" s="837"/>
      <c r="Y28" s="838"/>
      <c r="Z28" s="839"/>
      <c r="AA28" s="951"/>
      <c r="AB28" s="943"/>
      <c r="AC28" s="943"/>
      <c r="AD28" s="944"/>
      <c r="AE28" s="1022" t="str">
        <f>IFERROR(IF(C28="","",INDEX(PMECA[Base Desc 1],MATCH(C28,PMECA[Eff Desc 1],0))),"")</f>
        <v/>
      </c>
      <c r="AF28" s="1023"/>
      <c r="AG28" s="1023"/>
      <c r="AH28" s="1024"/>
      <c r="AI28" s="1029" t="str">
        <f>IFERROR(IF(C28="","",INDEX(PMECA[Inc Rate Unit],MATCH(C28,PMECA[Eff Desc 1],0))),"")</f>
        <v/>
      </c>
      <c r="AJ28" s="868"/>
      <c r="AK28" s="826" t="str">
        <f t="shared" ref="AK28" si="24">IFERROR(IF(OR(C28="",V28="",X28="",AA28="",J28="",N28="",AC28=""),"",AV28),"")</f>
        <v/>
      </c>
      <c r="AL28" s="827"/>
      <c r="AM28" s="827"/>
      <c r="AN28" s="832" t="str">
        <f t="shared" ref="AN28" si="25">IF(OR(C28="",V28="",X28="",AB28="",AE28="",AG28=""),"",IF(BC28&lt;&gt;"",BC28,MIN(AU28,ROUND(V28*AI28,2))))</f>
        <v/>
      </c>
      <c r="AO28" s="957" t="str">
        <f t="shared" ref="AO28" si="26">IFERROR(IF(OR(C28="",V28="",X28="",AA28="",J28="",N28="",AC28=""),"",AY28),"")</f>
        <v/>
      </c>
      <c r="AP28" s="958"/>
      <c r="AQ28" s="958"/>
      <c r="AU28" s="898" t="str">
        <f t="shared" ref="AU28" si="27">IF(OR(C28="",J28="",AA28="",X28="",V28="",AC28=""),"",ROUND((AA28+AC28),2))</f>
        <v/>
      </c>
      <c r="AV28" s="980" t="str">
        <f>IFERROR(IF(OR(C28="",J28="",N28="",V28="",X28="",AA28="",AC28=""),"",IF(BC28&lt;&gt;"",BC28,ROUND(
IF(ISNUMBER(SEARCH("VSD on Air Compressor",C28)),V28*0.9*(INDEX(CAShifts[Hours],MATCH(N28,CAShifts[Shift],0)))*
(IF(V28&lt;=40,(INDEX(CABaseline[CFb (≤ 40 HP)],MATCH(J28,CABaseline[Baseline],0))),(INDEX(CABaseline[CFb (50-200HP)],MATCH(J28,CABaseline[Baseline],0))))-IF(V28&lt;=40,0.705,0.658)),
IF(ISNUMBER(SEARCH("Leak",C28)),(V28*(J28*6.1*INDEX(CAShifts[Hours],MATCH(N28,CAShifts[Shift],0))*0.19*0.3/100)),
IF(ISNUMBER(SEARCH("Digital Scroll",C28)),(0.007*(INDEX(PMECA[Base Desc 2],MATCH(C28,PMECA[Eff Desc 1],0))-INDEX(PMECA[Base Watt],MATCH(C28,PMECA[Eff Desc 1],0)))*INDEX(CAShifts[Hours],MATCH(N28,CAShifts[Shift],0))*V28),
IF(ISNUMBER(SEARCH("VS Air Dryer",C28)),(0.007*(INDEX(PMECA[Base Desc 2],MATCH(C28,PMECA[Eff Desc 1],0))-INDEX(PMECA[Base Watt],MATCH(C28,PMECA[Eff Desc 1],0)))*INDEX(CAShifts[Hours],MATCH(N28,CAShifts[Shift],0))*V28),
IF(ISNUMBER(SEARCH("Thermal Mass",C28)),(0.007*(INDEX(PMECA[Base Desc 2],MATCH(C28,PMECA[Eff Desc 1],0))-INDEX(PMECA[Base Watt],MATCH(C28,PMECA[Eff Desc 1],0)))*INDEX(CAShifts[Hours],MATCH(N28,CAShifts[Shift],0))*V28),
IF(ISNUMBER(SEARCH("Heated Desiccant",C28)),(V28*((0.15*INDEX(CABaseline[Column1],MATCH(J28,CABaseline[Baseline],0)))-((INDEX(PMECA[Base Desc 2],MATCH(C28,PMECA[Eff Desc 1],0)))*INDEX(CABaseline[Column1],MATCH(J28,CABaseline[Baseline],0))+INDEX(PMECA[Base Watt],MATCH(C28,PMECA[Eff Desc 1],0))+INDEX(PMECA[Base Watt 2],MATCH(C28,PMECA[Eff Desc 1],0))))*INDEX(CAShifts[Hours],MATCH(N28,CAShifts[Shift],0))),
IF(ISNUMBER(SEARCH("Blower Purge",C28)),(V28*((0.15*INDEX(CABaseline[Column1],MATCH(J28,CABaseline[Baseline],0)))-((INDEX(PMECA[Base Desc 2],MATCH(C28,PMECA[Eff Desc 1],0)))*INDEX(CABaseline[Column1],MATCH(J28,CABaseline[Baseline],0))+INDEX(PMECA[Base Watt],MATCH(C28,PMECA[Eff Desc 1],0))+INDEX(PMECA[Base Watt 2],MATCH(C28,PMECA[Eff Desc 1],0))))*INDEX(CAShifts[Hours],MATCH(N28,CAShifts[Shift],0))),
IF(ISNUMBER(SEARCH("Drop Filter",C28)),(INDEX(CABaseline[Column1],MATCH(J28,CABaseline[Baseline],0))*2*0.005*INDEX(CAShifts[Hours],MATCH(N28,CAShifts[Shift],0))/100)*V28,
IF(ISNUMBER(SEARCH("Condensate Drains",C28)),V28*3*INDEX(CABaseline[Column1],MATCH(J28,CABaseline[Baseline],0))*INDEX(CAShifts[Hours],MATCH(N28,CAShifts[Shift],0)),
IF(ISNUMBER(SEARCH("HVAC Supply and Return",C28)),((0.746*V28*(0.65/0.95))*INDEX(LightingWHF[Total Fan Run Hours],MATCH(M02S02F26,LightingWHF[Building/Space Type],0))*INDEX(CABaseline[Column1],MATCH(J28,CABaseline[Baseline],0))-((0.746*V28*(0.65/0.95))*INDEX(LightingWHF[Total Fan Run Hours],MATCH(M02S02F26,LightingWHF[Building/Space Type],0))*0.3))*(1+0.157),
IF(ISNUMBER(SEARCH("HVAC Pumps",C28)),(V28*0.65)/0.93*(IF(J28="Hot Water Pump",INDEX(LightingWHF[Heating Run Hours],MATCH(M02S02F26,LightingWHF[Building/Space Type],0)),INDEX(LightingWHF[Cooling Run Hours],MATCH(M02S02F26,LightingWHF[Building/Space Type],0))))*INDEX(CABaseline[Column1],MATCH(J28,CABaseline[Baseline],0)),
IF(ISNUMBER(SEARCH("Nozzle",C28)),(INDEX(PMECA[Base Desc 2],MATCH(C28,PMECA[Eff Desc 1]))*0.5)*INDEX(CABaseline[Column1],MATCH(J28,CABaseline[Baseline],0))*0.05*INDEX(CAShifts[Hours],MATCH(N28,CAShifts[Shift],0)),
IF(ISNUMBER(SEARCH("Tankless",C28)),V28*INDEX(PMECA[Savings per Unit kWh],MATCH(C28,PMECA[Eff Desc 1],0)),
IF(ISNUMBER(SEARCH("Pool",C28)),V28*INDEX(PMECA[Savings per Unit kWh],MATCH(C28,PMECA[Eff Desc 1],0)),
)))))))))))))),2))),"")</f>
        <v/>
      </c>
      <c r="AW28" s="1060" t="str">
        <f>IFERROR(IF(OR(C28="",J28="",N28="",V28="",X28="",AA28="",AC28=""),"",ROUND(
IF(OR(ISNUMBER(SEARCH("VSD on Air Compressor",C28)),ISNUMBER(SEARCH("Nozzle",C28)),ISNUMBER(SEARCH("Digital Scroll",C28)),ISNUMBER(SEARCH("Leak",C28)),ISNUMBER(SEARCH("VS Air Dryer",C28)),ISNUMBER(SEARCH("Thermal Mass",C28)),ISNUMBER(SEARCH("Heated Desiccant",C28)),ISNUMBER(SEARCH("Blower Purge",C28)),ISNUMBER(SEARCH("Drop Filter",C28))),AV28/(INDEX(CAShifts[Hours],MATCH(N28,CAShifts[Shift],0)))*(INDEX(CAShifts[CF],MATCH(N28,CAShifts[Shift],0))),
IF(ISNUMBER(SEARCH("Condensate Drains",C28)),AV28/(INDEX(CAShifts[Hours],MATCH(N28,CAShifts[Shift],0)))*0.95,
IF(ISNUMBER(SEARCH("VSD for HVAC Pumps",C28)),IF(ISNUMBER(SEARCH("Pump",J28)),0,(V28*0.65)/0.93*INDEX(PMECA[Base Desc 2],MATCH(C28,PMECA[Eff Desc 1],0))),
IF(ISNUMBER(SEARCH("HVAC Supply and Return",C28)),IF(((0.746*V28*(0.65/0.95))*INDEX(CABaseline[CFb (50-200HP)],MATCH(J28,CABaseline[Baseline],0))-((0.746*V28*(0.65/0.95))*1.01))*(1+0.157)&lt;0,0,(0.746*V28*(0.65/0.95))*INDEX(CABaseline[CFb (50-200HP)],MATCH(J28,CABaseline[Baseline],0))-((0.746*V28*(0.65/0.95))*1.01))*(1+0.157),
IF(OR(ISNUMBER(SEARCH("Pool",C28)),ISNUMBER(SEARCH("Tankless",C28))),V28*INDEX(PMECA[Savings per Unit kW],MATCH(C28,PMECA[Eff Desc 1],0)),
))))),3)),"")</f>
        <v/>
      </c>
      <c r="AX28" s="898" t="str">
        <f>IF(OR(C28="",J28="",AA28="",X28="",V28="",AC28=""),"",
IF(ISNUMBER(SEARCH("Leak",C28)),V28*INDEX(PMECA[Incremental Cost],MATCH(C28,PMECA[Eff Desc 1],0)),(127*V28)+1446))</f>
        <v/>
      </c>
      <c r="AY28" s="980" t="str">
        <f t="shared" ref="AY28" si="28">IF(OR(C28="",J28="",N28="",V28="",X28="",AA28="",AC28="",AI28="",AK28=""),"",IF(BC28&lt;&gt;"",BC28,IF(AV28=0,0,MIN(AU28,ROUND(V28*AI28,2)))))</f>
        <v/>
      </c>
      <c r="BC28" s="830" t="str">
        <f>IF(OR(J28="",N28="",C28="",V28="",X28="",AA28="",AE28="",AC28="",P28="",T28=""),"",IF(OR(ISBLANK(M02S02F26),ISBLANK(M02S02F32),ISBLANK(M02S02F46)),MEASUREBLDG,""))</f>
        <v/>
      </c>
      <c r="BE28" s="811" t="str">
        <f ca="1">IF(OR(C28="",J28="",N28="",P28="",T28="",V28="",AA28="",X28="",AC28=""),"",IF('M01-S01'!$V$82&lt;TODAY(),0,IF(M02S02F46="Gas Only",0,IF(OR(AK28="",AK28&lt;0,AU28&lt;=AO28),0,MIN(AU28-AO28,ROUND(AO28*0.2,2))))))</f>
        <v/>
      </c>
      <c r="BF28" s="811"/>
    </row>
    <row r="29" spans="2:58" ht="15.95" customHeight="1">
      <c r="B29" s="834"/>
      <c r="C29" s="840"/>
      <c r="D29" s="841"/>
      <c r="E29" s="841"/>
      <c r="F29" s="841"/>
      <c r="G29" s="841"/>
      <c r="H29" s="841"/>
      <c r="I29" s="842"/>
      <c r="J29" s="840"/>
      <c r="K29" s="841"/>
      <c r="L29" s="841"/>
      <c r="M29" s="842"/>
      <c r="N29" s="853"/>
      <c r="O29" s="854"/>
      <c r="P29" s="1040"/>
      <c r="Q29" s="1041"/>
      <c r="R29" s="1041"/>
      <c r="S29" s="1042"/>
      <c r="T29" s="1045"/>
      <c r="U29" s="1046"/>
      <c r="V29" s="853"/>
      <c r="W29" s="854"/>
      <c r="X29" s="840"/>
      <c r="Y29" s="841"/>
      <c r="Z29" s="842"/>
      <c r="AA29" s="952"/>
      <c r="AB29" s="945"/>
      <c r="AC29" s="945"/>
      <c r="AD29" s="946"/>
      <c r="AE29" s="1025"/>
      <c r="AF29" s="947"/>
      <c r="AG29" s="947"/>
      <c r="AH29" s="948"/>
      <c r="AI29" s="1030"/>
      <c r="AJ29" s="870"/>
      <c r="AK29" s="828"/>
      <c r="AL29" s="829"/>
      <c r="AM29" s="829"/>
      <c r="AN29" s="833"/>
      <c r="AO29" s="960"/>
      <c r="AP29" s="961"/>
      <c r="AQ29" s="961"/>
      <c r="AU29" s="814"/>
      <c r="AV29" s="981"/>
      <c r="AW29" s="1002"/>
      <c r="AX29" s="814"/>
      <c r="AY29" s="981"/>
      <c r="BC29" s="831"/>
      <c r="BE29" s="812"/>
      <c r="BF29" s="812"/>
    </row>
    <row r="30" spans="2:58" ht="15.95" customHeight="1">
      <c r="B30" s="834">
        <v>8</v>
      </c>
      <c r="C30" s="871"/>
      <c r="D30" s="872"/>
      <c r="E30" s="872"/>
      <c r="F30" s="872"/>
      <c r="G30" s="872"/>
      <c r="H30" s="872"/>
      <c r="I30" s="873"/>
      <c r="J30" s="837"/>
      <c r="K30" s="838"/>
      <c r="L30" s="838"/>
      <c r="M30" s="839"/>
      <c r="N30" s="851"/>
      <c r="O30" s="852"/>
      <c r="P30" s="1037" t="str">
        <f>IFERROR(IF(C30="","",INDEX(PMECA[Eff Desc 2],MATCH(C30,PMECA[Eff Desc 1],0))),"")</f>
        <v/>
      </c>
      <c r="Q30" s="1038"/>
      <c r="R30" s="1038"/>
      <c r="S30" s="1039"/>
      <c r="T30" s="1043" t="str">
        <f>IFERROR(IF(C30="","",INDEX(PMECA[Unit of Measure],MATCH(C30,PMECA[Eff Desc 1],0))),"")</f>
        <v/>
      </c>
      <c r="U30" s="1044"/>
      <c r="V30" s="851"/>
      <c r="W30" s="852"/>
      <c r="X30" s="837"/>
      <c r="Y30" s="838"/>
      <c r="Z30" s="839"/>
      <c r="AA30" s="951"/>
      <c r="AB30" s="943"/>
      <c r="AC30" s="943"/>
      <c r="AD30" s="944"/>
      <c r="AE30" s="1022" t="str">
        <f>IFERROR(IF(C30="","",INDEX(PMECA[Base Desc 1],MATCH(C30,PMECA[Eff Desc 1],0))),"")</f>
        <v/>
      </c>
      <c r="AF30" s="1023"/>
      <c r="AG30" s="1023"/>
      <c r="AH30" s="1024"/>
      <c r="AI30" s="1029" t="str">
        <f>IFERROR(IF(C30="","",INDEX(PMECA[Inc Rate Unit],MATCH(C30,PMECA[Eff Desc 1],0))),"")</f>
        <v/>
      </c>
      <c r="AJ30" s="868"/>
      <c r="AK30" s="826" t="str">
        <f t="shared" ref="AK30" si="29">IFERROR(IF(OR(C30="",V30="",X30="",AA30="",J30="",N30="",AC30=""),"",AV30),"")</f>
        <v/>
      </c>
      <c r="AL30" s="827"/>
      <c r="AM30" s="827"/>
      <c r="AN30" s="832" t="str">
        <f t="shared" ref="AN30" si="30">IF(OR(C30="",V30="",X30="",AB30="",AE30="",AG30=""),"",IF(BC30&lt;&gt;"",BC30,MIN(AU30,ROUND(V30*AI30,2))))</f>
        <v/>
      </c>
      <c r="AO30" s="957" t="str">
        <f t="shared" ref="AO30" si="31">IFERROR(IF(OR(C30="",V30="",X30="",AA30="",J30="",N30="",AC30=""),"",AY30),"")</f>
        <v/>
      </c>
      <c r="AP30" s="958"/>
      <c r="AQ30" s="958"/>
      <c r="AU30" s="898" t="str">
        <f t="shared" ref="AU30" si="32">IF(OR(C30="",J30="",AA30="",X30="",V30="",AC30=""),"",ROUND((AA30+AC30),2))</f>
        <v/>
      </c>
      <c r="AV30" s="980" t="str">
        <f>IFERROR(IF(OR(C30="",J30="",N30="",V30="",X30="",AA30="",AC30=""),"",IF(BC30&lt;&gt;"",BC30,ROUND(
IF(ISNUMBER(SEARCH("VSD on Air Compressor",C30)),V30*0.9*(INDEX(CAShifts[Hours],MATCH(N30,CAShifts[Shift],0)))*
(IF(V30&lt;=40,(INDEX(CABaseline[CFb (≤ 40 HP)],MATCH(J30,CABaseline[Baseline],0))),(INDEX(CABaseline[CFb (50-200HP)],MATCH(J30,CABaseline[Baseline],0))))-IF(V30&lt;=40,0.705,0.658)),
IF(ISNUMBER(SEARCH("Leak",C30)),(V30*(J30*6.1*INDEX(CAShifts[Hours],MATCH(N30,CAShifts[Shift],0))*0.19*0.3/100)),
IF(ISNUMBER(SEARCH("Digital Scroll",C30)),(0.007*(INDEX(PMECA[Base Desc 2],MATCH(C30,PMECA[Eff Desc 1],0))-INDEX(PMECA[Base Watt],MATCH(C30,PMECA[Eff Desc 1],0)))*INDEX(CAShifts[Hours],MATCH(N30,CAShifts[Shift],0))*V30),
IF(ISNUMBER(SEARCH("VS Air Dryer",C30)),(0.007*(INDEX(PMECA[Base Desc 2],MATCH(C30,PMECA[Eff Desc 1],0))-INDEX(PMECA[Base Watt],MATCH(C30,PMECA[Eff Desc 1],0)))*INDEX(CAShifts[Hours],MATCH(N30,CAShifts[Shift],0))*V30),
IF(ISNUMBER(SEARCH("Thermal Mass",C30)),(0.007*(INDEX(PMECA[Base Desc 2],MATCH(C30,PMECA[Eff Desc 1],0))-INDEX(PMECA[Base Watt],MATCH(C30,PMECA[Eff Desc 1],0)))*INDEX(CAShifts[Hours],MATCH(N30,CAShifts[Shift],0))*V30),
IF(ISNUMBER(SEARCH("Heated Desiccant",C30)),(V30*((0.15*INDEX(CABaseline[Column1],MATCH(J30,CABaseline[Baseline],0)))-((INDEX(PMECA[Base Desc 2],MATCH(C30,PMECA[Eff Desc 1],0)))*INDEX(CABaseline[Column1],MATCH(J30,CABaseline[Baseline],0))+INDEX(PMECA[Base Watt],MATCH(C30,PMECA[Eff Desc 1],0))+INDEX(PMECA[Base Watt 2],MATCH(C30,PMECA[Eff Desc 1],0))))*INDEX(CAShifts[Hours],MATCH(N30,CAShifts[Shift],0))),
IF(ISNUMBER(SEARCH("Blower Purge",C30)),(V30*((0.15*INDEX(CABaseline[Column1],MATCH(J30,CABaseline[Baseline],0)))-((INDEX(PMECA[Base Desc 2],MATCH(C30,PMECA[Eff Desc 1],0)))*INDEX(CABaseline[Column1],MATCH(J30,CABaseline[Baseline],0))+INDEX(PMECA[Base Watt],MATCH(C30,PMECA[Eff Desc 1],0))+INDEX(PMECA[Base Watt 2],MATCH(C30,PMECA[Eff Desc 1],0))))*INDEX(CAShifts[Hours],MATCH(N30,CAShifts[Shift],0))),
IF(ISNUMBER(SEARCH("Drop Filter",C30)),(INDEX(CABaseline[Column1],MATCH(J30,CABaseline[Baseline],0))*2*0.005*INDEX(CAShifts[Hours],MATCH(N30,CAShifts[Shift],0))/100)*V30,
IF(ISNUMBER(SEARCH("Condensate Drains",C30)),V30*3*INDEX(CABaseline[Column1],MATCH(J30,CABaseline[Baseline],0))*INDEX(CAShifts[Hours],MATCH(N30,CAShifts[Shift],0)),
IF(ISNUMBER(SEARCH("HVAC Supply and Return",C30)),((0.746*V30*(0.65/0.95))*INDEX(LightingWHF[Total Fan Run Hours],MATCH(M02S02F26,LightingWHF[Building/Space Type],0))*INDEX(CABaseline[Column1],MATCH(J30,CABaseline[Baseline],0))-((0.746*V30*(0.65/0.95))*INDEX(LightingWHF[Total Fan Run Hours],MATCH(M02S02F26,LightingWHF[Building/Space Type],0))*0.3))*(1+0.157),
IF(ISNUMBER(SEARCH("HVAC Pumps",C30)),(V30*0.65)/0.93*(IF(J30="Hot Water Pump",INDEX(LightingWHF[Heating Run Hours],MATCH(M02S02F26,LightingWHF[Building/Space Type],0)),INDEX(LightingWHF[Cooling Run Hours],MATCH(M02S02F26,LightingWHF[Building/Space Type],0))))*INDEX(CABaseline[Column1],MATCH(J30,CABaseline[Baseline],0)),
IF(ISNUMBER(SEARCH("Nozzle",C30)),(INDEX(PMECA[Base Desc 2],MATCH(C30,PMECA[Eff Desc 1]))*0.5)*INDEX(CABaseline[Column1],MATCH(J30,CABaseline[Baseline],0))*0.05*INDEX(CAShifts[Hours],MATCH(N30,CAShifts[Shift],0)),
IF(ISNUMBER(SEARCH("Tankless",C30)),V30*INDEX(PMECA[Savings per Unit kWh],MATCH(C30,PMECA[Eff Desc 1],0)),
IF(ISNUMBER(SEARCH("Pool",C30)),V30*INDEX(PMECA[Savings per Unit kWh],MATCH(C30,PMECA[Eff Desc 1],0)),
)))))))))))))),2))),"")</f>
        <v/>
      </c>
      <c r="AW30" s="1060" t="str">
        <f>IFERROR(IF(OR(C30="",J30="",N30="",V30="",X30="",AA30="",AC30=""),"",ROUND(
IF(OR(ISNUMBER(SEARCH("VSD on Air Compressor",C30)),ISNUMBER(SEARCH("Nozzle",C30)),ISNUMBER(SEARCH("Digital Scroll",C30)),ISNUMBER(SEARCH("Leak",C30)),ISNUMBER(SEARCH("VS Air Dryer",C30)),ISNUMBER(SEARCH("Thermal Mass",C30)),ISNUMBER(SEARCH("Heated Desiccant",C30)),ISNUMBER(SEARCH("Blower Purge",C30)),ISNUMBER(SEARCH("Drop Filter",C30))),AV30/(INDEX(CAShifts[Hours],MATCH(N30,CAShifts[Shift],0)))*(INDEX(CAShifts[CF],MATCH(N30,CAShifts[Shift],0))),
IF(ISNUMBER(SEARCH("Condensate Drains",C30)),AV30/(INDEX(CAShifts[Hours],MATCH(N30,CAShifts[Shift],0)))*0.95,
IF(ISNUMBER(SEARCH("VSD for HVAC Pumps",C30)),IF(ISNUMBER(SEARCH("Pump",J30)),0,(V30*0.65)/0.93*INDEX(PMECA[Base Desc 2],MATCH(C30,PMECA[Eff Desc 1],0))),
IF(ISNUMBER(SEARCH("HVAC Supply and Return",C30)),IF(((0.746*V30*(0.65/0.95))*INDEX(CABaseline[CFb (50-200HP)],MATCH(J30,CABaseline[Baseline],0))-((0.746*V30*(0.65/0.95))*1.01))*(1+0.157)&lt;0,0,(0.746*V30*(0.65/0.95))*INDEX(CABaseline[CFb (50-200HP)],MATCH(J30,CABaseline[Baseline],0))-((0.746*V30*(0.65/0.95))*1.01))*(1+0.157),
IF(OR(ISNUMBER(SEARCH("Pool",C30)),ISNUMBER(SEARCH("Tankless",C30))),V30*INDEX(PMECA[Savings per Unit kW],MATCH(C30,PMECA[Eff Desc 1],0)),
))))),3)),"")</f>
        <v/>
      </c>
      <c r="AX30" s="898" t="str">
        <f>IF(OR(C30="",J30="",AA30="",X30="",V30="",AC30=""),"",
IF(ISNUMBER(SEARCH("Leak",C30)),V30*INDEX(PMECA[Incremental Cost],MATCH(C30,PMECA[Eff Desc 1],0)),(127*V30)+1446))</f>
        <v/>
      </c>
      <c r="AY30" s="980" t="str">
        <f t="shared" ref="AY30" si="33">IF(OR(C30="",J30="",N30="",V30="",X30="",AA30="",AC30="",AI30="",AK30=""),"",IF(BC30&lt;&gt;"",BC30,IF(AV30=0,0,MIN(AU30,ROUND(V30*AI30,2)))))</f>
        <v/>
      </c>
      <c r="BC30" s="830" t="str">
        <f>IF(OR(J30="",N30="",C30="",V30="",X30="",AA30="",AE30="",AC30="",P30="",T30=""),"",IF(OR(ISBLANK(M02S02F26),ISBLANK(M02S02F32),ISBLANK(M02S02F46)),MEASUREBLDG,""))</f>
        <v/>
      </c>
      <c r="BE30" s="811" t="str">
        <f ca="1">IF(OR(C30="",J30="",N30="",P30="",T30="",V30="",AA30="",X30="",AC30=""),"",IF('M01-S01'!$V$82&lt;TODAY(),0,IF(M02S02F46="Gas Only",0,IF(OR(AK30="",AK30&lt;0,AU30&lt;=AO30),0,MIN(AU30-AO30,ROUND(AO30*0.2,2))))))</f>
        <v/>
      </c>
      <c r="BF30" s="811"/>
    </row>
    <row r="31" spans="2:58" ht="15.95" customHeight="1">
      <c r="B31" s="834"/>
      <c r="C31" s="840"/>
      <c r="D31" s="841"/>
      <c r="E31" s="841"/>
      <c r="F31" s="841"/>
      <c r="G31" s="841"/>
      <c r="H31" s="841"/>
      <c r="I31" s="842"/>
      <c r="J31" s="840"/>
      <c r="K31" s="841"/>
      <c r="L31" s="841"/>
      <c r="M31" s="842"/>
      <c r="N31" s="853"/>
      <c r="O31" s="854"/>
      <c r="P31" s="1040"/>
      <c r="Q31" s="1041"/>
      <c r="R31" s="1041"/>
      <c r="S31" s="1042"/>
      <c r="T31" s="1045"/>
      <c r="U31" s="1046"/>
      <c r="V31" s="853"/>
      <c r="W31" s="854"/>
      <c r="X31" s="840"/>
      <c r="Y31" s="841"/>
      <c r="Z31" s="842"/>
      <c r="AA31" s="952"/>
      <c r="AB31" s="945"/>
      <c r="AC31" s="945"/>
      <c r="AD31" s="946"/>
      <c r="AE31" s="1025"/>
      <c r="AF31" s="947"/>
      <c r="AG31" s="947"/>
      <c r="AH31" s="948"/>
      <c r="AI31" s="1030"/>
      <c r="AJ31" s="870"/>
      <c r="AK31" s="828"/>
      <c r="AL31" s="829"/>
      <c r="AM31" s="829"/>
      <c r="AN31" s="833"/>
      <c r="AO31" s="960"/>
      <c r="AP31" s="961"/>
      <c r="AQ31" s="961"/>
      <c r="AU31" s="814"/>
      <c r="AV31" s="981"/>
      <c r="AW31" s="1002"/>
      <c r="AX31" s="814"/>
      <c r="AY31" s="981"/>
      <c r="BC31" s="831"/>
      <c r="BE31" s="812"/>
      <c r="BF31" s="812"/>
    </row>
    <row r="32" spans="2:58" ht="15.95" customHeight="1">
      <c r="B32" s="834">
        <v>9</v>
      </c>
      <c r="C32" s="871"/>
      <c r="D32" s="872"/>
      <c r="E32" s="872"/>
      <c r="F32" s="872"/>
      <c r="G32" s="872"/>
      <c r="H32" s="872"/>
      <c r="I32" s="873"/>
      <c r="J32" s="837"/>
      <c r="K32" s="838"/>
      <c r="L32" s="838"/>
      <c r="M32" s="839"/>
      <c r="N32" s="851"/>
      <c r="O32" s="852"/>
      <c r="P32" s="1037" t="str">
        <f>IFERROR(IF(C32="","",INDEX(PMECA[Eff Desc 2],MATCH(C32,PMECA[Eff Desc 1],0))),"")</f>
        <v/>
      </c>
      <c r="Q32" s="1038"/>
      <c r="R32" s="1038"/>
      <c r="S32" s="1039"/>
      <c r="T32" s="1043" t="str">
        <f>IFERROR(IF(C32="","",INDEX(PMECA[Unit of Measure],MATCH(C32,PMECA[Eff Desc 1],0))),"")</f>
        <v/>
      </c>
      <c r="U32" s="1044"/>
      <c r="V32" s="851"/>
      <c r="W32" s="852"/>
      <c r="X32" s="837"/>
      <c r="Y32" s="838"/>
      <c r="Z32" s="839"/>
      <c r="AA32" s="951"/>
      <c r="AB32" s="943"/>
      <c r="AC32" s="943"/>
      <c r="AD32" s="944"/>
      <c r="AE32" s="947" t="str">
        <f>IFERROR(IF(C32="","",INDEX(PMECA[Base Desc 1],MATCH(C32,PMECA[Eff Desc 1],0))),"")</f>
        <v/>
      </c>
      <c r="AF32" s="947"/>
      <c r="AG32" s="947"/>
      <c r="AH32" s="948"/>
      <c r="AI32" s="923" t="str">
        <f>IFERROR(IF(C32="","",INDEX(PMECA[Inc Rate Unit],MATCH(C32,PMECA[Eff Desc 1],0))),"")</f>
        <v/>
      </c>
      <c r="AJ32" s="924"/>
      <c r="AK32" s="826" t="str">
        <f t="shared" ref="AK32" si="34">IFERROR(IF(OR(C32="",V32="",X32="",AA32="",J32="",N32="",AC32=""),"",AV32),"")</f>
        <v/>
      </c>
      <c r="AL32" s="827"/>
      <c r="AM32" s="827"/>
      <c r="AN32" s="832" t="str">
        <f t="shared" ref="AN32" si="35">IF(OR(C32="",V32="",X32="",AB32="",AE32="",AG32=""),"",IF(BC32&lt;&gt;"",BC32,MIN(AU32,ROUND(V32*AI32,2))))</f>
        <v/>
      </c>
      <c r="AO32" s="957" t="str">
        <f t="shared" ref="AO32" si="36">IFERROR(IF(OR(C32="",V32="",X32="",AA32="",J32="",N32="",AC32=""),"",AY32),"")</f>
        <v/>
      </c>
      <c r="AP32" s="958"/>
      <c r="AQ32" s="958"/>
      <c r="AU32" s="898" t="str">
        <f t="shared" ref="AU32" si="37">IF(OR(C32="",J32="",AA32="",X32="",V32="",AC32=""),"",ROUND((AA32+AC32),2))</f>
        <v/>
      </c>
      <c r="AV32" s="980" t="str">
        <f>IFERROR(IF(OR(C32="",J32="",N32="",V32="",X32="",AA32="",AC32=""),"",IF(BC32&lt;&gt;"",BC32,ROUND(
IF(ISNUMBER(SEARCH("VSD on Air Compressor",C32)),V32*0.9*(INDEX(CAShifts[Hours],MATCH(N32,CAShifts[Shift],0)))*
(IF(V32&lt;=40,(INDEX(CABaseline[CFb (≤ 40 HP)],MATCH(J32,CABaseline[Baseline],0))),(INDEX(CABaseline[CFb (50-200HP)],MATCH(J32,CABaseline[Baseline],0))))-IF(V32&lt;=40,0.705,0.658)),
IF(ISNUMBER(SEARCH("Leak",C32)),(V32*(J32*6.1*INDEX(CAShifts[Hours],MATCH(N32,CAShifts[Shift],0))*0.19*0.3/100)),
IF(ISNUMBER(SEARCH("Digital Scroll",C32)),(0.007*(INDEX(PMECA[Base Desc 2],MATCH(C32,PMECA[Eff Desc 1],0))-INDEX(PMECA[Base Watt],MATCH(C32,PMECA[Eff Desc 1],0)))*INDEX(CAShifts[Hours],MATCH(N32,CAShifts[Shift],0))*V32),
IF(ISNUMBER(SEARCH("VS Air Dryer",C32)),(0.007*(INDEX(PMECA[Base Desc 2],MATCH(C32,PMECA[Eff Desc 1],0))-INDEX(PMECA[Base Watt],MATCH(C32,PMECA[Eff Desc 1],0)))*INDEX(CAShifts[Hours],MATCH(N32,CAShifts[Shift],0))*V32),
IF(ISNUMBER(SEARCH("Thermal Mass",C32)),(0.007*(INDEX(PMECA[Base Desc 2],MATCH(C32,PMECA[Eff Desc 1],0))-INDEX(PMECA[Base Watt],MATCH(C32,PMECA[Eff Desc 1],0)))*INDEX(CAShifts[Hours],MATCH(N32,CAShifts[Shift],0))*V32),
IF(ISNUMBER(SEARCH("Heated Desiccant",C32)),(V32*((0.15*INDEX(CABaseline[Column1],MATCH(J32,CABaseline[Baseline],0)))-((INDEX(PMECA[Base Desc 2],MATCH(C32,PMECA[Eff Desc 1],0)))*INDEX(CABaseline[Column1],MATCH(J32,CABaseline[Baseline],0))+INDEX(PMECA[Base Watt],MATCH(C32,PMECA[Eff Desc 1],0))+INDEX(PMECA[Base Watt 2],MATCH(C32,PMECA[Eff Desc 1],0))))*INDEX(CAShifts[Hours],MATCH(N32,CAShifts[Shift],0))),
IF(ISNUMBER(SEARCH("Blower Purge",C32)),(V32*((0.15*INDEX(CABaseline[Column1],MATCH(J32,CABaseline[Baseline],0)))-((INDEX(PMECA[Base Desc 2],MATCH(C32,PMECA[Eff Desc 1],0)))*INDEX(CABaseline[Column1],MATCH(J32,CABaseline[Baseline],0))+INDEX(PMECA[Base Watt],MATCH(C32,PMECA[Eff Desc 1],0))+INDEX(PMECA[Base Watt 2],MATCH(C32,PMECA[Eff Desc 1],0))))*INDEX(CAShifts[Hours],MATCH(N32,CAShifts[Shift],0))),
IF(ISNUMBER(SEARCH("Drop Filter",C32)),(INDEX(CABaseline[Column1],MATCH(J32,CABaseline[Baseline],0))*2*0.005*INDEX(CAShifts[Hours],MATCH(N32,CAShifts[Shift],0))/100)*V32,
IF(ISNUMBER(SEARCH("Condensate Drains",C32)),V32*3*INDEX(CABaseline[Column1],MATCH(J32,CABaseline[Baseline],0))*INDEX(CAShifts[Hours],MATCH(N32,CAShifts[Shift],0)),
IF(ISNUMBER(SEARCH("HVAC Supply and Return",C32)),((0.746*V32*(0.65/0.95))*INDEX(LightingWHF[Total Fan Run Hours],MATCH(M02S02F26,LightingWHF[Building/Space Type],0))*INDEX(CABaseline[Column1],MATCH(J32,CABaseline[Baseline],0))-((0.746*V32*(0.65/0.95))*INDEX(LightingWHF[Total Fan Run Hours],MATCH(M02S02F26,LightingWHF[Building/Space Type],0))*0.3))*(1+0.157),
IF(ISNUMBER(SEARCH("HVAC Pumps",C32)),(V32*0.65)/0.93*(IF(J32="Hot Water Pump",INDEX(LightingWHF[Heating Run Hours],MATCH(M02S02F26,LightingWHF[Building/Space Type],0)),INDEX(LightingWHF[Cooling Run Hours],MATCH(M02S02F26,LightingWHF[Building/Space Type],0))))*INDEX(CABaseline[Column1],MATCH(J32,CABaseline[Baseline],0)),
IF(ISNUMBER(SEARCH("Nozzle",C32)),(INDEX(PMECA[Base Desc 2],MATCH(C32,PMECA[Eff Desc 1]))*0.5)*INDEX(CABaseline[Column1],MATCH(J32,CABaseline[Baseline],0))*0.05*INDEX(CAShifts[Hours],MATCH(N32,CAShifts[Shift],0)),
IF(ISNUMBER(SEARCH("Tankless",C32)),V32*INDEX(PMECA[Savings per Unit kWh],MATCH(C32,PMECA[Eff Desc 1],0)),
IF(ISNUMBER(SEARCH("Pool",C32)),V32*INDEX(PMECA[Savings per Unit kWh],MATCH(C32,PMECA[Eff Desc 1],0)),
)))))))))))))),2))),"")</f>
        <v/>
      </c>
      <c r="AW32" s="1060" t="str">
        <f>IFERROR(IF(OR(C32="",J32="",N32="",V32="",X32="",AA32="",AC32=""),"",ROUND(
IF(OR(ISNUMBER(SEARCH("VSD on Air Compressor",C32)),ISNUMBER(SEARCH("Nozzle",C32)),ISNUMBER(SEARCH("Digital Scroll",C32)),ISNUMBER(SEARCH("Leak",C32)),ISNUMBER(SEARCH("VS Air Dryer",C32)),ISNUMBER(SEARCH("Thermal Mass",C32)),ISNUMBER(SEARCH("Heated Desiccant",C32)),ISNUMBER(SEARCH("Blower Purge",C32)),ISNUMBER(SEARCH("Drop Filter",C32))),AV32/(INDEX(CAShifts[Hours],MATCH(N32,CAShifts[Shift],0)))*(INDEX(CAShifts[CF],MATCH(N32,CAShifts[Shift],0))),
IF(ISNUMBER(SEARCH("Condensate Drains",C32)),AV32/(INDEX(CAShifts[Hours],MATCH(N32,CAShifts[Shift],0)))*0.95,
IF(ISNUMBER(SEARCH("VSD for HVAC Pumps",C32)),IF(ISNUMBER(SEARCH("Pump",J32)),0,(V32*0.65)/0.93*INDEX(PMECA[Base Desc 2],MATCH(C32,PMECA[Eff Desc 1],0))),
IF(ISNUMBER(SEARCH("HVAC Supply and Return",C32)),IF(((0.746*V32*(0.65/0.95))*INDEX(CABaseline[CFb (50-200HP)],MATCH(J32,CABaseline[Baseline],0))-((0.746*V32*(0.65/0.95))*1.01))*(1+0.157)&lt;0,0,(0.746*V32*(0.65/0.95))*INDEX(CABaseline[CFb (50-200HP)],MATCH(J32,CABaseline[Baseline],0))-((0.746*V32*(0.65/0.95))*1.01))*(1+0.157),
IF(OR(ISNUMBER(SEARCH("Pool",C32)),ISNUMBER(SEARCH("Tankless",C32))),V32*INDEX(PMECA[Savings per Unit kW],MATCH(C32,PMECA[Eff Desc 1],0)),
))))),3)),"")</f>
        <v/>
      </c>
      <c r="AX32" s="813" t="str">
        <f>IF(OR(C32="",J32="",AA32="",X32="",V32="",AC32=""),"",
IF(ISNUMBER(SEARCH("Leak",C32)),V32*INDEX(PMECA[Incremental Cost],MATCH(C32,PMECA[Eff Desc 1],0)),(127*V32)+1446))</f>
        <v/>
      </c>
      <c r="AY32" s="980" t="str">
        <f t="shared" ref="AY32" si="38">IF(OR(C32="",J32="",N32="",V32="",X32="",AA32="",AC32="",AI32="",AK32=""),"",IF(BC32&lt;&gt;"",BC32,MIN(AU32,ROUND(V32*AI32,2))))</f>
        <v/>
      </c>
      <c r="BC32" s="830" t="str">
        <f>IF(OR(J32="",N32="",C32="",V32="",X32="",AA32="",AE32="",AC32="",P32="",T32=""),"",IF(OR(ISBLANK(M02S02F26),ISBLANK(M02S02F32),ISBLANK(M02S02F46)),MEASUREBLDG,""))</f>
        <v/>
      </c>
      <c r="BE32" s="811" t="str">
        <f ca="1">IF(OR(C32="",J32="",N32="",P32="",T32="",V32="",AA32="",X32="",AC32=""),"",IF('M01-S01'!$V$82&lt;TODAY(),0,IF(M02S02F46="Gas Only",0,IF(OR(AK32="",AK32&lt;0,AU32&lt;=AO32),0,MIN(AU32-AO32,ROUND(AO32*0.2,2))))))</f>
        <v/>
      </c>
      <c r="BF32" s="811"/>
    </row>
    <row r="33" spans="2:58" ht="15.95" customHeight="1">
      <c r="B33" s="834"/>
      <c r="C33" s="840"/>
      <c r="D33" s="841"/>
      <c r="E33" s="841"/>
      <c r="F33" s="841"/>
      <c r="G33" s="841"/>
      <c r="H33" s="841"/>
      <c r="I33" s="842"/>
      <c r="J33" s="840"/>
      <c r="K33" s="841"/>
      <c r="L33" s="841"/>
      <c r="M33" s="842"/>
      <c r="N33" s="853"/>
      <c r="O33" s="854"/>
      <c r="P33" s="1040"/>
      <c r="Q33" s="1041"/>
      <c r="R33" s="1041"/>
      <c r="S33" s="1042"/>
      <c r="T33" s="1045"/>
      <c r="U33" s="1046"/>
      <c r="V33" s="853"/>
      <c r="W33" s="854"/>
      <c r="X33" s="840"/>
      <c r="Y33" s="841"/>
      <c r="Z33" s="842"/>
      <c r="AA33" s="952"/>
      <c r="AB33" s="945"/>
      <c r="AC33" s="945"/>
      <c r="AD33" s="946"/>
      <c r="AE33" s="949"/>
      <c r="AF33" s="949"/>
      <c r="AG33" s="949"/>
      <c r="AH33" s="950"/>
      <c r="AI33" s="925"/>
      <c r="AJ33" s="870"/>
      <c r="AK33" s="828"/>
      <c r="AL33" s="829"/>
      <c r="AM33" s="829"/>
      <c r="AN33" s="833"/>
      <c r="AO33" s="960"/>
      <c r="AP33" s="961"/>
      <c r="AQ33" s="961"/>
      <c r="AU33" s="814"/>
      <c r="AV33" s="981"/>
      <c r="AW33" s="1002"/>
      <c r="AX33" s="814"/>
      <c r="AY33" s="981"/>
      <c r="BC33" s="831"/>
      <c r="BE33" s="812"/>
      <c r="BF33" s="812"/>
    </row>
    <row r="34" spans="2:58" ht="15.95" customHeight="1">
      <c r="C34" s="1014" t="s">
        <v>2403</v>
      </c>
      <c r="D34" s="1015"/>
      <c r="E34" s="1015"/>
      <c r="F34" s="1015"/>
      <c r="G34" s="1015"/>
      <c r="H34" s="1015"/>
      <c r="I34" s="1015"/>
      <c r="J34" s="1015"/>
      <c r="K34" s="1015"/>
      <c r="L34" s="1015"/>
      <c r="M34" s="1015"/>
      <c r="N34" s="1015"/>
      <c r="O34" s="1015"/>
      <c r="P34" s="1015"/>
      <c r="Q34" s="1015"/>
      <c r="R34" s="1015"/>
      <c r="S34" s="1015"/>
      <c r="T34" s="1015"/>
      <c r="U34" s="1015"/>
      <c r="V34" s="1015"/>
      <c r="W34" s="1015"/>
      <c r="X34" s="1015"/>
      <c r="Y34" s="1015"/>
      <c r="Z34" s="1015"/>
      <c r="AA34" s="1015"/>
      <c r="AB34" s="1015"/>
      <c r="AC34" s="1015"/>
      <c r="AD34" s="1015"/>
      <c r="AE34" s="1015"/>
      <c r="AF34" s="1015"/>
      <c r="AG34" s="1015"/>
      <c r="AH34" s="1015"/>
      <c r="AI34" s="1015"/>
      <c r="AJ34" s="1015"/>
      <c r="AK34" s="1015"/>
      <c r="AL34" s="1015"/>
      <c r="AM34" s="1015"/>
      <c r="AN34" s="1015"/>
      <c r="AO34" s="1015"/>
      <c r="AP34" s="1015"/>
      <c r="AQ34" s="1015"/>
      <c r="AU34"/>
      <c r="AV34"/>
      <c r="AW34"/>
      <c r="AX34"/>
      <c r="AY34"/>
      <c r="AZ34"/>
      <c r="BA34"/>
      <c r="BB34"/>
      <c r="BC34"/>
      <c r="BE34"/>
    </row>
    <row r="35" spans="2:58" ht="15.95" customHeight="1">
      <c r="C35" s="1016"/>
      <c r="D35" s="1017"/>
      <c r="E35" s="1017"/>
      <c r="F35" s="1017"/>
      <c r="G35" s="1017"/>
      <c r="H35" s="1017"/>
      <c r="I35" s="1017"/>
      <c r="J35" s="1017"/>
      <c r="K35" s="1017"/>
      <c r="L35" s="1017"/>
      <c r="M35" s="1017"/>
      <c r="N35" s="1017"/>
      <c r="O35" s="1017"/>
      <c r="P35" s="1017"/>
      <c r="Q35" s="1017"/>
      <c r="R35" s="1017"/>
      <c r="S35" s="1017"/>
      <c r="T35" s="1017"/>
      <c r="U35" s="1017"/>
      <c r="V35" s="1017"/>
      <c r="W35" s="1017"/>
      <c r="X35" s="1017"/>
      <c r="Y35" s="1017"/>
      <c r="Z35" s="1017"/>
      <c r="AA35" s="1017"/>
      <c r="AB35" s="1017"/>
      <c r="AC35" s="1017"/>
      <c r="AD35" s="1017"/>
      <c r="AE35" s="1017"/>
      <c r="AF35" s="1017"/>
      <c r="AG35" s="1017"/>
      <c r="AH35" s="1017"/>
      <c r="AI35" s="1017"/>
      <c r="AJ35" s="1017"/>
      <c r="AK35" s="1017"/>
      <c r="AL35" s="1017"/>
      <c r="AM35" s="1017"/>
      <c r="AN35" s="1017"/>
      <c r="AO35" s="1017"/>
      <c r="AP35" s="1017"/>
      <c r="AQ35" s="1017"/>
      <c r="AU35"/>
      <c r="AV35"/>
      <c r="AW35"/>
      <c r="AX35"/>
      <c r="AY35"/>
      <c r="AZ35"/>
      <c r="BA35"/>
      <c r="BB35"/>
      <c r="BC35"/>
      <c r="BE35"/>
    </row>
    <row r="36" spans="2:58" ht="15.95" customHeight="1">
      <c r="C36" s="809" t="s">
        <v>99</v>
      </c>
      <c r="D36" s="809"/>
      <c r="E36" s="809"/>
      <c r="F36" s="809"/>
      <c r="G36" s="809"/>
      <c r="H36" s="809"/>
      <c r="I36" s="809"/>
      <c r="J36" s="1048" t="s">
        <v>2404</v>
      </c>
      <c r="K36" s="1048"/>
      <c r="L36" s="1048"/>
      <c r="M36" s="1048"/>
      <c r="N36" s="1050" t="s">
        <v>1618</v>
      </c>
      <c r="O36" s="1050"/>
      <c r="P36" s="473"/>
      <c r="Q36" s="473"/>
      <c r="R36" s="473"/>
      <c r="S36" s="473"/>
      <c r="T36" s="809" t="s">
        <v>100</v>
      </c>
      <c r="U36" s="809"/>
      <c r="V36" s="470"/>
      <c r="W36" s="470"/>
      <c r="X36" s="1051" t="s">
        <v>1582</v>
      </c>
      <c r="Y36" s="1051"/>
      <c r="Z36" s="1051"/>
      <c r="AA36" s="988" t="s">
        <v>1583</v>
      </c>
      <c r="AB36" s="988"/>
      <c r="AC36" s="988"/>
      <c r="AD36" s="988"/>
      <c r="AE36" s="1053" t="s">
        <v>1584</v>
      </c>
      <c r="AF36" s="1053"/>
      <c r="AG36" s="1053"/>
      <c r="AH36" s="1053"/>
      <c r="AI36" s="809" t="s">
        <v>93</v>
      </c>
      <c r="AJ36" s="809"/>
      <c r="AK36" s="809" t="s">
        <v>92</v>
      </c>
      <c r="AL36" s="809"/>
      <c r="AM36" s="809"/>
      <c r="AN36" s="809"/>
      <c r="AO36" s="809" t="s">
        <v>1585</v>
      </c>
      <c r="AP36" s="809"/>
      <c r="AQ36" s="809"/>
      <c r="AU36"/>
      <c r="AV36"/>
      <c r="AW36"/>
      <c r="AX36"/>
      <c r="AY36"/>
      <c r="AZ36"/>
      <c r="BA36"/>
      <c r="BB36"/>
      <c r="BC36"/>
      <c r="BE36"/>
    </row>
    <row r="37" spans="2:58" ht="15.95" customHeight="1" thickBot="1">
      <c r="C37" s="810"/>
      <c r="D37" s="810"/>
      <c r="E37" s="810"/>
      <c r="F37" s="810"/>
      <c r="G37" s="810"/>
      <c r="H37" s="810"/>
      <c r="I37" s="810"/>
      <c r="J37" s="1049"/>
      <c r="K37" s="1049"/>
      <c r="L37" s="1049"/>
      <c r="M37" s="1049"/>
      <c r="N37" s="989"/>
      <c r="O37" s="989"/>
      <c r="P37" s="1020" t="s">
        <v>1586</v>
      </c>
      <c r="Q37" s="1020"/>
      <c r="R37" s="1020"/>
      <c r="S37" s="1020"/>
      <c r="T37" s="810"/>
      <c r="U37" s="810"/>
      <c r="V37" s="1021" t="s">
        <v>1599</v>
      </c>
      <c r="W37" s="1021"/>
      <c r="X37" s="1052"/>
      <c r="Y37" s="1052"/>
      <c r="Z37" s="1052"/>
      <c r="AA37" s="989" t="s">
        <v>110</v>
      </c>
      <c r="AB37" s="989"/>
      <c r="AC37" s="989" t="s">
        <v>111</v>
      </c>
      <c r="AD37" s="989"/>
      <c r="AE37" s="1052"/>
      <c r="AF37" s="1052"/>
      <c r="AG37" s="1052"/>
      <c r="AH37" s="1052"/>
      <c r="AI37" s="810"/>
      <c r="AJ37" s="810"/>
      <c r="AK37" s="810"/>
      <c r="AL37" s="810"/>
      <c r="AM37" s="810"/>
      <c r="AN37" s="810"/>
      <c r="AO37" s="810"/>
      <c r="AP37" s="810"/>
      <c r="AQ37" s="810"/>
      <c r="AU37"/>
      <c r="AV37"/>
      <c r="AW37"/>
      <c r="AX37"/>
      <c r="AY37"/>
      <c r="AZ37"/>
      <c r="BA37"/>
      <c r="BB37"/>
      <c r="BC37"/>
      <c r="BE37"/>
    </row>
    <row r="38" spans="2:58" ht="15.95" customHeight="1">
      <c r="B38" s="834">
        <v>12</v>
      </c>
      <c r="C38" s="871"/>
      <c r="D38" s="872"/>
      <c r="E38" s="872"/>
      <c r="F38" s="872"/>
      <c r="G38" s="872"/>
      <c r="H38" s="872"/>
      <c r="I38" s="873"/>
      <c r="J38" s="837"/>
      <c r="K38" s="838"/>
      <c r="L38" s="838"/>
      <c r="M38" s="839"/>
      <c r="N38" s="851"/>
      <c r="O38" s="852"/>
      <c r="P38" s="1054" t="str">
        <f>IFERROR(IF(C38="","",INDEX(PMECA[Eff Desc 2],MATCH(C38,PMECA[Eff Desc 1],0))),"")</f>
        <v/>
      </c>
      <c r="Q38" s="1055"/>
      <c r="R38" s="1055"/>
      <c r="S38" s="1056"/>
      <c r="T38" s="1043" t="str">
        <f>IFERROR(IF(C38="","",INDEX(PMECA[Unit of Measure],MATCH(C38,PMECA[Eff Desc 1],0))),"")</f>
        <v/>
      </c>
      <c r="U38" s="1044"/>
      <c r="V38" s="851"/>
      <c r="W38" s="852"/>
      <c r="X38" s="837"/>
      <c r="Y38" s="838"/>
      <c r="Z38" s="839"/>
      <c r="AA38" s="951"/>
      <c r="AB38" s="943"/>
      <c r="AC38" s="943"/>
      <c r="AD38" s="944"/>
      <c r="AE38" s="1022" t="str">
        <f>IFERROR(IF(C38="","",INDEX(PMECA[Base Desc 1],MATCH(C38,PMECA[Eff Desc 1],0))),"")</f>
        <v/>
      </c>
      <c r="AF38" s="1023"/>
      <c r="AG38" s="1023"/>
      <c r="AH38" s="1024"/>
      <c r="AI38" s="1029" t="str">
        <f>IFERROR(IF(C38="","",INDEX(PMECA[Inc Rate Unit],MATCH(C38,PMECA[Eff Desc 1],0))),"")</f>
        <v/>
      </c>
      <c r="AJ38" s="868"/>
      <c r="AK38" s="826" t="str">
        <f t="shared" ref="AK38" si="39">IFERROR(IF(OR(C38="",V38="",X38="",AA38="",J38="",N38="",AC38=""),"",AV38),"")</f>
        <v/>
      </c>
      <c r="AL38" s="827"/>
      <c r="AM38" s="827"/>
      <c r="AN38" s="832" t="str">
        <f t="shared" ref="AN38" si="40">IF(OR(C38="",V38="",X38="",AB38="",AE38="",AG38=""),"",IF(BC38&lt;&gt;"",BC38,MIN(AU38,ROUND(V38*AI38,2))))</f>
        <v/>
      </c>
      <c r="AO38" s="957" t="str">
        <f t="shared" ref="AO38" si="41">IFERROR(IF(OR(C38="",V38="",X38="",AA38="",J38="",N38="",AC38=""),"",AY38),"")</f>
        <v/>
      </c>
      <c r="AP38" s="958"/>
      <c r="AQ38" s="958"/>
      <c r="AS38"/>
      <c r="AT38"/>
      <c r="AU38" s="898" t="str">
        <f t="shared" ref="AU38:AU42" si="42">IF(OR(C38="",J38="",AA38="",X38="",V38="",AC38=""),"",ROUND((AA38+AC38),2))</f>
        <v/>
      </c>
      <c r="AV38" s="980" t="str">
        <f>IFERROR(IF(OR(C38="",J38="",N38="",V38="",X38="",AA38="",AC38=""),"",IF(BC38&lt;&gt;"",BC38,ROUND((V38*6.1*(INDEX(CAShifts[Hours],MATCH(N38,CAShifts[Shift],0)))*0.19*0.3/100)*J38,2))),"")</f>
        <v/>
      </c>
      <c r="AW38" s="980" t="str">
        <f>IFERROR(IF(OR(C38="",J38="",N38="",V38="",X38="",AA38="",AC38=""),"",ROUND((AV38/(INDEX(CAShifts[Hours],MATCH(N38,CAShifts[Shift],0))))*0.89,3)),"")</f>
        <v/>
      </c>
      <c r="AX38" s="898" t="str">
        <f>IF(OR(C38="",J38="",AA38="",X38="",V38="",AC38=""),"",
IF(ISNUMBER(SEARCH("Leak",C38)),V38*INDEX(PMECA[Incremental Cost],MATCH(C38,PMECA[Eff Desc 1],0)),(127*V38)+1446))</f>
        <v/>
      </c>
      <c r="AY38" s="980" t="str">
        <f t="shared" ref="AY38" si="43">IF(OR(C38="",J38="",N38="",V38="",X38="",AA38="",AC38="",AI38="",AK38=""),"",IF(BC38&lt;&gt;"",BC38,IF(AV38=0,0,MIN(AU38,ROUND(V38*AI38,2)))))</f>
        <v/>
      </c>
      <c r="AZ38" s="980" t="str">
        <f>IFERROR(IF(C38="","",INDEX(PMECA[Base Equip Descr],MATCH(C38,PMECA[Eff Desc 1],0))),"")</f>
        <v/>
      </c>
      <c r="BC38" s="897" t="str">
        <f>IF(OR(J38="",N38="",C38="",V38="",X38="",AA38="",AE38="",AC38="",P38="",T38=""),"",IF(OR(ISBLANK(M02S02F26),ISBLANK(M02S02F32),ISBLANK(M02S02F46)),MEASUREBLDG,""))</f>
        <v/>
      </c>
      <c r="BE38" s="811" t="str">
        <f ca="1">IF(OR(C38="",J38="",N38="",P38="",T38="",V38="",AA38="",X38="",AC38=""),"",IF('M01-S01'!$V$82&lt;TODAY(),0,IF(M02S02F46="Gas Only",0,IF(OR(AK38="",AK38&lt;0,AU38&lt;=AO38),0,MIN(AU38-AO38,ROUND(AO38*0.2,2))))))</f>
        <v/>
      </c>
    </row>
    <row r="39" spans="2:58" ht="15.95" customHeight="1">
      <c r="B39" s="834"/>
      <c r="C39" s="840"/>
      <c r="D39" s="841"/>
      <c r="E39" s="841"/>
      <c r="F39" s="841"/>
      <c r="G39" s="841"/>
      <c r="H39" s="841"/>
      <c r="I39" s="842"/>
      <c r="J39" s="840"/>
      <c r="K39" s="841"/>
      <c r="L39" s="841"/>
      <c r="M39" s="842"/>
      <c r="N39" s="853"/>
      <c r="O39" s="854"/>
      <c r="P39" s="1057"/>
      <c r="Q39" s="1058"/>
      <c r="R39" s="1058"/>
      <c r="S39" s="1059"/>
      <c r="T39" s="1045"/>
      <c r="U39" s="1046"/>
      <c r="V39" s="853"/>
      <c r="W39" s="854"/>
      <c r="X39" s="840"/>
      <c r="Y39" s="841"/>
      <c r="Z39" s="842"/>
      <c r="AA39" s="952"/>
      <c r="AB39" s="945"/>
      <c r="AC39" s="945"/>
      <c r="AD39" s="946"/>
      <c r="AE39" s="1025"/>
      <c r="AF39" s="947"/>
      <c r="AG39" s="947"/>
      <c r="AH39" s="948"/>
      <c r="AI39" s="1030"/>
      <c r="AJ39" s="870"/>
      <c r="AK39" s="828"/>
      <c r="AL39" s="829"/>
      <c r="AM39" s="829"/>
      <c r="AN39" s="833"/>
      <c r="AO39" s="960"/>
      <c r="AP39" s="961"/>
      <c r="AQ39" s="961"/>
      <c r="AS39"/>
      <c r="AT39"/>
      <c r="AU39" s="814"/>
      <c r="AV39" s="981"/>
      <c r="AW39" s="981"/>
      <c r="AX39" s="814"/>
      <c r="AY39" s="981"/>
      <c r="AZ39" s="981"/>
      <c r="BC39" s="831"/>
      <c r="BE39" s="812"/>
    </row>
    <row r="40" spans="2:58" ht="15.95" customHeight="1">
      <c r="B40" s="834">
        <v>13</v>
      </c>
      <c r="C40" s="871"/>
      <c r="D40" s="872"/>
      <c r="E40" s="872"/>
      <c r="F40" s="872"/>
      <c r="G40" s="872"/>
      <c r="H40" s="872"/>
      <c r="I40" s="873"/>
      <c r="J40" s="837"/>
      <c r="K40" s="838"/>
      <c r="L40" s="838"/>
      <c r="M40" s="839"/>
      <c r="N40" s="851"/>
      <c r="O40" s="852"/>
      <c r="P40" s="1037" t="str">
        <f>IFERROR(IF(C40="","",INDEX(PMECA[Eff Desc 2],MATCH(C40,PMECA[Eff Desc 1],0))),"")</f>
        <v/>
      </c>
      <c r="Q40" s="1038"/>
      <c r="R40" s="1038"/>
      <c r="S40" s="1039"/>
      <c r="T40" s="1043" t="str">
        <f>IFERROR(IF(C40="","",INDEX(PMECA[Unit of Measure],MATCH(C40,PMECA[Eff Desc 1],0))),"")</f>
        <v/>
      </c>
      <c r="U40" s="1044"/>
      <c r="V40" s="851"/>
      <c r="W40" s="852"/>
      <c r="X40" s="837"/>
      <c r="Y40" s="838"/>
      <c r="Z40" s="839"/>
      <c r="AA40" s="951"/>
      <c r="AB40" s="943"/>
      <c r="AC40" s="943"/>
      <c r="AD40" s="944"/>
      <c r="AE40" s="1022" t="str">
        <f>IFERROR(IF(C40="","",INDEX(PMECA[Base Desc 1],MATCH(C40,PMECA[Eff Desc 1],0))),"")</f>
        <v/>
      </c>
      <c r="AF40" s="1023"/>
      <c r="AG40" s="1023"/>
      <c r="AH40" s="1024"/>
      <c r="AI40" s="1029" t="str">
        <f>IFERROR(IF(C40="","",INDEX(PMECA[Inc Rate Unit],MATCH(C40,PMECA[Eff Desc 1],0))),"")</f>
        <v/>
      </c>
      <c r="AJ40" s="868"/>
      <c r="AK40" s="826" t="str">
        <f t="shared" ref="AK40" si="44">IFERROR(IF(OR(C40="",V40="",X40="",AA40="",J40="",N40="",AC40=""),"",AV40),"")</f>
        <v/>
      </c>
      <c r="AL40" s="827"/>
      <c r="AM40" s="827"/>
      <c r="AN40" s="832" t="str">
        <f t="shared" ref="AN40" si="45">IF(OR(C40="",V40="",X40="",AB40="",AE40="",AG40=""),"",IF(BC40&lt;&gt;"",BC40,MIN(AU40,ROUND(V40*AI40,2))))</f>
        <v/>
      </c>
      <c r="AO40" s="957" t="str">
        <f t="shared" ref="AO40" si="46">IFERROR(IF(OR(C40="",V40="",X40="",AA40="",J40="",N40="",AC40=""),"",AY40),"")</f>
        <v/>
      </c>
      <c r="AP40" s="958"/>
      <c r="AQ40" s="958"/>
      <c r="AS40"/>
      <c r="AT40"/>
      <c r="AU40" s="898" t="str">
        <f t="shared" si="42"/>
        <v/>
      </c>
      <c r="AV40" s="980" t="str">
        <f>IFERROR(IF(OR(C40="",J40="",N40="",V40="",X40="",AA40="",AC40=""),"",IF(BC40&lt;&gt;"",BC40,ROUND((V40*6.1*(INDEX(CAShifts[Hours],MATCH(N40,CAShifts[Shift],0)))*0.19*0.3/100)*J40,2))),"")</f>
        <v/>
      </c>
      <c r="AW40" s="980" t="str">
        <f>IFERROR(IF(OR(C40="",J40="",N40="",V40="",X40="",AA40="",AC40=""),"",ROUND((AV40/(INDEX(CAShifts[Hours],MATCH(N40,CAShifts[Shift],0))))*0.89,3)),"")</f>
        <v/>
      </c>
      <c r="AX40" s="898" t="str">
        <f>IF(OR(C40="",J40="",AA40="",X40="",V40="",AC40=""),"",
IF(ISNUMBER(SEARCH("Leak",C40)),V40*INDEX(PMECA[Incremental Cost],MATCH(C40,PMECA[Eff Desc 1],0)),(127*V40)+1446))</f>
        <v/>
      </c>
      <c r="AY40" s="980" t="str">
        <f t="shared" ref="AY40" si="47">IF(OR(C40="",J40="",N40="",V40="",X40="",AA40="",AC40="",AI40="",AK40=""),"",IF(BC40&lt;&gt;"",BC40,IF(AV40=0,0,MIN(AU40,ROUND(V40*AI40,2)))))</f>
        <v/>
      </c>
      <c r="AZ40" s="980" t="str">
        <f>IFERROR(IF(C40="","",INDEX(PMECA[Base Equip Descr],MATCH(C40,PMECA[Eff Desc 1],0))),"")</f>
        <v/>
      </c>
      <c r="BC40" s="830" t="str">
        <f>IF(OR(J40="",N40="",C40="",V40="",X40="",AA40="",AE40="",AC40="",P40="",T40=""),"",IF(OR(ISBLANK(M02S02F26),ISBLANK(M02S02F32),ISBLANK(M02S02F46)),MEASUREBLDG,""))</f>
        <v/>
      </c>
      <c r="BE40" s="811"/>
    </row>
    <row r="41" spans="2:58" ht="15.95" customHeight="1">
      <c r="B41" s="834"/>
      <c r="C41" s="840"/>
      <c r="D41" s="841"/>
      <c r="E41" s="841"/>
      <c r="F41" s="841"/>
      <c r="G41" s="841"/>
      <c r="H41" s="841"/>
      <c r="I41" s="842"/>
      <c r="J41" s="840"/>
      <c r="K41" s="841"/>
      <c r="L41" s="841"/>
      <c r="M41" s="842"/>
      <c r="N41" s="853"/>
      <c r="O41" s="854"/>
      <c r="P41" s="1040"/>
      <c r="Q41" s="1041"/>
      <c r="R41" s="1041"/>
      <c r="S41" s="1042"/>
      <c r="T41" s="1045"/>
      <c r="U41" s="1046"/>
      <c r="V41" s="853"/>
      <c r="W41" s="854"/>
      <c r="X41" s="840"/>
      <c r="Y41" s="841"/>
      <c r="Z41" s="842"/>
      <c r="AA41" s="952"/>
      <c r="AB41" s="945"/>
      <c r="AC41" s="945"/>
      <c r="AD41" s="946"/>
      <c r="AE41" s="1025"/>
      <c r="AF41" s="947"/>
      <c r="AG41" s="947"/>
      <c r="AH41" s="948"/>
      <c r="AI41" s="1030"/>
      <c r="AJ41" s="870"/>
      <c r="AK41" s="828"/>
      <c r="AL41" s="829"/>
      <c r="AM41" s="829"/>
      <c r="AN41" s="833"/>
      <c r="AO41" s="960"/>
      <c r="AP41" s="961"/>
      <c r="AQ41" s="961"/>
      <c r="AS41"/>
      <c r="AT41"/>
      <c r="AU41" s="814"/>
      <c r="AV41" s="981"/>
      <c r="AW41" s="981"/>
      <c r="AX41" s="814"/>
      <c r="AY41" s="981"/>
      <c r="AZ41" s="981"/>
      <c r="BC41" s="831"/>
      <c r="BE41" s="812"/>
    </row>
    <row r="42" spans="2:58" ht="15.95" customHeight="1">
      <c r="B42" s="834">
        <v>14</v>
      </c>
      <c r="C42" s="871"/>
      <c r="D42" s="872"/>
      <c r="E42" s="872"/>
      <c r="F42" s="872"/>
      <c r="G42" s="872"/>
      <c r="H42" s="872"/>
      <c r="I42" s="873"/>
      <c r="J42" s="837"/>
      <c r="K42" s="838"/>
      <c r="L42" s="838"/>
      <c r="M42" s="839"/>
      <c r="N42" s="851"/>
      <c r="O42" s="852"/>
      <c r="P42" s="1037" t="str">
        <f>IFERROR(IF(C42="","",INDEX(PMECA[Eff Desc 2],MATCH(C42,PMECA[Eff Desc 1],0))),"")</f>
        <v/>
      </c>
      <c r="Q42" s="1038"/>
      <c r="R42" s="1038"/>
      <c r="S42" s="1039"/>
      <c r="T42" s="1043" t="str">
        <f>IFERROR(IF(C42="","",INDEX(PMECA[Unit of Measure],MATCH(C42,PMECA[Eff Desc 1],0))),"")</f>
        <v/>
      </c>
      <c r="U42" s="1044"/>
      <c r="V42" s="851"/>
      <c r="W42" s="852"/>
      <c r="X42" s="837"/>
      <c r="Y42" s="838"/>
      <c r="Z42" s="839"/>
      <c r="AA42" s="951"/>
      <c r="AB42" s="943"/>
      <c r="AC42" s="943"/>
      <c r="AD42" s="944"/>
      <c r="AE42" s="1022" t="str">
        <f>IFERROR(IF(C42="","",INDEX(PMECA[Base Desc 1],MATCH(C42,PMECA[Eff Desc 1],0))),"")</f>
        <v/>
      </c>
      <c r="AF42" s="1023"/>
      <c r="AG42" s="1023"/>
      <c r="AH42" s="1024"/>
      <c r="AI42" s="1029" t="str">
        <f>IFERROR(IF(C42="","",INDEX(PMECA[Inc Rate Unit],MATCH(C42,PMECA[Eff Desc 1],0))),"")</f>
        <v/>
      </c>
      <c r="AJ42" s="868"/>
      <c r="AK42" s="826" t="str">
        <f t="shared" ref="AK42" si="48">IFERROR(IF(OR(C42="",V42="",X42="",AA42="",J42="",N42="",AC42=""),"",AV42),"")</f>
        <v/>
      </c>
      <c r="AL42" s="827"/>
      <c r="AM42" s="827"/>
      <c r="AN42" s="832" t="str">
        <f t="shared" ref="AN42" si="49">IF(OR(C42="",V42="",X42="",AB42="",AE42="",AG42=""),"",IF(BC42&lt;&gt;"",BC42,MIN(AU42,ROUND(V42*AI42,2))))</f>
        <v/>
      </c>
      <c r="AO42" s="957" t="str">
        <f t="shared" ref="AO42" si="50">IFERROR(IF(OR(C42="",V42="",X42="",AA42="",J42="",N42="",AC42=""),"",AY42),"")</f>
        <v/>
      </c>
      <c r="AP42" s="958"/>
      <c r="AQ42" s="958"/>
      <c r="AS42"/>
      <c r="AT42"/>
      <c r="AU42" s="898" t="str">
        <f t="shared" si="42"/>
        <v/>
      </c>
      <c r="AV42" s="980" t="str">
        <f>IFERROR(IF(OR(C42="",J42="",N42="",V42="",X42="",AA42="",AC42=""),"",IF(BC42&lt;&gt;"",BC42,ROUND((V42*6.1*(INDEX(CAShifts[Hours],MATCH(N42,CAShifts[Shift],0)))*0.19*0.3/100)*J42,2))),"")</f>
        <v/>
      </c>
      <c r="AW42" s="980" t="str">
        <f>IFERROR(IF(OR(C42="",J42="",N42="",V42="",X42="",AA42="",AC42=""),"",ROUND((AV42/(INDEX(CAShifts[Hours],MATCH(N42,CAShifts[Shift],0))))*0.89,3)),"")</f>
        <v/>
      </c>
      <c r="AX42" s="898" t="str">
        <f>IF(OR(C42="",J42="",AA42="",X42="",V42="",AC42=""),"",
IF(ISNUMBER(SEARCH("Leak",C42)),V42*INDEX(PMECA[Incremental Cost],MATCH(C42,PMECA[Eff Desc 1],0)),(127*V42)+1446))</f>
        <v/>
      </c>
      <c r="AY42" s="980" t="str">
        <f t="shared" ref="AY42" si="51">IF(OR(C42="",J42="",N42="",V42="",X42="",AA42="",AC42="",AI42="",AK42=""),"",IF(BC42&lt;&gt;"",BC42,IF(AV42=0,0,MIN(AU42,ROUND(V42*AI42,2)))))</f>
        <v/>
      </c>
      <c r="AZ42" s="980" t="str">
        <f>IFERROR(IF(C42="","",INDEX(PMECA[Base Equip Descr],MATCH(C42,PMECA[Eff Desc 1],0))),"")</f>
        <v/>
      </c>
      <c r="BC42" s="830" t="str">
        <f>IF(OR(J42="",N42="",C42="",V42="",X42="",AA42="",AE42="",AC42="",P42="",T42=""),"",IF(OR(ISBLANK(M02S02F26),ISBLANK(M02S02F32),ISBLANK(M02S02F46)),MEASUREBLDG,""))</f>
        <v/>
      </c>
      <c r="BE42" s="811"/>
    </row>
    <row r="43" spans="2:58" ht="15.95" customHeight="1">
      <c r="B43" s="834"/>
      <c r="C43" s="840"/>
      <c r="D43" s="841"/>
      <c r="E43" s="841"/>
      <c r="F43" s="841"/>
      <c r="G43" s="841"/>
      <c r="H43" s="841"/>
      <c r="I43" s="842"/>
      <c r="J43" s="840"/>
      <c r="K43" s="841"/>
      <c r="L43" s="841"/>
      <c r="M43" s="842"/>
      <c r="N43" s="853"/>
      <c r="O43" s="854"/>
      <c r="P43" s="1040"/>
      <c r="Q43" s="1041"/>
      <c r="R43" s="1041"/>
      <c r="S43" s="1042"/>
      <c r="T43" s="1045"/>
      <c r="U43" s="1046"/>
      <c r="V43" s="853"/>
      <c r="W43" s="854"/>
      <c r="X43" s="840"/>
      <c r="Y43" s="841"/>
      <c r="Z43" s="842"/>
      <c r="AA43" s="952"/>
      <c r="AB43" s="945"/>
      <c r="AC43" s="945"/>
      <c r="AD43" s="946"/>
      <c r="AE43" s="1025"/>
      <c r="AF43" s="947"/>
      <c r="AG43" s="947"/>
      <c r="AH43" s="948"/>
      <c r="AI43" s="1030"/>
      <c r="AJ43" s="870"/>
      <c r="AK43" s="828"/>
      <c r="AL43" s="829"/>
      <c r="AM43" s="829"/>
      <c r="AN43" s="833"/>
      <c r="AO43" s="960"/>
      <c r="AP43" s="961"/>
      <c r="AQ43" s="961"/>
      <c r="AS43"/>
      <c r="AT43"/>
      <c r="AU43" s="814"/>
      <c r="AV43" s="981"/>
      <c r="AW43" s="981"/>
      <c r="AX43" s="814"/>
      <c r="AY43" s="981"/>
      <c r="AZ43" s="981"/>
      <c r="BC43" s="831"/>
      <c r="BE43" s="812"/>
    </row>
    <row r="44" spans="2:58" ht="15.95" hidden="1" customHeight="1">
      <c r="B44" s="834">
        <v>15</v>
      </c>
      <c r="C44" s="871">
        <f ca="1">IF(SUM(BE16:BE43)=0,0,INDEX(PMEBONUS[],3,3))</f>
        <v>0</v>
      </c>
      <c r="D44" s="872"/>
      <c r="E44" s="872"/>
      <c r="F44" s="872"/>
      <c r="G44" s="872"/>
      <c r="H44" s="872"/>
      <c r="I44" s="873"/>
      <c r="J44" s="837">
        <f ca="1">IF(OR(C44="",C44=0),0,INDEX(PMEBONUS[Base Desc 1],MATCH(C44,PMEBONUS[Eff Desc 1],0)))</f>
        <v>0</v>
      </c>
      <c r="K44" s="838"/>
      <c r="L44" s="838"/>
      <c r="M44" s="839"/>
      <c r="N44" s="851"/>
      <c r="O44" s="852"/>
      <c r="P44" s="1031" t="str">
        <f ca="1">IFERROR(IF(C44="","",INDEX(PMECA[Eff Desc 2],MATCH(C44,PMECA[Eff Desc 1],0))),"")</f>
        <v/>
      </c>
      <c r="Q44" s="1032"/>
      <c r="R44" s="1032"/>
      <c r="S44" s="1033"/>
      <c r="T44" s="1043"/>
      <c r="U44" s="1044"/>
      <c r="V44" s="851">
        <f ca="1">IF(OR(J44=0,J44=""),0,1)</f>
        <v>0</v>
      </c>
      <c r="W44" s="852"/>
      <c r="X44" s="1047"/>
      <c r="Y44" s="838"/>
      <c r="Z44" s="839"/>
      <c r="AA44" s="951"/>
      <c r="AB44" s="943"/>
      <c r="AC44" s="943"/>
      <c r="AD44" s="944"/>
      <c r="AE44" s="947"/>
      <c r="AF44" s="947"/>
      <c r="AG44" s="947"/>
      <c r="AH44" s="948"/>
      <c r="AI44" s="923"/>
      <c r="AJ44" s="924"/>
      <c r="AK44" s="1026"/>
      <c r="AL44" s="1027"/>
      <c r="AM44" s="1027"/>
      <c r="AN44" s="1028"/>
      <c r="AO44" s="957" t="str">
        <f ca="1">IF(AZ44="","",AZ44)</f>
        <v/>
      </c>
      <c r="AP44" s="958"/>
      <c r="AQ44" s="958"/>
      <c r="AS44"/>
      <c r="AT44"/>
      <c r="AU44"/>
      <c r="AV44"/>
      <c r="AW44"/>
      <c r="AX44"/>
      <c r="AZ44" s="980" t="str">
        <f ca="1">IFERROR(IF(OR(C44="",J44="",SUM(AK16:AN33)+SUM(AK38:AN43)=0,SUM(BE16:BE43)=0),"",SUM(BE16:BE43)),"")</f>
        <v/>
      </c>
    </row>
    <row r="45" spans="2:58" ht="15.95" hidden="1" customHeight="1">
      <c r="B45" s="834"/>
      <c r="C45" s="840"/>
      <c r="D45" s="841"/>
      <c r="E45" s="841"/>
      <c r="F45" s="841"/>
      <c r="G45" s="841"/>
      <c r="H45" s="841"/>
      <c r="I45" s="842"/>
      <c r="J45" s="840"/>
      <c r="K45" s="841"/>
      <c r="L45" s="841"/>
      <c r="M45" s="842"/>
      <c r="N45" s="853"/>
      <c r="O45" s="854"/>
      <c r="P45" s="1034"/>
      <c r="Q45" s="1035"/>
      <c r="R45" s="1035"/>
      <c r="S45" s="1036"/>
      <c r="T45" s="1045"/>
      <c r="U45" s="1046"/>
      <c r="V45" s="853"/>
      <c r="W45" s="854"/>
      <c r="X45" s="840"/>
      <c r="Y45" s="841"/>
      <c r="Z45" s="842"/>
      <c r="AA45" s="952"/>
      <c r="AB45" s="945"/>
      <c r="AC45" s="945"/>
      <c r="AD45" s="946"/>
      <c r="AE45" s="949"/>
      <c r="AF45" s="949"/>
      <c r="AG45" s="949"/>
      <c r="AH45" s="950"/>
      <c r="AI45" s="925"/>
      <c r="AJ45" s="870"/>
      <c r="AK45" s="828"/>
      <c r="AL45" s="829"/>
      <c r="AM45" s="829"/>
      <c r="AN45" s="833"/>
      <c r="AO45" s="960"/>
      <c r="AP45" s="961"/>
      <c r="AQ45" s="961"/>
      <c r="AS45"/>
      <c r="AT45"/>
      <c r="AU45"/>
      <c r="AV45"/>
      <c r="AW45"/>
      <c r="AX45"/>
      <c r="AZ45" s="981"/>
    </row>
    <row r="46" spans="2:58" ht="15.95" hidden="1" customHeight="1">
      <c r="B46" s="929">
        <v>16</v>
      </c>
      <c r="C46" s="8"/>
      <c r="D46" s="8"/>
      <c r="E46" s="8"/>
      <c r="F46" s="8"/>
      <c r="G46" s="8"/>
      <c r="H46" s="8"/>
      <c r="I46" s="8"/>
      <c r="J46" s="8"/>
      <c r="K46" s="8"/>
      <c r="L46" s="8"/>
      <c r="M46" s="8"/>
      <c r="N46" s="8"/>
      <c r="O46" s="8"/>
      <c r="P46" s="8"/>
      <c r="Q46" s="8"/>
      <c r="R46" s="8"/>
      <c r="S46" s="8"/>
      <c r="T46" s="8"/>
      <c r="U46" s="8"/>
      <c r="V46" s="8"/>
      <c r="W46" s="8"/>
      <c r="X46" s="8"/>
      <c r="Y46" s="8"/>
      <c r="Z46" s="8"/>
      <c r="AA46" s="8"/>
      <c r="AB46" s="8"/>
      <c r="AC46" s="8"/>
      <c r="AD46" s="8"/>
      <c r="AE46" s="8"/>
      <c r="AF46" s="8"/>
      <c r="AG46" s="8"/>
      <c r="AH46" s="8"/>
      <c r="AI46" s="8"/>
      <c r="AJ46" s="8"/>
      <c r="AK46" s="8"/>
      <c r="AL46" s="8"/>
      <c r="AM46" s="8"/>
      <c r="AN46" s="8"/>
      <c r="AO46" s="8"/>
      <c r="AP46" s="8"/>
      <c r="AQ46" s="8"/>
    </row>
    <row r="47" spans="2:58" ht="15.95" hidden="1" customHeight="1">
      <c r="B47" s="929"/>
      <c r="C47" s="8"/>
      <c r="D47" s="8"/>
      <c r="E47" s="8"/>
      <c r="F47" s="8"/>
      <c r="G47" s="8"/>
      <c r="H47" s="8"/>
      <c r="I47" s="8"/>
      <c r="J47" s="8"/>
      <c r="K47" s="8"/>
      <c r="L47" s="8"/>
      <c r="M47" s="8"/>
      <c r="N47" s="8"/>
      <c r="O47" s="8"/>
      <c r="P47" s="8"/>
      <c r="Q47" s="8"/>
      <c r="R47" s="8"/>
      <c r="S47" s="8"/>
      <c r="T47" s="8"/>
      <c r="U47" s="8"/>
      <c r="V47" s="8"/>
      <c r="W47" s="8"/>
      <c r="X47" s="8"/>
      <c r="Y47" s="8"/>
      <c r="Z47" s="8"/>
      <c r="AA47" s="8"/>
      <c r="AB47" s="8"/>
      <c r="AC47" s="8"/>
      <c r="AD47" s="8"/>
      <c r="AE47" s="8"/>
      <c r="AF47" s="8"/>
      <c r="AG47" s="8"/>
      <c r="AH47" s="8"/>
      <c r="AI47" s="8"/>
      <c r="AJ47" s="8"/>
      <c r="AK47" s="8"/>
      <c r="AL47" s="8"/>
      <c r="AM47" s="8"/>
      <c r="AN47" s="8"/>
      <c r="AO47" s="8"/>
      <c r="AP47" s="8"/>
      <c r="AQ47" s="8"/>
    </row>
    <row r="48" spans="2:58" ht="15.95" hidden="1" customHeight="1">
      <c r="B48" s="929">
        <v>17</v>
      </c>
      <c r="C48" s="8"/>
      <c r="D48" s="8"/>
      <c r="E48" s="8"/>
      <c r="F48" s="8"/>
      <c r="G48" s="8"/>
      <c r="H48" s="8"/>
      <c r="I48" s="8"/>
      <c r="J48" s="8"/>
      <c r="K48" s="8"/>
      <c r="L48" s="8"/>
      <c r="M48" s="8"/>
      <c r="N48" s="8"/>
      <c r="O48" s="8"/>
      <c r="P48" s="8"/>
      <c r="Q48" s="8"/>
      <c r="R48" s="8"/>
      <c r="S48" s="8"/>
      <c r="T48" s="8"/>
      <c r="U48" s="8"/>
      <c r="V48" s="8"/>
      <c r="W48" s="8"/>
      <c r="X48" s="8"/>
      <c r="Y48" s="8"/>
      <c r="Z48" s="8"/>
      <c r="AA48" s="8"/>
      <c r="AB48" s="8"/>
      <c r="AC48" s="8"/>
      <c r="AD48" s="8"/>
      <c r="AE48" s="8"/>
      <c r="AF48" s="8"/>
      <c r="AG48" s="8"/>
      <c r="AH48" s="8"/>
      <c r="AI48" s="8"/>
      <c r="AJ48" s="8"/>
      <c r="AK48" s="8"/>
      <c r="AL48" s="8"/>
      <c r="AM48" s="8"/>
      <c r="AN48" s="8"/>
      <c r="AO48" s="8"/>
      <c r="AP48" s="8"/>
      <c r="AQ48" s="8"/>
    </row>
    <row r="49" spans="2:43" ht="15.95" hidden="1" customHeight="1">
      <c r="B49" s="929"/>
      <c r="C49" s="8"/>
      <c r="D49" s="8"/>
      <c r="E49" s="8"/>
      <c r="F49" s="8"/>
      <c r="G49" s="8"/>
      <c r="H49" s="8"/>
      <c r="I49" s="8"/>
      <c r="J49" s="8"/>
      <c r="K49" s="8"/>
      <c r="L49" s="8"/>
      <c r="M49" s="8"/>
      <c r="N49" s="8"/>
      <c r="O49" s="8"/>
      <c r="P49" s="8"/>
      <c r="Q49" s="8"/>
      <c r="R49" s="8"/>
      <c r="S49" s="8"/>
      <c r="T49" s="8"/>
      <c r="U49" s="8"/>
      <c r="V49" s="8"/>
      <c r="W49" s="8"/>
      <c r="X49" s="8"/>
      <c r="Y49" s="8"/>
      <c r="Z49" s="8"/>
      <c r="AA49" s="8"/>
      <c r="AB49" s="8"/>
      <c r="AC49" s="8"/>
      <c r="AD49" s="8"/>
      <c r="AE49" s="8"/>
      <c r="AF49" s="8"/>
      <c r="AG49" s="8"/>
      <c r="AH49" s="8"/>
      <c r="AI49" s="8"/>
      <c r="AJ49" s="8"/>
      <c r="AK49" s="8"/>
      <c r="AL49" s="8"/>
      <c r="AM49" s="8"/>
      <c r="AN49" s="8"/>
      <c r="AO49" s="8"/>
      <c r="AP49" s="8"/>
      <c r="AQ49" s="8"/>
    </row>
    <row r="50" spans="2:43" ht="15.95" hidden="1" customHeight="1">
      <c r="B50" s="929">
        <v>18</v>
      </c>
      <c r="C50" s="8"/>
      <c r="D50" s="8"/>
      <c r="E50" s="8"/>
      <c r="F50" s="8"/>
      <c r="G50" s="8"/>
      <c r="H50" s="8"/>
      <c r="I50" s="8"/>
      <c r="J50" s="8"/>
      <c r="K50" s="8"/>
      <c r="L50" s="8"/>
      <c r="M50" s="8"/>
      <c r="N50" s="8"/>
      <c r="O50" s="8"/>
      <c r="P50" s="8"/>
      <c r="Q50" s="8"/>
      <c r="R50" s="8"/>
      <c r="S50" s="8"/>
      <c r="T50" s="8"/>
      <c r="U50" s="8"/>
      <c r="W50" s="8"/>
      <c r="X50" s="8"/>
      <c r="Y50" s="8"/>
      <c r="Z50" s="8"/>
      <c r="AA50" s="8"/>
      <c r="AB50" s="8"/>
      <c r="AC50" s="8"/>
      <c r="AD50" s="8"/>
      <c r="AE50" s="8"/>
      <c r="AF50" s="8"/>
      <c r="AG50" s="8"/>
      <c r="AH50" s="8"/>
      <c r="AI50" s="8"/>
      <c r="AJ50" s="8"/>
      <c r="AK50" s="8"/>
      <c r="AL50" s="8"/>
      <c r="AM50" s="8"/>
      <c r="AN50" s="8"/>
      <c r="AO50" s="8"/>
      <c r="AP50" s="8"/>
      <c r="AQ50" s="8"/>
    </row>
    <row r="51" spans="2:43" ht="15.95" hidden="1" customHeight="1">
      <c r="B51" s="929"/>
      <c r="C51" s="8"/>
      <c r="D51" s="8"/>
      <c r="E51" s="8"/>
      <c r="F51" s="8"/>
      <c r="G51" s="8"/>
      <c r="H51" s="8"/>
      <c r="I51" s="8"/>
      <c r="J51" s="8"/>
      <c r="K51" s="8"/>
      <c r="L51" s="8"/>
      <c r="M51" s="8"/>
      <c r="N51" s="8"/>
      <c r="O51" s="8"/>
      <c r="P51" s="8"/>
      <c r="Q51" s="8"/>
      <c r="R51" s="8"/>
      <c r="S51" s="8"/>
      <c r="T51" s="8"/>
      <c r="U51" s="8"/>
      <c r="V51" s="8"/>
      <c r="W51" s="8"/>
      <c r="X51" s="8"/>
      <c r="Y51" s="8"/>
      <c r="Z51" s="8"/>
      <c r="AA51" s="8"/>
      <c r="AB51" s="8"/>
      <c r="AC51" s="8"/>
      <c r="AD51" s="8"/>
      <c r="AE51" s="8"/>
      <c r="AF51" s="8"/>
      <c r="AG51" s="8"/>
      <c r="AH51" s="8"/>
      <c r="AI51" s="8"/>
      <c r="AJ51" s="8"/>
      <c r="AK51" s="8"/>
      <c r="AL51" s="8"/>
      <c r="AM51" s="8"/>
      <c r="AN51" s="8"/>
      <c r="AO51" s="8"/>
      <c r="AP51" s="8"/>
      <c r="AQ51" s="8"/>
    </row>
    <row r="52" spans="2:43" ht="15.95" hidden="1" customHeight="1">
      <c r="B52" s="929">
        <v>19</v>
      </c>
      <c r="C52" s="8"/>
      <c r="D52" s="8"/>
      <c r="E52" s="8"/>
      <c r="F52" s="8"/>
      <c r="G52" s="8"/>
      <c r="H52" s="8"/>
      <c r="I52" s="8"/>
      <c r="J52" s="8"/>
      <c r="K52" s="8"/>
      <c r="L52" s="8"/>
      <c r="M52" s="8"/>
      <c r="N52" s="8"/>
      <c r="O52" s="8"/>
      <c r="P52" s="8"/>
      <c r="Q52" s="8"/>
      <c r="R52" s="8"/>
      <c r="S52" s="8"/>
      <c r="T52" s="8"/>
      <c r="U52" s="8"/>
      <c r="V52" s="8"/>
      <c r="W52" s="8"/>
      <c r="X52" s="8"/>
      <c r="Y52" s="8"/>
      <c r="Z52" s="8"/>
      <c r="AA52" s="8"/>
      <c r="AB52" s="8"/>
      <c r="AC52" s="8"/>
      <c r="AD52" s="8"/>
      <c r="AE52" s="8"/>
      <c r="AF52" s="8"/>
      <c r="AG52" s="8"/>
      <c r="AH52" s="8"/>
      <c r="AI52" s="8"/>
      <c r="AJ52" s="8"/>
      <c r="AK52" s="8"/>
      <c r="AL52" s="8"/>
      <c r="AM52" s="8"/>
      <c r="AN52" s="8"/>
      <c r="AO52" s="8"/>
      <c r="AP52" s="8"/>
      <c r="AQ52" s="8"/>
    </row>
    <row r="53" spans="2:43" ht="15.95" hidden="1" customHeight="1">
      <c r="B53" s="929"/>
      <c r="C53" s="8"/>
      <c r="D53" s="8"/>
      <c r="E53" s="8"/>
      <c r="F53" s="8"/>
      <c r="G53" s="8"/>
      <c r="H53" s="8"/>
      <c r="I53" s="8"/>
      <c r="J53" s="8"/>
      <c r="K53" s="8"/>
      <c r="L53" s="8"/>
      <c r="M53" s="8"/>
      <c r="N53" s="8"/>
      <c r="O53" s="8"/>
      <c r="P53" s="8"/>
      <c r="Q53" s="8"/>
      <c r="R53" s="8"/>
      <c r="S53" s="8"/>
      <c r="T53" s="8"/>
      <c r="U53" s="8"/>
      <c r="V53" s="8"/>
      <c r="W53" s="8"/>
      <c r="X53" s="8"/>
      <c r="Y53" s="8"/>
      <c r="Z53" s="8"/>
      <c r="AA53" s="8"/>
      <c r="AB53" s="8"/>
      <c r="AC53" s="8"/>
      <c r="AD53" s="8"/>
      <c r="AE53" s="8"/>
      <c r="AF53" s="8"/>
      <c r="AG53" s="8"/>
      <c r="AH53" s="8"/>
      <c r="AI53" s="8"/>
      <c r="AJ53" s="8"/>
      <c r="AK53" s="8"/>
      <c r="AL53" s="8"/>
      <c r="AM53" s="8"/>
      <c r="AN53" s="8"/>
      <c r="AO53" s="8"/>
      <c r="AP53" s="8"/>
      <c r="AQ53" s="8"/>
    </row>
    <row r="54" spans="2:43" ht="15.95" hidden="1" customHeight="1">
      <c r="B54" s="929">
        <v>20</v>
      </c>
      <c r="C54" s="8"/>
      <c r="D54" s="8"/>
      <c r="E54" s="8"/>
      <c r="F54" s="8"/>
      <c r="G54" s="8"/>
      <c r="H54" s="8"/>
      <c r="I54" s="8"/>
      <c r="J54" s="8"/>
      <c r="K54" s="8"/>
      <c r="L54" s="8"/>
      <c r="M54" s="8"/>
      <c r="N54" s="8"/>
      <c r="O54" s="8"/>
      <c r="P54" s="8"/>
      <c r="Q54" s="8"/>
      <c r="R54" s="8"/>
      <c r="S54" s="8"/>
      <c r="T54" s="8"/>
      <c r="U54" s="8"/>
      <c r="V54" s="8"/>
      <c r="W54" s="8"/>
      <c r="X54" s="8"/>
      <c r="Y54" s="8"/>
      <c r="Z54" s="8"/>
      <c r="AA54" s="8"/>
      <c r="AB54" s="8"/>
      <c r="AC54" s="8"/>
      <c r="AD54" s="8"/>
      <c r="AE54" s="8"/>
      <c r="AF54" s="8"/>
      <c r="AG54" s="8"/>
      <c r="AH54" s="8"/>
      <c r="AI54" s="8"/>
      <c r="AJ54" s="8"/>
      <c r="AK54" s="8"/>
      <c r="AL54" s="8"/>
      <c r="AM54" s="8"/>
      <c r="AN54" s="8"/>
      <c r="AO54" s="8"/>
      <c r="AP54" s="8"/>
      <c r="AQ54" s="8"/>
    </row>
    <row r="55" spans="2:43" ht="15.95" hidden="1" customHeight="1">
      <c r="B55" s="929"/>
      <c r="C55" s="8"/>
      <c r="D55" s="8"/>
      <c r="E55" s="8"/>
      <c r="F55" s="8"/>
      <c r="G55" s="8"/>
      <c r="H55" s="8"/>
      <c r="I55" s="8"/>
      <c r="J55" s="8"/>
      <c r="K55" s="8"/>
      <c r="L55" s="8"/>
      <c r="M55" s="8"/>
      <c r="N55" s="8"/>
      <c r="O55" s="8"/>
      <c r="P55" s="8"/>
      <c r="Q55" s="8"/>
      <c r="R55" s="8"/>
      <c r="S55" s="8"/>
      <c r="T55" s="8"/>
      <c r="U55" s="8"/>
      <c r="V55" s="8"/>
      <c r="W55" s="8"/>
      <c r="X55" s="8"/>
      <c r="Y55" s="8"/>
      <c r="Z55" s="8"/>
      <c r="AA55" s="8"/>
      <c r="AB55" s="8"/>
      <c r="AC55" s="8"/>
      <c r="AD55" s="8"/>
      <c r="AE55" s="8"/>
      <c r="AF55" s="8"/>
      <c r="AG55" s="8"/>
      <c r="AH55" s="8"/>
      <c r="AI55" s="8"/>
      <c r="AJ55" s="8"/>
      <c r="AK55" s="8"/>
      <c r="AL55" s="8"/>
      <c r="AM55" s="8"/>
      <c r="AN55" s="8"/>
      <c r="AO55" s="8"/>
      <c r="AP55" s="8"/>
      <c r="AQ55" s="8"/>
    </row>
    <row r="56" spans="2:43" ht="15.95" hidden="1" customHeight="1">
      <c r="B56" s="929">
        <v>21</v>
      </c>
      <c r="C56" s="8"/>
      <c r="D56" s="8"/>
      <c r="E56" s="8"/>
      <c r="F56" s="8"/>
      <c r="G56" s="8"/>
      <c r="H56" s="8"/>
      <c r="I56" s="8"/>
      <c r="J56" s="8"/>
      <c r="K56" s="8"/>
      <c r="L56" s="8"/>
      <c r="M56" s="8"/>
      <c r="N56" s="8"/>
      <c r="O56" s="8"/>
      <c r="P56" s="8"/>
      <c r="Q56" s="8"/>
      <c r="R56" s="8"/>
      <c r="S56" s="8"/>
      <c r="T56" s="8"/>
      <c r="U56" s="8"/>
      <c r="V56" s="8"/>
      <c r="W56" s="8"/>
      <c r="X56" s="8"/>
      <c r="Y56" s="8"/>
      <c r="Z56" s="8"/>
      <c r="AA56" s="8"/>
      <c r="AB56" s="8"/>
      <c r="AC56" s="8"/>
      <c r="AD56" s="8"/>
      <c r="AE56" s="8"/>
      <c r="AF56" s="8"/>
      <c r="AG56" s="8"/>
      <c r="AH56" s="8"/>
      <c r="AI56" s="8"/>
      <c r="AJ56" s="8"/>
      <c r="AK56" s="8"/>
      <c r="AL56" s="8"/>
      <c r="AM56" s="8"/>
      <c r="AN56" s="8"/>
      <c r="AO56" s="8"/>
      <c r="AP56" s="8"/>
      <c r="AQ56" s="8"/>
    </row>
    <row r="57" spans="2:43" ht="15.95" hidden="1" customHeight="1">
      <c r="B57" s="929"/>
      <c r="C57" s="8"/>
      <c r="D57" s="8"/>
      <c r="E57" s="8"/>
      <c r="F57" s="8"/>
      <c r="G57" s="8"/>
      <c r="H57" s="8"/>
      <c r="I57" s="8"/>
      <c r="J57" s="8"/>
      <c r="K57" s="8"/>
      <c r="L57" s="8"/>
      <c r="M57" s="8"/>
      <c r="N57" s="8"/>
      <c r="O57" s="8"/>
      <c r="P57" s="8"/>
      <c r="Q57" s="8"/>
      <c r="R57" s="8"/>
      <c r="S57" s="8"/>
      <c r="T57" s="8"/>
      <c r="U57" s="8"/>
      <c r="V57" s="8"/>
      <c r="W57" s="8"/>
      <c r="X57" s="8"/>
      <c r="Y57" s="8"/>
      <c r="Z57" s="8"/>
      <c r="AA57" s="8"/>
      <c r="AB57" s="8"/>
      <c r="AC57" s="8"/>
      <c r="AD57" s="8"/>
      <c r="AE57" s="8"/>
      <c r="AF57" s="8"/>
      <c r="AG57" s="8"/>
      <c r="AH57" s="8"/>
      <c r="AI57" s="8"/>
      <c r="AJ57" s="8"/>
      <c r="AK57" s="8"/>
      <c r="AL57" s="8"/>
      <c r="AM57" s="8"/>
      <c r="AN57" s="8"/>
      <c r="AO57" s="8"/>
      <c r="AP57" s="8"/>
      <c r="AQ57" s="8"/>
    </row>
    <row r="58" spans="2:43" ht="15.95" hidden="1" customHeight="1">
      <c r="B58" s="929">
        <v>22</v>
      </c>
      <c r="C58" s="8"/>
      <c r="D58" s="8"/>
      <c r="E58" s="8"/>
      <c r="F58" s="8"/>
      <c r="G58" s="8"/>
      <c r="H58" s="8"/>
      <c r="I58" s="8"/>
      <c r="J58" s="8"/>
      <c r="K58" s="8"/>
      <c r="L58" s="8"/>
      <c r="M58" s="8"/>
      <c r="N58" s="8"/>
      <c r="O58" s="8"/>
      <c r="P58" s="8"/>
      <c r="Q58" s="8"/>
      <c r="R58" s="8"/>
      <c r="S58" s="8"/>
      <c r="T58" s="8"/>
      <c r="U58" s="8"/>
      <c r="V58" s="8"/>
      <c r="W58" s="8"/>
      <c r="X58" s="8"/>
      <c r="Y58" s="8"/>
      <c r="Z58" s="8"/>
      <c r="AA58" s="8"/>
      <c r="AB58" s="8"/>
      <c r="AC58" s="8"/>
      <c r="AD58" s="8"/>
      <c r="AE58" s="8"/>
      <c r="AF58" s="8"/>
      <c r="AG58" s="8"/>
      <c r="AH58" s="8"/>
      <c r="AI58" s="8"/>
      <c r="AJ58" s="8"/>
      <c r="AK58" s="8"/>
      <c r="AL58" s="8"/>
      <c r="AM58" s="8"/>
      <c r="AN58" s="8"/>
      <c r="AO58" s="8"/>
      <c r="AP58" s="8"/>
      <c r="AQ58" s="8"/>
    </row>
    <row r="59" spans="2:43" ht="15.95" hidden="1" customHeight="1">
      <c r="B59" s="929"/>
      <c r="C59" s="8"/>
      <c r="D59" s="8"/>
      <c r="E59" s="8"/>
      <c r="F59" s="8"/>
      <c r="G59" s="8"/>
      <c r="H59" s="8"/>
      <c r="I59" s="8"/>
      <c r="J59" s="8"/>
      <c r="K59" s="8"/>
      <c r="L59" s="8"/>
      <c r="M59" s="8"/>
      <c r="N59" s="8"/>
      <c r="O59" s="8"/>
      <c r="P59" s="8"/>
      <c r="Q59" s="8"/>
      <c r="R59" s="8"/>
      <c r="S59" s="8"/>
      <c r="T59" s="8"/>
      <c r="U59" s="8"/>
      <c r="V59" s="8"/>
      <c r="W59" s="8"/>
      <c r="X59" s="8"/>
      <c r="Y59" s="8"/>
      <c r="Z59" s="8"/>
      <c r="AA59" s="8"/>
      <c r="AB59" s="8"/>
      <c r="AC59" s="8"/>
      <c r="AD59" s="8"/>
      <c r="AE59" s="8"/>
      <c r="AF59" s="8"/>
      <c r="AG59" s="8"/>
      <c r="AH59" s="8"/>
      <c r="AI59" s="8"/>
      <c r="AJ59" s="8"/>
      <c r="AK59" s="8"/>
      <c r="AL59" s="8"/>
      <c r="AM59" s="8"/>
      <c r="AN59" s="8"/>
      <c r="AO59" s="8"/>
      <c r="AP59" s="8"/>
      <c r="AQ59" s="8"/>
    </row>
    <row r="60" spans="2:43" ht="15.95" hidden="1" customHeight="1">
      <c r="B60" s="929">
        <v>23</v>
      </c>
      <c r="C60" s="8"/>
      <c r="D60" s="8"/>
      <c r="E60" s="8"/>
      <c r="F60" s="8"/>
      <c r="G60" s="8"/>
      <c r="H60" s="8"/>
      <c r="I60" s="8"/>
      <c r="J60" s="8"/>
      <c r="K60" s="8"/>
      <c r="L60" s="8"/>
      <c r="M60" s="8"/>
      <c r="N60" s="8"/>
      <c r="O60" s="8"/>
      <c r="P60" s="8"/>
      <c r="Q60" s="8"/>
      <c r="R60" s="8"/>
      <c r="S60" s="8"/>
      <c r="T60" s="8"/>
      <c r="U60" s="8"/>
      <c r="V60" s="8"/>
      <c r="W60" s="8"/>
      <c r="X60" s="8"/>
      <c r="Y60" s="8"/>
      <c r="Z60" s="8"/>
      <c r="AA60" s="8"/>
      <c r="AB60" s="8"/>
      <c r="AC60" s="8"/>
      <c r="AD60" s="8"/>
      <c r="AE60" s="8"/>
      <c r="AF60" s="8"/>
      <c r="AG60" s="8"/>
      <c r="AH60" s="8"/>
      <c r="AI60" s="8"/>
      <c r="AJ60" s="8"/>
      <c r="AK60" s="8"/>
      <c r="AL60" s="8"/>
      <c r="AM60" s="8"/>
      <c r="AN60" s="8"/>
      <c r="AO60" s="8"/>
      <c r="AP60" s="8"/>
      <c r="AQ60" s="8"/>
    </row>
    <row r="61" spans="2:43" ht="15.95" hidden="1" customHeight="1">
      <c r="B61" s="929"/>
      <c r="C61" s="8"/>
      <c r="D61" s="8"/>
      <c r="E61" s="8"/>
      <c r="F61" s="8"/>
      <c r="G61" s="8"/>
      <c r="H61" s="8"/>
      <c r="I61" s="8"/>
      <c r="J61" s="8"/>
      <c r="K61" s="8"/>
      <c r="L61" s="8"/>
      <c r="M61" s="8"/>
      <c r="N61" s="8"/>
      <c r="O61" s="8"/>
      <c r="P61" s="8"/>
      <c r="Q61" s="8"/>
      <c r="R61" s="8"/>
      <c r="S61" s="8"/>
      <c r="T61" s="8"/>
      <c r="U61" s="8"/>
      <c r="V61" s="8"/>
      <c r="W61" s="8"/>
      <c r="X61" s="8"/>
      <c r="Y61" s="8"/>
      <c r="Z61" s="8"/>
      <c r="AA61" s="8"/>
      <c r="AB61" s="8"/>
      <c r="AC61" s="8"/>
      <c r="AD61" s="8"/>
      <c r="AE61" s="8"/>
      <c r="AF61" s="8"/>
      <c r="AG61" s="8"/>
      <c r="AH61" s="8"/>
      <c r="AI61" s="8"/>
      <c r="AJ61" s="8"/>
      <c r="AK61" s="8"/>
      <c r="AL61" s="8"/>
      <c r="AM61" s="8"/>
      <c r="AN61" s="8"/>
      <c r="AO61" s="8"/>
      <c r="AP61" s="8"/>
      <c r="AQ61" s="8"/>
    </row>
    <row r="62" spans="2:43" ht="15.95" hidden="1" customHeight="1">
      <c r="B62" s="929">
        <v>24</v>
      </c>
      <c r="C62" s="8"/>
      <c r="D62" s="8"/>
      <c r="E62" s="8"/>
      <c r="F62" s="8"/>
      <c r="G62" s="8"/>
      <c r="H62" s="8"/>
      <c r="I62" s="8"/>
      <c r="J62" s="8"/>
      <c r="K62" s="8"/>
      <c r="L62" s="8"/>
      <c r="M62" s="8"/>
      <c r="N62" s="8"/>
      <c r="O62" s="8"/>
      <c r="P62" s="8"/>
      <c r="Q62" s="8"/>
      <c r="R62" s="8"/>
      <c r="S62" s="8"/>
      <c r="T62" s="8"/>
      <c r="U62" s="8"/>
      <c r="V62" s="8"/>
      <c r="W62" s="8"/>
      <c r="X62" s="8"/>
      <c r="Y62" s="8"/>
      <c r="Z62" s="8"/>
      <c r="AA62" s="8"/>
      <c r="AB62" s="8"/>
      <c r="AC62" s="8"/>
      <c r="AD62" s="8"/>
      <c r="AE62" s="8"/>
      <c r="AF62" s="8"/>
      <c r="AG62" s="8"/>
      <c r="AH62" s="8"/>
      <c r="AI62" s="8"/>
      <c r="AJ62" s="8"/>
      <c r="AK62" s="8"/>
      <c r="AL62" s="8"/>
      <c r="AM62" s="8"/>
      <c r="AN62" s="8"/>
      <c r="AO62" s="8"/>
      <c r="AP62" s="8"/>
      <c r="AQ62" s="8"/>
    </row>
    <row r="63" spans="2:43" ht="15.95" hidden="1" customHeight="1">
      <c r="B63" s="929"/>
      <c r="C63" s="8"/>
      <c r="D63" s="8"/>
      <c r="E63" s="8"/>
      <c r="F63" s="8"/>
      <c r="G63" s="8"/>
      <c r="H63" s="8"/>
      <c r="I63" s="8"/>
      <c r="J63" s="8"/>
      <c r="K63" s="8"/>
      <c r="L63" s="8"/>
      <c r="M63" s="8"/>
      <c r="N63" s="8"/>
      <c r="O63" s="8"/>
      <c r="P63" s="8"/>
      <c r="Q63" s="8"/>
      <c r="R63" s="8"/>
      <c r="S63" s="8"/>
      <c r="T63" s="8"/>
      <c r="U63" s="8"/>
      <c r="V63" s="8"/>
      <c r="W63" s="8"/>
      <c r="X63" s="8"/>
      <c r="Y63" s="8"/>
      <c r="Z63" s="8"/>
      <c r="AA63" s="8"/>
      <c r="AB63" s="8"/>
      <c r="AC63" s="8"/>
      <c r="AD63" s="8"/>
      <c r="AE63" s="8"/>
      <c r="AF63" s="8"/>
      <c r="AG63" s="8"/>
      <c r="AH63" s="8"/>
      <c r="AI63" s="8"/>
      <c r="AJ63" s="8"/>
      <c r="AK63" s="8"/>
      <c r="AL63" s="8"/>
      <c r="AM63" s="8"/>
      <c r="AN63" s="8"/>
      <c r="AO63" s="8"/>
      <c r="AP63" s="8"/>
      <c r="AQ63" s="8"/>
    </row>
    <row r="64" spans="2:43" ht="15.95" hidden="1" customHeight="1">
      <c r="B64" s="929">
        <v>25</v>
      </c>
      <c r="C64" s="8"/>
      <c r="D64" s="8"/>
      <c r="E64" s="8"/>
      <c r="F64" s="8"/>
      <c r="G64" s="8"/>
      <c r="H64" s="8"/>
      <c r="I64" s="8"/>
      <c r="J64" s="8"/>
      <c r="K64" s="8"/>
      <c r="L64" s="8"/>
      <c r="M64" s="8"/>
      <c r="N64" s="8"/>
      <c r="O64" s="8"/>
      <c r="P64" s="8"/>
      <c r="Q64" s="8"/>
      <c r="R64" s="8"/>
      <c r="S64" s="8"/>
      <c r="T64" s="8"/>
      <c r="U64" s="8"/>
      <c r="V64" s="8"/>
      <c r="W64" s="8"/>
      <c r="X64" s="8"/>
      <c r="Y64" s="8"/>
      <c r="Z64" s="8"/>
      <c r="AA64" s="8"/>
      <c r="AB64" s="8"/>
      <c r="AC64" s="8"/>
      <c r="AD64" s="8"/>
      <c r="AE64" s="8"/>
      <c r="AF64" s="8"/>
      <c r="AG64" s="8"/>
      <c r="AH64" s="8"/>
      <c r="AI64" s="8"/>
      <c r="AJ64" s="8"/>
      <c r="AK64" s="8"/>
      <c r="AL64" s="8"/>
      <c r="AM64" s="8"/>
      <c r="AN64" s="8"/>
      <c r="AO64" s="8"/>
      <c r="AP64" s="8"/>
      <c r="AQ64" s="8"/>
    </row>
    <row r="65" spans="2:43" ht="15.95" hidden="1" customHeight="1">
      <c r="B65" s="929"/>
      <c r="C65" s="8"/>
      <c r="D65" s="8"/>
      <c r="E65" s="8"/>
      <c r="F65" s="8"/>
      <c r="G65" s="8"/>
      <c r="H65" s="8"/>
      <c r="I65" s="8"/>
      <c r="J65" s="8"/>
      <c r="K65" s="8"/>
      <c r="L65" s="8"/>
      <c r="M65" s="8"/>
      <c r="N65" s="8"/>
      <c r="O65" s="8"/>
      <c r="P65" s="8"/>
      <c r="Q65" s="8"/>
      <c r="R65" s="8"/>
      <c r="S65" s="8"/>
      <c r="T65" s="8"/>
      <c r="U65" s="8"/>
      <c r="V65" s="8"/>
      <c r="W65" s="8"/>
      <c r="X65" s="8"/>
      <c r="Y65" s="8"/>
      <c r="Z65" s="8"/>
      <c r="AA65" s="8"/>
      <c r="AB65" s="8"/>
      <c r="AC65" s="8"/>
      <c r="AD65" s="8"/>
      <c r="AE65" s="8"/>
      <c r="AF65" s="8"/>
      <c r="AG65" s="8"/>
      <c r="AH65" s="8"/>
      <c r="AI65" s="8"/>
      <c r="AJ65" s="8"/>
      <c r="AK65" s="8"/>
      <c r="AL65" s="8"/>
      <c r="AM65" s="8"/>
      <c r="AN65" s="8"/>
      <c r="AO65" s="8"/>
      <c r="AP65" s="8"/>
      <c r="AQ65" s="8"/>
    </row>
    <row r="66" spans="2:43" ht="15.95" hidden="1" customHeight="1">
      <c r="B66" s="929">
        <v>26</v>
      </c>
      <c r="C66" s="8"/>
      <c r="D66" s="8"/>
      <c r="E66" s="8"/>
      <c r="F66" s="8"/>
      <c r="G66" s="8"/>
      <c r="H66" s="8"/>
      <c r="I66" s="8"/>
      <c r="J66" s="8"/>
      <c r="K66" s="8"/>
      <c r="L66" s="8"/>
      <c r="M66" s="8"/>
      <c r="N66" s="8"/>
      <c r="O66" s="8"/>
      <c r="P66" s="8"/>
      <c r="Q66" s="8"/>
      <c r="R66" s="8"/>
      <c r="S66" s="8"/>
      <c r="T66" s="8"/>
      <c r="U66" s="8"/>
      <c r="V66" s="8"/>
      <c r="W66" s="8"/>
      <c r="X66" s="8"/>
      <c r="Y66" s="8"/>
      <c r="Z66" s="8"/>
      <c r="AA66" s="8"/>
      <c r="AB66" s="8"/>
      <c r="AC66" s="8"/>
      <c r="AD66" s="8"/>
      <c r="AE66" s="8"/>
      <c r="AF66" s="8"/>
      <c r="AG66" s="8"/>
      <c r="AH66" s="8"/>
      <c r="AI66" s="8"/>
      <c r="AJ66" s="8"/>
      <c r="AK66" s="8"/>
      <c r="AL66" s="8"/>
      <c r="AM66" s="8"/>
      <c r="AN66" s="8"/>
      <c r="AO66" s="8"/>
      <c r="AP66" s="8"/>
      <c r="AQ66" s="8"/>
    </row>
    <row r="67" spans="2:43" ht="15.95" hidden="1" customHeight="1">
      <c r="B67" s="929"/>
      <c r="C67" s="8"/>
      <c r="D67" s="8"/>
      <c r="E67" s="8"/>
      <c r="F67" s="8"/>
      <c r="G67" s="8"/>
      <c r="H67" s="8"/>
      <c r="I67" s="8"/>
      <c r="J67" s="8"/>
      <c r="K67" s="8"/>
      <c r="L67" s="8"/>
      <c r="M67" s="8"/>
      <c r="N67" s="8"/>
      <c r="O67" s="8"/>
      <c r="P67" s="8"/>
      <c r="Q67" s="8"/>
      <c r="R67" s="8"/>
      <c r="S67" s="8"/>
      <c r="T67" s="8"/>
      <c r="U67" s="8"/>
      <c r="V67" s="8"/>
      <c r="W67" s="8"/>
      <c r="X67" s="8"/>
      <c r="Y67" s="8"/>
      <c r="Z67" s="8"/>
      <c r="AA67" s="8"/>
      <c r="AB67" s="8"/>
      <c r="AC67" s="8"/>
      <c r="AD67" s="8"/>
      <c r="AE67" s="8"/>
      <c r="AF67" s="8"/>
      <c r="AG67" s="8"/>
      <c r="AH67" s="8"/>
      <c r="AI67" s="8"/>
      <c r="AJ67" s="8"/>
      <c r="AK67" s="8"/>
      <c r="AL67" s="8"/>
      <c r="AM67" s="8"/>
      <c r="AN67" s="8"/>
      <c r="AO67" s="8"/>
      <c r="AP67" s="8"/>
      <c r="AQ67" s="8"/>
    </row>
    <row r="68" spans="2:43" ht="15.95" hidden="1" customHeight="1">
      <c r="B68" s="929">
        <v>27</v>
      </c>
      <c r="C68" s="8"/>
      <c r="D68" s="8"/>
      <c r="E68" s="8"/>
      <c r="F68" s="8"/>
      <c r="G68" s="8"/>
      <c r="H68" s="8"/>
      <c r="I68" s="8"/>
      <c r="J68" s="8"/>
      <c r="K68" s="8"/>
      <c r="L68" s="8"/>
      <c r="M68" s="8"/>
      <c r="N68" s="8"/>
      <c r="O68" s="8"/>
      <c r="P68" s="8"/>
      <c r="Q68" s="8"/>
      <c r="R68" s="8"/>
      <c r="S68" s="8"/>
      <c r="T68" s="8"/>
      <c r="U68" s="8"/>
      <c r="V68" s="8"/>
      <c r="W68" s="8"/>
      <c r="X68" s="8"/>
      <c r="Y68" s="8"/>
      <c r="Z68" s="8"/>
      <c r="AA68" s="8"/>
      <c r="AB68" s="8"/>
      <c r="AC68" s="8"/>
      <c r="AD68" s="8"/>
      <c r="AE68" s="8"/>
      <c r="AF68" s="8"/>
      <c r="AG68" s="8"/>
      <c r="AH68" s="8"/>
      <c r="AI68" s="8"/>
      <c r="AJ68" s="8"/>
      <c r="AK68" s="8"/>
      <c r="AL68" s="8"/>
      <c r="AM68" s="8"/>
      <c r="AN68" s="8"/>
      <c r="AO68" s="8"/>
      <c r="AP68" s="8"/>
      <c r="AQ68" s="8"/>
    </row>
    <row r="69" spans="2:43" ht="15.95" hidden="1" customHeight="1">
      <c r="B69" s="929"/>
      <c r="C69" s="8"/>
      <c r="D69" s="8"/>
      <c r="E69" s="8"/>
      <c r="F69" s="8"/>
      <c r="G69" s="8"/>
      <c r="H69" s="8"/>
      <c r="I69" s="8"/>
      <c r="J69" s="8"/>
      <c r="K69" s="8"/>
      <c r="L69" s="8"/>
      <c r="M69" s="8"/>
      <c r="N69" s="8"/>
      <c r="O69" s="8"/>
      <c r="P69" s="8"/>
      <c r="Q69" s="8"/>
      <c r="R69" s="8"/>
      <c r="S69" s="8"/>
      <c r="T69" s="8"/>
      <c r="U69" s="8"/>
      <c r="V69" s="8"/>
      <c r="W69" s="8"/>
      <c r="X69" s="8"/>
      <c r="Y69" s="8"/>
      <c r="Z69" s="8"/>
      <c r="AA69" s="8"/>
      <c r="AB69" s="8"/>
      <c r="AC69" s="8"/>
      <c r="AD69" s="8"/>
      <c r="AE69" s="8"/>
      <c r="AF69" s="8"/>
      <c r="AG69" s="8"/>
      <c r="AH69" s="8"/>
      <c r="AI69" s="8"/>
      <c r="AJ69" s="8"/>
      <c r="AK69" s="8"/>
      <c r="AL69" s="8"/>
      <c r="AM69" s="8"/>
      <c r="AN69" s="8"/>
      <c r="AO69" s="8"/>
      <c r="AP69" s="8"/>
      <c r="AQ69" s="8"/>
    </row>
    <row r="70" spans="2:43" ht="15.95" hidden="1" customHeight="1">
      <c r="B70" s="929">
        <v>28</v>
      </c>
      <c r="C70" s="8"/>
      <c r="D70" s="8"/>
      <c r="E70" s="8"/>
      <c r="F70" s="8"/>
      <c r="G70" s="8"/>
      <c r="H70" s="8"/>
      <c r="I70" s="8"/>
      <c r="J70" s="8"/>
      <c r="K70" s="8"/>
      <c r="L70" s="8"/>
      <c r="M70" s="8"/>
      <c r="N70" s="8"/>
      <c r="O70" s="8"/>
      <c r="P70" s="8"/>
      <c r="Q70" s="8"/>
      <c r="R70" s="8"/>
      <c r="S70" s="8"/>
      <c r="T70" s="8"/>
      <c r="U70" s="8"/>
      <c r="V70" s="8"/>
      <c r="W70" s="8"/>
      <c r="X70" s="8"/>
      <c r="Y70" s="8"/>
      <c r="Z70" s="8"/>
      <c r="AA70" s="8"/>
      <c r="AB70" s="8"/>
      <c r="AC70" s="8"/>
      <c r="AD70" s="8"/>
      <c r="AE70" s="8"/>
      <c r="AF70" s="8"/>
      <c r="AG70" s="8"/>
      <c r="AH70" s="8"/>
      <c r="AI70" s="8"/>
      <c r="AJ70" s="8"/>
      <c r="AK70" s="8"/>
      <c r="AL70" s="8"/>
      <c r="AM70" s="8"/>
      <c r="AN70" s="8"/>
      <c r="AO70" s="8"/>
      <c r="AP70" s="8"/>
      <c r="AQ70" s="8"/>
    </row>
    <row r="71" spans="2:43" ht="15.95" hidden="1" customHeight="1">
      <c r="B71" s="929"/>
      <c r="C71" s="8"/>
      <c r="D71" s="8"/>
      <c r="E71" s="8"/>
      <c r="F71" s="8"/>
      <c r="G71" s="8"/>
      <c r="H71" s="8"/>
      <c r="I71" s="8"/>
      <c r="J71" s="8"/>
      <c r="K71" s="8"/>
      <c r="L71" s="8"/>
      <c r="M71" s="8"/>
      <c r="N71" s="8"/>
      <c r="O71" s="8"/>
      <c r="P71" s="8"/>
      <c r="Q71" s="8"/>
      <c r="R71" s="8"/>
      <c r="S71" s="8"/>
      <c r="T71" s="8"/>
      <c r="U71" s="8"/>
      <c r="V71" s="8"/>
      <c r="W71" s="8"/>
      <c r="X71" s="8"/>
      <c r="Y71" s="8"/>
      <c r="Z71" s="8"/>
      <c r="AA71" s="8"/>
      <c r="AB71" s="8"/>
      <c r="AC71" s="8"/>
      <c r="AD71" s="8"/>
      <c r="AE71" s="8"/>
      <c r="AF71" s="8"/>
      <c r="AG71" s="8"/>
      <c r="AH71" s="8"/>
      <c r="AI71" s="8"/>
      <c r="AJ71" s="8"/>
      <c r="AK71" s="8"/>
      <c r="AL71" s="8"/>
      <c r="AM71" s="8"/>
      <c r="AN71" s="8"/>
      <c r="AO71" s="8"/>
      <c r="AP71" s="8"/>
      <c r="AQ71" s="8"/>
    </row>
    <row r="72" spans="2:43" ht="15.95" hidden="1" customHeight="1">
      <c r="B72" s="929">
        <v>29</v>
      </c>
      <c r="C72" s="8"/>
      <c r="D72" s="8"/>
      <c r="E72" s="8"/>
      <c r="F72" s="8"/>
      <c r="G72" s="8"/>
      <c r="H72" s="8"/>
      <c r="I72" s="8"/>
      <c r="J72" s="8"/>
      <c r="K72" s="8"/>
      <c r="L72" s="8"/>
      <c r="M72" s="8"/>
      <c r="N72" s="8"/>
      <c r="O72" s="8"/>
      <c r="P72" s="8"/>
      <c r="Q72" s="8"/>
      <c r="R72" s="8"/>
      <c r="S72" s="8"/>
      <c r="T72" s="8"/>
      <c r="U72" s="8"/>
      <c r="V72" s="8"/>
      <c r="W72" s="8"/>
      <c r="X72" s="8"/>
      <c r="Y72" s="8"/>
      <c r="Z72" s="8"/>
      <c r="AA72" s="8"/>
      <c r="AB72" s="8"/>
      <c r="AC72" s="8"/>
      <c r="AD72" s="8"/>
      <c r="AE72" s="8"/>
      <c r="AF72" s="8"/>
      <c r="AG72" s="8"/>
      <c r="AH72" s="8"/>
      <c r="AI72" s="8"/>
      <c r="AJ72" s="8"/>
      <c r="AK72" s="8"/>
      <c r="AL72" s="8"/>
      <c r="AM72" s="8"/>
      <c r="AN72" s="8"/>
      <c r="AO72" s="8"/>
      <c r="AP72" s="8"/>
      <c r="AQ72" s="8"/>
    </row>
    <row r="73" spans="2:43" ht="15.95" hidden="1" customHeight="1">
      <c r="B73" s="929"/>
      <c r="C73" s="8"/>
      <c r="D73" s="8"/>
      <c r="E73" s="8"/>
      <c r="F73" s="8"/>
      <c r="G73" s="8"/>
      <c r="H73" s="8"/>
      <c r="I73" s="8"/>
      <c r="J73" s="8"/>
      <c r="K73" s="8"/>
      <c r="L73" s="8"/>
      <c r="M73" s="8"/>
      <c r="N73" s="8"/>
      <c r="O73" s="8"/>
      <c r="P73" s="8"/>
      <c r="Q73" s="8"/>
      <c r="R73" s="8"/>
      <c r="S73" s="8"/>
      <c r="T73" s="8"/>
      <c r="U73" s="8"/>
      <c r="V73" s="8"/>
      <c r="W73" s="8"/>
      <c r="X73" s="8"/>
      <c r="Y73" s="8"/>
      <c r="Z73" s="8"/>
      <c r="AA73" s="8"/>
      <c r="AB73" s="8"/>
      <c r="AC73" s="8"/>
      <c r="AD73" s="8"/>
      <c r="AE73" s="8"/>
      <c r="AF73" s="8"/>
      <c r="AG73" s="8"/>
      <c r="AH73" s="8"/>
      <c r="AI73" s="8"/>
      <c r="AJ73" s="8"/>
      <c r="AK73" s="8"/>
      <c r="AL73" s="8"/>
      <c r="AM73" s="8"/>
      <c r="AN73" s="8"/>
      <c r="AO73" s="8"/>
      <c r="AP73" s="8"/>
      <c r="AQ73" s="8"/>
    </row>
    <row r="74" spans="2:43" ht="15.95" hidden="1" customHeight="1">
      <c r="B74" s="929">
        <v>30</v>
      </c>
      <c r="C74" s="8"/>
      <c r="D74" s="8"/>
      <c r="E74" s="8"/>
      <c r="F74" s="8"/>
      <c r="G74" s="8"/>
      <c r="H74" s="8"/>
      <c r="I74" s="8"/>
      <c r="J74" s="8"/>
      <c r="K74" s="8"/>
      <c r="L74" s="8"/>
      <c r="M74" s="8"/>
      <c r="N74" s="8"/>
      <c r="O74" s="8"/>
      <c r="P74" s="8"/>
      <c r="Q74" s="8"/>
      <c r="R74" s="8"/>
      <c r="S74" s="8"/>
      <c r="T74" s="8"/>
      <c r="U74" s="8"/>
      <c r="V74" s="8"/>
      <c r="W74" s="8"/>
      <c r="X74" s="8"/>
      <c r="Y74" s="8"/>
      <c r="Z74" s="8"/>
      <c r="AA74" s="8"/>
      <c r="AB74" s="8"/>
      <c r="AC74" s="8"/>
      <c r="AD74" s="8"/>
      <c r="AE74" s="8"/>
      <c r="AF74" s="8"/>
      <c r="AG74" s="8"/>
      <c r="AH74" s="8"/>
      <c r="AI74" s="8"/>
      <c r="AJ74" s="8"/>
      <c r="AK74" s="8"/>
      <c r="AL74" s="8"/>
      <c r="AM74" s="8"/>
      <c r="AN74" s="8"/>
      <c r="AO74" s="8"/>
      <c r="AP74" s="8"/>
      <c r="AQ74" s="8"/>
    </row>
    <row r="75" spans="2:43" ht="15.95" hidden="1" customHeight="1">
      <c r="B75" s="929"/>
      <c r="C75" s="8"/>
      <c r="D75" s="8"/>
      <c r="E75" s="8"/>
      <c r="F75" s="8"/>
      <c r="G75" s="8"/>
      <c r="H75" s="8"/>
      <c r="I75" s="8"/>
      <c r="J75" s="8"/>
      <c r="K75" s="8"/>
      <c r="L75" s="8"/>
      <c r="M75" s="8"/>
      <c r="N75" s="8"/>
      <c r="O75" s="8"/>
      <c r="P75" s="8"/>
      <c r="Q75" s="8"/>
      <c r="R75" s="8"/>
      <c r="S75" s="8"/>
      <c r="T75" s="8"/>
      <c r="U75" s="8"/>
      <c r="V75" s="8"/>
      <c r="W75" s="8"/>
      <c r="X75" s="8"/>
      <c r="Y75" s="8"/>
      <c r="Z75" s="8"/>
      <c r="AA75" s="8"/>
      <c r="AB75" s="8"/>
      <c r="AC75" s="8"/>
      <c r="AD75" s="8"/>
      <c r="AE75" s="8"/>
      <c r="AF75" s="8"/>
      <c r="AG75" s="8"/>
      <c r="AH75" s="8"/>
      <c r="AI75" s="8"/>
      <c r="AJ75" s="8"/>
      <c r="AK75" s="8"/>
      <c r="AL75" s="8"/>
      <c r="AM75" s="8"/>
      <c r="AN75" s="8"/>
      <c r="AO75" s="8"/>
      <c r="AP75" s="8"/>
      <c r="AQ75" s="8"/>
    </row>
    <row r="76" spans="2:43" ht="15.95" hidden="1" customHeight="1">
      <c r="B76" s="929">
        <v>31</v>
      </c>
      <c r="C76" s="8"/>
      <c r="D76" s="8"/>
      <c r="E76" s="8"/>
      <c r="F76" s="8"/>
      <c r="G76" s="8"/>
      <c r="H76" s="8"/>
      <c r="I76" s="8"/>
      <c r="J76" s="8"/>
      <c r="K76" s="8"/>
      <c r="L76" s="8"/>
      <c r="M76" s="8"/>
      <c r="N76" s="8"/>
      <c r="O76" s="8"/>
      <c r="P76" s="8"/>
      <c r="Q76" s="8"/>
      <c r="R76" s="8"/>
      <c r="S76" s="8"/>
      <c r="T76" s="8"/>
      <c r="U76" s="8"/>
      <c r="V76" s="8"/>
      <c r="W76" s="8"/>
      <c r="X76" s="8"/>
      <c r="Y76" s="8"/>
      <c r="Z76" s="8"/>
      <c r="AA76" s="8"/>
      <c r="AB76" s="8"/>
      <c r="AC76" s="8"/>
      <c r="AD76" s="8"/>
      <c r="AE76" s="8"/>
      <c r="AF76" s="8"/>
      <c r="AG76" s="8"/>
      <c r="AH76" s="8"/>
      <c r="AI76" s="8"/>
      <c r="AJ76" s="8"/>
      <c r="AK76" s="8"/>
      <c r="AL76" s="8"/>
      <c r="AM76" s="8"/>
      <c r="AN76" s="8"/>
      <c r="AO76" s="8"/>
      <c r="AP76" s="8"/>
      <c r="AQ76" s="8"/>
    </row>
    <row r="77" spans="2:43" ht="15.95" hidden="1" customHeight="1">
      <c r="B77" s="929"/>
      <c r="C77" s="8"/>
      <c r="D77" s="8"/>
      <c r="E77" s="8"/>
      <c r="F77" s="8"/>
      <c r="G77" s="8"/>
      <c r="H77" s="8"/>
      <c r="I77" s="8"/>
      <c r="J77" s="8"/>
      <c r="K77" s="8"/>
      <c r="L77" s="8"/>
      <c r="M77" s="8"/>
      <c r="N77" s="8"/>
      <c r="O77" s="8"/>
      <c r="P77" s="8"/>
      <c r="Q77" s="8"/>
      <c r="R77" s="8"/>
      <c r="S77" s="8"/>
      <c r="T77" s="8"/>
      <c r="U77" s="8"/>
      <c r="V77" s="8"/>
      <c r="W77" s="8"/>
      <c r="X77" s="8"/>
      <c r="Y77" s="8"/>
      <c r="Z77" s="8"/>
      <c r="AA77" s="8"/>
      <c r="AB77" s="8"/>
      <c r="AC77" s="8"/>
      <c r="AD77" s="8"/>
      <c r="AE77" s="8"/>
      <c r="AF77" s="8"/>
      <c r="AG77" s="8"/>
      <c r="AH77" s="8"/>
      <c r="AI77" s="8"/>
      <c r="AJ77" s="8"/>
      <c r="AK77" s="8"/>
      <c r="AL77" s="8"/>
      <c r="AM77" s="8"/>
      <c r="AN77" s="8"/>
      <c r="AO77" s="8"/>
      <c r="AP77" s="8"/>
      <c r="AQ77" s="8"/>
    </row>
    <row r="78" spans="2:43" ht="15.95" hidden="1" customHeight="1">
      <c r="B78" s="929">
        <v>32</v>
      </c>
      <c r="C78" s="8"/>
      <c r="D78" s="8"/>
      <c r="E78" s="8"/>
      <c r="F78" s="8"/>
      <c r="G78" s="8"/>
      <c r="H78" s="8"/>
      <c r="I78" s="8"/>
      <c r="J78" s="8"/>
      <c r="K78" s="8"/>
      <c r="L78" s="8"/>
      <c r="M78" s="8"/>
      <c r="N78" s="8"/>
      <c r="O78" s="8"/>
      <c r="P78" s="8"/>
      <c r="Q78" s="8"/>
      <c r="R78" s="8"/>
      <c r="S78" s="8"/>
      <c r="T78" s="8"/>
      <c r="U78" s="8"/>
      <c r="V78" s="8"/>
      <c r="W78" s="8"/>
      <c r="X78" s="8"/>
      <c r="Y78" s="8"/>
      <c r="Z78" s="8"/>
      <c r="AA78" s="8"/>
      <c r="AB78" s="8"/>
      <c r="AC78" s="8"/>
      <c r="AD78" s="8"/>
      <c r="AE78" s="8"/>
      <c r="AF78" s="8"/>
      <c r="AG78" s="8"/>
      <c r="AH78" s="8"/>
      <c r="AI78" s="8"/>
      <c r="AJ78" s="8"/>
      <c r="AK78" s="8"/>
      <c r="AL78" s="8"/>
      <c r="AM78" s="8"/>
      <c r="AN78" s="8"/>
      <c r="AO78" s="8"/>
      <c r="AP78" s="8"/>
      <c r="AQ78" s="8"/>
    </row>
    <row r="79" spans="2:43" ht="15.95" hidden="1" customHeight="1">
      <c r="B79" s="929"/>
      <c r="C79" s="8"/>
      <c r="D79" s="8"/>
      <c r="E79" s="8"/>
      <c r="F79" s="8"/>
      <c r="G79" s="8"/>
      <c r="H79" s="8"/>
      <c r="I79" s="8"/>
      <c r="J79" s="8"/>
      <c r="K79" s="8"/>
      <c r="L79" s="8"/>
      <c r="M79" s="8"/>
      <c r="N79" s="8"/>
      <c r="O79" s="8"/>
      <c r="P79" s="8"/>
      <c r="Q79" s="8"/>
      <c r="R79" s="8"/>
      <c r="S79" s="8"/>
      <c r="T79" s="8"/>
      <c r="U79" s="8"/>
      <c r="V79" s="8"/>
      <c r="W79" s="8"/>
      <c r="X79" s="8"/>
      <c r="Y79" s="8"/>
      <c r="Z79" s="8"/>
      <c r="AA79" s="8"/>
      <c r="AB79" s="8"/>
      <c r="AC79" s="8"/>
      <c r="AD79" s="8"/>
      <c r="AE79" s="8"/>
      <c r="AF79" s="8"/>
      <c r="AG79" s="8"/>
      <c r="AH79" s="8"/>
      <c r="AI79" s="8"/>
      <c r="AJ79" s="8"/>
      <c r="AK79" s="8"/>
      <c r="AL79" s="8"/>
      <c r="AM79" s="8"/>
      <c r="AN79" s="8"/>
      <c r="AO79" s="8"/>
      <c r="AP79" s="8"/>
      <c r="AQ79" s="8"/>
    </row>
    <row r="80" spans="2:43" ht="15.95" hidden="1" customHeight="1">
      <c r="B80" s="929">
        <v>33</v>
      </c>
      <c r="C80" s="8"/>
      <c r="D80" s="8"/>
      <c r="E80" s="8"/>
      <c r="F80" s="8"/>
      <c r="G80" s="8"/>
      <c r="H80" s="8"/>
      <c r="I80" s="8"/>
      <c r="J80" s="8"/>
      <c r="K80" s="8"/>
      <c r="L80" s="8"/>
      <c r="M80" s="8"/>
      <c r="N80" s="8"/>
      <c r="O80" s="8"/>
      <c r="P80" s="8"/>
      <c r="Q80" s="8"/>
      <c r="R80" s="8"/>
      <c r="S80" s="8"/>
      <c r="T80" s="8"/>
      <c r="U80" s="8"/>
      <c r="V80" s="8"/>
      <c r="W80" s="8"/>
      <c r="X80" s="8"/>
      <c r="Y80" s="8"/>
      <c r="Z80" s="8"/>
      <c r="AA80" s="8"/>
      <c r="AB80" s="8"/>
      <c r="AC80" s="8"/>
      <c r="AD80" s="8"/>
      <c r="AE80" s="8"/>
      <c r="AF80" s="8"/>
      <c r="AG80" s="8"/>
      <c r="AH80" s="8"/>
      <c r="AI80" s="8"/>
      <c r="AJ80" s="8"/>
      <c r="AK80" s="8"/>
      <c r="AL80" s="8"/>
      <c r="AM80" s="8"/>
      <c r="AN80" s="8"/>
      <c r="AO80" s="8"/>
      <c r="AP80" s="8"/>
      <c r="AQ80" s="8"/>
    </row>
    <row r="81" spans="2:43" ht="15.95" hidden="1" customHeight="1">
      <c r="B81" s="929"/>
      <c r="C81" s="8"/>
      <c r="D81" s="8"/>
      <c r="E81" s="8"/>
      <c r="F81" s="8"/>
      <c r="G81" s="8"/>
      <c r="H81" s="8"/>
      <c r="I81" s="8"/>
      <c r="J81" s="8"/>
      <c r="K81" s="8"/>
      <c r="L81" s="8"/>
      <c r="M81" s="8"/>
      <c r="N81" s="8"/>
      <c r="O81" s="8"/>
      <c r="P81" s="8"/>
      <c r="Q81" s="8"/>
      <c r="R81" s="8"/>
      <c r="S81" s="8"/>
      <c r="T81" s="8"/>
      <c r="U81" s="8"/>
      <c r="V81" s="8"/>
      <c r="W81" s="8"/>
      <c r="X81" s="8"/>
      <c r="Y81" s="8"/>
      <c r="Z81" s="8"/>
      <c r="AA81" s="8"/>
      <c r="AB81" s="8"/>
      <c r="AC81" s="8"/>
      <c r="AD81" s="8"/>
      <c r="AE81" s="8"/>
      <c r="AF81" s="8"/>
      <c r="AG81" s="8"/>
      <c r="AH81" s="8"/>
      <c r="AI81" s="8"/>
      <c r="AJ81" s="8"/>
      <c r="AK81" s="8"/>
      <c r="AL81" s="8"/>
      <c r="AM81" s="8"/>
      <c r="AN81" s="8"/>
      <c r="AO81" s="8"/>
      <c r="AP81" s="8"/>
      <c r="AQ81" s="8"/>
    </row>
    <row r="82" spans="2:43" ht="15.95" hidden="1" customHeight="1">
      <c r="B82" s="929">
        <v>34</v>
      </c>
      <c r="C82" s="8"/>
      <c r="D82" s="8"/>
      <c r="E82" s="8"/>
      <c r="F82" s="8"/>
      <c r="G82" s="8"/>
      <c r="H82" s="8"/>
      <c r="I82" s="8"/>
      <c r="J82" s="8"/>
      <c r="K82" s="8"/>
      <c r="L82" s="8"/>
      <c r="M82" s="8"/>
      <c r="N82" s="8"/>
      <c r="O82" s="8"/>
      <c r="P82" s="8"/>
      <c r="Q82" s="8"/>
      <c r="R82" s="8"/>
      <c r="S82" s="8"/>
      <c r="T82" s="8"/>
      <c r="U82" s="8"/>
      <c r="V82" s="8"/>
      <c r="W82" s="8"/>
      <c r="X82" s="8"/>
      <c r="Y82" s="8"/>
      <c r="Z82" s="8"/>
      <c r="AA82" s="8"/>
      <c r="AB82" s="8"/>
      <c r="AC82" s="8"/>
      <c r="AD82" s="8"/>
      <c r="AE82" s="8"/>
      <c r="AF82" s="8"/>
      <c r="AG82" s="8"/>
      <c r="AH82" s="8"/>
      <c r="AI82" s="8"/>
      <c r="AJ82" s="8"/>
      <c r="AK82" s="8"/>
      <c r="AL82" s="8"/>
      <c r="AM82" s="8"/>
      <c r="AN82" s="8"/>
      <c r="AO82" s="8"/>
      <c r="AP82" s="8"/>
      <c r="AQ82" s="8"/>
    </row>
    <row r="83" spans="2:43" ht="15.95" hidden="1" customHeight="1">
      <c r="B83" s="929"/>
      <c r="C83" s="8"/>
      <c r="D83" s="8"/>
      <c r="E83" s="8"/>
      <c r="F83" s="8"/>
      <c r="G83" s="8"/>
      <c r="H83" s="8"/>
      <c r="I83" s="8"/>
      <c r="J83" s="8"/>
      <c r="K83" s="8"/>
      <c r="L83" s="8"/>
      <c r="M83" s="8"/>
      <c r="N83" s="8"/>
      <c r="O83" s="8"/>
      <c r="P83" s="8"/>
      <c r="Q83" s="8"/>
      <c r="R83" s="8"/>
      <c r="S83" s="8"/>
      <c r="T83" s="8"/>
      <c r="U83" s="8"/>
      <c r="V83" s="8"/>
      <c r="W83" s="8"/>
      <c r="X83" s="8"/>
      <c r="Y83" s="8"/>
      <c r="Z83" s="8"/>
      <c r="AA83" s="8"/>
      <c r="AB83" s="8"/>
      <c r="AC83" s="8"/>
      <c r="AD83" s="8"/>
      <c r="AE83" s="8"/>
      <c r="AF83" s="8"/>
      <c r="AG83" s="8"/>
      <c r="AH83" s="8"/>
      <c r="AI83" s="8"/>
      <c r="AJ83" s="8"/>
      <c r="AK83" s="8"/>
      <c r="AL83" s="8"/>
      <c r="AM83" s="8"/>
      <c r="AN83" s="8"/>
      <c r="AO83" s="8"/>
      <c r="AP83" s="8"/>
      <c r="AQ83" s="8"/>
    </row>
    <row r="84" spans="2:43" ht="15.95" hidden="1" customHeight="1">
      <c r="B84" s="929">
        <v>35</v>
      </c>
      <c r="C84" s="8"/>
      <c r="D84" s="8"/>
      <c r="E84" s="8"/>
      <c r="F84" s="8"/>
      <c r="G84" s="8"/>
      <c r="H84" s="8"/>
      <c r="I84" s="8"/>
      <c r="J84" s="8"/>
      <c r="K84" s="8"/>
      <c r="L84" s="8"/>
      <c r="M84" s="8"/>
      <c r="N84" s="8"/>
      <c r="O84" s="8"/>
      <c r="P84" s="8"/>
      <c r="Q84" s="8"/>
      <c r="R84" s="8"/>
      <c r="S84" s="8"/>
      <c r="T84" s="8"/>
      <c r="U84" s="8"/>
      <c r="V84" s="8"/>
      <c r="W84" s="8"/>
      <c r="X84" s="8"/>
      <c r="Y84" s="8"/>
      <c r="Z84" s="8"/>
      <c r="AA84" s="8"/>
      <c r="AB84" s="8"/>
      <c r="AC84" s="8"/>
      <c r="AD84" s="8"/>
      <c r="AE84" s="8"/>
      <c r="AF84" s="8"/>
      <c r="AG84" s="8"/>
      <c r="AH84" s="8"/>
      <c r="AI84" s="8"/>
      <c r="AJ84" s="8"/>
      <c r="AK84" s="8"/>
      <c r="AL84" s="8"/>
      <c r="AM84" s="8"/>
      <c r="AN84" s="8"/>
      <c r="AO84" s="8"/>
      <c r="AP84" s="8"/>
      <c r="AQ84" s="8"/>
    </row>
    <row r="85" spans="2:43" ht="15.95" hidden="1" customHeight="1">
      <c r="B85" s="929"/>
      <c r="C85" s="8"/>
      <c r="D85" s="8"/>
      <c r="E85" s="8"/>
      <c r="F85" s="8"/>
      <c r="G85" s="8"/>
      <c r="H85" s="8"/>
      <c r="I85" s="8"/>
      <c r="J85" s="8"/>
      <c r="K85" s="8"/>
      <c r="L85" s="8"/>
      <c r="M85" s="8"/>
      <c r="N85" s="8"/>
      <c r="O85" s="8"/>
      <c r="P85" s="8"/>
      <c r="Q85" s="8"/>
      <c r="R85" s="8"/>
      <c r="S85" s="8"/>
      <c r="T85" s="8"/>
      <c r="U85" s="8"/>
      <c r="V85" s="8"/>
      <c r="W85" s="8"/>
      <c r="X85" s="8"/>
      <c r="Y85" s="8"/>
      <c r="Z85" s="8"/>
      <c r="AA85" s="8"/>
      <c r="AB85" s="8"/>
      <c r="AC85" s="8"/>
      <c r="AD85" s="8"/>
      <c r="AE85" s="8"/>
      <c r="AF85" s="8"/>
      <c r="AG85" s="8"/>
      <c r="AH85" s="8"/>
      <c r="AI85" s="8"/>
      <c r="AJ85" s="8"/>
      <c r="AK85" s="8"/>
      <c r="AL85" s="8"/>
      <c r="AM85" s="8"/>
      <c r="AN85" s="8"/>
      <c r="AO85" s="8"/>
      <c r="AP85" s="8"/>
      <c r="AQ85" s="8"/>
    </row>
    <row r="86" spans="2:43" ht="15.95" hidden="1" customHeight="1">
      <c r="B86" s="929">
        <v>36</v>
      </c>
      <c r="C86" s="8"/>
      <c r="D86" s="8"/>
      <c r="E86" s="8"/>
      <c r="F86" s="8"/>
      <c r="G86" s="8"/>
      <c r="H86" s="8"/>
      <c r="I86" s="8"/>
      <c r="J86" s="8"/>
      <c r="K86" s="8"/>
      <c r="L86" s="8"/>
      <c r="M86" s="8"/>
      <c r="N86" s="8"/>
      <c r="O86" s="8"/>
      <c r="P86" s="8"/>
      <c r="Q86" s="8"/>
      <c r="R86" s="8"/>
      <c r="S86" s="8"/>
      <c r="T86" s="8"/>
      <c r="U86" s="8"/>
      <c r="V86" s="8"/>
      <c r="W86" s="8"/>
      <c r="X86" s="8"/>
      <c r="Y86" s="8"/>
      <c r="Z86" s="8"/>
      <c r="AA86" s="8"/>
      <c r="AB86" s="8"/>
      <c r="AC86" s="8"/>
      <c r="AD86" s="8"/>
      <c r="AE86" s="8"/>
      <c r="AF86" s="8"/>
      <c r="AG86" s="8"/>
      <c r="AH86" s="8"/>
      <c r="AI86" s="8"/>
      <c r="AJ86" s="8"/>
      <c r="AK86" s="8"/>
      <c r="AL86" s="8"/>
      <c r="AM86" s="8"/>
      <c r="AN86" s="8"/>
      <c r="AO86" s="8"/>
      <c r="AP86" s="8"/>
      <c r="AQ86" s="8"/>
    </row>
    <row r="87" spans="2:43" ht="15.95" hidden="1" customHeight="1">
      <c r="B87" s="929"/>
      <c r="C87" s="8"/>
      <c r="D87" s="8"/>
      <c r="E87" s="8"/>
      <c r="F87" s="8"/>
      <c r="G87" s="8"/>
      <c r="H87" s="8"/>
      <c r="I87" s="8"/>
      <c r="J87" s="8"/>
      <c r="K87" s="8"/>
      <c r="L87" s="8"/>
      <c r="M87" s="8"/>
      <c r="N87" s="8"/>
      <c r="O87" s="8"/>
      <c r="P87" s="8"/>
      <c r="Q87" s="8"/>
      <c r="R87" s="8"/>
      <c r="S87" s="8"/>
      <c r="T87" s="8"/>
      <c r="U87" s="8"/>
      <c r="V87" s="8"/>
      <c r="W87" s="8"/>
      <c r="X87" s="8"/>
      <c r="Y87" s="8"/>
      <c r="Z87" s="8"/>
      <c r="AA87" s="8"/>
      <c r="AB87" s="8"/>
      <c r="AC87" s="8"/>
      <c r="AD87" s="8"/>
      <c r="AE87" s="8"/>
      <c r="AF87" s="8"/>
      <c r="AG87" s="8"/>
      <c r="AH87" s="8"/>
      <c r="AI87" s="8"/>
      <c r="AJ87" s="8"/>
      <c r="AK87" s="8"/>
      <c r="AL87" s="8"/>
      <c r="AM87" s="8"/>
      <c r="AN87" s="8"/>
      <c r="AO87" s="8"/>
      <c r="AP87" s="8"/>
      <c r="AQ87" s="8"/>
    </row>
    <row r="88" spans="2:43" ht="15.95" hidden="1" customHeight="1">
      <c r="B88" s="929">
        <v>37</v>
      </c>
      <c r="C88" s="8"/>
      <c r="D88" s="8"/>
      <c r="E88" s="8"/>
      <c r="F88" s="8"/>
      <c r="G88" s="8"/>
      <c r="H88" s="8"/>
      <c r="I88" s="8"/>
      <c r="J88" s="8"/>
      <c r="K88" s="8"/>
      <c r="L88" s="8"/>
      <c r="M88" s="8"/>
      <c r="N88" s="8"/>
      <c r="O88" s="8"/>
      <c r="P88" s="8"/>
      <c r="Q88" s="8"/>
      <c r="R88" s="8"/>
      <c r="S88" s="8"/>
      <c r="T88" s="8"/>
      <c r="U88" s="8"/>
      <c r="V88" s="8"/>
      <c r="W88" s="8"/>
      <c r="X88" s="8"/>
      <c r="Y88" s="8"/>
      <c r="Z88" s="8"/>
      <c r="AA88" s="8"/>
      <c r="AB88" s="8"/>
      <c r="AC88" s="8"/>
      <c r="AD88" s="8"/>
      <c r="AE88" s="8"/>
      <c r="AF88" s="8"/>
      <c r="AG88" s="8"/>
      <c r="AH88" s="8"/>
      <c r="AI88" s="8"/>
      <c r="AJ88" s="8"/>
      <c r="AK88" s="8"/>
      <c r="AL88" s="8"/>
      <c r="AM88" s="8"/>
      <c r="AN88" s="8"/>
      <c r="AO88" s="8"/>
      <c r="AP88" s="8"/>
      <c r="AQ88" s="8"/>
    </row>
    <row r="89" spans="2:43" ht="15.95" hidden="1" customHeight="1">
      <c r="B89" s="929"/>
      <c r="C89" s="8"/>
      <c r="D89" s="8"/>
      <c r="E89" s="8"/>
      <c r="F89" s="8"/>
      <c r="G89" s="8"/>
      <c r="H89" s="8"/>
      <c r="I89" s="8"/>
      <c r="J89" s="8"/>
      <c r="K89" s="8"/>
      <c r="L89" s="8"/>
      <c r="M89" s="8"/>
      <c r="N89" s="8"/>
      <c r="O89" s="8"/>
      <c r="P89" s="8"/>
      <c r="Q89" s="8"/>
      <c r="R89" s="8"/>
      <c r="S89" s="8"/>
      <c r="T89" s="8"/>
      <c r="U89" s="8"/>
      <c r="V89" s="8"/>
      <c r="W89" s="8"/>
      <c r="X89" s="8"/>
      <c r="Y89" s="8"/>
      <c r="Z89" s="8"/>
      <c r="AA89" s="8"/>
      <c r="AB89" s="8"/>
      <c r="AC89" s="8"/>
      <c r="AD89" s="8"/>
      <c r="AE89" s="8"/>
      <c r="AF89" s="8"/>
      <c r="AG89" s="8"/>
      <c r="AH89" s="8"/>
      <c r="AI89" s="8"/>
      <c r="AJ89" s="8"/>
      <c r="AK89" s="8"/>
      <c r="AL89" s="8"/>
      <c r="AM89" s="8"/>
      <c r="AN89" s="8"/>
      <c r="AO89" s="8"/>
      <c r="AP89" s="8"/>
      <c r="AQ89" s="8"/>
    </row>
    <row r="90" spans="2:43" ht="15.95" hidden="1" customHeight="1">
      <c r="B90" s="929">
        <v>38</v>
      </c>
      <c r="C90" s="8"/>
      <c r="D90" s="8"/>
      <c r="E90" s="8"/>
      <c r="F90" s="8"/>
      <c r="G90" s="8"/>
      <c r="H90" s="8"/>
      <c r="I90" s="8"/>
      <c r="J90" s="8"/>
      <c r="K90" s="8"/>
      <c r="L90" s="8"/>
      <c r="M90" s="8"/>
      <c r="N90" s="8"/>
      <c r="O90" s="8"/>
      <c r="P90" s="8"/>
      <c r="Q90" s="8"/>
      <c r="R90" s="8"/>
      <c r="S90" s="8"/>
      <c r="T90" s="8"/>
      <c r="U90" s="8"/>
      <c r="V90" s="8"/>
      <c r="W90" s="8"/>
      <c r="X90" s="8"/>
      <c r="Y90" s="8"/>
      <c r="Z90" s="8"/>
      <c r="AA90" s="8"/>
      <c r="AB90" s="8"/>
      <c r="AC90" s="8"/>
      <c r="AD90" s="8"/>
      <c r="AE90" s="8"/>
      <c r="AF90" s="8"/>
      <c r="AG90" s="8"/>
      <c r="AH90" s="8"/>
      <c r="AI90" s="8"/>
      <c r="AJ90" s="8"/>
      <c r="AK90" s="8"/>
      <c r="AL90" s="8"/>
      <c r="AM90" s="8"/>
      <c r="AN90" s="8"/>
      <c r="AO90" s="8"/>
      <c r="AP90" s="8"/>
      <c r="AQ90" s="8"/>
    </row>
    <row r="91" spans="2:43" ht="15.95" hidden="1" customHeight="1">
      <c r="B91" s="929"/>
      <c r="C91" s="8"/>
      <c r="D91" s="8"/>
      <c r="E91" s="8"/>
      <c r="F91" s="8"/>
      <c r="G91" s="8"/>
      <c r="H91" s="8"/>
      <c r="I91" s="8"/>
      <c r="J91" s="8"/>
      <c r="K91" s="8"/>
      <c r="L91" s="8"/>
      <c r="M91" s="8"/>
      <c r="N91" s="8"/>
      <c r="O91" s="8"/>
      <c r="P91" s="8"/>
      <c r="Q91" s="8"/>
      <c r="R91" s="8"/>
      <c r="S91" s="8"/>
      <c r="T91" s="8"/>
      <c r="U91" s="8"/>
      <c r="V91" s="8"/>
      <c r="W91" s="8"/>
      <c r="X91" s="8"/>
      <c r="Y91" s="8"/>
      <c r="Z91" s="8"/>
      <c r="AA91" s="8"/>
      <c r="AB91" s="8"/>
      <c r="AC91" s="8"/>
      <c r="AD91" s="8"/>
      <c r="AE91" s="8"/>
      <c r="AF91" s="8"/>
      <c r="AG91" s="8"/>
      <c r="AH91" s="8"/>
      <c r="AI91" s="8"/>
      <c r="AJ91" s="8"/>
      <c r="AK91" s="8"/>
      <c r="AL91" s="8"/>
      <c r="AM91" s="8"/>
      <c r="AN91" s="8"/>
      <c r="AO91" s="8"/>
      <c r="AP91" s="8"/>
      <c r="AQ91" s="8"/>
    </row>
    <row r="92" spans="2:43" ht="15.95" hidden="1" customHeight="1">
      <c r="B92" s="929">
        <v>39</v>
      </c>
      <c r="C92" s="8"/>
      <c r="D92" s="8"/>
      <c r="E92" s="8"/>
      <c r="F92" s="8"/>
      <c r="G92" s="8"/>
      <c r="H92" s="8"/>
      <c r="I92" s="8"/>
      <c r="J92" s="8"/>
      <c r="K92" s="8"/>
      <c r="L92" s="8"/>
      <c r="M92" s="8"/>
      <c r="N92" s="8"/>
      <c r="O92" s="8"/>
      <c r="P92" s="8"/>
      <c r="Q92" s="8"/>
      <c r="R92" s="8"/>
      <c r="S92" s="8"/>
      <c r="T92" s="8"/>
      <c r="U92" s="8"/>
      <c r="V92" s="8"/>
      <c r="W92" s="8"/>
      <c r="X92" s="8"/>
      <c r="Y92" s="8"/>
      <c r="Z92" s="8"/>
      <c r="AA92" s="8"/>
      <c r="AB92" s="8"/>
      <c r="AC92" s="8"/>
      <c r="AD92" s="8"/>
      <c r="AE92" s="8"/>
      <c r="AF92" s="8"/>
      <c r="AG92" s="8"/>
      <c r="AH92" s="8"/>
      <c r="AI92" s="8"/>
      <c r="AJ92" s="8"/>
      <c r="AK92" s="8"/>
      <c r="AL92" s="8"/>
      <c r="AM92" s="8"/>
      <c r="AN92" s="8"/>
      <c r="AO92" s="8"/>
      <c r="AP92" s="8"/>
      <c r="AQ92" s="8"/>
    </row>
    <row r="93" spans="2:43" ht="15.95" hidden="1" customHeight="1">
      <c r="B93" s="929"/>
      <c r="C93" s="8"/>
      <c r="D93" s="8"/>
      <c r="E93" s="8"/>
      <c r="F93" s="8"/>
      <c r="G93" s="8"/>
      <c r="H93" s="8"/>
      <c r="I93" s="8"/>
      <c r="J93" s="8"/>
      <c r="K93" s="8"/>
      <c r="L93" s="8"/>
      <c r="M93" s="8"/>
      <c r="N93" s="8"/>
      <c r="O93" s="8"/>
      <c r="P93" s="8"/>
      <c r="Q93" s="8"/>
      <c r="R93" s="8"/>
      <c r="S93" s="8"/>
      <c r="T93" s="8"/>
      <c r="U93" s="8"/>
      <c r="V93" s="8"/>
      <c r="W93" s="8"/>
      <c r="X93" s="8"/>
      <c r="Y93" s="8"/>
      <c r="Z93" s="8"/>
      <c r="AA93" s="8"/>
      <c r="AB93" s="8"/>
      <c r="AC93" s="8"/>
      <c r="AD93" s="8"/>
      <c r="AE93" s="8"/>
      <c r="AF93" s="8"/>
      <c r="AG93" s="8"/>
      <c r="AH93" s="8"/>
      <c r="AI93" s="8"/>
      <c r="AJ93" s="8"/>
      <c r="AK93" s="8"/>
      <c r="AL93" s="8"/>
      <c r="AM93" s="8"/>
      <c r="AN93" s="8"/>
      <c r="AO93" s="8"/>
      <c r="AP93" s="8"/>
      <c r="AQ93" s="8"/>
    </row>
    <row r="94" spans="2:43" ht="15.95" hidden="1" customHeight="1">
      <c r="B94" s="929">
        <v>40</v>
      </c>
      <c r="C94" s="8"/>
      <c r="D94" s="8"/>
      <c r="E94" s="8"/>
      <c r="F94" s="8"/>
      <c r="G94" s="8"/>
      <c r="H94" s="8"/>
      <c r="I94" s="8"/>
      <c r="J94" s="8"/>
      <c r="K94" s="8"/>
      <c r="L94" s="8"/>
      <c r="M94" s="8"/>
      <c r="N94" s="8"/>
      <c r="O94" s="8"/>
      <c r="P94" s="8"/>
      <c r="Q94" s="8"/>
      <c r="R94" s="8"/>
      <c r="S94" s="8"/>
      <c r="T94" s="8"/>
      <c r="U94" s="8"/>
      <c r="V94" s="8"/>
      <c r="W94" s="8"/>
      <c r="X94" s="8"/>
      <c r="Y94" s="8"/>
      <c r="Z94" s="8"/>
      <c r="AA94" s="8"/>
      <c r="AB94" s="8"/>
      <c r="AC94" s="8"/>
      <c r="AD94" s="8"/>
      <c r="AE94" s="8"/>
      <c r="AF94" s="8"/>
      <c r="AG94" s="8"/>
      <c r="AH94" s="8"/>
      <c r="AI94" s="8"/>
      <c r="AJ94" s="8"/>
      <c r="AK94" s="8"/>
      <c r="AL94" s="8"/>
      <c r="AM94" s="8"/>
      <c r="AN94" s="8"/>
      <c r="AO94" s="8"/>
      <c r="AP94" s="8"/>
      <c r="AQ94" s="8"/>
    </row>
    <row r="95" spans="2:43" ht="15.95" hidden="1" customHeight="1">
      <c r="B95" s="929"/>
      <c r="C95" s="8"/>
      <c r="D95" s="8"/>
      <c r="E95" s="8"/>
      <c r="F95" s="8"/>
      <c r="G95" s="8"/>
      <c r="H95" s="8"/>
      <c r="I95" s="8"/>
      <c r="J95" s="8"/>
      <c r="K95" s="8"/>
      <c r="L95" s="8"/>
      <c r="M95" s="8"/>
      <c r="N95" s="8"/>
      <c r="O95" s="8"/>
      <c r="P95" s="8"/>
      <c r="Q95" s="8"/>
      <c r="R95" s="8"/>
      <c r="S95" s="8"/>
      <c r="T95" s="8"/>
      <c r="U95" s="8"/>
      <c r="V95" s="8"/>
      <c r="W95" s="8"/>
      <c r="X95" s="8"/>
      <c r="Y95" s="8"/>
      <c r="Z95" s="8"/>
      <c r="AA95" s="8"/>
      <c r="AB95" s="8"/>
      <c r="AC95" s="8"/>
      <c r="AD95" s="8"/>
      <c r="AE95" s="8"/>
      <c r="AF95" s="8"/>
      <c r="AG95" s="8"/>
      <c r="AH95" s="8"/>
      <c r="AI95" s="8"/>
      <c r="AJ95" s="8"/>
      <c r="AK95" s="8"/>
      <c r="AL95" s="8"/>
      <c r="AM95" s="8"/>
      <c r="AN95" s="8"/>
      <c r="AO95" s="8"/>
      <c r="AP95" s="8"/>
      <c r="AQ95" s="8"/>
    </row>
    <row r="96" spans="2:43" ht="15.95" hidden="1" customHeight="1">
      <c r="B96" s="929">
        <v>41</v>
      </c>
      <c r="C96" s="8"/>
      <c r="D96" s="8"/>
      <c r="E96" s="8"/>
      <c r="F96" s="8"/>
      <c r="G96" s="8"/>
      <c r="H96" s="8"/>
      <c r="I96" s="8"/>
      <c r="J96" s="8"/>
      <c r="K96" s="8"/>
      <c r="L96" s="8"/>
      <c r="M96" s="8"/>
      <c r="N96" s="8"/>
      <c r="O96" s="8"/>
      <c r="P96" s="8"/>
      <c r="Q96" s="8"/>
      <c r="R96" s="8"/>
      <c r="S96" s="8"/>
      <c r="T96" s="8"/>
      <c r="U96" s="8"/>
      <c r="V96" s="8"/>
      <c r="W96" s="8"/>
      <c r="X96" s="8"/>
      <c r="Y96" s="8"/>
      <c r="Z96" s="8"/>
      <c r="AA96" s="8"/>
      <c r="AB96" s="8"/>
      <c r="AC96" s="8"/>
      <c r="AD96" s="8"/>
      <c r="AE96" s="8"/>
      <c r="AF96" s="8"/>
      <c r="AG96" s="8"/>
      <c r="AH96" s="8"/>
      <c r="AI96" s="8"/>
      <c r="AJ96" s="8"/>
      <c r="AK96" s="8"/>
      <c r="AL96" s="8"/>
      <c r="AM96" s="8"/>
      <c r="AN96" s="8"/>
      <c r="AO96" s="8"/>
      <c r="AP96" s="8"/>
      <c r="AQ96" s="8"/>
    </row>
    <row r="97" spans="2:43" ht="15.95" hidden="1" customHeight="1">
      <c r="B97" s="929"/>
      <c r="C97" s="8"/>
      <c r="D97" s="8"/>
      <c r="E97" s="8"/>
      <c r="F97" s="8"/>
      <c r="G97" s="8"/>
      <c r="H97" s="8"/>
      <c r="I97" s="8"/>
      <c r="J97" s="8"/>
      <c r="K97" s="8"/>
      <c r="L97" s="8"/>
      <c r="M97" s="8"/>
      <c r="N97" s="8"/>
      <c r="O97" s="8"/>
      <c r="P97" s="8"/>
      <c r="Q97" s="8"/>
      <c r="R97" s="8"/>
      <c r="S97" s="8"/>
      <c r="T97" s="8"/>
      <c r="U97" s="8"/>
      <c r="V97" s="8"/>
      <c r="W97" s="8"/>
      <c r="X97" s="8"/>
      <c r="Y97" s="8"/>
      <c r="Z97" s="8"/>
      <c r="AA97" s="8"/>
      <c r="AB97" s="8"/>
      <c r="AC97" s="8"/>
      <c r="AD97" s="8"/>
      <c r="AE97" s="8"/>
      <c r="AF97" s="8"/>
      <c r="AG97" s="8"/>
      <c r="AH97" s="8"/>
      <c r="AI97" s="8"/>
      <c r="AJ97" s="8"/>
      <c r="AK97" s="8"/>
      <c r="AL97" s="8"/>
      <c r="AM97" s="8"/>
      <c r="AN97" s="8"/>
      <c r="AO97" s="8"/>
      <c r="AP97" s="8"/>
      <c r="AQ97" s="8"/>
    </row>
    <row r="98" spans="2:43" ht="15.95" hidden="1" customHeight="1">
      <c r="B98" s="929">
        <v>42</v>
      </c>
      <c r="C98" s="8"/>
      <c r="D98" s="8"/>
      <c r="E98" s="8"/>
      <c r="F98" s="8"/>
      <c r="G98" s="8"/>
      <c r="H98" s="8"/>
      <c r="I98" s="8"/>
      <c r="J98" s="8"/>
      <c r="K98" s="8"/>
      <c r="L98" s="8"/>
      <c r="M98" s="8"/>
      <c r="N98" s="8"/>
      <c r="O98" s="8"/>
      <c r="P98" s="8"/>
      <c r="Q98" s="8"/>
      <c r="R98" s="8"/>
      <c r="S98" s="8"/>
      <c r="T98" s="8"/>
      <c r="U98" s="8"/>
      <c r="V98" s="8"/>
      <c r="W98" s="8"/>
      <c r="X98" s="8"/>
      <c r="Y98" s="8"/>
      <c r="Z98" s="8"/>
      <c r="AA98" s="8"/>
      <c r="AB98" s="8"/>
      <c r="AC98" s="8"/>
      <c r="AD98" s="8"/>
      <c r="AE98" s="8"/>
      <c r="AF98" s="8"/>
      <c r="AG98" s="8"/>
      <c r="AH98" s="8"/>
      <c r="AI98" s="8"/>
      <c r="AJ98" s="8"/>
      <c r="AK98" s="8"/>
      <c r="AL98" s="8"/>
      <c r="AM98" s="8"/>
      <c r="AN98" s="8"/>
      <c r="AO98" s="8"/>
      <c r="AP98" s="8"/>
      <c r="AQ98" s="8"/>
    </row>
    <row r="99" spans="2:43" ht="15.95" hidden="1" customHeight="1">
      <c r="B99" s="929"/>
      <c r="C99" s="8"/>
      <c r="D99" s="8"/>
      <c r="E99" s="8"/>
      <c r="F99" s="8"/>
      <c r="G99" s="8"/>
      <c r="H99" s="8"/>
      <c r="I99" s="8"/>
      <c r="J99" s="8"/>
      <c r="K99" s="8"/>
      <c r="L99" s="8"/>
      <c r="M99" s="8"/>
      <c r="N99" s="8"/>
      <c r="O99" s="8"/>
      <c r="P99" s="8"/>
      <c r="Q99" s="8"/>
      <c r="R99" s="8"/>
      <c r="S99" s="8"/>
      <c r="T99" s="8"/>
      <c r="U99" s="8"/>
      <c r="V99" s="8"/>
      <c r="W99" s="8"/>
      <c r="X99" s="8"/>
      <c r="Y99" s="8"/>
      <c r="Z99" s="8"/>
      <c r="AA99" s="8"/>
      <c r="AB99" s="8"/>
      <c r="AC99" s="8"/>
      <c r="AD99" s="8"/>
      <c r="AE99" s="8"/>
      <c r="AF99" s="8"/>
      <c r="AG99" s="8"/>
      <c r="AH99" s="8"/>
      <c r="AI99" s="8"/>
      <c r="AJ99" s="8"/>
      <c r="AK99" s="8"/>
      <c r="AL99" s="8"/>
      <c r="AM99" s="8"/>
      <c r="AN99" s="8"/>
      <c r="AO99" s="8"/>
      <c r="AP99" s="8"/>
      <c r="AQ99" s="8"/>
    </row>
    <row r="100" spans="2:43" ht="15.95" hidden="1" customHeight="1">
      <c r="B100" s="929">
        <v>43</v>
      </c>
      <c r="C100" s="8"/>
      <c r="D100" s="8"/>
      <c r="E100" s="8"/>
      <c r="F100" s="8"/>
      <c r="G100" s="8"/>
      <c r="H100" s="8"/>
      <c r="I100" s="8"/>
      <c r="J100" s="8"/>
      <c r="K100" s="8"/>
      <c r="L100" s="8"/>
      <c r="M100" s="8"/>
      <c r="N100" s="8"/>
      <c r="O100" s="8"/>
      <c r="P100" s="8"/>
      <c r="Q100" s="8"/>
      <c r="R100" s="8"/>
      <c r="S100" s="8"/>
      <c r="T100" s="8"/>
      <c r="U100" s="8"/>
      <c r="V100" s="8"/>
      <c r="W100" s="8"/>
      <c r="X100" s="8"/>
      <c r="Y100" s="8"/>
      <c r="Z100" s="8"/>
      <c r="AA100" s="8"/>
      <c r="AB100" s="8"/>
      <c r="AC100" s="8"/>
      <c r="AD100" s="8"/>
      <c r="AE100" s="8"/>
      <c r="AF100" s="8"/>
      <c r="AG100" s="8"/>
      <c r="AH100" s="8"/>
      <c r="AI100" s="8"/>
      <c r="AJ100" s="8"/>
      <c r="AK100" s="8"/>
      <c r="AL100" s="8"/>
      <c r="AM100" s="8"/>
      <c r="AN100" s="8"/>
      <c r="AO100" s="8"/>
      <c r="AP100" s="8"/>
      <c r="AQ100" s="8"/>
    </row>
    <row r="101" spans="2:43" ht="15.95" hidden="1" customHeight="1">
      <c r="B101" s="929"/>
      <c r="C101" s="8"/>
      <c r="D101" s="8"/>
      <c r="E101" s="8"/>
      <c r="F101" s="8"/>
      <c r="G101" s="8"/>
      <c r="H101" s="8"/>
      <c r="I101" s="8"/>
      <c r="J101" s="8"/>
      <c r="K101" s="8"/>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c r="AL101" s="8"/>
      <c r="AM101" s="8"/>
      <c r="AN101" s="8"/>
      <c r="AO101" s="8"/>
      <c r="AP101" s="8"/>
      <c r="AQ101" s="8"/>
    </row>
    <row r="102" spans="2:43" ht="15.95" hidden="1" customHeight="1">
      <c r="B102" s="929">
        <v>44</v>
      </c>
      <c r="C102" s="8"/>
      <c r="D102" s="8"/>
      <c r="E102" s="8"/>
      <c r="F102" s="8"/>
      <c r="G102" s="8"/>
      <c r="H102" s="8"/>
      <c r="I102" s="8"/>
      <c r="J102" s="8"/>
      <c r="K102" s="8"/>
      <c r="L102" s="8"/>
      <c r="M102" s="8"/>
      <c r="N102" s="8"/>
      <c r="O102" s="8"/>
      <c r="P102" s="8"/>
      <c r="Q102" s="8"/>
      <c r="R102" s="8"/>
      <c r="S102" s="8"/>
      <c r="T102" s="8"/>
      <c r="U102" s="8"/>
      <c r="V102" s="8"/>
      <c r="W102" s="8"/>
      <c r="X102" s="8"/>
      <c r="Y102" s="8"/>
      <c r="Z102" s="8"/>
      <c r="AA102" s="8"/>
      <c r="AB102" s="8"/>
      <c r="AC102" s="8"/>
      <c r="AD102" s="8"/>
      <c r="AE102" s="8"/>
      <c r="AF102" s="8"/>
      <c r="AG102" s="8"/>
      <c r="AH102" s="8"/>
      <c r="AI102" s="8"/>
      <c r="AJ102" s="8"/>
      <c r="AK102" s="8"/>
      <c r="AL102" s="8"/>
      <c r="AM102" s="8"/>
      <c r="AN102" s="8"/>
      <c r="AO102" s="8"/>
      <c r="AP102" s="8"/>
      <c r="AQ102" s="8"/>
    </row>
    <row r="103" spans="2:43" ht="15.95" hidden="1" customHeight="1">
      <c r="B103" s="929"/>
      <c r="C103" s="8"/>
      <c r="D103" s="8"/>
      <c r="E103" s="8"/>
      <c r="F103" s="8"/>
      <c r="G103" s="8"/>
      <c r="H103" s="8"/>
      <c r="I103" s="8"/>
      <c r="J103" s="8"/>
      <c r="K103" s="8"/>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c r="AM103" s="8"/>
      <c r="AN103" s="8"/>
      <c r="AO103" s="8"/>
      <c r="AP103" s="8"/>
      <c r="AQ103" s="8"/>
    </row>
    <row r="104" spans="2:43" ht="15.95" hidden="1" customHeight="1">
      <c r="B104" s="929">
        <v>45</v>
      </c>
      <c r="C104" s="8"/>
      <c r="D104" s="8"/>
      <c r="E104" s="8"/>
      <c r="F104" s="8"/>
      <c r="G104" s="8"/>
      <c r="H104" s="8"/>
      <c r="I104" s="8"/>
      <c r="J104" s="8"/>
      <c r="K104" s="8"/>
      <c r="L104" s="8"/>
      <c r="M104" s="8"/>
      <c r="N104" s="8"/>
      <c r="O104" s="8"/>
      <c r="P104" s="8"/>
      <c r="Q104" s="8"/>
      <c r="R104" s="8"/>
      <c r="S104" s="8"/>
      <c r="T104" s="8"/>
      <c r="U104" s="8"/>
      <c r="V104" s="8"/>
      <c r="W104" s="8"/>
      <c r="X104" s="8"/>
      <c r="Y104" s="8"/>
      <c r="Z104" s="8"/>
      <c r="AA104" s="8"/>
      <c r="AB104" s="8"/>
      <c r="AC104" s="8"/>
      <c r="AD104" s="8"/>
      <c r="AE104" s="8"/>
      <c r="AF104" s="8"/>
      <c r="AG104" s="8"/>
      <c r="AH104" s="8"/>
      <c r="AI104" s="8"/>
      <c r="AJ104" s="8"/>
      <c r="AK104" s="8"/>
      <c r="AL104" s="8"/>
      <c r="AM104" s="8"/>
      <c r="AN104" s="8"/>
      <c r="AO104" s="8"/>
      <c r="AP104" s="8"/>
      <c r="AQ104" s="8"/>
    </row>
    <row r="105" spans="2:43" ht="15.95" hidden="1" customHeight="1">
      <c r="B105" s="929"/>
      <c r="C105" s="8"/>
      <c r="D105" s="8"/>
      <c r="E105" s="8"/>
      <c r="F105" s="8"/>
      <c r="G105" s="8"/>
      <c r="H105" s="8"/>
      <c r="I105" s="8"/>
      <c r="J105" s="8"/>
      <c r="K105" s="8"/>
      <c r="L105" s="8"/>
      <c r="M105" s="8"/>
      <c r="N105" s="8"/>
      <c r="O105" s="8"/>
      <c r="P105" s="8"/>
      <c r="Q105" s="8"/>
      <c r="R105" s="8"/>
      <c r="S105" s="8"/>
      <c r="T105" s="8"/>
      <c r="U105" s="8"/>
      <c r="V105" s="8"/>
      <c r="W105" s="8"/>
      <c r="X105" s="8"/>
      <c r="Y105" s="8"/>
      <c r="Z105" s="8"/>
      <c r="AA105" s="8"/>
      <c r="AB105" s="8"/>
      <c r="AC105" s="8"/>
      <c r="AD105" s="8"/>
      <c r="AE105" s="8"/>
      <c r="AF105" s="8"/>
      <c r="AG105" s="8"/>
      <c r="AH105" s="8"/>
      <c r="AI105" s="8"/>
      <c r="AJ105" s="8"/>
      <c r="AK105" s="8"/>
      <c r="AL105" s="8"/>
      <c r="AM105" s="8"/>
      <c r="AN105" s="8"/>
      <c r="AO105" s="8"/>
      <c r="AP105" s="8"/>
      <c r="AQ105" s="8"/>
    </row>
    <row r="106" spans="2:43" ht="15.95" hidden="1" customHeight="1">
      <c r="B106" s="929">
        <v>46</v>
      </c>
      <c r="C106" s="8"/>
      <c r="D106" s="8"/>
      <c r="E106" s="8"/>
      <c r="F106" s="8"/>
      <c r="G106" s="8"/>
      <c r="H106" s="8"/>
      <c r="I106" s="8"/>
      <c r="J106" s="8"/>
      <c r="K106" s="8"/>
      <c r="L106" s="8"/>
      <c r="M106" s="8"/>
      <c r="N106" s="8"/>
      <c r="O106" s="8"/>
      <c r="P106" s="8"/>
      <c r="Q106" s="8"/>
      <c r="R106" s="8"/>
      <c r="S106" s="8"/>
      <c r="T106" s="8"/>
      <c r="U106" s="8"/>
      <c r="V106" s="8"/>
      <c r="W106" s="8"/>
      <c r="X106" s="8"/>
      <c r="Y106" s="8"/>
      <c r="Z106" s="8"/>
      <c r="AA106" s="8"/>
      <c r="AB106" s="8"/>
      <c r="AC106" s="8"/>
      <c r="AD106" s="8"/>
      <c r="AE106" s="8"/>
      <c r="AF106" s="8"/>
      <c r="AG106" s="8"/>
      <c r="AH106" s="8"/>
      <c r="AI106" s="8"/>
      <c r="AJ106" s="8"/>
      <c r="AK106" s="8"/>
      <c r="AL106" s="8"/>
      <c r="AM106" s="8"/>
      <c r="AN106" s="8"/>
      <c r="AO106" s="8"/>
      <c r="AP106" s="8"/>
      <c r="AQ106" s="8"/>
    </row>
    <row r="107" spans="2:43" ht="15.95" hidden="1" customHeight="1">
      <c r="B107" s="929"/>
      <c r="C107" s="8"/>
      <c r="D107" s="8"/>
      <c r="E107" s="8"/>
      <c r="F107" s="8"/>
      <c r="G107" s="8"/>
      <c r="H107" s="8"/>
      <c r="I107" s="8"/>
      <c r="J107" s="8"/>
      <c r="K107" s="8"/>
      <c r="L107" s="8"/>
      <c r="M107" s="8"/>
      <c r="N107" s="8"/>
      <c r="O107" s="8"/>
      <c r="P107" s="8"/>
      <c r="Q107" s="8"/>
      <c r="R107" s="8"/>
      <c r="S107" s="8"/>
      <c r="T107" s="8"/>
      <c r="U107" s="8"/>
      <c r="V107" s="8"/>
      <c r="W107" s="8"/>
      <c r="X107" s="8"/>
      <c r="Y107" s="8"/>
      <c r="Z107" s="8"/>
      <c r="AA107" s="8"/>
      <c r="AB107" s="8"/>
      <c r="AC107" s="8"/>
      <c r="AD107" s="8"/>
      <c r="AE107" s="8"/>
      <c r="AF107" s="8"/>
      <c r="AG107" s="8"/>
      <c r="AH107" s="8"/>
      <c r="AI107" s="8"/>
      <c r="AJ107" s="8"/>
      <c r="AK107" s="8"/>
      <c r="AL107" s="8"/>
      <c r="AM107" s="8"/>
      <c r="AN107" s="8"/>
      <c r="AO107" s="8"/>
      <c r="AP107" s="8"/>
      <c r="AQ107" s="8"/>
    </row>
    <row r="108" spans="2:43" ht="15.95" hidden="1" customHeight="1">
      <c r="B108" s="929">
        <v>47</v>
      </c>
      <c r="C108" s="8"/>
      <c r="D108" s="8"/>
      <c r="E108" s="8"/>
      <c r="F108" s="8"/>
      <c r="G108" s="8"/>
      <c r="H108" s="8"/>
      <c r="I108" s="8"/>
      <c r="J108" s="8"/>
      <c r="K108" s="8"/>
      <c r="L108" s="8"/>
      <c r="M108" s="8"/>
      <c r="N108" s="8"/>
      <c r="O108" s="8"/>
      <c r="P108" s="8"/>
      <c r="Q108" s="8"/>
      <c r="R108" s="8"/>
      <c r="S108" s="8"/>
      <c r="T108" s="8"/>
      <c r="U108" s="8"/>
      <c r="V108" s="8"/>
      <c r="W108" s="8"/>
      <c r="X108" s="8"/>
      <c r="Y108" s="8"/>
      <c r="Z108" s="8"/>
      <c r="AA108" s="8"/>
      <c r="AB108" s="8"/>
      <c r="AC108" s="8"/>
      <c r="AD108" s="8"/>
      <c r="AE108" s="8"/>
      <c r="AF108" s="8"/>
      <c r="AG108" s="8"/>
      <c r="AH108" s="8"/>
      <c r="AI108" s="8"/>
      <c r="AJ108" s="8"/>
      <c r="AK108" s="8"/>
      <c r="AL108" s="8"/>
      <c r="AM108" s="8"/>
      <c r="AN108" s="8"/>
      <c r="AO108" s="8"/>
      <c r="AP108" s="8"/>
      <c r="AQ108" s="8"/>
    </row>
    <row r="109" spans="2:43" ht="15.95" hidden="1" customHeight="1">
      <c r="B109" s="929"/>
      <c r="C109" s="8"/>
      <c r="D109" s="8"/>
      <c r="E109" s="8"/>
      <c r="F109" s="8"/>
      <c r="G109" s="8"/>
      <c r="H109" s="8"/>
      <c r="I109" s="8"/>
      <c r="J109" s="8"/>
      <c r="K109" s="8"/>
      <c r="L109" s="8"/>
      <c r="M109" s="8"/>
      <c r="N109" s="8"/>
      <c r="O109" s="8"/>
      <c r="P109" s="8"/>
      <c r="Q109" s="8"/>
      <c r="R109" s="8"/>
      <c r="S109" s="8"/>
      <c r="T109" s="8"/>
      <c r="U109" s="8"/>
      <c r="V109" s="8"/>
      <c r="W109" s="8"/>
      <c r="X109" s="8"/>
      <c r="Y109" s="8"/>
      <c r="Z109" s="8"/>
      <c r="AA109" s="8"/>
      <c r="AB109" s="8"/>
      <c r="AC109" s="8"/>
      <c r="AD109" s="8"/>
      <c r="AE109" s="8"/>
      <c r="AF109" s="8"/>
      <c r="AG109" s="8"/>
      <c r="AH109" s="8"/>
      <c r="AI109" s="8"/>
      <c r="AJ109" s="8"/>
      <c r="AK109" s="8"/>
      <c r="AL109" s="8"/>
      <c r="AM109" s="8"/>
      <c r="AN109" s="8"/>
      <c r="AO109" s="8"/>
      <c r="AP109" s="8"/>
      <c r="AQ109" s="8"/>
    </row>
    <row r="110" spans="2:43" ht="15.95" hidden="1" customHeight="1">
      <c r="B110" s="929">
        <v>48</v>
      </c>
      <c r="C110" s="8"/>
      <c r="D110" s="8"/>
      <c r="E110" s="8"/>
      <c r="F110" s="8"/>
      <c r="G110" s="8"/>
      <c r="H110" s="8"/>
      <c r="I110" s="8"/>
      <c r="J110" s="8"/>
      <c r="K110" s="8"/>
      <c r="L110" s="8"/>
      <c r="M110" s="8"/>
      <c r="N110" s="8"/>
      <c r="O110" s="8"/>
      <c r="P110" s="8"/>
      <c r="Q110" s="8"/>
      <c r="R110" s="8"/>
      <c r="S110" s="8"/>
      <c r="T110" s="8"/>
      <c r="U110" s="8"/>
      <c r="V110" s="8"/>
      <c r="W110" s="8"/>
      <c r="X110" s="8"/>
      <c r="Y110" s="8"/>
      <c r="Z110" s="8"/>
      <c r="AA110" s="8"/>
      <c r="AB110" s="8"/>
      <c r="AC110" s="8"/>
      <c r="AD110" s="8"/>
      <c r="AE110" s="8"/>
      <c r="AF110" s="8"/>
      <c r="AG110" s="8"/>
      <c r="AH110" s="8"/>
      <c r="AI110" s="8"/>
      <c r="AJ110" s="8"/>
      <c r="AK110" s="8"/>
      <c r="AL110" s="8"/>
      <c r="AM110" s="8"/>
      <c r="AN110" s="8"/>
      <c r="AO110" s="8"/>
      <c r="AP110" s="8"/>
      <c r="AQ110" s="8"/>
    </row>
    <row r="111" spans="2:43" ht="15.95" hidden="1" customHeight="1">
      <c r="B111" s="929"/>
      <c r="C111" s="8"/>
      <c r="D111" s="8"/>
      <c r="E111" s="8"/>
      <c r="F111" s="8"/>
      <c r="G111" s="8"/>
      <c r="H111" s="8"/>
      <c r="I111" s="8"/>
      <c r="J111" s="8"/>
      <c r="K111" s="8"/>
      <c r="L111" s="8"/>
      <c r="M111" s="8"/>
      <c r="N111" s="8"/>
      <c r="O111" s="8"/>
      <c r="P111" s="8"/>
      <c r="Q111" s="8"/>
      <c r="R111" s="8"/>
      <c r="S111" s="8"/>
      <c r="T111" s="8"/>
      <c r="U111" s="8"/>
      <c r="V111" s="8"/>
      <c r="W111" s="8"/>
      <c r="X111" s="8"/>
      <c r="Y111" s="8"/>
      <c r="Z111" s="8"/>
      <c r="AA111" s="8"/>
      <c r="AB111" s="8"/>
      <c r="AC111" s="8"/>
      <c r="AD111" s="8"/>
      <c r="AE111" s="8"/>
      <c r="AF111" s="8"/>
      <c r="AG111" s="8"/>
      <c r="AH111" s="8"/>
      <c r="AI111" s="8"/>
      <c r="AJ111" s="8"/>
      <c r="AK111" s="8"/>
      <c r="AL111" s="8"/>
      <c r="AM111" s="8"/>
      <c r="AN111" s="8"/>
      <c r="AO111" s="8"/>
      <c r="AP111" s="8"/>
      <c r="AQ111" s="8"/>
    </row>
    <row r="112" spans="2:43" ht="15.95" hidden="1" customHeight="1">
      <c r="B112" s="929">
        <v>49</v>
      </c>
      <c r="C112" s="8"/>
      <c r="D112" s="8"/>
      <c r="E112" s="8"/>
      <c r="F112" s="8"/>
      <c r="G112" s="8"/>
      <c r="H112" s="8"/>
      <c r="I112" s="8"/>
      <c r="J112" s="8"/>
      <c r="K112" s="8"/>
      <c r="L112" s="8"/>
      <c r="M112" s="8"/>
      <c r="N112" s="8"/>
      <c r="O112" s="8"/>
      <c r="P112" s="8"/>
      <c r="Q112" s="8"/>
      <c r="R112" s="8"/>
      <c r="S112" s="8"/>
      <c r="T112" s="8"/>
      <c r="U112" s="8"/>
      <c r="V112" s="8"/>
      <c r="W112" s="8"/>
      <c r="X112" s="8"/>
      <c r="Y112" s="8"/>
      <c r="Z112" s="8"/>
      <c r="AA112" s="8"/>
      <c r="AB112" s="8"/>
      <c r="AC112" s="8"/>
      <c r="AD112" s="8"/>
      <c r="AE112" s="8"/>
      <c r="AF112" s="8"/>
      <c r="AG112" s="8"/>
      <c r="AH112" s="8"/>
      <c r="AI112" s="8"/>
      <c r="AJ112" s="8"/>
      <c r="AK112" s="8"/>
      <c r="AL112" s="8"/>
      <c r="AM112" s="8"/>
      <c r="AN112" s="8"/>
      <c r="AO112" s="8"/>
      <c r="AP112" s="8"/>
      <c r="AQ112" s="8"/>
    </row>
    <row r="113" spans="2:43" ht="15.95" hidden="1" customHeight="1">
      <c r="B113" s="929"/>
      <c r="C113" s="8"/>
      <c r="D113" s="8"/>
      <c r="E113" s="8"/>
      <c r="F113" s="8"/>
      <c r="G113" s="8"/>
      <c r="H113" s="8"/>
      <c r="I113" s="8"/>
      <c r="J113" s="8"/>
      <c r="K113" s="8"/>
      <c r="L113" s="8"/>
      <c r="M113" s="8"/>
      <c r="N113" s="8"/>
      <c r="O113" s="8"/>
      <c r="P113" s="8"/>
      <c r="Q113" s="8"/>
      <c r="R113" s="8"/>
      <c r="S113" s="8"/>
      <c r="T113" s="8"/>
      <c r="U113" s="8"/>
      <c r="V113" s="8"/>
      <c r="W113" s="8"/>
      <c r="X113" s="8"/>
      <c r="Y113" s="8"/>
      <c r="Z113" s="8"/>
      <c r="AA113" s="8"/>
      <c r="AB113" s="8"/>
      <c r="AC113" s="8"/>
      <c r="AD113" s="8"/>
      <c r="AE113" s="8"/>
      <c r="AF113" s="8"/>
      <c r="AG113" s="8"/>
      <c r="AH113" s="8"/>
      <c r="AI113" s="8"/>
      <c r="AJ113" s="8"/>
      <c r="AK113" s="8"/>
      <c r="AL113" s="8"/>
      <c r="AM113" s="8"/>
      <c r="AN113" s="8"/>
      <c r="AO113" s="8"/>
      <c r="AP113" s="8"/>
      <c r="AQ113" s="8"/>
    </row>
    <row r="114" spans="2:43" ht="15.95" hidden="1" customHeight="1">
      <c r="B114" s="929">
        <v>50</v>
      </c>
      <c r="C114" s="8"/>
      <c r="D114" s="8"/>
      <c r="E114" s="8"/>
      <c r="F114" s="8"/>
      <c r="G114" s="8"/>
      <c r="H114" s="8"/>
      <c r="I114" s="8"/>
      <c r="J114" s="8"/>
      <c r="K114" s="8"/>
      <c r="L114" s="8"/>
      <c r="M114" s="8"/>
      <c r="N114" s="8"/>
      <c r="O114" s="8"/>
      <c r="P114" s="8"/>
      <c r="Q114" s="8"/>
      <c r="R114" s="8"/>
      <c r="S114" s="8"/>
      <c r="T114" s="8"/>
      <c r="U114" s="8"/>
      <c r="V114" s="8"/>
      <c r="W114" s="8"/>
      <c r="X114" s="8"/>
      <c r="Y114" s="8"/>
      <c r="Z114" s="8"/>
      <c r="AA114" s="8"/>
      <c r="AB114" s="8"/>
      <c r="AC114" s="8"/>
      <c r="AD114" s="8"/>
      <c r="AE114" s="8"/>
      <c r="AF114" s="8"/>
      <c r="AG114" s="8"/>
      <c r="AH114" s="8"/>
      <c r="AI114" s="8"/>
      <c r="AJ114" s="8"/>
      <c r="AK114" s="8"/>
      <c r="AL114" s="8"/>
      <c r="AM114" s="8"/>
      <c r="AN114" s="8"/>
      <c r="AO114" s="8"/>
      <c r="AP114" s="8"/>
      <c r="AQ114" s="8"/>
    </row>
    <row r="115" spans="2:43" ht="15.95" hidden="1" customHeight="1">
      <c r="B115" s="929"/>
      <c r="C115" s="8"/>
      <c r="D115" s="8"/>
      <c r="E115" s="8"/>
      <c r="F115" s="8"/>
      <c r="G115" s="8"/>
      <c r="H115" s="8"/>
      <c r="I115" s="8"/>
      <c r="J115" s="8"/>
      <c r="K115" s="8"/>
      <c r="L115" s="8"/>
      <c r="M115" s="8"/>
      <c r="N115" s="8"/>
      <c r="O115" s="8"/>
      <c r="P115" s="8"/>
      <c r="Q115" s="8"/>
      <c r="R115" s="8"/>
      <c r="S115" s="8"/>
      <c r="T115" s="8"/>
      <c r="U115" s="8"/>
      <c r="V115" s="8"/>
      <c r="W115" s="8"/>
      <c r="X115" s="8"/>
      <c r="Y115" s="8"/>
      <c r="Z115" s="8"/>
      <c r="AA115" s="8"/>
      <c r="AB115" s="8"/>
      <c r="AC115" s="8"/>
      <c r="AD115" s="8"/>
      <c r="AE115" s="8"/>
      <c r="AF115" s="8"/>
      <c r="AG115" s="8"/>
      <c r="AH115" s="8"/>
      <c r="AI115" s="8"/>
      <c r="AJ115" s="8"/>
      <c r="AK115" s="8"/>
      <c r="AL115" s="8"/>
      <c r="AM115" s="8"/>
      <c r="AN115" s="8"/>
      <c r="AO115" s="8"/>
      <c r="AP115" s="8"/>
      <c r="AQ115" s="8"/>
    </row>
    <row r="116" spans="2:43" ht="15.95" hidden="1" customHeight="1">
      <c r="B116" s="929">
        <v>51</v>
      </c>
      <c r="C116" s="8"/>
      <c r="D116" s="8"/>
      <c r="E116" s="8"/>
      <c r="F116" s="8"/>
      <c r="G116" s="8"/>
      <c r="H116" s="8"/>
      <c r="I116" s="8"/>
      <c r="J116" s="8"/>
      <c r="K116" s="8"/>
      <c r="L116" s="8"/>
      <c r="M116" s="8"/>
      <c r="N116" s="8"/>
      <c r="O116" s="8"/>
      <c r="P116" s="8"/>
      <c r="Q116" s="8"/>
      <c r="R116" s="8"/>
      <c r="S116" s="8"/>
      <c r="T116" s="8"/>
      <c r="U116" s="8"/>
      <c r="V116" s="8"/>
      <c r="W116" s="8"/>
      <c r="X116" s="8"/>
      <c r="Y116" s="8"/>
      <c r="Z116" s="8"/>
      <c r="AA116" s="8"/>
      <c r="AB116" s="8"/>
      <c r="AC116" s="8"/>
      <c r="AD116" s="8"/>
      <c r="AE116" s="8"/>
      <c r="AF116" s="8"/>
      <c r="AG116" s="8"/>
      <c r="AH116" s="8"/>
      <c r="AI116" s="8"/>
      <c r="AJ116" s="8"/>
      <c r="AK116" s="8"/>
      <c r="AL116" s="8"/>
      <c r="AM116" s="8"/>
      <c r="AN116" s="8"/>
      <c r="AO116" s="8"/>
      <c r="AP116" s="8"/>
      <c r="AQ116" s="8"/>
    </row>
    <row r="117" spans="2:43" ht="15.95" hidden="1" customHeight="1">
      <c r="B117" s="929"/>
      <c r="C117" s="8"/>
      <c r="D117" s="8"/>
      <c r="E117" s="8"/>
      <c r="F117" s="8"/>
      <c r="G117" s="8"/>
      <c r="H117" s="8"/>
      <c r="I117" s="8"/>
      <c r="J117" s="8"/>
      <c r="K117" s="8"/>
      <c r="L117" s="8"/>
      <c r="M117" s="8"/>
      <c r="N117" s="8"/>
      <c r="O117" s="8"/>
      <c r="P117" s="8"/>
      <c r="Q117" s="8"/>
      <c r="R117" s="8"/>
      <c r="S117" s="8"/>
      <c r="T117" s="8"/>
      <c r="U117" s="8"/>
      <c r="V117" s="8"/>
      <c r="W117" s="8"/>
      <c r="X117" s="8"/>
      <c r="Y117" s="8"/>
      <c r="Z117" s="8"/>
      <c r="AA117" s="8"/>
      <c r="AB117" s="8"/>
      <c r="AC117" s="8"/>
      <c r="AD117" s="8"/>
      <c r="AE117" s="8"/>
      <c r="AF117" s="8"/>
      <c r="AG117" s="8"/>
      <c r="AH117" s="8"/>
      <c r="AI117" s="8"/>
      <c r="AJ117" s="8"/>
      <c r="AK117" s="8"/>
      <c r="AL117" s="8"/>
      <c r="AM117" s="8"/>
      <c r="AN117" s="8"/>
      <c r="AO117" s="8"/>
      <c r="AP117" s="8"/>
      <c r="AQ117" s="8"/>
    </row>
    <row r="118" spans="2:43" ht="15.95" hidden="1" customHeight="1">
      <c r="B118" s="929">
        <v>52</v>
      </c>
      <c r="C118" s="8"/>
      <c r="D118" s="8"/>
      <c r="E118" s="8"/>
      <c r="F118" s="8"/>
      <c r="G118" s="8"/>
      <c r="H118" s="8"/>
      <c r="I118" s="8"/>
      <c r="J118" s="8"/>
      <c r="K118" s="8"/>
      <c r="L118" s="8"/>
      <c r="M118" s="8"/>
      <c r="N118" s="8"/>
      <c r="O118" s="8"/>
      <c r="P118" s="8"/>
      <c r="Q118" s="8"/>
      <c r="R118" s="8"/>
      <c r="S118" s="8"/>
      <c r="T118" s="8"/>
      <c r="U118" s="8"/>
      <c r="V118" s="8"/>
      <c r="W118" s="8"/>
      <c r="X118" s="8"/>
      <c r="Y118" s="8"/>
      <c r="Z118" s="8"/>
      <c r="AA118" s="8"/>
      <c r="AB118" s="8"/>
      <c r="AC118" s="8"/>
      <c r="AD118" s="8"/>
      <c r="AE118" s="8"/>
      <c r="AF118" s="8"/>
      <c r="AG118" s="8"/>
      <c r="AH118" s="8"/>
      <c r="AI118" s="8"/>
      <c r="AJ118" s="8"/>
      <c r="AK118" s="8"/>
      <c r="AL118" s="8"/>
      <c r="AM118" s="8"/>
      <c r="AN118" s="8"/>
      <c r="AO118" s="8"/>
      <c r="AP118" s="8"/>
      <c r="AQ118" s="8"/>
    </row>
    <row r="119" spans="2:43" ht="15.95" hidden="1" customHeight="1">
      <c r="B119" s="929"/>
      <c r="C119" s="8"/>
      <c r="D119" s="8"/>
      <c r="E119" s="8"/>
      <c r="F119" s="8"/>
      <c r="G119" s="8"/>
      <c r="H119" s="8"/>
      <c r="I119" s="8"/>
      <c r="J119" s="8"/>
      <c r="K119" s="8"/>
      <c r="L119" s="8"/>
      <c r="M119" s="8"/>
      <c r="N119" s="8"/>
      <c r="O119" s="8"/>
      <c r="P119" s="8"/>
      <c r="Q119" s="8"/>
      <c r="R119" s="8"/>
      <c r="S119" s="8"/>
      <c r="T119" s="8"/>
      <c r="U119" s="8"/>
      <c r="V119" s="8"/>
      <c r="W119" s="8"/>
      <c r="X119" s="8"/>
      <c r="Y119" s="8"/>
      <c r="Z119" s="8"/>
      <c r="AA119" s="8"/>
      <c r="AB119" s="8"/>
      <c r="AC119" s="8"/>
      <c r="AD119" s="8"/>
      <c r="AE119" s="8"/>
      <c r="AF119" s="8"/>
      <c r="AG119" s="8"/>
      <c r="AH119" s="8"/>
      <c r="AI119" s="8"/>
      <c r="AJ119" s="8"/>
      <c r="AK119" s="8"/>
      <c r="AL119" s="8"/>
      <c r="AM119" s="8"/>
      <c r="AN119" s="8"/>
      <c r="AO119" s="8"/>
      <c r="AP119" s="8"/>
      <c r="AQ119" s="8"/>
    </row>
    <row r="120" spans="2:43" ht="15.95" hidden="1" customHeight="1">
      <c r="B120" s="929">
        <v>53</v>
      </c>
      <c r="C120" s="8"/>
      <c r="D120" s="8"/>
      <c r="E120" s="8"/>
      <c r="F120" s="8"/>
      <c r="G120" s="8"/>
      <c r="H120" s="8"/>
      <c r="I120" s="8"/>
      <c r="J120" s="8"/>
      <c r="K120" s="8"/>
      <c r="L120" s="8"/>
      <c r="M120" s="8"/>
      <c r="N120" s="8"/>
      <c r="O120" s="8"/>
      <c r="P120" s="8"/>
      <c r="Q120" s="8"/>
      <c r="R120" s="8"/>
      <c r="S120" s="8"/>
      <c r="T120" s="8"/>
      <c r="U120" s="8"/>
      <c r="V120" s="8"/>
      <c r="W120" s="8"/>
      <c r="X120" s="8"/>
      <c r="Y120" s="8"/>
      <c r="Z120" s="8"/>
      <c r="AA120" s="8"/>
      <c r="AB120" s="8"/>
      <c r="AC120" s="8"/>
      <c r="AD120" s="8"/>
      <c r="AE120" s="8"/>
      <c r="AF120" s="8"/>
      <c r="AG120" s="8"/>
      <c r="AH120" s="8"/>
      <c r="AI120" s="8"/>
      <c r="AJ120" s="8"/>
      <c r="AK120" s="8"/>
      <c r="AL120" s="8"/>
      <c r="AM120" s="8"/>
      <c r="AN120" s="8"/>
      <c r="AO120" s="8"/>
      <c r="AP120" s="8"/>
      <c r="AQ120" s="8"/>
    </row>
    <row r="121" spans="2:43" ht="15.95" hidden="1" customHeight="1">
      <c r="B121" s="929"/>
      <c r="C121" s="8"/>
      <c r="D121" s="8"/>
      <c r="E121" s="8"/>
      <c r="F121" s="8"/>
      <c r="G121" s="8"/>
      <c r="H121" s="8"/>
      <c r="I121" s="8"/>
      <c r="J121" s="8"/>
      <c r="K121" s="8"/>
      <c r="L121" s="8"/>
      <c r="M121" s="8"/>
      <c r="N121" s="8"/>
      <c r="O121" s="8"/>
      <c r="P121" s="8"/>
      <c r="Q121" s="8"/>
      <c r="R121" s="8"/>
      <c r="S121" s="8"/>
      <c r="T121" s="8"/>
      <c r="U121" s="8"/>
      <c r="V121" s="8"/>
      <c r="W121" s="8"/>
      <c r="X121" s="8"/>
      <c r="Y121" s="8"/>
      <c r="Z121" s="8"/>
      <c r="AA121" s="8"/>
      <c r="AB121" s="8"/>
      <c r="AC121" s="8"/>
      <c r="AD121" s="8"/>
      <c r="AE121" s="8"/>
      <c r="AF121" s="8"/>
      <c r="AG121" s="8"/>
      <c r="AH121" s="8"/>
      <c r="AI121" s="8"/>
      <c r="AJ121" s="8"/>
      <c r="AK121" s="8"/>
      <c r="AL121" s="8"/>
      <c r="AM121" s="8"/>
      <c r="AN121" s="8"/>
      <c r="AO121" s="8"/>
      <c r="AP121" s="8"/>
      <c r="AQ121" s="8"/>
    </row>
    <row r="122" spans="2:43" ht="15.95" hidden="1" customHeight="1">
      <c r="B122" s="929">
        <v>54</v>
      </c>
      <c r="C122" s="8"/>
      <c r="D122" s="8"/>
      <c r="E122" s="8"/>
      <c r="F122" s="8"/>
      <c r="G122" s="8"/>
      <c r="H122" s="8"/>
      <c r="I122" s="8"/>
      <c r="J122" s="8"/>
      <c r="K122" s="8"/>
      <c r="L122" s="8"/>
      <c r="M122" s="8"/>
      <c r="N122" s="8"/>
      <c r="O122" s="8"/>
      <c r="P122" s="8"/>
      <c r="Q122" s="8"/>
      <c r="R122" s="8"/>
      <c r="S122" s="8"/>
      <c r="T122" s="8"/>
      <c r="U122" s="8"/>
      <c r="V122" s="8"/>
      <c r="W122" s="8"/>
      <c r="X122" s="8"/>
      <c r="Y122" s="8"/>
      <c r="Z122" s="8"/>
      <c r="AA122" s="8"/>
      <c r="AB122" s="8"/>
      <c r="AC122" s="8"/>
      <c r="AD122" s="8"/>
      <c r="AE122" s="8"/>
      <c r="AF122" s="8"/>
      <c r="AG122" s="8"/>
      <c r="AH122" s="8"/>
      <c r="AI122" s="8"/>
      <c r="AJ122" s="8"/>
      <c r="AK122" s="8"/>
      <c r="AL122" s="8"/>
      <c r="AM122" s="8"/>
      <c r="AN122" s="8"/>
      <c r="AO122" s="8"/>
      <c r="AP122" s="8"/>
      <c r="AQ122" s="8"/>
    </row>
    <row r="123" spans="2:43" ht="15.95" hidden="1" customHeight="1">
      <c r="B123" s="929"/>
      <c r="C123" s="8"/>
      <c r="D123" s="8"/>
      <c r="E123" s="8"/>
      <c r="F123" s="8"/>
      <c r="G123" s="8"/>
      <c r="H123" s="8"/>
      <c r="I123" s="8"/>
      <c r="J123" s="8"/>
      <c r="K123" s="8"/>
      <c r="L123" s="8"/>
      <c r="M123" s="8"/>
      <c r="N123" s="8"/>
      <c r="O123" s="8"/>
      <c r="P123" s="8"/>
      <c r="Q123" s="8"/>
      <c r="R123" s="8"/>
      <c r="S123" s="8"/>
      <c r="T123" s="8"/>
      <c r="U123" s="8"/>
      <c r="V123" s="8"/>
      <c r="W123" s="8"/>
      <c r="X123" s="8"/>
      <c r="Y123" s="8"/>
      <c r="Z123" s="8"/>
      <c r="AA123" s="8"/>
      <c r="AB123" s="8"/>
      <c r="AC123" s="8"/>
      <c r="AD123" s="8"/>
      <c r="AE123" s="8"/>
      <c r="AF123" s="8"/>
      <c r="AG123" s="8"/>
      <c r="AH123" s="8"/>
      <c r="AI123" s="8"/>
      <c r="AJ123" s="8"/>
      <c r="AK123" s="8"/>
      <c r="AL123" s="8"/>
      <c r="AM123" s="8"/>
      <c r="AN123" s="8"/>
      <c r="AO123" s="8"/>
      <c r="AP123" s="8"/>
      <c r="AQ123" s="8"/>
    </row>
    <row r="124" spans="2:43" ht="15.95" hidden="1" customHeight="1">
      <c r="B124" s="929">
        <v>55</v>
      </c>
      <c r="C124" s="8"/>
      <c r="D124" s="8"/>
      <c r="E124" s="8"/>
      <c r="F124" s="8"/>
      <c r="G124" s="8"/>
      <c r="H124" s="8"/>
      <c r="I124" s="8"/>
      <c r="J124" s="8"/>
      <c r="K124" s="8"/>
      <c r="L124" s="8"/>
      <c r="M124" s="8"/>
      <c r="N124" s="8"/>
      <c r="O124" s="8"/>
      <c r="P124" s="8"/>
      <c r="Q124" s="8"/>
      <c r="R124" s="8"/>
      <c r="S124" s="8"/>
      <c r="T124" s="8"/>
      <c r="U124" s="8"/>
      <c r="V124" s="8"/>
      <c r="W124" s="8"/>
      <c r="X124" s="8"/>
      <c r="Y124" s="8"/>
      <c r="Z124" s="8"/>
      <c r="AA124" s="8"/>
      <c r="AB124" s="8"/>
      <c r="AC124" s="8"/>
      <c r="AD124" s="8"/>
      <c r="AE124" s="8"/>
      <c r="AF124" s="8"/>
      <c r="AG124" s="8"/>
      <c r="AH124" s="8"/>
      <c r="AI124" s="8"/>
      <c r="AJ124" s="8"/>
      <c r="AK124" s="8"/>
      <c r="AL124" s="8"/>
      <c r="AM124" s="8"/>
      <c r="AN124" s="8"/>
      <c r="AO124" s="8"/>
      <c r="AP124" s="8"/>
      <c r="AQ124" s="8"/>
    </row>
    <row r="125" spans="2:43" ht="15.95" hidden="1" customHeight="1">
      <c r="B125" s="929"/>
      <c r="C125" s="8"/>
      <c r="D125" s="8"/>
      <c r="E125" s="8"/>
      <c r="F125" s="8"/>
      <c r="G125" s="8"/>
      <c r="H125" s="8"/>
      <c r="I125" s="8"/>
      <c r="J125" s="8"/>
      <c r="K125" s="8"/>
      <c r="L125" s="8"/>
      <c r="M125" s="8"/>
      <c r="N125" s="8"/>
      <c r="O125" s="8"/>
      <c r="P125" s="8"/>
      <c r="Q125" s="8"/>
      <c r="R125" s="8"/>
      <c r="S125" s="8"/>
      <c r="T125" s="8"/>
      <c r="U125" s="8"/>
      <c r="V125" s="8"/>
      <c r="W125" s="8"/>
      <c r="X125" s="8"/>
      <c r="Y125" s="8"/>
      <c r="Z125" s="8"/>
      <c r="AA125" s="8"/>
      <c r="AB125" s="8"/>
      <c r="AC125" s="8"/>
      <c r="AD125" s="8"/>
      <c r="AE125" s="8"/>
      <c r="AF125" s="8"/>
      <c r="AG125" s="8"/>
      <c r="AH125" s="8"/>
      <c r="AI125" s="8"/>
      <c r="AJ125" s="8"/>
      <c r="AK125" s="8"/>
      <c r="AL125" s="8"/>
      <c r="AM125" s="8"/>
      <c r="AN125" s="8"/>
      <c r="AO125" s="8"/>
      <c r="AP125" s="8"/>
      <c r="AQ125" s="8"/>
    </row>
    <row r="126" spans="2:43" ht="15.95" hidden="1" customHeight="1">
      <c r="B126" s="929">
        <v>56</v>
      </c>
      <c r="C126" s="8"/>
      <c r="D126" s="8"/>
      <c r="E126" s="8"/>
      <c r="F126" s="8"/>
      <c r="G126" s="8"/>
      <c r="H126" s="8"/>
      <c r="I126" s="8"/>
      <c r="J126" s="8"/>
      <c r="K126" s="8"/>
      <c r="L126" s="8"/>
      <c r="M126" s="8"/>
      <c r="N126" s="8"/>
      <c r="O126" s="8"/>
      <c r="P126" s="8"/>
      <c r="Q126" s="8"/>
      <c r="R126" s="8"/>
      <c r="S126" s="8"/>
      <c r="T126" s="8"/>
      <c r="U126" s="8"/>
      <c r="V126" s="8"/>
      <c r="W126" s="8"/>
      <c r="X126" s="8"/>
      <c r="Y126" s="8"/>
      <c r="Z126" s="8"/>
      <c r="AA126" s="8"/>
      <c r="AB126" s="8"/>
      <c r="AC126" s="8"/>
      <c r="AD126" s="8"/>
      <c r="AE126" s="8"/>
      <c r="AF126" s="8"/>
      <c r="AG126" s="8"/>
      <c r="AH126" s="8"/>
      <c r="AI126" s="8"/>
      <c r="AJ126" s="8"/>
      <c r="AK126" s="8"/>
      <c r="AL126" s="8"/>
      <c r="AM126" s="8"/>
      <c r="AN126" s="8"/>
      <c r="AO126" s="8"/>
      <c r="AP126" s="8"/>
      <c r="AQ126" s="8"/>
    </row>
    <row r="127" spans="2:43" ht="15.95" hidden="1" customHeight="1">
      <c r="B127" s="929"/>
      <c r="C127" s="8"/>
      <c r="D127" s="8"/>
      <c r="E127" s="8"/>
      <c r="F127" s="8"/>
      <c r="G127" s="8"/>
      <c r="H127" s="8"/>
      <c r="I127" s="8"/>
      <c r="J127" s="8"/>
      <c r="K127" s="8"/>
      <c r="L127" s="8"/>
      <c r="M127" s="8"/>
      <c r="N127" s="8"/>
      <c r="O127" s="8"/>
      <c r="P127" s="8"/>
      <c r="Q127" s="8"/>
      <c r="R127" s="8"/>
      <c r="S127" s="8"/>
      <c r="T127" s="8"/>
      <c r="U127" s="8"/>
      <c r="V127" s="8"/>
      <c r="W127" s="8"/>
      <c r="X127" s="8"/>
      <c r="Y127" s="8"/>
      <c r="Z127" s="8"/>
      <c r="AA127" s="8"/>
      <c r="AB127" s="8"/>
      <c r="AC127" s="8"/>
      <c r="AD127" s="8"/>
      <c r="AE127" s="8"/>
      <c r="AF127" s="8"/>
      <c r="AG127" s="8"/>
      <c r="AH127" s="8"/>
      <c r="AI127" s="8"/>
      <c r="AJ127" s="8"/>
      <c r="AK127" s="8"/>
      <c r="AL127" s="8"/>
      <c r="AM127" s="8"/>
      <c r="AN127" s="8"/>
      <c r="AO127" s="8"/>
      <c r="AP127" s="8"/>
      <c r="AQ127" s="8"/>
    </row>
    <row r="128" spans="2:43" ht="15.95" hidden="1" customHeight="1">
      <c r="B128" s="929">
        <v>57</v>
      </c>
      <c r="C128" s="8"/>
      <c r="D128" s="8"/>
      <c r="E128" s="8"/>
      <c r="F128" s="8"/>
      <c r="G128" s="8"/>
      <c r="H128" s="8"/>
      <c r="I128" s="8"/>
      <c r="J128" s="8"/>
      <c r="K128" s="8"/>
      <c r="L128" s="8"/>
      <c r="M128" s="8"/>
      <c r="N128" s="8"/>
      <c r="O128" s="8"/>
      <c r="P128" s="8"/>
      <c r="Q128" s="8"/>
      <c r="R128" s="8"/>
      <c r="S128" s="8"/>
      <c r="T128" s="8"/>
      <c r="U128" s="8"/>
      <c r="V128" s="8"/>
      <c r="W128" s="8"/>
      <c r="X128" s="8"/>
      <c r="Y128" s="8"/>
      <c r="Z128" s="8"/>
      <c r="AA128" s="8"/>
      <c r="AB128" s="8"/>
      <c r="AC128" s="8"/>
      <c r="AD128" s="8"/>
      <c r="AE128" s="8"/>
      <c r="AF128" s="8"/>
      <c r="AG128" s="8"/>
      <c r="AH128" s="8"/>
      <c r="AI128" s="8"/>
      <c r="AJ128" s="8"/>
      <c r="AK128" s="8"/>
      <c r="AL128" s="8"/>
      <c r="AM128" s="8"/>
      <c r="AN128" s="8"/>
      <c r="AO128" s="8"/>
      <c r="AP128" s="8"/>
      <c r="AQ128" s="8"/>
    </row>
    <row r="129" spans="2:43" ht="15.95" hidden="1" customHeight="1">
      <c r="B129" s="929"/>
      <c r="C129" s="8"/>
      <c r="D129" s="8"/>
      <c r="E129" s="8"/>
      <c r="F129" s="8"/>
      <c r="G129" s="8"/>
      <c r="H129" s="8"/>
      <c r="I129" s="8"/>
      <c r="J129" s="8"/>
      <c r="K129" s="8"/>
      <c r="L129" s="8"/>
      <c r="M129" s="8"/>
      <c r="N129" s="8"/>
      <c r="O129" s="8"/>
      <c r="P129" s="8"/>
      <c r="Q129" s="8"/>
      <c r="R129" s="8"/>
      <c r="S129" s="8"/>
      <c r="T129" s="8"/>
      <c r="U129" s="8"/>
      <c r="V129" s="8"/>
      <c r="W129" s="8"/>
      <c r="X129" s="8"/>
      <c r="Y129" s="8"/>
      <c r="Z129" s="8"/>
      <c r="AA129" s="8"/>
      <c r="AB129" s="8"/>
      <c r="AC129" s="8"/>
      <c r="AD129" s="8"/>
      <c r="AE129" s="8"/>
      <c r="AF129" s="8"/>
      <c r="AG129" s="8"/>
      <c r="AH129" s="8"/>
      <c r="AI129" s="8"/>
      <c r="AJ129" s="8"/>
      <c r="AK129" s="8"/>
      <c r="AL129" s="8"/>
      <c r="AM129" s="8"/>
      <c r="AN129" s="8"/>
      <c r="AO129" s="8"/>
      <c r="AP129" s="8"/>
      <c r="AQ129" s="8"/>
    </row>
    <row r="130" spans="2:43" ht="15.95" hidden="1" customHeight="1">
      <c r="B130" s="929">
        <v>58</v>
      </c>
      <c r="C130" s="8"/>
      <c r="D130" s="8"/>
      <c r="E130" s="8"/>
      <c r="F130" s="8"/>
      <c r="G130" s="8"/>
      <c r="H130" s="8"/>
      <c r="I130" s="8"/>
      <c r="J130" s="8"/>
      <c r="K130" s="8"/>
      <c r="L130" s="8"/>
      <c r="M130" s="8"/>
      <c r="N130" s="8"/>
      <c r="O130" s="8"/>
      <c r="P130" s="8"/>
      <c r="Q130" s="8"/>
      <c r="R130" s="8"/>
      <c r="S130" s="8"/>
      <c r="T130" s="8"/>
      <c r="U130" s="8"/>
      <c r="V130" s="8"/>
      <c r="W130" s="8"/>
      <c r="X130" s="8"/>
      <c r="Y130" s="8"/>
      <c r="Z130" s="8"/>
      <c r="AA130" s="8"/>
      <c r="AB130" s="8"/>
      <c r="AC130" s="8"/>
      <c r="AD130" s="8"/>
      <c r="AE130" s="8"/>
      <c r="AF130" s="8"/>
      <c r="AG130" s="8"/>
      <c r="AH130" s="8"/>
      <c r="AI130" s="8"/>
      <c r="AJ130" s="8"/>
      <c r="AK130" s="8"/>
      <c r="AL130" s="8"/>
      <c r="AM130" s="8"/>
      <c r="AN130" s="8"/>
      <c r="AO130" s="8"/>
      <c r="AP130" s="8"/>
      <c r="AQ130" s="8"/>
    </row>
    <row r="131" spans="2:43" ht="15.95" hidden="1" customHeight="1">
      <c r="B131" s="929"/>
      <c r="C131" s="8"/>
      <c r="D131" s="8"/>
      <c r="E131" s="8"/>
      <c r="F131" s="8"/>
      <c r="G131" s="8"/>
      <c r="H131" s="8"/>
      <c r="I131" s="8"/>
      <c r="J131" s="8"/>
      <c r="K131" s="8"/>
      <c r="L131" s="8"/>
      <c r="M131" s="8"/>
      <c r="N131" s="8"/>
      <c r="O131" s="8"/>
      <c r="P131" s="8"/>
      <c r="Q131" s="8"/>
      <c r="R131" s="8"/>
      <c r="S131" s="8"/>
      <c r="T131" s="8"/>
      <c r="U131" s="8"/>
      <c r="V131" s="8"/>
      <c r="W131" s="8"/>
      <c r="X131" s="8"/>
      <c r="Y131" s="8"/>
      <c r="Z131" s="8"/>
      <c r="AA131" s="8"/>
      <c r="AB131" s="8"/>
      <c r="AC131" s="8"/>
      <c r="AD131" s="8"/>
      <c r="AE131" s="8"/>
      <c r="AF131" s="8"/>
      <c r="AG131" s="8"/>
      <c r="AH131" s="8"/>
      <c r="AI131" s="8"/>
      <c r="AJ131" s="8"/>
      <c r="AK131" s="8"/>
      <c r="AL131" s="8"/>
      <c r="AM131" s="8"/>
      <c r="AN131" s="8"/>
      <c r="AO131" s="8"/>
      <c r="AP131" s="8"/>
      <c r="AQ131" s="8"/>
    </row>
    <row r="132" spans="2:43" ht="15.95" hidden="1" customHeight="1">
      <c r="B132" s="929">
        <v>59</v>
      </c>
      <c r="C132" s="8"/>
      <c r="D132" s="8"/>
      <c r="E132" s="8"/>
      <c r="F132" s="8"/>
      <c r="G132" s="8"/>
      <c r="H132" s="8"/>
      <c r="I132" s="8"/>
      <c r="J132" s="8"/>
      <c r="K132" s="8"/>
      <c r="L132" s="8"/>
      <c r="M132" s="8"/>
      <c r="N132" s="8"/>
      <c r="O132" s="8"/>
      <c r="P132" s="8"/>
      <c r="Q132" s="8"/>
      <c r="R132" s="8"/>
      <c r="S132" s="8"/>
      <c r="T132" s="8"/>
      <c r="U132" s="8"/>
      <c r="V132" s="8"/>
      <c r="W132" s="8"/>
      <c r="X132" s="8"/>
      <c r="Y132" s="8"/>
      <c r="Z132" s="8"/>
      <c r="AA132" s="8"/>
      <c r="AB132" s="8"/>
      <c r="AC132" s="8"/>
      <c r="AD132" s="8"/>
      <c r="AE132" s="8"/>
      <c r="AF132" s="8"/>
      <c r="AG132" s="8"/>
      <c r="AH132" s="8"/>
      <c r="AI132" s="8"/>
      <c r="AJ132" s="8"/>
      <c r="AK132" s="8"/>
      <c r="AL132" s="8"/>
      <c r="AM132" s="8"/>
      <c r="AN132" s="8"/>
      <c r="AO132" s="8"/>
      <c r="AP132" s="8"/>
      <c r="AQ132" s="8"/>
    </row>
    <row r="133" spans="2:43" ht="15.95" hidden="1" customHeight="1">
      <c r="B133" s="929"/>
      <c r="C133" s="8"/>
      <c r="D133" s="8"/>
      <c r="E133" s="8"/>
      <c r="F133" s="8"/>
      <c r="G133" s="8"/>
      <c r="H133" s="8"/>
      <c r="I133" s="8"/>
      <c r="J133" s="8"/>
      <c r="K133" s="8"/>
      <c r="L133" s="8"/>
      <c r="M133" s="8"/>
      <c r="N133" s="8"/>
      <c r="O133" s="8"/>
      <c r="P133" s="8"/>
      <c r="Q133" s="8"/>
      <c r="R133" s="8"/>
      <c r="S133" s="8"/>
      <c r="T133" s="8"/>
      <c r="U133" s="8"/>
      <c r="V133" s="8"/>
      <c r="W133" s="8"/>
      <c r="X133" s="8"/>
      <c r="Y133" s="8"/>
      <c r="Z133" s="8"/>
      <c r="AA133" s="8"/>
      <c r="AB133" s="8"/>
      <c r="AC133" s="8"/>
      <c r="AD133" s="8"/>
      <c r="AE133" s="8"/>
      <c r="AF133" s="8"/>
      <c r="AG133" s="8"/>
      <c r="AH133" s="8"/>
      <c r="AI133" s="8"/>
      <c r="AJ133" s="8"/>
      <c r="AK133" s="8"/>
      <c r="AL133" s="8"/>
      <c r="AM133" s="8"/>
      <c r="AN133" s="8"/>
      <c r="AO133" s="8"/>
      <c r="AP133" s="8"/>
      <c r="AQ133" s="8"/>
    </row>
    <row r="134" spans="2:43" ht="15.95" hidden="1" customHeight="1">
      <c r="B134" s="929">
        <v>60</v>
      </c>
      <c r="C134" s="8"/>
      <c r="D134" s="8"/>
      <c r="E134" s="8"/>
      <c r="F134" s="8"/>
      <c r="G134" s="8"/>
      <c r="H134" s="8"/>
      <c r="I134" s="8"/>
      <c r="J134" s="8"/>
      <c r="K134" s="8"/>
      <c r="L134" s="8"/>
      <c r="M134" s="8"/>
      <c r="N134" s="8"/>
      <c r="O134" s="8"/>
      <c r="P134" s="8"/>
      <c r="Q134" s="8"/>
      <c r="R134" s="8"/>
      <c r="S134" s="8"/>
      <c r="T134" s="8"/>
      <c r="U134" s="8"/>
      <c r="V134" s="8"/>
      <c r="W134" s="8"/>
      <c r="X134" s="8"/>
      <c r="Y134" s="8"/>
      <c r="Z134" s="8"/>
      <c r="AA134" s="8"/>
      <c r="AB134" s="8"/>
      <c r="AC134" s="8"/>
      <c r="AD134" s="8"/>
      <c r="AE134" s="8"/>
      <c r="AF134" s="8"/>
      <c r="AG134" s="8"/>
      <c r="AH134" s="8"/>
      <c r="AI134" s="8"/>
      <c r="AJ134" s="8"/>
      <c r="AK134" s="8"/>
      <c r="AL134" s="8"/>
      <c r="AM134" s="8"/>
      <c r="AN134" s="8"/>
      <c r="AO134" s="8"/>
      <c r="AP134" s="8"/>
      <c r="AQ134" s="8"/>
    </row>
    <row r="135" spans="2:43" ht="15.95" hidden="1" customHeight="1">
      <c r="B135" s="929"/>
      <c r="C135" s="8"/>
      <c r="D135" s="8"/>
      <c r="E135" s="8"/>
      <c r="F135" s="8"/>
      <c r="G135" s="8"/>
      <c r="H135" s="8"/>
      <c r="I135" s="8"/>
      <c r="J135" s="8"/>
      <c r="K135" s="8"/>
      <c r="L135" s="8"/>
      <c r="M135" s="8"/>
      <c r="N135" s="8"/>
      <c r="O135" s="8"/>
      <c r="P135" s="8"/>
      <c r="Q135" s="8"/>
      <c r="R135" s="8"/>
      <c r="S135" s="8"/>
      <c r="T135" s="8"/>
      <c r="U135" s="8"/>
      <c r="V135" s="8"/>
      <c r="W135" s="8"/>
      <c r="X135" s="8"/>
      <c r="Y135" s="8"/>
      <c r="Z135" s="8"/>
      <c r="AA135" s="8"/>
      <c r="AB135" s="8"/>
      <c r="AC135" s="8"/>
      <c r="AD135" s="8"/>
      <c r="AE135" s="8"/>
      <c r="AF135" s="8"/>
      <c r="AG135" s="8"/>
      <c r="AH135" s="8"/>
      <c r="AI135" s="8"/>
      <c r="AJ135" s="8"/>
      <c r="AK135" s="8"/>
      <c r="AL135" s="8"/>
      <c r="AM135" s="8"/>
      <c r="AN135" s="8"/>
      <c r="AO135" s="8"/>
      <c r="AP135" s="8"/>
      <c r="AQ135" s="8"/>
    </row>
    <row r="136" spans="2:43" ht="15.95" hidden="1" customHeight="1">
      <c r="B136" s="929">
        <v>61</v>
      </c>
      <c r="C136" s="8"/>
      <c r="D136" s="8"/>
      <c r="E136" s="8"/>
      <c r="F136" s="8"/>
      <c r="G136" s="8"/>
      <c r="H136" s="8"/>
      <c r="I136" s="8"/>
      <c r="J136" s="8"/>
      <c r="K136" s="8"/>
      <c r="L136" s="8"/>
      <c r="M136" s="8"/>
      <c r="N136" s="8"/>
      <c r="O136" s="8"/>
      <c r="P136" s="8"/>
      <c r="Q136" s="8"/>
      <c r="R136" s="8"/>
      <c r="S136" s="8"/>
      <c r="T136" s="8"/>
      <c r="U136" s="8"/>
      <c r="V136" s="8"/>
      <c r="W136" s="8"/>
      <c r="X136" s="8"/>
      <c r="Y136" s="8"/>
      <c r="Z136" s="8"/>
      <c r="AA136" s="8"/>
      <c r="AB136" s="8"/>
      <c r="AC136" s="8"/>
      <c r="AD136" s="8"/>
      <c r="AE136" s="8"/>
      <c r="AF136" s="8"/>
      <c r="AG136" s="8"/>
      <c r="AH136" s="8"/>
      <c r="AI136" s="8"/>
      <c r="AJ136" s="8"/>
      <c r="AK136" s="8"/>
      <c r="AL136" s="8"/>
      <c r="AM136" s="8"/>
      <c r="AN136" s="8"/>
      <c r="AO136" s="8"/>
      <c r="AP136" s="8"/>
      <c r="AQ136" s="8"/>
    </row>
    <row r="137" spans="2:43" ht="15.95" hidden="1" customHeight="1">
      <c r="B137" s="929"/>
      <c r="C137" s="8"/>
      <c r="D137" s="8"/>
      <c r="E137" s="8"/>
      <c r="F137" s="8"/>
      <c r="G137" s="8"/>
      <c r="H137" s="8"/>
      <c r="I137" s="8"/>
      <c r="J137" s="8"/>
      <c r="K137" s="8"/>
      <c r="L137" s="8"/>
      <c r="M137" s="8"/>
      <c r="N137" s="8"/>
      <c r="O137" s="8"/>
      <c r="P137" s="8"/>
      <c r="Q137" s="8"/>
      <c r="R137" s="8"/>
      <c r="S137" s="8"/>
      <c r="T137" s="8"/>
      <c r="U137" s="8"/>
      <c r="V137" s="8"/>
      <c r="W137" s="8"/>
      <c r="X137" s="8"/>
      <c r="Y137" s="8"/>
      <c r="Z137" s="8"/>
      <c r="AA137" s="8"/>
      <c r="AB137" s="8"/>
      <c r="AC137" s="8"/>
      <c r="AD137" s="8"/>
      <c r="AE137" s="8"/>
      <c r="AF137" s="8"/>
      <c r="AG137" s="8"/>
      <c r="AH137" s="8"/>
      <c r="AI137" s="8"/>
      <c r="AJ137" s="8"/>
      <c r="AK137" s="8"/>
      <c r="AL137" s="8"/>
      <c r="AM137" s="8"/>
      <c r="AN137" s="8"/>
      <c r="AO137" s="8"/>
      <c r="AP137" s="8"/>
      <c r="AQ137" s="8"/>
    </row>
    <row r="138" spans="2:43" ht="15.95" hidden="1" customHeight="1">
      <c r="B138" s="929">
        <v>62</v>
      </c>
      <c r="C138" s="8"/>
      <c r="D138" s="8"/>
      <c r="E138" s="8"/>
      <c r="F138" s="8"/>
      <c r="G138" s="8"/>
      <c r="H138" s="8"/>
      <c r="I138" s="8"/>
      <c r="J138" s="8"/>
      <c r="K138" s="8"/>
      <c r="L138" s="8"/>
      <c r="M138" s="8"/>
      <c r="N138" s="8"/>
      <c r="O138" s="8"/>
      <c r="P138" s="8"/>
      <c r="Q138" s="8"/>
      <c r="R138" s="8"/>
      <c r="S138" s="8"/>
      <c r="T138" s="8"/>
      <c r="U138" s="8"/>
      <c r="V138" s="8"/>
      <c r="W138" s="8"/>
      <c r="X138" s="8"/>
      <c r="Y138" s="8"/>
      <c r="Z138" s="8"/>
      <c r="AA138" s="8"/>
      <c r="AB138" s="8"/>
      <c r="AC138" s="8"/>
      <c r="AD138" s="8"/>
      <c r="AE138" s="8"/>
      <c r="AF138" s="8"/>
      <c r="AG138" s="8"/>
      <c r="AH138" s="8"/>
      <c r="AI138" s="8"/>
      <c r="AJ138" s="8"/>
      <c r="AK138" s="8"/>
      <c r="AL138" s="8"/>
      <c r="AM138" s="8"/>
      <c r="AN138" s="8"/>
      <c r="AO138" s="8"/>
      <c r="AP138" s="8"/>
      <c r="AQ138" s="8"/>
    </row>
    <row r="139" spans="2:43" ht="15.95" hidden="1" customHeight="1">
      <c r="B139" s="929"/>
      <c r="C139" s="8"/>
      <c r="D139" s="8"/>
      <c r="E139" s="8"/>
      <c r="F139" s="8"/>
      <c r="G139" s="8"/>
      <c r="H139" s="8"/>
      <c r="I139" s="8"/>
      <c r="J139" s="8"/>
      <c r="K139" s="8"/>
      <c r="L139" s="8"/>
      <c r="M139" s="8"/>
      <c r="N139" s="8"/>
      <c r="O139" s="8"/>
      <c r="P139" s="8"/>
      <c r="Q139" s="8"/>
      <c r="R139" s="8"/>
      <c r="S139" s="8"/>
      <c r="T139" s="8"/>
      <c r="U139" s="8"/>
      <c r="V139" s="8"/>
      <c r="W139" s="8"/>
      <c r="X139" s="8"/>
      <c r="Y139" s="8"/>
      <c r="Z139" s="8"/>
      <c r="AA139" s="8"/>
      <c r="AB139" s="8"/>
      <c r="AC139" s="8"/>
      <c r="AD139" s="8"/>
      <c r="AE139" s="8"/>
      <c r="AF139" s="8"/>
      <c r="AG139" s="8"/>
      <c r="AH139" s="8"/>
      <c r="AI139" s="8"/>
      <c r="AJ139" s="8"/>
      <c r="AK139" s="8"/>
      <c r="AL139" s="8"/>
      <c r="AM139" s="8"/>
      <c r="AN139" s="8"/>
      <c r="AO139" s="8"/>
      <c r="AP139" s="8"/>
      <c r="AQ139" s="8"/>
    </row>
    <row r="140" spans="2:43" ht="15.95" hidden="1" customHeight="1">
      <c r="B140" s="929">
        <v>63</v>
      </c>
      <c r="C140" s="8"/>
      <c r="D140" s="8"/>
      <c r="E140" s="8"/>
      <c r="F140" s="8"/>
      <c r="G140" s="8"/>
      <c r="H140" s="8"/>
      <c r="I140" s="8"/>
      <c r="J140" s="8"/>
      <c r="K140" s="8"/>
      <c r="L140" s="8"/>
      <c r="M140" s="8"/>
      <c r="N140" s="8"/>
      <c r="O140" s="8"/>
      <c r="P140" s="8"/>
      <c r="Q140" s="8"/>
      <c r="R140" s="8"/>
      <c r="S140" s="8"/>
      <c r="T140" s="8"/>
      <c r="U140" s="8"/>
      <c r="V140" s="8"/>
      <c r="W140" s="8"/>
      <c r="X140" s="8"/>
      <c r="Y140" s="8"/>
      <c r="Z140" s="8"/>
      <c r="AA140" s="8"/>
      <c r="AB140" s="8"/>
      <c r="AC140" s="8"/>
      <c r="AD140" s="8"/>
      <c r="AE140" s="8"/>
      <c r="AF140" s="8"/>
      <c r="AG140" s="8"/>
      <c r="AH140" s="8"/>
      <c r="AI140" s="8"/>
      <c r="AJ140" s="8"/>
      <c r="AK140" s="8"/>
      <c r="AL140" s="8"/>
      <c r="AM140" s="8"/>
      <c r="AN140" s="8"/>
      <c r="AO140" s="8"/>
      <c r="AP140" s="8"/>
      <c r="AQ140" s="8"/>
    </row>
    <row r="141" spans="2:43" ht="15.95" hidden="1" customHeight="1">
      <c r="B141" s="929"/>
      <c r="C141" s="8"/>
      <c r="D141" s="8"/>
      <c r="E141" s="8"/>
      <c r="F141" s="8"/>
      <c r="G141" s="8"/>
      <c r="H141" s="8"/>
      <c r="I141" s="8"/>
      <c r="J141" s="8"/>
      <c r="K141" s="8"/>
      <c r="L141" s="8"/>
      <c r="M141" s="8"/>
      <c r="N141" s="8"/>
      <c r="O141" s="8"/>
      <c r="P141" s="8"/>
      <c r="Q141" s="8"/>
      <c r="R141" s="8"/>
      <c r="S141" s="8"/>
      <c r="T141" s="8"/>
      <c r="U141" s="8"/>
      <c r="V141" s="8"/>
      <c r="W141" s="8"/>
      <c r="X141" s="8"/>
      <c r="Y141" s="8"/>
      <c r="Z141" s="8"/>
      <c r="AA141" s="8"/>
      <c r="AB141" s="8"/>
      <c r="AC141" s="8"/>
      <c r="AD141" s="8"/>
      <c r="AE141" s="8"/>
      <c r="AF141" s="8"/>
      <c r="AG141" s="8"/>
      <c r="AH141" s="8"/>
      <c r="AI141" s="8"/>
      <c r="AJ141" s="8"/>
      <c r="AK141" s="8"/>
      <c r="AL141" s="8"/>
      <c r="AM141" s="8"/>
      <c r="AN141" s="8"/>
      <c r="AO141" s="8"/>
      <c r="AP141" s="8"/>
      <c r="AQ141" s="8"/>
    </row>
    <row r="142" spans="2:43" ht="15.95" hidden="1" customHeight="1">
      <c r="B142" s="929">
        <v>64</v>
      </c>
      <c r="C142" s="8"/>
      <c r="D142" s="8"/>
      <c r="E142" s="8"/>
      <c r="F142" s="8"/>
      <c r="G142" s="8"/>
      <c r="H142" s="8"/>
      <c r="I142" s="8"/>
      <c r="J142" s="8"/>
      <c r="K142" s="8"/>
      <c r="L142" s="8"/>
      <c r="M142" s="8"/>
      <c r="N142" s="8"/>
      <c r="O142" s="8"/>
      <c r="P142" s="8"/>
      <c r="Q142" s="8"/>
      <c r="R142" s="8"/>
      <c r="S142" s="8"/>
      <c r="T142" s="8"/>
      <c r="U142" s="8"/>
      <c r="V142" s="8"/>
      <c r="W142" s="8"/>
      <c r="X142" s="8"/>
      <c r="Y142" s="8"/>
      <c r="Z142" s="8"/>
      <c r="AA142" s="8"/>
      <c r="AB142" s="8"/>
      <c r="AC142" s="8"/>
      <c r="AD142" s="8"/>
      <c r="AE142" s="8"/>
      <c r="AF142" s="8"/>
      <c r="AG142" s="8"/>
      <c r="AH142" s="8"/>
      <c r="AI142" s="8"/>
      <c r="AJ142" s="8"/>
      <c r="AK142" s="8"/>
      <c r="AL142" s="8"/>
      <c r="AM142" s="8"/>
      <c r="AN142" s="8"/>
      <c r="AO142" s="8"/>
      <c r="AP142" s="8"/>
      <c r="AQ142" s="8"/>
    </row>
    <row r="143" spans="2:43" ht="15.95" hidden="1" customHeight="1">
      <c r="B143" s="929"/>
      <c r="C143" s="8"/>
      <c r="D143" s="8"/>
      <c r="E143" s="8"/>
      <c r="F143" s="8"/>
      <c r="G143" s="8"/>
      <c r="H143" s="8"/>
      <c r="I143" s="8"/>
      <c r="J143" s="8"/>
      <c r="K143" s="8"/>
      <c r="L143" s="8"/>
      <c r="M143" s="8"/>
      <c r="N143" s="8"/>
      <c r="O143" s="8"/>
      <c r="P143" s="8"/>
      <c r="Q143" s="8"/>
      <c r="R143" s="8"/>
      <c r="S143" s="8"/>
      <c r="T143" s="8"/>
      <c r="U143" s="8"/>
      <c r="V143" s="8"/>
      <c r="W143" s="8"/>
      <c r="X143" s="8"/>
      <c r="Y143" s="8"/>
      <c r="Z143" s="8"/>
      <c r="AA143" s="8"/>
      <c r="AB143" s="8"/>
      <c r="AC143" s="8"/>
      <c r="AD143" s="8"/>
      <c r="AE143" s="8"/>
      <c r="AF143" s="8"/>
      <c r="AG143" s="8"/>
      <c r="AH143" s="8"/>
      <c r="AI143" s="8"/>
      <c r="AJ143" s="8"/>
      <c r="AK143" s="8"/>
      <c r="AL143" s="8"/>
      <c r="AM143" s="8"/>
      <c r="AN143" s="8"/>
      <c r="AO143" s="8"/>
      <c r="AP143" s="8"/>
      <c r="AQ143" s="8"/>
    </row>
    <row r="144" spans="2:43" ht="15.95" hidden="1" customHeight="1">
      <c r="B144" s="929">
        <v>65</v>
      </c>
      <c r="C144" s="8"/>
      <c r="D144" s="8"/>
      <c r="E144" s="8"/>
      <c r="F144" s="8"/>
      <c r="G144" s="8"/>
      <c r="H144" s="8"/>
      <c r="I144" s="8"/>
      <c r="J144" s="8"/>
      <c r="K144" s="8"/>
      <c r="L144" s="8"/>
      <c r="M144" s="8"/>
      <c r="N144" s="8"/>
      <c r="O144" s="8"/>
      <c r="P144" s="8"/>
      <c r="Q144" s="8"/>
      <c r="R144" s="8"/>
      <c r="S144" s="8"/>
      <c r="T144" s="8"/>
      <c r="U144" s="8"/>
      <c r="V144" s="8"/>
      <c r="W144" s="8"/>
      <c r="X144" s="8"/>
      <c r="Y144" s="8"/>
      <c r="Z144" s="8"/>
      <c r="AA144" s="8"/>
      <c r="AB144" s="8"/>
      <c r="AC144" s="8"/>
      <c r="AD144" s="8"/>
      <c r="AE144" s="8"/>
      <c r="AF144" s="8"/>
      <c r="AG144" s="8"/>
      <c r="AH144" s="8"/>
      <c r="AI144" s="8"/>
      <c r="AJ144" s="8"/>
      <c r="AK144" s="8"/>
      <c r="AL144" s="8"/>
      <c r="AM144" s="8"/>
      <c r="AN144" s="8"/>
      <c r="AO144" s="8"/>
      <c r="AP144" s="8"/>
      <c r="AQ144" s="8"/>
    </row>
    <row r="145" spans="2:43" ht="15.95" hidden="1" customHeight="1">
      <c r="B145" s="929"/>
      <c r="C145" s="8"/>
      <c r="D145" s="8"/>
      <c r="E145" s="8"/>
      <c r="F145" s="8"/>
      <c r="G145" s="8"/>
      <c r="H145" s="8"/>
      <c r="I145" s="8"/>
      <c r="J145" s="8"/>
      <c r="K145" s="8"/>
      <c r="L145" s="8"/>
      <c r="M145" s="8"/>
      <c r="N145" s="8"/>
      <c r="O145" s="8"/>
      <c r="P145" s="8"/>
      <c r="Q145" s="8"/>
      <c r="R145" s="8"/>
      <c r="S145" s="8"/>
      <c r="T145" s="8"/>
      <c r="U145" s="8"/>
      <c r="V145" s="8"/>
      <c r="W145" s="8"/>
      <c r="X145" s="8"/>
      <c r="Y145" s="8"/>
      <c r="Z145" s="8"/>
      <c r="AA145" s="8"/>
      <c r="AB145" s="8"/>
      <c r="AC145" s="8"/>
      <c r="AD145" s="8"/>
      <c r="AE145" s="8"/>
      <c r="AF145" s="8"/>
      <c r="AG145" s="8"/>
      <c r="AH145" s="8"/>
      <c r="AI145" s="8"/>
      <c r="AJ145" s="8"/>
      <c r="AK145" s="8"/>
      <c r="AL145" s="8"/>
      <c r="AM145" s="8"/>
      <c r="AN145" s="8"/>
      <c r="AO145" s="8"/>
      <c r="AP145" s="8"/>
      <c r="AQ145" s="8"/>
    </row>
    <row r="146" spans="2:43" ht="15.95" hidden="1" customHeight="1">
      <c r="B146" s="929">
        <v>66</v>
      </c>
      <c r="C146" s="8"/>
      <c r="D146" s="8"/>
      <c r="E146" s="8"/>
      <c r="F146" s="8"/>
      <c r="G146" s="8"/>
      <c r="H146" s="8"/>
      <c r="I146" s="8"/>
      <c r="J146" s="8"/>
      <c r="K146" s="8"/>
      <c r="L146" s="8"/>
      <c r="M146" s="8"/>
      <c r="N146" s="8"/>
      <c r="O146" s="8"/>
      <c r="P146" s="8"/>
      <c r="Q146" s="8"/>
      <c r="R146" s="8"/>
      <c r="S146" s="8"/>
      <c r="T146" s="8"/>
      <c r="U146" s="8"/>
      <c r="V146" s="8"/>
      <c r="W146" s="8"/>
      <c r="X146" s="8"/>
      <c r="Y146" s="8"/>
      <c r="Z146" s="8"/>
      <c r="AA146" s="8"/>
      <c r="AB146" s="8"/>
      <c r="AC146" s="8"/>
      <c r="AD146" s="8"/>
      <c r="AE146" s="8"/>
      <c r="AF146" s="8"/>
      <c r="AG146" s="8"/>
      <c r="AH146" s="8"/>
      <c r="AI146" s="8"/>
      <c r="AJ146" s="8"/>
      <c r="AK146" s="8"/>
      <c r="AL146" s="8"/>
      <c r="AM146" s="8"/>
      <c r="AN146" s="8"/>
      <c r="AO146" s="8"/>
      <c r="AP146" s="8"/>
      <c r="AQ146" s="8"/>
    </row>
    <row r="147" spans="2:43" ht="15.95" hidden="1" customHeight="1">
      <c r="B147" s="929"/>
      <c r="C147" s="8"/>
      <c r="D147" s="8"/>
      <c r="E147" s="8"/>
      <c r="F147" s="8"/>
      <c r="G147" s="8"/>
      <c r="H147" s="8"/>
      <c r="I147" s="8"/>
      <c r="J147" s="8"/>
      <c r="K147" s="8"/>
      <c r="L147" s="8"/>
      <c r="M147" s="8"/>
      <c r="N147" s="8"/>
      <c r="O147" s="8"/>
      <c r="P147" s="8"/>
      <c r="Q147" s="8"/>
      <c r="R147" s="8"/>
      <c r="S147" s="8"/>
      <c r="T147" s="8"/>
      <c r="U147" s="8"/>
      <c r="V147" s="8"/>
      <c r="W147" s="8"/>
      <c r="X147" s="8"/>
      <c r="Y147" s="8"/>
      <c r="Z147" s="8"/>
      <c r="AA147" s="8"/>
      <c r="AB147" s="8"/>
      <c r="AC147" s="8"/>
      <c r="AD147" s="8"/>
      <c r="AE147" s="8"/>
      <c r="AF147" s="8"/>
      <c r="AG147" s="8"/>
      <c r="AH147" s="8"/>
      <c r="AI147" s="8"/>
      <c r="AJ147" s="8"/>
      <c r="AK147" s="8"/>
      <c r="AL147" s="8"/>
      <c r="AM147" s="8"/>
      <c r="AN147" s="8"/>
      <c r="AO147" s="8"/>
      <c r="AP147" s="8"/>
      <c r="AQ147" s="8"/>
    </row>
    <row r="148" spans="2:43" ht="15.95" hidden="1" customHeight="1">
      <c r="B148" s="929">
        <v>67</v>
      </c>
      <c r="C148" s="8"/>
      <c r="D148" s="8"/>
      <c r="E148" s="8"/>
      <c r="F148" s="8"/>
      <c r="G148" s="8"/>
      <c r="H148" s="8"/>
      <c r="I148" s="8"/>
      <c r="J148" s="8"/>
      <c r="K148" s="8"/>
      <c r="L148" s="8"/>
      <c r="M148" s="8"/>
      <c r="N148" s="8"/>
      <c r="O148" s="8"/>
      <c r="P148" s="8"/>
      <c r="Q148" s="8"/>
      <c r="R148" s="8"/>
      <c r="S148" s="8"/>
      <c r="T148" s="8"/>
      <c r="U148" s="8"/>
      <c r="V148" s="8"/>
      <c r="W148" s="8"/>
      <c r="X148" s="8"/>
      <c r="Y148" s="8"/>
      <c r="Z148" s="8"/>
      <c r="AA148" s="8"/>
      <c r="AB148" s="8"/>
      <c r="AC148" s="8"/>
      <c r="AD148" s="8"/>
      <c r="AE148" s="8"/>
      <c r="AF148" s="8"/>
      <c r="AG148" s="8"/>
      <c r="AH148" s="8"/>
      <c r="AI148" s="8"/>
      <c r="AJ148" s="8"/>
      <c r="AK148" s="8"/>
      <c r="AL148" s="8"/>
      <c r="AM148" s="8"/>
      <c r="AN148" s="8"/>
      <c r="AO148" s="8"/>
      <c r="AP148" s="8"/>
      <c r="AQ148" s="8"/>
    </row>
    <row r="149" spans="2:43" ht="15.95" hidden="1" customHeight="1">
      <c r="B149" s="929"/>
      <c r="C149" s="8"/>
      <c r="D149" s="8"/>
      <c r="E149" s="8"/>
      <c r="F149" s="8"/>
      <c r="G149" s="8"/>
      <c r="H149" s="8"/>
      <c r="I149" s="8"/>
      <c r="J149" s="8"/>
      <c r="K149" s="8"/>
      <c r="L149" s="8"/>
      <c r="M149" s="8"/>
      <c r="N149" s="8"/>
      <c r="O149" s="8"/>
      <c r="P149" s="8"/>
      <c r="Q149" s="8"/>
      <c r="R149" s="8"/>
      <c r="S149" s="8"/>
      <c r="T149" s="8"/>
      <c r="U149" s="8"/>
      <c r="V149" s="8"/>
      <c r="W149" s="8"/>
      <c r="X149" s="8"/>
      <c r="Y149" s="8"/>
      <c r="Z149" s="8"/>
      <c r="AA149" s="8"/>
      <c r="AB149" s="8"/>
      <c r="AC149" s="8"/>
      <c r="AD149" s="8"/>
      <c r="AE149" s="8"/>
      <c r="AF149" s="8"/>
      <c r="AG149" s="8"/>
      <c r="AH149" s="8"/>
      <c r="AI149" s="8"/>
      <c r="AJ149" s="8"/>
      <c r="AK149" s="8"/>
      <c r="AL149" s="8"/>
      <c r="AM149" s="8"/>
      <c r="AN149" s="8"/>
      <c r="AO149" s="8"/>
      <c r="AP149" s="8"/>
      <c r="AQ149" s="8"/>
    </row>
    <row r="150" spans="2:43" ht="15.95" hidden="1" customHeight="1">
      <c r="B150" s="929">
        <v>68</v>
      </c>
      <c r="C150" s="8"/>
      <c r="D150" s="8"/>
      <c r="E150" s="8"/>
      <c r="F150" s="8"/>
      <c r="G150" s="8"/>
      <c r="H150" s="8"/>
      <c r="I150" s="8"/>
      <c r="J150" s="8"/>
      <c r="K150" s="8"/>
      <c r="L150" s="8"/>
      <c r="M150" s="8"/>
      <c r="N150" s="8"/>
      <c r="O150" s="8"/>
      <c r="P150" s="8"/>
      <c r="Q150" s="8"/>
      <c r="R150" s="8"/>
      <c r="S150" s="8"/>
      <c r="T150" s="8"/>
      <c r="U150" s="8"/>
      <c r="V150" s="8"/>
      <c r="W150" s="8"/>
      <c r="X150" s="8"/>
      <c r="Y150" s="8"/>
      <c r="Z150" s="8"/>
      <c r="AA150" s="8"/>
      <c r="AB150" s="8"/>
      <c r="AC150" s="8"/>
      <c r="AD150" s="8"/>
      <c r="AE150" s="8"/>
      <c r="AF150" s="8"/>
      <c r="AG150" s="8"/>
      <c r="AH150" s="8"/>
      <c r="AI150" s="8"/>
      <c r="AJ150" s="8"/>
      <c r="AK150" s="8"/>
      <c r="AL150" s="8"/>
      <c r="AM150" s="8"/>
      <c r="AN150" s="8"/>
      <c r="AO150" s="8"/>
      <c r="AP150" s="8"/>
      <c r="AQ150" s="8"/>
    </row>
    <row r="151" spans="2:43" ht="15.95" hidden="1" customHeight="1">
      <c r="B151" s="929"/>
      <c r="C151" s="8"/>
      <c r="D151" s="8"/>
      <c r="E151" s="8"/>
      <c r="F151" s="8"/>
      <c r="G151" s="8"/>
      <c r="H151" s="8"/>
      <c r="I151" s="8"/>
      <c r="J151" s="8"/>
      <c r="K151" s="8"/>
      <c r="L151" s="8"/>
      <c r="M151" s="8"/>
      <c r="N151" s="8"/>
      <c r="O151" s="8"/>
      <c r="P151" s="8"/>
      <c r="Q151" s="8"/>
      <c r="R151" s="8"/>
      <c r="S151" s="8"/>
      <c r="T151" s="8"/>
      <c r="U151" s="8"/>
      <c r="V151" s="8"/>
      <c r="W151" s="8"/>
      <c r="X151" s="8"/>
      <c r="Y151" s="8"/>
      <c r="Z151" s="8"/>
      <c r="AA151" s="8"/>
      <c r="AB151" s="8"/>
      <c r="AC151" s="8"/>
      <c r="AD151" s="8"/>
      <c r="AE151" s="8"/>
      <c r="AF151" s="8"/>
      <c r="AG151" s="8"/>
      <c r="AH151" s="8"/>
      <c r="AI151" s="8"/>
      <c r="AJ151" s="8"/>
      <c r="AK151" s="8"/>
      <c r="AL151" s="8"/>
      <c r="AM151" s="8"/>
      <c r="AN151" s="8"/>
      <c r="AO151" s="8"/>
      <c r="AP151" s="8"/>
      <c r="AQ151" s="8"/>
    </row>
    <row r="152" spans="2:43" ht="15.95" hidden="1" customHeight="1">
      <c r="B152" s="929">
        <v>69</v>
      </c>
      <c r="C152" s="8"/>
      <c r="D152" s="8"/>
      <c r="E152" s="8"/>
      <c r="F152" s="8"/>
      <c r="G152" s="8"/>
      <c r="H152" s="8"/>
      <c r="I152" s="8"/>
      <c r="J152" s="8"/>
      <c r="K152" s="8"/>
      <c r="L152" s="8"/>
      <c r="M152" s="8"/>
      <c r="N152" s="8"/>
      <c r="O152" s="8"/>
      <c r="P152" s="8"/>
      <c r="Q152" s="8"/>
      <c r="R152" s="8"/>
      <c r="S152" s="8"/>
      <c r="T152" s="8"/>
      <c r="U152" s="8"/>
      <c r="V152" s="8"/>
      <c r="W152" s="8"/>
      <c r="X152" s="8"/>
      <c r="Y152" s="8"/>
      <c r="Z152" s="8"/>
      <c r="AA152" s="8"/>
      <c r="AB152" s="8"/>
      <c r="AC152" s="8"/>
      <c r="AD152" s="8"/>
      <c r="AE152" s="8"/>
      <c r="AF152" s="8"/>
      <c r="AG152" s="8"/>
      <c r="AH152" s="8"/>
      <c r="AI152" s="8"/>
      <c r="AJ152" s="8"/>
      <c r="AK152" s="8"/>
      <c r="AL152" s="8"/>
      <c r="AM152" s="8"/>
      <c r="AN152" s="8"/>
      <c r="AO152" s="8"/>
      <c r="AP152" s="8"/>
      <c r="AQ152" s="8"/>
    </row>
    <row r="153" spans="2:43" ht="15.95" hidden="1" customHeight="1">
      <c r="B153" s="929"/>
      <c r="C153" s="8"/>
      <c r="D153" s="8"/>
      <c r="E153" s="8"/>
      <c r="F153" s="8"/>
      <c r="G153" s="8"/>
      <c r="H153" s="8"/>
      <c r="I153" s="8"/>
      <c r="J153" s="8"/>
      <c r="K153" s="8"/>
      <c r="L153" s="8"/>
      <c r="M153" s="8"/>
      <c r="N153" s="8"/>
      <c r="O153" s="8"/>
      <c r="P153" s="8"/>
      <c r="Q153" s="8"/>
      <c r="R153" s="8"/>
      <c r="S153" s="8"/>
      <c r="T153" s="8"/>
      <c r="U153" s="8"/>
      <c r="V153" s="8"/>
      <c r="W153" s="8"/>
      <c r="X153" s="8"/>
      <c r="Y153" s="8"/>
      <c r="Z153" s="8"/>
      <c r="AA153" s="8"/>
      <c r="AB153" s="8"/>
      <c r="AC153" s="8"/>
      <c r="AD153" s="8"/>
      <c r="AE153" s="8"/>
      <c r="AF153" s="8"/>
      <c r="AG153" s="8"/>
      <c r="AH153" s="8"/>
      <c r="AI153" s="8"/>
      <c r="AJ153" s="8"/>
      <c r="AK153" s="8"/>
      <c r="AL153" s="8"/>
      <c r="AM153" s="8"/>
      <c r="AN153" s="8"/>
      <c r="AO153" s="8"/>
      <c r="AP153" s="8"/>
      <c r="AQ153" s="8"/>
    </row>
    <row r="154" spans="2:43" ht="15.95" hidden="1" customHeight="1">
      <c r="B154" s="929">
        <v>70</v>
      </c>
      <c r="C154" s="8"/>
      <c r="D154" s="8"/>
      <c r="E154" s="8"/>
      <c r="F154" s="8"/>
      <c r="G154" s="8"/>
      <c r="H154" s="8"/>
      <c r="I154" s="8"/>
      <c r="J154" s="8"/>
      <c r="K154" s="8"/>
      <c r="L154" s="8"/>
      <c r="M154" s="8"/>
      <c r="N154" s="8"/>
      <c r="O154" s="8"/>
      <c r="P154" s="8"/>
      <c r="Q154" s="8"/>
      <c r="R154" s="8"/>
      <c r="S154" s="8"/>
      <c r="T154" s="8"/>
      <c r="U154" s="8"/>
      <c r="V154" s="8"/>
      <c r="W154" s="8"/>
      <c r="X154" s="8"/>
      <c r="Y154" s="8"/>
      <c r="Z154" s="8"/>
      <c r="AA154" s="8"/>
      <c r="AB154" s="8"/>
      <c r="AC154" s="8"/>
      <c r="AD154" s="8"/>
      <c r="AE154" s="8"/>
      <c r="AF154" s="8"/>
      <c r="AG154" s="8"/>
      <c r="AH154" s="8"/>
      <c r="AI154" s="8"/>
      <c r="AJ154" s="8"/>
      <c r="AK154" s="8"/>
      <c r="AL154" s="8"/>
      <c r="AM154" s="8"/>
      <c r="AN154" s="8"/>
      <c r="AO154" s="8"/>
      <c r="AP154" s="8"/>
      <c r="AQ154" s="8"/>
    </row>
    <row r="155" spans="2:43" ht="15.95" hidden="1" customHeight="1">
      <c r="B155" s="929"/>
      <c r="C155" s="8"/>
      <c r="D155" s="8"/>
      <c r="E155" s="8"/>
      <c r="F155" s="8"/>
      <c r="G155" s="8"/>
      <c r="H155" s="8"/>
      <c r="I155" s="8"/>
      <c r="J155" s="8"/>
      <c r="K155" s="8"/>
      <c r="L155" s="8"/>
      <c r="M155" s="8"/>
      <c r="N155" s="8"/>
      <c r="O155" s="8"/>
      <c r="P155" s="8"/>
      <c r="Q155" s="8"/>
      <c r="R155" s="8"/>
      <c r="S155" s="8"/>
      <c r="T155" s="8"/>
      <c r="U155" s="8"/>
      <c r="V155" s="8"/>
      <c r="W155" s="8"/>
      <c r="X155" s="8"/>
      <c r="Y155" s="8"/>
      <c r="Z155" s="8"/>
      <c r="AA155" s="8"/>
      <c r="AB155" s="8"/>
      <c r="AC155" s="8"/>
      <c r="AD155" s="8"/>
      <c r="AE155" s="8"/>
      <c r="AF155" s="8"/>
      <c r="AG155" s="8"/>
      <c r="AH155" s="8"/>
      <c r="AI155" s="8"/>
      <c r="AJ155" s="8"/>
      <c r="AK155" s="8"/>
      <c r="AL155" s="8"/>
      <c r="AM155" s="8"/>
      <c r="AN155" s="8"/>
      <c r="AO155" s="8"/>
      <c r="AP155" s="8"/>
      <c r="AQ155" s="8"/>
    </row>
    <row r="156" spans="2:43" ht="15.95" hidden="1" customHeight="1">
      <c r="B156" s="929">
        <v>71</v>
      </c>
      <c r="C156" s="8"/>
      <c r="D156" s="8"/>
      <c r="E156" s="8"/>
      <c r="F156" s="8"/>
      <c r="G156" s="8"/>
      <c r="H156" s="8"/>
      <c r="I156" s="8"/>
      <c r="J156" s="8"/>
      <c r="K156" s="8"/>
      <c r="L156" s="8"/>
      <c r="M156" s="8"/>
      <c r="N156" s="8"/>
      <c r="O156" s="8"/>
      <c r="P156" s="8"/>
      <c r="Q156" s="8"/>
      <c r="R156" s="8"/>
      <c r="S156" s="8"/>
      <c r="T156" s="8"/>
      <c r="U156" s="8"/>
      <c r="V156" s="8"/>
      <c r="W156" s="8"/>
      <c r="X156" s="8"/>
      <c r="Y156" s="8"/>
      <c r="Z156" s="8"/>
      <c r="AA156" s="8"/>
      <c r="AB156" s="8"/>
      <c r="AC156" s="8"/>
      <c r="AD156" s="8"/>
      <c r="AE156" s="8"/>
      <c r="AF156" s="8"/>
      <c r="AG156" s="8"/>
      <c r="AH156" s="8"/>
      <c r="AI156" s="8"/>
      <c r="AJ156" s="8"/>
      <c r="AK156" s="8"/>
      <c r="AL156" s="8"/>
      <c r="AM156" s="8"/>
      <c r="AN156" s="8"/>
      <c r="AO156" s="8"/>
      <c r="AP156" s="8"/>
      <c r="AQ156" s="8"/>
    </row>
    <row r="157" spans="2:43" ht="15.95" hidden="1" customHeight="1">
      <c r="B157" s="929"/>
      <c r="C157" s="8"/>
      <c r="D157" s="8"/>
      <c r="E157" s="8"/>
      <c r="F157" s="8"/>
      <c r="G157" s="8"/>
      <c r="H157" s="8"/>
      <c r="I157" s="8"/>
      <c r="J157" s="8"/>
      <c r="K157" s="8"/>
      <c r="L157" s="8"/>
      <c r="M157" s="8"/>
      <c r="N157" s="8"/>
      <c r="O157" s="8"/>
      <c r="P157" s="8"/>
      <c r="Q157" s="8"/>
      <c r="R157" s="8"/>
      <c r="S157" s="8"/>
      <c r="T157" s="8"/>
      <c r="U157" s="8"/>
      <c r="V157" s="8"/>
      <c r="W157" s="8"/>
      <c r="X157" s="8"/>
      <c r="Y157" s="8"/>
      <c r="Z157" s="8"/>
      <c r="AA157" s="8"/>
      <c r="AB157" s="8"/>
      <c r="AC157" s="8"/>
      <c r="AD157" s="8"/>
      <c r="AE157" s="8"/>
      <c r="AF157" s="8"/>
      <c r="AG157" s="8"/>
      <c r="AH157" s="8"/>
      <c r="AI157" s="8"/>
      <c r="AJ157" s="8"/>
      <c r="AK157" s="8"/>
      <c r="AL157" s="8"/>
      <c r="AM157" s="8"/>
      <c r="AN157" s="8"/>
      <c r="AO157" s="8"/>
      <c r="AP157" s="8"/>
      <c r="AQ157" s="8"/>
    </row>
    <row r="158" spans="2:43" ht="15.95" hidden="1" customHeight="1">
      <c r="B158" s="929">
        <v>72</v>
      </c>
      <c r="C158" s="8"/>
      <c r="D158" s="8"/>
      <c r="E158" s="8"/>
      <c r="F158" s="8"/>
      <c r="G158" s="8"/>
      <c r="H158" s="8"/>
      <c r="I158" s="8"/>
      <c r="J158" s="8"/>
      <c r="K158" s="8"/>
      <c r="L158" s="8"/>
      <c r="M158" s="8"/>
      <c r="N158" s="8"/>
      <c r="O158" s="8"/>
      <c r="P158" s="8"/>
      <c r="Q158" s="8"/>
      <c r="R158" s="8"/>
      <c r="S158" s="8"/>
      <c r="T158" s="8"/>
      <c r="U158" s="8"/>
      <c r="V158" s="8"/>
      <c r="W158" s="8"/>
      <c r="X158" s="8"/>
      <c r="Y158" s="8"/>
      <c r="Z158" s="8"/>
      <c r="AA158" s="8"/>
      <c r="AB158" s="8"/>
      <c r="AC158" s="8"/>
      <c r="AD158" s="8"/>
      <c r="AE158" s="8"/>
      <c r="AF158" s="8"/>
      <c r="AG158" s="8"/>
      <c r="AH158" s="8"/>
      <c r="AI158" s="8"/>
      <c r="AJ158" s="8"/>
      <c r="AK158" s="8"/>
      <c r="AL158" s="8"/>
      <c r="AM158" s="8"/>
      <c r="AN158" s="8"/>
      <c r="AO158" s="8"/>
      <c r="AP158" s="8"/>
      <c r="AQ158" s="8"/>
    </row>
    <row r="159" spans="2:43" ht="15.95" hidden="1" customHeight="1">
      <c r="B159" s="929"/>
      <c r="C159" s="8"/>
      <c r="D159" s="8"/>
      <c r="E159" s="8"/>
      <c r="F159" s="8"/>
      <c r="G159" s="8"/>
      <c r="H159" s="8"/>
      <c r="I159" s="8"/>
      <c r="J159" s="8"/>
      <c r="K159" s="8"/>
      <c r="L159" s="8"/>
      <c r="M159" s="8"/>
      <c r="N159" s="8"/>
      <c r="O159" s="8"/>
      <c r="P159" s="8"/>
      <c r="Q159" s="8"/>
      <c r="R159" s="8"/>
      <c r="S159" s="8"/>
      <c r="T159" s="8"/>
      <c r="U159" s="8"/>
      <c r="V159" s="8"/>
      <c r="W159" s="8"/>
      <c r="X159" s="8"/>
      <c r="Y159" s="8"/>
      <c r="Z159" s="8"/>
      <c r="AA159" s="8"/>
      <c r="AB159" s="8"/>
      <c r="AC159" s="8"/>
      <c r="AD159" s="8"/>
      <c r="AE159" s="8"/>
      <c r="AF159" s="8"/>
      <c r="AG159" s="8"/>
      <c r="AH159" s="8"/>
      <c r="AI159" s="8"/>
      <c r="AJ159" s="8"/>
      <c r="AK159" s="8"/>
      <c r="AL159" s="8"/>
      <c r="AM159" s="8"/>
      <c r="AN159" s="8"/>
      <c r="AO159" s="8"/>
      <c r="AP159" s="8"/>
      <c r="AQ159" s="8"/>
    </row>
    <row r="160" spans="2:43" ht="15.95" hidden="1" customHeight="1">
      <c r="B160" s="929">
        <v>73</v>
      </c>
      <c r="C160" s="8"/>
      <c r="D160" s="8"/>
      <c r="E160" s="8"/>
      <c r="F160" s="8"/>
      <c r="G160" s="8"/>
      <c r="H160" s="8"/>
      <c r="I160" s="8"/>
      <c r="J160" s="8"/>
      <c r="K160" s="8"/>
      <c r="L160" s="8"/>
      <c r="M160" s="8"/>
      <c r="N160" s="8"/>
      <c r="O160" s="8"/>
      <c r="P160" s="8"/>
      <c r="Q160" s="8"/>
      <c r="R160" s="8"/>
      <c r="S160" s="8"/>
      <c r="T160" s="8"/>
      <c r="U160" s="8"/>
      <c r="V160" s="8"/>
      <c r="W160" s="8"/>
      <c r="X160" s="8"/>
      <c r="Y160" s="8"/>
      <c r="Z160" s="8"/>
      <c r="AA160" s="8"/>
      <c r="AB160" s="8"/>
      <c r="AC160" s="8"/>
      <c r="AD160" s="8"/>
      <c r="AE160" s="8"/>
      <c r="AF160" s="8"/>
      <c r="AG160" s="8"/>
      <c r="AH160" s="8"/>
      <c r="AI160" s="8"/>
      <c r="AJ160" s="8"/>
      <c r="AK160" s="8"/>
      <c r="AL160" s="8"/>
      <c r="AM160" s="8"/>
      <c r="AN160" s="8"/>
      <c r="AO160" s="8"/>
      <c r="AP160" s="8"/>
      <c r="AQ160" s="8"/>
    </row>
    <row r="161" spans="2:43" ht="15.95" hidden="1" customHeight="1">
      <c r="B161" s="929"/>
      <c r="C161" s="8"/>
      <c r="D161" s="8"/>
      <c r="E161" s="8"/>
      <c r="F161" s="8"/>
      <c r="G161" s="8"/>
      <c r="H161" s="8"/>
      <c r="I161" s="8"/>
      <c r="J161" s="8"/>
      <c r="K161" s="8"/>
      <c r="L161" s="8"/>
      <c r="M161" s="8"/>
      <c r="N161" s="8"/>
      <c r="O161" s="8"/>
      <c r="P161" s="8"/>
      <c r="Q161" s="8"/>
      <c r="R161" s="8"/>
      <c r="S161" s="8"/>
      <c r="T161" s="8"/>
      <c r="U161" s="8"/>
      <c r="V161" s="8"/>
      <c r="W161" s="8"/>
      <c r="X161" s="8"/>
      <c r="Y161" s="8"/>
      <c r="Z161" s="8"/>
      <c r="AA161" s="8"/>
      <c r="AB161" s="8"/>
      <c r="AC161" s="8"/>
      <c r="AD161" s="8"/>
      <c r="AE161" s="8"/>
      <c r="AF161" s="8"/>
      <c r="AG161" s="8"/>
      <c r="AH161" s="8"/>
      <c r="AI161" s="8"/>
      <c r="AJ161" s="8"/>
      <c r="AK161" s="8"/>
      <c r="AL161" s="8"/>
      <c r="AM161" s="8"/>
      <c r="AN161" s="8"/>
      <c r="AO161" s="8"/>
      <c r="AP161" s="8"/>
      <c r="AQ161" s="8"/>
    </row>
    <row r="162" spans="2:43" ht="15.95" hidden="1" customHeight="1">
      <c r="B162" s="929">
        <v>74</v>
      </c>
      <c r="C162" s="8"/>
      <c r="D162" s="8"/>
      <c r="E162" s="8"/>
      <c r="F162" s="8"/>
      <c r="G162" s="8"/>
      <c r="H162" s="8"/>
      <c r="I162" s="8"/>
      <c r="J162" s="8"/>
      <c r="K162" s="8"/>
      <c r="L162" s="8"/>
      <c r="M162" s="8"/>
      <c r="N162" s="8"/>
      <c r="O162" s="8"/>
      <c r="P162" s="8"/>
      <c r="Q162" s="8"/>
      <c r="R162" s="8"/>
      <c r="S162" s="8"/>
      <c r="T162" s="8"/>
      <c r="U162" s="8"/>
      <c r="V162" s="8"/>
      <c r="W162" s="8"/>
      <c r="X162" s="8"/>
      <c r="Y162" s="8"/>
      <c r="Z162" s="8"/>
      <c r="AA162" s="8"/>
      <c r="AB162" s="8"/>
      <c r="AC162" s="8"/>
      <c r="AD162" s="8"/>
      <c r="AE162" s="8"/>
      <c r="AF162" s="8"/>
      <c r="AG162" s="8"/>
      <c r="AH162" s="8"/>
      <c r="AI162" s="8"/>
      <c r="AJ162" s="8"/>
      <c r="AK162" s="8"/>
      <c r="AL162" s="8"/>
      <c r="AM162" s="8"/>
      <c r="AN162" s="8"/>
      <c r="AO162" s="8"/>
      <c r="AP162" s="8"/>
      <c r="AQ162" s="8"/>
    </row>
    <row r="163" spans="2:43" ht="15.95" hidden="1" customHeight="1">
      <c r="B163" s="929"/>
      <c r="C163" s="8"/>
      <c r="D163" s="8"/>
      <c r="E163" s="8"/>
      <c r="F163" s="8"/>
      <c r="G163" s="8"/>
      <c r="H163" s="8"/>
      <c r="I163" s="8"/>
      <c r="J163" s="8"/>
      <c r="K163" s="8"/>
      <c r="L163" s="8"/>
      <c r="M163" s="8"/>
      <c r="N163" s="8"/>
      <c r="O163" s="8"/>
      <c r="P163" s="8"/>
      <c r="Q163" s="8"/>
      <c r="R163" s="8"/>
      <c r="S163" s="8"/>
      <c r="T163" s="8"/>
      <c r="U163" s="8"/>
      <c r="V163" s="8"/>
      <c r="W163" s="8"/>
      <c r="X163" s="8"/>
      <c r="Y163" s="8"/>
      <c r="Z163" s="8"/>
      <c r="AA163" s="8"/>
      <c r="AB163" s="8"/>
      <c r="AC163" s="8"/>
      <c r="AD163" s="8"/>
      <c r="AE163" s="8"/>
      <c r="AF163" s="8"/>
      <c r="AG163" s="8"/>
      <c r="AH163" s="8"/>
      <c r="AI163" s="8"/>
      <c r="AJ163" s="8"/>
      <c r="AK163" s="8"/>
      <c r="AL163" s="8"/>
      <c r="AM163" s="8"/>
      <c r="AN163" s="8"/>
      <c r="AO163" s="8"/>
      <c r="AP163" s="8"/>
      <c r="AQ163" s="8"/>
    </row>
    <row r="164" spans="2:43" ht="15.95" hidden="1" customHeight="1">
      <c r="B164" s="929">
        <v>75</v>
      </c>
      <c r="C164" s="8"/>
      <c r="D164" s="8"/>
      <c r="E164" s="8"/>
      <c r="F164" s="8"/>
      <c r="G164" s="8"/>
      <c r="H164" s="8"/>
      <c r="I164" s="8"/>
      <c r="J164" s="8"/>
      <c r="K164" s="8"/>
      <c r="L164" s="8"/>
      <c r="M164" s="8"/>
      <c r="N164" s="8"/>
      <c r="O164" s="8"/>
      <c r="P164" s="8"/>
      <c r="Q164" s="8"/>
      <c r="R164" s="8"/>
      <c r="S164" s="8"/>
      <c r="T164" s="8"/>
      <c r="U164" s="8"/>
      <c r="V164" s="8"/>
      <c r="W164" s="8"/>
      <c r="X164" s="8"/>
      <c r="Y164" s="8"/>
      <c r="Z164" s="8"/>
      <c r="AA164" s="8"/>
      <c r="AB164" s="8"/>
      <c r="AC164" s="8"/>
      <c r="AD164" s="8"/>
      <c r="AE164" s="8"/>
      <c r="AF164" s="8"/>
      <c r="AG164" s="8"/>
      <c r="AH164" s="8"/>
      <c r="AI164" s="8"/>
      <c r="AJ164" s="8"/>
      <c r="AK164" s="8"/>
      <c r="AL164" s="8"/>
      <c r="AM164" s="8"/>
      <c r="AN164" s="8"/>
      <c r="AO164" s="8"/>
      <c r="AP164" s="8"/>
      <c r="AQ164" s="8"/>
    </row>
    <row r="165" spans="2:43" ht="15.95" hidden="1" customHeight="1">
      <c r="B165" s="929"/>
      <c r="C165" s="8"/>
      <c r="D165" s="8"/>
      <c r="E165" s="8"/>
      <c r="F165" s="8"/>
      <c r="G165" s="8"/>
      <c r="H165" s="8"/>
      <c r="I165" s="8"/>
      <c r="J165" s="8"/>
      <c r="K165" s="8"/>
      <c r="L165" s="8"/>
      <c r="M165" s="8"/>
      <c r="N165" s="8"/>
      <c r="O165" s="8"/>
      <c r="P165" s="8"/>
      <c r="Q165" s="8"/>
      <c r="R165" s="8"/>
      <c r="S165" s="8"/>
      <c r="T165" s="8"/>
      <c r="U165" s="8"/>
      <c r="V165" s="8"/>
      <c r="W165" s="8"/>
      <c r="X165" s="8"/>
      <c r="Y165" s="8"/>
      <c r="Z165" s="8"/>
      <c r="AA165" s="8"/>
      <c r="AB165" s="8"/>
      <c r="AC165" s="8"/>
      <c r="AD165" s="8"/>
      <c r="AE165" s="8"/>
      <c r="AF165" s="8"/>
      <c r="AG165" s="8"/>
      <c r="AH165" s="8"/>
      <c r="AI165" s="8"/>
      <c r="AJ165" s="8"/>
      <c r="AK165" s="8"/>
      <c r="AL165" s="8"/>
      <c r="AM165" s="8"/>
      <c r="AN165" s="8"/>
      <c r="AO165" s="8"/>
      <c r="AP165" s="8"/>
      <c r="AQ165" s="8"/>
    </row>
    <row r="166" spans="2:43" ht="15.95" hidden="1" customHeight="1">
      <c r="B166" s="929">
        <v>76</v>
      </c>
      <c r="C166" s="8"/>
      <c r="D166" s="8"/>
      <c r="E166" s="8"/>
      <c r="F166" s="8"/>
      <c r="G166" s="8"/>
      <c r="H166" s="8"/>
      <c r="I166" s="8"/>
      <c r="J166" s="8"/>
      <c r="K166" s="8"/>
      <c r="L166" s="8"/>
      <c r="M166" s="8"/>
      <c r="N166" s="8"/>
      <c r="O166" s="8"/>
      <c r="P166" s="8"/>
      <c r="Q166" s="8"/>
      <c r="R166" s="8"/>
      <c r="S166" s="8"/>
      <c r="T166" s="8"/>
      <c r="U166" s="8"/>
      <c r="V166" s="8"/>
      <c r="W166" s="8"/>
      <c r="X166" s="8"/>
      <c r="Y166" s="8"/>
      <c r="Z166" s="8"/>
      <c r="AA166" s="8"/>
      <c r="AB166" s="8"/>
      <c r="AC166" s="8"/>
      <c r="AD166" s="8"/>
      <c r="AE166" s="8"/>
      <c r="AF166" s="8"/>
      <c r="AG166" s="8"/>
      <c r="AH166" s="8"/>
      <c r="AI166" s="8"/>
      <c r="AJ166" s="8"/>
      <c r="AK166" s="8"/>
      <c r="AL166" s="8"/>
      <c r="AM166" s="8"/>
      <c r="AN166" s="8"/>
      <c r="AO166" s="8"/>
      <c r="AP166" s="8"/>
      <c r="AQ166" s="8"/>
    </row>
    <row r="167" spans="2:43" ht="15.95" hidden="1" customHeight="1">
      <c r="B167" s="929"/>
      <c r="C167" s="8"/>
      <c r="D167" s="8"/>
      <c r="E167" s="8"/>
      <c r="F167" s="8"/>
      <c r="G167" s="8"/>
      <c r="H167" s="8"/>
      <c r="I167" s="8"/>
      <c r="J167" s="8"/>
      <c r="K167" s="8"/>
      <c r="L167" s="8"/>
      <c r="M167" s="8"/>
      <c r="N167" s="8"/>
      <c r="O167" s="8"/>
      <c r="P167" s="8"/>
      <c r="Q167" s="8"/>
      <c r="R167" s="8"/>
      <c r="S167" s="8"/>
      <c r="T167" s="8"/>
      <c r="U167" s="8"/>
      <c r="V167" s="8"/>
      <c r="W167" s="8"/>
      <c r="X167" s="8"/>
      <c r="Y167" s="8"/>
      <c r="Z167" s="8"/>
      <c r="AA167" s="8"/>
      <c r="AB167" s="8"/>
      <c r="AC167" s="8"/>
      <c r="AD167" s="8"/>
      <c r="AE167" s="8"/>
      <c r="AF167" s="8"/>
      <c r="AG167" s="8"/>
      <c r="AH167" s="8"/>
      <c r="AI167" s="8"/>
      <c r="AJ167" s="8"/>
      <c r="AK167" s="8"/>
      <c r="AL167" s="8"/>
      <c r="AM167" s="8"/>
      <c r="AN167" s="8"/>
      <c r="AO167" s="8"/>
      <c r="AP167" s="8"/>
      <c r="AQ167" s="8"/>
    </row>
    <row r="168" spans="2:43" ht="15.95" hidden="1" customHeight="1">
      <c r="B168" s="929">
        <v>77</v>
      </c>
      <c r="C168" s="8"/>
      <c r="D168" s="8"/>
      <c r="E168" s="8"/>
      <c r="F168" s="8"/>
      <c r="G168" s="8"/>
      <c r="H168" s="8"/>
      <c r="I168" s="8"/>
      <c r="J168" s="8"/>
      <c r="K168" s="8"/>
      <c r="L168" s="8"/>
      <c r="M168" s="8"/>
      <c r="N168" s="8"/>
      <c r="O168" s="8"/>
      <c r="P168" s="8"/>
      <c r="Q168" s="8"/>
      <c r="R168" s="8"/>
      <c r="S168" s="8"/>
      <c r="T168" s="8"/>
      <c r="U168" s="8"/>
      <c r="V168" s="8"/>
      <c r="W168" s="8"/>
      <c r="X168" s="8"/>
      <c r="Y168" s="8"/>
      <c r="Z168" s="8"/>
      <c r="AA168" s="8"/>
      <c r="AB168" s="8"/>
      <c r="AC168" s="8"/>
      <c r="AD168" s="8"/>
      <c r="AE168" s="8"/>
      <c r="AF168" s="8"/>
      <c r="AG168" s="8"/>
      <c r="AH168" s="8"/>
      <c r="AI168" s="8"/>
      <c r="AJ168" s="8"/>
      <c r="AK168" s="8"/>
      <c r="AL168" s="8"/>
      <c r="AM168" s="8"/>
      <c r="AN168" s="8"/>
      <c r="AO168" s="8"/>
      <c r="AP168" s="8"/>
      <c r="AQ168" s="8"/>
    </row>
    <row r="169" spans="2:43" ht="15.95" hidden="1" customHeight="1">
      <c r="B169" s="929"/>
      <c r="C169" s="8"/>
      <c r="D169" s="8"/>
      <c r="E169" s="8"/>
      <c r="F169" s="8"/>
      <c r="G169" s="8"/>
      <c r="H169" s="8"/>
      <c r="I169" s="8"/>
      <c r="J169" s="8"/>
      <c r="K169" s="8"/>
      <c r="L169" s="8"/>
      <c r="M169" s="8"/>
      <c r="N169" s="8"/>
      <c r="O169" s="8"/>
      <c r="P169" s="8"/>
      <c r="Q169" s="8"/>
      <c r="R169" s="8"/>
      <c r="S169" s="8"/>
      <c r="T169" s="8"/>
      <c r="U169" s="8"/>
      <c r="V169" s="8"/>
      <c r="W169" s="8"/>
      <c r="X169" s="8"/>
      <c r="Y169" s="8"/>
      <c r="Z169" s="8"/>
      <c r="AA169" s="8"/>
      <c r="AB169" s="8"/>
      <c r="AC169" s="8"/>
      <c r="AD169" s="8"/>
      <c r="AE169" s="8"/>
      <c r="AF169" s="8"/>
      <c r="AG169" s="8"/>
      <c r="AH169" s="8"/>
      <c r="AI169" s="8"/>
      <c r="AJ169" s="8"/>
      <c r="AK169" s="8"/>
      <c r="AL169" s="8"/>
      <c r="AM169" s="8"/>
      <c r="AN169" s="8"/>
      <c r="AO169" s="8"/>
      <c r="AP169" s="8"/>
      <c r="AQ169" s="8"/>
    </row>
    <row r="170" spans="2:43" ht="15.95" hidden="1" customHeight="1">
      <c r="B170" s="929">
        <v>78</v>
      </c>
      <c r="C170" s="8"/>
      <c r="D170" s="8"/>
      <c r="E170" s="8"/>
      <c r="F170" s="8"/>
      <c r="G170" s="8"/>
      <c r="H170" s="8"/>
      <c r="I170" s="8"/>
      <c r="J170" s="8"/>
      <c r="K170" s="8"/>
      <c r="L170" s="8"/>
      <c r="M170" s="8"/>
      <c r="N170" s="8"/>
      <c r="O170" s="8"/>
      <c r="P170" s="8"/>
      <c r="Q170" s="8"/>
      <c r="R170" s="8"/>
      <c r="S170" s="8"/>
      <c r="T170" s="8"/>
      <c r="U170" s="8"/>
      <c r="V170" s="8"/>
      <c r="W170" s="8"/>
      <c r="X170" s="8"/>
      <c r="Y170" s="8"/>
      <c r="Z170" s="8"/>
      <c r="AA170" s="8"/>
      <c r="AB170" s="8"/>
      <c r="AC170" s="8"/>
      <c r="AD170" s="8"/>
      <c r="AE170" s="8"/>
      <c r="AF170" s="8"/>
      <c r="AG170" s="8"/>
      <c r="AH170" s="8"/>
      <c r="AI170" s="8"/>
      <c r="AJ170" s="8"/>
      <c r="AK170" s="8"/>
      <c r="AL170" s="8"/>
      <c r="AM170" s="8"/>
      <c r="AN170" s="8"/>
      <c r="AO170" s="8"/>
      <c r="AP170" s="8"/>
      <c r="AQ170" s="8"/>
    </row>
    <row r="171" spans="2:43" ht="15.95" hidden="1" customHeight="1">
      <c r="B171" s="929"/>
      <c r="C171" s="8"/>
      <c r="D171" s="8"/>
      <c r="E171" s="8"/>
      <c r="F171" s="8"/>
      <c r="G171" s="8"/>
      <c r="H171" s="8"/>
      <c r="I171" s="8"/>
      <c r="J171" s="8"/>
      <c r="K171" s="8"/>
      <c r="L171" s="8"/>
      <c r="M171" s="8"/>
      <c r="N171" s="8"/>
      <c r="O171" s="8"/>
      <c r="P171" s="8"/>
      <c r="Q171" s="8"/>
      <c r="R171" s="8"/>
      <c r="S171" s="8"/>
      <c r="T171" s="8"/>
      <c r="U171" s="8"/>
      <c r="V171" s="8"/>
      <c r="W171" s="8"/>
      <c r="X171" s="8"/>
      <c r="Y171" s="8"/>
      <c r="Z171" s="8"/>
      <c r="AA171" s="8"/>
      <c r="AB171" s="8"/>
      <c r="AC171" s="8"/>
      <c r="AD171" s="8"/>
      <c r="AE171" s="8"/>
      <c r="AF171" s="8"/>
      <c r="AG171" s="8"/>
      <c r="AH171" s="8"/>
      <c r="AI171" s="8"/>
      <c r="AJ171" s="8"/>
      <c r="AK171" s="8"/>
      <c r="AL171" s="8"/>
      <c r="AM171" s="8"/>
      <c r="AN171" s="8"/>
      <c r="AO171" s="8"/>
      <c r="AP171" s="8"/>
      <c r="AQ171" s="8"/>
    </row>
    <row r="172" spans="2:43" ht="15.95" hidden="1" customHeight="1">
      <c r="B172" s="929">
        <v>79</v>
      </c>
      <c r="C172" s="8"/>
      <c r="D172" s="8"/>
      <c r="E172" s="8"/>
      <c r="F172" s="8"/>
      <c r="G172" s="8"/>
      <c r="H172" s="8"/>
      <c r="I172" s="8"/>
      <c r="J172" s="8"/>
      <c r="K172" s="8"/>
      <c r="L172" s="8"/>
      <c r="M172" s="8"/>
      <c r="N172" s="8"/>
      <c r="O172" s="8"/>
      <c r="P172" s="8"/>
      <c r="Q172" s="8"/>
      <c r="R172" s="8"/>
      <c r="S172" s="8"/>
      <c r="T172" s="8"/>
      <c r="U172" s="8"/>
      <c r="V172" s="8"/>
      <c r="W172" s="8"/>
      <c r="X172" s="8"/>
      <c r="Y172" s="8"/>
      <c r="Z172" s="8"/>
      <c r="AA172" s="8"/>
      <c r="AB172" s="8"/>
      <c r="AC172" s="8"/>
      <c r="AD172" s="8"/>
      <c r="AE172" s="8"/>
      <c r="AF172" s="8"/>
      <c r="AG172" s="8"/>
      <c r="AH172" s="8"/>
      <c r="AI172" s="8"/>
      <c r="AJ172" s="8"/>
      <c r="AK172" s="8"/>
      <c r="AL172" s="8"/>
      <c r="AM172" s="8"/>
      <c r="AN172" s="8"/>
      <c r="AO172" s="8"/>
      <c r="AP172" s="8"/>
      <c r="AQ172" s="8"/>
    </row>
    <row r="173" spans="2:43" ht="15.95" hidden="1" customHeight="1">
      <c r="B173" s="929"/>
      <c r="C173" s="8"/>
      <c r="D173" s="8"/>
      <c r="E173" s="8"/>
      <c r="F173" s="8"/>
      <c r="G173" s="8"/>
      <c r="H173" s="8"/>
      <c r="I173" s="8"/>
      <c r="J173" s="8"/>
      <c r="K173" s="8"/>
      <c r="L173" s="8"/>
      <c r="M173" s="8"/>
      <c r="N173" s="8"/>
      <c r="O173" s="8"/>
      <c r="P173" s="8"/>
      <c r="Q173" s="8"/>
      <c r="R173" s="8"/>
      <c r="S173" s="8"/>
      <c r="T173" s="8"/>
      <c r="U173" s="8"/>
      <c r="V173" s="8"/>
      <c r="W173" s="8"/>
      <c r="X173" s="8"/>
      <c r="Y173" s="8"/>
      <c r="Z173" s="8"/>
      <c r="AA173" s="8"/>
      <c r="AB173" s="8"/>
      <c r="AC173" s="8"/>
      <c r="AD173" s="8"/>
      <c r="AE173" s="8"/>
      <c r="AF173" s="8"/>
      <c r="AG173" s="8"/>
      <c r="AH173" s="8"/>
      <c r="AI173" s="8"/>
      <c r="AJ173" s="8"/>
      <c r="AK173" s="8"/>
      <c r="AL173" s="8"/>
      <c r="AM173" s="8"/>
      <c r="AN173" s="8"/>
      <c r="AO173" s="8"/>
      <c r="AP173" s="8"/>
      <c r="AQ173" s="8"/>
    </row>
    <row r="174" spans="2:43" ht="15.95" hidden="1" customHeight="1">
      <c r="B174" s="929">
        <v>80</v>
      </c>
      <c r="C174" s="8"/>
      <c r="D174" s="8"/>
      <c r="E174" s="8"/>
      <c r="F174" s="8"/>
      <c r="G174" s="8"/>
      <c r="H174" s="8"/>
      <c r="I174" s="8"/>
      <c r="J174" s="8"/>
      <c r="K174" s="8"/>
      <c r="L174" s="8"/>
      <c r="M174" s="8"/>
      <c r="N174" s="8"/>
      <c r="O174" s="8"/>
      <c r="P174" s="8"/>
      <c r="Q174" s="8"/>
      <c r="R174" s="8"/>
      <c r="S174" s="8"/>
      <c r="T174" s="8"/>
      <c r="U174" s="8"/>
      <c r="V174" s="8"/>
      <c r="W174" s="8"/>
      <c r="X174" s="8"/>
      <c r="Y174" s="8"/>
      <c r="Z174" s="8"/>
      <c r="AA174" s="8"/>
      <c r="AB174" s="8"/>
      <c r="AC174" s="8"/>
      <c r="AD174" s="8"/>
      <c r="AE174" s="8"/>
      <c r="AF174" s="8"/>
      <c r="AG174" s="8"/>
      <c r="AH174" s="8"/>
      <c r="AI174" s="8"/>
      <c r="AJ174" s="8"/>
      <c r="AK174" s="8"/>
      <c r="AL174" s="8"/>
      <c r="AM174" s="8"/>
      <c r="AN174" s="8"/>
      <c r="AO174" s="8"/>
      <c r="AP174" s="8"/>
      <c r="AQ174" s="8"/>
    </row>
    <row r="175" spans="2:43" ht="15.95" hidden="1" customHeight="1">
      <c r="B175" s="929"/>
      <c r="C175" s="8"/>
      <c r="D175" s="8"/>
      <c r="E175" s="8"/>
      <c r="F175" s="8"/>
      <c r="G175" s="8"/>
      <c r="H175" s="8"/>
      <c r="I175" s="8"/>
      <c r="J175" s="8"/>
      <c r="K175" s="8"/>
      <c r="L175" s="8"/>
      <c r="M175" s="8"/>
      <c r="N175" s="8"/>
      <c r="O175" s="8"/>
      <c r="P175" s="8"/>
      <c r="Q175" s="8"/>
      <c r="R175" s="8"/>
      <c r="S175" s="8"/>
      <c r="T175" s="8"/>
      <c r="U175" s="8"/>
      <c r="V175" s="8"/>
      <c r="W175" s="8"/>
      <c r="X175" s="8"/>
      <c r="Y175" s="8"/>
      <c r="Z175" s="8"/>
      <c r="AA175" s="8"/>
      <c r="AB175" s="8"/>
      <c r="AC175" s="8"/>
      <c r="AD175" s="8"/>
      <c r="AE175" s="8"/>
      <c r="AF175" s="8"/>
      <c r="AG175" s="8"/>
      <c r="AH175" s="8"/>
      <c r="AI175" s="8"/>
      <c r="AJ175" s="8"/>
      <c r="AK175" s="8"/>
      <c r="AL175" s="8"/>
      <c r="AM175" s="8"/>
      <c r="AN175" s="8"/>
      <c r="AO175" s="8"/>
      <c r="AP175" s="8"/>
      <c r="AQ175" s="8"/>
    </row>
    <row r="176" spans="2:43" ht="15.95" hidden="1" customHeight="1">
      <c r="B176" s="929">
        <v>81</v>
      </c>
      <c r="C176" s="8"/>
      <c r="D176" s="8"/>
      <c r="E176" s="8"/>
      <c r="F176" s="8"/>
      <c r="G176" s="8"/>
      <c r="H176" s="8"/>
      <c r="I176" s="8"/>
      <c r="J176" s="8"/>
      <c r="K176" s="8"/>
      <c r="L176" s="8"/>
      <c r="M176" s="8"/>
      <c r="N176" s="8"/>
      <c r="O176" s="8"/>
      <c r="P176" s="8"/>
      <c r="Q176" s="8"/>
      <c r="R176" s="8"/>
      <c r="S176" s="8"/>
      <c r="T176" s="8"/>
      <c r="U176" s="8"/>
      <c r="V176" s="8"/>
      <c r="W176" s="8"/>
      <c r="X176" s="8"/>
      <c r="Y176" s="8"/>
      <c r="Z176" s="8"/>
      <c r="AA176" s="8"/>
      <c r="AB176" s="8"/>
      <c r="AC176" s="8"/>
      <c r="AD176" s="8"/>
      <c r="AE176" s="8"/>
      <c r="AF176" s="8"/>
      <c r="AG176" s="8"/>
      <c r="AH176" s="8"/>
      <c r="AI176" s="8"/>
      <c r="AJ176" s="8"/>
      <c r="AK176" s="8"/>
      <c r="AL176" s="8"/>
      <c r="AM176" s="8"/>
      <c r="AN176" s="8"/>
      <c r="AO176" s="8"/>
      <c r="AP176" s="8"/>
      <c r="AQ176" s="8"/>
    </row>
    <row r="177" spans="2:43" ht="15.95" hidden="1" customHeight="1">
      <c r="B177" s="929"/>
      <c r="C177" s="8"/>
      <c r="D177" s="8"/>
      <c r="E177" s="8"/>
      <c r="F177" s="8"/>
      <c r="G177" s="8"/>
      <c r="H177" s="8"/>
      <c r="I177" s="8"/>
      <c r="J177" s="8"/>
      <c r="K177" s="8"/>
      <c r="L177" s="8"/>
      <c r="M177" s="8"/>
      <c r="N177" s="8"/>
      <c r="O177" s="8"/>
      <c r="P177" s="8"/>
      <c r="Q177" s="8"/>
      <c r="R177" s="8"/>
      <c r="S177" s="8"/>
      <c r="T177" s="8"/>
      <c r="U177" s="8"/>
      <c r="V177" s="8"/>
      <c r="W177" s="8"/>
      <c r="X177" s="8"/>
      <c r="Y177" s="8"/>
      <c r="Z177" s="8"/>
      <c r="AA177" s="8"/>
      <c r="AB177" s="8"/>
      <c r="AC177" s="8"/>
      <c r="AD177" s="8"/>
      <c r="AE177" s="8"/>
      <c r="AF177" s="8"/>
      <c r="AG177" s="8"/>
      <c r="AH177" s="8"/>
      <c r="AI177" s="8"/>
      <c r="AJ177" s="8"/>
      <c r="AK177" s="8"/>
      <c r="AL177" s="8"/>
      <c r="AM177" s="8"/>
      <c r="AN177" s="8"/>
      <c r="AO177" s="8"/>
      <c r="AP177" s="8"/>
      <c r="AQ177" s="8"/>
    </row>
    <row r="178" spans="2:43" ht="15.95" hidden="1" customHeight="1">
      <c r="B178" s="929">
        <v>82</v>
      </c>
      <c r="C178" s="8"/>
      <c r="D178" s="8"/>
      <c r="E178" s="8"/>
      <c r="F178" s="8"/>
      <c r="G178" s="8"/>
      <c r="H178" s="8"/>
      <c r="I178" s="8"/>
      <c r="J178" s="8"/>
      <c r="K178" s="8"/>
      <c r="L178" s="8"/>
      <c r="M178" s="8"/>
      <c r="N178" s="8"/>
      <c r="O178" s="8"/>
      <c r="P178" s="8"/>
      <c r="Q178" s="8"/>
      <c r="R178" s="8"/>
      <c r="S178" s="8"/>
      <c r="T178" s="8"/>
      <c r="U178" s="8"/>
      <c r="V178" s="8"/>
      <c r="W178" s="8"/>
      <c r="X178" s="8"/>
      <c r="Y178" s="8"/>
      <c r="Z178" s="8"/>
      <c r="AA178" s="8"/>
      <c r="AB178" s="8"/>
      <c r="AC178" s="8"/>
      <c r="AD178" s="8"/>
      <c r="AE178" s="8"/>
      <c r="AF178" s="8"/>
      <c r="AG178" s="8"/>
      <c r="AH178" s="8"/>
      <c r="AI178" s="8"/>
      <c r="AJ178" s="8"/>
      <c r="AK178" s="8"/>
      <c r="AL178" s="8"/>
      <c r="AM178" s="8"/>
      <c r="AN178" s="8"/>
      <c r="AO178" s="8"/>
      <c r="AP178" s="8"/>
      <c r="AQ178" s="8"/>
    </row>
    <row r="179" spans="2:43" ht="15.95" hidden="1" customHeight="1">
      <c r="B179" s="929"/>
      <c r="C179" s="8"/>
      <c r="D179" s="8"/>
      <c r="E179" s="8"/>
      <c r="F179" s="8"/>
      <c r="G179" s="8"/>
      <c r="H179" s="8"/>
      <c r="I179" s="8"/>
      <c r="J179" s="8"/>
      <c r="K179" s="8"/>
      <c r="L179" s="8"/>
      <c r="M179" s="8"/>
      <c r="N179" s="8"/>
      <c r="O179" s="8"/>
      <c r="P179" s="8"/>
      <c r="Q179" s="8"/>
      <c r="R179" s="8"/>
      <c r="S179" s="8"/>
      <c r="T179" s="8"/>
      <c r="U179" s="8"/>
      <c r="V179" s="8"/>
      <c r="W179" s="8"/>
      <c r="X179" s="8"/>
      <c r="Y179" s="8"/>
      <c r="Z179" s="8"/>
      <c r="AA179" s="8"/>
      <c r="AB179" s="8"/>
      <c r="AC179" s="8"/>
      <c r="AD179" s="8"/>
      <c r="AE179" s="8"/>
      <c r="AF179" s="8"/>
      <c r="AG179" s="8"/>
      <c r="AH179" s="8"/>
      <c r="AI179" s="8"/>
      <c r="AJ179" s="8"/>
      <c r="AK179" s="8"/>
      <c r="AL179" s="8"/>
      <c r="AM179" s="8"/>
      <c r="AN179" s="8"/>
      <c r="AO179" s="8"/>
      <c r="AP179" s="8"/>
      <c r="AQ179" s="8"/>
    </row>
    <row r="180" spans="2:43" ht="15.95" hidden="1" customHeight="1">
      <c r="B180" s="929">
        <v>83</v>
      </c>
      <c r="C180" s="8"/>
      <c r="D180" s="8"/>
      <c r="E180" s="8"/>
      <c r="F180" s="8"/>
      <c r="G180" s="8"/>
      <c r="H180" s="8"/>
      <c r="I180" s="8"/>
      <c r="J180" s="8"/>
      <c r="K180" s="8"/>
      <c r="L180" s="8"/>
      <c r="M180" s="8"/>
      <c r="N180" s="8"/>
      <c r="O180" s="8"/>
      <c r="P180" s="8"/>
      <c r="Q180" s="8"/>
      <c r="R180" s="8"/>
      <c r="S180" s="8"/>
      <c r="T180" s="8"/>
      <c r="U180" s="8"/>
      <c r="V180" s="8"/>
      <c r="W180" s="8"/>
      <c r="X180" s="8"/>
      <c r="Y180" s="8"/>
      <c r="Z180" s="8"/>
      <c r="AA180" s="8"/>
      <c r="AB180" s="8"/>
      <c r="AC180" s="8"/>
      <c r="AD180" s="8"/>
      <c r="AE180" s="8"/>
      <c r="AF180" s="8"/>
      <c r="AG180" s="8"/>
      <c r="AH180" s="8"/>
      <c r="AI180" s="8"/>
      <c r="AJ180" s="8"/>
      <c r="AK180" s="8"/>
      <c r="AL180" s="8"/>
      <c r="AM180" s="8"/>
      <c r="AN180" s="8"/>
      <c r="AO180" s="8"/>
      <c r="AP180" s="8"/>
      <c r="AQ180" s="8"/>
    </row>
    <row r="181" spans="2:43" ht="15.95" hidden="1" customHeight="1">
      <c r="B181" s="929"/>
      <c r="C181" s="8"/>
      <c r="D181" s="8"/>
      <c r="E181" s="8"/>
      <c r="F181" s="8"/>
      <c r="G181" s="8"/>
      <c r="H181" s="8"/>
      <c r="I181" s="8"/>
      <c r="J181" s="8"/>
      <c r="K181" s="8"/>
      <c r="L181" s="8"/>
      <c r="M181" s="8"/>
      <c r="N181" s="8"/>
      <c r="O181" s="8"/>
      <c r="P181" s="8"/>
      <c r="Q181" s="8"/>
      <c r="R181" s="8"/>
      <c r="S181" s="8"/>
      <c r="T181" s="8"/>
      <c r="U181" s="8"/>
      <c r="V181" s="8"/>
      <c r="W181" s="8"/>
      <c r="X181" s="8"/>
      <c r="Y181" s="8"/>
      <c r="Z181" s="8"/>
      <c r="AA181" s="8"/>
      <c r="AB181" s="8"/>
      <c r="AC181" s="8"/>
      <c r="AD181" s="8"/>
      <c r="AE181" s="8"/>
      <c r="AF181" s="8"/>
      <c r="AG181" s="8"/>
      <c r="AH181" s="8"/>
      <c r="AI181" s="8"/>
      <c r="AJ181" s="8"/>
      <c r="AK181" s="8"/>
      <c r="AL181" s="8"/>
      <c r="AM181" s="8"/>
      <c r="AN181" s="8"/>
      <c r="AO181" s="8"/>
      <c r="AP181" s="8"/>
      <c r="AQ181" s="8"/>
    </row>
    <row r="182" spans="2:43" ht="15.95" hidden="1" customHeight="1">
      <c r="B182" s="929">
        <v>84</v>
      </c>
      <c r="C182" s="8"/>
      <c r="D182" s="8"/>
      <c r="E182" s="8"/>
      <c r="F182" s="8"/>
      <c r="G182" s="8"/>
      <c r="H182" s="8"/>
      <c r="I182" s="8"/>
      <c r="J182" s="8"/>
      <c r="K182" s="8"/>
      <c r="L182" s="8"/>
      <c r="M182" s="8"/>
      <c r="N182" s="8"/>
      <c r="O182" s="8"/>
      <c r="P182" s="8"/>
      <c r="Q182" s="8"/>
      <c r="R182" s="8"/>
      <c r="S182" s="8"/>
      <c r="T182" s="8"/>
      <c r="U182" s="8"/>
      <c r="V182" s="8"/>
      <c r="W182" s="8"/>
      <c r="X182" s="8"/>
      <c r="Y182" s="8"/>
      <c r="Z182" s="8"/>
      <c r="AA182" s="8"/>
      <c r="AB182" s="8"/>
      <c r="AC182" s="8"/>
      <c r="AD182" s="8"/>
      <c r="AE182" s="8"/>
      <c r="AF182" s="8"/>
      <c r="AG182" s="8"/>
      <c r="AH182" s="8"/>
      <c r="AI182" s="8"/>
      <c r="AJ182" s="8"/>
      <c r="AK182" s="8"/>
      <c r="AL182" s="8"/>
      <c r="AM182" s="8"/>
      <c r="AN182" s="8"/>
      <c r="AO182" s="8"/>
      <c r="AP182" s="8"/>
      <c r="AQ182" s="8"/>
    </row>
    <row r="183" spans="2:43" ht="15.95" hidden="1" customHeight="1">
      <c r="B183" s="929"/>
      <c r="C183" s="8"/>
      <c r="D183" s="8"/>
      <c r="E183" s="8"/>
      <c r="F183" s="8"/>
      <c r="G183" s="8"/>
      <c r="H183" s="8"/>
      <c r="I183" s="8"/>
      <c r="J183" s="8"/>
      <c r="K183" s="8"/>
      <c r="L183" s="8"/>
      <c r="M183" s="8"/>
      <c r="N183" s="8"/>
      <c r="O183" s="8"/>
      <c r="P183" s="8"/>
      <c r="Q183" s="8"/>
      <c r="R183" s="8"/>
      <c r="S183" s="8"/>
      <c r="T183" s="8"/>
      <c r="U183" s="8"/>
      <c r="V183" s="8"/>
      <c r="W183" s="8"/>
      <c r="X183" s="8"/>
      <c r="Y183" s="8"/>
      <c r="Z183" s="8"/>
      <c r="AA183" s="8"/>
      <c r="AB183" s="8"/>
      <c r="AC183" s="8"/>
      <c r="AD183" s="8"/>
      <c r="AE183" s="8"/>
      <c r="AF183" s="8"/>
      <c r="AG183" s="8"/>
      <c r="AH183" s="8"/>
      <c r="AI183" s="8"/>
      <c r="AJ183" s="8"/>
      <c r="AK183" s="8"/>
      <c r="AL183" s="8"/>
      <c r="AM183" s="8"/>
      <c r="AN183" s="8"/>
      <c r="AO183" s="8"/>
      <c r="AP183" s="8"/>
      <c r="AQ183" s="8"/>
    </row>
    <row r="184" spans="2:43" ht="15.95" hidden="1" customHeight="1">
      <c r="B184" s="929">
        <v>85</v>
      </c>
      <c r="C184" s="8"/>
      <c r="D184" s="8"/>
      <c r="E184" s="8"/>
      <c r="F184" s="8"/>
      <c r="G184" s="8"/>
      <c r="H184" s="8"/>
      <c r="I184" s="8"/>
      <c r="J184" s="8"/>
      <c r="K184" s="8"/>
      <c r="L184" s="8"/>
      <c r="M184" s="8"/>
      <c r="N184" s="8"/>
      <c r="O184" s="8"/>
      <c r="P184" s="8"/>
      <c r="Q184" s="8"/>
      <c r="R184" s="8"/>
      <c r="S184" s="8"/>
      <c r="T184" s="8"/>
      <c r="U184" s="8"/>
      <c r="V184" s="8"/>
      <c r="W184" s="8"/>
      <c r="X184" s="8"/>
      <c r="Y184" s="8"/>
      <c r="Z184" s="8"/>
      <c r="AA184" s="8"/>
      <c r="AB184" s="8"/>
      <c r="AC184" s="8"/>
      <c r="AD184" s="8"/>
      <c r="AE184" s="8"/>
      <c r="AF184" s="8"/>
      <c r="AG184" s="8"/>
      <c r="AH184" s="8"/>
      <c r="AI184" s="8"/>
      <c r="AJ184" s="8"/>
      <c r="AK184" s="8"/>
      <c r="AL184" s="8"/>
      <c r="AM184" s="8"/>
      <c r="AN184" s="8"/>
      <c r="AO184" s="8"/>
      <c r="AP184" s="8"/>
      <c r="AQ184" s="8"/>
    </row>
    <row r="185" spans="2:43" ht="15.95" hidden="1" customHeight="1">
      <c r="B185" s="929"/>
      <c r="C185" s="8"/>
      <c r="D185" s="8"/>
      <c r="E185" s="8"/>
      <c r="F185" s="8"/>
      <c r="G185" s="8"/>
      <c r="H185" s="8"/>
      <c r="I185" s="8"/>
      <c r="J185" s="8"/>
      <c r="K185" s="8"/>
      <c r="L185" s="8"/>
      <c r="M185" s="8"/>
      <c r="N185" s="8"/>
      <c r="O185" s="8"/>
      <c r="P185" s="8"/>
      <c r="Q185" s="8"/>
      <c r="R185" s="8"/>
      <c r="S185" s="8"/>
      <c r="T185" s="8"/>
      <c r="U185" s="8"/>
      <c r="V185" s="8"/>
      <c r="W185" s="8"/>
      <c r="X185" s="8"/>
      <c r="Y185" s="8"/>
      <c r="Z185" s="8"/>
      <c r="AA185" s="8"/>
      <c r="AB185" s="8"/>
      <c r="AC185" s="8"/>
      <c r="AD185" s="8"/>
      <c r="AE185" s="8"/>
      <c r="AF185" s="8"/>
      <c r="AG185" s="8"/>
      <c r="AH185" s="8"/>
      <c r="AI185" s="8"/>
      <c r="AJ185" s="8"/>
      <c r="AK185" s="8"/>
      <c r="AL185" s="8"/>
      <c r="AM185" s="8"/>
      <c r="AN185" s="8"/>
      <c r="AO185" s="8"/>
      <c r="AP185" s="8"/>
      <c r="AQ185" s="8"/>
    </row>
    <row r="186" spans="2:43" ht="15.95" hidden="1" customHeight="1">
      <c r="B186" s="929">
        <v>86</v>
      </c>
      <c r="C186" s="8"/>
      <c r="D186" s="8"/>
      <c r="E186" s="8"/>
      <c r="F186" s="8"/>
      <c r="G186" s="8"/>
      <c r="H186" s="8"/>
      <c r="I186" s="8"/>
      <c r="J186" s="8"/>
      <c r="K186" s="8"/>
      <c r="L186" s="8"/>
      <c r="M186" s="8"/>
      <c r="N186" s="8"/>
      <c r="O186" s="8"/>
      <c r="P186" s="8"/>
      <c r="Q186" s="8"/>
      <c r="R186" s="8"/>
      <c r="S186" s="8"/>
      <c r="T186" s="8"/>
      <c r="U186" s="8"/>
      <c r="V186" s="8"/>
      <c r="W186" s="8"/>
      <c r="X186" s="8"/>
      <c r="Y186" s="8"/>
      <c r="Z186" s="8"/>
      <c r="AA186" s="8"/>
      <c r="AB186" s="8"/>
      <c r="AC186" s="8"/>
      <c r="AD186" s="8"/>
      <c r="AE186" s="8"/>
      <c r="AF186" s="8"/>
      <c r="AG186" s="8"/>
      <c r="AH186" s="8"/>
      <c r="AI186" s="8"/>
      <c r="AJ186" s="8"/>
      <c r="AK186" s="8"/>
      <c r="AL186" s="8"/>
      <c r="AM186" s="8"/>
      <c r="AN186" s="8"/>
      <c r="AO186" s="8"/>
      <c r="AP186" s="8"/>
      <c r="AQ186" s="8"/>
    </row>
    <row r="187" spans="2:43" ht="15.95" hidden="1" customHeight="1">
      <c r="B187" s="929"/>
      <c r="C187" s="8"/>
      <c r="D187" s="8"/>
      <c r="E187" s="8"/>
      <c r="F187" s="8"/>
      <c r="G187" s="8"/>
      <c r="H187" s="8"/>
      <c r="I187" s="8"/>
      <c r="J187" s="8"/>
      <c r="K187" s="8"/>
      <c r="L187" s="8"/>
      <c r="M187" s="8"/>
      <c r="N187" s="8"/>
      <c r="O187" s="8"/>
      <c r="P187" s="8"/>
      <c r="Q187" s="8"/>
      <c r="R187" s="8"/>
      <c r="S187" s="8"/>
      <c r="T187" s="8"/>
      <c r="U187" s="8"/>
      <c r="V187" s="8"/>
      <c r="W187" s="8"/>
      <c r="X187" s="8"/>
      <c r="Y187" s="8"/>
      <c r="Z187" s="8"/>
      <c r="AA187" s="8"/>
      <c r="AB187" s="8"/>
      <c r="AC187" s="8"/>
      <c r="AD187" s="8"/>
      <c r="AE187" s="8"/>
      <c r="AF187" s="8"/>
      <c r="AG187" s="8"/>
      <c r="AH187" s="8"/>
      <c r="AI187" s="8"/>
      <c r="AJ187" s="8"/>
      <c r="AK187" s="8"/>
      <c r="AL187" s="8"/>
      <c r="AM187" s="8"/>
      <c r="AN187" s="8"/>
      <c r="AO187" s="8"/>
      <c r="AP187" s="8"/>
      <c r="AQ187" s="8"/>
    </row>
    <row r="188" spans="2:43" ht="15.95" hidden="1" customHeight="1">
      <c r="B188" s="929">
        <v>87</v>
      </c>
      <c r="C188" s="8"/>
      <c r="D188" s="8"/>
      <c r="E188" s="8"/>
      <c r="F188" s="8"/>
      <c r="G188" s="8"/>
      <c r="H188" s="8"/>
      <c r="I188" s="8"/>
      <c r="J188" s="8"/>
      <c r="K188" s="8"/>
      <c r="L188" s="8"/>
      <c r="M188" s="8"/>
      <c r="N188" s="8"/>
      <c r="O188" s="8"/>
      <c r="P188" s="8"/>
      <c r="Q188" s="8"/>
      <c r="R188" s="8"/>
      <c r="S188" s="8"/>
      <c r="T188" s="8"/>
      <c r="U188" s="8"/>
      <c r="V188" s="8"/>
      <c r="W188" s="8"/>
      <c r="X188" s="8"/>
      <c r="Y188" s="8"/>
      <c r="Z188" s="8"/>
      <c r="AA188" s="8"/>
      <c r="AB188" s="8"/>
      <c r="AC188" s="8"/>
      <c r="AD188" s="8"/>
      <c r="AE188" s="8"/>
      <c r="AF188" s="8"/>
      <c r="AG188" s="8"/>
      <c r="AH188" s="8"/>
      <c r="AI188" s="8"/>
      <c r="AJ188" s="8"/>
      <c r="AK188" s="8"/>
      <c r="AL188" s="8"/>
      <c r="AM188" s="8"/>
      <c r="AN188" s="8"/>
      <c r="AO188" s="8"/>
      <c r="AP188" s="8"/>
      <c r="AQ188" s="8"/>
    </row>
    <row r="189" spans="2:43" ht="15.95" hidden="1" customHeight="1">
      <c r="B189" s="929"/>
      <c r="C189" s="8"/>
      <c r="D189" s="8"/>
      <c r="E189" s="8"/>
      <c r="F189" s="8"/>
      <c r="G189" s="8"/>
      <c r="H189" s="8"/>
      <c r="I189" s="8"/>
      <c r="J189" s="8"/>
      <c r="K189" s="8"/>
      <c r="L189" s="8"/>
      <c r="M189" s="8"/>
      <c r="N189" s="8"/>
      <c r="O189" s="8"/>
      <c r="P189" s="8"/>
      <c r="Q189" s="8"/>
      <c r="R189" s="8"/>
      <c r="S189" s="8"/>
      <c r="T189" s="8"/>
      <c r="U189" s="8"/>
      <c r="V189" s="8"/>
      <c r="W189" s="8"/>
      <c r="X189" s="8"/>
      <c r="Y189" s="8"/>
      <c r="Z189" s="8"/>
      <c r="AA189" s="8"/>
      <c r="AB189" s="8"/>
      <c r="AC189" s="8"/>
      <c r="AD189" s="8"/>
      <c r="AE189" s="8"/>
      <c r="AF189" s="8"/>
      <c r="AG189" s="8"/>
      <c r="AH189" s="8"/>
      <c r="AI189" s="8"/>
      <c r="AJ189" s="8"/>
      <c r="AK189" s="8"/>
      <c r="AL189" s="8"/>
      <c r="AM189" s="8"/>
      <c r="AN189" s="8"/>
      <c r="AO189" s="8"/>
      <c r="AP189" s="8"/>
      <c r="AQ189" s="8"/>
    </row>
    <row r="190" spans="2:43" ht="15.95" hidden="1" customHeight="1">
      <c r="B190" s="929">
        <v>88</v>
      </c>
      <c r="C190" s="8"/>
      <c r="D190" s="8"/>
      <c r="E190" s="8"/>
      <c r="F190" s="8"/>
      <c r="G190" s="8"/>
      <c r="H190" s="8"/>
      <c r="I190" s="8"/>
      <c r="J190" s="8"/>
      <c r="K190" s="8"/>
      <c r="L190" s="8"/>
      <c r="M190" s="8"/>
      <c r="N190" s="8"/>
      <c r="O190" s="8"/>
      <c r="P190" s="8"/>
      <c r="Q190" s="8"/>
      <c r="R190" s="8"/>
      <c r="S190" s="8"/>
      <c r="T190" s="8"/>
      <c r="U190" s="8"/>
      <c r="V190" s="8"/>
      <c r="W190" s="8"/>
      <c r="X190" s="8"/>
      <c r="Y190" s="8"/>
      <c r="Z190" s="8"/>
      <c r="AA190" s="8"/>
      <c r="AB190" s="8"/>
      <c r="AC190" s="8"/>
      <c r="AD190" s="8"/>
      <c r="AE190" s="8"/>
      <c r="AF190" s="8"/>
      <c r="AG190" s="8"/>
      <c r="AH190" s="8"/>
      <c r="AI190" s="8"/>
      <c r="AJ190" s="8"/>
      <c r="AK190" s="8"/>
      <c r="AL190" s="8"/>
      <c r="AM190" s="8"/>
      <c r="AN190" s="8"/>
      <c r="AO190" s="8"/>
      <c r="AP190" s="8"/>
      <c r="AQ190" s="8"/>
    </row>
    <row r="191" spans="2:43" ht="15.95" hidden="1" customHeight="1">
      <c r="B191" s="929"/>
      <c r="C191" s="8"/>
      <c r="D191" s="8"/>
      <c r="E191" s="8"/>
      <c r="F191" s="8"/>
      <c r="G191" s="8"/>
      <c r="H191" s="8"/>
      <c r="I191" s="8"/>
      <c r="J191" s="8"/>
      <c r="K191" s="8"/>
      <c r="L191" s="8"/>
      <c r="M191" s="8"/>
      <c r="N191" s="8"/>
      <c r="O191" s="8"/>
      <c r="P191" s="8"/>
      <c r="Q191" s="8"/>
      <c r="R191" s="8"/>
      <c r="S191" s="8"/>
      <c r="T191" s="8"/>
      <c r="U191" s="8"/>
      <c r="V191" s="8"/>
      <c r="W191" s="8"/>
      <c r="X191" s="8"/>
      <c r="Y191" s="8"/>
      <c r="Z191" s="8"/>
      <c r="AA191" s="8"/>
      <c r="AB191" s="8"/>
      <c r="AC191" s="8"/>
      <c r="AD191" s="8"/>
      <c r="AE191" s="8"/>
      <c r="AF191" s="8"/>
      <c r="AG191" s="8"/>
      <c r="AH191" s="8"/>
      <c r="AI191" s="8"/>
      <c r="AJ191" s="8"/>
      <c r="AK191" s="8"/>
      <c r="AL191" s="8"/>
      <c r="AM191" s="8"/>
      <c r="AN191" s="8"/>
      <c r="AO191" s="8"/>
      <c r="AP191" s="8"/>
      <c r="AQ191" s="8"/>
    </row>
    <row r="192" spans="2:43" ht="15.95" hidden="1" customHeight="1">
      <c r="B192" s="929">
        <v>89</v>
      </c>
      <c r="C192" s="8"/>
      <c r="D192" s="8"/>
      <c r="E192" s="8"/>
      <c r="F192" s="8"/>
      <c r="G192" s="8"/>
      <c r="H192" s="8"/>
      <c r="I192" s="8"/>
      <c r="J192" s="8"/>
      <c r="K192" s="8"/>
      <c r="L192" s="8"/>
      <c r="M192" s="8"/>
      <c r="N192" s="8"/>
      <c r="O192" s="8"/>
      <c r="P192" s="8"/>
      <c r="Q192" s="8"/>
      <c r="R192" s="8"/>
      <c r="S192" s="8"/>
      <c r="T192" s="8"/>
      <c r="U192" s="8"/>
      <c r="V192" s="8"/>
      <c r="W192" s="8"/>
      <c r="X192" s="8"/>
      <c r="Y192" s="8"/>
      <c r="Z192" s="8"/>
      <c r="AA192" s="8"/>
      <c r="AB192" s="8"/>
      <c r="AC192" s="8"/>
      <c r="AD192" s="8"/>
      <c r="AE192" s="8"/>
      <c r="AF192" s="8"/>
      <c r="AG192" s="8"/>
      <c r="AH192" s="8"/>
      <c r="AI192" s="8"/>
      <c r="AJ192" s="8"/>
      <c r="AK192" s="8"/>
      <c r="AL192" s="8"/>
      <c r="AM192" s="8"/>
      <c r="AN192" s="8"/>
      <c r="AO192" s="8"/>
      <c r="AP192" s="8"/>
      <c r="AQ192" s="8"/>
    </row>
    <row r="193" spans="2:51" ht="15.95" hidden="1" customHeight="1">
      <c r="B193" s="929"/>
      <c r="C193" s="8"/>
      <c r="D193" s="8"/>
      <c r="E193" s="8"/>
      <c r="F193" s="8"/>
      <c r="G193" s="8"/>
      <c r="H193" s="8"/>
      <c r="I193" s="8"/>
      <c r="J193" s="8"/>
      <c r="K193" s="8"/>
      <c r="L193" s="8"/>
      <c r="M193" s="8"/>
      <c r="N193" s="8"/>
      <c r="O193" s="8"/>
      <c r="P193" s="8"/>
      <c r="Q193" s="8"/>
      <c r="R193" s="8"/>
      <c r="S193" s="8"/>
      <c r="T193" s="8"/>
      <c r="U193" s="8"/>
      <c r="V193" s="8"/>
      <c r="W193" s="8"/>
      <c r="X193" s="8"/>
      <c r="Y193" s="8"/>
      <c r="Z193" s="8"/>
      <c r="AA193" s="8"/>
      <c r="AB193" s="8"/>
      <c r="AC193" s="8"/>
      <c r="AD193" s="8"/>
      <c r="AE193" s="8"/>
      <c r="AF193" s="8"/>
      <c r="AG193" s="8"/>
      <c r="AH193" s="8"/>
      <c r="AI193" s="8"/>
      <c r="AJ193" s="8"/>
      <c r="AK193" s="8"/>
      <c r="AL193" s="8"/>
      <c r="AM193" s="8"/>
      <c r="AN193" s="8"/>
      <c r="AO193" s="8"/>
      <c r="AP193" s="8"/>
      <c r="AQ193" s="8"/>
    </row>
    <row r="194" spans="2:51" ht="15.95" hidden="1" customHeight="1">
      <c r="B194" s="929">
        <v>90</v>
      </c>
      <c r="C194" s="8"/>
      <c r="D194" s="8"/>
      <c r="E194" s="8"/>
      <c r="F194" s="8"/>
      <c r="G194" s="8"/>
      <c r="H194" s="8"/>
      <c r="I194" s="8"/>
      <c r="J194" s="8"/>
      <c r="K194" s="8"/>
      <c r="L194" s="8"/>
      <c r="M194" s="8"/>
      <c r="N194" s="8"/>
      <c r="O194" s="8"/>
      <c r="P194" s="8"/>
      <c r="Q194" s="8"/>
      <c r="R194" s="8"/>
      <c r="S194" s="8"/>
      <c r="T194" s="8"/>
      <c r="U194" s="8"/>
      <c r="V194" s="8"/>
      <c r="W194" s="8"/>
      <c r="X194" s="8"/>
      <c r="Y194" s="8"/>
      <c r="Z194" s="8"/>
      <c r="AA194" s="8"/>
      <c r="AB194" s="8"/>
      <c r="AC194" s="8"/>
      <c r="AD194" s="8"/>
      <c r="AE194" s="8"/>
      <c r="AF194" s="8"/>
      <c r="AG194" s="8"/>
      <c r="AH194" s="8"/>
      <c r="AI194" s="8"/>
      <c r="AJ194" s="8"/>
      <c r="AK194" s="8"/>
      <c r="AL194" s="8"/>
      <c r="AM194" s="8"/>
      <c r="AN194" s="8"/>
      <c r="AO194" s="8"/>
      <c r="AP194" s="8"/>
      <c r="AQ194" s="8"/>
    </row>
    <row r="195" spans="2:51" ht="15.95" hidden="1" customHeight="1">
      <c r="B195" s="929"/>
      <c r="C195" s="8"/>
      <c r="D195" s="8"/>
      <c r="E195" s="8"/>
      <c r="F195" s="8"/>
      <c r="G195" s="8"/>
      <c r="H195" s="8"/>
      <c r="I195" s="8"/>
      <c r="J195" s="8"/>
      <c r="K195" s="8"/>
      <c r="L195" s="8"/>
      <c r="M195" s="8"/>
      <c r="N195" s="8"/>
      <c r="O195" s="8"/>
      <c r="P195" s="8"/>
      <c r="Q195" s="8"/>
      <c r="R195" s="8"/>
      <c r="S195" s="8"/>
      <c r="T195" s="8"/>
      <c r="U195" s="8"/>
      <c r="V195" s="8"/>
      <c r="W195" s="8"/>
      <c r="X195" s="8"/>
      <c r="Y195" s="8"/>
      <c r="Z195" s="8"/>
      <c r="AA195" s="8"/>
      <c r="AB195" s="8"/>
      <c r="AC195" s="8"/>
      <c r="AD195" s="8"/>
      <c r="AE195" s="8"/>
      <c r="AF195" s="8"/>
      <c r="AG195" s="8"/>
      <c r="AH195" s="8"/>
      <c r="AI195" s="8"/>
      <c r="AJ195" s="8"/>
      <c r="AK195" s="8"/>
      <c r="AL195" s="8"/>
      <c r="AM195" s="8"/>
      <c r="AN195" s="8"/>
      <c r="AO195" s="8"/>
      <c r="AP195" s="8"/>
      <c r="AQ195" s="8"/>
    </row>
    <row r="196" spans="2:51" ht="15.95" hidden="1" customHeight="1">
      <c r="B196" s="929">
        <v>91</v>
      </c>
      <c r="C196" s="8"/>
      <c r="D196" s="8"/>
      <c r="E196" s="8"/>
      <c r="F196" s="8"/>
      <c r="G196" s="8"/>
      <c r="H196" s="8"/>
      <c r="I196" s="8"/>
      <c r="J196" s="8"/>
      <c r="K196" s="8"/>
      <c r="L196" s="8"/>
      <c r="M196" s="8"/>
      <c r="N196" s="8"/>
      <c r="O196" s="8"/>
      <c r="P196" s="8"/>
      <c r="Q196" s="8"/>
      <c r="R196" s="8"/>
      <c r="S196" s="8"/>
      <c r="T196" s="8"/>
      <c r="U196" s="8"/>
      <c r="V196" s="8"/>
      <c r="W196" s="8"/>
      <c r="X196" s="8"/>
      <c r="Y196" s="8"/>
      <c r="Z196" s="8"/>
      <c r="AA196" s="8"/>
      <c r="AB196" s="8"/>
      <c r="AC196" s="8"/>
      <c r="AD196" s="8"/>
      <c r="AE196" s="8"/>
      <c r="AF196" s="8"/>
      <c r="AG196" s="8"/>
      <c r="AH196" s="8"/>
      <c r="AI196" s="8"/>
      <c r="AJ196" s="8"/>
      <c r="AK196" s="8"/>
      <c r="AL196" s="8"/>
      <c r="AM196" s="8"/>
      <c r="AN196" s="8"/>
      <c r="AO196" s="8"/>
      <c r="AP196" s="8"/>
      <c r="AQ196" s="8"/>
    </row>
    <row r="197" spans="2:51" ht="15.95" hidden="1" customHeight="1">
      <c r="B197" s="929"/>
      <c r="C197" s="8"/>
      <c r="D197" s="8"/>
      <c r="E197" s="8"/>
      <c r="F197" s="8"/>
      <c r="G197" s="8"/>
      <c r="H197" s="8"/>
      <c r="I197" s="8"/>
      <c r="J197" s="8"/>
      <c r="K197" s="8"/>
      <c r="L197" s="8"/>
      <c r="M197" s="8"/>
      <c r="N197" s="8"/>
      <c r="O197" s="8"/>
      <c r="P197" s="8"/>
      <c r="Q197" s="8"/>
      <c r="R197" s="8"/>
      <c r="S197" s="8"/>
      <c r="T197" s="8"/>
      <c r="U197" s="8"/>
      <c r="V197" s="8"/>
      <c r="W197" s="8"/>
      <c r="X197" s="8"/>
      <c r="Y197" s="8"/>
      <c r="Z197" s="8"/>
      <c r="AA197" s="8"/>
      <c r="AB197" s="8"/>
      <c r="AC197" s="8"/>
      <c r="AD197" s="8"/>
      <c r="AE197" s="8"/>
      <c r="AF197" s="8"/>
      <c r="AG197" s="8"/>
      <c r="AH197" s="8"/>
      <c r="AI197" s="8"/>
      <c r="AJ197" s="8"/>
      <c r="AK197" s="8"/>
      <c r="AL197" s="8"/>
      <c r="AM197" s="8"/>
      <c r="AN197" s="8"/>
      <c r="AO197" s="8"/>
      <c r="AP197" s="8"/>
      <c r="AQ197" s="8"/>
    </row>
    <row r="198" spans="2:51" ht="15.95" hidden="1" customHeight="1">
      <c r="B198" s="929">
        <v>92</v>
      </c>
      <c r="C198" s="8"/>
      <c r="D198" s="8"/>
      <c r="E198" s="8"/>
      <c r="F198" s="8"/>
      <c r="G198" s="8"/>
      <c r="H198" s="8"/>
      <c r="I198" s="8"/>
      <c r="J198" s="8"/>
      <c r="K198" s="8"/>
      <c r="L198" s="8"/>
      <c r="M198" s="8"/>
      <c r="N198" s="8"/>
      <c r="O198" s="8"/>
      <c r="P198" s="8"/>
      <c r="Q198" s="8"/>
      <c r="R198" s="8"/>
      <c r="S198" s="8"/>
      <c r="T198" s="8"/>
      <c r="U198" s="8"/>
      <c r="V198" s="8"/>
      <c r="W198" s="8"/>
      <c r="X198" s="8"/>
      <c r="Y198" s="8"/>
      <c r="Z198" s="8"/>
      <c r="AA198" s="8"/>
      <c r="AB198" s="8"/>
      <c r="AC198" s="8"/>
      <c r="AD198" s="8"/>
      <c r="AE198" s="8"/>
      <c r="AF198" s="8"/>
      <c r="AG198" s="8"/>
      <c r="AH198" s="8"/>
      <c r="AI198" s="8"/>
      <c r="AJ198" s="8"/>
      <c r="AK198" s="8"/>
      <c r="AL198" s="8"/>
      <c r="AM198" s="8"/>
      <c r="AN198" s="8"/>
      <c r="AO198" s="8"/>
      <c r="AP198" s="8"/>
      <c r="AQ198" s="8"/>
    </row>
    <row r="199" spans="2:51" ht="15.95" hidden="1" customHeight="1">
      <c r="B199" s="929"/>
      <c r="C199" s="8"/>
      <c r="D199" s="8"/>
      <c r="E199" s="8"/>
      <c r="F199" s="8"/>
      <c r="G199" s="8"/>
      <c r="H199" s="8"/>
      <c r="I199" s="8"/>
      <c r="J199" s="8"/>
      <c r="K199" s="8"/>
      <c r="L199" s="8"/>
      <c r="M199" s="8"/>
      <c r="N199" s="8"/>
      <c r="O199" s="8"/>
      <c r="P199" s="8"/>
      <c r="Q199" s="8"/>
      <c r="R199" s="8"/>
      <c r="S199" s="8"/>
      <c r="T199" s="8"/>
      <c r="U199" s="8"/>
      <c r="V199" s="8"/>
      <c r="W199" s="8"/>
      <c r="X199" s="8"/>
      <c r="Y199" s="8"/>
      <c r="Z199" s="8"/>
      <c r="AA199" s="8"/>
      <c r="AB199" s="8"/>
      <c r="AC199" s="8"/>
      <c r="AD199" s="8"/>
      <c r="AE199" s="8"/>
      <c r="AF199" s="8"/>
      <c r="AG199" s="8"/>
      <c r="AH199" s="8"/>
      <c r="AI199" s="8"/>
      <c r="AJ199" s="8"/>
      <c r="AK199" s="8"/>
      <c r="AL199" s="8"/>
      <c r="AM199" s="8"/>
      <c r="AN199" s="8"/>
      <c r="AO199" s="8"/>
      <c r="AP199" s="8"/>
      <c r="AQ199" s="8"/>
    </row>
    <row r="200" spans="2:51" ht="15.95" customHeight="1">
      <c r="B200" s="272" t="str">
        <f>FOOT1</f>
        <v>NIPSCO Energy Efficiency Program</v>
      </c>
      <c r="C200" s="272"/>
      <c r="D200" s="272"/>
      <c r="E200" s="272"/>
      <c r="F200" s="272"/>
      <c r="G200" s="272"/>
      <c r="H200" s="272"/>
      <c r="I200" s="272"/>
      <c r="J200" s="272"/>
      <c r="K200" s="272"/>
      <c r="L200" s="272"/>
      <c r="M200" s="661" t="str">
        <f>FOOT4</f>
        <v>NIPSCO’s energy efficiency programs are administered by TRC, a third‐party implementation specialist that helps homes and businesses save energy.</v>
      </c>
      <c r="N200" s="661"/>
      <c r="O200" s="661"/>
      <c r="P200" s="661"/>
      <c r="Q200" s="661"/>
      <c r="R200" s="661"/>
      <c r="S200" s="661"/>
      <c r="T200" s="661"/>
      <c r="U200" s="661"/>
      <c r="V200" s="661"/>
      <c r="W200" s="661"/>
      <c r="X200" s="661"/>
      <c r="Y200" s="661"/>
      <c r="Z200" s="661"/>
      <c r="AA200" s="661"/>
      <c r="AB200" s="661"/>
      <c r="AC200" s="661"/>
      <c r="AD200" s="661"/>
      <c r="AE200" s="661"/>
      <c r="AF200" s="661"/>
      <c r="AG200" s="661"/>
      <c r="AH200" s="272"/>
      <c r="AI200" s="272"/>
      <c r="AJ200" s="272"/>
      <c r="AK200" s="272"/>
      <c r="AL200" s="272"/>
      <c r="AM200" s="272"/>
      <c r="AN200" s="272"/>
      <c r="AO200" s="272"/>
      <c r="AP200" s="272"/>
      <c r="AQ200" s="272"/>
      <c r="AR200" s="273" t="str">
        <f>FOOTDISCLAIM</f>
        <v/>
      </c>
      <c r="AU200" s="813">
        <f>SUM(AU16:AU199)</f>
        <v>0</v>
      </c>
      <c r="AV200" s="1019">
        <f>SUM(AV16:AV199)</f>
        <v>0</v>
      </c>
      <c r="AW200" s="1064">
        <f>SUM(AW16:AW199)</f>
        <v>0</v>
      </c>
      <c r="AX200" s="813">
        <f>SUM(AX16:AX199)</f>
        <v>0</v>
      </c>
      <c r="AY200" s="813">
        <f>SUM(AY16:AY199)</f>
        <v>0</v>
      </c>
    </row>
    <row r="201" spans="2:51" ht="15.95" customHeight="1">
      <c r="B201" s="272" t="str">
        <f>FOOT2</f>
        <v>Toll-Free 800-299-2501</v>
      </c>
      <c r="C201" s="272"/>
      <c r="D201" s="272"/>
      <c r="E201" s="272"/>
      <c r="F201" s="272"/>
      <c r="G201" s="272"/>
      <c r="H201" s="272"/>
      <c r="I201" s="272"/>
      <c r="J201" s="272"/>
      <c r="K201" s="272"/>
      <c r="L201" s="272"/>
      <c r="M201" s="661"/>
      <c r="N201" s="661"/>
      <c r="O201" s="661"/>
      <c r="P201" s="661"/>
      <c r="Q201" s="661"/>
      <c r="R201" s="661"/>
      <c r="S201" s="661"/>
      <c r="T201" s="661"/>
      <c r="U201" s="661"/>
      <c r="V201" s="661"/>
      <c r="W201" s="661"/>
      <c r="X201" s="661"/>
      <c r="Y201" s="661"/>
      <c r="Z201" s="661"/>
      <c r="AA201" s="661"/>
      <c r="AB201" s="661"/>
      <c r="AC201" s="661"/>
      <c r="AD201" s="661"/>
      <c r="AE201" s="661"/>
      <c r="AF201" s="661"/>
      <c r="AG201" s="661"/>
      <c r="AH201" s="272"/>
      <c r="AI201" s="272"/>
      <c r="AJ201" s="272"/>
      <c r="AK201" s="272"/>
      <c r="AL201" s="272"/>
      <c r="AM201" s="272"/>
      <c r="AN201" s="272"/>
      <c r="AO201" s="272"/>
      <c r="AP201" s="272"/>
      <c r="AQ201" s="272"/>
      <c r="AR201" s="273" t="str">
        <f>FOOT5</f>
        <v/>
      </c>
      <c r="AU201" s="814"/>
      <c r="AV201" s="981"/>
      <c r="AW201" s="1002"/>
      <c r="AX201" s="814"/>
      <c r="AY201" s="814"/>
    </row>
    <row r="202" spans="2:51" ht="15.95" customHeight="1">
      <c r="B202" s="281" t="s">
        <v>1547</v>
      </c>
      <c r="C202" s="272"/>
      <c r="D202" s="272"/>
      <c r="E202" s="272"/>
      <c r="F202" s="272"/>
      <c r="G202" s="272"/>
      <c r="H202" s="272"/>
      <c r="I202" s="272"/>
      <c r="J202" s="272"/>
      <c r="K202" s="272"/>
      <c r="L202" s="272"/>
      <c r="M202" s="274"/>
      <c r="N202" s="272"/>
      <c r="O202" s="272"/>
      <c r="P202" s="274"/>
      <c r="Q202" s="274"/>
      <c r="R202" s="274"/>
      <c r="S202" s="274"/>
      <c r="T202" s="274"/>
      <c r="U202" s="274"/>
      <c r="V202" s="274"/>
      <c r="W202" s="275" t="str">
        <f>VERSION</f>
        <v>Custom Prescriptive Application v3.7.1</v>
      </c>
      <c r="X202" s="274"/>
      <c r="Y202" s="274"/>
      <c r="Z202" s="274"/>
      <c r="AA202" s="274"/>
      <c r="AB202" s="274"/>
      <c r="AC202" s="274"/>
      <c r="AD202" s="274"/>
      <c r="AE202" s="272"/>
      <c r="AF202" s="272"/>
      <c r="AG202" s="272"/>
      <c r="AH202" s="272"/>
      <c r="AI202" s="272"/>
      <c r="AJ202" s="272"/>
      <c r="AK202" s="272"/>
      <c r="AL202" s="272"/>
      <c r="AM202" s="272"/>
      <c r="AN202" s="272"/>
      <c r="AO202" s="272"/>
      <c r="AP202" s="272"/>
      <c r="AQ202" s="272"/>
      <c r="AR202" s="273" t="str">
        <f>FOOT6</f>
        <v>Product of TRC</v>
      </c>
      <c r="AV202"/>
    </row>
    <row r="203" spans="2:51" ht="15" hidden="1" customHeight="1"/>
  </sheetData>
  <sheetProtection algorithmName="SHA-512" hashValue="yJyKp0fAiK4HVh8d2vGKIDshax2yi26/jC5nQik57AQ/FAwIs6f/ZB5LAPI2W6Q439S7y57xuPyOoeWeKp9JJg==" saltValue="eqdkVacAzSQwObPI3ye2eg==" spinCount="100000" sheet="1" objects="1" scenarios="1" selectLockedCells="1"/>
  <dataConsolidate/>
  <mergeCells count="414">
    <mergeCell ref="AA14:AD14"/>
    <mergeCell ref="J14:M15"/>
    <mergeCell ref="BE32:BE33"/>
    <mergeCell ref="BE14:BE15"/>
    <mergeCell ref="BE16:BE17"/>
    <mergeCell ref="BE18:BE19"/>
    <mergeCell ref="BE20:BE21"/>
    <mergeCell ref="BE22:BE23"/>
    <mergeCell ref="BE24:BE25"/>
    <mergeCell ref="BE26:BE27"/>
    <mergeCell ref="BE28:BE29"/>
    <mergeCell ref="BE30:BE31"/>
    <mergeCell ref="AE26:AH27"/>
    <mergeCell ref="AK26:AN27"/>
    <mergeCell ref="AO26:AQ27"/>
    <mergeCell ref="T24:U25"/>
    <mergeCell ref="V24:W25"/>
    <mergeCell ref="AW26:AW27"/>
    <mergeCell ref="AW28:AW29"/>
    <mergeCell ref="AW30:AW31"/>
    <mergeCell ref="AW32:AW33"/>
    <mergeCell ref="AW18:AW19"/>
    <mergeCell ref="AV20:AV21"/>
    <mergeCell ref="AC22:AD23"/>
    <mergeCell ref="N26:O27"/>
    <mergeCell ref="P26:S27"/>
    <mergeCell ref="X26:Z27"/>
    <mergeCell ref="AA26:AB27"/>
    <mergeCell ref="AC26:AD27"/>
    <mergeCell ref="V18:W19"/>
    <mergeCell ref="P22:S23"/>
    <mergeCell ref="X22:Z23"/>
    <mergeCell ref="AA22:AB23"/>
    <mergeCell ref="C18:I19"/>
    <mergeCell ref="J18:M19"/>
    <mergeCell ref="N18:O19"/>
    <mergeCell ref="P18:S19"/>
    <mergeCell ref="X18:Z19"/>
    <mergeCell ref="AA18:AB19"/>
    <mergeCell ref="AC18:AD19"/>
    <mergeCell ref="C20:I21"/>
    <mergeCell ref="J20:M21"/>
    <mergeCell ref="N20:O21"/>
    <mergeCell ref="P20:S21"/>
    <mergeCell ref="X20:Z21"/>
    <mergeCell ref="AA20:AB21"/>
    <mergeCell ref="AC20:AD21"/>
    <mergeCell ref="AX200:AX201"/>
    <mergeCell ref="AY14:AY15"/>
    <mergeCell ref="AY16:AY17"/>
    <mergeCell ref="AY18:AY19"/>
    <mergeCell ref="AY20:AY21"/>
    <mergeCell ref="AY22:AY23"/>
    <mergeCell ref="AY24:AY25"/>
    <mergeCell ref="AY26:AY27"/>
    <mergeCell ref="AY28:AY29"/>
    <mergeCell ref="AY30:AY31"/>
    <mergeCell ref="AY32:AY33"/>
    <mergeCell ref="AY200:AY201"/>
    <mergeCell ref="AX24:AX25"/>
    <mergeCell ref="AX30:AX31"/>
    <mergeCell ref="AX26:AX27"/>
    <mergeCell ref="AX14:AX15"/>
    <mergeCell ref="AX16:AX17"/>
    <mergeCell ref="AX18:AX19"/>
    <mergeCell ref="AW200:AW201"/>
    <mergeCell ref="AV24:AV25"/>
    <mergeCell ref="AV30:AV31"/>
    <mergeCell ref="AV26:AV27"/>
    <mergeCell ref="AV200:AV201"/>
    <mergeCell ref="AQ1:AR1"/>
    <mergeCell ref="AH2:AK3"/>
    <mergeCell ref="AL2:AP3"/>
    <mergeCell ref="AQ2:AR3"/>
    <mergeCell ref="AV14:AV15"/>
    <mergeCell ref="AV16:AV17"/>
    <mergeCell ref="AV18:AV19"/>
    <mergeCell ref="AE16:AH17"/>
    <mergeCell ref="AK16:AN17"/>
    <mergeCell ref="AO16:AQ17"/>
    <mergeCell ref="AE14:AH15"/>
    <mergeCell ref="AK14:AN15"/>
    <mergeCell ref="AO14:AQ15"/>
    <mergeCell ref="AE18:AH19"/>
    <mergeCell ref="AK18:AN19"/>
    <mergeCell ref="AO18:AQ19"/>
    <mergeCell ref="AU18:AU19"/>
    <mergeCell ref="AW14:AW15"/>
    <mergeCell ref="AW16:AW17"/>
    <mergeCell ref="AF11:AI11"/>
    <mergeCell ref="R9:AC10"/>
    <mergeCell ref="R11:U11"/>
    <mergeCell ref="V11:Y11"/>
    <mergeCell ref="Z11:AC11"/>
    <mergeCell ref="R12:U13"/>
    <mergeCell ref="V12:Y13"/>
    <mergeCell ref="Z12:AC13"/>
    <mergeCell ref="AH1:AK1"/>
    <mergeCell ref="AL1:AP1"/>
    <mergeCell ref="AF12:AI13"/>
    <mergeCell ref="BC14:BC15"/>
    <mergeCell ref="B16:B17"/>
    <mergeCell ref="V16:W17"/>
    <mergeCell ref="AI14:AJ15"/>
    <mergeCell ref="AU14:AU15"/>
    <mergeCell ref="T14:U15"/>
    <mergeCell ref="C16:I17"/>
    <mergeCell ref="AI16:AJ17"/>
    <mergeCell ref="AU16:AU17"/>
    <mergeCell ref="BC16:BC17"/>
    <mergeCell ref="AA15:AB15"/>
    <mergeCell ref="AC15:AD15"/>
    <mergeCell ref="J16:M17"/>
    <mergeCell ref="V15:W15"/>
    <mergeCell ref="P16:S17"/>
    <mergeCell ref="P15:S15"/>
    <mergeCell ref="T16:U17"/>
    <mergeCell ref="N14:O15"/>
    <mergeCell ref="N16:O17"/>
    <mergeCell ref="X16:Z17"/>
    <mergeCell ref="AA16:AB17"/>
    <mergeCell ref="AC16:AD17"/>
    <mergeCell ref="C14:I15"/>
    <mergeCell ref="X14:Z15"/>
    <mergeCell ref="BC18:BC19"/>
    <mergeCell ref="B20:B21"/>
    <mergeCell ref="T20:U21"/>
    <mergeCell ref="V20:W21"/>
    <mergeCell ref="AI18:AJ19"/>
    <mergeCell ref="AV22:AV23"/>
    <mergeCell ref="AX22:AX23"/>
    <mergeCell ref="AO20:AQ21"/>
    <mergeCell ref="C22:I23"/>
    <mergeCell ref="BC20:BC21"/>
    <mergeCell ref="B22:B23"/>
    <mergeCell ref="T22:U23"/>
    <mergeCell ref="V22:W23"/>
    <mergeCell ref="AI20:AJ21"/>
    <mergeCell ref="AU20:AU21"/>
    <mergeCell ref="J22:M23"/>
    <mergeCell ref="N22:O23"/>
    <mergeCell ref="AI22:AJ23"/>
    <mergeCell ref="AU22:AU23"/>
    <mergeCell ref="BC22:BC23"/>
    <mergeCell ref="B18:B19"/>
    <mergeCell ref="T18:U19"/>
    <mergeCell ref="AE22:AH23"/>
    <mergeCell ref="AK22:AN23"/>
    <mergeCell ref="AO22:AQ23"/>
    <mergeCell ref="AU24:AU25"/>
    <mergeCell ref="AX20:AX21"/>
    <mergeCell ref="P24:S25"/>
    <mergeCell ref="X24:Z25"/>
    <mergeCell ref="AA24:AB25"/>
    <mergeCell ref="AC24:AD25"/>
    <mergeCell ref="AE24:AH25"/>
    <mergeCell ref="AK24:AN25"/>
    <mergeCell ref="AO24:AQ25"/>
    <mergeCell ref="AW24:AW25"/>
    <mergeCell ref="AE20:AH21"/>
    <mergeCell ref="AK20:AN21"/>
    <mergeCell ref="AW20:AW21"/>
    <mergeCell ref="AW22:AW23"/>
    <mergeCell ref="BC24:BC25"/>
    <mergeCell ref="B26:B27"/>
    <mergeCell ref="T26:U27"/>
    <mergeCell ref="V26:W27"/>
    <mergeCell ref="AI24:AJ25"/>
    <mergeCell ref="AV28:AV29"/>
    <mergeCell ref="AX28:AX29"/>
    <mergeCell ref="J24:M25"/>
    <mergeCell ref="N24:O25"/>
    <mergeCell ref="BC26:BC27"/>
    <mergeCell ref="B28:B29"/>
    <mergeCell ref="T28:U29"/>
    <mergeCell ref="V28:W29"/>
    <mergeCell ref="AI26:AJ27"/>
    <mergeCell ref="AU26:AU27"/>
    <mergeCell ref="C28:I29"/>
    <mergeCell ref="J28:M29"/>
    <mergeCell ref="AI28:AJ29"/>
    <mergeCell ref="AU28:AU29"/>
    <mergeCell ref="BC28:BC29"/>
    <mergeCell ref="B24:B25"/>
    <mergeCell ref="C24:I25"/>
    <mergeCell ref="C26:I27"/>
    <mergeCell ref="J26:M27"/>
    <mergeCell ref="N28:O29"/>
    <mergeCell ref="P28:S29"/>
    <mergeCell ref="X28:Z29"/>
    <mergeCell ref="AA28:AB29"/>
    <mergeCell ref="AC28:AD29"/>
    <mergeCell ref="AE28:AH29"/>
    <mergeCell ref="AK28:AN29"/>
    <mergeCell ref="AO28:AQ29"/>
    <mergeCell ref="AU30:AU31"/>
    <mergeCell ref="N30:O31"/>
    <mergeCell ref="P30:S31"/>
    <mergeCell ref="X30:Z31"/>
    <mergeCell ref="AA30:AB31"/>
    <mergeCell ref="AC30:AD31"/>
    <mergeCell ref="AE30:AH31"/>
    <mergeCell ref="AK30:AN31"/>
    <mergeCell ref="AO30:AQ31"/>
    <mergeCell ref="BC30:BC31"/>
    <mergeCell ref="B32:B33"/>
    <mergeCell ref="T32:U33"/>
    <mergeCell ref="V32:W33"/>
    <mergeCell ref="AI30:AJ31"/>
    <mergeCell ref="C30:I31"/>
    <mergeCell ref="J30:M31"/>
    <mergeCell ref="B30:B31"/>
    <mergeCell ref="T30:U31"/>
    <mergeCell ref="V30:W31"/>
    <mergeCell ref="AV32:AV33"/>
    <mergeCell ref="AX32:AX33"/>
    <mergeCell ref="C32:I33"/>
    <mergeCell ref="J32:M33"/>
    <mergeCell ref="N32:O33"/>
    <mergeCell ref="P32:S33"/>
    <mergeCell ref="X32:Z33"/>
    <mergeCell ref="AA32:AB33"/>
    <mergeCell ref="AC32:AD33"/>
    <mergeCell ref="AE32:AH33"/>
    <mergeCell ref="BC32:BC33"/>
    <mergeCell ref="AI32:AJ33"/>
    <mergeCell ref="AU32:AU33"/>
    <mergeCell ref="P40:S41"/>
    <mergeCell ref="T40:U41"/>
    <mergeCell ref="V40:W41"/>
    <mergeCell ref="X40:Z41"/>
    <mergeCell ref="AA40:AB41"/>
    <mergeCell ref="AC40:AD41"/>
    <mergeCell ref="B48:B49"/>
    <mergeCell ref="AK32:AN33"/>
    <mergeCell ref="AO32:AQ33"/>
    <mergeCell ref="C36:I37"/>
    <mergeCell ref="J36:M37"/>
    <mergeCell ref="N36:O37"/>
    <mergeCell ref="T36:U37"/>
    <mergeCell ref="X36:Z37"/>
    <mergeCell ref="AE36:AH37"/>
    <mergeCell ref="AI36:AJ37"/>
    <mergeCell ref="AK36:AN37"/>
    <mergeCell ref="AE40:AH41"/>
    <mergeCell ref="AI40:AJ41"/>
    <mergeCell ref="AK40:AN41"/>
    <mergeCell ref="AO40:AQ41"/>
    <mergeCell ref="P38:S39"/>
    <mergeCell ref="T38:U39"/>
    <mergeCell ref="V38:W39"/>
    <mergeCell ref="B50:B51"/>
    <mergeCell ref="B52:B53"/>
    <mergeCell ref="B54:B55"/>
    <mergeCell ref="B56:B57"/>
    <mergeCell ref="B58:B59"/>
    <mergeCell ref="B46:B47"/>
    <mergeCell ref="C38:I39"/>
    <mergeCell ref="J38:M39"/>
    <mergeCell ref="N38:O39"/>
    <mergeCell ref="C40:I41"/>
    <mergeCell ref="J40:M41"/>
    <mergeCell ref="N40:O41"/>
    <mergeCell ref="C42:I43"/>
    <mergeCell ref="J42:M43"/>
    <mergeCell ref="B72:B73"/>
    <mergeCell ref="B74:B75"/>
    <mergeCell ref="B76:B77"/>
    <mergeCell ref="B78:B79"/>
    <mergeCell ref="B80:B81"/>
    <mergeCell ref="B82:B83"/>
    <mergeCell ref="B60:B61"/>
    <mergeCell ref="B62:B63"/>
    <mergeCell ref="B64:B65"/>
    <mergeCell ref="B66:B67"/>
    <mergeCell ref="B68:B69"/>
    <mergeCell ref="B70:B71"/>
    <mergeCell ref="B96:B97"/>
    <mergeCell ref="B98:B99"/>
    <mergeCell ref="B100:B101"/>
    <mergeCell ref="B102:B103"/>
    <mergeCell ref="B104:B105"/>
    <mergeCell ref="B106:B107"/>
    <mergeCell ref="B84:B85"/>
    <mergeCell ref="B86:B87"/>
    <mergeCell ref="B88:B89"/>
    <mergeCell ref="B90:B91"/>
    <mergeCell ref="B92:B93"/>
    <mergeCell ref="B94:B95"/>
    <mergeCell ref="B120:B121"/>
    <mergeCell ref="B122:B123"/>
    <mergeCell ref="B124:B125"/>
    <mergeCell ref="B126:B127"/>
    <mergeCell ref="B128:B129"/>
    <mergeCell ref="B130:B131"/>
    <mergeCell ref="B108:B109"/>
    <mergeCell ref="B110:B111"/>
    <mergeCell ref="B112:B113"/>
    <mergeCell ref="B114:B115"/>
    <mergeCell ref="B116:B117"/>
    <mergeCell ref="B118:B119"/>
    <mergeCell ref="B144:B145"/>
    <mergeCell ref="B146:B147"/>
    <mergeCell ref="B148:B149"/>
    <mergeCell ref="B150:B151"/>
    <mergeCell ref="B152:B153"/>
    <mergeCell ref="B154:B155"/>
    <mergeCell ref="B132:B133"/>
    <mergeCell ref="B134:B135"/>
    <mergeCell ref="B136:B137"/>
    <mergeCell ref="B138:B139"/>
    <mergeCell ref="B140:B141"/>
    <mergeCell ref="B142:B143"/>
    <mergeCell ref="B168:B169"/>
    <mergeCell ref="B170:B171"/>
    <mergeCell ref="B172:B173"/>
    <mergeCell ref="B174:B175"/>
    <mergeCell ref="B176:B177"/>
    <mergeCell ref="B178:B179"/>
    <mergeCell ref="B156:B157"/>
    <mergeCell ref="B158:B159"/>
    <mergeCell ref="B160:B161"/>
    <mergeCell ref="B162:B163"/>
    <mergeCell ref="B164:B165"/>
    <mergeCell ref="B166:B167"/>
    <mergeCell ref="B192:B193"/>
    <mergeCell ref="B194:B195"/>
    <mergeCell ref="B196:B197"/>
    <mergeCell ref="B198:B199"/>
    <mergeCell ref="M200:AG201"/>
    <mergeCell ref="AU200:AU201"/>
    <mergeCell ref="B180:B181"/>
    <mergeCell ref="B182:B183"/>
    <mergeCell ref="B184:B185"/>
    <mergeCell ref="B186:B187"/>
    <mergeCell ref="B188:B189"/>
    <mergeCell ref="B190:B191"/>
    <mergeCell ref="AA42:AB43"/>
    <mergeCell ref="AC42:AD43"/>
    <mergeCell ref="T44:U45"/>
    <mergeCell ref="V44:W45"/>
    <mergeCell ref="X44:Z45"/>
    <mergeCell ref="AA44:AB45"/>
    <mergeCell ref="AC44:AD45"/>
    <mergeCell ref="BF32:BF33"/>
    <mergeCell ref="BF14:BF15"/>
    <mergeCell ref="BF16:BF17"/>
    <mergeCell ref="BF18:BF19"/>
    <mergeCell ref="BF20:BF21"/>
    <mergeCell ref="BF22:BF23"/>
    <mergeCell ref="BF24:BF25"/>
    <mergeCell ref="BF26:BF27"/>
    <mergeCell ref="BF28:BF29"/>
    <mergeCell ref="BF30:BF31"/>
    <mergeCell ref="AZ38:AZ39"/>
    <mergeCell ref="AZ40:AZ41"/>
    <mergeCell ref="AZ42:AZ43"/>
    <mergeCell ref="AI38:AJ39"/>
    <mergeCell ref="AK38:AN39"/>
    <mergeCell ref="AO38:AQ39"/>
    <mergeCell ref="X38:Z39"/>
    <mergeCell ref="AE44:AH45"/>
    <mergeCell ref="AI44:AJ45"/>
    <mergeCell ref="AK44:AN45"/>
    <mergeCell ref="AO44:AQ45"/>
    <mergeCell ref="B38:B39"/>
    <mergeCell ref="B40:B41"/>
    <mergeCell ref="B42:B43"/>
    <mergeCell ref="B44:B45"/>
    <mergeCell ref="AZ44:AZ45"/>
    <mergeCell ref="AX38:AX39"/>
    <mergeCell ref="AY38:AY39"/>
    <mergeCell ref="AE42:AH43"/>
    <mergeCell ref="AI42:AJ43"/>
    <mergeCell ref="AK42:AN43"/>
    <mergeCell ref="AO42:AQ43"/>
    <mergeCell ref="C44:I45"/>
    <mergeCell ref="J44:M45"/>
    <mergeCell ref="N44:O45"/>
    <mergeCell ref="P44:S45"/>
    <mergeCell ref="N42:O43"/>
    <mergeCell ref="P42:S43"/>
    <mergeCell ref="T42:U43"/>
    <mergeCell ref="V42:W43"/>
    <mergeCell ref="X42:Z43"/>
    <mergeCell ref="C34:AQ35"/>
    <mergeCell ref="AA36:AD36"/>
    <mergeCell ref="P37:S37"/>
    <mergeCell ref="V37:W37"/>
    <mergeCell ref="AA37:AB37"/>
    <mergeCell ref="AC37:AD37"/>
    <mergeCell ref="AU38:AU39"/>
    <mergeCell ref="AV38:AV39"/>
    <mergeCell ref="AW38:AW39"/>
    <mergeCell ref="AA38:AB39"/>
    <mergeCell ref="AC38:AD39"/>
    <mergeCell ref="AE38:AH39"/>
    <mergeCell ref="AO36:AQ37"/>
    <mergeCell ref="BE38:BE39"/>
    <mergeCell ref="BE40:BE41"/>
    <mergeCell ref="BE42:BE43"/>
    <mergeCell ref="BC38:BC39"/>
    <mergeCell ref="AU40:AU41"/>
    <mergeCell ref="AV40:AV41"/>
    <mergeCell ref="AW40:AW41"/>
    <mergeCell ref="AX40:AX41"/>
    <mergeCell ref="AY40:AY41"/>
    <mergeCell ref="BC40:BC41"/>
    <mergeCell ref="AU42:AU43"/>
    <mergeCell ref="AV42:AV43"/>
    <mergeCell ref="AW42:AW43"/>
    <mergeCell ref="AX42:AX43"/>
    <mergeCell ref="AY42:AY43"/>
    <mergeCell ref="BC42:BC43"/>
  </mergeCells>
  <conditionalFormatting sqref="J16:O33">
    <cfRule type="expression" dxfId="175" priority="19">
      <formula>AND(ISBLANK($C16)=FALSE,OR(ISBLANK(J16)=TRUE,J16=""))</formula>
    </cfRule>
  </conditionalFormatting>
  <conditionalFormatting sqref="J38:O43">
    <cfRule type="expression" dxfId="174" priority="1">
      <formula>AND(ISBLANK($C38)=FALSE,OR(ISBLANK(J38)=TRUE,J38=""))</formula>
    </cfRule>
  </conditionalFormatting>
  <conditionalFormatting sqref="V16:Z33">
    <cfRule type="expression" dxfId="173" priority="86">
      <formula>AND(ISBLANK($C16)=FALSE,OR(ISBLANK(V16)=TRUE,V16=""))</formula>
    </cfRule>
  </conditionalFormatting>
  <conditionalFormatting sqref="V38:Z43">
    <cfRule type="expression" dxfId="172" priority="3">
      <formula>AND(ISBLANK($C38)=FALSE,OR(ISBLANK(V38)=TRUE,V38=""))</formula>
    </cfRule>
  </conditionalFormatting>
  <conditionalFormatting sqref="AA16:AD33">
    <cfRule type="expression" dxfId="171" priority="82">
      <formula>AND(ISBLANK($C16)=FALSE,OR(ISBLANK(AA16)=TRUE,AA16=""))</formula>
    </cfRule>
  </conditionalFormatting>
  <conditionalFormatting sqref="AA38:AD43">
    <cfRule type="expression" dxfId="170" priority="2">
      <formula>AND(ISBLANK($C38)=FALSE,OR(ISBLANK(AA38)=TRUE,AA38=""))</formula>
    </cfRule>
  </conditionalFormatting>
  <conditionalFormatting sqref="AH2 AL2">
    <cfRule type="expression" dxfId="169" priority="87">
      <formula>PROJSTATUS=PROJSTATELI</formula>
    </cfRule>
    <cfRule type="expression" dxfId="168" priority="88">
      <formula>PROJSTATUS=PROJSTATREVIEW</formula>
    </cfRule>
    <cfRule type="expression" dxfId="167" priority="92">
      <formula>PROJSTATUS=PROJSTATPREAPPROVE</formula>
    </cfRule>
    <cfRule type="expression" dxfId="166" priority="93">
      <formula>PROJSTATUS=PROJSTATSTANDARD</formula>
    </cfRule>
    <cfRule type="expression" dxfId="165" priority="94">
      <formula>PROJSTATUS=PROJSTATEXP</formula>
    </cfRule>
  </conditionalFormatting>
  <conditionalFormatting sqref="AK16:AN33 AK38:AN45">
    <cfRule type="expression" dxfId="164" priority="4">
      <formula>ISNUMBER(AK16)=FALSE</formula>
    </cfRule>
  </conditionalFormatting>
  <conditionalFormatting sqref="AQ2:AR3">
    <cfRule type="cellIs" dxfId="163" priority="89" operator="equal">
      <formula>1</formula>
    </cfRule>
    <cfRule type="cellIs" dxfId="162" priority="90" operator="between">
      <formula>0.51</formula>
      <formula>0.99</formula>
    </cfRule>
    <cfRule type="cellIs" dxfId="161" priority="91" operator="lessThanOrEqual">
      <formula>0.5</formula>
    </cfRule>
  </conditionalFormatting>
  <dataValidations xWindow="306" yWindow="575" count="10">
    <dataValidation type="list" allowBlank="1" showInputMessage="1" showErrorMessage="1" prompt="Please select the number of shifts which most approximates operation.  If unknown, select unknown." sqref="N16:O33 N38:O43" xr:uid="{5C32CF0F-3A9E-45E4-88BD-88B769E74ECE}">
      <formula1>CAShift</formula1>
    </dataValidation>
    <dataValidation type="decimal" showInputMessage="1" showErrorMessage="1" error="Please enter a value within the measure parameters." prompt="Reference the &quot;Unit of Measure&quot; column to ensure you enter the correct value based on unit type." sqref="V16:W33 V38:W43" xr:uid="{80745F9D-FEE5-4BCF-81DB-775FB90C9120}">
      <formula1>INDEX(PMECAEFFW1,MATCH(C16,PMECAEFF2,0))</formula1>
      <formula2>INDEX(PMECAEFFW2,MATCH(C16,PMECAEFF2,0))</formula2>
    </dataValidation>
    <dataValidation type="list" allowBlank="1" showInputMessage="1" showErrorMessage="1" sqref="C16:I33" xr:uid="{447CBAD1-5DCE-4EFC-8458-0AAA0599070E}">
      <formula1>IF(ISBLANK(J16),CAMeasureSelect,"")</formula1>
    </dataValidation>
    <dataValidation allowBlank="1" showInputMessage="1" showErrorMessage="1" prompt="Please enter the total material cost." sqref="AA32:AB33 AA44:AB45" xr:uid="{837C5B98-4E54-4542-AE4F-84C71BEE5519}"/>
    <dataValidation allowBlank="1" showInputMessage="1" showErrorMessage="1" prompt="Please enter the total labor cost." sqref="AC32:AD33 AC44:AD45" xr:uid="{393DB482-65E0-4C55-B216-2234457BD0FD}"/>
    <dataValidation allowBlank="1" showInputMessage="1" showErrorMessage="1" prompt="This is the TOTAL Material Cost of the measure, NOT a per unit basis." sqref="AA16:AB31 AA38:AB43" xr:uid="{074CF24B-C8D8-4B75-A054-2F47F9F56648}"/>
    <dataValidation allowBlank="1" showInputMessage="1" showErrorMessage="1" prompt="This is the TOTAL Labor Cost of the measure, NOT a per unit basis." sqref="AC16:AD31 AC38:AD43" xr:uid="{AD226762-525F-484E-A813-E98569999C8D}"/>
    <dataValidation type="list" allowBlank="1" showInputMessage="1" showErrorMessage="1" prompt="Please select baseline control where applicable.  Clear this value to re-select measure." sqref="J16:M33" xr:uid="{61A95DE4-948A-4149-BF4A-24BB3760AC98}">
      <formula1>PMECAEFF1</formula1>
    </dataValidation>
    <dataValidation showInputMessage="1" showErrorMessage="1" error="Please enter a value within the measure parameters." prompt="Reference the &quot;Unit of Measure&quot; column to ensure you enter the correct value based on unit type." sqref="V44:W45" xr:uid="{409927D1-1352-4432-83BA-D52BAE19E5DE}"/>
    <dataValidation type="whole" allowBlank="1" showInputMessage="1" showErrorMessage="1" prompt="Please Enter the Total System HP." sqref="J38:M43" xr:uid="{77ACAC14-2BF3-410A-B66D-927EB800AB55}">
      <formula1>0</formula1>
      <formula2>200</formula2>
    </dataValidation>
  </dataValidations>
  <hyperlinks>
    <hyperlink ref="B202" r:id="rId1" xr:uid="{856E23D3-1943-4274-8B5E-917412D3D46B}"/>
  </hyperlinks>
  <pageMargins left="0.25" right="0.25" top="0.25" bottom="0.25" header="0.25" footer="0.25"/>
  <pageSetup scale="56" fitToHeight="0" orientation="landscape" r:id="rId2"/>
  <drawing r:id="rId3"/>
  <extLst>
    <ext xmlns:x14="http://schemas.microsoft.com/office/spreadsheetml/2009/9/main" uri="{CCE6A557-97BC-4b89-ADB6-D9C93CAAB3DF}">
      <x14:dataValidations xmlns:xm="http://schemas.microsoft.com/office/excel/2006/main" xWindow="306" yWindow="575" count="1">
        <x14:dataValidation type="list" allowBlank="1" showInputMessage="1" showErrorMessage="1" xr:uid="{C96C16AE-2A2D-4679-B643-C794B6609ECB}">
          <x14:formula1>
            <xm:f>PRESCRIPTIVE!$AH$169</xm:f>
          </x14:formula1>
          <xm:sqref>C38:I43</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2A1FE3-F584-4A1F-8C84-D3A11A34F836}">
  <sheetPr codeName="Sheet8"/>
  <dimension ref="A1:BE203"/>
  <sheetViews>
    <sheetView showGridLines="0" showRowColHeaders="0" zoomScale="85" zoomScaleNormal="85" workbookViewId="0">
      <selection activeCell="C16" sqref="C16:M17"/>
    </sheetView>
  </sheetViews>
  <sheetFormatPr defaultColWidth="0" defaultRowHeight="15" zeroHeight="1"/>
  <cols>
    <col min="1" max="45" width="4.7109375" customWidth="1"/>
    <col min="46" max="46" width="4.7109375" hidden="1" customWidth="1"/>
    <col min="47" max="71" width="9.140625" hidden="1" customWidth="1"/>
    <col min="72" max="16384" width="9.140625" hidden="1"/>
  </cols>
  <sheetData>
    <row r="1" spans="2:57" ht="16.5">
      <c r="AH1" s="686" t="s">
        <v>471</v>
      </c>
      <c r="AI1" s="686"/>
      <c r="AJ1" s="686"/>
      <c r="AK1" s="686"/>
      <c r="AL1" s="687" t="s">
        <v>736</v>
      </c>
      <c r="AM1" s="687"/>
      <c r="AN1" s="687"/>
      <c r="AO1" s="687"/>
      <c r="AP1" s="687"/>
      <c r="AQ1" s="683" t="s">
        <v>474</v>
      </c>
      <c r="AR1" s="683"/>
      <c r="AS1" s="59"/>
      <c r="AT1" s="59"/>
      <c r="AU1" s="59"/>
      <c r="AV1" s="59"/>
      <c r="AW1" s="59"/>
      <c r="AX1" s="59"/>
      <c r="AY1" s="59"/>
      <c r="AZ1" s="59"/>
      <c r="BA1" s="59"/>
      <c r="BB1" s="59"/>
      <c r="BC1" s="59"/>
    </row>
    <row r="2" spans="2:57">
      <c r="AH2" s="688" t="str">
        <f ca="1">INCENSTATUS</f>
        <v>---</v>
      </c>
      <c r="AI2" s="689"/>
      <c r="AJ2" s="689"/>
      <c r="AK2" s="689"/>
      <c r="AL2" s="690" t="str">
        <f ca="1">PROJSTATUS</f>
        <v>Enter Measures</v>
      </c>
      <c r="AM2" s="690"/>
      <c r="AN2" s="690"/>
      <c r="AO2" s="690"/>
      <c r="AP2" s="690"/>
      <c r="AQ2" s="684">
        <f ca="1">PROGRESSSTATUS</f>
        <v>2.8985507246376812E-2</v>
      </c>
      <c r="AR2" s="685"/>
      <c r="AS2" s="59"/>
      <c r="AT2" s="59"/>
      <c r="AU2" s="59"/>
      <c r="AV2" s="59"/>
      <c r="AW2" s="59"/>
      <c r="AX2" s="59"/>
      <c r="AY2" s="59"/>
      <c r="AZ2" s="59"/>
      <c r="BA2" s="59"/>
      <c r="BB2" s="59"/>
      <c r="BC2" s="59"/>
    </row>
    <row r="3" spans="2:57">
      <c r="AH3" s="680"/>
      <c r="AI3" s="681"/>
      <c r="AJ3" s="681"/>
      <c r="AK3" s="681"/>
      <c r="AL3" s="673"/>
      <c r="AM3" s="673"/>
      <c r="AN3" s="673"/>
      <c r="AO3" s="673"/>
      <c r="AP3" s="673"/>
      <c r="AQ3" s="667"/>
      <c r="AR3" s="668"/>
      <c r="AS3" s="59"/>
      <c r="AT3" s="59"/>
      <c r="AU3" s="59"/>
      <c r="AV3" s="59"/>
      <c r="AW3" s="59"/>
      <c r="AX3" s="59"/>
      <c r="AY3" s="59"/>
      <c r="AZ3" s="59"/>
      <c r="BA3" s="59"/>
      <c r="BB3" s="59"/>
      <c r="BC3" s="59"/>
    </row>
    <row r="4" spans="2:57">
      <c r="AR4" s="171"/>
      <c r="AS4" s="59"/>
      <c r="AT4" s="59"/>
      <c r="AU4" s="59"/>
      <c r="AV4" s="59"/>
      <c r="AW4" s="59"/>
      <c r="AX4" s="59"/>
      <c r="AY4" s="59"/>
      <c r="AZ4" s="59"/>
      <c r="BA4" s="59"/>
      <c r="BB4" s="59"/>
      <c r="BC4" s="59"/>
    </row>
    <row r="5" spans="2:57">
      <c r="AS5" s="59"/>
      <c r="AT5" s="59"/>
      <c r="AU5" s="59"/>
      <c r="AV5" s="59"/>
      <c r="AW5" s="59"/>
      <c r="AX5" s="59"/>
      <c r="AY5" s="59"/>
      <c r="AZ5" s="59"/>
      <c r="BA5" s="59"/>
      <c r="BB5" s="59"/>
      <c r="BC5" s="59"/>
    </row>
    <row r="6" spans="2:57">
      <c r="AS6" s="59"/>
      <c r="AT6" s="59"/>
      <c r="AU6" s="59" t="s">
        <v>907</v>
      </c>
      <c r="AV6" s="59">
        <f>PROJID</f>
        <v>0</v>
      </c>
      <c r="AW6" s="59"/>
      <c r="AX6" s="59"/>
      <c r="AY6" s="59"/>
      <c r="AZ6" s="59"/>
      <c r="BA6" s="59"/>
      <c r="BB6" s="59"/>
      <c r="BC6" s="59"/>
    </row>
    <row r="7" spans="2:57">
      <c r="AS7" s="59"/>
      <c r="AT7" s="59"/>
      <c r="AU7" s="87"/>
      <c r="AV7" s="87" t="s">
        <v>866</v>
      </c>
      <c r="AW7" s="87" t="s">
        <v>231</v>
      </c>
      <c r="AX7" s="87" t="s">
        <v>892</v>
      </c>
      <c r="AY7" s="59"/>
      <c r="AZ7" s="59"/>
      <c r="BA7" s="59"/>
      <c r="BB7" s="59"/>
      <c r="BC7" s="59"/>
    </row>
    <row r="8" spans="2:57">
      <c r="AS8" s="59"/>
      <c r="AT8" s="59"/>
      <c r="AU8" s="87" t="s">
        <v>219</v>
      </c>
      <c r="AV8" s="87" t="str">
        <f ca="1">CBPRESE</f>
        <v>NA</v>
      </c>
      <c r="AW8" s="87" t="str">
        <f ca="1">CBCUSE</f>
        <v>NA</v>
      </c>
      <c r="AX8" s="87" t="str">
        <f ca="1">CBALL</f>
        <v>NA</v>
      </c>
      <c r="AY8" s="59"/>
      <c r="AZ8" s="59"/>
      <c r="BA8" s="59"/>
      <c r="BB8" s="59"/>
      <c r="BC8" s="59"/>
    </row>
    <row r="9" spans="2:57">
      <c r="B9" s="59"/>
      <c r="C9" s="59"/>
      <c r="D9" s="59"/>
      <c r="E9" s="59"/>
      <c r="F9" s="59"/>
      <c r="G9" s="59"/>
      <c r="H9" s="59"/>
      <c r="I9" s="59"/>
      <c r="J9" s="59"/>
      <c r="K9" s="59"/>
      <c r="L9" s="59"/>
      <c r="M9" s="59"/>
      <c r="N9" s="59"/>
      <c r="O9" s="59"/>
      <c r="P9" s="59"/>
      <c r="Q9" s="59"/>
      <c r="R9" s="735" t="str">
        <f>CONCATENATE(M3S9," ","Summary")</f>
        <v>Agriculture (Elec/Gas) Summary</v>
      </c>
      <c r="S9" s="735"/>
      <c r="T9" s="735"/>
      <c r="U9" s="735"/>
      <c r="V9" s="735"/>
      <c r="W9" s="735"/>
      <c r="X9" s="735"/>
      <c r="Y9" s="735"/>
      <c r="Z9" s="735"/>
      <c r="AA9" s="735"/>
      <c r="AB9" s="735"/>
      <c r="AC9" s="735"/>
      <c r="AD9" s="59"/>
      <c r="AE9" s="59"/>
      <c r="AF9" s="59"/>
      <c r="AG9" s="59"/>
      <c r="AH9" s="59"/>
      <c r="AI9" s="59"/>
      <c r="AJ9" s="59"/>
      <c r="AK9" s="59"/>
      <c r="AL9" s="59"/>
      <c r="AM9" s="59"/>
      <c r="AN9" s="59"/>
      <c r="AO9" s="59"/>
      <c r="AP9" s="59"/>
      <c r="AQ9" s="59"/>
      <c r="AR9" s="59"/>
      <c r="AS9" s="59"/>
      <c r="AT9" s="59"/>
      <c r="AU9" s="87"/>
      <c r="AV9" s="87"/>
      <c r="AW9" s="87"/>
      <c r="AX9" s="87"/>
      <c r="AY9" s="59"/>
      <c r="AZ9" s="59"/>
      <c r="BA9" s="415"/>
      <c r="BB9" s="59"/>
      <c r="BC9" s="59"/>
    </row>
    <row r="10" spans="2:57">
      <c r="B10" s="59"/>
      <c r="C10" s="59"/>
      <c r="D10" s="59"/>
      <c r="E10" s="59"/>
      <c r="F10" s="360"/>
      <c r="G10" s="360"/>
      <c r="H10" s="360"/>
      <c r="I10" s="360"/>
      <c r="J10" s="360"/>
      <c r="K10" s="360"/>
      <c r="L10" s="360"/>
      <c r="M10" s="360"/>
      <c r="N10" s="360"/>
      <c r="O10" s="360"/>
      <c r="P10" s="360"/>
      <c r="Q10" s="59"/>
      <c r="R10" s="735"/>
      <c r="S10" s="735"/>
      <c r="T10" s="735"/>
      <c r="U10" s="735"/>
      <c r="V10" s="735"/>
      <c r="W10" s="735"/>
      <c r="X10" s="735"/>
      <c r="Y10" s="735"/>
      <c r="Z10" s="735"/>
      <c r="AA10" s="735"/>
      <c r="AB10" s="735"/>
      <c r="AC10" s="735"/>
      <c r="AD10" s="59"/>
      <c r="AE10" s="59"/>
      <c r="AF10" s="59"/>
      <c r="AG10" s="59"/>
      <c r="AH10" s="59"/>
      <c r="AI10" s="59"/>
      <c r="AJ10" s="59"/>
      <c r="AK10" s="59"/>
      <c r="AL10" s="59"/>
      <c r="AM10" s="59"/>
      <c r="AN10" s="59"/>
      <c r="AO10" s="59"/>
      <c r="AP10" s="59"/>
      <c r="AQ10" s="59"/>
      <c r="AR10" s="59"/>
      <c r="AS10" s="59"/>
      <c r="AT10" s="59"/>
      <c r="AU10" s="87" t="s">
        <v>581</v>
      </c>
      <c r="AV10" s="87" t="str">
        <f ca="1">PAYPRESE</f>
        <v>NA</v>
      </c>
      <c r="AW10" s="87" t="str">
        <f ca="1">PAYCUSE</f>
        <v>NA</v>
      </c>
      <c r="AX10" s="367" t="str">
        <f ca="1">PAYALL</f>
        <v>NA</v>
      </c>
      <c r="AY10" s="59"/>
      <c r="AZ10" s="59"/>
      <c r="BA10" s="59"/>
      <c r="BB10" s="59"/>
      <c r="BC10" s="59"/>
    </row>
    <row r="11" spans="2:57" ht="16.5" customHeight="1">
      <c r="B11" s="59"/>
      <c r="C11" s="59"/>
      <c r="D11" s="59"/>
      <c r="E11" s="59"/>
      <c r="F11" s="1018" t="s">
        <v>2048</v>
      </c>
      <c r="G11" s="1018"/>
      <c r="H11" s="1018"/>
      <c r="I11" s="1018"/>
      <c r="J11" s="1018"/>
      <c r="K11" s="1018"/>
      <c r="L11" s="1018"/>
      <c r="M11" s="1018"/>
      <c r="N11" s="1018"/>
      <c r="O11" s="1018"/>
      <c r="P11" s="1018"/>
      <c r="Q11" s="59"/>
      <c r="R11" s="836" t="s">
        <v>68</v>
      </c>
      <c r="S11" s="836"/>
      <c r="T11" s="836"/>
      <c r="U11" s="836"/>
      <c r="V11" s="836" t="s">
        <v>69</v>
      </c>
      <c r="W11" s="836"/>
      <c r="X11" s="836"/>
      <c r="Y11" s="836"/>
      <c r="Z11" s="836" t="s">
        <v>70</v>
      </c>
      <c r="AA11" s="836"/>
      <c r="AB11" s="836"/>
      <c r="AC11" s="836"/>
      <c r="AD11" s="59"/>
      <c r="AE11" s="836" t="s">
        <v>198</v>
      </c>
      <c r="AF11" s="836"/>
      <c r="AG11" s="836"/>
      <c r="AH11" s="836"/>
      <c r="AJ11" s="901" t="s">
        <v>2101</v>
      </c>
      <c r="AK11" s="901"/>
      <c r="AL11" s="901"/>
      <c r="AM11" s="901"/>
      <c r="AN11" s="59"/>
      <c r="AO11" s="59"/>
      <c r="AP11" s="59"/>
      <c r="AQ11" s="59"/>
      <c r="AR11" s="59"/>
      <c r="AS11" s="59"/>
      <c r="AT11" s="59"/>
      <c r="AU11" s="59"/>
      <c r="AV11" s="59"/>
      <c r="AW11" s="59"/>
      <c r="AX11" s="59"/>
      <c r="AY11" s="59"/>
      <c r="AZ11" s="59"/>
      <c r="BA11" s="59"/>
      <c r="BB11" s="59"/>
      <c r="BC11" s="59"/>
    </row>
    <row r="12" spans="2:57">
      <c r="B12" s="59"/>
      <c r="D12" s="59"/>
      <c r="E12" s="59"/>
      <c r="F12" s="1018"/>
      <c r="G12" s="1018"/>
      <c r="H12" s="1018"/>
      <c r="I12" s="1018"/>
      <c r="J12" s="1018"/>
      <c r="K12" s="1018"/>
      <c r="L12" s="1018"/>
      <c r="M12" s="1018"/>
      <c r="N12" s="1018"/>
      <c r="O12" s="1018"/>
      <c r="P12" s="1018"/>
      <c r="Q12" s="59"/>
      <c r="R12" s="880">
        <f>SUM(AN16:AQ65)</f>
        <v>0</v>
      </c>
      <c r="S12" s="880"/>
      <c r="T12" s="880"/>
      <c r="U12" s="880"/>
      <c r="V12" s="880">
        <f>AU200</f>
        <v>0</v>
      </c>
      <c r="W12" s="880"/>
      <c r="X12" s="880"/>
      <c r="Y12" s="880"/>
      <c r="Z12" s="881">
        <f ca="1">SUMIF(AN16:AQ45,"&gt;0",AK16:AM45)</f>
        <v>0</v>
      </c>
      <c r="AA12" s="881"/>
      <c r="AB12" s="881"/>
      <c r="AC12" s="881"/>
      <c r="AD12" s="59"/>
      <c r="AE12" s="1003">
        <f ca="1">SUMIF(AN50:AQ199,"&gt;0",AK50:AM65)</f>
        <v>0</v>
      </c>
      <c r="AF12" s="1003"/>
      <c r="AG12" s="1003"/>
      <c r="AH12" s="1003"/>
      <c r="AJ12" s="902">
        <f ca="1">IFERROR(IF(AN66="",0,AN66),0)</f>
        <v>0</v>
      </c>
      <c r="AK12" s="902"/>
      <c r="AL12" s="902"/>
      <c r="AM12" s="902"/>
      <c r="AN12" s="59"/>
      <c r="AO12" s="59"/>
      <c r="AP12" s="59"/>
      <c r="AQ12" s="59"/>
      <c r="AR12" s="59"/>
      <c r="AS12" s="59"/>
      <c r="AT12" s="59"/>
      <c r="AU12" s="59"/>
      <c r="AV12" s="59"/>
      <c r="AW12" s="59"/>
      <c r="AX12" s="59"/>
      <c r="AY12" s="59"/>
      <c r="AZ12" s="59"/>
      <c r="BA12" s="59"/>
      <c r="BB12" s="59"/>
      <c r="BC12" s="59"/>
    </row>
    <row r="13" spans="2:57">
      <c r="B13" s="59"/>
      <c r="D13" s="59"/>
      <c r="E13" s="59"/>
      <c r="F13" s="82"/>
      <c r="G13" s="82"/>
      <c r="H13" s="82"/>
      <c r="I13" s="82"/>
      <c r="J13" s="82"/>
      <c r="K13" s="82"/>
      <c r="L13" s="82"/>
      <c r="M13" s="82"/>
      <c r="N13" s="82"/>
      <c r="O13" s="82"/>
      <c r="P13" s="82"/>
      <c r="Q13" s="59"/>
      <c r="R13" s="880"/>
      <c r="S13" s="880"/>
      <c r="T13" s="880"/>
      <c r="U13" s="880"/>
      <c r="V13" s="880"/>
      <c r="W13" s="880"/>
      <c r="X13" s="880"/>
      <c r="Y13" s="880"/>
      <c r="Z13" s="881"/>
      <c r="AA13" s="881"/>
      <c r="AB13" s="881"/>
      <c r="AC13" s="881"/>
      <c r="AD13" s="59"/>
      <c r="AE13" s="1003"/>
      <c r="AF13" s="1003"/>
      <c r="AG13" s="1003"/>
      <c r="AH13" s="1003"/>
      <c r="AJ13" s="902"/>
      <c r="AK13" s="902"/>
      <c r="AL13" s="902"/>
      <c r="AM13" s="902"/>
      <c r="AN13" s="59"/>
      <c r="AO13" s="59"/>
      <c r="AP13" s="59"/>
      <c r="AQ13" s="59"/>
      <c r="AR13" s="59"/>
      <c r="AS13" s="59"/>
      <c r="AT13" s="59"/>
      <c r="AU13" s="59"/>
      <c r="AV13" s="59"/>
      <c r="AW13" s="59"/>
      <c r="AX13" s="59"/>
      <c r="AY13" s="59"/>
      <c r="AZ13" s="59"/>
      <c r="BA13" s="59"/>
      <c r="BB13" s="59"/>
      <c r="BC13" s="59"/>
    </row>
    <row r="14" spans="2:57" ht="15" customHeight="1">
      <c r="B14" s="59"/>
      <c r="C14" s="809" t="s">
        <v>99</v>
      </c>
      <c r="D14" s="809"/>
      <c r="E14" s="809"/>
      <c r="F14" s="809"/>
      <c r="G14" s="809"/>
      <c r="H14" s="809"/>
      <c r="I14" s="809"/>
      <c r="J14" s="809"/>
      <c r="K14" s="809"/>
      <c r="L14" s="809"/>
      <c r="M14" s="809"/>
      <c r="N14" s="809" t="s">
        <v>103</v>
      </c>
      <c r="O14" s="809"/>
      <c r="P14" s="809"/>
      <c r="Q14" s="809"/>
      <c r="R14" s="809"/>
      <c r="S14" s="809"/>
      <c r="T14" s="809" t="s">
        <v>100</v>
      </c>
      <c r="U14" s="809"/>
      <c r="V14" s="809" t="s">
        <v>91</v>
      </c>
      <c r="W14" s="809"/>
      <c r="X14" s="809" t="s">
        <v>115</v>
      </c>
      <c r="Y14" s="809"/>
      <c r="Z14" s="809"/>
      <c r="AA14" s="809"/>
      <c r="AB14" s="809" t="s">
        <v>104</v>
      </c>
      <c r="AC14" s="809"/>
      <c r="AD14" s="809"/>
      <c r="AE14" s="926" t="s">
        <v>1583</v>
      </c>
      <c r="AF14" s="926"/>
      <c r="AG14" s="926"/>
      <c r="AH14" s="926"/>
      <c r="AI14" s="809" t="s">
        <v>93</v>
      </c>
      <c r="AJ14" s="809"/>
      <c r="AK14" s="809" t="s">
        <v>92</v>
      </c>
      <c r="AL14" s="809"/>
      <c r="AM14" s="809"/>
      <c r="AN14" s="809" t="s">
        <v>108</v>
      </c>
      <c r="AO14" s="809"/>
      <c r="AP14" s="809"/>
      <c r="AQ14" s="809"/>
      <c r="AU14" s="809" t="s">
        <v>196</v>
      </c>
      <c r="AV14" s="809" t="s">
        <v>197</v>
      </c>
      <c r="AW14" s="809" t="s">
        <v>1580</v>
      </c>
      <c r="AX14" s="809" t="s">
        <v>1223</v>
      </c>
      <c r="AY14" s="809" t="s">
        <v>1924</v>
      </c>
      <c r="BC14" s="809" t="s">
        <v>489</v>
      </c>
      <c r="BE14" s="809" t="s">
        <v>2016</v>
      </c>
    </row>
    <row r="15" spans="2:57" ht="15.75" customHeight="1" thickBot="1">
      <c r="B15" s="59"/>
      <c r="C15" s="810"/>
      <c r="D15" s="810"/>
      <c r="E15" s="810"/>
      <c r="F15" s="810"/>
      <c r="G15" s="810"/>
      <c r="H15" s="810"/>
      <c r="I15" s="810"/>
      <c r="J15" s="810"/>
      <c r="K15" s="810"/>
      <c r="L15" s="810"/>
      <c r="M15" s="810"/>
      <c r="N15" s="810"/>
      <c r="O15" s="810"/>
      <c r="P15" s="810"/>
      <c r="Q15" s="810"/>
      <c r="R15" s="810"/>
      <c r="S15" s="810"/>
      <c r="T15" s="810"/>
      <c r="U15" s="810"/>
      <c r="V15" s="810"/>
      <c r="W15" s="810"/>
      <c r="X15" s="810"/>
      <c r="Y15" s="810"/>
      <c r="Z15" s="810"/>
      <c r="AA15" s="810"/>
      <c r="AB15" s="810"/>
      <c r="AC15" s="810"/>
      <c r="AD15" s="810"/>
      <c r="AE15" s="927" t="s">
        <v>110</v>
      </c>
      <c r="AF15" s="927"/>
      <c r="AG15" s="927" t="s">
        <v>111</v>
      </c>
      <c r="AH15" s="927"/>
      <c r="AI15" s="810"/>
      <c r="AJ15" s="810"/>
      <c r="AK15" s="810"/>
      <c r="AL15" s="810"/>
      <c r="AM15" s="810"/>
      <c r="AN15" s="810"/>
      <c r="AO15" s="810"/>
      <c r="AP15" s="810"/>
      <c r="AQ15" s="810"/>
      <c r="AU15" s="810"/>
      <c r="AV15" s="810"/>
      <c r="AW15" s="810"/>
      <c r="AX15" s="810"/>
      <c r="AY15" s="810"/>
      <c r="BC15" s="810"/>
      <c r="BE15" s="810"/>
    </row>
    <row r="16" spans="2:57" ht="15" customHeight="1">
      <c r="B16" s="835">
        <v>1</v>
      </c>
      <c r="C16" s="837"/>
      <c r="D16" s="838"/>
      <c r="E16" s="838"/>
      <c r="F16" s="838"/>
      <c r="G16" s="838"/>
      <c r="H16" s="838"/>
      <c r="I16" s="838"/>
      <c r="J16" s="838"/>
      <c r="K16" s="838"/>
      <c r="L16" s="838"/>
      <c r="M16" s="839"/>
      <c r="N16" s="914" t="str">
        <f>IFERROR(IF(C16="","",INDEX(PMEAGG[Base Desc 1],MATCH(C16,PMEAGG[Eff Desc 1],0))),"")</f>
        <v/>
      </c>
      <c r="O16" s="915"/>
      <c r="P16" s="915"/>
      <c r="Q16" s="915"/>
      <c r="R16" s="915"/>
      <c r="S16" s="916"/>
      <c r="T16" s="953" t="str">
        <f>IFERROR(IF(C16="","",INDEX(PMEAGG[Unit of Measure],MATCH(C16,PMEAGG[Eff Desc 1],0))),"")</f>
        <v/>
      </c>
      <c r="U16" s="954"/>
      <c r="V16" s="851"/>
      <c r="W16" s="852"/>
      <c r="X16" s="837"/>
      <c r="Y16" s="838"/>
      <c r="Z16" s="838"/>
      <c r="AA16" s="839"/>
      <c r="AB16" s="837"/>
      <c r="AC16" s="838"/>
      <c r="AD16" s="839"/>
      <c r="AE16" s="863"/>
      <c r="AF16" s="874"/>
      <c r="AG16" s="863"/>
      <c r="AH16" s="874"/>
      <c r="AI16" s="923" t="str">
        <f>IFERROR(IF(C16="","",INDEX(PMEAGG[Inc Rate Unit],MATCH(C16,PMEAGG[Eff Desc 1],0))),"")</f>
        <v/>
      </c>
      <c r="AJ16" s="924"/>
      <c r="AK16" s="910" t="str">
        <f>IF(OR(C16="",V16="",X16="",AB16="",AE16="",AG16=""),"",AW16)</f>
        <v/>
      </c>
      <c r="AL16" s="911"/>
      <c r="AM16" s="911"/>
      <c r="AN16" s="1065" t="str">
        <f>IF(OR(C16="",V16="",X16="",AB16="",AE16="",AG16=""),"",
IF(OR(ISNUMBER(SEARCH("Heat Recovery",C16)),ISNUMBER(SEARCH("VSD Milk Pump w/",C16)),ISNUMBER(SEARCH("Scroll Compressor",C16)),ISNUMBER(SEARCH("Milk Pre-Cooler",C16))),IF(BC16&lt;&gt;"",BC16,MIN(AU16,ROUND(AI16,2))),
IF(BC16&lt;&gt;"",BC16,MIN(AU16,ROUND(V16*AI16,2)))))</f>
        <v/>
      </c>
      <c r="AO16" s="1066"/>
      <c r="AP16" s="1066"/>
      <c r="AQ16" s="1067"/>
      <c r="AU16" s="813" t="str">
        <f>IF(OR(C16="",N16="",T16="",V16="",X16="",AI16="",AE16="",AB16=""),"",IF(AK16="","",ROUND((AE16+AG16),2)))</f>
        <v/>
      </c>
      <c r="AV16" s="928" t="str">
        <f>IF(OR(C16="",N16="",T16="",V16="",X16="",AB16="",AG16="",AE16=""),"",ROUND(
IF(OR(ISNUMBER(SEARCH("Heat Recovery",C16)),ISNUMBER(SEARCH("VSD Milk Pump w/",C16))),0,
IF(ISNUMBER(SEARCH("Scroll Compressor",C16)),(AW16/2920)*0.34,
IF(ISNUMBER(SEARCH("Milk Pre-Cooler",C16)),(AW16/2920)*0.16,
V16*INDEX(PMEAGG[Savings per Unit kW],MATCH(C16,PMEAGG[Eff Desc 1],0)))
)),3))</f>
        <v/>
      </c>
      <c r="AW16" s="1019" t="str">
        <f>IF(OR(C16="",V16="",X16="",AB16="",AE16="",AG16=""),"",ROUND(
IF(ISNUMBER(SEARCH("Heat Recovery",C16)),V16*(MIN(68*101*0.93*(56.3-38)*0.55,131.7*1*8.34*(120-52.3))*365.25*(1/0.9)/3412),
IF(ISNUMBER(SEARCH("VSD Milk Pump w/",C16)),V16*((1/8)*0.93*11.7*68*101*365/1000),
IF(ISNUMBER(SEARCH("Scroll Compressor",C16)),((((1/8.4)-(1/10.6))*(0.93*30*68*101*365.25))/1000)*V16,
IF(ISNUMBER(SEARCH("Milk Pre-Cooler",C16)),V16*((30*68*101*0.93*365)/(8*1000)),
IF(ISNUMBER(SEARCH("Fan Thermostat Controller",C16)),V16*0.75*0.746*2820/0.825,
V16*INDEX(PMEAGG[Savings per Unit kWh],MATCH(C16,PMEAGG[Eff Desc 1],0))
))))),2))</f>
        <v/>
      </c>
      <c r="AX16" s="928" t="str">
        <f>IF(OR(C16="",N16="",T16="",V16="",X16="",AG16="",AE16="",AB16=""),"",INDEX(PMEAGG[End Use Category],MATCH(C16,PMEAGG[Eff Desc 1],0)))</f>
        <v/>
      </c>
      <c r="AY16" s="1019"/>
      <c r="BC16" s="830" t="str">
        <f>IF(OR(N16="",T16="",C16="",V16="",X16="",AB16="",AE16="",AG16=""),"",IF(OR(ISBLANK(M02S02F26),ISBLANK(M02S02F32),ISBLANK(M02S02F46)),MEASUREBLDG,""))</f>
        <v/>
      </c>
      <c r="BE16" s="811" t="str">
        <f ca="1">IF(OR(T16="",N16="",C16="",V16="",X16="",AB16="",AE16="",AG16=""),"",IF('M01-S01'!$V$82&lt;TODAY(),0,IF(M02S02F46="Gas Only",0,IF(OR(AK16="",AK16&lt;0,AU16&lt;=AN16),0,MIN(AU16-AN16,ROUND(AN16*0.2,2))))))</f>
        <v/>
      </c>
    </row>
    <row r="17" spans="2:57">
      <c r="B17" s="835"/>
      <c r="C17" s="840"/>
      <c r="D17" s="841"/>
      <c r="E17" s="841"/>
      <c r="F17" s="841"/>
      <c r="G17" s="841"/>
      <c r="H17" s="841"/>
      <c r="I17" s="841"/>
      <c r="J17" s="841"/>
      <c r="K17" s="841"/>
      <c r="L17" s="841"/>
      <c r="M17" s="842"/>
      <c r="N17" s="917"/>
      <c r="O17" s="918"/>
      <c r="P17" s="918"/>
      <c r="Q17" s="918"/>
      <c r="R17" s="918"/>
      <c r="S17" s="919"/>
      <c r="T17" s="955"/>
      <c r="U17" s="956"/>
      <c r="V17" s="853"/>
      <c r="W17" s="854"/>
      <c r="X17" s="840"/>
      <c r="Y17" s="841"/>
      <c r="Z17" s="841"/>
      <c r="AA17" s="842"/>
      <c r="AB17" s="840"/>
      <c r="AC17" s="841"/>
      <c r="AD17" s="842"/>
      <c r="AE17" s="865"/>
      <c r="AF17" s="875"/>
      <c r="AG17" s="865"/>
      <c r="AH17" s="875"/>
      <c r="AI17" s="925"/>
      <c r="AJ17" s="870"/>
      <c r="AK17" s="912"/>
      <c r="AL17" s="913"/>
      <c r="AM17" s="913"/>
      <c r="AN17" s="960"/>
      <c r="AO17" s="961"/>
      <c r="AP17" s="961"/>
      <c r="AQ17" s="962"/>
      <c r="AU17" s="814"/>
      <c r="AV17" s="907"/>
      <c r="AW17" s="981"/>
      <c r="AX17" s="907"/>
      <c r="AY17" s="981"/>
      <c r="BC17" s="831"/>
      <c r="BE17" s="812"/>
    </row>
    <row r="18" spans="2:57" ht="15" customHeight="1">
      <c r="B18" s="834">
        <v>2</v>
      </c>
      <c r="C18" s="871"/>
      <c r="D18" s="872"/>
      <c r="E18" s="872"/>
      <c r="F18" s="872"/>
      <c r="G18" s="872"/>
      <c r="H18" s="872"/>
      <c r="I18" s="872"/>
      <c r="J18" s="872"/>
      <c r="K18" s="872"/>
      <c r="L18" s="872"/>
      <c r="M18" s="873"/>
      <c r="N18" s="920" t="str">
        <f>IFERROR(IF(C18="","",INDEX(PMEAGG[Base Desc 1],MATCH(C18,PMEAGG[Eff Desc 1],0))),"")</f>
        <v/>
      </c>
      <c r="O18" s="921"/>
      <c r="P18" s="921"/>
      <c r="Q18" s="921"/>
      <c r="R18" s="921"/>
      <c r="S18" s="922"/>
      <c r="T18" s="993" t="str">
        <f>IFERROR(IF(C18="","",INDEX(PMEAGG[Unit of Measure],MATCH(C18,PMEAGG[Eff Desc 1],0))),"")</f>
        <v/>
      </c>
      <c r="U18" s="994"/>
      <c r="V18" s="876"/>
      <c r="W18" s="877"/>
      <c r="X18" s="871"/>
      <c r="Y18" s="872"/>
      <c r="Z18" s="872"/>
      <c r="AA18" s="873"/>
      <c r="AB18" s="871"/>
      <c r="AC18" s="872"/>
      <c r="AD18" s="873"/>
      <c r="AE18" s="894"/>
      <c r="AF18" s="1073"/>
      <c r="AG18" s="894"/>
      <c r="AH18" s="1073"/>
      <c r="AI18" s="930" t="str">
        <f>IFERROR(IF(C18="","",INDEX(PMEAGG[Inc Rate Unit],MATCH(C18,PMEAGG[Eff Desc 1],0))),"")</f>
        <v/>
      </c>
      <c r="AJ18" s="868"/>
      <c r="AK18" s="910" t="str">
        <f t="shared" ref="AK18" si="0">IF(OR(C18="",V18="",X18="",AB18="",AE18="",AG18=""),"",AW18)</f>
        <v/>
      </c>
      <c r="AL18" s="911"/>
      <c r="AM18" s="975"/>
      <c r="AN18" s="957" t="str">
        <f t="shared" ref="AN18" si="1">IF(OR(C18="",V18="",X18="",AB18="",AE18="",AG18=""),"",
IF(OR(ISNUMBER(SEARCH("Heat Recovery",C18)),ISNUMBER(SEARCH("VSD Milk Pump w/",C18)),ISNUMBER(SEARCH("Scroll Compressor",C18)),ISNUMBER(SEARCH("Milk Pre-Cooler",C18))),IF(BC18&lt;&gt;"",BC18,MIN(AU18,ROUND(AI18,2))),
IF(BC18&lt;&gt;"",BC18,MIN(AU18,ROUND(V18*AI18,2)))))</f>
        <v/>
      </c>
      <c r="AO18" s="958"/>
      <c r="AP18" s="958"/>
      <c r="AQ18" s="959"/>
      <c r="AU18" s="898" t="str">
        <f t="shared" ref="AU18" si="2">IF(OR(C18="",N18="",T18="",V18="",X18="",AI18="",AE18="",AB18=""),"",IF(AK18="","",ROUND((AE18+AG18),2)))</f>
        <v/>
      </c>
      <c r="AV18" s="906" t="str">
        <f>IF(OR(C18="",N18="",T18="",V18="",X18="",AB18="",AG18="",AE18=""),"",ROUND(
IF(OR(ISNUMBER(SEARCH("Heat Recovery",C18)),ISNUMBER(SEARCH("VSD Milk Pump w/",C18))),0,
IF(ISNUMBER(SEARCH("Scroll Compressor",C18)),(AW18/2920)*0.34,
IF(ISNUMBER(SEARCH("Milk Pre-Cooler",C18)),(AW18/2920)*0.16,
V18*INDEX(PMEAGG[Savings per Unit kW],MATCH(C18,PMEAGG[Eff Desc 1],0)))
)),3))</f>
        <v/>
      </c>
      <c r="AW18" s="1019" t="str">
        <f>IF(OR(C18="",V18="",X18="",AB18="",AE18="",AG18=""),"",ROUND(
IF(ISNUMBER(SEARCH("Heat Recovery",C18)),V18*(MIN(68*101*0.93*(56.3-38)*0.55,131.7*1*8.34*(120-52.3))*365.25*(1/0.9)/3412),
IF(ISNUMBER(SEARCH("VSD Milk Pump w/",C18)),V18*((1/8)*0.93*11.7*68*101*365/1000),
IF(ISNUMBER(SEARCH("Scroll Compressor",C18)),((((1/8.4)-(1/10.6))*(0.93*30*68*101*365.25))/1000)*V18,
IF(ISNUMBER(SEARCH("Milk Pre-Cooler",C18)),V18*((30*68*101*0.93*365)/(8*1000)),
IF(ISNUMBER(SEARCH("Fan Thermostat Controller",C18)),V18*0.75*0.746*2820/0.825,
V18*INDEX(PMEAGG[Savings per Unit kWh],MATCH(C18,PMEAGG[Eff Desc 1],0))
))))),2))</f>
        <v/>
      </c>
      <c r="AX18" s="906" t="str">
        <f>IF(OR(C18="",N18="",T18="",V18="",X18="",AG18="",AE18="",AB18=""),"",INDEX(PMEAGG[End Use Category],MATCH(C18,PMEAGG[Eff Desc 1],0)))</f>
        <v/>
      </c>
      <c r="AY18" s="980"/>
      <c r="BC18" s="830" t="str">
        <f>IF(OR(N18="",T18="",C18="",V18="",X18="",AB18="",AE18="",AG18=""),"",IF(OR(ISBLANK(M02S02F26),ISBLANK(M02S02F32),ISBLANK(M02S02F46)),MEASUREBLDG,""))</f>
        <v/>
      </c>
      <c r="BE18" s="811" t="str">
        <f ca="1">IF(OR(T18="",N18="",C18="",V18="",X18="",AB18="",AE18="",AG18=""),"",IF('M01-S01'!$V$82&lt;TODAY(),0,IF(M02S02F46="Gas Only",0,IF(OR(AK18="",AK18&lt;0,AU18&lt;=AN18),0,MIN(AU18-AN18,ROUND(AN18*0.2,2))))))</f>
        <v/>
      </c>
    </row>
    <row r="19" spans="2:57">
      <c r="B19" s="834"/>
      <c r="C19" s="840"/>
      <c r="D19" s="841"/>
      <c r="E19" s="841"/>
      <c r="F19" s="841"/>
      <c r="G19" s="841"/>
      <c r="H19" s="841"/>
      <c r="I19" s="841"/>
      <c r="J19" s="841"/>
      <c r="K19" s="841"/>
      <c r="L19" s="841"/>
      <c r="M19" s="842"/>
      <c r="N19" s="917"/>
      <c r="O19" s="918"/>
      <c r="P19" s="918"/>
      <c r="Q19" s="918"/>
      <c r="R19" s="918"/>
      <c r="S19" s="919"/>
      <c r="T19" s="955"/>
      <c r="U19" s="956"/>
      <c r="V19" s="853"/>
      <c r="W19" s="854"/>
      <c r="X19" s="840"/>
      <c r="Y19" s="841"/>
      <c r="Z19" s="841"/>
      <c r="AA19" s="842"/>
      <c r="AB19" s="840"/>
      <c r="AC19" s="841"/>
      <c r="AD19" s="842"/>
      <c r="AE19" s="865"/>
      <c r="AF19" s="875"/>
      <c r="AG19" s="865"/>
      <c r="AH19" s="875"/>
      <c r="AI19" s="925"/>
      <c r="AJ19" s="870"/>
      <c r="AK19" s="912"/>
      <c r="AL19" s="913"/>
      <c r="AM19" s="942"/>
      <c r="AN19" s="960"/>
      <c r="AO19" s="961"/>
      <c r="AP19" s="961"/>
      <c r="AQ19" s="962"/>
      <c r="AU19" s="814"/>
      <c r="AV19" s="907"/>
      <c r="AW19" s="981"/>
      <c r="AX19" s="907"/>
      <c r="AY19" s="981"/>
      <c r="BC19" s="831"/>
      <c r="BE19" s="812"/>
    </row>
    <row r="20" spans="2:57">
      <c r="B20" s="834">
        <v>3</v>
      </c>
      <c r="C20" s="871"/>
      <c r="D20" s="872"/>
      <c r="E20" s="872"/>
      <c r="F20" s="872"/>
      <c r="G20" s="872"/>
      <c r="H20" s="872"/>
      <c r="I20" s="872"/>
      <c r="J20" s="872"/>
      <c r="K20" s="872"/>
      <c r="L20" s="872"/>
      <c r="M20" s="873"/>
      <c r="N20" s="920" t="str">
        <f>IFERROR(IF(C20="","",INDEX(PMEAGG[Base Desc 1],MATCH(C20,PMEAGG[Eff Desc 1],0))),"")</f>
        <v/>
      </c>
      <c r="O20" s="921"/>
      <c r="P20" s="921"/>
      <c r="Q20" s="921"/>
      <c r="R20" s="921"/>
      <c r="S20" s="922"/>
      <c r="T20" s="993" t="str">
        <f>IFERROR(IF(C20="","",INDEX(PMEAGG[Unit of Measure],MATCH(C20,PMEAGG[Eff Desc 1],0))),"")</f>
        <v/>
      </c>
      <c r="U20" s="994"/>
      <c r="V20" s="876"/>
      <c r="W20" s="877"/>
      <c r="X20" s="871"/>
      <c r="Y20" s="872"/>
      <c r="Z20" s="872"/>
      <c r="AA20" s="873"/>
      <c r="AB20" s="871"/>
      <c r="AC20" s="872"/>
      <c r="AD20" s="873"/>
      <c r="AE20" s="894"/>
      <c r="AF20" s="1073"/>
      <c r="AG20" s="894"/>
      <c r="AH20" s="1073"/>
      <c r="AI20" s="930" t="str">
        <f>IFERROR(IF(C20="","",INDEX(PMEAGG[Inc Rate Unit],MATCH(C20,PMEAGG[Eff Desc 1],0))),"")</f>
        <v/>
      </c>
      <c r="AJ20" s="868"/>
      <c r="AK20" s="910" t="str">
        <f t="shared" ref="AK20" si="3">IF(OR(C20="",V20="",X20="",AB20="",AE20="",AG20=""),"",AW20)</f>
        <v/>
      </c>
      <c r="AL20" s="911"/>
      <c r="AM20" s="975"/>
      <c r="AN20" s="957" t="str">
        <f t="shared" ref="AN20" si="4">IF(OR(C20="",V20="",X20="",AB20="",AE20="",AG20=""),"",
IF(OR(ISNUMBER(SEARCH("Heat Recovery",C20)),ISNUMBER(SEARCH("VSD Milk Pump w/",C20)),ISNUMBER(SEARCH("Scroll Compressor",C20)),ISNUMBER(SEARCH("Milk Pre-Cooler",C20))),IF(BC20&lt;&gt;"",BC20,MIN(AU20,ROUND(AI20,2))),
IF(BC20&lt;&gt;"",BC20,MIN(AU20,ROUND(V20*AI20,2)))))</f>
        <v/>
      </c>
      <c r="AO20" s="958"/>
      <c r="AP20" s="958"/>
      <c r="AQ20" s="959"/>
      <c r="AU20" s="898" t="str">
        <f t="shared" ref="AU20" si="5">IF(OR(C20="",N20="",T20="",V20="",X20="",AI20="",AE20="",AB20=""),"",IF(AK20="","",ROUND((AE20+AG20),2)))</f>
        <v/>
      </c>
      <c r="AV20" s="906" t="str">
        <f>IF(OR(C20="",N20="",T20="",V20="",X20="",AB20="",AG20="",AE20=""),"",ROUND(
IF(OR(ISNUMBER(SEARCH("Heat Recovery",C20)),ISNUMBER(SEARCH("VSD Milk Pump w/",C20))),0,
IF(ISNUMBER(SEARCH("Scroll Compressor",C20)),(AW20/2920)*0.34,
IF(ISNUMBER(SEARCH("Milk Pre-Cooler",C20)),(AW20/2920)*0.16,
V20*INDEX(PMEAGG[Savings per Unit kW],MATCH(C20,PMEAGG[Eff Desc 1],0)))
)),3))</f>
        <v/>
      </c>
      <c r="AW20" s="1019" t="str">
        <f>IF(OR(C20="",V20="",X20="",AB20="",AE20="",AG20=""),"",ROUND(
IF(ISNUMBER(SEARCH("Heat Recovery",C20)),V20*(MIN(68*101*0.93*(56.3-38)*0.55,131.7*1*8.34*(120-52.3))*365.25*(1/0.9)/3412),
IF(ISNUMBER(SEARCH("VSD Milk Pump w/",C20)),V20*((1/8)*0.93*11.7*68*101*365/1000),
IF(ISNUMBER(SEARCH("Scroll Compressor",C20)),((((1/8.4)-(1/10.6))*(0.93*30*68*101*365.25))/1000)*V20,
IF(ISNUMBER(SEARCH("Milk Pre-Cooler",C20)),V20*((30*68*101*0.93*365)/(8*1000)),
IF(ISNUMBER(SEARCH("Fan Thermostat Controller",C20)),V20*0.75*0.746*2820/0.825,
V20*INDEX(PMEAGG[Savings per Unit kWh],MATCH(C20,PMEAGG[Eff Desc 1],0))
))))),2))</f>
        <v/>
      </c>
      <c r="AX20" s="906" t="str">
        <f>IF(OR(C20="",N20="",T20="",V20="",X20="",AG20="",AE20="",AB20=""),"",INDEX(PMEAGG[End Use Category],MATCH(C20,PMEAGG[Eff Desc 1],0)))</f>
        <v/>
      </c>
      <c r="AY20" s="980"/>
      <c r="BC20" s="830" t="str">
        <f>IF(OR(N20="",T20="",C20="",V20="",X20="",AB20="",AE20="",AG20=""),"",IF(OR(ISBLANK(M02S02F26),ISBLANK(M02S02F32),ISBLANK(M02S02F46)),MEASUREBLDG,""))</f>
        <v/>
      </c>
      <c r="BE20" s="811" t="str">
        <f ca="1">IF(OR(T20="",N20="",C20="",V20="",X20="",AB20="",AE20="",AG20=""),"",IF('M01-S01'!$V$82&lt;TODAY(),0,IF(M02S02F46="Gas Only",0,IF(OR(AK20="",AK20&lt;0,AU20&lt;=AN20),0,MIN(AU20-AN20,ROUND(AN20*0.2,2))))))</f>
        <v/>
      </c>
    </row>
    <row r="21" spans="2:57">
      <c r="B21" s="834"/>
      <c r="C21" s="840"/>
      <c r="D21" s="841"/>
      <c r="E21" s="841"/>
      <c r="F21" s="841"/>
      <c r="G21" s="841"/>
      <c r="H21" s="841"/>
      <c r="I21" s="841"/>
      <c r="J21" s="841"/>
      <c r="K21" s="841"/>
      <c r="L21" s="841"/>
      <c r="M21" s="842"/>
      <c r="N21" s="917"/>
      <c r="O21" s="918"/>
      <c r="P21" s="918"/>
      <c r="Q21" s="918"/>
      <c r="R21" s="918"/>
      <c r="S21" s="919"/>
      <c r="T21" s="955"/>
      <c r="U21" s="956"/>
      <c r="V21" s="853"/>
      <c r="W21" s="854"/>
      <c r="X21" s="840"/>
      <c r="Y21" s="841"/>
      <c r="Z21" s="841"/>
      <c r="AA21" s="842"/>
      <c r="AB21" s="840"/>
      <c r="AC21" s="841"/>
      <c r="AD21" s="842"/>
      <c r="AE21" s="865"/>
      <c r="AF21" s="875"/>
      <c r="AG21" s="865"/>
      <c r="AH21" s="875"/>
      <c r="AI21" s="925"/>
      <c r="AJ21" s="870"/>
      <c r="AK21" s="912"/>
      <c r="AL21" s="913"/>
      <c r="AM21" s="942"/>
      <c r="AN21" s="960"/>
      <c r="AO21" s="961"/>
      <c r="AP21" s="961"/>
      <c r="AQ21" s="962"/>
      <c r="AU21" s="814"/>
      <c r="AV21" s="907"/>
      <c r="AW21" s="981"/>
      <c r="AX21" s="907"/>
      <c r="AY21" s="981"/>
      <c r="BC21" s="831"/>
      <c r="BE21" s="812"/>
    </row>
    <row r="22" spans="2:57">
      <c r="B22" s="834">
        <v>4</v>
      </c>
      <c r="C22" s="871"/>
      <c r="D22" s="872"/>
      <c r="E22" s="872"/>
      <c r="F22" s="872"/>
      <c r="G22" s="872"/>
      <c r="H22" s="872"/>
      <c r="I22" s="872"/>
      <c r="J22" s="872"/>
      <c r="K22" s="872"/>
      <c r="L22" s="872"/>
      <c r="M22" s="873"/>
      <c r="N22" s="920" t="str">
        <f>IFERROR(IF(C22="","",INDEX(PMEAGG[Base Desc 1],MATCH(C22,PMEAGG[Eff Desc 1],0))),"")</f>
        <v/>
      </c>
      <c r="O22" s="921"/>
      <c r="P22" s="921"/>
      <c r="Q22" s="921"/>
      <c r="R22" s="921"/>
      <c r="S22" s="922"/>
      <c r="T22" s="993" t="str">
        <f>IFERROR(IF(C22="","",INDEX(PMEAGG[Unit of Measure],MATCH(C22,PMEAGG[Eff Desc 1],0))),"")</f>
        <v/>
      </c>
      <c r="U22" s="994"/>
      <c r="V22" s="876"/>
      <c r="W22" s="877"/>
      <c r="X22" s="871"/>
      <c r="Y22" s="872"/>
      <c r="Z22" s="872"/>
      <c r="AA22" s="873"/>
      <c r="AB22" s="871"/>
      <c r="AC22" s="872"/>
      <c r="AD22" s="873"/>
      <c r="AE22" s="894"/>
      <c r="AF22" s="1073"/>
      <c r="AG22" s="894"/>
      <c r="AH22" s="1073"/>
      <c r="AI22" s="930" t="str">
        <f>IFERROR(IF(C22="","",INDEX(PMEAGG[Inc Rate Unit],MATCH(C22,PMEAGG[Eff Desc 1],0))),"")</f>
        <v/>
      </c>
      <c r="AJ22" s="868"/>
      <c r="AK22" s="910" t="str">
        <f t="shared" ref="AK22" si="6">IF(OR(C22="",V22="",X22="",AB22="",AE22="",AG22=""),"",AW22)</f>
        <v/>
      </c>
      <c r="AL22" s="911"/>
      <c r="AM22" s="975"/>
      <c r="AN22" s="957" t="str">
        <f t="shared" ref="AN22" si="7">IF(OR(C22="",V22="",X22="",AB22="",AE22="",AG22=""),"",
IF(OR(ISNUMBER(SEARCH("Heat Recovery",C22)),ISNUMBER(SEARCH("VSD Milk Pump w/",C22)),ISNUMBER(SEARCH("Scroll Compressor",C22)),ISNUMBER(SEARCH("Milk Pre-Cooler",C22))),IF(BC22&lt;&gt;"",BC22,MIN(AU22,ROUND(AI22,2))),
IF(BC22&lt;&gt;"",BC22,MIN(AU22,ROUND(V22*AI22,2)))))</f>
        <v/>
      </c>
      <c r="AO22" s="958"/>
      <c r="AP22" s="958"/>
      <c r="AQ22" s="959"/>
      <c r="AU22" s="898" t="str">
        <f t="shared" ref="AU22" si="8">IF(OR(C22="",N22="",T22="",V22="",X22="",AI22="",AE22="",AB22=""),"",IF(AK22="","",ROUND((AE22+AG22),2)))</f>
        <v/>
      </c>
      <c r="AV22" s="906" t="str">
        <f>IF(OR(C22="",N22="",T22="",V22="",X22="",AB22="",AG22="",AE22=""),"",ROUND(
IF(OR(ISNUMBER(SEARCH("Heat Recovery",C22)),ISNUMBER(SEARCH("VSD Milk Pump w/",C22))),0,
IF(ISNUMBER(SEARCH("Scroll Compressor",C22)),(AW22/2920)*0.34,
IF(ISNUMBER(SEARCH("Milk Pre-Cooler",C22)),(AW22/2920)*0.16,
V22*INDEX(PMEAGG[Savings per Unit kW],MATCH(C22,PMEAGG[Eff Desc 1],0)))
)),3))</f>
        <v/>
      </c>
      <c r="AW22" s="1019" t="str">
        <f>IF(OR(C22="",V22="",X22="",AB22="",AE22="",AG22=""),"",ROUND(
IF(ISNUMBER(SEARCH("Heat Recovery",C22)),V22*(MIN(68*101*0.93*(56.3-38)*0.55,131.7*1*8.34*(120-52.3))*365.25*(1/0.9)/3412),
IF(ISNUMBER(SEARCH("VSD Milk Pump w/",C22)),V22*((1/8)*0.93*11.7*68*101*365/1000),
IF(ISNUMBER(SEARCH("Scroll Compressor",C22)),((((1/8.4)-(1/10.6))*(0.93*30*68*101*365.25))/1000)*V22,
IF(ISNUMBER(SEARCH("Milk Pre-Cooler",C22)),V22*((30*68*101*0.93*365)/(8*1000)),
IF(ISNUMBER(SEARCH("Fan Thermostat Controller",C22)),V22*0.75*0.746*2820/0.825,
V22*INDEX(PMEAGG[Savings per Unit kWh],MATCH(C22,PMEAGG[Eff Desc 1],0))
))))),2))</f>
        <v/>
      </c>
      <c r="AX22" s="906" t="str">
        <f>IF(OR(C22="",N22="",T22="",V22="",X22="",AG22="",AE22="",AB22=""),"",INDEX(PMEAGG[End Use Category],MATCH(C22,PMEAGG[Eff Desc 1],0)))</f>
        <v/>
      </c>
      <c r="AY22" s="980"/>
      <c r="BC22" s="830" t="str">
        <f>IF(OR(N22="",T22="",C22="",V22="",X22="",AB22="",AE22="",AG22=""),"",IF(OR(ISBLANK(M02S02F26),ISBLANK(M02S02F32),ISBLANK(M02S02F46)),MEASUREBLDG,""))</f>
        <v/>
      </c>
      <c r="BE22" s="811" t="str">
        <f ca="1">IF(OR(T22="",N22="",C22="",V22="",X22="",AB22="",AE22="",AG22=""),"",IF('M01-S01'!$V$82&lt;TODAY(),0,IF(M02S02F46="Gas Only",0,IF(OR(AK22="",AK22&lt;0,AU22&lt;=AN22),0,MIN(AU22-AN22,ROUND(AN22*0.2,2))))))</f>
        <v/>
      </c>
    </row>
    <row r="23" spans="2:57">
      <c r="B23" s="834"/>
      <c r="C23" s="840"/>
      <c r="D23" s="841"/>
      <c r="E23" s="841"/>
      <c r="F23" s="841"/>
      <c r="G23" s="841"/>
      <c r="H23" s="841"/>
      <c r="I23" s="841"/>
      <c r="J23" s="841"/>
      <c r="K23" s="841"/>
      <c r="L23" s="841"/>
      <c r="M23" s="842"/>
      <c r="N23" s="917"/>
      <c r="O23" s="918"/>
      <c r="P23" s="918"/>
      <c r="Q23" s="918"/>
      <c r="R23" s="918"/>
      <c r="S23" s="919"/>
      <c r="T23" s="955"/>
      <c r="U23" s="956"/>
      <c r="V23" s="853"/>
      <c r="W23" s="854"/>
      <c r="X23" s="840"/>
      <c r="Y23" s="841"/>
      <c r="Z23" s="841"/>
      <c r="AA23" s="842"/>
      <c r="AB23" s="840"/>
      <c r="AC23" s="841"/>
      <c r="AD23" s="842"/>
      <c r="AE23" s="865"/>
      <c r="AF23" s="875"/>
      <c r="AG23" s="865"/>
      <c r="AH23" s="875"/>
      <c r="AI23" s="925"/>
      <c r="AJ23" s="870"/>
      <c r="AK23" s="912"/>
      <c r="AL23" s="913"/>
      <c r="AM23" s="942"/>
      <c r="AN23" s="960"/>
      <c r="AO23" s="961"/>
      <c r="AP23" s="961"/>
      <c r="AQ23" s="962"/>
      <c r="AU23" s="814"/>
      <c r="AV23" s="907"/>
      <c r="AW23" s="981"/>
      <c r="AX23" s="907"/>
      <c r="AY23" s="981"/>
      <c r="BC23" s="831"/>
      <c r="BE23" s="812"/>
    </row>
    <row r="24" spans="2:57">
      <c r="B24" s="834">
        <v>5</v>
      </c>
      <c r="C24" s="871"/>
      <c r="D24" s="872"/>
      <c r="E24" s="872"/>
      <c r="F24" s="872"/>
      <c r="G24" s="872"/>
      <c r="H24" s="872"/>
      <c r="I24" s="872"/>
      <c r="J24" s="872"/>
      <c r="K24" s="872"/>
      <c r="L24" s="872"/>
      <c r="M24" s="873"/>
      <c r="N24" s="920" t="str">
        <f>IFERROR(IF(C24="","",INDEX(PMEAGG[Base Desc 1],MATCH(C24,PMEAGG[Eff Desc 1],0))),"")</f>
        <v/>
      </c>
      <c r="O24" s="921"/>
      <c r="P24" s="921"/>
      <c r="Q24" s="921"/>
      <c r="R24" s="921"/>
      <c r="S24" s="922"/>
      <c r="T24" s="993" t="str">
        <f>IFERROR(IF(C24="","",INDEX(PMEAGG[Unit of Measure],MATCH(C24,PMEAGG[Eff Desc 1],0))),"")</f>
        <v/>
      </c>
      <c r="U24" s="994"/>
      <c r="V24" s="876"/>
      <c r="W24" s="877"/>
      <c r="X24" s="871"/>
      <c r="Y24" s="872"/>
      <c r="Z24" s="872"/>
      <c r="AA24" s="873"/>
      <c r="AB24" s="871"/>
      <c r="AC24" s="872"/>
      <c r="AD24" s="873"/>
      <c r="AE24" s="894"/>
      <c r="AF24" s="1073"/>
      <c r="AG24" s="894"/>
      <c r="AH24" s="1073"/>
      <c r="AI24" s="930" t="str">
        <f>IFERROR(IF(C24="","",INDEX(PMEAGG[Inc Rate Unit],MATCH(C24,PMEAGG[Eff Desc 1],0))),"")</f>
        <v/>
      </c>
      <c r="AJ24" s="868"/>
      <c r="AK24" s="910" t="str">
        <f t="shared" ref="AK24" si="9">IF(OR(C24="",V24="",X24="",AB24="",AE24="",AG24=""),"",AW24)</f>
        <v/>
      </c>
      <c r="AL24" s="911"/>
      <c r="AM24" s="975"/>
      <c r="AN24" s="957" t="str">
        <f t="shared" ref="AN24" si="10">IF(OR(C24="",V24="",X24="",AB24="",AE24="",AG24=""),"",
IF(OR(ISNUMBER(SEARCH("Heat Recovery",C24)),ISNUMBER(SEARCH("VSD Milk Pump w/",C24)),ISNUMBER(SEARCH("Scroll Compressor",C24)),ISNUMBER(SEARCH("Milk Pre-Cooler",C24))),IF(BC24&lt;&gt;"",BC24,MIN(AU24,ROUND(AI24,2))),
IF(BC24&lt;&gt;"",BC24,MIN(AU24,ROUND(V24*AI24,2)))))</f>
        <v/>
      </c>
      <c r="AO24" s="958"/>
      <c r="AP24" s="958"/>
      <c r="AQ24" s="959"/>
      <c r="AU24" s="898" t="str">
        <f t="shared" ref="AU24" si="11">IF(OR(C24="",N24="",T24="",V24="",X24="",AI24="",AE24="",AB24=""),"",IF(AK24="","",ROUND((AE24+AG24),2)))</f>
        <v/>
      </c>
      <c r="AV24" s="906" t="str">
        <f>IF(OR(C24="",N24="",T24="",V24="",X24="",AB24="",AG24="",AE24=""),"",ROUND(
IF(OR(ISNUMBER(SEARCH("Heat Recovery",C24)),ISNUMBER(SEARCH("VSD Milk Pump w/",C24))),0,
IF(ISNUMBER(SEARCH("Scroll Compressor",C24)),(AW24/2920)*0.34,
IF(ISNUMBER(SEARCH("Milk Pre-Cooler",C24)),(AW24/2920)*0.16,
V24*INDEX(PMEAGG[Savings per Unit kW],MATCH(C24,PMEAGG[Eff Desc 1],0)))
)),3))</f>
        <v/>
      </c>
      <c r="AW24" s="1019" t="str">
        <f>IF(OR(C24="",V24="",X24="",AB24="",AE24="",AG24=""),"",ROUND(
IF(ISNUMBER(SEARCH("Heat Recovery",C24)),V24*(MIN(68*101*0.93*(56.3-38)*0.55,131.7*1*8.34*(120-52.3))*365.25*(1/0.9)/3412),
IF(ISNUMBER(SEARCH("VSD Milk Pump w/",C24)),V24*((1/8)*0.93*11.7*68*101*365/1000),
IF(ISNUMBER(SEARCH("Scroll Compressor",C24)),((((1/8.4)-(1/10.6))*(0.93*30*68*101*365.25))/1000)*V24,
IF(ISNUMBER(SEARCH("Milk Pre-Cooler",C24)),V24*((30*68*101*0.93*365)/(8*1000)),
IF(ISNUMBER(SEARCH("Fan Thermostat Controller",C24)),V24*0.75*0.746*2820/0.825,
V24*INDEX(PMEAGG[Savings per Unit kWh],MATCH(C24,PMEAGG[Eff Desc 1],0))
))))),2))</f>
        <v/>
      </c>
      <c r="AX24" s="906" t="str">
        <f>IF(OR(C24="",N24="",T24="",V24="",X24="",AG24="",AE24="",AB24=""),"",INDEX(PMEAGG[End Use Category],MATCH(C24,PMEAGG[Eff Desc 1],0)))</f>
        <v/>
      </c>
      <c r="AY24" s="980"/>
      <c r="BC24" s="830" t="str">
        <f>IF(OR(N24="",T24="",C24="",V24="",X24="",AB24="",AE24="",AG24=""),"",IF(OR(ISBLANK(M02S02F26),ISBLANK(M02S02F32),ISBLANK(M02S02F46)),MEASUREBLDG,""))</f>
        <v/>
      </c>
      <c r="BE24" s="811" t="str">
        <f ca="1">IF(OR(T24="",N24="",C24="",V24="",X24="",AB24="",AE24="",AG24=""),"",IF('M01-S01'!$V$82&lt;TODAY(),0,IF(M02S02F46="Gas Only",0,IF(OR(AK24="",AK24&lt;0,AU24&lt;=AN24),0,MIN(AU24-AN24,ROUND(AN24*0.2,2))))))</f>
        <v/>
      </c>
    </row>
    <row r="25" spans="2:57">
      <c r="B25" s="834"/>
      <c r="C25" s="840"/>
      <c r="D25" s="841"/>
      <c r="E25" s="841"/>
      <c r="F25" s="841"/>
      <c r="G25" s="841"/>
      <c r="H25" s="841"/>
      <c r="I25" s="841"/>
      <c r="J25" s="841"/>
      <c r="K25" s="841"/>
      <c r="L25" s="841"/>
      <c r="M25" s="842"/>
      <c r="N25" s="917"/>
      <c r="O25" s="918"/>
      <c r="P25" s="918"/>
      <c r="Q25" s="918"/>
      <c r="R25" s="918"/>
      <c r="S25" s="919"/>
      <c r="T25" s="955"/>
      <c r="U25" s="956"/>
      <c r="V25" s="853"/>
      <c r="W25" s="854"/>
      <c r="X25" s="840"/>
      <c r="Y25" s="841"/>
      <c r="Z25" s="841"/>
      <c r="AA25" s="842"/>
      <c r="AB25" s="840"/>
      <c r="AC25" s="841"/>
      <c r="AD25" s="842"/>
      <c r="AE25" s="865"/>
      <c r="AF25" s="875"/>
      <c r="AG25" s="865"/>
      <c r="AH25" s="875"/>
      <c r="AI25" s="925"/>
      <c r="AJ25" s="870"/>
      <c r="AK25" s="912"/>
      <c r="AL25" s="913"/>
      <c r="AM25" s="942"/>
      <c r="AN25" s="960"/>
      <c r="AO25" s="961"/>
      <c r="AP25" s="961"/>
      <c r="AQ25" s="962"/>
      <c r="AU25" s="814"/>
      <c r="AV25" s="907"/>
      <c r="AW25" s="981"/>
      <c r="AX25" s="907"/>
      <c r="AY25" s="981"/>
      <c r="BC25" s="831"/>
      <c r="BE25" s="812"/>
    </row>
    <row r="26" spans="2:57" ht="15" customHeight="1">
      <c r="B26" s="834">
        <v>6</v>
      </c>
      <c r="C26" s="871"/>
      <c r="D26" s="872"/>
      <c r="E26" s="872"/>
      <c r="F26" s="872"/>
      <c r="G26" s="872"/>
      <c r="H26" s="872"/>
      <c r="I26" s="872"/>
      <c r="J26" s="872"/>
      <c r="K26" s="872"/>
      <c r="L26" s="872"/>
      <c r="M26" s="873"/>
      <c r="N26" s="920" t="str">
        <f>IFERROR(IF(C26="","",INDEX(PMEAGG[Base Desc 1],MATCH(C26,PMEAGG[Eff Desc 1],0))),"")</f>
        <v/>
      </c>
      <c r="O26" s="921"/>
      <c r="P26" s="921"/>
      <c r="Q26" s="921"/>
      <c r="R26" s="921"/>
      <c r="S26" s="922"/>
      <c r="T26" s="993" t="str">
        <f>IFERROR(IF(C26="","",INDEX(PMEAGG[Unit of Measure],MATCH(C26,PMEAGG[Eff Desc 1],0))),"")</f>
        <v/>
      </c>
      <c r="U26" s="994"/>
      <c r="V26" s="876"/>
      <c r="W26" s="877"/>
      <c r="X26" s="871"/>
      <c r="Y26" s="872"/>
      <c r="Z26" s="872"/>
      <c r="AA26" s="873"/>
      <c r="AB26" s="871"/>
      <c r="AC26" s="872"/>
      <c r="AD26" s="873"/>
      <c r="AE26" s="894"/>
      <c r="AF26" s="1073"/>
      <c r="AG26" s="894"/>
      <c r="AH26" s="1073"/>
      <c r="AI26" s="930" t="str">
        <f>IFERROR(IF(C26="","",INDEX(PMEAGG[Inc Rate Unit],MATCH(C26,PMEAGG[Eff Desc 1],0))),"")</f>
        <v/>
      </c>
      <c r="AJ26" s="868"/>
      <c r="AK26" s="910" t="str">
        <f t="shared" ref="AK26" si="12">IF(OR(C26="",V26="",X26="",AB26="",AE26="",AG26=""),"",AW26)</f>
        <v/>
      </c>
      <c r="AL26" s="911"/>
      <c r="AM26" s="975"/>
      <c r="AN26" s="957" t="str">
        <f t="shared" ref="AN26" si="13">IF(OR(C26="",V26="",X26="",AB26="",AE26="",AG26=""),"",
IF(OR(ISNUMBER(SEARCH("Heat Recovery",C26)),ISNUMBER(SEARCH("VSD Milk Pump w/",C26)),ISNUMBER(SEARCH("Scroll Compressor",C26)),ISNUMBER(SEARCH("Milk Pre-Cooler",C26))),IF(BC26&lt;&gt;"",BC26,MIN(AU26,ROUND(AI26,2))),
IF(BC26&lt;&gt;"",BC26,MIN(AU26,ROUND(V26*AI26,2)))))</f>
        <v/>
      </c>
      <c r="AO26" s="958"/>
      <c r="AP26" s="958"/>
      <c r="AQ26" s="959"/>
      <c r="AU26" s="898" t="str">
        <f t="shared" ref="AU26" si="14">IF(OR(C26="",N26="",T26="",V26="",X26="",AI26="",AE26="",AB26=""),"",IF(AK26="","",ROUND((AE26+AG26),2)))</f>
        <v/>
      </c>
      <c r="AV26" s="906" t="str">
        <f>IF(OR(C26="",N26="",T26="",V26="",X26="",AB26="",AG26="",AE26=""),"",ROUND(
IF(OR(ISNUMBER(SEARCH("Heat Recovery",C26)),ISNUMBER(SEARCH("VSD Milk Pump w/",C26))),0,
IF(ISNUMBER(SEARCH("Scroll Compressor",C26)),(AW26/2920)*0.34,
IF(ISNUMBER(SEARCH("Milk Pre-Cooler",C26)),(AW26/2920)*0.16,
V26*INDEX(PMEAGG[Savings per Unit kW],MATCH(C26,PMEAGG[Eff Desc 1],0)))
)),3))</f>
        <v/>
      </c>
      <c r="AW26" s="1019" t="str">
        <f>IF(OR(C26="",V26="",X26="",AB26="",AE26="",AG26=""),"",ROUND(
IF(ISNUMBER(SEARCH("Heat Recovery",C26)),V26*(MIN(68*101*0.93*(56.3-38)*0.55,131.7*1*8.34*(120-52.3))*365.25*(1/0.9)/3412),
IF(ISNUMBER(SEARCH("VSD Milk Pump w/",C26)),V26*((1/8)*0.93*11.7*68*101*365/1000),
IF(ISNUMBER(SEARCH("Scroll Compressor",C26)),((((1/8.4)-(1/10.6))*(0.93*30*68*101*365.25))/1000)*V26,
IF(ISNUMBER(SEARCH("Milk Pre-Cooler",C26)),V26*((30*68*101*0.93*365)/(8*1000)),
IF(ISNUMBER(SEARCH("Fan Thermostat Controller",C26)),V26*0.75*0.746*2820/0.825,
V26*INDEX(PMEAGG[Savings per Unit kWh],MATCH(C26,PMEAGG[Eff Desc 1],0))
))))),2))</f>
        <v/>
      </c>
      <c r="AX26" s="906" t="str">
        <f>IF(OR(C26="",N26="",T26="",V26="",X26="",AG26="",AE26="",AB26=""),"",INDEX(PMEAGG[End Use Category],MATCH(C26,PMEAGG[Eff Desc 1],0)))</f>
        <v/>
      </c>
      <c r="AY26" s="980"/>
      <c r="BC26" s="830" t="str">
        <f>IF(OR(N26="",T26="",C26="",V26="",X26="",AB26="",AE26="",AG26=""),"",IF(OR(ISBLANK(M02S02F26),ISBLANK(M02S02F32),ISBLANK(M02S02F46)),MEASUREBLDG,""))</f>
        <v/>
      </c>
      <c r="BE26" s="811" t="str">
        <f ca="1">IF(OR(T26="",N26="",C26="",V26="",X26="",AB26="",AE26="",AG26=""),"",IF('M01-S01'!$V$82&lt;TODAY(),0,IF(M02S02F46="Gas Only",0,IF(OR(AK26="",AK26&lt;0,AU26&lt;=AN26),0,MIN(AU26-AN26,ROUND(AN26*0.2,2))))))</f>
        <v/>
      </c>
    </row>
    <row r="27" spans="2:57">
      <c r="B27" s="834"/>
      <c r="C27" s="840"/>
      <c r="D27" s="841"/>
      <c r="E27" s="841"/>
      <c r="F27" s="841"/>
      <c r="G27" s="841"/>
      <c r="H27" s="841"/>
      <c r="I27" s="841"/>
      <c r="J27" s="841"/>
      <c r="K27" s="841"/>
      <c r="L27" s="841"/>
      <c r="M27" s="842"/>
      <c r="N27" s="917"/>
      <c r="O27" s="918"/>
      <c r="P27" s="918"/>
      <c r="Q27" s="918"/>
      <c r="R27" s="918"/>
      <c r="S27" s="919"/>
      <c r="T27" s="955"/>
      <c r="U27" s="956"/>
      <c r="V27" s="853"/>
      <c r="W27" s="854"/>
      <c r="X27" s="840"/>
      <c r="Y27" s="841"/>
      <c r="Z27" s="841"/>
      <c r="AA27" s="842"/>
      <c r="AB27" s="840"/>
      <c r="AC27" s="841"/>
      <c r="AD27" s="842"/>
      <c r="AE27" s="865"/>
      <c r="AF27" s="875"/>
      <c r="AG27" s="865"/>
      <c r="AH27" s="875"/>
      <c r="AI27" s="925"/>
      <c r="AJ27" s="870"/>
      <c r="AK27" s="912"/>
      <c r="AL27" s="913"/>
      <c r="AM27" s="942"/>
      <c r="AN27" s="960"/>
      <c r="AO27" s="961"/>
      <c r="AP27" s="961"/>
      <c r="AQ27" s="962"/>
      <c r="AU27" s="814"/>
      <c r="AV27" s="907"/>
      <c r="AW27" s="981"/>
      <c r="AX27" s="907"/>
      <c r="AY27" s="981"/>
      <c r="BC27" s="831"/>
      <c r="BE27" s="812"/>
    </row>
    <row r="28" spans="2:57">
      <c r="B28" s="834">
        <v>7</v>
      </c>
      <c r="C28" s="871"/>
      <c r="D28" s="872"/>
      <c r="E28" s="872"/>
      <c r="F28" s="872"/>
      <c r="G28" s="872"/>
      <c r="H28" s="872"/>
      <c r="I28" s="872"/>
      <c r="J28" s="872"/>
      <c r="K28" s="872"/>
      <c r="L28" s="872"/>
      <c r="M28" s="873"/>
      <c r="N28" s="920" t="str">
        <f>IFERROR(IF(C28="","",INDEX(PMEAGG[Base Desc 1],MATCH(C28,PMEAGG[Eff Desc 1],0))),"")</f>
        <v/>
      </c>
      <c r="O28" s="921"/>
      <c r="P28" s="921"/>
      <c r="Q28" s="921"/>
      <c r="R28" s="921"/>
      <c r="S28" s="922"/>
      <c r="T28" s="993" t="str">
        <f>IFERROR(IF(C28="","",INDEX(PMEAGG[Unit of Measure],MATCH(C28,PMEAGG[Eff Desc 1],0))),"")</f>
        <v/>
      </c>
      <c r="U28" s="994"/>
      <c r="V28" s="876"/>
      <c r="W28" s="877"/>
      <c r="X28" s="871"/>
      <c r="Y28" s="872"/>
      <c r="Z28" s="872"/>
      <c r="AA28" s="873"/>
      <c r="AB28" s="871"/>
      <c r="AC28" s="872"/>
      <c r="AD28" s="873"/>
      <c r="AE28" s="894"/>
      <c r="AF28" s="1073"/>
      <c r="AG28" s="894"/>
      <c r="AH28" s="1073"/>
      <c r="AI28" s="930" t="str">
        <f>IFERROR(IF(C28="","",INDEX(PMEAGG[Inc Rate Unit],MATCH(C28,PMEAGG[Eff Desc 1],0))),"")</f>
        <v/>
      </c>
      <c r="AJ28" s="868"/>
      <c r="AK28" s="910" t="str">
        <f t="shared" ref="AK28" si="15">IF(OR(C28="",V28="",X28="",AB28="",AE28="",AG28=""),"",AW28)</f>
        <v/>
      </c>
      <c r="AL28" s="911"/>
      <c r="AM28" s="975"/>
      <c r="AN28" s="957" t="str">
        <f t="shared" ref="AN28" si="16">IF(OR(C28="",V28="",X28="",AB28="",AE28="",AG28=""),"",
IF(OR(ISNUMBER(SEARCH("Heat Recovery",C28)),ISNUMBER(SEARCH("VSD Milk Pump w/",C28)),ISNUMBER(SEARCH("Scroll Compressor",C28)),ISNUMBER(SEARCH("Milk Pre-Cooler",C28))),IF(BC28&lt;&gt;"",BC28,MIN(AU28,ROUND(AI28,2))),
IF(BC28&lt;&gt;"",BC28,MIN(AU28,ROUND(V28*AI28,2)))))</f>
        <v/>
      </c>
      <c r="AO28" s="958"/>
      <c r="AP28" s="958"/>
      <c r="AQ28" s="959"/>
      <c r="AU28" s="898" t="str">
        <f t="shared" ref="AU28" si="17">IF(OR(C28="",N28="",T28="",V28="",X28="",AI28="",AE28="",AB28=""),"",IF(AK28="","",ROUND((AE28+AG28),2)))</f>
        <v/>
      </c>
      <c r="AV28" s="906" t="str">
        <f>IF(OR(C28="",N28="",T28="",V28="",X28="",AB28="",AG28="",AE28=""),"",ROUND(
IF(OR(ISNUMBER(SEARCH("Heat Recovery",C28)),ISNUMBER(SEARCH("VSD Milk Pump w/",C28))),0,
IF(ISNUMBER(SEARCH("Scroll Compressor",C28)),(AW28/2920)*0.34,
IF(ISNUMBER(SEARCH("Milk Pre-Cooler",C28)),(AW28/2920)*0.16,
V28*INDEX(PMEAGG[Savings per Unit kW],MATCH(C28,PMEAGG[Eff Desc 1],0)))
)),3))</f>
        <v/>
      </c>
      <c r="AW28" s="1019" t="str">
        <f>IF(OR(C28="",V28="",X28="",AB28="",AE28="",AG28=""),"",ROUND(
IF(ISNUMBER(SEARCH("Heat Recovery",C28)),V28*(MIN(68*101*0.93*(56.3-38)*0.55,131.7*1*8.34*(120-52.3))*365.25*(1/0.9)/3412),
IF(ISNUMBER(SEARCH("VSD Milk Pump w/",C28)),V28*((1/8)*0.93*11.7*68*101*365/1000),
IF(ISNUMBER(SEARCH("Scroll Compressor",C28)),((((1/8.4)-(1/10.6))*(0.93*30*68*101*365.25))/1000)*V28,
IF(ISNUMBER(SEARCH("Milk Pre-Cooler",C28)),V28*((30*68*101*0.93*365)/(8*1000)),
IF(ISNUMBER(SEARCH("Fan Thermostat Controller",C28)),V28*0.75*0.746*2820/0.825,
V28*INDEX(PMEAGG[Savings per Unit kWh],MATCH(C28,PMEAGG[Eff Desc 1],0))
))))),2))</f>
        <v/>
      </c>
      <c r="AX28" s="906" t="str">
        <f>IF(OR(C28="",N28="",T28="",V28="",X28="",AG28="",AE28="",AB28=""),"",INDEX(PMEAGG[End Use Category],MATCH(C28,PMEAGG[Eff Desc 1],0)))</f>
        <v/>
      </c>
      <c r="AY28" s="980"/>
      <c r="BC28" s="830" t="str">
        <f>IF(OR(N28="",T28="",C28="",V28="",X28="",AB28="",AE28="",AG28=""),"",IF(OR(ISBLANK(M02S02F26),ISBLANK(M02S02F32),ISBLANK(M02S02F46)),MEASUREBLDG,""))</f>
        <v/>
      </c>
      <c r="BE28" s="811" t="str">
        <f ca="1">IF(OR(T28="",N28="",C28="",V28="",X28="",AB28="",AE28="",AG28=""),"",IF('M01-S01'!$V$82&lt;TODAY(),0,IF(M02S02F46="Gas Only",0,IF(OR(AK28="",AK28&lt;0,AU28&lt;=AN28),0,MIN(AU28-AN28,ROUND(AN28*0.2,2))))))</f>
        <v/>
      </c>
    </row>
    <row r="29" spans="2:57">
      <c r="B29" s="834"/>
      <c r="C29" s="840"/>
      <c r="D29" s="841"/>
      <c r="E29" s="841"/>
      <c r="F29" s="841"/>
      <c r="G29" s="841"/>
      <c r="H29" s="841"/>
      <c r="I29" s="841"/>
      <c r="J29" s="841"/>
      <c r="K29" s="841"/>
      <c r="L29" s="841"/>
      <c r="M29" s="842"/>
      <c r="N29" s="917"/>
      <c r="O29" s="918"/>
      <c r="P29" s="918"/>
      <c r="Q29" s="918"/>
      <c r="R29" s="918"/>
      <c r="S29" s="919"/>
      <c r="T29" s="955"/>
      <c r="U29" s="956"/>
      <c r="V29" s="853"/>
      <c r="W29" s="854"/>
      <c r="X29" s="840"/>
      <c r="Y29" s="841"/>
      <c r="Z29" s="841"/>
      <c r="AA29" s="842"/>
      <c r="AB29" s="840"/>
      <c r="AC29" s="841"/>
      <c r="AD29" s="842"/>
      <c r="AE29" s="865"/>
      <c r="AF29" s="875"/>
      <c r="AG29" s="865"/>
      <c r="AH29" s="875"/>
      <c r="AI29" s="925"/>
      <c r="AJ29" s="870"/>
      <c r="AK29" s="912"/>
      <c r="AL29" s="913"/>
      <c r="AM29" s="942"/>
      <c r="AN29" s="960"/>
      <c r="AO29" s="961"/>
      <c r="AP29" s="961"/>
      <c r="AQ29" s="962"/>
      <c r="AU29" s="814"/>
      <c r="AV29" s="907"/>
      <c r="AW29" s="981"/>
      <c r="AX29" s="907"/>
      <c r="AY29" s="981"/>
      <c r="BC29" s="831"/>
      <c r="BE29" s="812"/>
    </row>
    <row r="30" spans="2:57">
      <c r="B30" s="834">
        <v>8</v>
      </c>
      <c r="C30" s="871"/>
      <c r="D30" s="872"/>
      <c r="E30" s="872"/>
      <c r="F30" s="872"/>
      <c r="G30" s="872"/>
      <c r="H30" s="872"/>
      <c r="I30" s="872"/>
      <c r="J30" s="872"/>
      <c r="K30" s="872"/>
      <c r="L30" s="872"/>
      <c r="M30" s="873"/>
      <c r="N30" s="920" t="str">
        <f>IFERROR(IF(C30="","",INDEX(PMEAGG[Base Desc 1],MATCH(C30,PMEAGG[Eff Desc 1],0))),"")</f>
        <v/>
      </c>
      <c r="O30" s="921"/>
      <c r="P30" s="921"/>
      <c r="Q30" s="921"/>
      <c r="R30" s="921"/>
      <c r="S30" s="922"/>
      <c r="T30" s="993" t="str">
        <f>IFERROR(IF(C30="","",INDEX(PMEAGG[Unit of Measure],MATCH(C30,PMEAGG[Eff Desc 1],0))),"")</f>
        <v/>
      </c>
      <c r="U30" s="994"/>
      <c r="V30" s="876"/>
      <c r="W30" s="877"/>
      <c r="X30" s="871"/>
      <c r="Y30" s="872"/>
      <c r="Z30" s="872"/>
      <c r="AA30" s="873"/>
      <c r="AB30" s="871"/>
      <c r="AC30" s="872"/>
      <c r="AD30" s="873"/>
      <c r="AE30" s="894"/>
      <c r="AF30" s="1073"/>
      <c r="AG30" s="894"/>
      <c r="AH30" s="1073"/>
      <c r="AI30" s="930" t="str">
        <f>IFERROR(IF(C30="","",INDEX(PMEAGG[Inc Rate Unit],MATCH(C30,PMEAGG[Eff Desc 1],0))),"")</f>
        <v/>
      </c>
      <c r="AJ30" s="868"/>
      <c r="AK30" s="910" t="str">
        <f t="shared" ref="AK30" si="18">IF(OR(C30="",V30="",X30="",AB30="",AE30="",AG30=""),"",AW30)</f>
        <v/>
      </c>
      <c r="AL30" s="911"/>
      <c r="AM30" s="975"/>
      <c r="AN30" s="957" t="str">
        <f t="shared" ref="AN30" si="19">IF(OR(C30="",V30="",X30="",AB30="",AE30="",AG30=""),"",
IF(OR(ISNUMBER(SEARCH("Heat Recovery",C30)),ISNUMBER(SEARCH("VSD Milk Pump w/",C30)),ISNUMBER(SEARCH("Scroll Compressor",C30)),ISNUMBER(SEARCH("Milk Pre-Cooler",C30))),IF(BC30&lt;&gt;"",BC30,MIN(AU30,ROUND(AI30,2))),
IF(BC30&lt;&gt;"",BC30,MIN(AU30,ROUND(V30*AI30,2)))))</f>
        <v/>
      </c>
      <c r="AO30" s="958"/>
      <c r="AP30" s="958"/>
      <c r="AQ30" s="959"/>
      <c r="AU30" s="898" t="str">
        <f t="shared" ref="AU30" si="20">IF(OR(C30="",N30="",T30="",V30="",X30="",AI30="",AE30="",AB30=""),"",IF(AK30="","",ROUND((AE30+AG30),2)))</f>
        <v/>
      </c>
      <c r="AV30" s="906" t="str">
        <f>IF(OR(C30="",N30="",T30="",V30="",X30="",AB30="",AG30="",AE30=""),"",ROUND(
IF(OR(ISNUMBER(SEARCH("Heat Recovery",C30)),ISNUMBER(SEARCH("VSD Milk Pump w/",C30))),0,
IF(ISNUMBER(SEARCH("Scroll Compressor",C30)),(AW30/2920)*0.34,
IF(ISNUMBER(SEARCH("Milk Pre-Cooler",C30)),(AW30/2920)*0.16,
V30*INDEX(PMEAGG[Savings per Unit kW],MATCH(C30,PMEAGG[Eff Desc 1],0)))
)),3))</f>
        <v/>
      </c>
      <c r="AW30" s="1019" t="str">
        <f>IF(OR(C30="",V30="",X30="",AB30="",AE30="",AG30=""),"",ROUND(
IF(ISNUMBER(SEARCH("Heat Recovery",C30)),V30*(MIN(68*101*0.93*(56.3-38)*0.55,131.7*1*8.34*(120-52.3))*365.25*(1/0.9)/3412),
IF(ISNUMBER(SEARCH("VSD Milk Pump w/",C30)),V30*((1/8)*0.93*11.7*68*101*365/1000),
IF(ISNUMBER(SEARCH("Scroll Compressor",C30)),((((1/8.4)-(1/10.6))*(0.93*30*68*101*365.25))/1000)*V30,
IF(ISNUMBER(SEARCH("Milk Pre-Cooler",C30)),V30*((30*68*101*0.93*365)/(8*1000)),
IF(ISNUMBER(SEARCH("Fan Thermostat Controller",C30)),V30*0.75*0.746*2820/0.825,
V30*INDEX(PMEAGG[Savings per Unit kWh],MATCH(C30,PMEAGG[Eff Desc 1],0))
))))),2))</f>
        <v/>
      </c>
      <c r="AX30" s="906" t="str">
        <f>IF(OR(C30="",N30="",T30="",V30="",X30="",AG30="",AE30="",AB30=""),"",INDEX(PMEAGG[End Use Category],MATCH(C30,PMEAGG[Eff Desc 1],0)))</f>
        <v/>
      </c>
      <c r="AY30" s="980"/>
      <c r="BC30" s="830" t="str">
        <f>IF(OR(N30="",T30="",C30="",V30="",X30="",AB30="",AE30="",AG30=""),"",IF(OR(ISBLANK(M02S02F26),ISBLANK(M02S02F32),ISBLANK(M02S02F46)),MEASUREBLDG,""))</f>
        <v/>
      </c>
      <c r="BE30" s="811" t="str">
        <f ca="1">IF(OR(T30="",N30="",C30="",V30="",X30="",AB30="",AE30="",AG30=""),"",IF('M01-S01'!$V$82&lt;TODAY(),0,IF(M02S02F46="Gas Only",0,IF(OR(AK30="",AK30&lt;0,AU30&lt;=AN30),0,MIN(AU30-AN30,ROUND(AN30*0.2,2))))))</f>
        <v/>
      </c>
    </row>
    <row r="31" spans="2:57">
      <c r="B31" s="834"/>
      <c r="C31" s="840"/>
      <c r="D31" s="841"/>
      <c r="E31" s="841"/>
      <c r="F31" s="841"/>
      <c r="G31" s="841"/>
      <c r="H31" s="841"/>
      <c r="I31" s="841"/>
      <c r="J31" s="841"/>
      <c r="K31" s="841"/>
      <c r="L31" s="841"/>
      <c r="M31" s="842"/>
      <c r="N31" s="917"/>
      <c r="O31" s="918"/>
      <c r="P31" s="918"/>
      <c r="Q31" s="918"/>
      <c r="R31" s="918"/>
      <c r="S31" s="919"/>
      <c r="T31" s="955"/>
      <c r="U31" s="956"/>
      <c r="V31" s="853"/>
      <c r="W31" s="854"/>
      <c r="X31" s="840"/>
      <c r="Y31" s="841"/>
      <c r="Z31" s="841"/>
      <c r="AA31" s="842"/>
      <c r="AB31" s="840"/>
      <c r="AC31" s="841"/>
      <c r="AD31" s="842"/>
      <c r="AE31" s="865"/>
      <c r="AF31" s="875"/>
      <c r="AG31" s="865"/>
      <c r="AH31" s="875"/>
      <c r="AI31" s="925"/>
      <c r="AJ31" s="870"/>
      <c r="AK31" s="912"/>
      <c r="AL31" s="913"/>
      <c r="AM31" s="942"/>
      <c r="AN31" s="960"/>
      <c r="AO31" s="961"/>
      <c r="AP31" s="961"/>
      <c r="AQ31" s="962"/>
      <c r="AU31" s="814"/>
      <c r="AV31" s="907"/>
      <c r="AW31" s="981"/>
      <c r="AX31" s="907"/>
      <c r="AY31" s="981"/>
      <c r="BC31" s="831"/>
      <c r="BE31" s="812"/>
    </row>
    <row r="32" spans="2:57">
      <c r="B32" s="834">
        <v>9</v>
      </c>
      <c r="C32" s="871"/>
      <c r="D32" s="872"/>
      <c r="E32" s="872"/>
      <c r="F32" s="872"/>
      <c r="G32" s="872"/>
      <c r="H32" s="872"/>
      <c r="I32" s="872"/>
      <c r="J32" s="872"/>
      <c r="K32" s="872"/>
      <c r="L32" s="872"/>
      <c r="M32" s="873"/>
      <c r="N32" s="920" t="str">
        <f>IFERROR(IF(C32="","",INDEX(PMEAGG[Base Desc 1],MATCH(C32,PMEAGG[Eff Desc 1],0))),"")</f>
        <v/>
      </c>
      <c r="O32" s="921"/>
      <c r="P32" s="921"/>
      <c r="Q32" s="921"/>
      <c r="R32" s="921"/>
      <c r="S32" s="922"/>
      <c r="T32" s="993" t="str">
        <f>IFERROR(IF(C32="","",INDEX(PMEAGG[Unit of Measure],MATCH(C32,PMEAGG[Eff Desc 1],0))),"")</f>
        <v/>
      </c>
      <c r="U32" s="994"/>
      <c r="V32" s="876"/>
      <c r="W32" s="877"/>
      <c r="X32" s="871"/>
      <c r="Y32" s="872"/>
      <c r="Z32" s="872"/>
      <c r="AA32" s="873"/>
      <c r="AB32" s="871"/>
      <c r="AC32" s="872"/>
      <c r="AD32" s="873"/>
      <c r="AE32" s="894"/>
      <c r="AF32" s="1073"/>
      <c r="AG32" s="894"/>
      <c r="AH32" s="1073"/>
      <c r="AI32" s="930" t="str">
        <f>IFERROR(IF(C32="","",INDEX(PMEAGG[Inc Rate Unit],MATCH(C32,PMEAGG[Eff Desc 1],0))),"")</f>
        <v/>
      </c>
      <c r="AJ32" s="868"/>
      <c r="AK32" s="910" t="str">
        <f t="shared" ref="AK32" si="21">IF(OR(C32="",V32="",X32="",AB32="",AE32="",AG32=""),"",AW32)</f>
        <v/>
      </c>
      <c r="AL32" s="911"/>
      <c r="AM32" s="975"/>
      <c r="AN32" s="957" t="str">
        <f t="shared" ref="AN32" si="22">IF(OR(C32="",V32="",X32="",AB32="",AE32="",AG32=""),"",
IF(OR(ISNUMBER(SEARCH("Heat Recovery",C32)),ISNUMBER(SEARCH("VSD Milk Pump w/",C32)),ISNUMBER(SEARCH("Scroll Compressor",C32)),ISNUMBER(SEARCH("Milk Pre-Cooler",C32))),IF(BC32&lt;&gt;"",BC32,MIN(AU32,ROUND(AI32,2))),
IF(BC32&lt;&gt;"",BC32,MIN(AU32,ROUND(V32*AI32,2)))))</f>
        <v/>
      </c>
      <c r="AO32" s="958"/>
      <c r="AP32" s="958"/>
      <c r="AQ32" s="959"/>
      <c r="AU32" s="898" t="str">
        <f t="shared" ref="AU32" si="23">IF(OR(C32="",N32="",T32="",V32="",X32="",AI32="",AE32="",AB32=""),"",IF(AK32="","",ROUND((AE32+AG32),2)))</f>
        <v/>
      </c>
      <c r="AV32" s="906" t="str">
        <f>IF(OR(C32="",N32="",T32="",V32="",X32="",AB32="",AG32="",AE32=""),"",ROUND(
IF(OR(ISNUMBER(SEARCH("Heat Recovery",C32)),ISNUMBER(SEARCH("VSD Milk Pump w/",C32))),0,
IF(ISNUMBER(SEARCH("Scroll Compressor",C32)),(AW32/2920)*0.34,
IF(ISNUMBER(SEARCH("Milk Pre-Cooler",C32)),(AW32/2920)*0.16,
V32*INDEX(PMEAGG[Savings per Unit kW],MATCH(C32,PMEAGG[Eff Desc 1],0)))
)),3))</f>
        <v/>
      </c>
      <c r="AW32" s="1019" t="str">
        <f>IF(OR(C32="",V32="",X32="",AB32="",AE32="",AG32=""),"",ROUND(
IF(ISNUMBER(SEARCH("Heat Recovery",C32)),V32*(MIN(68*101*0.93*(56.3-38)*0.55,131.7*1*8.34*(120-52.3))*365.25*(1/0.9)/3412),
IF(ISNUMBER(SEARCH("VSD Milk Pump w/",C32)),V32*((1/8)*0.93*11.7*68*101*365/1000),
IF(ISNUMBER(SEARCH("Scroll Compressor",C32)),((((1/8.4)-(1/10.6))*(0.93*30*68*101*365.25))/1000)*V32,
IF(ISNUMBER(SEARCH("Milk Pre-Cooler",C32)),V32*((30*68*101*0.93*365)/(8*1000)),
IF(ISNUMBER(SEARCH("Fan Thermostat Controller",C32)),V32*0.75*0.746*2820/0.825,
V32*INDEX(PMEAGG[Savings per Unit kWh],MATCH(C32,PMEAGG[Eff Desc 1],0))
))))),2))</f>
        <v/>
      </c>
      <c r="AX32" s="906" t="str">
        <f>IF(OR(C32="",N32="",T32="",V32="",X32="",AG32="",AE32="",AB32=""),"",INDEX(PMEAGG[End Use Category],MATCH(C32,PMEAGG[Eff Desc 1],0)))</f>
        <v/>
      </c>
      <c r="AY32" s="980"/>
      <c r="BC32" s="830" t="str">
        <f>IF(OR(N32="",T32="",C32="",V32="",X32="",AB32="",AE32="",AG32=""),"",IF(OR(ISBLANK(M02S02F26),ISBLANK(M02S02F32),ISBLANK(M02S02F46)),MEASUREBLDG,""))</f>
        <v/>
      </c>
      <c r="BE32" s="811" t="str">
        <f ca="1">IF(OR(T32="",N32="",C32="",V32="",X32="",AB32="",AE32="",AG32=""),"",IF('M01-S01'!$V$82&lt;TODAY(),0,IF(M02S02F46="Gas Only",0,IF(OR(AK32="",AK32&lt;0,AU32&lt;=AN32),0,MIN(AU32-AN32,ROUND(AN32*0.2,2))))))</f>
        <v/>
      </c>
    </row>
    <row r="33" spans="2:57">
      <c r="B33" s="834"/>
      <c r="C33" s="840"/>
      <c r="D33" s="841"/>
      <c r="E33" s="841"/>
      <c r="F33" s="841"/>
      <c r="G33" s="841"/>
      <c r="H33" s="841"/>
      <c r="I33" s="841"/>
      <c r="J33" s="841"/>
      <c r="K33" s="841"/>
      <c r="L33" s="841"/>
      <c r="M33" s="842"/>
      <c r="N33" s="917"/>
      <c r="O33" s="918"/>
      <c r="P33" s="918"/>
      <c r="Q33" s="918"/>
      <c r="R33" s="918"/>
      <c r="S33" s="919"/>
      <c r="T33" s="955"/>
      <c r="U33" s="956"/>
      <c r="V33" s="853"/>
      <c r="W33" s="854"/>
      <c r="X33" s="840"/>
      <c r="Y33" s="841"/>
      <c r="Z33" s="841"/>
      <c r="AA33" s="842"/>
      <c r="AB33" s="840"/>
      <c r="AC33" s="841"/>
      <c r="AD33" s="842"/>
      <c r="AE33" s="865"/>
      <c r="AF33" s="875"/>
      <c r="AG33" s="865"/>
      <c r="AH33" s="875"/>
      <c r="AI33" s="925"/>
      <c r="AJ33" s="870"/>
      <c r="AK33" s="912"/>
      <c r="AL33" s="913"/>
      <c r="AM33" s="942"/>
      <c r="AN33" s="960"/>
      <c r="AO33" s="961"/>
      <c r="AP33" s="961"/>
      <c r="AQ33" s="962"/>
      <c r="AU33" s="814"/>
      <c r="AV33" s="907"/>
      <c r="AW33" s="981"/>
      <c r="AX33" s="907"/>
      <c r="AY33" s="981"/>
      <c r="BC33" s="831"/>
      <c r="BE33" s="812"/>
    </row>
    <row r="34" spans="2:57">
      <c r="B34" s="834">
        <v>10</v>
      </c>
      <c r="C34" s="871"/>
      <c r="D34" s="872"/>
      <c r="E34" s="872"/>
      <c r="F34" s="872"/>
      <c r="G34" s="872"/>
      <c r="H34" s="872"/>
      <c r="I34" s="872"/>
      <c r="J34" s="872"/>
      <c r="K34" s="872"/>
      <c r="L34" s="872"/>
      <c r="M34" s="873"/>
      <c r="N34" s="920" t="str">
        <f>IFERROR(IF(C34="","",INDEX(PMEAGG[Base Desc 1],MATCH(C34,PMEAGG[Eff Desc 1],0))),"")</f>
        <v/>
      </c>
      <c r="O34" s="921"/>
      <c r="P34" s="921"/>
      <c r="Q34" s="921"/>
      <c r="R34" s="921"/>
      <c r="S34" s="922"/>
      <c r="T34" s="993" t="str">
        <f>IFERROR(IF(C34="","",INDEX(PMEAGG[Unit of Measure],MATCH(C34,PMEAGG[Eff Desc 1],0))),"")</f>
        <v/>
      </c>
      <c r="U34" s="994"/>
      <c r="V34" s="876"/>
      <c r="W34" s="877"/>
      <c r="X34" s="871"/>
      <c r="Y34" s="872"/>
      <c r="Z34" s="872"/>
      <c r="AA34" s="873"/>
      <c r="AB34" s="871"/>
      <c r="AC34" s="872"/>
      <c r="AD34" s="873"/>
      <c r="AE34" s="894"/>
      <c r="AF34" s="1073"/>
      <c r="AG34" s="894"/>
      <c r="AH34" s="1073"/>
      <c r="AI34" s="930" t="str">
        <f>IFERROR(IF(C34="","",INDEX(PMEAGG[Inc Rate Unit],MATCH(C34,PMEAGG[Eff Desc 1],0))),"")</f>
        <v/>
      </c>
      <c r="AJ34" s="868"/>
      <c r="AK34" s="910" t="str">
        <f t="shared" ref="AK34" si="24">IF(OR(C34="",V34="",X34="",AB34="",AE34="",AG34=""),"",AW34)</f>
        <v/>
      </c>
      <c r="AL34" s="911"/>
      <c r="AM34" s="975"/>
      <c r="AN34" s="957" t="str">
        <f t="shared" ref="AN34" si="25">IF(OR(C34="",V34="",X34="",AB34="",AE34="",AG34=""),"",
IF(OR(ISNUMBER(SEARCH("Heat Recovery",C34)),ISNUMBER(SEARCH("VSD Milk Pump w/",C34)),ISNUMBER(SEARCH("Scroll Compressor",C34)),ISNUMBER(SEARCH("Milk Pre-Cooler",C34))),IF(BC34&lt;&gt;"",BC34,MIN(AU34,ROUND(AI34,2))),
IF(BC34&lt;&gt;"",BC34,MIN(AU34,ROUND(V34*AI34,2)))))</f>
        <v/>
      </c>
      <c r="AO34" s="958"/>
      <c r="AP34" s="958"/>
      <c r="AQ34" s="959"/>
      <c r="AU34" s="898" t="str">
        <f t="shared" ref="AU34" si="26">IF(OR(C34="",N34="",T34="",V34="",X34="",AI34="",AE34="",AB34=""),"",IF(AK34="","",ROUND((AE34+AG34),2)))</f>
        <v/>
      </c>
      <c r="AV34" s="906" t="str">
        <f>IF(OR(C34="",N34="",T34="",V34="",X34="",AB34="",AG34="",AE34=""),"",ROUND(
IF(OR(ISNUMBER(SEARCH("Heat Recovery",C34)),ISNUMBER(SEARCH("VSD Milk Pump w/",C34))),0,
IF(ISNUMBER(SEARCH("Scroll Compressor",C34)),(AW34/2920)*0.34,
IF(ISNUMBER(SEARCH("Milk Pre-Cooler",C34)),(AW34/2920)*0.16,
V34*INDEX(PMEAGG[Savings per Unit kW],MATCH(C34,PMEAGG[Eff Desc 1],0)))
)),3))</f>
        <v/>
      </c>
      <c r="AW34" s="1019" t="str">
        <f>IF(OR(C34="",V34="",X34="",AB34="",AE34="",AG34=""),"",ROUND(
IF(ISNUMBER(SEARCH("Heat Recovery",C34)),V34*(MIN(68*101*0.93*(56.3-38)*0.55,131.7*1*8.34*(120-52.3))*365.25*(1/0.9)/3412),
IF(ISNUMBER(SEARCH("VSD Milk Pump w/",C34)),V34*((1/8)*0.93*11.7*68*101*365/1000),
IF(ISNUMBER(SEARCH("Scroll Compressor",C34)),((((1/8.4)-(1/10.6))*(0.93*30*68*101*365.25))/1000)*V34,
IF(ISNUMBER(SEARCH("Milk Pre-Cooler",C34)),V34*((30*68*101*0.93*365)/(8*1000)),
IF(ISNUMBER(SEARCH("Fan Thermostat Controller",C34)),V34*0.75*0.746*2820/0.825,
V34*INDEX(PMEAGG[Savings per Unit kWh],MATCH(C34,PMEAGG[Eff Desc 1],0))
))))),2))</f>
        <v/>
      </c>
      <c r="AX34" s="906" t="str">
        <f>IF(OR(C34="",N34="",T34="",V34="",X34="",AG34="",AE34="",AB34=""),"",INDEX(PMEAGG[End Use Category],MATCH(C34,PMEAGG[Eff Desc 1],0)))</f>
        <v/>
      </c>
      <c r="AY34" s="980"/>
      <c r="BC34" s="830" t="str">
        <f>IF(OR(N34="",T34="",C34="",V34="",X34="",AB34="",AE34="",AG34=""),"",IF(OR(ISBLANK(M02S02F26),ISBLANK(M02S02F32),ISBLANK(M02S02F46)),MEASUREBLDG,""))</f>
        <v/>
      </c>
      <c r="BE34" s="811" t="str">
        <f ca="1">IF(OR(T34="",N34="",C34="",V34="",X34="",AB34="",AE34="",AG34=""),"",IF('M01-S01'!$V$82&lt;TODAY(),0,IF(M02S02F46="Gas Only",0,IF(OR(AK34="",AK34&lt;0,AU34&lt;=AN34),0,MIN(AU34-AN34,ROUND(AN34*0.2,2))))))</f>
        <v/>
      </c>
    </row>
    <row r="35" spans="2:57">
      <c r="B35" s="834"/>
      <c r="C35" s="840"/>
      <c r="D35" s="841"/>
      <c r="E35" s="841"/>
      <c r="F35" s="841"/>
      <c r="G35" s="841"/>
      <c r="H35" s="841"/>
      <c r="I35" s="841"/>
      <c r="J35" s="841"/>
      <c r="K35" s="841"/>
      <c r="L35" s="841"/>
      <c r="M35" s="842"/>
      <c r="N35" s="917"/>
      <c r="O35" s="918"/>
      <c r="P35" s="918"/>
      <c r="Q35" s="918"/>
      <c r="R35" s="918"/>
      <c r="S35" s="919"/>
      <c r="T35" s="955"/>
      <c r="U35" s="956"/>
      <c r="V35" s="853"/>
      <c r="W35" s="854"/>
      <c r="X35" s="840"/>
      <c r="Y35" s="841"/>
      <c r="Z35" s="841"/>
      <c r="AA35" s="842"/>
      <c r="AB35" s="840"/>
      <c r="AC35" s="841"/>
      <c r="AD35" s="842"/>
      <c r="AE35" s="865"/>
      <c r="AF35" s="875"/>
      <c r="AG35" s="865"/>
      <c r="AH35" s="875"/>
      <c r="AI35" s="925"/>
      <c r="AJ35" s="870"/>
      <c r="AK35" s="912"/>
      <c r="AL35" s="913"/>
      <c r="AM35" s="942"/>
      <c r="AN35" s="960"/>
      <c r="AO35" s="961"/>
      <c r="AP35" s="961"/>
      <c r="AQ35" s="962"/>
      <c r="AU35" s="814"/>
      <c r="AV35" s="907"/>
      <c r="AW35" s="981"/>
      <c r="AX35" s="907"/>
      <c r="AY35" s="981"/>
      <c r="BC35" s="831"/>
      <c r="BE35" s="812"/>
    </row>
    <row r="36" spans="2:57" ht="15" customHeight="1">
      <c r="B36" s="834">
        <v>11</v>
      </c>
      <c r="C36" s="871"/>
      <c r="D36" s="872"/>
      <c r="E36" s="872"/>
      <c r="F36" s="872"/>
      <c r="G36" s="872"/>
      <c r="H36" s="872"/>
      <c r="I36" s="872"/>
      <c r="J36" s="872"/>
      <c r="K36" s="872"/>
      <c r="L36" s="872"/>
      <c r="M36" s="873"/>
      <c r="N36" s="920" t="str">
        <f>IFERROR(IF(C36="","",INDEX(PMEAGG[Base Desc 1],MATCH(C36,PMEAGG[Eff Desc 1],0))),"")</f>
        <v/>
      </c>
      <c r="O36" s="921"/>
      <c r="P36" s="921"/>
      <c r="Q36" s="921"/>
      <c r="R36" s="921"/>
      <c r="S36" s="922"/>
      <c r="T36" s="993" t="str">
        <f>IFERROR(IF(C36="","",INDEX(PMEAGG[Unit of Measure],MATCH(C36,PMEAGG[Eff Desc 1],0))),"")</f>
        <v/>
      </c>
      <c r="U36" s="994"/>
      <c r="V36" s="876"/>
      <c r="W36" s="877"/>
      <c r="X36" s="871"/>
      <c r="Y36" s="872"/>
      <c r="Z36" s="872"/>
      <c r="AA36" s="873"/>
      <c r="AB36" s="871"/>
      <c r="AC36" s="872"/>
      <c r="AD36" s="873"/>
      <c r="AE36" s="894"/>
      <c r="AF36" s="1073"/>
      <c r="AG36" s="894"/>
      <c r="AH36" s="1073"/>
      <c r="AI36" s="930" t="str">
        <f>IFERROR(IF(C36="","",INDEX(PMEAGG[Inc Rate Unit],MATCH(C36,PMEAGG[Eff Desc 1],0))),"")</f>
        <v/>
      </c>
      <c r="AJ36" s="868"/>
      <c r="AK36" s="910" t="str">
        <f t="shared" ref="AK36" si="27">IF(OR(C36="",V36="",X36="",AB36="",AE36="",AG36=""),"",AW36)</f>
        <v/>
      </c>
      <c r="AL36" s="911"/>
      <c r="AM36" s="975"/>
      <c r="AN36" s="957" t="str">
        <f t="shared" ref="AN36" si="28">IF(OR(C36="",V36="",X36="",AB36="",AE36="",AG36=""),"",
IF(OR(ISNUMBER(SEARCH("Heat Recovery",C36)),ISNUMBER(SEARCH("VSD Milk Pump w/",C36)),ISNUMBER(SEARCH("Scroll Compressor",C36)),ISNUMBER(SEARCH("Milk Pre-Cooler",C36))),IF(BC36&lt;&gt;"",BC36,MIN(AU36,ROUND(AI36,2))),
IF(BC36&lt;&gt;"",BC36,MIN(AU36,ROUND(V36*AI36,2)))))</f>
        <v/>
      </c>
      <c r="AO36" s="958"/>
      <c r="AP36" s="958"/>
      <c r="AQ36" s="959"/>
      <c r="AU36" s="898" t="str">
        <f t="shared" ref="AU36" si="29">IF(OR(C36="",N36="",T36="",V36="",X36="",AI36="",AE36="",AB36=""),"",IF(AK36="","",ROUND((AE36+AG36),2)))</f>
        <v/>
      </c>
      <c r="AV36" s="906" t="str">
        <f>IF(OR(C36="",N36="",T36="",V36="",X36="",AB36="",AG36="",AE36=""),"",ROUND(
IF(OR(ISNUMBER(SEARCH("Heat Recovery",C36)),ISNUMBER(SEARCH("VSD Milk Pump w/",C36))),0,
IF(ISNUMBER(SEARCH("Scroll Compressor",C36)),(AW36/2920)*0.34,
IF(ISNUMBER(SEARCH("Milk Pre-Cooler",C36)),(AW36/2920)*0.16,
V36*INDEX(PMEAGG[Savings per Unit kW],MATCH(C36,PMEAGG[Eff Desc 1],0)))
)),3))</f>
        <v/>
      </c>
      <c r="AW36" s="1019" t="str">
        <f>IF(OR(C36="",V36="",X36="",AB36="",AE36="",AG36=""),"",ROUND(
IF(ISNUMBER(SEARCH("Heat Recovery",C36)),V36*(MIN(68*101*0.93*(56.3-38)*0.55,131.7*1*8.34*(120-52.3))*365.25*(1/0.9)/3412),
IF(ISNUMBER(SEARCH("VSD Milk Pump w/",C36)),V36*((1/8)*0.93*11.7*68*101*365/1000),
IF(ISNUMBER(SEARCH("Scroll Compressor",C36)),((((1/8.4)-(1/10.6))*(0.93*30*68*101*365.25))/1000)*V36,
IF(ISNUMBER(SEARCH("Milk Pre-Cooler",C36)),V36*((30*68*101*0.93*365)/(8*1000)),
IF(ISNUMBER(SEARCH("Fan Thermostat Controller",C36)),V36*0.75*0.746*2820/0.825,
V36*INDEX(PMEAGG[Savings per Unit kWh],MATCH(C36,PMEAGG[Eff Desc 1],0))
))))),2))</f>
        <v/>
      </c>
      <c r="AX36" s="906" t="str">
        <f>IF(OR(C36="",N36="",T36="",V36="",X36="",AG36="",AE36="",AB36=""),"",INDEX(PMEAGG[End Use Category],MATCH(C36,PMEAGG[Eff Desc 1],0)))</f>
        <v/>
      </c>
      <c r="AY36" s="980"/>
      <c r="BC36" s="830" t="str">
        <f>IF(OR(N36="",T36="",C36="",V36="",X36="",AB36="",AE36="",AG36=""),"",IF(OR(ISBLANK(M02S02F26),ISBLANK(M02S02F32),ISBLANK(M02S02F46)),MEASUREBLDG,""))</f>
        <v/>
      </c>
      <c r="BE36" s="811" t="str">
        <f ca="1">IF(OR(T36="",N36="",C36="",V36="",X36="",AB36="",AE36="",AG36=""),"",IF('M01-S01'!$V$82&lt;TODAY(),0,IF(M02S02F46="Gas Only",0,IF(OR(AK36="",AK36&lt;0,AU36&lt;=AN36),0,MIN(AU36-AN36,ROUND(AN36*0.2,2))))))</f>
        <v/>
      </c>
    </row>
    <row r="37" spans="2:57">
      <c r="B37" s="834"/>
      <c r="C37" s="840"/>
      <c r="D37" s="841"/>
      <c r="E37" s="841"/>
      <c r="F37" s="841"/>
      <c r="G37" s="841"/>
      <c r="H37" s="841"/>
      <c r="I37" s="841"/>
      <c r="J37" s="841"/>
      <c r="K37" s="841"/>
      <c r="L37" s="841"/>
      <c r="M37" s="842"/>
      <c r="N37" s="917"/>
      <c r="O37" s="918"/>
      <c r="P37" s="918"/>
      <c r="Q37" s="918"/>
      <c r="R37" s="918"/>
      <c r="S37" s="919"/>
      <c r="T37" s="955"/>
      <c r="U37" s="956"/>
      <c r="V37" s="853"/>
      <c r="W37" s="854"/>
      <c r="X37" s="840"/>
      <c r="Y37" s="841"/>
      <c r="Z37" s="841"/>
      <c r="AA37" s="842"/>
      <c r="AB37" s="840"/>
      <c r="AC37" s="841"/>
      <c r="AD37" s="842"/>
      <c r="AE37" s="865"/>
      <c r="AF37" s="875"/>
      <c r="AG37" s="865"/>
      <c r="AH37" s="875"/>
      <c r="AI37" s="925"/>
      <c r="AJ37" s="870"/>
      <c r="AK37" s="912"/>
      <c r="AL37" s="913"/>
      <c r="AM37" s="942"/>
      <c r="AN37" s="960"/>
      <c r="AO37" s="961"/>
      <c r="AP37" s="961"/>
      <c r="AQ37" s="962"/>
      <c r="AU37" s="814"/>
      <c r="AV37" s="907"/>
      <c r="AW37" s="981"/>
      <c r="AX37" s="907"/>
      <c r="AY37" s="981"/>
      <c r="BC37" s="831"/>
      <c r="BE37" s="812"/>
    </row>
    <row r="38" spans="2:57">
      <c r="B38" s="834">
        <v>12</v>
      </c>
      <c r="C38" s="871"/>
      <c r="D38" s="872"/>
      <c r="E38" s="872"/>
      <c r="F38" s="872"/>
      <c r="G38" s="872"/>
      <c r="H38" s="872"/>
      <c r="I38" s="872"/>
      <c r="J38" s="872"/>
      <c r="K38" s="872"/>
      <c r="L38" s="872"/>
      <c r="M38" s="873"/>
      <c r="N38" s="920" t="str">
        <f>IFERROR(IF(C38="","",INDEX(PMEAGG[Base Desc 1],MATCH(C38,PMEAGG[Eff Desc 1],0))),"")</f>
        <v/>
      </c>
      <c r="O38" s="921"/>
      <c r="P38" s="921"/>
      <c r="Q38" s="921"/>
      <c r="R38" s="921"/>
      <c r="S38" s="922"/>
      <c r="T38" s="993" t="str">
        <f>IFERROR(IF(C38="","",INDEX(PMEAGG[Unit of Measure],MATCH(C38,PMEAGG[Eff Desc 1],0))),"")</f>
        <v/>
      </c>
      <c r="U38" s="994"/>
      <c r="V38" s="876"/>
      <c r="W38" s="877"/>
      <c r="X38" s="871"/>
      <c r="Y38" s="872"/>
      <c r="Z38" s="872"/>
      <c r="AA38" s="873"/>
      <c r="AB38" s="871"/>
      <c r="AC38" s="872"/>
      <c r="AD38" s="873"/>
      <c r="AE38" s="894"/>
      <c r="AF38" s="1073"/>
      <c r="AG38" s="894"/>
      <c r="AH38" s="1073"/>
      <c r="AI38" s="930" t="str">
        <f>IFERROR(IF(C38="","",INDEX(PMEAGG[Inc Rate Unit],MATCH(C38,PMEAGG[Eff Desc 1],0))),"")</f>
        <v/>
      </c>
      <c r="AJ38" s="868"/>
      <c r="AK38" s="910" t="str">
        <f t="shared" ref="AK38" si="30">IF(OR(C38="",V38="",X38="",AB38="",AE38="",AG38=""),"",AW38)</f>
        <v/>
      </c>
      <c r="AL38" s="911"/>
      <c r="AM38" s="975"/>
      <c r="AN38" s="957" t="str">
        <f t="shared" ref="AN38" si="31">IF(OR(C38="",V38="",X38="",AB38="",AE38="",AG38=""),"",
IF(OR(ISNUMBER(SEARCH("Heat Recovery",C38)),ISNUMBER(SEARCH("VSD Milk Pump w/",C38)),ISNUMBER(SEARCH("Scroll Compressor",C38)),ISNUMBER(SEARCH("Milk Pre-Cooler",C38))),IF(BC38&lt;&gt;"",BC38,MIN(AU38,ROUND(AI38,2))),
IF(BC38&lt;&gt;"",BC38,MIN(AU38,ROUND(V38*AI38,2)))))</f>
        <v/>
      </c>
      <c r="AO38" s="958"/>
      <c r="AP38" s="958"/>
      <c r="AQ38" s="959"/>
      <c r="AU38" s="898" t="str">
        <f t="shared" ref="AU38" si="32">IF(OR(C38="",N38="",T38="",V38="",X38="",AI38="",AE38="",AB38=""),"",IF(AK38="","",ROUND((AE38+AG38),2)))</f>
        <v/>
      </c>
      <c r="AV38" s="906" t="str">
        <f>IF(OR(C38="",N38="",T38="",V38="",X38="",AB38="",AG38="",AE38=""),"",ROUND(
IF(OR(ISNUMBER(SEARCH("Heat Recovery",C38)),ISNUMBER(SEARCH("VSD Milk Pump w/",C38))),0,
IF(ISNUMBER(SEARCH("Scroll Compressor",C38)),(AW38/2920)*0.34,
IF(ISNUMBER(SEARCH("Milk Pre-Cooler",C38)),(AW38/2920)*0.16,
V38*INDEX(PMEAGG[Savings per Unit kW],MATCH(C38,PMEAGG[Eff Desc 1],0)))
)),3))</f>
        <v/>
      </c>
      <c r="AW38" s="1019" t="str">
        <f>IF(OR(C38="",V38="",X38="",AB38="",AE38="",AG38=""),"",ROUND(
IF(ISNUMBER(SEARCH("Heat Recovery",C38)),V38*(MIN(68*101*0.93*(56.3-38)*0.55,131.7*1*8.34*(120-52.3))*365.25*(1/0.9)/3412),
IF(ISNUMBER(SEARCH("VSD Milk Pump w/",C38)),V38*((1/8)*0.93*11.7*68*101*365/1000),
IF(ISNUMBER(SEARCH("Scroll Compressor",C38)),((((1/8.4)-(1/10.6))*(0.93*30*68*101*365.25))/1000)*V38,
IF(ISNUMBER(SEARCH("Milk Pre-Cooler",C38)),V38*((30*68*101*0.93*365)/(8*1000)),
IF(ISNUMBER(SEARCH("Fan Thermostat Controller",C38)),V38*0.75*0.746*2820/0.825,
V38*INDEX(PMEAGG[Savings per Unit kWh],MATCH(C38,PMEAGG[Eff Desc 1],0))
))))),2))</f>
        <v/>
      </c>
      <c r="AX38" s="906" t="str">
        <f>IF(OR(C38="",N38="",T38="",V38="",X38="",AG38="",AE38="",AB38=""),"",INDEX(PMEAGG[End Use Category],MATCH(C38,PMEAGG[Eff Desc 1],0)))</f>
        <v/>
      </c>
      <c r="AY38" s="980"/>
      <c r="BC38" s="830" t="str">
        <f>IF(OR(N38="",T38="",C38="",V38="",X38="",AB38="",AE38="",AG38=""),"",IF(OR(ISBLANK(M02S02F26),ISBLANK(M02S02F32),ISBLANK(M02S02F46)),MEASUREBLDG,""))</f>
        <v/>
      </c>
      <c r="BE38" s="811" t="str">
        <f ca="1">IF(OR(T38="",N38="",C38="",V38="",X38="",AB38="",AE38="",AG38=""),"",IF('M01-S01'!$V$82&lt;TODAY(),0,IF(M02S02F46="Gas Only",0,IF(OR(AK38="",AK38&lt;0,AU38&lt;=AN38),0,MIN(AU38-AN38,ROUND(AN38*0.2,2))))))</f>
        <v/>
      </c>
    </row>
    <row r="39" spans="2:57">
      <c r="B39" s="834"/>
      <c r="C39" s="840"/>
      <c r="D39" s="841"/>
      <c r="E39" s="841"/>
      <c r="F39" s="841"/>
      <c r="G39" s="841"/>
      <c r="H39" s="841"/>
      <c r="I39" s="841"/>
      <c r="J39" s="841"/>
      <c r="K39" s="841"/>
      <c r="L39" s="841"/>
      <c r="M39" s="842"/>
      <c r="N39" s="917"/>
      <c r="O39" s="918"/>
      <c r="P39" s="918"/>
      <c r="Q39" s="918"/>
      <c r="R39" s="918"/>
      <c r="S39" s="919"/>
      <c r="T39" s="955"/>
      <c r="U39" s="956"/>
      <c r="V39" s="853"/>
      <c r="W39" s="854"/>
      <c r="X39" s="840"/>
      <c r="Y39" s="841"/>
      <c r="Z39" s="841"/>
      <c r="AA39" s="842"/>
      <c r="AB39" s="840"/>
      <c r="AC39" s="841"/>
      <c r="AD39" s="842"/>
      <c r="AE39" s="865"/>
      <c r="AF39" s="875"/>
      <c r="AG39" s="865"/>
      <c r="AH39" s="875"/>
      <c r="AI39" s="925"/>
      <c r="AJ39" s="870"/>
      <c r="AK39" s="912"/>
      <c r="AL39" s="913"/>
      <c r="AM39" s="942"/>
      <c r="AN39" s="960"/>
      <c r="AO39" s="961"/>
      <c r="AP39" s="961"/>
      <c r="AQ39" s="962"/>
      <c r="AU39" s="814"/>
      <c r="AV39" s="907"/>
      <c r="AW39" s="981"/>
      <c r="AX39" s="907"/>
      <c r="AY39" s="981"/>
      <c r="BC39" s="831"/>
      <c r="BE39" s="812"/>
    </row>
    <row r="40" spans="2:57">
      <c r="B40" s="834">
        <v>13</v>
      </c>
      <c r="C40" s="871"/>
      <c r="D40" s="872"/>
      <c r="E40" s="872"/>
      <c r="F40" s="872"/>
      <c r="G40" s="872"/>
      <c r="H40" s="872"/>
      <c r="I40" s="872"/>
      <c r="J40" s="872"/>
      <c r="K40" s="872"/>
      <c r="L40" s="872"/>
      <c r="M40" s="873"/>
      <c r="N40" s="920" t="str">
        <f>IFERROR(IF(C40="","",INDEX(PMEAGG[Base Desc 1],MATCH(C40,PMEAGG[Eff Desc 1],0))),"")</f>
        <v/>
      </c>
      <c r="O40" s="921"/>
      <c r="P40" s="921"/>
      <c r="Q40" s="921"/>
      <c r="R40" s="921"/>
      <c r="S40" s="922"/>
      <c r="T40" s="993" t="str">
        <f>IFERROR(IF(C40="","",INDEX(PMEAGG[Unit of Measure],MATCH(C40,PMEAGG[Eff Desc 1],0))),"")</f>
        <v/>
      </c>
      <c r="U40" s="994"/>
      <c r="V40" s="876"/>
      <c r="W40" s="877"/>
      <c r="X40" s="871"/>
      <c r="Y40" s="872"/>
      <c r="Z40" s="872"/>
      <c r="AA40" s="873"/>
      <c r="AB40" s="871"/>
      <c r="AC40" s="872"/>
      <c r="AD40" s="873"/>
      <c r="AE40" s="894"/>
      <c r="AF40" s="1073"/>
      <c r="AG40" s="894"/>
      <c r="AH40" s="1073"/>
      <c r="AI40" s="930" t="str">
        <f>IFERROR(IF(C40="","",INDEX(PMEAGG[Inc Rate Unit],MATCH(C40,PMEAGG[Eff Desc 1],0))),"")</f>
        <v/>
      </c>
      <c r="AJ40" s="868"/>
      <c r="AK40" s="910" t="str">
        <f t="shared" ref="AK40" si="33">IF(OR(C40="",V40="",X40="",AB40="",AE40="",AG40=""),"",AW40)</f>
        <v/>
      </c>
      <c r="AL40" s="911"/>
      <c r="AM40" s="975"/>
      <c r="AN40" s="957" t="str">
        <f t="shared" ref="AN40" si="34">IF(OR(C40="",V40="",X40="",AB40="",AE40="",AG40=""),"",
IF(OR(ISNUMBER(SEARCH("Heat Recovery",C40)),ISNUMBER(SEARCH("VSD Milk Pump w/",C40)),ISNUMBER(SEARCH("Scroll Compressor",C40)),ISNUMBER(SEARCH("Milk Pre-Cooler",C40))),IF(BC40&lt;&gt;"",BC40,MIN(AU40,ROUND(AI40,2))),
IF(BC40&lt;&gt;"",BC40,MIN(AU40,ROUND(V40*AI40,2)))))</f>
        <v/>
      </c>
      <c r="AO40" s="958"/>
      <c r="AP40" s="958"/>
      <c r="AQ40" s="959"/>
      <c r="AU40" s="898" t="str">
        <f t="shared" ref="AU40" si="35">IF(OR(C40="",N40="",T40="",V40="",X40="",AI40="",AE40="",AB40=""),"",IF(AK40="","",ROUND((AE40+AG40),2)))</f>
        <v/>
      </c>
      <c r="AV40" s="906" t="str">
        <f>IF(OR(C40="",N40="",T40="",V40="",X40="",AB40="",AG40="",AE40=""),"",ROUND(
IF(OR(ISNUMBER(SEARCH("Heat Recovery",C40)),ISNUMBER(SEARCH("VSD Milk Pump w/",C40))),0,
IF(ISNUMBER(SEARCH("Scroll Compressor",C40)),(AW40/2920)*0.34,
IF(ISNUMBER(SEARCH("Milk Pre-Cooler",C40)),(AW40/2920)*0.16,
V40*INDEX(PMEAGG[Savings per Unit kW],MATCH(C40,PMEAGG[Eff Desc 1],0)))
)),3))</f>
        <v/>
      </c>
      <c r="AW40" s="1019" t="str">
        <f>IF(OR(C40="",V40="",X40="",AB40="",AE40="",AG40=""),"",ROUND(
IF(ISNUMBER(SEARCH("Heat Recovery",C40)),V40*(MIN(68*101*0.93*(56.3-38)*0.55,131.7*1*8.34*(120-52.3))*365.25*(1/0.9)/3412),
IF(ISNUMBER(SEARCH("VSD Milk Pump w/",C40)),V40*((1/8)*0.93*11.7*68*101*365/1000),
IF(ISNUMBER(SEARCH("Scroll Compressor",C40)),((((1/8.4)-(1/10.6))*(0.93*30*68*101*365.25))/1000)*V40,
IF(ISNUMBER(SEARCH("Milk Pre-Cooler",C40)),V40*((30*68*101*0.93*365)/(8*1000)),
IF(ISNUMBER(SEARCH("Fan Thermostat Controller",C40)),V40*0.75*0.746*2820/0.825,
V40*INDEX(PMEAGG[Savings per Unit kWh],MATCH(C40,PMEAGG[Eff Desc 1],0))
))))),2))</f>
        <v/>
      </c>
      <c r="AX40" s="906" t="str">
        <f>IF(OR(C40="",N40="",T40="",V40="",X40="",AG40="",AE40="",AB40=""),"",INDEX(PMEAGG[End Use Category],MATCH(C40,PMEAGG[Eff Desc 1],0)))</f>
        <v/>
      </c>
      <c r="AY40" s="980"/>
      <c r="BC40" s="830" t="str">
        <f>IF(OR(N40="",T40="",C40="",V40="",X40="",AB40="",AE40="",AG40=""),"",IF(OR(ISBLANK(M02S02F26),ISBLANK(M02S02F32),ISBLANK(M02S02F46)),MEASUREBLDG,""))</f>
        <v/>
      </c>
      <c r="BE40" s="811" t="str">
        <f ca="1">IF(OR(T40="",N40="",C40="",V40="",X40="",AB40="",AE40="",AG40=""),"",IF('M01-S01'!$V$82&lt;TODAY(),0,IF(M02S02F46="Gas Only",0,IF(OR(AK40="",AK40&lt;0,AU40&lt;=AN40),0,MIN(AU40-AN40,ROUND(AN40*0.2,2))))))</f>
        <v/>
      </c>
    </row>
    <row r="41" spans="2:57">
      <c r="B41" s="834"/>
      <c r="C41" s="840"/>
      <c r="D41" s="841"/>
      <c r="E41" s="841"/>
      <c r="F41" s="841"/>
      <c r="G41" s="841"/>
      <c r="H41" s="841"/>
      <c r="I41" s="841"/>
      <c r="J41" s="841"/>
      <c r="K41" s="841"/>
      <c r="L41" s="841"/>
      <c r="M41" s="842"/>
      <c r="N41" s="917"/>
      <c r="O41" s="918"/>
      <c r="P41" s="918"/>
      <c r="Q41" s="918"/>
      <c r="R41" s="918"/>
      <c r="S41" s="919"/>
      <c r="T41" s="955"/>
      <c r="U41" s="956"/>
      <c r="V41" s="853"/>
      <c r="W41" s="854"/>
      <c r="X41" s="840"/>
      <c r="Y41" s="841"/>
      <c r="Z41" s="841"/>
      <c r="AA41" s="842"/>
      <c r="AB41" s="840"/>
      <c r="AC41" s="841"/>
      <c r="AD41" s="842"/>
      <c r="AE41" s="865"/>
      <c r="AF41" s="875"/>
      <c r="AG41" s="865"/>
      <c r="AH41" s="875"/>
      <c r="AI41" s="925"/>
      <c r="AJ41" s="870"/>
      <c r="AK41" s="912"/>
      <c r="AL41" s="913"/>
      <c r="AM41" s="942"/>
      <c r="AN41" s="960"/>
      <c r="AO41" s="961"/>
      <c r="AP41" s="961"/>
      <c r="AQ41" s="962"/>
      <c r="AU41" s="814"/>
      <c r="AV41" s="907"/>
      <c r="AW41" s="981"/>
      <c r="AX41" s="907"/>
      <c r="AY41" s="981"/>
      <c r="BC41" s="831"/>
      <c r="BE41" s="812"/>
    </row>
    <row r="42" spans="2:57">
      <c r="B42" s="834">
        <v>14</v>
      </c>
      <c r="C42" s="871"/>
      <c r="D42" s="872"/>
      <c r="E42" s="872"/>
      <c r="F42" s="872"/>
      <c r="G42" s="872"/>
      <c r="H42" s="872"/>
      <c r="I42" s="872"/>
      <c r="J42" s="872"/>
      <c r="K42" s="872"/>
      <c r="L42" s="872"/>
      <c r="M42" s="873"/>
      <c r="N42" s="920" t="str">
        <f>IFERROR(IF(C42="","",INDEX(PMEAGG[Base Desc 1],MATCH(C42,PMEAGG[Eff Desc 1],0))),"")</f>
        <v/>
      </c>
      <c r="O42" s="921"/>
      <c r="P42" s="921"/>
      <c r="Q42" s="921"/>
      <c r="R42" s="921"/>
      <c r="S42" s="922"/>
      <c r="T42" s="993" t="str">
        <f>IFERROR(IF(C42="","",INDEX(PMEAGG[Unit of Measure],MATCH(C42,PMEAGG[Eff Desc 1],0))),"")</f>
        <v/>
      </c>
      <c r="U42" s="994"/>
      <c r="V42" s="876"/>
      <c r="W42" s="877"/>
      <c r="X42" s="871"/>
      <c r="Y42" s="872"/>
      <c r="Z42" s="872"/>
      <c r="AA42" s="873"/>
      <c r="AB42" s="871"/>
      <c r="AC42" s="872"/>
      <c r="AD42" s="873"/>
      <c r="AE42" s="894"/>
      <c r="AF42" s="1073"/>
      <c r="AG42" s="894"/>
      <c r="AH42" s="1073"/>
      <c r="AI42" s="930" t="str">
        <f>IFERROR(IF(C42="","",INDEX(PMEAGG[Inc Rate Unit],MATCH(C42,PMEAGG[Eff Desc 1],0))),"")</f>
        <v/>
      </c>
      <c r="AJ42" s="868"/>
      <c r="AK42" s="910" t="str">
        <f t="shared" ref="AK42" si="36">IF(OR(C42="",V42="",X42="",AB42="",AE42="",AG42=""),"",AW42)</f>
        <v/>
      </c>
      <c r="AL42" s="911"/>
      <c r="AM42" s="975"/>
      <c r="AN42" s="957" t="str">
        <f t="shared" ref="AN42" si="37">IF(OR(C42="",V42="",X42="",AB42="",AE42="",AG42=""),"",
IF(OR(ISNUMBER(SEARCH("Heat Recovery",C42)),ISNUMBER(SEARCH("VSD Milk Pump w/",C42)),ISNUMBER(SEARCH("Scroll Compressor",C42)),ISNUMBER(SEARCH("Milk Pre-Cooler",C42))),IF(BC42&lt;&gt;"",BC42,MIN(AU42,ROUND(AI42,2))),
IF(BC42&lt;&gt;"",BC42,MIN(AU42,ROUND(V42*AI42,2)))))</f>
        <v/>
      </c>
      <c r="AO42" s="958"/>
      <c r="AP42" s="958"/>
      <c r="AQ42" s="959"/>
      <c r="AU42" s="898" t="str">
        <f t="shared" ref="AU42" si="38">IF(OR(C42="",N42="",T42="",V42="",X42="",AI42="",AE42="",AB42=""),"",IF(AK42="","",ROUND((AE42+AG42),2)))</f>
        <v/>
      </c>
      <c r="AV42" s="906" t="str">
        <f>IF(OR(C42="",N42="",T42="",V42="",X42="",AB42="",AG42="",AE42=""),"",ROUND(
IF(OR(ISNUMBER(SEARCH("Heat Recovery",C42)),ISNUMBER(SEARCH("VSD Milk Pump w/",C42))),0,
IF(ISNUMBER(SEARCH("Scroll Compressor",C42)),(AW42/2920)*0.34,
IF(ISNUMBER(SEARCH("Milk Pre-Cooler",C42)),(AW42/2920)*0.16,
V42*INDEX(PMEAGG[Savings per Unit kW],MATCH(C42,PMEAGG[Eff Desc 1],0)))
)),3))</f>
        <v/>
      </c>
      <c r="AW42" s="1019" t="str">
        <f>IF(OR(C42="",V42="",X42="",AB42="",AE42="",AG42=""),"",ROUND(
IF(ISNUMBER(SEARCH("Heat Recovery",C42)),V42*(MIN(68*101*0.93*(56.3-38)*0.55,131.7*1*8.34*(120-52.3))*365.25*(1/0.9)/3412),
IF(ISNUMBER(SEARCH("VSD Milk Pump w/",C42)),V42*((1/8)*0.93*11.7*68*101*365/1000),
IF(ISNUMBER(SEARCH("Scroll Compressor",C42)),((((1/8.4)-(1/10.6))*(0.93*30*68*101*365.25))/1000)*V42,
IF(ISNUMBER(SEARCH("Milk Pre-Cooler",C42)),V42*((30*68*101*0.93*365)/(8*1000)),
IF(ISNUMBER(SEARCH("Fan Thermostat Controller",C42)),V42*0.75*0.746*2820/0.825,
V42*INDEX(PMEAGG[Savings per Unit kWh],MATCH(C42,PMEAGG[Eff Desc 1],0))
))))),2))</f>
        <v/>
      </c>
      <c r="AX42" s="906" t="str">
        <f>IF(OR(C42="",N42="",T42="",V42="",X42="",AG42="",AE42="",AB42=""),"",INDEX(PMEAGG[End Use Category],MATCH(C42,PMEAGG[Eff Desc 1],0)))</f>
        <v/>
      </c>
      <c r="AY42" s="980"/>
      <c r="BC42" s="830" t="str">
        <f>IF(OR(N42="",T42="",C42="",V42="",X42="",AB42="",AE42="",AG42=""),"",IF(OR(ISBLANK(M02S02F26),ISBLANK(M02S02F32),ISBLANK(M02S02F46)),MEASUREBLDG,""))</f>
        <v/>
      </c>
      <c r="BE42" s="811" t="str">
        <f ca="1">IF(OR(T42="",N42="",C42="",V42="",X42="",AB42="",AE42="",AG42=""),"",IF('M01-S01'!$V$82&lt;TODAY(),0,IF(M02S02F46="Gas Only",0,IF(OR(AK42="",AK42&lt;0,AU42&lt;=AN42),0,MIN(AU42-AN42,ROUND(AN42*0.2,2))))))</f>
        <v/>
      </c>
    </row>
    <row r="43" spans="2:57">
      <c r="B43" s="834"/>
      <c r="C43" s="840"/>
      <c r="D43" s="841"/>
      <c r="E43" s="841"/>
      <c r="F43" s="841"/>
      <c r="G43" s="841"/>
      <c r="H43" s="841"/>
      <c r="I43" s="841"/>
      <c r="J43" s="841"/>
      <c r="K43" s="841"/>
      <c r="L43" s="841"/>
      <c r="M43" s="842"/>
      <c r="N43" s="917"/>
      <c r="O43" s="918"/>
      <c r="P43" s="918"/>
      <c r="Q43" s="918"/>
      <c r="R43" s="918"/>
      <c r="S43" s="919"/>
      <c r="T43" s="955"/>
      <c r="U43" s="956"/>
      <c r="V43" s="853"/>
      <c r="W43" s="854"/>
      <c r="X43" s="840"/>
      <c r="Y43" s="841"/>
      <c r="Z43" s="841"/>
      <c r="AA43" s="842"/>
      <c r="AB43" s="840"/>
      <c r="AC43" s="841"/>
      <c r="AD43" s="842"/>
      <c r="AE43" s="865"/>
      <c r="AF43" s="875"/>
      <c r="AG43" s="865"/>
      <c r="AH43" s="875"/>
      <c r="AI43" s="925"/>
      <c r="AJ43" s="870"/>
      <c r="AK43" s="912"/>
      <c r="AL43" s="913"/>
      <c r="AM43" s="942"/>
      <c r="AN43" s="960"/>
      <c r="AO43" s="961"/>
      <c r="AP43" s="961"/>
      <c r="AQ43" s="962"/>
      <c r="AU43" s="814"/>
      <c r="AV43" s="907"/>
      <c r="AW43" s="981"/>
      <c r="AX43" s="907"/>
      <c r="AY43" s="981"/>
      <c r="BC43" s="831"/>
      <c r="BE43" s="812"/>
    </row>
    <row r="44" spans="2:57">
      <c r="B44" s="834">
        <v>15</v>
      </c>
      <c r="C44" s="871"/>
      <c r="D44" s="872"/>
      <c r="E44" s="872"/>
      <c r="F44" s="872"/>
      <c r="G44" s="872"/>
      <c r="H44" s="872"/>
      <c r="I44" s="872"/>
      <c r="J44" s="872"/>
      <c r="K44" s="872"/>
      <c r="L44" s="872"/>
      <c r="M44" s="873"/>
      <c r="N44" s="920" t="str">
        <f>IFERROR(IF(C44="","",INDEX(PMEAGG[Base Desc 1],MATCH(C44,PMEAGG[Eff Desc 1],0))),"")</f>
        <v/>
      </c>
      <c r="O44" s="921"/>
      <c r="P44" s="921"/>
      <c r="Q44" s="921"/>
      <c r="R44" s="921"/>
      <c r="S44" s="922"/>
      <c r="T44" s="993" t="str">
        <f>IFERROR(IF(C44="","",INDEX(PMEAGG[Unit of Measure],MATCH(C44,PMEAGG[Eff Desc 1],0))),"")</f>
        <v/>
      </c>
      <c r="U44" s="994"/>
      <c r="V44" s="876"/>
      <c r="W44" s="877"/>
      <c r="X44" s="871"/>
      <c r="Y44" s="872"/>
      <c r="Z44" s="872"/>
      <c r="AA44" s="873"/>
      <c r="AB44" s="871"/>
      <c r="AC44" s="872"/>
      <c r="AD44" s="873"/>
      <c r="AE44" s="894"/>
      <c r="AF44" s="1073"/>
      <c r="AG44" s="894"/>
      <c r="AH44" s="1073"/>
      <c r="AI44" s="930" t="str">
        <f>IFERROR(IF(C44="","",INDEX(PMEAGG[Inc Rate Unit],MATCH(C44,PMEAGG[Eff Desc 1],0))),"")</f>
        <v/>
      </c>
      <c r="AJ44" s="868"/>
      <c r="AK44" s="910" t="str">
        <f t="shared" ref="AK44" si="39">IF(OR(C44="",V44="",X44="",AB44="",AE44="",AG44=""),"",AW44)</f>
        <v/>
      </c>
      <c r="AL44" s="911"/>
      <c r="AM44" s="975"/>
      <c r="AN44" s="957" t="str">
        <f t="shared" ref="AN44" si="40">IF(OR(C44="",V44="",X44="",AB44="",AE44="",AG44=""),"",
IF(OR(ISNUMBER(SEARCH("Heat Recovery",C44)),ISNUMBER(SEARCH("VSD Milk Pump w/",C44)),ISNUMBER(SEARCH("Scroll Compressor",C44)),ISNUMBER(SEARCH("Milk Pre-Cooler",C44))),IF(BC44&lt;&gt;"",BC44,MIN(AU44,ROUND(AI44,2))),
IF(BC44&lt;&gt;"",BC44,MIN(AU44,ROUND(V44*AI44,2)))))</f>
        <v/>
      </c>
      <c r="AO44" s="958"/>
      <c r="AP44" s="958"/>
      <c r="AQ44" s="959"/>
      <c r="AU44" s="898" t="str">
        <f t="shared" ref="AU44" si="41">IF(OR(C44="",N44="",T44="",V44="",X44="",AI44="",AE44="",AB44=""),"",IF(AK44="","",ROUND((AE44+AG44),2)))</f>
        <v/>
      </c>
      <c r="AV44" s="906" t="str">
        <f>IF(OR(C44="",N44="",T44="",V44="",X44="",AB44="",AG44="",AE44=""),"",ROUND(
IF(OR(ISNUMBER(SEARCH("Heat Recovery",C44)),ISNUMBER(SEARCH("VSD Milk Pump w/",C44))),0,
IF(ISNUMBER(SEARCH("Scroll Compressor",C44)),(AW44/2920)*0.34,
IF(ISNUMBER(SEARCH("Milk Pre-Cooler",C44)),(AW44/2920)*0.16,
V44*INDEX(PMEAGG[Savings per Unit kW],MATCH(C44,PMEAGG[Eff Desc 1],0)))
)),3))</f>
        <v/>
      </c>
      <c r="AW44" s="1019" t="str">
        <f>IF(OR(C44="",V44="",X44="",AB44="",AE44="",AG44=""),"",ROUND(
IF(ISNUMBER(SEARCH("Heat Recovery",C44)),V44*(MIN(68*101*0.93*(56.3-38)*0.55,131.7*1*8.34*(120-52.3))*365.25*(1/0.9)/3412),
IF(ISNUMBER(SEARCH("VSD Milk Pump w/",C44)),V44*((1/8)*0.93*11.7*68*101*365/1000),
IF(ISNUMBER(SEARCH("Scroll Compressor",C44)),((((1/8.4)-(1/10.6))*(0.93*30*68*101*365.25))/1000)*V44,
IF(ISNUMBER(SEARCH("Milk Pre-Cooler",C44)),V44*((30*68*101*0.93*365)/(8*1000)),
IF(ISNUMBER(SEARCH("Fan Thermostat Controller",C44)),V44*0.75*0.746*2820/0.825,
V44*INDEX(PMEAGG[Savings per Unit kWh],MATCH(C44,PMEAGG[Eff Desc 1],0))
))))),2))</f>
        <v/>
      </c>
      <c r="AX44" s="906" t="str">
        <f>IF(OR(C44="",N44="",T44="",V44="",X44="",AG44="",AE44="",AB44=""),"",INDEX(PMEAGG[End Use Category],MATCH(C44,PMEAGG[Eff Desc 1],0)))</f>
        <v/>
      </c>
      <c r="AY44" s="980"/>
      <c r="BC44" s="830" t="str">
        <f>IF(OR(N44="",T44="",C44="",V44="",X44="",AB44="",AE44="",AG44=""),"",IF(OR(ISBLANK(M02S02F26),ISBLANK(M02S02F32),ISBLANK(M02S02F46)),MEASUREBLDG,""))</f>
        <v/>
      </c>
      <c r="BE44" s="811" t="str">
        <f ca="1">IF(OR(T44="",N44="",C44="",V44="",X44="",AB44="",AE44="",AG44=""),"",IF('M01-S01'!$V$82&lt;TODAY(),0,IF(M02S02F46="Gas Only",0,IF(OR(AK44="",AK44&lt;0,AU44&lt;=AN44),0,MIN(AU44-AN44,ROUND(AN44*0.2,2))))))</f>
        <v/>
      </c>
    </row>
    <row r="45" spans="2:57">
      <c r="B45" s="834"/>
      <c r="C45" s="840"/>
      <c r="D45" s="841"/>
      <c r="E45" s="841"/>
      <c r="F45" s="841"/>
      <c r="G45" s="841"/>
      <c r="H45" s="841"/>
      <c r="I45" s="841"/>
      <c r="J45" s="841"/>
      <c r="K45" s="841"/>
      <c r="L45" s="841"/>
      <c r="M45" s="842"/>
      <c r="N45" s="917"/>
      <c r="O45" s="918"/>
      <c r="P45" s="918"/>
      <c r="Q45" s="918"/>
      <c r="R45" s="918"/>
      <c r="S45" s="919"/>
      <c r="T45" s="955"/>
      <c r="U45" s="956"/>
      <c r="V45" s="853"/>
      <c r="W45" s="854"/>
      <c r="X45" s="840"/>
      <c r="Y45" s="841"/>
      <c r="Z45" s="841"/>
      <c r="AA45" s="842"/>
      <c r="AB45" s="840"/>
      <c r="AC45" s="841"/>
      <c r="AD45" s="842"/>
      <c r="AE45" s="865"/>
      <c r="AF45" s="875"/>
      <c r="AG45" s="865"/>
      <c r="AH45" s="875"/>
      <c r="AI45" s="925"/>
      <c r="AJ45" s="870"/>
      <c r="AK45" s="912"/>
      <c r="AL45" s="913"/>
      <c r="AM45" s="942"/>
      <c r="AN45" s="960"/>
      <c r="AO45" s="961"/>
      <c r="AP45" s="961"/>
      <c r="AQ45" s="962"/>
      <c r="AU45" s="814"/>
      <c r="AV45" s="907"/>
      <c r="AW45" s="981"/>
      <c r="AX45" s="907"/>
      <c r="AY45" s="981"/>
      <c r="BC45" s="831"/>
      <c r="BE45" s="812"/>
    </row>
    <row r="46" spans="2:57">
      <c r="C46" s="1014" t="s">
        <v>1925</v>
      </c>
      <c r="D46" s="1015"/>
      <c r="E46" s="1015"/>
      <c r="F46" s="1015"/>
      <c r="G46" s="1015"/>
      <c r="H46" s="1015"/>
      <c r="I46" s="1015"/>
      <c r="J46" s="1015"/>
      <c r="K46" s="1015"/>
      <c r="L46" s="1015"/>
      <c r="M46" s="1015"/>
      <c r="N46" s="1015"/>
      <c r="O46" s="1015"/>
      <c r="P46" s="1015"/>
      <c r="Q46" s="1015"/>
      <c r="R46" s="1015"/>
      <c r="S46" s="1015"/>
      <c r="T46" s="1015"/>
      <c r="U46" s="1015"/>
      <c r="V46" s="1015"/>
      <c r="W46" s="1015"/>
      <c r="X46" s="1015"/>
      <c r="Y46" s="1015"/>
      <c r="Z46" s="1015"/>
      <c r="AA46" s="1015"/>
      <c r="AB46" s="1015"/>
      <c r="AC46" s="1015"/>
      <c r="AD46" s="1015"/>
      <c r="AE46" s="1015"/>
      <c r="AF46" s="1015"/>
      <c r="AG46" s="1015"/>
      <c r="AH46" s="1015"/>
      <c r="AI46" s="1015"/>
      <c r="AJ46" s="1015"/>
      <c r="AK46" s="1015"/>
      <c r="AL46" s="1015"/>
      <c r="AM46" s="1015"/>
      <c r="AN46" s="1015"/>
      <c r="AO46" s="1015"/>
      <c r="AP46" s="1015"/>
      <c r="AQ46" s="1015"/>
    </row>
    <row r="47" spans="2:57">
      <c r="C47" s="1016"/>
      <c r="D47" s="1017"/>
      <c r="E47" s="1017"/>
      <c r="F47" s="1017"/>
      <c r="G47" s="1017"/>
      <c r="H47" s="1017"/>
      <c r="I47" s="1017"/>
      <c r="J47" s="1017"/>
      <c r="K47" s="1017"/>
      <c r="L47" s="1017"/>
      <c r="M47" s="1017"/>
      <c r="N47" s="1017"/>
      <c r="O47" s="1017"/>
      <c r="P47" s="1017"/>
      <c r="Q47" s="1017"/>
      <c r="R47" s="1017"/>
      <c r="S47" s="1017"/>
      <c r="T47" s="1017"/>
      <c r="U47" s="1017"/>
      <c r="V47" s="1017"/>
      <c r="W47" s="1017"/>
      <c r="X47" s="1017"/>
      <c r="Y47" s="1017"/>
      <c r="Z47" s="1017"/>
      <c r="AA47" s="1017"/>
      <c r="AB47" s="1017"/>
      <c r="AC47" s="1017"/>
      <c r="AD47" s="1017"/>
      <c r="AE47" s="1017"/>
      <c r="AF47" s="1017"/>
      <c r="AG47" s="1017"/>
      <c r="AH47" s="1017"/>
      <c r="AI47" s="1017"/>
      <c r="AJ47" s="1017"/>
      <c r="AK47" s="1017"/>
      <c r="AL47" s="1017"/>
      <c r="AM47" s="1017"/>
      <c r="AN47" s="1017"/>
      <c r="AO47" s="1017"/>
      <c r="AP47" s="1017"/>
      <c r="AQ47" s="1017"/>
    </row>
    <row r="48" spans="2:57" ht="15" customHeight="1">
      <c r="C48" s="809" t="s">
        <v>99</v>
      </c>
      <c r="D48" s="809"/>
      <c r="E48" s="809"/>
      <c r="F48" s="809"/>
      <c r="G48" s="809"/>
      <c r="H48" s="809"/>
      <c r="I48" s="809"/>
      <c r="J48" s="809"/>
      <c r="K48" s="809"/>
      <c r="L48" s="809"/>
      <c r="M48" s="809"/>
      <c r="N48" s="809" t="s">
        <v>103</v>
      </c>
      <c r="O48" s="809"/>
      <c r="P48" s="809"/>
      <c r="Q48" s="809"/>
      <c r="R48" s="809"/>
      <c r="S48" s="809"/>
      <c r="T48" s="809" t="s">
        <v>100</v>
      </c>
      <c r="U48" s="809"/>
      <c r="V48" s="809" t="s">
        <v>91</v>
      </c>
      <c r="W48" s="809"/>
      <c r="X48" s="809" t="s">
        <v>115</v>
      </c>
      <c r="Y48" s="809"/>
      <c r="Z48" s="809"/>
      <c r="AA48" s="809"/>
      <c r="AB48" s="809" t="s">
        <v>104</v>
      </c>
      <c r="AC48" s="809"/>
      <c r="AD48" s="809"/>
      <c r="AE48" s="926" t="s">
        <v>1583</v>
      </c>
      <c r="AF48" s="926"/>
      <c r="AG48" s="926"/>
      <c r="AH48" s="926"/>
      <c r="AI48" s="809" t="s">
        <v>93</v>
      </c>
      <c r="AJ48" s="809"/>
      <c r="AK48" s="809" t="s">
        <v>1358</v>
      </c>
      <c r="AL48" s="809"/>
      <c r="AM48" s="809"/>
      <c r="AN48" s="809" t="s">
        <v>108</v>
      </c>
      <c r="AO48" s="809"/>
      <c r="AP48" s="809"/>
      <c r="AQ48" s="809"/>
    </row>
    <row r="49" spans="2:55" ht="15.75" thickBot="1">
      <c r="C49" s="810"/>
      <c r="D49" s="810"/>
      <c r="E49" s="810"/>
      <c r="F49" s="810"/>
      <c r="G49" s="810"/>
      <c r="H49" s="810"/>
      <c r="I49" s="810"/>
      <c r="J49" s="810"/>
      <c r="K49" s="810"/>
      <c r="L49" s="810"/>
      <c r="M49" s="810"/>
      <c r="N49" s="810"/>
      <c r="O49" s="810"/>
      <c r="P49" s="810"/>
      <c r="Q49" s="810"/>
      <c r="R49" s="810"/>
      <c r="S49" s="810"/>
      <c r="T49" s="810"/>
      <c r="U49" s="810"/>
      <c r="V49" s="810"/>
      <c r="W49" s="810"/>
      <c r="X49" s="810"/>
      <c r="Y49" s="810"/>
      <c r="Z49" s="810"/>
      <c r="AA49" s="810"/>
      <c r="AB49" s="810"/>
      <c r="AC49" s="810"/>
      <c r="AD49" s="810"/>
      <c r="AE49" s="927" t="s">
        <v>110</v>
      </c>
      <c r="AF49" s="927"/>
      <c r="AG49" s="927" t="s">
        <v>111</v>
      </c>
      <c r="AH49" s="927"/>
      <c r="AI49" s="810"/>
      <c r="AJ49" s="810"/>
      <c r="AK49" s="810"/>
      <c r="AL49" s="810"/>
      <c r="AM49" s="810"/>
      <c r="AN49" s="810"/>
      <c r="AO49" s="810"/>
      <c r="AP49" s="810"/>
      <c r="AQ49" s="810"/>
    </row>
    <row r="50" spans="2:55">
      <c r="B50" s="835">
        <v>18</v>
      </c>
      <c r="C50" s="871"/>
      <c r="D50" s="872"/>
      <c r="E50" s="872"/>
      <c r="F50" s="872"/>
      <c r="G50" s="872"/>
      <c r="H50" s="872"/>
      <c r="I50" s="872"/>
      <c r="J50" s="872"/>
      <c r="K50" s="872"/>
      <c r="L50" s="872"/>
      <c r="M50" s="873"/>
      <c r="N50" s="920" t="str">
        <f>IFERROR(IF(C50="","",INDEX(PMGAGG[Base Desc 1],MATCH(C50,PMGAGG[Eff Desc 1],0))),"")</f>
        <v/>
      </c>
      <c r="O50" s="921"/>
      <c r="P50" s="921"/>
      <c r="Q50" s="921"/>
      <c r="R50" s="921"/>
      <c r="S50" s="922"/>
      <c r="T50" s="993" t="str">
        <f>IFERROR(IF(C50="","",INDEX(PMGAGG[Unit of Measure],MATCH(C50,PMGAGG[Eff Desc 1],0))),"")</f>
        <v/>
      </c>
      <c r="U50" s="994"/>
      <c r="V50" s="876"/>
      <c r="W50" s="877"/>
      <c r="X50" s="871"/>
      <c r="Y50" s="872"/>
      <c r="Z50" s="872"/>
      <c r="AA50" s="873"/>
      <c r="AB50" s="871"/>
      <c r="AC50" s="872"/>
      <c r="AD50" s="873"/>
      <c r="AE50" s="894"/>
      <c r="AF50" s="1073"/>
      <c r="AG50" s="894"/>
      <c r="AH50" s="1073"/>
      <c r="AI50" s="930" t="str">
        <f>IFERROR(IF(C50="","",INDEX(PMGAGG[Inc Rate Unit],MATCH(C50,PMGAGG[Eff Desc 1],0))),"")</f>
        <v/>
      </c>
      <c r="AJ50" s="868"/>
      <c r="AK50" s="1004" t="str">
        <f>IF(OR(C50="",V50="",X50="",AB50="",AE50="",AG50=""),"",IF(AY50&lt;1,1,AY50))</f>
        <v/>
      </c>
      <c r="AL50" s="1005"/>
      <c r="AM50" s="1006"/>
      <c r="AN50" s="930" t="str">
        <f>IF(OR(C50="",V50="",X50="",AB50="",AE50="",AG50=""),"",
IF(OR(ISNUMBER(SEARCH("Heat Recovery",C50)),ISNUMBER(SEARCH("VSD Milk Pump w/",C50)),ISNUMBER(SEARCH("Scroll Compressor",C50))),IF(BC50&lt;&gt;"",BC50,MIN(AU50,ROUND(AI50,2))),
IF(BC50&lt;&gt;"",BC50,MIN(AU50,ROUND(V50*AI50,2)))))</f>
        <v/>
      </c>
      <c r="AO50" s="931"/>
      <c r="AP50" s="931"/>
      <c r="AQ50" s="868"/>
      <c r="AU50" s="898" t="str">
        <f t="shared" ref="AU50:AU64" si="42">IF(OR(C50="",N50="",T50="",V50="",X50="",AI50="",AE50="",AB50=""),"",IF(AK50="","",ROUND((AE50+AG50),2)))</f>
        <v/>
      </c>
      <c r="AV50" s="906">
        <v>0</v>
      </c>
      <c r="AW50" s="906">
        <v>0</v>
      </c>
      <c r="AX50" s="906" t="str">
        <f>IF(OR(C50="",N50="",T50="",V50="",X50="",AG50="",AE50="",AB50=""),"",INDEX(PMGAGG[End Use Category],MATCH(C50,PMGAGG[Eff Desc 1],0)))</f>
        <v/>
      </c>
      <c r="AY50" s="1071" t="str">
        <f>IF(OR(C50="",V50="",X50="",AB50="",AE50="",AG50=""),"",ROUND(
IF(ISNUMBER(SEARCH("Heat Recovery",C50)),(MIN(68*101*0.93*(56.3-38)*0.55,131.7*1*8.34*(120-52.3))*365.25*(1/0.59)/100000)*V50,
V50*INDEX(PMGAGG[Savings per Unit Therm],MATCH(C50,PMGAGG[Eff Desc 1],0))
),0))</f>
        <v/>
      </c>
      <c r="BC50" s="1074"/>
    </row>
    <row r="51" spans="2:55">
      <c r="B51" s="835"/>
      <c r="C51" s="840"/>
      <c r="D51" s="841"/>
      <c r="E51" s="841"/>
      <c r="F51" s="841"/>
      <c r="G51" s="841"/>
      <c r="H51" s="841"/>
      <c r="I51" s="841"/>
      <c r="J51" s="841"/>
      <c r="K51" s="841"/>
      <c r="L51" s="841"/>
      <c r="M51" s="842"/>
      <c r="N51" s="917"/>
      <c r="O51" s="918"/>
      <c r="P51" s="918"/>
      <c r="Q51" s="918"/>
      <c r="R51" s="918"/>
      <c r="S51" s="919"/>
      <c r="T51" s="955"/>
      <c r="U51" s="956"/>
      <c r="V51" s="853"/>
      <c r="W51" s="854"/>
      <c r="X51" s="840"/>
      <c r="Y51" s="841"/>
      <c r="Z51" s="841"/>
      <c r="AA51" s="842"/>
      <c r="AB51" s="840"/>
      <c r="AC51" s="841"/>
      <c r="AD51" s="842"/>
      <c r="AE51" s="865"/>
      <c r="AF51" s="875"/>
      <c r="AG51" s="865"/>
      <c r="AH51" s="875"/>
      <c r="AI51" s="925"/>
      <c r="AJ51" s="870"/>
      <c r="AK51" s="1007"/>
      <c r="AL51" s="1008"/>
      <c r="AM51" s="1009"/>
      <c r="AN51" s="925"/>
      <c r="AO51" s="932"/>
      <c r="AP51" s="932"/>
      <c r="AQ51" s="870"/>
      <c r="AU51" s="814"/>
      <c r="AV51" s="907"/>
      <c r="AW51" s="907"/>
      <c r="AX51" s="907"/>
      <c r="AY51" s="1072"/>
      <c r="BC51" s="1075"/>
    </row>
    <row r="52" spans="2:55">
      <c r="B52" s="834">
        <v>19</v>
      </c>
      <c r="C52" s="871"/>
      <c r="D52" s="872"/>
      <c r="E52" s="872"/>
      <c r="F52" s="872"/>
      <c r="G52" s="872"/>
      <c r="H52" s="872"/>
      <c r="I52" s="872"/>
      <c r="J52" s="872"/>
      <c r="K52" s="872"/>
      <c r="L52" s="872"/>
      <c r="M52" s="873"/>
      <c r="N52" s="920" t="str">
        <f>IFERROR(IF(C52="","",INDEX(PMGAGG[Base Desc 1],MATCH(C52,PMGAGG[Eff Desc 1],0))),"")</f>
        <v/>
      </c>
      <c r="O52" s="921"/>
      <c r="P52" s="921"/>
      <c r="Q52" s="921"/>
      <c r="R52" s="921"/>
      <c r="S52" s="922"/>
      <c r="T52" s="993" t="str">
        <f>IFERROR(IF(C52="","",INDEX(PMGAGG[Unit of Measure],MATCH(C52,PMGAGG[Eff Desc 1],0))),"")</f>
        <v/>
      </c>
      <c r="U52" s="994"/>
      <c r="V52" s="876"/>
      <c r="W52" s="877"/>
      <c r="X52" s="871"/>
      <c r="Y52" s="872"/>
      <c r="Z52" s="872"/>
      <c r="AA52" s="873"/>
      <c r="AB52" s="871"/>
      <c r="AC52" s="872"/>
      <c r="AD52" s="873"/>
      <c r="AE52" s="894"/>
      <c r="AF52" s="1073"/>
      <c r="AG52" s="894"/>
      <c r="AH52" s="1073"/>
      <c r="AI52" s="930" t="str">
        <f>IFERROR(IF(C52="","",INDEX(PMGAGG[Inc Rate Unit],MATCH(C52,PMGAGG[Eff Desc 1],0))),"")</f>
        <v/>
      </c>
      <c r="AJ52" s="868"/>
      <c r="AK52" s="1004" t="str">
        <f t="shared" ref="AK52" si="43">IF(OR(C52="",V52="",X52="",AB52="",AE52="",AG52=""),"",IF(AY52&lt;1,1,AY52))</f>
        <v/>
      </c>
      <c r="AL52" s="1005"/>
      <c r="AM52" s="1006"/>
      <c r="AN52" s="930" t="str">
        <f t="shared" ref="AN52" si="44">IF(OR(C52="",V52="",X52="",AB52="",AE52="",AG52=""),"",
IF(OR(ISNUMBER(SEARCH("Heat Recovery",C52)),ISNUMBER(SEARCH("VSD Milk Pump w/",C52)),ISNUMBER(SEARCH("Scroll Compressor",C52))),IF(BC52&lt;&gt;"",BC52,MIN(AU52,ROUND(AI52,2))),
IF(BC52&lt;&gt;"",BC52,MIN(AU52,ROUND(V52*AI52,2)))))</f>
        <v/>
      </c>
      <c r="AO52" s="931"/>
      <c r="AP52" s="931"/>
      <c r="AQ52" s="868"/>
      <c r="AU52" s="898" t="str">
        <f t="shared" si="42"/>
        <v/>
      </c>
      <c r="AV52" s="906">
        <v>0</v>
      </c>
      <c r="AW52" s="906">
        <v>0</v>
      </c>
      <c r="AX52" s="906" t="str">
        <f>IF(OR(C52="",N52="",T52="",V52="",X52="",AG52="",AE52="",AB52=""),"",INDEX(PMGAGG[End Use Category],MATCH(C52,PMGAGG[Eff Desc 1],0)))</f>
        <v/>
      </c>
      <c r="AY52" s="1071" t="str">
        <f>IF(OR(C52="",V52="",X52="",AB52="",AE52="",AG52=""),"",ROUND(
IF(ISNUMBER(SEARCH("Heat Recovery",C52)),(MIN(68*101*0.93*(56.3-38)*0.55,131.7*1*8.34*(120-52.3))*365.25*(1/0.59)/100000)*V52,
V52*INDEX(PMGAGG[Savings per Unit Therm],MATCH(C52,PMGAGG[Eff Desc 1],0))
),0))</f>
        <v/>
      </c>
      <c r="BC52" s="830"/>
    </row>
    <row r="53" spans="2:55">
      <c r="B53" s="834"/>
      <c r="C53" s="840"/>
      <c r="D53" s="841"/>
      <c r="E53" s="841"/>
      <c r="F53" s="841"/>
      <c r="G53" s="841"/>
      <c r="H53" s="841"/>
      <c r="I53" s="841"/>
      <c r="J53" s="841"/>
      <c r="K53" s="841"/>
      <c r="L53" s="841"/>
      <c r="M53" s="842"/>
      <c r="N53" s="917"/>
      <c r="O53" s="918"/>
      <c r="P53" s="918"/>
      <c r="Q53" s="918"/>
      <c r="R53" s="918"/>
      <c r="S53" s="919"/>
      <c r="T53" s="955"/>
      <c r="U53" s="956"/>
      <c r="V53" s="853"/>
      <c r="W53" s="854"/>
      <c r="X53" s="840"/>
      <c r="Y53" s="841"/>
      <c r="Z53" s="841"/>
      <c r="AA53" s="842"/>
      <c r="AB53" s="840"/>
      <c r="AC53" s="841"/>
      <c r="AD53" s="842"/>
      <c r="AE53" s="865"/>
      <c r="AF53" s="875"/>
      <c r="AG53" s="865"/>
      <c r="AH53" s="875"/>
      <c r="AI53" s="925"/>
      <c r="AJ53" s="870"/>
      <c r="AK53" s="1007"/>
      <c r="AL53" s="1008"/>
      <c r="AM53" s="1009"/>
      <c r="AN53" s="925"/>
      <c r="AO53" s="932"/>
      <c r="AP53" s="932"/>
      <c r="AQ53" s="870"/>
      <c r="AU53" s="814"/>
      <c r="AV53" s="907"/>
      <c r="AW53" s="907"/>
      <c r="AX53" s="907"/>
      <c r="AY53" s="1072"/>
      <c r="BC53" s="831"/>
    </row>
    <row r="54" spans="2:55">
      <c r="B54" s="834">
        <v>20</v>
      </c>
      <c r="C54" s="871"/>
      <c r="D54" s="872"/>
      <c r="E54" s="872"/>
      <c r="F54" s="872"/>
      <c r="G54" s="872"/>
      <c r="H54" s="872"/>
      <c r="I54" s="872"/>
      <c r="J54" s="872"/>
      <c r="K54" s="872"/>
      <c r="L54" s="872"/>
      <c r="M54" s="873"/>
      <c r="N54" s="920" t="str">
        <f>IFERROR(IF(C54="","",INDEX(PMGAGG[Base Desc 1],MATCH(C54,PMGAGG[Eff Desc 1],0))),"")</f>
        <v/>
      </c>
      <c r="O54" s="921"/>
      <c r="P54" s="921"/>
      <c r="Q54" s="921"/>
      <c r="R54" s="921"/>
      <c r="S54" s="922"/>
      <c r="T54" s="993" t="str">
        <f>IFERROR(IF(C54="","",INDEX(PMGAGG[Unit of Measure],MATCH(C54,PMGAGG[Eff Desc 1],0))),"")</f>
        <v/>
      </c>
      <c r="U54" s="994"/>
      <c r="V54" s="876"/>
      <c r="W54" s="877"/>
      <c r="X54" s="871"/>
      <c r="Y54" s="872"/>
      <c r="Z54" s="872"/>
      <c r="AA54" s="873"/>
      <c r="AB54" s="871"/>
      <c r="AC54" s="872"/>
      <c r="AD54" s="873"/>
      <c r="AE54" s="894"/>
      <c r="AF54" s="1073"/>
      <c r="AG54" s="894"/>
      <c r="AH54" s="1073"/>
      <c r="AI54" s="930" t="str">
        <f>IFERROR(IF(C54="","",INDEX(PMGAGG[Inc Rate Unit],MATCH(C54,PMGAGG[Eff Desc 1],0))),"")</f>
        <v/>
      </c>
      <c r="AJ54" s="868"/>
      <c r="AK54" s="1004" t="str">
        <f t="shared" ref="AK54" si="45">IF(OR(C54="",V54="",X54="",AB54="",AE54="",AG54=""),"",IF(AY54&lt;1,1,AY54))</f>
        <v/>
      </c>
      <c r="AL54" s="1005"/>
      <c r="AM54" s="1006"/>
      <c r="AN54" s="930" t="str">
        <f t="shared" ref="AN54" si="46">IF(OR(C54="",V54="",X54="",AB54="",AE54="",AG54=""),"",
IF(OR(ISNUMBER(SEARCH("Heat Recovery",C54)),ISNUMBER(SEARCH("VSD Milk Pump w/",C54)),ISNUMBER(SEARCH("Scroll Compressor",C54))),IF(BC54&lt;&gt;"",BC54,MIN(AU54,ROUND(AI54,2))),
IF(BC54&lt;&gt;"",BC54,MIN(AU54,ROUND(V54*AI54,2)))))</f>
        <v/>
      </c>
      <c r="AO54" s="931"/>
      <c r="AP54" s="931"/>
      <c r="AQ54" s="868"/>
      <c r="AU54" s="898" t="str">
        <f t="shared" si="42"/>
        <v/>
      </c>
      <c r="AV54" s="906">
        <v>0</v>
      </c>
      <c r="AW54" s="906">
        <v>0</v>
      </c>
      <c r="AX54" s="906" t="str">
        <f>IF(OR(C54="",N54="",T54="",V54="",X54="",AG54="",AE54="",AB54=""),"",INDEX(PMGAGG[End Use Category],MATCH(C54,PMGAGG[Eff Desc 1],0)))</f>
        <v/>
      </c>
      <c r="AY54" s="1071" t="str">
        <f>IF(OR(C54="",V54="",X54="",AB54="",AE54="",AG54=""),"",ROUND(
IF(ISNUMBER(SEARCH("Heat Recovery",C54)),(MIN(68*101*0.93*(56.3-38)*0.55,131.7*1*8.34*(120-52.3))*365.25*(1/0.59)/100000)*V54,
V54*INDEX(PMGAGG[Savings per Unit Therm],MATCH(C54,PMGAGG[Eff Desc 1],0))
),0))</f>
        <v/>
      </c>
      <c r="BC54" s="830"/>
    </row>
    <row r="55" spans="2:55">
      <c r="B55" s="834"/>
      <c r="C55" s="840"/>
      <c r="D55" s="841"/>
      <c r="E55" s="841"/>
      <c r="F55" s="841"/>
      <c r="G55" s="841"/>
      <c r="H55" s="841"/>
      <c r="I55" s="841"/>
      <c r="J55" s="841"/>
      <c r="K55" s="841"/>
      <c r="L55" s="841"/>
      <c r="M55" s="842"/>
      <c r="N55" s="917"/>
      <c r="O55" s="918"/>
      <c r="P55" s="918"/>
      <c r="Q55" s="918"/>
      <c r="R55" s="918"/>
      <c r="S55" s="919"/>
      <c r="T55" s="955"/>
      <c r="U55" s="956"/>
      <c r="V55" s="853"/>
      <c r="W55" s="854"/>
      <c r="X55" s="840"/>
      <c r="Y55" s="841"/>
      <c r="Z55" s="841"/>
      <c r="AA55" s="842"/>
      <c r="AB55" s="840"/>
      <c r="AC55" s="841"/>
      <c r="AD55" s="842"/>
      <c r="AE55" s="865"/>
      <c r="AF55" s="875"/>
      <c r="AG55" s="865"/>
      <c r="AH55" s="875"/>
      <c r="AI55" s="925"/>
      <c r="AJ55" s="870"/>
      <c r="AK55" s="1007"/>
      <c r="AL55" s="1008"/>
      <c r="AM55" s="1009"/>
      <c r="AN55" s="925"/>
      <c r="AO55" s="932"/>
      <c r="AP55" s="932"/>
      <c r="AQ55" s="870"/>
      <c r="AU55" s="814"/>
      <c r="AV55" s="907"/>
      <c r="AW55" s="907"/>
      <c r="AX55" s="907"/>
      <c r="AY55" s="1072"/>
      <c r="BC55" s="831"/>
    </row>
    <row r="56" spans="2:55">
      <c r="B56" s="834">
        <v>21</v>
      </c>
      <c r="C56" s="871"/>
      <c r="D56" s="872"/>
      <c r="E56" s="872"/>
      <c r="F56" s="872"/>
      <c r="G56" s="872"/>
      <c r="H56" s="872"/>
      <c r="I56" s="872"/>
      <c r="J56" s="872"/>
      <c r="K56" s="872"/>
      <c r="L56" s="872"/>
      <c r="M56" s="873"/>
      <c r="N56" s="920" t="str">
        <f>IFERROR(IF(C56="","",INDEX(PMGAGG[Base Desc 1],MATCH(C56,PMGAGG[Eff Desc 1],0))),"")</f>
        <v/>
      </c>
      <c r="O56" s="921"/>
      <c r="P56" s="921"/>
      <c r="Q56" s="921"/>
      <c r="R56" s="921"/>
      <c r="S56" s="922"/>
      <c r="T56" s="993" t="str">
        <f>IFERROR(IF(C56="","",INDEX(PMGAGG[Unit of Measure],MATCH(C56,PMGAGG[Eff Desc 1],0))),"")</f>
        <v/>
      </c>
      <c r="U56" s="994"/>
      <c r="V56" s="876"/>
      <c r="W56" s="877"/>
      <c r="X56" s="871"/>
      <c r="Y56" s="872"/>
      <c r="Z56" s="872"/>
      <c r="AA56" s="873"/>
      <c r="AB56" s="871"/>
      <c r="AC56" s="872"/>
      <c r="AD56" s="873"/>
      <c r="AE56" s="894"/>
      <c r="AF56" s="1073"/>
      <c r="AG56" s="894"/>
      <c r="AH56" s="1073"/>
      <c r="AI56" s="930" t="str">
        <f>IFERROR(IF(C56="","",INDEX(PMGAGG[Inc Rate Unit],MATCH(C56,PMGAGG[Eff Desc 1],0))),"")</f>
        <v/>
      </c>
      <c r="AJ56" s="868"/>
      <c r="AK56" s="1004" t="str">
        <f t="shared" ref="AK56" si="47">IF(OR(C56="",V56="",X56="",AB56="",AE56="",AG56=""),"",IF(AY56&lt;1,1,AY56))</f>
        <v/>
      </c>
      <c r="AL56" s="1005"/>
      <c r="AM56" s="1006"/>
      <c r="AN56" s="930" t="str">
        <f t="shared" ref="AN56" si="48">IF(OR(C56="",V56="",X56="",AB56="",AE56="",AG56=""),"",
IF(OR(ISNUMBER(SEARCH("Heat Recovery",C56)),ISNUMBER(SEARCH("VSD Milk Pump w/",C56)),ISNUMBER(SEARCH("Scroll Compressor",C56))),IF(BC56&lt;&gt;"",BC56,MIN(AU56,ROUND(AI56,2))),
IF(BC56&lt;&gt;"",BC56,MIN(AU56,ROUND(V56*AI56,2)))))</f>
        <v/>
      </c>
      <c r="AO56" s="931"/>
      <c r="AP56" s="931"/>
      <c r="AQ56" s="868"/>
      <c r="AU56" s="898" t="str">
        <f t="shared" si="42"/>
        <v/>
      </c>
      <c r="AV56" s="906">
        <v>0</v>
      </c>
      <c r="AW56" s="906">
        <v>0</v>
      </c>
      <c r="AX56" s="906" t="str">
        <f>IF(OR(C56="",N56="",T56="",V56="",X56="",AG56="",AE56="",AB56=""),"",INDEX(PMGAGG[End Use Category],MATCH(C56,PMGAGG[Eff Desc 1],0)))</f>
        <v/>
      </c>
      <c r="AY56" s="1071" t="str">
        <f>IF(OR(C56="",V56="",X56="",AB56="",AE56="",AG56=""),"",ROUND(
IF(ISNUMBER(SEARCH("Heat Recovery",C56)),(MIN(68*101*0.93*(56.3-38)*0.55,131.7*1*8.34*(120-52.3))*365.25*(1/0.59)/100000)*V56,
V56*INDEX(PMGAGG[Savings per Unit Therm],MATCH(C56,PMGAGG[Eff Desc 1],0))
),0))</f>
        <v/>
      </c>
      <c r="BC56" s="830"/>
    </row>
    <row r="57" spans="2:55">
      <c r="B57" s="834"/>
      <c r="C57" s="840"/>
      <c r="D57" s="841"/>
      <c r="E57" s="841"/>
      <c r="F57" s="841"/>
      <c r="G57" s="841"/>
      <c r="H57" s="841"/>
      <c r="I57" s="841"/>
      <c r="J57" s="841"/>
      <c r="K57" s="841"/>
      <c r="L57" s="841"/>
      <c r="M57" s="842"/>
      <c r="N57" s="917"/>
      <c r="O57" s="918"/>
      <c r="P57" s="918"/>
      <c r="Q57" s="918"/>
      <c r="R57" s="918"/>
      <c r="S57" s="919"/>
      <c r="T57" s="955"/>
      <c r="U57" s="956"/>
      <c r="V57" s="853"/>
      <c r="W57" s="854"/>
      <c r="X57" s="840"/>
      <c r="Y57" s="841"/>
      <c r="Z57" s="841"/>
      <c r="AA57" s="842"/>
      <c r="AB57" s="840"/>
      <c r="AC57" s="841"/>
      <c r="AD57" s="842"/>
      <c r="AE57" s="865"/>
      <c r="AF57" s="875"/>
      <c r="AG57" s="865"/>
      <c r="AH57" s="875"/>
      <c r="AI57" s="925"/>
      <c r="AJ57" s="870"/>
      <c r="AK57" s="1007"/>
      <c r="AL57" s="1008"/>
      <c r="AM57" s="1009"/>
      <c r="AN57" s="925"/>
      <c r="AO57" s="932"/>
      <c r="AP57" s="932"/>
      <c r="AQ57" s="870"/>
      <c r="AU57" s="814"/>
      <c r="AV57" s="907"/>
      <c r="AW57" s="907"/>
      <c r="AX57" s="907"/>
      <c r="AY57" s="1072"/>
      <c r="BC57" s="831"/>
    </row>
    <row r="58" spans="2:55">
      <c r="B58" s="834">
        <v>22</v>
      </c>
      <c r="C58" s="871"/>
      <c r="D58" s="872"/>
      <c r="E58" s="872"/>
      <c r="F58" s="872"/>
      <c r="G58" s="872"/>
      <c r="H58" s="872"/>
      <c r="I58" s="872"/>
      <c r="J58" s="872"/>
      <c r="K58" s="872"/>
      <c r="L58" s="872"/>
      <c r="M58" s="873"/>
      <c r="N58" s="920" t="str">
        <f>IFERROR(IF(C58="","",INDEX(PMGAGG[Base Desc 1],MATCH(C58,PMGAGG[Eff Desc 1],0))),"")</f>
        <v/>
      </c>
      <c r="O58" s="921"/>
      <c r="P58" s="921"/>
      <c r="Q58" s="921"/>
      <c r="R58" s="921"/>
      <c r="S58" s="922"/>
      <c r="T58" s="993" t="str">
        <f>IFERROR(IF(C58="","",INDEX(PMGAGG[Unit of Measure],MATCH(C58,PMGAGG[Eff Desc 1],0))),"")</f>
        <v/>
      </c>
      <c r="U58" s="994"/>
      <c r="V58" s="876"/>
      <c r="W58" s="877"/>
      <c r="X58" s="871"/>
      <c r="Y58" s="872"/>
      <c r="Z58" s="872"/>
      <c r="AA58" s="873"/>
      <c r="AB58" s="871"/>
      <c r="AC58" s="872"/>
      <c r="AD58" s="873"/>
      <c r="AE58" s="894"/>
      <c r="AF58" s="1073"/>
      <c r="AG58" s="894"/>
      <c r="AH58" s="1073"/>
      <c r="AI58" s="930" t="str">
        <f>IFERROR(IF(C58="","",INDEX(PMGAGG[Inc Rate Unit],MATCH(C58,PMGAGG[Eff Desc 1],0))),"")</f>
        <v/>
      </c>
      <c r="AJ58" s="868"/>
      <c r="AK58" s="1004" t="str">
        <f t="shared" ref="AK58" si="49">IF(OR(C58="",V58="",X58="",AB58="",AE58="",AG58=""),"",IF(AY58&lt;1,1,AY58))</f>
        <v/>
      </c>
      <c r="AL58" s="1005"/>
      <c r="AM58" s="1006"/>
      <c r="AN58" s="930" t="str">
        <f t="shared" ref="AN58" si="50">IF(OR(C58="",V58="",X58="",AB58="",AE58="",AG58=""),"",
IF(OR(ISNUMBER(SEARCH("Heat Recovery",C58)),ISNUMBER(SEARCH("VSD Milk Pump w/",C58)),ISNUMBER(SEARCH("Scroll Compressor",C58))),IF(BC58&lt;&gt;"",BC58,MIN(AU58,ROUND(AI58,2))),
IF(BC58&lt;&gt;"",BC58,MIN(AU58,ROUND(V58*AI58,2)))))</f>
        <v/>
      </c>
      <c r="AO58" s="931"/>
      <c r="AP58" s="931"/>
      <c r="AQ58" s="868"/>
      <c r="AU58" s="898" t="str">
        <f t="shared" si="42"/>
        <v/>
      </c>
      <c r="AV58" s="906">
        <v>0</v>
      </c>
      <c r="AW58" s="906">
        <v>0</v>
      </c>
      <c r="AX58" s="906" t="str">
        <f>IF(OR(C58="",N58="",T58="",V58="",X58="",AG58="",AE58="",AB58=""),"",INDEX(PMGAGG[End Use Category],MATCH(C58,PMGAGG[Eff Desc 1],0)))</f>
        <v/>
      </c>
      <c r="AY58" s="1071" t="str">
        <f>IF(OR(C58="",V58="",X58="",AB58="",AE58="",AG58=""),"",ROUND(
IF(ISNUMBER(SEARCH("Heat Recovery",C58)),(MIN(68*101*0.93*(56.3-38)*0.55,131.7*1*8.34*(120-52.3))*365.25*(1/0.59)/100000)*V58,
V58*INDEX(PMGAGG[Savings per Unit Therm],MATCH(C58,PMGAGG[Eff Desc 1],0))
),0))</f>
        <v/>
      </c>
      <c r="BC58" s="830"/>
    </row>
    <row r="59" spans="2:55">
      <c r="B59" s="834"/>
      <c r="C59" s="840"/>
      <c r="D59" s="841"/>
      <c r="E59" s="841"/>
      <c r="F59" s="841"/>
      <c r="G59" s="841"/>
      <c r="H59" s="841"/>
      <c r="I59" s="841"/>
      <c r="J59" s="841"/>
      <c r="K59" s="841"/>
      <c r="L59" s="841"/>
      <c r="M59" s="842"/>
      <c r="N59" s="917"/>
      <c r="O59" s="918"/>
      <c r="P59" s="918"/>
      <c r="Q59" s="918"/>
      <c r="R59" s="918"/>
      <c r="S59" s="919"/>
      <c r="T59" s="955"/>
      <c r="U59" s="956"/>
      <c r="V59" s="853"/>
      <c r="W59" s="854"/>
      <c r="X59" s="840"/>
      <c r="Y59" s="841"/>
      <c r="Z59" s="841"/>
      <c r="AA59" s="842"/>
      <c r="AB59" s="840"/>
      <c r="AC59" s="841"/>
      <c r="AD59" s="842"/>
      <c r="AE59" s="865"/>
      <c r="AF59" s="875"/>
      <c r="AG59" s="865"/>
      <c r="AH59" s="875"/>
      <c r="AI59" s="925"/>
      <c r="AJ59" s="870"/>
      <c r="AK59" s="1007"/>
      <c r="AL59" s="1008"/>
      <c r="AM59" s="1009"/>
      <c r="AN59" s="925"/>
      <c r="AO59" s="932"/>
      <c r="AP59" s="932"/>
      <c r="AQ59" s="870"/>
      <c r="AU59" s="814"/>
      <c r="AV59" s="907"/>
      <c r="AW59" s="907"/>
      <c r="AX59" s="907"/>
      <c r="AY59" s="1072"/>
      <c r="BC59" s="831"/>
    </row>
    <row r="60" spans="2:55">
      <c r="B60" s="834">
        <v>23</v>
      </c>
      <c r="C60" s="871"/>
      <c r="D60" s="872"/>
      <c r="E60" s="872"/>
      <c r="F60" s="872"/>
      <c r="G60" s="872"/>
      <c r="H60" s="872"/>
      <c r="I60" s="872"/>
      <c r="J60" s="872"/>
      <c r="K60" s="872"/>
      <c r="L60" s="872"/>
      <c r="M60" s="873"/>
      <c r="N60" s="920" t="str">
        <f>IFERROR(IF(C60="","",INDEX(PMGAGG[Base Desc 1],MATCH(C60,PMGAGG[Eff Desc 1],0))),"")</f>
        <v/>
      </c>
      <c r="O60" s="921"/>
      <c r="P60" s="921"/>
      <c r="Q60" s="921"/>
      <c r="R60" s="921"/>
      <c r="S60" s="922"/>
      <c r="T60" s="993" t="str">
        <f>IFERROR(IF(C60="","",INDEX(PMGAGG[Unit of Measure],MATCH(C60,PMGAGG[Eff Desc 1],0))),"")</f>
        <v/>
      </c>
      <c r="U60" s="994"/>
      <c r="V60" s="876"/>
      <c r="W60" s="877"/>
      <c r="X60" s="871"/>
      <c r="Y60" s="872"/>
      <c r="Z60" s="872"/>
      <c r="AA60" s="873"/>
      <c r="AB60" s="871"/>
      <c r="AC60" s="872"/>
      <c r="AD60" s="873"/>
      <c r="AE60" s="894"/>
      <c r="AF60" s="1073"/>
      <c r="AG60" s="894"/>
      <c r="AH60" s="1073"/>
      <c r="AI60" s="930" t="str">
        <f>IFERROR(IF(C60="","",INDEX(PMGAGG[Inc Rate Unit],MATCH(C60,PMGAGG[Eff Desc 1],0))),"")</f>
        <v/>
      </c>
      <c r="AJ60" s="868"/>
      <c r="AK60" s="1004" t="str">
        <f t="shared" ref="AK60" si="51">IF(OR(C60="",V60="",X60="",AB60="",AE60="",AG60=""),"",IF(AY60&lt;1,1,AY60))</f>
        <v/>
      </c>
      <c r="AL60" s="1005"/>
      <c r="AM60" s="1006"/>
      <c r="AN60" s="930" t="str">
        <f t="shared" ref="AN60" si="52">IF(OR(C60="",V60="",X60="",AB60="",AE60="",AG60=""),"",
IF(OR(ISNUMBER(SEARCH("Heat Recovery",C60)),ISNUMBER(SEARCH("VSD Milk Pump w/",C60)),ISNUMBER(SEARCH("Scroll Compressor",C60))),IF(BC60&lt;&gt;"",BC60,MIN(AU60,ROUND(AI60,2))),
IF(BC60&lt;&gt;"",BC60,MIN(AU60,ROUND(V60*AI60,2)))))</f>
        <v/>
      </c>
      <c r="AO60" s="931"/>
      <c r="AP60" s="931"/>
      <c r="AQ60" s="868"/>
      <c r="AU60" s="898" t="str">
        <f t="shared" si="42"/>
        <v/>
      </c>
      <c r="AV60" s="906">
        <v>0</v>
      </c>
      <c r="AW60" s="906">
        <v>0</v>
      </c>
      <c r="AX60" s="906" t="str">
        <f>IF(OR(C60="",N60="",T60="",V60="",X60="",AG60="",AE60="",AB60=""),"",INDEX(PMGAGG[End Use Category],MATCH(C60,PMGAGG[Eff Desc 1],0)))</f>
        <v/>
      </c>
      <c r="AY60" s="1071" t="str">
        <f>IF(OR(C60="",V60="",X60="",AB60="",AE60="",AG60=""),"",ROUND(
IF(ISNUMBER(SEARCH("Heat Recovery",C60)),(MIN(68*101*0.93*(56.3-38)*0.55,131.7*1*8.34*(120-52.3))*365.25*(1/0.59)/100000)*V60,
V60*INDEX(PMGAGG[Savings per Unit Therm],MATCH(C60,PMGAGG[Eff Desc 1],0))
),0))</f>
        <v/>
      </c>
      <c r="BC60" s="830"/>
    </row>
    <row r="61" spans="2:55">
      <c r="B61" s="834"/>
      <c r="C61" s="840"/>
      <c r="D61" s="841"/>
      <c r="E61" s="841"/>
      <c r="F61" s="841"/>
      <c r="G61" s="841"/>
      <c r="H61" s="841"/>
      <c r="I61" s="841"/>
      <c r="J61" s="841"/>
      <c r="K61" s="841"/>
      <c r="L61" s="841"/>
      <c r="M61" s="842"/>
      <c r="N61" s="917"/>
      <c r="O61" s="918"/>
      <c r="P61" s="918"/>
      <c r="Q61" s="918"/>
      <c r="R61" s="918"/>
      <c r="S61" s="919"/>
      <c r="T61" s="955"/>
      <c r="U61" s="956"/>
      <c r="V61" s="853"/>
      <c r="W61" s="854"/>
      <c r="X61" s="840"/>
      <c r="Y61" s="841"/>
      <c r="Z61" s="841"/>
      <c r="AA61" s="842"/>
      <c r="AB61" s="840"/>
      <c r="AC61" s="841"/>
      <c r="AD61" s="842"/>
      <c r="AE61" s="865"/>
      <c r="AF61" s="875"/>
      <c r="AG61" s="865"/>
      <c r="AH61" s="875"/>
      <c r="AI61" s="925"/>
      <c r="AJ61" s="870"/>
      <c r="AK61" s="1007"/>
      <c r="AL61" s="1008"/>
      <c r="AM61" s="1009"/>
      <c r="AN61" s="925"/>
      <c r="AO61" s="932"/>
      <c r="AP61" s="932"/>
      <c r="AQ61" s="870"/>
      <c r="AU61" s="814"/>
      <c r="AV61" s="907"/>
      <c r="AW61" s="907"/>
      <c r="AX61" s="907"/>
      <c r="AY61" s="1072"/>
      <c r="BC61" s="831"/>
    </row>
    <row r="62" spans="2:55">
      <c r="B62" s="834">
        <v>24</v>
      </c>
      <c r="C62" s="871"/>
      <c r="D62" s="872"/>
      <c r="E62" s="872"/>
      <c r="F62" s="872"/>
      <c r="G62" s="872"/>
      <c r="H62" s="872"/>
      <c r="I62" s="872"/>
      <c r="J62" s="872"/>
      <c r="K62" s="872"/>
      <c r="L62" s="872"/>
      <c r="M62" s="873"/>
      <c r="N62" s="920" t="str">
        <f>IFERROR(IF(C62="","",INDEX(PMGAGG[Base Desc 1],MATCH(C62,PMGAGG[Eff Desc 1],0))),"")</f>
        <v/>
      </c>
      <c r="O62" s="921"/>
      <c r="P62" s="921"/>
      <c r="Q62" s="921"/>
      <c r="R62" s="921"/>
      <c r="S62" s="922"/>
      <c r="T62" s="993" t="str">
        <f>IFERROR(IF(C62="","",INDEX(PMGAGG[Unit of Measure],MATCH(C62,PMGAGG[Eff Desc 1],0))),"")</f>
        <v/>
      </c>
      <c r="U62" s="994"/>
      <c r="V62" s="876"/>
      <c r="W62" s="877"/>
      <c r="X62" s="871"/>
      <c r="Y62" s="872"/>
      <c r="Z62" s="872"/>
      <c r="AA62" s="873"/>
      <c r="AB62" s="871"/>
      <c r="AC62" s="872"/>
      <c r="AD62" s="873"/>
      <c r="AE62" s="894"/>
      <c r="AF62" s="1073"/>
      <c r="AG62" s="894"/>
      <c r="AH62" s="1073"/>
      <c r="AI62" s="930" t="str">
        <f>IFERROR(IF(C62="","",INDEX(PMGAGG[Inc Rate Unit],MATCH(C62,PMGAGG[Eff Desc 1],0))),"")</f>
        <v/>
      </c>
      <c r="AJ62" s="868"/>
      <c r="AK62" s="1004" t="str">
        <f t="shared" ref="AK62" si="53">IF(OR(C62="",V62="",X62="",AB62="",AE62="",AG62=""),"",IF(AY62&lt;1,1,AY62))</f>
        <v/>
      </c>
      <c r="AL62" s="1005"/>
      <c r="AM62" s="1006"/>
      <c r="AN62" s="930" t="str">
        <f t="shared" ref="AN62" si="54">IF(OR(C62="",V62="",X62="",AB62="",AE62="",AG62=""),"",
IF(OR(ISNUMBER(SEARCH("Heat Recovery",C62)),ISNUMBER(SEARCH("VSD Milk Pump w/",C62)),ISNUMBER(SEARCH("Scroll Compressor",C62))),IF(BC62&lt;&gt;"",BC62,MIN(AU62,ROUND(AI62,2))),
IF(BC62&lt;&gt;"",BC62,MIN(AU62,ROUND(V62*AI62,2)))))</f>
        <v/>
      </c>
      <c r="AO62" s="931"/>
      <c r="AP62" s="931"/>
      <c r="AQ62" s="868"/>
      <c r="AU62" s="898" t="str">
        <f t="shared" si="42"/>
        <v/>
      </c>
      <c r="AV62" s="906">
        <v>0</v>
      </c>
      <c r="AW62" s="906">
        <v>0</v>
      </c>
      <c r="AX62" s="906" t="str">
        <f>IF(OR(C62="",N62="",T62="",V62="",X62="",AG62="",AE62="",AB62=""),"",INDEX(PMGAGG[End Use Category],MATCH(C62,PMGAGG[Eff Desc 1],0)))</f>
        <v/>
      </c>
      <c r="AY62" s="1071" t="str">
        <f>IF(OR(C62="",V62="",X62="",AB62="",AE62="",AG62=""),"",ROUND(
IF(ISNUMBER(SEARCH("Heat Recovery",C62)),(MIN(68*101*0.93*(56.3-38)*0.55,131.7*1*8.34*(120-52.3))*365.25*(1/0.59)/100000)*V62,
V62*INDEX(PMGAGG[Savings per Unit Therm],MATCH(C62,PMGAGG[Eff Desc 1],0))
),0))</f>
        <v/>
      </c>
      <c r="BC62" s="830"/>
    </row>
    <row r="63" spans="2:55">
      <c r="B63" s="834"/>
      <c r="C63" s="840"/>
      <c r="D63" s="841"/>
      <c r="E63" s="841"/>
      <c r="F63" s="841"/>
      <c r="G63" s="841"/>
      <c r="H63" s="841"/>
      <c r="I63" s="841"/>
      <c r="J63" s="841"/>
      <c r="K63" s="841"/>
      <c r="L63" s="841"/>
      <c r="M63" s="842"/>
      <c r="N63" s="917"/>
      <c r="O63" s="918"/>
      <c r="P63" s="918"/>
      <c r="Q63" s="918"/>
      <c r="R63" s="918"/>
      <c r="S63" s="919"/>
      <c r="T63" s="955"/>
      <c r="U63" s="956"/>
      <c r="V63" s="853"/>
      <c r="W63" s="854"/>
      <c r="X63" s="840"/>
      <c r="Y63" s="841"/>
      <c r="Z63" s="841"/>
      <c r="AA63" s="842"/>
      <c r="AB63" s="840"/>
      <c r="AC63" s="841"/>
      <c r="AD63" s="842"/>
      <c r="AE63" s="865"/>
      <c r="AF63" s="875"/>
      <c r="AG63" s="865"/>
      <c r="AH63" s="875"/>
      <c r="AI63" s="925"/>
      <c r="AJ63" s="870"/>
      <c r="AK63" s="1007"/>
      <c r="AL63" s="1008"/>
      <c r="AM63" s="1009"/>
      <c r="AN63" s="925"/>
      <c r="AO63" s="932"/>
      <c r="AP63" s="932"/>
      <c r="AQ63" s="870"/>
      <c r="AU63" s="814"/>
      <c r="AV63" s="907"/>
      <c r="AW63" s="907"/>
      <c r="AX63" s="907"/>
      <c r="AY63" s="1072"/>
      <c r="BC63" s="831"/>
    </row>
    <row r="64" spans="2:55">
      <c r="B64" s="834">
        <v>25</v>
      </c>
      <c r="C64" s="871"/>
      <c r="D64" s="872"/>
      <c r="E64" s="872"/>
      <c r="F64" s="872"/>
      <c r="G64" s="872"/>
      <c r="H64" s="872"/>
      <c r="I64" s="872"/>
      <c r="J64" s="872"/>
      <c r="K64" s="872"/>
      <c r="L64" s="872"/>
      <c r="M64" s="873"/>
      <c r="N64" s="920" t="str">
        <f>IFERROR(IF(C64="","",INDEX(PMGAGG[Base Desc 1],MATCH(C64,PMGAGG[Eff Desc 1],0))),"")</f>
        <v/>
      </c>
      <c r="O64" s="921"/>
      <c r="P64" s="921"/>
      <c r="Q64" s="921"/>
      <c r="R64" s="921"/>
      <c r="S64" s="922"/>
      <c r="T64" s="993" t="str">
        <f>IFERROR(IF(C64="","",INDEX(PMGAGG[Unit of Measure],MATCH(C64,PMGAGG[Eff Desc 1],0))),"")</f>
        <v/>
      </c>
      <c r="U64" s="994"/>
      <c r="V64" s="876"/>
      <c r="W64" s="877"/>
      <c r="X64" s="871"/>
      <c r="Y64" s="872"/>
      <c r="Z64" s="872"/>
      <c r="AA64" s="873"/>
      <c r="AB64" s="871"/>
      <c r="AC64" s="872"/>
      <c r="AD64" s="873"/>
      <c r="AE64" s="894"/>
      <c r="AF64" s="1073"/>
      <c r="AG64" s="894"/>
      <c r="AH64" s="1073"/>
      <c r="AI64" s="930" t="str">
        <f>IFERROR(IF(C64="","",INDEX(PMGAGG[Inc Rate Unit],MATCH(C64,PMGAGG[Eff Desc 1],0))),"")</f>
        <v/>
      </c>
      <c r="AJ64" s="868"/>
      <c r="AK64" s="1004" t="str">
        <f t="shared" ref="AK64" si="55">IF(OR(C64="",V64="",X64="",AB64="",AE64="",AG64=""),"",IF(AY64&lt;1,1,AY64))</f>
        <v/>
      </c>
      <c r="AL64" s="1005"/>
      <c r="AM64" s="1006"/>
      <c r="AN64" s="930" t="str">
        <f t="shared" ref="AN64" si="56">IF(OR(C64="",V64="",X64="",AB64="",AE64="",AG64=""),"",
IF(OR(ISNUMBER(SEARCH("Heat Recovery",C64)),ISNUMBER(SEARCH("VSD Milk Pump w/",C64)),ISNUMBER(SEARCH("Scroll Compressor",C64))),IF(BC64&lt;&gt;"",BC64,MIN(AU64,ROUND(AI64,2))),
IF(BC64&lt;&gt;"",BC64,MIN(AU64,ROUND(V64*AI64,2)))))</f>
        <v/>
      </c>
      <c r="AO64" s="931"/>
      <c r="AP64" s="931"/>
      <c r="AQ64" s="868"/>
      <c r="AU64" s="898" t="str">
        <f t="shared" si="42"/>
        <v/>
      </c>
      <c r="AV64" s="906">
        <v>0</v>
      </c>
      <c r="AW64" s="906">
        <v>0</v>
      </c>
      <c r="AX64" s="906" t="str">
        <f>IF(OR(C64="",N64="",T64="",V64="",X64="",AG64="",AE64="",AB64=""),"",INDEX(PMGAGG[End Use Category],MATCH(C64,PMGAGG[Eff Desc 1],0)))</f>
        <v/>
      </c>
      <c r="AY64" s="1071" t="str">
        <f>IF(OR(C64="",V64="",X64="",AB64="",AE64="",AG64=""),"",ROUND(
IF(ISNUMBER(SEARCH("Heat Recovery",C64)),(MIN(68*101*0.93*(56.3-38)*0.55,131.7*1*8.34*(120-52.3))*365.25*(1/0.59)/100000)*V64,
V64*INDEX(PMGAGG[Savings per Unit Therm],MATCH(C64,PMGAGG[Eff Desc 1],0))
),0))</f>
        <v/>
      </c>
      <c r="BC64" s="830"/>
    </row>
    <row r="65" spans="2:55">
      <c r="B65" s="834"/>
      <c r="C65" s="840"/>
      <c r="D65" s="841"/>
      <c r="E65" s="841"/>
      <c r="F65" s="841"/>
      <c r="G65" s="841"/>
      <c r="H65" s="841"/>
      <c r="I65" s="841"/>
      <c r="J65" s="841"/>
      <c r="K65" s="841"/>
      <c r="L65" s="841"/>
      <c r="M65" s="842"/>
      <c r="N65" s="917"/>
      <c r="O65" s="918"/>
      <c r="P65" s="918"/>
      <c r="Q65" s="918"/>
      <c r="R65" s="918"/>
      <c r="S65" s="919"/>
      <c r="T65" s="955"/>
      <c r="U65" s="956"/>
      <c r="V65" s="853"/>
      <c r="W65" s="854"/>
      <c r="X65" s="840"/>
      <c r="Y65" s="841"/>
      <c r="Z65" s="841"/>
      <c r="AA65" s="842"/>
      <c r="AB65" s="840"/>
      <c r="AC65" s="841"/>
      <c r="AD65" s="842"/>
      <c r="AE65" s="865"/>
      <c r="AF65" s="875"/>
      <c r="AG65" s="865"/>
      <c r="AH65" s="875"/>
      <c r="AI65" s="925"/>
      <c r="AJ65" s="870"/>
      <c r="AK65" s="1007"/>
      <c r="AL65" s="1008"/>
      <c r="AM65" s="1009"/>
      <c r="AN65" s="925"/>
      <c r="AO65" s="932"/>
      <c r="AP65" s="932"/>
      <c r="AQ65" s="870"/>
      <c r="AU65" s="814"/>
      <c r="AV65" s="907"/>
      <c r="AW65" s="907"/>
      <c r="AX65" s="907"/>
      <c r="AY65" s="1072"/>
      <c r="BC65" s="831"/>
    </row>
    <row r="66" spans="2:55" hidden="1">
      <c r="B66" s="834">
        <v>26</v>
      </c>
      <c r="C66" s="837">
        <f ca="1">IF(SUM(BE16:BE45)=0,0,INDEX(PMEBONUS[],3,3))</f>
        <v>0</v>
      </c>
      <c r="D66" s="838"/>
      <c r="E66" s="838"/>
      <c r="F66" s="838"/>
      <c r="G66" s="838"/>
      <c r="H66" s="838"/>
      <c r="I66" s="838"/>
      <c r="J66" s="838"/>
      <c r="K66" s="838"/>
      <c r="L66" s="838"/>
      <c r="M66" s="839"/>
      <c r="N66" s="914" t="str">
        <f ca="1">IF(SUM(BE16:BE45)=0,"",INDEX(PMEBONUS[],3,30))</f>
        <v/>
      </c>
      <c r="O66" s="915"/>
      <c r="P66" s="915"/>
      <c r="Q66" s="915"/>
      <c r="R66" s="915"/>
      <c r="S66" s="916"/>
      <c r="T66" s="953"/>
      <c r="U66" s="954"/>
      <c r="V66" s="851">
        <f ca="1">IF(OR(C66=0,C66=""),0,1)</f>
        <v>0</v>
      </c>
      <c r="W66" s="852"/>
      <c r="X66" s="837"/>
      <c r="Y66" s="838"/>
      <c r="Z66" s="838"/>
      <c r="AA66" s="839"/>
      <c r="AB66" s="837"/>
      <c r="AC66" s="838"/>
      <c r="AD66" s="839"/>
      <c r="AE66" s="863"/>
      <c r="AF66" s="874"/>
      <c r="AG66" s="863"/>
      <c r="AH66" s="874"/>
      <c r="AI66" s="923"/>
      <c r="AJ66" s="924"/>
      <c r="AK66" s="910"/>
      <c r="AL66" s="911"/>
      <c r="AM66" s="911"/>
      <c r="AN66" s="930" t="str">
        <f ca="1">IF(BA66="","",BA66)</f>
        <v/>
      </c>
      <c r="AO66" s="931"/>
      <c r="AP66" s="931"/>
      <c r="AQ66" s="868"/>
      <c r="AS66" s="59"/>
      <c r="AT66" s="59"/>
      <c r="AU66" s="59"/>
      <c r="AV66" s="59"/>
      <c r="AW66" s="59"/>
      <c r="AX66" s="59"/>
      <c r="AY66" s="813"/>
      <c r="AZ66" s="59"/>
      <c r="BA66" s="813" t="str">
        <f ca="1">IFERROR(IF(OR(C66="",N66="",SUM(AK16:AM45)=0,SUM(BE16:BE45)=0),"",SUM(BE16:BE45)),"")</f>
        <v/>
      </c>
    </row>
    <row r="67" spans="2:55" hidden="1">
      <c r="B67" s="834"/>
      <c r="C67" s="840"/>
      <c r="D67" s="841"/>
      <c r="E67" s="841"/>
      <c r="F67" s="841"/>
      <c r="G67" s="841"/>
      <c r="H67" s="841"/>
      <c r="I67" s="841"/>
      <c r="J67" s="841"/>
      <c r="K67" s="841"/>
      <c r="L67" s="841"/>
      <c r="M67" s="842"/>
      <c r="N67" s="917"/>
      <c r="O67" s="918"/>
      <c r="P67" s="918"/>
      <c r="Q67" s="918"/>
      <c r="R67" s="918"/>
      <c r="S67" s="919"/>
      <c r="T67" s="955"/>
      <c r="U67" s="956"/>
      <c r="V67" s="853"/>
      <c r="W67" s="854"/>
      <c r="X67" s="840"/>
      <c r="Y67" s="841"/>
      <c r="Z67" s="841"/>
      <c r="AA67" s="842"/>
      <c r="AB67" s="840"/>
      <c r="AC67" s="841"/>
      <c r="AD67" s="842"/>
      <c r="AE67" s="865"/>
      <c r="AF67" s="875"/>
      <c r="AG67" s="865"/>
      <c r="AH67" s="875"/>
      <c r="AI67" s="925"/>
      <c r="AJ67" s="870"/>
      <c r="AK67" s="912"/>
      <c r="AL67" s="913"/>
      <c r="AM67" s="913"/>
      <c r="AN67" s="925"/>
      <c r="AO67" s="932"/>
      <c r="AP67" s="932"/>
      <c r="AQ67" s="870"/>
      <c r="AS67" s="59"/>
      <c r="AT67" s="59"/>
      <c r="AU67" s="59"/>
      <c r="AV67" s="59"/>
      <c r="AW67" s="59"/>
      <c r="AX67" s="59"/>
      <c r="AY67" s="814"/>
      <c r="AZ67" s="59"/>
      <c r="BA67" s="814"/>
    </row>
    <row r="200" spans="2:53">
      <c r="B200" s="272" t="str">
        <f>FOOT1</f>
        <v>NIPSCO Energy Efficiency Program</v>
      </c>
      <c r="C200" s="272"/>
      <c r="D200" s="272"/>
      <c r="E200" s="272"/>
      <c r="F200" s="272"/>
      <c r="G200" s="272"/>
      <c r="H200" s="272"/>
      <c r="I200" s="272"/>
      <c r="J200" s="272"/>
      <c r="K200" s="272"/>
      <c r="L200" s="272"/>
      <c r="M200" s="661" t="str">
        <f>FOOT4</f>
        <v>NIPSCO’s energy efficiency programs are administered by TRC, a third‐party implementation specialist that helps homes and businesses save energy.</v>
      </c>
      <c r="N200" s="661"/>
      <c r="O200" s="661"/>
      <c r="P200" s="661"/>
      <c r="Q200" s="661"/>
      <c r="R200" s="661"/>
      <c r="S200" s="661"/>
      <c r="T200" s="661"/>
      <c r="U200" s="661"/>
      <c r="V200" s="661"/>
      <c r="W200" s="661"/>
      <c r="X200" s="661"/>
      <c r="Y200" s="661"/>
      <c r="Z200" s="661"/>
      <c r="AA200" s="661"/>
      <c r="AB200" s="661"/>
      <c r="AC200" s="661"/>
      <c r="AD200" s="661"/>
      <c r="AE200" s="661"/>
      <c r="AF200" s="661"/>
      <c r="AG200" s="661"/>
      <c r="AH200" s="272"/>
      <c r="AI200" s="272"/>
      <c r="AJ200" s="272"/>
      <c r="AK200" s="272"/>
      <c r="AL200" s="272"/>
      <c r="AM200" s="272"/>
      <c r="AN200" s="272"/>
      <c r="AO200" s="272"/>
      <c r="AP200" s="272"/>
      <c r="AQ200" s="272"/>
      <c r="AR200" s="273" t="str">
        <f>FOOTDISCLAIM</f>
        <v/>
      </c>
      <c r="AU200" s="813">
        <f>SUM(AU16:AU45)</f>
        <v>0</v>
      </c>
      <c r="AV200" s="878">
        <f>SUM(AV16:AV199)</f>
        <v>0</v>
      </c>
      <c r="AW200" s="878">
        <f t="shared" ref="AW200:AY200" si="57">SUM(AW16:AW199)</f>
        <v>0</v>
      </c>
      <c r="AX200" s="813">
        <f>SUM(AU50:AU65)</f>
        <v>0</v>
      </c>
      <c r="AY200" s="878">
        <f t="shared" si="57"/>
        <v>0</v>
      </c>
      <c r="AZ200" s="813">
        <f>SUM(AN16:AQ45)</f>
        <v>0</v>
      </c>
      <c r="BA200" s="813">
        <f>SUM(AN50:AQ65)</f>
        <v>0</v>
      </c>
    </row>
    <row r="201" spans="2:53">
      <c r="B201" s="272" t="str">
        <f>FOOT2</f>
        <v>Toll-Free 800-299-2501</v>
      </c>
      <c r="C201" s="272"/>
      <c r="D201" s="272"/>
      <c r="E201" s="272"/>
      <c r="F201" s="272"/>
      <c r="G201" s="272"/>
      <c r="H201" s="272"/>
      <c r="I201" s="272"/>
      <c r="J201" s="272"/>
      <c r="K201" s="272"/>
      <c r="L201" s="272"/>
      <c r="M201" s="661"/>
      <c r="N201" s="661"/>
      <c r="O201" s="661"/>
      <c r="P201" s="661"/>
      <c r="Q201" s="661"/>
      <c r="R201" s="661"/>
      <c r="S201" s="661"/>
      <c r="T201" s="661"/>
      <c r="U201" s="661"/>
      <c r="V201" s="661"/>
      <c r="W201" s="661"/>
      <c r="X201" s="661"/>
      <c r="Y201" s="661"/>
      <c r="Z201" s="661"/>
      <c r="AA201" s="661"/>
      <c r="AB201" s="661"/>
      <c r="AC201" s="661"/>
      <c r="AD201" s="661"/>
      <c r="AE201" s="661"/>
      <c r="AF201" s="661"/>
      <c r="AG201" s="661"/>
      <c r="AH201" s="272"/>
      <c r="AI201" s="272"/>
      <c r="AJ201" s="272"/>
      <c r="AK201" s="272"/>
      <c r="AL201" s="272"/>
      <c r="AM201" s="272"/>
      <c r="AN201" s="272"/>
      <c r="AO201" s="272"/>
      <c r="AP201" s="272"/>
      <c r="AQ201" s="272"/>
      <c r="AR201" s="273" t="str">
        <f>FOOT5</f>
        <v/>
      </c>
      <c r="AU201" s="814"/>
      <c r="AV201" s="879"/>
      <c r="AW201" s="879"/>
      <c r="AX201" s="879"/>
      <c r="AY201" s="879"/>
      <c r="AZ201" s="879"/>
      <c r="BA201" s="879"/>
    </row>
    <row r="202" spans="2:53">
      <c r="B202" s="281" t="s">
        <v>1547</v>
      </c>
      <c r="C202" s="272"/>
      <c r="D202" s="272"/>
      <c r="E202" s="272"/>
      <c r="F202" s="272"/>
      <c r="G202" s="272"/>
      <c r="H202" s="272"/>
      <c r="I202" s="272"/>
      <c r="J202" s="272"/>
      <c r="K202" s="272"/>
      <c r="L202" s="272"/>
      <c r="M202" s="274"/>
      <c r="N202" s="272"/>
      <c r="O202" s="272"/>
      <c r="P202" s="274"/>
      <c r="Q202" s="274"/>
      <c r="R202" s="274"/>
      <c r="S202" s="274"/>
      <c r="T202" s="274"/>
      <c r="U202" s="274"/>
      <c r="V202" s="274"/>
      <c r="W202" s="275" t="str">
        <f>VERSION</f>
        <v>Custom Prescriptive Application v3.7.1</v>
      </c>
      <c r="X202" s="274"/>
      <c r="Y202" s="274"/>
      <c r="Z202" s="274"/>
      <c r="AA202" s="274"/>
      <c r="AB202" s="274"/>
      <c r="AC202" s="274"/>
      <c r="AD202" s="274"/>
      <c r="AE202" s="272"/>
      <c r="AF202" s="272"/>
      <c r="AG202" s="272"/>
      <c r="AH202" s="272"/>
      <c r="AI202" s="272"/>
      <c r="AJ202" s="272"/>
      <c r="AK202" s="272"/>
      <c r="AL202" s="272"/>
      <c r="AM202" s="272"/>
      <c r="AN202" s="272"/>
      <c r="AO202" s="272"/>
      <c r="AP202" s="272"/>
      <c r="AQ202" s="272"/>
      <c r="AR202" s="273" t="str">
        <f>FOOT6</f>
        <v>Product of TRC</v>
      </c>
    </row>
    <row r="203" spans="2:53"/>
  </sheetData>
  <sheetProtection algorithmName="SHA-512" hashValue="JKutAYQqfj9aC/dLHBdXw5zpvzdLyA/dCI79a4oeWaaW6fDEkf4flKvqVePxS3iumuEL4v/HKUYywWQHvyM5Sw==" saltValue="YxVJEHCJsuHdXvUVidWXSQ==" spinCount="100000" sheet="1" objects="1" scenarios="1" selectLockedCells="1"/>
  <protectedRanges>
    <protectedRange sqref="C16:M45 C50:M65" name="Range2"/>
    <protectedRange sqref="C16:M17" name="Range1"/>
  </protectedRanges>
  <mergeCells count="501">
    <mergeCell ref="M200:AG201"/>
    <mergeCell ref="R9:AC10"/>
    <mergeCell ref="R11:U11"/>
    <mergeCell ref="V11:Y11"/>
    <mergeCell ref="Z11:AC11"/>
    <mergeCell ref="R12:U13"/>
    <mergeCell ref="V12:Y13"/>
    <mergeCell ref="Z12:AC13"/>
    <mergeCell ref="C18:M19"/>
    <mergeCell ref="N18:S19"/>
    <mergeCell ref="T18:U19"/>
    <mergeCell ref="V18:W19"/>
    <mergeCell ref="X18:AA19"/>
    <mergeCell ref="AB18:AD19"/>
    <mergeCell ref="T14:U15"/>
    <mergeCell ref="V14:W15"/>
    <mergeCell ref="X14:AA15"/>
    <mergeCell ref="AB14:AD15"/>
    <mergeCell ref="V16:W17"/>
    <mergeCell ref="X16:AA17"/>
    <mergeCell ref="AB16:AD17"/>
    <mergeCell ref="C14:M15"/>
    <mergeCell ref="N14:S15"/>
    <mergeCell ref="AB30:AD31"/>
    <mergeCell ref="AN24:AQ25"/>
    <mergeCell ref="AG26:AH27"/>
    <mergeCell ref="AI22:AJ23"/>
    <mergeCell ref="AK22:AM23"/>
    <mergeCell ref="AU20:AU21"/>
    <mergeCell ref="AV20:AV21"/>
    <mergeCell ref="AW20:AW21"/>
    <mergeCell ref="AN26:AQ27"/>
    <mergeCell ref="AG24:AH25"/>
    <mergeCell ref="AI24:AJ25"/>
    <mergeCell ref="AK24:AM25"/>
    <mergeCell ref="AU24:AU25"/>
    <mergeCell ref="AV24:AV25"/>
    <mergeCell ref="AW24:AW25"/>
    <mergeCell ref="AH1:AK1"/>
    <mergeCell ref="AL1:AP1"/>
    <mergeCell ref="AQ1:AR1"/>
    <mergeCell ref="AH2:AK3"/>
    <mergeCell ref="AL2:AP3"/>
    <mergeCell ref="AQ2:AR3"/>
    <mergeCell ref="AK16:AM17"/>
    <mergeCell ref="AG18:AH19"/>
    <mergeCell ref="AI18:AJ19"/>
    <mergeCell ref="AK18:AM19"/>
    <mergeCell ref="AN18:AQ19"/>
    <mergeCell ref="AI14:AJ15"/>
    <mergeCell ref="AK14:AM15"/>
    <mergeCell ref="AN14:AQ15"/>
    <mergeCell ref="AN16:AQ17"/>
    <mergeCell ref="AI16:AJ17"/>
    <mergeCell ref="AJ11:AM11"/>
    <mergeCell ref="AJ12:AM13"/>
    <mergeCell ref="AX32:AX33"/>
    <mergeCell ref="AU34:AU35"/>
    <mergeCell ref="AV34:AV35"/>
    <mergeCell ref="AW34:AW35"/>
    <mergeCell ref="AX34:AX35"/>
    <mergeCell ref="AW28:AW29"/>
    <mergeCell ref="AX28:AX29"/>
    <mergeCell ref="AU30:AU31"/>
    <mergeCell ref="AV30:AV31"/>
    <mergeCell ref="AW30:AW31"/>
    <mergeCell ref="AX30:AX31"/>
    <mergeCell ref="AU32:AU33"/>
    <mergeCell ref="AV32:AV33"/>
    <mergeCell ref="AU28:AU29"/>
    <mergeCell ref="AV28:AV29"/>
    <mergeCell ref="AX24:AX25"/>
    <mergeCell ref="AU26:AU27"/>
    <mergeCell ref="AV26:AV27"/>
    <mergeCell ref="AU22:AU23"/>
    <mergeCell ref="AV22:AV23"/>
    <mergeCell ref="AW22:AW23"/>
    <mergeCell ref="B16:B17"/>
    <mergeCell ref="B18:B19"/>
    <mergeCell ref="B20:B21"/>
    <mergeCell ref="C16:M17"/>
    <mergeCell ref="N16:S17"/>
    <mergeCell ref="T16:U17"/>
    <mergeCell ref="AE18:AF19"/>
    <mergeCell ref="AE16:AF17"/>
    <mergeCell ref="AG16:AH17"/>
    <mergeCell ref="AB22:AD23"/>
    <mergeCell ref="AE22:AF23"/>
    <mergeCell ref="AW16:AW17"/>
    <mergeCell ref="AU16:AU17"/>
    <mergeCell ref="AV16:AV17"/>
    <mergeCell ref="AK20:AM21"/>
    <mergeCell ref="AN20:AQ21"/>
    <mergeCell ref="AG22:AH23"/>
    <mergeCell ref="AN22:AQ23"/>
    <mergeCell ref="AX16:AX17"/>
    <mergeCell ref="AU18:AU19"/>
    <mergeCell ref="AV18:AV19"/>
    <mergeCell ref="AW18:AW19"/>
    <mergeCell ref="AX18:AX19"/>
    <mergeCell ref="AU14:AU15"/>
    <mergeCell ref="AV14:AV15"/>
    <mergeCell ref="AW14:AW15"/>
    <mergeCell ref="AX14:AX15"/>
    <mergeCell ref="AY20:AY21"/>
    <mergeCell ref="AY22:AY23"/>
    <mergeCell ref="AY14:AY15"/>
    <mergeCell ref="AY16:AY17"/>
    <mergeCell ref="AY18:AY19"/>
    <mergeCell ref="BC22:BC23"/>
    <mergeCell ref="BC24:BC25"/>
    <mergeCell ref="BC26:BC27"/>
    <mergeCell ref="BC28:BC29"/>
    <mergeCell ref="AY24:AY25"/>
    <mergeCell ref="AY26:AY27"/>
    <mergeCell ref="AY28:AY29"/>
    <mergeCell ref="BC14:BC15"/>
    <mergeCell ref="BC16:BC17"/>
    <mergeCell ref="BC18:BC19"/>
    <mergeCell ref="BC30:BC31"/>
    <mergeCell ref="AW26:AW27"/>
    <mergeCell ref="AX26:AX27"/>
    <mergeCell ref="AI26:AJ27"/>
    <mergeCell ref="AK26:AM27"/>
    <mergeCell ref="AX22:AX23"/>
    <mergeCell ref="C20:M21"/>
    <mergeCell ref="N20:S21"/>
    <mergeCell ref="T20:U21"/>
    <mergeCell ref="V20:W21"/>
    <mergeCell ref="X20:AA21"/>
    <mergeCell ref="AB20:AD21"/>
    <mergeCell ref="AE20:AF21"/>
    <mergeCell ref="AG20:AH21"/>
    <mergeCell ref="BC20:BC21"/>
    <mergeCell ref="AX20:AX21"/>
    <mergeCell ref="AI20:AJ21"/>
    <mergeCell ref="AB24:AD25"/>
    <mergeCell ref="AB26:AD27"/>
    <mergeCell ref="AE26:AF27"/>
    <mergeCell ref="N26:S27"/>
    <mergeCell ref="T26:U27"/>
    <mergeCell ref="V26:W27"/>
    <mergeCell ref="X26:AA27"/>
    <mergeCell ref="BC32:BC33"/>
    <mergeCell ref="BC34:BC35"/>
    <mergeCell ref="AW32:AW33"/>
    <mergeCell ref="AE24:AF25"/>
    <mergeCell ref="C22:M23"/>
    <mergeCell ref="N22:S23"/>
    <mergeCell ref="T22:U23"/>
    <mergeCell ref="V22:W23"/>
    <mergeCell ref="X22:AA23"/>
    <mergeCell ref="N30:S31"/>
    <mergeCell ref="T30:U31"/>
    <mergeCell ref="V30:W31"/>
    <mergeCell ref="X30:AA31"/>
    <mergeCell ref="C28:M29"/>
    <mergeCell ref="N28:S29"/>
    <mergeCell ref="T28:U29"/>
    <mergeCell ref="V28:W29"/>
    <mergeCell ref="X28:AA29"/>
    <mergeCell ref="C26:M27"/>
    <mergeCell ref="C24:M25"/>
    <mergeCell ref="N24:S25"/>
    <mergeCell ref="T24:U25"/>
    <mergeCell ref="V24:W25"/>
    <mergeCell ref="X24:AA25"/>
    <mergeCell ref="AB28:AD29"/>
    <mergeCell ref="AB34:AD35"/>
    <mergeCell ref="AE34:AF35"/>
    <mergeCell ref="AG34:AH35"/>
    <mergeCell ref="AI34:AJ35"/>
    <mergeCell ref="AK34:AM35"/>
    <mergeCell ref="AN34:AQ35"/>
    <mergeCell ref="AE32:AF33"/>
    <mergeCell ref="AG32:AH33"/>
    <mergeCell ref="AI32:AJ33"/>
    <mergeCell ref="AK32:AM33"/>
    <mergeCell ref="AN32:AQ33"/>
    <mergeCell ref="AB32:AD33"/>
    <mergeCell ref="AE30:AF31"/>
    <mergeCell ref="AG30:AH31"/>
    <mergeCell ref="AI30:AJ31"/>
    <mergeCell ref="AK30:AM31"/>
    <mergeCell ref="AN30:AQ31"/>
    <mergeCell ref="AE28:AF29"/>
    <mergeCell ref="AG28:AH29"/>
    <mergeCell ref="AI28:AJ29"/>
    <mergeCell ref="AK28:AM29"/>
    <mergeCell ref="AN28:AQ29"/>
    <mergeCell ref="B34:B35"/>
    <mergeCell ref="C36:M37"/>
    <mergeCell ref="N36:S37"/>
    <mergeCell ref="T36:U37"/>
    <mergeCell ref="V36:W37"/>
    <mergeCell ref="X36:AA37"/>
    <mergeCell ref="B36:B37"/>
    <mergeCell ref="B22:B23"/>
    <mergeCell ref="B24:B25"/>
    <mergeCell ref="B26:B27"/>
    <mergeCell ref="B28:B29"/>
    <mergeCell ref="B30:B31"/>
    <mergeCell ref="B32:B33"/>
    <mergeCell ref="C34:M35"/>
    <mergeCell ref="N34:S35"/>
    <mergeCell ref="T34:U35"/>
    <mergeCell ref="V34:W35"/>
    <mergeCell ref="X34:AA35"/>
    <mergeCell ref="C32:M33"/>
    <mergeCell ref="N32:S33"/>
    <mergeCell ref="T32:U33"/>
    <mergeCell ref="V32:W33"/>
    <mergeCell ref="X32:AA33"/>
    <mergeCell ref="C30:M31"/>
    <mergeCell ref="C38:M39"/>
    <mergeCell ref="N38:S39"/>
    <mergeCell ref="T38:U39"/>
    <mergeCell ref="V38:W39"/>
    <mergeCell ref="X38:AA39"/>
    <mergeCell ref="AB38:AD39"/>
    <mergeCell ref="AE38:AF39"/>
    <mergeCell ref="AG38:AH39"/>
    <mergeCell ref="AB36:AD37"/>
    <mergeCell ref="AE36:AF37"/>
    <mergeCell ref="AG36:AH37"/>
    <mergeCell ref="C40:M41"/>
    <mergeCell ref="N40:S41"/>
    <mergeCell ref="T40:U41"/>
    <mergeCell ref="V40:W41"/>
    <mergeCell ref="X40:AA41"/>
    <mergeCell ref="AB40:AD41"/>
    <mergeCell ref="AE40:AF41"/>
    <mergeCell ref="AI40:AJ41"/>
    <mergeCell ref="AK40:AM41"/>
    <mergeCell ref="AG40:AH41"/>
    <mergeCell ref="AE42:AF43"/>
    <mergeCell ref="AG42:AH43"/>
    <mergeCell ref="AI42:AJ43"/>
    <mergeCell ref="AK42:AM43"/>
    <mergeCell ref="AN42:AQ43"/>
    <mergeCell ref="C44:M45"/>
    <mergeCell ref="N44:S45"/>
    <mergeCell ref="T44:U45"/>
    <mergeCell ref="V44:W45"/>
    <mergeCell ref="X44:AA45"/>
    <mergeCell ref="BC36:BC37"/>
    <mergeCell ref="BC38:BC39"/>
    <mergeCell ref="BC40:BC41"/>
    <mergeCell ref="BC42:BC43"/>
    <mergeCell ref="BC44:BC45"/>
    <mergeCell ref="AY40:AY41"/>
    <mergeCell ref="AW36:AW37"/>
    <mergeCell ref="AX36:AX37"/>
    <mergeCell ref="AW38:AW39"/>
    <mergeCell ref="AX38:AX39"/>
    <mergeCell ref="AW40:AW41"/>
    <mergeCell ref="AX40:AX41"/>
    <mergeCell ref="AY38:AY39"/>
    <mergeCell ref="B38:B39"/>
    <mergeCell ref="B40:B41"/>
    <mergeCell ref="B42:B43"/>
    <mergeCell ref="B44:B45"/>
    <mergeCell ref="C50:M51"/>
    <mergeCell ref="N50:S51"/>
    <mergeCell ref="B50:B51"/>
    <mergeCell ref="AB44:AD45"/>
    <mergeCell ref="AE44:AF45"/>
    <mergeCell ref="C46:AQ47"/>
    <mergeCell ref="C48:M49"/>
    <mergeCell ref="N48:S49"/>
    <mergeCell ref="T48:U49"/>
    <mergeCell ref="V48:W49"/>
    <mergeCell ref="X48:AA49"/>
    <mergeCell ref="AB48:AD49"/>
    <mergeCell ref="AN40:AQ41"/>
    <mergeCell ref="C42:M43"/>
    <mergeCell ref="N42:S43"/>
    <mergeCell ref="T42:U43"/>
    <mergeCell ref="V42:W43"/>
    <mergeCell ref="X42:AA43"/>
    <mergeCell ref="AB42:AD43"/>
    <mergeCell ref="AI44:AJ45"/>
    <mergeCell ref="AK48:AM49"/>
    <mergeCell ref="AN48:AQ49"/>
    <mergeCell ref="AW42:AW43"/>
    <mergeCell ref="AX42:AX43"/>
    <mergeCell ref="AW44:AW45"/>
    <mergeCell ref="AX44:AX45"/>
    <mergeCell ref="AU36:AU37"/>
    <mergeCell ref="AU38:AU39"/>
    <mergeCell ref="AU40:AU41"/>
    <mergeCell ref="AU42:AU43"/>
    <mergeCell ref="AU44:AU45"/>
    <mergeCell ref="AV36:AV37"/>
    <mergeCell ref="AV38:AV39"/>
    <mergeCell ref="AV40:AV41"/>
    <mergeCell ref="AV42:AV43"/>
    <mergeCell ref="AV44:AV45"/>
    <mergeCell ref="AY30:AY31"/>
    <mergeCell ref="AY32:AY33"/>
    <mergeCell ref="AY34:AY35"/>
    <mergeCell ref="AY36:AY37"/>
    <mergeCell ref="AW50:AW51"/>
    <mergeCell ref="AX50:AX51"/>
    <mergeCell ref="AY50:AY51"/>
    <mergeCell ref="AG52:AH53"/>
    <mergeCell ref="AI52:AJ53"/>
    <mergeCell ref="AK52:AM53"/>
    <mergeCell ref="AN52:AQ53"/>
    <mergeCell ref="AY42:AY43"/>
    <mergeCell ref="AY44:AY45"/>
    <mergeCell ref="AG50:AH51"/>
    <mergeCell ref="AG44:AH45"/>
    <mergeCell ref="AK44:AM45"/>
    <mergeCell ref="AN44:AQ45"/>
    <mergeCell ref="AK36:AM37"/>
    <mergeCell ref="AN36:AQ37"/>
    <mergeCell ref="AI36:AJ37"/>
    <mergeCell ref="AI38:AJ39"/>
    <mergeCell ref="AK38:AM39"/>
    <mergeCell ref="AN38:AQ39"/>
    <mergeCell ref="AI48:AJ49"/>
    <mergeCell ref="BC50:BC51"/>
    <mergeCell ref="C52:M53"/>
    <mergeCell ref="N52:S53"/>
    <mergeCell ref="T52:U53"/>
    <mergeCell ref="V52:W53"/>
    <mergeCell ref="X52:AA53"/>
    <mergeCell ref="AU50:AU51"/>
    <mergeCell ref="AV50:AV51"/>
    <mergeCell ref="AI50:AJ51"/>
    <mergeCell ref="AK50:AM51"/>
    <mergeCell ref="AN50:AQ51"/>
    <mergeCell ref="T50:U51"/>
    <mergeCell ref="AU52:AU53"/>
    <mergeCell ref="AV52:AV53"/>
    <mergeCell ref="AW52:AW53"/>
    <mergeCell ref="AX52:AX53"/>
    <mergeCell ref="AY52:AY53"/>
    <mergeCell ref="V50:W51"/>
    <mergeCell ref="X50:AA51"/>
    <mergeCell ref="AB50:AD51"/>
    <mergeCell ref="AE50:AF51"/>
    <mergeCell ref="AI56:AJ57"/>
    <mergeCell ref="AK56:AM57"/>
    <mergeCell ref="AN56:AQ57"/>
    <mergeCell ref="AE54:AF55"/>
    <mergeCell ref="AG54:AH55"/>
    <mergeCell ref="AI54:AJ55"/>
    <mergeCell ref="AK54:AM55"/>
    <mergeCell ref="AN54:AQ55"/>
    <mergeCell ref="AB54:AD55"/>
    <mergeCell ref="C56:M57"/>
    <mergeCell ref="N56:S57"/>
    <mergeCell ref="T56:U57"/>
    <mergeCell ref="V56:W57"/>
    <mergeCell ref="X56:AA57"/>
    <mergeCell ref="C54:M55"/>
    <mergeCell ref="N54:S55"/>
    <mergeCell ref="T54:U55"/>
    <mergeCell ref="V54:W55"/>
    <mergeCell ref="X54:AA55"/>
    <mergeCell ref="AI60:AJ61"/>
    <mergeCell ref="AK60:AM61"/>
    <mergeCell ref="AN60:AQ61"/>
    <mergeCell ref="AE58:AF59"/>
    <mergeCell ref="AG58:AH59"/>
    <mergeCell ref="AI58:AJ59"/>
    <mergeCell ref="AK58:AM59"/>
    <mergeCell ref="AN58:AQ59"/>
    <mergeCell ref="C60:M61"/>
    <mergeCell ref="N60:S61"/>
    <mergeCell ref="T60:U61"/>
    <mergeCell ref="V60:W61"/>
    <mergeCell ref="X60:AA61"/>
    <mergeCell ref="C58:M59"/>
    <mergeCell ref="N58:S59"/>
    <mergeCell ref="T58:U59"/>
    <mergeCell ref="V58:W59"/>
    <mergeCell ref="X58:AA59"/>
    <mergeCell ref="AB58:AD59"/>
    <mergeCell ref="AI64:AJ65"/>
    <mergeCell ref="AK64:AM65"/>
    <mergeCell ref="AN64:AQ65"/>
    <mergeCell ref="AE62:AF63"/>
    <mergeCell ref="AG62:AH63"/>
    <mergeCell ref="AI62:AJ63"/>
    <mergeCell ref="AK62:AM63"/>
    <mergeCell ref="AN62:AQ63"/>
    <mergeCell ref="C64:M65"/>
    <mergeCell ref="N64:S65"/>
    <mergeCell ref="T64:U65"/>
    <mergeCell ref="V64:W65"/>
    <mergeCell ref="X64:AA65"/>
    <mergeCell ref="C62:M63"/>
    <mergeCell ref="N62:S63"/>
    <mergeCell ref="T62:U63"/>
    <mergeCell ref="V62:W63"/>
    <mergeCell ref="X62:AA63"/>
    <mergeCell ref="AB62:AD63"/>
    <mergeCell ref="B64:B65"/>
    <mergeCell ref="AE14:AH14"/>
    <mergeCell ref="AE15:AF15"/>
    <mergeCell ref="AG15:AH15"/>
    <mergeCell ref="AE48:AH48"/>
    <mergeCell ref="AE49:AF49"/>
    <mergeCell ref="AG49:AH49"/>
    <mergeCell ref="B52:B53"/>
    <mergeCell ref="B54:B55"/>
    <mergeCell ref="B56:B57"/>
    <mergeCell ref="B58:B59"/>
    <mergeCell ref="B60:B61"/>
    <mergeCell ref="B62:B63"/>
    <mergeCell ref="AB64:AD65"/>
    <mergeCell ref="AE64:AF65"/>
    <mergeCell ref="AG64:AH65"/>
    <mergeCell ref="AB60:AD61"/>
    <mergeCell ref="AE60:AF61"/>
    <mergeCell ref="AG60:AH61"/>
    <mergeCell ref="AB56:AD57"/>
    <mergeCell ref="AE56:AF57"/>
    <mergeCell ref="AG56:AH57"/>
    <mergeCell ref="AB52:AD53"/>
    <mergeCell ref="AE52:AF53"/>
    <mergeCell ref="AU54:AU55"/>
    <mergeCell ref="AV54:AV55"/>
    <mergeCell ref="AW54:AW55"/>
    <mergeCell ref="AX54:AX55"/>
    <mergeCell ref="AY54:AY55"/>
    <mergeCell ref="AU62:AU63"/>
    <mergeCell ref="AV62:AV63"/>
    <mergeCell ref="AW62:AW63"/>
    <mergeCell ref="AX62:AX63"/>
    <mergeCell ref="AY62:AY63"/>
    <mergeCell ref="AU56:AU57"/>
    <mergeCell ref="AV56:AV57"/>
    <mergeCell ref="AW56:AW57"/>
    <mergeCell ref="AX56:AX57"/>
    <mergeCell ref="AY56:AY57"/>
    <mergeCell ref="AU58:AU59"/>
    <mergeCell ref="AV58:AV59"/>
    <mergeCell ref="AW58:AW59"/>
    <mergeCell ref="AX58:AX59"/>
    <mergeCell ref="AY58:AY59"/>
    <mergeCell ref="F11:P12"/>
    <mergeCell ref="AZ200:AZ201"/>
    <mergeCell ref="BA200:BA201"/>
    <mergeCell ref="BC62:BC63"/>
    <mergeCell ref="BC64:BC65"/>
    <mergeCell ref="AE11:AH11"/>
    <mergeCell ref="AE12:AH13"/>
    <mergeCell ref="AU200:AU201"/>
    <mergeCell ref="AV200:AV201"/>
    <mergeCell ref="AW200:AW201"/>
    <mergeCell ref="AX200:AX201"/>
    <mergeCell ref="AY200:AY201"/>
    <mergeCell ref="AU64:AU65"/>
    <mergeCell ref="AV64:AV65"/>
    <mergeCell ref="AW64:AW65"/>
    <mergeCell ref="AX64:AX65"/>
    <mergeCell ref="AY64:AY65"/>
    <mergeCell ref="BC52:BC53"/>
    <mergeCell ref="BC54:BC55"/>
    <mergeCell ref="BC56:BC57"/>
    <mergeCell ref="BC58:BC59"/>
    <mergeCell ref="BC60:BC61"/>
    <mergeCell ref="AU60:AU61"/>
    <mergeCell ref="AV60:AV61"/>
    <mergeCell ref="BE14:BE15"/>
    <mergeCell ref="BE16:BE17"/>
    <mergeCell ref="BE18:BE19"/>
    <mergeCell ref="BE20:BE21"/>
    <mergeCell ref="BE22:BE23"/>
    <mergeCell ref="BE24:BE25"/>
    <mergeCell ref="BE26:BE27"/>
    <mergeCell ref="BE28:BE29"/>
    <mergeCell ref="BE30:BE31"/>
    <mergeCell ref="B66:B67"/>
    <mergeCell ref="BE32:BE33"/>
    <mergeCell ref="BE34:BE35"/>
    <mergeCell ref="BE36:BE37"/>
    <mergeCell ref="BE38:BE39"/>
    <mergeCell ref="BE40:BE41"/>
    <mergeCell ref="BE42:BE43"/>
    <mergeCell ref="BE44:BE45"/>
    <mergeCell ref="C66:M67"/>
    <mergeCell ref="N66:S67"/>
    <mergeCell ref="T66:U67"/>
    <mergeCell ref="V66:W67"/>
    <mergeCell ref="X66:AA67"/>
    <mergeCell ref="AB66:AD67"/>
    <mergeCell ref="AE66:AF67"/>
    <mergeCell ref="AG66:AH67"/>
    <mergeCell ref="AI66:AJ67"/>
    <mergeCell ref="AK66:AM67"/>
    <mergeCell ref="AN66:AQ67"/>
    <mergeCell ref="AY66:AY67"/>
    <mergeCell ref="BA66:BA67"/>
    <mergeCell ref="AW60:AW61"/>
    <mergeCell ref="AX60:AX61"/>
    <mergeCell ref="AY60:AY61"/>
  </mergeCells>
  <conditionalFormatting sqref="AH2 AL2">
    <cfRule type="expression" dxfId="160" priority="7">
      <formula>PROJSTATUS=PROJSTATELI</formula>
    </cfRule>
    <cfRule type="expression" dxfId="159" priority="8">
      <formula>PROJSTATUS=PROJSTATREVIEW</formula>
    </cfRule>
    <cfRule type="expression" dxfId="158" priority="12">
      <formula>PROJSTATUS=PROJSTATPREAPPROVE</formula>
    </cfRule>
    <cfRule type="expression" dxfId="157" priority="13">
      <formula>PROJSTATUS=PROJSTATSTANDARD</formula>
    </cfRule>
    <cfRule type="expression" dxfId="156" priority="14">
      <formula>PROJSTATUS=PROJSTATEXP</formula>
    </cfRule>
  </conditionalFormatting>
  <conditionalFormatting sqref="AN16:AQ45">
    <cfRule type="expression" dxfId="155" priority="1">
      <formula>ISNUMBER(AN16)=FALSE</formula>
    </cfRule>
  </conditionalFormatting>
  <conditionalFormatting sqref="AQ2:AR3">
    <cfRule type="cellIs" dxfId="154" priority="9" operator="equal">
      <formula>1</formula>
    </cfRule>
    <cfRule type="cellIs" dxfId="153" priority="10" operator="between">
      <formula>0.51</formula>
      <formula>0.99</formula>
    </cfRule>
    <cfRule type="cellIs" dxfId="152" priority="11" operator="lessThanOrEqual">
      <formula>0.5</formula>
    </cfRule>
  </conditionalFormatting>
  <dataValidations count="6">
    <dataValidation type="list" allowBlank="1" showInputMessage="1" showErrorMessage="1" sqref="C16:M45" xr:uid="{6E68B49D-45CC-4BD0-8E2A-E4247D31FB06}">
      <formula1>PMEAGGEFF1</formula1>
    </dataValidation>
    <dataValidation type="list" allowBlank="1" showInputMessage="1" showErrorMessage="1" sqref="C50:M65" xr:uid="{473BA764-366B-47F8-80DF-207D0A031C37}">
      <formula1>PMGAGGEFF1</formula1>
    </dataValidation>
    <dataValidation type="decimal" allowBlank="1" showInputMessage="1" showErrorMessage="1" prompt="This is the TOTAL Material Cost of the measure, NOT a per unit basis." sqref="AE16:AF45" xr:uid="{3EF82A1E-8C03-40F0-A39F-175C43A453F2}">
      <formula1>0</formula1>
      <formula2>999999999</formula2>
    </dataValidation>
    <dataValidation type="decimal" allowBlank="1" showInputMessage="1" showErrorMessage="1" prompt="This is the TOTAL Labor Cost of the measure, NOT a per unit basis." sqref="AG16:AH45" xr:uid="{1E449FA7-FB99-46CB-8092-D96F28944E3D}">
      <formula1>0</formula1>
      <formula2>9999999</formula2>
    </dataValidation>
    <dataValidation type="decimal" allowBlank="1" showInputMessage="1" showErrorMessage="1" prompt="This is the TOTAL Labor Cost of the measure, NOT a per unit basis." sqref="AG50:AH65" xr:uid="{7B7D1324-EAA0-4800-A24A-26F4344AE7FE}">
      <formula1>0</formula1>
      <formula2>999999999</formula2>
    </dataValidation>
    <dataValidation type="decimal" allowBlank="1" showInputMessage="1" showErrorMessage="1" prompt="This is the TOTAL Material Cost of the measure, NOT a per unit basis." sqref="AE50:AF65" xr:uid="{4CA671D9-64E0-433D-9358-2605C8F326E7}">
      <formula1>0</formula1>
      <formula2>99999999999</formula2>
    </dataValidation>
  </dataValidations>
  <hyperlinks>
    <hyperlink ref="B202" r:id="rId1" xr:uid="{20AF3DF3-789F-41A5-9ACD-EFA774C945EF}"/>
  </hyperlinks>
  <pageMargins left="0.7" right="0.7" top="0.75" bottom="0.75" header="0.3" footer="0.3"/>
  <pageSetup orientation="portrait" horizontalDpi="1200" verticalDpi="1200" r:id="rId2"/>
  <drawing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31">
    <pageSetUpPr fitToPage="1"/>
  </sheetPr>
  <dimension ref="A1:BE202"/>
  <sheetViews>
    <sheetView showGridLines="0" showRowColHeaders="0" zoomScale="85" zoomScaleNormal="85" workbookViewId="0">
      <selection activeCell="C16" sqref="C16:M17"/>
    </sheetView>
  </sheetViews>
  <sheetFormatPr defaultColWidth="0" defaultRowHeight="15" customHeight="1" zeroHeight="1"/>
  <cols>
    <col min="1" max="45" width="4.7109375" customWidth="1"/>
    <col min="46" max="46" width="4.7109375" hidden="1" customWidth="1"/>
    <col min="47" max="78" width="9.140625" hidden="1" customWidth="1"/>
    <col min="79" max="16384" width="9.140625" hidden="1"/>
  </cols>
  <sheetData>
    <row r="1" spans="2:57" ht="15.95" customHeight="1">
      <c r="AH1" s="1079" t="s">
        <v>471</v>
      </c>
      <c r="AI1" s="1079"/>
      <c r="AJ1" s="1079"/>
      <c r="AK1" s="1079"/>
      <c r="AL1" s="1080" t="s">
        <v>736</v>
      </c>
      <c r="AM1" s="1080"/>
      <c r="AN1" s="1080"/>
      <c r="AO1" s="1080"/>
      <c r="AP1" s="1080"/>
      <c r="AQ1" s="1078" t="s">
        <v>474</v>
      </c>
      <c r="AR1" s="1078"/>
    </row>
    <row r="2" spans="2:57" ht="15.95" customHeight="1">
      <c r="AH2" s="688" t="str">
        <f ca="1">INCENSTATUS</f>
        <v>---</v>
      </c>
      <c r="AI2" s="689"/>
      <c r="AJ2" s="689"/>
      <c r="AK2" s="689"/>
      <c r="AL2" s="690" t="str">
        <f ca="1">PROJSTATUS</f>
        <v>Enter Measures</v>
      </c>
      <c r="AM2" s="690"/>
      <c r="AN2" s="690"/>
      <c r="AO2" s="690"/>
      <c r="AP2" s="690"/>
      <c r="AQ2" s="684">
        <f ca="1">PROGRESSSTATUS</f>
        <v>2.8985507246376812E-2</v>
      </c>
      <c r="AR2" s="685"/>
    </row>
    <row r="3" spans="2:57" ht="15.95" customHeight="1">
      <c r="AH3" s="680"/>
      <c r="AI3" s="681"/>
      <c r="AJ3" s="681"/>
      <c r="AK3" s="681"/>
      <c r="AL3" s="673"/>
      <c r="AM3" s="673"/>
      <c r="AN3" s="673"/>
      <c r="AO3" s="673"/>
      <c r="AP3" s="673"/>
      <c r="AQ3" s="667"/>
      <c r="AR3" s="668"/>
    </row>
    <row r="4" spans="2:57" ht="15.95" customHeight="1"/>
    <row r="5" spans="2:57" ht="15.95" customHeight="1"/>
    <row r="6" spans="2:57" ht="15.95" customHeight="1">
      <c r="AU6" s="59" t="s">
        <v>907</v>
      </c>
      <c r="AV6" s="59">
        <f>PROJID</f>
        <v>0</v>
      </c>
      <c r="AW6" s="59"/>
      <c r="AX6" s="59"/>
    </row>
    <row r="7" spans="2:57" ht="15.95" customHeight="1">
      <c r="AU7" s="87"/>
      <c r="AV7" s="87" t="s">
        <v>866</v>
      </c>
      <c r="AW7" s="87" t="s">
        <v>231</v>
      </c>
      <c r="AX7" s="87" t="s">
        <v>892</v>
      </c>
    </row>
    <row r="8" spans="2:57" ht="15.95" customHeight="1">
      <c r="AU8" s="87" t="s">
        <v>219</v>
      </c>
      <c r="AV8" s="87" t="str">
        <f ca="1">CBPRESE</f>
        <v>NA</v>
      </c>
      <c r="AW8" s="87" t="str">
        <f ca="1">CBCUSE</f>
        <v>NA</v>
      </c>
      <c r="AX8" s="87" t="str">
        <f ca="1">CBALL</f>
        <v>NA</v>
      </c>
    </row>
    <row r="9" spans="2:57" ht="15.95" customHeight="1">
      <c r="B9" s="59"/>
      <c r="C9" s="59"/>
      <c r="D9" s="59"/>
      <c r="E9" s="59"/>
      <c r="F9" s="59"/>
      <c r="G9" s="59"/>
      <c r="H9" s="59"/>
      <c r="I9" s="59"/>
      <c r="J9" s="59"/>
      <c r="K9" s="59"/>
      <c r="L9" s="59"/>
      <c r="M9" s="59"/>
      <c r="N9" s="59"/>
      <c r="O9" s="59"/>
      <c r="P9" s="59"/>
      <c r="Q9" s="59"/>
      <c r="R9" s="735" t="str">
        <f>CONCATENATE(M3S6," ","Summary")</f>
        <v>HVAC 
(Gas) Summary</v>
      </c>
      <c r="S9" s="735"/>
      <c r="T9" s="735"/>
      <c r="U9" s="735"/>
      <c r="V9" s="735"/>
      <c r="W9" s="735"/>
      <c r="X9" s="735"/>
      <c r="Y9" s="735"/>
      <c r="Z9" s="735"/>
      <c r="AA9" s="735"/>
      <c r="AB9" s="735"/>
      <c r="AC9" s="735"/>
      <c r="AD9" s="735"/>
      <c r="AE9" s="59"/>
      <c r="AF9" s="59"/>
      <c r="AG9" s="59"/>
      <c r="AH9" s="59"/>
      <c r="AI9" s="59"/>
      <c r="AJ9" s="59"/>
      <c r="AK9" s="59"/>
      <c r="AL9" s="59"/>
      <c r="AM9" s="59"/>
      <c r="AN9" s="59"/>
      <c r="AO9" s="59"/>
      <c r="AP9" s="59"/>
      <c r="AQ9" s="59"/>
      <c r="AR9" s="59"/>
      <c r="AU9" s="87"/>
      <c r="AV9" s="87"/>
      <c r="AW9" s="87"/>
      <c r="AX9" s="87"/>
    </row>
    <row r="10" spans="2:57" ht="15.95" customHeight="1">
      <c r="B10" s="59"/>
      <c r="C10" s="59"/>
      <c r="D10" s="59"/>
      <c r="E10" s="59"/>
      <c r="F10" s="59"/>
      <c r="G10" s="59"/>
      <c r="H10" s="59"/>
      <c r="I10" s="59"/>
      <c r="J10" s="59"/>
      <c r="K10" s="59"/>
      <c r="L10" s="59"/>
      <c r="M10" s="59"/>
      <c r="N10" s="59"/>
      <c r="O10" s="59"/>
      <c r="P10" s="59"/>
      <c r="Q10" s="59"/>
      <c r="R10" s="735"/>
      <c r="S10" s="735"/>
      <c r="T10" s="735"/>
      <c r="U10" s="735"/>
      <c r="V10" s="735"/>
      <c r="W10" s="735"/>
      <c r="X10" s="735"/>
      <c r="Y10" s="735"/>
      <c r="Z10" s="735"/>
      <c r="AA10" s="735"/>
      <c r="AB10" s="735"/>
      <c r="AC10" s="735"/>
      <c r="AD10" s="735"/>
      <c r="AE10" s="59"/>
      <c r="AF10" s="59"/>
      <c r="AG10" s="59"/>
      <c r="AH10" s="59"/>
      <c r="AI10" s="59"/>
      <c r="AJ10" s="59"/>
      <c r="AK10" s="59"/>
      <c r="AL10" s="59"/>
      <c r="AM10" s="59"/>
      <c r="AN10" s="59"/>
      <c r="AO10" s="59"/>
      <c r="AP10" s="59"/>
      <c r="AQ10" s="59"/>
      <c r="AR10" s="59"/>
      <c r="AU10" s="87" t="s">
        <v>581</v>
      </c>
      <c r="AV10" s="87" t="str">
        <f ca="1">PAYPRESE</f>
        <v>NA</v>
      </c>
      <c r="AW10" s="87" t="str">
        <f ca="1">PAYCUSE</f>
        <v>NA</v>
      </c>
      <c r="AX10" s="367" t="str">
        <f ca="1">PAYALL</f>
        <v>NA</v>
      </c>
    </row>
    <row r="11" spans="2:57" ht="15.95" customHeight="1">
      <c r="B11" s="59"/>
      <c r="C11" s="59"/>
      <c r="D11" s="59"/>
      <c r="E11" s="59"/>
      <c r="F11" s="59"/>
      <c r="I11" s="59"/>
      <c r="J11" s="59"/>
      <c r="K11" s="59"/>
      <c r="L11" s="59"/>
      <c r="M11" s="59"/>
      <c r="N11" s="59"/>
      <c r="O11" s="59"/>
      <c r="P11" s="59"/>
      <c r="Q11" s="59"/>
      <c r="R11" s="836" t="s">
        <v>68</v>
      </c>
      <c r="S11" s="836"/>
      <c r="T11" s="836"/>
      <c r="U11" s="836"/>
      <c r="V11" s="836" t="s">
        <v>69</v>
      </c>
      <c r="W11" s="836"/>
      <c r="X11" s="836"/>
      <c r="Y11" s="836"/>
      <c r="Z11" s="836" t="s">
        <v>198</v>
      </c>
      <c r="AA11" s="836"/>
      <c r="AB11" s="836"/>
      <c r="AC11" s="836"/>
      <c r="AE11" s="59"/>
      <c r="AF11" s="901" t="s">
        <v>2101</v>
      </c>
      <c r="AG11" s="901"/>
      <c r="AH11" s="901"/>
      <c r="AI11" s="901"/>
      <c r="AK11" s="59"/>
      <c r="AL11" s="59"/>
      <c r="AM11" s="59"/>
      <c r="AN11" s="59"/>
      <c r="AO11" s="59"/>
      <c r="AP11" s="59"/>
      <c r="AQ11" s="59"/>
      <c r="AR11" s="59"/>
    </row>
    <row r="12" spans="2:57" ht="15.95" customHeight="1">
      <c r="B12" s="59"/>
      <c r="C12" s="59"/>
      <c r="D12" s="59"/>
      <c r="E12" s="59"/>
      <c r="F12" s="59"/>
      <c r="I12" s="59"/>
      <c r="J12" s="59"/>
      <c r="K12" s="59"/>
      <c r="L12" s="59"/>
      <c r="M12" s="59"/>
      <c r="N12" s="59"/>
      <c r="O12" s="59"/>
      <c r="P12" s="59"/>
      <c r="Q12" s="59"/>
      <c r="R12" s="880">
        <f ca="1">SUM(AN16:AQ199)</f>
        <v>0</v>
      </c>
      <c r="S12" s="880"/>
      <c r="T12" s="880"/>
      <c r="U12" s="880"/>
      <c r="V12" s="880">
        <f>AU200</f>
        <v>0</v>
      </c>
      <c r="W12" s="880"/>
      <c r="X12" s="880"/>
      <c r="Y12" s="880"/>
      <c r="Z12" s="1003">
        <f ca="1">SUMIF(AN16:AQ199,"&gt;0",AK16:AM199)</f>
        <v>0</v>
      </c>
      <c r="AA12" s="1003"/>
      <c r="AB12" s="1003"/>
      <c r="AC12" s="1003"/>
      <c r="AE12" s="59"/>
      <c r="AF12" s="902">
        <f ca="1">IFERROR(IF(AN66="",0,AN66),0)</f>
        <v>0</v>
      </c>
      <c r="AG12" s="902"/>
      <c r="AH12" s="902"/>
      <c r="AI12" s="902"/>
      <c r="AJ12" s="59"/>
      <c r="AK12" s="59"/>
      <c r="AL12" s="59"/>
      <c r="AM12" s="59"/>
      <c r="AN12" s="59"/>
      <c r="AO12" s="59"/>
      <c r="AP12" s="59"/>
      <c r="AQ12" s="59"/>
      <c r="AR12" s="59"/>
    </row>
    <row r="13" spans="2:57" ht="15.95" customHeight="1">
      <c r="B13" s="59"/>
      <c r="C13" s="59"/>
      <c r="D13" s="59"/>
      <c r="E13" s="59"/>
      <c r="F13" s="59"/>
      <c r="G13" s="59"/>
      <c r="H13" s="59"/>
      <c r="I13" s="59"/>
      <c r="J13" s="59"/>
      <c r="K13" s="59"/>
      <c r="L13" s="59"/>
      <c r="M13" s="59"/>
      <c r="N13" s="59"/>
      <c r="O13" s="59"/>
      <c r="P13" s="59"/>
      <c r="Q13" s="59"/>
      <c r="R13" s="880"/>
      <c r="S13" s="880"/>
      <c r="T13" s="880"/>
      <c r="U13" s="880"/>
      <c r="V13" s="880"/>
      <c r="W13" s="880"/>
      <c r="X13" s="880"/>
      <c r="Y13" s="880"/>
      <c r="Z13" s="1003"/>
      <c r="AA13" s="1003"/>
      <c r="AB13" s="1003"/>
      <c r="AC13" s="1003"/>
      <c r="AE13" s="59"/>
      <c r="AF13" s="902"/>
      <c r="AG13" s="902"/>
      <c r="AH13" s="902"/>
      <c r="AI13" s="902"/>
      <c r="AJ13" s="59"/>
      <c r="AK13" s="59"/>
      <c r="AL13" s="59"/>
      <c r="AM13" s="59"/>
      <c r="AN13" s="59"/>
      <c r="AO13" s="59"/>
      <c r="AP13" s="59"/>
      <c r="AQ13" s="59"/>
      <c r="AR13" s="59"/>
    </row>
    <row r="14" spans="2:57" ht="15.95" customHeight="1">
      <c r="C14" s="809" t="s">
        <v>99</v>
      </c>
      <c r="D14" s="809"/>
      <c r="E14" s="809"/>
      <c r="F14" s="809"/>
      <c r="G14" s="809"/>
      <c r="H14" s="809"/>
      <c r="I14" s="809"/>
      <c r="J14" s="809"/>
      <c r="K14" s="809"/>
      <c r="L14" s="809"/>
      <c r="M14" s="809"/>
      <c r="N14" s="809" t="s">
        <v>103</v>
      </c>
      <c r="O14" s="809"/>
      <c r="P14" s="809"/>
      <c r="Q14" s="809"/>
      <c r="R14" s="809"/>
      <c r="S14" s="809"/>
      <c r="T14" s="809" t="s">
        <v>100</v>
      </c>
      <c r="U14" s="809"/>
      <c r="V14" s="809" t="s">
        <v>91</v>
      </c>
      <c r="W14" s="809"/>
      <c r="X14" s="809" t="s">
        <v>115</v>
      </c>
      <c r="Y14" s="809"/>
      <c r="Z14" s="809"/>
      <c r="AA14" s="809"/>
      <c r="AB14" s="809" t="s">
        <v>104</v>
      </c>
      <c r="AC14" s="809"/>
      <c r="AD14" s="809"/>
      <c r="AE14" s="926" t="s">
        <v>1583</v>
      </c>
      <c r="AF14" s="926"/>
      <c r="AG14" s="926"/>
      <c r="AH14" s="926"/>
      <c r="AI14" s="809" t="s">
        <v>93</v>
      </c>
      <c r="AJ14" s="809"/>
      <c r="AK14" s="809" t="s">
        <v>1358</v>
      </c>
      <c r="AL14" s="809"/>
      <c r="AM14" s="809"/>
      <c r="AN14" s="809" t="s">
        <v>108</v>
      </c>
      <c r="AO14" s="809"/>
      <c r="AP14" s="809"/>
      <c r="AQ14" s="809"/>
      <c r="AS14" s="59"/>
      <c r="AT14" s="59"/>
      <c r="AU14" s="809" t="s">
        <v>196</v>
      </c>
      <c r="AV14" s="809" t="s">
        <v>1924</v>
      </c>
      <c r="AW14" s="59"/>
      <c r="BC14" s="809" t="s">
        <v>489</v>
      </c>
      <c r="BE14" s="809" t="s">
        <v>2016</v>
      </c>
    </row>
    <row r="15" spans="2:57" ht="15.95" customHeight="1" thickBot="1">
      <c r="C15" s="810"/>
      <c r="D15" s="810"/>
      <c r="E15" s="810"/>
      <c r="F15" s="810"/>
      <c r="G15" s="810"/>
      <c r="H15" s="810"/>
      <c r="I15" s="810"/>
      <c r="J15" s="810"/>
      <c r="K15" s="810"/>
      <c r="L15" s="810"/>
      <c r="M15" s="810"/>
      <c r="N15" s="810"/>
      <c r="O15" s="810"/>
      <c r="P15" s="810"/>
      <c r="Q15" s="810"/>
      <c r="R15" s="810"/>
      <c r="S15" s="810"/>
      <c r="T15" s="810"/>
      <c r="U15" s="810"/>
      <c r="V15" s="810"/>
      <c r="W15" s="810"/>
      <c r="X15" s="810"/>
      <c r="Y15" s="810"/>
      <c r="Z15" s="810"/>
      <c r="AA15" s="810"/>
      <c r="AB15" s="810"/>
      <c r="AC15" s="810"/>
      <c r="AD15" s="810"/>
      <c r="AE15" s="927" t="s">
        <v>110</v>
      </c>
      <c r="AF15" s="927"/>
      <c r="AG15" s="927" t="s">
        <v>111</v>
      </c>
      <c r="AH15" s="927"/>
      <c r="AI15" s="810"/>
      <c r="AJ15" s="810"/>
      <c r="AK15" s="810"/>
      <c r="AL15" s="810"/>
      <c r="AM15" s="810"/>
      <c r="AN15" s="810"/>
      <c r="AO15" s="810"/>
      <c r="AP15" s="810"/>
      <c r="AQ15" s="810"/>
      <c r="AS15" s="59"/>
      <c r="AT15" s="59"/>
      <c r="AU15" s="810"/>
      <c r="AV15" s="810"/>
      <c r="AW15" s="59"/>
      <c r="BC15" s="810"/>
      <c r="BE15" s="810"/>
    </row>
    <row r="16" spans="2:57" ht="15.95" customHeight="1">
      <c r="B16" s="835">
        <v>1</v>
      </c>
      <c r="C16" s="871"/>
      <c r="D16" s="872"/>
      <c r="E16" s="872"/>
      <c r="F16" s="872"/>
      <c r="G16" s="872"/>
      <c r="H16" s="872"/>
      <c r="I16" s="872"/>
      <c r="J16" s="872"/>
      <c r="K16" s="872"/>
      <c r="L16" s="872"/>
      <c r="M16" s="873"/>
      <c r="N16" s="914" t="str">
        <f>IFERROR(IF(C16="","",INDEX(PMGHVAC[Base Desc 1],MATCH(C16,PMGHVAC[Eff Desc 1],0))),"")</f>
        <v/>
      </c>
      <c r="O16" s="915"/>
      <c r="P16" s="915"/>
      <c r="Q16" s="915"/>
      <c r="R16" s="915"/>
      <c r="S16" s="916"/>
      <c r="T16" s="953" t="str">
        <f>IFERROR(IF(C16="","",INDEX(PMGHVAC[Unit of Measure],MATCH(C16,PMGHVAC[Eff Desc 1],0))),"")</f>
        <v/>
      </c>
      <c r="U16" s="954"/>
      <c r="V16" s="876"/>
      <c r="W16" s="877"/>
      <c r="X16" s="837"/>
      <c r="Y16" s="838"/>
      <c r="Z16" s="838"/>
      <c r="AA16" s="839"/>
      <c r="AB16" s="837"/>
      <c r="AC16" s="838"/>
      <c r="AD16" s="839"/>
      <c r="AE16" s="863"/>
      <c r="AF16" s="874"/>
      <c r="AG16" s="863"/>
      <c r="AH16" s="874"/>
      <c r="AI16" s="923" t="str">
        <f>IFERROR(IF(C16="","",INDEX(PMGHVAC[Inc Rate Unit],MATCH(C16,PMGHVAC[Eff Desc 1],0))),"")</f>
        <v/>
      </c>
      <c r="AJ16" s="924"/>
      <c r="AK16" s="1004" t="str">
        <f>IF(OR(C16="",V16="",X16="",AB16="",AE16="",AG16=""),"",IF(AND(AV16&lt;1,AV16&gt;0),1,AV16))</f>
        <v/>
      </c>
      <c r="AL16" s="1005"/>
      <c r="AM16" s="1005"/>
      <c r="AN16" s="930" t="str">
        <f>IF(OR(C16="",V16="",X16="",AB16="",AE16="",AG16=""),"",IF(BC16&lt;&gt;"",BC16,MIN(AU16,ROUND(V16*AI16,2))))</f>
        <v/>
      </c>
      <c r="AO16" s="931"/>
      <c r="AP16" s="931"/>
      <c r="AQ16" s="868"/>
      <c r="AS16" s="59"/>
      <c r="AT16" s="59"/>
      <c r="AU16" s="813" t="str">
        <f>IF(OR(C16="",N16="",T16="",V16="",X16="",AI16="",AE16="",AB16=""),"",IF(AK16="","",ROUND((AE16+AG16),2)))</f>
        <v/>
      </c>
      <c r="AV16" s="1019" t="str">
        <f>IF(OR(C16="",V16="",X16="",AB16="",AE16="",AG16=""),"",ROUND(V16*INDEX(PMGHVAC[Savings per Unit Therm],MATCH(C16,PMGHVAC[Eff Desc 1],2)),0))</f>
        <v/>
      </c>
      <c r="AW16" s="59"/>
      <c r="BC16" s="830"/>
      <c r="BE16" s="811" t="str">
        <f ca="1">IF(OR(T16="",N16="",C16="",V16="",X16="",AB16="",AE16="",AG16=""),"",IF('M01-S01'!$V$82&lt;TODAY(),0,IF(M02S02F46="Electric Only",0,IF(ISNUMBER(SEARCH("Boiler Tune-Up",C16)),IF(OR(AK16="",AK16&lt;0,AU16&lt;=AN16),0,MIN(AU16-AN16,ROUND(AN16*0.2,2))),0))))</f>
        <v/>
      </c>
    </row>
    <row r="17" spans="2:57" ht="15.95" customHeight="1">
      <c r="B17" s="835"/>
      <c r="C17" s="840"/>
      <c r="D17" s="841"/>
      <c r="E17" s="841"/>
      <c r="F17" s="841"/>
      <c r="G17" s="841"/>
      <c r="H17" s="841"/>
      <c r="I17" s="841"/>
      <c r="J17" s="841"/>
      <c r="K17" s="841"/>
      <c r="L17" s="841"/>
      <c r="M17" s="842"/>
      <c r="N17" s="917"/>
      <c r="O17" s="918"/>
      <c r="P17" s="918"/>
      <c r="Q17" s="918"/>
      <c r="R17" s="918"/>
      <c r="S17" s="919"/>
      <c r="T17" s="955"/>
      <c r="U17" s="956"/>
      <c r="V17" s="853"/>
      <c r="W17" s="854"/>
      <c r="X17" s="840"/>
      <c r="Y17" s="841"/>
      <c r="Z17" s="841"/>
      <c r="AA17" s="842"/>
      <c r="AB17" s="840"/>
      <c r="AC17" s="841"/>
      <c r="AD17" s="842"/>
      <c r="AE17" s="865"/>
      <c r="AF17" s="875"/>
      <c r="AG17" s="865"/>
      <c r="AH17" s="875"/>
      <c r="AI17" s="925"/>
      <c r="AJ17" s="870"/>
      <c r="AK17" s="1007"/>
      <c r="AL17" s="1008"/>
      <c r="AM17" s="1008"/>
      <c r="AN17" s="925"/>
      <c r="AO17" s="932"/>
      <c r="AP17" s="932"/>
      <c r="AQ17" s="870"/>
      <c r="AS17" s="59"/>
      <c r="AT17" s="59"/>
      <c r="AU17" s="814"/>
      <c r="AV17" s="981"/>
      <c r="AW17" s="59"/>
      <c r="BC17" s="831"/>
      <c r="BE17" s="812"/>
    </row>
    <row r="18" spans="2:57" ht="15.95" customHeight="1">
      <c r="B18" s="834">
        <v>2</v>
      </c>
      <c r="C18" s="871"/>
      <c r="D18" s="872"/>
      <c r="E18" s="872"/>
      <c r="F18" s="872"/>
      <c r="G18" s="872"/>
      <c r="H18" s="872"/>
      <c r="I18" s="872"/>
      <c r="J18" s="872"/>
      <c r="K18" s="872"/>
      <c r="L18" s="872"/>
      <c r="M18" s="873"/>
      <c r="N18" s="914" t="str">
        <f>IFERROR(IF(C18="","",INDEX(PMGHVAC[Base Desc 1],MATCH(C18,PMGHVAC[Eff Desc 1],0))),"")</f>
        <v/>
      </c>
      <c r="O18" s="915"/>
      <c r="P18" s="915"/>
      <c r="Q18" s="915"/>
      <c r="R18" s="915"/>
      <c r="S18" s="916"/>
      <c r="T18" s="953" t="str">
        <f>IFERROR(IF(C18="","",INDEX(PMGHVAC[Unit of Measure],MATCH(C18,PMGHVAC[Eff Desc 1],0))),"")</f>
        <v/>
      </c>
      <c r="U18" s="954"/>
      <c r="V18" s="876"/>
      <c r="W18" s="877"/>
      <c r="X18" s="837"/>
      <c r="Y18" s="838"/>
      <c r="Z18" s="838"/>
      <c r="AA18" s="839"/>
      <c r="AB18" s="837"/>
      <c r="AC18" s="838"/>
      <c r="AD18" s="839"/>
      <c r="AE18" s="863"/>
      <c r="AF18" s="874"/>
      <c r="AG18" s="863"/>
      <c r="AH18" s="874"/>
      <c r="AI18" s="930" t="str">
        <f>IFERROR(IF(C18="","",INDEX(PMGHVAC[Inc Rate Unit],MATCH(C18,PMGHVAC[Eff Desc 1],0))),"")</f>
        <v/>
      </c>
      <c r="AJ18" s="868"/>
      <c r="AK18" s="1004" t="str">
        <f t="shared" ref="AK18" si="0">IF(OR(C18="",V18="",X18="",AB18="",AE18="",AG18=""),"",IF(AND(AV18&lt;1,AV18&gt;0),1,AV18))</f>
        <v/>
      </c>
      <c r="AL18" s="1005"/>
      <c r="AM18" s="1006"/>
      <c r="AN18" s="930" t="str">
        <f t="shared" ref="AN18" si="1">IF(OR(C18="",V18="",X18="",AB18="",AE18="",AG18=""),"",IF(BC18&lt;&gt;"",BC18,MIN(AU18,ROUND(V18*AI18,2))))</f>
        <v/>
      </c>
      <c r="AO18" s="931"/>
      <c r="AP18" s="931"/>
      <c r="AQ18" s="868"/>
      <c r="AS18" s="59"/>
      <c r="AT18" s="59"/>
      <c r="AU18" s="813" t="str">
        <f t="shared" ref="AU18" si="2">IF(OR(C18="",N18="",T18="",V18="",X18="",AI18="",AE18="",AB18=""),"",IF(AK18="","",ROUND((AE18+AG18),2)))</f>
        <v/>
      </c>
      <c r="AV18" s="1019" t="str">
        <f>IF(OR(C18="",V18="",X18="",AB18="",AE18="",AG18=""),"",ROUND(V18*INDEX(PMGHVAC[Savings per Unit Therm],MATCH(C18,PMGHVAC[Eff Desc 1],2)),0))</f>
        <v/>
      </c>
      <c r="AW18" s="59"/>
      <c r="BC18" s="830"/>
      <c r="BE18" s="811" t="str">
        <f ca="1">IF(OR(T18="",N18="",C18="",V18="",X18="",AB18="",AE18="",AG18=""),"",IF('M01-S01'!$V$82&lt;TODAY(),0,IF(M02S02F46="Electric Only",0,IF(ISNUMBER(SEARCH("Boiler Tune-Up",C18)),IF(OR(AK18="",AK18&lt;0,AU18&lt;=AN18),0,MIN(AU18-AN18,ROUND(AN18*0.2,2))),0))))</f>
        <v/>
      </c>
    </row>
    <row r="19" spans="2:57" ht="15.95" customHeight="1">
      <c r="B19" s="834"/>
      <c r="C19" s="840"/>
      <c r="D19" s="841"/>
      <c r="E19" s="841"/>
      <c r="F19" s="841"/>
      <c r="G19" s="841"/>
      <c r="H19" s="841"/>
      <c r="I19" s="841"/>
      <c r="J19" s="841"/>
      <c r="K19" s="841"/>
      <c r="L19" s="841"/>
      <c r="M19" s="842"/>
      <c r="N19" s="917"/>
      <c r="O19" s="918"/>
      <c r="P19" s="918"/>
      <c r="Q19" s="918"/>
      <c r="R19" s="918"/>
      <c r="S19" s="919"/>
      <c r="T19" s="955"/>
      <c r="U19" s="956"/>
      <c r="V19" s="853"/>
      <c r="W19" s="854"/>
      <c r="X19" s="840"/>
      <c r="Y19" s="841"/>
      <c r="Z19" s="841"/>
      <c r="AA19" s="842"/>
      <c r="AB19" s="840"/>
      <c r="AC19" s="841"/>
      <c r="AD19" s="842"/>
      <c r="AE19" s="865"/>
      <c r="AF19" s="875"/>
      <c r="AG19" s="865"/>
      <c r="AH19" s="875"/>
      <c r="AI19" s="925"/>
      <c r="AJ19" s="870"/>
      <c r="AK19" s="1007"/>
      <c r="AL19" s="1008"/>
      <c r="AM19" s="1009"/>
      <c r="AN19" s="925"/>
      <c r="AO19" s="932"/>
      <c r="AP19" s="932"/>
      <c r="AQ19" s="870"/>
      <c r="AS19" s="59"/>
      <c r="AT19" s="59"/>
      <c r="AU19" s="814"/>
      <c r="AV19" s="981"/>
      <c r="AW19" s="59"/>
      <c r="BC19" s="831"/>
      <c r="BE19" s="812"/>
    </row>
    <row r="20" spans="2:57" ht="15.95" customHeight="1">
      <c r="B20" s="834">
        <v>3</v>
      </c>
      <c r="C20" s="871"/>
      <c r="D20" s="872"/>
      <c r="E20" s="872"/>
      <c r="F20" s="872"/>
      <c r="G20" s="872"/>
      <c r="H20" s="872"/>
      <c r="I20" s="872"/>
      <c r="J20" s="872"/>
      <c r="K20" s="872"/>
      <c r="L20" s="872"/>
      <c r="M20" s="873"/>
      <c r="N20" s="914" t="str">
        <f>IFERROR(IF(C20="","",INDEX(PMGHVAC[Base Desc 1],MATCH(C20,PMGHVAC[Eff Desc 1],0))),"")</f>
        <v/>
      </c>
      <c r="O20" s="915"/>
      <c r="P20" s="915"/>
      <c r="Q20" s="915"/>
      <c r="R20" s="915"/>
      <c r="S20" s="916"/>
      <c r="T20" s="953" t="str">
        <f>IFERROR(IF(C20="","",INDEX(PMGHVAC[Unit of Measure],MATCH(C20,PMGHVAC[Eff Desc 1],0))),"")</f>
        <v/>
      </c>
      <c r="U20" s="954"/>
      <c r="V20" s="876"/>
      <c r="W20" s="877"/>
      <c r="X20" s="837"/>
      <c r="Y20" s="838"/>
      <c r="Z20" s="838"/>
      <c r="AA20" s="839"/>
      <c r="AB20" s="837"/>
      <c r="AC20" s="838"/>
      <c r="AD20" s="839"/>
      <c r="AE20" s="863"/>
      <c r="AF20" s="874"/>
      <c r="AG20" s="863"/>
      <c r="AH20" s="874"/>
      <c r="AI20" s="930" t="str">
        <f>IFERROR(IF(C20="","",INDEX(PMGHVAC[Inc Rate Unit],MATCH(C20,PMGHVAC[Eff Desc 1],0))),"")</f>
        <v/>
      </c>
      <c r="AJ20" s="868"/>
      <c r="AK20" s="1004" t="str">
        <f t="shared" ref="AK20" si="3">IF(OR(C20="",V20="",X20="",AB20="",AE20="",AG20=""),"",IF(AND(AV20&lt;1,AV20&gt;0),1,AV20))</f>
        <v/>
      </c>
      <c r="AL20" s="1005"/>
      <c r="AM20" s="1006"/>
      <c r="AN20" s="930" t="str">
        <f t="shared" ref="AN20" si="4">IF(OR(C20="",V20="",X20="",AB20="",AE20="",AG20=""),"",IF(BC20&lt;&gt;"",BC20,MIN(AU20,ROUND(V20*AI20,2))))</f>
        <v/>
      </c>
      <c r="AO20" s="931"/>
      <c r="AP20" s="931"/>
      <c r="AQ20" s="868"/>
      <c r="AS20" s="59"/>
      <c r="AT20" s="59"/>
      <c r="AU20" s="813" t="str">
        <f t="shared" ref="AU20" si="5">IF(OR(C20="",N20="",T20="",V20="",X20="",AI20="",AE20="",AB20=""),"",IF(AK20="","",ROUND((AE20+AG20),2)))</f>
        <v/>
      </c>
      <c r="AV20" s="1019" t="str">
        <f>IF(OR(C20="",V20="",X20="",AB20="",AE20="",AG20=""),"",ROUND(V20*INDEX(PMGHVAC[Savings per Unit Therm],MATCH(C20,PMGHVAC[Eff Desc 1],2)),0))</f>
        <v/>
      </c>
      <c r="AW20" s="59"/>
      <c r="BC20" s="830"/>
      <c r="BE20" s="811" t="str">
        <f ca="1">IF(OR(T20="",N20="",C20="",V20="",X20="",AB20="",AE20="",AG20=""),"",IF('M01-S01'!$V$82&lt;TODAY(),0,IF(M02S02F46="Electric Only",0,IF(ISNUMBER(SEARCH("Boiler Tune-Up",C20)),IF(OR(AK20="",AK20&lt;0,AU20&lt;=AN20),0,MIN(AU20-AN20,ROUND(AN20*0.2,2))),0))))</f>
        <v/>
      </c>
    </row>
    <row r="21" spans="2:57" ht="15.95" customHeight="1">
      <c r="B21" s="834"/>
      <c r="C21" s="840"/>
      <c r="D21" s="841"/>
      <c r="E21" s="841"/>
      <c r="F21" s="841"/>
      <c r="G21" s="841"/>
      <c r="H21" s="841"/>
      <c r="I21" s="841"/>
      <c r="J21" s="841"/>
      <c r="K21" s="841"/>
      <c r="L21" s="841"/>
      <c r="M21" s="842"/>
      <c r="N21" s="917"/>
      <c r="O21" s="918"/>
      <c r="P21" s="918"/>
      <c r="Q21" s="918"/>
      <c r="R21" s="918"/>
      <c r="S21" s="919"/>
      <c r="T21" s="955"/>
      <c r="U21" s="956"/>
      <c r="V21" s="853"/>
      <c r="W21" s="854"/>
      <c r="X21" s="840"/>
      <c r="Y21" s="841"/>
      <c r="Z21" s="841"/>
      <c r="AA21" s="842"/>
      <c r="AB21" s="840"/>
      <c r="AC21" s="841"/>
      <c r="AD21" s="842"/>
      <c r="AE21" s="865"/>
      <c r="AF21" s="875"/>
      <c r="AG21" s="865"/>
      <c r="AH21" s="875"/>
      <c r="AI21" s="925"/>
      <c r="AJ21" s="870"/>
      <c r="AK21" s="1007"/>
      <c r="AL21" s="1008"/>
      <c r="AM21" s="1009"/>
      <c r="AN21" s="925"/>
      <c r="AO21" s="932"/>
      <c r="AP21" s="932"/>
      <c r="AQ21" s="870"/>
      <c r="AS21" s="59"/>
      <c r="AT21" s="59"/>
      <c r="AU21" s="814"/>
      <c r="AV21" s="981"/>
      <c r="AW21" s="59"/>
      <c r="BC21" s="831"/>
      <c r="BE21" s="812"/>
    </row>
    <row r="22" spans="2:57" ht="15.95" customHeight="1">
      <c r="B22" s="834">
        <v>4</v>
      </c>
      <c r="C22" s="871"/>
      <c r="D22" s="872"/>
      <c r="E22" s="872"/>
      <c r="F22" s="872"/>
      <c r="G22" s="872"/>
      <c r="H22" s="872"/>
      <c r="I22" s="872"/>
      <c r="J22" s="872"/>
      <c r="K22" s="872"/>
      <c r="L22" s="872"/>
      <c r="M22" s="873"/>
      <c r="N22" s="914" t="str">
        <f>IFERROR(IF(C22="","",INDEX(PMGHVAC[Base Desc 1],MATCH(C22,PMGHVAC[Eff Desc 1],0))),"")</f>
        <v/>
      </c>
      <c r="O22" s="915"/>
      <c r="P22" s="915"/>
      <c r="Q22" s="915"/>
      <c r="R22" s="915"/>
      <c r="S22" s="916"/>
      <c r="T22" s="953" t="str">
        <f>IFERROR(IF(C22="","",INDEX(PMGHVAC[Unit of Measure],MATCH(C22,PMGHVAC[Eff Desc 1],0))),"")</f>
        <v/>
      </c>
      <c r="U22" s="954"/>
      <c r="V22" s="876"/>
      <c r="W22" s="877"/>
      <c r="X22" s="837"/>
      <c r="Y22" s="838"/>
      <c r="Z22" s="838"/>
      <c r="AA22" s="839"/>
      <c r="AB22" s="837"/>
      <c r="AC22" s="838"/>
      <c r="AD22" s="839"/>
      <c r="AE22" s="863"/>
      <c r="AF22" s="874"/>
      <c r="AG22" s="863"/>
      <c r="AH22" s="874"/>
      <c r="AI22" s="930" t="str">
        <f>IFERROR(IF(C22="","",INDEX(PMGHVAC[Inc Rate Unit],MATCH(C22,PMGHVAC[Eff Desc 1],0))),"")</f>
        <v/>
      </c>
      <c r="AJ22" s="868"/>
      <c r="AK22" s="1004" t="str">
        <f t="shared" ref="AK22" si="6">IF(OR(C22="",V22="",X22="",AB22="",AE22="",AG22=""),"",IF(AND(AV22&lt;1,AV22&gt;0),1,AV22))</f>
        <v/>
      </c>
      <c r="AL22" s="1005"/>
      <c r="AM22" s="1006"/>
      <c r="AN22" s="930" t="str">
        <f t="shared" ref="AN22" si="7">IF(OR(C22="",V22="",X22="",AB22="",AE22="",AG22=""),"",IF(BC22&lt;&gt;"",BC22,MIN(AU22,ROUND(V22*AI22,2))))</f>
        <v/>
      </c>
      <c r="AO22" s="931"/>
      <c r="AP22" s="931"/>
      <c r="AQ22" s="868"/>
      <c r="AS22" s="59"/>
      <c r="AT22" s="59"/>
      <c r="AU22" s="813" t="str">
        <f t="shared" ref="AU22" si="8">IF(OR(C22="",N22="",T22="",V22="",X22="",AI22="",AE22="",AB22=""),"",IF(AK22="","",ROUND((AE22+AG22),2)))</f>
        <v/>
      </c>
      <c r="AV22" s="1019" t="str">
        <f>IF(OR(C22="",V22="",X22="",AB22="",AE22="",AG22=""),"",ROUND(V22*INDEX(PMGHVAC[Savings per Unit Therm],MATCH(C22,PMGHVAC[Eff Desc 1],2)),0))</f>
        <v/>
      </c>
      <c r="AW22" s="59"/>
      <c r="BC22" s="830"/>
      <c r="BE22" s="811" t="str">
        <f ca="1">IF(OR(T22="",N22="",C22="",V22="",X22="",AB22="",AE22="",AG22=""),"",IF('M01-S01'!$V$82&lt;TODAY(),0,IF(M02S02F46="Electric Only",0,IF(ISNUMBER(SEARCH("Boiler Tune-Up",C22)),IF(OR(AK22="",AK22&lt;0,AU22&lt;=AN22),0,MIN(AU22-AN22,ROUND(AN22*0.2,2))),0))))</f>
        <v/>
      </c>
    </row>
    <row r="23" spans="2:57" ht="15.95" customHeight="1">
      <c r="B23" s="834"/>
      <c r="C23" s="840"/>
      <c r="D23" s="841"/>
      <c r="E23" s="841"/>
      <c r="F23" s="841"/>
      <c r="G23" s="841"/>
      <c r="H23" s="841"/>
      <c r="I23" s="841"/>
      <c r="J23" s="841"/>
      <c r="K23" s="841"/>
      <c r="L23" s="841"/>
      <c r="M23" s="842"/>
      <c r="N23" s="917"/>
      <c r="O23" s="918"/>
      <c r="P23" s="918"/>
      <c r="Q23" s="918"/>
      <c r="R23" s="918"/>
      <c r="S23" s="919"/>
      <c r="T23" s="955"/>
      <c r="U23" s="956"/>
      <c r="V23" s="853"/>
      <c r="W23" s="854"/>
      <c r="X23" s="840"/>
      <c r="Y23" s="841"/>
      <c r="Z23" s="841"/>
      <c r="AA23" s="842"/>
      <c r="AB23" s="840"/>
      <c r="AC23" s="841"/>
      <c r="AD23" s="842"/>
      <c r="AE23" s="865"/>
      <c r="AF23" s="875"/>
      <c r="AG23" s="865"/>
      <c r="AH23" s="875"/>
      <c r="AI23" s="925"/>
      <c r="AJ23" s="870"/>
      <c r="AK23" s="1007"/>
      <c r="AL23" s="1008"/>
      <c r="AM23" s="1009"/>
      <c r="AN23" s="925"/>
      <c r="AO23" s="932"/>
      <c r="AP23" s="932"/>
      <c r="AQ23" s="870"/>
      <c r="AS23" s="59"/>
      <c r="AT23" s="59"/>
      <c r="AU23" s="814"/>
      <c r="AV23" s="981"/>
      <c r="AW23" s="59"/>
      <c r="BC23" s="831"/>
      <c r="BE23" s="812"/>
    </row>
    <row r="24" spans="2:57" ht="15.95" customHeight="1">
      <c r="B24" s="834">
        <v>5</v>
      </c>
      <c r="C24" s="871"/>
      <c r="D24" s="872"/>
      <c r="E24" s="872"/>
      <c r="F24" s="872"/>
      <c r="G24" s="872"/>
      <c r="H24" s="872"/>
      <c r="I24" s="872"/>
      <c r="J24" s="872"/>
      <c r="K24" s="872"/>
      <c r="L24" s="872"/>
      <c r="M24" s="873"/>
      <c r="N24" s="914" t="str">
        <f>IFERROR(IF(C24="","",INDEX(PMGHVAC[Base Desc 1],MATCH(C24,PMGHVAC[Eff Desc 1],0))),"")</f>
        <v/>
      </c>
      <c r="O24" s="915"/>
      <c r="P24" s="915"/>
      <c r="Q24" s="915"/>
      <c r="R24" s="915"/>
      <c r="S24" s="916"/>
      <c r="T24" s="953" t="str">
        <f>IFERROR(IF(C24="","",INDEX(PMGHVAC[Unit of Measure],MATCH(C24,PMGHVAC[Eff Desc 1],0))),"")</f>
        <v/>
      </c>
      <c r="U24" s="954"/>
      <c r="V24" s="876"/>
      <c r="W24" s="877"/>
      <c r="X24" s="837"/>
      <c r="Y24" s="838"/>
      <c r="Z24" s="838"/>
      <c r="AA24" s="839"/>
      <c r="AB24" s="837"/>
      <c r="AC24" s="838"/>
      <c r="AD24" s="839"/>
      <c r="AE24" s="863"/>
      <c r="AF24" s="874"/>
      <c r="AG24" s="863"/>
      <c r="AH24" s="874"/>
      <c r="AI24" s="930" t="str">
        <f>IFERROR(IF(C24="","",INDEX(PMGHVAC[Inc Rate Unit],MATCH(C24,PMGHVAC[Eff Desc 1],0))),"")</f>
        <v/>
      </c>
      <c r="AJ24" s="868"/>
      <c r="AK24" s="1004" t="str">
        <f t="shared" ref="AK24" si="9">IF(OR(C24="",V24="",X24="",AB24="",AE24="",AG24=""),"",IF(AND(AV24&lt;1,AV24&gt;0),1,AV24))</f>
        <v/>
      </c>
      <c r="AL24" s="1005"/>
      <c r="AM24" s="1006"/>
      <c r="AN24" s="930" t="str">
        <f t="shared" ref="AN24" si="10">IF(OR(C24="",V24="",X24="",AB24="",AE24="",AG24=""),"",IF(BC24&lt;&gt;"",BC24,MIN(AU24,ROUND(V24*AI24,2))))</f>
        <v/>
      </c>
      <c r="AO24" s="931"/>
      <c r="AP24" s="931"/>
      <c r="AQ24" s="868"/>
      <c r="AS24" s="59"/>
      <c r="AT24" s="59"/>
      <c r="AU24" s="813" t="str">
        <f t="shared" ref="AU24" si="11">IF(OR(C24="",N24="",T24="",V24="",X24="",AI24="",AE24="",AB24=""),"",IF(AK24="","",ROUND((AE24+AG24),2)))</f>
        <v/>
      </c>
      <c r="AV24" s="1019" t="str">
        <f>IF(OR(C24="",V24="",X24="",AB24="",AE24="",AG24=""),"",ROUND(V24*INDEX(PMGHVAC[Savings per Unit Therm],MATCH(C24,PMGHVAC[Eff Desc 1],2)),0))</f>
        <v/>
      </c>
      <c r="AW24" s="59"/>
      <c r="BC24" s="830"/>
      <c r="BE24" s="811" t="str">
        <f ca="1">IF(OR(T24="",N24="",C24="",V24="",X24="",AB24="",AE24="",AG24=""),"",IF('M01-S01'!$V$82&lt;TODAY(),0,IF(M02S02F46="Electric Only",0,IF(ISNUMBER(SEARCH("Boiler Tune-Up",C24)),IF(OR(AK24="",AK24&lt;0,AU24&lt;=AN24),0,MIN(AU24-AN24,ROUND(AN24*0.2,2))),0))))</f>
        <v/>
      </c>
    </row>
    <row r="25" spans="2:57" ht="15.95" customHeight="1">
      <c r="B25" s="834"/>
      <c r="C25" s="840"/>
      <c r="D25" s="841"/>
      <c r="E25" s="841"/>
      <c r="F25" s="841"/>
      <c r="G25" s="841"/>
      <c r="H25" s="841"/>
      <c r="I25" s="841"/>
      <c r="J25" s="841"/>
      <c r="K25" s="841"/>
      <c r="L25" s="841"/>
      <c r="M25" s="842"/>
      <c r="N25" s="917"/>
      <c r="O25" s="918"/>
      <c r="P25" s="918"/>
      <c r="Q25" s="918"/>
      <c r="R25" s="918"/>
      <c r="S25" s="919"/>
      <c r="T25" s="955"/>
      <c r="U25" s="956"/>
      <c r="V25" s="853"/>
      <c r="W25" s="854"/>
      <c r="X25" s="840"/>
      <c r="Y25" s="841"/>
      <c r="Z25" s="841"/>
      <c r="AA25" s="842"/>
      <c r="AB25" s="840"/>
      <c r="AC25" s="841"/>
      <c r="AD25" s="842"/>
      <c r="AE25" s="865"/>
      <c r="AF25" s="875"/>
      <c r="AG25" s="865"/>
      <c r="AH25" s="875"/>
      <c r="AI25" s="925"/>
      <c r="AJ25" s="870"/>
      <c r="AK25" s="1007"/>
      <c r="AL25" s="1008"/>
      <c r="AM25" s="1009"/>
      <c r="AN25" s="925"/>
      <c r="AO25" s="932"/>
      <c r="AP25" s="932"/>
      <c r="AQ25" s="870"/>
      <c r="AS25" s="59"/>
      <c r="AT25" s="59"/>
      <c r="AU25" s="814"/>
      <c r="AV25" s="981"/>
      <c r="AW25" s="59"/>
      <c r="BC25" s="831"/>
      <c r="BE25" s="812"/>
    </row>
    <row r="26" spans="2:57" ht="15.95" customHeight="1">
      <c r="B26" s="834">
        <v>6</v>
      </c>
      <c r="C26" s="871"/>
      <c r="D26" s="872"/>
      <c r="E26" s="872"/>
      <c r="F26" s="872"/>
      <c r="G26" s="872"/>
      <c r="H26" s="872"/>
      <c r="I26" s="872"/>
      <c r="J26" s="872"/>
      <c r="K26" s="872"/>
      <c r="L26" s="872"/>
      <c r="M26" s="873"/>
      <c r="N26" s="914" t="str">
        <f>IFERROR(IF(C26="","",INDEX(PMGHVAC[Base Desc 1],MATCH(C26,PMGHVAC[Eff Desc 1],0))),"")</f>
        <v/>
      </c>
      <c r="O26" s="915"/>
      <c r="P26" s="915"/>
      <c r="Q26" s="915"/>
      <c r="R26" s="915"/>
      <c r="S26" s="916"/>
      <c r="T26" s="953" t="str">
        <f>IFERROR(IF(C26="","",INDEX(PMGHVAC[Unit of Measure],MATCH(C26,PMGHVAC[Eff Desc 1],0))),"")</f>
        <v/>
      </c>
      <c r="U26" s="954"/>
      <c r="V26" s="876"/>
      <c r="W26" s="877"/>
      <c r="X26" s="837"/>
      <c r="Y26" s="838"/>
      <c r="Z26" s="838"/>
      <c r="AA26" s="839"/>
      <c r="AB26" s="837"/>
      <c r="AC26" s="838"/>
      <c r="AD26" s="839"/>
      <c r="AE26" s="863"/>
      <c r="AF26" s="874"/>
      <c r="AG26" s="863"/>
      <c r="AH26" s="874"/>
      <c r="AI26" s="930" t="str">
        <f>IFERROR(IF(C26="","",INDEX(PMGHVAC[Inc Rate Unit],MATCH(C26,PMGHVAC[Eff Desc 1],0))),"")</f>
        <v/>
      </c>
      <c r="AJ26" s="868"/>
      <c r="AK26" s="1004" t="str">
        <f t="shared" ref="AK26" si="12">IF(OR(C26="",V26="",X26="",AB26="",AE26="",AG26=""),"",IF(AND(AV26&lt;1,AV26&gt;0),1,AV26))</f>
        <v/>
      </c>
      <c r="AL26" s="1005"/>
      <c r="AM26" s="1006"/>
      <c r="AN26" s="930" t="str">
        <f t="shared" ref="AN26" si="13">IF(OR(C26="",V26="",X26="",AB26="",AE26="",AG26=""),"",IF(BC26&lt;&gt;"",BC26,MIN(AU26,ROUND(V26*AI26,2))))</f>
        <v/>
      </c>
      <c r="AO26" s="931"/>
      <c r="AP26" s="931"/>
      <c r="AQ26" s="868"/>
      <c r="AS26" s="59"/>
      <c r="AT26" s="59"/>
      <c r="AU26" s="813" t="str">
        <f t="shared" ref="AU26" si="14">IF(OR(C26="",N26="",T26="",V26="",X26="",AI26="",AE26="",AB26=""),"",IF(AK26="","",ROUND((AE26+AG26),2)))</f>
        <v/>
      </c>
      <c r="AV26" s="1019" t="str">
        <f>IF(OR(C26="",V26="",X26="",AB26="",AE26="",AG26=""),"",ROUND(V26*INDEX(PMGHVAC[Savings per Unit Therm],MATCH(C26,PMGHVAC[Eff Desc 1],2)),0))</f>
        <v/>
      </c>
      <c r="AW26" s="59"/>
      <c r="BC26" s="830"/>
      <c r="BE26" s="811" t="str">
        <f ca="1">IF(OR(T26="",N26="",C26="",V26="",X26="",AB26="",AE26="",AG26=""),"",IF('M01-S01'!$V$82&lt;TODAY(),0,IF(M02S02F46="Electric Only",0,IF(ISNUMBER(SEARCH("Boiler Tune-Up",C26)),IF(OR(AK26="",AK26&lt;0,AU26&lt;=AN26),0,MIN(AU26-AN26,ROUND(AN26*0.2,2))),0))))</f>
        <v/>
      </c>
    </row>
    <row r="27" spans="2:57" ht="15.95" customHeight="1">
      <c r="B27" s="834"/>
      <c r="C27" s="840"/>
      <c r="D27" s="841"/>
      <c r="E27" s="841"/>
      <c r="F27" s="841"/>
      <c r="G27" s="841"/>
      <c r="H27" s="841"/>
      <c r="I27" s="841"/>
      <c r="J27" s="841"/>
      <c r="K27" s="841"/>
      <c r="L27" s="841"/>
      <c r="M27" s="842"/>
      <c r="N27" s="917"/>
      <c r="O27" s="918"/>
      <c r="P27" s="918"/>
      <c r="Q27" s="918"/>
      <c r="R27" s="918"/>
      <c r="S27" s="919"/>
      <c r="T27" s="955"/>
      <c r="U27" s="956"/>
      <c r="V27" s="853"/>
      <c r="W27" s="854"/>
      <c r="X27" s="840"/>
      <c r="Y27" s="841"/>
      <c r="Z27" s="841"/>
      <c r="AA27" s="842"/>
      <c r="AB27" s="840"/>
      <c r="AC27" s="841"/>
      <c r="AD27" s="842"/>
      <c r="AE27" s="865"/>
      <c r="AF27" s="875"/>
      <c r="AG27" s="865"/>
      <c r="AH27" s="875"/>
      <c r="AI27" s="925"/>
      <c r="AJ27" s="870"/>
      <c r="AK27" s="1007"/>
      <c r="AL27" s="1008"/>
      <c r="AM27" s="1009"/>
      <c r="AN27" s="925"/>
      <c r="AO27" s="932"/>
      <c r="AP27" s="932"/>
      <c r="AQ27" s="870"/>
      <c r="AS27" s="59"/>
      <c r="AT27" s="59"/>
      <c r="AU27" s="814"/>
      <c r="AV27" s="981"/>
      <c r="AW27" s="59"/>
      <c r="BC27" s="831"/>
      <c r="BE27" s="812"/>
    </row>
    <row r="28" spans="2:57" ht="15.95" customHeight="1">
      <c r="B28" s="834">
        <v>7</v>
      </c>
      <c r="C28" s="871"/>
      <c r="D28" s="872"/>
      <c r="E28" s="872"/>
      <c r="F28" s="872"/>
      <c r="G28" s="872"/>
      <c r="H28" s="872"/>
      <c r="I28" s="872"/>
      <c r="J28" s="872"/>
      <c r="K28" s="872"/>
      <c r="L28" s="872"/>
      <c r="M28" s="873"/>
      <c r="N28" s="914" t="str">
        <f>IFERROR(IF(C28="","",INDEX(PMGHVAC[Base Desc 1],MATCH(C28,PMGHVAC[Eff Desc 1],0))),"")</f>
        <v/>
      </c>
      <c r="O28" s="915"/>
      <c r="P28" s="915"/>
      <c r="Q28" s="915"/>
      <c r="R28" s="915"/>
      <c r="S28" s="916"/>
      <c r="T28" s="953" t="str">
        <f>IFERROR(IF(C28="","",INDEX(PMGHVAC[Unit of Measure],MATCH(C28,PMGHVAC[Eff Desc 1],0))),"")</f>
        <v/>
      </c>
      <c r="U28" s="954"/>
      <c r="V28" s="876"/>
      <c r="W28" s="877"/>
      <c r="X28" s="837"/>
      <c r="Y28" s="838"/>
      <c r="Z28" s="838"/>
      <c r="AA28" s="839"/>
      <c r="AB28" s="837"/>
      <c r="AC28" s="838"/>
      <c r="AD28" s="839"/>
      <c r="AE28" s="863"/>
      <c r="AF28" s="874"/>
      <c r="AG28" s="863"/>
      <c r="AH28" s="874"/>
      <c r="AI28" s="930" t="str">
        <f>IFERROR(IF(C28="","",INDEX(PMGHVAC[Inc Rate Unit],MATCH(C28,PMGHVAC[Eff Desc 1],0))),"")</f>
        <v/>
      </c>
      <c r="AJ28" s="868"/>
      <c r="AK28" s="1004" t="str">
        <f t="shared" ref="AK28" si="15">IF(OR(C28="",V28="",X28="",AB28="",AE28="",AG28=""),"",IF(AND(AV28&lt;1,AV28&gt;0),1,AV28))</f>
        <v/>
      </c>
      <c r="AL28" s="1005"/>
      <c r="AM28" s="1006"/>
      <c r="AN28" s="930" t="str">
        <f t="shared" ref="AN28" si="16">IF(OR(C28="",V28="",X28="",AB28="",AE28="",AG28=""),"",IF(BC28&lt;&gt;"",BC28,MIN(AU28,ROUND(V28*AI28,2))))</f>
        <v/>
      </c>
      <c r="AO28" s="931"/>
      <c r="AP28" s="931"/>
      <c r="AQ28" s="868"/>
      <c r="AS28" s="59"/>
      <c r="AT28" s="59"/>
      <c r="AU28" s="813" t="str">
        <f t="shared" ref="AU28" si="17">IF(OR(C28="",N28="",T28="",V28="",X28="",AI28="",AE28="",AB28=""),"",IF(AK28="","",ROUND((AE28+AG28),2)))</f>
        <v/>
      </c>
      <c r="AV28" s="1019" t="str">
        <f>IF(OR(C28="",V28="",X28="",AB28="",AE28="",AG28=""),"",ROUND(V28*INDEX(PMGHVAC[Savings per Unit Therm],MATCH(C28,PMGHVAC[Eff Desc 1],2)),0))</f>
        <v/>
      </c>
      <c r="AW28" s="59"/>
      <c r="BC28" s="830"/>
      <c r="BE28" s="811" t="str">
        <f ca="1">IF(OR(T28="",N28="",C28="",V28="",X28="",AB28="",AE28="",AG28=""),"",IF('M01-S01'!$V$82&lt;TODAY(),0,IF(M02S02F46="Electric Only",0,IF(ISNUMBER(SEARCH("Boiler Tune-Up",C28)),IF(OR(AK28="",AK28&lt;0,AU28&lt;=AN28),0,MIN(AU28-AN28,ROUND(AN28*0.2,2))),0))))</f>
        <v/>
      </c>
    </row>
    <row r="29" spans="2:57" ht="15.95" customHeight="1">
      <c r="B29" s="834"/>
      <c r="C29" s="840"/>
      <c r="D29" s="841"/>
      <c r="E29" s="841"/>
      <c r="F29" s="841"/>
      <c r="G29" s="841"/>
      <c r="H29" s="841"/>
      <c r="I29" s="841"/>
      <c r="J29" s="841"/>
      <c r="K29" s="841"/>
      <c r="L29" s="841"/>
      <c r="M29" s="842"/>
      <c r="N29" s="917"/>
      <c r="O29" s="918"/>
      <c r="P29" s="918"/>
      <c r="Q29" s="918"/>
      <c r="R29" s="918"/>
      <c r="S29" s="919"/>
      <c r="T29" s="955"/>
      <c r="U29" s="956"/>
      <c r="V29" s="853"/>
      <c r="W29" s="854"/>
      <c r="X29" s="840"/>
      <c r="Y29" s="841"/>
      <c r="Z29" s="841"/>
      <c r="AA29" s="842"/>
      <c r="AB29" s="840"/>
      <c r="AC29" s="841"/>
      <c r="AD29" s="842"/>
      <c r="AE29" s="865"/>
      <c r="AF29" s="875"/>
      <c r="AG29" s="865"/>
      <c r="AH29" s="875"/>
      <c r="AI29" s="925"/>
      <c r="AJ29" s="870"/>
      <c r="AK29" s="1007"/>
      <c r="AL29" s="1008"/>
      <c r="AM29" s="1009"/>
      <c r="AN29" s="925"/>
      <c r="AO29" s="932"/>
      <c r="AP29" s="932"/>
      <c r="AQ29" s="870"/>
      <c r="AS29" s="59"/>
      <c r="AT29" s="59"/>
      <c r="AU29" s="814"/>
      <c r="AV29" s="981"/>
      <c r="AW29" s="59"/>
      <c r="BC29" s="831"/>
      <c r="BE29" s="812"/>
    </row>
    <row r="30" spans="2:57" ht="15.95" customHeight="1">
      <c r="B30" s="834">
        <v>8</v>
      </c>
      <c r="C30" s="871"/>
      <c r="D30" s="872"/>
      <c r="E30" s="872"/>
      <c r="F30" s="872"/>
      <c r="G30" s="872"/>
      <c r="H30" s="872"/>
      <c r="I30" s="872"/>
      <c r="J30" s="872"/>
      <c r="K30" s="872"/>
      <c r="L30" s="872"/>
      <c r="M30" s="873"/>
      <c r="N30" s="914" t="str">
        <f>IFERROR(IF(C30="","",INDEX(PMGHVAC[Base Desc 1],MATCH(C30,PMGHVAC[Eff Desc 1],0))),"")</f>
        <v/>
      </c>
      <c r="O30" s="915"/>
      <c r="P30" s="915"/>
      <c r="Q30" s="915"/>
      <c r="R30" s="915"/>
      <c r="S30" s="916"/>
      <c r="T30" s="953" t="str">
        <f>IFERROR(IF(C30="","",INDEX(PMGHVAC[Unit of Measure],MATCH(C30,PMGHVAC[Eff Desc 1],0))),"")</f>
        <v/>
      </c>
      <c r="U30" s="954"/>
      <c r="V30" s="876"/>
      <c r="W30" s="877"/>
      <c r="X30" s="837"/>
      <c r="Y30" s="838"/>
      <c r="Z30" s="838"/>
      <c r="AA30" s="839"/>
      <c r="AB30" s="837"/>
      <c r="AC30" s="838"/>
      <c r="AD30" s="839"/>
      <c r="AE30" s="863"/>
      <c r="AF30" s="874"/>
      <c r="AG30" s="863"/>
      <c r="AH30" s="874"/>
      <c r="AI30" s="930" t="str">
        <f>IFERROR(IF(C30="","",INDEX(PMGHVAC[Inc Rate Unit],MATCH(C30,PMGHVAC[Eff Desc 1],0))),"")</f>
        <v/>
      </c>
      <c r="AJ30" s="868"/>
      <c r="AK30" s="1004" t="str">
        <f t="shared" ref="AK30" si="18">IF(OR(C30="",V30="",X30="",AB30="",AE30="",AG30=""),"",IF(AND(AV30&lt;1,AV30&gt;0),1,AV30))</f>
        <v/>
      </c>
      <c r="AL30" s="1005"/>
      <c r="AM30" s="1006"/>
      <c r="AN30" s="930" t="str">
        <f t="shared" ref="AN30" si="19">IF(OR(C30="",V30="",X30="",AB30="",AE30="",AG30=""),"",IF(BC30&lt;&gt;"",BC30,MIN(AU30,ROUND(V30*AI30,2))))</f>
        <v/>
      </c>
      <c r="AO30" s="931"/>
      <c r="AP30" s="931"/>
      <c r="AQ30" s="868"/>
      <c r="AS30" s="59"/>
      <c r="AT30" s="59"/>
      <c r="AU30" s="813" t="str">
        <f t="shared" ref="AU30" si="20">IF(OR(C30="",N30="",T30="",V30="",X30="",AI30="",AE30="",AB30=""),"",IF(AK30="","",ROUND((AE30+AG30),2)))</f>
        <v/>
      </c>
      <c r="AV30" s="1019" t="str">
        <f>IF(OR(C30="",V30="",X30="",AB30="",AE30="",AG30=""),"",ROUND(V30*INDEX(PMGHVAC[Savings per Unit Therm],MATCH(C30,PMGHVAC[Eff Desc 1],2)),0))</f>
        <v/>
      </c>
      <c r="AW30" s="59"/>
      <c r="BC30" s="830"/>
      <c r="BE30" s="811" t="str">
        <f ca="1">IF(OR(T30="",N30="",C30="",V30="",X30="",AB30="",AE30="",AG30=""),"",IF('M01-S01'!$V$82&lt;TODAY(),0,IF(M02S02F46="Electric Only",0,IF(ISNUMBER(SEARCH("Boiler Tune-Up",C30)),IF(OR(AK30="",AK30&lt;0,AU30&lt;=AN30),0,MIN(AU30-AN30,ROUND(AN30*0.2,2))),0))))</f>
        <v/>
      </c>
    </row>
    <row r="31" spans="2:57" ht="15.95" customHeight="1">
      <c r="B31" s="834"/>
      <c r="C31" s="840"/>
      <c r="D31" s="841"/>
      <c r="E31" s="841"/>
      <c r="F31" s="841"/>
      <c r="G31" s="841"/>
      <c r="H31" s="841"/>
      <c r="I31" s="841"/>
      <c r="J31" s="841"/>
      <c r="K31" s="841"/>
      <c r="L31" s="841"/>
      <c r="M31" s="842"/>
      <c r="N31" s="917"/>
      <c r="O31" s="918"/>
      <c r="P31" s="918"/>
      <c r="Q31" s="918"/>
      <c r="R31" s="918"/>
      <c r="S31" s="919"/>
      <c r="T31" s="955"/>
      <c r="U31" s="956"/>
      <c r="V31" s="853"/>
      <c r="W31" s="854"/>
      <c r="X31" s="840"/>
      <c r="Y31" s="841"/>
      <c r="Z31" s="841"/>
      <c r="AA31" s="842"/>
      <c r="AB31" s="840"/>
      <c r="AC31" s="841"/>
      <c r="AD31" s="842"/>
      <c r="AE31" s="865"/>
      <c r="AF31" s="875"/>
      <c r="AG31" s="865"/>
      <c r="AH31" s="875"/>
      <c r="AI31" s="925"/>
      <c r="AJ31" s="870"/>
      <c r="AK31" s="1007"/>
      <c r="AL31" s="1008"/>
      <c r="AM31" s="1009"/>
      <c r="AN31" s="925"/>
      <c r="AO31" s="932"/>
      <c r="AP31" s="932"/>
      <c r="AQ31" s="870"/>
      <c r="AS31" s="59"/>
      <c r="AT31" s="59"/>
      <c r="AU31" s="814"/>
      <c r="AV31" s="981"/>
      <c r="AW31" s="59"/>
      <c r="BC31" s="831"/>
      <c r="BE31" s="812"/>
    </row>
    <row r="32" spans="2:57" ht="15.95" customHeight="1">
      <c r="B32" s="834">
        <v>9</v>
      </c>
      <c r="C32" s="871"/>
      <c r="D32" s="872"/>
      <c r="E32" s="872"/>
      <c r="F32" s="872"/>
      <c r="G32" s="872"/>
      <c r="H32" s="872"/>
      <c r="I32" s="872"/>
      <c r="J32" s="872"/>
      <c r="K32" s="872"/>
      <c r="L32" s="872"/>
      <c r="M32" s="873"/>
      <c r="N32" s="914" t="str">
        <f>IFERROR(IF(C32="","",INDEX(PMGHVAC[Base Desc 1],MATCH(C32,PMGHVAC[Eff Desc 1],0))),"")</f>
        <v/>
      </c>
      <c r="O32" s="915"/>
      <c r="P32" s="915"/>
      <c r="Q32" s="915"/>
      <c r="R32" s="915"/>
      <c r="S32" s="916"/>
      <c r="T32" s="953" t="str">
        <f>IFERROR(IF(C32="","",INDEX(PMGHVAC[Unit of Measure],MATCH(C32,PMGHVAC[Eff Desc 1],0))),"")</f>
        <v/>
      </c>
      <c r="U32" s="954"/>
      <c r="V32" s="876"/>
      <c r="W32" s="877"/>
      <c r="X32" s="837"/>
      <c r="Y32" s="838"/>
      <c r="Z32" s="838"/>
      <c r="AA32" s="839"/>
      <c r="AB32" s="837"/>
      <c r="AC32" s="838"/>
      <c r="AD32" s="839"/>
      <c r="AE32" s="863"/>
      <c r="AF32" s="874"/>
      <c r="AG32" s="863"/>
      <c r="AH32" s="874"/>
      <c r="AI32" s="930" t="str">
        <f>IFERROR(IF(C32="","",INDEX(PMGHVAC[Inc Rate Unit],MATCH(C32,PMGHVAC[Eff Desc 1],0))),"")</f>
        <v/>
      </c>
      <c r="AJ32" s="868"/>
      <c r="AK32" s="1004" t="str">
        <f t="shared" ref="AK32" si="21">IF(OR(C32="",V32="",X32="",AB32="",AE32="",AG32=""),"",IF(AND(AV32&lt;1,AV32&gt;0),1,AV32))</f>
        <v/>
      </c>
      <c r="AL32" s="1005"/>
      <c r="AM32" s="1006"/>
      <c r="AN32" s="930" t="str">
        <f t="shared" ref="AN32" si="22">IF(OR(C32="",V32="",X32="",AB32="",AE32="",AG32=""),"",IF(BC32&lt;&gt;"",BC32,MIN(AU32,ROUND(V32*AI32,2))))</f>
        <v/>
      </c>
      <c r="AO32" s="931"/>
      <c r="AP32" s="931"/>
      <c r="AQ32" s="868"/>
      <c r="AS32" s="59"/>
      <c r="AT32" s="59"/>
      <c r="AU32" s="813" t="str">
        <f t="shared" ref="AU32" si="23">IF(OR(C32="",N32="",T32="",V32="",X32="",AI32="",AE32="",AB32=""),"",IF(AK32="","",ROUND((AE32+AG32),2)))</f>
        <v/>
      </c>
      <c r="AV32" s="1019" t="str">
        <f>IF(OR(C32="",V32="",X32="",AB32="",AE32="",AG32=""),"",ROUND(V32*INDEX(PMGHVAC[Savings per Unit Therm],MATCH(C32,PMGHVAC[Eff Desc 1],2)),0))</f>
        <v/>
      </c>
      <c r="AW32" s="59"/>
      <c r="BC32" s="830"/>
      <c r="BE32" s="811" t="str">
        <f ca="1">IF(OR(T32="",N32="",C32="",V32="",X32="",AB32="",AE32="",AG32=""),"",IF('M01-S01'!$V$82&lt;TODAY(),0,IF(M02S02F46="Electric Only",0,IF(ISNUMBER(SEARCH("Boiler Tune-Up",C32)),IF(OR(AK32="",AK32&lt;0,AU32&lt;=AN32),0,MIN(AU32-AN32,ROUND(AN32*0.2,2))),0))))</f>
        <v/>
      </c>
    </row>
    <row r="33" spans="2:57" ht="15.95" customHeight="1">
      <c r="B33" s="834"/>
      <c r="C33" s="840"/>
      <c r="D33" s="841"/>
      <c r="E33" s="841"/>
      <c r="F33" s="841"/>
      <c r="G33" s="841"/>
      <c r="H33" s="841"/>
      <c r="I33" s="841"/>
      <c r="J33" s="841"/>
      <c r="K33" s="841"/>
      <c r="L33" s="841"/>
      <c r="M33" s="842"/>
      <c r="N33" s="917"/>
      <c r="O33" s="918"/>
      <c r="P33" s="918"/>
      <c r="Q33" s="918"/>
      <c r="R33" s="918"/>
      <c r="S33" s="919"/>
      <c r="T33" s="955"/>
      <c r="U33" s="956"/>
      <c r="V33" s="853"/>
      <c r="W33" s="854"/>
      <c r="X33" s="840"/>
      <c r="Y33" s="841"/>
      <c r="Z33" s="841"/>
      <c r="AA33" s="842"/>
      <c r="AB33" s="840"/>
      <c r="AC33" s="841"/>
      <c r="AD33" s="842"/>
      <c r="AE33" s="865"/>
      <c r="AF33" s="875"/>
      <c r="AG33" s="865"/>
      <c r="AH33" s="875"/>
      <c r="AI33" s="925"/>
      <c r="AJ33" s="870"/>
      <c r="AK33" s="1007"/>
      <c r="AL33" s="1008"/>
      <c r="AM33" s="1009"/>
      <c r="AN33" s="925"/>
      <c r="AO33" s="932"/>
      <c r="AP33" s="932"/>
      <c r="AQ33" s="870"/>
      <c r="AS33" s="59"/>
      <c r="AT33" s="59"/>
      <c r="AU33" s="814"/>
      <c r="AV33" s="981"/>
      <c r="AW33" s="59"/>
      <c r="BC33" s="831"/>
      <c r="BE33" s="812"/>
    </row>
    <row r="34" spans="2:57" ht="15.75" customHeight="1">
      <c r="B34" s="834">
        <v>10</v>
      </c>
      <c r="C34" s="871"/>
      <c r="D34" s="872"/>
      <c r="E34" s="872"/>
      <c r="F34" s="872"/>
      <c r="G34" s="872"/>
      <c r="H34" s="872"/>
      <c r="I34" s="872"/>
      <c r="J34" s="872"/>
      <c r="K34" s="872"/>
      <c r="L34" s="872"/>
      <c r="M34" s="873"/>
      <c r="N34" s="914" t="str">
        <f>IFERROR(IF(C34="","",INDEX(PMGHVAC[Base Desc 1],MATCH(C34,PMGHVAC[Eff Desc 1],0))),"")</f>
        <v/>
      </c>
      <c r="O34" s="915"/>
      <c r="P34" s="915"/>
      <c r="Q34" s="915"/>
      <c r="R34" s="915"/>
      <c r="S34" s="916"/>
      <c r="T34" s="953" t="str">
        <f>IFERROR(IF(C34="","",INDEX(PMGHVAC[Unit of Measure],MATCH(C34,PMGHVAC[Eff Desc 1],0))),"")</f>
        <v/>
      </c>
      <c r="U34" s="954"/>
      <c r="V34" s="876"/>
      <c r="W34" s="877"/>
      <c r="X34" s="837"/>
      <c r="Y34" s="838"/>
      <c r="Z34" s="838"/>
      <c r="AA34" s="839"/>
      <c r="AB34" s="837"/>
      <c r="AC34" s="838"/>
      <c r="AD34" s="839"/>
      <c r="AE34" s="863"/>
      <c r="AF34" s="874"/>
      <c r="AG34" s="863"/>
      <c r="AH34" s="874"/>
      <c r="AI34" s="930" t="str">
        <f>IFERROR(IF(C34="","",INDEX(PMGHVAC[Inc Rate Unit],MATCH(C34,PMGHVAC[Eff Desc 1],0))),"")</f>
        <v/>
      </c>
      <c r="AJ34" s="868"/>
      <c r="AK34" s="1004" t="str">
        <f t="shared" ref="AK34" si="24">IF(OR(C34="",V34="",X34="",AB34="",AE34="",AG34=""),"",IF(AND(AV34&lt;1,AV34&gt;0),1,AV34))</f>
        <v/>
      </c>
      <c r="AL34" s="1005"/>
      <c r="AM34" s="1006"/>
      <c r="AN34" s="930" t="str">
        <f t="shared" ref="AN34" si="25">IF(OR(C34="",V34="",X34="",AB34="",AE34="",AG34=""),"",IF(BC34&lt;&gt;"",BC34,MIN(AU34,ROUND(V34*AI34,2))))</f>
        <v/>
      </c>
      <c r="AO34" s="931"/>
      <c r="AP34" s="931"/>
      <c r="AQ34" s="868"/>
      <c r="AS34" s="59"/>
      <c r="AT34" s="59"/>
      <c r="AU34" s="813" t="str">
        <f t="shared" ref="AU34" si="26">IF(OR(C34="",N34="",T34="",V34="",X34="",AI34="",AE34="",AB34=""),"",IF(AK34="","",ROUND((AE34+AG34),2)))</f>
        <v/>
      </c>
      <c r="AV34" s="1019" t="str">
        <f>IF(OR(C34="",V34="",X34="",AB34="",AE34="",AG34=""),"",ROUND(V34*INDEX(PMGHVAC[Savings per Unit Therm],MATCH(C34,PMGHVAC[Eff Desc 1],2)),0))</f>
        <v/>
      </c>
      <c r="AW34" s="59"/>
      <c r="BC34" s="830"/>
      <c r="BE34" s="811" t="str">
        <f ca="1">IF(OR(T34="",N34="",C34="",V34="",X34="",AB34="",AE34="",AG34=""),"",IF('M01-S01'!$V$82&lt;TODAY(),0,IF(M02S02F46="Electric Only",0,IF(ISNUMBER(SEARCH("Boiler Tune-Up",C34)),IF(OR(AK34="",AK34&lt;0,AU34&lt;=AN34),0,MIN(AU34-AN34,ROUND(AN34*0.2,2))),0))))</f>
        <v/>
      </c>
    </row>
    <row r="35" spans="2:57" ht="15.95" customHeight="1">
      <c r="B35" s="834"/>
      <c r="C35" s="840"/>
      <c r="D35" s="841"/>
      <c r="E35" s="841"/>
      <c r="F35" s="841"/>
      <c r="G35" s="841"/>
      <c r="H35" s="841"/>
      <c r="I35" s="841"/>
      <c r="J35" s="841"/>
      <c r="K35" s="841"/>
      <c r="L35" s="841"/>
      <c r="M35" s="842"/>
      <c r="N35" s="917"/>
      <c r="O35" s="918"/>
      <c r="P35" s="918"/>
      <c r="Q35" s="918"/>
      <c r="R35" s="918"/>
      <c r="S35" s="919"/>
      <c r="T35" s="955"/>
      <c r="U35" s="956"/>
      <c r="V35" s="853"/>
      <c r="W35" s="854"/>
      <c r="X35" s="840"/>
      <c r="Y35" s="841"/>
      <c r="Z35" s="841"/>
      <c r="AA35" s="842"/>
      <c r="AB35" s="840"/>
      <c r="AC35" s="841"/>
      <c r="AD35" s="842"/>
      <c r="AE35" s="865"/>
      <c r="AF35" s="875"/>
      <c r="AG35" s="865"/>
      <c r="AH35" s="875"/>
      <c r="AI35" s="925"/>
      <c r="AJ35" s="870"/>
      <c r="AK35" s="1007"/>
      <c r="AL35" s="1008"/>
      <c r="AM35" s="1009"/>
      <c r="AN35" s="925"/>
      <c r="AO35" s="932"/>
      <c r="AP35" s="932"/>
      <c r="AQ35" s="870"/>
      <c r="AS35" s="59"/>
      <c r="AT35" s="59"/>
      <c r="AU35" s="814"/>
      <c r="AV35" s="981"/>
      <c r="AW35" s="59"/>
      <c r="BC35" s="831"/>
      <c r="BE35" s="812"/>
    </row>
    <row r="36" spans="2:57" ht="15.95" customHeight="1">
      <c r="B36" s="929">
        <v>11</v>
      </c>
      <c r="C36" s="871"/>
      <c r="D36" s="872"/>
      <c r="E36" s="872"/>
      <c r="F36" s="872"/>
      <c r="G36" s="872"/>
      <c r="H36" s="872"/>
      <c r="I36" s="872"/>
      <c r="J36" s="872"/>
      <c r="K36" s="872"/>
      <c r="L36" s="872"/>
      <c r="M36" s="873"/>
      <c r="N36" s="914" t="str">
        <f>IFERROR(IF(C36="","",INDEX(PMGHVAC[Base Desc 1],MATCH(C36,PMGHVAC[Eff Desc 1],0))),"")</f>
        <v/>
      </c>
      <c r="O36" s="915"/>
      <c r="P36" s="915"/>
      <c r="Q36" s="915"/>
      <c r="R36" s="915"/>
      <c r="S36" s="916"/>
      <c r="T36" s="953" t="str">
        <f>IFERROR(IF(C36="","",INDEX(PMGHVAC[Unit of Measure],MATCH(C36,PMGHVAC[Eff Desc 1],0))),"")</f>
        <v/>
      </c>
      <c r="U36" s="954"/>
      <c r="V36" s="876"/>
      <c r="W36" s="877"/>
      <c r="X36" s="837"/>
      <c r="Y36" s="838"/>
      <c r="Z36" s="838"/>
      <c r="AA36" s="839"/>
      <c r="AB36" s="837"/>
      <c r="AC36" s="838"/>
      <c r="AD36" s="839"/>
      <c r="AE36" s="863"/>
      <c r="AF36" s="874"/>
      <c r="AG36" s="863"/>
      <c r="AH36" s="874"/>
      <c r="AI36" s="923" t="str">
        <f>IFERROR(IF(C36="","",INDEX(PMGHVAC[Inc Rate Unit],MATCH(C36,PMGHVAC[Eff Desc 1],0))),"")</f>
        <v/>
      </c>
      <c r="AJ36" s="924"/>
      <c r="AK36" s="1004" t="str">
        <f>IF(OR(C36="",V36="",X36="",AB36="",AE36="",AG36=""),"",ROUND(V36*INDEX(PMGHVAC[Savings per Unit Therm],MATCH(C36,PMGHVAC[Eff Desc 1],0)),2))</f>
        <v/>
      </c>
      <c r="AL36" s="1005"/>
      <c r="AM36" s="1005"/>
      <c r="AN36" s="930" t="str">
        <f t="shared" ref="AN36" si="27">IF(OR(C36="",V36="",X36="",AB36="",AE36="",AG36=""),"",IF(BC36&lt;&gt;"",BC36,MIN(AU36,ROUND(V36*AI36,2))))</f>
        <v/>
      </c>
      <c r="AO36" s="931"/>
      <c r="AP36" s="931"/>
      <c r="AQ36" s="868"/>
      <c r="AS36" s="59"/>
      <c r="AT36" s="59"/>
      <c r="AU36" s="813" t="str">
        <f t="shared" ref="AU36" si="28">IF(OR(C36="",V36="",X36="",AB36="",AE36="",AG36=""),"",ROUND((AE36+AG36)*V36,2))</f>
        <v/>
      </c>
      <c r="AV36" s="1019">
        <v>0</v>
      </c>
      <c r="AW36" s="59"/>
      <c r="BC36" s="830"/>
      <c r="BE36" s="811" t="str">
        <f ca="1">IF(OR(T36="",N36="",C36="",V36="",X36="",AB36="",AE36="",AG36=""),"",IF('M01-S01'!$V$82&lt;TODAY(),0,IF(M02S02F46="Electric Only",0,IF(ISNUMBER(SEARCH("Boiler Tune-Up",C36)),IF(OR(AK36="",AK36&lt;0,AU36&lt;=AN36),0,MIN(AU36-AN36,ROUND(AN36*0.2,2))),0))))</f>
        <v/>
      </c>
    </row>
    <row r="37" spans="2:57" ht="15.95" customHeight="1">
      <c r="B37" s="929"/>
      <c r="C37" s="840"/>
      <c r="D37" s="841"/>
      <c r="E37" s="841"/>
      <c r="F37" s="841"/>
      <c r="G37" s="841"/>
      <c r="H37" s="841"/>
      <c r="I37" s="841"/>
      <c r="J37" s="841"/>
      <c r="K37" s="841"/>
      <c r="L37" s="841"/>
      <c r="M37" s="842"/>
      <c r="N37" s="917"/>
      <c r="O37" s="918"/>
      <c r="P37" s="918"/>
      <c r="Q37" s="918"/>
      <c r="R37" s="918"/>
      <c r="S37" s="919"/>
      <c r="T37" s="955"/>
      <c r="U37" s="956"/>
      <c r="V37" s="853"/>
      <c r="W37" s="854"/>
      <c r="X37" s="840"/>
      <c r="Y37" s="841"/>
      <c r="Z37" s="841"/>
      <c r="AA37" s="842"/>
      <c r="AB37" s="840"/>
      <c r="AC37" s="841"/>
      <c r="AD37" s="842"/>
      <c r="AE37" s="865"/>
      <c r="AF37" s="875"/>
      <c r="AG37" s="865"/>
      <c r="AH37" s="875"/>
      <c r="AI37" s="925"/>
      <c r="AJ37" s="870"/>
      <c r="AK37" s="1007"/>
      <c r="AL37" s="1008"/>
      <c r="AM37" s="1008"/>
      <c r="AN37" s="925"/>
      <c r="AO37" s="932"/>
      <c r="AP37" s="932"/>
      <c r="AQ37" s="870"/>
      <c r="AS37" s="59"/>
      <c r="AT37" s="59"/>
      <c r="AU37" s="814"/>
      <c r="AV37" s="981"/>
      <c r="AW37" s="59"/>
      <c r="BC37" s="831"/>
      <c r="BE37" s="812"/>
    </row>
    <row r="38" spans="2:57" ht="15.95" customHeight="1">
      <c r="B38" s="929">
        <v>12</v>
      </c>
      <c r="C38" s="871"/>
      <c r="D38" s="872"/>
      <c r="E38" s="872"/>
      <c r="F38" s="872"/>
      <c r="G38" s="872"/>
      <c r="H38" s="872"/>
      <c r="I38" s="872"/>
      <c r="J38" s="872"/>
      <c r="K38" s="872"/>
      <c r="L38" s="872"/>
      <c r="M38" s="873"/>
      <c r="N38" s="914" t="str">
        <f>IFERROR(IF(C38="","",INDEX(PMGHVAC[Base Desc 1],MATCH(C38,PMGHVAC[Eff Desc 1],0))),"")</f>
        <v/>
      </c>
      <c r="O38" s="915"/>
      <c r="P38" s="915"/>
      <c r="Q38" s="915"/>
      <c r="R38" s="915"/>
      <c r="S38" s="916"/>
      <c r="T38" s="953" t="str">
        <f>IFERROR(IF(C38="","",INDEX(PMGHVAC[Unit of Measure],MATCH(C38,PMGHVAC[Eff Desc 1],0))),"")</f>
        <v/>
      </c>
      <c r="U38" s="954"/>
      <c r="V38" s="876"/>
      <c r="W38" s="877"/>
      <c r="X38" s="837"/>
      <c r="Y38" s="838"/>
      <c r="Z38" s="838"/>
      <c r="AA38" s="839"/>
      <c r="AB38" s="837"/>
      <c r="AC38" s="838"/>
      <c r="AD38" s="839"/>
      <c r="AE38" s="863"/>
      <c r="AF38" s="874"/>
      <c r="AG38" s="863"/>
      <c r="AH38" s="874"/>
      <c r="AI38" s="923" t="str">
        <f>IFERROR(IF(C38="","",INDEX(PMGHVAC[Inc Rate Unit],MATCH(C38,PMGHVAC[Eff Desc 1],0))),"")</f>
        <v/>
      </c>
      <c r="AJ38" s="924"/>
      <c r="AK38" s="1004" t="str">
        <f>IF(OR(C38="",V38="",X38="",AB38="",AE38="",AG38=""),"",ROUND(V38*INDEX(PMGHVAC[Savings per Unit Therm],MATCH(C38,PMGHVAC[Eff Desc 1],0)),2))</f>
        <v/>
      </c>
      <c r="AL38" s="1005"/>
      <c r="AM38" s="1005"/>
      <c r="AN38" s="930" t="str">
        <f t="shared" ref="AN38" si="29">IF(OR(C38="",V38="",X38="",AB38="",AE38="",AG38=""),"",IF(BC38&lt;&gt;"",BC38,MIN(AU38,ROUND(V38*AI38,2))))</f>
        <v/>
      </c>
      <c r="AO38" s="931"/>
      <c r="AP38" s="931"/>
      <c r="AQ38" s="868"/>
      <c r="AS38" s="59"/>
      <c r="AT38" s="59"/>
      <c r="AU38" s="813" t="str">
        <f t="shared" ref="AU38" si="30">IF(OR(C38="",V38="",X38="",AB38="",AE38="",AG38=""),"",ROUND((AE38+AG38)*V38,2))</f>
        <v/>
      </c>
      <c r="AV38" s="1019">
        <v>0</v>
      </c>
      <c r="AW38" s="59"/>
      <c r="BC38" s="830"/>
      <c r="BE38" s="811" t="str">
        <f ca="1">IF(OR(T38="",N38="",C38="",V38="",X38="",AB38="",AE38="",AG38=""),"",IF('M01-S01'!$V$82&lt;TODAY(),0,IF(M02S02F46="Electric Only",0,IF(ISNUMBER(SEARCH("Boiler Tune-Up",C38)),IF(OR(AK38="",AK38&lt;0,AU38&lt;=AN38),0,MIN(AU38-AN38,ROUND(AN38*0.2,2))),0))))</f>
        <v/>
      </c>
    </row>
    <row r="39" spans="2:57" ht="15.95" customHeight="1">
      <c r="B39" s="929"/>
      <c r="C39" s="840"/>
      <c r="D39" s="841"/>
      <c r="E39" s="841"/>
      <c r="F39" s="841"/>
      <c r="G39" s="841"/>
      <c r="H39" s="841"/>
      <c r="I39" s="841"/>
      <c r="J39" s="841"/>
      <c r="K39" s="841"/>
      <c r="L39" s="841"/>
      <c r="M39" s="842"/>
      <c r="N39" s="917"/>
      <c r="O39" s="918"/>
      <c r="P39" s="918"/>
      <c r="Q39" s="918"/>
      <c r="R39" s="918"/>
      <c r="S39" s="919"/>
      <c r="T39" s="955"/>
      <c r="U39" s="956"/>
      <c r="V39" s="853"/>
      <c r="W39" s="854"/>
      <c r="X39" s="840"/>
      <c r="Y39" s="841"/>
      <c r="Z39" s="841"/>
      <c r="AA39" s="842"/>
      <c r="AB39" s="840"/>
      <c r="AC39" s="841"/>
      <c r="AD39" s="842"/>
      <c r="AE39" s="865"/>
      <c r="AF39" s="875"/>
      <c r="AG39" s="865"/>
      <c r="AH39" s="875"/>
      <c r="AI39" s="925"/>
      <c r="AJ39" s="870"/>
      <c r="AK39" s="1007"/>
      <c r="AL39" s="1008"/>
      <c r="AM39" s="1008"/>
      <c r="AN39" s="925"/>
      <c r="AO39" s="932"/>
      <c r="AP39" s="932"/>
      <c r="AQ39" s="870"/>
      <c r="AS39" s="59"/>
      <c r="AT39" s="59"/>
      <c r="AU39" s="814"/>
      <c r="AV39" s="981"/>
      <c r="AW39" s="59"/>
      <c r="BC39" s="831"/>
      <c r="BE39" s="812"/>
    </row>
    <row r="40" spans="2:57" ht="15.95" customHeight="1">
      <c r="B40" s="929">
        <v>13</v>
      </c>
      <c r="C40" s="871"/>
      <c r="D40" s="872"/>
      <c r="E40" s="872"/>
      <c r="F40" s="872"/>
      <c r="G40" s="872"/>
      <c r="H40" s="872"/>
      <c r="I40" s="872"/>
      <c r="J40" s="872"/>
      <c r="K40" s="872"/>
      <c r="L40" s="872"/>
      <c r="M40" s="873"/>
      <c r="N40" s="914" t="str">
        <f>IFERROR(IF(C40="","",INDEX(PMGHVAC[Base Desc 1],MATCH(C40,PMGHVAC[Eff Desc 1],0))),"")</f>
        <v/>
      </c>
      <c r="O40" s="915"/>
      <c r="P40" s="915"/>
      <c r="Q40" s="915"/>
      <c r="R40" s="915"/>
      <c r="S40" s="916"/>
      <c r="T40" s="953" t="str">
        <f>IFERROR(IF(C40="","",INDEX(PMGHVAC[Unit of Measure],MATCH(C40,PMGHVAC[Eff Desc 1],0))),"")</f>
        <v/>
      </c>
      <c r="U40" s="954"/>
      <c r="V40" s="876"/>
      <c r="W40" s="877"/>
      <c r="X40" s="837"/>
      <c r="Y40" s="838"/>
      <c r="Z40" s="838"/>
      <c r="AA40" s="839"/>
      <c r="AB40" s="837"/>
      <c r="AC40" s="838"/>
      <c r="AD40" s="839"/>
      <c r="AE40" s="863"/>
      <c r="AF40" s="874"/>
      <c r="AG40" s="863"/>
      <c r="AH40" s="874"/>
      <c r="AI40" s="923" t="str">
        <f>IFERROR(IF(C40="","",INDEX(PMGHVAC[Inc Rate Unit],MATCH(C40,PMGHVAC[Eff Desc 1],0))),"")</f>
        <v/>
      </c>
      <c r="AJ40" s="924"/>
      <c r="AK40" s="1004" t="str">
        <f>IF(OR(C40="",V40="",X40="",AB40="",AE40="",AG40=""),"",ROUND(V40*INDEX(PMGHVAC[Savings per Unit Therm],MATCH(C40,PMGHVAC[Eff Desc 1],0)),2))</f>
        <v/>
      </c>
      <c r="AL40" s="1005"/>
      <c r="AM40" s="1005"/>
      <c r="AN40" s="930" t="str">
        <f t="shared" ref="AN40" si="31">IF(OR(C40="",V40="",X40="",AB40="",AE40="",AG40=""),"",IF(BC40&lt;&gt;"",BC40,MIN(AU40,ROUND(V40*AI40,2))))</f>
        <v/>
      </c>
      <c r="AO40" s="931"/>
      <c r="AP40" s="931"/>
      <c r="AQ40" s="868"/>
      <c r="AS40" s="59"/>
      <c r="AT40" s="59"/>
      <c r="AU40" s="813" t="str">
        <f t="shared" ref="AU40" si="32">IF(OR(C40="",V40="",X40="",AB40="",AE40="",AG40=""),"",ROUND((AE40+AG40)*V40,2))</f>
        <v/>
      </c>
      <c r="AV40" s="1019">
        <v>0</v>
      </c>
      <c r="AW40" s="59"/>
      <c r="BC40" s="830"/>
      <c r="BE40" s="811" t="str">
        <f ca="1">IF(OR(T40="",N40="",C40="",V40="",X40="",AB40="",AE40="",AG40=""),"",IF('M01-S01'!$V$82&lt;TODAY(),0,IF(M02S02F46="Electric Only",0,IF(ISNUMBER(SEARCH("Boiler Tune-Up",C40)),IF(OR(AK40="",AK40&lt;0,AU40&lt;=AN40),0,MIN(AU40-AN40,ROUND(AN40*0.2,2))),0))))</f>
        <v/>
      </c>
    </row>
    <row r="41" spans="2:57" ht="15.95" customHeight="1">
      <c r="B41" s="929"/>
      <c r="C41" s="840"/>
      <c r="D41" s="841"/>
      <c r="E41" s="841"/>
      <c r="F41" s="841"/>
      <c r="G41" s="841"/>
      <c r="H41" s="841"/>
      <c r="I41" s="841"/>
      <c r="J41" s="841"/>
      <c r="K41" s="841"/>
      <c r="L41" s="841"/>
      <c r="M41" s="842"/>
      <c r="N41" s="917"/>
      <c r="O41" s="918"/>
      <c r="P41" s="918"/>
      <c r="Q41" s="918"/>
      <c r="R41" s="918"/>
      <c r="S41" s="919"/>
      <c r="T41" s="955"/>
      <c r="U41" s="956"/>
      <c r="V41" s="853"/>
      <c r="W41" s="854"/>
      <c r="X41" s="840"/>
      <c r="Y41" s="841"/>
      <c r="Z41" s="841"/>
      <c r="AA41" s="842"/>
      <c r="AB41" s="840"/>
      <c r="AC41" s="841"/>
      <c r="AD41" s="842"/>
      <c r="AE41" s="865"/>
      <c r="AF41" s="875"/>
      <c r="AG41" s="865"/>
      <c r="AH41" s="875"/>
      <c r="AI41" s="925"/>
      <c r="AJ41" s="870"/>
      <c r="AK41" s="1007"/>
      <c r="AL41" s="1008"/>
      <c r="AM41" s="1008"/>
      <c r="AN41" s="925"/>
      <c r="AO41" s="932"/>
      <c r="AP41" s="932"/>
      <c r="AQ41" s="870"/>
      <c r="AS41" s="59"/>
      <c r="AT41" s="59"/>
      <c r="AU41" s="814"/>
      <c r="AV41" s="981"/>
      <c r="AW41" s="59"/>
      <c r="BC41" s="831"/>
      <c r="BE41" s="812"/>
    </row>
    <row r="42" spans="2:57" ht="15.95" customHeight="1">
      <c r="B42" s="929">
        <v>14</v>
      </c>
      <c r="C42" s="871"/>
      <c r="D42" s="872"/>
      <c r="E42" s="872"/>
      <c r="F42" s="872"/>
      <c r="G42" s="872"/>
      <c r="H42" s="872"/>
      <c r="I42" s="872"/>
      <c r="J42" s="872"/>
      <c r="K42" s="872"/>
      <c r="L42" s="872"/>
      <c r="M42" s="873"/>
      <c r="N42" s="914" t="str">
        <f>IFERROR(IF(C42="","",INDEX(PMGHVAC[Base Desc 1],MATCH(C42,PMGHVAC[Eff Desc 1],0))),"")</f>
        <v/>
      </c>
      <c r="O42" s="915"/>
      <c r="P42" s="915"/>
      <c r="Q42" s="915"/>
      <c r="R42" s="915"/>
      <c r="S42" s="916"/>
      <c r="T42" s="953" t="str">
        <f>IFERROR(IF(C42="","",INDEX(PMGHVAC[Unit of Measure],MATCH(C42,PMGHVAC[Eff Desc 1],0))),"")</f>
        <v/>
      </c>
      <c r="U42" s="954"/>
      <c r="V42" s="876"/>
      <c r="W42" s="877"/>
      <c r="X42" s="837"/>
      <c r="Y42" s="838"/>
      <c r="Z42" s="838"/>
      <c r="AA42" s="839"/>
      <c r="AB42" s="837"/>
      <c r="AC42" s="838"/>
      <c r="AD42" s="839"/>
      <c r="AE42" s="863"/>
      <c r="AF42" s="874"/>
      <c r="AG42" s="863"/>
      <c r="AH42" s="874"/>
      <c r="AI42" s="923" t="str">
        <f>IFERROR(IF(C42="","",INDEX(PMGHVAC[Inc Rate Unit],MATCH(C42,PMGHVAC[Eff Desc 1],0))),"")</f>
        <v/>
      </c>
      <c r="AJ42" s="924"/>
      <c r="AK42" s="1004" t="str">
        <f>IF(OR(C42="",V42="",X42="",AB42="",AE42="",AG42=""),"",ROUND(V42*INDEX(PMGHVAC[Savings per Unit Therm],MATCH(C42,PMGHVAC[Eff Desc 1],0)),2))</f>
        <v/>
      </c>
      <c r="AL42" s="1005"/>
      <c r="AM42" s="1005"/>
      <c r="AN42" s="930" t="str">
        <f t="shared" ref="AN42" si="33">IF(OR(C42="",V42="",X42="",AB42="",AE42="",AG42=""),"",IF(BC42&lt;&gt;"",BC42,MIN(AU42,ROUND(V42*AI42,2))))</f>
        <v/>
      </c>
      <c r="AO42" s="931"/>
      <c r="AP42" s="931"/>
      <c r="AQ42" s="868"/>
      <c r="AS42" s="59"/>
      <c r="AT42" s="59"/>
      <c r="AU42" s="813" t="str">
        <f t="shared" ref="AU42" si="34">IF(OR(C42="",V42="",X42="",AB42="",AE42="",AG42=""),"",ROUND((AE42+AG42)*V42,2))</f>
        <v/>
      </c>
      <c r="AV42" s="1019">
        <v>0</v>
      </c>
      <c r="AW42" s="59"/>
      <c r="BC42" s="830"/>
      <c r="BE42" s="811" t="str">
        <f ca="1">IF(OR(T42="",N42="",C42="",V42="",X42="",AB42="",AE42="",AG42=""),"",IF('M01-S01'!$V$82&lt;TODAY(),0,IF(M02S02F46="Electric Only",0,IF(ISNUMBER(SEARCH("Boiler Tune-Up",C42)),IF(OR(AK42="",AK42&lt;0,AU42&lt;=AN42),0,MIN(AU42-AN42,ROUND(AN42*0.2,2))),0))))</f>
        <v/>
      </c>
    </row>
    <row r="43" spans="2:57" ht="15.95" customHeight="1">
      <c r="B43" s="929"/>
      <c r="C43" s="840"/>
      <c r="D43" s="841"/>
      <c r="E43" s="841"/>
      <c r="F43" s="841"/>
      <c r="G43" s="841"/>
      <c r="H43" s="841"/>
      <c r="I43" s="841"/>
      <c r="J43" s="841"/>
      <c r="K43" s="841"/>
      <c r="L43" s="841"/>
      <c r="M43" s="842"/>
      <c r="N43" s="917"/>
      <c r="O43" s="918"/>
      <c r="P43" s="918"/>
      <c r="Q43" s="918"/>
      <c r="R43" s="918"/>
      <c r="S43" s="919"/>
      <c r="T43" s="955"/>
      <c r="U43" s="956"/>
      <c r="V43" s="853"/>
      <c r="W43" s="854"/>
      <c r="X43" s="840"/>
      <c r="Y43" s="841"/>
      <c r="Z43" s="841"/>
      <c r="AA43" s="842"/>
      <c r="AB43" s="840"/>
      <c r="AC43" s="841"/>
      <c r="AD43" s="842"/>
      <c r="AE43" s="865"/>
      <c r="AF43" s="875"/>
      <c r="AG43" s="865"/>
      <c r="AH43" s="875"/>
      <c r="AI43" s="925"/>
      <c r="AJ43" s="870"/>
      <c r="AK43" s="1007"/>
      <c r="AL43" s="1008"/>
      <c r="AM43" s="1008"/>
      <c r="AN43" s="925"/>
      <c r="AO43" s="932"/>
      <c r="AP43" s="932"/>
      <c r="AQ43" s="870"/>
      <c r="AS43" s="59"/>
      <c r="AT43" s="59"/>
      <c r="AU43" s="814"/>
      <c r="AV43" s="981"/>
      <c r="AW43" s="59"/>
      <c r="BC43" s="831"/>
      <c r="BE43" s="812"/>
    </row>
    <row r="44" spans="2:57" ht="15.95" customHeight="1">
      <c r="B44" s="929">
        <v>15</v>
      </c>
      <c r="C44" s="871"/>
      <c r="D44" s="872"/>
      <c r="E44" s="872"/>
      <c r="F44" s="872"/>
      <c r="G44" s="872"/>
      <c r="H44" s="872"/>
      <c r="I44" s="872"/>
      <c r="J44" s="872"/>
      <c r="K44" s="872"/>
      <c r="L44" s="872"/>
      <c r="M44" s="873"/>
      <c r="N44" s="914" t="str">
        <f>IFERROR(IF(C44="","",INDEX(PMGHVAC[Base Desc 1],MATCH(C44,PMGHVAC[Eff Desc 1],0))),"")</f>
        <v/>
      </c>
      <c r="O44" s="915"/>
      <c r="P44" s="915"/>
      <c r="Q44" s="915"/>
      <c r="R44" s="915"/>
      <c r="S44" s="916"/>
      <c r="T44" s="953" t="str">
        <f>IFERROR(IF(C44="","",INDEX(PMGHVAC[Unit of Measure],MATCH(C44,PMGHVAC[Eff Desc 1],0))),"")</f>
        <v/>
      </c>
      <c r="U44" s="954"/>
      <c r="V44" s="876"/>
      <c r="W44" s="877"/>
      <c r="X44" s="837"/>
      <c r="Y44" s="838"/>
      <c r="Z44" s="838"/>
      <c r="AA44" s="839"/>
      <c r="AB44" s="837"/>
      <c r="AC44" s="838"/>
      <c r="AD44" s="839"/>
      <c r="AE44" s="863"/>
      <c r="AF44" s="874"/>
      <c r="AG44" s="863"/>
      <c r="AH44" s="874"/>
      <c r="AI44" s="923" t="str">
        <f>IFERROR(IF(C44="","",INDEX(PMGHVAC[Inc Rate Unit],MATCH(C44,PMGHVAC[Eff Desc 1],0))),"")</f>
        <v/>
      </c>
      <c r="AJ44" s="924"/>
      <c r="AK44" s="1004" t="str">
        <f>IF(OR(C44="",V44="",X44="",AB44="",AE44="",AG44=""),"",ROUND(V44*INDEX(PMGHVAC[Savings per Unit Therm],MATCH(C44,PMGHVAC[Eff Desc 1],0)),2))</f>
        <v/>
      </c>
      <c r="AL44" s="1005"/>
      <c r="AM44" s="1005"/>
      <c r="AN44" s="930" t="str">
        <f t="shared" ref="AN44" si="35">IF(OR(C44="",V44="",X44="",AB44="",AE44="",AG44=""),"",IF(BC44&lt;&gt;"",BC44,MIN(AU44,ROUND(V44*AI44,2))))</f>
        <v/>
      </c>
      <c r="AO44" s="931"/>
      <c r="AP44" s="931"/>
      <c r="AQ44" s="868"/>
      <c r="AS44" s="59"/>
      <c r="AT44" s="59"/>
      <c r="AU44" s="813" t="str">
        <f t="shared" ref="AU44" si="36">IF(OR(C44="",V44="",X44="",AB44="",AE44="",AG44=""),"",ROUND((AE44+AG44)*V44,2))</f>
        <v/>
      </c>
      <c r="AV44" s="1019">
        <v>0</v>
      </c>
      <c r="AW44" s="59"/>
      <c r="BC44" s="830"/>
      <c r="BE44" s="811" t="str">
        <f ca="1">IF(OR(T44="",N44="",C44="",V44="",X44="",AB44="",AE44="",AG44=""),"",IF('M01-S01'!$V$82&lt;TODAY(),0,IF(M02S02F46="Electric Only",0,IF(ISNUMBER(SEARCH("Boiler Tune-Up",C44)),IF(OR(AK44="",AK44&lt;0,AU44&lt;=AN44),0,MIN(AU44-AN44,ROUND(AN44*0.2,2))),0))))</f>
        <v/>
      </c>
    </row>
    <row r="45" spans="2:57" ht="15.95" customHeight="1">
      <c r="B45" s="929"/>
      <c r="C45" s="840"/>
      <c r="D45" s="841"/>
      <c r="E45" s="841"/>
      <c r="F45" s="841"/>
      <c r="G45" s="841"/>
      <c r="H45" s="841"/>
      <c r="I45" s="841"/>
      <c r="J45" s="841"/>
      <c r="K45" s="841"/>
      <c r="L45" s="841"/>
      <c r="M45" s="842"/>
      <c r="N45" s="917"/>
      <c r="O45" s="918"/>
      <c r="P45" s="918"/>
      <c r="Q45" s="918"/>
      <c r="R45" s="918"/>
      <c r="S45" s="919"/>
      <c r="T45" s="955"/>
      <c r="U45" s="956"/>
      <c r="V45" s="853"/>
      <c r="W45" s="854"/>
      <c r="X45" s="840"/>
      <c r="Y45" s="841"/>
      <c r="Z45" s="841"/>
      <c r="AA45" s="842"/>
      <c r="AB45" s="840"/>
      <c r="AC45" s="841"/>
      <c r="AD45" s="842"/>
      <c r="AE45" s="865"/>
      <c r="AF45" s="875"/>
      <c r="AG45" s="865"/>
      <c r="AH45" s="875"/>
      <c r="AI45" s="925"/>
      <c r="AJ45" s="870"/>
      <c r="AK45" s="1007"/>
      <c r="AL45" s="1008"/>
      <c r="AM45" s="1008"/>
      <c r="AN45" s="925"/>
      <c r="AO45" s="932"/>
      <c r="AP45" s="932"/>
      <c r="AQ45" s="870"/>
      <c r="AS45" s="59"/>
      <c r="AT45" s="59"/>
      <c r="AU45" s="814"/>
      <c r="AV45" s="981"/>
      <c r="AW45" s="59"/>
      <c r="BC45" s="831"/>
      <c r="BE45" s="812"/>
    </row>
    <row r="46" spans="2:57" ht="15.95" hidden="1" customHeight="1">
      <c r="B46" s="929">
        <v>16</v>
      </c>
      <c r="C46" s="871"/>
      <c r="D46" s="872"/>
      <c r="E46" s="872"/>
      <c r="F46" s="872"/>
      <c r="G46" s="872"/>
      <c r="H46" s="872"/>
      <c r="I46" s="872"/>
      <c r="J46" s="872"/>
      <c r="K46" s="872"/>
      <c r="L46" s="872"/>
      <c r="M46" s="873"/>
      <c r="N46" s="914" t="str">
        <f>IFERROR(IF(C46="","",INDEX(PMGHVAC[Base Desc 1],MATCH(C46,PMGHVAC[Eff Desc 1],0))),"")</f>
        <v/>
      </c>
      <c r="O46" s="915"/>
      <c r="P46" s="915"/>
      <c r="Q46" s="915"/>
      <c r="R46" s="915"/>
      <c r="S46" s="916"/>
      <c r="T46" s="953" t="str">
        <f>IFERROR(IF(C46="","",INDEX(PMGHVAC[Unit of Measure],MATCH(C46,PMGHVAC[Eff Desc 1],0))),"")</f>
        <v/>
      </c>
      <c r="U46" s="954"/>
      <c r="V46" s="876"/>
      <c r="W46" s="877"/>
      <c r="X46" s="837"/>
      <c r="Y46" s="838"/>
      <c r="Z46" s="838"/>
      <c r="AA46" s="839"/>
      <c r="AB46" s="837"/>
      <c r="AC46" s="838"/>
      <c r="AD46" s="839"/>
      <c r="AE46" s="863"/>
      <c r="AF46" s="874"/>
      <c r="AG46" s="863"/>
      <c r="AH46" s="874"/>
      <c r="AI46" s="923" t="str">
        <f>IFERROR(IF(C46="","",INDEX(PMGHVAC[Inc Rate Unit],MATCH(C46,PMGHVAC[Eff Desc 1],0))),"")</f>
        <v/>
      </c>
      <c r="AJ46" s="924"/>
      <c r="AK46" s="1004" t="str">
        <f>IF(OR(C46="",V46="",X46="",AB46="",AE46="",AG46=""),"",ROUND(V46*INDEX(PMGHVAC[Savings per Unit Therm],MATCH(C46,PMGHVAC[Eff Desc 1],0)),2))</f>
        <v/>
      </c>
      <c r="AL46" s="1005"/>
      <c r="AM46" s="1005"/>
      <c r="AN46" s="930" t="str">
        <f t="shared" ref="AN46" si="37">IF(OR(C46="",V46="",X46="",AB46="",AE46="",AG46=""),"",IF(BC46&lt;&gt;"",BC46,MIN(AU46,ROUND(V46*AI46,2))))</f>
        <v/>
      </c>
      <c r="AO46" s="931"/>
      <c r="AP46" s="931"/>
      <c r="AQ46" s="868"/>
      <c r="AS46" s="59"/>
      <c r="AT46" s="59"/>
      <c r="AU46" s="813" t="str">
        <f t="shared" ref="AU46" si="38">IF(OR(C46="",V46="",X46="",AB46="",AE46="",AG46=""),"",ROUND((AE46+AG46)*V46,2))</f>
        <v/>
      </c>
      <c r="AW46" s="59"/>
      <c r="BC46" s="830"/>
    </row>
    <row r="47" spans="2:57" ht="15.95" hidden="1" customHeight="1">
      <c r="B47" s="929"/>
      <c r="C47" s="840"/>
      <c r="D47" s="841"/>
      <c r="E47" s="841"/>
      <c r="F47" s="841"/>
      <c r="G47" s="841"/>
      <c r="H47" s="841"/>
      <c r="I47" s="841"/>
      <c r="J47" s="841"/>
      <c r="K47" s="841"/>
      <c r="L47" s="841"/>
      <c r="M47" s="842"/>
      <c r="N47" s="917"/>
      <c r="O47" s="918"/>
      <c r="P47" s="918"/>
      <c r="Q47" s="918"/>
      <c r="R47" s="918"/>
      <c r="S47" s="919"/>
      <c r="T47" s="955"/>
      <c r="U47" s="956"/>
      <c r="V47" s="853"/>
      <c r="W47" s="854"/>
      <c r="X47" s="840"/>
      <c r="Y47" s="841"/>
      <c r="Z47" s="841"/>
      <c r="AA47" s="842"/>
      <c r="AB47" s="840"/>
      <c r="AC47" s="841"/>
      <c r="AD47" s="842"/>
      <c r="AE47" s="865"/>
      <c r="AF47" s="875"/>
      <c r="AG47" s="865"/>
      <c r="AH47" s="875"/>
      <c r="AI47" s="925"/>
      <c r="AJ47" s="870"/>
      <c r="AK47" s="1007"/>
      <c r="AL47" s="1008"/>
      <c r="AM47" s="1008"/>
      <c r="AN47" s="925"/>
      <c r="AO47" s="932"/>
      <c r="AP47" s="932"/>
      <c r="AQ47" s="870"/>
      <c r="AS47" s="59"/>
      <c r="AT47" s="59"/>
      <c r="AU47" s="814"/>
      <c r="AW47" s="59"/>
      <c r="BC47" s="831"/>
    </row>
    <row r="48" spans="2:57" ht="15.95" hidden="1" customHeight="1">
      <c r="B48" s="929">
        <v>17</v>
      </c>
      <c r="C48" s="871"/>
      <c r="D48" s="872"/>
      <c r="E48" s="872"/>
      <c r="F48" s="872"/>
      <c r="G48" s="872"/>
      <c r="H48" s="872"/>
      <c r="I48" s="872"/>
      <c r="J48" s="872"/>
      <c r="K48" s="872"/>
      <c r="L48" s="872"/>
      <c r="M48" s="873"/>
      <c r="N48" s="914" t="str">
        <f>IFERROR(IF(C48="","",INDEX(PMGHVAC[Base Desc 1],MATCH(C48,PMGHVAC[Eff Desc 1],0))),"")</f>
        <v/>
      </c>
      <c r="O48" s="915"/>
      <c r="P48" s="915"/>
      <c r="Q48" s="915"/>
      <c r="R48" s="915"/>
      <c r="S48" s="916"/>
      <c r="T48" s="953" t="str">
        <f>IFERROR(IF(C48="","",INDEX(PMGHVAC[Unit of Measure],MATCH(C48,PMGHVAC[Eff Desc 1],0))),"")</f>
        <v/>
      </c>
      <c r="U48" s="954"/>
      <c r="V48" s="876"/>
      <c r="W48" s="877"/>
      <c r="X48" s="837"/>
      <c r="Y48" s="838"/>
      <c r="Z48" s="838"/>
      <c r="AA48" s="839"/>
      <c r="AB48" s="837"/>
      <c r="AC48" s="838"/>
      <c r="AD48" s="839"/>
      <c r="AE48" s="863"/>
      <c r="AF48" s="874"/>
      <c r="AG48" s="863"/>
      <c r="AH48" s="874"/>
      <c r="AI48" s="923" t="str">
        <f>IFERROR(IF(C48="","",INDEX(PMGHVAC[Inc Rate Unit],MATCH(C48,PMGHVAC[Eff Desc 1],0))),"")</f>
        <v/>
      </c>
      <c r="AJ48" s="924"/>
      <c r="AK48" s="1004" t="str">
        <f>IF(OR(C48="",V48="",X48="",AB48="",AE48="",AG48=""),"",ROUND(V48*INDEX(PMGHVAC[Savings per Unit Therm],MATCH(C48,PMGHVAC[Eff Desc 1],0)),2))</f>
        <v/>
      </c>
      <c r="AL48" s="1005"/>
      <c r="AM48" s="1005"/>
      <c r="AN48" s="930" t="str">
        <f t="shared" ref="AN48" si="39">IF(OR(C48="",V48="",X48="",AB48="",AE48="",AG48=""),"",IF(BC48&lt;&gt;"",BC48,MIN(AU48,ROUND(V48*AI48,2))))</f>
        <v/>
      </c>
      <c r="AO48" s="931"/>
      <c r="AP48" s="931"/>
      <c r="AQ48" s="868"/>
      <c r="AS48" s="59"/>
      <c r="AT48" s="59"/>
      <c r="AU48" s="813" t="str">
        <f t="shared" ref="AU48" si="40">IF(OR(C48="",V48="",X48="",AB48="",AE48="",AG48=""),"",ROUND((AE48+AG48)*V48,2))</f>
        <v/>
      </c>
      <c r="AW48" s="59"/>
      <c r="BC48" s="830"/>
    </row>
    <row r="49" spans="2:55" ht="15.95" hidden="1" customHeight="1">
      <c r="B49" s="929"/>
      <c r="C49" s="840"/>
      <c r="D49" s="841"/>
      <c r="E49" s="841"/>
      <c r="F49" s="841"/>
      <c r="G49" s="841"/>
      <c r="H49" s="841"/>
      <c r="I49" s="841"/>
      <c r="J49" s="841"/>
      <c r="K49" s="841"/>
      <c r="L49" s="841"/>
      <c r="M49" s="842"/>
      <c r="N49" s="917"/>
      <c r="O49" s="918"/>
      <c r="P49" s="918"/>
      <c r="Q49" s="918"/>
      <c r="R49" s="918"/>
      <c r="S49" s="919"/>
      <c r="T49" s="955"/>
      <c r="U49" s="956"/>
      <c r="V49" s="853"/>
      <c r="W49" s="854"/>
      <c r="X49" s="840"/>
      <c r="Y49" s="841"/>
      <c r="Z49" s="841"/>
      <c r="AA49" s="842"/>
      <c r="AB49" s="840"/>
      <c r="AC49" s="841"/>
      <c r="AD49" s="842"/>
      <c r="AE49" s="865"/>
      <c r="AF49" s="875"/>
      <c r="AG49" s="865"/>
      <c r="AH49" s="875"/>
      <c r="AI49" s="925"/>
      <c r="AJ49" s="870"/>
      <c r="AK49" s="1007"/>
      <c r="AL49" s="1008"/>
      <c r="AM49" s="1008"/>
      <c r="AN49" s="925"/>
      <c r="AO49" s="932"/>
      <c r="AP49" s="932"/>
      <c r="AQ49" s="870"/>
      <c r="AS49" s="59"/>
      <c r="AT49" s="59"/>
      <c r="AU49" s="814"/>
      <c r="AW49" s="59"/>
      <c r="BC49" s="831"/>
    </row>
    <row r="50" spans="2:55" ht="15.95" hidden="1" customHeight="1">
      <c r="B50" s="929">
        <v>18</v>
      </c>
      <c r="C50" s="871"/>
      <c r="D50" s="872"/>
      <c r="E50" s="872"/>
      <c r="F50" s="872"/>
      <c r="G50" s="872"/>
      <c r="H50" s="872"/>
      <c r="I50" s="872"/>
      <c r="J50" s="872"/>
      <c r="K50" s="872"/>
      <c r="L50" s="872"/>
      <c r="M50" s="873"/>
      <c r="N50" s="914" t="str">
        <f>IFERROR(IF(C50="","",INDEX(PMGHVAC[Base Desc 1],MATCH(C50,PMGHVAC[Eff Desc 1],0))),"")</f>
        <v/>
      </c>
      <c r="O50" s="915"/>
      <c r="P50" s="915"/>
      <c r="Q50" s="915"/>
      <c r="R50" s="915"/>
      <c r="S50" s="916"/>
      <c r="T50" s="953" t="str">
        <f>IFERROR(IF(C50="","",INDEX(PMGHVAC[Unit of Measure],MATCH(C50,PMGHVAC[Eff Desc 1],0))),"")</f>
        <v/>
      </c>
      <c r="U50" s="954"/>
      <c r="V50" s="876"/>
      <c r="W50" s="877"/>
      <c r="X50" s="837"/>
      <c r="Y50" s="838"/>
      <c r="Z50" s="838"/>
      <c r="AA50" s="839"/>
      <c r="AB50" s="837"/>
      <c r="AC50" s="838"/>
      <c r="AD50" s="839"/>
      <c r="AE50" s="863"/>
      <c r="AF50" s="874"/>
      <c r="AG50" s="863"/>
      <c r="AH50" s="874"/>
      <c r="AI50" s="923" t="str">
        <f>IFERROR(IF(C50="","",INDEX(PMGHVAC[Inc Rate Unit],MATCH(C50,PMGHVAC[Eff Desc 1],0))),"")</f>
        <v/>
      </c>
      <c r="AJ50" s="924"/>
      <c r="AK50" s="1004" t="str">
        <f>IF(OR(C50="",V50="",X50="",AB50="",AE50="",AG50=""),"",ROUND(V50*INDEX(PMGHVAC[Savings per Unit Therm],MATCH(C50,PMGHVAC[Eff Desc 1],0)),2))</f>
        <v/>
      </c>
      <c r="AL50" s="1005"/>
      <c r="AM50" s="1005"/>
      <c r="AN50" s="930" t="str">
        <f t="shared" ref="AN50" si="41">IF(OR(C50="",V50="",X50="",AB50="",AE50="",AG50=""),"",IF(BC50&lt;&gt;"",BC50,MIN(AU50,ROUND(V50*AI50,2))))</f>
        <v/>
      </c>
      <c r="AO50" s="931"/>
      <c r="AP50" s="931"/>
      <c r="AQ50" s="868"/>
      <c r="AS50" s="59"/>
      <c r="AT50" s="59"/>
      <c r="AU50" s="813" t="str">
        <f t="shared" ref="AU50" si="42">IF(OR(C50="",V50="",X50="",AB50="",AE50="",AG50=""),"",ROUND((AE50+AG50)*V50,2))</f>
        <v/>
      </c>
      <c r="AW50" s="59"/>
      <c r="BC50" s="830"/>
    </row>
    <row r="51" spans="2:55" ht="15.95" hidden="1" customHeight="1">
      <c r="B51" s="929"/>
      <c r="C51" s="840"/>
      <c r="D51" s="841"/>
      <c r="E51" s="841"/>
      <c r="F51" s="841"/>
      <c r="G51" s="841"/>
      <c r="H51" s="841"/>
      <c r="I51" s="841"/>
      <c r="J51" s="841"/>
      <c r="K51" s="841"/>
      <c r="L51" s="841"/>
      <c r="M51" s="842"/>
      <c r="N51" s="917"/>
      <c r="O51" s="918"/>
      <c r="P51" s="918"/>
      <c r="Q51" s="918"/>
      <c r="R51" s="918"/>
      <c r="S51" s="919"/>
      <c r="T51" s="955"/>
      <c r="U51" s="956"/>
      <c r="V51" s="853"/>
      <c r="W51" s="854"/>
      <c r="X51" s="840"/>
      <c r="Y51" s="841"/>
      <c r="Z51" s="841"/>
      <c r="AA51" s="842"/>
      <c r="AB51" s="840"/>
      <c r="AC51" s="841"/>
      <c r="AD51" s="842"/>
      <c r="AE51" s="865"/>
      <c r="AF51" s="875"/>
      <c r="AG51" s="865"/>
      <c r="AH51" s="875"/>
      <c r="AI51" s="925"/>
      <c r="AJ51" s="870"/>
      <c r="AK51" s="1007"/>
      <c r="AL51" s="1008"/>
      <c r="AM51" s="1008"/>
      <c r="AN51" s="925"/>
      <c r="AO51" s="932"/>
      <c r="AP51" s="932"/>
      <c r="AQ51" s="870"/>
      <c r="AS51" s="59"/>
      <c r="AT51" s="59"/>
      <c r="AU51" s="814"/>
      <c r="AW51" s="59"/>
      <c r="BC51" s="831"/>
    </row>
    <row r="52" spans="2:55" ht="15.95" hidden="1" customHeight="1">
      <c r="B52" s="929">
        <v>19</v>
      </c>
      <c r="C52" s="871"/>
      <c r="D52" s="872"/>
      <c r="E52" s="872"/>
      <c r="F52" s="872"/>
      <c r="G52" s="872"/>
      <c r="H52" s="872"/>
      <c r="I52" s="872"/>
      <c r="J52" s="872"/>
      <c r="K52" s="872"/>
      <c r="L52" s="872"/>
      <c r="M52" s="873"/>
      <c r="N52" s="914" t="str">
        <f>IFERROR(IF(C52="","",INDEX(PMGHVAC[Base Desc 1],MATCH(C52,PMGHVAC[Eff Desc 1],0))),"")</f>
        <v/>
      </c>
      <c r="O52" s="915"/>
      <c r="P52" s="915"/>
      <c r="Q52" s="915"/>
      <c r="R52" s="915"/>
      <c r="S52" s="916"/>
      <c r="T52" s="953" t="str">
        <f>IFERROR(IF(C52="","",INDEX(PMGHVAC[Unit of Measure],MATCH(C52,PMGHVAC[Eff Desc 1],0))),"")</f>
        <v/>
      </c>
      <c r="U52" s="954"/>
      <c r="V52" s="876"/>
      <c r="W52" s="877"/>
      <c r="X52" s="837"/>
      <c r="Y52" s="838"/>
      <c r="Z52" s="838"/>
      <c r="AA52" s="839"/>
      <c r="AB52" s="837"/>
      <c r="AC52" s="838"/>
      <c r="AD52" s="839"/>
      <c r="AE52" s="863"/>
      <c r="AF52" s="874"/>
      <c r="AG52" s="863"/>
      <c r="AH52" s="874"/>
      <c r="AI52" s="923" t="str">
        <f>IFERROR(IF(C52="","",INDEX(PMGHVAC[Inc Rate Unit],MATCH(C52,PMGHVAC[Eff Desc 1],0))),"")</f>
        <v/>
      </c>
      <c r="AJ52" s="924"/>
      <c r="AK52" s="1004" t="str">
        <f>IF(OR(C52="",V52="",X52="",AB52="",AE52="",AG52=""),"",ROUND(V52*INDEX(PMGHVAC[Savings per Unit Therm],MATCH(C52,PMGHVAC[Eff Desc 1],0)),2))</f>
        <v/>
      </c>
      <c r="AL52" s="1005"/>
      <c r="AM52" s="1005"/>
      <c r="AN52" s="930" t="str">
        <f t="shared" ref="AN52" si="43">IF(OR(C52="",V52="",X52="",AB52="",AE52="",AG52=""),"",IF(BC52&lt;&gt;"",BC52,MIN(AU52,ROUND(V52*AI52,2))))</f>
        <v/>
      </c>
      <c r="AO52" s="931"/>
      <c r="AP52" s="931"/>
      <c r="AQ52" s="868"/>
      <c r="AS52" s="59"/>
      <c r="AT52" s="59"/>
      <c r="AU52" s="813" t="str">
        <f t="shared" ref="AU52" si="44">IF(OR(C52="",V52="",X52="",AB52="",AE52="",AG52=""),"",ROUND((AE52+AG52)*V52,2))</f>
        <v/>
      </c>
      <c r="AW52" s="59"/>
      <c r="BC52" s="830"/>
    </row>
    <row r="53" spans="2:55" ht="15.95" hidden="1" customHeight="1">
      <c r="B53" s="929"/>
      <c r="C53" s="840"/>
      <c r="D53" s="841"/>
      <c r="E53" s="841"/>
      <c r="F53" s="841"/>
      <c r="G53" s="841"/>
      <c r="H53" s="841"/>
      <c r="I53" s="841"/>
      <c r="J53" s="841"/>
      <c r="K53" s="841"/>
      <c r="L53" s="841"/>
      <c r="M53" s="842"/>
      <c r="N53" s="917"/>
      <c r="O53" s="918"/>
      <c r="P53" s="918"/>
      <c r="Q53" s="918"/>
      <c r="R53" s="918"/>
      <c r="S53" s="919"/>
      <c r="T53" s="955"/>
      <c r="U53" s="956"/>
      <c r="V53" s="853"/>
      <c r="W53" s="854"/>
      <c r="X53" s="840"/>
      <c r="Y53" s="841"/>
      <c r="Z53" s="841"/>
      <c r="AA53" s="842"/>
      <c r="AB53" s="840"/>
      <c r="AC53" s="841"/>
      <c r="AD53" s="842"/>
      <c r="AE53" s="865"/>
      <c r="AF53" s="875"/>
      <c r="AG53" s="865"/>
      <c r="AH53" s="875"/>
      <c r="AI53" s="925"/>
      <c r="AJ53" s="870"/>
      <c r="AK53" s="1007"/>
      <c r="AL53" s="1008"/>
      <c r="AM53" s="1008"/>
      <c r="AN53" s="925"/>
      <c r="AO53" s="932"/>
      <c r="AP53" s="932"/>
      <c r="AQ53" s="870"/>
      <c r="AS53" s="59"/>
      <c r="AT53" s="59"/>
      <c r="AU53" s="814"/>
      <c r="AW53" s="59"/>
      <c r="BC53" s="831"/>
    </row>
    <row r="54" spans="2:55" ht="15.95" hidden="1" customHeight="1">
      <c r="B54" s="929">
        <v>20</v>
      </c>
      <c r="C54" s="871"/>
      <c r="D54" s="872"/>
      <c r="E54" s="872"/>
      <c r="F54" s="872"/>
      <c r="G54" s="872"/>
      <c r="H54" s="872"/>
      <c r="I54" s="872"/>
      <c r="J54" s="872"/>
      <c r="K54" s="872"/>
      <c r="L54" s="872"/>
      <c r="M54" s="873"/>
      <c r="N54" s="914" t="str">
        <f>IFERROR(IF(C54="","",INDEX(PMGHVAC[Base Desc 1],MATCH(C54,PMGHVAC[Eff Desc 1],0))),"")</f>
        <v/>
      </c>
      <c r="O54" s="915"/>
      <c r="P54" s="915"/>
      <c r="Q54" s="915"/>
      <c r="R54" s="915"/>
      <c r="S54" s="916"/>
      <c r="T54" s="953" t="str">
        <f>IFERROR(IF(C54="","",INDEX(PMGHVAC[Unit of Measure],MATCH(C54,PMGHVAC[Eff Desc 1],0))),"")</f>
        <v/>
      </c>
      <c r="U54" s="954"/>
      <c r="V54" s="876"/>
      <c r="W54" s="877"/>
      <c r="X54" s="837"/>
      <c r="Y54" s="838"/>
      <c r="Z54" s="838"/>
      <c r="AA54" s="839"/>
      <c r="AB54" s="837"/>
      <c r="AC54" s="838"/>
      <c r="AD54" s="839"/>
      <c r="AE54" s="863"/>
      <c r="AF54" s="874"/>
      <c r="AG54" s="863"/>
      <c r="AH54" s="874"/>
      <c r="AI54" s="923" t="str">
        <f>IFERROR(IF(C54="","",INDEX(PMGHVAC[Inc Rate Unit],MATCH(C54,PMGHVAC[Eff Desc 1],0))),"")</f>
        <v/>
      </c>
      <c r="AJ54" s="924"/>
      <c r="AK54" s="1004" t="str">
        <f>IF(OR(C54="",V54="",X54="",AB54="",AE54="",AG54=""),"",ROUND(V54*INDEX(PMGHVAC[Savings per Unit Therm],MATCH(C54,PMGHVAC[Eff Desc 1],0)),2))</f>
        <v/>
      </c>
      <c r="AL54" s="1005"/>
      <c r="AM54" s="1005"/>
      <c r="AN54" s="930" t="str">
        <f t="shared" ref="AN54" si="45">IF(OR(C54="",V54="",X54="",AB54="",AE54="",AG54=""),"",IF(BC54&lt;&gt;"",BC54,MIN(AU54,ROUND(V54*AI54,2))))</f>
        <v/>
      </c>
      <c r="AO54" s="931"/>
      <c r="AP54" s="931"/>
      <c r="AQ54" s="868"/>
      <c r="AS54" s="59"/>
      <c r="AT54" s="59"/>
      <c r="AU54" s="813" t="str">
        <f t="shared" ref="AU54" si="46">IF(OR(C54="",V54="",X54="",AB54="",AE54="",AG54=""),"",ROUND((AE54+AG54)*V54,2))</f>
        <v/>
      </c>
      <c r="AW54" s="59"/>
      <c r="BC54" s="830"/>
    </row>
    <row r="55" spans="2:55" ht="15.95" hidden="1" customHeight="1">
      <c r="B55" s="929"/>
      <c r="C55" s="840"/>
      <c r="D55" s="841"/>
      <c r="E55" s="841"/>
      <c r="F55" s="841"/>
      <c r="G55" s="841"/>
      <c r="H55" s="841"/>
      <c r="I55" s="841"/>
      <c r="J55" s="841"/>
      <c r="K55" s="841"/>
      <c r="L55" s="841"/>
      <c r="M55" s="842"/>
      <c r="N55" s="917"/>
      <c r="O55" s="918"/>
      <c r="P55" s="918"/>
      <c r="Q55" s="918"/>
      <c r="R55" s="918"/>
      <c r="S55" s="919"/>
      <c r="T55" s="955"/>
      <c r="U55" s="956"/>
      <c r="V55" s="853"/>
      <c r="W55" s="854"/>
      <c r="X55" s="840"/>
      <c r="Y55" s="841"/>
      <c r="Z55" s="841"/>
      <c r="AA55" s="842"/>
      <c r="AB55" s="840"/>
      <c r="AC55" s="841"/>
      <c r="AD55" s="842"/>
      <c r="AE55" s="865"/>
      <c r="AF55" s="875"/>
      <c r="AG55" s="865"/>
      <c r="AH55" s="875"/>
      <c r="AI55" s="925"/>
      <c r="AJ55" s="870"/>
      <c r="AK55" s="1007"/>
      <c r="AL55" s="1008"/>
      <c r="AM55" s="1008"/>
      <c r="AN55" s="925"/>
      <c r="AO55" s="932"/>
      <c r="AP55" s="932"/>
      <c r="AQ55" s="870"/>
      <c r="AS55" s="59"/>
      <c r="AT55" s="59"/>
      <c r="AU55" s="814"/>
      <c r="AW55" s="59"/>
      <c r="BC55" s="831"/>
    </row>
    <row r="56" spans="2:55" ht="15.95" hidden="1" customHeight="1">
      <c r="B56" s="929">
        <v>21</v>
      </c>
      <c r="C56" s="871"/>
      <c r="D56" s="872"/>
      <c r="E56" s="872"/>
      <c r="F56" s="872"/>
      <c r="G56" s="872"/>
      <c r="H56" s="872"/>
      <c r="I56" s="872"/>
      <c r="J56" s="872"/>
      <c r="K56" s="872"/>
      <c r="L56" s="872"/>
      <c r="M56" s="873"/>
      <c r="N56" s="914" t="str">
        <f>IFERROR(IF(C56="","",INDEX(PMGHVAC[Base Desc 1],MATCH(C56,PMGHVAC[Eff Desc 1],0))),"")</f>
        <v/>
      </c>
      <c r="O56" s="915"/>
      <c r="P56" s="915"/>
      <c r="Q56" s="915"/>
      <c r="R56" s="915"/>
      <c r="S56" s="916"/>
      <c r="T56" s="953" t="str">
        <f>IFERROR(IF(C56="","",INDEX(PMGHVAC[Unit of Measure],MATCH(C56,PMGHVAC[Eff Desc 1],0))),"")</f>
        <v/>
      </c>
      <c r="U56" s="954"/>
      <c r="V56" s="876"/>
      <c r="W56" s="877"/>
      <c r="X56" s="837"/>
      <c r="Y56" s="838"/>
      <c r="Z56" s="838"/>
      <c r="AA56" s="839"/>
      <c r="AB56" s="837"/>
      <c r="AC56" s="838"/>
      <c r="AD56" s="839"/>
      <c r="AE56" s="863"/>
      <c r="AF56" s="874"/>
      <c r="AG56" s="863"/>
      <c r="AH56" s="874"/>
      <c r="AI56" s="923" t="str">
        <f>IFERROR(IF(C56="","",INDEX(PMGHVAC[Inc Rate Unit],MATCH(C56,PMGHVAC[Eff Desc 1],0))),"")</f>
        <v/>
      </c>
      <c r="AJ56" s="924"/>
      <c r="AK56" s="1004" t="str">
        <f>IF(OR(C56="",V56="",X56="",AB56="",AE56="",AG56=""),"",ROUND(V56*INDEX(PMGHVAC[Savings per Unit Therm],MATCH(C56,PMGHVAC[Eff Desc 1],0)),2))</f>
        <v/>
      </c>
      <c r="AL56" s="1005"/>
      <c r="AM56" s="1005"/>
      <c r="AN56" s="930" t="str">
        <f t="shared" ref="AN56" si="47">IF(OR(C56="",V56="",X56="",AB56="",AE56="",AG56=""),"",IF(BC56&lt;&gt;"",BC56,MIN(AU56,ROUND(V56*AI56,2))))</f>
        <v/>
      </c>
      <c r="AO56" s="931"/>
      <c r="AP56" s="931"/>
      <c r="AQ56" s="868"/>
      <c r="AS56" s="59"/>
      <c r="AT56" s="59"/>
      <c r="AU56" s="813" t="str">
        <f t="shared" ref="AU56" si="48">IF(OR(C56="",V56="",X56="",AB56="",AE56="",AG56=""),"",ROUND((AE56+AG56)*V56,2))</f>
        <v/>
      </c>
      <c r="AW56" s="59"/>
      <c r="BC56" s="830"/>
    </row>
    <row r="57" spans="2:55" ht="15.95" hidden="1" customHeight="1">
      <c r="B57" s="929"/>
      <c r="C57" s="840"/>
      <c r="D57" s="841"/>
      <c r="E57" s="841"/>
      <c r="F57" s="841"/>
      <c r="G57" s="841"/>
      <c r="H57" s="841"/>
      <c r="I57" s="841"/>
      <c r="J57" s="841"/>
      <c r="K57" s="841"/>
      <c r="L57" s="841"/>
      <c r="M57" s="842"/>
      <c r="N57" s="917"/>
      <c r="O57" s="918"/>
      <c r="P57" s="918"/>
      <c r="Q57" s="918"/>
      <c r="R57" s="918"/>
      <c r="S57" s="919"/>
      <c r="T57" s="955"/>
      <c r="U57" s="956"/>
      <c r="V57" s="853"/>
      <c r="W57" s="854"/>
      <c r="X57" s="840"/>
      <c r="Y57" s="841"/>
      <c r="Z57" s="841"/>
      <c r="AA57" s="842"/>
      <c r="AB57" s="840"/>
      <c r="AC57" s="841"/>
      <c r="AD57" s="842"/>
      <c r="AE57" s="865"/>
      <c r="AF57" s="875"/>
      <c r="AG57" s="865"/>
      <c r="AH57" s="875"/>
      <c r="AI57" s="925"/>
      <c r="AJ57" s="870"/>
      <c r="AK57" s="1007"/>
      <c r="AL57" s="1008"/>
      <c r="AM57" s="1008"/>
      <c r="AN57" s="925"/>
      <c r="AO57" s="932"/>
      <c r="AP57" s="932"/>
      <c r="AQ57" s="870"/>
      <c r="AS57" s="59"/>
      <c r="AT57" s="59"/>
      <c r="AU57" s="814"/>
      <c r="AW57" s="59"/>
      <c r="BC57" s="831"/>
    </row>
    <row r="58" spans="2:55" ht="15.95" hidden="1" customHeight="1">
      <c r="B58" s="929">
        <v>22</v>
      </c>
      <c r="C58" s="871"/>
      <c r="D58" s="872"/>
      <c r="E58" s="872"/>
      <c r="F58" s="872"/>
      <c r="G58" s="872"/>
      <c r="H58" s="872"/>
      <c r="I58" s="872"/>
      <c r="J58" s="872"/>
      <c r="K58" s="872"/>
      <c r="L58" s="872"/>
      <c r="M58" s="873"/>
      <c r="N58" s="914" t="str">
        <f>IFERROR(IF(C58="","",INDEX(PMGHVAC[Base Desc 1],MATCH(C58,PMGHVAC[Eff Desc 1],0))),"")</f>
        <v/>
      </c>
      <c r="O58" s="915"/>
      <c r="P58" s="915"/>
      <c r="Q58" s="915"/>
      <c r="R58" s="915"/>
      <c r="S58" s="916"/>
      <c r="T58" s="953" t="str">
        <f>IFERROR(IF(C58="","",INDEX(PMGHVAC[Unit of Measure],MATCH(C58,PMGHVAC[Eff Desc 1],0))),"")</f>
        <v/>
      </c>
      <c r="U58" s="954"/>
      <c r="V58" s="876"/>
      <c r="W58" s="877"/>
      <c r="X58" s="837"/>
      <c r="Y58" s="838"/>
      <c r="Z58" s="838"/>
      <c r="AA58" s="839"/>
      <c r="AB58" s="837"/>
      <c r="AC58" s="838"/>
      <c r="AD58" s="839"/>
      <c r="AE58" s="863"/>
      <c r="AF58" s="874"/>
      <c r="AG58" s="863"/>
      <c r="AH58" s="874"/>
      <c r="AI58" s="923" t="str">
        <f>IFERROR(IF(C58="","",INDEX(PMGHVAC[Inc Rate Unit],MATCH(C58,PMGHVAC[Eff Desc 1],0))),"")</f>
        <v/>
      </c>
      <c r="AJ58" s="924"/>
      <c r="AK58" s="1004" t="str">
        <f>IF(OR(C58="",V58="",X58="",AB58="",AE58="",AG58=""),"",ROUND(V58*INDEX(PMGHVAC[Savings per Unit Therm],MATCH(C58,PMGHVAC[Eff Desc 1],0)),2))</f>
        <v/>
      </c>
      <c r="AL58" s="1005"/>
      <c r="AM58" s="1005"/>
      <c r="AN58" s="930" t="str">
        <f t="shared" ref="AN58" si="49">IF(OR(C58="",V58="",X58="",AB58="",AE58="",AG58=""),"",IF(BC58&lt;&gt;"",BC58,MIN(AU58,ROUND(V58*AI58,2))))</f>
        <v/>
      </c>
      <c r="AO58" s="931"/>
      <c r="AP58" s="931"/>
      <c r="AQ58" s="868"/>
      <c r="AS58" s="59"/>
      <c r="AT58" s="59"/>
      <c r="AU58" s="813" t="str">
        <f t="shared" ref="AU58" si="50">IF(OR(C58="",V58="",X58="",AB58="",AE58="",AG58=""),"",ROUND((AE58+AG58)*V58,2))</f>
        <v/>
      </c>
      <c r="AW58" s="59"/>
      <c r="BC58" s="830"/>
    </row>
    <row r="59" spans="2:55" ht="15.95" hidden="1" customHeight="1">
      <c r="B59" s="929"/>
      <c r="C59" s="840"/>
      <c r="D59" s="841"/>
      <c r="E59" s="841"/>
      <c r="F59" s="841"/>
      <c r="G59" s="841"/>
      <c r="H59" s="841"/>
      <c r="I59" s="841"/>
      <c r="J59" s="841"/>
      <c r="K59" s="841"/>
      <c r="L59" s="841"/>
      <c r="M59" s="842"/>
      <c r="N59" s="917"/>
      <c r="O59" s="918"/>
      <c r="P59" s="918"/>
      <c r="Q59" s="918"/>
      <c r="R59" s="918"/>
      <c r="S59" s="919"/>
      <c r="T59" s="955"/>
      <c r="U59" s="956"/>
      <c r="V59" s="853"/>
      <c r="W59" s="854"/>
      <c r="X59" s="840"/>
      <c r="Y59" s="841"/>
      <c r="Z59" s="841"/>
      <c r="AA59" s="842"/>
      <c r="AB59" s="840"/>
      <c r="AC59" s="841"/>
      <c r="AD59" s="842"/>
      <c r="AE59" s="865"/>
      <c r="AF59" s="875"/>
      <c r="AG59" s="865"/>
      <c r="AH59" s="875"/>
      <c r="AI59" s="925"/>
      <c r="AJ59" s="870"/>
      <c r="AK59" s="1007"/>
      <c r="AL59" s="1008"/>
      <c r="AM59" s="1008"/>
      <c r="AN59" s="925"/>
      <c r="AO59" s="932"/>
      <c r="AP59" s="932"/>
      <c r="AQ59" s="870"/>
      <c r="AS59" s="59"/>
      <c r="AT59" s="59"/>
      <c r="AU59" s="814"/>
      <c r="AW59" s="59"/>
      <c r="BC59" s="831"/>
    </row>
    <row r="60" spans="2:55" ht="15.95" hidden="1" customHeight="1">
      <c r="B60" s="929">
        <v>23</v>
      </c>
      <c r="C60" s="871"/>
      <c r="D60" s="872"/>
      <c r="E60" s="872"/>
      <c r="F60" s="872"/>
      <c r="G60" s="872"/>
      <c r="H60" s="872"/>
      <c r="I60" s="872"/>
      <c r="J60" s="872"/>
      <c r="K60" s="872"/>
      <c r="L60" s="872"/>
      <c r="M60" s="873"/>
      <c r="N60" s="914" t="str">
        <f>IFERROR(IF(C60="","",INDEX(PMGHVAC[Base Desc 1],MATCH(C60,PMGHVAC[Eff Desc 1],0))),"")</f>
        <v/>
      </c>
      <c r="O60" s="915"/>
      <c r="P60" s="915"/>
      <c r="Q60" s="915"/>
      <c r="R60" s="915"/>
      <c r="S60" s="916"/>
      <c r="T60" s="953" t="str">
        <f>IFERROR(IF(C60="","",INDEX(PMGHVAC[Unit of Measure],MATCH(C60,PMGHVAC[Eff Desc 1],0))),"")</f>
        <v/>
      </c>
      <c r="U60" s="954"/>
      <c r="V60" s="876"/>
      <c r="W60" s="877"/>
      <c r="X60" s="837"/>
      <c r="Y60" s="838"/>
      <c r="Z60" s="838"/>
      <c r="AA60" s="839"/>
      <c r="AB60" s="837"/>
      <c r="AC60" s="838"/>
      <c r="AD60" s="839"/>
      <c r="AE60" s="863"/>
      <c r="AF60" s="874"/>
      <c r="AG60" s="863"/>
      <c r="AH60" s="874"/>
      <c r="AI60" s="923" t="str">
        <f>IFERROR(IF(C60="","",INDEX(PMGHVAC[Inc Rate Unit],MATCH(C60,PMGHVAC[Eff Desc 1],0))),"")</f>
        <v/>
      </c>
      <c r="AJ60" s="924"/>
      <c r="AK60" s="1004" t="str">
        <f>IF(OR(C60="",V60="",X60="",AB60="",AE60="",AG60=""),"",ROUND(V60*INDEX(PMGHVAC[Savings per Unit Therm],MATCH(C60,PMGHVAC[Eff Desc 1],0)),2))</f>
        <v/>
      </c>
      <c r="AL60" s="1005"/>
      <c r="AM60" s="1005"/>
      <c r="AN60" s="930" t="str">
        <f t="shared" ref="AN60" si="51">IF(OR(C60="",V60="",X60="",AB60="",AE60="",AG60=""),"",IF(BC60&lt;&gt;"",BC60,MIN(AU60,ROUND(V60*AI60,2))))</f>
        <v/>
      </c>
      <c r="AO60" s="931"/>
      <c r="AP60" s="931"/>
      <c r="AQ60" s="868"/>
      <c r="AS60" s="59"/>
      <c r="AT60" s="59"/>
      <c r="AU60" s="813" t="str">
        <f t="shared" ref="AU60" si="52">IF(OR(C60="",V60="",X60="",AB60="",AE60="",AG60=""),"",ROUND((AE60+AG60)*V60,2))</f>
        <v/>
      </c>
      <c r="AW60" s="59"/>
      <c r="BC60" s="830"/>
    </row>
    <row r="61" spans="2:55" ht="15.95" hidden="1" customHeight="1">
      <c r="B61" s="929"/>
      <c r="C61" s="840"/>
      <c r="D61" s="841"/>
      <c r="E61" s="841"/>
      <c r="F61" s="841"/>
      <c r="G61" s="841"/>
      <c r="H61" s="841"/>
      <c r="I61" s="841"/>
      <c r="J61" s="841"/>
      <c r="K61" s="841"/>
      <c r="L61" s="841"/>
      <c r="M61" s="842"/>
      <c r="N61" s="917"/>
      <c r="O61" s="918"/>
      <c r="P61" s="918"/>
      <c r="Q61" s="918"/>
      <c r="R61" s="918"/>
      <c r="S61" s="919"/>
      <c r="T61" s="955"/>
      <c r="U61" s="956"/>
      <c r="V61" s="853"/>
      <c r="W61" s="854"/>
      <c r="X61" s="840"/>
      <c r="Y61" s="841"/>
      <c r="Z61" s="841"/>
      <c r="AA61" s="842"/>
      <c r="AB61" s="840"/>
      <c r="AC61" s="841"/>
      <c r="AD61" s="842"/>
      <c r="AE61" s="865"/>
      <c r="AF61" s="875"/>
      <c r="AG61" s="865"/>
      <c r="AH61" s="875"/>
      <c r="AI61" s="925"/>
      <c r="AJ61" s="870"/>
      <c r="AK61" s="1007"/>
      <c r="AL61" s="1008"/>
      <c r="AM61" s="1008"/>
      <c r="AN61" s="925"/>
      <c r="AO61" s="932"/>
      <c r="AP61" s="932"/>
      <c r="AQ61" s="870"/>
      <c r="AS61" s="59"/>
      <c r="AT61" s="59"/>
      <c r="AU61" s="814"/>
      <c r="AW61" s="59"/>
      <c r="BC61" s="831"/>
    </row>
    <row r="62" spans="2:55" ht="15.95" hidden="1" customHeight="1">
      <c r="B62" s="929">
        <v>24</v>
      </c>
      <c r="C62" s="871"/>
      <c r="D62" s="872"/>
      <c r="E62" s="872"/>
      <c r="F62" s="872"/>
      <c r="G62" s="872"/>
      <c r="H62" s="872"/>
      <c r="I62" s="872"/>
      <c r="J62" s="872"/>
      <c r="K62" s="872"/>
      <c r="L62" s="872"/>
      <c r="M62" s="873"/>
      <c r="N62" s="914" t="str">
        <f>IFERROR(IF(C62="","",INDEX(PMGHVAC[Base Desc 1],MATCH(C62,PMGHVAC[Eff Desc 1],0))),"")</f>
        <v/>
      </c>
      <c r="O62" s="915"/>
      <c r="P62" s="915"/>
      <c r="Q62" s="915"/>
      <c r="R62" s="915"/>
      <c r="S62" s="916"/>
      <c r="T62" s="953" t="str">
        <f>IFERROR(IF(C62="","",INDEX(PMGHVAC[Unit of Measure],MATCH(C62,PMGHVAC[Eff Desc 1],0))),"")</f>
        <v/>
      </c>
      <c r="U62" s="954"/>
      <c r="V62" s="876"/>
      <c r="W62" s="877"/>
      <c r="X62" s="837"/>
      <c r="Y62" s="838"/>
      <c r="Z62" s="838"/>
      <c r="AA62" s="839"/>
      <c r="AB62" s="837"/>
      <c r="AC62" s="838"/>
      <c r="AD62" s="839"/>
      <c r="AE62" s="863"/>
      <c r="AF62" s="874"/>
      <c r="AG62" s="863"/>
      <c r="AH62" s="874"/>
      <c r="AI62" s="923" t="str">
        <f>IFERROR(IF(C62="","",INDEX(PMGHVAC[Inc Rate Unit],MATCH(C62,PMGHVAC[Eff Desc 1],0))),"")</f>
        <v/>
      </c>
      <c r="AJ62" s="924"/>
      <c r="AK62" s="1004" t="str">
        <f>IF(OR(C62="",V62="",X62="",AB62="",AE62="",AG62=""),"",ROUND(V62*INDEX(PMGHVAC[Savings per Unit Therm],MATCH(C62,PMGHVAC[Eff Desc 1],0)),2))</f>
        <v/>
      </c>
      <c r="AL62" s="1005"/>
      <c r="AM62" s="1005"/>
      <c r="AN62" s="930" t="str">
        <f t="shared" ref="AN62" si="53">IF(OR(C62="",V62="",X62="",AB62="",AE62="",AG62=""),"",IF(BC62&lt;&gt;"",BC62,MIN(AU62,ROUND(V62*AI62,2))))</f>
        <v/>
      </c>
      <c r="AO62" s="931"/>
      <c r="AP62" s="931"/>
      <c r="AQ62" s="868"/>
      <c r="AS62" s="59"/>
      <c r="AT62" s="59"/>
      <c r="AU62" s="813" t="str">
        <f t="shared" ref="AU62" si="54">IF(OR(C62="",V62="",X62="",AB62="",AE62="",AG62=""),"",ROUND((AE62+AG62)*V62,2))</f>
        <v/>
      </c>
      <c r="AW62" s="59"/>
      <c r="BC62" s="830"/>
    </row>
    <row r="63" spans="2:55" ht="15.95" hidden="1" customHeight="1">
      <c r="B63" s="929"/>
      <c r="C63" s="840"/>
      <c r="D63" s="841"/>
      <c r="E63" s="841"/>
      <c r="F63" s="841"/>
      <c r="G63" s="841"/>
      <c r="H63" s="841"/>
      <c r="I63" s="841"/>
      <c r="J63" s="841"/>
      <c r="K63" s="841"/>
      <c r="L63" s="841"/>
      <c r="M63" s="842"/>
      <c r="N63" s="917"/>
      <c r="O63" s="918"/>
      <c r="P63" s="918"/>
      <c r="Q63" s="918"/>
      <c r="R63" s="918"/>
      <c r="S63" s="919"/>
      <c r="T63" s="955"/>
      <c r="U63" s="956"/>
      <c r="V63" s="853"/>
      <c r="W63" s="854"/>
      <c r="X63" s="840"/>
      <c r="Y63" s="841"/>
      <c r="Z63" s="841"/>
      <c r="AA63" s="842"/>
      <c r="AB63" s="840"/>
      <c r="AC63" s="841"/>
      <c r="AD63" s="842"/>
      <c r="AE63" s="865"/>
      <c r="AF63" s="875"/>
      <c r="AG63" s="865"/>
      <c r="AH63" s="875"/>
      <c r="AI63" s="925"/>
      <c r="AJ63" s="870"/>
      <c r="AK63" s="1007"/>
      <c r="AL63" s="1008"/>
      <c r="AM63" s="1008"/>
      <c r="AN63" s="925"/>
      <c r="AO63" s="932"/>
      <c r="AP63" s="932"/>
      <c r="AQ63" s="870"/>
      <c r="AS63" s="59"/>
      <c r="AT63" s="59"/>
      <c r="AU63" s="814"/>
      <c r="AW63" s="59"/>
      <c r="BC63" s="831"/>
    </row>
    <row r="64" spans="2:55" ht="15.95" hidden="1" customHeight="1">
      <c r="B64" s="929">
        <v>25</v>
      </c>
      <c r="C64" s="871"/>
      <c r="D64" s="872"/>
      <c r="E64" s="872"/>
      <c r="F64" s="872"/>
      <c r="G64" s="872"/>
      <c r="H64" s="872"/>
      <c r="I64" s="872"/>
      <c r="J64" s="872"/>
      <c r="K64" s="872"/>
      <c r="L64" s="872"/>
      <c r="M64" s="873"/>
      <c r="N64" s="914" t="str">
        <f>IFERROR(IF(C64="","",INDEX(PMGHVAC[Base Desc 1],MATCH(C64,PMGHVAC[Eff Desc 1],0))),"")</f>
        <v/>
      </c>
      <c r="O64" s="915"/>
      <c r="P64" s="915"/>
      <c r="Q64" s="915"/>
      <c r="R64" s="915"/>
      <c r="S64" s="916"/>
      <c r="T64" s="953" t="str">
        <f>IFERROR(IF(C64="","",INDEX(PMGHVAC[Unit of Measure],MATCH(C64,PMGHVAC[Eff Desc 1],0))),"")</f>
        <v/>
      </c>
      <c r="U64" s="954"/>
      <c r="V64" s="876"/>
      <c r="W64" s="877"/>
      <c r="X64" s="837"/>
      <c r="Y64" s="838"/>
      <c r="Z64" s="838"/>
      <c r="AA64" s="839"/>
      <c r="AB64" s="837"/>
      <c r="AC64" s="838"/>
      <c r="AD64" s="839"/>
      <c r="AE64" s="863"/>
      <c r="AF64" s="874"/>
      <c r="AG64" s="863"/>
      <c r="AH64" s="874"/>
      <c r="AI64" s="923" t="str">
        <f>IFERROR(IF(C64="","",INDEX(PMGHVAC[Inc Rate Unit],MATCH(C64,PMGHVAC[Eff Desc 1],0))),"")</f>
        <v/>
      </c>
      <c r="AJ64" s="924"/>
      <c r="AK64" s="1004" t="str">
        <f>IF(OR(C64="",V64="",X64="",AB64="",AE64="",AG64=""),"",ROUND(V64*INDEX(PMGHVAC[Savings per Unit Therm],MATCH(C64,PMGHVAC[Eff Desc 1],0)),2))</f>
        <v/>
      </c>
      <c r="AL64" s="1005"/>
      <c r="AM64" s="1005"/>
      <c r="AN64" s="930" t="str">
        <f t="shared" ref="AN64" si="55">IF(OR(C64="",V64="",X64="",AB64="",AE64="",AG64=""),"",IF(BC64&lt;&gt;"",BC64,MIN(AU64,ROUND(V64*AI64,2))))</f>
        <v/>
      </c>
      <c r="AO64" s="931"/>
      <c r="AP64" s="931"/>
      <c r="AQ64" s="868"/>
      <c r="AS64" s="59"/>
      <c r="AT64" s="59"/>
      <c r="AU64" s="813" t="str">
        <f t="shared" ref="AU64" si="56">IF(OR(C64="",V64="",X64="",AB64="",AE64="",AG64=""),"",ROUND((AE64+AG64)*V64,2))</f>
        <v/>
      </c>
      <c r="AW64" s="59"/>
      <c r="BC64" s="830"/>
    </row>
    <row r="65" spans="2:55" ht="15.95" hidden="1" customHeight="1">
      <c r="B65" s="929"/>
      <c r="C65" s="840"/>
      <c r="D65" s="841"/>
      <c r="E65" s="841"/>
      <c r="F65" s="841"/>
      <c r="G65" s="841"/>
      <c r="H65" s="841"/>
      <c r="I65" s="841"/>
      <c r="J65" s="841"/>
      <c r="K65" s="841"/>
      <c r="L65" s="841"/>
      <c r="M65" s="842"/>
      <c r="N65" s="917"/>
      <c r="O65" s="918"/>
      <c r="P65" s="918"/>
      <c r="Q65" s="918"/>
      <c r="R65" s="918"/>
      <c r="S65" s="919"/>
      <c r="T65" s="955"/>
      <c r="U65" s="956"/>
      <c r="V65" s="853"/>
      <c r="W65" s="854"/>
      <c r="X65" s="840"/>
      <c r="Y65" s="841"/>
      <c r="Z65" s="841"/>
      <c r="AA65" s="842"/>
      <c r="AB65" s="840"/>
      <c r="AC65" s="841"/>
      <c r="AD65" s="842"/>
      <c r="AE65" s="865"/>
      <c r="AF65" s="875"/>
      <c r="AG65" s="865"/>
      <c r="AH65" s="875"/>
      <c r="AI65" s="925"/>
      <c r="AJ65" s="870"/>
      <c r="AK65" s="1007"/>
      <c r="AL65" s="1008"/>
      <c r="AM65" s="1008"/>
      <c r="AN65" s="925"/>
      <c r="AO65" s="932"/>
      <c r="AP65" s="932"/>
      <c r="AQ65" s="870"/>
      <c r="AS65" s="59"/>
      <c r="AT65" s="59"/>
      <c r="AU65" s="814"/>
      <c r="AW65" s="59"/>
      <c r="BC65" s="831"/>
    </row>
    <row r="66" spans="2:55" ht="15.95" hidden="1" customHeight="1">
      <c r="B66" s="929">
        <v>26</v>
      </c>
      <c r="C66" s="837">
        <f ca="1">IF(SUM(BE16:BE45)=0,0,INDEX(PMEBONUS[],5,3))</f>
        <v>0</v>
      </c>
      <c r="D66" s="838"/>
      <c r="E66" s="838"/>
      <c r="F66" s="838"/>
      <c r="G66" s="838"/>
      <c r="H66" s="838"/>
      <c r="I66" s="838"/>
      <c r="J66" s="838"/>
      <c r="K66" s="838"/>
      <c r="L66" s="838"/>
      <c r="M66" s="839"/>
      <c r="N66" s="914" t="str">
        <f ca="1">IF(SUM(BE16:BE45)=0,"",INDEX(PMEBONUS[],3,30))</f>
        <v/>
      </c>
      <c r="O66" s="915"/>
      <c r="P66" s="915"/>
      <c r="Q66" s="915"/>
      <c r="R66" s="915"/>
      <c r="S66" s="916"/>
      <c r="T66" s="953"/>
      <c r="U66" s="954"/>
      <c r="V66" s="851">
        <f ca="1">IF(OR(C66=0,C66=""),0,1)</f>
        <v>0</v>
      </c>
      <c r="W66" s="852"/>
      <c r="X66" s="837"/>
      <c r="Y66" s="838"/>
      <c r="Z66" s="838"/>
      <c r="AA66" s="839"/>
      <c r="AB66" s="837"/>
      <c r="AC66" s="838"/>
      <c r="AD66" s="839"/>
      <c r="AE66" s="863"/>
      <c r="AF66" s="874"/>
      <c r="AG66" s="863"/>
      <c r="AH66" s="874"/>
      <c r="AI66" s="923"/>
      <c r="AJ66" s="924"/>
      <c r="AK66" s="910"/>
      <c r="AL66" s="911"/>
      <c r="AM66" s="911"/>
      <c r="AN66" s="930" t="str">
        <f ca="1">IF(BA66="","",BA66)</f>
        <v/>
      </c>
      <c r="AO66" s="931"/>
      <c r="AP66" s="931"/>
      <c r="AQ66" s="868"/>
      <c r="AS66" s="59"/>
      <c r="AT66" s="59"/>
      <c r="AU66" s="59"/>
      <c r="AV66" s="59"/>
      <c r="AW66" s="59"/>
      <c r="AX66" s="59"/>
      <c r="AY66" s="813"/>
      <c r="AZ66" s="59"/>
      <c r="BA66" s="813" t="str">
        <f ca="1">IFERROR(IF(OR(C66="",N66="",SUM(AK16:AM45)=0,SUM(BE16:BE45)=0),"",SUM(BE16:BE45)),"")</f>
        <v/>
      </c>
      <c r="BC66" s="830"/>
    </row>
    <row r="67" spans="2:55" ht="15.95" hidden="1" customHeight="1">
      <c r="B67" s="929"/>
      <c r="C67" s="840"/>
      <c r="D67" s="841"/>
      <c r="E67" s="841"/>
      <c r="F67" s="841"/>
      <c r="G67" s="841"/>
      <c r="H67" s="841"/>
      <c r="I67" s="841"/>
      <c r="J67" s="841"/>
      <c r="K67" s="841"/>
      <c r="L67" s="841"/>
      <c r="M67" s="842"/>
      <c r="N67" s="917"/>
      <c r="O67" s="918"/>
      <c r="P67" s="918"/>
      <c r="Q67" s="918"/>
      <c r="R67" s="918"/>
      <c r="S67" s="919"/>
      <c r="T67" s="955"/>
      <c r="U67" s="956"/>
      <c r="V67" s="853"/>
      <c r="W67" s="854"/>
      <c r="X67" s="840"/>
      <c r="Y67" s="841"/>
      <c r="Z67" s="841"/>
      <c r="AA67" s="842"/>
      <c r="AB67" s="840"/>
      <c r="AC67" s="841"/>
      <c r="AD67" s="842"/>
      <c r="AE67" s="865"/>
      <c r="AF67" s="875"/>
      <c r="AG67" s="865"/>
      <c r="AH67" s="875"/>
      <c r="AI67" s="925"/>
      <c r="AJ67" s="870"/>
      <c r="AK67" s="912"/>
      <c r="AL67" s="913"/>
      <c r="AM67" s="913"/>
      <c r="AN67" s="925"/>
      <c r="AO67" s="932"/>
      <c r="AP67" s="932"/>
      <c r="AQ67" s="870"/>
      <c r="AS67" s="59"/>
      <c r="AT67" s="59"/>
      <c r="AU67" s="59"/>
      <c r="AV67" s="59"/>
      <c r="AW67" s="59"/>
      <c r="AX67" s="59"/>
      <c r="AY67" s="814"/>
      <c r="AZ67" s="59"/>
      <c r="BA67" s="814"/>
      <c r="BC67" s="831"/>
    </row>
    <row r="68" spans="2:55" ht="15.95" hidden="1" customHeight="1">
      <c r="B68" s="929">
        <v>27</v>
      </c>
      <c r="C68" s="871"/>
      <c r="D68" s="872"/>
      <c r="E68" s="872"/>
      <c r="F68" s="872"/>
      <c r="G68" s="872"/>
      <c r="H68" s="872"/>
      <c r="I68" s="872"/>
      <c r="J68" s="872"/>
      <c r="K68" s="872"/>
      <c r="L68" s="872"/>
      <c r="M68" s="873"/>
      <c r="N68" s="914" t="str">
        <f>IFERROR(IF(C68="","",INDEX(PMGHVAC[Base Desc 1],MATCH(C68,PMGHVAC[Eff Desc 1],0))),"")</f>
        <v/>
      </c>
      <c r="O68" s="915"/>
      <c r="P68" s="915"/>
      <c r="Q68" s="915"/>
      <c r="R68" s="915"/>
      <c r="S68" s="916"/>
      <c r="T68" s="953" t="str">
        <f>IFERROR(IF(C68="","",INDEX(PMGHVAC[Unit of Measure],MATCH(C68,PMGHVAC[Eff Desc 1],0))),"")</f>
        <v/>
      </c>
      <c r="U68" s="954"/>
      <c r="V68" s="876"/>
      <c r="W68" s="877"/>
      <c r="X68" s="837"/>
      <c r="Y68" s="838"/>
      <c r="Z68" s="838"/>
      <c r="AA68" s="839"/>
      <c r="AB68" s="837"/>
      <c r="AC68" s="838"/>
      <c r="AD68" s="839"/>
      <c r="AE68" s="863"/>
      <c r="AF68" s="874"/>
      <c r="AG68" s="863"/>
      <c r="AH68" s="874"/>
      <c r="AI68" s="923" t="str">
        <f>IFERROR(IF(C68="","",INDEX(PMGHVAC[Inc Rate Unit],MATCH(C68,PMGHVAC[Eff Desc 1],0))),"")</f>
        <v/>
      </c>
      <c r="AJ68" s="924"/>
      <c r="AK68" s="1004" t="str">
        <f>IF(OR(C68="",V68="",X68="",AB68="",AE68="",AG68=""),"",ROUND(V68*INDEX(PMGHVAC[Savings per Unit Therm],MATCH(C68,PMGHVAC[Eff Desc 1],0)),2))</f>
        <v/>
      </c>
      <c r="AL68" s="1005"/>
      <c r="AM68" s="1005"/>
      <c r="AN68" s="930" t="str">
        <f t="shared" ref="AN68" si="57">IF(OR(C68="",V68="",X68="",AB68="",AE68="",AG68=""),"",IF(BC68&lt;&gt;"",BC68,MIN(AU68,ROUND(V68*AI68,2))))</f>
        <v/>
      </c>
      <c r="AO68" s="931"/>
      <c r="AP68" s="931"/>
      <c r="AQ68" s="868"/>
      <c r="AS68" s="59"/>
      <c r="AT68" s="59"/>
      <c r="AU68" s="813" t="str">
        <f t="shared" ref="AU68" si="58">IF(OR(C68="",V68="",X68="",AB68="",AE68="",AG68=""),"",ROUND((AE68+AG68)*V68,2))</f>
        <v/>
      </c>
      <c r="AW68" s="59"/>
      <c r="BC68" s="830"/>
    </row>
    <row r="69" spans="2:55" ht="15.95" hidden="1" customHeight="1">
      <c r="B69" s="929"/>
      <c r="C69" s="840"/>
      <c r="D69" s="841"/>
      <c r="E69" s="841"/>
      <c r="F69" s="841"/>
      <c r="G69" s="841"/>
      <c r="H69" s="841"/>
      <c r="I69" s="841"/>
      <c r="J69" s="841"/>
      <c r="K69" s="841"/>
      <c r="L69" s="841"/>
      <c r="M69" s="842"/>
      <c r="N69" s="917"/>
      <c r="O69" s="918"/>
      <c r="P69" s="918"/>
      <c r="Q69" s="918"/>
      <c r="R69" s="918"/>
      <c r="S69" s="919"/>
      <c r="T69" s="955"/>
      <c r="U69" s="956"/>
      <c r="V69" s="853"/>
      <c r="W69" s="854"/>
      <c r="X69" s="840"/>
      <c r="Y69" s="841"/>
      <c r="Z69" s="841"/>
      <c r="AA69" s="842"/>
      <c r="AB69" s="840"/>
      <c r="AC69" s="841"/>
      <c r="AD69" s="842"/>
      <c r="AE69" s="865"/>
      <c r="AF69" s="875"/>
      <c r="AG69" s="865"/>
      <c r="AH69" s="875"/>
      <c r="AI69" s="925"/>
      <c r="AJ69" s="870"/>
      <c r="AK69" s="1007"/>
      <c r="AL69" s="1008"/>
      <c r="AM69" s="1008"/>
      <c r="AN69" s="925"/>
      <c r="AO69" s="932"/>
      <c r="AP69" s="932"/>
      <c r="AQ69" s="870"/>
      <c r="AS69" s="59"/>
      <c r="AT69" s="59"/>
      <c r="AU69" s="814"/>
      <c r="AW69" s="59"/>
      <c r="BC69" s="831"/>
    </row>
    <row r="70" spans="2:55" ht="15.95" hidden="1" customHeight="1">
      <c r="B70" s="929">
        <v>28</v>
      </c>
      <c r="C70" s="871"/>
      <c r="D70" s="872"/>
      <c r="E70" s="872"/>
      <c r="F70" s="872"/>
      <c r="G70" s="872"/>
      <c r="H70" s="872"/>
      <c r="I70" s="872"/>
      <c r="J70" s="872"/>
      <c r="K70" s="872"/>
      <c r="L70" s="872"/>
      <c r="M70" s="873"/>
      <c r="N70" s="914" t="str">
        <f>IFERROR(IF(C70="","",INDEX(PMGHVAC[Base Desc 1],MATCH(C70,PMGHVAC[Eff Desc 1],0))),"")</f>
        <v/>
      </c>
      <c r="O70" s="915"/>
      <c r="P70" s="915"/>
      <c r="Q70" s="915"/>
      <c r="R70" s="915"/>
      <c r="S70" s="916"/>
      <c r="T70" s="953" t="str">
        <f>IFERROR(IF(C70="","",INDEX(PMGHVAC[Unit of Measure],MATCH(C70,PMGHVAC[Eff Desc 1],0))),"")</f>
        <v/>
      </c>
      <c r="U70" s="954"/>
      <c r="V70" s="876"/>
      <c r="W70" s="877"/>
      <c r="X70" s="837"/>
      <c r="Y70" s="838"/>
      <c r="Z70" s="838"/>
      <c r="AA70" s="839"/>
      <c r="AB70" s="837"/>
      <c r="AC70" s="838"/>
      <c r="AD70" s="839"/>
      <c r="AE70" s="863"/>
      <c r="AF70" s="874"/>
      <c r="AG70" s="863"/>
      <c r="AH70" s="874"/>
      <c r="AI70" s="923" t="str">
        <f>IFERROR(IF(C70="","",INDEX(PMGHVAC[Inc Rate Unit],MATCH(C70,PMGHVAC[Eff Desc 1],0))),"")</f>
        <v/>
      </c>
      <c r="AJ70" s="924"/>
      <c r="AK70" s="1004" t="str">
        <f>IF(OR(C70="",V70="",X70="",AB70="",AE70="",AG70=""),"",ROUND(V70*INDEX(PMGHVAC[Savings per Unit Therm],MATCH(C70,PMGHVAC[Eff Desc 1],0)),2))</f>
        <v/>
      </c>
      <c r="AL70" s="1005"/>
      <c r="AM70" s="1005"/>
      <c r="AN70" s="930" t="str">
        <f t="shared" ref="AN70" si="59">IF(OR(C70="",V70="",X70="",AB70="",AE70="",AG70=""),"",IF(BC70&lt;&gt;"",BC70,MIN(AU70,ROUND(V70*AI70,2))))</f>
        <v/>
      </c>
      <c r="AO70" s="931"/>
      <c r="AP70" s="931"/>
      <c r="AQ70" s="868"/>
      <c r="AS70" s="59"/>
      <c r="AT70" s="59"/>
      <c r="AU70" s="813" t="str">
        <f t="shared" ref="AU70" si="60">IF(OR(C70="",V70="",X70="",AB70="",AE70="",AG70=""),"",ROUND((AE70+AG70)*V70,2))</f>
        <v/>
      </c>
      <c r="AW70" s="59"/>
      <c r="BC70" s="830"/>
    </row>
    <row r="71" spans="2:55" ht="15.95" hidden="1" customHeight="1">
      <c r="B71" s="929"/>
      <c r="C71" s="840"/>
      <c r="D71" s="841"/>
      <c r="E71" s="841"/>
      <c r="F71" s="841"/>
      <c r="G71" s="841"/>
      <c r="H71" s="841"/>
      <c r="I71" s="841"/>
      <c r="J71" s="841"/>
      <c r="K71" s="841"/>
      <c r="L71" s="841"/>
      <c r="M71" s="842"/>
      <c r="N71" s="917"/>
      <c r="O71" s="918"/>
      <c r="P71" s="918"/>
      <c r="Q71" s="918"/>
      <c r="R71" s="918"/>
      <c r="S71" s="919"/>
      <c r="T71" s="955"/>
      <c r="U71" s="956"/>
      <c r="V71" s="853"/>
      <c r="W71" s="854"/>
      <c r="X71" s="840"/>
      <c r="Y71" s="841"/>
      <c r="Z71" s="841"/>
      <c r="AA71" s="842"/>
      <c r="AB71" s="840"/>
      <c r="AC71" s="841"/>
      <c r="AD71" s="842"/>
      <c r="AE71" s="865"/>
      <c r="AF71" s="875"/>
      <c r="AG71" s="865"/>
      <c r="AH71" s="875"/>
      <c r="AI71" s="925"/>
      <c r="AJ71" s="870"/>
      <c r="AK71" s="1007"/>
      <c r="AL71" s="1008"/>
      <c r="AM71" s="1008"/>
      <c r="AN71" s="925"/>
      <c r="AO71" s="932"/>
      <c r="AP71" s="932"/>
      <c r="AQ71" s="870"/>
      <c r="AS71" s="59"/>
      <c r="AT71" s="59"/>
      <c r="AU71" s="814"/>
      <c r="AW71" s="59"/>
      <c r="BC71" s="831"/>
    </row>
    <row r="72" spans="2:55" ht="15.95" hidden="1" customHeight="1">
      <c r="B72" s="929">
        <v>29</v>
      </c>
      <c r="C72" s="871"/>
      <c r="D72" s="872"/>
      <c r="E72" s="872"/>
      <c r="F72" s="872"/>
      <c r="G72" s="872"/>
      <c r="H72" s="872"/>
      <c r="I72" s="872"/>
      <c r="J72" s="872"/>
      <c r="K72" s="872"/>
      <c r="L72" s="872"/>
      <c r="M72" s="873"/>
      <c r="N72" s="914" t="str">
        <f>IFERROR(IF(C72="","",INDEX(PMGHVAC[Base Desc 1],MATCH(C72,PMGHVAC[Eff Desc 1],0))),"")</f>
        <v/>
      </c>
      <c r="O72" s="915"/>
      <c r="P72" s="915"/>
      <c r="Q72" s="915"/>
      <c r="R72" s="915"/>
      <c r="S72" s="916"/>
      <c r="T72" s="953" t="str">
        <f>IFERROR(IF(C72="","",INDEX(PMGHVAC[Unit of Measure],MATCH(C72,PMGHVAC[Eff Desc 1],0))),"")</f>
        <v/>
      </c>
      <c r="U72" s="954"/>
      <c r="V72" s="876"/>
      <c r="W72" s="877"/>
      <c r="X72" s="837"/>
      <c r="Y72" s="838"/>
      <c r="Z72" s="838"/>
      <c r="AA72" s="839"/>
      <c r="AB72" s="837"/>
      <c r="AC72" s="838"/>
      <c r="AD72" s="839"/>
      <c r="AE72" s="863"/>
      <c r="AF72" s="874"/>
      <c r="AG72" s="863"/>
      <c r="AH72" s="874"/>
      <c r="AI72" s="923" t="str">
        <f>IFERROR(IF(C72="","",INDEX(PMGHVAC[Inc Rate Unit],MATCH(C72,PMGHVAC[Eff Desc 1],0))),"")</f>
        <v/>
      </c>
      <c r="AJ72" s="924"/>
      <c r="AK72" s="1004" t="str">
        <f>IF(OR(C72="",V72="",X72="",AB72="",AE72="",AG72=""),"",ROUND(V72*INDEX(PMGHVAC[Savings per Unit Therm],MATCH(C72,PMGHVAC[Eff Desc 1],0)),2))</f>
        <v/>
      </c>
      <c r="AL72" s="1005"/>
      <c r="AM72" s="1005"/>
      <c r="AN72" s="930" t="str">
        <f t="shared" ref="AN72" si="61">IF(OR(C72="",V72="",X72="",AB72="",AE72="",AG72=""),"",IF(BC72&lt;&gt;"",BC72,MIN(AU72,ROUND(V72*AI72,2))))</f>
        <v/>
      </c>
      <c r="AO72" s="931"/>
      <c r="AP72" s="931"/>
      <c r="AQ72" s="868"/>
      <c r="AS72" s="59"/>
      <c r="AT72" s="59"/>
      <c r="AU72" s="813" t="str">
        <f t="shared" ref="AU72" si="62">IF(OR(C72="",V72="",X72="",AB72="",AE72="",AG72=""),"",ROUND((AE72+AG72)*V72,2))</f>
        <v/>
      </c>
      <c r="AW72" s="59"/>
      <c r="BC72" s="830"/>
    </row>
    <row r="73" spans="2:55" ht="15.95" hidden="1" customHeight="1">
      <c r="B73" s="929"/>
      <c r="C73" s="840"/>
      <c r="D73" s="841"/>
      <c r="E73" s="841"/>
      <c r="F73" s="841"/>
      <c r="G73" s="841"/>
      <c r="H73" s="841"/>
      <c r="I73" s="841"/>
      <c r="J73" s="841"/>
      <c r="K73" s="841"/>
      <c r="L73" s="841"/>
      <c r="M73" s="842"/>
      <c r="N73" s="917"/>
      <c r="O73" s="918"/>
      <c r="P73" s="918"/>
      <c r="Q73" s="918"/>
      <c r="R73" s="918"/>
      <c r="S73" s="919"/>
      <c r="T73" s="955"/>
      <c r="U73" s="956"/>
      <c r="V73" s="853"/>
      <c r="W73" s="854"/>
      <c r="X73" s="840"/>
      <c r="Y73" s="841"/>
      <c r="Z73" s="841"/>
      <c r="AA73" s="842"/>
      <c r="AB73" s="840"/>
      <c r="AC73" s="841"/>
      <c r="AD73" s="842"/>
      <c r="AE73" s="865"/>
      <c r="AF73" s="875"/>
      <c r="AG73" s="865"/>
      <c r="AH73" s="875"/>
      <c r="AI73" s="925"/>
      <c r="AJ73" s="870"/>
      <c r="AK73" s="1007"/>
      <c r="AL73" s="1008"/>
      <c r="AM73" s="1008"/>
      <c r="AN73" s="925"/>
      <c r="AO73" s="932"/>
      <c r="AP73" s="932"/>
      <c r="AQ73" s="870"/>
      <c r="AS73" s="59"/>
      <c r="AT73" s="59"/>
      <c r="AU73" s="814"/>
      <c r="AW73" s="59"/>
      <c r="BC73" s="831"/>
    </row>
    <row r="74" spans="2:55" ht="15.95" hidden="1" customHeight="1">
      <c r="B74" s="929">
        <v>30</v>
      </c>
      <c r="C74" s="871"/>
      <c r="D74" s="872"/>
      <c r="E74" s="872"/>
      <c r="F74" s="872"/>
      <c r="G74" s="872"/>
      <c r="H74" s="872"/>
      <c r="I74" s="872"/>
      <c r="J74" s="872"/>
      <c r="K74" s="872"/>
      <c r="L74" s="872"/>
      <c r="M74" s="873"/>
      <c r="N74" s="914" t="str">
        <f>IFERROR(IF(C74="","",INDEX(PMGHVAC[Base Desc 1],MATCH(C74,PMGHVAC[Eff Desc 1],0))),"")</f>
        <v/>
      </c>
      <c r="O74" s="915"/>
      <c r="P74" s="915"/>
      <c r="Q74" s="915"/>
      <c r="R74" s="915"/>
      <c r="S74" s="916"/>
      <c r="T74" s="953" t="str">
        <f>IFERROR(IF(C74="","",INDEX(PMGHVAC[Unit of Measure],MATCH(C74,PMGHVAC[Eff Desc 1],0))),"")</f>
        <v/>
      </c>
      <c r="U74" s="954"/>
      <c r="V74" s="876"/>
      <c r="W74" s="877"/>
      <c r="X74" s="837"/>
      <c r="Y74" s="838"/>
      <c r="Z74" s="838"/>
      <c r="AA74" s="839"/>
      <c r="AB74" s="837"/>
      <c r="AC74" s="838"/>
      <c r="AD74" s="839"/>
      <c r="AE74" s="863"/>
      <c r="AF74" s="874"/>
      <c r="AG74" s="863"/>
      <c r="AH74" s="874"/>
      <c r="AI74" s="923" t="str">
        <f>IFERROR(IF(C74="","",INDEX(PMGHVAC[Inc Rate Unit],MATCH(C74,PMGHVAC[Eff Desc 1],0))),"")</f>
        <v/>
      </c>
      <c r="AJ74" s="924"/>
      <c r="AK74" s="1004" t="str">
        <f>IF(OR(C74="",V74="",X74="",AB74="",AE74="",AG74=""),"",ROUND(V74*INDEX(PMGHVAC[Savings per Unit Therm],MATCH(C74,PMGHVAC[Eff Desc 1],0)),2))</f>
        <v/>
      </c>
      <c r="AL74" s="1005"/>
      <c r="AM74" s="1005"/>
      <c r="AN74" s="930" t="str">
        <f t="shared" ref="AN74" si="63">IF(OR(C74="",V74="",X74="",AB74="",AE74="",AG74=""),"",IF(BC74&lt;&gt;"",BC74,MIN(AU74,ROUND(V74*AI74,2))))</f>
        <v/>
      </c>
      <c r="AO74" s="931"/>
      <c r="AP74" s="931"/>
      <c r="AQ74" s="868"/>
      <c r="AS74" s="59"/>
      <c r="AT74" s="59"/>
      <c r="AU74" s="813" t="str">
        <f t="shared" ref="AU74" si="64">IF(OR(C74="",V74="",X74="",AB74="",AE74="",AG74=""),"",ROUND((AE74+AG74)*V74,2))</f>
        <v/>
      </c>
      <c r="AW74" s="59"/>
      <c r="BC74" s="830"/>
    </row>
    <row r="75" spans="2:55" ht="15.95" hidden="1" customHeight="1">
      <c r="B75" s="929"/>
      <c r="C75" s="840"/>
      <c r="D75" s="841"/>
      <c r="E75" s="841"/>
      <c r="F75" s="841"/>
      <c r="G75" s="841"/>
      <c r="H75" s="841"/>
      <c r="I75" s="841"/>
      <c r="J75" s="841"/>
      <c r="K75" s="841"/>
      <c r="L75" s="841"/>
      <c r="M75" s="842"/>
      <c r="N75" s="917"/>
      <c r="O75" s="918"/>
      <c r="P75" s="918"/>
      <c r="Q75" s="918"/>
      <c r="R75" s="918"/>
      <c r="S75" s="919"/>
      <c r="T75" s="955"/>
      <c r="U75" s="956"/>
      <c r="V75" s="853"/>
      <c r="W75" s="854"/>
      <c r="X75" s="840"/>
      <c r="Y75" s="841"/>
      <c r="Z75" s="841"/>
      <c r="AA75" s="842"/>
      <c r="AB75" s="840"/>
      <c r="AC75" s="841"/>
      <c r="AD75" s="842"/>
      <c r="AE75" s="865"/>
      <c r="AF75" s="875"/>
      <c r="AG75" s="865"/>
      <c r="AH75" s="875"/>
      <c r="AI75" s="925"/>
      <c r="AJ75" s="870"/>
      <c r="AK75" s="1007"/>
      <c r="AL75" s="1008"/>
      <c r="AM75" s="1008"/>
      <c r="AN75" s="925"/>
      <c r="AO75" s="932"/>
      <c r="AP75" s="932"/>
      <c r="AQ75" s="870"/>
      <c r="AS75" s="59"/>
      <c r="AT75" s="59"/>
      <c r="AU75" s="814"/>
      <c r="AW75" s="59"/>
      <c r="BC75" s="831"/>
    </row>
    <row r="76" spans="2:55" ht="15.95" hidden="1" customHeight="1">
      <c r="B76" s="929">
        <v>31</v>
      </c>
      <c r="C76" s="871"/>
      <c r="D76" s="872"/>
      <c r="E76" s="872"/>
      <c r="F76" s="872"/>
      <c r="G76" s="872"/>
      <c r="H76" s="872"/>
      <c r="I76" s="872"/>
      <c r="J76" s="872"/>
      <c r="K76" s="872"/>
      <c r="L76" s="872"/>
      <c r="M76" s="873"/>
      <c r="N76" s="914" t="str">
        <f>IFERROR(IF(C76="","",INDEX(PMGHVAC[Base Desc 1],MATCH(C76,PMGHVAC[Eff Desc 1],0))),"")</f>
        <v/>
      </c>
      <c r="O76" s="915"/>
      <c r="P76" s="915"/>
      <c r="Q76" s="915"/>
      <c r="R76" s="915"/>
      <c r="S76" s="916"/>
      <c r="T76" s="953" t="str">
        <f>IFERROR(IF(C76="","",INDEX(PMGHVAC[Unit of Measure],MATCH(C76,PMGHVAC[Eff Desc 1],0))),"")</f>
        <v/>
      </c>
      <c r="U76" s="954"/>
      <c r="V76" s="876"/>
      <c r="W76" s="877"/>
      <c r="X76" s="837"/>
      <c r="Y76" s="838"/>
      <c r="Z76" s="838"/>
      <c r="AA76" s="839"/>
      <c r="AB76" s="837"/>
      <c r="AC76" s="838"/>
      <c r="AD76" s="839"/>
      <c r="AE76" s="863"/>
      <c r="AF76" s="874"/>
      <c r="AG76" s="863"/>
      <c r="AH76" s="874"/>
      <c r="AI76" s="923" t="str">
        <f>IFERROR(IF(C76="","",INDEX(PMGHVAC[Inc Rate Unit],MATCH(C76,PMGHVAC[Eff Desc 1],0))),"")</f>
        <v/>
      </c>
      <c r="AJ76" s="924"/>
      <c r="AK76" s="1004" t="str">
        <f>IF(OR(C76="",V76="",X76="",AB76="",AE76="",AG76=""),"",ROUND(V76*INDEX(PMGHVAC[Savings per Unit Therm],MATCH(C76,PMGHVAC[Eff Desc 1],0)),2))</f>
        <v/>
      </c>
      <c r="AL76" s="1005"/>
      <c r="AM76" s="1005"/>
      <c r="AN76" s="930" t="str">
        <f t="shared" ref="AN76" si="65">IF(OR(C76="",V76="",X76="",AB76="",AE76="",AG76=""),"",IF(BC76&lt;&gt;"",BC76,MIN(AU76,ROUND(V76*AI76,2))))</f>
        <v/>
      </c>
      <c r="AO76" s="931"/>
      <c r="AP76" s="931"/>
      <c r="AQ76" s="868"/>
      <c r="AS76" s="59"/>
      <c r="AT76" s="59"/>
      <c r="AU76" s="813" t="str">
        <f t="shared" ref="AU76" si="66">IF(OR(C76="",V76="",X76="",AB76="",AE76="",AG76=""),"",ROUND((AE76+AG76)*V76,2))</f>
        <v/>
      </c>
      <c r="AW76" s="59"/>
      <c r="BC76" s="830"/>
    </row>
    <row r="77" spans="2:55" ht="15.95" hidden="1" customHeight="1">
      <c r="B77" s="929"/>
      <c r="C77" s="840"/>
      <c r="D77" s="841"/>
      <c r="E77" s="841"/>
      <c r="F77" s="841"/>
      <c r="G77" s="841"/>
      <c r="H77" s="841"/>
      <c r="I77" s="841"/>
      <c r="J77" s="841"/>
      <c r="K77" s="841"/>
      <c r="L77" s="841"/>
      <c r="M77" s="842"/>
      <c r="N77" s="917"/>
      <c r="O77" s="918"/>
      <c r="P77" s="918"/>
      <c r="Q77" s="918"/>
      <c r="R77" s="918"/>
      <c r="S77" s="919"/>
      <c r="T77" s="955"/>
      <c r="U77" s="956"/>
      <c r="V77" s="853"/>
      <c r="W77" s="854"/>
      <c r="X77" s="840"/>
      <c r="Y77" s="841"/>
      <c r="Z77" s="841"/>
      <c r="AA77" s="842"/>
      <c r="AB77" s="840"/>
      <c r="AC77" s="841"/>
      <c r="AD77" s="842"/>
      <c r="AE77" s="865"/>
      <c r="AF77" s="875"/>
      <c r="AG77" s="865"/>
      <c r="AH77" s="875"/>
      <c r="AI77" s="925"/>
      <c r="AJ77" s="870"/>
      <c r="AK77" s="1007"/>
      <c r="AL77" s="1008"/>
      <c r="AM77" s="1008"/>
      <c r="AN77" s="925"/>
      <c r="AO77" s="932"/>
      <c r="AP77" s="932"/>
      <c r="AQ77" s="870"/>
      <c r="AS77" s="59"/>
      <c r="AT77" s="59"/>
      <c r="AU77" s="814"/>
      <c r="AW77" s="59"/>
      <c r="BC77" s="831"/>
    </row>
    <row r="78" spans="2:55" ht="15.95" hidden="1" customHeight="1">
      <c r="B78" s="929">
        <v>32</v>
      </c>
      <c r="C78" s="871"/>
      <c r="D78" s="872"/>
      <c r="E78" s="872"/>
      <c r="F78" s="872"/>
      <c r="G78" s="872"/>
      <c r="H78" s="872"/>
      <c r="I78" s="872"/>
      <c r="J78" s="872"/>
      <c r="K78" s="872"/>
      <c r="L78" s="872"/>
      <c r="M78" s="873"/>
      <c r="N78" s="914" t="str">
        <f>IFERROR(IF(C78="","",INDEX(PMGHVAC[Base Desc 1],MATCH(C78,PMGHVAC[Eff Desc 1],0))),"")</f>
        <v/>
      </c>
      <c r="O78" s="915"/>
      <c r="P78" s="915"/>
      <c r="Q78" s="915"/>
      <c r="R78" s="915"/>
      <c r="S78" s="916"/>
      <c r="T78" s="953" t="str">
        <f>IFERROR(IF(C78="","",INDEX(PMGHVAC[Unit of Measure],MATCH(C78,PMGHVAC[Eff Desc 1],0))),"")</f>
        <v/>
      </c>
      <c r="U78" s="954"/>
      <c r="V78" s="876"/>
      <c r="W78" s="877"/>
      <c r="X78" s="837"/>
      <c r="Y78" s="838"/>
      <c r="Z78" s="838"/>
      <c r="AA78" s="839"/>
      <c r="AB78" s="837"/>
      <c r="AC78" s="838"/>
      <c r="AD78" s="839"/>
      <c r="AE78" s="863"/>
      <c r="AF78" s="874"/>
      <c r="AG78" s="863"/>
      <c r="AH78" s="874"/>
      <c r="AI78" s="923" t="str">
        <f>IFERROR(IF(C78="","",INDEX(PMGHVAC[Inc Rate Unit],MATCH(C78,PMGHVAC[Eff Desc 1],0))),"")</f>
        <v/>
      </c>
      <c r="AJ78" s="924"/>
      <c r="AK78" s="1004" t="str">
        <f>IF(OR(C78="",V78="",X78="",AB78="",AE78="",AG78=""),"",ROUND(V78*INDEX(PMGHVAC[Savings per Unit Therm],MATCH(C78,PMGHVAC[Eff Desc 1],0)),2))</f>
        <v/>
      </c>
      <c r="AL78" s="1005"/>
      <c r="AM78" s="1005"/>
      <c r="AN78" s="930" t="str">
        <f t="shared" ref="AN78" si="67">IF(OR(C78="",V78="",X78="",AB78="",AE78="",AG78=""),"",IF(BC78&lt;&gt;"",BC78,MIN(AU78,ROUND(V78*AI78,2))))</f>
        <v/>
      </c>
      <c r="AO78" s="931"/>
      <c r="AP78" s="931"/>
      <c r="AQ78" s="868"/>
      <c r="AS78" s="59"/>
      <c r="AT78" s="59"/>
      <c r="AU78" s="813" t="str">
        <f t="shared" ref="AU78" si="68">IF(OR(C78="",V78="",X78="",AB78="",AE78="",AG78=""),"",ROUND((AE78+AG78)*V78,2))</f>
        <v/>
      </c>
      <c r="AW78" s="59"/>
      <c r="BC78" s="830"/>
    </row>
    <row r="79" spans="2:55" ht="15.95" hidden="1" customHeight="1">
      <c r="B79" s="929"/>
      <c r="C79" s="840"/>
      <c r="D79" s="841"/>
      <c r="E79" s="841"/>
      <c r="F79" s="841"/>
      <c r="G79" s="841"/>
      <c r="H79" s="841"/>
      <c r="I79" s="841"/>
      <c r="J79" s="841"/>
      <c r="K79" s="841"/>
      <c r="L79" s="841"/>
      <c r="M79" s="842"/>
      <c r="N79" s="917"/>
      <c r="O79" s="918"/>
      <c r="P79" s="918"/>
      <c r="Q79" s="918"/>
      <c r="R79" s="918"/>
      <c r="S79" s="919"/>
      <c r="T79" s="955"/>
      <c r="U79" s="956"/>
      <c r="V79" s="853"/>
      <c r="W79" s="854"/>
      <c r="X79" s="840"/>
      <c r="Y79" s="841"/>
      <c r="Z79" s="841"/>
      <c r="AA79" s="842"/>
      <c r="AB79" s="840"/>
      <c r="AC79" s="841"/>
      <c r="AD79" s="842"/>
      <c r="AE79" s="865"/>
      <c r="AF79" s="875"/>
      <c r="AG79" s="865"/>
      <c r="AH79" s="875"/>
      <c r="AI79" s="925"/>
      <c r="AJ79" s="870"/>
      <c r="AK79" s="1007"/>
      <c r="AL79" s="1008"/>
      <c r="AM79" s="1008"/>
      <c r="AN79" s="925"/>
      <c r="AO79" s="932"/>
      <c r="AP79" s="932"/>
      <c r="AQ79" s="870"/>
      <c r="AS79" s="59"/>
      <c r="AT79" s="59"/>
      <c r="AU79" s="814"/>
      <c r="AW79" s="59"/>
      <c r="BC79" s="831"/>
    </row>
    <row r="80" spans="2:55" ht="15.95" hidden="1" customHeight="1">
      <c r="B80" s="929">
        <v>33</v>
      </c>
      <c r="C80" s="871"/>
      <c r="D80" s="872"/>
      <c r="E80" s="872"/>
      <c r="F80" s="872"/>
      <c r="G80" s="872"/>
      <c r="H80" s="872"/>
      <c r="I80" s="872"/>
      <c r="J80" s="872"/>
      <c r="K80" s="872"/>
      <c r="L80" s="872"/>
      <c r="M80" s="873"/>
      <c r="N80" s="914" t="str">
        <f>IFERROR(IF(C80="","",INDEX(PMGHVAC[Base Desc 1],MATCH(C80,PMGHVAC[Eff Desc 1],0))),"")</f>
        <v/>
      </c>
      <c r="O80" s="915"/>
      <c r="P80" s="915"/>
      <c r="Q80" s="915"/>
      <c r="R80" s="915"/>
      <c r="S80" s="916"/>
      <c r="T80" s="953" t="str">
        <f>IFERROR(IF(C80="","",INDEX(PMGHVAC[Unit of Measure],MATCH(C80,PMGHVAC[Eff Desc 1],0))),"")</f>
        <v/>
      </c>
      <c r="U80" s="954"/>
      <c r="V80" s="876"/>
      <c r="W80" s="877"/>
      <c r="X80" s="837"/>
      <c r="Y80" s="838"/>
      <c r="Z80" s="838"/>
      <c r="AA80" s="839"/>
      <c r="AB80" s="837"/>
      <c r="AC80" s="838"/>
      <c r="AD80" s="839"/>
      <c r="AE80" s="863"/>
      <c r="AF80" s="874"/>
      <c r="AG80" s="863"/>
      <c r="AH80" s="874"/>
      <c r="AI80" s="923" t="str">
        <f>IFERROR(IF(C80="","",INDEX(PMGHVAC[Inc Rate Unit],MATCH(C80,PMGHVAC[Eff Desc 1],0))),"")</f>
        <v/>
      </c>
      <c r="AJ80" s="924"/>
      <c r="AK80" s="1004" t="str">
        <f>IF(OR(C80="",V80="",X80="",AB80="",AE80="",AG80=""),"",ROUND(V80*INDEX(PMGHVAC[Savings per Unit Therm],MATCH(C80,PMGHVAC[Eff Desc 1],0)),2))</f>
        <v/>
      </c>
      <c r="AL80" s="1005"/>
      <c r="AM80" s="1005"/>
      <c r="AN80" s="930" t="str">
        <f t="shared" ref="AN80" si="69">IF(OR(C80="",V80="",X80="",AB80="",AE80="",AG80=""),"",IF(BC80&lt;&gt;"",BC80,MIN(AU80,ROUND(V80*AI80,2))))</f>
        <v/>
      </c>
      <c r="AO80" s="931"/>
      <c r="AP80" s="931"/>
      <c r="AQ80" s="868"/>
      <c r="AS80" s="59"/>
      <c r="AT80" s="59"/>
      <c r="AU80" s="813" t="str">
        <f t="shared" ref="AU80" si="70">IF(OR(C80="",V80="",X80="",AB80="",AE80="",AG80=""),"",ROUND((AE80+AG80)*V80,2))</f>
        <v/>
      </c>
      <c r="AW80" s="59"/>
      <c r="BC80" s="830"/>
    </row>
    <row r="81" spans="2:55" ht="15.95" hidden="1" customHeight="1">
      <c r="B81" s="929"/>
      <c r="C81" s="840"/>
      <c r="D81" s="841"/>
      <c r="E81" s="841"/>
      <c r="F81" s="841"/>
      <c r="G81" s="841"/>
      <c r="H81" s="841"/>
      <c r="I81" s="841"/>
      <c r="J81" s="841"/>
      <c r="K81" s="841"/>
      <c r="L81" s="841"/>
      <c r="M81" s="842"/>
      <c r="N81" s="917"/>
      <c r="O81" s="918"/>
      <c r="P81" s="918"/>
      <c r="Q81" s="918"/>
      <c r="R81" s="918"/>
      <c r="S81" s="919"/>
      <c r="T81" s="955"/>
      <c r="U81" s="956"/>
      <c r="V81" s="853"/>
      <c r="W81" s="854"/>
      <c r="X81" s="840"/>
      <c r="Y81" s="841"/>
      <c r="Z81" s="841"/>
      <c r="AA81" s="842"/>
      <c r="AB81" s="840"/>
      <c r="AC81" s="841"/>
      <c r="AD81" s="842"/>
      <c r="AE81" s="865"/>
      <c r="AF81" s="875"/>
      <c r="AG81" s="865"/>
      <c r="AH81" s="875"/>
      <c r="AI81" s="925"/>
      <c r="AJ81" s="870"/>
      <c r="AK81" s="1007"/>
      <c r="AL81" s="1008"/>
      <c r="AM81" s="1008"/>
      <c r="AN81" s="925"/>
      <c r="AO81" s="932"/>
      <c r="AP81" s="932"/>
      <c r="AQ81" s="870"/>
      <c r="AS81" s="59"/>
      <c r="AT81" s="59"/>
      <c r="AU81" s="814"/>
      <c r="AW81" s="59"/>
      <c r="BC81" s="831"/>
    </row>
    <row r="82" spans="2:55" ht="15.95" hidden="1" customHeight="1">
      <c r="B82" s="929">
        <v>34</v>
      </c>
      <c r="C82" s="871"/>
      <c r="D82" s="872"/>
      <c r="E82" s="872"/>
      <c r="F82" s="872"/>
      <c r="G82" s="872"/>
      <c r="H82" s="872"/>
      <c r="I82" s="872"/>
      <c r="J82" s="872"/>
      <c r="K82" s="872"/>
      <c r="L82" s="872"/>
      <c r="M82" s="873"/>
      <c r="N82" s="914" t="str">
        <f>IFERROR(IF(C82="","",INDEX(PMGHVAC[Base Desc 1],MATCH(C82,PMGHVAC[Eff Desc 1],0))),"")</f>
        <v/>
      </c>
      <c r="O82" s="915"/>
      <c r="P82" s="915"/>
      <c r="Q82" s="915"/>
      <c r="R82" s="915"/>
      <c r="S82" s="916"/>
      <c r="T82" s="953" t="str">
        <f>IFERROR(IF(C82="","",INDEX(PMGHVAC[Unit of Measure],MATCH(C82,PMGHVAC[Eff Desc 1],0))),"")</f>
        <v/>
      </c>
      <c r="U82" s="954"/>
      <c r="V82" s="876"/>
      <c r="W82" s="877"/>
      <c r="X82" s="837"/>
      <c r="Y82" s="838"/>
      <c r="Z82" s="838"/>
      <c r="AA82" s="839"/>
      <c r="AB82" s="837"/>
      <c r="AC82" s="838"/>
      <c r="AD82" s="839"/>
      <c r="AE82" s="863"/>
      <c r="AF82" s="874"/>
      <c r="AG82" s="863"/>
      <c r="AH82" s="874"/>
      <c r="AI82" s="923" t="str">
        <f>IFERROR(IF(C82="","",INDEX(PMGHVAC[Inc Rate Unit],MATCH(C82,PMGHVAC[Eff Desc 1],0))),"")</f>
        <v/>
      </c>
      <c r="AJ82" s="924"/>
      <c r="AK82" s="1004" t="str">
        <f>IF(OR(C82="",V82="",X82="",AB82="",AE82="",AG82=""),"",ROUND(V82*INDEX(PMGHVAC[Savings per Unit Therm],MATCH(C82,PMGHVAC[Eff Desc 1],0)),2))</f>
        <v/>
      </c>
      <c r="AL82" s="1005"/>
      <c r="AM82" s="1005"/>
      <c r="AN82" s="930" t="str">
        <f t="shared" ref="AN82" si="71">IF(OR(C82="",V82="",X82="",AB82="",AE82="",AG82=""),"",IF(BC82&lt;&gt;"",BC82,MIN(AU82,ROUND(V82*AI82,2))))</f>
        <v/>
      </c>
      <c r="AO82" s="931"/>
      <c r="AP82" s="931"/>
      <c r="AQ82" s="868"/>
      <c r="AS82" s="59"/>
      <c r="AT82" s="59"/>
      <c r="AU82" s="813" t="str">
        <f t="shared" ref="AU82" si="72">IF(OR(C82="",V82="",X82="",AB82="",AE82="",AG82=""),"",ROUND((AE82+AG82)*V82,2))</f>
        <v/>
      </c>
      <c r="AW82" s="59"/>
      <c r="BC82" s="830"/>
    </row>
    <row r="83" spans="2:55" ht="15.95" hidden="1" customHeight="1">
      <c r="B83" s="929"/>
      <c r="C83" s="840"/>
      <c r="D83" s="841"/>
      <c r="E83" s="841"/>
      <c r="F83" s="841"/>
      <c r="G83" s="841"/>
      <c r="H83" s="841"/>
      <c r="I83" s="841"/>
      <c r="J83" s="841"/>
      <c r="K83" s="841"/>
      <c r="L83" s="841"/>
      <c r="M83" s="842"/>
      <c r="N83" s="917"/>
      <c r="O83" s="918"/>
      <c r="P83" s="918"/>
      <c r="Q83" s="918"/>
      <c r="R83" s="918"/>
      <c r="S83" s="919"/>
      <c r="T83" s="955"/>
      <c r="U83" s="956"/>
      <c r="V83" s="853"/>
      <c r="W83" s="854"/>
      <c r="X83" s="840"/>
      <c r="Y83" s="841"/>
      <c r="Z83" s="841"/>
      <c r="AA83" s="842"/>
      <c r="AB83" s="840"/>
      <c r="AC83" s="841"/>
      <c r="AD83" s="842"/>
      <c r="AE83" s="865"/>
      <c r="AF83" s="875"/>
      <c r="AG83" s="865"/>
      <c r="AH83" s="875"/>
      <c r="AI83" s="925"/>
      <c r="AJ83" s="870"/>
      <c r="AK83" s="1007"/>
      <c r="AL83" s="1008"/>
      <c r="AM83" s="1008"/>
      <c r="AN83" s="925"/>
      <c r="AO83" s="932"/>
      <c r="AP83" s="932"/>
      <c r="AQ83" s="870"/>
      <c r="AS83" s="59"/>
      <c r="AT83" s="59"/>
      <c r="AU83" s="814"/>
      <c r="AW83" s="59"/>
      <c r="BC83" s="831"/>
    </row>
    <row r="84" spans="2:55" ht="15.95" hidden="1" customHeight="1">
      <c r="B84" s="929">
        <v>35</v>
      </c>
      <c r="C84" s="871"/>
      <c r="D84" s="872"/>
      <c r="E84" s="872"/>
      <c r="F84" s="872"/>
      <c r="G84" s="872"/>
      <c r="H84" s="872"/>
      <c r="I84" s="872"/>
      <c r="J84" s="872"/>
      <c r="K84" s="872"/>
      <c r="L84" s="872"/>
      <c r="M84" s="873"/>
      <c r="N84" s="914" t="str">
        <f>IFERROR(IF(C84="","",INDEX(PMGHVAC[Base Desc 1],MATCH(C84,PMGHVAC[Eff Desc 1],0))),"")</f>
        <v/>
      </c>
      <c r="O84" s="915"/>
      <c r="P84" s="915"/>
      <c r="Q84" s="915"/>
      <c r="R84" s="915"/>
      <c r="S84" s="916"/>
      <c r="T84" s="953" t="str">
        <f>IFERROR(IF(C84="","",INDEX(PMGHVAC[Unit of Measure],MATCH(C84,PMGHVAC[Eff Desc 1],0))),"")</f>
        <v/>
      </c>
      <c r="U84" s="954"/>
      <c r="V84" s="876"/>
      <c r="W84" s="877"/>
      <c r="X84" s="837"/>
      <c r="Y84" s="838"/>
      <c r="Z84" s="838"/>
      <c r="AA84" s="839"/>
      <c r="AB84" s="837"/>
      <c r="AC84" s="838"/>
      <c r="AD84" s="839"/>
      <c r="AE84" s="863"/>
      <c r="AF84" s="874"/>
      <c r="AG84" s="863"/>
      <c r="AH84" s="874"/>
      <c r="AI84" s="923" t="str">
        <f>IFERROR(IF(C84="","",INDEX(PMGHVAC[Inc Rate Unit],MATCH(C84,PMGHVAC[Eff Desc 1],0))),"")</f>
        <v/>
      </c>
      <c r="AJ84" s="924"/>
      <c r="AK84" s="1004" t="str">
        <f>IF(OR(C84="",V84="",X84="",AB84="",AE84="",AG84=""),"",ROUND(V84*INDEX(PMGHVAC[Savings per Unit Therm],MATCH(C84,PMGHVAC[Eff Desc 1],0)),2))</f>
        <v/>
      </c>
      <c r="AL84" s="1005"/>
      <c r="AM84" s="1005"/>
      <c r="AN84" s="930" t="str">
        <f t="shared" ref="AN84" si="73">IF(OR(C84="",V84="",X84="",AB84="",AE84="",AG84=""),"",IF(BC84&lt;&gt;"",BC84,MIN(AU84,ROUND(V84*AI84,2))))</f>
        <v/>
      </c>
      <c r="AO84" s="931"/>
      <c r="AP84" s="931"/>
      <c r="AQ84" s="868"/>
      <c r="AS84" s="59"/>
      <c r="AT84" s="59"/>
      <c r="AU84" s="813" t="str">
        <f t="shared" ref="AU84" si="74">IF(OR(C84="",V84="",X84="",AB84="",AE84="",AG84=""),"",ROUND((AE84+AG84)*V84,2))</f>
        <v/>
      </c>
      <c r="AW84" s="59"/>
      <c r="BC84" s="830"/>
    </row>
    <row r="85" spans="2:55" ht="15.95" hidden="1" customHeight="1">
      <c r="B85" s="929"/>
      <c r="C85" s="840"/>
      <c r="D85" s="841"/>
      <c r="E85" s="841"/>
      <c r="F85" s="841"/>
      <c r="G85" s="841"/>
      <c r="H85" s="841"/>
      <c r="I85" s="841"/>
      <c r="J85" s="841"/>
      <c r="K85" s="841"/>
      <c r="L85" s="841"/>
      <c r="M85" s="842"/>
      <c r="N85" s="917"/>
      <c r="O85" s="918"/>
      <c r="P85" s="918"/>
      <c r="Q85" s="918"/>
      <c r="R85" s="918"/>
      <c r="S85" s="919"/>
      <c r="T85" s="955"/>
      <c r="U85" s="956"/>
      <c r="V85" s="853"/>
      <c r="W85" s="854"/>
      <c r="X85" s="840"/>
      <c r="Y85" s="841"/>
      <c r="Z85" s="841"/>
      <c r="AA85" s="842"/>
      <c r="AB85" s="840"/>
      <c r="AC85" s="841"/>
      <c r="AD85" s="842"/>
      <c r="AE85" s="865"/>
      <c r="AF85" s="875"/>
      <c r="AG85" s="865"/>
      <c r="AH85" s="875"/>
      <c r="AI85" s="925"/>
      <c r="AJ85" s="870"/>
      <c r="AK85" s="1007"/>
      <c r="AL85" s="1008"/>
      <c r="AM85" s="1008"/>
      <c r="AN85" s="925"/>
      <c r="AO85" s="932"/>
      <c r="AP85" s="932"/>
      <c r="AQ85" s="870"/>
      <c r="AS85" s="59"/>
      <c r="AT85" s="59"/>
      <c r="AU85" s="814"/>
      <c r="AW85" s="59"/>
      <c r="BC85" s="831"/>
    </row>
    <row r="86" spans="2:55" ht="15.95" hidden="1" customHeight="1">
      <c r="B86" s="929">
        <v>36</v>
      </c>
      <c r="C86" s="871"/>
      <c r="D86" s="872"/>
      <c r="E86" s="872"/>
      <c r="F86" s="872"/>
      <c r="G86" s="872"/>
      <c r="H86" s="872"/>
      <c r="I86" s="872"/>
      <c r="J86" s="872"/>
      <c r="K86" s="872"/>
      <c r="L86" s="872"/>
      <c r="M86" s="873"/>
      <c r="N86" s="914" t="str">
        <f>IFERROR(IF(C86="","",INDEX(PMGHVAC[Base Desc 1],MATCH(C86,PMGHVAC[Eff Desc 1],0))),"")</f>
        <v/>
      </c>
      <c r="O86" s="915"/>
      <c r="P86" s="915"/>
      <c r="Q86" s="915"/>
      <c r="R86" s="915"/>
      <c r="S86" s="916"/>
      <c r="T86" s="953" t="str">
        <f>IFERROR(IF(C86="","",INDEX(PMGHVAC[Unit of Measure],MATCH(C86,PMGHVAC[Eff Desc 1],0))),"")</f>
        <v/>
      </c>
      <c r="U86" s="954"/>
      <c r="V86" s="876"/>
      <c r="W86" s="877"/>
      <c r="X86" s="837"/>
      <c r="Y86" s="838"/>
      <c r="Z86" s="838"/>
      <c r="AA86" s="839"/>
      <c r="AB86" s="837"/>
      <c r="AC86" s="838"/>
      <c r="AD86" s="839"/>
      <c r="AE86" s="863"/>
      <c r="AF86" s="874"/>
      <c r="AG86" s="863"/>
      <c r="AH86" s="874"/>
      <c r="AI86" s="923" t="str">
        <f>IFERROR(IF(C86="","",INDEX(PMGHVAC[Inc Rate Unit],MATCH(C86,PMGHVAC[Eff Desc 1],0))),"")</f>
        <v/>
      </c>
      <c r="AJ86" s="924"/>
      <c r="AK86" s="1004" t="str">
        <f>IF(OR(C86="",V86="",X86="",AB86="",AE86="",AG86=""),"",ROUND(V86*INDEX(PMGHVAC[Savings per Unit Therm],MATCH(C86,PMGHVAC[Eff Desc 1],0)),2))</f>
        <v/>
      </c>
      <c r="AL86" s="1005"/>
      <c r="AM86" s="1005"/>
      <c r="AN86" s="930" t="str">
        <f t="shared" ref="AN86" si="75">IF(OR(C86="",V86="",X86="",AB86="",AE86="",AG86=""),"",IF(BC86&lt;&gt;"",BC86,MIN(AU86,ROUND(V86*AI86,2))))</f>
        <v/>
      </c>
      <c r="AO86" s="931"/>
      <c r="AP86" s="931"/>
      <c r="AQ86" s="868"/>
      <c r="AS86" s="59"/>
      <c r="AT86" s="59"/>
      <c r="AU86" s="813" t="str">
        <f t="shared" ref="AU86" si="76">IF(OR(C86="",V86="",X86="",AB86="",AE86="",AG86=""),"",ROUND((AE86+AG86)*V86,2))</f>
        <v/>
      </c>
      <c r="AW86" s="59"/>
      <c r="BC86" s="830"/>
    </row>
    <row r="87" spans="2:55" ht="15.95" hidden="1" customHeight="1">
      <c r="B87" s="929"/>
      <c r="C87" s="840"/>
      <c r="D87" s="841"/>
      <c r="E87" s="841"/>
      <c r="F87" s="841"/>
      <c r="G87" s="841"/>
      <c r="H87" s="841"/>
      <c r="I87" s="841"/>
      <c r="J87" s="841"/>
      <c r="K87" s="841"/>
      <c r="L87" s="841"/>
      <c r="M87" s="842"/>
      <c r="N87" s="917"/>
      <c r="O87" s="918"/>
      <c r="P87" s="918"/>
      <c r="Q87" s="918"/>
      <c r="R87" s="918"/>
      <c r="S87" s="919"/>
      <c r="T87" s="955"/>
      <c r="U87" s="956"/>
      <c r="V87" s="853"/>
      <c r="W87" s="854"/>
      <c r="X87" s="840"/>
      <c r="Y87" s="841"/>
      <c r="Z87" s="841"/>
      <c r="AA87" s="842"/>
      <c r="AB87" s="840"/>
      <c r="AC87" s="841"/>
      <c r="AD87" s="842"/>
      <c r="AE87" s="865"/>
      <c r="AF87" s="875"/>
      <c r="AG87" s="865"/>
      <c r="AH87" s="875"/>
      <c r="AI87" s="925"/>
      <c r="AJ87" s="870"/>
      <c r="AK87" s="1007"/>
      <c r="AL87" s="1008"/>
      <c r="AM87" s="1008"/>
      <c r="AN87" s="925"/>
      <c r="AO87" s="932"/>
      <c r="AP87" s="932"/>
      <c r="AQ87" s="870"/>
      <c r="AS87" s="59"/>
      <c r="AT87" s="59"/>
      <c r="AU87" s="814"/>
      <c r="AW87" s="59"/>
      <c r="BC87" s="831"/>
    </row>
    <row r="88" spans="2:55" ht="15.95" hidden="1" customHeight="1">
      <c r="B88" s="929">
        <v>37</v>
      </c>
      <c r="C88" s="871"/>
      <c r="D88" s="872"/>
      <c r="E88" s="872"/>
      <c r="F88" s="872"/>
      <c r="G88" s="872"/>
      <c r="H88" s="872"/>
      <c r="I88" s="872"/>
      <c r="J88" s="872"/>
      <c r="K88" s="872"/>
      <c r="L88" s="872"/>
      <c r="M88" s="873"/>
      <c r="N88" s="914" t="str">
        <f>IFERROR(IF(C88="","",INDEX(PMGHVAC[Base Desc 1],MATCH(C88,PMGHVAC[Eff Desc 1],0))),"")</f>
        <v/>
      </c>
      <c r="O88" s="915"/>
      <c r="P88" s="915"/>
      <c r="Q88" s="915"/>
      <c r="R88" s="915"/>
      <c r="S88" s="916"/>
      <c r="T88" s="953" t="str">
        <f>IFERROR(IF(C88="","",INDEX(PMGHVAC[Unit of Measure],MATCH(C88,PMGHVAC[Eff Desc 1],0))),"")</f>
        <v/>
      </c>
      <c r="U88" s="954"/>
      <c r="V88" s="876"/>
      <c r="W88" s="877"/>
      <c r="X88" s="837"/>
      <c r="Y88" s="838"/>
      <c r="Z88" s="838"/>
      <c r="AA88" s="839"/>
      <c r="AB88" s="837"/>
      <c r="AC88" s="838"/>
      <c r="AD88" s="839"/>
      <c r="AE88" s="863"/>
      <c r="AF88" s="874"/>
      <c r="AG88" s="863"/>
      <c r="AH88" s="874"/>
      <c r="AI88" s="923" t="str">
        <f>IFERROR(IF(C88="","",INDEX(PMGHVAC[Inc Rate Unit],MATCH(C88,PMGHVAC[Eff Desc 1],0))),"")</f>
        <v/>
      </c>
      <c r="AJ88" s="924"/>
      <c r="AK88" s="1004" t="str">
        <f>IF(OR(C88="",V88="",X88="",AB88="",AE88="",AG88=""),"",ROUND(V88*INDEX(PMGHVAC[Savings per Unit Therm],MATCH(C88,PMGHVAC[Eff Desc 1],0)),2))</f>
        <v/>
      </c>
      <c r="AL88" s="1005"/>
      <c r="AM88" s="1005"/>
      <c r="AN88" s="930" t="str">
        <f t="shared" ref="AN88" si="77">IF(OR(C88="",V88="",X88="",AB88="",AE88="",AG88=""),"",IF(BC88&lt;&gt;"",BC88,MIN(AU88,ROUND(V88*AI88,2))))</f>
        <v/>
      </c>
      <c r="AO88" s="931"/>
      <c r="AP88" s="931"/>
      <c r="AQ88" s="868"/>
      <c r="AS88" s="59"/>
      <c r="AT88" s="59"/>
      <c r="AU88" s="813" t="str">
        <f t="shared" ref="AU88" si="78">IF(OR(C88="",V88="",X88="",AB88="",AE88="",AG88=""),"",ROUND((AE88+AG88)*V88,2))</f>
        <v/>
      </c>
      <c r="AW88" s="59"/>
      <c r="BC88" s="830"/>
    </row>
    <row r="89" spans="2:55" ht="15.95" hidden="1" customHeight="1">
      <c r="B89" s="929"/>
      <c r="C89" s="840"/>
      <c r="D89" s="841"/>
      <c r="E89" s="841"/>
      <c r="F89" s="841"/>
      <c r="G89" s="841"/>
      <c r="H89" s="841"/>
      <c r="I89" s="841"/>
      <c r="J89" s="841"/>
      <c r="K89" s="841"/>
      <c r="L89" s="841"/>
      <c r="M89" s="842"/>
      <c r="N89" s="917"/>
      <c r="O89" s="918"/>
      <c r="P89" s="918"/>
      <c r="Q89" s="918"/>
      <c r="R89" s="918"/>
      <c r="S89" s="919"/>
      <c r="T89" s="955"/>
      <c r="U89" s="956"/>
      <c r="V89" s="853"/>
      <c r="W89" s="854"/>
      <c r="X89" s="840"/>
      <c r="Y89" s="841"/>
      <c r="Z89" s="841"/>
      <c r="AA89" s="842"/>
      <c r="AB89" s="840"/>
      <c r="AC89" s="841"/>
      <c r="AD89" s="842"/>
      <c r="AE89" s="865"/>
      <c r="AF89" s="875"/>
      <c r="AG89" s="865"/>
      <c r="AH89" s="875"/>
      <c r="AI89" s="925"/>
      <c r="AJ89" s="870"/>
      <c r="AK89" s="1007"/>
      <c r="AL89" s="1008"/>
      <c r="AM89" s="1008"/>
      <c r="AN89" s="925"/>
      <c r="AO89" s="932"/>
      <c r="AP89" s="932"/>
      <c r="AQ89" s="870"/>
      <c r="AS89" s="59"/>
      <c r="AT89" s="59"/>
      <c r="AU89" s="814"/>
      <c r="AW89" s="59"/>
      <c r="BC89" s="831"/>
    </row>
    <row r="90" spans="2:55" ht="15.95" hidden="1" customHeight="1">
      <c r="B90" s="929">
        <v>38</v>
      </c>
      <c r="C90" s="871"/>
      <c r="D90" s="872"/>
      <c r="E90" s="872"/>
      <c r="F90" s="872"/>
      <c r="G90" s="872"/>
      <c r="H90" s="872"/>
      <c r="I90" s="872"/>
      <c r="J90" s="872"/>
      <c r="K90" s="872"/>
      <c r="L90" s="872"/>
      <c r="M90" s="873"/>
      <c r="N90" s="914" t="str">
        <f>IFERROR(IF(C90="","",INDEX(PMGHVAC[Base Desc 1],MATCH(C90,PMGHVAC[Eff Desc 1],0))),"")</f>
        <v/>
      </c>
      <c r="O90" s="915"/>
      <c r="P90" s="915"/>
      <c r="Q90" s="915"/>
      <c r="R90" s="915"/>
      <c r="S90" s="916"/>
      <c r="T90" s="953" t="str">
        <f>IFERROR(IF(C90="","",INDEX(PMGHVAC[Unit of Measure],MATCH(C90,PMGHVAC[Eff Desc 1],0))),"")</f>
        <v/>
      </c>
      <c r="U90" s="954"/>
      <c r="V90" s="876"/>
      <c r="W90" s="877"/>
      <c r="X90" s="837"/>
      <c r="Y90" s="838"/>
      <c r="Z90" s="838"/>
      <c r="AA90" s="839"/>
      <c r="AB90" s="837"/>
      <c r="AC90" s="838"/>
      <c r="AD90" s="839"/>
      <c r="AE90" s="863"/>
      <c r="AF90" s="874"/>
      <c r="AG90" s="863"/>
      <c r="AH90" s="874"/>
      <c r="AI90" s="923" t="str">
        <f>IFERROR(IF(C90="","",INDEX(PMGHVAC[Inc Rate Unit],MATCH(C90,PMGHVAC[Eff Desc 1],0))),"")</f>
        <v/>
      </c>
      <c r="AJ90" s="924"/>
      <c r="AK90" s="1004" t="str">
        <f>IF(OR(C90="",V90="",X90="",AB90="",AE90="",AG90=""),"",ROUND(V90*INDEX(PMGHVAC[Savings per Unit Therm],MATCH(C90,PMGHVAC[Eff Desc 1],0)),2))</f>
        <v/>
      </c>
      <c r="AL90" s="1005"/>
      <c r="AM90" s="1005"/>
      <c r="AN90" s="930" t="str">
        <f t="shared" ref="AN90" si="79">IF(OR(C90="",V90="",X90="",AB90="",AE90="",AG90=""),"",IF(BC90&lt;&gt;"",BC90,MIN(AU90,ROUND(V90*AI90,2))))</f>
        <v/>
      </c>
      <c r="AO90" s="931"/>
      <c r="AP90" s="931"/>
      <c r="AQ90" s="868"/>
      <c r="AS90" s="59"/>
      <c r="AT90" s="59"/>
      <c r="AU90" s="813" t="str">
        <f t="shared" ref="AU90" si="80">IF(OR(C90="",V90="",X90="",AB90="",AE90="",AG90=""),"",ROUND((AE90+AG90)*V90,2))</f>
        <v/>
      </c>
      <c r="AW90" s="59"/>
      <c r="BC90" s="830"/>
    </row>
    <row r="91" spans="2:55" ht="15.95" hidden="1" customHeight="1">
      <c r="B91" s="929"/>
      <c r="C91" s="840"/>
      <c r="D91" s="841"/>
      <c r="E91" s="841"/>
      <c r="F91" s="841"/>
      <c r="G91" s="841"/>
      <c r="H91" s="841"/>
      <c r="I91" s="841"/>
      <c r="J91" s="841"/>
      <c r="K91" s="841"/>
      <c r="L91" s="841"/>
      <c r="M91" s="842"/>
      <c r="N91" s="917"/>
      <c r="O91" s="918"/>
      <c r="P91" s="918"/>
      <c r="Q91" s="918"/>
      <c r="R91" s="918"/>
      <c r="S91" s="919"/>
      <c r="T91" s="955"/>
      <c r="U91" s="956"/>
      <c r="V91" s="853"/>
      <c r="W91" s="854"/>
      <c r="X91" s="840"/>
      <c r="Y91" s="841"/>
      <c r="Z91" s="841"/>
      <c r="AA91" s="842"/>
      <c r="AB91" s="840"/>
      <c r="AC91" s="841"/>
      <c r="AD91" s="842"/>
      <c r="AE91" s="865"/>
      <c r="AF91" s="875"/>
      <c r="AG91" s="865"/>
      <c r="AH91" s="875"/>
      <c r="AI91" s="925"/>
      <c r="AJ91" s="870"/>
      <c r="AK91" s="1007"/>
      <c r="AL91" s="1008"/>
      <c r="AM91" s="1008"/>
      <c r="AN91" s="925"/>
      <c r="AO91" s="932"/>
      <c r="AP91" s="932"/>
      <c r="AQ91" s="870"/>
      <c r="AS91" s="59"/>
      <c r="AT91" s="59"/>
      <c r="AU91" s="814"/>
      <c r="AW91" s="59"/>
      <c r="BC91" s="831"/>
    </row>
    <row r="92" spans="2:55" ht="15.95" hidden="1" customHeight="1">
      <c r="B92" s="929">
        <v>39</v>
      </c>
      <c r="C92" s="871"/>
      <c r="D92" s="872"/>
      <c r="E92" s="872"/>
      <c r="F92" s="872"/>
      <c r="G92" s="872"/>
      <c r="H92" s="872"/>
      <c r="I92" s="872"/>
      <c r="J92" s="872"/>
      <c r="K92" s="872"/>
      <c r="L92" s="872"/>
      <c r="M92" s="873"/>
      <c r="N92" s="914" t="str">
        <f>IFERROR(IF(C92="","",INDEX(PMGHVAC[Base Desc 1],MATCH(C92,PMGHVAC[Eff Desc 1],0))),"")</f>
        <v/>
      </c>
      <c r="O92" s="915"/>
      <c r="P92" s="915"/>
      <c r="Q92" s="915"/>
      <c r="R92" s="915"/>
      <c r="S92" s="916"/>
      <c r="T92" s="953" t="str">
        <f>IFERROR(IF(C92="","",INDEX(PMGHVAC[Unit of Measure],MATCH(C92,PMGHVAC[Eff Desc 1],0))),"")</f>
        <v/>
      </c>
      <c r="U92" s="954"/>
      <c r="V92" s="876"/>
      <c r="W92" s="877"/>
      <c r="X92" s="837"/>
      <c r="Y92" s="838"/>
      <c r="Z92" s="838"/>
      <c r="AA92" s="839"/>
      <c r="AB92" s="837"/>
      <c r="AC92" s="838"/>
      <c r="AD92" s="839"/>
      <c r="AE92" s="863"/>
      <c r="AF92" s="874"/>
      <c r="AG92" s="863"/>
      <c r="AH92" s="874"/>
      <c r="AI92" s="923" t="str">
        <f>IFERROR(IF(C92="","",INDEX(PMGHVAC[Inc Rate Unit],MATCH(C92,PMGHVAC[Eff Desc 1],0))),"")</f>
        <v/>
      </c>
      <c r="AJ92" s="924"/>
      <c r="AK92" s="1004" t="str">
        <f>IF(OR(C92="",V92="",X92="",AB92="",AE92="",AG92=""),"",ROUND(V92*INDEX(PMGHVAC[Savings per Unit Therm],MATCH(C92,PMGHVAC[Eff Desc 1],0)),2))</f>
        <v/>
      </c>
      <c r="AL92" s="1005"/>
      <c r="AM92" s="1005"/>
      <c r="AN92" s="930" t="str">
        <f t="shared" ref="AN92" si="81">IF(OR(C92="",V92="",X92="",AB92="",AE92="",AG92=""),"",IF(BC92&lt;&gt;"",BC92,MIN(AU92,ROUND(V92*AI92,2))))</f>
        <v/>
      </c>
      <c r="AO92" s="931"/>
      <c r="AP92" s="931"/>
      <c r="AQ92" s="868"/>
      <c r="AS92" s="59"/>
      <c r="AT92" s="59"/>
      <c r="AU92" s="813" t="str">
        <f t="shared" ref="AU92" si="82">IF(OR(C92="",V92="",X92="",AB92="",AE92="",AG92=""),"",ROUND((AE92+AG92)*V92,2))</f>
        <v/>
      </c>
      <c r="AW92" s="59"/>
      <c r="BC92" s="830"/>
    </row>
    <row r="93" spans="2:55" ht="15.95" hidden="1" customHeight="1">
      <c r="B93" s="929"/>
      <c r="C93" s="840"/>
      <c r="D93" s="841"/>
      <c r="E93" s="841"/>
      <c r="F93" s="841"/>
      <c r="G93" s="841"/>
      <c r="H93" s="841"/>
      <c r="I93" s="841"/>
      <c r="J93" s="841"/>
      <c r="K93" s="841"/>
      <c r="L93" s="841"/>
      <c r="M93" s="842"/>
      <c r="N93" s="917"/>
      <c r="O93" s="918"/>
      <c r="P93" s="918"/>
      <c r="Q93" s="918"/>
      <c r="R93" s="918"/>
      <c r="S93" s="919"/>
      <c r="T93" s="955"/>
      <c r="U93" s="956"/>
      <c r="V93" s="853"/>
      <c r="W93" s="854"/>
      <c r="X93" s="840"/>
      <c r="Y93" s="841"/>
      <c r="Z93" s="841"/>
      <c r="AA93" s="842"/>
      <c r="AB93" s="840"/>
      <c r="AC93" s="841"/>
      <c r="AD93" s="842"/>
      <c r="AE93" s="865"/>
      <c r="AF93" s="875"/>
      <c r="AG93" s="865"/>
      <c r="AH93" s="875"/>
      <c r="AI93" s="925"/>
      <c r="AJ93" s="870"/>
      <c r="AK93" s="1007"/>
      <c r="AL93" s="1008"/>
      <c r="AM93" s="1008"/>
      <c r="AN93" s="925"/>
      <c r="AO93" s="932"/>
      <c r="AP93" s="932"/>
      <c r="AQ93" s="870"/>
      <c r="AS93" s="59"/>
      <c r="AT93" s="59"/>
      <c r="AU93" s="814"/>
      <c r="AW93" s="59"/>
      <c r="BC93" s="831"/>
    </row>
    <row r="94" spans="2:55" ht="15.95" hidden="1" customHeight="1">
      <c r="B94" s="929">
        <v>40</v>
      </c>
      <c r="C94" s="871"/>
      <c r="D94" s="872"/>
      <c r="E94" s="872"/>
      <c r="F94" s="872"/>
      <c r="G94" s="872"/>
      <c r="H94" s="872"/>
      <c r="I94" s="872"/>
      <c r="J94" s="872"/>
      <c r="K94" s="872"/>
      <c r="L94" s="872"/>
      <c r="M94" s="873"/>
      <c r="N94" s="914" t="str">
        <f>IFERROR(IF(C94="","",INDEX(PMGHVAC[Base Desc 1],MATCH(C94,PMGHVAC[Eff Desc 1],0))),"")</f>
        <v/>
      </c>
      <c r="O94" s="915"/>
      <c r="P94" s="915"/>
      <c r="Q94" s="915"/>
      <c r="R94" s="915"/>
      <c r="S94" s="916"/>
      <c r="T94" s="953" t="str">
        <f>IFERROR(IF(C94="","",INDEX(PMGHVAC[Unit of Measure],MATCH(C94,PMGHVAC[Eff Desc 1],0))),"")</f>
        <v/>
      </c>
      <c r="U94" s="954"/>
      <c r="V94" s="876"/>
      <c r="W94" s="877"/>
      <c r="X94" s="837"/>
      <c r="Y94" s="838"/>
      <c r="Z94" s="838"/>
      <c r="AA94" s="839"/>
      <c r="AB94" s="837"/>
      <c r="AC94" s="838"/>
      <c r="AD94" s="839"/>
      <c r="AE94" s="863"/>
      <c r="AF94" s="874"/>
      <c r="AG94" s="863"/>
      <c r="AH94" s="874"/>
      <c r="AI94" s="923" t="str">
        <f>IFERROR(IF(C94="","",INDEX(PMGHVAC[Inc Rate Unit],MATCH(C94,PMGHVAC[Eff Desc 1],0))),"")</f>
        <v/>
      </c>
      <c r="AJ94" s="924"/>
      <c r="AK94" s="1004" t="str">
        <f>IF(OR(C94="",V94="",X94="",AB94="",AE94="",AG94=""),"",ROUND(V94*INDEX(PMGHVAC[Savings per Unit Therm],MATCH(C94,PMGHVAC[Eff Desc 1],0)),2))</f>
        <v/>
      </c>
      <c r="AL94" s="1005"/>
      <c r="AM94" s="1005"/>
      <c r="AN94" s="930" t="str">
        <f t="shared" ref="AN94" si="83">IF(OR(C94="",V94="",X94="",AB94="",AE94="",AG94=""),"",IF(BC94&lt;&gt;"",BC94,MIN(AU94,ROUND(V94*AI94,2))))</f>
        <v/>
      </c>
      <c r="AO94" s="931"/>
      <c r="AP94" s="931"/>
      <c r="AQ94" s="868"/>
      <c r="AS94" s="59"/>
      <c r="AT94" s="59"/>
      <c r="AU94" s="813" t="str">
        <f t="shared" ref="AU94" si="84">IF(OR(C94="",V94="",X94="",AB94="",AE94="",AG94=""),"",ROUND((AE94+AG94)*V94,2))</f>
        <v/>
      </c>
      <c r="AW94" s="59"/>
      <c r="BC94" s="830"/>
    </row>
    <row r="95" spans="2:55" ht="15.95" hidden="1" customHeight="1">
      <c r="B95" s="929"/>
      <c r="C95" s="840"/>
      <c r="D95" s="841"/>
      <c r="E95" s="841"/>
      <c r="F95" s="841"/>
      <c r="G95" s="841"/>
      <c r="H95" s="841"/>
      <c r="I95" s="841"/>
      <c r="J95" s="841"/>
      <c r="K95" s="841"/>
      <c r="L95" s="841"/>
      <c r="M95" s="842"/>
      <c r="N95" s="917"/>
      <c r="O95" s="918"/>
      <c r="P95" s="918"/>
      <c r="Q95" s="918"/>
      <c r="R95" s="918"/>
      <c r="S95" s="919"/>
      <c r="T95" s="955"/>
      <c r="U95" s="956"/>
      <c r="V95" s="853"/>
      <c r="W95" s="854"/>
      <c r="X95" s="840"/>
      <c r="Y95" s="841"/>
      <c r="Z95" s="841"/>
      <c r="AA95" s="842"/>
      <c r="AB95" s="840"/>
      <c r="AC95" s="841"/>
      <c r="AD95" s="842"/>
      <c r="AE95" s="865"/>
      <c r="AF95" s="875"/>
      <c r="AG95" s="865"/>
      <c r="AH95" s="875"/>
      <c r="AI95" s="925"/>
      <c r="AJ95" s="870"/>
      <c r="AK95" s="1007"/>
      <c r="AL95" s="1008"/>
      <c r="AM95" s="1008"/>
      <c r="AN95" s="925"/>
      <c r="AO95" s="932"/>
      <c r="AP95" s="932"/>
      <c r="AQ95" s="870"/>
      <c r="AS95" s="59"/>
      <c r="AT95" s="59"/>
      <c r="AU95" s="814"/>
      <c r="AW95" s="59"/>
      <c r="BC95" s="831"/>
    </row>
    <row r="96" spans="2:55" ht="15.95" hidden="1" customHeight="1">
      <c r="B96" s="929">
        <v>41</v>
      </c>
      <c r="C96" s="871"/>
      <c r="D96" s="872"/>
      <c r="E96" s="872"/>
      <c r="F96" s="872"/>
      <c r="G96" s="872"/>
      <c r="H96" s="872"/>
      <c r="I96" s="872"/>
      <c r="J96" s="872"/>
      <c r="K96" s="872"/>
      <c r="L96" s="872"/>
      <c r="M96" s="873"/>
      <c r="N96" s="914" t="str">
        <f>IFERROR(IF(C96="","",INDEX(PMGHVAC[Base Desc 1],MATCH(C96,PMGHVAC[Eff Desc 1],0))),"")</f>
        <v/>
      </c>
      <c r="O96" s="915"/>
      <c r="P96" s="915"/>
      <c r="Q96" s="915"/>
      <c r="R96" s="915"/>
      <c r="S96" s="916"/>
      <c r="T96" s="953" t="str">
        <f>IFERROR(IF(C96="","",INDEX(PMGHVAC[Unit of Measure],MATCH(C96,PMGHVAC[Eff Desc 1],0))),"")</f>
        <v/>
      </c>
      <c r="U96" s="954"/>
      <c r="V96" s="876"/>
      <c r="W96" s="877"/>
      <c r="X96" s="837"/>
      <c r="Y96" s="838"/>
      <c r="Z96" s="838"/>
      <c r="AA96" s="839"/>
      <c r="AB96" s="837"/>
      <c r="AC96" s="838"/>
      <c r="AD96" s="839"/>
      <c r="AE96" s="863"/>
      <c r="AF96" s="874"/>
      <c r="AG96" s="863"/>
      <c r="AH96" s="874"/>
      <c r="AI96" s="923" t="str">
        <f>IFERROR(IF(C96="","",INDEX(PMGHVAC[Inc Rate Unit],MATCH(C96,PMGHVAC[Eff Desc 1],0))),"")</f>
        <v/>
      </c>
      <c r="AJ96" s="924"/>
      <c r="AK96" s="1004" t="str">
        <f>IF(OR(C96="",V96="",X96="",AB96="",AE96="",AG96=""),"",ROUND(V96*INDEX(PMGHVAC[Savings per Unit Therm],MATCH(C96,PMGHVAC[Eff Desc 1],0)),2))</f>
        <v/>
      </c>
      <c r="AL96" s="1005"/>
      <c r="AM96" s="1005"/>
      <c r="AN96" s="930" t="str">
        <f t="shared" ref="AN96" si="85">IF(OR(C96="",V96="",X96="",AB96="",AE96="",AG96=""),"",IF(BC96&lt;&gt;"",BC96,MIN(AU96,ROUND(V96*AI96,2))))</f>
        <v/>
      </c>
      <c r="AO96" s="931"/>
      <c r="AP96" s="931"/>
      <c r="AQ96" s="868"/>
      <c r="AS96" s="59"/>
      <c r="AT96" s="59"/>
      <c r="AU96" s="813" t="str">
        <f t="shared" ref="AU96" si="86">IF(OR(C96="",V96="",X96="",AB96="",AE96="",AG96=""),"",ROUND((AE96+AG96)*V96,2))</f>
        <v/>
      </c>
      <c r="AW96" s="59"/>
      <c r="BC96" s="830"/>
    </row>
    <row r="97" spans="2:55" ht="15.95" hidden="1" customHeight="1">
      <c r="B97" s="929"/>
      <c r="C97" s="840"/>
      <c r="D97" s="841"/>
      <c r="E97" s="841"/>
      <c r="F97" s="841"/>
      <c r="G97" s="841"/>
      <c r="H97" s="841"/>
      <c r="I97" s="841"/>
      <c r="J97" s="841"/>
      <c r="K97" s="841"/>
      <c r="L97" s="841"/>
      <c r="M97" s="842"/>
      <c r="N97" s="917"/>
      <c r="O97" s="918"/>
      <c r="P97" s="918"/>
      <c r="Q97" s="918"/>
      <c r="R97" s="918"/>
      <c r="S97" s="919"/>
      <c r="T97" s="955"/>
      <c r="U97" s="956"/>
      <c r="V97" s="853"/>
      <c r="W97" s="854"/>
      <c r="X97" s="840"/>
      <c r="Y97" s="841"/>
      <c r="Z97" s="841"/>
      <c r="AA97" s="842"/>
      <c r="AB97" s="840"/>
      <c r="AC97" s="841"/>
      <c r="AD97" s="842"/>
      <c r="AE97" s="865"/>
      <c r="AF97" s="875"/>
      <c r="AG97" s="865"/>
      <c r="AH97" s="875"/>
      <c r="AI97" s="925"/>
      <c r="AJ97" s="870"/>
      <c r="AK97" s="1007"/>
      <c r="AL97" s="1008"/>
      <c r="AM97" s="1008"/>
      <c r="AN97" s="925"/>
      <c r="AO97" s="932"/>
      <c r="AP97" s="932"/>
      <c r="AQ97" s="870"/>
      <c r="AS97" s="59"/>
      <c r="AT97" s="59"/>
      <c r="AU97" s="814"/>
      <c r="AW97" s="59"/>
      <c r="BC97" s="831"/>
    </row>
    <row r="98" spans="2:55" ht="15.95" hidden="1" customHeight="1">
      <c r="B98" s="929">
        <v>42</v>
      </c>
      <c r="C98" s="871"/>
      <c r="D98" s="872"/>
      <c r="E98" s="872"/>
      <c r="F98" s="872"/>
      <c r="G98" s="872"/>
      <c r="H98" s="872"/>
      <c r="I98" s="872"/>
      <c r="J98" s="872"/>
      <c r="K98" s="872"/>
      <c r="L98" s="872"/>
      <c r="M98" s="873"/>
      <c r="N98" s="914" t="str">
        <f>IFERROR(IF(C98="","",INDEX(PMGHVAC[Base Desc 1],MATCH(C98,PMGHVAC[Eff Desc 1],0))),"")</f>
        <v/>
      </c>
      <c r="O98" s="915"/>
      <c r="P98" s="915"/>
      <c r="Q98" s="915"/>
      <c r="R98" s="915"/>
      <c r="S98" s="916"/>
      <c r="T98" s="953" t="str">
        <f>IFERROR(IF(C98="","",INDEX(PMGHVAC[Unit of Measure],MATCH(C98,PMGHVAC[Eff Desc 1],0))),"")</f>
        <v/>
      </c>
      <c r="U98" s="954"/>
      <c r="V98" s="876"/>
      <c r="W98" s="877"/>
      <c r="X98" s="837"/>
      <c r="Y98" s="838"/>
      <c r="Z98" s="838"/>
      <c r="AA98" s="839"/>
      <c r="AB98" s="837"/>
      <c r="AC98" s="838"/>
      <c r="AD98" s="839"/>
      <c r="AE98" s="863"/>
      <c r="AF98" s="874"/>
      <c r="AG98" s="863"/>
      <c r="AH98" s="874"/>
      <c r="AI98" s="923" t="str">
        <f>IFERROR(IF(C98="","",INDEX(PMGHVAC[Inc Rate Unit],MATCH(C98,PMGHVAC[Eff Desc 1],0))),"")</f>
        <v/>
      </c>
      <c r="AJ98" s="924"/>
      <c r="AK98" s="1004" t="str">
        <f>IF(OR(C98="",V98="",X98="",AB98="",AE98="",AG98=""),"",ROUND(V98*INDEX(PMGHVAC[Savings per Unit Therm],MATCH(C98,PMGHVAC[Eff Desc 1],0)),2))</f>
        <v/>
      </c>
      <c r="AL98" s="1005"/>
      <c r="AM98" s="1005"/>
      <c r="AN98" s="930" t="str">
        <f t="shared" ref="AN98" si="87">IF(OR(C98="",V98="",X98="",AB98="",AE98="",AG98=""),"",IF(BC98&lt;&gt;"",BC98,MIN(AU98,ROUND(V98*AI98,2))))</f>
        <v/>
      </c>
      <c r="AO98" s="931"/>
      <c r="AP98" s="931"/>
      <c r="AQ98" s="868"/>
      <c r="AS98" s="59"/>
      <c r="AT98" s="59"/>
      <c r="AU98" s="813" t="str">
        <f t="shared" ref="AU98" si="88">IF(OR(C98="",V98="",X98="",AB98="",AE98="",AG98=""),"",ROUND((AE98+AG98)*V98,2))</f>
        <v/>
      </c>
      <c r="AW98" s="59"/>
      <c r="BC98" s="830"/>
    </row>
    <row r="99" spans="2:55" ht="15.95" hidden="1" customHeight="1">
      <c r="B99" s="929"/>
      <c r="C99" s="840"/>
      <c r="D99" s="841"/>
      <c r="E99" s="841"/>
      <c r="F99" s="841"/>
      <c r="G99" s="841"/>
      <c r="H99" s="841"/>
      <c r="I99" s="841"/>
      <c r="J99" s="841"/>
      <c r="K99" s="841"/>
      <c r="L99" s="841"/>
      <c r="M99" s="842"/>
      <c r="N99" s="917"/>
      <c r="O99" s="918"/>
      <c r="P99" s="918"/>
      <c r="Q99" s="918"/>
      <c r="R99" s="918"/>
      <c r="S99" s="919"/>
      <c r="T99" s="955"/>
      <c r="U99" s="956"/>
      <c r="V99" s="853"/>
      <c r="W99" s="854"/>
      <c r="X99" s="840"/>
      <c r="Y99" s="841"/>
      <c r="Z99" s="841"/>
      <c r="AA99" s="842"/>
      <c r="AB99" s="840"/>
      <c r="AC99" s="841"/>
      <c r="AD99" s="842"/>
      <c r="AE99" s="865"/>
      <c r="AF99" s="875"/>
      <c r="AG99" s="865"/>
      <c r="AH99" s="875"/>
      <c r="AI99" s="925"/>
      <c r="AJ99" s="870"/>
      <c r="AK99" s="1007"/>
      <c r="AL99" s="1008"/>
      <c r="AM99" s="1008"/>
      <c r="AN99" s="925"/>
      <c r="AO99" s="932"/>
      <c r="AP99" s="932"/>
      <c r="AQ99" s="870"/>
      <c r="AS99" s="59"/>
      <c r="AT99" s="59"/>
      <c r="AU99" s="814"/>
      <c r="AW99" s="59"/>
      <c r="BC99" s="831"/>
    </row>
    <row r="100" spans="2:55" ht="15.95" hidden="1" customHeight="1">
      <c r="B100" s="929">
        <v>43</v>
      </c>
      <c r="C100" s="871"/>
      <c r="D100" s="872"/>
      <c r="E100" s="872"/>
      <c r="F100" s="872"/>
      <c r="G100" s="872"/>
      <c r="H100" s="872"/>
      <c r="I100" s="872"/>
      <c r="J100" s="872"/>
      <c r="K100" s="872"/>
      <c r="L100" s="872"/>
      <c r="M100" s="873"/>
      <c r="N100" s="914" t="str">
        <f>IFERROR(IF(C100="","",INDEX(PMGHVAC[Base Desc 1],MATCH(C100,PMGHVAC[Eff Desc 1],0))),"")</f>
        <v/>
      </c>
      <c r="O100" s="915"/>
      <c r="P100" s="915"/>
      <c r="Q100" s="915"/>
      <c r="R100" s="915"/>
      <c r="S100" s="916"/>
      <c r="T100" s="953" t="str">
        <f>IFERROR(IF(C100="","",INDEX(PMGHVAC[Unit of Measure],MATCH(C100,PMGHVAC[Eff Desc 1],0))),"")</f>
        <v/>
      </c>
      <c r="U100" s="954"/>
      <c r="V100" s="876"/>
      <c r="W100" s="877"/>
      <c r="X100" s="837"/>
      <c r="Y100" s="838"/>
      <c r="Z100" s="838"/>
      <c r="AA100" s="839"/>
      <c r="AB100" s="837"/>
      <c r="AC100" s="838"/>
      <c r="AD100" s="839"/>
      <c r="AE100" s="863"/>
      <c r="AF100" s="874"/>
      <c r="AG100" s="863"/>
      <c r="AH100" s="874"/>
      <c r="AI100" s="923" t="str">
        <f>IFERROR(IF(C100="","",INDEX(PMGHVAC[Inc Rate Unit],MATCH(C100,PMGHVAC[Eff Desc 1],0))),"")</f>
        <v/>
      </c>
      <c r="AJ100" s="924"/>
      <c r="AK100" s="1004" t="str">
        <f>IF(OR(C100="",V100="",X100="",AB100="",AE100="",AG100=""),"",ROUND(V100*INDEX(PMGHVAC[Savings per Unit Therm],MATCH(C100,PMGHVAC[Eff Desc 1],0)),2))</f>
        <v/>
      </c>
      <c r="AL100" s="1005"/>
      <c r="AM100" s="1005"/>
      <c r="AN100" s="930" t="str">
        <f t="shared" ref="AN100" si="89">IF(OR(C100="",V100="",X100="",AB100="",AE100="",AG100=""),"",IF(BC100&lt;&gt;"",BC100,MIN(AU100,ROUND(V100*AI100,2))))</f>
        <v/>
      </c>
      <c r="AO100" s="931"/>
      <c r="AP100" s="931"/>
      <c r="AQ100" s="868"/>
      <c r="AS100" s="59"/>
      <c r="AT100" s="59"/>
      <c r="AU100" s="813" t="str">
        <f t="shared" ref="AU100" si="90">IF(OR(C100="",V100="",X100="",AB100="",AE100="",AG100=""),"",ROUND((AE100+AG100)*V100,2))</f>
        <v/>
      </c>
      <c r="AW100" s="59"/>
      <c r="BC100" s="830"/>
    </row>
    <row r="101" spans="2:55" ht="15.95" hidden="1" customHeight="1">
      <c r="B101" s="929"/>
      <c r="C101" s="840"/>
      <c r="D101" s="841"/>
      <c r="E101" s="841"/>
      <c r="F101" s="841"/>
      <c r="G101" s="841"/>
      <c r="H101" s="841"/>
      <c r="I101" s="841"/>
      <c r="J101" s="841"/>
      <c r="K101" s="841"/>
      <c r="L101" s="841"/>
      <c r="M101" s="842"/>
      <c r="N101" s="917"/>
      <c r="O101" s="918"/>
      <c r="P101" s="918"/>
      <c r="Q101" s="918"/>
      <c r="R101" s="918"/>
      <c r="S101" s="919"/>
      <c r="T101" s="955"/>
      <c r="U101" s="956"/>
      <c r="V101" s="853"/>
      <c r="W101" s="854"/>
      <c r="X101" s="840"/>
      <c r="Y101" s="841"/>
      <c r="Z101" s="841"/>
      <c r="AA101" s="842"/>
      <c r="AB101" s="840"/>
      <c r="AC101" s="841"/>
      <c r="AD101" s="842"/>
      <c r="AE101" s="865"/>
      <c r="AF101" s="875"/>
      <c r="AG101" s="865"/>
      <c r="AH101" s="875"/>
      <c r="AI101" s="925"/>
      <c r="AJ101" s="870"/>
      <c r="AK101" s="1007"/>
      <c r="AL101" s="1008"/>
      <c r="AM101" s="1008"/>
      <c r="AN101" s="925"/>
      <c r="AO101" s="932"/>
      <c r="AP101" s="932"/>
      <c r="AQ101" s="870"/>
      <c r="AS101" s="59"/>
      <c r="AT101" s="59"/>
      <c r="AU101" s="814"/>
      <c r="AW101" s="59"/>
      <c r="BC101" s="831"/>
    </row>
    <row r="102" spans="2:55" ht="15.95" hidden="1" customHeight="1">
      <c r="B102" s="929">
        <v>44</v>
      </c>
      <c r="C102" s="871"/>
      <c r="D102" s="872"/>
      <c r="E102" s="872"/>
      <c r="F102" s="872"/>
      <c r="G102" s="872"/>
      <c r="H102" s="872"/>
      <c r="I102" s="872"/>
      <c r="J102" s="872"/>
      <c r="K102" s="872"/>
      <c r="L102" s="872"/>
      <c r="M102" s="873"/>
      <c r="N102" s="914" t="str">
        <f>IFERROR(IF(C102="","",INDEX(PMGHVAC[Base Desc 1],MATCH(C102,PMGHVAC[Eff Desc 1],0))),"")</f>
        <v/>
      </c>
      <c r="O102" s="915"/>
      <c r="P102" s="915"/>
      <c r="Q102" s="915"/>
      <c r="R102" s="915"/>
      <c r="S102" s="916"/>
      <c r="T102" s="953" t="str">
        <f>IFERROR(IF(C102="","",INDEX(PMGHVAC[Unit of Measure],MATCH(C102,PMGHVAC[Eff Desc 1],0))),"")</f>
        <v/>
      </c>
      <c r="U102" s="954"/>
      <c r="V102" s="876"/>
      <c r="W102" s="877"/>
      <c r="X102" s="837"/>
      <c r="Y102" s="838"/>
      <c r="Z102" s="838"/>
      <c r="AA102" s="839"/>
      <c r="AB102" s="837"/>
      <c r="AC102" s="838"/>
      <c r="AD102" s="839"/>
      <c r="AE102" s="863"/>
      <c r="AF102" s="874"/>
      <c r="AG102" s="863"/>
      <c r="AH102" s="874"/>
      <c r="AI102" s="923" t="str">
        <f>IFERROR(IF(C102="","",INDEX(PMGHVAC[Inc Rate Unit],MATCH(C102,PMGHVAC[Eff Desc 1],0))),"")</f>
        <v/>
      </c>
      <c r="AJ102" s="924"/>
      <c r="AK102" s="1004" t="str">
        <f>IF(OR(C102="",V102="",X102="",AB102="",AE102="",AG102=""),"",ROUND(V102*INDEX(PMGHVAC[Savings per Unit Therm],MATCH(C102,PMGHVAC[Eff Desc 1],0)),2))</f>
        <v/>
      </c>
      <c r="AL102" s="1005"/>
      <c r="AM102" s="1005"/>
      <c r="AN102" s="930" t="str">
        <f t="shared" ref="AN102" si="91">IF(OR(C102="",V102="",X102="",AB102="",AE102="",AG102=""),"",IF(BC102&lt;&gt;"",BC102,MIN(AU102,ROUND(V102*AI102,2))))</f>
        <v/>
      </c>
      <c r="AO102" s="931"/>
      <c r="AP102" s="931"/>
      <c r="AQ102" s="868"/>
      <c r="AS102" s="59"/>
      <c r="AT102" s="59"/>
      <c r="AU102" s="813" t="str">
        <f t="shared" ref="AU102" si="92">IF(OR(C102="",V102="",X102="",AB102="",AE102="",AG102=""),"",ROUND((AE102+AG102)*V102,2))</f>
        <v/>
      </c>
      <c r="AW102" s="59"/>
      <c r="BC102" s="830"/>
    </row>
    <row r="103" spans="2:55" ht="15.95" hidden="1" customHeight="1">
      <c r="B103" s="929"/>
      <c r="C103" s="840"/>
      <c r="D103" s="841"/>
      <c r="E103" s="841"/>
      <c r="F103" s="841"/>
      <c r="G103" s="841"/>
      <c r="H103" s="841"/>
      <c r="I103" s="841"/>
      <c r="J103" s="841"/>
      <c r="K103" s="841"/>
      <c r="L103" s="841"/>
      <c r="M103" s="842"/>
      <c r="N103" s="917"/>
      <c r="O103" s="918"/>
      <c r="P103" s="918"/>
      <c r="Q103" s="918"/>
      <c r="R103" s="918"/>
      <c r="S103" s="919"/>
      <c r="T103" s="955"/>
      <c r="U103" s="956"/>
      <c r="V103" s="853"/>
      <c r="W103" s="854"/>
      <c r="X103" s="840"/>
      <c r="Y103" s="841"/>
      <c r="Z103" s="841"/>
      <c r="AA103" s="842"/>
      <c r="AB103" s="840"/>
      <c r="AC103" s="841"/>
      <c r="AD103" s="842"/>
      <c r="AE103" s="865"/>
      <c r="AF103" s="875"/>
      <c r="AG103" s="865"/>
      <c r="AH103" s="875"/>
      <c r="AI103" s="925"/>
      <c r="AJ103" s="870"/>
      <c r="AK103" s="1007"/>
      <c r="AL103" s="1008"/>
      <c r="AM103" s="1008"/>
      <c r="AN103" s="925"/>
      <c r="AO103" s="932"/>
      <c r="AP103" s="932"/>
      <c r="AQ103" s="870"/>
      <c r="AS103" s="59"/>
      <c r="AT103" s="59"/>
      <c r="AU103" s="814"/>
      <c r="AW103" s="59"/>
      <c r="BC103" s="831"/>
    </row>
    <row r="104" spans="2:55" ht="15.95" hidden="1" customHeight="1">
      <c r="B104" s="929">
        <v>45</v>
      </c>
      <c r="C104" s="871"/>
      <c r="D104" s="872"/>
      <c r="E104" s="872"/>
      <c r="F104" s="872"/>
      <c r="G104" s="872"/>
      <c r="H104" s="872"/>
      <c r="I104" s="872"/>
      <c r="J104" s="872"/>
      <c r="K104" s="872"/>
      <c r="L104" s="872"/>
      <c r="M104" s="873"/>
      <c r="N104" s="914" t="str">
        <f>IFERROR(IF(C104="","",INDEX(PMGHVAC[Base Desc 1],MATCH(C104,PMGHVAC[Eff Desc 1],0))),"")</f>
        <v/>
      </c>
      <c r="O104" s="915"/>
      <c r="P104" s="915"/>
      <c r="Q104" s="915"/>
      <c r="R104" s="915"/>
      <c r="S104" s="916"/>
      <c r="T104" s="953" t="str">
        <f>IFERROR(IF(C104="","",INDEX(PMGHVAC[Unit of Measure],MATCH(C104,PMGHVAC[Eff Desc 1],0))),"")</f>
        <v/>
      </c>
      <c r="U104" s="954"/>
      <c r="V104" s="876"/>
      <c r="W104" s="877"/>
      <c r="X104" s="837"/>
      <c r="Y104" s="838"/>
      <c r="Z104" s="838"/>
      <c r="AA104" s="839"/>
      <c r="AB104" s="837"/>
      <c r="AC104" s="838"/>
      <c r="AD104" s="839"/>
      <c r="AE104" s="863"/>
      <c r="AF104" s="874"/>
      <c r="AG104" s="863"/>
      <c r="AH104" s="874"/>
      <c r="AI104" s="923" t="str">
        <f>IFERROR(IF(C104="","",INDEX(PMGHVAC[Inc Rate Unit],MATCH(C104,PMGHVAC[Eff Desc 1],0))),"")</f>
        <v/>
      </c>
      <c r="AJ104" s="924"/>
      <c r="AK104" s="1004" t="str">
        <f>IF(OR(C104="",V104="",X104="",AB104="",AE104="",AG104=""),"",ROUND(V104*INDEX(PMGHVAC[Savings per Unit Therm],MATCH(C104,PMGHVAC[Eff Desc 1],0)),2))</f>
        <v/>
      </c>
      <c r="AL104" s="1005"/>
      <c r="AM104" s="1005"/>
      <c r="AN104" s="930" t="str">
        <f t="shared" ref="AN104" si="93">IF(OR(C104="",V104="",X104="",AB104="",AE104="",AG104=""),"",IF(BC104&lt;&gt;"",BC104,MIN(AU104,ROUND(V104*AI104,2))))</f>
        <v/>
      </c>
      <c r="AO104" s="931"/>
      <c r="AP104" s="931"/>
      <c r="AQ104" s="868"/>
      <c r="AS104" s="59"/>
      <c r="AT104" s="59"/>
      <c r="AU104" s="813" t="str">
        <f t="shared" ref="AU104" si="94">IF(OR(C104="",V104="",X104="",AB104="",AE104="",AG104=""),"",ROUND((AE104+AG104)*V104,2))</f>
        <v/>
      </c>
      <c r="AW104" s="59"/>
      <c r="BC104" s="830"/>
    </row>
    <row r="105" spans="2:55" ht="15.95" hidden="1" customHeight="1">
      <c r="B105" s="929"/>
      <c r="C105" s="840"/>
      <c r="D105" s="841"/>
      <c r="E105" s="841"/>
      <c r="F105" s="841"/>
      <c r="G105" s="841"/>
      <c r="H105" s="841"/>
      <c r="I105" s="841"/>
      <c r="J105" s="841"/>
      <c r="K105" s="841"/>
      <c r="L105" s="841"/>
      <c r="M105" s="842"/>
      <c r="N105" s="917"/>
      <c r="O105" s="918"/>
      <c r="P105" s="918"/>
      <c r="Q105" s="918"/>
      <c r="R105" s="918"/>
      <c r="S105" s="919"/>
      <c r="T105" s="955"/>
      <c r="U105" s="956"/>
      <c r="V105" s="853"/>
      <c r="W105" s="854"/>
      <c r="X105" s="840"/>
      <c r="Y105" s="841"/>
      <c r="Z105" s="841"/>
      <c r="AA105" s="842"/>
      <c r="AB105" s="840"/>
      <c r="AC105" s="841"/>
      <c r="AD105" s="842"/>
      <c r="AE105" s="865"/>
      <c r="AF105" s="875"/>
      <c r="AG105" s="865"/>
      <c r="AH105" s="875"/>
      <c r="AI105" s="925"/>
      <c r="AJ105" s="870"/>
      <c r="AK105" s="1007"/>
      <c r="AL105" s="1008"/>
      <c r="AM105" s="1008"/>
      <c r="AN105" s="925"/>
      <c r="AO105" s="932"/>
      <c r="AP105" s="932"/>
      <c r="AQ105" s="870"/>
      <c r="AS105" s="59"/>
      <c r="AT105" s="59"/>
      <c r="AU105" s="814"/>
      <c r="AW105" s="59"/>
      <c r="BC105" s="831"/>
    </row>
    <row r="106" spans="2:55" ht="15.95" hidden="1" customHeight="1">
      <c r="B106" s="929">
        <v>46</v>
      </c>
      <c r="C106" s="871"/>
      <c r="D106" s="872"/>
      <c r="E106" s="872"/>
      <c r="F106" s="872"/>
      <c r="G106" s="872"/>
      <c r="H106" s="872"/>
      <c r="I106" s="872"/>
      <c r="J106" s="872"/>
      <c r="K106" s="872"/>
      <c r="L106" s="872"/>
      <c r="M106" s="873"/>
      <c r="N106" s="914" t="str">
        <f>IFERROR(IF(C106="","",INDEX(PMGHVAC[Base Desc 1],MATCH(C106,PMGHVAC[Eff Desc 1],0))),"")</f>
        <v/>
      </c>
      <c r="O106" s="915"/>
      <c r="P106" s="915"/>
      <c r="Q106" s="915"/>
      <c r="R106" s="915"/>
      <c r="S106" s="916"/>
      <c r="T106" s="953" t="str">
        <f>IFERROR(IF(C106="","",INDEX(PMGHVAC[Unit of Measure],MATCH(C106,PMGHVAC[Eff Desc 1],0))),"")</f>
        <v/>
      </c>
      <c r="U106" s="954"/>
      <c r="V106" s="876"/>
      <c r="W106" s="877"/>
      <c r="X106" s="837"/>
      <c r="Y106" s="838"/>
      <c r="Z106" s="838"/>
      <c r="AA106" s="839"/>
      <c r="AB106" s="837"/>
      <c r="AC106" s="838"/>
      <c r="AD106" s="839"/>
      <c r="AE106" s="863"/>
      <c r="AF106" s="874"/>
      <c r="AG106" s="863"/>
      <c r="AH106" s="874"/>
      <c r="AI106" s="923" t="str">
        <f>IFERROR(IF(C106="","",INDEX(PMGHVAC[Inc Rate Unit],MATCH(C106,PMGHVAC[Eff Desc 1],0))),"")</f>
        <v/>
      </c>
      <c r="AJ106" s="924"/>
      <c r="AK106" s="1004" t="str">
        <f>IF(OR(C106="",V106="",X106="",AB106="",AE106="",AG106=""),"",ROUND(V106*INDEX(PMGHVAC[Savings per Unit Therm],MATCH(C106,PMGHVAC[Eff Desc 1],0)),2))</f>
        <v/>
      </c>
      <c r="AL106" s="1005"/>
      <c r="AM106" s="1005"/>
      <c r="AN106" s="930" t="str">
        <f t="shared" ref="AN106" si="95">IF(OR(C106="",V106="",X106="",AB106="",AE106="",AG106=""),"",IF(BC106&lt;&gt;"",BC106,MIN(AU106,ROUND(V106*AI106,2))))</f>
        <v/>
      </c>
      <c r="AO106" s="931"/>
      <c r="AP106" s="931"/>
      <c r="AQ106" s="868"/>
      <c r="AS106" s="59"/>
      <c r="AT106" s="59"/>
      <c r="AU106" s="813" t="str">
        <f t="shared" ref="AU106" si="96">IF(OR(C106="",V106="",X106="",AB106="",AE106="",AG106=""),"",ROUND((AE106+AG106)*V106,2))</f>
        <v/>
      </c>
      <c r="AW106" s="59"/>
      <c r="BC106" s="830"/>
    </row>
    <row r="107" spans="2:55" ht="15.95" hidden="1" customHeight="1">
      <c r="B107" s="929"/>
      <c r="C107" s="840"/>
      <c r="D107" s="841"/>
      <c r="E107" s="841"/>
      <c r="F107" s="841"/>
      <c r="G107" s="841"/>
      <c r="H107" s="841"/>
      <c r="I107" s="841"/>
      <c r="J107" s="841"/>
      <c r="K107" s="841"/>
      <c r="L107" s="841"/>
      <c r="M107" s="842"/>
      <c r="N107" s="917"/>
      <c r="O107" s="918"/>
      <c r="P107" s="918"/>
      <c r="Q107" s="918"/>
      <c r="R107" s="918"/>
      <c r="S107" s="919"/>
      <c r="T107" s="955"/>
      <c r="U107" s="956"/>
      <c r="V107" s="853"/>
      <c r="W107" s="854"/>
      <c r="X107" s="840"/>
      <c r="Y107" s="841"/>
      <c r="Z107" s="841"/>
      <c r="AA107" s="842"/>
      <c r="AB107" s="840"/>
      <c r="AC107" s="841"/>
      <c r="AD107" s="842"/>
      <c r="AE107" s="865"/>
      <c r="AF107" s="875"/>
      <c r="AG107" s="865"/>
      <c r="AH107" s="875"/>
      <c r="AI107" s="925"/>
      <c r="AJ107" s="870"/>
      <c r="AK107" s="1007"/>
      <c r="AL107" s="1008"/>
      <c r="AM107" s="1008"/>
      <c r="AN107" s="925"/>
      <c r="AO107" s="932"/>
      <c r="AP107" s="932"/>
      <c r="AQ107" s="870"/>
      <c r="AS107" s="59"/>
      <c r="AT107" s="59"/>
      <c r="AU107" s="814"/>
      <c r="AW107" s="59"/>
      <c r="BC107" s="831"/>
    </row>
    <row r="108" spans="2:55" ht="15.95" hidden="1" customHeight="1">
      <c r="B108" s="929">
        <v>47</v>
      </c>
      <c r="C108" s="871"/>
      <c r="D108" s="872"/>
      <c r="E108" s="872"/>
      <c r="F108" s="872"/>
      <c r="G108" s="872"/>
      <c r="H108" s="872"/>
      <c r="I108" s="872"/>
      <c r="J108" s="872"/>
      <c r="K108" s="872"/>
      <c r="L108" s="872"/>
      <c r="M108" s="873"/>
      <c r="N108" s="914" t="str">
        <f>IFERROR(IF(C108="","",INDEX(PMGHVAC[Base Desc 1],MATCH(C108,PMGHVAC[Eff Desc 1],0))),"")</f>
        <v/>
      </c>
      <c r="O108" s="915"/>
      <c r="P108" s="915"/>
      <c r="Q108" s="915"/>
      <c r="R108" s="915"/>
      <c r="S108" s="916"/>
      <c r="T108" s="953" t="str">
        <f>IFERROR(IF(C108="","",INDEX(PMGHVAC[Unit of Measure],MATCH(C108,PMGHVAC[Eff Desc 1],0))),"")</f>
        <v/>
      </c>
      <c r="U108" s="954"/>
      <c r="V108" s="876"/>
      <c r="W108" s="877"/>
      <c r="X108" s="837"/>
      <c r="Y108" s="838"/>
      <c r="Z108" s="838"/>
      <c r="AA108" s="839"/>
      <c r="AB108" s="837"/>
      <c r="AC108" s="838"/>
      <c r="AD108" s="839"/>
      <c r="AE108" s="863"/>
      <c r="AF108" s="874"/>
      <c r="AG108" s="863"/>
      <c r="AH108" s="874"/>
      <c r="AI108" s="923" t="str">
        <f>IFERROR(IF(C108="","",INDEX(PMGHVAC[Inc Rate Unit],MATCH(C108,PMGHVAC[Eff Desc 1],0))),"")</f>
        <v/>
      </c>
      <c r="AJ108" s="924"/>
      <c r="AK108" s="1004" t="str">
        <f>IF(OR(C108="",V108="",X108="",AB108="",AE108="",AG108=""),"",ROUND(V108*INDEX(PMGHVAC[Savings per Unit Therm],MATCH(C108,PMGHVAC[Eff Desc 1],0)),2))</f>
        <v/>
      </c>
      <c r="AL108" s="1005"/>
      <c r="AM108" s="1005"/>
      <c r="AN108" s="930" t="str">
        <f t="shared" ref="AN108" si="97">IF(OR(C108="",V108="",X108="",AB108="",AE108="",AG108=""),"",IF(BC108&lt;&gt;"",BC108,MIN(AU108,ROUND(V108*AI108,2))))</f>
        <v/>
      </c>
      <c r="AO108" s="931"/>
      <c r="AP108" s="931"/>
      <c r="AQ108" s="868"/>
      <c r="AS108" s="59"/>
      <c r="AT108" s="59"/>
      <c r="AU108" s="813" t="str">
        <f t="shared" ref="AU108" si="98">IF(OR(C108="",V108="",X108="",AB108="",AE108="",AG108=""),"",ROUND((AE108+AG108)*V108,2))</f>
        <v/>
      </c>
      <c r="AW108" s="59"/>
      <c r="BC108" s="830"/>
    </row>
    <row r="109" spans="2:55" ht="15.95" hidden="1" customHeight="1">
      <c r="B109" s="929"/>
      <c r="C109" s="840"/>
      <c r="D109" s="841"/>
      <c r="E109" s="841"/>
      <c r="F109" s="841"/>
      <c r="G109" s="841"/>
      <c r="H109" s="841"/>
      <c r="I109" s="841"/>
      <c r="J109" s="841"/>
      <c r="K109" s="841"/>
      <c r="L109" s="841"/>
      <c r="M109" s="842"/>
      <c r="N109" s="917"/>
      <c r="O109" s="918"/>
      <c r="P109" s="918"/>
      <c r="Q109" s="918"/>
      <c r="R109" s="918"/>
      <c r="S109" s="919"/>
      <c r="T109" s="955"/>
      <c r="U109" s="956"/>
      <c r="V109" s="853"/>
      <c r="W109" s="854"/>
      <c r="X109" s="840"/>
      <c r="Y109" s="841"/>
      <c r="Z109" s="841"/>
      <c r="AA109" s="842"/>
      <c r="AB109" s="840"/>
      <c r="AC109" s="841"/>
      <c r="AD109" s="842"/>
      <c r="AE109" s="865"/>
      <c r="AF109" s="875"/>
      <c r="AG109" s="865"/>
      <c r="AH109" s="875"/>
      <c r="AI109" s="925"/>
      <c r="AJ109" s="870"/>
      <c r="AK109" s="1007"/>
      <c r="AL109" s="1008"/>
      <c r="AM109" s="1008"/>
      <c r="AN109" s="925"/>
      <c r="AO109" s="932"/>
      <c r="AP109" s="932"/>
      <c r="AQ109" s="870"/>
      <c r="AS109" s="59"/>
      <c r="AT109" s="59"/>
      <c r="AU109" s="814"/>
      <c r="AW109" s="59"/>
      <c r="BC109" s="831"/>
    </row>
    <row r="110" spans="2:55" ht="15.95" hidden="1" customHeight="1">
      <c r="B110" s="929">
        <v>48</v>
      </c>
      <c r="C110" s="871"/>
      <c r="D110" s="872"/>
      <c r="E110" s="872"/>
      <c r="F110" s="872"/>
      <c r="G110" s="872"/>
      <c r="H110" s="872"/>
      <c r="I110" s="872"/>
      <c r="J110" s="872"/>
      <c r="K110" s="872"/>
      <c r="L110" s="872"/>
      <c r="M110" s="873"/>
      <c r="N110" s="914" t="str">
        <f>IFERROR(IF(C110="","",INDEX(PMGHVAC[Base Desc 1],MATCH(C110,PMGHVAC[Eff Desc 1],0))),"")</f>
        <v/>
      </c>
      <c r="O110" s="915"/>
      <c r="P110" s="915"/>
      <c r="Q110" s="915"/>
      <c r="R110" s="915"/>
      <c r="S110" s="916"/>
      <c r="T110" s="953" t="str">
        <f>IFERROR(IF(C110="","",INDEX(PMGHVAC[Unit of Measure],MATCH(C110,PMGHVAC[Eff Desc 1],0))),"")</f>
        <v/>
      </c>
      <c r="U110" s="954"/>
      <c r="V110" s="876"/>
      <c r="W110" s="877"/>
      <c r="X110" s="837"/>
      <c r="Y110" s="838"/>
      <c r="Z110" s="838"/>
      <c r="AA110" s="839"/>
      <c r="AB110" s="837"/>
      <c r="AC110" s="838"/>
      <c r="AD110" s="839"/>
      <c r="AE110" s="863"/>
      <c r="AF110" s="874"/>
      <c r="AG110" s="863"/>
      <c r="AH110" s="874"/>
      <c r="AI110" s="923" t="str">
        <f>IFERROR(IF(C110="","",INDEX(PMGHVAC[Inc Rate Unit],MATCH(C110,PMGHVAC[Eff Desc 1],0))),"")</f>
        <v/>
      </c>
      <c r="AJ110" s="924"/>
      <c r="AK110" s="1004" t="str">
        <f>IF(OR(C110="",V110="",X110="",AB110="",AE110="",AG110=""),"",ROUND(V110*INDEX(PMGHVAC[Savings per Unit Therm],MATCH(C110,PMGHVAC[Eff Desc 1],0)),2))</f>
        <v/>
      </c>
      <c r="AL110" s="1005"/>
      <c r="AM110" s="1005"/>
      <c r="AN110" s="930" t="str">
        <f t="shared" ref="AN110" si="99">IF(OR(C110="",V110="",X110="",AB110="",AE110="",AG110=""),"",IF(BC110&lt;&gt;"",BC110,MIN(AU110,ROUND(V110*AI110,2))))</f>
        <v/>
      </c>
      <c r="AO110" s="931"/>
      <c r="AP110" s="931"/>
      <c r="AQ110" s="868"/>
      <c r="AS110" s="59"/>
      <c r="AT110" s="59"/>
      <c r="AU110" s="813" t="str">
        <f t="shared" ref="AU110" si="100">IF(OR(C110="",V110="",X110="",AB110="",AE110="",AG110=""),"",ROUND((AE110+AG110)*V110,2))</f>
        <v/>
      </c>
      <c r="AW110" s="59"/>
      <c r="BC110" s="830"/>
    </row>
    <row r="111" spans="2:55" ht="15.95" hidden="1" customHeight="1">
      <c r="B111" s="929"/>
      <c r="C111" s="840"/>
      <c r="D111" s="841"/>
      <c r="E111" s="841"/>
      <c r="F111" s="841"/>
      <c r="G111" s="841"/>
      <c r="H111" s="841"/>
      <c r="I111" s="841"/>
      <c r="J111" s="841"/>
      <c r="K111" s="841"/>
      <c r="L111" s="841"/>
      <c r="M111" s="842"/>
      <c r="N111" s="917"/>
      <c r="O111" s="918"/>
      <c r="P111" s="918"/>
      <c r="Q111" s="918"/>
      <c r="R111" s="918"/>
      <c r="S111" s="919"/>
      <c r="T111" s="955"/>
      <c r="U111" s="956"/>
      <c r="V111" s="853"/>
      <c r="W111" s="854"/>
      <c r="X111" s="840"/>
      <c r="Y111" s="841"/>
      <c r="Z111" s="841"/>
      <c r="AA111" s="842"/>
      <c r="AB111" s="840"/>
      <c r="AC111" s="841"/>
      <c r="AD111" s="842"/>
      <c r="AE111" s="865"/>
      <c r="AF111" s="875"/>
      <c r="AG111" s="865"/>
      <c r="AH111" s="875"/>
      <c r="AI111" s="925"/>
      <c r="AJ111" s="870"/>
      <c r="AK111" s="1007"/>
      <c r="AL111" s="1008"/>
      <c r="AM111" s="1008"/>
      <c r="AN111" s="925"/>
      <c r="AO111" s="932"/>
      <c r="AP111" s="932"/>
      <c r="AQ111" s="870"/>
      <c r="AS111" s="59"/>
      <c r="AT111" s="59"/>
      <c r="AU111" s="814"/>
      <c r="AW111" s="59"/>
      <c r="BC111" s="831"/>
    </row>
    <row r="112" spans="2:55" ht="15.95" hidden="1" customHeight="1">
      <c r="B112" s="929">
        <v>49</v>
      </c>
      <c r="C112" s="871"/>
      <c r="D112" s="872"/>
      <c r="E112" s="872"/>
      <c r="F112" s="872"/>
      <c r="G112" s="872"/>
      <c r="H112" s="872"/>
      <c r="I112" s="872"/>
      <c r="J112" s="872"/>
      <c r="K112" s="872"/>
      <c r="L112" s="872"/>
      <c r="M112" s="873"/>
      <c r="N112" s="914" t="str">
        <f>IFERROR(IF(C112="","",INDEX(PMGHVAC[Base Desc 1],MATCH(C112,PMGHVAC[Eff Desc 1],0))),"")</f>
        <v/>
      </c>
      <c r="O112" s="915"/>
      <c r="P112" s="915"/>
      <c r="Q112" s="915"/>
      <c r="R112" s="915"/>
      <c r="S112" s="916"/>
      <c r="T112" s="953" t="str">
        <f>IFERROR(IF(C112="","",INDEX(PMGHVAC[Unit of Measure],MATCH(C112,PMGHVAC[Eff Desc 1],0))),"")</f>
        <v/>
      </c>
      <c r="U112" s="954"/>
      <c r="V112" s="876"/>
      <c r="W112" s="877"/>
      <c r="X112" s="837"/>
      <c r="Y112" s="838"/>
      <c r="Z112" s="838"/>
      <c r="AA112" s="839"/>
      <c r="AB112" s="837"/>
      <c r="AC112" s="838"/>
      <c r="AD112" s="839"/>
      <c r="AE112" s="863"/>
      <c r="AF112" s="874"/>
      <c r="AG112" s="863"/>
      <c r="AH112" s="874"/>
      <c r="AI112" s="923" t="str">
        <f>IFERROR(IF(C112="","",INDEX(PMGHVAC[Inc Rate Unit],MATCH(C112,PMGHVAC[Eff Desc 1],0))),"")</f>
        <v/>
      </c>
      <c r="AJ112" s="924"/>
      <c r="AK112" s="1004" t="str">
        <f>IF(OR(C112="",V112="",X112="",AB112="",AE112="",AG112=""),"",ROUND(V112*INDEX(PMGHVAC[Savings per Unit Therm],MATCH(C112,PMGHVAC[Eff Desc 1],0)),2))</f>
        <v/>
      </c>
      <c r="AL112" s="1005"/>
      <c r="AM112" s="1005"/>
      <c r="AN112" s="930" t="str">
        <f t="shared" ref="AN112" si="101">IF(OR(C112="",V112="",X112="",AB112="",AE112="",AG112=""),"",IF(BC112&lt;&gt;"",BC112,MIN(AU112,ROUND(V112*AI112,2))))</f>
        <v/>
      </c>
      <c r="AO112" s="931"/>
      <c r="AP112" s="931"/>
      <c r="AQ112" s="868"/>
      <c r="AS112" s="59"/>
      <c r="AT112" s="59"/>
      <c r="AU112" s="813" t="str">
        <f t="shared" ref="AU112" si="102">IF(OR(C112="",V112="",X112="",AB112="",AE112="",AG112=""),"",ROUND((AE112+AG112)*V112,2))</f>
        <v/>
      </c>
      <c r="AW112" s="59"/>
      <c r="BC112" s="830"/>
    </row>
    <row r="113" spans="2:55" ht="15.95" hidden="1" customHeight="1">
      <c r="B113" s="929"/>
      <c r="C113" s="840"/>
      <c r="D113" s="841"/>
      <c r="E113" s="841"/>
      <c r="F113" s="841"/>
      <c r="G113" s="841"/>
      <c r="H113" s="841"/>
      <c r="I113" s="841"/>
      <c r="J113" s="841"/>
      <c r="K113" s="841"/>
      <c r="L113" s="841"/>
      <c r="M113" s="842"/>
      <c r="N113" s="917"/>
      <c r="O113" s="918"/>
      <c r="P113" s="918"/>
      <c r="Q113" s="918"/>
      <c r="R113" s="918"/>
      <c r="S113" s="919"/>
      <c r="T113" s="955"/>
      <c r="U113" s="956"/>
      <c r="V113" s="853"/>
      <c r="W113" s="854"/>
      <c r="X113" s="840"/>
      <c r="Y113" s="841"/>
      <c r="Z113" s="841"/>
      <c r="AA113" s="842"/>
      <c r="AB113" s="840"/>
      <c r="AC113" s="841"/>
      <c r="AD113" s="842"/>
      <c r="AE113" s="865"/>
      <c r="AF113" s="875"/>
      <c r="AG113" s="865"/>
      <c r="AH113" s="875"/>
      <c r="AI113" s="925"/>
      <c r="AJ113" s="870"/>
      <c r="AK113" s="1007"/>
      <c r="AL113" s="1008"/>
      <c r="AM113" s="1008"/>
      <c r="AN113" s="925"/>
      <c r="AO113" s="932"/>
      <c r="AP113" s="932"/>
      <c r="AQ113" s="870"/>
      <c r="AS113" s="59"/>
      <c r="AT113" s="59"/>
      <c r="AU113" s="814"/>
      <c r="AW113" s="59"/>
      <c r="BC113" s="831"/>
    </row>
    <row r="114" spans="2:55" ht="15.95" hidden="1" customHeight="1">
      <c r="B114" s="929">
        <v>50</v>
      </c>
      <c r="C114" s="871"/>
      <c r="D114" s="872"/>
      <c r="E114" s="872"/>
      <c r="F114" s="872"/>
      <c r="G114" s="872"/>
      <c r="H114" s="872"/>
      <c r="I114" s="872"/>
      <c r="J114" s="872"/>
      <c r="K114" s="872"/>
      <c r="L114" s="872"/>
      <c r="M114" s="873"/>
      <c r="N114" s="914" t="str">
        <f>IFERROR(IF(C114="","",INDEX(PMGHVAC[Base Desc 1],MATCH(C114,PMGHVAC[Eff Desc 1],0))),"")</f>
        <v/>
      </c>
      <c r="O114" s="915"/>
      <c r="P114" s="915"/>
      <c r="Q114" s="915"/>
      <c r="R114" s="915"/>
      <c r="S114" s="916"/>
      <c r="T114" s="953" t="str">
        <f>IFERROR(IF(C114="","",INDEX(PMGHVAC[Unit of Measure],MATCH(C114,PMGHVAC[Eff Desc 1],0))),"")</f>
        <v/>
      </c>
      <c r="U114" s="954"/>
      <c r="V114" s="876"/>
      <c r="W114" s="877"/>
      <c r="X114" s="837"/>
      <c r="Y114" s="838"/>
      <c r="Z114" s="838"/>
      <c r="AA114" s="839"/>
      <c r="AB114" s="837"/>
      <c r="AC114" s="838"/>
      <c r="AD114" s="839"/>
      <c r="AE114" s="863"/>
      <c r="AF114" s="874"/>
      <c r="AG114" s="863"/>
      <c r="AH114" s="874"/>
      <c r="AI114" s="923" t="str">
        <f>IFERROR(IF(C114="","",INDEX(PMGHVAC[Inc Rate Unit],MATCH(C114,PMGHVAC[Eff Desc 1],0))),"")</f>
        <v/>
      </c>
      <c r="AJ114" s="924"/>
      <c r="AK114" s="1004" t="str">
        <f>IF(OR(C114="",V114="",X114="",AB114="",AE114="",AG114=""),"",ROUND(V114*INDEX(PMGHVAC[Savings per Unit Therm],MATCH(C114,PMGHVAC[Eff Desc 1],0)),2))</f>
        <v/>
      </c>
      <c r="AL114" s="1005"/>
      <c r="AM114" s="1005"/>
      <c r="AN114" s="930" t="str">
        <f t="shared" ref="AN114" si="103">IF(OR(C114="",V114="",X114="",AB114="",AE114="",AG114=""),"",IF(BC114&lt;&gt;"",BC114,MIN(AU114,ROUND(V114*AI114,2))))</f>
        <v/>
      </c>
      <c r="AO114" s="931"/>
      <c r="AP114" s="931"/>
      <c r="AQ114" s="868"/>
      <c r="AS114" s="59"/>
      <c r="AT114" s="59"/>
      <c r="AU114" s="813" t="str">
        <f t="shared" ref="AU114" si="104">IF(OR(C114="",V114="",X114="",AB114="",AE114="",AG114=""),"",ROUND((AE114+AG114)*V114,2))</f>
        <v/>
      </c>
      <c r="AW114" s="59"/>
      <c r="BC114" s="830"/>
    </row>
    <row r="115" spans="2:55" ht="15.95" hidden="1" customHeight="1">
      <c r="B115" s="929"/>
      <c r="C115" s="840"/>
      <c r="D115" s="841"/>
      <c r="E115" s="841"/>
      <c r="F115" s="841"/>
      <c r="G115" s="841"/>
      <c r="H115" s="841"/>
      <c r="I115" s="841"/>
      <c r="J115" s="841"/>
      <c r="K115" s="841"/>
      <c r="L115" s="841"/>
      <c r="M115" s="842"/>
      <c r="N115" s="917"/>
      <c r="O115" s="918"/>
      <c r="P115" s="918"/>
      <c r="Q115" s="918"/>
      <c r="R115" s="918"/>
      <c r="S115" s="919"/>
      <c r="T115" s="955"/>
      <c r="U115" s="956"/>
      <c r="V115" s="853"/>
      <c r="W115" s="854"/>
      <c r="X115" s="840"/>
      <c r="Y115" s="841"/>
      <c r="Z115" s="841"/>
      <c r="AA115" s="842"/>
      <c r="AB115" s="840"/>
      <c r="AC115" s="841"/>
      <c r="AD115" s="842"/>
      <c r="AE115" s="865"/>
      <c r="AF115" s="875"/>
      <c r="AG115" s="865"/>
      <c r="AH115" s="875"/>
      <c r="AI115" s="925"/>
      <c r="AJ115" s="870"/>
      <c r="AK115" s="1007"/>
      <c r="AL115" s="1008"/>
      <c r="AM115" s="1008"/>
      <c r="AN115" s="925"/>
      <c r="AO115" s="932"/>
      <c r="AP115" s="932"/>
      <c r="AQ115" s="870"/>
      <c r="AS115" s="59"/>
      <c r="AT115" s="59"/>
      <c r="AU115" s="814"/>
      <c r="AW115" s="59"/>
      <c r="BC115" s="831"/>
    </row>
    <row r="116" spans="2:55" ht="15.95" hidden="1" customHeight="1">
      <c r="B116" s="929">
        <v>51</v>
      </c>
      <c r="C116" s="8"/>
      <c r="D116" s="8"/>
      <c r="E116" s="8"/>
      <c r="F116" s="8"/>
      <c r="G116" s="8"/>
      <c r="H116" s="8"/>
      <c r="I116" s="8"/>
      <c r="J116" s="8"/>
      <c r="K116" s="8"/>
      <c r="L116" s="8"/>
      <c r="M116" s="8"/>
      <c r="N116" s="8"/>
      <c r="O116" s="8"/>
      <c r="P116" s="8"/>
      <c r="Q116" s="8"/>
      <c r="R116" s="8"/>
      <c r="S116" s="8"/>
      <c r="T116" s="8"/>
      <c r="U116" s="8"/>
      <c r="V116" s="8"/>
      <c r="W116" s="8"/>
      <c r="X116" s="8"/>
      <c r="Y116" s="8"/>
      <c r="Z116" s="8"/>
      <c r="AA116" s="8"/>
      <c r="AB116" s="8"/>
      <c r="AC116" s="8"/>
      <c r="AD116" s="8"/>
      <c r="AE116" s="8"/>
      <c r="AF116" s="8"/>
      <c r="AG116" s="8"/>
      <c r="AH116" s="8"/>
      <c r="AI116" s="8"/>
      <c r="AJ116" s="8"/>
      <c r="AK116" s="8"/>
      <c r="AL116" s="8"/>
      <c r="AM116" s="8"/>
      <c r="AN116" s="8"/>
      <c r="AO116" s="8"/>
      <c r="AP116" s="8"/>
      <c r="AQ116" s="8"/>
    </row>
    <row r="117" spans="2:55" ht="15.95" hidden="1" customHeight="1">
      <c r="B117" s="929"/>
      <c r="C117" s="8"/>
      <c r="D117" s="8"/>
      <c r="E117" s="8"/>
      <c r="F117" s="8"/>
      <c r="G117" s="8"/>
      <c r="H117" s="8"/>
      <c r="I117" s="8"/>
      <c r="J117" s="8"/>
      <c r="K117" s="8"/>
      <c r="L117" s="8"/>
      <c r="M117" s="8"/>
      <c r="N117" s="8"/>
      <c r="O117" s="8"/>
      <c r="P117" s="8"/>
      <c r="Q117" s="8"/>
      <c r="R117" s="8"/>
      <c r="S117" s="8"/>
      <c r="T117" s="8"/>
      <c r="U117" s="8"/>
      <c r="V117" s="8"/>
      <c r="W117" s="8"/>
      <c r="X117" s="8"/>
      <c r="Y117" s="8"/>
      <c r="Z117" s="8"/>
      <c r="AA117" s="8"/>
      <c r="AB117" s="8"/>
      <c r="AC117" s="8"/>
      <c r="AD117" s="8"/>
      <c r="AE117" s="8"/>
      <c r="AF117" s="8"/>
      <c r="AG117" s="8"/>
      <c r="AH117" s="8"/>
      <c r="AI117" s="8"/>
      <c r="AJ117" s="8"/>
      <c r="AK117" s="8"/>
      <c r="AL117" s="8"/>
      <c r="AM117" s="8"/>
      <c r="AN117" s="8"/>
      <c r="AO117" s="8"/>
      <c r="AP117" s="8"/>
      <c r="AQ117" s="8"/>
    </row>
    <row r="118" spans="2:55" ht="15.95" hidden="1" customHeight="1">
      <c r="B118" s="929">
        <v>52</v>
      </c>
      <c r="C118" s="8"/>
      <c r="D118" s="8"/>
      <c r="E118" s="8"/>
      <c r="F118" s="8"/>
      <c r="G118" s="8"/>
      <c r="H118" s="8"/>
      <c r="I118" s="8"/>
      <c r="J118" s="8"/>
      <c r="K118" s="8"/>
      <c r="L118" s="8"/>
      <c r="M118" s="8"/>
      <c r="N118" s="8"/>
      <c r="O118" s="8"/>
      <c r="P118" s="8"/>
      <c r="Q118" s="8"/>
      <c r="R118" s="8"/>
      <c r="S118" s="8"/>
      <c r="T118" s="8"/>
      <c r="U118" s="8"/>
      <c r="V118" s="8"/>
      <c r="W118" s="8"/>
      <c r="X118" s="8"/>
      <c r="Y118" s="8"/>
      <c r="Z118" s="8"/>
      <c r="AA118" s="8"/>
      <c r="AB118" s="8"/>
      <c r="AC118" s="8"/>
      <c r="AD118" s="8"/>
      <c r="AE118" s="8"/>
      <c r="AF118" s="8"/>
      <c r="AG118" s="8"/>
      <c r="AH118" s="8"/>
      <c r="AI118" s="8"/>
      <c r="AJ118" s="8"/>
      <c r="AK118" s="8"/>
      <c r="AL118" s="8"/>
      <c r="AM118" s="8"/>
      <c r="AN118" s="8"/>
      <c r="AO118" s="8"/>
      <c r="AP118" s="8"/>
      <c r="AQ118" s="8"/>
    </row>
    <row r="119" spans="2:55" ht="15.95" hidden="1" customHeight="1">
      <c r="B119" s="929"/>
      <c r="C119" s="8"/>
      <c r="D119" s="8"/>
      <c r="E119" s="8"/>
      <c r="F119" s="8"/>
      <c r="G119" s="8"/>
      <c r="H119" s="8"/>
      <c r="I119" s="8"/>
      <c r="J119" s="8"/>
      <c r="K119" s="8"/>
      <c r="L119" s="8"/>
      <c r="M119" s="8"/>
      <c r="N119" s="8"/>
      <c r="O119" s="8"/>
      <c r="P119" s="8"/>
      <c r="Q119" s="8"/>
      <c r="R119" s="8"/>
      <c r="S119" s="8"/>
      <c r="T119" s="8"/>
      <c r="U119" s="8"/>
      <c r="V119" s="8"/>
      <c r="W119" s="8"/>
      <c r="X119" s="8"/>
      <c r="Y119" s="8"/>
      <c r="Z119" s="8"/>
      <c r="AA119" s="8"/>
      <c r="AB119" s="8"/>
      <c r="AC119" s="8"/>
      <c r="AD119" s="8"/>
      <c r="AE119" s="8"/>
      <c r="AF119" s="8"/>
      <c r="AG119" s="8"/>
      <c r="AH119" s="8"/>
      <c r="AI119" s="8"/>
      <c r="AJ119" s="8"/>
      <c r="AK119" s="8"/>
      <c r="AL119" s="8"/>
      <c r="AM119" s="8"/>
      <c r="AN119" s="8"/>
      <c r="AO119" s="8"/>
      <c r="AP119" s="8"/>
      <c r="AQ119" s="8"/>
    </row>
    <row r="120" spans="2:55" ht="15.95" hidden="1" customHeight="1">
      <c r="B120" s="929">
        <v>53</v>
      </c>
      <c r="C120" s="8"/>
      <c r="D120" s="8"/>
      <c r="E120" s="8"/>
      <c r="F120" s="8"/>
      <c r="G120" s="8"/>
      <c r="H120" s="8"/>
      <c r="I120" s="8"/>
      <c r="J120" s="8"/>
      <c r="K120" s="8"/>
      <c r="L120" s="8"/>
      <c r="M120" s="8"/>
      <c r="N120" s="8"/>
      <c r="O120" s="8"/>
      <c r="P120" s="8"/>
      <c r="Q120" s="8"/>
      <c r="R120" s="8"/>
      <c r="S120" s="8"/>
      <c r="T120" s="8"/>
      <c r="U120" s="8"/>
      <c r="V120" s="8"/>
      <c r="W120" s="8"/>
      <c r="X120" s="8"/>
      <c r="Y120" s="8"/>
      <c r="Z120" s="8"/>
      <c r="AA120" s="8"/>
      <c r="AB120" s="8"/>
      <c r="AC120" s="8"/>
      <c r="AD120" s="8"/>
      <c r="AE120" s="8"/>
      <c r="AF120" s="8"/>
      <c r="AG120" s="8"/>
      <c r="AH120" s="8"/>
      <c r="AI120" s="8"/>
      <c r="AJ120" s="8"/>
      <c r="AK120" s="8"/>
      <c r="AL120" s="8"/>
      <c r="AM120" s="8"/>
      <c r="AN120" s="8"/>
      <c r="AO120" s="8"/>
      <c r="AP120" s="8"/>
      <c r="AQ120" s="8"/>
    </row>
    <row r="121" spans="2:55" ht="15.95" hidden="1" customHeight="1">
      <c r="B121" s="929"/>
      <c r="C121" s="8"/>
      <c r="D121" s="8"/>
      <c r="E121" s="8"/>
      <c r="F121" s="8"/>
      <c r="G121" s="8"/>
      <c r="H121" s="8"/>
      <c r="I121" s="8"/>
      <c r="J121" s="8"/>
      <c r="K121" s="8"/>
      <c r="L121" s="8"/>
      <c r="M121" s="8"/>
      <c r="N121" s="8"/>
      <c r="O121" s="8"/>
      <c r="P121" s="8"/>
      <c r="Q121" s="8"/>
      <c r="R121" s="8"/>
      <c r="S121" s="8"/>
      <c r="T121" s="8"/>
      <c r="U121" s="8"/>
      <c r="V121" s="8"/>
      <c r="W121" s="8"/>
      <c r="X121" s="8"/>
      <c r="Y121" s="8"/>
      <c r="Z121" s="8"/>
      <c r="AA121" s="8"/>
      <c r="AB121" s="8"/>
      <c r="AC121" s="8"/>
      <c r="AD121" s="8"/>
      <c r="AE121" s="8"/>
      <c r="AF121" s="8"/>
      <c r="AG121" s="8"/>
      <c r="AH121" s="8"/>
      <c r="AI121" s="8"/>
      <c r="AJ121" s="8"/>
      <c r="AK121" s="8"/>
      <c r="AL121" s="8"/>
      <c r="AM121" s="8"/>
      <c r="AN121" s="8"/>
      <c r="AO121" s="8"/>
      <c r="AP121" s="8"/>
      <c r="AQ121" s="8"/>
    </row>
    <row r="122" spans="2:55" ht="15.95" hidden="1" customHeight="1">
      <c r="B122" s="929">
        <v>54</v>
      </c>
      <c r="C122" s="8"/>
      <c r="D122" s="8"/>
      <c r="E122" s="8"/>
      <c r="F122" s="8"/>
      <c r="G122" s="8"/>
      <c r="H122" s="8"/>
      <c r="I122" s="8"/>
      <c r="J122" s="8"/>
      <c r="K122" s="8"/>
      <c r="L122" s="8"/>
      <c r="M122" s="8"/>
      <c r="N122" s="8"/>
      <c r="O122" s="8"/>
      <c r="P122" s="8"/>
      <c r="Q122" s="8"/>
      <c r="R122" s="8"/>
      <c r="S122" s="8"/>
      <c r="T122" s="8"/>
      <c r="U122" s="8"/>
      <c r="V122" s="8"/>
      <c r="W122" s="8"/>
      <c r="X122" s="8"/>
      <c r="Y122" s="8"/>
      <c r="Z122" s="8"/>
      <c r="AA122" s="8"/>
      <c r="AB122" s="8"/>
      <c r="AC122" s="8"/>
      <c r="AD122" s="8"/>
      <c r="AE122" s="8"/>
      <c r="AF122" s="8"/>
      <c r="AG122" s="8"/>
      <c r="AH122" s="8"/>
      <c r="AI122" s="8"/>
      <c r="AJ122" s="8"/>
      <c r="AK122" s="8"/>
      <c r="AL122" s="8"/>
      <c r="AM122" s="8"/>
      <c r="AN122" s="8"/>
      <c r="AO122" s="8"/>
      <c r="AP122" s="8"/>
      <c r="AQ122" s="8"/>
    </row>
    <row r="123" spans="2:55" ht="15.95" hidden="1" customHeight="1">
      <c r="B123" s="929"/>
      <c r="C123" s="8"/>
      <c r="D123" s="8"/>
      <c r="E123" s="8"/>
      <c r="F123" s="8"/>
      <c r="G123" s="8"/>
      <c r="H123" s="8"/>
      <c r="I123" s="8"/>
      <c r="J123" s="8"/>
      <c r="K123" s="8"/>
      <c r="L123" s="8"/>
      <c r="M123" s="8"/>
      <c r="N123" s="8"/>
      <c r="O123" s="8"/>
      <c r="P123" s="8"/>
      <c r="Q123" s="8"/>
      <c r="R123" s="8"/>
      <c r="S123" s="8"/>
      <c r="T123" s="8"/>
      <c r="U123" s="8"/>
      <c r="V123" s="8"/>
      <c r="W123" s="8"/>
      <c r="X123" s="8"/>
      <c r="Y123" s="8"/>
      <c r="Z123" s="8"/>
      <c r="AA123" s="8"/>
      <c r="AB123" s="8"/>
      <c r="AC123" s="8"/>
      <c r="AD123" s="8"/>
      <c r="AE123" s="8"/>
      <c r="AF123" s="8"/>
      <c r="AG123" s="8"/>
      <c r="AH123" s="8"/>
      <c r="AI123" s="8"/>
      <c r="AJ123" s="8"/>
      <c r="AK123" s="8"/>
      <c r="AL123" s="8"/>
      <c r="AM123" s="8"/>
      <c r="AN123" s="8"/>
      <c r="AO123" s="8"/>
      <c r="AP123" s="8"/>
      <c r="AQ123" s="8"/>
    </row>
    <row r="124" spans="2:55" ht="15.95" hidden="1" customHeight="1">
      <c r="B124" s="929">
        <v>55</v>
      </c>
      <c r="C124" s="8"/>
      <c r="D124" s="8"/>
      <c r="E124" s="8"/>
      <c r="F124" s="8"/>
      <c r="G124" s="8"/>
      <c r="H124" s="8"/>
      <c r="I124" s="8"/>
      <c r="J124" s="8"/>
      <c r="K124" s="8"/>
      <c r="L124" s="8"/>
      <c r="M124" s="8"/>
      <c r="N124" s="8"/>
      <c r="O124" s="8"/>
      <c r="P124" s="8"/>
      <c r="Q124" s="8"/>
      <c r="R124" s="8"/>
      <c r="S124" s="8"/>
      <c r="T124" s="8"/>
      <c r="U124" s="8"/>
      <c r="V124" s="8"/>
      <c r="W124" s="8"/>
      <c r="X124" s="8"/>
      <c r="Y124" s="8"/>
      <c r="Z124" s="8"/>
      <c r="AA124" s="8"/>
      <c r="AB124" s="8"/>
      <c r="AC124" s="8"/>
      <c r="AD124" s="8"/>
      <c r="AE124" s="8"/>
      <c r="AF124" s="8"/>
      <c r="AG124" s="8"/>
      <c r="AH124" s="8"/>
      <c r="AI124" s="8"/>
      <c r="AJ124" s="8"/>
      <c r="AK124" s="8"/>
      <c r="AL124" s="8"/>
      <c r="AM124" s="8"/>
      <c r="AN124" s="8"/>
      <c r="AO124" s="8"/>
      <c r="AP124" s="8"/>
      <c r="AQ124" s="8"/>
    </row>
    <row r="125" spans="2:55" ht="15.95" hidden="1" customHeight="1">
      <c r="B125" s="929"/>
      <c r="C125" s="8"/>
      <c r="D125" s="8"/>
      <c r="E125" s="8"/>
      <c r="F125" s="8"/>
      <c r="G125" s="8"/>
      <c r="H125" s="8"/>
      <c r="I125" s="8"/>
      <c r="J125" s="8"/>
      <c r="K125" s="8"/>
      <c r="L125" s="8"/>
      <c r="M125" s="8"/>
      <c r="N125" s="8"/>
      <c r="O125" s="8"/>
      <c r="P125" s="8"/>
      <c r="Q125" s="8"/>
      <c r="R125" s="8"/>
      <c r="S125" s="8"/>
      <c r="T125" s="8"/>
      <c r="U125" s="8"/>
      <c r="V125" s="8"/>
      <c r="W125" s="8"/>
      <c r="X125" s="8"/>
      <c r="Y125" s="8"/>
      <c r="Z125" s="8"/>
      <c r="AA125" s="8"/>
      <c r="AB125" s="8"/>
      <c r="AC125" s="8"/>
      <c r="AD125" s="8"/>
      <c r="AE125" s="8"/>
      <c r="AF125" s="8"/>
      <c r="AG125" s="8"/>
      <c r="AH125" s="8"/>
      <c r="AI125" s="8"/>
      <c r="AJ125" s="8"/>
      <c r="AK125" s="8"/>
      <c r="AL125" s="8"/>
      <c r="AM125" s="8"/>
      <c r="AN125" s="8"/>
      <c r="AO125" s="8"/>
      <c r="AP125" s="8"/>
      <c r="AQ125" s="8"/>
    </row>
    <row r="126" spans="2:55" ht="15.95" hidden="1" customHeight="1">
      <c r="B126" s="929">
        <v>56</v>
      </c>
      <c r="C126" s="8"/>
      <c r="D126" s="8"/>
      <c r="E126" s="8"/>
      <c r="F126" s="8"/>
      <c r="G126" s="8"/>
      <c r="H126" s="8"/>
      <c r="I126" s="8"/>
      <c r="J126" s="8"/>
      <c r="K126" s="8"/>
      <c r="L126" s="8"/>
      <c r="M126" s="8"/>
      <c r="N126" s="8"/>
      <c r="O126" s="8"/>
      <c r="P126" s="8"/>
      <c r="Q126" s="8"/>
      <c r="R126" s="8"/>
      <c r="S126" s="8"/>
      <c r="T126" s="8"/>
      <c r="U126" s="8"/>
      <c r="V126" s="8"/>
      <c r="W126" s="8"/>
      <c r="X126" s="8"/>
      <c r="Y126" s="8"/>
      <c r="Z126" s="8"/>
      <c r="AA126" s="8"/>
      <c r="AB126" s="8"/>
      <c r="AC126" s="8"/>
      <c r="AD126" s="8"/>
      <c r="AE126" s="8"/>
      <c r="AF126" s="8"/>
      <c r="AG126" s="8"/>
      <c r="AH126" s="8"/>
      <c r="AI126" s="8"/>
      <c r="AJ126" s="8"/>
      <c r="AK126" s="8"/>
      <c r="AL126" s="8"/>
      <c r="AM126" s="8"/>
      <c r="AN126" s="8"/>
      <c r="AO126" s="8"/>
      <c r="AP126" s="8"/>
      <c r="AQ126" s="8"/>
    </row>
    <row r="127" spans="2:55" ht="15.95" hidden="1" customHeight="1">
      <c r="B127" s="929"/>
      <c r="C127" s="8"/>
      <c r="D127" s="8"/>
      <c r="E127" s="8"/>
      <c r="F127" s="8"/>
      <c r="G127" s="8"/>
      <c r="H127" s="8"/>
      <c r="I127" s="8"/>
      <c r="J127" s="8"/>
      <c r="K127" s="8"/>
      <c r="L127" s="8"/>
      <c r="M127" s="8"/>
      <c r="N127" s="8"/>
      <c r="O127" s="8"/>
      <c r="P127" s="8"/>
      <c r="Q127" s="8"/>
      <c r="R127" s="8"/>
      <c r="S127" s="8"/>
      <c r="T127" s="8"/>
      <c r="U127" s="8"/>
      <c r="V127" s="8"/>
      <c r="W127" s="8"/>
      <c r="X127" s="8"/>
      <c r="Y127" s="8"/>
      <c r="Z127" s="8"/>
      <c r="AA127" s="8"/>
      <c r="AB127" s="8"/>
      <c r="AC127" s="8"/>
      <c r="AD127" s="8"/>
      <c r="AE127" s="8"/>
      <c r="AF127" s="8"/>
      <c r="AG127" s="8"/>
      <c r="AH127" s="8"/>
      <c r="AI127" s="8"/>
      <c r="AJ127" s="8"/>
      <c r="AK127" s="8"/>
      <c r="AL127" s="8"/>
      <c r="AM127" s="8"/>
      <c r="AN127" s="8"/>
      <c r="AO127" s="8"/>
      <c r="AP127" s="8"/>
      <c r="AQ127" s="8"/>
    </row>
    <row r="128" spans="2:55" ht="15.95" hidden="1" customHeight="1">
      <c r="B128" s="929">
        <v>57</v>
      </c>
      <c r="C128" s="8"/>
      <c r="D128" s="8"/>
      <c r="E128" s="8"/>
      <c r="F128" s="8"/>
      <c r="G128" s="8"/>
      <c r="H128" s="8"/>
      <c r="I128" s="8"/>
      <c r="J128" s="8"/>
      <c r="K128" s="8"/>
      <c r="L128" s="8"/>
      <c r="M128" s="8"/>
      <c r="N128" s="8"/>
      <c r="O128" s="8"/>
      <c r="P128" s="8"/>
      <c r="Q128" s="8"/>
      <c r="R128" s="8"/>
      <c r="S128" s="8"/>
      <c r="T128" s="8"/>
      <c r="U128" s="8"/>
      <c r="V128" s="8"/>
      <c r="W128" s="8"/>
      <c r="X128" s="8"/>
      <c r="Y128" s="8"/>
      <c r="Z128" s="8"/>
      <c r="AA128" s="8"/>
      <c r="AB128" s="8"/>
      <c r="AC128" s="8"/>
      <c r="AD128" s="8"/>
      <c r="AE128" s="8"/>
      <c r="AF128" s="8"/>
      <c r="AG128" s="8"/>
      <c r="AH128" s="8"/>
      <c r="AI128" s="8"/>
      <c r="AJ128" s="8"/>
      <c r="AK128" s="8"/>
      <c r="AL128" s="8"/>
      <c r="AM128" s="8"/>
      <c r="AN128" s="8"/>
      <c r="AO128" s="8"/>
      <c r="AP128" s="8"/>
      <c r="AQ128" s="8"/>
    </row>
    <row r="129" spans="2:43" ht="15.95" hidden="1" customHeight="1">
      <c r="B129" s="929"/>
      <c r="C129" s="8"/>
      <c r="D129" s="8"/>
      <c r="E129" s="8"/>
      <c r="F129" s="8"/>
      <c r="G129" s="8"/>
      <c r="H129" s="8"/>
      <c r="I129" s="8"/>
      <c r="J129" s="8"/>
      <c r="K129" s="8"/>
      <c r="L129" s="8"/>
      <c r="M129" s="8"/>
      <c r="N129" s="8"/>
      <c r="O129" s="8"/>
      <c r="P129" s="8"/>
      <c r="Q129" s="8"/>
      <c r="R129" s="8"/>
      <c r="S129" s="8"/>
      <c r="T129" s="8"/>
      <c r="U129" s="8"/>
      <c r="V129" s="8"/>
      <c r="W129" s="8"/>
      <c r="X129" s="8"/>
      <c r="Y129" s="8"/>
      <c r="Z129" s="8"/>
      <c r="AA129" s="8"/>
      <c r="AB129" s="8"/>
      <c r="AC129" s="8"/>
      <c r="AD129" s="8"/>
      <c r="AE129" s="8"/>
      <c r="AF129" s="8"/>
      <c r="AG129" s="8"/>
      <c r="AH129" s="8"/>
      <c r="AI129" s="8"/>
      <c r="AJ129" s="8"/>
      <c r="AK129" s="8"/>
      <c r="AL129" s="8"/>
      <c r="AM129" s="8"/>
      <c r="AN129" s="8"/>
      <c r="AO129" s="8"/>
      <c r="AP129" s="8"/>
      <c r="AQ129" s="8"/>
    </row>
    <row r="130" spans="2:43" ht="15.95" hidden="1" customHeight="1">
      <c r="B130" s="929">
        <v>58</v>
      </c>
      <c r="C130" s="8"/>
      <c r="D130" s="8"/>
      <c r="E130" s="8"/>
      <c r="F130" s="8"/>
      <c r="G130" s="8"/>
      <c r="H130" s="8"/>
      <c r="I130" s="8"/>
      <c r="J130" s="8"/>
      <c r="K130" s="8"/>
      <c r="L130" s="8"/>
      <c r="M130" s="8"/>
      <c r="N130" s="8"/>
      <c r="O130" s="8"/>
      <c r="P130" s="8"/>
      <c r="Q130" s="8"/>
      <c r="R130" s="8"/>
      <c r="S130" s="8"/>
      <c r="T130" s="8"/>
      <c r="U130" s="8"/>
      <c r="V130" s="8"/>
      <c r="W130" s="8"/>
      <c r="X130" s="8"/>
      <c r="Y130" s="8"/>
      <c r="Z130" s="8"/>
      <c r="AA130" s="8"/>
      <c r="AB130" s="8"/>
      <c r="AC130" s="8"/>
      <c r="AD130" s="8"/>
      <c r="AE130" s="8"/>
      <c r="AF130" s="8"/>
      <c r="AG130" s="8"/>
      <c r="AH130" s="8"/>
      <c r="AI130" s="8"/>
      <c r="AJ130" s="8"/>
      <c r="AK130" s="8"/>
      <c r="AL130" s="8"/>
      <c r="AM130" s="8"/>
      <c r="AN130" s="8"/>
      <c r="AO130" s="8"/>
      <c r="AP130" s="8"/>
      <c r="AQ130" s="8"/>
    </row>
    <row r="131" spans="2:43" ht="15.95" hidden="1" customHeight="1">
      <c r="B131" s="929"/>
      <c r="C131" s="8"/>
      <c r="D131" s="8"/>
      <c r="E131" s="8"/>
      <c r="F131" s="8"/>
      <c r="G131" s="8"/>
      <c r="H131" s="8"/>
      <c r="I131" s="8"/>
      <c r="J131" s="8"/>
      <c r="K131" s="8"/>
      <c r="L131" s="8"/>
      <c r="M131" s="8"/>
      <c r="N131" s="8"/>
      <c r="O131" s="8"/>
      <c r="P131" s="8"/>
      <c r="Q131" s="8"/>
      <c r="R131" s="8"/>
      <c r="S131" s="8"/>
      <c r="T131" s="8"/>
      <c r="U131" s="8"/>
      <c r="V131" s="8"/>
      <c r="W131" s="8"/>
      <c r="X131" s="8"/>
      <c r="Y131" s="8"/>
      <c r="Z131" s="8"/>
      <c r="AA131" s="8"/>
      <c r="AB131" s="8"/>
      <c r="AC131" s="8"/>
      <c r="AD131" s="8"/>
      <c r="AE131" s="8"/>
      <c r="AF131" s="8"/>
      <c r="AG131" s="8"/>
      <c r="AH131" s="8"/>
      <c r="AI131" s="8"/>
      <c r="AJ131" s="8"/>
      <c r="AK131" s="8"/>
      <c r="AL131" s="8"/>
      <c r="AM131" s="8"/>
      <c r="AN131" s="8"/>
      <c r="AO131" s="8"/>
      <c r="AP131" s="8"/>
      <c r="AQ131" s="8"/>
    </row>
    <row r="132" spans="2:43" ht="15.95" hidden="1" customHeight="1">
      <c r="B132" s="929">
        <v>59</v>
      </c>
      <c r="C132" s="8"/>
      <c r="D132" s="8"/>
      <c r="E132" s="8"/>
      <c r="F132" s="8"/>
      <c r="G132" s="8"/>
      <c r="H132" s="8"/>
      <c r="I132" s="8"/>
      <c r="J132" s="8"/>
      <c r="K132" s="8"/>
      <c r="L132" s="8"/>
      <c r="M132" s="8"/>
      <c r="N132" s="8"/>
      <c r="O132" s="8"/>
      <c r="P132" s="8"/>
      <c r="Q132" s="8"/>
      <c r="R132" s="8"/>
      <c r="S132" s="8"/>
      <c r="T132" s="8"/>
      <c r="U132" s="8"/>
      <c r="V132" s="8"/>
      <c r="W132" s="8"/>
      <c r="X132" s="8"/>
      <c r="Y132" s="8"/>
      <c r="Z132" s="8"/>
      <c r="AA132" s="8"/>
      <c r="AB132" s="8"/>
      <c r="AC132" s="8"/>
      <c r="AD132" s="8"/>
      <c r="AE132" s="8"/>
      <c r="AF132" s="8"/>
      <c r="AG132" s="8"/>
      <c r="AH132" s="8"/>
      <c r="AI132" s="8"/>
      <c r="AJ132" s="8"/>
      <c r="AK132" s="8"/>
      <c r="AL132" s="8"/>
      <c r="AM132" s="8"/>
      <c r="AN132" s="8"/>
      <c r="AO132" s="8"/>
      <c r="AP132" s="8"/>
      <c r="AQ132" s="8"/>
    </row>
    <row r="133" spans="2:43" ht="15.95" hidden="1" customHeight="1">
      <c r="B133" s="929"/>
      <c r="C133" s="8"/>
      <c r="D133" s="8"/>
      <c r="E133" s="8"/>
      <c r="F133" s="8"/>
      <c r="G133" s="8"/>
      <c r="H133" s="8"/>
      <c r="I133" s="8"/>
      <c r="J133" s="8"/>
      <c r="K133" s="8"/>
      <c r="L133" s="8"/>
      <c r="M133" s="8"/>
      <c r="N133" s="8"/>
      <c r="O133" s="8"/>
      <c r="P133" s="8"/>
      <c r="Q133" s="8"/>
      <c r="R133" s="8"/>
      <c r="S133" s="8"/>
      <c r="T133" s="8"/>
      <c r="U133" s="8"/>
      <c r="V133" s="8"/>
      <c r="W133" s="8"/>
      <c r="X133" s="8"/>
      <c r="Y133" s="8"/>
      <c r="Z133" s="8"/>
      <c r="AA133" s="8"/>
      <c r="AB133" s="8"/>
      <c r="AC133" s="8"/>
      <c r="AD133" s="8"/>
      <c r="AE133" s="8"/>
      <c r="AF133" s="8"/>
      <c r="AG133" s="8"/>
      <c r="AH133" s="8"/>
      <c r="AI133" s="8"/>
      <c r="AJ133" s="8"/>
      <c r="AK133" s="8"/>
      <c r="AL133" s="8"/>
      <c r="AM133" s="8"/>
      <c r="AN133" s="8"/>
      <c r="AO133" s="8"/>
      <c r="AP133" s="8"/>
      <c r="AQ133" s="8"/>
    </row>
    <row r="134" spans="2:43" ht="15.95" hidden="1" customHeight="1">
      <c r="B134" s="929">
        <v>60</v>
      </c>
      <c r="C134" s="8"/>
      <c r="D134" s="8"/>
      <c r="E134" s="8"/>
      <c r="F134" s="8"/>
      <c r="G134" s="8"/>
      <c r="H134" s="8"/>
      <c r="I134" s="8"/>
      <c r="J134" s="8"/>
      <c r="K134" s="8"/>
      <c r="L134" s="8"/>
      <c r="M134" s="8"/>
      <c r="N134" s="8"/>
      <c r="O134" s="8"/>
      <c r="P134" s="8"/>
      <c r="Q134" s="8"/>
      <c r="R134" s="8"/>
      <c r="S134" s="8"/>
      <c r="T134" s="8"/>
      <c r="U134" s="8"/>
      <c r="V134" s="8"/>
      <c r="W134" s="8"/>
      <c r="X134" s="8"/>
      <c r="Y134" s="8"/>
      <c r="Z134" s="8"/>
      <c r="AA134" s="8"/>
      <c r="AB134" s="8"/>
      <c r="AC134" s="8"/>
      <c r="AD134" s="8"/>
      <c r="AE134" s="8"/>
      <c r="AF134" s="8"/>
      <c r="AG134" s="8"/>
      <c r="AH134" s="8"/>
      <c r="AI134" s="8"/>
      <c r="AJ134" s="8"/>
      <c r="AK134" s="8"/>
      <c r="AL134" s="8"/>
      <c r="AM134" s="8"/>
      <c r="AN134" s="8"/>
      <c r="AO134" s="8"/>
      <c r="AP134" s="8"/>
      <c r="AQ134" s="8"/>
    </row>
    <row r="135" spans="2:43" ht="15.95" hidden="1" customHeight="1">
      <c r="B135" s="929"/>
      <c r="C135" s="8"/>
      <c r="D135" s="8"/>
      <c r="E135" s="8"/>
      <c r="F135" s="8"/>
      <c r="G135" s="8"/>
      <c r="H135" s="8"/>
      <c r="I135" s="8"/>
      <c r="J135" s="8"/>
      <c r="K135" s="8"/>
      <c r="L135" s="8"/>
      <c r="M135" s="8"/>
      <c r="N135" s="8"/>
      <c r="O135" s="8"/>
      <c r="P135" s="8"/>
      <c r="Q135" s="8"/>
      <c r="R135" s="8"/>
      <c r="S135" s="8"/>
      <c r="T135" s="8"/>
      <c r="U135" s="8"/>
      <c r="V135" s="8"/>
      <c r="W135" s="8"/>
      <c r="X135" s="8"/>
      <c r="Y135" s="8"/>
      <c r="Z135" s="8"/>
      <c r="AA135" s="8"/>
      <c r="AB135" s="8"/>
      <c r="AC135" s="8"/>
      <c r="AD135" s="8"/>
      <c r="AE135" s="8"/>
      <c r="AF135" s="8"/>
      <c r="AG135" s="8"/>
      <c r="AH135" s="8"/>
      <c r="AI135" s="8"/>
      <c r="AJ135" s="8"/>
      <c r="AK135" s="8"/>
      <c r="AL135" s="8"/>
      <c r="AM135" s="8"/>
      <c r="AN135" s="8"/>
      <c r="AO135" s="8"/>
      <c r="AP135" s="8"/>
      <c r="AQ135" s="8"/>
    </row>
    <row r="136" spans="2:43" ht="15.95" hidden="1" customHeight="1">
      <c r="B136" s="929">
        <v>61</v>
      </c>
      <c r="C136" s="8"/>
      <c r="D136" s="8"/>
      <c r="E136" s="8"/>
      <c r="F136" s="8"/>
      <c r="G136" s="8"/>
      <c r="H136" s="8"/>
      <c r="I136" s="8"/>
      <c r="J136" s="8"/>
      <c r="K136" s="8"/>
      <c r="L136" s="8"/>
      <c r="M136" s="8"/>
      <c r="N136" s="8"/>
      <c r="O136" s="8"/>
      <c r="P136" s="8"/>
      <c r="Q136" s="8"/>
      <c r="R136" s="8"/>
      <c r="S136" s="8"/>
      <c r="T136" s="8"/>
      <c r="U136" s="8"/>
      <c r="V136" s="8"/>
      <c r="W136" s="8"/>
      <c r="X136" s="8"/>
      <c r="Y136" s="8"/>
      <c r="Z136" s="8"/>
      <c r="AA136" s="8"/>
      <c r="AB136" s="8"/>
      <c r="AC136" s="8"/>
      <c r="AD136" s="8"/>
      <c r="AE136" s="8"/>
      <c r="AF136" s="8"/>
      <c r="AG136" s="8"/>
      <c r="AH136" s="8"/>
      <c r="AI136" s="8"/>
      <c r="AJ136" s="8"/>
      <c r="AK136" s="8"/>
      <c r="AL136" s="8"/>
      <c r="AM136" s="8"/>
      <c r="AN136" s="8"/>
      <c r="AO136" s="8"/>
      <c r="AP136" s="8"/>
      <c r="AQ136" s="8"/>
    </row>
    <row r="137" spans="2:43" ht="15.95" hidden="1" customHeight="1">
      <c r="B137" s="929"/>
      <c r="C137" s="8"/>
      <c r="D137" s="8"/>
      <c r="E137" s="8"/>
      <c r="F137" s="8"/>
      <c r="G137" s="8"/>
      <c r="H137" s="8"/>
      <c r="I137" s="8"/>
      <c r="J137" s="8"/>
      <c r="K137" s="8"/>
      <c r="L137" s="8"/>
      <c r="M137" s="8"/>
      <c r="N137" s="8"/>
      <c r="O137" s="8"/>
      <c r="P137" s="8"/>
      <c r="Q137" s="8"/>
      <c r="R137" s="8"/>
      <c r="S137" s="8"/>
      <c r="T137" s="8"/>
      <c r="U137" s="8"/>
      <c r="V137" s="8"/>
      <c r="W137" s="8"/>
      <c r="X137" s="8"/>
      <c r="Y137" s="8"/>
      <c r="Z137" s="8"/>
      <c r="AA137" s="8"/>
      <c r="AB137" s="8"/>
      <c r="AC137" s="8"/>
      <c r="AD137" s="8"/>
      <c r="AE137" s="8"/>
      <c r="AF137" s="8"/>
      <c r="AG137" s="8"/>
      <c r="AH137" s="8"/>
      <c r="AI137" s="8"/>
      <c r="AJ137" s="8"/>
      <c r="AK137" s="8"/>
      <c r="AL137" s="8"/>
      <c r="AM137" s="8"/>
      <c r="AN137" s="8"/>
      <c r="AO137" s="8"/>
      <c r="AP137" s="8"/>
      <c r="AQ137" s="8"/>
    </row>
    <row r="138" spans="2:43" ht="15.95" hidden="1" customHeight="1">
      <c r="B138" s="929">
        <v>62</v>
      </c>
      <c r="C138" s="8"/>
      <c r="D138" s="8"/>
      <c r="E138" s="8"/>
      <c r="F138" s="8"/>
      <c r="G138" s="8"/>
      <c r="H138" s="8"/>
      <c r="I138" s="8"/>
      <c r="J138" s="8"/>
      <c r="K138" s="8"/>
      <c r="L138" s="8"/>
      <c r="M138" s="8"/>
      <c r="N138" s="8"/>
      <c r="O138" s="8"/>
      <c r="P138" s="8"/>
      <c r="Q138" s="8"/>
      <c r="R138" s="8"/>
      <c r="S138" s="8"/>
      <c r="T138" s="8"/>
      <c r="U138" s="8"/>
      <c r="V138" s="8"/>
      <c r="W138" s="8"/>
      <c r="X138" s="8"/>
      <c r="Y138" s="8"/>
      <c r="Z138" s="8"/>
      <c r="AA138" s="8"/>
      <c r="AB138" s="8"/>
      <c r="AC138" s="8"/>
      <c r="AD138" s="8"/>
      <c r="AE138" s="8"/>
      <c r="AF138" s="8"/>
      <c r="AG138" s="8"/>
      <c r="AH138" s="8"/>
      <c r="AI138" s="8"/>
      <c r="AJ138" s="8"/>
      <c r="AK138" s="8"/>
      <c r="AL138" s="8"/>
      <c r="AM138" s="8"/>
      <c r="AN138" s="8"/>
      <c r="AO138" s="8"/>
      <c r="AP138" s="8"/>
      <c r="AQ138" s="8"/>
    </row>
    <row r="139" spans="2:43" ht="15.95" hidden="1" customHeight="1">
      <c r="B139" s="929"/>
      <c r="C139" s="8"/>
      <c r="D139" s="8"/>
      <c r="E139" s="8"/>
      <c r="F139" s="8"/>
      <c r="G139" s="8"/>
      <c r="H139" s="8"/>
      <c r="I139" s="8"/>
      <c r="J139" s="8"/>
      <c r="K139" s="8"/>
      <c r="L139" s="8"/>
      <c r="M139" s="8"/>
      <c r="N139" s="8"/>
      <c r="O139" s="8"/>
      <c r="P139" s="8"/>
      <c r="Q139" s="8"/>
      <c r="R139" s="8"/>
      <c r="S139" s="8"/>
      <c r="T139" s="8"/>
      <c r="U139" s="8"/>
      <c r="V139" s="8"/>
      <c r="W139" s="8"/>
      <c r="X139" s="8"/>
      <c r="Y139" s="8"/>
      <c r="Z139" s="8"/>
      <c r="AA139" s="8"/>
      <c r="AB139" s="8"/>
      <c r="AC139" s="8"/>
      <c r="AD139" s="8"/>
      <c r="AE139" s="8"/>
      <c r="AF139" s="8"/>
      <c r="AG139" s="8"/>
      <c r="AH139" s="8"/>
      <c r="AI139" s="8"/>
      <c r="AJ139" s="8"/>
      <c r="AK139" s="8"/>
      <c r="AL139" s="8"/>
      <c r="AM139" s="8"/>
      <c r="AN139" s="8"/>
      <c r="AO139" s="8"/>
      <c r="AP139" s="8"/>
      <c r="AQ139" s="8"/>
    </row>
    <row r="140" spans="2:43" ht="15.95" hidden="1" customHeight="1">
      <c r="B140" s="929">
        <v>63</v>
      </c>
      <c r="C140" s="8"/>
      <c r="D140" s="8"/>
      <c r="E140" s="8"/>
      <c r="F140" s="8"/>
      <c r="G140" s="8"/>
      <c r="H140" s="8"/>
      <c r="I140" s="8"/>
      <c r="J140" s="8"/>
      <c r="K140" s="8"/>
      <c r="L140" s="8"/>
      <c r="M140" s="8"/>
      <c r="N140" s="8"/>
      <c r="O140" s="8"/>
      <c r="P140" s="8"/>
      <c r="Q140" s="8"/>
      <c r="R140" s="8"/>
      <c r="S140" s="8"/>
      <c r="T140" s="8"/>
      <c r="U140" s="8"/>
      <c r="V140" s="8"/>
      <c r="W140" s="8"/>
      <c r="X140" s="8"/>
      <c r="Y140" s="8"/>
      <c r="Z140" s="8"/>
      <c r="AA140" s="8"/>
      <c r="AB140" s="8"/>
      <c r="AC140" s="8"/>
      <c r="AD140" s="8"/>
      <c r="AE140" s="8"/>
      <c r="AF140" s="8"/>
      <c r="AG140" s="8"/>
      <c r="AH140" s="8"/>
      <c r="AI140" s="8"/>
      <c r="AJ140" s="8"/>
      <c r="AK140" s="8"/>
      <c r="AL140" s="8"/>
      <c r="AM140" s="8"/>
      <c r="AN140" s="8"/>
      <c r="AO140" s="8"/>
      <c r="AP140" s="8"/>
      <c r="AQ140" s="8"/>
    </row>
    <row r="141" spans="2:43" ht="15.95" hidden="1" customHeight="1">
      <c r="B141" s="929"/>
      <c r="C141" s="8"/>
      <c r="D141" s="8"/>
      <c r="E141" s="8"/>
      <c r="F141" s="8"/>
      <c r="G141" s="8"/>
      <c r="H141" s="8"/>
      <c r="I141" s="8"/>
      <c r="J141" s="8"/>
      <c r="K141" s="8"/>
      <c r="L141" s="8"/>
      <c r="M141" s="8"/>
      <c r="N141" s="8"/>
      <c r="O141" s="8"/>
      <c r="P141" s="8"/>
      <c r="Q141" s="8"/>
      <c r="R141" s="8"/>
      <c r="S141" s="8"/>
      <c r="T141" s="8"/>
      <c r="U141" s="8"/>
      <c r="V141" s="8"/>
      <c r="W141" s="8"/>
      <c r="X141" s="8"/>
      <c r="Y141" s="8"/>
      <c r="Z141" s="8"/>
      <c r="AA141" s="8"/>
      <c r="AB141" s="8"/>
      <c r="AC141" s="8"/>
      <c r="AD141" s="8"/>
      <c r="AE141" s="8"/>
      <c r="AF141" s="8"/>
      <c r="AG141" s="8"/>
      <c r="AH141" s="8"/>
      <c r="AI141" s="8"/>
      <c r="AJ141" s="8"/>
      <c r="AK141" s="8"/>
      <c r="AL141" s="8"/>
      <c r="AM141" s="8"/>
      <c r="AN141" s="8"/>
      <c r="AO141" s="8"/>
      <c r="AP141" s="8"/>
      <c r="AQ141" s="8"/>
    </row>
    <row r="142" spans="2:43" ht="15.95" hidden="1" customHeight="1">
      <c r="B142" s="929">
        <v>64</v>
      </c>
      <c r="C142" s="8"/>
      <c r="D142" s="8"/>
      <c r="E142" s="8"/>
      <c r="F142" s="8"/>
      <c r="G142" s="8"/>
      <c r="H142" s="8"/>
      <c r="I142" s="8"/>
      <c r="J142" s="8"/>
      <c r="K142" s="8"/>
      <c r="L142" s="8"/>
      <c r="M142" s="8"/>
      <c r="N142" s="8"/>
      <c r="O142" s="8"/>
      <c r="P142" s="8"/>
      <c r="Q142" s="8"/>
      <c r="R142" s="8"/>
      <c r="S142" s="8"/>
      <c r="T142" s="8"/>
      <c r="U142" s="8"/>
      <c r="V142" s="8"/>
      <c r="W142" s="8"/>
      <c r="X142" s="8"/>
      <c r="Y142" s="8"/>
      <c r="Z142" s="8"/>
      <c r="AA142" s="8"/>
      <c r="AB142" s="8"/>
      <c r="AC142" s="8"/>
      <c r="AD142" s="8"/>
      <c r="AE142" s="8"/>
      <c r="AF142" s="8"/>
      <c r="AG142" s="8"/>
      <c r="AH142" s="8"/>
      <c r="AI142" s="8"/>
      <c r="AJ142" s="8"/>
      <c r="AK142" s="8"/>
      <c r="AL142" s="8"/>
      <c r="AM142" s="8"/>
      <c r="AN142" s="8"/>
      <c r="AO142" s="8"/>
      <c r="AP142" s="8"/>
      <c r="AQ142" s="8"/>
    </row>
    <row r="143" spans="2:43" ht="15.95" hidden="1" customHeight="1">
      <c r="B143" s="929"/>
      <c r="C143" s="8"/>
      <c r="D143" s="8"/>
      <c r="E143" s="8"/>
      <c r="F143" s="8"/>
      <c r="G143" s="8"/>
      <c r="H143" s="8"/>
      <c r="I143" s="8"/>
      <c r="J143" s="8"/>
      <c r="K143" s="8"/>
      <c r="L143" s="8"/>
      <c r="M143" s="8"/>
      <c r="N143" s="8"/>
      <c r="O143" s="8"/>
      <c r="P143" s="8"/>
      <c r="Q143" s="8"/>
      <c r="R143" s="8"/>
      <c r="S143" s="8"/>
      <c r="T143" s="8"/>
      <c r="U143" s="8"/>
      <c r="V143" s="8"/>
      <c r="W143" s="8"/>
      <c r="X143" s="8"/>
      <c r="Y143" s="8"/>
      <c r="Z143" s="8"/>
      <c r="AA143" s="8"/>
      <c r="AB143" s="8"/>
      <c r="AC143" s="8"/>
      <c r="AD143" s="8"/>
      <c r="AE143" s="8"/>
      <c r="AF143" s="8"/>
      <c r="AG143" s="8"/>
      <c r="AH143" s="8"/>
      <c r="AI143" s="8"/>
      <c r="AJ143" s="8"/>
      <c r="AK143" s="8"/>
      <c r="AL143" s="8"/>
      <c r="AM143" s="8"/>
      <c r="AN143" s="8"/>
      <c r="AO143" s="8"/>
      <c r="AP143" s="8"/>
      <c r="AQ143" s="8"/>
    </row>
    <row r="144" spans="2:43" ht="15.95" hidden="1" customHeight="1">
      <c r="B144" s="929">
        <v>65</v>
      </c>
      <c r="C144" s="8"/>
      <c r="D144" s="8"/>
      <c r="E144" s="8"/>
      <c r="F144" s="8"/>
      <c r="G144" s="8"/>
      <c r="H144" s="8"/>
      <c r="I144" s="8"/>
      <c r="J144" s="8"/>
      <c r="K144" s="8"/>
      <c r="L144" s="8"/>
      <c r="M144" s="8"/>
      <c r="N144" s="8"/>
      <c r="O144" s="8"/>
      <c r="P144" s="8"/>
      <c r="Q144" s="8"/>
      <c r="R144" s="8"/>
      <c r="S144" s="8"/>
      <c r="T144" s="8"/>
      <c r="U144" s="8"/>
      <c r="V144" s="8"/>
      <c r="W144" s="8"/>
      <c r="X144" s="8"/>
      <c r="Y144" s="8"/>
      <c r="Z144" s="8"/>
      <c r="AA144" s="8"/>
      <c r="AB144" s="8"/>
      <c r="AC144" s="8"/>
      <c r="AD144" s="8"/>
      <c r="AE144" s="8"/>
      <c r="AF144" s="8"/>
      <c r="AG144" s="8"/>
      <c r="AH144" s="8"/>
      <c r="AI144" s="8"/>
      <c r="AJ144" s="8"/>
      <c r="AK144" s="8"/>
      <c r="AL144" s="8"/>
      <c r="AM144" s="8"/>
      <c r="AN144" s="8"/>
      <c r="AO144" s="8"/>
      <c r="AP144" s="8"/>
      <c r="AQ144" s="8"/>
    </row>
    <row r="145" spans="2:43" ht="15.95" hidden="1" customHeight="1">
      <c r="B145" s="929"/>
      <c r="C145" s="8"/>
      <c r="D145" s="8"/>
      <c r="E145" s="8"/>
      <c r="F145" s="8"/>
      <c r="G145" s="8"/>
      <c r="H145" s="8"/>
      <c r="I145" s="8"/>
      <c r="J145" s="8"/>
      <c r="K145" s="8"/>
      <c r="L145" s="8"/>
      <c r="M145" s="8"/>
      <c r="N145" s="8"/>
      <c r="O145" s="8"/>
      <c r="P145" s="8"/>
      <c r="Q145" s="8"/>
      <c r="R145" s="8"/>
      <c r="S145" s="8"/>
      <c r="T145" s="8"/>
      <c r="U145" s="8"/>
      <c r="V145" s="8"/>
      <c r="W145" s="8"/>
      <c r="X145" s="8"/>
      <c r="Y145" s="8"/>
      <c r="Z145" s="8"/>
      <c r="AA145" s="8"/>
      <c r="AB145" s="8"/>
      <c r="AC145" s="8"/>
      <c r="AD145" s="8"/>
      <c r="AE145" s="8"/>
      <c r="AF145" s="8"/>
      <c r="AG145" s="8"/>
      <c r="AH145" s="8"/>
      <c r="AI145" s="8"/>
      <c r="AJ145" s="8"/>
      <c r="AK145" s="8"/>
      <c r="AL145" s="8"/>
      <c r="AM145" s="8"/>
      <c r="AN145" s="8"/>
      <c r="AO145" s="8"/>
      <c r="AP145" s="8"/>
      <c r="AQ145" s="8"/>
    </row>
    <row r="146" spans="2:43" ht="15.95" hidden="1" customHeight="1">
      <c r="B146" s="929">
        <v>66</v>
      </c>
      <c r="C146" s="8"/>
      <c r="D146" s="8"/>
      <c r="E146" s="8"/>
      <c r="F146" s="8"/>
      <c r="G146" s="8"/>
      <c r="H146" s="8"/>
      <c r="I146" s="8"/>
      <c r="J146" s="8"/>
      <c r="K146" s="8"/>
      <c r="L146" s="8"/>
      <c r="M146" s="8"/>
      <c r="N146" s="8"/>
      <c r="O146" s="8"/>
      <c r="P146" s="8"/>
      <c r="Q146" s="8"/>
      <c r="R146" s="8"/>
      <c r="S146" s="8"/>
      <c r="T146" s="8"/>
      <c r="U146" s="8"/>
      <c r="V146" s="8"/>
      <c r="W146" s="8"/>
      <c r="X146" s="8"/>
      <c r="Y146" s="8"/>
      <c r="Z146" s="8"/>
      <c r="AA146" s="8"/>
      <c r="AB146" s="8"/>
      <c r="AC146" s="8"/>
      <c r="AD146" s="8"/>
      <c r="AE146" s="8"/>
      <c r="AF146" s="8"/>
      <c r="AG146" s="8"/>
      <c r="AH146" s="8"/>
      <c r="AI146" s="8"/>
      <c r="AJ146" s="8"/>
      <c r="AK146" s="8"/>
      <c r="AL146" s="8"/>
      <c r="AM146" s="8"/>
      <c r="AN146" s="8"/>
      <c r="AO146" s="8"/>
      <c r="AP146" s="8"/>
      <c r="AQ146" s="8"/>
    </row>
    <row r="147" spans="2:43" ht="15.95" hidden="1" customHeight="1">
      <c r="B147" s="929"/>
      <c r="C147" s="8"/>
      <c r="D147" s="8"/>
      <c r="E147" s="8"/>
      <c r="F147" s="8"/>
      <c r="G147" s="8"/>
      <c r="H147" s="8"/>
      <c r="I147" s="8"/>
      <c r="J147" s="8"/>
      <c r="K147" s="8"/>
      <c r="L147" s="8"/>
      <c r="M147" s="8"/>
      <c r="N147" s="8"/>
      <c r="O147" s="8"/>
      <c r="P147" s="8"/>
      <c r="Q147" s="8"/>
      <c r="R147" s="8"/>
      <c r="S147" s="8"/>
      <c r="T147" s="8"/>
      <c r="U147" s="8"/>
      <c r="V147" s="8"/>
      <c r="W147" s="8"/>
      <c r="X147" s="8"/>
      <c r="Y147" s="8"/>
      <c r="Z147" s="8"/>
      <c r="AA147" s="8"/>
      <c r="AB147" s="8"/>
      <c r="AC147" s="8"/>
      <c r="AD147" s="8"/>
      <c r="AE147" s="8"/>
      <c r="AF147" s="8"/>
      <c r="AG147" s="8"/>
      <c r="AH147" s="8"/>
      <c r="AI147" s="8"/>
      <c r="AJ147" s="8"/>
      <c r="AK147" s="8"/>
      <c r="AL147" s="8"/>
      <c r="AM147" s="8"/>
      <c r="AN147" s="8"/>
      <c r="AO147" s="8"/>
      <c r="AP147" s="8"/>
      <c r="AQ147" s="8"/>
    </row>
    <row r="148" spans="2:43" ht="15.95" hidden="1" customHeight="1">
      <c r="B148" s="929">
        <v>67</v>
      </c>
      <c r="C148" s="8"/>
      <c r="D148" s="8"/>
      <c r="E148" s="8"/>
      <c r="F148" s="8"/>
      <c r="G148" s="8"/>
      <c r="H148" s="8"/>
      <c r="I148" s="8"/>
      <c r="J148" s="8"/>
      <c r="K148" s="8"/>
      <c r="L148" s="8"/>
      <c r="M148" s="8"/>
      <c r="N148" s="8"/>
      <c r="O148" s="8"/>
      <c r="P148" s="8"/>
      <c r="Q148" s="8"/>
      <c r="R148" s="8"/>
      <c r="S148" s="8"/>
      <c r="T148" s="8"/>
      <c r="U148" s="8"/>
      <c r="V148" s="8"/>
      <c r="W148" s="8"/>
      <c r="X148" s="8"/>
      <c r="Y148" s="8"/>
      <c r="Z148" s="8"/>
      <c r="AA148" s="8"/>
      <c r="AB148" s="8"/>
      <c r="AC148" s="8"/>
      <c r="AD148" s="8"/>
      <c r="AE148" s="8"/>
      <c r="AF148" s="8"/>
      <c r="AG148" s="8"/>
      <c r="AH148" s="8"/>
      <c r="AI148" s="8"/>
      <c r="AJ148" s="8"/>
      <c r="AK148" s="8"/>
      <c r="AL148" s="8"/>
      <c r="AM148" s="8"/>
      <c r="AN148" s="8"/>
      <c r="AO148" s="8"/>
      <c r="AP148" s="8"/>
      <c r="AQ148" s="8"/>
    </row>
    <row r="149" spans="2:43" ht="15.95" hidden="1" customHeight="1">
      <c r="B149" s="929"/>
      <c r="C149" s="8"/>
      <c r="D149" s="8"/>
      <c r="E149" s="8"/>
      <c r="F149" s="8"/>
      <c r="G149" s="8"/>
      <c r="H149" s="8"/>
      <c r="I149" s="8"/>
      <c r="J149" s="8"/>
      <c r="K149" s="8"/>
      <c r="L149" s="8"/>
      <c r="M149" s="8"/>
      <c r="N149" s="8"/>
      <c r="O149" s="8"/>
      <c r="P149" s="8"/>
      <c r="Q149" s="8"/>
      <c r="R149" s="8"/>
      <c r="S149" s="8"/>
      <c r="T149" s="8"/>
      <c r="U149" s="8"/>
      <c r="V149" s="8"/>
      <c r="W149" s="8"/>
      <c r="X149" s="8"/>
      <c r="Y149" s="8"/>
      <c r="Z149" s="8"/>
      <c r="AA149" s="8"/>
      <c r="AB149" s="8"/>
      <c r="AC149" s="8"/>
      <c r="AD149" s="8"/>
      <c r="AE149" s="8"/>
      <c r="AF149" s="8"/>
      <c r="AG149" s="8"/>
      <c r="AH149" s="8"/>
      <c r="AI149" s="8"/>
      <c r="AJ149" s="8"/>
      <c r="AK149" s="8"/>
      <c r="AL149" s="8"/>
      <c r="AM149" s="8"/>
      <c r="AN149" s="8"/>
      <c r="AO149" s="8"/>
      <c r="AP149" s="8"/>
      <c r="AQ149" s="8"/>
    </row>
    <row r="150" spans="2:43" ht="15.95" hidden="1" customHeight="1">
      <c r="B150" s="929">
        <v>68</v>
      </c>
      <c r="C150" s="8"/>
      <c r="D150" s="8"/>
      <c r="E150" s="8"/>
      <c r="F150" s="8"/>
      <c r="G150" s="8"/>
      <c r="H150" s="8"/>
      <c r="I150" s="8"/>
      <c r="J150" s="8"/>
      <c r="K150" s="8"/>
      <c r="L150" s="8"/>
      <c r="M150" s="8"/>
      <c r="N150" s="8"/>
      <c r="O150" s="8"/>
      <c r="P150" s="8"/>
      <c r="Q150" s="8"/>
      <c r="R150" s="8"/>
      <c r="S150" s="8"/>
      <c r="T150" s="8"/>
      <c r="U150" s="8"/>
      <c r="V150" s="8"/>
      <c r="W150" s="8"/>
      <c r="X150" s="8"/>
      <c r="Y150" s="8"/>
      <c r="Z150" s="8"/>
      <c r="AA150" s="8"/>
      <c r="AB150" s="8"/>
      <c r="AC150" s="8"/>
      <c r="AD150" s="8"/>
      <c r="AE150" s="8"/>
      <c r="AF150" s="8"/>
      <c r="AG150" s="8"/>
      <c r="AH150" s="8"/>
      <c r="AI150" s="8"/>
      <c r="AJ150" s="8"/>
      <c r="AK150" s="8"/>
      <c r="AL150" s="8"/>
      <c r="AM150" s="8"/>
      <c r="AN150" s="8"/>
      <c r="AO150" s="8"/>
      <c r="AP150" s="8"/>
      <c r="AQ150" s="8"/>
    </row>
    <row r="151" spans="2:43" ht="15.95" hidden="1" customHeight="1">
      <c r="B151" s="929"/>
      <c r="C151" s="8"/>
      <c r="D151" s="8"/>
      <c r="E151" s="8"/>
      <c r="F151" s="8"/>
      <c r="G151" s="8"/>
      <c r="H151" s="8"/>
      <c r="I151" s="8"/>
      <c r="J151" s="8"/>
      <c r="K151" s="8"/>
      <c r="L151" s="8"/>
      <c r="M151" s="8"/>
      <c r="N151" s="8"/>
      <c r="O151" s="8"/>
      <c r="P151" s="8"/>
      <c r="Q151" s="8"/>
      <c r="R151" s="8"/>
      <c r="S151" s="8"/>
      <c r="T151" s="8"/>
      <c r="U151" s="8"/>
      <c r="V151" s="8"/>
      <c r="W151" s="8"/>
      <c r="X151" s="8"/>
      <c r="Y151" s="8"/>
      <c r="Z151" s="8"/>
      <c r="AA151" s="8"/>
      <c r="AB151" s="8"/>
      <c r="AC151" s="8"/>
      <c r="AD151" s="8"/>
      <c r="AE151" s="8"/>
      <c r="AF151" s="8"/>
      <c r="AG151" s="8"/>
      <c r="AH151" s="8"/>
      <c r="AI151" s="8"/>
      <c r="AJ151" s="8"/>
      <c r="AK151" s="8"/>
      <c r="AL151" s="8"/>
      <c r="AM151" s="8"/>
      <c r="AN151" s="8"/>
      <c r="AO151" s="8"/>
      <c r="AP151" s="8"/>
      <c r="AQ151" s="8"/>
    </row>
    <row r="152" spans="2:43" ht="15.95" hidden="1" customHeight="1">
      <c r="B152" s="929">
        <v>69</v>
      </c>
      <c r="C152" s="8"/>
      <c r="D152" s="8"/>
      <c r="E152" s="8"/>
      <c r="F152" s="8"/>
      <c r="G152" s="8"/>
      <c r="H152" s="8"/>
      <c r="I152" s="8"/>
      <c r="J152" s="8"/>
      <c r="K152" s="8"/>
      <c r="L152" s="8"/>
      <c r="M152" s="8"/>
      <c r="N152" s="8"/>
      <c r="O152" s="8"/>
      <c r="P152" s="8"/>
      <c r="Q152" s="8"/>
      <c r="R152" s="8"/>
      <c r="S152" s="8"/>
      <c r="T152" s="8"/>
      <c r="U152" s="8"/>
      <c r="V152" s="8"/>
      <c r="W152" s="8"/>
      <c r="X152" s="8"/>
      <c r="Y152" s="8"/>
      <c r="Z152" s="8"/>
      <c r="AA152" s="8"/>
      <c r="AB152" s="8"/>
      <c r="AC152" s="8"/>
      <c r="AD152" s="8"/>
      <c r="AE152" s="8"/>
      <c r="AF152" s="8"/>
      <c r="AG152" s="8"/>
      <c r="AH152" s="8"/>
      <c r="AI152" s="8"/>
      <c r="AJ152" s="8"/>
      <c r="AK152" s="8"/>
      <c r="AL152" s="8"/>
      <c r="AM152" s="8"/>
      <c r="AN152" s="8"/>
      <c r="AO152" s="8"/>
      <c r="AP152" s="8"/>
      <c r="AQ152" s="8"/>
    </row>
    <row r="153" spans="2:43" ht="15.95" hidden="1" customHeight="1">
      <c r="B153" s="929"/>
      <c r="C153" s="8"/>
      <c r="D153" s="8"/>
      <c r="E153" s="8"/>
      <c r="F153" s="8"/>
      <c r="G153" s="8"/>
      <c r="H153" s="8"/>
      <c r="I153" s="8"/>
      <c r="J153" s="8"/>
      <c r="K153" s="8"/>
      <c r="L153" s="8"/>
      <c r="M153" s="8"/>
      <c r="N153" s="8"/>
      <c r="O153" s="8"/>
      <c r="P153" s="8"/>
      <c r="Q153" s="8"/>
      <c r="R153" s="8"/>
      <c r="S153" s="8"/>
      <c r="T153" s="8"/>
      <c r="U153" s="8"/>
      <c r="V153" s="8"/>
      <c r="W153" s="8"/>
      <c r="X153" s="8"/>
      <c r="Y153" s="8"/>
      <c r="Z153" s="8"/>
      <c r="AA153" s="8"/>
      <c r="AB153" s="8"/>
      <c r="AC153" s="8"/>
      <c r="AD153" s="8"/>
      <c r="AE153" s="8"/>
      <c r="AF153" s="8"/>
      <c r="AG153" s="8"/>
      <c r="AH153" s="8"/>
      <c r="AI153" s="8"/>
      <c r="AJ153" s="8"/>
      <c r="AK153" s="8"/>
      <c r="AL153" s="8"/>
      <c r="AM153" s="8"/>
      <c r="AN153" s="8"/>
      <c r="AO153" s="8"/>
      <c r="AP153" s="8"/>
      <c r="AQ153" s="8"/>
    </row>
    <row r="154" spans="2:43" ht="15.95" hidden="1" customHeight="1">
      <c r="B154" s="929">
        <v>70</v>
      </c>
      <c r="C154" s="8"/>
      <c r="D154" s="8"/>
      <c r="E154" s="8"/>
      <c r="F154" s="8"/>
      <c r="G154" s="8"/>
      <c r="H154" s="8"/>
      <c r="I154" s="8"/>
      <c r="J154" s="8"/>
      <c r="K154" s="8"/>
      <c r="L154" s="8"/>
      <c r="M154" s="8"/>
      <c r="N154" s="8"/>
      <c r="O154" s="8"/>
      <c r="P154" s="8"/>
      <c r="Q154" s="8"/>
      <c r="R154" s="8"/>
      <c r="S154" s="8"/>
      <c r="T154" s="8"/>
      <c r="U154" s="8"/>
      <c r="V154" s="8"/>
      <c r="W154" s="8"/>
      <c r="X154" s="8"/>
      <c r="Y154" s="8"/>
      <c r="Z154" s="8"/>
      <c r="AA154" s="8"/>
      <c r="AB154" s="8"/>
      <c r="AC154" s="8"/>
      <c r="AD154" s="8"/>
      <c r="AE154" s="8"/>
      <c r="AF154" s="8"/>
      <c r="AG154" s="8"/>
      <c r="AH154" s="8"/>
      <c r="AI154" s="8"/>
      <c r="AJ154" s="8"/>
      <c r="AK154" s="8"/>
      <c r="AL154" s="8"/>
      <c r="AM154" s="8"/>
      <c r="AN154" s="8"/>
      <c r="AO154" s="8"/>
      <c r="AP154" s="8"/>
      <c r="AQ154" s="8"/>
    </row>
    <row r="155" spans="2:43" ht="15.95" hidden="1" customHeight="1">
      <c r="B155" s="929"/>
      <c r="C155" s="8"/>
      <c r="D155" s="8"/>
      <c r="E155" s="8"/>
      <c r="F155" s="8"/>
      <c r="G155" s="8"/>
      <c r="H155" s="8"/>
      <c r="I155" s="8"/>
      <c r="J155" s="8"/>
      <c r="K155" s="8"/>
      <c r="L155" s="8"/>
      <c r="M155" s="8"/>
      <c r="N155" s="8"/>
      <c r="O155" s="8"/>
      <c r="P155" s="8"/>
      <c r="Q155" s="8"/>
      <c r="R155" s="8"/>
      <c r="S155" s="8"/>
      <c r="T155" s="8"/>
      <c r="U155" s="8"/>
      <c r="V155" s="8"/>
      <c r="W155" s="8"/>
      <c r="X155" s="8"/>
      <c r="Y155" s="8"/>
      <c r="Z155" s="8"/>
      <c r="AA155" s="8"/>
      <c r="AB155" s="8"/>
      <c r="AC155" s="8"/>
      <c r="AD155" s="8"/>
      <c r="AE155" s="8"/>
      <c r="AF155" s="8"/>
      <c r="AG155" s="8"/>
      <c r="AH155" s="8"/>
      <c r="AI155" s="8"/>
      <c r="AJ155" s="8"/>
      <c r="AK155" s="8"/>
      <c r="AL155" s="8"/>
      <c r="AM155" s="8"/>
      <c r="AN155" s="8"/>
      <c r="AO155" s="8"/>
      <c r="AP155" s="8"/>
      <c r="AQ155" s="8"/>
    </row>
    <row r="156" spans="2:43" ht="15.95" hidden="1" customHeight="1">
      <c r="B156" s="929">
        <v>71</v>
      </c>
      <c r="C156" s="8"/>
      <c r="D156" s="8"/>
      <c r="E156" s="8"/>
      <c r="F156" s="8"/>
      <c r="G156" s="8"/>
      <c r="H156" s="8"/>
      <c r="I156" s="8"/>
      <c r="J156" s="8"/>
      <c r="K156" s="8"/>
      <c r="L156" s="8"/>
      <c r="M156" s="8"/>
      <c r="N156" s="8"/>
      <c r="O156" s="8"/>
      <c r="P156" s="8"/>
      <c r="Q156" s="8"/>
      <c r="R156" s="8"/>
      <c r="S156" s="8"/>
      <c r="T156" s="8"/>
      <c r="U156" s="8"/>
      <c r="V156" s="8"/>
      <c r="W156" s="8"/>
      <c r="X156" s="8"/>
      <c r="Y156" s="8"/>
      <c r="Z156" s="8"/>
      <c r="AA156" s="8"/>
      <c r="AB156" s="8"/>
      <c r="AC156" s="8"/>
      <c r="AD156" s="8"/>
      <c r="AE156" s="8"/>
      <c r="AF156" s="8"/>
      <c r="AG156" s="8"/>
      <c r="AH156" s="8"/>
      <c r="AI156" s="8"/>
      <c r="AJ156" s="8"/>
      <c r="AK156" s="8"/>
      <c r="AL156" s="8"/>
      <c r="AM156" s="8"/>
      <c r="AN156" s="8"/>
      <c r="AO156" s="8"/>
      <c r="AP156" s="8"/>
      <c r="AQ156" s="8"/>
    </row>
    <row r="157" spans="2:43" ht="15.95" hidden="1" customHeight="1">
      <c r="B157" s="929"/>
      <c r="C157" s="8"/>
      <c r="D157" s="8"/>
      <c r="E157" s="8"/>
      <c r="F157" s="8"/>
      <c r="G157" s="8"/>
      <c r="H157" s="8"/>
      <c r="I157" s="8"/>
      <c r="J157" s="8"/>
      <c r="K157" s="8"/>
      <c r="L157" s="8"/>
      <c r="M157" s="8"/>
      <c r="N157" s="8"/>
      <c r="O157" s="8"/>
      <c r="P157" s="8"/>
      <c r="Q157" s="8"/>
      <c r="R157" s="8"/>
      <c r="S157" s="8"/>
      <c r="T157" s="8"/>
      <c r="U157" s="8"/>
      <c r="V157" s="8"/>
      <c r="W157" s="8"/>
      <c r="X157" s="8"/>
      <c r="Y157" s="8"/>
      <c r="Z157" s="8"/>
      <c r="AA157" s="8"/>
      <c r="AB157" s="8"/>
      <c r="AC157" s="8"/>
      <c r="AD157" s="8"/>
      <c r="AE157" s="8"/>
      <c r="AF157" s="8"/>
      <c r="AG157" s="8"/>
      <c r="AH157" s="8"/>
      <c r="AI157" s="8"/>
      <c r="AJ157" s="8"/>
      <c r="AK157" s="8"/>
      <c r="AL157" s="8"/>
      <c r="AM157" s="8"/>
      <c r="AN157" s="8"/>
      <c r="AO157" s="8"/>
      <c r="AP157" s="8"/>
      <c r="AQ157" s="8"/>
    </row>
    <row r="158" spans="2:43" ht="15.95" hidden="1" customHeight="1">
      <c r="B158" s="929">
        <v>72</v>
      </c>
      <c r="C158" s="8"/>
      <c r="D158" s="8"/>
      <c r="E158" s="8"/>
      <c r="F158" s="8"/>
      <c r="G158" s="8"/>
      <c r="H158" s="8"/>
      <c r="I158" s="8"/>
      <c r="J158" s="8"/>
      <c r="K158" s="8"/>
      <c r="L158" s="8"/>
      <c r="M158" s="8"/>
      <c r="N158" s="8"/>
      <c r="O158" s="8"/>
      <c r="P158" s="8"/>
      <c r="Q158" s="8"/>
      <c r="R158" s="8"/>
      <c r="S158" s="8"/>
      <c r="T158" s="8"/>
      <c r="U158" s="8"/>
      <c r="V158" s="8"/>
      <c r="W158" s="8"/>
      <c r="X158" s="8"/>
      <c r="Y158" s="8"/>
      <c r="Z158" s="8"/>
      <c r="AA158" s="8"/>
      <c r="AB158" s="8"/>
      <c r="AC158" s="8"/>
      <c r="AD158" s="8"/>
      <c r="AE158" s="8"/>
      <c r="AF158" s="8"/>
      <c r="AG158" s="8"/>
      <c r="AH158" s="8"/>
      <c r="AI158" s="8"/>
      <c r="AJ158" s="8"/>
      <c r="AK158" s="8"/>
      <c r="AL158" s="8"/>
      <c r="AM158" s="8"/>
      <c r="AN158" s="8"/>
      <c r="AO158" s="8"/>
      <c r="AP158" s="8"/>
      <c r="AQ158" s="8"/>
    </row>
    <row r="159" spans="2:43" ht="15.95" hidden="1" customHeight="1">
      <c r="B159" s="929"/>
      <c r="C159" s="8"/>
      <c r="D159" s="8"/>
      <c r="E159" s="8"/>
      <c r="F159" s="8"/>
      <c r="G159" s="8"/>
      <c r="H159" s="8"/>
      <c r="I159" s="8"/>
      <c r="J159" s="8"/>
      <c r="K159" s="8"/>
      <c r="L159" s="8"/>
      <c r="M159" s="8"/>
      <c r="N159" s="8"/>
      <c r="O159" s="8"/>
      <c r="P159" s="8"/>
      <c r="Q159" s="8"/>
      <c r="R159" s="8"/>
      <c r="S159" s="8"/>
      <c r="T159" s="8"/>
      <c r="U159" s="8"/>
      <c r="V159" s="8"/>
      <c r="W159" s="8"/>
      <c r="X159" s="8"/>
      <c r="Y159" s="8"/>
      <c r="Z159" s="8"/>
      <c r="AA159" s="8"/>
      <c r="AB159" s="8"/>
      <c r="AC159" s="8"/>
      <c r="AD159" s="8"/>
      <c r="AE159" s="8"/>
      <c r="AF159" s="8"/>
      <c r="AG159" s="8"/>
      <c r="AH159" s="8"/>
      <c r="AI159" s="8"/>
      <c r="AJ159" s="8"/>
      <c r="AK159" s="8"/>
      <c r="AL159" s="8"/>
      <c r="AM159" s="8"/>
      <c r="AN159" s="8"/>
      <c r="AO159" s="8"/>
      <c r="AP159" s="8"/>
      <c r="AQ159" s="8"/>
    </row>
    <row r="160" spans="2:43" ht="15.95" hidden="1" customHeight="1">
      <c r="B160" s="929">
        <v>73</v>
      </c>
      <c r="C160" s="8"/>
      <c r="D160" s="8"/>
      <c r="E160" s="8"/>
      <c r="F160" s="8"/>
      <c r="G160" s="8"/>
      <c r="H160" s="8"/>
      <c r="I160" s="8"/>
      <c r="J160" s="8"/>
      <c r="K160" s="8"/>
      <c r="L160" s="8"/>
      <c r="M160" s="8"/>
      <c r="N160" s="8"/>
      <c r="O160" s="8"/>
      <c r="P160" s="8"/>
      <c r="Q160" s="8"/>
      <c r="R160" s="8"/>
      <c r="S160" s="8"/>
      <c r="T160" s="8"/>
      <c r="U160" s="8"/>
      <c r="V160" s="8"/>
      <c r="W160" s="8"/>
      <c r="X160" s="8"/>
      <c r="Y160" s="8"/>
      <c r="Z160" s="8"/>
      <c r="AA160" s="8"/>
      <c r="AB160" s="8"/>
      <c r="AC160" s="8"/>
      <c r="AD160" s="8"/>
      <c r="AE160" s="8"/>
      <c r="AF160" s="8"/>
      <c r="AG160" s="8"/>
      <c r="AH160" s="8"/>
      <c r="AI160" s="8"/>
      <c r="AJ160" s="8"/>
      <c r="AK160" s="8"/>
      <c r="AL160" s="8"/>
      <c r="AM160" s="8"/>
      <c r="AN160" s="8"/>
      <c r="AO160" s="8"/>
      <c r="AP160" s="8"/>
      <c r="AQ160" s="8"/>
    </row>
    <row r="161" spans="2:43" ht="15.95" hidden="1" customHeight="1">
      <c r="B161" s="929"/>
      <c r="C161" s="8"/>
      <c r="D161" s="8"/>
      <c r="E161" s="8"/>
      <c r="F161" s="8"/>
      <c r="G161" s="8"/>
      <c r="H161" s="8"/>
      <c r="I161" s="8"/>
      <c r="J161" s="8"/>
      <c r="K161" s="8"/>
      <c r="L161" s="8"/>
      <c r="M161" s="8"/>
      <c r="N161" s="8"/>
      <c r="O161" s="8"/>
      <c r="P161" s="8"/>
      <c r="Q161" s="8"/>
      <c r="R161" s="8"/>
      <c r="S161" s="8"/>
      <c r="T161" s="8"/>
      <c r="U161" s="8"/>
      <c r="V161" s="8"/>
      <c r="W161" s="8"/>
      <c r="X161" s="8"/>
      <c r="Y161" s="8"/>
      <c r="Z161" s="8"/>
      <c r="AA161" s="8"/>
      <c r="AB161" s="8"/>
      <c r="AC161" s="8"/>
      <c r="AD161" s="8"/>
      <c r="AE161" s="8"/>
      <c r="AF161" s="8"/>
      <c r="AG161" s="8"/>
      <c r="AH161" s="8"/>
      <c r="AI161" s="8"/>
      <c r="AJ161" s="8"/>
      <c r="AK161" s="8"/>
      <c r="AL161" s="8"/>
      <c r="AM161" s="8"/>
      <c r="AN161" s="8"/>
      <c r="AO161" s="8"/>
      <c r="AP161" s="8"/>
      <c r="AQ161" s="8"/>
    </row>
    <row r="162" spans="2:43" ht="15.95" hidden="1" customHeight="1">
      <c r="B162" s="929">
        <v>74</v>
      </c>
      <c r="C162" s="8"/>
      <c r="D162" s="8"/>
      <c r="E162" s="8"/>
      <c r="F162" s="8"/>
      <c r="G162" s="8"/>
      <c r="H162" s="8"/>
      <c r="I162" s="8"/>
      <c r="J162" s="8"/>
      <c r="K162" s="8"/>
      <c r="L162" s="8"/>
      <c r="M162" s="8"/>
      <c r="N162" s="8"/>
      <c r="O162" s="8"/>
      <c r="P162" s="8"/>
      <c r="Q162" s="8"/>
      <c r="R162" s="8"/>
      <c r="S162" s="8"/>
      <c r="T162" s="8"/>
      <c r="U162" s="8"/>
      <c r="V162" s="8"/>
      <c r="W162" s="8"/>
      <c r="X162" s="8"/>
      <c r="Y162" s="8"/>
      <c r="Z162" s="8"/>
      <c r="AA162" s="8"/>
      <c r="AB162" s="8"/>
      <c r="AC162" s="8"/>
      <c r="AD162" s="8"/>
      <c r="AE162" s="8"/>
      <c r="AF162" s="8"/>
      <c r="AG162" s="8"/>
      <c r="AH162" s="8"/>
      <c r="AI162" s="8"/>
      <c r="AJ162" s="8"/>
      <c r="AK162" s="8"/>
      <c r="AL162" s="8"/>
      <c r="AM162" s="8"/>
      <c r="AN162" s="8"/>
      <c r="AO162" s="8"/>
      <c r="AP162" s="8"/>
      <c r="AQ162" s="8"/>
    </row>
    <row r="163" spans="2:43" ht="15.95" hidden="1" customHeight="1">
      <c r="B163" s="929"/>
      <c r="C163" s="8"/>
      <c r="D163" s="8"/>
      <c r="E163" s="8"/>
      <c r="F163" s="8"/>
      <c r="G163" s="8"/>
      <c r="H163" s="8"/>
      <c r="I163" s="8"/>
      <c r="J163" s="8"/>
      <c r="K163" s="8"/>
      <c r="L163" s="8"/>
      <c r="M163" s="8"/>
      <c r="N163" s="8"/>
      <c r="O163" s="8"/>
      <c r="P163" s="8"/>
      <c r="Q163" s="8"/>
      <c r="R163" s="8"/>
      <c r="S163" s="8"/>
      <c r="T163" s="8"/>
      <c r="U163" s="8"/>
      <c r="V163" s="8"/>
      <c r="W163" s="8"/>
      <c r="X163" s="8"/>
      <c r="Y163" s="8"/>
      <c r="Z163" s="8"/>
      <c r="AA163" s="8"/>
      <c r="AB163" s="8"/>
      <c r="AC163" s="8"/>
      <c r="AD163" s="8"/>
      <c r="AE163" s="8"/>
      <c r="AF163" s="8"/>
      <c r="AG163" s="8"/>
      <c r="AH163" s="8"/>
      <c r="AI163" s="8"/>
      <c r="AJ163" s="8"/>
      <c r="AK163" s="8"/>
      <c r="AL163" s="8"/>
      <c r="AM163" s="8"/>
      <c r="AN163" s="8"/>
      <c r="AO163" s="8"/>
      <c r="AP163" s="8"/>
      <c r="AQ163" s="8"/>
    </row>
    <row r="164" spans="2:43" ht="15.95" hidden="1" customHeight="1">
      <c r="B164" s="929">
        <v>75</v>
      </c>
      <c r="C164" s="8"/>
      <c r="D164" s="8"/>
      <c r="E164" s="8"/>
      <c r="F164" s="8"/>
      <c r="G164" s="8"/>
      <c r="H164" s="8"/>
      <c r="I164" s="8"/>
      <c r="J164" s="8"/>
      <c r="K164" s="8"/>
      <c r="L164" s="8"/>
      <c r="M164" s="8"/>
      <c r="N164" s="8"/>
      <c r="O164" s="8"/>
      <c r="P164" s="8"/>
      <c r="Q164" s="8"/>
      <c r="R164" s="8"/>
      <c r="S164" s="8"/>
      <c r="T164" s="8"/>
      <c r="U164" s="8"/>
      <c r="V164" s="8"/>
      <c r="W164" s="8"/>
      <c r="X164" s="8"/>
      <c r="Y164" s="8"/>
      <c r="Z164" s="8"/>
      <c r="AA164" s="8"/>
      <c r="AB164" s="8"/>
      <c r="AC164" s="8"/>
      <c r="AD164" s="8"/>
      <c r="AE164" s="8"/>
      <c r="AF164" s="8"/>
      <c r="AG164" s="8"/>
      <c r="AH164" s="8"/>
      <c r="AI164" s="8"/>
      <c r="AJ164" s="8"/>
      <c r="AK164" s="8"/>
      <c r="AL164" s="8"/>
      <c r="AM164" s="8"/>
      <c r="AN164" s="8"/>
      <c r="AO164" s="8"/>
      <c r="AP164" s="8"/>
      <c r="AQ164" s="8"/>
    </row>
    <row r="165" spans="2:43" ht="15.95" hidden="1" customHeight="1">
      <c r="B165" s="929"/>
      <c r="C165" s="8"/>
      <c r="D165" s="8"/>
      <c r="E165" s="8"/>
      <c r="F165" s="8"/>
      <c r="G165" s="8"/>
      <c r="H165" s="8"/>
      <c r="I165" s="8"/>
      <c r="J165" s="8"/>
      <c r="K165" s="8"/>
      <c r="L165" s="8"/>
      <c r="M165" s="8"/>
      <c r="N165" s="8"/>
      <c r="O165" s="8"/>
      <c r="P165" s="8"/>
      <c r="Q165" s="8"/>
      <c r="R165" s="8"/>
      <c r="S165" s="8"/>
      <c r="T165" s="8"/>
      <c r="U165" s="8"/>
      <c r="V165" s="8"/>
      <c r="W165" s="8"/>
      <c r="X165" s="8"/>
      <c r="Y165" s="8"/>
      <c r="Z165" s="8"/>
      <c r="AA165" s="8"/>
      <c r="AB165" s="8"/>
      <c r="AC165" s="8"/>
      <c r="AD165" s="8"/>
      <c r="AE165" s="8"/>
      <c r="AF165" s="8"/>
      <c r="AG165" s="8"/>
      <c r="AH165" s="8"/>
      <c r="AI165" s="8"/>
      <c r="AJ165" s="8"/>
      <c r="AK165" s="8"/>
      <c r="AL165" s="8"/>
      <c r="AM165" s="8"/>
      <c r="AN165" s="8"/>
      <c r="AO165" s="8"/>
      <c r="AP165" s="8"/>
      <c r="AQ165" s="8"/>
    </row>
    <row r="166" spans="2:43" ht="15.95" hidden="1" customHeight="1">
      <c r="B166" s="929">
        <v>76</v>
      </c>
      <c r="C166" s="8"/>
      <c r="D166" s="8"/>
      <c r="E166" s="8"/>
      <c r="F166" s="8"/>
      <c r="G166" s="8"/>
      <c r="H166" s="8"/>
      <c r="I166" s="8"/>
      <c r="J166" s="8"/>
      <c r="K166" s="8"/>
      <c r="L166" s="8"/>
      <c r="M166" s="8"/>
      <c r="N166" s="8"/>
      <c r="O166" s="8"/>
      <c r="P166" s="8"/>
      <c r="Q166" s="8"/>
      <c r="R166" s="8"/>
      <c r="S166" s="8"/>
      <c r="T166" s="8"/>
      <c r="U166" s="8"/>
      <c r="V166" s="8"/>
      <c r="W166" s="8"/>
      <c r="X166" s="8"/>
      <c r="Y166" s="8"/>
      <c r="Z166" s="8"/>
      <c r="AA166" s="8"/>
      <c r="AB166" s="8"/>
      <c r="AC166" s="8"/>
      <c r="AD166" s="8"/>
      <c r="AE166" s="8"/>
      <c r="AF166" s="8"/>
      <c r="AG166" s="8"/>
      <c r="AH166" s="8"/>
      <c r="AI166" s="8"/>
      <c r="AJ166" s="8"/>
      <c r="AK166" s="8"/>
      <c r="AL166" s="8"/>
      <c r="AM166" s="8"/>
      <c r="AN166" s="8"/>
      <c r="AO166" s="8"/>
      <c r="AP166" s="8"/>
      <c r="AQ166" s="8"/>
    </row>
    <row r="167" spans="2:43" ht="15.95" hidden="1" customHeight="1">
      <c r="B167" s="929"/>
      <c r="C167" s="8"/>
      <c r="D167" s="8"/>
      <c r="E167" s="8"/>
      <c r="F167" s="8"/>
      <c r="G167" s="8"/>
      <c r="H167" s="8"/>
      <c r="I167" s="8"/>
      <c r="J167" s="8"/>
      <c r="K167" s="8"/>
      <c r="L167" s="8"/>
      <c r="M167" s="8"/>
      <c r="N167" s="8"/>
      <c r="O167" s="8"/>
      <c r="P167" s="8"/>
      <c r="Q167" s="8"/>
      <c r="R167" s="8"/>
      <c r="S167" s="8"/>
      <c r="T167" s="8"/>
      <c r="U167" s="8"/>
      <c r="V167" s="8"/>
      <c r="W167" s="8"/>
      <c r="X167" s="8"/>
      <c r="Y167" s="8"/>
      <c r="Z167" s="8"/>
      <c r="AA167" s="8"/>
      <c r="AB167" s="8"/>
      <c r="AC167" s="8"/>
      <c r="AD167" s="8"/>
      <c r="AE167" s="8"/>
      <c r="AF167" s="8"/>
      <c r="AG167" s="8"/>
      <c r="AH167" s="8"/>
      <c r="AI167" s="8"/>
      <c r="AJ167" s="8"/>
      <c r="AK167" s="8"/>
      <c r="AL167" s="8"/>
      <c r="AM167" s="8"/>
      <c r="AN167" s="8"/>
      <c r="AO167" s="8"/>
      <c r="AP167" s="8"/>
      <c r="AQ167" s="8"/>
    </row>
    <row r="168" spans="2:43" ht="15.95" hidden="1" customHeight="1">
      <c r="B168" s="929">
        <v>77</v>
      </c>
      <c r="C168" s="8"/>
      <c r="D168" s="8"/>
      <c r="E168" s="8"/>
      <c r="F168" s="8"/>
      <c r="G168" s="8"/>
      <c r="H168" s="8"/>
      <c r="I168" s="8"/>
      <c r="J168" s="8"/>
      <c r="K168" s="8"/>
      <c r="L168" s="8"/>
      <c r="M168" s="8"/>
      <c r="N168" s="8"/>
      <c r="O168" s="8"/>
      <c r="P168" s="8"/>
      <c r="Q168" s="8"/>
      <c r="R168" s="8"/>
      <c r="S168" s="8"/>
      <c r="T168" s="8"/>
      <c r="U168" s="8"/>
      <c r="V168" s="8"/>
      <c r="W168" s="8"/>
      <c r="X168" s="8"/>
      <c r="Y168" s="8"/>
      <c r="Z168" s="8"/>
      <c r="AA168" s="8"/>
      <c r="AB168" s="8"/>
      <c r="AC168" s="8"/>
      <c r="AD168" s="8"/>
      <c r="AE168" s="8"/>
      <c r="AF168" s="8"/>
      <c r="AG168" s="8"/>
      <c r="AH168" s="8"/>
      <c r="AI168" s="8"/>
      <c r="AJ168" s="8"/>
      <c r="AK168" s="8"/>
      <c r="AL168" s="8"/>
      <c r="AM168" s="8"/>
      <c r="AN168" s="8"/>
      <c r="AO168" s="8"/>
      <c r="AP168" s="8"/>
      <c r="AQ168" s="8"/>
    </row>
    <row r="169" spans="2:43" ht="15.95" hidden="1" customHeight="1">
      <c r="B169" s="929"/>
      <c r="C169" s="8"/>
      <c r="D169" s="8"/>
      <c r="E169" s="8"/>
      <c r="F169" s="8"/>
      <c r="G169" s="8"/>
      <c r="H169" s="8"/>
      <c r="I169" s="8"/>
      <c r="J169" s="8"/>
      <c r="K169" s="8"/>
      <c r="L169" s="8"/>
      <c r="M169" s="8"/>
      <c r="N169" s="8"/>
      <c r="O169" s="8"/>
      <c r="P169" s="8"/>
      <c r="Q169" s="8"/>
      <c r="R169" s="8"/>
      <c r="S169" s="8"/>
      <c r="T169" s="8"/>
      <c r="U169" s="8"/>
      <c r="V169" s="8"/>
      <c r="W169" s="8"/>
      <c r="X169" s="8"/>
      <c r="Y169" s="8"/>
      <c r="Z169" s="8"/>
      <c r="AA169" s="8"/>
      <c r="AB169" s="8"/>
      <c r="AC169" s="8"/>
      <c r="AD169" s="8"/>
      <c r="AE169" s="8"/>
      <c r="AF169" s="8"/>
      <c r="AG169" s="8"/>
      <c r="AH169" s="8"/>
      <c r="AI169" s="8"/>
      <c r="AJ169" s="8"/>
      <c r="AK169" s="8"/>
      <c r="AL169" s="8"/>
      <c r="AM169" s="8"/>
      <c r="AN169" s="8"/>
      <c r="AO169" s="8"/>
      <c r="AP169" s="8"/>
      <c r="AQ169" s="8"/>
    </row>
    <row r="170" spans="2:43" ht="15.95" hidden="1" customHeight="1">
      <c r="B170" s="929">
        <v>78</v>
      </c>
      <c r="C170" s="8"/>
      <c r="D170" s="8"/>
      <c r="E170" s="8"/>
      <c r="F170" s="8"/>
      <c r="G170" s="8"/>
      <c r="H170" s="8"/>
      <c r="I170" s="8"/>
      <c r="J170" s="8"/>
      <c r="K170" s="8"/>
      <c r="L170" s="8"/>
      <c r="M170" s="8"/>
      <c r="N170" s="8"/>
      <c r="O170" s="8"/>
      <c r="P170" s="8"/>
      <c r="Q170" s="8"/>
      <c r="R170" s="8"/>
      <c r="S170" s="8"/>
      <c r="T170" s="8"/>
      <c r="U170" s="8"/>
      <c r="V170" s="8"/>
      <c r="W170" s="8"/>
      <c r="X170" s="8"/>
      <c r="Y170" s="8"/>
      <c r="Z170" s="8"/>
      <c r="AA170" s="8"/>
      <c r="AB170" s="8"/>
      <c r="AC170" s="8"/>
      <c r="AD170" s="8"/>
      <c r="AE170" s="8"/>
      <c r="AF170" s="8"/>
      <c r="AG170" s="8"/>
      <c r="AH170" s="8"/>
      <c r="AI170" s="8"/>
      <c r="AJ170" s="8"/>
      <c r="AK170" s="8"/>
      <c r="AL170" s="8"/>
      <c r="AM170" s="8"/>
      <c r="AN170" s="8"/>
      <c r="AO170" s="8"/>
      <c r="AP170" s="8"/>
      <c r="AQ170" s="8"/>
    </row>
    <row r="171" spans="2:43" ht="15.95" hidden="1" customHeight="1">
      <c r="B171" s="929"/>
      <c r="C171" s="8"/>
      <c r="D171" s="8"/>
      <c r="E171" s="8"/>
      <c r="F171" s="8"/>
      <c r="G171" s="8"/>
      <c r="H171" s="8"/>
      <c r="I171" s="8"/>
      <c r="J171" s="8"/>
      <c r="K171" s="8"/>
      <c r="L171" s="8"/>
      <c r="M171" s="8"/>
      <c r="N171" s="8"/>
      <c r="O171" s="8"/>
      <c r="P171" s="8"/>
      <c r="Q171" s="8"/>
      <c r="R171" s="8"/>
      <c r="S171" s="8"/>
      <c r="T171" s="8"/>
      <c r="U171" s="8"/>
      <c r="V171" s="8"/>
      <c r="W171" s="8"/>
      <c r="X171" s="8"/>
      <c r="Y171" s="8"/>
      <c r="Z171" s="8"/>
      <c r="AA171" s="8"/>
      <c r="AB171" s="8"/>
      <c r="AC171" s="8"/>
      <c r="AD171" s="8"/>
      <c r="AE171" s="8"/>
      <c r="AF171" s="8"/>
      <c r="AG171" s="8"/>
      <c r="AH171" s="8"/>
      <c r="AI171" s="8"/>
      <c r="AJ171" s="8"/>
      <c r="AK171" s="8"/>
      <c r="AL171" s="8"/>
      <c r="AM171" s="8"/>
      <c r="AN171" s="8"/>
      <c r="AO171" s="8"/>
      <c r="AP171" s="8"/>
      <c r="AQ171" s="8"/>
    </row>
    <row r="172" spans="2:43" ht="15.95" hidden="1" customHeight="1">
      <c r="B172" s="929">
        <v>79</v>
      </c>
      <c r="C172" s="8"/>
      <c r="D172" s="8"/>
      <c r="E172" s="8"/>
      <c r="F172" s="8"/>
      <c r="G172" s="8"/>
      <c r="H172" s="8"/>
      <c r="I172" s="8"/>
      <c r="J172" s="8"/>
      <c r="K172" s="8"/>
      <c r="L172" s="8"/>
      <c r="M172" s="8"/>
      <c r="N172" s="8"/>
      <c r="O172" s="8"/>
      <c r="P172" s="8"/>
      <c r="Q172" s="8"/>
      <c r="R172" s="8"/>
      <c r="S172" s="8"/>
      <c r="T172" s="8"/>
      <c r="U172" s="8"/>
      <c r="V172" s="8"/>
      <c r="W172" s="8"/>
      <c r="X172" s="8"/>
      <c r="Y172" s="8"/>
      <c r="Z172" s="8"/>
      <c r="AA172" s="8"/>
      <c r="AB172" s="8"/>
      <c r="AC172" s="8"/>
      <c r="AD172" s="8"/>
      <c r="AE172" s="8"/>
      <c r="AF172" s="8"/>
      <c r="AG172" s="8"/>
      <c r="AH172" s="8"/>
      <c r="AI172" s="8"/>
      <c r="AJ172" s="8"/>
      <c r="AK172" s="8"/>
      <c r="AL172" s="8"/>
      <c r="AM172" s="8"/>
      <c r="AN172" s="8"/>
      <c r="AO172" s="8"/>
      <c r="AP172" s="8"/>
      <c r="AQ172" s="8"/>
    </row>
    <row r="173" spans="2:43" ht="15.95" hidden="1" customHeight="1">
      <c r="B173" s="929"/>
      <c r="C173" s="8"/>
      <c r="D173" s="8"/>
      <c r="E173" s="8"/>
      <c r="F173" s="8"/>
      <c r="G173" s="8"/>
      <c r="H173" s="8"/>
      <c r="I173" s="8"/>
      <c r="J173" s="8"/>
      <c r="K173" s="8"/>
      <c r="L173" s="8"/>
      <c r="M173" s="8"/>
      <c r="N173" s="8"/>
      <c r="O173" s="8"/>
      <c r="P173" s="8"/>
      <c r="Q173" s="8"/>
      <c r="R173" s="8"/>
      <c r="S173" s="8"/>
      <c r="T173" s="8"/>
      <c r="U173" s="8"/>
      <c r="V173" s="8"/>
      <c r="W173" s="8"/>
      <c r="X173" s="8"/>
      <c r="Y173" s="8"/>
      <c r="Z173" s="8"/>
      <c r="AA173" s="8"/>
      <c r="AB173" s="8"/>
      <c r="AC173" s="8"/>
      <c r="AD173" s="8"/>
      <c r="AE173" s="8"/>
      <c r="AF173" s="8"/>
      <c r="AG173" s="8"/>
      <c r="AH173" s="8"/>
      <c r="AI173" s="8"/>
      <c r="AJ173" s="8"/>
      <c r="AK173" s="8"/>
      <c r="AL173" s="8"/>
      <c r="AM173" s="8"/>
      <c r="AN173" s="8"/>
      <c r="AO173" s="8"/>
      <c r="AP173" s="8"/>
      <c r="AQ173" s="8"/>
    </row>
    <row r="174" spans="2:43" ht="15.95" hidden="1" customHeight="1">
      <c r="B174" s="929">
        <v>80</v>
      </c>
      <c r="C174" s="8"/>
      <c r="D174" s="8"/>
      <c r="E174" s="8"/>
      <c r="F174" s="8"/>
      <c r="G174" s="8"/>
      <c r="H174" s="8"/>
      <c r="I174" s="8"/>
      <c r="J174" s="8"/>
      <c r="K174" s="8"/>
      <c r="L174" s="8"/>
      <c r="M174" s="8"/>
      <c r="N174" s="8"/>
      <c r="O174" s="8"/>
      <c r="P174" s="8"/>
      <c r="Q174" s="8"/>
      <c r="R174" s="8"/>
      <c r="S174" s="8"/>
      <c r="T174" s="8"/>
      <c r="U174" s="8"/>
      <c r="V174" s="8"/>
      <c r="W174" s="8"/>
      <c r="X174" s="8"/>
      <c r="Y174" s="8"/>
      <c r="Z174" s="8"/>
      <c r="AA174" s="8"/>
      <c r="AB174" s="8"/>
      <c r="AC174" s="8"/>
      <c r="AD174" s="8"/>
      <c r="AE174" s="8"/>
      <c r="AF174" s="8"/>
      <c r="AG174" s="8"/>
      <c r="AH174" s="8"/>
      <c r="AI174" s="8"/>
      <c r="AJ174" s="8"/>
      <c r="AK174" s="8"/>
      <c r="AL174" s="8"/>
      <c r="AM174" s="8"/>
      <c r="AN174" s="8"/>
      <c r="AO174" s="8"/>
      <c r="AP174" s="8"/>
      <c r="AQ174" s="8"/>
    </row>
    <row r="175" spans="2:43" ht="15.95" hidden="1" customHeight="1">
      <c r="B175" s="929"/>
      <c r="C175" s="8"/>
      <c r="D175" s="8"/>
      <c r="E175" s="8"/>
      <c r="F175" s="8"/>
      <c r="G175" s="8"/>
      <c r="H175" s="8"/>
      <c r="I175" s="8"/>
      <c r="J175" s="8"/>
      <c r="K175" s="8"/>
      <c r="L175" s="8"/>
      <c r="M175" s="8"/>
      <c r="N175" s="8"/>
      <c r="O175" s="8"/>
      <c r="P175" s="8"/>
      <c r="Q175" s="8"/>
      <c r="R175" s="8"/>
      <c r="S175" s="8"/>
      <c r="T175" s="8"/>
      <c r="U175" s="8"/>
      <c r="V175" s="8"/>
      <c r="W175" s="8"/>
      <c r="X175" s="8"/>
      <c r="Y175" s="8"/>
      <c r="Z175" s="8"/>
      <c r="AA175" s="8"/>
      <c r="AB175" s="8"/>
      <c r="AC175" s="8"/>
      <c r="AD175" s="8"/>
      <c r="AE175" s="8"/>
      <c r="AF175" s="8"/>
      <c r="AG175" s="8"/>
      <c r="AH175" s="8"/>
      <c r="AI175" s="8"/>
      <c r="AJ175" s="8"/>
      <c r="AK175" s="8"/>
      <c r="AL175" s="8"/>
      <c r="AM175" s="8"/>
      <c r="AN175" s="8"/>
      <c r="AO175" s="8"/>
      <c r="AP175" s="8"/>
      <c r="AQ175" s="8"/>
    </row>
    <row r="176" spans="2:43" ht="15.95" hidden="1" customHeight="1">
      <c r="B176" s="929">
        <v>81</v>
      </c>
      <c r="C176" s="8"/>
      <c r="D176" s="8"/>
      <c r="E176" s="8"/>
      <c r="F176" s="8"/>
      <c r="G176" s="8"/>
      <c r="H176" s="8"/>
      <c r="I176" s="8"/>
      <c r="J176" s="8"/>
      <c r="K176" s="8"/>
      <c r="L176" s="8"/>
      <c r="M176" s="8"/>
      <c r="N176" s="8"/>
      <c r="O176" s="8"/>
      <c r="P176" s="8"/>
      <c r="Q176" s="8"/>
      <c r="R176" s="8"/>
      <c r="S176" s="8"/>
      <c r="T176" s="8"/>
      <c r="U176" s="8"/>
      <c r="V176" s="8"/>
      <c r="W176" s="8"/>
      <c r="X176" s="8"/>
      <c r="Y176" s="8"/>
      <c r="Z176" s="8"/>
      <c r="AA176" s="8"/>
      <c r="AB176" s="8"/>
      <c r="AC176" s="8"/>
      <c r="AD176" s="8"/>
      <c r="AE176" s="8"/>
      <c r="AF176" s="8"/>
      <c r="AG176" s="8"/>
      <c r="AH176" s="8"/>
      <c r="AI176" s="8"/>
      <c r="AJ176" s="8"/>
      <c r="AK176" s="8"/>
      <c r="AL176" s="8"/>
      <c r="AM176" s="8"/>
      <c r="AN176" s="8"/>
      <c r="AO176" s="8"/>
      <c r="AP176" s="8"/>
      <c r="AQ176" s="8"/>
    </row>
    <row r="177" spans="2:43" ht="15.95" hidden="1" customHeight="1">
      <c r="B177" s="929"/>
      <c r="C177" s="8"/>
      <c r="D177" s="8"/>
      <c r="E177" s="8"/>
      <c r="F177" s="8"/>
      <c r="G177" s="8"/>
      <c r="H177" s="8"/>
      <c r="I177" s="8"/>
      <c r="J177" s="8"/>
      <c r="K177" s="8"/>
      <c r="L177" s="8"/>
      <c r="M177" s="8"/>
      <c r="N177" s="8"/>
      <c r="O177" s="8"/>
      <c r="P177" s="8"/>
      <c r="Q177" s="8"/>
      <c r="R177" s="8"/>
      <c r="S177" s="8"/>
      <c r="T177" s="8"/>
      <c r="U177" s="8"/>
      <c r="V177" s="8"/>
      <c r="W177" s="8"/>
      <c r="X177" s="8"/>
      <c r="Y177" s="8"/>
      <c r="Z177" s="8"/>
      <c r="AA177" s="8"/>
      <c r="AB177" s="8"/>
      <c r="AC177" s="8"/>
      <c r="AD177" s="8"/>
      <c r="AE177" s="8"/>
      <c r="AF177" s="8"/>
      <c r="AG177" s="8"/>
      <c r="AH177" s="8"/>
      <c r="AI177" s="8"/>
      <c r="AJ177" s="8"/>
      <c r="AK177" s="8"/>
      <c r="AL177" s="8"/>
      <c r="AM177" s="8"/>
      <c r="AN177" s="8"/>
      <c r="AO177" s="8"/>
      <c r="AP177" s="8"/>
      <c r="AQ177" s="8"/>
    </row>
    <row r="178" spans="2:43" ht="15.95" hidden="1" customHeight="1">
      <c r="B178" s="929">
        <v>82</v>
      </c>
      <c r="C178" s="8"/>
      <c r="D178" s="8"/>
      <c r="E178" s="8"/>
      <c r="F178" s="8"/>
      <c r="G178" s="8"/>
      <c r="H178" s="8"/>
      <c r="I178" s="8"/>
      <c r="J178" s="8"/>
      <c r="K178" s="8"/>
      <c r="L178" s="8"/>
      <c r="M178" s="8"/>
      <c r="N178" s="8"/>
      <c r="O178" s="8"/>
      <c r="P178" s="8"/>
      <c r="Q178" s="8"/>
      <c r="R178" s="8"/>
      <c r="S178" s="8"/>
      <c r="T178" s="8"/>
      <c r="U178" s="8"/>
      <c r="V178" s="8"/>
      <c r="W178" s="8"/>
      <c r="X178" s="8"/>
      <c r="Y178" s="8"/>
      <c r="Z178" s="8"/>
      <c r="AA178" s="8"/>
      <c r="AB178" s="8"/>
      <c r="AC178" s="8"/>
      <c r="AD178" s="8"/>
      <c r="AE178" s="8"/>
      <c r="AF178" s="8"/>
      <c r="AG178" s="8"/>
      <c r="AH178" s="8"/>
      <c r="AI178" s="8"/>
      <c r="AJ178" s="8"/>
      <c r="AK178" s="8"/>
      <c r="AL178" s="8"/>
      <c r="AM178" s="8"/>
      <c r="AN178" s="8"/>
      <c r="AO178" s="8"/>
      <c r="AP178" s="8"/>
      <c r="AQ178" s="8"/>
    </row>
    <row r="179" spans="2:43" ht="15.95" hidden="1" customHeight="1">
      <c r="B179" s="929"/>
      <c r="C179" s="8"/>
      <c r="D179" s="8"/>
      <c r="E179" s="8"/>
      <c r="F179" s="8"/>
      <c r="G179" s="8"/>
      <c r="H179" s="8"/>
      <c r="I179" s="8"/>
      <c r="J179" s="8"/>
      <c r="K179" s="8"/>
      <c r="L179" s="8"/>
      <c r="M179" s="8"/>
      <c r="N179" s="8"/>
      <c r="O179" s="8"/>
      <c r="P179" s="8"/>
      <c r="Q179" s="8"/>
      <c r="R179" s="8"/>
      <c r="S179" s="8"/>
      <c r="T179" s="8"/>
      <c r="U179" s="8"/>
      <c r="V179" s="8"/>
      <c r="W179" s="8"/>
      <c r="X179" s="8"/>
      <c r="Y179" s="8"/>
      <c r="Z179" s="8"/>
      <c r="AA179" s="8"/>
      <c r="AB179" s="8"/>
      <c r="AC179" s="8"/>
      <c r="AD179" s="8"/>
      <c r="AE179" s="8"/>
      <c r="AF179" s="8"/>
      <c r="AG179" s="8"/>
      <c r="AH179" s="8"/>
      <c r="AI179" s="8"/>
      <c r="AJ179" s="8"/>
      <c r="AK179" s="8"/>
      <c r="AL179" s="8"/>
      <c r="AM179" s="8"/>
      <c r="AN179" s="8"/>
      <c r="AO179" s="8"/>
      <c r="AP179" s="8"/>
      <c r="AQ179" s="8"/>
    </row>
    <row r="180" spans="2:43" ht="15.95" hidden="1" customHeight="1">
      <c r="B180" s="929">
        <v>83</v>
      </c>
      <c r="C180" s="8"/>
      <c r="D180" s="8"/>
      <c r="E180" s="8"/>
      <c r="F180" s="8"/>
      <c r="G180" s="8"/>
      <c r="H180" s="8"/>
      <c r="I180" s="8"/>
      <c r="J180" s="8"/>
      <c r="K180" s="8"/>
      <c r="L180" s="8"/>
      <c r="M180" s="8"/>
      <c r="N180" s="8"/>
      <c r="O180" s="8"/>
      <c r="P180" s="8"/>
      <c r="Q180" s="8"/>
      <c r="R180" s="8"/>
      <c r="S180" s="8"/>
      <c r="T180" s="8"/>
      <c r="U180" s="8"/>
      <c r="V180" s="8"/>
      <c r="W180" s="8"/>
      <c r="X180" s="8"/>
      <c r="Y180" s="8"/>
      <c r="Z180" s="8"/>
      <c r="AA180" s="8"/>
      <c r="AB180" s="8"/>
      <c r="AC180" s="8"/>
      <c r="AD180" s="8"/>
      <c r="AE180" s="8"/>
      <c r="AF180" s="8"/>
      <c r="AG180" s="8"/>
      <c r="AH180" s="8"/>
      <c r="AI180" s="8"/>
      <c r="AJ180" s="8"/>
      <c r="AK180" s="8"/>
      <c r="AL180" s="8"/>
      <c r="AM180" s="8"/>
      <c r="AN180" s="8"/>
      <c r="AO180" s="8"/>
      <c r="AP180" s="8"/>
      <c r="AQ180" s="8"/>
    </row>
    <row r="181" spans="2:43" ht="15.95" hidden="1" customHeight="1">
      <c r="B181" s="929"/>
      <c r="C181" s="8"/>
      <c r="D181" s="8"/>
      <c r="E181" s="8"/>
      <c r="F181" s="8"/>
      <c r="G181" s="8"/>
      <c r="H181" s="8"/>
      <c r="I181" s="8"/>
      <c r="J181" s="8"/>
      <c r="K181" s="8"/>
      <c r="L181" s="8"/>
      <c r="M181" s="8"/>
      <c r="N181" s="8"/>
      <c r="O181" s="8"/>
      <c r="P181" s="8"/>
      <c r="Q181" s="8"/>
      <c r="R181" s="8"/>
      <c r="S181" s="8"/>
      <c r="T181" s="8"/>
      <c r="U181" s="8"/>
      <c r="V181" s="8"/>
      <c r="W181" s="8"/>
      <c r="X181" s="8"/>
      <c r="Y181" s="8"/>
      <c r="Z181" s="8"/>
      <c r="AA181" s="8"/>
      <c r="AB181" s="8"/>
      <c r="AC181" s="8"/>
      <c r="AD181" s="8"/>
      <c r="AE181" s="8"/>
      <c r="AF181" s="8"/>
      <c r="AG181" s="8"/>
      <c r="AH181" s="8"/>
      <c r="AI181" s="8"/>
      <c r="AJ181" s="8"/>
      <c r="AK181" s="8"/>
      <c r="AL181" s="8"/>
      <c r="AM181" s="8"/>
      <c r="AN181" s="8"/>
      <c r="AO181" s="8"/>
      <c r="AP181" s="8"/>
      <c r="AQ181" s="8"/>
    </row>
    <row r="182" spans="2:43" ht="15.95" hidden="1" customHeight="1">
      <c r="B182" s="929">
        <v>84</v>
      </c>
      <c r="C182" s="8"/>
      <c r="D182" s="8"/>
      <c r="E182" s="8"/>
      <c r="F182" s="8"/>
      <c r="G182" s="8"/>
      <c r="H182" s="8"/>
      <c r="I182" s="8"/>
      <c r="J182" s="8"/>
      <c r="K182" s="8"/>
      <c r="L182" s="8"/>
      <c r="M182" s="8"/>
      <c r="N182" s="8"/>
      <c r="O182" s="8"/>
      <c r="P182" s="8"/>
      <c r="Q182" s="8"/>
      <c r="R182" s="8"/>
      <c r="S182" s="8"/>
      <c r="T182" s="8"/>
      <c r="U182" s="8"/>
      <c r="V182" s="8"/>
      <c r="W182" s="8"/>
      <c r="X182" s="8"/>
      <c r="Y182" s="8"/>
      <c r="Z182" s="8"/>
      <c r="AA182" s="8"/>
      <c r="AB182" s="8"/>
      <c r="AC182" s="8"/>
      <c r="AD182" s="8"/>
      <c r="AE182" s="8"/>
      <c r="AF182" s="8"/>
      <c r="AG182" s="8"/>
      <c r="AH182" s="8"/>
      <c r="AI182" s="8"/>
      <c r="AJ182" s="8"/>
      <c r="AK182" s="8"/>
      <c r="AL182" s="8"/>
      <c r="AM182" s="8"/>
      <c r="AN182" s="8"/>
      <c r="AO182" s="8"/>
      <c r="AP182" s="8"/>
      <c r="AQ182" s="8"/>
    </row>
    <row r="183" spans="2:43" ht="15.95" hidden="1" customHeight="1">
      <c r="B183" s="929"/>
      <c r="C183" s="8"/>
      <c r="D183" s="8"/>
      <c r="E183" s="8"/>
      <c r="F183" s="8"/>
      <c r="G183" s="8"/>
      <c r="H183" s="8"/>
      <c r="I183" s="8"/>
      <c r="J183" s="8"/>
      <c r="K183" s="8"/>
      <c r="L183" s="8"/>
      <c r="M183" s="8"/>
      <c r="N183" s="8"/>
      <c r="O183" s="8"/>
      <c r="P183" s="8"/>
      <c r="Q183" s="8"/>
      <c r="R183" s="8"/>
      <c r="S183" s="8"/>
      <c r="T183" s="8"/>
      <c r="U183" s="8"/>
      <c r="V183" s="8"/>
      <c r="W183" s="8"/>
      <c r="X183" s="8"/>
      <c r="Y183" s="8"/>
      <c r="Z183" s="8"/>
      <c r="AA183" s="8"/>
      <c r="AB183" s="8"/>
      <c r="AC183" s="8"/>
      <c r="AD183" s="8"/>
      <c r="AE183" s="8"/>
      <c r="AF183" s="8"/>
      <c r="AG183" s="8"/>
      <c r="AH183" s="8"/>
      <c r="AI183" s="8"/>
      <c r="AJ183" s="8"/>
      <c r="AK183" s="8"/>
      <c r="AL183" s="8"/>
      <c r="AM183" s="8"/>
      <c r="AN183" s="8"/>
      <c r="AO183" s="8"/>
      <c r="AP183" s="8"/>
      <c r="AQ183" s="8"/>
    </row>
    <row r="184" spans="2:43" ht="15.95" hidden="1" customHeight="1">
      <c r="B184" s="929">
        <v>85</v>
      </c>
      <c r="C184" s="8"/>
      <c r="D184" s="8"/>
      <c r="E184" s="8"/>
      <c r="F184" s="8"/>
      <c r="G184" s="8"/>
      <c r="H184" s="8"/>
      <c r="I184" s="8"/>
      <c r="J184" s="8"/>
      <c r="K184" s="8"/>
      <c r="L184" s="8"/>
      <c r="M184" s="8"/>
      <c r="N184" s="8"/>
      <c r="O184" s="8"/>
      <c r="P184" s="8"/>
      <c r="Q184" s="8"/>
      <c r="R184" s="8"/>
      <c r="S184" s="8"/>
      <c r="T184" s="8"/>
      <c r="U184" s="8"/>
      <c r="V184" s="8"/>
      <c r="W184" s="8"/>
      <c r="X184" s="8"/>
      <c r="Y184" s="8"/>
      <c r="Z184" s="8"/>
      <c r="AA184" s="8"/>
      <c r="AB184" s="8"/>
      <c r="AC184" s="8"/>
      <c r="AD184" s="8"/>
      <c r="AE184" s="8"/>
      <c r="AF184" s="8"/>
      <c r="AG184" s="8"/>
      <c r="AH184" s="8"/>
      <c r="AI184" s="8"/>
      <c r="AJ184" s="8"/>
      <c r="AK184" s="8"/>
      <c r="AL184" s="8"/>
      <c r="AM184" s="8"/>
      <c r="AN184" s="8"/>
      <c r="AO184" s="8"/>
      <c r="AP184" s="8"/>
      <c r="AQ184" s="8"/>
    </row>
    <row r="185" spans="2:43" ht="15.95" hidden="1" customHeight="1">
      <c r="B185" s="929"/>
      <c r="C185" s="8"/>
      <c r="D185" s="8"/>
      <c r="E185" s="8"/>
      <c r="F185" s="8"/>
      <c r="G185" s="8"/>
      <c r="H185" s="8"/>
      <c r="I185" s="8"/>
      <c r="J185" s="8"/>
      <c r="K185" s="8"/>
      <c r="L185" s="8"/>
      <c r="M185" s="8"/>
      <c r="N185" s="8"/>
      <c r="O185" s="8"/>
      <c r="P185" s="8"/>
      <c r="Q185" s="8"/>
      <c r="R185" s="8"/>
      <c r="S185" s="8"/>
      <c r="T185" s="8"/>
      <c r="U185" s="8"/>
      <c r="V185" s="8"/>
      <c r="W185" s="8"/>
      <c r="X185" s="8"/>
      <c r="Y185" s="8"/>
      <c r="Z185" s="8"/>
      <c r="AA185" s="8"/>
      <c r="AB185" s="8"/>
      <c r="AC185" s="8"/>
      <c r="AD185" s="8"/>
      <c r="AE185" s="8"/>
      <c r="AF185" s="8"/>
      <c r="AG185" s="8"/>
      <c r="AH185" s="8"/>
      <c r="AI185" s="8"/>
      <c r="AJ185" s="8"/>
      <c r="AK185" s="8"/>
      <c r="AL185" s="8"/>
      <c r="AM185" s="8"/>
      <c r="AN185" s="8"/>
      <c r="AO185" s="8"/>
      <c r="AP185" s="8"/>
      <c r="AQ185" s="8"/>
    </row>
    <row r="186" spans="2:43" ht="15.95" hidden="1" customHeight="1">
      <c r="B186" s="929">
        <v>86</v>
      </c>
      <c r="C186" s="8"/>
      <c r="D186" s="8"/>
      <c r="E186" s="8"/>
      <c r="F186" s="8"/>
      <c r="G186" s="8"/>
      <c r="H186" s="8"/>
      <c r="I186" s="8"/>
      <c r="J186" s="8"/>
      <c r="K186" s="8"/>
      <c r="L186" s="8"/>
      <c r="M186" s="8"/>
      <c r="N186" s="8"/>
      <c r="O186" s="8"/>
      <c r="P186" s="8"/>
      <c r="Q186" s="8"/>
      <c r="R186" s="8"/>
      <c r="S186" s="8"/>
      <c r="T186" s="8"/>
      <c r="U186" s="8"/>
      <c r="V186" s="8"/>
      <c r="W186" s="8"/>
      <c r="X186" s="8"/>
      <c r="Y186" s="8"/>
      <c r="Z186" s="8"/>
      <c r="AA186" s="8"/>
      <c r="AB186" s="8"/>
      <c r="AC186" s="8"/>
      <c r="AD186" s="8"/>
      <c r="AE186" s="8"/>
      <c r="AF186" s="8"/>
      <c r="AG186" s="8"/>
      <c r="AH186" s="8"/>
      <c r="AI186" s="8"/>
      <c r="AJ186" s="8"/>
      <c r="AK186" s="8"/>
      <c r="AL186" s="8"/>
      <c r="AM186" s="8"/>
      <c r="AN186" s="8"/>
      <c r="AO186" s="8"/>
      <c r="AP186" s="8"/>
      <c r="AQ186" s="8"/>
    </row>
    <row r="187" spans="2:43" ht="15.95" hidden="1" customHeight="1">
      <c r="B187" s="929"/>
      <c r="C187" s="8"/>
      <c r="D187" s="8"/>
      <c r="E187" s="8"/>
      <c r="F187" s="8"/>
      <c r="G187" s="8"/>
      <c r="H187" s="8"/>
      <c r="I187" s="8"/>
      <c r="J187" s="8"/>
      <c r="K187" s="8"/>
      <c r="L187" s="8"/>
      <c r="M187" s="8"/>
      <c r="N187" s="8"/>
      <c r="O187" s="8"/>
      <c r="P187" s="8"/>
      <c r="Q187" s="8"/>
      <c r="R187" s="8"/>
      <c r="S187" s="8"/>
      <c r="T187" s="8"/>
      <c r="U187" s="8"/>
      <c r="V187" s="8"/>
      <c r="W187" s="8"/>
      <c r="X187" s="8"/>
      <c r="Y187" s="8"/>
      <c r="Z187" s="8"/>
      <c r="AA187" s="8"/>
      <c r="AB187" s="8"/>
      <c r="AC187" s="8"/>
      <c r="AD187" s="8"/>
      <c r="AE187" s="8"/>
      <c r="AF187" s="8"/>
      <c r="AG187" s="8"/>
      <c r="AH187" s="8"/>
      <c r="AI187" s="8"/>
      <c r="AJ187" s="8"/>
      <c r="AK187" s="8"/>
      <c r="AL187" s="8"/>
      <c r="AM187" s="8"/>
      <c r="AN187" s="8"/>
      <c r="AO187" s="8"/>
      <c r="AP187" s="8"/>
      <c r="AQ187" s="8"/>
    </row>
    <row r="188" spans="2:43" ht="15.95" hidden="1" customHeight="1">
      <c r="B188" s="929">
        <v>87</v>
      </c>
      <c r="C188" s="8"/>
      <c r="D188" s="8"/>
      <c r="E188" s="8"/>
      <c r="F188" s="8"/>
      <c r="G188" s="8"/>
      <c r="H188" s="8"/>
      <c r="I188" s="8"/>
      <c r="J188" s="8"/>
      <c r="K188" s="8"/>
      <c r="L188" s="8"/>
      <c r="M188" s="8"/>
      <c r="N188" s="8"/>
      <c r="O188" s="8"/>
      <c r="P188" s="8"/>
      <c r="Q188" s="8"/>
      <c r="R188" s="8"/>
      <c r="S188" s="8"/>
      <c r="T188" s="8"/>
      <c r="U188" s="8"/>
      <c r="V188" s="8"/>
      <c r="W188" s="8"/>
      <c r="X188" s="8"/>
      <c r="Y188" s="8"/>
      <c r="Z188" s="8"/>
      <c r="AA188" s="8"/>
      <c r="AB188" s="8"/>
      <c r="AC188" s="8"/>
      <c r="AD188" s="8"/>
      <c r="AE188" s="8"/>
      <c r="AF188" s="8"/>
      <c r="AG188" s="8"/>
      <c r="AH188" s="8"/>
      <c r="AI188" s="8"/>
      <c r="AJ188" s="8"/>
      <c r="AK188" s="8"/>
      <c r="AL188" s="8"/>
      <c r="AM188" s="8"/>
      <c r="AN188" s="8"/>
      <c r="AO188" s="8"/>
      <c r="AP188" s="8"/>
      <c r="AQ188" s="8"/>
    </row>
    <row r="189" spans="2:43" ht="15.95" hidden="1" customHeight="1">
      <c r="B189" s="929"/>
      <c r="C189" s="8"/>
      <c r="D189" s="8"/>
      <c r="E189" s="8"/>
      <c r="F189" s="8"/>
      <c r="G189" s="8"/>
      <c r="H189" s="8"/>
      <c r="I189" s="8"/>
      <c r="J189" s="8"/>
      <c r="K189" s="8"/>
      <c r="L189" s="8"/>
      <c r="M189" s="8"/>
      <c r="N189" s="8"/>
      <c r="O189" s="8"/>
      <c r="P189" s="8"/>
      <c r="Q189" s="8"/>
      <c r="R189" s="8"/>
      <c r="S189" s="8"/>
      <c r="T189" s="8"/>
      <c r="U189" s="8"/>
      <c r="V189" s="8"/>
      <c r="W189" s="8"/>
      <c r="X189" s="8"/>
      <c r="Y189" s="8"/>
      <c r="Z189" s="8"/>
      <c r="AA189" s="8"/>
      <c r="AB189" s="8"/>
      <c r="AC189" s="8"/>
      <c r="AD189" s="8"/>
      <c r="AE189" s="8"/>
      <c r="AF189" s="8"/>
      <c r="AG189" s="8"/>
      <c r="AH189" s="8"/>
      <c r="AI189" s="8"/>
      <c r="AJ189" s="8"/>
      <c r="AK189" s="8"/>
      <c r="AL189" s="8"/>
      <c r="AM189" s="8"/>
      <c r="AN189" s="8"/>
      <c r="AO189" s="8"/>
      <c r="AP189" s="8"/>
      <c r="AQ189" s="8"/>
    </row>
    <row r="190" spans="2:43" ht="15.95" hidden="1" customHeight="1">
      <c r="B190" s="929">
        <v>88</v>
      </c>
      <c r="C190" s="8"/>
      <c r="D190" s="8"/>
      <c r="E190" s="8"/>
      <c r="F190" s="8"/>
      <c r="G190" s="8"/>
      <c r="H190" s="8"/>
      <c r="I190" s="8"/>
      <c r="J190" s="8"/>
      <c r="K190" s="8"/>
      <c r="L190" s="8"/>
      <c r="M190" s="8"/>
      <c r="N190" s="8"/>
      <c r="O190" s="8"/>
      <c r="P190" s="8"/>
      <c r="Q190" s="8"/>
      <c r="R190" s="8"/>
      <c r="S190" s="8"/>
      <c r="T190" s="8"/>
      <c r="U190" s="8"/>
      <c r="V190" s="8"/>
      <c r="W190" s="8"/>
      <c r="X190" s="8"/>
      <c r="Y190" s="8"/>
      <c r="Z190" s="8"/>
      <c r="AA190" s="8"/>
      <c r="AB190" s="8"/>
      <c r="AC190" s="8"/>
      <c r="AD190" s="8"/>
      <c r="AE190" s="8"/>
      <c r="AF190" s="8"/>
      <c r="AG190" s="8"/>
      <c r="AH190" s="8"/>
      <c r="AI190" s="8"/>
      <c r="AJ190" s="8"/>
      <c r="AK190" s="8"/>
      <c r="AL190" s="8"/>
      <c r="AM190" s="8"/>
      <c r="AN190" s="8"/>
      <c r="AO190" s="8"/>
      <c r="AP190" s="8"/>
      <c r="AQ190" s="8"/>
    </row>
    <row r="191" spans="2:43" ht="15.95" hidden="1" customHeight="1">
      <c r="B191" s="929"/>
      <c r="C191" s="8"/>
      <c r="D191" s="8"/>
      <c r="E191" s="8"/>
      <c r="F191" s="8"/>
      <c r="G191" s="8"/>
      <c r="H191" s="8"/>
      <c r="I191" s="8"/>
      <c r="J191" s="8"/>
      <c r="K191" s="8"/>
      <c r="L191" s="8"/>
      <c r="M191" s="8"/>
      <c r="N191" s="8"/>
      <c r="O191" s="8"/>
      <c r="P191" s="8"/>
      <c r="Q191" s="8"/>
      <c r="R191" s="8"/>
      <c r="S191" s="8"/>
      <c r="T191" s="8"/>
      <c r="U191" s="8"/>
      <c r="V191" s="8"/>
      <c r="W191" s="8"/>
      <c r="X191" s="8"/>
      <c r="Y191" s="8"/>
      <c r="Z191" s="8"/>
      <c r="AA191" s="8"/>
      <c r="AB191" s="8"/>
      <c r="AC191" s="8"/>
      <c r="AD191" s="8"/>
      <c r="AE191" s="8"/>
      <c r="AF191" s="8"/>
      <c r="AG191" s="8"/>
      <c r="AH191" s="8"/>
      <c r="AI191" s="8"/>
      <c r="AJ191" s="8"/>
      <c r="AK191" s="8"/>
      <c r="AL191" s="8"/>
      <c r="AM191" s="8"/>
      <c r="AN191" s="8"/>
      <c r="AO191" s="8"/>
      <c r="AP191" s="8"/>
      <c r="AQ191" s="8"/>
    </row>
    <row r="192" spans="2:43" ht="15.95" hidden="1" customHeight="1">
      <c r="B192" s="929">
        <v>89</v>
      </c>
      <c r="C192" s="8"/>
      <c r="D192" s="8"/>
      <c r="E192" s="8"/>
      <c r="F192" s="8"/>
      <c r="G192" s="8"/>
      <c r="H192" s="8"/>
      <c r="I192" s="8"/>
      <c r="J192" s="8"/>
      <c r="K192" s="8"/>
      <c r="L192" s="8"/>
      <c r="M192" s="8"/>
      <c r="N192" s="8"/>
      <c r="O192" s="8"/>
      <c r="P192" s="8"/>
      <c r="Q192" s="8"/>
      <c r="R192" s="8"/>
      <c r="S192" s="8"/>
      <c r="T192" s="8"/>
      <c r="U192" s="8"/>
      <c r="V192" s="8"/>
      <c r="W192" s="8"/>
      <c r="X192" s="8"/>
      <c r="Y192" s="8"/>
      <c r="Z192" s="8"/>
      <c r="AA192" s="8"/>
      <c r="AB192" s="8"/>
      <c r="AC192" s="8"/>
      <c r="AD192" s="8"/>
      <c r="AE192" s="8"/>
      <c r="AF192" s="8"/>
      <c r="AG192" s="8"/>
      <c r="AH192" s="8"/>
      <c r="AI192" s="8"/>
      <c r="AJ192" s="8"/>
      <c r="AK192" s="8"/>
      <c r="AL192" s="8"/>
      <c r="AM192" s="8"/>
      <c r="AN192" s="8"/>
      <c r="AO192" s="8"/>
      <c r="AP192" s="8"/>
      <c r="AQ192" s="8"/>
    </row>
    <row r="193" spans="2:47" ht="15.95" hidden="1" customHeight="1">
      <c r="B193" s="929"/>
      <c r="C193" s="8"/>
      <c r="D193" s="8"/>
      <c r="E193" s="8"/>
      <c r="F193" s="8"/>
      <c r="G193" s="8"/>
      <c r="H193" s="8"/>
      <c r="I193" s="8"/>
      <c r="J193" s="8"/>
      <c r="K193" s="8"/>
      <c r="L193" s="8"/>
      <c r="M193" s="8"/>
      <c r="N193" s="8"/>
      <c r="O193" s="8"/>
      <c r="P193" s="8"/>
      <c r="Q193" s="8"/>
      <c r="R193" s="8"/>
      <c r="S193" s="8"/>
      <c r="T193" s="8"/>
      <c r="U193" s="8"/>
      <c r="V193" s="8"/>
      <c r="W193" s="8"/>
      <c r="X193" s="8"/>
      <c r="Y193" s="8"/>
      <c r="Z193" s="8"/>
      <c r="AA193" s="8"/>
      <c r="AB193" s="8"/>
      <c r="AC193" s="8"/>
      <c r="AD193" s="8"/>
      <c r="AE193" s="8"/>
      <c r="AF193" s="8"/>
      <c r="AG193" s="8"/>
      <c r="AH193" s="8"/>
      <c r="AI193" s="8"/>
      <c r="AJ193" s="8"/>
      <c r="AK193" s="8"/>
      <c r="AL193" s="8"/>
      <c r="AM193" s="8"/>
      <c r="AN193" s="8"/>
      <c r="AO193" s="8"/>
      <c r="AP193" s="8"/>
      <c r="AQ193" s="8"/>
    </row>
    <row r="194" spans="2:47" ht="15.95" hidden="1" customHeight="1">
      <c r="B194" s="929">
        <v>90</v>
      </c>
      <c r="C194" s="8"/>
      <c r="D194" s="8"/>
      <c r="E194" s="8"/>
      <c r="F194" s="8"/>
      <c r="G194" s="8"/>
      <c r="H194" s="8"/>
      <c r="I194" s="8"/>
      <c r="J194" s="8"/>
      <c r="K194" s="8"/>
      <c r="L194" s="8"/>
      <c r="M194" s="8"/>
      <c r="N194" s="8"/>
      <c r="O194" s="8"/>
      <c r="P194" s="8"/>
      <c r="Q194" s="8"/>
      <c r="R194" s="8"/>
      <c r="S194" s="8"/>
      <c r="T194" s="8"/>
      <c r="U194" s="8"/>
      <c r="V194" s="8"/>
      <c r="W194" s="8"/>
      <c r="X194" s="8"/>
      <c r="Y194" s="8"/>
      <c r="Z194" s="8"/>
      <c r="AA194" s="8"/>
      <c r="AB194" s="8"/>
      <c r="AC194" s="8"/>
      <c r="AD194" s="8"/>
      <c r="AE194" s="8"/>
      <c r="AF194" s="8"/>
      <c r="AG194" s="8"/>
      <c r="AH194" s="8"/>
      <c r="AI194" s="8"/>
      <c r="AJ194" s="8"/>
      <c r="AK194" s="8"/>
      <c r="AL194" s="8"/>
      <c r="AM194" s="8"/>
      <c r="AN194" s="8"/>
      <c r="AO194" s="8"/>
      <c r="AP194" s="8"/>
      <c r="AQ194" s="8"/>
    </row>
    <row r="195" spans="2:47" ht="15.95" hidden="1" customHeight="1">
      <c r="B195" s="929"/>
      <c r="C195" s="8"/>
      <c r="D195" s="8"/>
      <c r="E195" s="8"/>
      <c r="F195" s="8"/>
      <c r="G195" s="8"/>
      <c r="H195" s="8"/>
      <c r="I195" s="8"/>
      <c r="J195" s="8"/>
      <c r="K195" s="8"/>
      <c r="L195" s="8"/>
      <c r="M195" s="8"/>
      <c r="N195" s="8"/>
      <c r="O195" s="8"/>
      <c r="P195" s="8"/>
      <c r="Q195" s="8"/>
      <c r="R195" s="8"/>
      <c r="S195" s="8"/>
      <c r="T195" s="8"/>
      <c r="U195" s="8"/>
      <c r="V195" s="8"/>
      <c r="W195" s="8"/>
      <c r="X195" s="8"/>
      <c r="Y195" s="8"/>
      <c r="Z195" s="8"/>
      <c r="AA195" s="8"/>
      <c r="AB195" s="8"/>
      <c r="AC195" s="8"/>
      <c r="AD195" s="8"/>
      <c r="AE195" s="8"/>
      <c r="AF195" s="8"/>
      <c r="AG195" s="8"/>
      <c r="AH195" s="8"/>
      <c r="AI195" s="8"/>
      <c r="AJ195" s="8"/>
      <c r="AK195" s="8"/>
      <c r="AL195" s="8"/>
      <c r="AM195" s="8"/>
      <c r="AN195" s="8"/>
      <c r="AO195" s="8"/>
      <c r="AP195" s="8"/>
      <c r="AQ195" s="8"/>
    </row>
    <row r="196" spans="2:47" ht="15.95" hidden="1" customHeight="1">
      <c r="B196" s="929">
        <v>91</v>
      </c>
      <c r="C196" s="8"/>
      <c r="D196" s="8"/>
      <c r="E196" s="8"/>
      <c r="F196" s="8"/>
      <c r="G196" s="8"/>
      <c r="H196" s="8"/>
      <c r="I196" s="8"/>
      <c r="J196" s="8"/>
      <c r="K196" s="8"/>
      <c r="L196" s="8"/>
      <c r="M196" s="8"/>
      <c r="N196" s="8"/>
      <c r="O196" s="8"/>
      <c r="P196" s="8"/>
      <c r="Q196" s="8"/>
      <c r="R196" s="8"/>
      <c r="S196" s="8"/>
      <c r="T196" s="8"/>
      <c r="U196" s="8"/>
      <c r="V196" s="8"/>
      <c r="W196" s="8"/>
      <c r="X196" s="8"/>
      <c r="Y196" s="8"/>
      <c r="Z196" s="8"/>
      <c r="AA196" s="8"/>
      <c r="AB196" s="8"/>
      <c r="AC196" s="8"/>
      <c r="AD196" s="8"/>
      <c r="AE196" s="8"/>
      <c r="AF196" s="8"/>
      <c r="AG196" s="8"/>
      <c r="AH196" s="8"/>
      <c r="AI196" s="8"/>
      <c r="AJ196" s="8"/>
      <c r="AK196" s="8"/>
      <c r="AL196" s="8"/>
      <c r="AM196" s="8"/>
      <c r="AN196" s="8"/>
      <c r="AO196" s="8"/>
      <c r="AP196" s="8"/>
      <c r="AQ196" s="8"/>
    </row>
    <row r="197" spans="2:47" ht="15.95" hidden="1" customHeight="1">
      <c r="B197" s="929"/>
      <c r="C197" s="8"/>
      <c r="D197" s="8"/>
      <c r="E197" s="8"/>
      <c r="F197" s="8"/>
      <c r="G197" s="8"/>
      <c r="H197" s="8"/>
      <c r="I197" s="8"/>
      <c r="J197" s="8"/>
      <c r="K197" s="8"/>
      <c r="L197" s="8"/>
      <c r="M197" s="8"/>
      <c r="N197" s="8"/>
      <c r="O197" s="8"/>
      <c r="P197" s="8"/>
      <c r="Q197" s="8"/>
      <c r="R197" s="8"/>
      <c r="S197" s="8"/>
      <c r="T197" s="8"/>
      <c r="U197" s="8"/>
      <c r="V197" s="8"/>
      <c r="W197" s="8"/>
      <c r="X197" s="8"/>
      <c r="Y197" s="8"/>
      <c r="Z197" s="8"/>
      <c r="AA197" s="8"/>
      <c r="AB197" s="8"/>
      <c r="AC197" s="8"/>
      <c r="AD197" s="8"/>
      <c r="AE197" s="8"/>
      <c r="AF197" s="8"/>
      <c r="AG197" s="8"/>
      <c r="AH197" s="8"/>
      <c r="AI197" s="8"/>
      <c r="AJ197" s="8"/>
      <c r="AK197" s="8"/>
      <c r="AL197" s="8"/>
      <c r="AM197" s="8"/>
      <c r="AN197" s="8"/>
      <c r="AO197" s="8"/>
      <c r="AP197" s="8"/>
      <c r="AQ197" s="8"/>
    </row>
    <row r="198" spans="2:47" ht="15.95" hidden="1" customHeight="1">
      <c r="B198" s="929">
        <v>92</v>
      </c>
      <c r="C198" s="8"/>
      <c r="D198" s="8"/>
      <c r="E198" s="8"/>
      <c r="F198" s="8"/>
      <c r="G198" s="8"/>
      <c r="H198" s="8"/>
      <c r="I198" s="8"/>
      <c r="J198" s="8"/>
      <c r="K198" s="8"/>
      <c r="L198" s="8"/>
      <c r="M198" s="8"/>
      <c r="N198" s="8"/>
      <c r="O198" s="8"/>
      <c r="P198" s="8"/>
      <c r="Q198" s="8"/>
      <c r="R198" s="8"/>
      <c r="S198" s="8"/>
      <c r="T198" s="8"/>
      <c r="U198" s="8"/>
      <c r="V198" s="8"/>
      <c r="W198" s="8"/>
      <c r="X198" s="8"/>
      <c r="Y198" s="8"/>
      <c r="Z198" s="8"/>
      <c r="AA198" s="8"/>
      <c r="AB198" s="8"/>
      <c r="AC198" s="8"/>
      <c r="AD198" s="8"/>
      <c r="AE198" s="8"/>
      <c r="AF198" s="8"/>
      <c r="AG198" s="8"/>
      <c r="AH198" s="8"/>
      <c r="AI198" s="8"/>
      <c r="AJ198" s="8"/>
      <c r="AK198" s="8"/>
      <c r="AL198" s="8"/>
      <c r="AM198" s="8"/>
      <c r="AN198" s="8"/>
      <c r="AO198" s="8"/>
      <c r="AP198" s="8"/>
      <c r="AQ198" s="8"/>
    </row>
    <row r="199" spans="2:47" ht="15.95" hidden="1" customHeight="1">
      <c r="B199" s="929"/>
      <c r="C199" s="8"/>
      <c r="D199" s="8"/>
      <c r="E199" s="8"/>
      <c r="F199" s="8"/>
      <c r="G199" s="8"/>
      <c r="H199" s="8"/>
      <c r="I199" s="8"/>
      <c r="J199" s="8"/>
      <c r="K199" s="8"/>
      <c r="L199" s="8"/>
      <c r="M199" s="8"/>
      <c r="N199" s="8"/>
      <c r="O199" s="8"/>
      <c r="P199" s="8"/>
      <c r="Q199" s="8"/>
      <c r="R199" s="8"/>
      <c r="S199" s="8"/>
      <c r="T199" s="8"/>
      <c r="U199" s="8"/>
      <c r="V199" s="8"/>
      <c r="W199" s="8"/>
      <c r="X199" s="8"/>
      <c r="Y199" s="8"/>
      <c r="Z199" s="8"/>
      <c r="AA199" s="8"/>
      <c r="AB199" s="8"/>
      <c r="AC199" s="8"/>
      <c r="AD199" s="8"/>
      <c r="AE199" s="8"/>
      <c r="AF199" s="8"/>
      <c r="AG199" s="8"/>
      <c r="AH199" s="8"/>
      <c r="AI199" s="8"/>
      <c r="AJ199" s="8"/>
      <c r="AK199" s="8"/>
      <c r="AL199" s="8"/>
      <c r="AM199" s="8"/>
      <c r="AN199" s="8"/>
      <c r="AO199" s="8"/>
      <c r="AP199" s="8"/>
      <c r="AQ199" s="8"/>
    </row>
    <row r="200" spans="2:47" ht="15.95" customHeight="1">
      <c r="B200" s="277" t="str">
        <f>FOOT1</f>
        <v>NIPSCO Energy Efficiency Program</v>
      </c>
      <c r="C200" s="277"/>
      <c r="D200" s="277"/>
      <c r="E200" s="277"/>
      <c r="F200" s="277"/>
      <c r="G200" s="277"/>
      <c r="H200" s="277"/>
      <c r="I200" s="277"/>
      <c r="J200" s="277"/>
      <c r="K200" s="277"/>
      <c r="L200" s="277"/>
      <c r="M200" s="694" t="str">
        <f>FOOT4</f>
        <v>NIPSCO’s energy efficiency programs are administered by TRC, a third‐party implementation specialist that helps homes and businesses save energy.</v>
      </c>
      <c r="N200" s="694"/>
      <c r="O200" s="694"/>
      <c r="P200" s="694"/>
      <c r="Q200" s="694"/>
      <c r="R200" s="694"/>
      <c r="S200" s="694"/>
      <c r="T200" s="694"/>
      <c r="U200" s="694"/>
      <c r="V200" s="694"/>
      <c r="W200" s="694"/>
      <c r="X200" s="694"/>
      <c r="Y200" s="694"/>
      <c r="Z200" s="694"/>
      <c r="AA200" s="694"/>
      <c r="AB200" s="694"/>
      <c r="AC200" s="694"/>
      <c r="AD200" s="694"/>
      <c r="AE200" s="694"/>
      <c r="AF200" s="694"/>
      <c r="AG200" s="694"/>
      <c r="AH200" s="277"/>
      <c r="AI200" s="277"/>
      <c r="AJ200" s="277"/>
      <c r="AK200" s="277"/>
      <c r="AL200" s="277"/>
      <c r="AM200" s="277"/>
      <c r="AN200" s="277"/>
      <c r="AO200" s="277"/>
      <c r="AP200" s="277"/>
      <c r="AQ200" s="277"/>
      <c r="AR200" s="280" t="str">
        <f>FOOTDISCLAIM</f>
        <v/>
      </c>
      <c r="AU200" s="1076">
        <f>SUM(AU16:AU199)</f>
        <v>0</v>
      </c>
    </row>
    <row r="201" spans="2:47" ht="15.95" customHeight="1">
      <c r="B201" s="277" t="str">
        <f>FOOT2</f>
        <v>Toll-Free 800-299-2501</v>
      </c>
      <c r="C201" s="277"/>
      <c r="D201" s="277"/>
      <c r="E201" s="277"/>
      <c r="F201" s="277"/>
      <c r="G201" s="277"/>
      <c r="H201" s="277"/>
      <c r="I201" s="277"/>
      <c r="J201" s="277"/>
      <c r="K201" s="277"/>
      <c r="L201" s="277"/>
      <c r="M201" s="694"/>
      <c r="N201" s="694"/>
      <c r="O201" s="694"/>
      <c r="P201" s="694"/>
      <c r="Q201" s="694"/>
      <c r="R201" s="694"/>
      <c r="S201" s="694"/>
      <c r="T201" s="694"/>
      <c r="U201" s="694"/>
      <c r="V201" s="694"/>
      <c r="W201" s="694"/>
      <c r="X201" s="694"/>
      <c r="Y201" s="694"/>
      <c r="Z201" s="694"/>
      <c r="AA201" s="694"/>
      <c r="AB201" s="694"/>
      <c r="AC201" s="694"/>
      <c r="AD201" s="694"/>
      <c r="AE201" s="694"/>
      <c r="AF201" s="694"/>
      <c r="AG201" s="694"/>
      <c r="AH201" s="277"/>
      <c r="AI201" s="277"/>
      <c r="AJ201" s="277"/>
      <c r="AK201" s="277"/>
      <c r="AL201" s="277"/>
      <c r="AM201" s="277"/>
      <c r="AN201" s="277"/>
      <c r="AO201" s="277"/>
      <c r="AP201" s="277"/>
      <c r="AQ201" s="277"/>
      <c r="AR201" s="280" t="str">
        <f>FOOT5</f>
        <v/>
      </c>
      <c r="AU201" s="1077"/>
    </row>
    <row r="202" spans="2:47" ht="15.95" customHeight="1">
      <c r="B202" s="281" t="s">
        <v>1547</v>
      </c>
      <c r="C202" s="277"/>
      <c r="D202" s="277"/>
      <c r="E202" s="277"/>
      <c r="F202" s="277"/>
      <c r="G202" s="277"/>
      <c r="H202" s="277"/>
      <c r="I202" s="277"/>
      <c r="J202" s="277"/>
      <c r="K202" s="277"/>
      <c r="L202" s="277"/>
      <c r="M202" s="279"/>
      <c r="N202" s="277"/>
      <c r="O202" s="277"/>
      <c r="P202" s="279"/>
      <c r="Q202" s="279"/>
      <c r="R202" s="279"/>
      <c r="S202" s="279"/>
      <c r="T202" s="279"/>
      <c r="U202" s="279"/>
      <c r="V202" s="279"/>
      <c r="W202" s="283" t="str">
        <f>VERSION</f>
        <v>Custom Prescriptive Application v3.7.1</v>
      </c>
      <c r="X202" s="279"/>
      <c r="Y202" s="279"/>
      <c r="Z202" s="279"/>
      <c r="AA202" s="279"/>
      <c r="AB202" s="279"/>
      <c r="AC202" s="279"/>
      <c r="AD202" s="279"/>
      <c r="AE202" s="277"/>
      <c r="AF202" s="277"/>
      <c r="AG202" s="277"/>
      <c r="AH202" s="277"/>
      <c r="AI202" s="277"/>
      <c r="AJ202" s="277"/>
      <c r="AK202" s="277"/>
      <c r="AL202" s="277"/>
      <c r="AM202" s="277"/>
      <c r="AN202" s="277"/>
      <c r="AO202" s="277"/>
      <c r="AP202" s="277"/>
      <c r="AQ202" s="277"/>
      <c r="AR202" s="280" t="str">
        <f>FOOT6</f>
        <v>Product of TRC</v>
      </c>
    </row>
  </sheetData>
  <sheetProtection algorithmName="SHA-512" hashValue="fW6pEtC293j6NJnoNiZh4fDMRqEIXcDayx642NiNWRk3v/xDZ9Tnui+pA5UeMwyRk/tjQ2GOhO20ftR/3S8KJw==" saltValue="g1wkQa0S2Tsezqz+7BcdMw==" spinCount="100000" sheet="1" objects="1" scenarios="1" selectLockedCells="1"/>
  <mergeCells count="806">
    <mergeCell ref="AK112:AM113"/>
    <mergeCell ref="AN112:AQ113"/>
    <mergeCell ref="AU112:AU113"/>
    <mergeCell ref="BC112:BC113"/>
    <mergeCell ref="C114:M115"/>
    <mergeCell ref="N114:S115"/>
    <mergeCell ref="T114:U115"/>
    <mergeCell ref="V114:W115"/>
    <mergeCell ref="X114:AA115"/>
    <mergeCell ref="AB114:AD115"/>
    <mergeCell ref="AE114:AF115"/>
    <mergeCell ref="AG114:AH115"/>
    <mergeCell ref="AI114:AJ115"/>
    <mergeCell ref="AK114:AM115"/>
    <mergeCell ref="AN114:AQ115"/>
    <mergeCell ref="AU114:AU115"/>
    <mergeCell ref="BC114:BC115"/>
    <mergeCell ref="C112:M113"/>
    <mergeCell ref="N112:S113"/>
    <mergeCell ref="T112:U113"/>
    <mergeCell ref="V112:W113"/>
    <mergeCell ref="X112:AA113"/>
    <mergeCell ref="AB112:AD113"/>
    <mergeCell ref="AE112:AF113"/>
    <mergeCell ref="AG112:AH113"/>
    <mergeCell ref="AI112:AJ113"/>
    <mergeCell ref="AK108:AM109"/>
    <mergeCell ref="AN108:AQ109"/>
    <mergeCell ref="AU108:AU109"/>
    <mergeCell ref="BC108:BC109"/>
    <mergeCell ref="C110:M111"/>
    <mergeCell ref="N110:S111"/>
    <mergeCell ref="T110:U111"/>
    <mergeCell ref="V110:W111"/>
    <mergeCell ref="X110:AA111"/>
    <mergeCell ref="AB110:AD111"/>
    <mergeCell ref="AE110:AF111"/>
    <mergeCell ref="AG110:AH111"/>
    <mergeCell ref="AI110:AJ111"/>
    <mergeCell ref="AK110:AM111"/>
    <mergeCell ref="AN110:AQ111"/>
    <mergeCell ref="AU110:AU111"/>
    <mergeCell ref="BC110:BC111"/>
    <mergeCell ref="C108:M109"/>
    <mergeCell ref="N108:S109"/>
    <mergeCell ref="T108:U109"/>
    <mergeCell ref="V108:W109"/>
    <mergeCell ref="X108:AA109"/>
    <mergeCell ref="BC104:BC105"/>
    <mergeCell ref="C106:M107"/>
    <mergeCell ref="N106:S107"/>
    <mergeCell ref="T106:U107"/>
    <mergeCell ref="V106:W107"/>
    <mergeCell ref="X106:AA107"/>
    <mergeCell ref="AB106:AD107"/>
    <mergeCell ref="AE106:AF107"/>
    <mergeCell ref="AG106:AH107"/>
    <mergeCell ref="AI106:AJ107"/>
    <mergeCell ref="AK106:AM107"/>
    <mergeCell ref="AN106:AQ107"/>
    <mergeCell ref="AU106:AU107"/>
    <mergeCell ref="BC106:BC107"/>
    <mergeCell ref="C104:M105"/>
    <mergeCell ref="N104:S105"/>
    <mergeCell ref="T104:U105"/>
    <mergeCell ref="AB104:AD105"/>
    <mergeCell ref="AE104:AF105"/>
    <mergeCell ref="AG104:AH105"/>
    <mergeCell ref="AI104:AJ105"/>
    <mergeCell ref="X104:AA105"/>
    <mergeCell ref="AN100:AQ101"/>
    <mergeCell ref="AU100:AU101"/>
    <mergeCell ref="AB108:AD109"/>
    <mergeCell ref="AE108:AF109"/>
    <mergeCell ref="AG108:AH109"/>
    <mergeCell ref="AI108:AJ109"/>
    <mergeCell ref="AK104:AM105"/>
    <mergeCell ref="AN104:AQ105"/>
    <mergeCell ref="AU104:AU105"/>
    <mergeCell ref="BC100:BC101"/>
    <mergeCell ref="C102:M103"/>
    <mergeCell ref="N102:S103"/>
    <mergeCell ref="T102:U103"/>
    <mergeCell ref="V102:W103"/>
    <mergeCell ref="X102:AA103"/>
    <mergeCell ref="AB102:AD103"/>
    <mergeCell ref="AE102:AF103"/>
    <mergeCell ref="AG102:AH103"/>
    <mergeCell ref="AI102:AJ103"/>
    <mergeCell ref="AK102:AM103"/>
    <mergeCell ref="AN102:AQ103"/>
    <mergeCell ref="AU102:AU103"/>
    <mergeCell ref="BC102:BC103"/>
    <mergeCell ref="C100:M101"/>
    <mergeCell ref="N100:S101"/>
    <mergeCell ref="T100:U101"/>
    <mergeCell ref="V100:W101"/>
    <mergeCell ref="X100:AA101"/>
    <mergeCell ref="AB100:AD101"/>
    <mergeCell ref="AE100:AF101"/>
    <mergeCell ref="AG100:AH101"/>
    <mergeCell ref="AI100:AJ101"/>
    <mergeCell ref="AK100:AM101"/>
    <mergeCell ref="AK96:AM97"/>
    <mergeCell ref="AN96:AQ97"/>
    <mergeCell ref="AU96:AU97"/>
    <mergeCell ref="BC96:BC97"/>
    <mergeCell ref="C98:M99"/>
    <mergeCell ref="N98:S99"/>
    <mergeCell ref="T98:U99"/>
    <mergeCell ref="V98:W99"/>
    <mergeCell ref="X98:AA99"/>
    <mergeCell ref="AB98:AD99"/>
    <mergeCell ref="AE98:AF99"/>
    <mergeCell ref="AG98:AH99"/>
    <mergeCell ref="AI98:AJ99"/>
    <mergeCell ref="AK98:AM99"/>
    <mergeCell ref="AN98:AQ99"/>
    <mergeCell ref="AU98:AU99"/>
    <mergeCell ref="BC98:BC99"/>
    <mergeCell ref="C96:M97"/>
    <mergeCell ref="N96:S97"/>
    <mergeCell ref="T96:U97"/>
    <mergeCell ref="V96:W97"/>
    <mergeCell ref="X96:AA97"/>
    <mergeCell ref="AB96:AD97"/>
    <mergeCell ref="AE96:AF97"/>
    <mergeCell ref="AG96:AH97"/>
    <mergeCell ref="AI96:AJ97"/>
    <mergeCell ref="AK92:AM93"/>
    <mergeCell ref="AN92:AQ93"/>
    <mergeCell ref="AU92:AU93"/>
    <mergeCell ref="BC92:BC93"/>
    <mergeCell ref="C94:M95"/>
    <mergeCell ref="N94:S95"/>
    <mergeCell ref="T94:U95"/>
    <mergeCell ref="V94:W95"/>
    <mergeCell ref="X94:AA95"/>
    <mergeCell ref="AB94:AD95"/>
    <mergeCell ref="AE94:AF95"/>
    <mergeCell ref="AG94:AH95"/>
    <mergeCell ref="AI94:AJ95"/>
    <mergeCell ref="AK94:AM95"/>
    <mergeCell ref="AN94:AQ95"/>
    <mergeCell ref="AU94:AU95"/>
    <mergeCell ref="BC94:BC95"/>
    <mergeCell ref="C92:M93"/>
    <mergeCell ref="N92:S93"/>
    <mergeCell ref="T92:U93"/>
    <mergeCell ref="V92:W93"/>
    <mergeCell ref="X92:AA93"/>
    <mergeCell ref="BC88:BC89"/>
    <mergeCell ref="C90:M91"/>
    <mergeCell ref="N90:S91"/>
    <mergeCell ref="T90:U91"/>
    <mergeCell ref="V90:W91"/>
    <mergeCell ref="X90:AA91"/>
    <mergeCell ref="AB90:AD91"/>
    <mergeCell ref="AE90:AF91"/>
    <mergeCell ref="AG90:AH91"/>
    <mergeCell ref="AI90:AJ91"/>
    <mergeCell ref="AK90:AM91"/>
    <mergeCell ref="AN90:AQ91"/>
    <mergeCell ref="AU90:AU91"/>
    <mergeCell ref="BC90:BC91"/>
    <mergeCell ref="C88:M89"/>
    <mergeCell ref="N88:S89"/>
    <mergeCell ref="T88:U89"/>
    <mergeCell ref="AE88:AF89"/>
    <mergeCell ref="AG88:AH89"/>
    <mergeCell ref="AI88:AJ89"/>
    <mergeCell ref="V88:W89"/>
    <mergeCell ref="X88:AA89"/>
    <mergeCell ref="AN84:AQ85"/>
    <mergeCell ref="AU84:AU85"/>
    <mergeCell ref="AB92:AD93"/>
    <mergeCell ref="AE92:AF93"/>
    <mergeCell ref="AG92:AH93"/>
    <mergeCell ref="AI92:AJ93"/>
    <mergeCell ref="AK88:AM89"/>
    <mergeCell ref="AN88:AQ89"/>
    <mergeCell ref="AU88:AU89"/>
    <mergeCell ref="AB88:AD89"/>
    <mergeCell ref="BC84:BC85"/>
    <mergeCell ref="C86:M87"/>
    <mergeCell ref="N86:S87"/>
    <mergeCell ref="T86:U87"/>
    <mergeCell ref="V86:W87"/>
    <mergeCell ref="X86:AA87"/>
    <mergeCell ref="AB86:AD87"/>
    <mergeCell ref="AE86:AF87"/>
    <mergeCell ref="AG86:AH87"/>
    <mergeCell ref="AI86:AJ87"/>
    <mergeCell ref="AK86:AM87"/>
    <mergeCell ref="AN86:AQ87"/>
    <mergeCell ref="AU86:AU87"/>
    <mergeCell ref="BC86:BC87"/>
    <mergeCell ref="C84:M85"/>
    <mergeCell ref="N84:S85"/>
    <mergeCell ref="T84:U85"/>
    <mergeCell ref="V84:W85"/>
    <mergeCell ref="X84:AA85"/>
    <mergeCell ref="AB84:AD85"/>
    <mergeCell ref="AE84:AF85"/>
    <mergeCell ref="AG84:AH85"/>
    <mergeCell ref="AI84:AJ85"/>
    <mergeCell ref="AK84:AM85"/>
    <mergeCell ref="AK80:AM81"/>
    <mergeCell ref="AN80:AQ81"/>
    <mergeCell ref="AU80:AU81"/>
    <mergeCell ref="BC80:BC81"/>
    <mergeCell ref="C82:M83"/>
    <mergeCell ref="N82:S83"/>
    <mergeCell ref="T82:U83"/>
    <mergeCell ref="V82:W83"/>
    <mergeCell ref="X82:AA83"/>
    <mergeCell ref="AB82:AD83"/>
    <mergeCell ref="AE82:AF83"/>
    <mergeCell ref="AG82:AH83"/>
    <mergeCell ref="AI82:AJ83"/>
    <mergeCell ref="AK82:AM83"/>
    <mergeCell ref="AN82:AQ83"/>
    <mergeCell ref="AU82:AU83"/>
    <mergeCell ref="BC82:BC83"/>
    <mergeCell ref="C80:M81"/>
    <mergeCell ref="N80:S81"/>
    <mergeCell ref="T80:U81"/>
    <mergeCell ref="V80:W81"/>
    <mergeCell ref="X80:AA81"/>
    <mergeCell ref="AB80:AD81"/>
    <mergeCell ref="AE80:AF81"/>
    <mergeCell ref="AG80:AH81"/>
    <mergeCell ref="AI80:AJ81"/>
    <mergeCell ref="AK76:AM77"/>
    <mergeCell ref="AN76:AQ77"/>
    <mergeCell ref="AU76:AU77"/>
    <mergeCell ref="BC76:BC77"/>
    <mergeCell ref="C78:M79"/>
    <mergeCell ref="N78:S79"/>
    <mergeCell ref="T78:U79"/>
    <mergeCell ref="V78:W79"/>
    <mergeCell ref="X78:AA79"/>
    <mergeCell ref="AB78:AD79"/>
    <mergeCell ref="AE78:AF79"/>
    <mergeCell ref="AG78:AH79"/>
    <mergeCell ref="AI78:AJ79"/>
    <mergeCell ref="AK78:AM79"/>
    <mergeCell ref="AN78:AQ79"/>
    <mergeCell ref="AU78:AU79"/>
    <mergeCell ref="BC78:BC79"/>
    <mergeCell ref="C76:M77"/>
    <mergeCell ref="N76:S77"/>
    <mergeCell ref="T76:U77"/>
    <mergeCell ref="V76:W77"/>
    <mergeCell ref="X76:AA77"/>
    <mergeCell ref="BC72:BC73"/>
    <mergeCell ref="C74:M75"/>
    <mergeCell ref="N74:S75"/>
    <mergeCell ref="T74:U75"/>
    <mergeCell ref="V74:W75"/>
    <mergeCell ref="X74:AA75"/>
    <mergeCell ref="AB74:AD75"/>
    <mergeCell ref="AE74:AF75"/>
    <mergeCell ref="AG74:AH75"/>
    <mergeCell ref="AI74:AJ75"/>
    <mergeCell ref="AK74:AM75"/>
    <mergeCell ref="AN74:AQ75"/>
    <mergeCell ref="AU74:AU75"/>
    <mergeCell ref="BC74:BC75"/>
    <mergeCell ref="C72:M73"/>
    <mergeCell ref="N72:S73"/>
    <mergeCell ref="T72:U73"/>
    <mergeCell ref="AG72:AH73"/>
    <mergeCell ref="AI72:AJ73"/>
    <mergeCell ref="V72:W73"/>
    <mergeCell ref="X72:AA73"/>
    <mergeCell ref="AN68:AQ69"/>
    <mergeCell ref="AU68:AU69"/>
    <mergeCell ref="AB76:AD77"/>
    <mergeCell ref="AE76:AF77"/>
    <mergeCell ref="AG76:AH77"/>
    <mergeCell ref="AI76:AJ77"/>
    <mergeCell ref="AK72:AM73"/>
    <mergeCell ref="AN72:AQ73"/>
    <mergeCell ref="AU72:AU73"/>
    <mergeCell ref="AB72:AD73"/>
    <mergeCell ref="AE72:AF73"/>
    <mergeCell ref="BC68:BC69"/>
    <mergeCell ref="C70:M71"/>
    <mergeCell ref="N70:S71"/>
    <mergeCell ref="T70:U71"/>
    <mergeCell ref="V70:W71"/>
    <mergeCell ref="X70:AA71"/>
    <mergeCell ref="AB70:AD71"/>
    <mergeCell ref="AE70:AF71"/>
    <mergeCell ref="AG70:AH71"/>
    <mergeCell ref="AI70:AJ71"/>
    <mergeCell ref="AK70:AM71"/>
    <mergeCell ref="AN70:AQ71"/>
    <mergeCell ref="AU70:AU71"/>
    <mergeCell ref="BC70:BC71"/>
    <mergeCell ref="C68:M69"/>
    <mergeCell ref="N68:S69"/>
    <mergeCell ref="T68:U69"/>
    <mergeCell ref="V68:W69"/>
    <mergeCell ref="X68:AA69"/>
    <mergeCell ref="AB68:AD69"/>
    <mergeCell ref="AE68:AF69"/>
    <mergeCell ref="AG68:AH69"/>
    <mergeCell ref="AI68:AJ69"/>
    <mergeCell ref="AK68:AM69"/>
    <mergeCell ref="AK66:AM67"/>
    <mergeCell ref="AN66:AQ67"/>
    <mergeCell ref="BC66:BC67"/>
    <mergeCell ref="C64:M65"/>
    <mergeCell ref="N64:S65"/>
    <mergeCell ref="T64:U65"/>
    <mergeCell ref="V64:W65"/>
    <mergeCell ref="X64:AA65"/>
    <mergeCell ref="AB64:AD65"/>
    <mergeCell ref="AE64:AF65"/>
    <mergeCell ref="AG64:AH65"/>
    <mergeCell ref="AI64:AJ65"/>
    <mergeCell ref="C66:M67"/>
    <mergeCell ref="N66:S67"/>
    <mergeCell ref="T66:U67"/>
    <mergeCell ref="V66:W67"/>
    <mergeCell ref="X66:AA67"/>
    <mergeCell ref="AB66:AD67"/>
    <mergeCell ref="AE66:AF67"/>
    <mergeCell ref="AG66:AH67"/>
    <mergeCell ref="AI66:AJ67"/>
    <mergeCell ref="AY66:AY67"/>
    <mergeCell ref="BA66:BA67"/>
    <mergeCell ref="AN64:AQ65"/>
    <mergeCell ref="AU64:AU65"/>
    <mergeCell ref="BC64:BC65"/>
    <mergeCell ref="T62:U63"/>
    <mergeCell ref="V62:W63"/>
    <mergeCell ref="X62:AA63"/>
    <mergeCell ref="AB62:AD63"/>
    <mergeCell ref="AE62:AF63"/>
    <mergeCell ref="AG62:AH63"/>
    <mergeCell ref="AI62:AJ63"/>
    <mergeCell ref="AK62:AM63"/>
    <mergeCell ref="AN62:AQ63"/>
    <mergeCell ref="AK64:AM65"/>
    <mergeCell ref="AK58:AM59"/>
    <mergeCell ref="AN58:AQ59"/>
    <mergeCell ref="AU58:AU59"/>
    <mergeCell ref="BC58:BC59"/>
    <mergeCell ref="C56:M57"/>
    <mergeCell ref="N56:S57"/>
    <mergeCell ref="T56:U57"/>
    <mergeCell ref="AU62:AU63"/>
    <mergeCell ref="BC62:BC63"/>
    <mergeCell ref="C60:M61"/>
    <mergeCell ref="N60:S61"/>
    <mergeCell ref="T60:U61"/>
    <mergeCell ref="V60:W61"/>
    <mergeCell ref="X60:AA61"/>
    <mergeCell ref="AK60:AM61"/>
    <mergeCell ref="AN60:AQ61"/>
    <mergeCell ref="AU60:AU61"/>
    <mergeCell ref="BC60:BC61"/>
    <mergeCell ref="C58:M59"/>
    <mergeCell ref="N58:S59"/>
    <mergeCell ref="T58:U59"/>
    <mergeCell ref="V58:W59"/>
    <mergeCell ref="X58:AA59"/>
    <mergeCell ref="AB58:AD59"/>
    <mergeCell ref="AE58:AF59"/>
    <mergeCell ref="AG58:AH59"/>
    <mergeCell ref="AI58:AJ59"/>
    <mergeCell ref="C62:M63"/>
    <mergeCell ref="AG60:AH61"/>
    <mergeCell ref="AI60:AJ61"/>
    <mergeCell ref="AK56:AM57"/>
    <mergeCell ref="AN56:AQ57"/>
    <mergeCell ref="AK52:AM53"/>
    <mergeCell ref="AN52:AQ53"/>
    <mergeCell ref="AK54:AM55"/>
    <mergeCell ref="AN54:AQ55"/>
    <mergeCell ref="V56:W57"/>
    <mergeCell ref="X56:AA57"/>
    <mergeCell ref="AB56:AD57"/>
    <mergeCell ref="AE56:AF57"/>
    <mergeCell ref="AB60:AD61"/>
    <mergeCell ref="AE60:AF61"/>
    <mergeCell ref="N62:S63"/>
    <mergeCell ref="C54:M55"/>
    <mergeCell ref="N54:S55"/>
    <mergeCell ref="T54:U55"/>
    <mergeCell ref="V54:W55"/>
    <mergeCell ref="X54:AA55"/>
    <mergeCell ref="C52:M53"/>
    <mergeCell ref="AG34:AH35"/>
    <mergeCell ref="AG50:AH51"/>
    <mergeCell ref="AI50:AJ51"/>
    <mergeCell ref="AG56:AH57"/>
    <mergeCell ref="AI56:AJ57"/>
    <mergeCell ref="AU46:AU47"/>
    <mergeCell ref="AI48:AJ49"/>
    <mergeCell ref="AN48:AQ49"/>
    <mergeCell ref="AK50:AM51"/>
    <mergeCell ref="AN50:AQ51"/>
    <mergeCell ref="AK48:AM49"/>
    <mergeCell ref="AG54:AH55"/>
    <mergeCell ref="AI54:AJ55"/>
    <mergeCell ref="AU56:AU57"/>
    <mergeCell ref="AK38:AM39"/>
    <mergeCell ref="AN38:AQ39"/>
    <mergeCell ref="C50:M51"/>
    <mergeCell ref="C48:M49"/>
    <mergeCell ref="X42:AA43"/>
    <mergeCell ref="AB42:AD43"/>
    <mergeCell ref="AE42:AF43"/>
    <mergeCell ref="X38:AA39"/>
    <mergeCell ref="AE34:AF35"/>
    <mergeCell ref="BC48:BC49"/>
    <mergeCell ref="AU50:AU51"/>
    <mergeCell ref="BC50:BC51"/>
    <mergeCell ref="AU52:AU53"/>
    <mergeCell ref="BC52:BC53"/>
    <mergeCell ref="AU54:AU55"/>
    <mergeCell ref="BC54:BC55"/>
    <mergeCell ref="BC36:BC37"/>
    <mergeCell ref="AB54:AD55"/>
    <mergeCell ref="AE54:AF55"/>
    <mergeCell ref="AB38:AD39"/>
    <mergeCell ref="AE38:AF39"/>
    <mergeCell ref="AG38:AH39"/>
    <mergeCell ref="AN44:AQ45"/>
    <mergeCell ref="AK46:AM47"/>
    <mergeCell ref="AN46:AQ47"/>
    <mergeCell ref="AK44:AM45"/>
    <mergeCell ref="BC56:BC57"/>
    <mergeCell ref="AV28:AV29"/>
    <mergeCell ref="AV30:AV31"/>
    <mergeCell ref="AU44:AU45"/>
    <mergeCell ref="BC44:BC45"/>
    <mergeCell ref="AV36:AV37"/>
    <mergeCell ref="AV38:AV39"/>
    <mergeCell ref="AV40:AV41"/>
    <mergeCell ref="AV42:AV43"/>
    <mergeCell ref="AV44:AV45"/>
    <mergeCell ref="BC32:BC33"/>
    <mergeCell ref="BC34:BC35"/>
    <mergeCell ref="AV32:AV33"/>
    <mergeCell ref="AV34:AV35"/>
    <mergeCell ref="AU38:AU39"/>
    <mergeCell ref="BC38:BC39"/>
    <mergeCell ref="AU40:AU41"/>
    <mergeCell ref="BC40:BC41"/>
    <mergeCell ref="AU42:AU43"/>
    <mergeCell ref="BC42:BC43"/>
    <mergeCell ref="BC28:BC29"/>
    <mergeCell ref="BC30:BC31"/>
    <mergeCell ref="BC46:BC47"/>
    <mergeCell ref="AU48:AU49"/>
    <mergeCell ref="AK30:AM31"/>
    <mergeCell ref="AI32:AJ33"/>
    <mergeCell ref="AK32:AM33"/>
    <mergeCell ref="AK34:AM35"/>
    <mergeCell ref="AN34:AQ35"/>
    <mergeCell ref="AK40:AM41"/>
    <mergeCell ref="AN40:AQ41"/>
    <mergeCell ref="AU36:AU37"/>
    <mergeCell ref="AN20:AQ21"/>
    <mergeCell ref="AK24:AM25"/>
    <mergeCell ref="AK26:AM27"/>
    <mergeCell ref="AK22:AM23"/>
    <mergeCell ref="AI36:AJ37"/>
    <mergeCell ref="AK36:AM37"/>
    <mergeCell ref="AN36:AQ37"/>
    <mergeCell ref="AK28:AM29"/>
    <mergeCell ref="AI38:AJ39"/>
    <mergeCell ref="AU14:AU15"/>
    <mergeCell ref="AK14:AM15"/>
    <mergeCell ref="AN14:AQ15"/>
    <mergeCell ref="AI14:AJ15"/>
    <mergeCell ref="V18:W19"/>
    <mergeCell ref="X18:AA19"/>
    <mergeCell ref="AN18:AQ19"/>
    <mergeCell ref="AN16:AQ17"/>
    <mergeCell ref="AG15:AH15"/>
    <mergeCell ref="AE18:AF19"/>
    <mergeCell ref="AG18:AH19"/>
    <mergeCell ref="B16:B17"/>
    <mergeCell ref="C16:M17"/>
    <mergeCell ref="N16:S17"/>
    <mergeCell ref="T16:U17"/>
    <mergeCell ref="V16:W17"/>
    <mergeCell ref="X16:AA17"/>
    <mergeCell ref="AE14:AH14"/>
    <mergeCell ref="AE15:AF15"/>
    <mergeCell ref="C14:M15"/>
    <mergeCell ref="N14:S15"/>
    <mergeCell ref="T14:U15"/>
    <mergeCell ref="V14:W15"/>
    <mergeCell ref="X14:AA15"/>
    <mergeCell ref="AB14:AD15"/>
    <mergeCell ref="AQ1:AR1"/>
    <mergeCell ref="AQ2:AR3"/>
    <mergeCell ref="R9:AD10"/>
    <mergeCell ref="Z11:AC11"/>
    <mergeCell ref="R12:U13"/>
    <mergeCell ref="V12:Y13"/>
    <mergeCell ref="Z12:AC13"/>
    <mergeCell ref="R11:U11"/>
    <mergeCell ref="V11:Y11"/>
    <mergeCell ref="AH1:AK1"/>
    <mergeCell ref="AL1:AP1"/>
    <mergeCell ref="AH2:AK3"/>
    <mergeCell ref="AL2:AP3"/>
    <mergeCell ref="AF11:AI11"/>
    <mergeCell ref="AF12:AI13"/>
    <mergeCell ref="B180:B181"/>
    <mergeCell ref="B182:B183"/>
    <mergeCell ref="B160:B161"/>
    <mergeCell ref="B138:B139"/>
    <mergeCell ref="B140:B141"/>
    <mergeCell ref="B162:B163"/>
    <mergeCell ref="B164:B165"/>
    <mergeCell ref="B166:B167"/>
    <mergeCell ref="B158:B159"/>
    <mergeCell ref="B144:B145"/>
    <mergeCell ref="B146:B147"/>
    <mergeCell ref="B148:B149"/>
    <mergeCell ref="B150:B151"/>
    <mergeCell ref="B168:B169"/>
    <mergeCell ref="B170:B171"/>
    <mergeCell ref="B172:B173"/>
    <mergeCell ref="B174:B175"/>
    <mergeCell ref="B176:B177"/>
    <mergeCell ref="B178:B179"/>
    <mergeCell ref="B142:B143"/>
    <mergeCell ref="B152:B153"/>
    <mergeCell ref="B154:B155"/>
    <mergeCell ref="B156:B157"/>
    <mergeCell ref="B198:B199"/>
    <mergeCell ref="B186:B187"/>
    <mergeCell ref="B188:B189"/>
    <mergeCell ref="B190:B191"/>
    <mergeCell ref="B192:B193"/>
    <mergeCell ref="B194:B195"/>
    <mergeCell ref="B196:B197"/>
    <mergeCell ref="B184:B185"/>
    <mergeCell ref="B78:B79"/>
    <mergeCell ref="B80:B81"/>
    <mergeCell ref="B82:B83"/>
    <mergeCell ref="B84:B85"/>
    <mergeCell ref="B86:B87"/>
    <mergeCell ref="B92:B93"/>
    <mergeCell ref="B94:B95"/>
    <mergeCell ref="B96:B97"/>
    <mergeCell ref="B98:B99"/>
    <mergeCell ref="B100:B101"/>
    <mergeCell ref="B136:B137"/>
    <mergeCell ref="B114:B115"/>
    <mergeCell ref="B116:B117"/>
    <mergeCell ref="B118:B119"/>
    <mergeCell ref="B120:B121"/>
    <mergeCell ref="B122:B123"/>
    <mergeCell ref="B132:B133"/>
    <mergeCell ref="B134:B135"/>
    <mergeCell ref="B112:B113"/>
    <mergeCell ref="B90:B91"/>
    <mergeCell ref="B110:B111"/>
    <mergeCell ref="B88:B89"/>
    <mergeCell ref="B66:B67"/>
    <mergeCell ref="B68:B69"/>
    <mergeCell ref="B70:B71"/>
    <mergeCell ref="B72:B73"/>
    <mergeCell ref="B74:B75"/>
    <mergeCell ref="B76:B77"/>
    <mergeCell ref="B124:B125"/>
    <mergeCell ref="B126:B127"/>
    <mergeCell ref="B128:B129"/>
    <mergeCell ref="B130:B131"/>
    <mergeCell ref="B102:B103"/>
    <mergeCell ref="B104:B105"/>
    <mergeCell ref="B106:B107"/>
    <mergeCell ref="B108:B109"/>
    <mergeCell ref="B64:B65"/>
    <mergeCell ref="B46:B47"/>
    <mergeCell ref="B48:B49"/>
    <mergeCell ref="B50:B51"/>
    <mergeCell ref="B52:B53"/>
    <mergeCell ref="B54:B55"/>
    <mergeCell ref="B56:B57"/>
    <mergeCell ref="B58:B59"/>
    <mergeCell ref="B60:B61"/>
    <mergeCell ref="B62:B63"/>
    <mergeCell ref="B32:B33"/>
    <mergeCell ref="B34:B35"/>
    <mergeCell ref="AU16:AU17"/>
    <mergeCell ref="AU18:AU19"/>
    <mergeCell ref="AU20:AU21"/>
    <mergeCell ref="AU22:AU23"/>
    <mergeCell ref="AU24:AU25"/>
    <mergeCell ref="B18:B19"/>
    <mergeCell ref="C20:M21"/>
    <mergeCell ref="C26:M27"/>
    <mergeCell ref="AG32:AH33"/>
    <mergeCell ref="X20:AA21"/>
    <mergeCell ref="V26:W27"/>
    <mergeCell ref="X26:AA27"/>
    <mergeCell ref="AI34:AJ35"/>
    <mergeCell ref="AB20:AD21"/>
    <mergeCell ref="AE20:AF21"/>
    <mergeCell ref="N20:S21"/>
    <mergeCell ref="AI26:AJ27"/>
    <mergeCell ref="AB22:AD23"/>
    <mergeCell ref="AE22:AF23"/>
    <mergeCell ref="AG22:AH23"/>
    <mergeCell ref="AI22:AJ23"/>
    <mergeCell ref="AG24:AH25"/>
    <mergeCell ref="B20:B21"/>
    <mergeCell ref="B22:B23"/>
    <mergeCell ref="B24:B25"/>
    <mergeCell ref="B26:B27"/>
    <mergeCell ref="B28:B29"/>
    <mergeCell ref="B30:B31"/>
    <mergeCell ref="C28:M29"/>
    <mergeCell ref="N28:S29"/>
    <mergeCell ref="T28:U29"/>
    <mergeCell ref="C22:M23"/>
    <mergeCell ref="N22:S23"/>
    <mergeCell ref="T22:U23"/>
    <mergeCell ref="C24:M25"/>
    <mergeCell ref="N24:S25"/>
    <mergeCell ref="T24:U25"/>
    <mergeCell ref="N26:S27"/>
    <mergeCell ref="T26:U27"/>
    <mergeCell ref="C30:M31"/>
    <mergeCell ref="N30:S31"/>
    <mergeCell ref="T30:U31"/>
    <mergeCell ref="AU200:AU201"/>
    <mergeCell ref="AU26:AU27"/>
    <mergeCell ref="AU28:AU29"/>
    <mergeCell ref="AU30:AU31"/>
    <mergeCell ref="AU32:AU33"/>
    <mergeCell ref="AU34:AU35"/>
    <mergeCell ref="AE16:AF17"/>
    <mergeCell ref="AG16:AH17"/>
    <mergeCell ref="AB24:AD25"/>
    <mergeCell ref="AE24:AF25"/>
    <mergeCell ref="AB16:AD17"/>
    <mergeCell ref="AK18:AM19"/>
    <mergeCell ref="AK16:AM17"/>
    <mergeCell ref="AK20:AM21"/>
    <mergeCell ref="AI18:AJ19"/>
    <mergeCell ref="AB18:AD19"/>
    <mergeCell ref="AN22:AQ23"/>
    <mergeCell ref="AN24:AQ25"/>
    <mergeCell ref="AB26:AD27"/>
    <mergeCell ref="AB30:AD31"/>
    <mergeCell ref="AE30:AF31"/>
    <mergeCell ref="AB28:AD29"/>
    <mergeCell ref="AE28:AF29"/>
    <mergeCell ref="AE26:AF27"/>
    <mergeCell ref="M200:AG201"/>
    <mergeCell ref="AG20:AH21"/>
    <mergeCell ref="AI20:AJ21"/>
    <mergeCell ref="AI16:AJ17"/>
    <mergeCell ref="N34:S35"/>
    <mergeCell ref="T34:U35"/>
    <mergeCell ref="V34:W35"/>
    <mergeCell ref="X34:AA35"/>
    <mergeCell ref="V20:W21"/>
    <mergeCell ref="T20:U21"/>
    <mergeCell ref="V28:W29"/>
    <mergeCell ref="V104:W105"/>
    <mergeCell ref="C18:M19"/>
    <mergeCell ref="N18:S19"/>
    <mergeCell ref="T18:U19"/>
    <mergeCell ref="V30:W31"/>
    <mergeCell ref="X30:AA31"/>
    <mergeCell ref="V24:W25"/>
    <mergeCell ref="X24:AA25"/>
    <mergeCell ref="N32:S33"/>
    <mergeCell ref="T32:U33"/>
    <mergeCell ref="V32:W33"/>
    <mergeCell ref="X32:AA33"/>
    <mergeCell ref="AB34:AD35"/>
    <mergeCell ref="C34:M35"/>
    <mergeCell ref="AI24:AJ25"/>
    <mergeCell ref="AB32:AD33"/>
    <mergeCell ref="AE32:AF33"/>
    <mergeCell ref="AG26:AH27"/>
    <mergeCell ref="X28:AA29"/>
    <mergeCell ref="AG30:AH31"/>
    <mergeCell ref="AI30:AJ31"/>
    <mergeCell ref="AG28:AH29"/>
    <mergeCell ref="AI28:AJ29"/>
    <mergeCell ref="V22:W23"/>
    <mergeCell ref="X22:AA23"/>
    <mergeCell ref="AI42:AJ43"/>
    <mergeCell ref="AK42:AM43"/>
    <mergeCell ref="AN42:AQ43"/>
    <mergeCell ref="C40:M41"/>
    <mergeCell ref="N40:S41"/>
    <mergeCell ref="T40:U41"/>
    <mergeCell ref="V40:W41"/>
    <mergeCell ref="X40:AA41"/>
    <mergeCell ref="AB40:AD41"/>
    <mergeCell ref="AE40:AF41"/>
    <mergeCell ref="AG40:AH41"/>
    <mergeCell ref="AI40:AJ41"/>
    <mergeCell ref="X36:AA37"/>
    <mergeCell ref="AB36:AD37"/>
    <mergeCell ref="AE36:AF37"/>
    <mergeCell ref="AG36:AH37"/>
    <mergeCell ref="AG42:AH43"/>
    <mergeCell ref="AN26:AQ27"/>
    <mergeCell ref="AN28:AQ29"/>
    <mergeCell ref="AN30:AQ31"/>
    <mergeCell ref="AN32:AQ33"/>
    <mergeCell ref="C32:M33"/>
    <mergeCell ref="X44:AA45"/>
    <mergeCell ref="AB44:AD45"/>
    <mergeCell ref="AE44:AF45"/>
    <mergeCell ref="AG44:AH45"/>
    <mergeCell ref="AI44:AJ45"/>
    <mergeCell ref="C46:M47"/>
    <mergeCell ref="N46:S47"/>
    <mergeCell ref="T46:U47"/>
    <mergeCell ref="V46:W47"/>
    <mergeCell ref="X46:AA47"/>
    <mergeCell ref="AB46:AD47"/>
    <mergeCell ref="AE46:AF47"/>
    <mergeCell ref="AG46:AH47"/>
    <mergeCell ref="AI46:AJ47"/>
    <mergeCell ref="B36:B37"/>
    <mergeCell ref="B38:B39"/>
    <mergeCell ref="B40:B41"/>
    <mergeCell ref="B42:B43"/>
    <mergeCell ref="B44:B45"/>
    <mergeCell ref="C36:M37"/>
    <mergeCell ref="N36:S37"/>
    <mergeCell ref="T36:U37"/>
    <mergeCell ref="V36:W37"/>
    <mergeCell ref="C42:M43"/>
    <mergeCell ref="N42:S43"/>
    <mergeCell ref="T42:U43"/>
    <mergeCell ref="V42:W43"/>
    <mergeCell ref="C38:M39"/>
    <mergeCell ref="N38:S39"/>
    <mergeCell ref="T38:U39"/>
    <mergeCell ref="V38:W39"/>
    <mergeCell ref="C44:M45"/>
    <mergeCell ref="N44:S45"/>
    <mergeCell ref="T44:U45"/>
    <mergeCell ref="V44:W45"/>
    <mergeCell ref="N52:S53"/>
    <mergeCell ref="T52:U53"/>
    <mergeCell ref="V52:W53"/>
    <mergeCell ref="X52:AA53"/>
    <mergeCell ref="AB52:AD53"/>
    <mergeCell ref="AE52:AF53"/>
    <mergeCell ref="AG52:AH53"/>
    <mergeCell ref="AI52:AJ53"/>
    <mergeCell ref="T48:U49"/>
    <mergeCell ref="V48:W49"/>
    <mergeCell ref="X48:AA49"/>
    <mergeCell ref="AB48:AD49"/>
    <mergeCell ref="AE48:AF49"/>
    <mergeCell ref="AG48:AH49"/>
    <mergeCell ref="N48:S49"/>
    <mergeCell ref="N50:S51"/>
    <mergeCell ref="T50:U51"/>
    <mergeCell ref="V50:W51"/>
    <mergeCell ref="X50:AA51"/>
    <mergeCell ref="AB50:AD51"/>
    <mergeCell ref="AE50:AF51"/>
    <mergeCell ref="AV14:AV15"/>
    <mergeCell ref="AV16:AV17"/>
    <mergeCell ref="AV18:AV19"/>
    <mergeCell ref="AV20:AV21"/>
    <mergeCell ref="AV22:AV23"/>
    <mergeCell ref="AV24:AV25"/>
    <mergeCell ref="AV26:AV27"/>
    <mergeCell ref="BC14:BC15"/>
    <mergeCell ref="BC16:BC17"/>
    <mergeCell ref="BC18:BC19"/>
    <mergeCell ref="BC20:BC21"/>
    <mergeCell ref="BC22:BC23"/>
    <mergeCell ref="BC24:BC25"/>
    <mergeCell ref="BC26:BC27"/>
    <mergeCell ref="BE42:BE43"/>
    <mergeCell ref="BE44:BE45"/>
    <mergeCell ref="BE14:BE15"/>
    <mergeCell ref="BE16:BE17"/>
    <mergeCell ref="BE18:BE19"/>
    <mergeCell ref="BE20:BE21"/>
    <mergeCell ref="BE22:BE23"/>
    <mergeCell ref="BE24:BE25"/>
    <mergeCell ref="BE26:BE27"/>
    <mergeCell ref="BE28:BE29"/>
    <mergeCell ref="BE30:BE31"/>
    <mergeCell ref="BE32:BE33"/>
    <mergeCell ref="BE34:BE35"/>
    <mergeCell ref="BE36:BE37"/>
    <mergeCell ref="BE38:BE39"/>
    <mergeCell ref="BE40:BE41"/>
  </mergeCells>
  <conditionalFormatting sqref="AH2 AL2">
    <cfRule type="expression" dxfId="151" priority="1">
      <formula>PROJSTATUS=PROJSTATELI</formula>
    </cfRule>
    <cfRule type="expression" dxfId="150" priority="2">
      <formula>PROJSTATUS=PROJSTATREVIEW</formula>
    </cfRule>
    <cfRule type="expression" dxfId="149" priority="6">
      <formula>PROJSTATUS=PROJSTATPREAPPROVE</formula>
    </cfRule>
    <cfRule type="expression" dxfId="148" priority="7">
      <formula>PROJSTATUS=PROJSTATSTANDARD</formula>
    </cfRule>
    <cfRule type="expression" dxfId="147" priority="8">
      <formula>PROJSTATUS=PROJSTATEXP</formula>
    </cfRule>
  </conditionalFormatting>
  <conditionalFormatting sqref="AQ2:AR3">
    <cfRule type="cellIs" dxfId="146" priority="3" operator="equal">
      <formula>1</formula>
    </cfRule>
    <cfRule type="cellIs" dxfId="145" priority="4" operator="between">
      <formula>0.51</formula>
      <formula>0.99</formula>
    </cfRule>
    <cfRule type="cellIs" dxfId="144" priority="5" operator="lessThanOrEqual">
      <formula>0.5</formula>
    </cfRule>
  </conditionalFormatting>
  <dataValidations xWindow="639" yWindow="555" count="6">
    <dataValidation type="decimal" allowBlank="1" showInputMessage="1" showErrorMessage="1" error="Please enter a numerical value" prompt="Reference the &quot;Unit of Measure&quot; column to ensure you enter the correct value based on unit type." sqref="V36:W55" xr:uid="{00000000-0002-0000-1900-000000000000}">
      <formula1>INDEX(PMGHVACEFFW1,MATCH(C36,PMGHVACEFF1,0))</formula1>
      <formula2>INDEX(PMGHVACEFFW2,MATCH(C36,PMGHVACEFF1,0))</formula2>
    </dataValidation>
    <dataValidation type="decimal" allowBlank="1" showInputMessage="1" showErrorMessage="1" error="Please enter a numerical value" sqref="AG16:AH55" xr:uid="{00000000-0002-0000-1900-000001000000}">
      <formula1>0</formula1>
      <formula2>999999</formula2>
    </dataValidation>
    <dataValidation type="list" allowBlank="1" showInputMessage="1" showErrorMessage="1" sqref="C16:M65 C68:M115" xr:uid="{00000000-0002-0000-1900-000002000000}">
      <formula1>PMGHVACEFF1</formula1>
    </dataValidation>
    <dataValidation type="decimal" allowBlank="1" showInputMessage="1" showErrorMessage="1" error="Please enter a numerical value" sqref="AE16:AF55" xr:uid="{00000000-0002-0000-1900-000003000000}">
      <formula1>0.01</formula1>
      <formula2>999999</formula2>
    </dataValidation>
    <dataValidation type="decimal" allowBlank="1" showInputMessage="1" showErrorMessage="1" error="The units entered do not match the Measure selected. Please ensure that the correct Measure and size range was selected." prompt="Reference the &quot;Unit of Measure&quot; column to ensure you enter the correct value based on unit type." sqref="V18:W35" xr:uid="{CC6BB5D5-0D11-49F3-AFE3-2EF39A1B85F7}">
      <formula1>INDEX(PMGHVACEFFW1,MATCH(C18,PMGHVACEFF1,0))</formula1>
      <formula2>INDEX(PMGHVACEFFW2,MATCH(C18,PMGHVACEFF1,0))</formula2>
    </dataValidation>
    <dataValidation type="decimal" showInputMessage="1" showErrorMessage="1" error="The units entered do not match the Measure selected. Please ensure that the correct Measure and size range was selected." prompt="Reference the &quot;Unit of Measure&quot; column to ensure you enter the correct value based on unit type." sqref="V16:W17" xr:uid="{A5785A8A-DD8D-403F-9BD4-A718E7089BDD}">
      <formula1>INDEX(PMGHVACEFFW1,MATCH(C16,PMGHVACEFF1,0))</formula1>
      <formula2>INDEX(PMGHVACEFFW2,MATCH(C16,PMGHVACEFF1,0))</formula2>
    </dataValidation>
  </dataValidations>
  <hyperlinks>
    <hyperlink ref="B202" r:id="rId1" xr:uid="{38410FBA-BF49-438F-AF61-C94E6560D6E4}"/>
  </hyperlinks>
  <pageMargins left="0.25" right="0.25" top="0.25" bottom="0.25" header="0.25" footer="0.25"/>
  <pageSetup scale="40" fitToHeight="0" orientation="landscape" r:id="rId2"/>
  <drawing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33">
    <pageSetUpPr fitToPage="1"/>
  </sheetPr>
  <dimension ref="A1:BZ203"/>
  <sheetViews>
    <sheetView showGridLines="0" showRowColHeaders="0" zoomScale="85" zoomScaleNormal="85" workbookViewId="0">
      <selection activeCell="C16" sqref="C16:M17"/>
    </sheetView>
  </sheetViews>
  <sheetFormatPr defaultColWidth="0" defaultRowHeight="0" customHeight="1" zeroHeight="1"/>
  <cols>
    <col min="1" max="44" width="4.7109375" customWidth="1"/>
    <col min="45" max="45" width="4.7109375" style="59" customWidth="1"/>
    <col min="46" max="46" width="4.7109375" style="59" hidden="1" customWidth="1"/>
    <col min="47" max="78" width="9.140625" style="59" hidden="1" customWidth="1"/>
    <col min="79" max="16384" width="9.140625" hidden="1"/>
  </cols>
  <sheetData>
    <row r="1" spans="2:55" ht="15.95" customHeight="1">
      <c r="AH1" s="686" t="s">
        <v>471</v>
      </c>
      <c r="AI1" s="686"/>
      <c r="AJ1" s="686"/>
      <c r="AK1" s="686"/>
      <c r="AL1" s="687" t="s">
        <v>736</v>
      </c>
      <c r="AM1" s="687"/>
      <c r="AN1" s="687"/>
      <c r="AO1" s="687"/>
      <c r="AP1" s="687"/>
      <c r="AQ1" s="683" t="s">
        <v>474</v>
      </c>
      <c r="AR1" s="683"/>
    </row>
    <row r="2" spans="2:55" ht="15.95" customHeight="1">
      <c r="AH2" s="688" t="str">
        <f ca="1">INCENSTATUS</f>
        <v>---</v>
      </c>
      <c r="AI2" s="689"/>
      <c r="AJ2" s="689"/>
      <c r="AK2" s="689"/>
      <c r="AL2" s="690" t="str">
        <f ca="1">PROJSTATUS</f>
        <v>Enter Measures</v>
      </c>
      <c r="AM2" s="690"/>
      <c r="AN2" s="690"/>
      <c r="AO2" s="690"/>
      <c r="AP2" s="690"/>
      <c r="AQ2" s="684">
        <f ca="1">PROGRESSSTATUS</f>
        <v>2.8985507246376812E-2</v>
      </c>
      <c r="AR2" s="685"/>
    </row>
    <row r="3" spans="2:55" ht="15.95" customHeight="1">
      <c r="AH3" s="680"/>
      <c r="AI3" s="681"/>
      <c r="AJ3" s="681"/>
      <c r="AK3" s="681"/>
      <c r="AL3" s="673"/>
      <c r="AM3" s="673"/>
      <c r="AN3" s="673"/>
      <c r="AO3" s="673"/>
      <c r="AP3" s="673"/>
      <c r="AQ3" s="667"/>
      <c r="AR3" s="668"/>
    </row>
    <row r="4" spans="2:55" ht="15.95" customHeight="1">
      <c r="AR4" s="171"/>
    </row>
    <row r="5" spans="2:55" ht="15.95" customHeight="1"/>
    <row r="6" spans="2:55" ht="15.95" customHeight="1">
      <c r="AU6" s="59" t="s">
        <v>907</v>
      </c>
      <c r="AV6" s="59">
        <f>PROJID</f>
        <v>0</v>
      </c>
    </row>
    <row r="7" spans="2:55" ht="15.95" customHeight="1">
      <c r="AU7" s="87"/>
      <c r="AV7" s="87" t="s">
        <v>866</v>
      </c>
      <c r="AW7" s="87" t="s">
        <v>231</v>
      </c>
      <c r="AX7" s="87" t="s">
        <v>892</v>
      </c>
    </row>
    <row r="8" spans="2:55" ht="15.95" customHeight="1">
      <c r="AU8" s="87" t="s">
        <v>219</v>
      </c>
      <c r="AV8" s="87" t="str">
        <f ca="1">CBPRESE</f>
        <v>NA</v>
      </c>
      <c r="AW8" s="87" t="str">
        <f ca="1">CBCUSE</f>
        <v>NA</v>
      </c>
      <c r="AX8" s="87" t="str">
        <f ca="1">CBALL</f>
        <v>NA</v>
      </c>
    </row>
    <row r="9" spans="2:55" ht="15.95" customHeight="1">
      <c r="B9" s="59"/>
      <c r="C9" s="59"/>
      <c r="D9" s="59"/>
      <c r="E9" s="59"/>
      <c r="F9" s="59"/>
      <c r="G9" s="59"/>
      <c r="H9" s="59"/>
      <c r="I9" s="59"/>
      <c r="J9" s="59"/>
      <c r="K9" s="59"/>
      <c r="L9" s="59"/>
      <c r="M9" s="59"/>
      <c r="N9" s="59"/>
      <c r="O9" s="59"/>
      <c r="P9" s="59"/>
      <c r="Q9" s="59"/>
      <c r="R9" s="735" t="str">
        <f>CONCATENATE(M3S7," ","Summary")</f>
        <v>Water Heating / Others (Gas) Summary</v>
      </c>
      <c r="S9" s="735"/>
      <c r="T9" s="735"/>
      <c r="U9" s="735"/>
      <c r="V9" s="735"/>
      <c r="W9" s="735"/>
      <c r="X9" s="735"/>
      <c r="Y9" s="735"/>
      <c r="Z9" s="735"/>
      <c r="AA9" s="735"/>
      <c r="AB9" s="735"/>
      <c r="AC9" s="735"/>
      <c r="AD9" s="59"/>
      <c r="AE9" s="59"/>
      <c r="AF9" s="59"/>
      <c r="AG9" s="59"/>
      <c r="AH9" s="59"/>
      <c r="AI9" s="59"/>
      <c r="AJ9" s="59"/>
      <c r="AK9" s="59"/>
      <c r="AL9" s="59"/>
      <c r="AM9" s="59"/>
      <c r="AN9" s="59"/>
      <c r="AO9" s="59"/>
      <c r="AP9" s="59"/>
      <c r="AQ9" s="59"/>
      <c r="AR9" s="59"/>
      <c r="AU9" s="87"/>
      <c r="AV9" s="87"/>
      <c r="AW9" s="87"/>
      <c r="AX9" s="87"/>
    </row>
    <row r="10" spans="2:55" ht="15.95" customHeight="1">
      <c r="B10" s="59"/>
      <c r="C10" s="59"/>
      <c r="D10" s="59"/>
      <c r="E10" s="59"/>
      <c r="F10" s="59"/>
      <c r="G10" s="59"/>
      <c r="H10" s="59"/>
      <c r="I10" s="59"/>
      <c r="J10" s="59"/>
      <c r="K10" s="59"/>
      <c r="L10" s="59"/>
      <c r="M10" s="59"/>
      <c r="N10" s="59"/>
      <c r="O10" s="59"/>
      <c r="P10" s="59"/>
      <c r="Q10" s="59"/>
      <c r="R10" s="735"/>
      <c r="S10" s="735"/>
      <c r="T10" s="735"/>
      <c r="U10" s="735"/>
      <c r="V10" s="735"/>
      <c r="W10" s="735"/>
      <c r="X10" s="735"/>
      <c r="Y10" s="735"/>
      <c r="Z10" s="735"/>
      <c r="AA10" s="735"/>
      <c r="AB10" s="735"/>
      <c r="AC10" s="735"/>
      <c r="AD10" s="59"/>
      <c r="AE10" s="59"/>
      <c r="AF10" s="59"/>
      <c r="AG10" s="59"/>
      <c r="AH10" s="59"/>
      <c r="AI10" s="59"/>
      <c r="AJ10" s="59"/>
      <c r="AK10" s="59"/>
      <c r="AL10" s="59"/>
      <c r="AM10" s="59"/>
      <c r="AN10" s="59"/>
      <c r="AO10" s="59"/>
      <c r="AP10" s="59"/>
      <c r="AQ10" s="59"/>
      <c r="AR10" s="59"/>
      <c r="AU10" s="87" t="s">
        <v>581</v>
      </c>
      <c r="AV10" s="87" t="str">
        <f ca="1">PAYPRESE</f>
        <v>NA</v>
      </c>
      <c r="AW10" s="87" t="str">
        <f ca="1">PAYCUSE</f>
        <v>NA</v>
      </c>
      <c r="AX10" s="367" t="str">
        <f ca="1">PAYALL</f>
        <v>NA</v>
      </c>
    </row>
    <row r="11" spans="2:55" ht="15.95" customHeight="1">
      <c r="B11" s="59"/>
      <c r="C11" s="59"/>
      <c r="D11" s="59"/>
      <c r="E11" s="59"/>
      <c r="F11" s="59"/>
      <c r="G11" s="59"/>
      <c r="H11" s="59"/>
      <c r="I11" s="59"/>
      <c r="J11" s="59"/>
      <c r="K11" s="59"/>
      <c r="L11" s="59"/>
      <c r="M11" s="59"/>
      <c r="N11" s="59"/>
      <c r="O11" s="59"/>
      <c r="P11" s="59"/>
      <c r="Q11" s="59"/>
      <c r="R11" s="836" t="s">
        <v>68</v>
      </c>
      <c r="S11" s="836"/>
      <c r="T11" s="836"/>
      <c r="U11" s="836"/>
      <c r="V11" s="836" t="s">
        <v>69</v>
      </c>
      <c r="W11" s="836"/>
      <c r="X11" s="836"/>
      <c r="Y11" s="836"/>
      <c r="Z11" s="836" t="s">
        <v>198</v>
      </c>
      <c r="AA11" s="836"/>
      <c r="AB11" s="836"/>
      <c r="AC11" s="836"/>
      <c r="AD11" s="59"/>
      <c r="AE11" s="59"/>
      <c r="AF11" s="59"/>
      <c r="AG11" s="59"/>
      <c r="AH11" s="59"/>
      <c r="AI11" s="59"/>
      <c r="AJ11" s="59"/>
      <c r="AK11" s="59"/>
      <c r="AL11" s="59"/>
      <c r="AM11" s="59"/>
      <c r="AN11" s="59"/>
      <c r="AO11" s="59"/>
      <c r="AP11" s="59"/>
      <c r="AQ11" s="59"/>
      <c r="AR11" s="59"/>
    </row>
    <row r="12" spans="2:55" ht="15.95" customHeight="1">
      <c r="B12" s="59"/>
      <c r="C12" s="59"/>
      <c r="D12" s="59"/>
      <c r="E12" s="59"/>
      <c r="F12" s="59"/>
      <c r="G12" s="59"/>
      <c r="H12" s="59"/>
      <c r="I12" s="59"/>
      <c r="J12" s="59"/>
      <c r="K12" s="59"/>
      <c r="L12" s="59"/>
      <c r="M12" s="59"/>
      <c r="N12" s="59"/>
      <c r="O12" s="59"/>
      <c r="P12" s="59"/>
      <c r="Q12" s="59"/>
      <c r="R12" s="880">
        <f>SUM(AN16:AQ199)</f>
        <v>0</v>
      </c>
      <c r="S12" s="880"/>
      <c r="T12" s="880"/>
      <c r="U12" s="880"/>
      <c r="V12" s="880">
        <f>AU200</f>
        <v>0</v>
      </c>
      <c r="W12" s="880"/>
      <c r="X12" s="880"/>
      <c r="Y12" s="880"/>
      <c r="Z12" s="1003">
        <f ca="1">SUMIF(AN16:AQ199,"&gt;0",AK16:AM199)</f>
        <v>0</v>
      </c>
      <c r="AA12" s="1003"/>
      <c r="AB12" s="1003"/>
      <c r="AC12" s="1003"/>
      <c r="AD12" s="59"/>
      <c r="AE12" s="59"/>
      <c r="AF12" s="59"/>
      <c r="AG12" s="59"/>
      <c r="AH12" s="59"/>
      <c r="AI12" s="59"/>
      <c r="AJ12" s="59"/>
      <c r="AK12" s="59"/>
      <c r="AL12" s="59"/>
      <c r="AM12" s="59"/>
      <c r="AN12" s="59"/>
      <c r="AO12" s="59"/>
      <c r="AP12" s="59"/>
      <c r="AQ12" s="59"/>
      <c r="AR12" s="59"/>
    </row>
    <row r="13" spans="2:55" ht="15.95" customHeight="1">
      <c r="B13" s="59"/>
      <c r="C13" s="59"/>
      <c r="D13" s="59"/>
      <c r="E13" s="59"/>
      <c r="F13" s="59"/>
      <c r="G13" s="59"/>
      <c r="H13" s="59"/>
      <c r="I13" s="59"/>
      <c r="J13" s="59"/>
      <c r="K13" s="59"/>
      <c r="L13" s="59"/>
      <c r="M13" s="59"/>
      <c r="N13" s="59"/>
      <c r="O13" s="59"/>
      <c r="P13" s="59"/>
      <c r="Q13" s="59"/>
      <c r="R13" s="880"/>
      <c r="S13" s="880"/>
      <c r="T13" s="880"/>
      <c r="U13" s="880"/>
      <c r="V13" s="880"/>
      <c r="W13" s="880"/>
      <c r="X13" s="880"/>
      <c r="Y13" s="880"/>
      <c r="Z13" s="1003"/>
      <c r="AA13" s="1003"/>
      <c r="AB13" s="1003"/>
      <c r="AC13" s="1003"/>
      <c r="AD13" s="59"/>
      <c r="AE13" s="59"/>
      <c r="AF13" s="59"/>
      <c r="AG13" s="59"/>
      <c r="AH13" s="59"/>
      <c r="AI13" s="59"/>
      <c r="AJ13" s="59"/>
      <c r="AK13" s="59"/>
      <c r="AL13" s="59"/>
      <c r="AM13" s="59"/>
      <c r="AN13" s="59"/>
      <c r="AO13" s="59"/>
      <c r="AP13" s="59"/>
      <c r="AQ13" s="59"/>
      <c r="AR13" s="59"/>
    </row>
    <row r="14" spans="2:55" ht="15.95" customHeight="1">
      <c r="C14" s="809" t="s">
        <v>99</v>
      </c>
      <c r="D14" s="809"/>
      <c r="E14" s="809"/>
      <c r="F14" s="809"/>
      <c r="G14" s="809"/>
      <c r="H14" s="809"/>
      <c r="I14" s="809"/>
      <c r="J14" s="809"/>
      <c r="K14" s="809"/>
      <c r="L14" s="809"/>
      <c r="M14" s="809"/>
      <c r="N14" s="809" t="s">
        <v>103</v>
      </c>
      <c r="O14" s="809"/>
      <c r="P14" s="809"/>
      <c r="Q14" s="809"/>
      <c r="R14" s="809"/>
      <c r="S14" s="809"/>
      <c r="T14" s="809" t="s">
        <v>100</v>
      </c>
      <c r="U14" s="809"/>
      <c r="V14" s="809" t="s">
        <v>91</v>
      </c>
      <c r="W14" s="809"/>
      <c r="X14" s="809" t="s">
        <v>115</v>
      </c>
      <c r="Y14" s="809"/>
      <c r="Z14" s="809"/>
      <c r="AA14" s="809"/>
      <c r="AB14" s="809" t="s">
        <v>104</v>
      </c>
      <c r="AC14" s="809"/>
      <c r="AD14" s="809"/>
      <c r="AE14" s="809" t="s">
        <v>97</v>
      </c>
      <c r="AF14" s="809"/>
      <c r="AG14" s="809" t="s">
        <v>98</v>
      </c>
      <c r="AH14" s="809"/>
      <c r="AI14" s="809" t="s">
        <v>93</v>
      </c>
      <c r="AJ14" s="809"/>
      <c r="AK14" s="809" t="s">
        <v>1358</v>
      </c>
      <c r="AL14" s="809"/>
      <c r="AM14" s="809"/>
      <c r="AN14" s="809" t="s">
        <v>108</v>
      </c>
      <c r="AO14" s="809"/>
      <c r="AP14" s="809"/>
      <c r="AQ14" s="809"/>
      <c r="AU14" s="809" t="s">
        <v>196</v>
      </c>
      <c r="AV14"/>
      <c r="BC14" s="809" t="s">
        <v>489</v>
      </c>
    </row>
    <row r="15" spans="2:55" ht="15.95" customHeight="1" thickBot="1">
      <c r="C15" s="810"/>
      <c r="D15" s="810"/>
      <c r="E15" s="810"/>
      <c r="F15" s="810"/>
      <c r="G15" s="810"/>
      <c r="H15" s="810"/>
      <c r="I15" s="810"/>
      <c r="J15" s="810"/>
      <c r="K15" s="810"/>
      <c r="L15" s="810"/>
      <c r="M15" s="810"/>
      <c r="N15" s="810"/>
      <c r="O15" s="810"/>
      <c r="P15" s="810"/>
      <c r="Q15" s="810"/>
      <c r="R15" s="810"/>
      <c r="S15" s="810"/>
      <c r="T15" s="810"/>
      <c r="U15" s="810"/>
      <c r="V15" s="810"/>
      <c r="W15" s="810"/>
      <c r="X15" s="810"/>
      <c r="Y15" s="810"/>
      <c r="Z15" s="810"/>
      <c r="AA15" s="810"/>
      <c r="AB15" s="810"/>
      <c r="AC15" s="810"/>
      <c r="AD15" s="810"/>
      <c r="AE15" s="810"/>
      <c r="AF15" s="810"/>
      <c r="AG15" s="810"/>
      <c r="AH15" s="810"/>
      <c r="AI15" s="810"/>
      <c r="AJ15" s="810"/>
      <c r="AK15" s="810"/>
      <c r="AL15" s="810"/>
      <c r="AM15" s="810"/>
      <c r="AN15" s="810"/>
      <c r="AO15" s="810"/>
      <c r="AP15" s="810"/>
      <c r="AQ15" s="810"/>
      <c r="AU15" s="810"/>
      <c r="AV15"/>
      <c r="BC15" s="810"/>
    </row>
    <row r="16" spans="2:55" ht="15.95" customHeight="1">
      <c r="B16" s="835">
        <v>1</v>
      </c>
      <c r="C16" s="837"/>
      <c r="D16" s="838"/>
      <c r="E16" s="838"/>
      <c r="F16" s="838"/>
      <c r="G16" s="838"/>
      <c r="H16" s="838"/>
      <c r="I16" s="838"/>
      <c r="J16" s="838"/>
      <c r="K16" s="838"/>
      <c r="L16" s="838"/>
      <c r="M16" s="839"/>
      <c r="N16" s="914" t="str">
        <f>IFERROR(IF(C16="","",INDEX(PMGWATER[Base Desc 1],MATCH(C16,PMGWATER[Eff Desc 1],0))),"")</f>
        <v/>
      </c>
      <c r="O16" s="915"/>
      <c r="P16" s="915"/>
      <c r="Q16" s="915"/>
      <c r="R16" s="915"/>
      <c r="S16" s="916"/>
      <c r="T16" s="953" t="str">
        <f>IFERROR(IF(C16="","",INDEX(PMGWATER[Unit of Measure],MATCH(C16,PMGWATER[Eff Desc 1],0))),"")</f>
        <v/>
      </c>
      <c r="U16" s="954"/>
      <c r="V16" s="851"/>
      <c r="W16" s="852"/>
      <c r="X16" s="837"/>
      <c r="Y16" s="838"/>
      <c r="Z16" s="838"/>
      <c r="AA16" s="839"/>
      <c r="AB16" s="837"/>
      <c r="AC16" s="838"/>
      <c r="AD16" s="839"/>
      <c r="AE16" s="863"/>
      <c r="AF16" s="874"/>
      <c r="AG16" s="863"/>
      <c r="AH16" s="874"/>
      <c r="AI16" s="923" t="str">
        <f>IFERROR(IF(C16="","",INDEX(PMGWATER[Inc Rate Unit],MATCH(C16,PMGWATER[Eff Desc 1],0))),"")</f>
        <v/>
      </c>
      <c r="AJ16" s="924"/>
      <c r="AK16" s="1004" t="str">
        <f>IF(OR(C16="",V16="",X16="",AB16="",AE16="",AG16=""),"",ROUND(V16*INDEX(PMGWATER[Savings per Unit Therm],MATCH(C16,PMGWATER[Eff Desc 1],2)),0))</f>
        <v/>
      </c>
      <c r="AL16" s="1005"/>
      <c r="AM16" s="1005"/>
      <c r="AN16" s="1081" t="str">
        <f>IF(OR(C16="",V16="",X16="",AB16="",AE16="",AG16=""),"",IF(BC16&lt;&gt;"",BC16,MIN(AU16,ROUND(V16*AI16,2))))</f>
        <v/>
      </c>
      <c r="AO16" s="1082"/>
      <c r="AP16" s="1082"/>
      <c r="AQ16" s="883"/>
      <c r="AU16" s="813" t="str">
        <f>IF(OR(C16="",V16="",X16="",AB16="",AE16="",AG16=""),"",ROUND((AE16+AG16)*V16,2))</f>
        <v/>
      </c>
      <c r="AV16"/>
      <c r="BC16" s="830"/>
    </row>
    <row r="17" spans="2:55" ht="15.95" customHeight="1">
      <c r="B17" s="835"/>
      <c r="C17" s="840"/>
      <c r="D17" s="841"/>
      <c r="E17" s="841"/>
      <c r="F17" s="841"/>
      <c r="G17" s="841"/>
      <c r="H17" s="841"/>
      <c r="I17" s="841"/>
      <c r="J17" s="841"/>
      <c r="K17" s="841"/>
      <c r="L17" s="841"/>
      <c r="M17" s="842"/>
      <c r="N17" s="917"/>
      <c r="O17" s="918"/>
      <c r="P17" s="918"/>
      <c r="Q17" s="918"/>
      <c r="R17" s="918"/>
      <c r="S17" s="919"/>
      <c r="T17" s="955"/>
      <c r="U17" s="956"/>
      <c r="V17" s="853"/>
      <c r="W17" s="854"/>
      <c r="X17" s="840"/>
      <c r="Y17" s="841"/>
      <c r="Z17" s="841"/>
      <c r="AA17" s="842"/>
      <c r="AB17" s="840"/>
      <c r="AC17" s="841"/>
      <c r="AD17" s="842"/>
      <c r="AE17" s="865"/>
      <c r="AF17" s="875"/>
      <c r="AG17" s="865"/>
      <c r="AH17" s="875"/>
      <c r="AI17" s="925"/>
      <c r="AJ17" s="870"/>
      <c r="AK17" s="1007"/>
      <c r="AL17" s="1008"/>
      <c r="AM17" s="1008"/>
      <c r="AN17" s="925"/>
      <c r="AO17" s="932"/>
      <c r="AP17" s="932"/>
      <c r="AQ17" s="870"/>
      <c r="AU17" s="814"/>
      <c r="AV17"/>
      <c r="BC17" s="831"/>
    </row>
    <row r="18" spans="2:55" ht="15.95" customHeight="1">
      <c r="B18" s="834">
        <v>2</v>
      </c>
      <c r="C18" s="837"/>
      <c r="D18" s="838"/>
      <c r="E18" s="838"/>
      <c r="F18" s="838"/>
      <c r="G18" s="838"/>
      <c r="H18" s="838"/>
      <c r="I18" s="838"/>
      <c r="J18" s="838"/>
      <c r="K18" s="838"/>
      <c r="L18" s="838"/>
      <c r="M18" s="839"/>
      <c r="N18" s="914" t="str">
        <f>IFERROR(IF(C18="","",INDEX(PMGWATER[Base Desc 1],MATCH(C18,PMGWATER[Eff Desc 1],0))),"")</f>
        <v/>
      </c>
      <c r="O18" s="915"/>
      <c r="P18" s="915"/>
      <c r="Q18" s="915"/>
      <c r="R18" s="915"/>
      <c r="S18" s="916"/>
      <c r="T18" s="953" t="str">
        <f>IFERROR(IF(C18="","",INDEX(PMGWATER[Unit of Measure],MATCH(C18,PMGWATER[Eff Desc 1],0))),"")</f>
        <v/>
      </c>
      <c r="U18" s="954"/>
      <c r="V18" s="851"/>
      <c r="W18" s="852"/>
      <c r="X18" s="837"/>
      <c r="Y18" s="838"/>
      <c r="Z18" s="838"/>
      <c r="AA18" s="839"/>
      <c r="AB18" s="837"/>
      <c r="AC18" s="838"/>
      <c r="AD18" s="839"/>
      <c r="AE18" s="863"/>
      <c r="AF18" s="874"/>
      <c r="AG18" s="863"/>
      <c r="AH18" s="874"/>
      <c r="AI18" s="923" t="str">
        <f>IFERROR(IF(C18="","",INDEX(PMGWATER[Inc Rate Unit],MATCH(C18,PMGWATER[Eff Desc 1],0))),"")</f>
        <v/>
      </c>
      <c r="AJ18" s="924"/>
      <c r="AK18" s="1004" t="str">
        <f>IF(OR(C18="",V18="",X18="",AB18="",AE18="",AG18=""),"",ROUND(V18*INDEX(PMGWATER[Savings per Unit Therm],MATCH(C18,PMGWATER[Eff Desc 1],2)),0))</f>
        <v/>
      </c>
      <c r="AL18" s="1005"/>
      <c r="AM18" s="1006"/>
      <c r="AN18" s="930" t="str">
        <f>IF(OR(C18="",V18="",X18="",AB18="",AE18="",AG18=""),"",IF(BC18&lt;&gt;"",BC18,MIN(AU18,ROUND(V18*AI18,2))))</f>
        <v/>
      </c>
      <c r="AO18" s="931"/>
      <c r="AP18" s="931"/>
      <c r="AQ18" s="868"/>
      <c r="AU18" s="813" t="str">
        <f>IF(OR(C18="",V18="",X18="",AB18="",AE18="",AG18=""),"",ROUND((AE18+AG18)*V18,2))</f>
        <v/>
      </c>
      <c r="AV18"/>
      <c r="BC18" s="830"/>
    </row>
    <row r="19" spans="2:55" ht="15.95" customHeight="1">
      <c r="B19" s="834"/>
      <c r="C19" s="840"/>
      <c r="D19" s="841"/>
      <c r="E19" s="841"/>
      <c r="F19" s="841"/>
      <c r="G19" s="841"/>
      <c r="H19" s="841"/>
      <c r="I19" s="841"/>
      <c r="J19" s="841"/>
      <c r="K19" s="841"/>
      <c r="L19" s="841"/>
      <c r="M19" s="842"/>
      <c r="N19" s="917"/>
      <c r="O19" s="918"/>
      <c r="P19" s="918"/>
      <c r="Q19" s="918"/>
      <c r="R19" s="918"/>
      <c r="S19" s="919"/>
      <c r="T19" s="955"/>
      <c r="U19" s="956"/>
      <c r="V19" s="853"/>
      <c r="W19" s="854"/>
      <c r="X19" s="840"/>
      <c r="Y19" s="841"/>
      <c r="Z19" s="841"/>
      <c r="AA19" s="842"/>
      <c r="AB19" s="840"/>
      <c r="AC19" s="841"/>
      <c r="AD19" s="842"/>
      <c r="AE19" s="865"/>
      <c r="AF19" s="875"/>
      <c r="AG19" s="865"/>
      <c r="AH19" s="875"/>
      <c r="AI19" s="925"/>
      <c r="AJ19" s="870"/>
      <c r="AK19" s="1007"/>
      <c r="AL19" s="1008"/>
      <c r="AM19" s="1009"/>
      <c r="AN19" s="925"/>
      <c r="AO19" s="932"/>
      <c r="AP19" s="932"/>
      <c r="AQ19" s="870"/>
      <c r="AU19" s="814"/>
      <c r="AV19"/>
      <c r="BC19" s="831"/>
    </row>
    <row r="20" spans="2:55" ht="15.95" customHeight="1">
      <c r="B20" s="834">
        <v>3</v>
      </c>
      <c r="C20" s="837"/>
      <c r="D20" s="838"/>
      <c r="E20" s="838"/>
      <c r="F20" s="838"/>
      <c r="G20" s="838"/>
      <c r="H20" s="838"/>
      <c r="I20" s="838"/>
      <c r="J20" s="838"/>
      <c r="K20" s="838"/>
      <c r="L20" s="838"/>
      <c r="M20" s="839"/>
      <c r="N20" s="914" t="str">
        <f>IFERROR(IF(C20="","",INDEX(PMGWATER[Base Desc 1],MATCH(C20,PMGWATER[Eff Desc 1],0))),"")</f>
        <v/>
      </c>
      <c r="O20" s="915"/>
      <c r="P20" s="915"/>
      <c r="Q20" s="915"/>
      <c r="R20" s="915"/>
      <c r="S20" s="916"/>
      <c r="T20" s="953" t="str">
        <f>IFERROR(IF(C20="","",INDEX(PMGWATER[Unit of Measure],MATCH(C20,PMGWATER[Eff Desc 1],0))),"")</f>
        <v/>
      </c>
      <c r="U20" s="954"/>
      <c r="V20" s="851"/>
      <c r="W20" s="852"/>
      <c r="X20" s="837"/>
      <c r="Y20" s="838"/>
      <c r="Z20" s="838"/>
      <c r="AA20" s="839"/>
      <c r="AB20" s="837"/>
      <c r="AC20" s="838"/>
      <c r="AD20" s="839"/>
      <c r="AE20" s="863"/>
      <c r="AF20" s="874"/>
      <c r="AG20" s="863"/>
      <c r="AH20" s="874"/>
      <c r="AI20" s="923" t="str">
        <f>IFERROR(IF(C20="","",INDEX(PMGWATER[Inc Rate Unit],MATCH(C20,PMGWATER[Eff Desc 1],0))),"")</f>
        <v/>
      </c>
      <c r="AJ20" s="924"/>
      <c r="AK20" s="1004" t="str">
        <f>IF(OR(C20="",V20="",X20="",AB20="",AE20="",AG20=""),"",ROUND(V20*INDEX(PMGWATER[Savings per Unit Therm],MATCH(C20,PMGWATER[Eff Desc 1],2)),0))</f>
        <v/>
      </c>
      <c r="AL20" s="1005"/>
      <c r="AM20" s="1006"/>
      <c r="AN20" s="930" t="str">
        <f t="shared" ref="AN20" si="0">IF(OR(C20="",V20="",X20="",AB20="",AE20="",AG20=""),"",IF(BC20&lt;&gt;"",BC20,MIN(AU20,ROUND(V20*AI20,2))))</f>
        <v/>
      </c>
      <c r="AO20" s="931"/>
      <c r="AP20" s="931"/>
      <c r="AQ20" s="868"/>
      <c r="AU20" s="813" t="str">
        <f>IF(OR(C20="",V20="",X20="",AB20="",AE20="",AG20=""),"",ROUND((AE20+AG20)*V20,2))</f>
        <v/>
      </c>
      <c r="AV20"/>
      <c r="BC20" s="830"/>
    </row>
    <row r="21" spans="2:55" ht="15.95" customHeight="1">
      <c r="B21" s="834"/>
      <c r="C21" s="840"/>
      <c r="D21" s="841"/>
      <c r="E21" s="841"/>
      <c r="F21" s="841"/>
      <c r="G21" s="841"/>
      <c r="H21" s="841"/>
      <c r="I21" s="841"/>
      <c r="J21" s="841"/>
      <c r="K21" s="841"/>
      <c r="L21" s="841"/>
      <c r="M21" s="842"/>
      <c r="N21" s="917"/>
      <c r="O21" s="918"/>
      <c r="P21" s="918"/>
      <c r="Q21" s="918"/>
      <c r="R21" s="918"/>
      <c r="S21" s="919"/>
      <c r="T21" s="955"/>
      <c r="U21" s="956"/>
      <c r="V21" s="853"/>
      <c r="W21" s="854"/>
      <c r="X21" s="840"/>
      <c r="Y21" s="841"/>
      <c r="Z21" s="841"/>
      <c r="AA21" s="842"/>
      <c r="AB21" s="840"/>
      <c r="AC21" s="841"/>
      <c r="AD21" s="842"/>
      <c r="AE21" s="865"/>
      <c r="AF21" s="875"/>
      <c r="AG21" s="865"/>
      <c r="AH21" s="875"/>
      <c r="AI21" s="925"/>
      <c r="AJ21" s="870"/>
      <c r="AK21" s="1007"/>
      <c r="AL21" s="1008"/>
      <c r="AM21" s="1009"/>
      <c r="AN21" s="925"/>
      <c r="AO21" s="932"/>
      <c r="AP21" s="932"/>
      <c r="AQ21" s="870"/>
      <c r="AU21" s="814"/>
      <c r="AV21"/>
      <c r="BC21" s="831"/>
    </row>
    <row r="22" spans="2:55" ht="15.95" customHeight="1">
      <c r="B22" s="834">
        <v>4</v>
      </c>
      <c r="C22" s="837"/>
      <c r="D22" s="838"/>
      <c r="E22" s="838"/>
      <c r="F22" s="838"/>
      <c r="G22" s="838"/>
      <c r="H22" s="838"/>
      <c r="I22" s="838"/>
      <c r="J22" s="838"/>
      <c r="K22" s="838"/>
      <c r="L22" s="838"/>
      <c r="M22" s="839"/>
      <c r="N22" s="914" t="str">
        <f>IFERROR(IF(C22="","",INDEX(PMGWATER[Base Desc 1],MATCH(C22,PMGWATER[Eff Desc 1],0))),"")</f>
        <v/>
      </c>
      <c r="O22" s="915"/>
      <c r="P22" s="915"/>
      <c r="Q22" s="915"/>
      <c r="R22" s="915"/>
      <c r="S22" s="916"/>
      <c r="T22" s="953" t="str">
        <f>IFERROR(IF(C22="","",INDEX(PMGWATER[Unit of Measure],MATCH(C22,PMGWATER[Eff Desc 1],0))),"")</f>
        <v/>
      </c>
      <c r="U22" s="954"/>
      <c r="V22" s="851"/>
      <c r="W22" s="852"/>
      <c r="X22" s="837"/>
      <c r="Y22" s="838"/>
      <c r="Z22" s="838"/>
      <c r="AA22" s="839"/>
      <c r="AB22" s="837"/>
      <c r="AC22" s="838"/>
      <c r="AD22" s="839"/>
      <c r="AE22" s="863"/>
      <c r="AF22" s="874"/>
      <c r="AG22" s="863"/>
      <c r="AH22" s="874"/>
      <c r="AI22" s="923" t="str">
        <f>IFERROR(IF(C22="","",INDEX(PMGWATER[Inc Rate Unit],MATCH(C22,PMGWATER[Eff Desc 1],0))),"")</f>
        <v/>
      </c>
      <c r="AJ22" s="924"/>
      <c r="AK22" s="1004" t="str">
        <f>IF(OR(C22="",V22="",X22="",AB22="",AE22="",AG22=""),"",ROUND(V22*INDEX(PMGWATER[Savings per Unit Therm],MATCH(C22,PMGWATER[Eff Desc 1],2)),0))</f>
        <v/>
      </c>
      <c r="AL22" s="1005"/>
      <c r="AM22" s="1006"/>
      <c r="AN22" s="930" t="str">
        <f t="shared" ref="AN22" si="1">IF(OR(C22="",V22="",X22="",AB22="",AE22="",AG22=""),"",IF(BC22&lt;&gt;"",BC22,MIN(AU22,ROUND(V22*AI22,2))))</f>
        <v/>
      </c>
      <c r="AO22" s="931"/>
      <c r="AP22" s="931"/>
      <c r="AQ22" s="868"/>
      <c r="AU22" s="813" t="str">
        <f>IF(OR(C22="",V22="",X22="",AB22="",AE22="",AG22=""),"",ROUND((AE22+AG22)*V22,2))</f>
        <v/>
      </c>
      <c r="AV22"/>
      <c r="BC22" s="830"/>
    </row>
    <row r="23" spans="2:55" ht="15.95" customHeight="1">
      <c r="B23" s="834"/>
      <c r="C23" s="840"/>
      <c r="D23" s="841"/>
      <c r="E23" s="841"/>
      <c r="F23" s="841"/>
      <c r="G23" s="841"/>
      <c r="H23" s="841"/>
      <c r="I23" s="841"/>
      <c r="J23" s="841"/>
      <c r="K23" s="841"/>
      <c r="L23" s="841"/>
      <c r="M23" s="842"/>
      <c r="N23" s="917"/>
      <c r="O23" s="918"/>
      <c r="P23" s="918"/>
      <c r="Q23" s="918"/>
      <c r="R23" s="918"/>
      <c r="S23" s="919"/>
      <c r="T23" s="955"/>
      <c r="U23" s="956"/>
      <c r="V23" s="853"/>
      <c r="W23" s="854"/>
      <c r="X23" s="840"/>
      <c r="Y23" s="841"/>
      <c r="Z23" s="841"/>
      <c r="AA23" s="842"/>
      <c r="AB23" s="840"/>
      <c r="AC23" s="841"/>
      <c r="AD23" s="842"/>
      <c r="AE23" s="865"/>
      <c r="AF23" s="875"/>
      <c r="AG23" s="865"/>
      <c r="AH23" s="875"/>
      <c r="AI23" s="925"/>
      <c r="AJ23" s="870"/>
      <c r="AK23" s="1007"/>
      <c r="AL23" s="1008"/>
      <c r="AM23" s="1009"/>
      <c r="AN23" s="925"/>
      <c r="AO23" s="932"/>
      <c r="AP23" s="932"/>
      <c r="AQ23" s="870"/>
      <c r="AU23" s="814"/>
      <c r="AV23"/>
      <c r="BC23" s="831"/>
    </row>
    <row r="24" spans="2:55" ht="15.95" customHeight="1">
      <c r="B24" s="834">
        <v>5</v>
      </c>
      <c r="C24" s="837"/>
      <c r="D24" s="838"/>
      <c r="E24" s="838"/>
      <c r="F24" s="838"/>
      <c r="G24" s="838"/>
      <c r="H24" s="838"/>
      <c r="I24" s="838"/>
      <c r="J24" s="838"/>
      <c r="K24" s="838"/>
      <c r="L24" s="838"/>
      <c r="M24" s="839"/>
      <c r="N24" s="914" t="str">
        <f>IFERROR(IF(C24="","",INDEX(PMGWATER[Base Desc 1],MATCH(C24,PMGWATER[Eff Desc 1],0))),"")</f>
        <v/>
      </c>
      <c r="O24" s="915"/>
      <c r="P24" s="915"/>
      <c r="Q24" s="915"/>
      <c r="R24" s="915"/>
      <c r="S24" s="916"/>
      <c r="T24" s="953" t="str">
        <f>IFERROR(IF(C24="","",INDEX(PMGWATER[Unit of Measure],MATCH(C24,PMGWATER[Eff Desc 1],0))),"")</f>
        <v/>
      </c>
      <c r="U24" s="954"/>
      <c r="V24" s="851"/>
      <c r="W24" s="852"/>
      <c r="X24" s="837"/>
      <c r="Y24" s="838"/>
      <c r="Z24" s="838"/>
      <c r="AA24" s="839"/>
      <c r="AB24" s="837"/>
      <c r="AC24" s="838"/>
      <c r="AD24" s="839"/>
      <c r="AE24" s="863"/>
      <c r="AF24" s="874"/>
      <c r="AG24" s="863"/>
      <c r="AH24" s="874"/>
      <c r="AI24" s="923" t="str">
        <f>IFERROR(IF(C24="","",INDEX(PMGWATER[Inc Rate Unit],MATCH(C24,PMGWATER[Eff Desc 1],0))),"")</f>
        <v/>
      </c>
      <c r="AJ24" s="924"/>
      <c r="AK24" s="1004" t="str">
        <f>IF(OR(C24="",V24="",X24="",AB24="",AE24="",AG24=""),"",ROUND(V24*INDEX(PMGWATER[Savings per Unit Therm],MATCH(C24,PMGWATER[Eff Desc 1],2)),0))</f>
        <v/>
      </c>
      <c r="AL24" s="1005"/>
      <c r="AM24" s="1006"/>
      <c r="AN24" s="930" t="str">
        <f t="shared" ref="AN24" si="2">IF(OR(C24="",V24="",X24="",AB24="",AE24="",AG24=""),"",IF(BC24&lt;&gt;"",BC24,MIN(AU24,ROUND(V24*AI24,2))))</f>
        <v/>
      </c>
      <c r="AO24" s="931"/>
      <c r="AP24" s="931"/>
      <c r="AQ24" s="868"/>
      <c r="AU24" s="813" t="str">
        <f>IF(OR(C24="",V24="",X24="",AB24="",AE24="",AG24=""),"",ROUND((AE24+AG24)*V24,2))</f>
        <v/>
      </c>
      <c r="AV24"/>
      <c r="BC24" s="830"/>
    </row>
    <row r="25" spans="2:55" ht="15.95" customHeight="1">
      <c r="B25" s="834"/>
      <c r="C25" s="840"/>
      <c r="D25" s="841"/>
      <c r="E25" s="841"/>
      <c r="F25" s="841"/>
      <c r="G25" s="841"/>
      <c r="H25" s="841"/>
      <c r="I25" s="841"/>
      <c r="J25" s="841"/>
      <c r="K25" s="841"/>
      <c r="L25" s="841"/>
      <c r="M25" s="842"/>
      <c r="N25" s="917"/>
      <c r="O25" s="918"/>
      <c r="P25" s="918"/>
      <c r="Q25" s="918"/>
      <c r="R25" s="918"/>
      <c r="S25" s="919"/>
      <c r="T25" s="955"/>
      <c r="U25" s="956"/>
      <c r="V25" s="853"/>
      <c r="W25" s="854"/>
      <c r="X25" s="840"/>
      <c r="Y25" s="841"/>
      <c r="Z25" s="841"/>
      <c r="AA25" s="842"/>
      <c r="AB25" s="840"/>
      <c r="AC25" s="841"/>
      <c r="AD25" s="842"/>
      <c r="AE25" s="865"/>
      <c r="AF25" s="875"/>
      <c r="AG25" s="865"/>
      <c r="AH25" s="875"/>
      <c r="AI25" s="925"/>
      <c r="AJ25" s="870"/>
      <c r="AK25" s="1007"/>
      <c r="AL25" s="1008"/>
      <c r="AM25" s="1009"/>
      <c r="AN25" s="925"/>
      <c r="AO25" s="932"/>
      <c r="AP25" s="932"/>
      <c r="AQ25" s="870"/>
      <c r="AU25" s="814"/>
      <c r="AV25"/>
      <c r="BC25" s="831"/>
    </row>
    <row r="26" spans="2:55" ht="15.95" customHeight="1">
      <c r="B26" s="834">
        <v>6</v>
      </c>
      <c r="C26" s="837"/>
      <c r="D26" s="838"/>
      <c r="E26" s="838"/>
      <c r="F26" s="838"/>
      <c r="G26" s="838"/>
      <c r="H26" s="838"/>
      <c r="I26" s="838"/>
      <c r="J26" s="838"/>
      <c r="K26" s="838"/>
      <c r="L26" s="838"/>
      <c r="M26" s="839"/>
      <c r="N26" s="914" t="str">
        <f>IFERROR(IF(C26="","",INDEX(PMGWATER[Base Desc 1],MATCH(C26,PMGWATER[Eff Desc 1],0))),"")</f>
        <v/>
      </c>
      <c r="O26" s="915"/>
      <c r="P26" s="915"/>
      <c r="Q26" s="915"/>
      <c r="R26" s="915"/>
      <c r="S26" s="916"/>
      <c r="T26" s="953" t="str">
        <f>IFERROR(IF(C26="","",INDEX(PMGWATER[Unit of Measure],MATCH(C26,PMGWATER[Eff Desc 1],0))),"")</f>
        <v/>
      </c>
      <c r="U26" s="954"/>
      <c r="V26" s="851"/>
      <c r="W26" s="852"/>
      <c r="X26" s="837"/>
      <c r="Y26" s="838"/>
      <c r="Z26" s="838"/>
      <c r="AA26" s="839"/>
      <c r="AB26" s="837"/>
      <c r="AC26" s="838"/>
      <c r="AD26" s="839"/>
      <c r="AE26" s="863"/>
      <c r="AF26" s="874"/>
      <c r="AG26" s="863"/>
      <c r="AH26" s="874"/>
      <c r="AI26" s="923" t="str">
        <f>IFERROR(IF(C26="","",INDEX(PMGWATER[Inc Rate Unit],MATCH(C26,PMGWATER[Eff Desc 1],0))),"")</f>
        <v/>
      </c>
      <c r="AJ26" s="924"/>
      <c r="AK26" s="1004" t="str">
        <f>IF(OR(C26="",V26="",X26="",AB26="",AE26="",AG26=""),"",ROUND(V26*INDEX(PMGWATER[Savings per Unit Therm],MATCH(C26,PMGWATER[Eff Desc 1],2)),0))</f>
        <v/>
      </c>
      <c r="AL26" s="1005"/>
      <c r="AM26" s="1006"/>
      <c r="AN26" s="930" t="str">
        <f t="shared" ref="AN26" si="3">IF(OR(C26="",V26="",X26="",AB26="",AE26="",AG26=""),"",IF(BC26&lt;&gt;"",BC26,MIN(AU26,ROUND(V26*AI26,2))))</f>
        <v/>
      </c>
      <c r="AO26" s="931"/>
      <c r="AP26" s="931"/>
      <c r="AQ26" s="868"/>
      <c r="AU26" s="813" t="str">
        <f>IF(OR(C26="",V26="",X26="",AB26="",AE26="",AG26=""),"",ROUND((AE26+AG26)*V26,2))</f>
        <v/>
      </c>
      <c r="AV26"/>
      <c r="BC26" s="830"/>
    </row>
    <row r="27" spans="2:55" ht="15.95" customHeight="1">
      <c r="B27" s="834"/>
      <c r="C27" s="840"/>
      <c r="D27" s="841"/>
      <c r="E27" s="841"/>
      <c r="F27" s="841"/>
      <c r="G27" s="841"/>
      <c r="H27" s="841"/>
      <c r="I27" s="841"/>
      <c r="J27" s="841"/>
      <c r="K27" s="841"/>
      <c r="L27" s="841"/>
      <c r="M27" s="842"/>
      <c r="N27" s="917"/>
      <c r="O27" s="918"/>
      <c r="P27" s="918"/>
      <c r="Q27" s="918"/>
      <c r="R27" s="918"/>
      <c r="S27" s="919"/>
      <c r="T27" s="955"/>
      <c r="U27" s="956"/>
      <c r="V27" s="853"/>
      <c r="W27" s="854"/>
      <c r="X27" s="840"/>
      <c r="Y27" s="841"/>
      <c r="Z27" s="841"/>
      <c r="AA27" s="842"/>
      <c r="AB27" s="840"/>
      <c r="AC27" s="841"/>
      <c r="AD27" s="842"/>
      <c r="AE27" s="865"/>
      <c r="AF27" s="875"/>
      <c r="AG27" s="865"/>
      <c r="AH27" s="875"/>
      <c r="AI27" s="925"/>
      <c r="AJ27" s="870"/>
      <c r="AK27" s="1007"/>
      <c r="AL27" s="1008"/>
      <c r="AM27" s="1009"/>
      <c r="AN27" s="925"/>
      <c r="AO27" s="932"/>
      <c r="AP27" s="932"/>
      <c r="AQ27" s="870"/>
      <c r="AU27" s="814"/>
      <c r="AV27"/>
      <c r="BC27" s="831"/>
    </row>
    <row r="28" spans="2:55" ht="15.95" customHeight="1">
      <c r="B28" s="834">
        <v>7</v>
      </c>
      <c r="C28" s="837"/>
      <c r="D28" s="838"/>
      <c r="E28" s="838"/>
      <c r="F28" s="838"/>
      <c r="G28" s="838"/>
      <c r="H28" s="838"/>
      <c r="I28" s="838"/>
      <c r="J28" s="838"/>
      <c r="K28" s="838"/>
      <c r="L28" s="838"/>
      <c r="M28" s="839"/>
      <c r="N28" s="914" t="str">
        <f>IFERROR(IF(C28="","",INDEX(PMGWATER[Base Desc 1],MATCH(C28,PMGWATER[Eff Desc 1],0))),"")</f>
        <v/>
      </c>
      <c r="O28" s="915"/>
      <c r="P28" s="915"/>
      <c r="Q28" s="915"/>
      <c r="R28" s="915"/>
      <c r="S28" s="916"/>
      <c r="T28" s="953" t="str">
        <f>IFERROR(IF(C28="","",INDEX(PMGWATER[Unit of Measure],MATCH(C28,PMGWATER[Eff Desc 1],0))),"")</f>
        <v/>
      </c>
      <c r="U28" s="954"/>
      <c r="V28" s="851"/>
      <c r="W28" s="852"/>
      <c r="X28" s="837"/>
      <c r="Y28" s="838"/>
      <c r="Z28" s="838"/>
      <c r="AA28" s="839"/>
      <c r="AB28" s="837"/>
      <c r="AC28" s="838"/>
      <c r="AD28" s="839"/>
      <c r="AE28" s="863"/>
      <c r="AF28" s="874"/>
      <c r="AG28" s="863"/>
      <c r="AH28" s="874"/>
      <c r="AI28" s="923" t="str">
        <f>IFERROR(IF(C28="","",INDEX(PMGWATER[Inc Rate Unit],MATCH(C28,PMGWATER[Eff Desc 1],0))),"")</f>
        <v/>
      </c>
      <c r="AJ28" s="924"/>
      <c r="AK28" s="1004" t="str">
        <f>IF(OR(C28="",V28="",X28="",AB28="",AE28="",AG28=""),"",ROUND(V28*INDEX(PMGWATER[Savings per Unit Therm],MATCH(C28,PMGWATER[Eff Desc 1],2)),0))</f>
        <v/>
      </c>
      <c r="AL28" s="1005"/>
      <c r="AM28" s="1006"/>
      <c r="AN28" s="930" t="str">
        <f t="shared" ref="AN28" si="4">IF(OR(C28="",V28="",X28="",AB28="",AE28="",AG28=""),"",IF(BC28&lt;&gt;"",BC28,MIN(AU28,ROUND(V28*AI28,2))))</f>
        <v/>
      </c>
      <c r="AO28" s="931"/>
      <c r="AP28" s="931"/>
      <c r="AQ28" s="868"/>
      <c r="AU28" s="813" t="str">
        <f>IF(OR(C28="",V28="",X28="",AB28="",AE28="",AG28=""),"",ROUND((AE28+AG28)*V28,2))</f>
        <v/>
      </c>
      <c r="AV28"/>
      <c r="BC28" s="830"/>
    </row>
    <row r="29" spans="2:55" ht="15.95" customHeight="1">
      <c r="B29" s="834"/>
      <c r="C29" s="840"/>
      <c r="D29" s="841"/>
      <c r="E29" s="841"/>
      <c r="F29" s="841"/>
      <c r="G29" s="841"/>
      <c r="H29" s="841"/>
      <c r="I29" s="841"/>
      <c r="J29" s="841"/>
      <c r="K29" s="841"/>
      <c r="L29" s="841"/>
      <c r="M29" s="842"/>
      <c r="N29" s="917"/>
      <c r="O29" s="918"/>
      <c r="P29" s="918"/>
      <c r="Q29" s="918"/>
      <c r="R29" s="918"/>
      <c r="S29" s="919"/>
      <c r="T29" s="955"/>
      <c r="U29" s="956"/>
      <c r="V29" s="853"/>
      <c r="W29" s="854"/>
      <c r="X29" s="840"/>
      <c r="Y29" s="841"/>
      <c r="Z29" s="841"/>
      <c r="AA29" s="842"/>
      <c r="AB29" s="840"/>
      <c r="AC29" s="841"/>
      <c r="AD29" s="842"/>
      <c r="AE29" s="865"/>
      <c r="AF29" s="875"/>
      <c r="AG29" s="865"/>
      <c r="AH29" s="875"/>
      <c r="AI29" s="925"/>
      <c r="AJ29" s="870"/>
      <c r="AK29" s="1007"/>
      <c r="AL29" s="1008"/>
      <c r="AM29" s="1009"/>
      <c r="AN29" s="925"/>
      <c r="AO29" s="932"/>
      <c r="AP29" s="932"/>
      <c r="AQ29" s="870"/>
      <c r="AU29" s="814"/>
      <c r="AV29"/>
      <c r="BC29" s="831"/>
    </row>
    <row r="30" spans="2:55" ht="15.95" customHeight="1">
      <c r="B30" s="834">
        <v>8</v>
      </c>
      <c r="C30" s="837"/>
      <c r="D30" s="838"/>
      <c r="E30" s="838"/>
      <c r="F30" s="838"/>
      <c r="G30" s="838"/>
      <c r="H30" s="838"/>
      <c r="I30" s="838"/>
      <c r="J30" s="838"/>
      <c r="K30" s="838"/>
      <c r="L30" s="838"/>
      <c r="M30" s="839"/>
      <c r="N30" s="914" t="str">
        <f>IFERROR(IF(C30="","",INDEX(PMGWATER[Base Desc 1],MATCH(C30,PMGWATER[Eff Desc 1],0))),"")</f>
        <v/>
      </c>
      <c r="O30" s="915"/>
      <c r="P30" s="915"/>
      <c r="Q30" s="915"/>
      <c r="R30" s="915"/>
      <c r="S30" s="916"/>
      <c r="T30" s="953" t="str">
        <f>IFERROR(IF(C30="","",INDEX(PMGWATER[Unit of Measure],MATCH(C30,PMGWATER[Eff Desc 1],0))),"")</f>
        <v/>
      </c>
      <c r="U30" s="954"/>
      <c r="V30" s="851"/>
      <c r="W30" s="852"/>
      <c r="X30" s="837"/>
      <c r="Y30" s="838"/>
      <c r="Z30" s="838"/>
      <c r="AA30" s="839"/>
      <c r="AB30" s="837"/>
      <c r="AC30" s="838"/>
      <c r="AD30" s="839"/>
      <c r="AE30" s="863"/>
      <c r="AF30" s="874"/>
      <c r="AG30" s="863"/>
      <c r="AH30" s="874"/>
      <c r="AI30" s="923" t="str">
        <f>IFERROR(IF(C30="","",INDEX(PMGWATER[Inc Rate Unit],MATCH(C30,PMGWATER[Eff Desc 1],0))),"")</f>
        <v/>
      </c>
      <c r="AJ30" s="924"/>
      <c r="AK30" s="1004" t="str">
        <f>IF(OR(C30="",V30="",X30="",AB30="",AE30="",AG30=""),"",ROUND(V30*INDEX(PMGWATER[Savings per Unit Therm],MATCH(C30,PMGWATER[Eff Desc 1],2)),0))</f>
        <v/>
      </c>
      <c r="AL30" s="1005"/>
      <c r="AM30" s="1006"/>
      <c r="AN30" s="930" t="str">
        <f t="shared" ref="AN30" si="5">IF(OR(C30="",V30="",X30="",AB30="",AE30="",AG30=""),"",IF(BC30&lt;&gt;"",BC30,MIN(AU30,ROUND(V30*AI30,2))))</f>
        <v/>
      </c>
      <c r="AO30" s="931"/>
      <c r="AP30" s="931"/>
      <c r="AQ30" s="868"/>
      <c r="AU30" s="813" t="str">
        <f>IF(OR(C30="",V30="",X30="",AB30="",AE30="",AG30=""),"",ROUND((AE30+AG30)*V30,2))</f>
        <v/>
      </c>
      <c r="AV30"/>
      <c r="BC30" s="830"/>
    </row>
    <row r="31" spans="2:55" ht="15.95" customHeight="1">
      <c r="B31" s="834"/>
      <c r="C31" s="840"/>
      <c r="D31" s="841"/>
      <c r="E31" s="841"/>
      <c r="F31" s="841"/>
      <c r="G31" s="841"/>
      <c r="H31" s="841"/>
      <c r="I31" s="841"/>
      <c r="J31" s="841"/>
      <c r="K31" s="841"/>
      <c r="L31" s="841"/>
      <c r="M31" s="842"/>
      <c r="N31" s="917"/>
      <c r="O31" s="918"/>
      <c r="P31" s="918"/>
      <c r="Q31" s="918"/>
      <c r="R31" s="918"/>
      <c r="S31" s="919"/>
      <c r="T31" s="955"/>
      <c r="U31" s="956"/>
      <c r="V31" s="853"/>
      <c r="W31" s="854"/>
      <c r="X31" s="840"/>
      <c r="Y31" s="841"/>
      <c r="Z31" s="841"/>
      <c r="AA31" s="842"/>
      <c r="AB31" s="840"/>
      <c r="AC31" s="841"/>
      <c r="AD31" s="842"/>
      <c r="AE31" s="865"/>
      <c r="AF31" s="875"/>
      <c r="AG31" s="865"/>
      <c r="AH31" s="875"/>
      <c r="AI31" s="925"/>
      <c r="AJ31" s="870"/>
      <c r="AK31" s="1007"/>
      <c r="AL31" s="1008"/>
      <c r="AM31" s="1009"/>
      <c r="AN31" s="925"/>
      <c r="AO31" s="932"/>
      <c r="AP31" s="932"/>
      <c r="AQ31" s="870"/>
      <c r="AU31" s="814"/>
      <c r="AV31"/>
      <c r="BC31" s="831"/>
    </row>
    <row r="32" spans="2:55" ht="15.95" customHeight="1">
      <c r="B32" s="834">
        <v>9</v>
      </c>
      <c r="C32" s="837"/>
      <c r="D32" s="838"/>
      <c r="E32" s="838"/>
      <c r="F32" s="838"/>
      <c r="G32" s="838"/>
      <c r="H32" s="838"/>
      <c r="I32" s="838"/>
      <c r="J32" s="838"/>
      <c r="K32" s="838"/>
      <c r="L32" s="838"/>
      <c r="M32" s="839"/>
      <c r="N32" s="914" t="str">
        <f>IFERROR(IF(C32="","",INDEX(PMGWATER[Base Desc 1],MATCH(C32,PMGWATER[Eff Desc 1],0))),"")</f>
        <v/>
      </c>
      <c r="O32" s="915"/>
      <c r="P32" s="915"/>
      <c r="Q32" s="915"/>
      <c r="R32" s="915"/>
      <c r="S32" s="916"/>
      <c r="T32" s="953" t="str">
        <f>IFERROR(IF(C32="","",INDEX(PMGWATER[Unit of Measure],MATCH(C32,PMGWATER[Eff Desc 1],0))),"")</f>
        <v/>
      </c>
      <c r="U32" s="954"/>
      <c r="V32" s="851"/>
      <c r="W32" s="852"/>
      <c r="X32" s="837"/>
      <c r="Y32" s="838"/>
      <c r="Z32" s="838"/>
      <c r="AA32" s="839"/>
      <c r="AB32" s="837"/>
      <c r="AC32" s="838"/>
      <c r="AD32" s="839"/>
      <c r="AE32" s="863"/>
      <c r="AF32" s="874"/>
      <c r="AG32" s="863"/>
      <c r="AH32" s="874"/>
      <c r="AI32" s="923" t="str">
        <f>IFERROR(IF(C32="","",INDEX(PMGWATER[Inc Rate Unit],MATCH(C32,PMGWATER[Eff Desc 1],0))),"")</f>
        <v/>
      </c>
      <c r="AJ32" s="924"/>
      <c r="AK32" s="1004" t="str">
        <f>IF(OR(C32="",V32="",X32="",AB32="",AE32="",AG32=""),"",ROUND(V32*INDEX(PMGWATER[Savings per Unit Therm],MATCH(C32,PMGWATER[Eff Desc 1],2)),0))</f>
        <v/>
      </c>
      <c r="AL32" s="1005"/>
      <c r="AM32" s="1006"/>
      <c r="AN32" s="930" t="str">
        <f t="shared" ref="AN32" si="6">IF(OR(C32="",V32="",X32="",AB32="",AE32="",AG32=""),"",IF(BC32&lt;&gt;"",BC32,MIN(AU32,ROUND(V32*AI32,2))))</f>
        <v/>
      </c>
      <c r="AO32" s="931"/>
      <c r="AP32" s="931"/>
      <c r="AQ32" s="868"/>
      <c r="AU32" s="813" t="str">
        <f>IF(OR(C32="",V32="",X32="",AB32="",AE32="",AG32=""),"",ROUND((AE32+AG32)*V32,2))</f>
        <v/>
      </c>
      <c r="AV32"/>
      <c r="BC32" s="830"/>
    </row>
    <row r="33" spans="2:55" ht="15.95" customHeight="1">
      <c r="B33" s="834"/>
      <c r="C33" s="840"/>
      <c r="D33" s="841"/>
      <c r="E33" s="841"/>
      <c r="F33" s="841"/>
      <c r="G33" s="841"/>
      <c r="H33" s="841"/>
      <c r="I33" s="841"/>
      <c r="J33" s="841"/>
      <c r="K33" s="841"/>
      <c r="L33" s="841"/>
      <c r="M33" s="842"/>
      <c r="N33" s="917"/>
      <c r="O33" s="918"/>
      <c r="P33" s="918"/>
      <c r="Q33" s="918"/>
      <c r="R33" s="918"/>
      <c r="S33" s="919"/>
      <c r="T33" s="955"/>
      <c r="U33" s="956"/>
      <c r="V33" s="853"/>
      <c r="W33" s="854"/>
      <c r="X33" s="840"/>
      <c r="Y33" s="841"/>
      <c r="Z33" s="841"/>
      <c r="AA33" s="842"/>
      <c r="AB33" s="840"/>
      <c r="AC33" s="841"/>
      <c r="AD33" s="842"/>
      <c r="AE33" s="865"/>
      <c r="AF33" s="875"/>
      <c r="AG33" s="865"/>
      <c r="AH33" s="875"/>
      <c r="AI33" s="925"/>
      <c r="AJ33" s="870"/>
      <c r="AK33" s="1007"/>
      <c r="AL33" s="1008"/>
      <c r="AM33" s="1009"/>
      <c r="AN33" s="925"/>
      <c r="AO33" s="932"/>
      <c r="AP33" s="932"/>
      <c r="AQ33" s="870"/>
      <c r="AU33" s="814"/>
      <c r="AV33"/>
      <c r="BC33" s="831"/>
    </row>
    <row r="34" spans="2:55" ht="15.95" customHeight="1">
      <c r="B34" s="834">
        <v>10</v>
      </c>
      <c r="C34" s="837"/>
      <c r="D34" s="838"/>
      <c r="E34" s="838"/>
      <c r="F34" s="838"/>
      <c r="G34" s="838"/>
      <c r="H34" s="838"/>
      <c r="I34" s="838"/>
      <c r="J34" s="838"/>
      <c r="K34" s="838"/>
      <c r="L34" s="838"/>
      <c r="M34" s="839"/>
      <c r="N34" s="914" t="str">
        <f>IFERROR(IF(C34="","",INDEX(PMGWATER[Base Desc 1],MATCH(C34,PMGWATER[Eff Desc 1],0))),"")</f>
        <v/>
      </c>
      <c r="O34" s="915"/>
      <c r="P34" s="915"/>
      <c r="Q34" s="915"/>
      <c r="R34" s="915"/>
      <c r="S34" s="916"/>
      <c r="T34" s="953" t="str">
        <f>IFERROR(IF(C34="","",INDEX(PMGWATER[Unit of Measure],MATCH(C34,PMGWATER[Eff Desc 1],0))),"")</f>
        <v/>
      </c>
      <c r="U34" s="954"/>
      <c r="V34" s="851"/>
      <c r="W34" s="852"/>
      <c r="X34" s="837"/>
      <c r="Y34" s="838"/>
      <c r="Z34" s="838"/>
      <c r="AA34" s="839"/>
      <c r="AB34" s="837"/>
      <c r="AC34" s="838"/>
      <c r="AD34" s="839"/>
      <c r="AE34" s="863"/>
      <c r="AF34" s="874"/>
      <c r="AG34" s="863"/>
      <c r="AH34" s="874"/>
      <c r="AI34" s="923" t="str">
        <f>IFERROR(IF(C34="","",INDEX(PMGWATER[Inc Rate Unit],MATCH(C34,PMGWATER[Eff Desc 1],0))),"")</f>
        <v/>
      </c>
      <c r="AJ34" s="924"/>
      <c r="AK34" s="1004" t="str">
        <f>IF(OR(C34="",V34="",X34="",AB34="",AE34="",AG34=""),"",ROUND(V34*INDEX(PMGWATER[Savings per Unit Therm],MATCH(C34,PMGWATER[Eff Desc 1],2)),0))</f>
        <v/>
      </c>
      <c r="AL34" s="1005"/>
      <c r="AM34" s="1006"/>
      <c r="AN34" s="930" t="str">
        <f t="shared" ref="AN34" si="7">IF(OR(C34="",V34="",X34="",AB34="",AE34="",AG34=""),"",IF(BC34&lt;&gt;"",BC34,MIN(AU34,ROUND(V34*AI34,2))))</f>
        <v/>
      </c>
      <c r="AO34" s="931"/>
      <c r="AP34" s="931"/>
      <c r="AQ34" s="868"/>
      <c r="AU34" s="813" t="str">
        <f>IF(OR(C34="",V34="",X34="",AB34="",AE34="",AG34=""),"",ROUND((AE34+AG34)*V34,2))</f>
        <v/>
      </c>
      <c r="AV34"/>
      <c r="BC34" s="830"/>
    </row>
    <row r="35" spans="2:55" ht="15.95" customHeight="1">
      <c r="B35" s="834"/>
      <c r="C35" s="840"/>
      <c r="D35" s="841"/>
      <c r="E35" s="841"/>
      <c r="F35" s="841"/>
      <c r="G35" s="841"/>
      <c r="H35" s="841"/>
      <c r="I35" s="841"/>
      <c r="J35" s="841"/>
      <c r="K35" s="841"/>
      <c r="L35" s="841"/>
      <c r="M35" s="842"/>
      <c r="N35" s="917"/>
      <c r="O35" s="918"/>
      <c r="P35" s="918"/>
      <c r="Q35" s="918"/>
      <c r="R35" s="918"/>
      <c r="S35" s="919"/>
      <c r="T35" s="955"/>
      <c r="U35" s="956"/>
      <c r="V35" s="853"/>
      <c r="W35" s="854"/>
      <c r="X35" s="840"/>
      <c r="Y35" s="841"/>
      <c r="Z35" s="841"/>
      <c r="AA35" s="842"/>
      <c r="AB35" s="840"/>
      <c r="AC35" s="841"/>
      <c r="AD35" s="842"/>
      <c r="AE35" s="865"/>
      <c r="AF35" s="875"/>
      <c r="AG35" s="865"/>
      <c r="AH35" s="875"/>
      <c r="AI35" s="925"/>
      <c r="AJ35" s="870"/>
      <c r="AK35" s="1007"/>
      <c r="AL35" s="1008"/>
      <c r="AM35" s="1009"/>
      <c r="AN35" s="925"/>
      <c r="AO35" s="932"/>
      <c r="AP35" s="932"/>
      <c r="AQ35" s="870"/>
      <c r="AU35" s="814"/>
      <c r="AV35"/>
      <c r="BC35" s="831"/>
    </row>
    <row r="36" spans="2:55" ht="15.95" hidden="1" customHeight="1">
      <c r="AS36"/>
      <c r="AT36"/>
      <c r="AU36"/>
      <c r="AV36"/>
    </row>
    <row r="37" spans="2:55" ht="15.95" hidden="1" customHeight="1">
      <c r="AS37"/>
      <c r="AT37"/>
      <c r="AU37"/>
      <c r="AV37"/>
    </row>
    <row r="38" spans="2:55" ht="15.95" hidden="1" customHeight="1">
      <c r="AS38"/>
      <c r="AT38"/>
      <c r="AU38"/>
      <c r="AV38"/>
    </row>
    <row r="39" spans="2:55" ht="15.95" hidden="1" customHeight="1">
      <c r="AS39"/>
      <c r="AT39"/>
      <c r="AU39"/>
      <c r="AV39"/>
    </row>
    <row r="40" spans="2:55" ht="15.95" hidden="1" customHeight="1">
      <c r="AS40"/>
      <c r="AT40"/>
      <c r="AU40"/>
      <c r="AV40"/>
    </row>
    <row r="41" spans="2:55" ht="15.95" hidden="1" customHeight="1">
      <c r="AS41"/>
      <c r="AT41"/>
      <c r="AU41"/>
      <c r="AV41"/>
    </row>
    <row r="42" spans="2:55" ht="15.95" hidden="1" customHeight="1">
      <c r="AS42"/>
      <c r="AT42"/>
      <c r="AU42"/>
      <c r="AV42"/>
    </row>
    <row r="43" spans="2:55" ht="15.95" hidden="1" customHeight="1">
      <c r="AS43"/>
      <c r="AT43"/>
      <c r="AU43"/>
      <c r="AV43"/>
    </row>
    <row r="44" spans="2:55" ht="15.95" hidden="1" customHeight="1">
      <c r="AS44"/>
      <c r="AT44"/>
      <c r="AU44"/>
      <c r="AV44"/>
    </row>
    <row r="45" spans="2:55" ht="15.95" hidden="1" customHeight="1">
      <c r="AS45"/>
      <c r="AT45"/>
      <c r="AU45"/>
      <c r="AV45"/>
    </row>
    <row r="46" spans="2:55" ht="15.95" hidden="1" customHeight="1">
      <c r="B46" s="929">
        <v>16</v>
      </c>
      <c r="C46" s="8"/>
      <c r="D46" s="8"/>
      <c r="E46" s="8"/>
      <c r="F46" s="8"/>
      <c r="G46" s="8"/>
      <c r="H46" s="8"/>
      <c r="I46" s="8"/>
      <c r="J46" s="8"/>
      <c r="K46" s="8"/>
      <c r="L46" s="8"/>
      <c r="M46" s="8"/>
      <c r="N46" s="8"/>
      <c r="O46" s="8"/>
      <c r="P46" s="8"/>
      <c r="Q46" s="8"/>
      <c r="R46" s="8"/>
      <c r="S46" s="8"/>
      <c r="T46" s="8"/>
      <c r="U46" s="8"/>
      <c r="V46" s="8"/>
      <c r="W46" s="8"/>
      <c r="X46" s="8"/>
      <c r="Y46" s="8"/>
      <c r="Z46" s="8"/>
      <c r="AA46" s="8"/>
      <c r="AB46" s="8"/>
      <c r="AC46" s="8"/>
      <c r="AD46" s="8"/>
      <c r="AE46" s="8"/>
      <c r="AF46" s="8"/>
      <c r="AG46" s="8"/>
      <c r="AH46" s="8"/>
      <c r="AI46" s="8"/>
      <c r="AJ46" s="8"/>
      <c r="AK46" s="8"/>
      <c r="AL46" s="8"/>
      <c r="AM46" s="8"/>
      <c r="AN46" s="8"/>
      <c r="AO46" s="8"/>
      <c r="AP46" s="8"/>
      <c r="AQ46" s="8"/>
      <c r="AV46"/>
    </row>
    <row r="47" spans="2:55" ht="15.95" hidden="1" customHeight="1">
      <c r="B47" s="929"/>
      <c r="C47" s="8"/>
      <c r="D47" s="8"/>
      <c r="E47" s="8"/>
      <c r="F47" s="8"/>
      <c r="G47" s="8"/>
      <c r="H47" s="8"/>
      <c r="I47" s="8"/>
      <c r="J47" s="8"/>
      <c r="K47" s="8"/>
      <c r="L47" s="8"/>
      <c r="M47" s="8"/>
      <c r="N47" s="8"/>
      <c r="O47" s="8"/>
      <c r="P47" s="8"/>
      <c r="Q47" s="8"/>
      <c r="R47" s="8"/>
      <c r="S47" s="8"/>
      <c r="T47" s="8"/>
      <c r="U47" s="8"/>
      <c r="V47" s="8"/>
      <c r="W47" s="8"/>
      <c r="X47" s="8"/>
      <c r="Y47" s="8"/>
      <c r="Z47" s="8"/>
      <c r="AA47" s="8"/>
      <c r="AB47" s="8"/>
      <c r="AC47" s="8"/>
      <c r="AD47" s="8"/>
      <c r="AE47" s="8"/>
      <c r="AF47" s="8"/>
      <c r="AG47" s="8"/>
      <c r="AH47" s="8"/>
      <c r="AI47" s="8"/>
      <c r="AJ47" s="8"/>
      <c r="AK47" s="8"/>
      <c r="AL47" s="8"/>
      <c r="AM47" s="8"/>
      <c r="AN47" s="8"/>
      <c r="AO47" s="8"/>
      <c r="AP47" s="8"/>
      <c r="AQ47" s="8"/>
      <c r="AV47"/>
    </row>
    <row r="48" spans="2:55" ht="15.95" hidden="1" customHeight="1">
      <c r="B48" s="929">
        <v>17</v>
      </c>
      <c r="C48" s="8"/>
      <c r="D48" s="8"/>
      <c r="E48" s="8"/>
      <c r="F48" s="8"/>
      <c r="G48" s="8"/>
      <c r="H48" s="8"/>
      <c r="I48" s="8"/>
      <c r="J48" s="8"/>
      <c r="K48" s="8"/>
      <c r="L48" s="8"/>
      <c r="M48" s="8"/>
      <c r="N48" s="8"/>
      <c r="O48" s="8"/>
      <c r="P48" s="8"/>
      <c r="Q48" s="8"/>
      <c r="R48" s="8"/>
      <c r="S48" s="8"/>
      <c r="T48" s="8"/>
      <c r="U48" s="8"/>
      <c r="V48" s="8"/>
      <c r="W48" s="8"/>
      <c r="X48" s="8"/>
      <c r="Y48" s="8"/>
      <c r="Z48" s="8"/>
      <c r="AA48" s="8"/>
      <c r="AB48" s="8"/>
      <c r="AC48" s="8"/>
      <c r="AD48" s="8"/>
      <c r="AE48" s="8"/>
      <c r="AF48" s="8"/>
      <c r="AG48" s="8"/>
      <c r="AH48" s="8"/>
      <c r="AI48" s="8"/>
      <c r="AJ48" s="8"/>
      <c r="AK48" s="8"/>
      <c r="AL48" s="8"/>
      <c r="AM48" s="8"/>
      <c r="AN48" s="8"/>
      <c r="AO48" s="8"/>
      <c r="AP48" s="8"/>
      <c r="AQ48" s="8"/>
      <c r="AV48"/>
    </row>
    <row r="49" spans="2:48" ht="15.95" hidden="1" customHeight="1">
      <c r="B49" s="929"/>
      <c r="C49" s="8"/>
      <c r="D49" s="8"/>
      <c r="E49" s="8"/>
      <c r="F49" s="8"/>
      <c r="G49" s="8"/>
      <c r="H49" s="8"/>
      <c r="I49" s="8"/>
      <c r="J49" s="8"/>
      <c r="K49" s="8"/>
      <c r="L49" s="8"/>
      <c r="M49" s="8"/>
      <c r="N49" s="8"/>
      <c r="O49" s="8"/>
      <c r="P49" s="8"/>
      <c r="Q49" s="8"/>
      <c r="R49" s="8"/>
      <c r="S49" s="8"/>
      <c r="T49" s="8"/>
      <c r="U49" s="8"/>
      <c r="V49" s="8"/>
      <c r="W49" s="8"/>
      <c r="X49" s="8"/>
      <c r="Y49" s="8"/>
      <c r="Z49" s="8"/>
      <c r="AA49" s="8"/>
      <c r="AB49" s="8"/>
      <c r="AC49" s="8"/>
      <c r="AD49" s="8"/>
      <c r="AE49" s="8"/>
      <c r="AF49" s="8"/>
      <c r="AG49" s="8"/>
      <c r="AH49" s="8"/>
      <c r="AI49" s="8"/>
      <c r="AJ49" s="8"/>
      <c r="AK49" s="8"/>
      <c r="AL49" s="8"/>
      <c r="AM49" s="8"/>
      <c r="AN49" s="8"/>
      <c r="AO49" s="8"/>
      <c r="AP49" s="8"/>
      <c r="AQ49" s="8"/>
      <c r="AV49"/>
    </row>
    <row r="50" spans="2:48" ht="15.95" hidden="1" customHeight="1">
      <c r="B50" s="929">
        <v>18</v>
      </c>
      <c r="C50" s="8"/>
      <c r="D50" s="8"/>
      <c r="E50" s="8"/>
      <c r="F50" s="8"/>
      <c r="G50" s="8"/>
      <c r="H50" s="8"/>
      <c r="I50" s="8"/>
      <c r="J50" s="8"/>
      <c r="K50" s="8"/>
      <c r="L50" s="8"/>
      <c r="M50" s="8"/>
      <c r="N50" s="8"/>
      <c r="O50" s="8"/>
      <c r="P50" s="8"/>
      <c r="Q50" s="8"/>
      <c r="R50" s="8"/>
      <c r="S50" s="8"/>
      <c r="T50" s="8"/>
      <c r="U50" s="8"/>
      <c r="V50" s="8"/>
      <c r="W50" s="8"/>
      <c r="X50" s="8"/>
      <c r="Y50" s="8"/>
      <c r="Z50" s="8"/>
      <c r="AA50" s="8"/>
      <c r="AB50" s="8"/>
      <c r="AC50" s="8"/>
      <c r="AD50" s="8"/>
      <c r="AE50" s="8"/>
      <c r="AF50" s="8"/>
      <c r="AG50" s="8"/>
      <c r="AH50" s="8"/>
      <c r="AI50" s="8"/>
      <c r="AJ50" s="8"/>
      <c r="AK50" s="8"/>
      <c r="AL50" s="8"/>
      <c r="AM50" s="8"/>
      <c r="AN50" s="8"/>
      <c r="AO50" s="8"/>
      <c r="AP50" s="8"/>
      <c r="AQ50" s="8"/>
      <c r="AV50"/>
    </row>
    <row r="51" spans="2:48" ht="15.95" hidden="1" customHeight="1">
      <c r="B51" s="929"/>
      <c r="C51" s="8"/>
      <c r="D51" s="8"/>
      <c r="E51" s="8"/>
      <c r="F51" s="8"/>
      <c r="G51" s="8"/>
      <c r="H51" s="8"/>
      <c r="I51" s="8"/>
      <c r="J51" s="8"/>
      <c r="K51" s="8"/>
      <c r="L51" s="8"/>
      <c r="M51" s="8"/>
      <c r="N51" s="8"/>
      <c r="O51" s="8"/>
      <c r="P51" s="8"/>
      <c r="Q51" s="8"/>
      <c r="R51" s="8"/>
      <c r="S51" s="8"/>
      <c r="T51" s="8"/>
      <c r="U51" s="8"/>
      <c r="V51" s="8"/>
      <c r="W51" s="8"/>
      <c r="X51" s="8"/>
      <c r="Y51" s="8"/>
      <c r="Z51" s="8"/>
      <c r="AA51" s="8"/>
      <c r="AB51" s="8"/>
      <c r="AC51" s="8"/>
      <c r="AD51" s="8"/>
      <c r="AE51" s="8"/>
      <c r="AF51" s="8"/>
      <c r="AG51" s="8"/>
      <c r="AH51" s="8"/>
      <c r="AI51" s="8"/>
      <c r="AJ51" s="8"/>
      <c r="AK51" s="8"/>
      <c r="AL51" s="8"/>
      <c r="AM51" s="8"/>
      <c r="AN51" s="8"/>
      <c r="AO51" s="8"/>
      <c r="AP51" s="8"/>
      <c r="AQ51" s="8"/>
      <c r="AV51"/>
    </row>
    <row r="52" spans="2:48" ht="15.95" hidden="1" customHeight="1">
      <c r="B52" s="929">
        <v>19</v>
      </c>
      <c r="C52" s="8"/>
      <c r="D52" s="8"/>
      <c r="E52" s="8"/>
      <c r="F52" s="8"/>
      <c r="G52" s="8"/>
      <c r="H52" s="8"/>
      <c r="I52" s="8"/>
      <c r="J52" s="8"/>
      <c r="K52" s="8"/>
      <c r="L52" s="8"/>
      <c r="M52" s="8"/>
      <c r="N52" s="8"/>
      <c r="O52" s="8"/>
      <c r="P52" s="8"/>
      <c r="Q52" s="8"/>
      <c r="R52" s="8"/>
      <c r="S52" s="8"/>
      <c r="T52" s="8"/>
      <c r="U52" s="8"/>
      <c r="V52" s="8"/>
      <c r="W52" s="8"/>
      <c r="X52" s="8"/>
      <c r="Y52" s="8"/>
      <c r="Z52" s="8"/>
      <c r="AA52" s="8"/>
      <c r="AB52" s="8"/>
      <c r="AC52" s="8"/>
      <c r="AD52" s="8"/>
      <c r="AE52" s="8"/>
      <c r="AF52" s="8"/>
      <c r="AG52" s="8"/>
      <c r="AH52" s="8"/>
      <c r="AI52" s="8"/>
      <c r="AJ52" s="8"/>
      <c r="AK52" s="8"/>
      <c r="AL52" s="8"/>
      <c r="AM52" s="8"/>
      <c r="AN52" s="8"/>
      <c r="AO52" s="8"/>
      <c r="AP52" s="8"/>
      <c r="AQ52" s="8"/>
      <c r="AV52"/>
    </row>
    <row r="53" spans="2:48" ht="15.95" hidden="1" customHeight="1">
      <c r="B53" s="929"/>
      <c r="C53" s="8"/>
      <c r="D53" s="8"/>
      <c r="E53" s="8"/>
      <c r="F53" s="8"/>
      <c r="G53" s="8"/>
      <c r="H53" s="8"/>
      <c r="I53" s="8"/>
      <c r="J53" s="8"/>
      <c r="K53" s="8"/>
      <c r="L53" s="8"/>
      <c r="M53" s="8"/>
      <c r="N53" s="8"/>
      <c r="O53" s="8"/>
      <c r="P53" s="8"/>
      <c r="Q53" s="8"/>
      <c r="R53" s="8"/>
      <c r="S53" s="8"/>
      <c r="T53" s="8"/>
      <c r="U53" s="8"/>
      <c r="V53" s="8"/>
      <c r="W53" s="8"/>
      <c r="X53" s="8"/>
      <c r="Y53" s="8"/>
      <c r="Z53" s="8"/>
      <c r="AA53" s="8"/>
      <c r="AB53" s="8"/>
      <c r="AC53" s="8"/>
      <c r="AD53" s="8"/>
      <c r="AE53" s="8"/>
      <c r="AF53" s="8"/>
      <c r="AG53" s="8"/>
      <c r="AH53" s="8"/>
      <c r="AI53" s="8"/>
      <c r="AJ53" s="8"/>
      <c r="AK53" s="8"/>
      <c r="AL53" s="8"/>
      <c r="AM53" s="8"/>
      <c r="AN53" s="8"/>
      <c r="AO53" s="8"/>
      <c r="AP53" s="8"/>
      <c r="AQ53" s="8"/>
      <c r="AV53"/>
    </row>
    <row r="54" spans="2:48" ht="15.95" hidden="1" customHeight="1">
      <c r="B54" s="929">
        <v>20</v>
      </c>
      <c r="C54" s="8"/>
      <c r="D54" s="8"/>
      <c r="E54" s="8"/>
      <c r="F54" s="8"/>
      <c r="G54" s="8"/>
      <c r="H54" s="8"/>
      <c r="I54" s="8"/>
      <c r="J54" s="8"/>
      <c r="K54" s="8"/>
      <c r="L54" s="8"/>
      <c r="M54" s="8"/>
      <c r="N54" s="8"/>
      <c r="O54" s="8"/>
      <c r="P54" s="8"/>
      <c r="Q54" s="8"/>
      <c r="R54" s="8"/>
      <c r="S54" s="8"/>
      <c r="T54" s="8"/>
      <c r="U54" s="8"/>
      <c r="V54" s="8"/>
      <c r="W54" s="8"/>
      <c r="X54" s="8"/>
      <c r="Y54" s="8"/>
      <c r="Z54" s="8"/>
      <c r="AA54" s="8"/>
      <c r="AB54" s="8"/>
      <c r="AC54" s="8"/>
      <c r="AD54" s="8"/>
      <c r="AE54" s="8"/>
      <c r="AF54" s="8"/>
      <c r="AG54" s="8"/>
      <c r="AH54" s="8"/>
      <c r="AI54" s="8"/>
      <c r="AJ54" s="8"/>
      <c r="AK54" s="8"/>
      <c r="AL54" s="8"/>
      <c r="AM54" s="8"/>
      <c r="AN54" s="8"/>
      <c r="AO54" s="8"/>
      <c r="AP54" s="8"/>
      <c r="AQ54" s="8"/>
      <c r="AV54"/>
    </row>
    <row r="55" spans="2:48" ht="15.95" hidden="1" customHeight="1">
      <c r="B55" s="929"/>
      <c r="C55" s="8"/>
      <c r="D55" s="8"/>
      <c r="E55" s="8"/>
      <c r="F55" s="8"/>
      <c r="G55" s="8"/>
      <c r="H55" s="8"/>
      <c r="I55" s="8"/>
      <c r="J55" s="8"/>
      <c r="K55" s="8"/>
      <c r="L55" s="8"/>
      <c r="M55" s="8"/>
      <c r="N55" s="8"/>
      <c r="O55" s="8"/>
      <c r="P55" s="8"/>
      <c r="Q55" s="8"/>
      <c r="R55" s="8"/>
      <c r="S55" s="8"/>
      <c r="T55" s="8"/>
      <c r="U55" s="8"/>
      <c r="V55" s="8"/>
      <c r="W55" s="8"/>
      <c r="X55" s="8"/>
      <c r="Y55" s="8"/>
      <c r="Z55" s="8"/>
      <c r="AA55" s="8"/>
      <c r="AB55" s="8"/>
      <c r="AC55" s="8"/>
      <c r="AD55" s="8"/>
      <c r="AE55" s="8"/>
      <c r="AF55" s="8"/>
      <c r="AG55" s="8"/>
      <c r="AH55" s="8"/>
      <c r="AI55" s="8"/>
      <c r="AJ55" s="8"/>
      <c r="AK55" s="8"/>
      <c r="AL55" s="8"/>
      <c r="AM55" s="8"/>
      <c r="AN55" s="8"/>
      <c r="AO55" s="8"/>
      <c r="AP55" s="8"/>
      <c r="AQ55" s="8"/>
      <c r="AV55"/>
    </row>
    <row r="56" spans="2:48" ht="15.95" hidden="1" customHeight="1">
      <c r="B56" s="929">
        <v>21</v>
      </c>
      <c r="C56" s="8"/>
      <c r="D56" s="8"/>
      <c r="E56" s="8"/>
      <c r="F56" s="8"/>
      <c r="G56" s="8"/>
      <c r="H56" s="8"/>
      <c r="I56" s="8"/>
      <c r="J56" s="8"/>
      <c r="K56" s="8"/>
      <c r="L56" s="8"/>
      <c r="M56" s="8"/>
      <c r="N56" s="8"/>
      <c r="O56" s="8"/>
      <c r="P56" s="8"/>
      <c r="Q56" s="8"/>
      <c r="R56" s="8"/>
      <c r="S56" s="8"/>
      <c r="T56" s="8"/>
      <c r="U56" s="8"/>
      <c r="V56" s="8"/>
      <c r="W56" s="8"/>
      <c r="X56" s="8"/>
      <c r="Y56" s="8"/>
      <c r="Z56" s="8"/>
      <c r="AA56" s="8"/>
      <c r="AB56" s="8"/>
      <c r="AC56" s="8"/>
      <c r="AD56" s="8"/>
      <c r="AE56" s="8"/>
      <c r="AF56" s="8"/>
      <c r="AG56" s="8"/>
      <c r="AH56" s="8"/>
      <c r="AI56" s="8"/>
      <c r="AJ56" s="8"/>
      <c r="AK56" s="8"/>
      <c r="AL56" s="8"/>
      <c r="AM56" s="8"/>
      <c r="AN56" s="8"/>
      <c r="AO56" s="8"/>
      <c r="AP56" s="8"/>
      <c r="AQ56" s="8"/>
      <c r="AV56"/>
    </row>
    <row r="57" spans="2:48" ht="15.95" hidden="1" customHeight="1">
      <c r="B57" s="929"/>
      <c r="C57" s="8"/>
      <c r="D57" s="8"/>
      <c r="E57" s="8"/>
      <c r="F57" s="8"/>
      <c r="G57" s="8"/>
      <c r="H57" s="8"/>
      <c r="I57" s="8"/>
      <c r="J57" s="8"/>
      <c r="K57" s="8"/>
      <c r="L57" s="8"/>
      <c r="M57" s="8"/>
      <c r="N57" s="8"/>
      <c r="O57" s="8"/>
      <c r="P57" s="8"/>
      <c r="Q57" s="8"/>
      <c r="R57" s="8"/>
      <c r="S57" s="8"/>
      <c r="T57" s="8"/>
      <c r="U57" s="8"/>
      <c r="V57" s="8"/>
      <c r="W57" s="8"/>
      <c r="X57" s="8"/>
      <c r="Y57" s="8"/>
      <c r="Z57" s="8"/>
      <c r="AA57" s="8"/>
      <c r="AB57" s="8"/>
      <c r="AC57" s="8"/>
      <c r="AD57" s="8"/>
      <c r="AE57" s="8"/>
      <c r="AF57" s="8"/>
      <c r="AG57" s="8"/>
      <c r="AH57" s="8"/>
      <c r="AI57" s="8"/>
      <c r="AJ57" s="8"/>
      <c r="AK57" s="8"/>
      <c r="AL57" s="8"/>
      <c r="AM57" s="8"/>
      <c r="AN57" s="8"/>
      <c r="AO57" s="8"/>
      <c r="AP57" s="8"/>
      <c r="AQ57" s="8"/>
      <c r="AV57"/>
    </row>
    <row r="58" spans="2:48" ht="15.95" hidden="1" customHeight="1">
      <c r="B58" s="929">
        <v>22</v>
      </c>
      <c r="C58" s="8"/>
      <c r="D58" s="8"/>
      <c r="E58" s="8"/>
      <c r="F58" s="8"/>
      <c r="G58" s="8"/>
      <c r="H58" s="8"/>
      <c r="I58" s="8"/>
      <c r="J58" s="8"/>
      <c r="K58" s="8"/>
      <c r="L58" s="8"/>
      <c r="M58" s="8"/>
      <c r="N58" s="8"/>
      <c r="O58" s="8"/>
      <c r="P58" s="8"/>
      <c r="Q58" s="8"/>
      <c r="R58" s="8"/>
      <c r="S58" s="8"/>
      <c r="T58" s="8"/>
      <c r="U58" s="8"/>
      <c r="V58" s="8"/>
      <c r="W58" s="8"/>
      <c r="X58" s="8"/>
      <c r="Y58" s="8"/>
      <c r="Z58" s="8"/>
      <c r="AA58" s="8"/>
      <c r="AB58" s="8"/>
      <c r="AC58" s="8"/>
      <c r="AD58" s="8"/>
      <c r="AE58" s="8"/>
      <c r="AF58" s="8"/>
      <c r="AG58" s="8"/>
      <c r="AH58" s="8"/>
      <c r="AI58" s="8"/>
      <c r="AJ58" s="8"/>
      <c r="AK58" s="8"/>
      <c r="AL58" s="8"/>
      <c r="AM58" s="8"/>
      <c r="AN58" s="8"/>
      <c r="AO58" s="8"/>
      <c r="AP58" s="8"/>
      <c r="AQ58" s="8"/>
      <c r="AV58"/>
    </row>
    <row r="59" spans="2:48" ht="15.95" hidden="1" customHeight="1">
      <c r="B59" s="929"/>
      <c r="C59" s="8"/>
      <c r="D59" s="8"/>
      <c r="E59" s="8"/>
      <c r="F59" s="8"/>
      <c r="G59" s="8"/>
      <c r="H59" s="8"/>
      <c r="I59" s="8"/>
      <c r="J59" s="8"/>
      <c r="K59" s="8"/>
      <c r="L59" s="8"/>
      <c r="M59" s="8"/>
      <c r="N59" s="8"/>
      <c r="O59" s="8"/>
      <c r="P59" s="8"/>
      <c r="Q59" s="8"/>
      <c r="R59" s="8"/>
      <c r="S59" s="8"/>
      <c r="T59" s="8"/>
      <c r="U59" s="8"/>
      <c r="V59" s="8"/>
      <c r="W59" s="8"/>
      <c r="X59" s="8"/>
      <c r="Y59" s="8"/>
      <c r="Z59" s="8"/>
      <c r="AA59" s="8"/>
      <c r="AB59" s="8"/>
      <c r="AC59" s="8"/>
      <c r="AD59" s="8"/>
      <c r="AE59" s="8"/>
      <c r="AF59" s="8"/>
      <c r="AG59" s="8"/>
      <c r="AH59" s="8"/>
      <c r="AI59" s="8"/>
      <c r="AJ59" s="8"/>
      <c r="AK59" s="8"/>
      <c r="AL59" s="8"/>
      <c r="AM59" s="8"/>
      <c r="AN59" s="8"/>
      <c r="AO59" s="8"/>
      <c r="AP59" s="8"/>
      <c r="AQ59" s="8"/>
      <c r="AV59"/>
    </row>
    <row r="60" spans="2:48" ht="15.95" hidden="1" customHeight="1">
      <c r="B60" s="929">
        <v>23</v>
      </c>
      <c r="C60" s="8"/>
      <c r="D60" s="8"/>
      <c r="E60" s="8"/>
      <c r="F60" s="8"/>
      <c r="G60" s="8"/>
      <c r="H60" s="8"/>
      <c r="I60" s="8"/>
      <c r="J60" s="8"/>
      <c r="K60" s="8"/>
      <c r="L60" s="8"/>
      <c r="M60" s="8"/>
      <c r="N60" s="8"/>
      <c r="O60" s="8"/>
      <c r="P60" s="8"/>
      <c r="Q60" s="8"/>
      <c r="R60" s="8"/>
      <c r="S60" s="8"/>
      <c r="T60" s="8"/>
      <c r="U60" s="8"/>
      <c r="V60" s="8"/>
      <c r="W60" s="8"/>
      <c r="X60" s="8"/>
      <c r="Y60" s="8"/>
      <c r="Z60" s="8"/>
      <c r="AA60" s="8"/>
      <c r="AB60" s="8"/>
      <c r="AC60" s="8"/>
      <c r="AD60" s="8"/>
      <c r="AE60" s="8"/>
      <c r="AF60" s="8"/>
      <c r="AG60" s="8"/>
      <c r="AH60" s="8"/>
      <c r="AI60" s="8"/>
      <c r="AJ60" s="8"/>
      <c r="AK60" s="8"/>
      <c r="AL60" s="8"/>
      <c r="AM60" s="8"/>
      <c r="AN60" s="8"/>
      <c r="AO60" s="8"/>
      <c r="AP60" s="8"/>
      <c r="AQ60" s="8"/>
      <c r="AV60"/>
    </row>
    <row r="61" spans="2:48" ht="15.95" hidden="1" customHeight="1">
      <c r="B61" s="929"/>
      <c r="C61" s="8"/>
      <c r="D61" s="8"/>
      <c r="E61" s="8"/>
      <c r="F61" s="8"/>
      <c r="G61" s="8"/>
      <c r="H61" s="8"/>
      <c r="I61" s="8"/>
      <c r="J61" s="8"/>
      <c r="K61" s="8"/>
      <c r="L61" s="8"/>
      <c r="M61" s="8"/>
      <c r="N61" s="8"/>
      <c r="O61" s="8"/>
      <c r="P61" s="8"/>
      <c r="Q61" s="8"/>
      <c r="R61" s="8"/>
      <c r="S61" s="8"/>
      <c r="T61" s="8"/>
      <c r="U61" s="8"/>
      <c r="V61" s="8"/>
      <c r="W61" s="8"/>
      <c r="X61" s="8"/>
      <c r="Y61" s="8"/>
      <c r="Z61" s="8"/>
      <c r="AA61" s="8"/>
      <c r="AB61" s="8"/>
      <c r="AC61" s="8"/>
      <c r="AD61" s="8"/>
      <c r="AE61" s="8"/>
      <c r="AF61" s="8"/>
      <c r="AG61" s="8"/>
      <c r="AH61" s="8"/>
      <c r="AI61" s="8"/>
      <c r="AJ61" s="8"/>
      <c r="AK61" s="8"/>
      <c r="AL61" s="8"/>
      <c r="AM61" s="8"/>
      <c r="AN61" s="8"/>
      <c r="AO61" s="8"/>
      <c r="AP61" s="8"/>
      <c r="AQ61" s="8"/>
      <c r="AV61"/>
    </row>
    <row r="62" spans="2:48" ht="15.95" hidden="1" customHeight="1">
      <c r="B62" s="929">
        <v>24</v>
      </c>
      <c r="C62" s="8"/>
      <c r="D62" s="8"/>
      <c r="E62" s="8"/>
      <c r="F62" s="8"/>
      <c r="G62" s="8"/>
      <c r="H62" s="8"/>
      <c r="I62" s="8"/>
      <c r="J62" s="8"/>
      <c r="K62" s="8"/>
      <c r="L62" s="8"/>
      <c r="M62" s="8"/>
      <c r="N62" s="8"/>
      <c r="O62" s="8"/>
      <c r="P62" s="8"/>
      <c r="Q62" s="8"/>
      <c r="R62" s="8"/>
      <c r="S62" s="8"/>
      <c r="T62" s="8"/>
      <c r="U62" s="8"/>
      <c r="V62" s="8"/>
      <c r="W62" s="8"/>
      <c r="X62" s="8"/>
      <c r="Y62" s="8"/>
      <c r="Z62" s="8"/>
      <c r="AA62" s="8"/>
      <c r="AB62" s="8"/>
      <c r="AC62" s="8"/>
      <c r="AD62" s="8"/>
      <c r="AE62" s="8"/>
      <c r="AF62" s="8"/>
      <c r="AG62" s="8"/>
      <c r="AH62" s="8"/>
      <c r="AI62" s="8"/>
      <c r="AJ62" s="8"/>
      <c r="AK62" s="8"/>
      <c r="AL62" s="8"/>
      <c r="AM62" s="8"/>
      <c r="AN62" s="8"/>
      <c r="AO62" s="8"/>
      <c r="AP62" s="8"/>
      <c r="AQ62" s="8"/>
      <c r="AV62"/>
    </row>
    <row r="63" spans="2:48" ht="15.95" hidden="1" customHeight="1">
      <c r="B63" s="929"/>
      <c r="C63" s="8"/>
      <c r="D63" s="8"/>
      <c r="E63" s="8"/>
      <c r="F63" s="8"/>
      <c r="G63" s="8"/>
      <c r="H63" s="8"/>
      <c r="I63" s="8"/>
      <c r="J63" s="8"/>
      <c r="K63" s="8"/>
      <c r="L63" s="8"/>
      <c r="M63" s="8"/>
      <c r="N63" s="8"/>
      <c r="O63" s="8"/>
      <c r="P63" s="8"/>
      <c r="Q63" s="8"/>
      <c r="R63" s="8"/>
      <c r="S63" s="8"/>
      <c r="T63" s="8"/>
      <c r="U63" s="8"/>
      <c r="V63" s="8"/>
      <c r="W63" s="8"/>
      <c r="X63" s="8"/>
      <c r="Y63" s="8"/>
      <c r="Z63" s="8"/>
      <c r="AA63" s="8"/>
      <c r="AB63" s="8"/>
      <c r="AC63" s="8"/>
      <c r="AD63" s="8"/>
      <c r="AE63" s="8"/>
      <c r="AF63" s="8"/>
      <c r="AG63" s="8"/>
      <c r="AH63" s="8"/>
      <c r="AI63" s="8"/>
      <c r="AJ63" s="8"/>
      <c r="AK63" s="8"/>
      <c r="AL63" s="8"/>
      <c r="AM63" s="8"/>
      <c r="AN63" s="8"/>
      <c r="AO63" s="8"/>
      <c r="AP63" s="8"/>
      <c r="AQ63" s="8"/>
      <c r="AV63"/>
    </row>
    <row r="64" spans="2:48" ht="15.95" hidden="1" customHeight="1">
      <c r="B64" s="929">
        <v>25</v>
      </c>
      <c r="C64" s="8"/>
      <c r="D64" s="8"/>
      <c r="E64" s="8"/>
      <c r="F64" s="8"/>
      <c r="G64" s="8"/>
      <c r="H64" s="8"/>
      <c r="I64" s="8"/>
      <c r="J64" s="8"/>
      <c r="K64" s="8"/>
      <c r="L64" s="8"/>
      <c r="M64" s="8"/>
      <c r="N64" s="8"/>
      <c r="O64" s="8"/>
      <c r="P64" s="8"/>
      <c r="Q64" s="8"/>
      <c r="R64" s="8"/>
      <c r="S64" s="8"/>
      <c r="T64" s="8"/>
      <c r="U64" s="8"/>
      <c r="V64" s="8"/>
      <c r="W64" s="8"/>
      <c r="X64" s="8"/>
      <c r="Y64" s="8"/>
      <c r="Z64" s="8"/>
      <c r="AA64" s="8"/>
      <c r="AB64" s="8"/>
      <c r="AC64" s="8"/>
      <c r="AD64" s="8"/>
      <c r="AE64" s="8"/>
      <c r="AF64" s="8"/>
      <c r="AG64" s="8"/>
      <c r="AH64" s="8"/>
      <c r="AI64" s="8"/>
      <c r="AJ64" s="8"/>
      <c r="AK64" s="8"/>
      <c r="AL64" s="8"/>
      <c r="AM64" s="8"/>
      <c r="AN64" s="8"/>
      <c r="AO64" s="8"/>
      <c r="AP64" s="8"/>
      <c r="AQ64" s="8"/>
      <c r="AV64"/>
    </row>
    <row r="65" spans="2:48" ht="15.95" hidden="1" customHeight="1">
      <c r="B65" s="929"/>
      <c r="C65" s="8"/>
      <c r="D65" s="8"/>
      <c r="E65" s="8"/>
      <c r="F65" s="8"/>
      <c r="G65" s="8"/>
      <c r="H65" s="8"/>
      <c r="I65" s="8"/>
      <c r="J65" s="8"/>
      <c r="K65" s="8"/>
      <c r="L65" s="8"/>
      <c r="M65" s="8"/>
      <c r="N65" s="8"/>
      <c r="O65" s="8"/>
      <c r="P65" s="8"/>
      <c r="Q65" s="8"/>
      <c r="R65" s="8"/>
      <c r="S65" s="8"/>
      <c r="T65" s="8"/>
      <c r="U65" s="8"/>
      <c r="V65" s="8"/>
      <c r="W65" s="8"/>
      <c r="X65" s="8"/>
      <c r="Y65" s="8"/>
      <c r="Z65" s="8"/>
      <c r="AA65" s="8"/>
      <c r="AB65" s="8"/>
      <c r="AC65" s="8"/>
      <c r="AD65" s="8"/>
      <c r="AE65" s="8"/>
      <c r="AF65" s="8"/>
      <c r="AG65" s="8"/>
      <c r="AH65" s="8"/>
      <c r="AI65" s="8"/>
      <c r="AJ65" s="8"/>
      <c r="AK65" s="8"/>
      <c r="AL65" s="8"/>
      <c r="AM65" s="8"/>
      <c r="AN65" s="8"/>
      <c r="AO65" s="8"/>
      <c r="AP65" s="8"/>
      <c r="AQ65" s="8"/>
      <c r="AV65"/>
    </row>
    <row r="66" spans="2:48" ht="15.95" hidden="1" customHeight="1">
      <c r="B66" s="929">
        <v>26</v>
      </c>
      <c r="C66" s="8"/>
      <c r="D66" s="8"/>
      <c r="E66" s="8"/>
      <c r="F66" s="8"/>
      <c r="G66" s="8"/>
      <c r="H66" s="8"/>
      <c r="I66" s="8"/>
      <c r="J66" s="8"/>
      <c r="K66" s="8"/>
      <c r="L66" s="8"/>
      <c r="M66" s="8"/>
      <c r="N66" s="8"/>
      <c r="O66" s="8"/>
      <c r="P66" s="8"/>
      <c r="Q66" s="8"/>
      <c r="R66" s="8"/>
      <c r="S66" s="8"/>
      <c r="T66" s="8"/>
      <c r="U66" s="8"/>
      <c r="V66" s="8"/>
      <c r="W66" s="8"/>
      <c r="X66" s="8"/>
      <c r="Y66" s="8"/>
      <c r="Z66" s="8"/>
      <c r="AA66" s="8"/>
      <c r="AB66" s="8"/>
      <c r="AC66" s="8"/>
      <c r="AD66" s="8"/>
      <c r="AE66" s="8"/>
      <c r="AF66" s="8"/>
      <c r="AG66" s="8"/>
      <c r="AH66" s="8"/>
      <c r="AI66" s="8"/>
      <c r="AJ66" s="8"/>
      <c r="AK66" s="8"/>
      <c r="AL66" s="8"/>
      <c r="AM66" s="8"/>
      <c r="AN66" s="8"/>
      <c r="AO66" s="8"/>
      <c r="AP66" s="8"/>
      <c r="AQ66" s="8"/>
      <c r="AV66"/>
    </row>
    <row r="67" spans="2:48" ht="15.95" hidden="1" customHeight="1">
      <c r="B67" s="929"/>
      <c r="C67" s="8"/>
      <c r="D67" s="8"/>
      <c r="E67" s="8"/>
      <c r="F67" s="8"/>
      <c r="G67" s="8"/>
      <c r="H67" s="8"/>
      <c r="I67" s="8"/>
      <c r="J67" s="8"/>
      <c r="K67" s="8"/>
      <c r="L67" s="8"/>
      <c r="M67" s="8"/>
      <c r="N67" s="8"/>
      <c r="O67" s="8"/>
      <c r="P67" s="8"/>
      <c r="Q67" s="8"/>
      <c r="R67" s="8"/>
      <c r="S67" s="8"/>
      <c r="T67" s="8"/>
      <c r="U67" s="8"/>
      <c r="V67" s="8"/>
      <c r="W67" s="8"/>
      <c r="X67" s="8"/>
      <c r="Y67" s="8"/>
      <c r="Z67" s="8"/>
      <c r="AA67" s="8"/>
      <c r="AB67" s="8"/>
      <c r="AC67" s="8"/>
      <c r="AD67" s="8"/>
      <c r="AE67" s="8"/>
      <c r="AF67" s="8"/>
      <c r="AG67" s="8"/>
      <c r="AH67" s="8"/>
      <c r="AI67" s="8"/>
      <c r="AJ67" s="8"/>
      <c r="AK67" s="8"/>
      <c r="AL67" s="8"/>
      <c r="AM67" s="8"/>
      <c r="AN67" s="8"/>
      <c r="AO67" s="8"/>
      <c r="AP67" s="8"/>
      <c r="AQ67" s="8"/>
      <c r="AV67"/>
    </row>
    <row r="68" spans="2:48" ht="15.95" hidden="1" customHeight="1">
      <c r="B68" s="929">
        <v>27</v>
      </c>
      <c r="C68" s="8"/>
      <c r="D68" s="8"/>
      <c r="E68" s="8"/>
      <c r="F68" s="8"/>
      <c r="G68" s="8"/>
      <c r="H68" s="8"/>
      <c r="I68" s="8"/>
      <c r="J68" s="8"/>
      <c r="K68" s="8"/>
      <c r="L68" s="8"/>
      <c r="M68" s="8"/>
      <c r="N68" s="8"/>
      <c r="O68" s="8"/>
      <c r="P68" s="8"/>
      <c r="Q68" s="8"/>
      <c r="R68" s="8"/>
      <c r="S68" s="8"/>
      <c r="T68" s="8"/>
      <c r="U68" s="8"/>
      <c r="V68" s="8"/>
      <c r="W68" s="8"/>
      <c r="X68" s="8"/>
      <c r="Y68" s="8"/>
      <c r="Z68" s="8"/>
      <c r="AA68" s="8"/>
      <c r="AB68" s="8"/>
      <c r="AC68" s="8"/>
      <c r="AD68" s="8"/>
      <c r="AE68" s="8"/>
      <c r="AF68" s="8"/>
      <c r="AG68" s="8"/>
      <c r="AH68" s="8"/>
      <c r="AI68" s="8"/>
      <c r="AJ68" s="8"/>
      <c r="AK68" s="8"/>
      <c r="AL68" s="8"/>
      <c r="AM68" s="8"/>
      <c r="AN68" s="8"/>
      <c r="AO68" s="8"/>
      <c r="AP68" s="8"/>
      <c r="AQ68" s="8"/>
      <c r="AV68"/>
    </row>
    <row r="69" spans="2:48" ht="15.95" hidden="1" customHeight="1">
      <c r="B69" s="929"/>
      <c r="C69" s="8"/>
      <c r="D69" s="8"/>
      <c r="E69" s="8"/>
      <c r="F69" s="8"/>
      <c r="G69" s="8"/>
      <c r="H69" s="8"/>
      <c r="I69" s="8"/>
      <c r="J69" s="8"/>
      <c r="K69" s="8"/>
      <c r="L69" s="8"/>
      <c r="M69" s="8"/>
      <c r="N69" s="8"/>
      <c r="O69" s="8"/>
      <c r="P69" s="8"/>
      <c r="Q69" s="8"/>
      <c r="R69" s="8"/>
      <c r="S69" s="8"/>
      <c r="T69" s="8"/>
      <c r="U69" s="8"/>
      <c r="V69" s="8"/>
      <c r="W69" s="8"/>
      <c r="X69" s="8"/>
      <c r="Y69" s="8"/>
      <c r="Z69" s="8"/>
      <c r="AA69" s="8"/>
      <c r="AB69" s="8"/>
      <c r="AC69" s="8"/>
      <c r="AD69" s="8"/>
      <c r="AE69" s="8"/>
      <c r="AF69" s="8"/>
      <c r="AG69" s="8"/>
      <c r="AH69" s="8"/>
      <c r="AI69" s="8"/>
      <c r="AJ69" s="8"/>
      <c r="AK69" s="8"/>
      <c r="AL69" s="8"/>
      <c r="AM69" s="8"/>
      <c r="AN69" s="8"/>
      <c r="AO69" s="8"/>
      <c r="AP69" s="8"/>
      <c r="AQ69" s="8"/>
      <c r="AV69"/>
    </row>
    <row r="70" spans="2:48" ht="15.95" hidden="1" customHeight="1">
      <c r="B70" s="929">
        <v>28</v>
      </c>
      <c r="C70" s="8"/>
      <c r="D70" s="8"/>
      <c r="E70" s="8"/>
      <c r="F70" s="8"/>
      <c r="G70" s="8"/>
      <c r="H70" s="8"/>
      <c r="I70" s="8"/>
      <c r="J70" s="8"/>
      <c r="K70" s="8"/>
      <c r="L70" s="8"/>
      <c r="M70" s="8"/>
      <c r="N70" s="8"/>
      <c r="O70" s="8"/>
      <c r="P70" s="8"/>
      <c r="Q70" s="8"/>
      <c r="R70" s="8"/>
      <c r="S70" s="8"/>
      <c r="T70" s="8"/>
      <c r="U70" s="8"/>
      <c r="V70" s="8"/>
      <c r="W70" s="8"/>
      <c r="X70" s="8"/>
      <c r="Y70" s="8"/>
      <c r="Z70" s="8"/>
      <c r="AA70" s="8"/>
      <c r="AB70" s="8"/>
      <c r="AC70" s="8"/>
      <c r="AD70" s="8"/>
      <c r="AE70" s="8"/>
      <c r="AF70" s="8"/>
      <c r="AG70" s="8"/>
      <c r="AH70" s="8"/>
      <c r="AI70" s="8"/>
      <c r="AJ70" s="8"/>
      <c r="AK70" s="8"/>
      <c r="AL70" s="8"/>
      <c r="AM70" s="8"/>
      <c r="AN70" s="8"/>
      <c r="AO70" s="8"/>
      <c r="AP70" s="8"/>
      <c r="AQ70" s="8"/>
      <c r="AV70"/>
    </row>
    <row r="71" spans="2:48" ht="15.95" hidden="1" customHeight="1">
      <c r="B71" s="929"/>
      <c r="C71" s="8"/>
      <c r="D71" s="8"/>
      <c r="E71" s="8"/>
      <c r="F71" s="8"/>
      <c r="G71" s="8"/>
      <c r="H71" s="8"/>
      <c r="I71" s="8"/>
      <c r="J71" s="8"/>
      <c r="K71" s="8"/>
      <c r="L71" s="8"/>
      <c r="M71" s="8"/>
      <c r="N71" s="8"/>
      <c r="O71" s="8"/>
      <c r="P71" s="8"/>
      <c r="Q71" s="8"/>
      <c r="R71" s="8"/>
      <c r="S71" s="8"/>
      <c r="T71" s="8"/>
      <c r="U71" s="8"/>
      <c r="V71" s="8"/>
      <c r="W71" s="8"/>
      <c r="X71" s="8"/>
      <c r="Y71" s="8"/>
      <c r="Z71" s="8"/>
      <c r="AA71" s="8"/>
      <c r="AB71" s="8"/>
      <c r="AC71" s="8"/>
      <c r="AD71" s="8"/>
      <c r="AE71" s="8"/>
      <c r="AF71" s="8"/>
      <c r="AG71" s="8"/>
      <c r="AH71" s="8"/>
      <c r="AI71" s="8"/>
      <c r="AJ71" s="8"/>
      <c r="AK71" s="8"/>
      <c r="AL71" s="8"/>
      <c r="AM71" s="8"/>
      <c r="AN71" s="8"/>
      <c r="AO71" s="8"/>
      <c r="AP71" s="8"/>
      <c r="AQ71" s="8"/>
      <c r="AV71"/>
    </row>
    <row r="72" spans="2:48" ht="15.95" hidden="1" customHeight="1">
      <c r="B72" s="929">
        <v>29</v>
      </c>
      <c r="C72" s="8"/>
      <c r="D72" s="8"/>
      <c r="E72" s="8"/>
      <c r="F72" s="8"/>
      <c r="G72" s="8"/>
      <c r="H72" s="8"/>
      <c r="I72" s="8"/>
      <c r="J72" s="8"/>
      <c r="K72" s="8"/>
      <c r="L72" s="8"/>
      <c r="M72" s="8"/>
      <c r="N72" s="8"/>
      <c r="O72" s="8"/>
      <c r="P72" s="8"/>
      <c r="Q72" s="8"/>
      <c r="R72" s="8"/>
      <c r="S72" s="8"/>
      <c r="T72" s="8"/>
      <c r="U72" s="8"/>
      <c r="V72" s="8"/>
      <c r="W72" s="8"/>
      <c r="X72" s="8"/>
      <c r="Y72" s="8"/>
      <c r="Z72" s="8"/>
      <c r="AA72" s="8"/>
      <c r="AB72" s="8"/>
      <c r="AC72" s="8"/>
      <c r="AD72" s="8"/>
      <c r="AE72" s="8"/>
      <c r="AF72" s="8"/>
      <c r="AG72" s="8"/>
      <c r="AH72" s="8"/>
      <c r="AI72" s="8"/>
      <c r="AJ72" s="8"/>
      <c r="AK72" s="8"/>
      <c r="AL72" s="8"/>
      <c r="AM72" s="8"/>
      <c r="AN72" s="8"/>
      <c r="AO72" s="8"/>
      <c r="AP72" s="8"/>
      <c r="AQ72" s="8"/>
      <c r="AV72"/>
    </row>
    <row r="73" spans="2:48" ht="15.95" hidden="1" customHeight="1">
      <c r="B73" s="929"/>
      <c r="C73" s="8"/>
      <c r="D73" s="8"/>
      <c r="E73" s="8"/>
      <c r="F73" s="8"/>
      <c r="G73" s="8"/>
      <c r="H73" s="8"/>
      <c r="I73" s="8"/>
      <c r="J73" s="8"/>
      <c r="K73" s="8"/>
      <c r="L73" s="8"/>
      <c r="M73" s="8"/>
      <c r="N73" s="8"/>
      <c r="O73" s="8"/>
      <c r="P73" s="8"/>
      <c r="Q73" s="8"/>
      <c r="R73" s="8"/>
      <c r="S73" s="8"/>
      <c r="T73" s="8"/>
      <c r="U73" s="8"/>
      <c r="V73" s="8"/>
      <c r="W73" s="8"/>
      <c r="X73" s="8"/>
      <c r="Y73" s="8"/>
      <c r="Z73" s="8"/>
      <c r="AA73" s="8"/>
      <c r="AB73" s="8"/>
      <c r="AC73" s="8"/>
      <c r="AD73" s="8"/>
      <c r="AE73" s="8"/>
      <c r="AF73" s="8"/>
      <c r="AG73" s="8"/>
      <c r="AH73" s="8"/>
      <c r="AI73" s="8"/>
      <c r="AJ73" s="8"/>
      <c r="AK73" s="8"/>
      <c r="AL73" s="8"/>
      <c r="AM73" s="8"/>
      <c r="AN73" s="8"/>
      <c r="AO73" s="8"/>
      <c r="AP73" s="8"/>
      <c r="AQ73" s="8"/>
      <c r="AV73"/>
    </row>
    <row r="74" spans="2:48" ht="15.95" hidden="1" customHeight="1">
      <c r="B74" s="929">
        <v>30</v>
      </c>
      <c r="C74" s="8"/>
      <c r="D74" s="8"/>
      <c r="E74" s="8"/>
      <c r="F74" s="8"/>
      <c r="G74" s="8"/>
      <c r="H74" s="8"/>
      <c r="I74" s="8"/>
      <c r="J74" s="8"/>
      <c r="K74" s="8"/>
      <c r="L74" s="8"/>
      <c r="M74" s="8"/>
      <c r="N74" s="8"/>
      <c r="O74" s="8"/>
      <c r="P74" s="8"/>
      <c r="Q74" s="8"/>
      <c r="R74" s="8"/>
      <c r="S74" s="8"/>
      <c r="T74" s="8"/>
      <c r="U74" s="8"/>
      <c r="V74" s="8"/>
      <c r="W74" s="8"/>
      <c r="X74" s="8"/>
      <c r="Y74" s="8"/>
      <c r="Z74" s="8"/>
      <c r="AA74" s="8"/>
      <c r="AB74" s="8"/>
      <c r="AC74" s="8"/>
      <c r="AD74" s="8"/>
      <c r="AE74" s="8"/>
      <c r="AF74" s="8"/>
      <c r="AG74" s="8"/>
      <c r="AH74" s="8"/>
      <c r="AI74" s="8"/>
      <c r="AJ74" s="8"/>
      <c r="AK74" s="8"/>
      <c r="AL74" s="8"/>
      <c r="AM74" s="8"/>
      <c r="AN74" s="8"/>
      <c r="AO74" s="8"/>
      <c r="AP74" s="8"/>
      <c r="AQ74" s="8"/>
      <c r="AV74"/>
    </row>
    <row r="75" spans="2:48" ht="15.95" hidden="1" customHeight="1">
      <c r="B75" s="929"/>
      <c r="C75" s="8"/>
      <c r="D75" s="8"/>
      <c r="E75" s="8"/>
      <c r="F75" s="8"/>
      <c r="G75" s="8"/>
      <c r="H75" s="8"/>
      <c r="I75" s="8"/>
      <c r="J75" s="8"/>
      <c r="K75" s="8"/>
      <c r="L75" s="8"/>
      <c r="M75" s="8"/>
      <c r="N75" s="8"/>
      <c r="O75" s="8"/>
      <c r="P75" s="8"/>
      <c r="Q75" s="8"/>
      <c r="R75" s="8"/>
      <c r="S75" s="8"/>
      <c r="T75" s="8"/>
      <c r="U75" s="8"/>
      <c r="V75" s="8"/>
      <c r="W75" s="8"/>
      <c r="X75" s="8"/>
      <c r="Y75" s="8"/>
      <c r="Z75" s="8"/>
      <c r="AA75" s="8"/>
      <c r="AB75" s="8"/>
      <c r="AC75" s="8"/>
      <c r="AD75" s="8"/>
      <c r="AE75" s="8"/>
      <c r="AF75" s="8"/>
      <c r="AG75" s="8"/>
      <c r="AH75" s="8"/>
      <c r="AI75" s="8"/>
      <c r="AJ75" s="8"/>
      <c r="AK75" s="8"/>
      <c r="AL75" s="8"/>
      <c r="AM75" s="8"/>
      <c r="AN75" s="8"/>
      <c r="AO75" s="8"/>
      <c r="AP75" s="8"/>
      <c r="AQ75" s="8"/>
      <c r="AV75"/>
    </row>
    <row r="76" spans="2:48" ht="15.95" hidden="1" customHeight="1">
      <c r="B76" s="929">
        <v>31</v>
      </c>
      <c r="C76" s="8"/>
      <c r="D76" s="8"/>
      <c r="E76" s="8"/>
      <c r="F76" s="8"/>
      <c r="G76" s="8"/>
      <c r="H76" s="8"/>
      <c r="I76" s="8"/>
      <c r="J76" s="8"/>
      <c r="K76" s="8"/>
      <c r="L76" s="8"/>
      <c r="M76" s="8"/>
      <c r="N76" s="8"/>
      <c r="O76" s="8"/>
      <c r="P76" s="8"/>
      <c r="Q76" s="8"/>
      <c r="R76" s="8"/>
      <c r="S76" s="8"/>
      <c r="T76" s="8"/>
      <c r="U76" s="8"/>
      <c r="V76" s="8"/>
      <c r="W76" s="8"/>
      <c r="X76" s="8"/>
      <c r="Y76" s="8"/>
      <c r="Z76" s="8"/>
      <c r="AA76" s="8"/>
      <c r="AB76" s="8"/>
      <c r="AC76" s="8"/>
      <c r="AD76" s="8"/>
      <c r="AE76" s="8"/>
      <c r="AF76" s="8"/>
      <c r="AG76" s="8"/>
      <c r="AH76" s="8"/>
      <c r="AI76" s="8"/>
      <c r="AJ76" s="8"/>
      <c r="AK76" s="8"/>
      <c r="AL76" s="8"/>
      <c r="AM76" s="8"/>
      <c r="AN76" s="8"/>
      <c r="AO76" s="8"/>
      <c r="AP76" s="8"/>
      <c r="AQ76" s="8"/>
      <c r="AV76"/>
    </row>
    <row r="77" spans="2:48" ht="15.95" hidden="1" customHeight="1">
      <c r="B77" s="929"/>
      <c r="C77" s="8"/>
      <c r="D77" s="8"/>
      <c r="E77" s="8"/>
      <c r="F77" s="8"/>
      <c r="G77" s="8"/>
      <c r="H77" s="8"/>
      <c r="I77" s="8"/>
      <c r="J77" s="8"/>
      <c r="K77" s="8"/>
      <c r="L77" s="8"/>
      <c r="M77" s="8"/>
      <c r="N77" s="8"/>
      <c r="O77" s="8"/>
      <c r="P77" s="8"/>
      <c r="Q77" s="8"/>
      <c r="R77" s="8"/>
      <c r="S77" s="8"/>
      <c r="T77" s="8"/>
      <c r="U77" s="8"/>
      <c r="V77" s="8"/>
      <c r="W77" s="8"/>
      <c r="X77" s="8"/>
      <c r="Y77" s="8"/>
      <c r="Z77" s="8"/>
      <c r="AA77" s="8"/>
      <c r="AB77" s="8"/>
      <c r="AC77" s="8"/>
      <c r="AD77" s="8"/>
      <c r="AE77" s="8"/>
      <c r="AF77" s="8"/>
      <c r="AG77" s="8"/>
      <c r="AH77" s="8"/>
      <c r="AI77" s="8"/>
      <c r="AJ77" s="8"/>
      <c r="AK77" s="8"/>
      <c r="AL77" s="8"/>
      <c r="AM77" s="8"/>
      <c r="AN77" s="8"/>
      <c r="AO77" s="8"/>
      <c r="AP77" s="8"/>
      <c r="AQ77" s="8"/>
      <c r="AV77"/>
    </row>
    <row r="78" spans="2:48" ht="15.95" hidden="1" customHeight="1">
      <c r="B78" s="929">
        <v>32</v>
      </c>
      <c r="C78" s="8"/>
      <c r="D78" s="8"/>
      <c r="E78" s="8"/>
      <c r="F78" s="8"/>
      <c r="G78" s="8"/>
      <c r="H78" s="8"/>
      <c r="I78" s="8"/>
      <c r="J78" s="8"/>
      <c r="K78" s="8"/>
      <c r="L78" s="8"/>
      <c r="M78" s="8"/>
      <c r="N78" s="8"/>
      <c r="O78" s="8"/>
      <c r="P78" s="8"/>
      <c r="Q78" s="8"/>
      <c r="R78" s="8"/>
      <c r="S78" s="8"/>
      <c r="T78" s="8"/>
      <c r="U78" s="8"/>
      <c r="V78" s="8"/>
      <c r="W78" s="8"/>
      <c r="X78" s="8"/>
      <c r="Y78" s="8"/>
      <c r="Z78" s="8"/>
      <c r="AA78" s="8"/>
      <c r="AB78" s="8"/>
      <c r="AC78" s="8"/>
      <c r="AD78" s="8"/>
      <c r="AE78" s="8"/>
      <c r="AF78" s="8"/>
      <c r="AG78" s="8"/>
      <c r="AH78" s="8"/>
      <c r="AI78" s="8"/>
      <c r="AJ78" s="8"/>
      <c r="AK78" s="8"/>
      <c r="AL78" s="8"/>
      <c r="AM78" s="8"/>
      <c r="AN78" s="8"/>
      <c r="AO78" s="8"/>
      <c r="AP78" s="8"/>
      <c r="AQ78" s="8"/>
      <c r="AV78"/>
    </row>
    <row r="79" spans="2:48" ht="15.95" hidden="1" customHeight="1">
      <c r="B79" s="929"/>
      <c r="C79" s="8"/>
      <c r="D79" s="8"/>
      <c r="E79" s="8"/>
      <c r="F79" s="8"/>
      <c r="G79" s="8"/>
      <c r="H79" s="8"/>
      <c r="I79" s="8"/>
      <c r="J79" s="8"/>
      <c r="K79" s="8"/>
      <c r="L79" s="8"/>
      <c r="M79" s="8"/>
      <c r="N79" s="8"/>
      <c r="O79" s="8"/>
      <c r="P79" s="8"/>
      <c r="Q79" s="8"/>
      <c r="R79" s="8"/>
      <c r="S79" s="8"/>
      <c r="T79" s="8"/>
      <c r="U79" s="8"/>
      <c r="V79" s="8"/>
      <c r="W79" s="8"/>
      <c r="X79" s="8"/>
      <c r="Y79" s="8"/>
      <c r="Z79" s="8"/>
      <c r="AA79" s="8"/>
      <c r="AB79" s="8"/>
      <c r="AC79" s="8"/>
      <c r="AD79" s="8"/>
      <c r="AE79" s="8"/>
      <c r="AF79" s="8"/>
      <c r="AG79" s="8"/>
      <c r="AH79" s="8"/>
      <c r="AI79" s="8"/>
      <c r="AJ79" s="8"/>
      <c r="AK79" s="8"/>
      <c r="AL79" s="8"/>
      <c r="AM79" s="8"/>
      <c r="AN79" s="8"/>
      <c r="AO79" s="8"/>
      <c r="AP79" s="8"/>
      <c r="AQ79" s="8"/>
      <c r="AV79"/>
    </row>
    <row r="80" spans="2:48" ht="15.95" hidden="1" customHeight="1">
      <c r="B80" s="929">
        <v>33</v>
      </c>
      <c r="C80" s="8"/>
      <c r="D80" s="8"/>
      <c r="E80" s="8"/>
      <c r="F80" s="8"/>
      <c r="G80" s="8"/>
      <c r="H80" s="8"/>
      <c r="I80" s="8"/>
      <c r="J80" s="8"/>
      <c r="K80" s="8"/>
      <c r="L80" s="8"/>
      <c r="M80" s="8"/>
      <c r="N80" s="8"/>
      <c r="O80" s="8"/>
      <c r="P80" s="8"/>
      <c r="Q80" s="8"/>
      <c r="R80" s="8"/>
      <c r="S80" s="8"/>
      <c r="T80" s="8"/>
      <c r="U80" s="8"/>
      <c r="V80" s="8"/>
      <c r="W80" s="8"/>
      <c r="X80" s="8"/>
      <c r="Y80" s="8"/>
      <c r="Z80" s="8"/>
      <c r="AA80" s="8"/>
      <c r="AB80" s="8"/>
      <c r="AC80" s="8"/>
      <c r="AD80" s="8"/>
      <c r="AE80" s="8"/>
      <c r="AF80" s="8"/>
      <c r="AG80" s="8"/>
      <c r="AH80" s="8"/>
      <c r="AI80" s="8"/>
      <c r="AJ80" s="8"/>
      <c r="AK80" s="8"/>
      <c r="AL80" s="8"/>
      <c r="AM80" s="8"/>
      <c r="AN80" s="8"/>
      <c r="AO80" s="8"/>
      <c r="AP80" s="8"/>
      <c r="AQ80" s="8"/>
      <c r="AV80"/>
    </row>
    <row r="81" spans="2:48" ht="15.95" hidden="1" customHeight="1">
      <c r="B81" s="929"/>
      <c r="C81" s="8"/>
      <c r="D81" s="8"/>
      <c r="E81" s="8"/>
      <c r="F81" s="8"/>
      <c r="G81" s="8"/>
      <c r="H81" s="8"/>
      <c r="I81" s="8"/>
      <c r="J81" s="8"/>
      <c r="K81" s="8"/>
      <c r="L81" s="8"/>
      <c r="M81" s="8"/>
      <c r="N81" s="8"/>
      <c r="O81" s="8"/>
      <c r="P81" s="8"/>
      <c r="Q81" s="8"/>
      <c r="R81" s="8"/>
      <c r="S81" s="8"/>
      <c r="T81" s="8"/>
      <c r="U81" s="8"/>
      <c r="V81" s="8"/>
      <c r="W81" s="8"/>
      <c r="X81" s="8"/>
      <c r="Y81" s="8"/>
      <c r="Z81" s="8"/>
      <c r="AA81" s="8"/>
      <c r="AB81" s="8"/>
      <c r="AC81" s="8"/>
      <c r="AD81" s="8"/>
      <c r="AE81" s="8"/>
      <c r="AF81" s="8"/>
      <c r="AG81" s="8"/>
      <c r="AH81" s="8"/>
      <c r="AI81" s="8"/>
      <c r="AJ81" s="8"/>
      <c r="AK81" s="8"/>
      <c r="AL81" s="8"/>
      <c r="AM81" s="8"/>
      <c r="AN81" s="8"/>
      <c r="AO81" s="8"/>
      <c r="AP81" s="8"/>
      <c r="AQ81" s="8"/>
      <c r="AV81"/>
    </row>
    <row r="82" spans="2:48" ht="15.95" hidden="1" customHeight="1">
      <c r="B82" s="929">
        <v>34</v>
      </c>
      <c r="C82" s="8"/>
      <c r="D82" s="8"/>
      <c r="E82" s="8"/>
      <c r="F82" s="8"/>
      <c r="G82" s="8"/>
      <c r="H82" s="8"/>
      <c r="I82" s="8"/>
      <c r="J82" s="8"/>
      <c r="K82" s="8"/>
      <c r="L82" s="8"/>
      <c r="M82" s="8"/>
      <c r="N82" s="8"/>
      <c r="O82" s="8"/>
      <c r="P82" s="8"/>
      <c r="Q82" s="8"/>
      <c r="R82" s="8"/>
      <c r="S82" s="8"/>
      <c r="T82" s="8"/>
      <c r="U82" s="8"/>
      <c r="V82" s="8"/>
      <c r="W82" s="8"/>
      <c r="X82" s="8"/>
      <c r="Y82" s="8"/>
      <c r="Z82" s="8"/>
      <c r="AA82" s="8"/>
      <c r="AB82" s="8"/>
      <c r="AC82" s="8"/>
      <c r="AD82" s="8"/>
      <c r="AE82" s="8"/>
      <c r="AF82" s="8"/>
      <c r="AG82" s="8"/>
      <c r="AH82" s="8"/>
      <c r="AI82" s="8"/>
      <c r="AJ82" s="8"/>
      <c r="AK82" s="8"/>
      <c r="AL82" s="8"/>
      <c r="AM82" s="8"/>
      <c r="AN82" s="8"/>
      <c r="AO82" s="8"/>
      <c r="AP82" s="8"/>
      <c r="AQ82" s="8"/>
      <c r="AV82"/>
    </row>
    <row r="83" spans="2:48" ht="15.95" hidden="1" customHeight="1">
      <c r="B83" s="929"/>
      <c r="C83" s="8"/>
      <c r="D83" s="8"/>
      <c r="E83" s="8"/>
      <c r="F83" s="8"/>
      <c r="G83" s="8"/>
      <c r="H83" s="8"/>
      <c r="I83" s="8"/>
      <c r="J83" s="8"/>
      <c r="K83" s="8"/>
      <c r="L83" s="8"/>
      <c r="M83" s="8"/>
      <c r="N83" s="8"/>
      <c r="O83" s="8"/>
      <c r="P83" s="8"/>
      <c r="Q83" s="8"/>
      <c r="R83" s="8"/>
      <c r="S83" s="8"/>
      <c r="T83" s="8"/>
      <c r="U83" s="8"/>
      <c r="V83" s="8"/>
      <c r="W83" s="8"/>
      <c r="X83" s="8"/>
      <c r="Y83" s="8"/>
      <c r="Z83" s="8"/>
      <c r="AA83" s="8"/>
      <c r="AB83" s="8"/>
      <c r="AC83" s="8"/>
      <c r="AD83" s="8"/>
      <c r="AE83" s="8"/>
      <c r="AF83" s="8"/>
      <c r="AG83" s="8"/>
      <c r="AH83" s="8"/>
      <c r="AI83" s="8"/>
      <c r="AJ83" s="8"/>
      <c r="AK83" s="8"/>
      <c r="AL83" s="8"/>
      <c r="AM83" s="8"/>
      <c r="AN83" s="8"/>
      <c r="AO83" s="8"/>
      <c r="AP83" s="8"/>
      <c r="AQ83" s="8"/>
      <c r="AV83"/>
    </row>
    <row r="84" spans="2:48" ht="15.95" hidden="1" customHeight="1">
      <c r="B84" s="929">
        <v>35</v>
      </c>
      <c r="C84" s="8"/>
      <c r="D84" s="8"/>
      <c r="E84" s="8"/>
      <c r="F84" s="8"/>
      <c r="G84" s="8"/>
      <c r="H84" s="8"/>
      <c r="I84" s="8"/>
      <c r="J84" s="8"/>
      <c r="K84" s="8"/>
      <c r="L84" s="8"/>
      <c r="M84" s="8"/>
      <c r="N84" s="8"/>
      <c r="O84" s="8"/>
      <c r="P84" s="8"/>
      <c r="Q84" s="8"/>
      <c r="R84" s="8"/>
      <c r="S84" s="8"/>
      <c r="T84" s="8"/>
      <c r="U84" s="8"/>
      <c r="V84" s="8"/>
      <c r="W84" s="8"/>
      <c r="X84" s="8"/>
      <c r="Y84" s="8"/>
      <c r="Z84" s="8"/>
      <c r="AA84" s="8"/>
      <c r="AB84" s="8"/>
      <c r="AC84" s="8"/>
      <c r="AD84" s="8"/>
      <c r="AE84" s="8"/>
      <c r="AF84" s="8"/>
      <c r="AG84" s="8"/>
      <c r="AH84" s="8"/>
      <c r="AI84" s="8"/>
      <c r="AJ84" s="8"/>
      <c r="AK84" s="8"/>
      <c r="AL84" s="8"/>
      <c r="AM84" s="8"/>
      <c r="AN84" s="8"/>
      <c r="AO84" s="8"/>
      <c r="AP84" s="8"/>
      <c r="AQ84" s="8"/>
      <c r="AV84"/>
    </row>
    <row r="85" spans="2:48" ht="15.95" hidden="1" customHeight="1">
      <c r="B85" s="929"/>
      <c r="C85" s="8"/>
      <c r="D85" s="8"/>
      <c r="E85" s="8"/>
      <c r="F85" s="8"/>
      <c r="G85" s="8"/>
      <c r="H85" s="8"/>
      <c r="I85" s="8"/>
      <c r="J85" s="8"/>
      <c r="K85" s="8"/>
      <c r="L85" s="8"/>
      <c r="M85" s="8"/>
      <c r="N85" s="8"/>
      <c r="O85" s="8"/>
      <c r="P85" s="8"/>
      <c r="Q85" s="8"/>
      <c r="R85" s="8"/>
      <c r="S85" s="8"/>
      <c r="T85" s="8"/>
      <c r="U85" s="8"/>
      <c r="V85" s="8"/>
      <c r="W85" s="8"/>
      <c r="X85" s="8"/>
      <c r="Y85" s="8"/>
      <c r="Z85" s="8"/>
      <c r="AA85" s="8"/>
      <c r="AB85" s="8"/>
      <c r="AC85" s="8"/>
      <c r="AD85" s="8"/>
      <c r="AE85" s="8"/>
      <c r="AF85" s="8"/>
      <c r="AG85" s="8"/>
      <c r="AH85" s="8"/>
      <c r="AI85" s="8"/>
      <c r="AJ85" s="8"/>
      <c r="AK85" s="8"/>
      <c r="AL85" s="8"/>
      <c r="AM85" s="8"/>
      <c r="AN85" s="8"/>
      <c r="AO85" s="8"/>
      <c r="AP85" s="8"/>
      <c r="AQ85" s="8"/>
      <c r="AV85"/>
    </row>
    <row r="86" spans="2:48" ht="15.95" hidden="1" customHeight="1">
      <c r="B86" s="929">
        <v>36</v>
      </c>
      <c r="C86" s="8"/>
      <c r="D86" s="8"/>
      <c r="E86" s="8"/>
      <c r="F86" s="8"/>
      <c r="G86" s="8"/>
      <c r="H86" s="8"/>
      <c r="I86" s="8"/>
      <c r="J86" s="8"/>
      <c r="K86" s="8"/>
      <c r="L86" s="8"/>
      <c r="M86" s="8"/>
      <c r="N86" s="8"/>
      <c r="O86" s="8"/>
      <c r="P86" s="8"/>
      <c r="Q86" s="8"/>
      <c r="R86" s="8"/>
      <c r="S86" s="8"/>
      <c r="T86" s="8"/>
      <c r="U86" s="8"/>
      <c r="V86" s="8"/>
      <c r="W86" s="8"/>
      <c r="X86" s="8"/>
      <c r="Y86" s="8"/>
      <c r="Z86" s="8"/>
      <c r="AA86" s="8"/>
      <c r="AB86" s="8"/>
      <c r="AC86" s="8"/>
      <c r="AD86" s="8"/>
      <c r="AE86" s="8"/>
      <c r="AF86" s="8"/>
      <c r="AG86" s="8"/>
      <c r="AH86" s="8"/>
      <c r="AI86" s="8"/>
      <c r="AJ86" s="8"/>
      <c r="AK86" s="8"/>
      <c r="AL86" s="8"/>
      <c r="AM86" s="8"/>
      <c r="AN86" s="8"/>
      <c r="AO86" s="8"/>
      <c r="AP86" s="8"/>
      <c r="AQ86" s="8"/>
      <c r="AV86"/>
    </row>
    <row r="87" spans="2:48" ht="15.95" hidden="1" customHeight="1">
      <c r="B87" s="929"/>
      <c r="C87" s="8"/>
      <c r="D87" s="8"/>
      <c r="E87" s="8"/>
      <c r="F87" s="8"/>
      <c r="G87" s="8"/>
      <c r="H87" s="8"/>
      <c r="I87" s="8"/>
      <c r="J87" s="8"/>
      <c r="K87" s="8"/>
      <c r="L87" s="8"/>
      <c r="M87" s="8"/>
      <c r="N87" s="8"/>
      <c r="O87" s="8"/>
      <c r="P87" s="8"/>
      <c r="Q87" s="8"/>
      <c r="R87" s="8"/>
      <c r="S87" s="8"/>
      <c r="T87" s="8"/>
      <c r="U87" s="8"/>
      <c r="V87" s="8"/>
      <c r="W87" s="8"/>
      <c r="X87" s="8"/>
      <c r="Y87" s="8"/>
      <c r="Z87" s="8"/>
      <c r="AA87" s="8"/>
      <c r="AB87" s="8"/>
      <c r="AC87" s="8"/>
      <c r="AD87" s="8"/>
      <c r="AE87" s="8"/>
      <c r="AF87" s="8"/>
      <c r="AG87" s="8"/>
      <c r="AH87" s="8"/>
      <c r="AI87" s="8"/>
      <c r="AJ87" s="8"/>
      <c r="AK87" s="8"/>
      <c r="AL87" s="8"/>
      <c r="AM87" s="8"/>
      <c r="AN87" s="8"/>
      <c r="AO87" s="8"/>
      <c r="AP87" s="8"/>
      <c r="AQ87" s="8"/>
      <c r="AV87"/>
    </row>
    <row r="88" spans="2:48" ht="15.95" hidden="1" customHeight="1">
      <c r="B88" s="929">
        <v>37</v>
      </c>
      <c r="C88" s="8"/>
      <c r="D88" s="8"/>
      <c r="E88" s="8"/>
      <c r="F88" s="8"/>
      <c r="G88" s="8"/>
      <c r="H88" s="8"/>
      <c r="I88" s="8"/>
      <c r="J88" s="8"/>
      <c r="K88" s="8"/>
      <c r="L88" s="8"/>
      <c r="M88" s="8"/>
      <c r="N88" s="8"/>
      <c r="O88" s="8"/>
      <c r="P88" s="8"/>
      <c r="Q88" s="8"/>
      <c r="R88" s="8"/>
      <c r="S88" s="8"/>
      <c r="T88" s="8"/>
      <c r="U88" s="8"/>
      <c r="V88" s="8"/>
      <c r="W88" s="8"/>
      <c r="X88" s="8"/>
      <c r="Y88" s="8"/>
      <c r="Z88" s="8"/>
      <c r="AA88" s="8"/>
      <c r="AB88" s="8"/>
      <c r="AC88" s="8"/>
      <c r="AD88" s="8"/>
      <c r="AE88" s="8"/>
      <c r="AF88" s="8"/>
      <c r="AG88" s="8"/>
      <c r="AH88" s="8"/>
      <c r="AI88" s="8"/>
      <c r="AJ88" s="8"/>
      <c r="AK88" s="8"/>
      <c r="AL88" s="8"/>
      <c r="AM88" s="8"/>
      <c r="AN88" s="8"/>
      <c r="AO88" s="8"/>
      <c r="AP88" s="8"/>
      <c r="AQ88" s="8"/>
      <c r="AV88"/>
    </row>
    <row r="89" spans="2:48" ht="15.95" hidden="1" customHeight="1">
      <c r="B89" s="929"/>
      <c r="C89" s="8"/>
      <c r="D89" s="8"/>
      <c r="E89" s="8"/>
      <c r="F89" s="8"/>
      <c r="G89" s="8"/>
      <c r="H89" s="8"/>
      <c r="I89" s="8"/>
      <c r="J89" s="8"/>
      <c r="K89" s="8"/>
      <c r="L89" s="8"/>
      <c r="M89" s="8"/>
      <c r="N89" s="8"/>
      <c r="O89" s="8"/>
      <c r="P89" s="8"/>
      <c r="Q89" s="8"/>
      <c r="R89" s="8"/>
      <c r="S89" s="8"/>
      <c r="T89" s="8"/>
      <c r="U89" s="8"/>
      <c r="V89" s="8"/>
      <c r="W89" s="8"/>
      <c r="X89" s="8"/>
      <c r="Y89" s="8"/>
      <c r="Z89" s="8"/>
      <c r="AA89" s="8"/>
      <c r="AB89" s="8"/>
      <c r="AC89" s="8"/>
      <c r="AD89" s="8"/>
      <c r="AE89" s="8"/>
      <c r="AF89" s="8"/>
      <c r="AG89" s="8"/>
      <c r="AH89" s="8"/>
      <c r="AI89" s="8"/>
      <c r="AJ89" s="8"/>
      <c r="AK89" s="8"/>
      <c r="AL89" s="8"/>
      <c r="AM89" s="8"/>
      <c r="AN89" s="8"/>
      <c r="AO89" s="8"/>
      <c r="AP89" s="8"/>
      <c r="AQ89" s="8"/>
      <c r="AV89"/>
    </row>
    <row r="90" spans="2:48" ht="15.95" hidden="1" customHeight="1">
      <c r="B90" s="929">
        <v>38</v>
      </c>
      <c r="C90" s="8"/>
      <c r="D90" s="8"/>
      <c r="E90" s="8"/>
      <c r="F90" s="8"/>
      <c r="G90" s="8"/>
      <c r="H90" s="8"/>
      <c r="I90" s="8"/>
      <c r="J90" s="8"/>
      <c r="K90" s="8"/>
      <c r="L90" s="8"/>
      <c r="M90" s="8"/>
      <c r="N90" s="8"/>
      <c r="O90" s="8"/>
      <c r="P90" s="8"/>
      <c r="Q90" s="8"/>
      <c r="R90" s="8"/>
      <c r="S90" s="8"/>
      <c r="T90" s="8"/>
      <c r="U90" s="8"/>
      <c r="V90" s="8"/>
      <c r="W90" s="8"/>
      <c r="X90" s="8"/>
      <c r="Y90" s="8"/>
      <c r="Z90" s="8"/>
      <c r="AA90" s="8"/>
      <c r="AB90" s="8"/>
      <c r="AC90" s="8"/>
      <c r="AD90" s="8"/>
      <c r="AE90" s="8"/>
      <c r="AF90" s="8"/>
      <c r="AG90" s="8"/>
      <c r="AH90" s="8"/>
      <c r="AI90" s="8"/>
      <c r="AJ90" s="8"/>
      <c r="AK90" s="8"/>
      <c r="AL90" s="8"/>
      <c r="AM90" s="8"/>
      <c r="AN90" s="8"/>
      <c r="AO90" s="8"/>
      <c r="AP90" s="8"/>
      <c r="AQ90" s="8"/>
      <c r="AV90"/>
    </row>
    <row r="91" spans="2:48" ht="15.95" hidden="1" customHeight="1">
      <c r="B91" s="929"/>
      <c r="C91" s="8"/>
      <c r="D91" s="8"/>
      <c r="E91" s="8"/>
      <c r="F91" s="8"/>
      <c r="G91" s="8"/>
      <c r="H91" s="8"/>
      <c r="I91" s="8"/>
      <c r="J91" s="8"/>
      <c r="K91" s="8"/>
      <c r="L91" s="8"/>
      <c r="M91" s="8"/>
      <c r="N91" s="8"/>
      <c r="O91" s="8"/>
      <c r="P91" s="8"/>
      <c r="Q91" s="8"/>
      <c r="R91" s="8"/>
      <c r="S91" s="8"/>
      <c r="T91" s="8"/>
      <c r="U91" s="8"/>
      <c r="V91" s="8"/>
      <c r="W91" s="8"/>
      <c r="X91" s="8"/>
      <c r="Y91" s="8"/>
      <c r="Z91" s="8"/>
      <c r="AA91" s="8"/>
      <c r="AB91" s="8"/>
      <c r="AC91" s="8"/>
      <c r="AD91" s="8"/>
      <c r="AE91" s="8"/>
      <c r="AF91" s="8"/>
      <c r="AG91" s="8"/>
      <c r="AH91" s="8"/>
      <c r="AI91" s="8"/>
      <c r="AJ91" s="8"/>
      <c r="AK91" s="8"/>
      <c r="AL91" s="8"/>
      <c r="AM91" s="8"/>
      <c r="AN91" s="8"/>
      <c r="AO91" s="8"/>
      <c r="AP91" s="8"/>
      <c r="AQ91" s="8"/>
      <c r="AV91"/>
    </row>
    <row r="92" spans="2:48" ht="15.95" hidden="1" customHeight="1">
      <c r="B92" s="929">
        <v>39</v>
      </c>
      <c r="C92" s="8"/>
      <c r="D92" s="8"/>
      <c r="E92" s="8"/>
      <c r="F92" s="8"/>
      <c r="G92" s="8"/>
      <c r="H92" s="8"/>
      <c r="I92" s="8"/>
      <c r="J92" s="8"/>
      <c r="K92" s="8"/>
      <c r="L92" s="8"/>
      <c r="M92" s="8"/>
      <c r="N92" s="8"/>
      <c r="O92" s="8"/>
      <c r="P92" s="8"/>
      <c r="Q92" s="8"/>
      <c r="R92" s="8"/>
      <c r="S92" s="8"/>
      <c r="T92" s="8"/>
      <c r="U92" s="8"/>
      <c r="V92" s="8"/>
      <c r="W92" s="8"/>
      <c r="X92" s="8"/>
      <c r="Y92" s="8"/>
      <c r="Z92" s="8"/>
      <c r="AA92" s="8"/>
      <c r="AB92" s="8"/>
      <c r="AC92" s="8"/>
      <c r="AD92" s="8"/>
      <c r="AE92" s="8"/>
      <c r="AF92" s="8"/>
      <c r="AG92" s="8"/>
      <c r="AH92" s="8"/>
      <c r="AI92" s="8"/>
      <c r="AJ92" s="8"/>
      <c r="AK92" s="8"/>
      <c r="AL92" s="8"/>
      <c r="AM92" s="8"/>
      <c r="AN92" s="8"/>
      <c r="AO92" s="8"/>
      <c r="AP92" s="8"/>
      <c r="AQ92" s="8"/>
      <c r="AV92"/>
    </row>
    <row r="93" spans="2:48" ht="15.95" hidden="1" customHeight="1">
      <c r="B93" s="929"/>
      <c r="C93" s="8"/>
      <c r="D93" s="8"/>
      <c r="E93" s="8"/>
      <c r="F93" s="8"/>
      <c r="G93" s="8"/>
      <c r="H93" s="8"/>
      <c r="I93" s="8"/>
      <c r="J93" s="8"/>
      <c r="K93" s="8"/>
      <c r="L93" s="8"/>
      <c r="M93" s="8"/>
      <c r="N93" s="8"/>
      <c r="O93" s="8"/>
      <c r="P93" s="8"/>
      <c r="Q93" s="8"/>
      <c r="R93" s="8"/>
      <c r="S93" s="8"/>
      <c r="T93" s="8"/>
      <c r="U93" s="8"/>
      <c r="V93" s="8"/>
      <c r="W93" s="8"/>
      <c r="X93" s="8"/>
      <c r="Y93" s="8"/>
      <c r="Z93" s="8"/>
      <c r="AA93" s="8"/>
      <c r="AB93" s="8"/>
      <c r="AC93" s="8"/>
      <c r="AD93" s="8"/>
      <c r="AE93" s="8"/>
      <c r="AF93" s="8"/>
      <c r="AG93" s="8"/>
      <c r="AH93" s="8"/>
      <c r="AI93" s="8"/>
      <c r="AJ93" s="8"/>
      <c r="AK93" s="8"/>
      <c r="AL93" s="8"/>
      <c r="AM93" s="8"/>
      <c r="AN93" s="8"/>
      <c r="AO93" s="8"/>
      <c r="AP93" s="8"/>
      <c r="AQ93" s="8"/>
      <c r="AV93"/>
    </row>
    <row r="94" spans="2:48" ht="15.95" hidden="1" customHeight="1">
      <c r="B94" s="929">
        <v>40</v>
      </c>
      <c r="C94" s="8"/>
      <c r="D94" s="8"/>
      <c r="E94" s="8"/>
      <c r="F94" s="8"/>
      <c r="G94" s="8"/>
      <c r="H94" s="8"/>
      <c r="I94" s="8"/>
      <c r="J94" s="8"/>
      <c r="K94" s="8"/>
      <c r="L94" s="8"/>
      <c r="M94" s="8"/>
      <c r="N94" s="8"/>
      <c r="O94" s="8"/>
      <c r="P94" s="8"/>
      <c r="Q94" s="8"/>
      <c r="R94" s="8"/>
      <c r="S94" s="8"/>
      <c r="T94" s="8"/>
      <c r="U94" s="8"/>
      <c r="V94" s="8"/>
      <c r="W94" s="8"/>
      <c r="X94" s="8"/>
      <c r="Y94" s="8"/>
      <c r="Z94" s="8"/>
      <c r="AA94" s="8"/>
      <c r="AB94" s="8"/>
      <c r="AC94" s="8"/>
      <c r="AD94" s="8"/>
      <c r="AE94" s="8"/>
      <c r="AF94" s="8"/>
      <c r="AG94" s="8"/>
      <c r="AH94" s="8"/>
      <c r="AI94" s="8"/>
      <c r="AJ94" s="8"/>
      <c r="AK94" s="8"/>
      <c r="AL94" s="8"/>
      <c r="AM94" s="8"/>
      <c r="AN94" s="8"/>
      <c r="AO94" s="8"/>
      <c r="AP94" s="8"/>
      <c r="AQ94" s="8"/>
      <c r="AV94"/>
    </row>
    <row r="95" spans="2:48" ht="15.95" hidden="1" customHeight="1">
      <c r="B95" s="929"/>
      <c r="C95" s="8"/>
      <c r="D95" s="8"/>
      <c r="E95" s="8"/>
      <c r="F95" s="8"/>
      <c r="G95" s="8"/>
      <c r="H95" s="8"/>
      <c r="I95" s="8"/>
      <c r="J95" s="8"/>
      <c r="K95" s="8"/>
      <c r="L95" s="8"/>
      <c r="M95" s="8"/>
      <c r="N95" s="8"/>
      <c r="O95" s="8"/>
      <c r="P95" s="8"/>
      <c r="Q95" s="8"/>
      <c r="R95" s="8"/>
      <c r="S95" s="8"/>
      <c r="T95" s="8"/>
      <c r="U95" s="8"/>
      <c r="V95" s="8"/>
      <c r="W95" s="8"/>
      <c r="X95" s="8"/>
      <c r="Y95" s="8"/>
      <c r="Z95" s="8"/>
      <c r="AA95" s="8"/>
      <c r="AB95" s="8"/>
      <c r="AC95" s="8"/>
      <c r="AD95" s="8"/>
      <c r="AE95" s="8"/>
      <c r="AF95" s="8"/>
      <c r="AG95" s="8"/>
      <c r="AH95" s="8"/>
      <c r="AI95" s="8"/>
      <c r="AJ95" s="8"/>
      <c r="AK95" s="8"/>
      <c r="AL95" s="8"/>
      <c r="AM95" s="8"/>
      <c r="AN95" s="8"/>
      <c r="AO95" s="8"/>
      <c r="AP95" s="8"/>
      <c r="AQ95" s="8"/>
      <c r="AV95"/>
    </row>
    <row r="96" spans="2:48" ht="15.95" hidden="1" customHeight="1">
      <c r="B96" s="929">
        <v>41</v>
      </c>
      <c r="C96" s="8"/>
      <c r="D96" s="8"/>
      <c r="E96" s="8"/>
      <c r="F96" s="8"/>
      <c r="G96" s="8"/>
      <c r="H96" s="8"/>
      <c r="I96" s="8"/>
      <c r="J96" s="8"/>
      <c r="K96" s="8"/>
      <c r="L96" s="8"/>
      <c r="M96" s="8"/>
      <c r="N96" s="8"/>
      <c r="O96" s="8"/>
      <c r="P96" s="8"/>
      <c r="Q96" s="8"/>
      <c r="R96" s="8"/>
      <c r="S96" s="8"/>
      <c r="T96" s="8"/>
      <c r="U96" s="8"/>
      <c r="V96" s="8"/>
      <c r="W96" s="8"/>
      <c r="X96" s="8"/>
      <c r="Y96" s="8"/>
      <c r="Z96" s="8"/>
      <c r="AA96" s="8"/>
      <c r="AB96" s="8"/>
      <c r="AC96" s="8"/>
      <c r="AD96" s="8"/>
      <c r="AE96" s="8"/>
      <c r="AF96" s="8"/>
      <c r="AG96" s="8"/>
      <c r="AH96" s="8"/>
      <c r="AI96" s="8"/>
      <c r="AJ96" s="8"/>
      <c r="AK96" s="8"/>
      <c r="AL96" s="8"/>
      <c r="AM96" s="8"/>
      <c r="AN96" s="8"/>
      <c r="AO96" s="8"/>
      <c r="AP96" s="8"/>
      <c r="AQ96" s="8"/>
      <c r="AV96"/>
    </row>
    <row r="97" spans="2:48" ht="15.95" hidden="1" customHeight="1">
      <c r="B97" s="929"/>
      <c r="C97" s="8"/>
      <c r="D97" s="8"/>
      <c r="E97" s="8"/>
      <c r="F97" s="8"/>
      <c r="G97" s="8"/>
      <c r="H97" s="8"/>
      <c r="I97" s="8"/>
      <c r="J97" s="8"/>
      <c r="K97" s="8"/>
      <c r="L97" s="8"/>
      <c r="M97" s="8"/>
      <c r="N97" s="8"/>
      <c r="O97" s="8"/>
      <c r="P97" s="8"/>
      <c r="Q97" s="8"/>
      <c r="R97" s="8"/>
      <c r="S97" s="8"/>
      <c r="T97" s="8"/>
      <c r="U97" s="8"/>
      <c r="V97" s="8"/>
      <c r="W97" s="8"/>
      <c r="X97" s="8"/>
      <c r="Y97" s="8"/>
      <c r="Z97" s="8"/>
      <c r="AA97" s="8"/>
      <c r="AB97" s="8"/>
      <c r="AC97" s="8"/>
      <c r="AD97" s="8"/>
      <c r="AE97" s="8"/>
      <c r="AF97" s="8"/>
      <c r="AG97" s="8"/>
      <c r="AH97" s="8"/>
      <c r="AI97" s="8"/>
      <c r="AJ97" s="8"/>
      <c r="AK97" s="8"/>
      <c r="AL97" s="8"/>
      <c r="AM97" s="8"/>
      <c r="AN97" s="8"/>
      <c r="AO97" s="8"/>
      <c r="AP97" s="8"/>
      <c r="AQ97" s="8"/>
      <c r="AV97"/>
    </row>
    <row r="98" spans="2:48" ht="15.95" hidden="1" customHeight="1">
      <c r="B98" s="929">
        <v>42</v>
      </c>
      <c r="C98" s="8"/>
      <c r="D98" s="8"/>
      <c r="E98" s="8"/>
      <c r="F98" s="8"/>
      <c r="G98" s="8"/>
      <c r="H98" s="8"/>
      <c r="I98" s="8"/>
      <c r="J98" s="8"/>
      <c r="K98" s="8"/>
      <c r="L98" s="8"/>
      <c r="M98" s="8"/>
      <c r="N98" s="8"/>
      <c r="O98" s="8"/>
      <c r="P98" s="8"/>
      <c r="Q98" s="8"/>
      <c r="R98" s="8"/>
      <c r="S98" s="8"/>
      <c r="T98" s="8"/>
      <c r="U98" s="8"/>
      <c r="V98" s="8"/>
      <c r="W98" s="8"/>
      <c r="X98" s="8"/>
      <c r="Y98" s="8"/>
      <c r="Z98" s="8"/>
      <c r="AA98" s="8"/>
      <c r="AB98" s="8"/>
      <c r="AC98" s="8"/>
      <c r="AD98" s="8"/>
      <c r="AE98" s="8"/>
      <c r="AF98" s="8"/>
      <c r="AG98" s="8"/>
      <c r="AH98" s="8"/>
      <c r="AI98" s="8"/>
      <c r="AJ98" s="8"/>
      <c r="AK98" s="8"/>
      <c r="AL98" s="8"/>
      <c r="AM98" s="8"/>
      <c r="AN98" s="8"/>
      <c r="AO98" s="8"/>
      <c r="AP98" s="8"/>
      <c r="AQ98" s="8"/>
      <c r="AV98"/>
    </row>
    <row r="99" spans="2:48" ht="15.95" hidden="1" customHeight="1">
      <c r="B99" s="929"/>
      <c r="C99" s="8"/>
      <c r="D99" s="8"/>
      <c r="E99" s="8"/>
      <c r="F99" s="8"/>
      <c r="G99" s="8"/>
      <c r="H99" s="8"/>
      <c r="I99" s="8"/>
      <c r="J99" s="8"/>
      <c r="K99" s="8"/>
      <c r="L99" s="8"/>
      <c r="M99" s="8"/>
      <c r="N99" s="8"/>
      <c r="O99" s="8"/>
      <c r="P99" s="8"/>
      <c r="Q99" s="8"/>
      <c r="R99" s="8"/>
      <c r="S99" s="8"/>
      <c r="T99" s="8"/>
      <c r="U99" s="8"/>
      <c r="V99" s="8"/>
      <c r="W99" s="8"/>
      <c r="X99" s="8"/>
      <c r="Y99" s="8"/>
      <c r="Z99" s="8"/>
      <c r="AA99" s="8"/>
      <c r="AB99" s="8"/>
      <c r="AC99" s="8"/>
      <c r="AD99" s="8"/>
      <c r="AE99" s="8"/>
      <c r="AF99" s="8"/>
      <c r="AG99" s="8"/>
      <c r="AH99" s="8"/>
      <c r="AI99" s="8"/>
      <c r="AJ99" s="8"/>
      <c r="AK99" s="8"/>
      <c r="AL99" s="8"/>
      <c r="AM99" s="8"/>
      <c r="AN99" s="8"/>
      <c r="AO99" s="8"/>
      <c r="AP99" s="8"/>
      <c r="AQ99" s="8"/>
      <c r="AV99"/>
    </row>
    <row r="100" spans="2:48" ht="15.95" hidden="1" customHeight="1">
      <c r="B100" s="929">
        <v>43</v>
      </c>
      <c r="C100" s="8"/>
      <c r="D100" s="8"/>
      <c r="E100" s="8"/>
      <c r="F100" s="8"/>
      <c r="G100" s="8"/>
      <c r="H100" s="8"/>
      <c r="I100" s="8"/>
      <c r="J100" s="8"/>
      <c r="K100" s="8"/>
      <c r="L100" s="8"/>
      <c r="M100" s="8"/>
      <c r="N100" s="8"/>
      <c r="O100" s="8"/>
      <c r="P100" s="8"/>
      <c r="Q100" s="8"/>
      <c r="R100" s="8"/>
      <c r="S100" s="8"/>
      <c r="T100" s="8"/>
      <c r="U100" s="8"/>
      <c r="V100" s="8"/>
      <c r="W100" s="8"/>
      <c r="X100" s="8"/>
      <c r="Y100" s="8"/>
      <c r="Z100" s="8"/>
      <c r="AA100" s="8"/>
      <c r="AB100" s="8"/>
      <c r="AC100" s="8"/>
      <c r="AD100" s="8"/>
      <c r="AE100" s="8"/>
      <c r="AF100" s="8"/>
      <c r="AG100" s="8"/>
      <c r="AH100" s="8"/>
      <c r="AI100" s="8"/>
      <c r="AJ100" s="8"/>
      <c r="AK100" s="8"/>
      <c r="AL100" s="8"/>
      <c r="AM100" s="8"/>
      <c r="AN100" s="8"/>
      <c r="AO100" s="8"/>
      <c r="AP100" s="8"/>
      <c r="AQ100" s="8"/>
      <c r="AV100"/>
    </row>
    <row r="101" spans="2:48" ht="15.95" hidden="1" customHeight="1">
      <c r="B101" s="929"/>
      <c r="C101" s="8"/>
      <c r="D101" s="8"/>
      <c r="E101" s="8"/>
      <c r="F101" s="8"/>
      <c r="G101" s="8"/>
      <c r="H101" s="8"/>
      <c r="I101" s="8"/>
      <c r="J101" s="8"/>
      <c r="K101" s="8"/>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c r="AL101" s="8"/>
      <c r="AM101" s="8"/>
      <c r="AN101" s="8"/>
      <c r="AO101" s="8"/>
      <c r="AP101" s="8"/>
      <c r="AQ101" s="8"/>
      <c r="AV101"/>
    </row>
    <row r="102" spans="2:48" ht="15.95" hidden="1" customHeight="1">
      <c r="B102" s="929">
        <v>44</v>
      </c>
      <c r="C102" s="8"/>
      <c r="D102" s="8"/>
      <c r="E102" s="8"/>
      <c r="F102" s="8"/>
      <c r="G102" s="8"/>
      <c r="H102" s="8"/>
      <c r="I102" s="8"/>
      <c r="J102" s="8"/>
      <c r="K102" s="8"/>
      <c r="L102" s="8"/>
      <c r="M102" s="8"/>
      <c r="N102" s="8"/>
      <c r="O102" s="8"/>
      <c r="P102" s="8"/>
      <c r="Q102" s="8"/>
      <c r="R102" s="8"/>
      <c r="S102" s="8"/>
      <c r="T102" s="8"/>
      <c r="U102" s="8"/>
      <c r="V102" s="8"/>
      <c r="W102" s="8"/>
      <c r="X102" s="8"/>
      <c r="Y102" s="8"/>
      <c r="Z102" s="8"/>
      <c r="AA102" s="8"/>
      <c r="AB102" s="8"/>
      <c r="AC102" s="8"/>
      <c r="AD102" s="8"/>
      <c r="AE102" s="8"/>
      <c r="AF102" s="8"/>
      <c r="AG102" s="8"/>
      <c r="AH102" s="8"/>
      <c r="AI102" s="8"/>
      <c r="AJ102" s="8"/>
      <c r="AK102" s="8"/>
      <c r="AL102" s="8"/>
      <c r="AM102" s="8"/>
      <c r="AN102" s="8"/>
      <c r="AO102" s="8"/>
      <c r="AP102" s="8"/>
      <c r="AQ102" s="8"/>
      <c r="AV102"/>
    </row>
    <row r="103" spans="2:48" ht="15.95" hidden="1" customHeight="1">
      <c r="B103" s="929"/>
      <c r="C103" s="8"/>
      <c r="D103" s="8"/>
      <c r="E103" s="8"/>
      <c r="F103" s="8"/>
      <c r="G103" s="8"/>
      <c r="H103" s="8"/>
      <c r="I103" s="8"/>
      <c r="J103" s="8"/>
      <c r="K103" s="8"/>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c r="AM103" s="8"/>
      <c r="AN103" s="8"/>
      <c r="AO103" s="8"/>
      <c r="AP103" s="8"/>
      <c r="AQ103" s="8"/>
      <c r="AV103"/>
    </row>
    <row r="104" spans="2:48" ht="15.95" hidden="1" customHeight="1">
      <c r="B104" s="929">
        <v>45</v>
      </c>
      <c r="C104" s="8"/>
      <c r="D104" s="8"/>
      <c r="E104" s="8"/>
      <c r="F104" s="8"/>
      <c r="G104" s="8"/>
      <c r="H104" s="8"/>
      <c r="I104" s="8"/>
      <c r="J104" s="8"/>
      <c r="K104" s="8"/>
      <c r="L104" s="8"/>
      <c r="M104" s="8"/>
      <c r="N104" s="8"/>
      <c r="O104" s="8"/>
      <c r="P104" s="8"/>
      <c r="Q104" s="8"/>
      <c r="R104" s="8"/>
      <c r="S104" s="8"/>
      <c r="T104" s="8"/>
      <c r="U104" s="8"/>
      <c r="V104" s="8"/>
      <c r="W104" s="8"/>
      <c r="X104" s="8"/>
      <c r="Y104" s="8"/>
      <c r="Z104" s="8"/>
      <c r="AA104" s="8"/>
      <c r="AB104" s="8"/>
      <c r="AC104" s="8"/>
      <c r="AD104" s="8"/>
      <c r="AE104" s="8"/>
      <c r="AF104" s="8"/>
      <c r="AG104" s="8"/>
      <c r="AH104" s="8"/>
      <c r="AI104" s="8"/>
      <c r="AJ104" s="8"/>
      <c r="AK104" s="8"/>
      <c r="AL104" s="8"/>
      <c r="AM104" s="8"/>
      <c r="AN104" s="8"/>
      <c r="AO104" s="8"/>
      <c r="AP104" s="8"/>
      <c r="AQ104" s="8"/>
      <c r="AV104"/>
    </row>
    <row r="105" spans="2:48" ht="15.95" hidden="1" customHeight="1">
      <c r="B105" s="929"/>
      <c r="C105" s="8"/>
      <c r="D105" s="8"/>
      <c r="E105" s="8"/>
      <c r="F105" s="8"/>
      <c r="G105" s="8"/>
      <c r="H105" s="8"/>
      <c r="I105" s="8"/>
      <c r="J105" s="8"/>
      <c r="K105" s="8"/>
      <c r="L105" s="8"/>
      <c r="M105" s="8"/>
      <c r="N105" s="8"/>
      <c r="O105" s="8"/>
      <c r="P105" s="8"/>
      <c r="Q105" s="8"/>
      <c r="R105" s="8"/>
      <c r="S105" s="8"/>
      <c r="T105" s="8"/>
      <c r="U105" s="8"/>
      <c r="V105" s="8"/>
      <c r="W105" s="8"/>
      <c r="X105" s="8"/>
      <c r="Y105" s="8"/>
      <c r="Z105" s="8"/>
      <c r="AA105" s="8"/>
      <c r="AB105" s="8"/>
      <c r="AC105" s="8"/>
      <c r="AD105" s="8"/>
      <c r="AE105" s="8"/>
      <c r="AF105" s="8"/>
      <c r="AG105" s="8"/>
      <c r="AH105" s="8"/>
      <c r="AI105" s="8"/>
      <c r="AJ105" s="8"/>
      <c r="AK105" s="8"/>
      <c r="AL105" s="8"/>
      <c r="AM105" s="8"/>
      <c r="AN105" s="8"/>
      <c r="AO105" s="8"/>
      <c r="AP105" s="8"/>
      <c r="AQ105" s="8"/>
      <c r="AV105"/>
    </row>
    <row r="106" spans="2:48" ht="15.95" hidden="1" customHeight="1">
      <c r="B106" s="929">
        <v>46</v>
      </c>
      <c r="C106" s="8"/>
      <c r="D106" s="8"/>
      <c r="E106" s="8"/>
      <c r="F106" s="8"/>
      <c r="G106" s="8"/>
      <c r="H106" s="8"/>
      <c r="I106" s="8"/>
      <c r="J106" s="8"/>
      <c r="K106" s="8"/>
      <c r="L106" s="8"/>
      <c r="M106" s="8"/>
      <c r="N106" s="8"/>
      <c r="O106" s="8"/>
      <c r="P106" s="8"/>
      <c r="Q106" s="8"/>
      <c r="R106" s="8"/>
      <c r="S106" s="8"/>
      <c r="T106" s="8"/>
      <c r="U106" s="8"/>
      <c r="V106" s="8"/>
      <c r="W106" s="8"/>
      <c r="X106" s="8"/>
      <c r="Y106" s="8"/>
      <c r="Z106" s="8"/>
      <c r="AA106" s="8"/>
      <c r="AB106" s="8"/>
      <c r="AC106" s="8"/>
      <c r="AD106" s="8"/>
      <c r="AE106" s="8"/>
      <c r="AF106" s="8"/>
      <c r="AG106" s="8"/>
      <c r="AH106" s="8"/>
      <c r="AI106" s="8"/>
      <c r="AJ106" s="8"/>
      <c r="AK106" s="8"/>
      <c r="AL106" s="8"/>
      <c r="AM106" s="8"/>
      <c r="AN106" s="8"/>
      <c r="AO106" s="8"/>
      <c r="AP106" s="8"/>
      <c r="AQ106" s="8"/>
      <c r="AV106"/>
    </row>
    <row r="107" spans="2:48" ht="15.95" hidden="1" customHeight="1">
      <c r="B107" s="929"/>
      <c r="C107" s="8"/>
      <c r="D107" s="8"/>
      <c r="E107" s="8"/>
      <c r="F107" s="8"/>
      <c r="G107" s="8"/>
      <c r="H107" s="8"/>
      <c r="I107" s="8"/>
      <c r="J107" s="8"/>
      <c r="K107" s="8"/>
      <c r="L107" s="8"/>
      <c r="M107" s="8"/>
      <c r="N107" s="8"/>
      <c r="O107" s="8"/>
      <c r="P107" s="8"/>
      <c r="Q107" s="8"/>
      <c r="R107" s="8"/>
      <c r="S107" s="8"/>
      <c r="T107" s="8"/>
      <c r="U107" s="8"/>
      <c r="V107" s="8"/>
      <c r="W107" s="8"/>
      <c r="X107" s="8"/>
      <c r="Y107" s="8"/>
      <c r="Z107" s="8"/>
      <c r="AA107" s="8"/>
      <c r="AB107" s="8"/>
      <c r="AC107" s="8"/>
      <c r="AD107" s="8"/>
      <c r="AE107" s="8"/>
      <c r="AF107" s="8"/>
      <c r="AG107" s="8"/>
      <c r="AH107" s="8"/>
      <c r="AI107" s="8"/>
      <c r="AJ107" s="8"/>
      <c r="AK107" s="8"/>
      <c r="AL107" s="8"/>
      <c r="AM107" s="8"/>
      <c r="AN107" s="8"/>
      <c r="AO107" s="8"/>
      <c r="AP107" s="8"/>
      <c r="AQ107" s="8"/>
      <c r="AV107"/>
    </row>
    <row r="108" spans="2:48" ht="15.95" hidden="1" customHeight="1">
      <c r="B108" s="929">
        <v>47</v>
      </c>
      <c r="C108" s="8"/>
      <c r="D108" s="8"/>
      <c r="E108" s="8"/>
      <c r="F108" s="8"/>
      <c r="G108" s="8"/>
      <c r="H108" s="8"/>
      <c r="I108" s="8"/>
      <c r="J108" s="8"/>
      <c r="K108" s="8"/>
      <c r="L108" s="8"/>
      <c r="M108" s="8"/>
      <c r="N108" s="8"/>
      <c r="O108" s="8"/>
      <c r="P108" s="8"/>
      <c r="Q108" s="8"/>
      <c r="R108" s="8"/>
      <c r="S108" s="8"/>
      <c r="T108" s="8"/>
      <c r="U108" s="8"/>
      <c r="V108" s="8"/>
      <c r="W108" s="8"/>
      <c r="X108" s="8"/>
      <c r="Y108" s="8"/>
      <c r="Z108" s="8"/>
      <c r="AA108" s="8"/>
      <c r="AB108" s="8"/>
      <c r="AC108" s="8"/>
      <c r="AD108" s="8"/>
      <c r="AE108" s="8"/>
      <c r="AF108" s="8"/>
      <c r="AG108" s="8"/>
      <c r="AH108" s="8"/>
      <c r="AI108" s="8"/>
      <c r="AJ108" s="8"/>
      <c r="AK108" s="8"/>
      <c r="AL108" s="8"/>
      <c r="AM108" s="8"/>
      <c r="AN108" s="8"/>
      <c r="AO108" s="8"/>
      <c r="AP108" s="8"/>
      <c r="AQ108" s="8"/>
      <c r="AV108"/>
    </row>
    <row r="109" spans="2:48" ht="15.95" hidden="1" customHeight="1">
      <c r="B109" s="929"/>
      <c r="C109" s="8"/>
      <c r="D109" s="8"/>
      <c r="E109" s="8"/>
      <c r="F109" s="8"/>
      <c r="G109" s="8"/>
      <c r="H109" s="8"/>
      <c r="I109" s="8"/>
      <c r="J109" s="8"/>
      <c r="K109" s="8"/>
      <c r="L109" s="8"/>
      <c r="M109" s="8"/>
      <c r="N109" s="8"/>
      <c r="O109" s="8"/>
      <c r="P109" s="8"/>
      <c r="Q109" s="8"/>
      <c r="R109" s="8"/>
      <c r="S109" s="8"/>
      <c r="T109" s="8"/>
      <c r="U109" s="8"/>
      <c r="V109" s="8"/>
      <c r="W109" s="8"/>
      <c r="X109" s="8"/>
      <c r="Y109" s="8"/>
      <c r="Z109" s="8"/>
      <c r="AA109" s="8"/>
      <c r="AB109" s="8"/>
      <c r="AC109" s="8"/>
      <c r="AD109" s="8"/>
      <c r="AE109" s="8"/>
      <c r="AF109" s="8"/>
      <c r="AG109" s="8"/>
      <c r="AH109" s="8"/>
      <c r="AI109" s="8"/>
      <c r="AJ109" s="8"/>
      <c r="AK109" s="8"/>
      <c r="AL109" s="8"/>
      <c r="AM109" s="8"/>
      <c r="AN109" s="8"/>
      <c r="AO109" s="8"/>
      <c r="AP109" s="8"/>
      <c r="AQ109" s="8"/>
      <c r="AV109"/>
    </row>
    <row r="110" spans="2:48" ht="15.95" hidden="1" customHeight="1">
      <c r="B110" s="929">
        <v>48</v>
      </c>
      <c r="C110" s="8"/>
      <c r="D110" s="8"/>
      <c r="E110" s="8"/>
      <c r="F110" s="8"/>
      <c r="G110" s="8"/>
      <c r="H110" s="8"/>
      <c r="I110" s="8"/>
      <c r="J110" s="8"/>
      <c r="K110" s="8"/>
      <c r="L110" s="8"/>
      <c r="M110" s="8"/>
      <c r="N110" s="8"/>
      <c r="O110" s="8"/>
      <c r="P110" s="8"/>
      <c r="Q110" s="8"/>
      <c r="R110" s="8"/>
      <c r="S110" s="8"/>
      <c r="T110" s="8"/>
      <c r="U110" s="8"/>
      <c r="V110" s="8"/>
      <c r="W110" s="8"/>
      <c r="X110" s="8"/>
      <c r="Y110" s="8"/>
      <c r="Z110" s="8"/>
      <c r="AA110" s="8"/>
      <c r="AB110" s="8"/>
      <c r="AC110" s="8"/>
      <c r="AD110" s="8"/>
      <c r="AE110" s="8"/>
      <c r="AF110" s="8"/>
      <c r="AG110" s="8"/>
      <c r="AH110" s="8"/>
      <c r="AI110" s="8"/>
      <c r="AJ110" s="8"/>
      <c r="AK110" s="8"/>
      <c r="AL110" s="8"/>
      <c r="AM110" s="8"/>
      <c r="AN110" s="8"/>
      <c r="AO110" s="8"/>
      <c r="AP110" s="8"/>
      <c r="AQ110" s="8"/>
      <c r="AV110"/>
    </row>
    <row r="111" spans="2:48" ht="15.95" hidden="1" customHeight="1">
      <c r="B111" s="929"/>
      <c r="C111" s="8"/>
      <c r="D111" s="8"/>
      <c r="E111" s="8"/>
      <c r="F111" s="8"/>
      <c r="G111" s="8"/>
      <c r="H111" s="8"/>
      <c r="I111" s="8"/>
      <c r="J111" s="8"/>
      <c r="K111" s="8"/>
      <c r="L111" s="8"/>
      <c r="M111" s="8"/>
      <c r="N111" s="8"/>
      <c r="O111" s="8"/>
      <c r="P111" s="8"/>
      <c r="Q111" s="8"/>
      <c r="R111" s="8"/>
      <c r="S111" s="8"/>
      <c r="T111" s="8"/>
      <c r="U111" s="8"/>
      <c r="V111" s="8"/>
      <c r="W111" s="8"/>
      <c r="X111" s="8"/>
      <c r="Y111" s="8"/>
      <c r="Z111" s="8"/>
      <c r="AA111" s="8"/>
      <c r="AB111" s="8"/>
      <c r="AC111" s="8"/>
      <c r="AD111" s="8"/>
      <c r="AE111" s="8"/>
      <c r="AF111" s="8"/>
      <c r="AG111" s="8"/>
      <c r="AH111" s="8"/>
      <c r="AI111" s="8"/>
      <c r="AJ111" s="8"/>
      <c r="AK111" s="8"/>
      <c r="AL111" s="8"/>
      <c r="AM111" s="8"/>
      <c r="AN111" s="8"/>
      <c r="AO111" s="8"/>
      <c r="AP111" s="8"/>
      <c r="AQ111" s="8"/>
      <c r="AV111"/>
    </row>
    <row r="112" spans="2:48" ht="15.95" hidden="1" customHeight="1">
      <c r="B112" s="929">
        <v>49</v>
      </c>
      <c r="C112" s="8"/>
      <c r="D112" s="8"/>
      <c r="E112" s="8"/>
      <c r="F112" s="8"/>
      <c r="G112" s="8"/>
      <c r="H112" s="8"/>
      <c r="I112" s="8"/>
      <c r="J112" s="8"/>
      <c r="K112" s="8"/>
      <c r="L112" s="8"/>
      <c r="M112" s="8"/>
      <c r="N112" s="8"/>
      <c r="O112" s="8"/>
      <c r="P112" s="8"/>
      <c r="Q112" s="8"/>
      <c r="R112" s="8"/>
      <c r="S112" s="8"/>
      <c r="T112" s="8"/>
      <c r="U112" s="8"/>
      <c r="V112" s="8"/>
      <c r="W112" s="8"/>
      <c r="X112" s="8"/>
      <c r="Y112" s="8"/>
      <c r="Z112" s="8"/>
      <c r="AA112" s="8"/>
      <c r="AB112" s="8"/>
      <c r="AC112" s="8"/>
      <c r="AD112" s="8"/>
      <c r="AE112" s="8"/>
      <c r="AF112" s="8"/>
      <c r="AG112" s="8"/>
      <c r="AH112" s="8"/>
      <c r="AI112" s="8"/>
      <c r="AJ112" s="8"/>
      <c r="AK112" s="8"/>
      <c r="AL112" s="8"/>
      <c r="AM112" s="8"/>
      <c r="AN112" s="8"/>
      <c r="AO112" s="8"/>
      <c r="AP112" s="8"/>
      <c r="AQ112" s="8"/>
      <c r="AV112"/>
    </row>
    <row r="113" spans="2:48" ht="15.95" hidden="1" customHeight="1">
      <c r="B113" s="929"/>
      <c r="C113" s="8"/>
      <c r="D113" s="8"/>
      <c r="E113" s="8"/>
      <c r="F113" s="8"/>
      <c r="G113" s="8"/>
      <c r="H113" s="8"/>
      <c r="I113" s="8"/>
      <c r="J113" s="8"/>
      <c r="K113" s="8"/>
      <c r="L113" s="8"/>
      <c r="M113" s="8"/>
      <c r="N113" s="8"/>
      <c r="O113" s="8"/>
      <c r="P113" s="8"/>
      <c r="Q113" s="8"/>
      <c r="R113" s="8"/>
      <c r="S113" s="8"/>
      <c r="T113" s="8"/>
      <c r="U113" s="8"/>
      <c r="V113" s="8"/>
      <c r="W113" s="8"/>
      <c r="X113" s="8"/>
      <c r="Y113" s="8"/>
      <c r="Z113" s="8"/>
      <c r="AA113" s="8"/>
      <c r="AB113" s="8"/>
      <c r="AC113" s="8"/>
      <c r="AD113" s="8"/>
      <c r="AE113" s="8"/>
      <c r="AF113" s="8"/>
      <c r="AG113" s="8"/>
      <c r="AH113" s="8"/>
      <c r="AI113" s="8"/>
      <c r="AJ113" s="8"/>
      <c r="AK113" s="8"/>
      <c r="AL113" s="8"/>
      <c r="AM113" s="8"/>
      <c r="AN113" s="8"/>
      <c r="AO113" s="8"/>
      <c r="AP113" s="8"/>
      <c r="AQ113" s="8"/>
      <c r="AV113"/>
    </row>
    <row r="114" spans="2:48" ht="15.95" hidden="1" customHeight="1">
      <c r="B114" s="929">
        <v>50</v>
      </c>
      <c r="C114" s="8"/>
      <c r="D114" s="8"/>
      <c r="E114" s="8"/>
      <c r="F114" s="8"/>
      <c r="G114" s="8"/>
      <c r="H114" s="8"/>
      <c r="I114" s="8"/>
      <c r="J114" s="8"/>
      <c r="K114" s="8"/>
      <c r="L114" s="8"/>
      <c r="M114" s="8"/>
      <c r="N114" s="8"/>
      <c r="O114" s="8"/>
      <c r="P114" s="8"/>
      <c r="Q114" s="8"/>
      <c r="R114" s="8"/>
      <c r="S114" s="8"/>
      <c r="T114" s="8"/>
      <c r="U114" s="8"/>
      <c r="V114" s="8"/>
      <c r="W114" s="8"/>
      <c r="X114" s="8"/>
      <c r="Y114" s="8"/>
      <c r="Z114" s="8"/>
      <c r="AA114" s="8"/>
      <c r="AB114" s="8"/>
      <c r="AC114" s="8"/>
      <c r="AD114" s="8"/>
      <c r="AE114" s="8"/>
      <c r="AF114" s="8"/>
      <c r="AG114" s="8"/>
      <c r="AH114" s="8"/>
      <c r="AI114" s="8"/>
      <c r="AJ114" s="8"/>
      <c r="AK114" s="8"/>
      <c r="AL114" s="8"/>
      <c r="AM114" s="8"/>
      <c r="AN114" s="8"/>
      <c r="AO114" s="8"/>
      <c r="AP114" s="8"/>
      <c r="AQ114" s="8"/>
      <c r="AV114"/>
    </row>
    <row r="115" spans="2:48" ht="15.95" hidden="1" customHeight="1">
      <c r="B115" s="929"/>
      <c r="C115" s="8"/>
      <c r="D115" s="8"/>
      <c r="E115" s="8"/>
      <c r="F115" s="8"/>
      <c r="G115" s="8"/>
      <c r="H115" s="8"/>
      <c r="I115" s="8"/>
      <c r="J115" s="8"/>
      <c r="K115" s="8"/>
      <c r="L115" s="8"/>
      <c r="M115" s="8"/>
      <c r="N115" s="8"/>
      <c r="O115" s="8"/>
      <c r="P115" s="8"/>
      <c r="Q115" s="8"/>
      <c r="R115" s="8"/>
      <c r="S115" s="8"/>
      <c r="T115" s="8"/>
      <c r="U115" s="8"/>
      <c r="V115" s="8"/>
      <c r="W115" s="8"/>
      <c r="X115" s="8"/>
      <c r="Y115" s="8"/>
      <c r="Z115" s="8"/>
      <c r="AA115" s="8"/>
      <c r="AB115" s="8"/>
      <c r="AC115" s="8"/>
      <c r="AD115" s="8"/>
      <c r="AE115" s="8"/>
      <c r="AF115" s="8"/>
      <c r="AG115" s="8"/>
      <c r="AH115" s="8"/>
      <c r="AI115" s="8"/>
      <c r="AJ115" s="8"/>
      <c r="AK115" s="8"/>
      <c r="AL115" s="8"/>
      <c r="AM115" s="8"/>
      <c r="AN115" s="8"/>
      <c r="AO115" s="8"/>
      <c r="AP115" s="8"/>
      <c r="AQ115" s="8"/>
      <c r="AV115"/>
    </row>
    <row r="116" spans="2:48" ht="15.95" hidden="1" customHeight="1">
      <c r="B116" s="929">
        <v>51</v>
      </c>
      <c r="C116" s="8"/>
      <c r="D116" s="8"/>
      <c r="E116" s="8"/>
      <c r="F116" s="8"/>
      <c r="G116" s="8"/>
      <c r="H116" s="8"/>
      <c r="I116" s="8"/>
      <c r="J116" s="8"/>
      <c r="K116" s="8"/>
      <c r="L116" s="8"/>
      <c r="M116" s="8"/>
      <c r="N116" s="8"/>
      <c r="O116" s="8"/>
      <c r="P116" s="8"/>
      <c r="Q116" s="8"/>
      <c r="R116" s="8"/>
      <c r="S116" s="8"/>
      <c r="T116" s="8"/>
      <c r="U116" s="8"/>
      <c r="V116" s="8"/>
      <c r="W116" s="8"/>
      <c r="X116" s="8"/>
      <c r="Y116" s="8"/>
      <c r="Z116" s="8"/>
      <c r="AA116" s="8"/>
      <c r="AB116" s="8"/>
      <c r="AC116" s="8"/>
      <c r="AD116" s="8"/>
      <c r="AE116" s="8"/>
      <c r="AF116" s="8"/>
      <c r="AG116" s="8"/>
      <c r="AH116" s="8"/>
      <c r="AI116" s="8"/>
      <c r="AJ116" s="8"/>
      <c r="AK116" s="8"/>
      <c r="AL116" s="8"/>
      <c r="AM116" s="8"/>
      <c r="AN116" s="8"/>
      <c r="AO116" s="8"/>
      <c r="AP116" s="8"/>
      <c r="AQ116" s="8"/>
      <c r="AV116"/>
    </row>
    <row r="117" spans="2:48" ht="15.95" hidden="1" customHeight="1">
      <c r="B117" s="929"/>
      <c r="C117" s="8"/>
      <c r="D117" s="8"/>
      <c r="E117" s="8"/>
      <c r="F117" s="8"/>
      <c r="G117" s="8"/>
      <c r="H117" s="8"/>
      <c r="I117" s="8"/>
      <c r="J117" s="8"/>
      <c r="K117" s="8"/>
      <c r="L117" s="8"/>
      <c r="M117" s="8"/>
      <c r="N117" s="8"/>
      <c r="O117" s="8"/>
      <c r="P117" s="8"/>
      <c r="Q117" s="8"/>
      <c r="R117" s="8"/>
      <c r="S117" s="8"/>
      <c r="T117" s="8"/>
      <c r="U117" s="8"/>
      <c r="V117" s="8"/>
      <c r="W117" s="8"/>
      <c r="X117" s="8"/>
      <c r="Y117" s="8"/>
      <c r="Z117" s="8"/>
      <c r="AA117" s="8"/>
      <c r="AB117" s="8"/>
      <c r="AC117" s="8"/>
      <c r="AD117" s="8"/>
      <c r="AE117" s="8"/>
      <c r="AF117" s="8"/>
      <c r="AG117" s="8"/>
      <c r="AH117" s="8"/>
      <c r="AI117" s="8"/>
      <c r="AJ117" s="8"/>
      <c r="AK117" s="8"/>
      <c r="AL117" s="8"/>
      <c r="AM117" s="8"/>
      <c r="AN117" s="8"/>
      <c r="AO117" s="8"/>
      <c r="AP117" s="8"/>
      <c r="AQ117" s="8"/>
      <c r="AV117"/>
    </row>
    <row r="118" spans="2:48" ht="15.95" hidden="1" customHeight="1">
      <c r="B118" s="929">
        <v>52</v>
      </c>
      <c r="C118" s="8"/>
      <c r="D118" s="8"/>
      <c r="E118" s="8"/>
      <c r="F118" s="8"/>
      <c r="G118" s="8"/>
      <c r="H118" s="8"/>
      <c r="I118" s="8"/>
      <c r="J118" s="8"/>
      <c r="K118" s="8"/>
      <c r="L118" s="8"/>
      <c r="M118" s="8"/>
      <c r="N118" s="8"/>
      <c r="O118" s="8"/>
      <c r="P118" s="8"/>
      <c r="Q118" s="8"/>
      <c r="R118" s="8"/>
      <c r="S118" s="8"/>
      <c r="T118" s="8"/>
      <c r="U118" s="8"/>
      <c r="V118" s="8"/>
      <c r="W118" s="8"/>
      <c r="X118" s="8"/>
      <c r="Y118" s="8"/>
      <c r="Z118" s="8"/>
      <c r="AA118" s="8"/>
      <c r="AB118" s="8"/>
      <c r="AC118" s="8"/>
      <c r="AD118" s="8"/>
      <c r="AE118" s="8"/>
      <c r="AF118" s="8"/>
      <c r="AG118" s="8"/>
      <c r="AH118" s="8"/>
      <c r="AI118" s="8"/>
      <c r="AJ118" s="8"/>
      <c r="AK118" s="8"/>
      <c r="AL118" s="8"/>
      <c r="AM118" s="8"/>
      <c r="AN118" s="8"/>
      <c r="AO118" s="8"/>
      <c r="AP118" s="8"/>
      <c r="AQ118" s="8"/>
      <c r="AV118"/>
    </row>
    <row r="119" spans="2:48" ht="15.95" hidden="1" customHeight="1">
      <c r="B119" s="929"/>
      <c r="C119" s="8"/>
      <c r="D119" s="8"/>
      <c r="E119" s="8"/>
      <c r="F119" s="8"/>
      <c r="G119" s="8"/>
      <c r="H119" s="8"/>
      <c r="I119" s="8"/>
      <c r="J119" s="8"/>
      <c r="K119" s="8"/>
      <c r="L119" s="8"/>
      <c r="M119" s="8"/>
      <c r="N119" s="8"/>
      <c r="O119" s="8"/>
      <c r="P119" s="8"/>
      <c r="Q119" s="8"/>
      <c r="R119" s="8"/>
      <c r="S119" s="8"/>
      <c r="T119" s="8"/>
      <c r="U119" s="8"/>
      <c r="V119" s="8"/>
      <c r="W119" s="8"/>
      <c r="X119" s="8"/>
      <c r="Y119" s="8"/>
      <c r="Z119" s="8"/>
      <c r="AA119" s="8"/>
      <c r="AB119" s="8"/>
      <c r="AC119" s="8"/>
      <c r="AD119" s="8"/>
      <c r="AE119" s="8"/>
      <c r="AF119" s="8"/>
      <c r="AG119" s="8"/>
      <c r="AH119" s="8"/>
      <c r="AI119" s="8"/>
      <c r="AJ119" s="8"/>
      <c r="AK119" s="8"/>
      <c r="AL119" s="8"/>
      <c r="AM119" s="8"/>
      <c r="AN119" s="8"/>
      <c r="AO119" s="8"/>
      <c r="AP119" s="8"/>
      <c r="AQ119" s="8"/>
      <c r="AV119"/>
    </row>
    <row r="120" spans="2:48" ht="15.95" hidden="1" customHeight="1">
      <c r="B120" s="929">
        <v>53</v>
      </c>
      <c r="C120" s="8"/>
      <c r="D120" s="8"/>
      <c r="E120" s="8"/>
      <c r="F120" s="8"/>
      <c r="G120" s="8"/>
      <c r="H120" s="8"/>
      <c r="I120" s="8"/>
      <c r="J120" s="8"/>
      <c r="K120" s="8"/>
      <c r="L120" s="8"/>
      <c r="M120" s="8"/>
      <c r="N120" s="8"/>
      <c r="O120" s="8"/>
      <c r="P120" s="8"/>
      <c r="Q120" s="8"/>
      <c r="R120" s="8"/>
      <c r="S120" s="8"/>
      <c r="T120" s="8"/>
      <c r="U120" s="8"/>
      <c r="V120" s="8"/>
      <c r="W120" s="8"/>
      <c r="X120" s="8"/>
      <c r="Y120" s="8"/>
      <c r="Z120" s="8"/>
      <c r="AA120" s="8"/>
      <c r="AB120" s="8"/>
      <c r="AC120" s="8"/>
      <c r="AD120" s="8"/>
      <c r="AE120" s="8"/>
      <c r="AF120" s="8"/>
      <c r="AG120" s="8"/>
      <c r="AH120" s="8"/>
      <c r="AI120" s="8"/>
      <c r="AJ120" s="8"/>
      <c r="AK120" s="8"/>
      <c r="AL120" s="8"/>
      <c r="AM120" s="8"/>
      <c r="AN120" s="8"/>
      <c r="AO120" s="8"/>
      <c r="AP120" s="8"/>
      <c r="AQ120" s="8"/>
      <c r="AV120"/>
    </row>
    <row r="121" spans="2:48" ht="15.95" hidden="1" customHeight="1">
      <c r="B121" s="929"/>
      <c r="C121" s="8"/>
      <c r="D121" s="8"/>
      <c r="E121" s="8"/>
      <c r="F121" s="8"/>
      <c r="G121" s="8"/>
      <c r="H121" s="8"/>
      <c r="I121" s="8"/>
      <c r="J121" s="8"/>
      <c r="K121" s="8"/>
      <c r="L121" s="8"/>
      <c r="M121" s="8"/>
      <c r="N121" s="8"/>
      <c r="O121" s="8"/>
      <c r="P121" s="8"/>
      <c r="Q121" s="8"/>
      <c r="R121" s="8"/>
      <c r="S121" s="8"/>
      <c r="T121" s="8"/>
      <c r="U121" s="8"/>
      <c r="V121" s="8"/>
      <c r="W121" s="8"/>
      <c r="X121" s="8"/>
      <c r="Y121" s="8"/>
      <c r="Z121" s="8"/>
      <c r="AA121" s="8"/>
      <c r="AB121" s="8"/>
      <c r="AC121" s="8"/>
      <c r="AD121" s="8"/>
      <c r="AE121" s="8"/>
      <c r="AF121" s="8"/>
      <c r="AG121" s="8"/>
      <c r="AH121" s="8"/>
      <c r="AI121" s="8"/>
      <c r="AJ121" s="8"/>
      <c r="AK121" s="8"/>
      <c r="AL121" s="8"/>
      <c r="AM121" s="8"/>
      <c r="AN121" s="8"/>
      <c r="AO121" s="8"/>
      <c r="AP121" s="8"/>
      <c r="AQ121" s="8"/>
      <c r="AV121"/>
    </row>
    <row r="122" spans="2:48" ht="15.95" hidden="1" customHeight="1">
      <c r="B122" s="929">
        <v>54</v>
      </c>
      <c r="C122" s="8"/>
      <c r="D122" s="8"/>
      <c r="E122" s="8"/>
      <c r="F122" s="8"/>
      <c r="G122" s="8"/>
      <c r="H122" s="8"/>
      <c r="I122" s="8"/>
      <c r="J122" s="8"/>
      <c r="K122" s="8"/>
      <c r="L122" s="8"/>
      <c r="M122" s="8"/>
      <c r="N122" s="8"/>
      <c r="O122" s="8"/>
      <c r="P122" s="8"/>
      <c r="Q122" s="8"/>
      <c r="R122" s="8"/>
      <c r="S122" s="8"/>
      <c r="T122" s="8"/>
      <c r="U122" s="8"/>
      <c r="V122" s="8"/>
      <c r="W122" s="8"/>
      <c r="X122" s="8"/>
      <c r="Y122" s="8"/>
      <c r="Z122" s="8"/>
      <c r="AA122" s="8"/>
      <c r="AB122" s="8"/>
      <c r="AC122" s="8"/>
      <c r="AD122" s="8"/>
      <c r="AE122" s="8"/>
      <c r="AF122" s="8"/>
      <c r="AG122" s="8"/>
      <c r="AH122" s="8"/>
      <c r="AI122" s="8"/>
      <c r="AJ122" s="8"/>
      <c r="AK122" s="8"/>
      <c r="AL122" s="8"/>
      <c r="AM122" s="8"/>
      <c r="AN122" s="8"/>
      <c r="AO122" s="8"/>
      <c r="AP122" s="8"/>
      <c r="AQ122" s="8"/>
      <c r="AV122"/>
    </row>
    <row r="123" spans="2:48" ht="15.95" hidden="1" customHeight="1">
      <c r="B123" s="929"/>
      <c r="C123" s="8"/>
      <c r="D123" s="8"/>
      <c r="E123" s="8"/>
      <c r="F123" s="8"/>
      <c r="G123" s="8"/>
      <c r="H123" s="8"/>
      <c r="I123" s="8"/>
      <c r="J123" s="8"/>
      <c r="K123" s="8"/>
      <c r="L123" s="8"/>
      <c r="M123" s="8"/>
      <c r="N123" s="8"/>
      <c r="O123" s="8"/>
      <c r="P123" s="8"/>
      <c r="Q123" s="8"/>
      <c r="R123" s="8"/>
      <c r="S123" s="8"/>
      <c r="T123" s="8"/>
      <c r="U123" s="8"/>
      <c r="V123" s="8"/>
      <c r="W123" s="8"/>
      <c r="X123" s="8"/>
      <c r="Y123" s="8"/>
      <c r="Z123" s="8"/>
      <c r="AA123" s="8"/>
      <c r="AB123" s="8"/>
      <c r="AC123" s="8"/>
      <c r="AD123" s="8"/>
      <c r="AE123" s="8"/>
      <c r="AF123" s="8"/>
      <c r="AG123" s="8"/>
      <c r="AH123" s="8"/>
      <c r="AI123" s="8"/>
      <c r="AJ123" s="8"/>
      <c r="AK123" s="8"/>
      <c r="AL123" s="8"/>
      <c r="AM123" s="8"/>
      <c r="AN123" s="8"/>
      <c r="AO123" s="8"/>
      <c r="AP123" s="8"/>
      <c r="AQ123" s="8"/>
      <c r="AV123"/>
    </row>
    <row r="124" spans="2:48" ht="15.95" hidden="1" customHeight="1">
      <c r="B124" s="929">
        <v>55</v>
      </c>
      <c r="C124" s="8"/>
      <c r="D124" s="8"/>
      <c r="E124" s="8"/>
      <c r="F124" s="8"/>
      <c r="G124" s="8"/>
      <c r="H124" s="8"/>
      <c r="I124" s="8"/>
      <c r="J124" s="8"/>
      <c r="K124" s="8"/>
      <c r="L124" s="8"/>
      <c r="M124" s="8"/>
      <c r="N124" s="8"/>
      <c r="O124" s="8"/>
      <c r="P124" s="8"/>
      <c r="Q124" s="8"/>
      <c r="R124" s="8"/>
      <c r="S124" s="8"/>
      <c r="T124" s="8"/>
      <c r="U124" s="8"/>
      <c r="V124" s="8"/>
      <c r="W124" s="8"/>
      <c r="X124" s="8"/>
      <c r="Y124" s="8"/>
      <c r="Z124" s="8"/>
      <c r="AA124" s="8"/>
      <c r="AB124" s="8"/>
      <c r="AC124" s="8"/>
      <c r="AD124" s="8"/>
      <c r="AE124" s="8"/>
      <c r="AF124" s="8"/>
      <c r="AG124" s="8"/>
      <c r="AH124" s="8"/>
      <c r="AI124" s="8"/>
      <c r="AJ124" s="8"/>
      <c r="AK124" s="8"/>
      <c r="AL124" s="8"/>
      <c r="AM124" s="8"/>
      <c r="AN124" s="8"/>
      <c r="AO124" s="8"/>
      <c r="AP124" s="8"/>
      <c r="AQ124" s="8"/>
      <c r="AV124"/>
    </row>
    <row r="125" spans="2:48" ht="15.95" hidden="1" customHeight="1">
      <c r="B125" s="929"/>
      <c r="C125" s="8"/>
      <c r="D125" s="8"/>
      <c r="E125" s="8"/>
      <c r="F125" s="8"/>
      <c r="G125" s="8"/>
      <c r="H125" s="8"/>
      <c r="I125" s="8"/>
      <c r="J125" s="8"/>
      <c r="K125" s="8"/>
      <c r="L125" s="8"/>
      <c r="M125" s="8"/>
      <c r="N125" s="8"/>
      <c r="O125" s="8"/>
      <c r="P125" s="8"/>
      <c r="Q125" s="8"/>
      <c r="R125" s="8"/>
      <c r="S125" s="8"/>
      <c r="T125" s="8"/>
      <c r="U125" s="8"/>
      <c r="V125" s="8"/>
      <c r="W125" s="8"/>
      <c r="X125" s="8"/>
      <c r="Y125" s="8"/>
      <c r="Z125" s="8"/>
      <c r="AA125" s="8"/>
      <c r="AB125" s="8"/>
      <c r="AC125" s="8"/>
      <c r="AD125" s="8"/>
      <c r="AE125" s="8"/>
      <c r="AF125" s="8"/>
      <c r="AG125" s="8"/>
      <c r="AH125" s="8"/>
      <c r="AI125" s="8"/>
      <c r="AJ125" s="8"/>
      <c r="AK125" s="8"/>
      <c r="AL125" s="8"/>
      <c r="AM125" s="8"/>
      <c r="AN125" s="8"/>
      <c r="AO125" s="8"/>
      <c r="AP125" s="8"/>
      <c r="AQ125" s="8"/>
      <c r="AV125"/>
    </row>
    <row r="126" spans="2:48" ht="15.95" hidden="1" customHeight="1">
      <c r="B126" s="929">
        <v>56</v>
      </c>
      <c r="C126" s="8"/>
      <c r="D126" s="8"/>
      <c r="E126" s="8"/>
      <c r="F126" s="8"/>
      <c r="G126" s="8"/>
      <c r="H126" s="8"/>
      <c r="I126" s="8"/>
      <c r="J126" s="8"/>
      <c r="K126" s="8"/>
      <c r="L126" s="8"/>
      <c r="M126" s="8"/>
      <c r="N126" s="8"/>
      <c r="O126" s="8"/>
      <c r="P126" s="8"/>
      <c r="Q126" s="8"/>
      <c r="R126" s="8"/>
      <c r="S126" s="8"/>
      <c r="T126" s="8"/>
      <c r="U126" s="8"/>
      <c r="V126" s="8"/>
      <c r="W126" s="8"/>
      <c r="X126" s="8"/>
      <c r="Y126" s="8"/>
      <c r="Z126" s="8"/>
      <c r="AA126" s="8"/>
      <c r="AB126" s="8"/>
      <c r="AC126" s="8"/>
      <c r="AD126" s="8"/>
      <c r="AE126" s="8"/>
      <c r="AF126" s="8"/>
      <c r="AG126" s="8"/>
      <c r="AH126" s="8"/>
      <c r="AI126" s="8"/>
      <c r="AJ126" s="8"/>
      <c r="AK126" s="8"/>
      <c r="AL126" s="8"/>
      <c r="AM126" s="8"/>
      <c r="AN126" s="8"/>
      <c r="AO126" s="8"/>
      <c r="AP126" s="8"/>
      <c r="AQ126" s="8"/>
      <c r="AV126"/>
    </row>
    <row r="127" spans="2:48" ht="15.95" hidden="1" customHeight="1">
      <c r="B127" s="929"/>
      <c r="C127" s="8"/>
      <c r="D127" s="8"/>
      <c r="E127" s="8"/>
      <c r="F127" s="8"/>
      <c r="G127" s="8"/>
      <c r="H127" s="8"/>
      <c r="I127" s="8"/>
      <c r="J127" s="8"/>
      <c r="K127" s="8"/>
      <c r="L127" s="8"/>
      <c r="M127" s="8"/>
      <c r="N127" s="8"/>
      <c r="O127" s="8"/>
      <c r="P127" s="8"/>
      <c r="Q127" s="8"/>
      <c r="R127" s="8"/>
      <c r="S127" s="8"/>
      <c r="T127" s="8"/>
      <c r="U127" s="8"/>
      <c r="V127" s="8"/>
      <c r="W127" s="8"/>
      <c r="X127" s="8"/>
      <c r="Y127" s="8"/>
      <c r="Z127" s="8"/>
      <c r="AA127" s="8"/>
      <c r="AB127" s="8"/>
      <c r="AC127" s="8"/>
      <c r="AD127" s="8"/>
      <c r="AE127" s="8"/>
      <c r="AF127" s="8"/>
      <c r="AG127" s="8"/>
      <c r="AH127" s="8"/>
      <c r="AI127" s="8"/>
      <c r="AJ127" s="8"/>
      <c r="AK127" s="8"/>
      <c r="AL127" s="8"/>
      <c r="AM127" s="8"/>
      <c r="AN127" s="8"/>
      <c r="AO127" s="8"/>
      <c r="AP127" s="8"/>
      <c r="AQ127" s="8"/>
      <c r="AV127"/>
    </row>
    <row r="128" spans="2:48" ht="15.95" hidden="1" customHeight="1">
      <c r="B128" s="929">
        <v>57</v>
      </c>
      <c r="C128" s="8"/>
      <c r="D128" s="8"/>
      <c r="E128" s="8"/>
      <c r="F128" s="8"/>
      <c r="G128" s="8"/>
      <c r="H128" s="8"/>
      <c r="I128" s="8"/>
      <c r="J128" s="8"/>
      <c r="K128" s="8"/>
      <c r="L128" s="8"/>
      <c r="M128" s="8"/>
      <c r="N128" s="8"/>
      <c r="O128" s="8"/>
      <c r="P128" s="8"/>
      <c r="Q128" s="8"/>
      <c r="R128" s="8"/>
      <c r="S128" s="8"/>
      <c r="T128" s="8"/>
      <c r="U128" s="8"/>
      <c r="V128" s="8"/>
      <c r="W128" s="8"/>
      <c r="X128" s="8"/>
      <c r="Y128" s="8"/>
      <c r="Z128" s="8"/>
      <c r="AA128" s="8"/>
      <c r="AB128" s="8"/>
      <c r="AC128" s="8"/>
      <c r="AD128" s="8"/>
      <c r="AE128" s="8"/>
      <c r="AF128" s="8"/>
      <c r="AG128" s="8"/>
      <c r="AH128" s="8"/>
      <c r="AI128" s="8"/>
      <c r="AJ128" s="8"/>
      <c r="AK128" s="8"/>
      <c r="AL128" s="8"/>
      <c r="AM128" s="8"/>
      <c r="AN128" s="8"/>
      <c r="AO128" s="8"/>
      <c r="AP128" s="8"/>
      <c r="AQ128" s="8"/>
      <c r="AV128"/>
    </row>
    <row r="129" spans="2:48" ht="15.95" hidden="1" customHeight="1">
      <c r="B129" s="929"/>
      <c r="C129" s="8"/>
      <c r="D129" s="8"/>
      <c r="E129" s="8"/>
      <c r="F129" s="8"/>
      <c r="G129" s="8"/>
      <c r="H129" s="8"/>
      <c r="I129" s="8"/>
      <c r="J129" s="8"/>
      <c r="K129" s="8"/>
      <c r="L129" s="8"/>
      <c r="M129" s="8"/>
      <c r="N129" s="8"/>
      <c r="O129" s="8"/>
      <c r="P129" s="8"/>
      <c r="Q129" s="8"/>
      <c r="R129" s="8"/>
      <c r="S129" s="8"/>
      <c r="T129" s="8"/>
      <c r="U129" s="8"/>
      <c r="V129" s="8"/>
      <c r="W129" s="8"/>
      <c r="X129" s="8"/>
      <c r="Y129" s="8"/>
      <c r="Z129" s="8"/>
      <c r="AA129" s="8"/>
      <c r="AB129" s="8"/>
      <c r="AC129" s="8"/>
      <c r="AD129" s="8"/>
      <c r="AE129" s="8"/>
      <c r="AF129" s="8"/>
      <c r="AG129" s="8"/>
      <c r="AH129" s="8"/>
      <c r="AI129" s="8"/>
      <c r="AJ129" s="8"/>
      <c r="AK129" s="8"/>
      <c r="AL129" s="8"/>
      <c r="AM129" s="8"/>
      <c r="AN129" s="8"/>
      <c r="AO129" s="8"/>
      <c r="AP129" s="8"/>
      <c r="AQ129" s="8"/>
      <c r="AV129"/>
    </row>
    <row r="130" spans="2:48" ht="15.95" hidden="1" customHeight="1">
      <c r="B130" s="929">
        <v>58</v>
      </c>
      <c r="C130" s="8"/>
      <c r="D130" s="8"/>
      <c r="E130" s="8"/>
      <c r="F130" s="8"/>
      <c r="G130" s="8"/>
      <c r="H130" s="8"/>
      <c r="I130" s="8"/>
      <c r="J130" s="8"/>
      <c r="K130" s="8"/>
      <c r="L130" s="8"/>
      <c r="M130" s="8"/>
      <c r="N130" s="8"/>
      <c r="O130" s="8"/>
      <c r="P130" s="8"/>
      <c r="Q130" s="8"/>
      <c r="R130" s="8"/>
      <c r="S130" s="8"/>
      <c r="T130" s="8"/>
      <c r="U130" s="8"/>
      <c r="V130" s="8"/>
      <c r="W130" s="8"/>
      <c r="X130" s="8"/>
      <c r="Y130" s="8"/>
      <c r="Z130" s="8"/>
      <c r="AA130" s="8"/>
      <c r="AB130" s="8"/>
      <c r="AC130" s="8"/>
      <c r="AD130" s="8"/>
      <c r="AE130" s="8"/>
      <c r="AF130" s="8"/>
      <c r="AG130" s="8"/>
      <c r="AH130" s="8"/>
      <c r="AI130" s="8"/>
      <c r="AJ130" s="8"/>
      <c r="AK130" s="8"/>
      <c r="AL130" s="8"/>
      <c r="AM130" s="8"/>
      <c r="AN130" s="8"/>
      <c r="AO130" s="8"/>
      <c r="AP130" s="8"/>
      <c r="AQ130" s="8"/>
      <c r="AV130"/>
    </row>
    <row r="131" spans="2:48" ht="15.95" hidden="1" customHeight="1">
      <c r="B131" s="929"/>
      <c r="C131" s="8"/>
      <c r="D131" s="8"/>
      <c r="E131" s="8"/>
      <c r="F131" s="8"/>
      <c r="G131" s="8"/>
      <c r="H131" s="8"/>
      <c r="I131" s="8"/>
      <c r="J131" s="8"/>
      <c r="K131" s="8"/>
      <c r="L131" s="8"/>
      <c r="M131" s="8"/>
      <c r="N131" s="8"/>
      <c r="O131" s="8"/>
      <c r="P131" s="8"/>
      <c r="Q131" s="8"/>
      <c r="R131" s="8"/>
      <c r="S131" s="8"/>
      <c r="T131" s="8"/>
      <c r="U131" s="8"/>
      <c r="V131" s="8"/>
      <c r="W131" s="8"/>
      <c r="X131" s="8"/>
      <c r="Y131" s="8"/>
      <c r="Z131" s="8"/>
      <c r="AA131" s="8"/>
      <c r="AB131" s="8"/>
      <c r="AC131" s="8"/>
      <c r="AD131" s="8"/>
      <c r="AE131" s="8"/>
      <c r="AF131" s="8"/>
      <c r="AG131" s="8"/>
      <c r="AH131" s="8"/>
      <c r="AI131" s="8"/>
      <c r="AJ131" s="8"/>
      <c r="AK131" s="8"/>
      <c r="AL131" s="8"/>
      <c r="AM131" s="8"/>
      <c r="AN131" s="8"/>
      <c r="AO131" s="8"/>
      <c r="AP131" s="8"/>
      <c r="AQ131" s="8"/>
      <c r="AV131"/>
    </row>
    <row r="132" spans="2:48" ht="15.95" hidden="1" customHeight="1">
      <c r="B132" s="929">
        <v>59</v>
      </c>
      <c r="C132" s="8"/>
      <c r="D132" s="8"/>
      <c r="E132" s="8"/>
      <c r="F132" s="8"/>
      <c r="G132" s="8"/>
      <c r="H132" s="8"/>
      <c r="I132" s="8"/>
      <c r="J132" s="8"/>
      <c r="K132" s="8"/>
      <c r="L132" s="8"/>
      <c r="M132" s="8"/>
      <c r="N132" s="8"/>
      <c r="O132" s="8"/>
      <c r="P132" s="8"/>
      <c r="Q132" s="8"/>
      <c r="R132" s="8"/>
      <c r="S132" s="8"/>
      <c r="T132" s="8"/>
      <c r="U132" s="8"/>
      <c r="V132" s="8"/>
      <c r="W132" s="8"/>
      <c r="X132" s="8"/>
      <c r="Y132" s="8"/>
      <c r="Z132" s="8"/>
      <c r="AA132" s="8"/>
      <c r="AB132" s="8"/>
      <c r="AC132" s="8"/>
      <c r="AD132" s="8"/>
      <c r="AE132" s="8"/>
      <c r="AF132" s="8"/>
      <c r="AG132" s="8"/>
      <c r="AH132" s="8"/>
      <c r="AI132" s="8"/>
      <c r="AJ132" s="8"/>
      <c r="AK132" s="8"/>
      <c r="AL132" s="8"/>
      <c r="AM132" s="8"/>
      <c r="AN132" s="8"/>
      <c r="AO132" s="8"/>
      <c r="AP132" s="8"/>
      <c r="AQ132" s="8"/>
      <c r="AV132"/>
    </row>
    <row r="133" spans="2:48" ht="15.95" hidden="1" customHeight="1">
      <c r="B133" s="929"/>
      <c r="C133" s="8"/>
      <c r="D133" s="8"/>
      <c r="E133" s="8"/>
      <c r="F133" s="8"/>
      <c r="G133" s="8"/>
      <c r="H133" s="8"/>
      <c r="I133" s="8"/>
      <c r="J133" s="8"/>
      <c r="K133" s="8"/>
      <c r="L133" s="8"/>
      <c r="M133" s="8"/>
      <c r="N133" s="8"/>
      <c r="O133" s="8"/>
      <c r="P133" s="8"/>
      <c r="Q133" s="8"/>
      <c r="R133" s="8"/>
      <c r="S133" s="8"/>
      <c r="T133" s="8"/>
      <c r="U133" s="8"/>
      <c r="V133" s="8"/>
      <c r="W133" s="8"/>
      <c r="X133" s="8"/>
      <c r="Y133" s="8"/>
      <c r="Z133" s="8"/>
      <c r="AA133" s="8"/>
      <c r="AB133" s="8"/>
      <c r="AC133" s="8"/>
      <c r="AD133" s="8"/>
      <c r="AE133" s="8"/>
      <c r="AF133" s="8"/>
      <c r="AG133" s="8"/>
      <c r="AH133" s="8"/>
      <c r="AI133" s="8"/>
      <c r="AJ133" s="8"/>
      <c r="AK133" s="8"/>
      <c r="AL133" s="8"/>
      <c r="AM133" s="8"/>
      <c r="AN133" s="8"/>
      <c r="AO133" s="8"/>
      <c r="AP133" s="8"/>
      <c r="AQ133" s="8"/>
      <c r="AV133"/>
    </row>
    <row r="134" spans="2:48" ht="15.95" hidden="1" customHeight="1">
      <c r="B134" s="929">
        <v>60</v>
      </c>
      <c r="C134" s="8"/>
      <c r="D134" s="8"/>
      <c r="E134" s="8"/>
      <c r="F134" s="8"/>
      <c r="G134" s="8"/>
      <c r="H134" s="8"/>
      <c r="I134" s="8"/>
      <c r="J134" s="8"/>
      <c r="K134" s="8"/>
      <c r="L134" s="8"/>
      <c r="M134" s="8"/>
      <c r="N134" s="8"/>
      <c r="O134" s="8"/>
      <c r="P134" s="8"/>
      <c r="Q134" s="8"/>
      <c r="R134" s="8"/>
      <c r="S134" s="8"/>
      <c r="T134" s="8"/>
      <c r="U134" s="8"/>
      <c r="V134" s="8"/>
      <c r="W134" s="8"/>
      <c r="X134" s="8"/>
      <c r="Y134" s="8"/>
      <c r="Z134" s="8"/>
      <c r="AA134" s="8"/>
      <c r="AB134" s="8"/>
      <c r="AC134" s="8"/>
      <c r="AD134" s="8"/>
      <c r="AE134" s="8"/>
      <c r="AF134" s="8"/>
      <c r="AG134" s="8"/>
      <c r="AH134" s="8"/>
      <c r="AI134" s="8"/>
      <c r="AJ134" s="8"/>
      <c r="AK134" s="8"/>
      <c r="AL134" s="8"/>
      <c r="AM134" s="8"/>
      <c r="AN134" s="8"/>
      <c r="AO134" s="8"/>
      <c r="AP134" s="8"/>
      <c r="AQ134" s="8"/>
      <c r="AV134"/>
    </row>
    <row r="135" spans="2:48" ht="15.95" hidden="1" customHeight="1">
      <c r="B135" s="929"/>
      <c r="C135" s="8"/>
      <c r="D135" s="8"/>
      <c r="E135" s="8"/>
      <c r="F135" s="8"/>
      <c r="G135" s="8"/>
      <c r="H135" s="8"/>
      <c r="I135" s="8"/>
      <c r="J135" s="8"/>
      <c r="K135" s="8"/>
      <c r="L135" s="8"/>
      <c r="M135" s="8"/>
      <c r="N135" s="8"/>
      <c r="O135" s="8"/>
      <c r="P135" s="8"/>
      <c r="Q135" s="8"/>
      <c r="R135" s="8"/>
      <c r="S135" s="8"/>
      <c r="T135" s="8"/>
      <c r="U135" s="8"/>
      <c r="V135" s="8"/>
      <c r="W135" s="8"/>
      <c r="X135" s="8"/>
      <c r="Y135" s="8"/>
      <c r="Z135" s="8"/>
      <c r="AA135" s="8"/>
      <c r="AB135" s="8"/>
      <c r="AC135" s="8"/>
      <c r="AD135" s="8"/>
      <c r="AE135" s="8"/>
      <c r="AF135" s="8"/>
      <c r="AG135" s="8"/>
      <c r="AH135" s="8"/>
      <c r="AI135" s="8"/>
      <c r="AJ135" s="8"/>
      <c r="AK135" s="8"/>
      <c r="AL135" s="8"/>
      <c r="AM135" s="8"/>
      <c r="AN135" s="8"/>
      <c r="AO135" s="8"/>
      <c r="AP135" s="8"/>
      <c r="AQ135" s="8"/>
      <c r="AV135"/>
    </row>
    <row r="136" spans="2:48" ht="15.95" hidden="1" customHeight="1">
      <c r="B136" s="929">
        <v>61</v>
      </c>
      <c r="C136" s="8"/>
      <c r="D136" s="8"/>
      <c r="E136" s="8"/>
      <c r="F136" s="8"/>
      <c r="G136" s="8"/>
      <c r="H136" s="8"/>
      <c r="I136" s="8"/>
      <c r="J136" s="8"/>
      <c r="K136" s="8"/>
      <c r="L136" s="8"/>
      <c r="M136" s="8"/>
      <c r="N136" s="8"/>
      <c r="O136" s="8"/>
      <c r="P136" s="8"/>
      <c r="Q136" s="8"/>
      <c r="R136" s="8"/>
      <c r="S136" s="8"/>
      <c r="T136" s="8"/>
      <c r="U136" s="8"/>
      <c r="V136" s="8"/>
      <c r="W136" s="8"/>
      <c r="X136" s="8"/>
      <c r="Y136" s="8"/>
      <c r="Z136" s="8"/>
      <c r="AA136" s="8"/>
      <c r="AB136" s="8"/>
      <c r="AC136" s="8"/>
      <c r="AD136" s="8"/>
      <c r="AE136" s="8"/>
      <c r="AF136" s="8"/>
      <c r="AG136" s="8"/>
      <c r="AH136" s="8"/>
      <c r="AI136" s="8"/>
      <c r="AJ136" s="8"/>
      <c r="AK136" s="8"/>
      <c r="AL136" s="8"/>
      <c r="AM136" s="8"/>
      <c r="AN136" s="8"/>
      <c r="AO136" s="8"/>
      <c r="AP136" s="8"/>
      <c r="AQ136" s="8"/>
      <c r="AV136"/>
    </row>
    <row r="137" spans="2:48" ht="15.95" hidden="1" customHeight="1">
      <c r="B137" s="929"/>
      <c r="C137" s="8"/>
      <c r="D137" s="8"/>
      <c r="E137" s="8"/>
      <c r="F137" s="8"/>
      <c r="G137" s="8"/>
      <c r="H137" s="8"/>
      <c r="I137" s="8"/>
      <c r="J137" s="8"/>
      <c r="K137" s="8"/>
      <c r="L137" s="8"/>
      <c r="M137" s="8"/>
      <c r="N137" s="8"/>
      <c r="O137" s="8"/>
      <c r="P137" s="8"/>
      <c r="Q137" s="8"/>
      <c r="R137" s="8"/>
      <c r="S137" s="8"/>
      <c r="T137" s="8"/>
      <c r="U137" s="8"/>
      <c r="V137" s="8"/>
      <c r="W137" s="8"/>
      <c r="X137" s="8"/>
      <c r="Y137" s="8"/>
      <c r="Z137" s="8"/>
      <c r="AA137" s="8"/>
      <c r="AB137" s="8"/>
      <c r="AC137" s="8"/>
      <c r="AD137" s="8"/>
      <c r="AE137" s="8"/>
      <c r="AF137" s="8"/>
      <c r="AG137" s="8"/>
      <c r="AH137" s="8"/>
      <c r="AI137" s="8"/>
      <c r="AJ137" s="8"/>
      <c r="AK137" s="8"/>
      <c r="AL137" s="8"/>
      <c r="AM137" s="8"/>
      <c r="AN137" s="8"/>
      <c r="AO137" s="8"/>
      <c r="AP137" s="8"/>
      <c r="AQ137" s="8"/>
      <c r="AV137"/>
    </row>
    <row r="138" spans="2:48" ht="15.95" hidden="1" customHeight="1">
      <c r="B138" s="929">
        <v>62</v>
      </c>
      <c r="C138" s="8"/>
      <c r="D138" s="8"/>
      <c r="E138" s="8"/>
      <c r="F138" s="8"/>
      <c r="G138" s="8"/>
      <c r="H138" s="8"/>
      <c r="I138" s="8"/>
      <c r="J138" s="8"/>
      <c r="K138" s="8"/>
      <c r="L138" s="8"/>
      <c r="M138" s="8"/>
      <c r="N138" s="8"/>
      <c r="O138" s="8"/>
      <c r="P138" s="8"/>
      <c r="Q138" s="8"/>
      <c r="R138" s="8"/>
      <c r="S138" s="8"/>
      <c r="T138" s="8"/>
      <c r="U138" s="8"/>
      <c r="V138" s="8"/>
      <c r="W138" s="8"/>
      <c r="X138" s="8"/>
      <c r="Y138" s="8"/>
      <c r="Z138" s="8"/>
      <c r="AA138" s="8"/>
      <c r="AB138" s="8"/>
      <c r="AC138" s="8"/>
      <c r="AD138" s="8"/>
      <c r="AE138" s="8"/>
      <c r="AF138" s="8"/>
      <c r="AG138" s="8"/>
      <c r="AH138" s="8"/>
      <c r="AI138" s="8"/>
      <c r="AJ138" s="8"/>
      <c r="AK138" s="8"/>
      <c r="AL138" s="8"/>
      <c r="AM138" s="8"/>
      <c r="AN138" s="8"/>
      <c r="AO138" s="8"/>
      <c r="AP138" s="8"/>
      <c r="AQ138" s="8"/>
      <c r="AV138"/>
    </row>
    <row r="139" spans="2:48" ht="15.95" hidden="1" customHeight="1">
      <c r="B139" s="929"/>
      <c r="C139" s="8"/>
      <c r="D139" s="8"/>
      <c r="E139" s="8"/>
      <c r="F139" s="8"/>
      <c r="G139" s="8"/>
      <c r="H139" s="8"/>
      <c r="I139" s="8"/>
      <c r="J139" s="8"/>
      <c r="K139" s="8"/>
      <c r="L139" s="8"/>
      <c r="M139" s="8"/>
      <c r="N139" s="8"/>
      <c r="O139" s="8"/>
      <c r="P139" s="8"/>
      <c r="Q139" s="8"/>
      <c r="R139" s="8"/>
      <c r="S139" s="8"/>
      <c r="T139" s="8"/>
      <c r="U139" s="8"/>
      <c r="V139" s="8"/>
      <c r="W139" s="8"/>
      <c r="X139" s="8"/>
      <c r="Y139" s="8"/>
      <c r="Z139" s="8"/>
      <c r="AA139" s="8"/>
      <c r="AB139" s="8"/>
      <c r="AC139" s="8"/>
      <c r="AD139" s="8"/>
      <c r="AE139" s="8"/>
      <c r="AF139" s="8"/>
      <c r="AG139" s="8"/>
      <c r="AH139" s="8"/>
      <c r="AI139" s="8"/>
      <c r="AJ139" s="8"/>
      <c r="AK139" s="8"/>
      <c r="AL139" s="8"/>
      <c r="AM139" s="8"/>
      <c r="AN139" s="8"/>
      <c r="AO139" s="8"/>
      <c r="AP139" s="8"/>
      <c r="AQ139" s="8"/>
      <c r="AV139"/>
    </row>
    <row r="140" spans="2:48" ht="15.95" hidden="1" customHeight="1">
      <c r="B140" s="929">
        <v>63</v>
      </c>
      <c r="C140" s="8"/>
      <c r="D140" s="8"/>
      <c r="E140" s="8"/>
      <c r="F140" s="8"/>
      <c r="G140" s="8"/>
      <c r="H140" s="8"/>
      <c r="I140" s="8"/>
      <c r="J140" s="8"/>
      <c r="K140" s="8"/>
      <c r="L140" s="8"/>
      <c r="M140" s="8"/>
      <c r="N140" s="8"/>
      <c r="O140" s="8"/>
      <c r="P140" s="8"/>
      <c r="Q140" s="8"/>
      <c r="R140" s="8"/>
      <c r="S140" s="8"/>
      <c r="T140" s="8"/>
      <c r="U140" s="8"/>
      <c r="V140" s="8"/>
      <c r="W140" s="8"/>
      <c r="X140" s="8"/>
      <c r="Y140" s="8"/>
      <c r="Z140" s="8"/>
      <c r="AA140" s="8"/>
      <c r="AB140" s="8"/>
      <c r="AC140" s="8"/>
      <c r="AD140" s="8"/>
      <c r="AE140" s="8"/>
      <c r="AF140" s="8"/>
      <c r="AG140" s="8"/>
      <c r="AH140" s="8"/>
      <c r="AI140" s="8"/>
      <c r="AJ140" s="8"/>
      <c r="AK140" s="8"/>
      <c r="AL140" s="8"/>
      <c r="AM140" s="8"/>
      <c r="AN140" s="8"/>
      <c r="AO140" s="8"/>
      <c r="AP140" s="8"/>
      <c r="AQ140" s="8"/>
      <c r="AV140"/>
    </row>
    <row r="141" spans="2:48" ht="15.95" hidden="1" customHeight="1">
      <c r="B141" s="929"/>
      <c r="C141" s="8"/>
      <c r="D141" s="8"/>
      <c r="E141" s="8"/>
      <c r="F141" s="8"/>
      <c r="G141" s="8"/>
      <c r="H141" s="8"/>
      <c r="I141" s="8"/>
      <c r="J141" s="8"/>
      <c r="K141" s="8"/>
      <c r="L141" s="8"/>
      <c r="M141" s="8"/>
      <c r="N141" s="8"/>
      <c r="O141" s="8"/>
      <c r="P141" s="8"/>
      <c r="Q141" s="8"/>
      <c r="R141" s="8"/>
      <c r="S141" s="8"/>
      <c r="T141" s="8"/>
      <c r="U141" s="8"/>
      <c r="V141" s="8"/>
      <c r="W141" s="8"/>
      <c r="X141" s="8"/>
      <c r="Y141" s="8"/>
      <c r="Z141" s="8"/>
      <c r="AA141" s="8"/>
      <c r="AB141" s="8"/>
      <c r="AC141" s="8"/>
      <c r="AD141" s="8"/>
      <c r="AE141" s="8"/>
      <c r="AF141" s="8"/>
      <c r="AG141" s="8"/>
      <c r="AH141" s="8"/>
      <c r="AI141" s="8"/>
      <c r="AJ141" s="8"/>
      <c r="AK141" s="8"/>
      <c r="AL141" s="8"/>
      <c r="AM141" s="8"/>
      <c r="AN141" s="8"/>
      <c r="AO141" s="8"/>
      <c r="AP141" s="8"/>
      <c r="AQ141" s="8"/>
      <c r="AV141"/>
    </row>
    <row r="142" spans="2:48" ht="15.95" hidden="1" customHeight="1">
      <c r="B142" s="929">
        <v>64</v>
      </c>
      <c r="C142" s="8"/>
      <c r="D142" s="8"/>
      <c r="E142" s="8"/>
      <c r="F142" s="8"/>
      <c r="G142" s="8"/>
      <c r="H142" s="8"/>
      <c r="I142" s="8"/>
      <c r="J142" s="8"/>
      <c r="K142" s="8"/>
      <c r="L142" s="8"/>
      <c r="M142" s="8"/>
      <c r="N142" s="8"/>
      <c r="O142" s="8"/>
      <c r="P142" s="8"/>
      <c r="Q142" s="8"/>
      <c r="R142" s="8"/>
      <c r="S142" s="8"/>
      <c r="T142" s="8"/>
      <c r="U142" s="8"/>
      <c r="V142" s="8"/>
      <c r="W142" s="8"/>
      <c r="X142" s="8"/>
      <c r="Y142" s="8"/>
      <c r="Z142" s="8"/>
      <c r="AA142" s="8"/>
      <c r="AB142" s="8"/>
      <c r="AC142" s="8"/>
      <c r="AD142" s="8"/>
      <c r="AE142" s="8"/>
      <c r="AF142" s="8"/>
      <c r="AG142" s="8"/>
      <c r="AH142" s="8"/>
      <c r="AI142" s="8"/>
      <c r="AJ142" s="8"/>
      <c r="AK142" s="8"/>
      <c r="AL142" s="8"/>
      <c r="AM142" s="8"/>
      <c r="AN142" s="8"/>
      <c r="AO142" s="8"/>
      <c r="AP142" s="8"/>
      <c r="AQ142" s="8"/>
      <c r="AV142"/>
    </row>
    <row r="143" spans="2:48" ht="15.95" hidden="1" customHeight="1">
      <c r="B143" s="929"/>
      <c r="C143" s="8"/>
      <c r="D143" s="8"/>
      <c r="E143" s="8"/>
      <c r="F143" s="8"/>
      <c r="G143" s="8"/>
      <c r="H143" s="8"/>
      <c r="I143" s="8"/>
      <c r="J143" s="8"/>
      <c r="K143" s="8"/>
      <c r="L143" s="8"/>
      <c r="M143" s="8"/>
      <c r="N143" s="8"/>
      <c r="O143" s="8"/>
      <c r="P143" s="8"/>
      <c r="Q143" s="8"/>
      <c r="R143" s="8"/>
      <c r="S143" s="8"/>
      <c r="T143" s="8"/>
      <c r="U143" s="8"/>
      <c r="V143" s="8"/>
      <c r="W143" s="8"/>
      <c r="X143" s="8"/>
      <c r="Y143" s="8"/>
      <c r="Z143" s="8"/>
      <c r="AA143" s="8"/>
      <c r="AB143" s="8"/>
      <c r="AC143" s="8"/>
      <c r="AD143" s="8"/>
      <c r="AE143" s="8"/>
      <c r="AF143" s="8"/>
      <c r="AG143" s="8"/>
      <c r="AH143" s="8"/>
      <c r="AI143" s="8"/>
      <c r="AJ143" s="8"/>
      <c r="AK143" s="8"/>
      <c r="AL143" s="8"/>
      <c r="AM143" s="8"/>
      <c r="AN143" s="8"/>
      <c r="AO143" s="8"/>
      <c r="AP143" s="8"/>
      <c r="AQ143" s="8"/>
      <c r="AV143"/>
    </row>
    <row r="144" spans="2:48" ht="15.95" hidden="1" customHeight="1">
      <c r="B144" s="929">
        <v>65</v>
      </c>
      <c r="C144" s="8"/>
      <c r="D144" s="8"/>
      <c r="E144" s="8"/>
      <c r="F144" s="8"/>
      <c r="G144" s="8"/>
      <c r="H144" s="8"/>
      <c r="I144" s="8"/>
      <c r="J144" s="8"/>
      <c r="K144" s="8"/>
      <c r="L144" s="8"/>
      <c r="M144" s="8"/>
      <c r="N144" s="8"/>
      <c r="O144" s="8"/>
      <c r="P144" s="8"/>
      <c r="Q144" s="8"/>
      <c r="R144" s="8"/>
      <c r="S144" s="8"/>
      <c r="T144" s="8"/>
      <c r="U144" s="8"/>
      <c r="V144" s="8"/>
      <c r="W144" s="8"/>
      <c r="X144" s="8"/>
      <c r="Y144" s="8"/>
      <c r="Z144" s="8"/>
      <c r="AA144" s="8"/>
      <c r="AB144" s="8"/>
      <c r="AC144" s="8"/>
      <c r="AD144" s="8"/>
      <c r="AE144" s="8"/>
      <c r="AF144" s="8"/>
      <c r="AG144" s="8"/>
      <c r="AH144" s="8"/>
      <c r="AI144" s="8"/>
      <c r="AJ144" s="8"/>
      <c r="AK144" s="8"/>
      <c r="AL144" s="8"/>
      <c r="AM144" s="8"/>
      <c r="AN144" s="8"/>
      <c r="AO144" s="8"/>
      <c r="AP144" s="8"/>
      <c r="AQ144" s="8"/>
      <c r="AV144"/>
    </row>
    <row r="145" spans="2:48" ht="15.95" hidden="1" customHeight="1">
      <c r="B145" s="929"/>
      <c r="C145" s="8"/>
      <c r="D145" s="8"/>
      <c r="E145" s="8"/>
      <c r="F145" s="8"/>
      <c r="G145" s="8"/>
      <c r="H145" s="8"/>
      <c r="I145" s="8"/>
      <c r="J145" s="8"/>
      <c r="K145" s="8"/>
      <c r="L145" s="8"/>
      <c r="M145" s="8"/>
      <c r="N145" s="8"/>
      <c r="O145" s="8"/>
      <c r="P145" s="8"/>
      <c r="Q145" s="8"/>
      <c r="R145" s="8"/>
      <c r="S145" s="8"/>
      <c r="T145" s="8"/>
      <c r="U145" s="8"/>
      <c r="V145" s="8"/>
      <c r="W145" s="8"/>
      <c r="X145" s="8"/>
      <c r="Y145" s="8"/>
      <c r="Z145" s="8"/>
      <c r="AA145" s="8"/>
      <c r="AB145" s="8"/>
      <c r="AC145" s="8"/>
      <c r="AD145" s="8"/>
      <c r="AE145" s="8"/>
      <c r="AF145" s="8"/>
      <c r="AG145" s="8"/>
      <c r="AH145" s="8"/>
      <c r="AI145" s="8"/>
      <c r="AJ145" s="8"/>
      <c r="AK145" s="8"/>
      <c r="AL145" s="8"/>
      <c r="AM145" s="8"/>
      <c r="AN145" s="8"/>
      <c r="AO145" s="8"/>
      <c r="AP145" s="8"/>
      <c r="AQ145" s="8"/>
      <c r="AV145"/>
    </row>
    <row r="146" spans="2:48" ht="15.95" hidden="1" customHeight="1">
      <c r="B146" s="929">
        <v>66</v>
      </c>
      <c r="C146" s="8"/>
      <c r="D146" s="8"/>
      <c r="E146" s="8"/>
      <c r="F146" s="8"/>
      <c r="G146" s="8"/>
      <c r="H146" s="8"/>
      <c r="I146" s="8"/>
      <c r="J146" s="8"/>
      <c r="K146" s="8"/>
      <c r="L146" s="8"/>
      <c r="M146" s="8"/>
      <c r="N146" s="8"/>
      <c r="O146" s="8"/>
      <c r="P146" s="8"/>
      <c r="Q146" s="8"/>
      <c r="R146" s="8"/>
      <c r="S146" s="8"/>
      <c r="T146" s="8"/>
      <c r="U146" s="8"/>
      <c r="V146" s="8"/>
      <c r="W146" s="8"/>
      <c r="X146" s="8"/>
      <c r="Y146" s="8"/>
      <c r="Z146" s="8"/>
      <c r="AA146" s="8"/>
      <c r="AB146" s="8"/>
      <c r="AC146" s="8"/>
      <c r="AD146" s="8"/>
      <c r="AE146" s="8"/>
      <c r="AF146" s="8"/>
      <c r="AG146" s="8"/>
      <c r="AH146" s="8"/>
      <c r="AI146" s="8"/>
      <c r="AJ146" s="8"/>
      <c r="AK146" s="8"/>
      <c r="AL146" s="8"/>
      <c r="AM146" s="8"/>
      <c r="AN146" s="8"/>
      <c r="AO146" s="8"/>
      <c r="AP146" s="8"/>
      <c r="AQ146" s="8"/>
      <c r="AV146"/>
    </row>
    <row r="147" spans="2:48" ht="15.95" hidden="1" customHeight="1">
      <c r="B147" s="929"/>
      <c r="C147" s="8"/>
      <c r="D147" s="8"/>
      <c r="E147" s="8"/>
      <c r="F147" s="8"/>
      <c r="G147" s="8"/>
      <c r="H147" s="8"/>
      <c r="I147" s="8"/>
      <c r="J147" s="8"/>
      <c r="K147" s="8"/>
      <c r="L147" s="8"/>
      <c r="M147" s="8"/>
      <c r="N147" s="8"/>
      <c r="O147" s="8"/>
      <c r="P147" s="8"/>
      <c r="Q147" s="8"/>
      <c r="R147" s="8"/>
      <c r="S147" s="8"/>
      <c r="T147" s="8"/>
      <c r="U147" s="8"/>
      <c r="V147" s="8"/>
      <c r="W147" s="8"/>
      <c r="X147" s="8"/>
      <c r="Y147" s="8"/>
      <c r="Z147" s="8"/>
      <c r="AA147" s="8"/>
      <c r="AB147" s="8"/>
      <c r="AC147" s="8"/>
      <c r="AD147" s="8"/>
      <c r="AE147" s="8"/>
      <c r="AF147" s="8"/>
      <c r="AG147" s="8"/>
      <c r="AH147" s="8"/>
      <c r="AI147" s="8"/>
      <c r="AJ147" s="8"/>
      <c r="AK147" s="8"/>
      <c r="AL147" s="8"/>
      <c r="AM147" s="8"/>
      <c r="AN147" s="8"/>
      <c r="AO147" s="8"/>
      <c r="AP147" s="8"/>
      <c r="AQ147" s="8"/>
      <c r="AV147"/>
    </row>
    <row r="148" spans="2:48" ht="15.95" hidden="1" customHeight="1">
      <c r="B148" s="929">
        <v>67</v>
      </c>
      <c r="C148" s="8"/>
      <c r="D148" s="8"/>
      <c r="E148" s="8"/>
      <c r="F148" s="8"/>
      <c r="G148" s="8"/>
      <c r="H148" s="8"/>
      <c r="I148" s="8"/>
      <c r="J148" s="8"/>
      <c r="K148" s="8"/>
      <c r="L148" s="8"/>
      <c r="M148" s="8"/>
      <c r="N148" s="8"/>
      <c r="O148" s="8"/>
      <c r="P148" s="8"/>
      <c r="Q148" s="8"/>
      <c r="R148" s="8"/>
      <c r="S148" s="8"/>
      <c r="T148" s="8"/>
      <c r="U148" s="8"/>
      <c r="V148" s="8"/>
      <c r="W148" s="8"/>
      <c r="X148" s="8"/>
      <c r="Y148" s="8"/>
      <c r="Z148" s="8"/>
      <c r="AA148" s="8"/>
      <c r="AB148" s="8"/>
      <c r="AC148" s="8"/>
      <c r="AD148" s="8"/>
      <c r="AE148" s="8"/>
      <c r="AF148" s="8"/>
      <c r="AG148" s="8"/>
      <c r="AH148" s="8"/>
      <c r="AI148" s="8"/>
      <c r="AJ148" s="8"/>
      <c r="AK148" s="8"/>
      <c r="AL148" s="8"/>
      <c r="AM148" s="8"/>
      <c r="AN148" s="8"/>
      <c r="AO148" s="8"/>
      <c r="AP148" s="8"/>
      <c r="AQ148" s="8"/>
      <c r="AV148"/>
    </row>
    <row r="149" spans="2:48" ht="15.95" hidden="1" customHeight="1">
      <c r="B149" s="929"/>
      <c r="C149" s="8"/>
      <c r="D149" s="8"/>
      <c r="E149" s="8"/>
      <c r="F149" s="8"/>
      <c r="G149" s="8"/>
      <c r="H149" s="8"/>
      <c r="I149" s="8"/>
      <c r="J149" s="8"/>
      <c r="K149" s="8"/>
      <c r="L149" s="8"/>
      <c r="M149" s="8"/>
      <c r="N149" s="8"/>
      <c r="O149" s="8"/>
      <c r="P149" s="8"/>
      <c r="Q149" s="8"/>
      <c r="R149" s="8"/>
      <c r="S149" s="8"/>
      <c r="T149" s="8"/>
      <c r="U149" s="8"/>
      <c r="V149" s="8"/>
      <c r="W149" s="8"/>
      <c r="X149" s="8"/>
      <c r="Y149" s="8"/>
      <c r="Z149" s="8"/>
      <c r="AA149" s="8"/>
      <c r="AB149" s="8"/>
      <c r="AC149" s="8"/>
      <c r="AD149" s="8"/>
      <c r="AE149" s="8"/>
      <c r="AF149" s="8"/>
      <c r="AG149" s="8"/>
      <c r="AH149" s="8"/>
      <c r="AI149" s="8"/>
      <c r="AJ149" s="8"/>
      <c r="AK149" s="8"/>
      <c r="AL149" s="8"/>
      <c r="AM149" s="8"/>
      <c r="AN149" s="8"/>
      <c r="AO149" s="8"/>
      <c r="AP149" s="8"/>
      <c r="AQ149" s="8"/>
      <c r="AV149"/>
    </row>
    <row r="150" spans="2:48" ht="15.95" hidden="1" customHeight="1">
      <c r="B150" s="929">
        <v>68</v>
      </c>
      <c r="C150" s="8"/>
      <c r="D150" s="8"/>
      <c r="E150" s="8"/>
      <c r="F150" s="8"/>
      <c r="G150" s="8"/>
      <c r="H150" s="8"/>
      <c r="I150" s="8"/>
      <c r="J150" s="8"/>
      <c r="K150" s="8"/>
      <c r="L150" s="8"/>
      <c r="M150" s="8"/>
      <c r="N150" s="8"/>
      <c r="O150" s="8"/>
      <c r="P150" s="8"/>
      <c r="Q150" s="8"/>
      <c r="R150" s="8"/>
      <c r="S150" s="8"/>
      <c r="T150" s="8"/>
      <c r="U150" s="8"/>
      <c r="V150" s="8"/>
      <c r="W150" s="8"/>
      <c r="X150" s="8"/>
      <c r="Y150" s="8"/>
      <c r="Z150" s="8"/>
      <c r="AA150" s="8"/>
      <c r="AB150" s="8"/>
      <c r="AC150" s="8"/>
      <c r="AD150" s="8"/>
      <c r="AE150" s="8"/>
      <c r="AF150" s="8"/>
      <c r="AG150" s="8"/>
      <c r="AH150" s="8"/>
      <c r="AI150" s="8"/>
      <c r="AJ150" s="8"/>
      <c r="AK150" s="8"/>
      <c r="AL150" s="8"/>
      <c r="AM150" s="8"/>
      <c r="AN150" s="8"/>
      <c r="AO150" s="8"/>
      <c r="AP150" s="8"/>
      <c r="AQ150" s="8"/>
      <c r="AV150"/>
    </row>
    <row r="151" spans="2:48" ht="15.95" hidden="1" customHeight="1">
      <c r="B151" s="929"/>
      <c r="C151" s="8"/>
      <c r="D151" s="8"/>
      <c r="E151" s="8"/>
      <c r="F151" s="8"/>
      <c r="G151" s="8"/>
      <c r="H151" s="8"/>
      <c r="I151" s="8"/>
      <c r="J151" s="8"/>
      <c r="K151" s="8"/>
      <c r="L151" s="8"/>
      <c r="M151" s="8"/>
      <c r="N151" s="8"/>
      <c r="O151" s="8"/>
      <c r="P151" s="8"/>
      <c r="Q151" s="8"/>
      <c r="R151" s="8"/>
      <c r="S151" s="8"/>
      <c r="T151" s="8"/>
      <c r="U151" s="8"/>
      <c r="V151" s="8"/>
      <c r="W151" s="8"/>
      <c r="X151" s="8"/>
      <c r="Y151" s="8"/>
      <c r="Z151" s="8"/>
      <c r="AA151" s="8"/>
      <c r="AB151" s="8"/>
      <c r="AC151" s="8"/>
      <c r="AD151" s="8"/>
      <c r="AE151" s="8"/>
      <c r="AF151" s="8"/>
      <c r="AG151" s="8"/>
      <c r="AH151" s="8"/>
      <c r="AI151" s="8"/>
      <c r="AJ151" s="8"/>
      <c r="AK151" s="8"/>
      <c r="AL151" s="8"/>
      <c r="AM151" s="8"/>
      <c r="AN151" s="8"/>
      <c r="AO151" s="8"/>
      <c r="AP151" s="8"/>
      <c r="AQ151" s="8"/>
      <c r="AV151"/>
    </row>
    <row r="152" spans="2:48" ht="15.95" hidden="1" customHeight="1">
      <c r="B152" s="929">
        <v>69</v>
      </c>
      <c r="C152" s="8"/>
      <c r="D152" s="8"/>
      <c r="E152" s="8"/>
      <c r="F152" s="8"/>
      <c r="G152" s="8"/>
      <c r="H152" s="8"/>
      <c r="I152" s="8"/>
      <c r="J152" s="8"/>
      <c r="K152" s="8"/>
      <c r="L152" s="8"/>
      <c r="M152" s="8"/>
      <c r="N152" s="8"/>
      <c r="O152" s="8"/>
      <c r="P152" s="8"/>
      <c r="Q152" s="8"/>
      <c r="R152" s="8"/>
      <c r="S152" s="8"/>
      <c r="T152" s="8"/>
      <c r="U152" s="8"/>
      <c r="V152" s="8"/>
      <c r="W152" s="8"/>
      <c r="X152" s="8"/>
      <c r="Y152" s="8"/>
      <c r="Z152" s="8"/>
      <c r="AA152" s="8"/>
      <c r="AB152" s="8"/>
      <c r="AC152" s="8"/>
      <c r="AD152" s="8"/>
      <c r="AE152" s="8"/>
      <c r="AF152" s="8"/>
      <c r="AG152" s="8"/>
      <c r="AH152" s="8"/>
      <c r="AI152" s="8"/>
      <c r="AJ152" s="8"/>
      <c r="AK152" s="8"/>
      <c r="AL152" s="8"/>
      <c r="AM152" s="8"/>
      <c r="AN152" s="8"/>
      <c r="AO152" s="8"/>
      <c r="AP152" s="8"/>
      <c r="AQ152" s="8"/>
      <c r="AV152"/>
    </row>
    <row r="153" spans="2:48" ht="15.95" hidden="1" customHeight="1">
      <c r="B153" s="929"/>
      <c r="C153" s="8"/>
      <c r="D153" s="8"/>
      <c r="E153" s="8"/>
      <c r="F153" s="8"/>
      <c r="G153" s="8"/>
      <c r="H153" s="8"/>
      <c r="I153" s="8"/>
      <c r="J153" s="8"/>
      <c r="K153" s="8"/>
      <c r="L153" s="8"/>
      <c r="M153" s="8"/>
      <c r="N153" s="8"/>
      <c r="O153" s="8"/>
      <c r="P153" s="8"/>
      <c r="Q153" s="8"/>
      <c r="R153" s="8"/>
      <c r="S153" s="8"/>
      <c r="T153" s="8"/>
      <c r="U153" s="8"/>
      <c r="V153" s="8"/>
      <c r="W153" s="8"/>
      <c r="X153" s="8"/>
      <c r="Y153" s="8"/>
      <c r="Z153" s="8"/>
      <c r="AA153" s="8"/>
      <c r="AB153" s="8"/>
      <c r="AC153" s="8"/>
      <c r="AD153" s="8"/>
      <c r="AE153" s="8"/>
      <c r="AF153" s="8"/>
      <c r="AG153" s="8"/>
      <c r="AH153" s="8"/>
      <c r="AI153" s="8"/>
      <c r="AJ153" s="8"/>
      <c r="AK153" s="8"/>
      <c r="AL153" s="8"/>
      <c r="AM153" s="8"/>
      <c r="AN153" s="8"/>
      <c r="AO153" s="8"/>
      <c r="AP153" s="8"/>
      <c r="AQ153" s="8"/>
      <c r="AV153"/>
    </row>
    <row r="154" spans="2:48" ht="15.95" hidden="1" customHeight="1">
      <c r="B154" s="929">
        <v>70</v>
      </c>
      <c r="C154" s="8"/>
      <c r="D154" s="8"/>
      <c r="E154" s="8"/>
      <c r="F154" s="8"/>
      <c r="G154" s="8"/>
      <c r="H154" s="8"/>
      <c r="I154" s="8"/>
      <c r="J154" s="8"/>
      <c r="K154" s="8"/>
      <c r="L154" s="8"/>
      <c r="M154" s="8"/>
      <c r="N154" s="8"/>
      <c r="O154" s="8"/>
      <c r="P154" s="8"/>
      <c r="Q154" s="8"/>
      <c r="R154" s="8"/>
      <c r="S154" s="8"/>
      <c r="T154" s="8"/>
      <c r="U154" s="8"/>
      <c r="V154" s="8"/>
      <c r="W154" s="8"/>
      <c r="X154" s="8"/>
      <c r="Y154" s="8"/>
      <c r="Z154" s="8"/>
      <c r="AA154" s="8"/>
      <c r="AB154" s="8"/>
      <c r="AC154" s="8"/>
      <c r="AD154" s="8"/>
      <c r="AE154" s="8"/>
      <c r="AF154" s="8"/>
      <c r="AG154" s="8"/>
      <c r="AH154" s="8"/>
      <c r="AI154" s="8"/>
      <c r="AJ154" s="8"/>
      <c r="AK154" s="8"/>
      <c r="AL154" s="8"/>
      <c r="AM154" s="8"/>
      <c r="AN154" s="8"/>
      <c r="AO154" s="8"/>
      <c r="AP154" s="8"/>
      <c r="AQ154" s="8"/>
      <c r="AV154"/>
    </row>
    <row r="155" spans="2:48" ht="15.95" hidden="1" customHeight="1">
      <c r="B155" s="929"/>
      <c r="C155" s="8"/>
      <c r="D155" s="8"/>
      <c r="E155" s="8"/>
      <c r="F155" s="8"/>
      <c r="G155" s="8"/>
      <c r="H155" s="8"/>
      <c r="I155" s="8"/>
      <c r="J155" s="8"/>
      <c r="K155" s="8"/>
      <c r="L155" s="8"/>
      <c r="M155" s="8"/>
      <c r="N155" s="8"/>
      <c r="O155" s="8"/>
      <c r="P155" s="8"/>
      <c r="Q155" s="8"/>
      <c r="R155" s="8"/>
      <c r="S155" s="8"/>
      <c r="T155" s="8"/>
      <c r="U155" s="8"/>
      <c r="V155" s="8"/>
      <c r="W155" s="8"/>
      <c r="X155" s="8"/>
      <c r="Y155" s="8"/>
      <c r="Z155" s="8"/>
      <c r="AA155" s="8"/>
      <c r="AB155" s="8"/>
      <c r="AC155" s="8"/>
      <c r="AD155" s="8"/>
      <c r="AE155" s="8"/>
      <c r="AF155" s="8"/>
      <c r="AG155" s="8"/>
      <c r="AH155" s="8"/>
      <c r="AI155" s="8"/>
      <c r="AJ155" s="8"/>
      <c r="AK155" s="8"/>
      <c r="AL155" s="8"/>
      <c r="AM155" s="8"/>
      <c r="AN155" s="8"/>
      <c r="AO155" s="8"/>
      <c r="AP155" s="8"/>
      <c r="AQ155" s="8"/>
      <c r="AV155"/>
    </row>
    <row r="156" spans="2:48" ht="15.95" hidden="1" customHeight="1">
      <c r="B156" s="929">
        <v>71</v>
      </c>
      <c r="C156" s="8"/>
      <c r="D156" s="8"/>
      <c r="E156" s="8"/>
      <c r="F156" s="8"/>
      <c r="G156" s="8"/>
      <c r="H156" s="8"/>
      <c r="I156" s="8"/>
      <c r="J156" s="8"/>
      <c r="K156" s="8"/>
      <c r="L156" s="8"/>
      <c r="M156" s="8"/>
      <c r="N156" s="8"/>
      <c r="O156" s="8"/>
      <c r="P156" s="8"/>
      <c r="Q156" s="8"/>
      <c r="R156" s="8"/>
      <c r="S156" s="8"/>
      <c r="T156" s="8"/>
      <c r="U156" s="8"/>
      <c r="V156" s="8"/>
      <c r="W156" s="8"/>
      <c r="X156" s="8"/>
      <c r="Y156" s="8"/>
      <c r="Z156" s="8"/>
      <c r="AA156" s="8"/>
      <c r="AB156" s="8"/>
      <c r="AC156" s="8"/>
      <c r="AD156" s="8"/>
      <c r="AE156" s="8"/>
      <c r="AF156" s="8"/>
      <c r="AG156" s="8"/>
      <c r="AH156" s="8"/>
      <c r="AI156" s="8"/>
      <c r="AJ156" s="8"/>
      <c r="AK156" s="8"/>
      <c r="AL156" s="8"/>
      <c r="AM156" s="8"/>
      <c r="AN156" s="8"/>
      <c r="AO156" s="8"/>
      <c r="AP156" s="8"/>
      <c r="AQ156" s="8"/>
      <c r="AV156"/>
    </row>
    <row r="157" spans="2:48" ht="15.95" hidden="1" customHeight="1">
      <c r="B157" s="929"/>
      <c r="C157" s="8"/>
      <c r="D157" s="8"/>
      <c r="E157" s="8"/>
      <c r="F157" s="8"/>
      <c r="G157" s="8"/>
      <c r="H157" s="8"/>
      <c r="I157" s="8"/>
      <c r="J157" s="8"/>
      <c r="K157" s="8"/>
      <c r="L157" s="8"/>
      <c r="M157" s="8"/>
      <c r="N157" s="8"/>
      <c r="O157" s="8"/>
      <c r="P157" s="8"/>
      <c r="Q157" s="8"/>
      <c r="R157" s="8"/>
      <c r="S157" s="8"/>
      <c r="T157" s="8"/>
      <c r="U157" s="8"/>
      <c r="V157" s="8"/>
      <c r="W157" s="8"/>
      <c r="X157" s="8"/>
      <c r="Y157" s="8"/>
      <c r="Z157" s="8"/>
      <c r="AA157" s="8"/>
      <c r="AB157" s="8"/>
      <c r="AC157" s="8"/>
      <c r="AD157" s="8"/>
      <c r="AE157" s="8"/>
      <c r="AF157" s="8"/>
      <c r="AG157" s="8"/>
      <c r="AH157" s="8"/>
      <c r="AI157" s="8"/>
      <c r="AJ157" s="8"/>
      <c r="AK157" s="8"/>
      <c r="AL157" s="8"/>
      <c r="AM157" s="8"/>
      <c r="AN157" s="8"/>
      <c r="AO157" s="8"/>
      <c r="AP157" s="8"/>
      <c r="AQ157" s="8"/>
      <c r="AV157"/>
    </row>
    <row r="158" spans="2:48" ht="15.95" hidden="1" customHeight="1">
      <c r="B158" s="929">
        <v>72</v>
      </c>
      <c r="C158" s="8"/>
      <c r="D158" s="8"/>
      <c r="E158" s="8"/>
      <c r="F158" s="8"/>
      <c r="G158" s="8"/>
      <c r="H158" s="8"/>
      <c r="I158" s="8"/>
      <c r="J158" s="8"/>
      <c r="K158" s="8"/>
      <c r="L158" s="8"/>
      <c r="M158" s="8"/>
      <c r="N158" s="8"/>
      <c r="O158" s="8"/>
      <c r="P158" s="8"/>
      <c r="Q158" s="8"/>
      <c r="R158" s="8"/>
      <c r="S158" s="8"/>
      <c r="T158" s="8"/>
      <c r="U158" s="8"/>
      <c r="V158" s="8"/>
      <c r="W158" s="8"/>
      <c r="X158" s="8"/>
      <c r="Y158" s="8"/>
      <c r="Z158" s="8"/>
      <c r="AA158" s="8"/>
      <c r="AB158" s="8"/>
      <c r="AC158" s="8"/>
      <c r="AD158" s="8"/>
      <c r="AE158" s="8"/>
      <c r="AF158" s="8"/>
      <c r="AG158" s="8"/>
      <c r="AH158" s="8"/>
      <c r="AI158" s="8"/>
      <c r="AJ158" s="8"/>
      <c r="AK158" s="8"/>
      <c r="AL158" s="8"/>
      <c r="AM158" s="8"/>
      <c r="AN158" s="8"/>
      <c r="AO158" s="8"/>
      <c r="AP158" s="8"/>
      <c r="AQ158" s="8"/>
      <c r="AV158"/>
    </row>
    <row r="159" spans="2:48" ht="15.95" hidden="1" customHeight="1">
      <c r="B159" s="929"/>
      <c r="C159" s="8"/>
      <c r="D159" s="8"/>
      <c r="E159" s="8"/>
      <c r="F159" s="8"/>
      <c r="G159" s="8"/>
      <c r="H159" s="8"/>
      <c r="I159" s="8"/>
      <c r="J159" s="8"/>
      <c r="K159" s="8"/>
      <c r="L159" s="8"/>
      <c r="M159" s="8"/>
      <c r="N159" s="8"/>
      <c r="O159" s="8"/>
      <c r="P159" s="8"/>
      <c r="Q159" s="8"/>
      <c r="R159" s="8"/>
      <c r="S159" s="8"/>
      <c r="T159" s="8"/>
      <c r="U159" s="8"/>
      <c r="V159" s="8"/>
      <c r="W159" s="8"/>
      <c r="X159" s="8"/>
      <c r="Y159" s="8"/>
      <c r="Z159" s="8"/>
      <c r="AA159" s="8"/>
      <c r="AB159" s="8"/>
      <c r="AC159" s="8"/>
      <c r="AD159" s="8"/>
      <c r="AE159" s="8"/>
      <c r="AF159" s="8"/>
      <c r="AG159" s="8"/>
      <c r="AH159" s="8"/>
      <c r="AI159" s="8"/>
      <c r="AJ159" s="8"/>
      <c r="AK159" s="8"/>
      <c r="AL159" s="8"/>
      <c r="AM159" s="8"/>
      <c r="AN159" s="8"/>
      <c r="AO159" s="8"/>
      <c r="AP159" s="8"/>
      <c r="AQ159" s="8"/>
      <c r="AV159"/>
    </row>
    <row r="160" spans="2:48" ht="15.95" hidden="1" customHeight="1">
      <c r="B160" s="929">
        <v>73</v>
      </c>
      <c r="C160" s="8"/>
      <c r="D160" s="8"/>
      <c r="E160" s="8"/>
      <c r="F160" s="8"/>
      <c r="G160" s="8"/>
      <c r="H160" s="8"/>
      <c r="I160" s="8"/>
      <c r="J160" s="8"/>
      <c r="K160" s="8"/>
      <c r="L160" s="8"/>
      <c r="M160" s="8"/>
      <c r="N160" s="8"/>
      <c r="O160" s="8"/>
      <c r="P160" s="8"/>
      <c r="Q160" s="8"/>
      <c r="R160" s="8"/>
      <c r="S160" s="8"/>
      <c r="T160" s="8"/>
      <c r="U160" s="8"/>
      <c r="V160" s="8"/>
      <c r="W160" s="8"/>
      <c r="X160" s="8"/>
      <c r="Y160" s="8"/>
      <c r="Z160" s="8"/>
      <c r="AA160" s="8"/>
      <c r="AB160" s="8"/>
      <c r="AC160" s="8"/>
      <c r="AD160" s="8"/>
      <c r="AE160" s="8"/>
      <c r="AF160" s="8"/>
      <c r="AG160" s="8"/>
      <c r="AH160" s="8"/>
      <c r="AI160" s="8"/>
      <c r="AJ160" s="8"/>
      <c r="AK160" s="8"/>
      <c r="AL160" s="8"/>
      <c r="AM160" s="8"/>
      <c r="AN160" s="8"/>
      <c r="AO160" s="8"/>
      <c r="AP160" s="8"/>
      <c r="AQ160" s="8"/>
      <c r="AV160"/>
    </row>
    <row r="161" spans="2:48" ht="15.95" hidden="1" customHeight="1">
      <c r="B161" s="929"/>
      <c r="C161" s="8"/>
      <c r="D161" s="8"/>
      <c r="E161" s="8"/>
      <c r="F161" s="8"/>
      <c r="G161" s="8"/>
      <c r="H161" s="8"/>
      <c r="I161" s="8"/>
      <c r="J161" s="8"/>
      <c r="K161" s="8"/>
      <c r="L161" s="8"/>
      <c r="M161" s="8"/>
      <c r="N161" s="8"/>
      <c r="O161" s="8"/>
      <c r="P161" s="8"/>
      <c r="Q161" s="8"/>
      <c r="R161" s="8"/>
      <c r="S161" s="8"/>
      <c r="T161" s="8"/>
      <c r="U161" s="8"/>
      <c r="V161" s="8"/>
      <c r="W161" s="8"/>
      <c r="X161" s="8"/>
      <c r="Y161" s="8"/>
      <c r="Z161" s="8"/>
      <c r="AA161" s="8"/>
      <c r="AB161" s="8"/>
      <c r="AC161" s="8"/>
      <c r="AD161" s="8"/>
      <c r="AE161" s="8"/>
      <c r="AF161" s="8"/>
      <c r="AG161" s="8"/>
      <c r="AH161" s="8"/>
      <c r="AI161" s="8"/>
      <c r="AJ161" s="8"/>
      <c r="AK161" s="8"/>
      <c r="AL161" s="8"/>
      <c r="AM161" s="8"/>
      <c r="AN161" s="8"/>
      <c r="AO161" s="8"/>
      <c r="AP161" s="8"/>
      <c r="AQ161" s="8"/>
      <c r="AV161"/>
    </row>
    <row r="162" spans="2:48" ht="15.95" hidden="1" customHeight="1">
      <c r="B162" s="929">
        <v>74</v>
      </c>
      <c r="C162" s="8"/>
      <c r="D162" s="8"/>
      <c r="E162" s="8"/>
      <c r="F162" s="8"/>
      <c r="G162" s="8"/>
      <c r="H162" s="8"/>
      <c r="I162" s="8"/>
      <c r="J162" s="8"/>
      <c r="K162" s="8"/>
      <c r="L162" s="8"/>
      <c r="M162" s="8"/>
      <c r="N162" s="8"/>
      <c r="O162" s="8"/>
      <c r="P162" s="8"/>
      <c r="Q162" s="8"/>
      <c r="R162" s="8"/>
      <c r="S162" s="8"/>
      <c r="T162" s="8"/>
      <c r="U162" s="8"/>
      <c r="V162" s="8"/>
      <c r="W162" s="8"/>
      <c r="X162" s="8"/>
      <c r="Y162" s="8"/>
      <c r="Z162" s="8"/>
      <c r="AA162" s="8"/>
      <c r="AB162" s="8"/>
      <c r="AC162" s="8"/>
      <c r="AD162" s="8"/>
      <c r="AE162" s="8"/>
      <c r="AF162" s="8"/>
      <c r="AG162" s="8"/>
      <c r="AH162" s="8"/>
      <c r="AI162" s="8"/>
      <c r="AJ162" s="8"/>
      <c r="AK162" s="8"/>
      <c r="AL162" s="8"/>
      <c r="AM162" s="8"/>
      <c r="AN162" s="8"/>
      <c r="AO162" s="8"/>
      <c r="AP162" s="8"/>
      <c r="AQ162" s="8"/>
      <c r="AV162"/>
    </row>
    <row r="163" spans="2:48" ht="15.95" hidden="1" customHeight="1">
      <c r="B163" s="929"/>
      <c r="C163" s="8"/>
      <c r="D163" s="8"/>
      <c r="E163" s="8"/>
      <c r="F163" s="8"/>
      <c r="G163" s="8"/>
      <c r="H163" s="8"/>
      <c r="I163" s="8"/>
      <c r="J163" s="8"/>
      <c r="K163" s="8"/>
      <c r="L163" s="8"/>
      <c r="M163" s="8"/>
      <c r="N163" s="8"/>
      <c r="O163" s="8"/>
      <c r="P163" s="8"/>
      <c r="Q163" s="8"/>
      <c r="R163" s="8"/>
      <c r="S163" s="8"/>
      <c r="T163" s="8"/>
      <c r="U163" s="8"/>
      <c r="V163" s="8"/>
      <c r="W163" s="8"/>
      <c r="X163" s="8"/>
      <c r="Y163" s="8"/>
      <c r="Z163" s="8"/>
      <c r="AA163" s="8"/>
      <c r="AB163" s="8"/>
      <c r="AC163" s="8"/>
      <c r="AD163" s="8"/>
      <c r="AE163" s="8"/>
      <c r="AF163" s="8"/>
      <c r="AG163" s="8"/>
      <c r="AH163" s="8"/>
      <c r="AI163" s="8"/>
      <c r="AJ163" s="8"/>
      <c r="AK163" s="8"/>
      <c r="AL163" s="8"/>
      <c r="AM163" s="8"/>
      <c r="AN163" s="8"/>
      <c r="AO163" s="8"/>
      <c r="AP163" s="8"/>
      <c r="AQ163" s="8"/>
      <c r="AV163"/>
    </row>
    <row r="164" spans="2:48" ht="15.95" hidden="1" customHeight="1">
      <c r="B164" s="929">
        <v>75</v>
      </c>
      <c r="C164" s="8"/>
      <c r="D164" s="8"/>
      <c r="E164" s="8"/>
      <c r="F164" s="8"/>
      <c r="G164" s="8"/>
      <c r="H164" s="8"/>
      <c r="I164" s="8"/>
      <c r="J164" s="8"/>
      <c r="K164" s="8"/>
      <c r="L164" s="8"/>
      <c r="M164" s="8"/>
      <c r="N164" s="8"/>
      <c r="O164" s="8"/>
      <c r="P164" s="8"/>
      <c r="Q164" s="8"/>
      <c r="R164" s="8"/>
      <c r="S164" s="8"/>
      <c r="T164" s="8"/>
      <c r="U164" s="8"/>
      <c r="V164" s="8"/>
      <c r="W164" s="8"/>
      <c r="X164" s="8"/>
      <c r="Y164" s="8"/>
      <c r="Z164" s="8"/>
      <c r="AA164" s="8"/>
      <c r="AB164" s="8"/>
      <c r="AC164" s="8"/>
      <c r="AD164" s="8"/>
      <c r="AE164" s="8"/>
      <c r="AF164" s="8"/>
      <c r="AG164" s="8"/>
      <c r="AH164" s="8"/>
      <c r="AI164" s="8"/>
      <c r="AJ164" s="8"/>
      <c r="AK164" s="8"/>
      <c r="AL164" s="8"/>
      <c r="AM164" s="8"/>
      <c r="AN164" s="8"/>
      <c r="AO164" s="8"/>
      <c r="AP164" s="8"/>
      <c r="AQ164" s="8"/>
      <c r="AV164"/>
    </row>
    <row r="165" spans="2:48" ht="15.95" hidden="1" customHeight="1">
      <c r="B165" s="929"/>
      <c r="C165" s="8"/>
      <c r="D165" s="8"/>
      <c r="E165" s="8"/>
      <c r="F165" s="8"/>
      <c r="G165" s="8"/>
      <c r="H165" s="8"/>
      <c r="I165" s="8"/>
      <c r="J165" s="8"/>
      <c r="K165" s="8"/>
      <c r="L165" s="8"/>
      <c r="M165" s="8"/>
      <c r="N165" s="8"/>
      <c r="O165" s="8"/>
      <c r="P165" s="8"/>
      <c r="Q165" s="8"/>
      <c r="R165" s="8"/>
      <c r="S165" s="8"/>
      <c r="T165" s="8"/>
      <c r="U165" s="8"/>
      <c r="V165" s="8"/>
      <c r="W165" s="8"/>
      <c r="X165" s="8"/>
      <c r="Y165" s="8"/>
      <c r="Z165" s="8"/>
      <c r="AA165" s="8"/>
      <c r="AB165" s="8"/>
      <c r="AC165" s="8"/>
      <c r="AD165" s="8"/>
      <c r="AE165" s="8"/>
      <c r="AF165" s="8"/>
      <c r="AG165" s="8"/>
      <c r="AH165" s="8"/>
      <c r="AI165" s="8"/>
      <c r="AJ165" s="8"/>
      <c r="AK165" s="8"/>
      <c r="AL165" s="8"/>
      <c r="AM165" s="8"/>
      <c r="AN165" s="8"/>
      <c r="AO165" s="8"/>
      <c r="AP165" s="8"/>
      <c r="AQ165" s="8"/>
      <c r="AV165"/>
    </row>
    <row r="166" spans="2:48" ht="15.95" hidden="1" customHeight="1">
      <c r="B166" s="929">
        <v>76</v>
      </c>
      <c r="C166" s="8"/>
      <c r="D166" s="8"/>
      <c r="E166" s="8"/>
      <c r="F166" s="8"/>
      <c r="G166" s="8"/>
      <c r="H166" s="8"/>
      <c r="I166" s="8"/>
      <c r="J166" s="8"/>
      <c r="K166" s="8"/>
      <c r="L166" s="8"/>
      <c r="M166" s="8"/>
      <c r="N166" s="8"/>
      <c r="O166" s="8"/>
      <c r="P166" s="8"/>
      <c r="Q166" s="8"/>
      <c r="R166" s="8"/>
      <c r="S166" s="8"/>
      <c r="T166" s="8"/>
      <c r="U166" s="8"/>
      <c r="V166" s="8"/>
      <c r="W166" s="8"/>
      <c r="X166" s="8"/>
      <c r="Y166" s="8"/>
      <c r="Z166" s="8"/>
      <c r="AA166" s="8"/>
      <c r="AB166" s="8"/>
      <c r="AC166" s="8"/>
      <c r="AD166" s="8"/>
      <c r="AE166" s="8"/>
      <c r="AF166" s="8"/>
      <c r="AG166" s="8"/>
      <c r="AH166" s="8"/>
      <c r="AI166" s="8"/>
      <c r="AJ166" s="8"/>
      <c r="AK166" s="8"/>
      <c r="AL166" s="8"/>
      <c r="AM166" s="8"/>
      <c r="AN166" s="8"/>
      <c r="AO166" s="8"/>
      <c r="AP166" s="8"/>
      <c r="AQ166" s="8"/>
      <c r="AV166"/>
    </row>
    <row r="167" spans="2:48" ht="15.95" hidden="1" customHeight="1">
      <c r="B167" s="929"/>
      <c r="C167" s="8"/>
      <c r="D167" s="8"/>
      <c r="E167" s="8"/>
      <c r="F167" s="8"/>
      <c r="G167" s="8"/>
      <c r="H167" s="8"/>
      <c r="I167" s="8"/>
      <c r="J167" s="8"/>
      <c r="K167" s="8"/>
      <c r="L167" s="8"/>
      <c r="M167" s="8"/>
      <c r="N167" s="8"/>
      <c r="O167" s="8"/>
      <c r="P167" s="8"/>
      <c r="Q167" s="8"/>
      <c r="R167" s="8"/>
      <c r="S167" s="8"/>
      <c r="T167" s="8"/>
      <c r="U167" s="8"/>
      <c r="V167" s="8"/>
      <c r="W167" s="8"/>
      <c r="X167" s="8"/>
      <c r="Y167" s="8"/>
      <c r="Z167" s="8"/>
      <c r="AA167" s="8"/>
      <c r="AB167" s="8"/>
      <c r="AC167" s="8"/>
      <c r="AD167" s="8"/>
      <c r="AE167" s="8"/>
      <c r="AF167" s="8"/>
      <c r="AG167" s="8"/>
      <c r="AH167" s="8"/>
      <c r="AI167" s="8"/>
      <c r="AJ167" s="8"/>
      <c r="AK167" s="8"/>
      <c r="AL167" s="8"/>
      <c r="AM167" s="8"/>
      <c r="AN167" s="8"/>
      <c r="AO167" s="8"/>
      <c r="AP167" s="8"/>
      <c r="AQ167" s="8"/>
      <c r="AV167"/>
    </row>
    <row r="168" spans="2:48" ht="15.95" hidden="1" customHeight="1">
      <c r="B168" s="929">
        <v>77</v>
      </c>
      <c r="C168" s="8"/>
      <c r="D168" s="8"/>
      <c r="E168" s="8"/>
      <c r="F168" s="8"/>
      <c r="G168" s="8"/>
      <c r="H168" s="8"/>
      <c r="I168" s="8"/>
      <c r="J168" s="8"/>
      <c r="K168" s="8"/>
      <c r="L168" s="8"/>
      <c r="M168" s="8"/>
      <c r="N168" s="8"/>
      <c r="O168" s="8"/>
      <c r="P168" s="8"/>
      <c r="Q168" s="8"/>
      <c r="R168" s="8"/>
      <c r="S168" s="8"/>
      <c r="T168" s="8"/>
      <c r="U168" s="8"/>
      <c r="V168" s="8"/>
      <c r="W168" s="8"/>
      <c r="X168" s="8"/>
      <c r="Y168" s="8"/>
      <c r="Z168" s="8"/>
      <c r="AA168" s="8"/>
      <c r="AB168" s="8"/>
      <c r="AC168" s="8"/>
      <c r="AD168" s="8"/>
      <c r="AE168" s="8"/>
      <c r="AF168" s="8"/>
      <c r="AG168" s="8"/>
      <c r="AH168" s="8"/>
      <c r="AI168" s="8"/>
      <c r="AJ168" s="8"/>
      <c r="AK168" s="8"/>
      <c r="AL168" s="8"/>
      <c r="AM168" s="8"/>
      <c r="AN168" s="8"/>
      <c r="AO168" s="8"/>
      <c r="AP168" s="8"/>
      <c r="AQ168" s="8"/>
      <c r="AV168"/>
    </row>
    <row r="169" spans="2:48" ht="15.95" hidden="1" customHeight="1">
      <c r="B169" s="929"/>
      <c r="C169" s="8"/>
      <c r="D169" s="8"/>
      <c r="E169" s="8"/>
      <c r="F169" s="8"/>
      <c r="G169" s="8"/>
      <c r="H169" s="8"/>
      <c r="I169" s="8"/>
      <c r="J169" s="8"/>
      <c r="K169" s="8"/>
      <c r="L169" s="8"/>
      <c r="M169" s="8"/>
      <c r="N169" s="8"/>
      <c r="O169" s="8"/>
      <c r="P169" s="8"/>
      <c r="Q169" s="8"/>
      <c r="R169" s="8"/>
      <c r="S169" s="8"/>
      <c r="T169" s="8"/>
      <c r="U169" s="8"/>
      <c r="V169" s="8"/>
      <c r="W169" s="8"/>
      <c r="X169" s="8"/>
      <c r="Y169" s="8"/>
      <c r="Z169" s="8"/>
      <c r="AA169" s="8"/>
      <c r="AB169" s="8"/>
      <c r="AC169" s="8"/>
      <c r="AD169" s="8"/>
      <c r="AE169" s="8"/>
      <c r="AF169" s="8"/>
      <c r="AG169" s="8"/>
      <c r="AH169" s="8"/>
      <c r="AI169" s="8"/>
      <c r="AJ169" s="8"/>
      <c r="AK169" s="8"/>
      <c r="AL169" s="8"/>
      <c r="AM169" s="8"/>
      <c r="AN169" s="8"/>
      <c r="AO169" s="8"/>
      <c r="AP169" s="8"/>
      <c r="AQ169" s="8"/>
      <c r="AV169"/>
    </row>
    <row r="170" spans="2:48" ht="15.95" hidden="1" customHeight="1">
      <c r="B170" s="929">
        <v>78</v>
      </c>
      <c r="C170" s="8"/>
      <c r="D170" s="8"/>
      <c r="E170" s="8"/>
      <c r="F170" s="8"/>
      <c r="G170" s="8"/>
      <c r="H170" s="8"/>
      <c r="I170" s="8"/>
      <c r="J170" s="8"/>
      <c r="K170" s="8"/>
      <c r="L170" s="8"/>
      <c r="M170" s="8"/>
      <c r="N170" s="8"/>
      <c r="O170" s="8"/>
      <c r="P170" s="8"/>
      <c r="Q170" s="8"/>
      <c r="R170" s="8"/>
      <c r="S170" s="8"/>
      <c r="T170" s="8"/>
      <c r="U170" s="8"/>
      <c r="V170" s="8"/>
      <c r="W170" s="8"/>
      <c r="X170" s="8"/>
      <c r="Y170" s="8"/>
      <c r="Z170" s="8"/>
      <c r="AA170" s="8"/>
      <c r="AB170" s="8"/>
      <c r="AC170" s="8"/>
      <c r="AD170" s="8"/>
      <c r="AE170" s="8"/>
      <c r="AF170" s="8"/>
      <c r="AG170" s="8"/>
      <c r="AH170" s="8"/>
      <c r="AI170" s="8"/>
      <c r="AJ170" s="8"/>
      <c r="AK170" s="8"/>
      <c r="AL170" s="8"/>
      <c r="AM170" s="8"/>
      <c r="AN170" s="8"/>
      <c r="AO170" s="8"/>
      <c r="AP170" s="8"/>
      <c r="AQ170" s="8"/>
      <c r="AV170"/>
    </row>
    <row r="171" spans="2:48" ht="15.95" hidden="1" customHeight="1">
      <c r="B171" s="929"/>
      <c r="C171" s="8"/>
      <c r="D171" s="8"/>
      <c r="E171" s="8"/>
      <c r="F171" s="8"/>
      <c r="G171" s="8"/>
      <c r="H171" s="8"/>
      <c r="I171" s="8"/>
      <c r="J171" s="8"/>
      <c r="K171" s="8"/>
      <c r="L171" s="8"/>
      <c r="M171" s="8"/>
      <c r="N171" s="8"/>
      <c r="O171" s="8"/>
      <c r="P171" s="8"/>
      <c r="Q171" s="8"/>
      <c r="R171" s="8"/>
      <c r="S171" s="8"/>
      <c r="T171" s="8"/>
      <c r="U171" s="8"/>
      <c r="V171" s="8"/>
      <c r="W171" s="8"/>
      <c r="X171" s="8"/>
      <c r="Y171" s="8"/>
      <c r="Z171" s="8"/>
      <c r="AA171" s="8"/>
      <c r="AB171" s="8"/>
      <c r="AC171" s="8"/>
      <c r="AD171" s="8"/>
      <c r="AE171" s="8"/>
      <c r="AF171" s="8"/>
      <c r="AG171" s="8"/>
      <c r="AH171" s="8"/>
      <c r="AI171" s="8"/>
      <c r="AJ171" s="8"/>
      <c r="AK171" s="8"/>
      <c r="AL171" s="8"/>
      <c r="AM171" s="8"/>
      <c r="AN171" s="8"/>
      <c r="AO171" s="8"/>
      <c r="AP171" s="8"/>
      <c r="AQ171" s="8"/>
      <c r="AV171"/>
    </row>
    <row r="172" spans="2:48" ht="15.95" hidden="1" customHeight="1">
      <c r="B172" s="929">
        <v>79</v>
      </c>
      <c r="C172" s="8"/>
      <c r="D172" s="8"/>
      <c r="E172" s="8"/>
      <c r="F172" s="8"/>
      <c r="G172" s="8"/>
      <c r="H172" s="8"/>
      <c r="I172" s="8"/>
      <c r="J172" s="8"/>
      <c r="K172" s="8"/>
      <c r="L172" s="8"/>
      <c r="M172" s="8"/>
      <c r="N172" s="8"/>
      <c r="O172" s="8"/>
      <c r="P172" s="8"/>
      <c r="Q172" s="8"/>
      <c r="R172" s="8"/>
      <c r="S172" s="8"/>
      <c r="T172" s="8"/>
      <c r="U172" s="8"/>
      <c r="V172" s="8"/>
      <c r="W172" s="8"/>
      <c r="X172" s="8"/>
      <c r="Y172" s="8"/>
      <c r="Z172" s="8"/>
      <c r="AA172" s="8"/>
      <c r="AB172" s="8"/>
      <c r="AC172" s="8"/>
      <c r="AD172" s="8"/>
      <c r="AE172" s="8"/>
      <c r="AF172" s="8"/>
      <c r="AG172" s="8"/>
      <c r="AH172" s="8"/>
      <c r="AI172" s="8"/>
      <c r="AJ172" s="8"/>
      <c r="AK172" s="8"/>
      <c r="AL172" s="8"/>
      <c r="AM172" s="8"/>
      <c r="AN172" s="8"/>
      <c r="AO172" s="8"/>
      <c r="AP172" s="8"/>
      <c r="AQ172" s="8"/>
      <c r="AV172"/>
    </row>
    <row r="173" spans="2:48" ht="15.95" hidden="1" customHeight="1">
      <c r="B173" s="929"/>
      <c r="C173" s="8"/>
      <c r="D173" s="8"/>
      <c r="E173" s="8"/>
      <c r="F173" s="8"/>
      <c r="G173" s="8"/>
      <c r="H173" s="8"/>
      <c r="I173" s="8"/>
      <c r="J173" s="8"/>
      <c r="K173" s="8"/>
      <c r="L173" s="8"/>
      <c r="M173" s="8"/>
      <c r="N173" s="8"/>
      <c r="O173" s="8"/>
      <c r="P173" s="8"/>
      <c r="Q173" s="8"/>
      <c r="R173" s="8"/>
      <c r="S173" s="8"/>
      <c r="T173" s="8"/>
      <c r="U173" s="8"/>
      <c r="V173" s="8"/>
      <c r="W173" s="8"/>
      <c r="X173" s="8"/>
      <c r="Y173" s="8"/>
      <c r="Z173" s="8"/>
      <c r="AA173" s="8"/>
      <c r="AB173" s="8"/>
      <c r="AC173" s="8"/>
      <c r="AD173" s="8"/>
      <c r="AE173" s="8"/>
      <c r="AF173" s="8"/>
      <c r="AG173" s="8"/>
      <c r="AH173" s="8"/>
      <c r="AI173" s="8"/>
      <c r="AJ173" s="8"/>
      <c r="AK173" s="8"/>
      <c r="AL173" s="8"/>
      <c r="AM173" s="8"/>
      <c r="AN173" s="8"/>
      <c r="AO173" s="8"/>
      <c r="AP173" s="8"/>
      <c r="AQ173" s="8"/>
      <c r="AV173"/>
    </row>
    <row r="174" spans="2:48" ht="15.95" hidden="1" customHeight="1">
      <c r="B174" s="929">
        <v>80</v>
      </c>
      <c r="C174" s="8"/>
      <c r="D174" s="8"/>
      <c r="E174" s="8"/>
      <c r="F174" s="8"/>
      <c r="G174" s="8"/>
      <c r="H174" s="8"/>
      <c r="I174" s="8"/>
      <c r="J174" s="8"/>
      <c r="K174" s="8"/>
      <c r="L174" s="8"/>
      <c r="M174" s="8"/>
      <c r="N174" s="8"/>
      <c r="O174" s="8"/>
      <c r="P174" s="8"/>
      <c r="Q174" s="8"/>
      <c r="R174" s="8"/>
      <c r="S174" s="8"/>
      <c r="T174" s="8"/>
      <c r="U174" s="8"/>
      <c r="V174" s="8"/>
      <c r="W174" s="8"/>
      <c r="X174" s="8"/>
      <c r="Y174" s="8"/>
      <c r="Z174" s="8"/>
      <c r="AA174" s="8"/>
      <c r="AB174" s="8"/>
      <c r="AC174" s="8"/>
      <c r="AD174" s="8"/>
      <c r="AE174" s="8"/>
      <c r="AF174" s="8"/>
      <c r="AG174" s="8"/>
      <c r="AH174" s="8"/>
      <c r="AI174" s="8"/>
      <c r="AJ174" s="8"/>
      <c r="AK174" s="8"/>
      <c r="AL174" s="8"/>
      <c r="AM174" s="8"/>
      <c r="AN174" s="8"/>
      <c r="AO174" s="8"/>
      <c r="AP174" s="8"/>
      <c r="AQ174" s="8"/>
      <c r="AV174"/>
    </row>
    <row r="175" spans="2:48" ht="15.95" hidden="1" customHeight="1">
      <c r="B175" s="929"/>
      <c r="C175" s="8"/>
      <c r="D175" s="8"/>
      <c r="E175" s="8"/>
      <c r="F175" s="8"/>
      <c r="G175" s="8"/>
      <c r="H175" s="8"/>
      <c r="I175" s="8"/>
      <c r="J175" s="8"/>
      <c r="K175" s="8"/>
      <c r="L175" s="8"/>
      <c r="M175" s="8"/>
      <c r="N175" s="8"/>
      <c r="O175" s="8"/>
      <c r="P175" s="8"/>
      <c r="Q175" s="8"/>
      <c r="R175" s="8"/>
      <c r="S175" s="8"/>
      <c r="T175" s="8"/>
      <c r="U175" s="8"/>
      <c r="V175" s="8"/>
      <c r="W175" s="8"/>
      <c r="X175" s="8"/>
      <c r="Y175" s="8"/>
      <c r="Z175" s="8"/>
      <c r="AA175" s="8"/>
      <c r="AB175" s="8"/>
      <c r="AC175" s="8"/>
      <c r="AD175" s="8"/>
      <c r="AE175" s="8"/>
      <c r="AF175" s="8"/>
      <c r="AG175" s="8"/>
      <c r="AH175" s="8"/>
      <c r="AI175" s="8"/>
      <c r="AJ175" s="8"/>
      <c r="AK175" s="8"/>
      <c r="AL175" s="8"/>
      <c r="AM175" s="8"/>
      <c r="AN175" s="8"/>
      <c r="AO175" s="8"/>
      <c r="AP175" s="8"/>
      <c r="AQ175" s="8"/>
      <c r="AV175"/>
    </row>
    <row r="176" spans="2:48" ht="15.95" hidden="1" customHeight="1">
      <c r="B176" s="929">
        <v>81</v>
      </c>
      <c r="C176" s="8"/>
      <c r="D176" s="8"/>
      <c r="E176" s="8"/>
      <c r="F176" s="8"/>
      <c r="G176" s="8"/>
      <c r="H176" s="8"/>
      <c r="I176" s="8"/>
      <c r="J176" s="8"/>
      <c r="K176" s="8"/>
      <c r="L176" s="8"/>
      <c r="M176" s="8"/>
      <c r="N176" s="8"/>
      <c r="O176" s="8"/>
      <c r="P176" s="8"/>
      <c r="Q176" s="8"/>
      <c r="R176" s="8"/>
      <c r="S176" s="8"/>
      <c r="T176" s="8"/>
      <c r="U176" s="8"/>
      <c r="V176" s="8"/>
      <c r="W176" s="8"/>
      <c r="X176" s="8"/>
      <c r="Y176" s="8"/>
      <c r="Z176" s="8"/>
      <c r="AA176" s="8"/>
      <c r="AB176" s="8"/>
      <c r="AC176" s="8"/>
      <c r="AD176" s="8"/>
      <c r="AE176" s="8"/>
      <c r="AF176" s="8"/>
      <c r="AG176" s="8"/>
      <c r="AH176" s="8"/>
      <c r="AI176" s="8"/>
      <c r="AJ176" s="8"/>
      <c r="AK176" s="8"/>
      <c r="AL176" s="8"/>
      <c r="AM176" s="8"/>
      <c r="AN176" s="8"/>
      <c r="AO176" s="8"/>
      <c r="AP176" s="8"/>
      <c r="AQ176" s="8"/>
      <c r="AV176"/>
    </row>
    <row r="177" spans="2:48" ht="15.95" hidden="1" customHeight="1">
      <c r="B177" s="929"/>
      <c r="C177" s="8"/>
      <c r="D177" s="8"/>
      <c r="E177" s="8"/>
      <c r="F177" s="8"/>
      <c r="G177" s="8"/>
      <c r="H177" s="8"/>
      <c r="I177" s="8"/>
      <c r="J177" s="8"/>
      <c r="K177" s="8"/>
      <c r="L177" s="8"/>
      <c r="M177" s="8"/>
      <c r="N177" s="8"/>
      <c r="O177" s="8"/>
      <c r="P177" s="8"/>
      <c r="Q177" s="8"/>
      <c r="R177" s="8"/>
      <c r="S177" s="8"/>
      <c r="T177" s="8"/>
      <c r="U177" s="8"/>
      <c r="V177" s="8"/>
      <c r="W177" s="8"/>
      <c r="X177" s="8"/>
      <c r="Y177" s="8"/>
      <c r="Z177" s="8"/>
      <c r="AA177" s="8"/>
      <c r="AB177" s="8"/>
      <c r="AC177" s="8"/>
      <c r="AD177" s="8"/>
      <c r="AE177" s="8"/>
      <c r="AF177" s="8"/>
      <c r="AG177" s="8"/>
      <c r="AH177" s="8"/>
      <c r="AI177" s="8"/>
      <c r="AJ177" s="8"/>
      <c r="AK177" s="8"/>
      <c r="AL177" s="8"/>
      <c r="AM177" s="8"/>
      <c r="AN177" s="8"/>
      <c r="AO177" s="8"/>
      <c r="AP177" s="8"/>
      <c r="AQ177" s="8"/>
      <c r="AV177"/>
    </row>
    <row r="178" spans="2:48" ht="15.95" hidden="1" customHeight="1">
      <c r="B178" s="929">
        <v>82</v>
      </c>
      <c r="C178" s="8"/>
      <c r="D178" s="8"/>
      <c r="E178" s="8"/>
      <c r="F178" s="8"/>
      <c r="G178" s="8"/>
      <c r="H178" s="8"/>
      <c r="I178" s="8"/>
      <c r="J178" s="8"/>
      <c r="K178" s="8"/>
      <c r="L178" s="8"/>
      <c r="M178" s="8"/>
      <c r="N178" s="8"/>
      <c r="O178" s="8"/>
      <c r="P178" s="8"/>
      <c r="Q178" s="8"/>
      <c r="R178" s="8"/>
      <c r="S178" s="8"/>
      <c r="T178" s="8"/>
      <c r="U178" s="8"/>
      <c r="V178" s="8"/>
      <c r="W178" s="8"/>
      <c r="X178" s="8"/>
      <c r="Y178" s="8"/>
      <c r="Z178" s="8"/>
      <c r="AA178" s="8"/>
      <c r="AB178" s="8"/>
      <c r="AC178" s="8"/>
      <c r="AD178" s="8"/>
      <c r="AE178" s="8"/>
      <c r="AF178" s="8"/>
      <c r="AG178" s="8"/>
      <c r="AH178" s="8"/>
      <c r="AI178" s="8"/>
      <c r="AJ178" s="8"/>
      <c r="AK178" s="8"/>
      <c r="AL178" s="8"/>
      <c r="AM178" s="8"/>
      <c r="AN178" s="8"/>
      <c r="AO178" s="8"/>
      <c r="AP178" s="8"/>
      <c r="AQ178" s="8"/>
      <c r="AV178"/>
    </row>
    <row r="179" spans="2:48" ht="15.95" hidden="1" customHeight="1">
      <c r="B179" s="929"/>
      <c r="C179" s="8"/>
      <c r="D179" s="8"/>
      <c r="E179" s="8"/>
      <c r="F179" s="8"/>
      <c r="G179" s="8"/>
      <c r="H179" s="8"/>
      <c r="I179" s="8"/>
      <c r="J179" s="8"/>
      <c r="K179" s="8"/>
      <c r="L179" s="8"/>
      <c r="M179" s="8"/>
      <c r="N179" s="8"/>
      <c r="O179" s="8"/>
      <c r="P179" s="8"/>
      <c r="Q179" s="8"/>
      <c r="R179" s="8"/>
      <c r="S179" s="8"/>
      <c r="T179" s="8"/>
      <c r="U179" s="8"/>
      <c r="V179" s="8"/>
      <c r="W179" s="8"/>
      <c r="X179" s="8"/>
      <c r="Y179" s="8"/>
      <c r="Z179" s="8"/>
      <c r="AA179" s="8"/>
      <c r="AB179" s="8"/>
      <c r="AC179" s="8"/>
      <c r="AD179" s="8"/>
      <c r="AE179" s="8"/>
      <c r="AF179" s="8"/>
      <c r="AG179" s="8"/>
      <c r="AH179" s="8"/>
      <c r="AI179" s="8"/>
      <c r="AJ179" s="8"/>
      <c r="AK179" s="8"/>
      <c r="AL179" s="8"/>
      <c r="AM179" s="8"/>
      <c r="AN179" s="8"/>
      <c r="AO179" s="8"/>
      <c r="AP179" s="8"/>
      <c r="AQ179" s="8"/>
      <c r="AV179"/>
    </row>
    <row r="180" spans="2:48" ht="15.95" hidden="1" customHeight="1">
      <c r="B180" s="929">
        <v>83</v>
      </c>
      <c r="C180" s="8"/>
      <c r="D180" s="8"/>
      <c r="E180" s="8"/>
      <c r="F180" s="8"/>
      <c r="G180" s="8"/>
      <c r="H180" s="8"/>
      <c r="I180" s="8"/>
      <c r="J180" s="8"/>
      <c r="K180" s="8"/>
      <c r="L180" s="8"/>
      <c r="M180" s="8"/>
      <c r="N180" s="8"/>
      <c r="O180" s="8"/>
      <c r="P180" s="8"/>
      <c r="Q180" s="8"/>
      <c r="R180" s="8"/>
      <c r="S180" s="8"/>
      <c r="T180" s="8"/>
      <c r="U180" s="8"/>
      <c r="V180" s="8"/>
      <c r="W180" s="8"/>
      <c r="X180" s="8"/>
      <c r="Y180" s="8"/>
      <c r="Z180" s="8"/>
      <c r="AA180" s="8"/>
      <c r="AB180" s="8"/>
      <c r="AC180" s="8"/>
      <c r="AD180" s="8"/>
      <c r="AE180" s="8"/>
      <c r="AF180" s="8"/>
      <c r="AG180" s="8"/>
      <c r="AH180" s="8"/>
      <c r="AI180" s="8"/>
      <c r="AJ180" s="8"/>
      <c r="AK180" s="8"/>
      <c r="AL180" s="8"/>
      <c r="AM180" s="8"/>
      <c r="AN180" s="8"/>
      <c r="AO180" s="8"/>
      <c r="AP180" s="8"/>
      <c r="AQ180" s="8"/>
      <c r="AV180"/>
    </row>
    <row r="181" spans="2:48" ht="15.95" hidden="1" customHeight="1">
      <c r="B181" s="929"/>
      <c r="C181" s="8"/>
      <c r="D181" s="8"/>
      <c r="E181" s="8"/>
      <c r="F181" s="8"/>
      <c r="G181" s="8"/>
      <c r="H181" s="8"/>
      <c r="I181" s="8"/>
      <c r="J181" s="8"/>
      <c r="K181" s="8"/>
      <c r="L181" s="8"/>
      <c r="M181" s="8"/>
      <c r="N181" s="8"/>
      <c r="O181" s="8"/>
      <c r="P181" s="8"/>
      <c r="Q181" s="8"/>
      <c r="R181" s="8"/>
      <c r="S181" s="8"/>
      <c r="T181" s="8"/>
      <c r="U181" s="8"/>
      <c r="V181" s="8"/>
      <c r="W181" s="8"/>
      <c r="X181" s="8"/>
      <c r="Y181" s="8"/>
      <c r="Z181" s="8"/>
      <c r="AA181" s="8"/>
      <c r="AB181" s="8"/>
      <c r="AC181" s="8"/>
      <c r="AD181" s="8"/>
      <c r="AE181" s="8"/>
      <c r="AF181" s="8"/>
      <c r="AG181" s="8"/>
      <c r="AH181" s="8"/>
      <c r="AI181" s="8"/>
      <c r="AJ181" s="8"/>
      <c r="AK181" s="8"/>
      <c r="AL181" s="8"/>
      <c r="AM181" s="8"/>
      <c r="AN181" s="8"/>
      <c r="AO181" s="8"/>
      <c r="AP181" s="8"/>
      <c r="AQ181" s="8"/>
      <c r="AV181"/>
    </row>
    <row r="182" spans="2:48" ht="15.95" hidden="1" customHeight="1">
      <c r="B182" s="929">
        <v>84</v>
      </c>
      <c r="C182" s="8"/>
      <c r="D182" s="8"/>
      <c r="E182" s="8"/>
      <c r="F182" s="8"/>
      <c r="G182" s="8"/>
      <c r="H182" s="8"/>
      <c r="I182" s="8"/>
      <c r="J182" s="8"/>
      <c r="K182" s="8"/>
      <c r="L182" s="8"/>
      <c r="M182" s="8"/>
      <c r="N182" s="8"/>
      <c r="O182" s="8"/>
      <c r="P182" s="8"/>
      <c r="Q182" s="8"/>
      <c r="R182" s="8"/>
      <c r="S182" s="8"/>
      <c r="T182" s="8"/>
      <c r="U182" s="8"/>
      <c r="V182" s="8"/>
      <c r="W182" s="8"/>
      <c r="X182" s="8"/>
      <c r="Y182" s="8"/>
      <c r="Z182" s="8"/>
      <c r="AA182" s="8"/>
      <c r="AB182" s="8"/>
      <c r="AC182" s="8"/>
      <c r="AD182" s="8"/>
      <c r="AE182" s="8"/>
      <c r="AF182" s="8"/>
      <c r="AG182" s="8"/>
      <c r="AH182" s="8"/>
      <c r="AI182" s="8"/>
      <c r="AJ182" s="8"/>
      <c r="AK182" s="8"/>
      <c r="AL182" s="8"/>
      <c r="AM182" s="8"/>
      <c r="AN182" s="8"/>
      <c r="AO182" s="8"/>
      <c r="AP182" s="8"/>
      <c r="AQ182" s="8"/>
      <c r="AV182"/>
    </row>
    <row r="183" spans="2:48" ht="15.95" hidden="1" customHeight="1">
      <c r="B183" s="929"/>
      <c r="C183" s="8"/>
      <c r="D183" s="8"/>
      <c r="E183" s="8"/>
      <c r="F183" s="8"/>
      <c r="G183" s="8"/>
      <c r="H183" s="8"/>
      <c r="I183" s="8"/>
      <c r="J183" s="8"/>
      <c r="K183" s="8"/>
      <c r="L183" s="8"/>
      <c r="M183" s="8"/>
      <c r="N183" s="8"/>
      <c r="O183" s="8"/>
      <c r="P183" s="8"/>
      <c r="Q183" s="8"/>
      <c r="R183" s="8"/>
      <c r="S183" s="8"/>
      <c r="T183" s="8"/>
      <c r="U183" s="8"/>
      <c r="V183" s="8"/>
      <c r="W183" s="8"/>
      <c r="X183" s="8"/>
      <c r="Y183" s="8"/>
      <c r="Z183" s="8"/>
      <c r="AA183" s="8"/>
      <c r="AB183" s="8"/>
      <c r="AC183" s="8"/>
      <c r="AD183" s="8"/>
      <c r="AE183" s="8"/>
      <c r="AF183" s="8"/>
      <c r="AG183" s="8"/>
      <c r="AH183" s="8"/>
      <c r="AI183" s="8"/>
      <c r="AJ183" s="8"/>
      <c r="AK183" s="8"/>
      <c r="AL183" s="8"/>
      <c r="AM183" s="8"/>
      <c r="AN183" s="8"/>
      <c r="AO183" s="8"/>
      <c r="AP183" s="8"/>
      <c r="AQ183" s="8"/>
      <c r="AV183"/>
    </row>
    <row r="184" spans="2:48" ht="15.95" hidden="1" customHeight="1">
      <c r="B184" s="929">
        <v>85</v>
      </c>
      <c r="C184" s="8"/>
      <c r="D184" s="8"/>
      <c r="E184" s="8"/>
      <c r="F184" s="8"/>
      <c r="G184" s="8"/>
      <c r="H184" s="8"/>
      <c r="I184" s="8"/>
      <c r="J184" s="8"/>
      <c r="K184" s="8"/>
      <c r="L184" s="8"/>
      <c r="M184" s="8"/>
      <c r="N184" s="8"/>
      <c r="O184" s="8"/>
      <c r="P184" s="8"/>
      <c r="Q184" s="8"/>
      <c r="R184" s="8"/>
      <c r="S184" s="8"/>
      <c r="T184" s="8"/>
      <c r="U184" s="8"/>
      <c r="V184" s="8"/>
      <c r="W184" s="8"/>
      <c r="X184" s="8"/>
      <c r="Y184" s="8"/>
      <c r="Z184" s="8"/>
      <c r="AA184" s="8"/>
      <c r="AB184" s="8"/>
      <c r="AC184" s="8"/>
      <c r="AD184" s="8"/>
      <c r="AE184" s="8"/>
      <c r="AF184" s="8"/>
      <c r="AG184" s="8"/>
      <c r="AH184" s="8"/>
      <c r="AI184" s="8"/>
      <c r="AJ184" s="8"/>
      <c r="AK184" s="8"/>
      <c r="AL184" s="8"/>
      <c r="AM184" s="8"/>
      <c r="AN184" s="8"/>
      <c r="AO184" s="8"/>
      <c r="AP184" s="8"/>
      <c r="AQ184" s="8"/>
      <c r="AV184"/>
    </row>
    <row r="185" spans="2:48" ht="15.95" hidden="1" customHeight="1">
      <c r="B185" s="929"/>
      <c r="C185" s="8"/>
      <c r="D185" s="8"/>
      <c r="E185" s="8"/>
      <c r="F185" s="8"/>
      <c r="G185" s="8"/>
      <c r="H185" s="8"/>
      <c r="I185" s="8"/>
      <c r="J185" s="8"/>
      <c r="K185" s="8"/>
      <c r="L185" s="8"/>
      <c r="M185" s="8"/>
      <c r="N185" s="8"/>
      <c r="O185" s="8"/>
      <c r="P185" s="8"/>
      <c r="Q185" s="8"/>
      <c r="R185" s="8"/>
      <c r="S185" s="8"/>
      <c r="T185" s="8"/>
      <c r="U185" s="8"/>
      <c r="V185" s="8"/>
      <c r="W185" s="8"/>
      <c r="X185" s="8"/>
      <c r="Y185" s="8"/>
      <c r="Z185" s="8"/>
      <c r="AA185" s="8"/>
      <c r="AB185" s="8"/>
      <c r="AC185" s="8"/>
      <c r="AD185" s="8"/>
      <c r="AE185" s="8"/>
      <c r="AF185" s="8"/>
      <c r="AG185" s="8"/>
      <c r="AH185" s="8"/>
      <c r="AI185" s="8"/>
      <c r="AJ185" s="8"/>
      <c r="AK185" s="8"/>
      <c r="AL185" s="8"/>
      <c r="AM185" s="8"/>
      <c r="AN185" s="8"/>
      <c r="AO185" s="8"/>
      <c r="AP185" s="8"/>
      <c r="AQ185" s="8"/>
      <c r="AV185"/>
    </row>
    <row r="186" spans="2:48" ht="15.95" hidden="1" customHeight="1">
      <c r="B186" s="929">
        <v>86</v>
      </c>
      <c r="C186" s="8"/>
      <c r="D186" s="8"/>
      <c r="E186" s="8"/>
      <c r="F186" s="8"/>
      <c r="G186" s="8"/>
      <c r="H186" s="8"/>
      <c r="I186" s="8"/>
      <c r="J186" s="8"/>
      <c r="K186" s="8"/>
      <c r="L186" s="8"/>
      <c r="M186" s="8"/>
      <c r="N186" s="8"/>
      <c r="O186" s="8"/>
      <c r="P186" s="8"/>
      <c r="Q186" s="8"/>
      <c r="R186" s="8"/>
      <c r="S186" s="8"/>
      <c r="T186" s="8"/>
      <c r="U186" s="8"/>
      <c r="V186" s="8"/>
      <c r="W186" s="8"/>
      <c r="X186" s="8"/>
      <c r="Y186" s="8"/>
      <c r="Z186" s="8"/>
      <c r="AA186" s="8"/>
      <c r="AB186" s="8"/>
      <c r="AC186" s="8"/>
      <c r="AD186" s="8"/>
      <c r="AE186" s="8"/>
      <c r="AF186" s="8"/>
      <c r="AG186" s="8"/>
      <c r="AH186" s="8"/>
      <c r="AI186" s="8"/>
      <c r="AJ186" s="8"/>
      <c r="AK186" s="8"/>
      <c r="AL186" s="8"/>
      <c r="AM186" s="8"/>
      <c r="AN186" s="8"/>
      <c r="AO186" s="8"/>
      <c r="AP186" s="8"/>
      <c r="AQ186" s="8"/>
      <c r="AV186"/>
    </row>
    <row r="187" spans="2:48" ht="15.95" hidden="1" customHeight="1">
      <c r="B187" s="929"/>
      <c r="C187" s="8"/>
      <c r="D187" s="8"/>
      <c r="E187" s="8"/>
      <c r="F187" s="8"/>
      <c r="G187" s="8"/>
      <c r="H187" s="8"/>
      <c r="I187" s="8"/>
      <c r="J187" s="8"/>
      <c r="K187" s="8"/>
      <c r="L187" s="8"/>
      <c r="M187" s="8"/>
      <c r="N187" s="8"/>
      <c r="O187" s="8"/>
      <c r="P187" s="8"/>
      <c r="Q187" s="8"/>
      <c r="R187" s="8"/>
      <c r="S187" s="8"/>
      <c r="T187" s="8"/>
      <c r="U187" s="8"/>
      <c r="V187" s="8"/>
      <c r="W187" s="8"/>
      <c r="X187" s="8"/>
      <c r="Y187" s="8"/>
      <c r="Z187" s="8"/>
      <c r="AA187" s="8"/>
      <c r="AB187" s="8"/>
      <c r="AC187" s="8"/>
      <c r="AD187" s="8"/>
      <c r="AE187" s="8"/>
      <c r="AF187" s="8"/>
      <c r="AG187" s="8"/>
      <c r="AH187" s="8"/>
      <c r="AI187" s="8"/>
      <c r="AJ187" s="8"/>
      <c r="AK187" s="8"/>
      <c r="AL187" s="8"/>
      <c r="AM187" s="8"/>
      <c r="AN187" s="8"/>
      <c r="AO187" s="8"/>
      <c r="AP187" s="8"/>
      <c r="AQ187" s="8"/>
      <c r="AV187"/>
    </row>
    <row r="188" spans="2:48" ht="15.95" hidden="1" customHeight="1">
      <c r="B188" s="929">
        <v>87</v>
      </c>
      <c r="C188" s="8"/>
      <c r="D188" s="8"/>
      <c r="E188" s="8"/>
      <c r="F188" s="8"/>
      <c r="G188" s="8"/>
      <c r="H188" s="8"/>
      <c r="I188" s="8"/>
      <c r="J188" s="8"/>
      <c r="K188" s="8"/>
      <c r="L188" s="8"/>
      <c r="M188" s="8"/>
      <c r="N188" s="8"/>
      <c r="O188" s="8"/>
      <c r="P188" s="8"/>
      <c r="Q188" s="8"/>
      <c r="R188" s="8"/>
      <c r="S188" s="8"/>
      <c r="T188" s="8"/>
      <c r="U188" s="8"/>
      <c r="V188" s="8"/>
      <c r="W188" s="8"/>
      <c r="X188" s="8"/>
      <c r="Y188" s="8"/>
      <c r="Z188" s="8"/>
      <c r="AA188" s="8"/>
      <c r="AB188" s="8"/>
      <c r="AC188" s="8"/>
      <c r="AD188" s="8"/>
      <c r="AE188" s="8"/>
      <c r="AF188" s="8"/>
      <c r="AG188" s="8"/>
      <c r="AH188" s="8"/>
      <c r="AI188" s="8"/>
      <c r="AJ188" s="8"/>
      <c r="AK188" s="8"/>
      <c r="AL188" s="8"/>
      <c r="AM188" s="8"/>
      <c r="AN188" s="8"/>
      <c r="AO188" s="8"/>
      <c r="AP188" s="8"/>
      <c r="AQ188" s="8"/>
      <c r="AV188"/>
    </row>
    <row r="189" spans="2:48" ht="15.95" hidden="1" customHeight="1">
      <c r="B189" s="929"/>
      <c r="C189" s="8"/>
      <c r="D189" s="8"/>
      <c r="E189" s="8"/>
      <c r="F189" s="8"/>
      <c r="G189" s="8"/>
      <c r="H189" s="8"/>
      <c r="I189" s="8"/>
      <c r="J189" s="8"/>
      <c r="K189" s="8"/>
      <c r="L189" s="8"/>
      <c r="M189" s="8"/>
      <c r="N189" s="8"/>
      <c r="O189" s="8"/>
      <c r="P189" s="8"/>
      <c r="Q189" s="8"/>
      <c r="R189" s="8"/>
      <c r="S189" s="8"/>
      <c r="T189" s="8"/>
      <c r="U189" s="8"/>
      <c r="V189" s="8"/>
      <c r="W189" s="8"/>
      <c r="X189" s="8"/>
      <c r="Y189" s="8"/>
      <c r="Z189" s="8"/>
      <c r="AA189" s="8"/>
      <c r="AB189" s="8"/>
      <c r="AC189" s="8"/>
      <c r="AD189" s="8"/>
      <c r="AE189" s="8"/>
      <c r="AF189" s="8"/>
      <c r="AG189" s="8"/>
      <c r="AH189" s="8"/>
      <c r="AI189" s="8"/>
      <c r="AJ189" s="8"/>
      <c r="AK189" s="8"/>
      <c r="AL189" s="8"/>
      <c r="AM189" s="8"/>
      <c r="AN189" s="8"/>
      <c r="AO189" s="8"/>
      <c r="AP189" s="8"/>
      <c r="AQ189" s="8"/>
      <c r="AV189"/>
    </row>
    <row r="190" spans="2:48" ht="15.95" hidden="1" customHeight="1">
      <c r="B190" s="929">
        <v>88</v>
      </c>
      <c r="C190" s="8"/>
      <c r="D190" s="8"/>
      <c r="E190" s="8"/>
      <c r="F190" s="8"/>
      <c r="G190" s="8"/>
      <c r="H190" s="8"/>
      <c r="I190" s="8"/>
      <c r="J190" s="8"/>
      <c r="K190" s="8"/>
      <c r="L190" s="8"/>
      <c r="M190" s="8"/>
      <c r="N190" s="8"/>
      <c r="O190" s="8"/>
      <c r="P190" s="8"/>
      <c r="Q190" s="8"/>
      <c r="R190" s="8"/>
      <c r="S190" s="8"/>
      <c r="T190" s="8"/>
      <c r="U190" s="8"/>
      <c r="V190" s="8"/>
      <c r="W190" s="8"/>
      <c r="X190" s="8"/>
      <c r="Y190" s="8"/>
      <c r="Z190" s="8"/>
      <c r="AA190" s="8"/>
      <c r="AB190" s="8"/>
      <c r="AC190" s="8"/>
      <c r="AD190" s="8"/>
      <c r="AE190" s="8"/>
      <c r="AF190" s="8"/>
      <c r="AG190" s="8"/>
      <c r="AH190" s="8"/>
      <c r="AI190" s="8"/>
      <c r="AJ190" s="8"/>
      <c r="AK190" s="8"/>
      <c r="AL190" s="8"/>
      <c r="AM190" s="8"/>
      <c r="AN190" s="8"/>
      <c r="AO190" s="8"/>
      <c r="AP190" s="8"/>
      <c r="AQ190" s="8"/>
      <c r="AV190"/>
    </row>
    <row r="191" spans="2:48" ht="15.95" hidden="1" customHeight="1">
      <c r="B191" s="929"/>
      <c r="C191" s="8"/>
      <c r="D191" s="8"/>
      <c r="E191" s="8"/>
      <c r="F191" s="8"/>
      <c r="G191" s="8"/>
      <c r="H191" s="8"/>
      <c r="I191" s="8"/>
      <c r="J191" s="8"/>
      <c r="K191" s="8"/>
      <c r="L191" s="8"/>
      <c r="M191" s="8"/>
      <c r="N191" s="8"/>
      <c r="O191" s="8"/>
      <c r="P191" s="8"/>
      <c r="Q191" s="8"/>
      <c r="R191" s="8"/>
      <c r="S191" s="8"/>
      <c r="T191" s="8"/>
      <c r="U191" s="8"/>
      <c r="V191" s="8"/>
      <c r="W191" s="8"/>
      <c r="X191" s="8"/>
      <c r="Y191" s="8"/>
      <c r="Z191" s="8"/>
      <c r="AA191" s="8"/>
      <c r="AB191" s="8"/>
      <c r="AC191" s="8"/>
      <c r="AD191" s="8"/>
      <c r="AE191" s="8"/>
      <c r="AF191" s="8"/>
      <c r="AG191" s="8"/>
      <c r="AH191" s="8"/>
      <c r="AI191" s="8"/>
      <c r="AJ191" s="8"/>
      <c r="AK191" s="8"/>
      <c r="AL191" s="8"/>
      <c r="AM191" s="8"/>
      <c r="AN191" s="8"/>
      <c r="AO191" s="8"/>
      <c r="AP191" s="8"/>
      <c r="AQ191" s="8"/>
      <c r="AV191"/>
    </row>
    <row r="192" spans="2:48" ht="15.95" hidden="1" customHeight="1">
      <c r="B192" s="929">
        <v>89</v>
      </c>
      <c r="C192" s="8"/>
      <c r="D192" s="8"/>
      <c r="E192" s="8"/>
      <c r="F192" s="8"/>
      <c r="G192" s="8"/>
      <c r="H192" s="8"/>
      <c r="I192" s="8"/>
      <c r="J192" s="8"/>
      <c r="K192" s="8"/>
      <c r="L192" s="8"/>
      <c r="M192" s="8"/>
      <c r="N192" s="8"/>
      <c r="O192" s="8"/>
      <c r="P192" s="8"/>
      <c r="Q192" s="8"/>
      <c r="R192" s="8"/>
      <c r="S192" s="8"/>
      <c r="T192" s="8"/>
      <c r="U192" s="8"/>
      <c r="V192" s="8"/>
      <c r="W192" s="8"/>
      <c r="X192" s="8"/>
      <c r="Y192" s="8"/>
      <c r="Z192" s="8"/>
      <c r="AA192" s="8"/>
      <c r="AB192" s="8"/>
      <c r="AC192" s="8"/>
      <c r="AD192" s="8"/>
      <c r="AE192" s="8"/>
      <c r="AF192" s="8"/>
      <c r="AG192" s="8"/>
      <c r="AH192" s="8"/>
      <c r="AI192" s="8"/>
      <c r="AJ192" s="8"/>
      <c r="AK192" s="8"/>
      <c r="AL192" s="8"/>
      <c r="AM192" s="8"/>
      <c r="AN192" s="8"/>
      <c r="AO192" s="8"/>
      <c r="AP192" s="8"/>
      <c r="AQ192" s="8"/>
      <c r="AV192"/>
    </row>
    <row r="193" spans="2:48" ht="15.95" hidden="1" customHeight="1">
      <c r="B193" s="929"/>
      <c r="C193" s="8"/>
      <c r="D193" s="8"/>
      <c r="E193" s="8"/>
      <c r="F193" s="8"/>
      <c r="G193" s="8"/>
      <c r="H193" s="8"/>
      <c r="I193" s="8"/>
      <c r="J193" s="8"/>
      <c r="K193" s="8"/>
      <c r="L193" s="8"/>
      <c r="M193" s="8"/>
      <c r="N193" s="8"/>
      <c r="O193" s="8"/>
      <c r="P193" s="8"/>
      <c r="Q193" s="8"/>
      <c r="R193" s="8"/>
      <c r="S193" s="8"/>
      <c r="T193" s="8"/>
      <c r="U193" s="8"/>
      <c r="V193" s="8"/>
      <c r="W193" s="8"/>
      <c r="X193" s="8"/>
      <c r="Y193" s="8"/>
      <c r="Z193" s="8"/>
      <c r="AA193" s="8"/>
      <c r="AB193" s="8"/>
      <c r="AC193" s="8"/>
      <c r="AD193" s="8"/>
      <c r="AE193" s="8"/>
      <c r="AF193" s="8"/>
      <c r="AG193" s="8"/>
      <c r="AH193" s="8"/>
      <c r="AI193" s="8"/>
      <c r="AJ193" s="8"/>
      <c r="AK193" s="8"/>
      <c r="AL193" s="8"/>
      <c r="AM193" s="8"/>
      <c r="AN193" s="8"/>
      <c r="AO193" s="8"/>
      <c r="AP193" s="8"/>
      <c r="AQ193" s="8"/>
      <c r="AV193"/>
    </row>
    <row r="194" spans="2:48" ht="15.95" hidden="1" customHeight="1">
      <c r="B194" s="929">
        <v>90</v>
      </c>
      <c r="C194" s="8"/>
      <c r="D194" s="8"/>
      <c r="E194" s="8"/>
      <c r="F194" s="8"/>
      <c r="G194" s="8"/>
      <c r="H194" s="8"/>
      <c r="I194" s="8"/>
      <c r="J194" s="8"/>
      <c r="K194" s="8"/>
      <c r="L194" s="8"/>
      <c r="M194" s="8"/>
      <c r="N194" s="8"/>
      <c r="O194" s="8"/>
      <c r="P194" s="8"/>
      <c r="Q194" s="8"/>
      <c r="R194" s="8"/>
      <c r="S194" s="8"/>
      <c r="T194" s="8"/>
      <c r="U194" s="8"/>
      <c r="V194" s="8"/>
      <c r="W194" s="8"/>
      <c r="X194" s="8"/>
      <c r="Y194" s="8"/>
      <c r="Z194" s="8"/>
      <c r="AA194" s="8"/>
      <c r="AB194" s="8"/>
      <c r="AC194" s="8"/>
      <c r="AD194" s="8"/>
      <c r="AE194" s="8"/>
      <c r="AF194" s="8"/>
      <c r="AG194" s="8"/>
      <c r="AH194" s="8"/>
      <c r="AI194" s="8"/>
      <c r="AJ194" s="8"/>
      <c r="AK194" s="8"/>
      <c r="AL194" s="8"/>
      <c r="AM194" s="8"/>
      <c r="AN194" s="8"/>
      <c r="AO194" s="8"/>
      <c r="AP194" s="8"/>
      <c r="AQ194" s="8"/>
      <c r="AV194"/>
    </row>
    <row r="195" spans="2:48" ht="15.95" hidden="1" customHeight="1">
      <c r="B195" s="929"/>
      <c r="C195" s="8"/>
      <c r="D195" s="8"/>
      <c r="E195" s="8"/>
      <c r="F195" s="8"/>
      <c r="G195" s="8"/>
      <c r="H195" s="8"/>
      <c r="I195" s="8"/>
      <c r="J195" s="8"/>
      <c r="K195" s="8"/>
      <c r="L195" s="8"/>
      <c r="M195" s="8"/>
      <c r="N195" s="8"/>
      <c r="O195" s="8"/>
      <c r="P195" s="8"/>
      <c r="Q195" s="8"/>
      <c r="R195" s="8"/>
      <c r="S195" s="8"/>
      <c r="T195" s="8"/>
      <c r="U195" s="8"/>
      <c r="V195" s="8"/>
      <c r="W195" s="8"/>
      <c r="X195" s="8"/>
      <c r="Y195" s="8"/>
      <c r="Z195" s="8"/>
      <c r="AA195" s="8"/>
      <c r="AB195" s="8"/>
      <c r="AC195" s="8"/>
      <c r="AD195" s="8"/>
      <c r="AE195" s="8"/>
      <c r="AF195" s="8"/>
      <c r="AG195" s="8"/>
      <c r="AH195" s="8"/>
      <c r="AI195" s="8"/>
      <c r="AJ195" s="8"/>
      <c r="AK195" s="8"/>
      <c r="AL195" s="8"/>
      <c r="AM195" s="8"/>
      <c r="AN195" s="8"/>
      <c r="AO195" s="8"/>
      <c r="AP195" s="8"/>
      <c r="AQ195" s="8"/>
      <c r="AV195"/>
    </row>
    <row r="196" spans="2:48" ht="15.95" hidden="1" customHeight="1">
      <c r="B196" s="929">
        <v>91</v>
      </c>
      <c r="C196" s="8"/>
      <c r="D196" s="8"/>
      <c r="E196" s="8"/>
      <c r="F196" s="8"/>
      <c r="G196" s="8"/>
      <c r="H196" s="8"/>
      <c r="I196" s="8"/>
      <c r="J196" s="8"/>
      <c r="K196" s="8"/>
      <c r="L196" s="8"/>
      <c r="M196" s="8"/>
      <c r="N196" s="8"/>
      <c r="O196" s="8"/>
      <c r="P196" s="8"/>
      <c r="Q196" s="8"/>
      <c r="R196" s="8"/>
      <c r="S196" s="8"/>
      <c r="T196" s="8"/>
      <c r="U196" s="8"/>
      <c r="V196" s="8"/>
      <c r="W196" s="8"/>
      <c r="X196" s="8"/>
      <c r="Y196" s="8"/>
      <c r="Z196" s="8"/>
      <c r="AA196" s="8"/>
      <c r="AB196" s="8"/>
      <c r="AC196" s="8"/>
      <c r="AD196" s="8"/>
      <c r="AE196" s="8"/>
      <c r="AF196" s="8"/>
      <c r="AG196" s="8"/>
      <c r="AH196" s="8"/>
      <c r="AI196" s="8"/>
      <c r="AJ196" s="8"/>
      <c r="AK196" s="8"/>
      <c r="AL196" s="8"/>
      <c r="AM196" s="8"/>
      <c r="AN196" s="8"/>
      <c r="AO196" s="8"/>
      <c r="AP196" s="8"/>
      <c r="AQ196" s="8"/>
      <c r="AV196"/>
    </row>
    <row r="197" spans="2:48" ht="15.95" hidden="1" customHeight="1">
      <c r="B197" s="929"/>
      <c r="C197" s="8"/>
      <c r="D197" s="8"/>
      <c r="E197" s="8"/>
      <c r="F197" s="8"/>
      <c r="G197" s="8"/>
      <c r="H197" s="8"/>
      <c r="I197" s="8"/>
      <c r="J197" s="8"/>
      <c r="K197" s="8"/>
      <c r="L197" s="8"/>
      <c r="M197" s="8"/>
      <c r="N197" s="8"/>
      <c r="O197" s="8"/>
      <c r="P197" s="8"/>
      <c r="Q197" s="8"/>
      <c r="R197" s="8"/>
      <c r="S197" s="8"/>
      <c r="T197" s="8"/>
      <c r="U197" s="8"/>
      <c r="V197" s="8"/>
      <c r="W197" s="8"/>
      <c r="X197" s="8"/>
      <c r="Y197" s="8"/>
      <c r="Z197" s="8"/>
      <c r="AA197" s="8"/>
      <c r="AB197" s="8"/>
      <c r="AC197" s="8"/>
      <c r="AD197" s="8"/>
      <c r="AE197" s="8"/>
      <c r="AF197" s="8"/>
      <c r="AG197" s="8"/>
      <c r="AH197" s="8"/>
      <c r="AI197" s="8"/>
      <c r="AJ197" s="8"/>
      <c r="AK197" s="8"/>
      <c r="AL197" s="8"/>
      <c r="AM197" s="8"/>
      <c r="AN197" s="8"/>
      <c r="AO197" s="8"/>
      <c r="AP197" s="8"/>
      <c r="AQ197" s="8"/>
      <c r="AV197"/>
    </row>
    <row r="198" spans="2:48" ht="15.95" hidden="1" customHeight="1">
      <c r="B198" s="929">
        <v>92</v>
      </c>
      <c r="C198" s="8"/>
      <c r="D198" s="8"/>
      <c r="E198" s="8"/>
      <c r="F198" s="8"/>
      <c r="G198" s="8"/>
      <c r="H198" s="8"/>
      <c r="I198" s="8"/>
      <c r="J198" s="8"/>
      <c r="K198" s="8"/>
      <c r="L198" s="8"/>
      <c r="M198" s="8"/>
      <c r="N198" s="8"/>
      <c r="O198" s="8"/>
      <c r="P198" s="8"/>
      <c r="Q198" s="8"/>
      <c r="R198" s="8"/>
      <c r="S198" s="8"/>
      <c r="T198" s="8"/>
      <c r="U198" s="8"/>
      <c r="V198" s="8"/>
      <c r="W198" s="8"/>
      <c r="X198" s="8"/>
      <c r="Y198" s="8"/>
      <c r="Z198" s="8"/>
      <c r="AA198" s="8"/>
      <c r="AB198" s="8"/>
      <c r="AC198" s="8"/>
      <c r="AD198" s="8"/>
      <c r="AE198" s="8"/>
      <c r="AF198" s="8"/>
      <c r="AG198" s="8"/>
      <c r="AH198" s="8"/>
      <c r="AI198" s="8"/>
      <c r="AJ198" s="8"/>
      <c r="AK198" s="8"/>
      <c r="AL198" s="8"/>
      <c r="AM198" s="8"/>
      <c r="AN198" s="8"/>
      <c r="AO198" s="8"/>
      <c r="AP198" s="8"/>
      <c r="AQ198" s="8"/>
      <c r="AV198"/>
    </row>
    <row r="199" spans="2:48" ht="15.95" hidden="1" customHeight="1">
      <c r="B199" s="929"/>
      <c r="C199" s="8"/>
      <c r="D199" s="8"/>
      <c r="E199" s="8"/>
      <c r="F199" s="8"/>
      <c r="G199" s="8"/>
      <c r="H199" s="8"/>
      <c r="I199" s="8"/>
      <c r="J199" s="8"/>
      <c r="K199" s="8"/>
      <c r="L199" s="8"/>
      <c r="M199" s="8"/>
      <c r="N199" s="8"/>
      <c r="O199" s="8"/>
      <c r="P199" s="8"/>
      <c r="Q199" s="8"/>
      <c r="R199" s="8"/>
      <c r="S199" s="8"/>
      <c r="T199" s="8"/>
      <c r="U199" s="8"/>
      <c r="V199" s="8"/>
      <c r="W199" s="8"/>
      <c r="X199" s="8"/>
      <c r="Y199" s="8"/>
      <c r="Z199" s="8"/>
      <c r="AA199" s="8"/>
      <c r="AB199" s="8"/>
      <c r="AC199" s="8"/>
      <c r="AD199" s="8"/>
      <c r="AE199" s="8"/>
      <c r="AF199" s="8"/>
      <c r="AG199" s="8"/>
      <c r="AH199" s="8"/>
      <c r="AI199" s="8"/>
      <c r="AJ199" s="8"/>
      <c r="AK199" s="8"/>
      <c r="AL199" s="8"/>
      <c r="AM199" s="8"/>
      <c r="AN199" s="8"/>
      <c r="AO199" s="8"/>
      <c r="AP199" s="8"/>
      <c r="AQ199" s="8"/>
      <c r="AV199"/>
    </row>
    <row r="200" spans="2:48" ht="15.95" customHeight="1">
      <c r="B200" s="272" t="str">
        <f>FOOT1</f>
        <v>NIPSCO Energy Efficiency Program</v>
      </c>
      <c r="C200" s="272"/>
      <c r="D200" s="272"/>
      <c r="E200" s="272"/>
      <c r="F200" s="272"/>
      <c r="G200" s="272"/>
      <c r="H200" s="272"/>
      <c r="I200" s="272"/>
      <c r="J200" s="272"/>
      <c r="K200" s="272"/>
      <c r="L200" s="272"/>
      <c r="M200" s="661" t="str">
        <f>FOOT4</f>
        <v>NIPSCO’s energy efficiency programs are administered by TRC, a third‐party implementation specialist that helps homes and businesses save energy.</v>
      </c>
      <c r="N200" s="661"/>
      <c r="O200" s="661"/>
      <c r="P200" s="661"/>
      <c r="Q200" s="661"/>
      <c r="R200" s="661"/>
      <c r="S200" s="661"/>
      <c r="T200" s="661"/>
      <c r="U200" s="661"/>
      <c r="V200" s="661"/>
      <c r="W200" s="661"/>
      <c r="X200" s="661"/>
      <c r="Y200" s="661"/>
      <c r="Z200" s="661"/>
      <c r="AA200" s="661"/>
      <c r="AB200" s="661"/>
      <c r="AC200" s="661"/>
      <c r="AD200" s="661"/>
      <c r="AE200" s="661"/>
      <c r="AF200" s="661"/>
      <c r="AG200" s="661"/>
      <c r="AH200" s="272"/>
      <c r="AI200" s="272"/>
      <c r="AJ200" s="272"/>
      <c r="AK200" s="272"/>
      <c r="AL200" s="272"/>
      <c r="AM200" s="272"/>
      <c r="AN200" s="272"/>
      <c r="AO200" s="272"/>
      <c r="AP200" s="272"/>
      <c r="AQ200" s="272"/>
      <c r="AR200" s="273" t="str">
        <f>FOOTDISCLAIM</f>
        <v/>
      </c>
      <c r="AU200" s="813">
        <f>SUM(AU16:AU199)</f>
        <v>0</v>
      </c>
      <c r="AV200"/>
    </row>
    <row r="201" spans="2:48" ht="15.95" customHeight="1">
      <c r="B201" s="272" t="str">
        <f>FOOT2</f>
        <v>Toll-Free 800-299-2501</v>
      </c>
      <c r="C201" s="272"/>
      <c r="D201" s="272"/>
      <c r="E201" s="272"/>
      <c r="F201" s="272"/>
      <c r="G201" s="272"/>
      <c r="H201" s="272"/>
      <c r="I201" s="272"/>
      <c r="J201" s="272"/>
      <c r="K201" s="272"/>
      <c r="L201" s="272"/>
      <c r="M201" s="661"/>
      <c r="N201" s="661"/>
      <c r="O201" s="661"/>
      <c r="P201" s="661"/>
      <c r="Q201" s="661"/>
      <c r="R201" s="661"/>
      <c r="S201" s="661"/>
      <c r="T201" s="661"/>
      <c r="U201" s="661"/>
      <c r="V201" s="661"/>
      <c r="W201" s="661"/>
      <c r="X201" s="661"/>
      <c r="Y201" s="661"/>
      <c r="Z201" s="661"/>
      <c r="AA201" s="661"/>
      <c r="AB201" s="661"/>
      <c r="AC201" s="661"/>
      <c r="AD201" s="661"/>
      <c r="AE201" s="661"/>
      <c r="AF201" s="661"/>
      <c r="AG201" s="661"/>
      <c r="AH201" s="272"/>
      <c r="AI201" s="272"/>
      <c r="AJ201" s="272"/>
      <c r="AK201" s="272"/>
      <c r="AL201" s="272"/>
      <c r="AM201" s="272"/>
      <c r="AN201" s="272"/>
      <c r="AO201" s="272"/>
      <c r="AP201" s="272"/>
      <c r="AQ201" s="272"/>
      <c r="AR201" s="273" t="str">
        <f>FOOT5</f>
        <v/>
      </c>
      <c r="AU201" s="814"/>
      <c r="AV201"/>
    </row>
    <row r="202" spans="2:48" ht="15.95" customHeight="1">
      <c r="B202" s="281" t="s">
        <v>1547</v>
      </c>
      <c r="C202" s="272"/>
      <c r="D202" s="272"/>
      <c r="E202" s="272"/>
      <c r="F202" s="272"/>
      <c r="G202" s="272"/>
      <c r="H202" s="272"/>
      <c r="I202" s="272"/>
      <c r="J202" s="272"/>
      <c r="K202" s="272"/>
      <c r="L202" s="272"/>
      <c r="M202" s="274"/>
      <c r="N202" s="272"/>
      <c r="O202" s="272"/>
      <c r="P202" s="274"/>
      <c r="Q202" s="274"/>
      <c r="R202" s="274"/>
      <c r="S202" s="274"/>
      <c r="T202" s="274"/>
      <c r="U202" s="274"/>
      <c r="V202" s="274"/>
      <c r="W202" s="275" t="str">
        <f>VERSION</f>
        <v>Custom Prescriptive Application v3.7.1</v>
      </c>
      <c r="X202" s="274"/>
      <c r="Y202" s="274"/>
      <c r="Z202" s="274"/>
      <c r="AA202" s="274"/>
      <c r="AB202" s="274"/>
      <c r="AC202" s="274"/>
      <c r="AD202" s="274"/>
      <c r="AE202" s="272"/>
      <c r="AF202" s="272"/>
      <c r="AG202" s="272"/>
      <c r="AH202" s="272"/>
      <c r="AI202" s="272"/>
      <c r="AJ202" s="272"/>
      <c r="AK202" s="272"/>
      <c r="AL202" s="272"/>
      <c r="AM202" s="272"/>
      <c r="AN202" s="272"/>
      <c r="AO202" s="272"/>
      <c r="AP202" s="272"/>
      <c r="AQ202" s="272"/>
      <c r="AR202" s="273" t="str">
        <f>FOOT6</f>
        <v>Product of TRC</v>
      </c>
      <c r="AV202"/>
    </row>
    <row r="203" spans="2:48" ht="15" hidden="1" customHeight="1"/>
  </sheetData>
  <sheetProtection algorithmName="SHA-512" hashValue="nI1mjDZslhCx3wajEmj6kkQG08x3BQDr1HRRWOm3+BvCFFE+9GLaOihm5fgSg2jB4YPwetony6lPg7vY64MIRw==" saltValue="ltHr7x/8qFzUh4FdRbL4DQ==" spinCount="100000" sheet="1" objects="1" scenarios="1" selectLockedCells="1"/>
  <mergeCells count="245">
    <mergeCell ref="M200:AG201"/>
    <mergeCell ref="AU200:AU201"/>
    <mergeCell ref="B188:B189"/>
    <mergeCell ref="B190:B191"/>
    <mergeCell ref="B192:B193"/>
    <mergeCell ref="B194:B195"/>
    <mergeCell ref="B196:B197"/>
    <mergeCell ref="B198:B199"/>
    <mergeCell ref="B176:B177"/>
    <mergeCell ref="B178:B179"/>
    <mergeCell ref="B180:B181"/>
    <mergeCell ref="B182:B183"/>
    <mergeCell ref="B184:B185"/>
    <mergeCell ref="B186:B187"/>
    <mergeCell ref="B164:B165"/>
    <mergeCell ref="B166:B167"/>
    <mergeCell ref="B168:B169"/>
    <mergeCell ref="B170:B171"/>
    <mergeCell ref="B172:B173"/>
    <mergeCell ref="B174:B175"/>
    <mergeCell ref="B152:B153"/>
    <mergeCell ref="B154:B155"/>
    <mergeCell ref="B156:B157"/>
    <mergeCell ref="B158:B159"/>
    <mergeCell ref="B160:B161"/>
    <mergeCell ref="B162:B163"/>
    <mergeCell ref="B140:B141"/>
    <mergeCell ref="B142:B143"/>
    <mergeCell ref="B144:B145"/>
    <mergeCell ref="B146:B147"/>
    <mergeCell ref="B148:B149"/>
    <mergeCell ref="B150:B151"/>
    <mergeCell ref="B128:B129"/>
    <mergeCell ref="B130:B131"/>
    <mergeCell ref="B132:B133"/>
    <mergeCell ref="B134:B135"/>
    <mergeCell ref="B136:B137"/>
    <mergeCell ref="B138:B139"/>
    <mergeCell ref="B116:B117"/>
    <mergeCell ref="B118:B119"/>
    <mergeCell ref="B120:B121"/>
    <mergeCell ref="B122:B123"/>
    <mergeCell ref="B124:B125"/>
    <mergeCell ref="B126:B127"/>
    <mergeCell ref="B104:B105"/>
    <mergeCell ref="B106:B107"/>
    <mergeCell ref="B108:B109"/>
    <mergeCell ref="B110:B111"/>
    <mergeCell ref="B112:B113"/>
    <mergeCell ref="B114:B115"/>
    <mergeCell ref="B92:B93"/>
    <mergeCell ref="B94:B95"/>
    <mergeCell ref="B96:B97"/>
    <mergeCell ref="B98:B99"/>
    <mergeCell ref="B100:B101"/>
    <mergeCell ref="B102:B103"/>
    <mergeCell ref="B80:B81"/>
    <mergeCell ref="B82:B83"/>
    <mergeCell ref="B84:B85"/>
    <mergeCell ref="B86:B87"/>
    <mergeCell ref="B88:B89"/>
    <mergeCell ref="B90:B91"/>
    <mergeCell ref="B70:B71"/>
    <mergeCell ref="B72:B73"/>
    <mergeCell ref="B74:B75"/>
    <mergeCell ref="B76:B77"/>
    <mergeCell ref="B78:B79"/>
    <mergeCell ref="B58:B59"/>
    <mergeCell ref="B60:B61"/>
    <mergeCell ref="B62:B63"/>
    <mergeCell ref="B64:B65"/>
    <mergeCell ref="B66:B67"/>
    <mergeCell ref="AI32:AJ33"/>
    <mergeCell ref="AU32:AU33"/>
    <mergeCell ref="AI34:AJ35"/>
    <mergeCell ref="AU34:AU35"/>
    <mergeCell ref="B68:B69"/>
    <mergeCell ref="B56:B57"/>
    <mergeCell ref="AE32:AF33"/>
    <mergeCell ref="AG32:AH33"/>
    <mergeCell ref="B34:B35"/>
    <mergeCell ref="C34:M35"/>
    <mergeCell ref="N34:S35"/>
    <mergeCell ref="T34:U35"/>
    <mergeCell ref="V34:W35"/>
    <mergeCell ref="X34:AA35"/>
    <mergeCell ref="AB34:AD35"/>
    <mergeCell ref="AE34:AF35"/>
    <mergeCell ref="AG34:AH35"/>
    <mergeCell ref="B32:B33"/>
    <mergeCell ref="C32:M33"/>
    <mergeCell ref="N32:S33"/>
    <mergeCell ref="T32:U33"/>
    <mergeCell ref="V32:W33"/>
    <mergeCell ref="X32:AA33"/>
    <mergeCell ref="AB32:AD33"/>
    <mergeCell ref="B46:B47"/>
    <mergeCell ref="B48:B49"/>
    <mergeCell ref="B50:B51"/>
    <mergeCell ref="B52:B53"/>
    <mergeCell ref="B54:B55"/>
    <mergeCell ref="X30:AA31"/>
    <mergeCell ref="AB30:AD31"/>
    <mergeCell ref="AU26:AU27"/>
    <mergeCell ref="AI28:AJ29"/>
    <mergeCell ref="AU28:AU29"/>
    <mergeCell ref="B26:B27"/>
    <mergeCell ref="C26:M27"/>
    <mergeCell ref="N26:S27"/>
    <mergeCell ref="B30:B31"/>
    <mergeCell ref="C30:M31"/>
    <mergeCell ref="N30:S31"/>
    <mergeCell ref="T30:U31"/>
    <mergeCell ref="V30:W31"/>
    <mergeCell ref="AU30:AU31"/>
    <mergeCell ref="AE30:AF31"/>
    <mergeCell ref="AG30:AH31"/>
    <mergeCell ref="AI30:AJ31"/>
    <mergeCell ref="B28:B29"/>
    <mergeCell ref="C28:M29"/>
    <mergeCell ref="N28:S29"/>
    <mergeCell ref="AE22:AF23"/>
    <mergeCell ref="AG22:AH23"/>
    <mergeCell ref="AE26:AF27"/>
    <mergeCell ref="AG26:AH27"/>
    <mergeCell ref="AI26:AJ27"/>
    <mergeCell ref="T28:U29"/>
    <mergeCell ref="V28:W29"/>
    <mergeCell ref="X28:AA29"/>
    <mergeCell ref="AB28:AD29"/>
    <mergeCell ref="AE28:AF29"/>
    <mergeCell ref="AG28:AH29"/>
    <mergeCell ref="T26:U27"/>
    <mergeCell ref="V26:W27"/>
    <mergeCell ref="X26:AA27"/>
    <mergeCell ref="AB26:AD27"/>
    <mergeCell ref="B20:B21"/>
    <mergeCell ref="C20:M21"/>
    <mergeCell ref="N20:S21"/>
    <mergeCell ref="B24:B25"/>
    <mergeCell ref="C24:M25"/>
    <mergeCell ref="N24:S25"/>
    <mergeCell ref="T24:U25"/>
    <mergeCell ref="V24:W25"/>
    <mergeCell ref="AU24:AU25"/>
    <mergeCell ref="AE24:AF25"/>
    <mergeCell ref="AG24:AH25"/>
    <mergeCell ref="AI24:AJ25"/>
    <mergeCell ref="B22:B23"/>
    <mergeCell ref="C22:M23"/>
    <mergeCell ref="N22:S23"/>
    <mergeCell ref="T22:U23"/>
    <mergeCell ref="V22:W23"/>
    <mergeCell ref="X22:AA23"/>
    <mergeCell ref="AB22:AD23"/>
    <mergeCell ref="T20:U21"/>
    <mergeCell ref="V20:W21"/>
    <mergeCell ref="X24:AA25"/>
    <mergeCell ref="AB24:AD25"/>
    <mergeCell ref="AI22:AJ23"/>
    <mergeCell ref="X20:AA21"/>
    <mergeCell ref="AB20:AD21"/>
    <mergeCell ref="X18:AA19"/>
    <mergeCell ref="AB18:AD19"/>
    <mergeCell ref="AU16:AU17"/>
    <mergeCell ref="AE20:AF21"/>
    <mergeCell ref="AG20:AH21"/>
    <mergeCell ref="AI20:AJ21"/>
    <mergeCell ref="AU20:AU21"/>
    <mergeCell ref="AI16:AJ17"/>
    <mergeCell ref="B18:B19"/>
    <mergeCell ref="C18:M19"/>
    <mergeCell ref="N18:S19"/>
    <mergeCell ref="T18:U19"/>
    <mergeCell ref="V18:W19"/>
    <mergeCell ref="AU18:AU19"/>
    <mergeCell ref="AE18:AF19"/>
    <mergeCell ref="AG18:AH19"/>
    <mergeCell ref="AI18:AJ19"/>
    <mergeCell ref="AE14:AF15"/>
    <mergeCell ref="AG14:AH15"/>
    <mergeCell ref="AI14:AJ15"/>
    <mergeCell ref="AU14:AU15"/>
    <mergeCell ref="C14:M15"/>
    <mergeCell ref="N14:S15"/>
    <mergeCell ref="T14:U15"/>
    <mergeCell ref="V14:W15"/>
    <mergeCell ref="X14:AA15"/>
    <mergeCell ref="AB14:AD15"/>
    <mergeCell ref="AK14:AM15"/>
    <mergeCell ref="AN14:AQ15"/>
    <mergeCell ref="B16:B17"/>
    <mergeCell ref="C16:M17"/>
    <mergeCell ref="N16:S17"/>
    <mergeCell ref="T16:U17"/>
    <mergeCell ref="V16:W17"/>
    <mergeCell ref="X16:AA17"/>
    <mergeCell ref="AB16:AD17"/>
    <mergeCell ref="AE16:AF17"/>
    <mergeCell ref="AG16:AH17"/>
    <mergeCell ref="AQ1:AR1"/>
    <mergeCell ref="AH2:AK3"/>
    <mergeCell ref="AL2:AP3"/>
    <mergeCell ref="AQ2:AR3"/>
    <mergeCell ref="R9:AC10"/>
    <mergeCell ref="R11:U11"/>
    <mergeCell ref="V11:Y11"/>
    <mergeCell ref="Z11:AC11"/>
    <mergeCell ref="R12:U13"/>
    <mergeCell ref="V12:Y13"/>
    <mergeCell ref="Z12:AC13"/>
    <mergeCell ref="AH1:AK1"/>
    <mergeCell ref="AL1:AP1"/>
    <mergeCell ref="BC14:BC15"/>
    <mergeCell ref="BC16:BC17"/>
    <mergeCell ref="BC18:BC19"/>
    <mergeCell ref="BC20:BC21"/>
    <mergeCell ref="BC22:BC23"/>
    <mergeCell ref="BC24:BC25"/>
    <mergeCell ref="BC26:BC27"/>
    <mergeCell ref="BC28:BC29"/>
    <mergeCell ref="BC30:BC31"/>
    <mergeCell ref="BC32:BC33"/>
    <mergeCell ref="BC34:BC35"/>
    <mergeCell ref="AK18:AM19"/>
    <mergeCell ref="AK16:AM17"/>
    <mergeCell ref="AK20:AM21"/>
    <mergeCell ref="AK22:AM23"/>
    <mergeCell ref="AK24:AM25"/>
    <mergeCell ref="AK26:AM27"/>
    <mergeCell ref="AK28:AM29"/>
    <mergeCell ref="AK30:AM31"/>
    <mergeCell ref="AK32:AM33"/>
    <mergeCell ref="AK34:AM35"/>
    <mergeCell ref="AN18:AQ19"/>
    <mergeCell ref="AN16:AQ17"/>
    <mergeCell ref="AN20:AQ21"/>
    <mergeCell ref="AN22:AQ23"/>
    <mergeCell ref="AN24:AQ25"/>
    <mergeCell ref="AN26:AQ27"/>
    <mergeCell ref="AN28:AQ29"/>
    <mergeCell ref="AN30:AQ31"/>
    <mergeCell ref="AN32:AQ33"/>
    <mergeCell ref="AN34:AQ35"/>
    <mergeCell ref="AU22:AU23"/>
  </mergeCells>
  <conditionalFormatting sqref="AH2 AL2">
    <cfRule type="expression" dxfId="143" priority="1">
      <formula>PROJSTATUS=PROJSTATELI</formula>
    </cfRule>
    <cfRule type="expression" dxfId="142" priority="2">
      <formula>PROJSTATUS=PROJSTATREVIEW</formula>
    </cfRule>
    <cfRule type="expression" dxfId="141" priority="6">
      <formula>PROJSTATUS=PROJSTATPREAPPROVE</formula>
    </cfRule>
    <cfRule type="expression" dxfId="140" priority="7">
      <formula>PROJSTATUS=PROJSTATSTANDARD</formula>
    </cfRule>
    <cfRule type="expression" dxfId="139" priority="8">
      <formula>PROJSTATUS=PROJSTATEXP</formula>
    </cfRule>
  </conditionalFormatting>
  <conditionalFormatting sqref="AQ2:AR3">
    <cfRule type="cellIs" dxfId="138" priority="3" operator="equal">
      <formula>1</formula>
    </cfRule>
    <cfRule type="cellIs" dxfId="137" priority="4" operator="between">
      <formula>0.51</formula>
      <formula>0.99</formula>
    </cfRule>
    <cfRule type="cellIs" dxfId="136" priority="5" operator="lessThanOrEqual">
      <formula>0.5</formula>
    </cfRule>
  </conditionalFormatting>
  <dataValidations count="4">
    <dataValidation type="decimal" allowBlank="1" showInputMessage="1" showErrorMessage="1" error="Please enter a numerical value" sqref="AG16:AH35" xr:uid="{00000000-0002-0000-1B00-000000000000}">
      <formula1>0</formula1>
      <formula2>999999</formula2>
    </dataValidation>
    <dataValidation type="decimal" allowBlank="1" showInputMessage="1" showErrorMessage="1" error="Please enter a numerical value" prompt="Reference the &quot;Unit of Measure&quot; column to ensure you enter the correct value based on unit type." sqref="V16:W35" xr:uid="{00000000-0002-0000-1B00-000001000000}">
      <formula1>1</formula1>
      <formula2>99999</formula2>
    </dataValidation>
    <dataValidation type="list" allowBlank="1" showInputMessage="1" showErrorMessage="1" sqref="C16:M35" xr:uid="{00000000-0002-0000-1B00-000002000000}">
      <formula1>PMGWATEREFF1</formula1>
    </dataValidation>
    <dataValidation type="decimal" allowBlank="1" showInputMessage="1" showErrorMessage="1" error="Please enter a numerical value" sqref="AE16:AF35" xr:uid="{00000000-0002-0000-1B00-000003000000}">
      <formula1>0.01</formula1>
      <formula2>999999</formula2>
    </dataValidation>
  </dataValidations>
  <hyperlinks>
    <hyperlink ref="B202" r:id="rId1" xr:uid="{E0CA636B-DFAF-4636-BBD1-C3DF5A337726}"/>
  </hyperlinks>
  <pageMargins left="0.25" right="0.25" top="0.25" bottom="0.25" header="0.25" footer="0.25"/>
  <pageSetup scale="56" fitToHeight="0" orientation="landscape" r:id="rId2"/>
  <drawing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81">
    <pageSetUpPr fitToPage="1"/>
  </sheetPr>
  <dimension ref="A1:BI202"/>
  <sheetViews>
    <sheetView showGridLines="0" showRowColHeaders="0" zoomScale="85" zoomScaleNormal="85" workbookViewId="0">
      <selection activeCell="C16" sqref="C16:E17"/>
    </sheetView>
  </sheetViews>
  <sheetFormatPr defaultColWidth="0" defaultRowHeight="15" customHeight="1" zeroHeight="1"/>
  <cols>
    <col min="1" max="44" width="4.7109375" customWidth="1"/>
    <col min="45" max="45" width="4.7109375" style="59" customWidth="1"/>
    <col min="46" max="46" width="4.7109375" style="59" hidden="1" customWidth="1"/>
    <col min="47" max="52" width="9.140625" style="59" hidden="1" customWidth="1"/>
    <col min="53" max="53" width="9.28515625" style="59" hidden="1" customWidth="1"/>
    <col min="54" max="54" width="9.140625" style="59" hidden="1" customWidth="1"/>
    <col min="55" max="55" width="14.42578125" style="59" hidden="1" customWidth="1"/>
    <col min="56" max="61" width="9.140625" style="59" hidden="1" customWidth="1"/>
    <col min="62" max="16384" width="9.140625" hidden="1"/>
  </cols>
  <sheetData>
    <row r="1" spans="2:60" ht="15.95" customHeight="1">
      <c r="AH1" s="686" t="s">
        <v>471</v>
      </c>
      <c r="AI1" s="686"/>
      <c r="AJ1" s="686"/>
      <c r="AK1" s="686"/>
      <c r="AL1" s="687" t="s">
        <v>736</v>
      </c>
      <c r="AM1" s="687"/>
      <c r="AN1" s="687"/>
      <c r="AO1" s="687"/>
      <c r="AP1" s="687"/>
      <c r="AQ1" s="683" t="s">
        <v>474</v>
      </c>
      <c r="AR1" s="683"/>
    </row>
    <row r="2" spans="2:60" ht="15.95" customHeight="1">
      <c r="AH2" s="688" t="str">
        <f ca="1">INCENSTATUS</f>
        <v>---</v>
      </c>
      <c r="AI2" s="689"/>
      <c r="AJ2" s="689"/>
      <c r="AK2" s="689"/>
      <c r="AL2" s="690" t="str">
        <f ca="1">PROJSTATUS</f>
        <v>Enter Measures</v>
      </c>
      <c r="AM2" s="690"/>
      <c r="AN2" s="690"/>
      <c r="AO2" s="690"/>
      <c r="AP2" s="690"/>
      <c r="AQ2" s="684">
        <f ca="1">PROGRESSSTATUS</f>
        <v>2.8985507246376812E-2</v>
      </c>
      <c r="AR2" s="685"/>
    </row>
    <row r="3" spans="2:60" ht="15.95" customHeight="1">
      <c r="AH3" s="680"/>
      <c r="AI3" s="681"/>
      <c r="AJ3" s="681"/>
      <c r="AK3" s="681"/>
      <c r="AL3" s="673"/>
      <c r="AM3" s="673"/>
      <c r="AN3" s="673"/>
      <c r="AO3" s="673"/>
      <c r="AP3" s="673"/>
      <c r="AQ3" s="667"/>
      <c r="AR3" s="668"/>
    </row>
    <row r="4" spans="2:60" ht="15.95" customHeight="1">
      <c r="AR4" s="171"/>
    </row>
    <row r="5" spans="2:60" ht="15.95" customHeight="1"/>
    <row r="6" spans="2:60" ht="15.95" customHeight="1">
      <c r="AU6" s="59" t="s">
        <v>907</v>
      </c>
      <c r="AV6" s="59">
        <f>PROJID</f>
        <v>0</v>
      </c>
      <c r="BE6" s="59" t="s">
        <v>1698</v>
      </c>
    </row>
    <row r="7" spans="2:60" ht="15.95" customHeight="1">
      <c r="AU7" s="87"/>
      <c r="AV7" s="87" t="s">
        <v>866</v>
      </c>
      <c r="AW7" s="87" t="s">
        <v>231</v>
      </c>
      <c r="AX7" s="87" t="s">
        <v>892</v>
      </c>
      <c r="AY7"/>
    </row>
    <row r="8" spans="2:60" ht="15.95" customHeight="1">
      <c r="AU8" s="87" t="s">
        <v>219</v>
      </c>
      <c r="AV8" s="87" t="str">
        <f ca="1">CBPRESE</f>
        <v>NA</v>
      </c>
      <c r="AW8" s="87" t="str">
        <f ca="1">CBCUSE</f>
        <v>NA</v>
      </c>
      <c r="AX8" s="87" t="str">
        <f ca="1">CBALL</f>
        <v>NA</v>
      </c>
      <c r="AY8"/>
      <c r="BC8" s="415"/>
    </row>
    <row r="9" spans="2:60" ht="15.95" customHeight="1">
      <c r="B9" s="59"/>
      <c r="C9" s="59"/>
      <c r="D9" s="59"/>
      <c r="E9" s="59"/>
      <c r="F9" s="59"/>
      <c r="G9" s="59"/>
      <c r="H9" s="59"/>
      <c r="I9" s="59"/>
      <c r="J9" s="59"/>
      <c r="K9" s="59"/>
      <c r="L9" s="59"/>
      <c r="M9" s="59"/>
      <c r="N9" s="59"/>
      <c r="O9" s="59"/>
      <c r="P9" s="59"/>
      <c r="Q9" s="59"/>
      <c r="R9" s="735" t="str">
        <f>CONCATENATE(M4S1," ","Summary")</f>
        <v>Custom Lighting Summary</v>
      </c>
      <c r="S9" s="735"/>
      <c r="T9" s="735"/>
      <c r="U9" s="735"/>
      <c r="V9" s="735"/>
      <c r="W9" s="735"/>
      <c r="X9" s="735"/>
      <c r="Y9" s="735"/>
      <c r="Z9" s="735"/>
      <c r="AA9" s="735"/>
      <c r="AB9" s="735"/>
      <c r="AC9" s="735"/>
      <c r="AD9" s="59"/>
      <c r="AE9" s="59"/>
      <c r="AF9" s="59"/>
      <c r="AG9" s="59"/>
      <c r="AH9" s="59"/>
      <c r="AI9" s="59"/>
      <c r="AJ9" s="59"/>
      <c r="AK9" s="59"/>
      <c r="AL9" s="59"/>
      <c r="AM9" s="59"/>
      <c r="AN9" s="59"/>
      <c r="AO9" s="59"/>
      <c r="AP9" s="59"/>
      <c r="AQ9" s="59"/>
      <c r="AR9" s="59"/>
      <c r="AU9" s="87"/>
      <c r="AV9" s="87"/>
      <c r="AW9" s="87"/>
      <c r="AX9" s="87"/>
      <c r="AY9"/>
    </row>
    <row r="10" spans="2:60" ht="15.95" customHeight="1">
      <c r="B10" s="59"/>
      <c r="C10" s="59"/>
      <c r="D10" s="59"/>
      <c r="E10" s="59"/>
      <c r="F10" s="59"/>
      <c r="G10" s="59"/>
      <c r="H10" s="59"/>
      <c r="I10" s="59"/>
      <c r="J10" s="59"/>
      <c r="K10" s="59"/>
      <c r="L10" s="59"/>
      <c r="M10" s="59"/>
      <c r="N10" s="59"/>
      <c r="O10" s="59"/>
      <c r="P10" s="59"/>
      <c r="Q10" s="59"/>
      <c r="R10" s="735"/>
      <c r="S10" s="735"/>
      <c r="T10" s="735"/>
      <c r="U10" s="735"/>
      <c r="V10" s="735"/>
      <c r="W10" s="735"/>
      <c r="X10" s="735"/>
      <c r="Y10" s="735"/>
      <c r="Z10" s="735"/>
      <c r="AA10" s="735"/>
      <c r="AB10" s="735"/>
      <c r="AC10" s="735"/>
      <c r="AD10" s="59"/>
      <c r="AE10" s="59"/>
      <c r="AF10" s="59"/>
      <c r="AG10" s="59"/>
      <c r="AH10" s="59"/>
      <c r="AI10" s="59"/>
      <c r="AJ10" s="59"/>
      <c r="AK10" s="59"/>
      <c r="AL10" s="59"/>
      <c r="AM10" s="59"/>
      <c r="AN10" s="59"/>
      <c r="AO10" s="59"/>
      <c r="AP10" s="59"/>
      <c r="AQ10" s="59"/>
      <c r="AR10" s="59"/>
      <c r="AU10" s="87" t="s">
        <v>581</v>
      </c>
      <c r="AV10" s="87" t="str">
        <f ca="1">PAYPRESE</f>
        <v>NA</v>
      </c>
      <c r="AW10" s="87" t="str">
        <f ca="1">PAYCUSE</f>
        <v>NA</v>
      </c>
      <c r="AX10" s="367" t="str">
        <f ca="1">PAYALL</f>
        <v>NA</v>
      </c>
      <c r="AY10"/>
    </row>
    <row r="11" spans="2:60" ht="15.95" customHeight="1">
      <c r="B11" s="59"/>
      <c r="C11" s="59"/>
      <c r="D11" s="59"/>
      <c r="E11" s="59"/>
      <c r="F11" s="59"/>
      <c r="G11" s="59"/>
      <c r="H11" s="59"/>
      <c r="I11" s="59"/>
      <c r="J11" s="59"/>
      <c r="K11" s="59"/>
      <c r="L11" s="59"/>
      <c r="M11" s="59"/>
      <c r="N11" s="59"/>
      <c r="O11" s="59"/>
      <c r="P11" s="59"/>
      <c r="Q11" s="59"/>
      <c r="R11" s="836" t="s">
        <v>68</v>
      </c>
      <c r="S11" s="836"/>
      <c r="T11" s="836"/>
      <c r="U11" s="836"/>
      <c r="V11" s="836" t="s">
        <v>69</v>
      </c>
      <c r="W11" s="836"/>
      <c r="X11" s="836"/>
      <c r="Y11" s="836"/>
      <c r="Z11" s="836" t="s">
        <v>70</v>
      </c>
      <c r="AA11" s="836"/>
      <c r="AB11" s="836"/>
      <c r="AC11" s="836"/>
      <c r="AD11" s="59"/>
      <c r="AE11" s="59"/>
      <c r="AF11" s="901" t="s">
        <v>2101</v>
      </c>
      <c r="AG11" s="901"/>
      <c r="AH11" s="901"/>
      <c r="AI11" s="901"/>
      <c r="AJ11" s="59"/>
      <c r="AK11" s="59"/>
      <c r="AL11" s="59"/>
      <c r="AM11" s="59"/>
      <c r="AN11" s="59"/>
      <c r="AO11" s="59"/>
      <c r="AP11" s="59"/>
      <c r="AQ11" s="59"/>
      <c r="AR11" s="59"/>
      <c r="AU11" s="88"/>
    </row>
    <row r="12" spans="2:60" ht="15.95" customHeight="1">
      <c r="B12" s="59"/>
      <c r="C12" s="59"/>
      <c r="D12" s="59"/>
      <c r="E12" s="59"/>
      <c r="F12" s="59"/>
      <c r="G12" s="59"/>
      <c r="H12" s="59"/>
      <c r="I12" s="59"/>
      <c r="J12" s="59"/>
      <c r="K12" s="59"/>
      <c r="L12" s="59"/>
      <c r="M12" s="59"/>
      <c r="N12" s="59"/>
      <c r="O12" s="59"/>
      <c r="P12" s="59"/>
      <c r="Q12" s="59"/>
      <c r="R12" s="880">
        <f>SUM(AN16:AQ113)</f>
        <v>0</v>
      </c>
      <c r="S12" s="880"/>
      <c r="T12" s="880"/>
      <c r="U12" s="880"/>
      <c r="V12" s="880">
        <f ca="1">SUMIF(AN16:AQ113,"&gt;0",AH16:AJ113)</f>
        <v>0</v>
      </c>
      <c r="W12" s="880"/>
      <c r="X12" s="880"/>
      <c r="Y12" s="880"/>
      <c r="Z12" s="881">
        <f ca="1">SUMIF(AN16:AQ113,"&gt;0",AK16:AM113)</f>
        <v>0</v>
      </c>
      <c r="AA12" s="881"/>
      <c r="AB12" s="881"/>
      <c r="AC12" s="881"/>
      <c r="AD12" s="59"/>
      <c r="AE12" s="59"/>
      <c r="AF12" s="902">
        <f ca="1">IFERROR(IF(AN114="",0,AN114),0)</f>
        <v>0</v>
      </c>
      <c r="AG12" s="902"/>
      <c r="AH12" s="902"/>
      <c r="AI12" s="902"/>
      <c r="AJ12" s="59"/>
      <c r="AK12" s="59"/>
      <c r="AL12" s="59"/>
      <c r="AM12" s="59"/>
      <c r="AN12" s="59"/>
      <c r="AO12" s="59"/>
      <c r="AP12" s="59"/>
      <c r="AQ12" s="59"/>
      <c r="AR12" s="59"/>
    </row>
    <row r="13" spans="2:60" ht="15.95" customHeight="1">
      <c r="B13" s="59"/>
      <c r="C13" s="59"/>
      <c r="D13" s="59"/>
      <c r="E13" s="59"/>
      <c r="F13" s="59"/>
      <c r="G13" s="59"/>
      <c r="H13" s="59"/>
      <c r="I13" s="59"/>
      <c r="J13" s="59"/>
      <c r="K13" s="59"/>
      <c r="L13" s="59"/>
      <c r="M13" s="59"/>
      <c r="N13" s="59"/>
      <c r="O13" s="59"/>
      <c r="P13" s="59"/>
      <c r="Q13" s="59"/>
      <c r="R13" s="880"/>
      <c r="S13" s="880"/>
      <c r="T13" s="880"/>
      <c r="U13" s="880"/>
      <c r="V13" s="880"/>
      <c r="W13" s="880"/>
      <c r="X13" s="880"/>
      <c r="Y13" s="880"/>
      <c r="Z13" s="881"/>
      <c r="AA13" s="881"/>
      <c r="AB13" s="881"/>
      <c r="AC13" s="881"/>
      <c r="AD13" s="59"/>
      <c r="AE13" s="59"/>
      <c r="AF13" s="902"/>
      <c r="AG13" s="902"/>
      <c r="AH13" s="902"/>
      <c r="AI13" s="902"/>
      <c r="AJ13" s="59"/>
      <c r="AK13" s="59"/>
      <c r="AL13" s="59"/>
      <c r="AM13" s="59"/>
      <c r="AN13" s="59"/>
      <c r="AO13" s="59"/>
      <c r="AP13" s="59"/>
      <c r="AQ13" s="59"/>
      <c r="AR13" s="59"/>
    </row>
    <row r="14" spans="2:60" ht="15.95" customHeight="1">
      <c r="B14" s="59"/>
      <c r="C14" s="809" t="s">
        <v>104</v>
      </c>
      <c r="D14" s="809"/>
      <c r="E14" s="809"/>
      <c r="F14" s="809" t="s">
        <v>105</v>
      </c>
      <c r="G14" s="809"/>
      <c r="H14" s="809"/>
      <c r="I14" s="809"/>
      <c r="J14" s="809" t="s">
        <v>114</v>
      </c>
      <c r="K14" s="809"/>
      <c r="L14" s="809"/>
      <c r="M14" s="809" t="s">
        <v>588</v>
      </c>
      <c r="N14" s="809"/>
      <c r="O14" s="809" t="s">
        <v>106</v>
      </c>
      <c r="P14" s="809"/>
      <c r="Q14" s="809" t="s">
        <v>887</v>
      </c>
      <c r="R14" s="809"/>
      <c r="S14" s="809" t="s">
        <v>113</v>
      </c>
      <c r="T14" s="809"/>
      <c r="U14" s="809"/>
      <c r="V14" s="809"/>
      <c r="W14" s="809" t="s">
        <v>114</v>
      </c>
      <c r="X14" s="809"/>
      <c r="Y14" s="809"/>
      <c r="Z14" s="809" t="s">
        <v>107</v>
      </c>
      <c r="AA14" s="809"/>
      <c r="AB14" s="809" t="s">
        <v>106</v>
      </c>
      <c r="AC14" s="809"/>
      <c r="AD14" s="809" t="s">
        <v>97</v>
      </c>
      <c r="AE14" s="809"/>
      <c r="AF14" s="809" t="s">
        <v>98</v>
      </c>
      <c r="AG14" s="809"/>
      <c r="AH14" s="809" t="s">
        <v>109</v>
      </c>
      <c r="AI14" s="809"/>
      <c r="AJ14" s="809"/>
      <c r="AK14" s="809" t="s">
        <v>965</v>
      </c>
      <c r="AL14" s="809"/>
      <c r="AM14" s="809"/>
      <c r="AN14" s="809" t="s">
        <v>108</v>
      </c>
      <c r="AO14" s="809"/>
      <c r="AP14" s="809"/>
      <c r="AQ14" s="809"/>
      <c r="AR14" s="59"/>
      <c r="AU14" s="809" t="s">
        <v>100</v>
      </c>
      <c r="AV14" s="809" t="s">
        <v>219</v>
      </c>
      <c r="AW14" s="809" t="s">
        <v>240</v>
      </c>
      <c r="AX14" s="809" t="s">
        <v>735</v>
      </c>
      <c r="AY14" s="809" t="s">
        <v>199</v>
      </c>
      <c r="AZ14" s="809" t="s">
        <v>141</v>
      </c>
      <c r="BA14" s="809" t="s">
        <v>116</v>
      </c>
      <c r="BB14" s="809" t="s">
        <v>1696</v>
      </c>
      <c r="BC14" s="809" t="s">
        <v>581</v>
      </c>
      <c r="BD14" s="809" t="s">
        <v>1695</v>
      </c>
      <c r="BE14" s="809" t="s">
        <v>1697</v>
      </c>
      <c r="BF14" s="809" t="s">
        <v>489</v>
      </c>
      <c r="BH14" s="809" t="s">
        <v>2016</v>
      </c>
    </row>
    <row r="15" spans="2:60" ht="15.95" customHeight="1" thickBot="1">
      <c r="B15" s="59"/>
      <c r="C15" s="810"/>
      <c r="D15" s="810"/>
      <c r="E15" s="810"/>
      <c r="F15" s="810"/>
      <c r="G15" s="810"/>
      <c r="H15" s="810"/>
      <c r="I15" s="810"/>
      <c r="J15" s="810"/>
      <c r="K15" s="810"/>
      <c r="L15" s="810"/>
      <c r="M15" s="810"/>
      <c r="N15" s="810"/>
      <c r="O15" s="810"/>
      <c r="P15" s="810"/>
      <c r="Q15" s="810"/>
      <c r="R15" s="810"/>
      <c r="S15" s="810"/>
      <c r="T15" s="810"/>
      <c r="U15" s="810"/>
      <c r="V15" s="810"/>
      <c r="W15" s="810"/>
      <c r="X15" s="810"/>
      <c r="Y15" s="810"/>
      <c r="Z15" s="810"/>
      <c r="AA15" s="810"/>
      <c r="AB15" s="810"/>
      <c r="AC15" s="810"/>
      <c r="AD15" s="810"/>
      <c r="AE15" s="810"/>
      <c r="AF15" s="810"/>
      <c r="AG15" s="810"/>
      <c r="AH15" s="810"/>
      <c r="AI15" s="810"/>
      <c r="AJ15" s="810"/>
      <c r="AK15" s="810"/>
      <c r="AL15" s="810"/>
      <c r="AM15" s="810"/>
      <c r="AN15" s="810"/>
      <c r="AO15" s="810"/>
      <c r="AP15" s="810"/>
      <c r="AQ15" s="810"/>
      <c r="AR15" s="59"/>
      <c r="AU15" s="810"/>
      <c r="AV15" s="810"/>
      <c r="AW15" s="810"/>
      <c r="AX15" s="810"/>
      <c r="AY15" s="810"/>
      <c r="AZ15" s="810"/>
      <c r="BA15" s="810"/>
      <c r="BB15" s="810"/>
      <c r="BC15" s="810"/>
      <c r="BD15" s="810"/>
      <c r="BE15" s="810"/>
      <c r="BF15" s="810"/>
      <c r="BH15" s="810"/>
    </row>
    <row r="16" spans="2:60" ht="15.95" customHeight="1">
      <c r="B16" s="835">
        <v>1</v>
      </c>
      <c r="C16" s="903"/>
      <c r="D16" s="904"/>
      <c r="E16" s="905"/>
      <c r="F16" s="871"/>
      <c r="G16" s="872"/>
      <c r="H16" s="872"/>
      <c r="I16" s="873"/>
      <c r="J16" s="1093"/>
      <c r="K16" s="1093"/>
      <c r="L16" s="1093"/>
      <c r="M16" s="1083"/>
      <c r="N16" s="1083"/>
      <c r="O16" s="1085" t="str">
        <f>IFERROR(IF(F16="","",INDEX(CMLIGHTBASE[Base Watt 1],MATCH(F16,CMLIGHTBASE[Base Desc 1],0))),"")</f>
        <v/>
      </c>
      <c r="P16" s="1086"/>
      <c r="Q16" s="1089"/>
      <c r="R16" s="1090"/>
      <c r="S16" s="890"/>
      <c r="T16" s="872"/>
      <c r="U16" s="872"/>
      <c r="V16" s="873"/>
      <c r="W16" s="1093"/>
      <c r="X16" s="1093"/>
      <c r="Y16" s="1093"/>
      <c r="Z16" s="1083"/>
      <c r="AA16" s="1083"/>
      <c r="AB16" s="1095"/>
      <c r="AC16" s="1095"/>
      <c r="AD16" s="1097"/>
      <c r="AE16" s="1097"/>
      <c r="AF16" s="1097"/>
      <c r="AG16" s="1099"/>
      <c r="AH16" s="924" t="str">
        <f>IFERROR(IF(OR(C16="",J16="",M16="",O16="",Q16="",W16="",Z16="",AB16="",AD16="",AF16=""),"",ROUND((AD16+AF16)*Z16,2)),"")</f>
        <v/>
      </c>
      <c r="AI16" s="1101"/>
      <c r="AJ16" s="1101"/>
      <c r="AK16" s="941" t="str">
        <f>IFERROR(IF(OR(C16="",F16="",J16="",M16="",O16="",Q16="",S16="",W16="",Z16="",AB16="",AD16="",AF16=""),"",ROUND(IF((M16*O16)&lt;=(Z16*AB16),"0",(AX16-AY16+BD16)*BE16),2)),"")</f>
        <v/>
      </c>
      <c r="AL16" s="1110"/>
      <c r="AM16" s="1110"/>
      <c r="AN16" s="1105" t="str">
        <f>IFERROR(IF(OR(C16="",F16="",J16="",M16="",O16="",Q16="",S16="",W16="",Z16="",AB16="",AD16="",AF16=""),"",IF(OR(ISNUMBER(SEARCH("~~",F16)),ISNUMBER(SEARCH("~~",S16))),"Invalid Fixture Type Selected",IF(BF16&lt;&gt;"",BF16,ROUND(MIN(AH16*0.75,AK16*INDEX(INCRATE[Electric],MATCH("CMLIGHT",INCRATE[Incentive Type]))),2)))),"")</f>
        <v/>
      </c>
      <c r="AO16" s="1105"/>
      <c r="AP16" s="1105"/>
      <c r="AQ16" s="1105"/>
      <c r="AR16" s="59"/>
      <c r="AU16" s="1109" t="str">
        <f>IF(F16="","",INDEX(CUSTLIGHTUNIT,MATCH(F16,CMELIGHTBASE1,0)))</f>
        <v/>
      </c>
      <c r="AV16" s="1109" t="str">
        <f>IFERROR(IF(OR(C16="",F16="",J16="",M16="",O16="",Q16="",S16="",W16="",Z16="",AB16="",AD16="",AF16=""),"",((((1+ELOSS)*((AK16*INDEX(ELECCB[NPV AEC $/kWh],MATCH(15,ELECCB[Year Number],0)))+(AW16*INDEX(ELECCB[NPV ACC+T&amp;D $/kW],MATCH(15,ELECCB[Year Number],0)))))+((1+GLOSS)*((BB16*INDEX(GASCB[NPV GAEC $/therm],MATCH(15,GASCB[Year Number],1))))))/AH16)),"")</f>
        <v/>
      </c>
      <c r="AW16" s="906" t="str">
        <f>IFERROR(IF(OR(C16="",F16="",J16="",M16="",O16="",Q16="",S16="",W16="",Z16="",AB16="",AD16="",AF16=""),"",IF(OR(ISNUMBER(SEARCH("Exterior",C16)),((M16*O16)&lt;=(Z16*AB16)),ISNUMBER(SEARCH("Exterior",S16)),ISNUMBER(SEARCH("Exterior",F16))),0,ROUND((((M16*O16)-(Z16*AB16))/1000)*INDEX(LightingWHF[Coincidence Factor CF],MATCH(M02S02F26,LightingWHF[Building/Space Type],0))*IF(OR(M02S02F32="AC with Natural Gas Heat",M02S02F32="AC with Electric Heat",M02S02F32="Heat Pump"),INDEX(LightingWHF[Waste Heat Cooling Demand WHFd],MATCH(M02S02F26,LightingWHF[Building/Space Type],0)),1),3))),"")</f>
        <v/>
      </c>
      <c r="AX16" s="816" t="str">
        <f>IF(OR(C16="",F16="",J16="",M16="",O16="",Q16="",S16="",W16="",Z16="",AB16="",AD16="",AF16=""),"",ROUND(M16*O16*Q16/1000,2))</f>
        <v/>
      </c>
      <c r="AY16" s="816" t="str">
        <f>IF(OR(C16="",F16="",J16="",M16="",O16="",Q16="",S16="",W16="",Z16="",AB16="",AD16="",AF16=""),"",ROUND(Z16*AB16*Q16/1000,2))</f>
        <v/>
      </c>
      <c r="AZ16" s="878" t="str">
        <f>IF(OR(C16="",F16="",J16="",M16="",O16="",Q16="",S16="",W16="",Z16="",AB16="",AD16="",AF16=""),"",IF(ISNUMBER(AN16),(CONCATENATE(INDEX(CMLIGHTBASE[Measure Number],MATCH(F16,CMLIGHTBASE[Base Desc 1],0)),INDEX(CMLIGHTEFF[Measure Number],MATCH(S16,CMLIGHTEFF[Eff Desc 1],0)))),IF(AK16=0,"","000001")))</f>
        <v/>
      </c>
      <c r="BA16" s="816" t="str">
        <f>IF(OR(C16="",F16="",J16="",M16="",O16="",Q16="",S16="",W16="",Z16="",AB16="",AD16="",AF16=""),"",IF((M16*O16)&lt;=(Z16*AB16),"0",AX16-AY16))</f>
        <v/>
      </c>
      <c r="BB16" s="1064" t="str">
        <f>IF(OR(C16="",F16="",J16="",M16="",O16="",Q16="",S16="",W16="",Z16="",AB16="",AD16="",AF16=""),"",IF(M02S02F46="Electric Only",0,IF(OR(ISNUMBER(SEARCH("Exterior",S16)),ISNUMBER(SEARCH("Exterior",C16)),ISNUMBER(SEARCH("Exterior",F16))),0,IF(OR(M02S02F32="AC with Natural Gas Heat",M02S02F32="Natural Gas Heat Only"),(((O16*M16-AB16*Z16)/1000)*Q16*-INDEX(LightingWHF[Waste Heat Gas Heating IFTherms],MATCH(M02S02F26,LightingWHF[Building/Space Type],0))),0))))</f>
        <v/>
      </c>
      <c r="BC16" s="1103" t="str">
        <f>IFERROR(AH16/M02S02F35/BA16,"")</f>
        <v/>
      </c>
      <c r="BD16" s="1064" t="str">
        <f>IF(OR(C16="",F16="",J16="",M16="",O16="",Q16="",S16="",W16="",Z16="",AB16="",AD16="",AF16=""),"",IF(M02S02F46="Gas Only",0,IF(OR(ISNUMBER(SEARCH("Exterior",S16)),ISNUMBER(SEARCH("Exterior",C16)),ISNUMBER(SEARCH("Exterior",F16))),0,IF(M02S02F32="Heat Pump",(((O16*M16-AB16*Z16)/1000)*Q16*-INDEX(LightingWHF[Waste Heat Electric Heat Pump Heating IFkWh],MATCH(M02S02F26,LightingWHF[Building/Space Type],0))),
IF(OR(M02S02F32="AC with Electric Heat",M02S02F32="Electric Heat Only"),(((O16*M16-AB16*Z16)/1000)*Q16*-INDEX(LightingWHF[Waste Heat Electric Resistance Heating IFkWh],MATCH(M02S02F26,LightingWHF[Building/Space Type],0))),0
)))))</f>
        <v/>
      </c>
      <c r="BE16" s="1064" t="str">
        <f>IF(OR(C16="",F16="",J16="",M16="",O16="",Q16="",S16="",W16="",Z16="",AB16="",AD16="",AF16=""),"",IF(M02S02F46="Gas Only",0,IF(OR(ISNUMBER(SEARCH("Exterior",S16)),ISNUMBER(SEARCH("Exterior",C16)),ISNUMBER(SEARCH("Exterior",F16))),1,IF(OR(M02S02F32="Heat Pump",M02S02F32="AC with Natural Gas Heat",M02S02F32="AC with Electric Heat"),(INDEX(LightingWHF[Waste Heat Cooling Energy WHFe],MATCH(M02S02F26,LightingWHF[Building/Space Type],0))),1))))</f>
        <v/>
      </c>
      <c r="BF16" s="1103" t="str">
        <f>IFERROR(IF((M16*O16)&lt;=(Z16*AB16),MEASURESAVE,IF(M02S02F35="",MEASURERATE,IF(AH16/M02S02F35/BA16&lt;1,MEASUREPAY,IF(AV16&lt;1,MEASURECB,IF(OR(ISBLANK(M02S02F26),ISBLANK(M02S02F32),ISBLANK(M02S02F46)),MEASUREBLDG,""))))),MEASURESUBMIT)</f>
        <v>Submit for Review</v>
      </c>
      <c r="BH16" s="1064" t="str">
        <f ca="1">IF(OR(C16="",F16="",J16="",M16="",O16="",Q16="",S16="",W16="",Z16="",AB16="",AD16="",AF16=""),"",IF('M01-S01'!$V$82&lt;TODAY(),0,IF(M02S02F46="Gas Only",0,IF(OR(AK16="",AK16&lt;0,AU16&lt;=AN16),0,MIN(AH16-AN16,ROUND(AN16*0.2,2))))))</f>
        <v/>
      </c>
    </row>
    <row r="17" spans="2:60" ht="15.95" customHeight="1">
      <c r="B17" s="835"/>
      <c r="C17" s="840"/>
      <c r="D17" s="841"/>
      <c r="E17" s="842"/>
      <c r="F17" s="840"/>
      <c r="G17" s="841"/>
      <c r="H17" s="841"/>
      <c r="I17" s="842"/>
      <c r="J17" s="1094"/>
      <c r="K17" s="1094"/>
      <c r="L17" s="1094"/>
      <c r="M17" s="1084"/>
      <c r="N17" s="1084"/>
      <c r="O17" s="1087"/>
      <c r="P17" s="1088"/>
      <c r="Q17" s="1091"/>
      <c r="R17" s="1092"/>
      <c r="S17" s="856"/>
      <c r="T17" s="841"/>
      <c r="U17" s="841"/>
      <c r="V17" s="842"/>
      <c r="W17" s="1094"/>
      <c r="X17" s="1094"/>
      <c r="Y17" s="1094"/>
      <c r="Z17" s="1084"/>
      <c r="AA17" s="1084"/>
      <c r="AB17" s="1096"/>
      <c r="AC17" s="1096"/>
      <c r="AD17" s="1098"/>
      <c r="AE17" s="1098"/>
      <c r="AF17" s="1098"/>
      <c r="AG17" s="1100"/>
      <c r="AH17" s="870"/>
      <c r="AI17" s="1102"/>
      <c r="AJ17" s="1102"/>
      <c r="AK17" s="942"/>
      <c r="AL17" s="1111"/>
      <c r="AM17" s="1111"/>
      <c r="AN17" s="1106"/>
      <c r="AO17" s="1106"/>
      <c r="AP17" s="1106"/>
      <c r="AQ17" s="1106"/>
      <c r="AR17" s="59"/>
      <c r="AU17" s="1108"/>
      <c r="AV17" s="1108"/>
      <c r="AW17" s="907"/>
      <c r="AX17" s="817"/>
      <c r="AY17" s="817"/>
      <c r="AZ17" s="879"/>
      <c r="BA17" s="817"/>
      <c r="BB17" s="1002"/>
      <c r="BC17" s="1104"/>
      <c r="BD17" s="1002"/>
      <c r="BE17" s="1002"/>
      <c r="BF17" s="1104"/>
      <c r="BH17" s="1002"/>
    </row>
    <row r="18" spans="2:60" ht="15.95" customHeight="1">
      <c r="B18" s="834">
        <v>2</v>
      </c>
      <c r="C18" s="1093"/>
      <c r="D18" s="1093"/>
      <c r="E18" s="1093"/>
      <c r="F18" s="871"/>
      <c r="G18" s="872"/>
      <c r="H18" s="872"/>
      <c r="I18" s="873"/>
      <c r="J18" s="1093"/>
      <c r="K18" s="1093"/>
      <c r="L18" s="1093"/>
      <c r="M18" s="1083"/>
      <c r="N18" s="1083"/>
      <c r="O18" s="1085" t="str">
        <f>IFERROR(IF(F18="","",INDEX(CMLIGHTBASE[Base Watt 1],MATCH(F18,CMLIGHTBASE[Base Desc 1],0))),"")</f>
        <v/>
      </c>
      <c r="P18" s="1086"/>
      <c r="Q18" s="1089"/>
      <c r="R18" s="1090"/>
      <c r="S18" s="890"/>
      <c r="T18" s="872"/>
      <c r="U18" s="872"/>
      <c r="V18" s="873"/>
      <c r="W18" s="1093"/>
      <c r="X18" s="1093"/>
      <c r="Y18" s="1093"/>
      <c r="Z18" s="1083"/>
      <c r="AA18" s="1083"/>
      <c r="AB18" s="1095"/>
      <c r="AC18" s="1095"/>
      <c r="AD18" s="1097"/>
      <c r="AE18" s="1097"/>
      <c r="AF18" s="1097"/>
      <c r="AG18" s="1099"/>
      <c r="AH18" s="924" t="str">
        <f t="shared" ref="AH18" si="0">IFERROR(IF(OR(C18="",J18="",M18="",O18="",Q18="",W18="",Z18="",AB18="",AD18="",AF18=""),"",ROUND((AD18+AF18)*Z18,2)),"")</f>
        <v/>
      </c>
      <c r="AI18" s="1101"/>
      <c r="AJ18" s="1101"/>
      <c r="AK18" s="910" t="str">
        <f t="shared" ref="AK18" si="1">IFERROR(IF(OR(C18="",F18="",J18="",M18="",O18="",Q18="",S18="",W18="",Z18="",AB18="",AD18="",AF18=""),"",ROUND(IF((M18*O18)&lt;=(Z18*AB18),"0",(AX18-AY18+BD18)*BE18),2)),"")</f>
        <v/>
      </c>
      <c r="AL18" s="911"/>
      <c r="AM18" s="975"/>
      <c r="AN18" s="1105" t="str">
        <f>IFERROR(IF(OR(C18="",F18="",J18="",M18="",O18="",Q18="",S18="",W18="",Z18="",AB18="",AD18="",AF18=""),"",IF(OR(ISNUMBER(SEARCH("~~",F18)),ISNUMBER(SEARCH("~~",S18))),"Invalid Fixture Type Selected",IF(BF18&lt;&gt;"",BF18,ROUND(MIN(AH18*0.75,AK18*INDEX(INCRATE[Electric],MATCH("CMLIGHT",INCRATE[Incentive Type]))),2)))),"")</f>
        <v/>
      </c>
      <c r="AO18" s="1105"/>
      <c r="AP18" s="1105"/>
      <c r="AQ18" s="1105"/>
      <c r="AR18" s="59"/>
      <c r="AU18" s="1109" t="str">
        <f>IF(F18="","",INDEX(CUSTLIGHTUNIT,MATCH(F18,CMELIGHTBASE1,0)))</f>
        <v/>
      </c>
      <c r="AV18" s="1107" t="str">
        <f>IFERROR(IF(OR(C18="",F18="",J18="",M18="",O18="",Q18="",S18="",W18="",Z18="",AB18="",AD18="",AF18=""),"",((((1+ELOSS)*((AK18*INDEX(ELECCB[NPV AEC $/kWh],MATCH(15,ELECCB[Year Number],0)))+(AW18*INDEX(ELECCB[NPV ACC+T&amp;D $/kW],MATCH(15,ELECCB[Year Number],0)))))+((1+GLOSS)*((BB18*INDEX(GASCB[NPV GAEC $/therm],MATCH(15,GASCB[Year Number],1))))))/AH18)),"")</f>
        <v/>
      </c>
      <c r="AW18" s="906" t="str">
        <f>IFERROR(IF(OR(C18="",F18="",J18="",M18="",O18="",Q18="",S18="",W18="",Z18="",AB18="",AD18="",AF18=""),"",IF(OR(ISNUMBER(SEARCH("Exterior",C18)),((M18*O18)&lt;=(Z18*AB18)),ISNUMBER(SEARCH("Exterior",S18)),ISNUMBER(SEARCH("Exterior",F18))),0,ROUND((((M18*O18)-(Z18*AB18))/1000)*INDEX(LightingWHF[Coincidence Factor CF],MATCH(M02S02F26,LightingWHF[Building/Space Type],0))*IF(OR(M02S02F32="AC with Natural Gas Heat",M02S02F32="AC with Electric Heat",M02S02F32="Heat Pump"),INDEX(LightingWHF[Waste Heat Cooling Demand WHFd],MATCH(M02S02F26,LightingWHF[Building/Space Type],0)),1),3))),"")</f>
        <v/>
      </c>
      <c r="AX18" s="816" t="str">
        <f t="shared" ref="AX18" si="2">IF(OR(C18="",F18="",J18="",M18="",O18="",Q18="",S18="",W18="",Z18="",AB18="",AD18="",AF18=""),"",ROUND(M18*O18*Q18/1000,2))</f>
        <v/>
      </c>
      <c r="AY18" s="816" t="str">
        <f t="shared" ref="AY18" si="3">IF(OR(C18="",F18="",J18="",M18="",O18="",Q18="",S18="",W18="",Z18="",AB18="",AD18="",AF18=""),"",ROUND(Z18*AB18*Q18/1000,2))</f>
        <v/>
      </c>
      <c r="AZ18" s="878" t="str">
        <f>IF(OR(C18="",F18="",J18="",M18="",O18="",Q18="",S18="",W18="",Z18="",AB18="",AD18="",AF18=""),"",IF(ISNUMBER(AN18),(CONCATENATE(INDEX(CMLIGHTBASE[Measure Number],MATCH(F18,CMLIGHTBASE[Base Desc 1],0)),INDEX(CMLIGHTEFF[Measure Number],MATCH(S18,CMLIGHTEFF[Eff Desc 1],0)))),IF(AK18=0,"","000001")))</f>
        <v/>
      </c>
      <c r="BA18" s="816" t="str">
        <f t="shared" ref="BA18" si="4">IF(OR(C18="",F18="",J18="",M18="",O18="",Q18="",S18="",W18="",Z18="",AB18="",AD18="",AF18=""),"",IF((M18*O18)&lt;=(Z18*AB18),"0",AX18-AY18))</f>
        <v/>
      </c>
      <c r="BB18" s="1064" t="str">
        <f>IF(OR(C18="",F18="",J18="",M18="",O18="",Q18="",S18="",W18="",Z18="",AB18="",AD18="",AF18=""),"",IF(M02S02F46="Electric Only",0,IF(OR(ISNUMBER(SEARCH("Exterior",S18)),ISNUMBER(SEARCH("Exterior",C18)),ISNUMBER(SEARCH("Exterior",F18))),0,IF(OR(M02S02F32="AC with Natural Gas Heat",M02S02F32="Natural Gas Heat Only"),(((O18*M18-AB18*Z18)/1000)*Q18*-INDEX(LightingWHF[Waste Heat Gas Heating IFTherms],MATCH(M02S02F26,LightingWHF[Building/Space Type],0))),0))))</f>
        <v/>
      </c>
      <c r="BC18" s="1103" t="str">
        <f>IFERROR(AH18/M02S02F35/BA18,"")</f>
        <v/>
      </c>
      <c r="BD18" s="1064" t="str">
        <f>IF(OR(C18="",F18="",J18="",M18="",O18="",Q18="",S18="",W18="",Z18="",AB18="",AD18="",AF18=""),"",IF(M02S02F46="Gas Only",0,IF(OR(ISNUMBER(SEARCH("Exterior",S18)),ISNUMBER(SEARCH("Exterior",C18)),ISNUMBER(SEARCH("Exterior",F18))),0,IF(M02S02F32="Heat Pump",(((O18*M18-AB18*Z18)/1000)*Q18*-INDEX(LightingWHF[Waste Heat Electric Heat Pump Heating IFkWh],MATCH(M02S02F26,LightingWHF[Building/Space Type],0))),
IF(OR(M02S02F32="AC with Electric Heat",M02S02F32="Electric Heat Only"),(((O18*M18-AB18*Z18)/1000)*Q18*-INDEX(LightingWHF[Waste Heat Electric Resistance Heating IFkWh],MATCH(M02S02F26,LightingWHF[Building/Space Type],0))),0
)))))</f>
        <v/>
      </c>
      <c r="BE18" s="1064" t="str">
        <f>IF(OR(C18="",F18="",J18="",M18="",O18="",Q18="",S18="",W18="",Z18="",AB18="",AD18="",AF18=""),"",IF(M02S02F46="Gas Only",0,IF(OR(ISNUMBER(SEARCH("Exterior",S18)),ISNUMBER(SEARCH("Exterior",C18)),ISNUMBER(SEARCH("Exterior",F18))),1,IF(OR(M02S02F32="Heat Pump",M02S02F32="AC with Natural Gas Heat",M02S02F32="AC with Electric Heat"),(INDEX(LightingWHF[Waste Heat Cooling Energy WHFe],MATCH(M02S02F26,LightingWHF[Building/Space Type],0))),1))))</f>
        <v/>
      </c>
      <c r="BF18" s="1103" t="str">
        <f>IFERROR(IF((M18*O18)&lt;=(Z18*AB18),MEASURESAVE,IF(M02S02F35="",MEASURERATE,IF(AH18/M02S02F35/BA18&lt;1,MEASUREPAY,IF(AV18&lt;1,MEASURECB,IF(OR(ISBLANK(M02S02F26),ISBLANK(M02S02F32),ISBLANK(M02S02F46)),MEASUREBLDG,""))))),MEASURESUBMIT)</f>
        <v>Submit for Review</v>
      </c>
      <c r="BH18" s="1001" t="str">
        <f ca="1">IF(OR(C18="",F18="",J18="",M18="",O18="",Q18="",S18="",W18="",Z18="",AB18="",AD18="",AF18=""),"",IF('M01-S01'!$V$82&lt;TODAY(),0,IF(M02S02F46="Gas Only",0,IF(OR(AK18="",AK18&lt;0,AU18&lt;=AN18),0,MIN(AH18-AN18,ROUND(AN18*0.2,2))))))</f>
        <v/>
      </c>
    </row>
    <row r="19" spans="2:60" ht="15.95" customHeight="1">
      <c r="B19" s="834"/>
      <c r="C19" s="1094"/>
      <c r="D19" s="1094"/>
      <c r="E19" s="1094"/>
      <c r="F19" s="840"/>
      <c r="G19" s="841"/>
      <c r="H19" s="841"/>
      <c r="I19" s="842"/>
      <c r="J19" s="1094"/>
      <c r="K19" s="1094"/>
      <c r="L19" s="1094"/>
      <c r="M19" s="1084"/>
      <c r="N19" s="1084"/>
      <c r="O19" s="1087"/>
      <c r="P19" s="1088"/>
      <c r="Q19" s="1091"/>
      <c r="R19" s="1092"/>
      <c r="S19" s="856"/>
      <c r="T19" s="841"/>
      <c r="U19" s="841"/>
      <c r="V19" s="842"/>
      <c r="W19" s="1094"/>
      <c r="X19" s="1094"/>
      <c r="Y19" s="1094"/>
      <c r="Z19" s="1084"/>
      <c r="AA19" s="1084"/>
      <c r="AB19" s="1096"/>
      <c r="AC19" s="1096"/>
      <c r="AD19" s="1098"/>
      <c r="AE19" s="1098"/>
      <c r="AF19" s="1098"/>
      <c r="AG19" s="1100"/>
      <c r="AH19" s="870"/>
      <c r="AI19" s="1102"/>
      <c r="AJ19" s="1102"/>
      <c r="AK19" s="912"/>
      <c r="AL19" s="913"/>
      <c r="AM19" s="942"/>
      <c r="AN19" s="1106"/>
      <c r="AO19" s="1106"/>
      <c r="AP19" s="1106"/>
      <c r="AQ19" s="1106"/>
      <c r="AR19" s="59"/>
      <c r="AU19" s="1108"/>
      <c r="AV19" s="1108"/>
      <c r="AW19" s="907"/>
      <c r="AX19" s="817"/>
      <c r="AY19" s="817"/>
      <c r="AZ19" s="879"/>
      <c r="BA19" s="817"/>
      <c r="BB19" s="1002"/>
      <c r="BC19" s="1104"/>
      <c r="BD19" s="1002"/>
      <c r="BE19" s="1002"/>
      <c r="BF19" s="1104"/>
      <c r="BH19" s="1002"/>
    </row>
    <row r="20" spans="2:60" ht="15.95" customHeight="1">
      <c r="B20" s="834">
        <v>3</v>
      </c>
      <c r="C20" s="1093"/>
      <c r="D20" s="1093"/>
      <c r="E20" s="1093"/>
      <c r="F20" s="871"/>
      <c r="G20" s="872"/>
      <c r="H20" s="872"/>
      <c r="I20" s="873"/>
      <c r="J20" s="1093"/>
      <c r="K20" s="1093"/>
      <c r="L20" s="1093"/>
      <c r="M20" s="1083"/>
      <c r="N20" s="1083"/>
      <c r="O20" s="1085"/>
      <c r="P20" s="1086"/>
      <c r="Q20" s="1089"/>
      <c r="R20" s="1090"/>
      <c r="S20" s="890"/>
      <c r="T20" s="872"/>
      <c r="U20" s="872"/>
      <c r="V20" s="873"/>
      <c r="W20" s="1093"/>
      <c r="X20" s="1093"/>
      <c r="Y20" s="1093"/>
      <c r="Z20" s="1083"/>
      <c r="AA20" s="1083"/>
      <c r="AB20" s="1095"/>
      <c r="AC20" s="1095"/>
      <c r="AD20" s="1097"/>
      <c r="AE20" s="1097"/>
      <c r="AF20" s="1097"/>
      <c r="AG20" s="1099"/>
      <c r="AH20" s="924" t="str">
        <f t="shared" ref="AH20" si="5">IFERROR(IF(OR(C20="",J20="",M20="",O20="",Q20="",W20="",Z20="",AB20="",AD20="",AF20=""),"",ROUND((AD20+AF20)*Z20,2)),"")</f>
        <v/>
      </c>
      <c r="AI20" s="1101"/>
      <c r="AJ20" s="1101"/>
      <c r="AK20" s="910" t="str">
        <f t="shared" ref="AK20" si="6">IFERROR(IF(OR(C20="",F20="",J20="",M20="",O20="",Q20="",S20="",W20="",Z20="",AB20="",AD20="",AF20=""),"",ROUND(IF((M20*O20)&lt;=(Z20*AB20),"0",(AX20-AY20+BD20)*BE20),2)),"")</f>
        <v/>
      </c>
      <c r="AL20" s="911"/>
      <c r="AM20" s="975"/>
      <c r="AN20" s="1105" t="str">
        <f>IFERROR(IF(OR(C20="",F20="",J20="",M20="",O20="",Q20="",S20="",W20="",Z20="",AB20="",AD20="",AF20=""),"",IF(OR(ISNUMBER(SEARCH("~~",F20)),ISNUMBER(SEARCH("~~",S20))),"Invalid Fixture Type Selected",IF(BF20&lt;&gt;"",BF20,ROUND(MIN(AH20*0.75,AK20*INDEX(INCRATE[Electric],MATCH("CMLIGHT",INCRATE[Incentive Type]))),2)))),"")</f>
        <v/>
      </c>
      <c r="AO20" s="1105"/>
      <c r="AP20" s="1105"/>
      <c r="AQ20" s="1105"/>
      <c r="AR20" s="59"/>
      <c r="AU20" s="1109" t="str">
        <f>IF(F20="","",INDEX(CUSTLIGHTUNIT,MATCH(F20,CMELIGHTBASE1,0)))</f>
        <v/>
      </c>
      <c r="AV20" s="1107" t="str">
        <f>IFERROR(IF(OR(C20="",F20="",J20="",M20="",O20="",Q20="",S20="",W20="",Z20="",AB20="",AD20="",AF20=""),"",((((1+ELOSS)*((AK20*INDEX(ELECCB[NPV AEC $/kWh],MATCH(15,ELECCB[Year Number],0)))+(AW20*INDEX(ELECCB[NPV ACC+T&amp;D $/kW],MATCH(15,ELECCB[Year Number],0)))))+((1+GLOSS)*((BB20*INDEX(GASCB[NPV GAEC $/therm],MATCH(15,GASCB[Year Number],1))))))/AH20)),"")</f>
        <v/>
      </c>
      <c r="AW20" s="906" t="str">
        <f>IFERROR(IF(OR(C20="",F20="",J20="",M20="",O20="",Q20="",S20="",W20="",Z20="",AB20="",AD20="",AF20=""),"",IF(OR(ISNUMBER(SEARCH("Exterior",C20)),((M20*O20)&lt;=(Z20*AB20)),ISNUMBER(SEARCH("Exterior",S20)),ISNUMBER(SEARCH("Exterior",F20))),0,ROUND((((M20*O20)-(Z20*AB20))/1000)*INDEX(LightingWHF[Coincidence Factor CF],MATCH(M02S02F26,LightingWHF[Building/Space Type],0))*IF(OR(M02S02F32="AC with Natural Gas Heat",M02S02F32="AC with Electric Heat",M02S02F32="Heat Pump"),INDEX(LightingWHF[Waste Heat Cooling Demand WHFd],MATCH(M02S02F26,LightingWHF[Building/Space Type],0)),1),3))),"")</f>
        <v/>
      </c>
      <c r="AX20" s="816" t="str">
        <f t="shared" ref="AX20" si="7">IF(OR(C20="",F20="",J20="",M20="",O20="",Q20="",S20="",W20="",Z20="",AB20="",AD20="",AF20=""),"",ROUND(M20*O20*Q20/1000,2))</f>
        <v/>
      </c>
      <c r="AY20" s="816" t="str">
        <f t="shared" ref="AY20" si="8">IF(OR(C20="",F20="",J20="",M20="",O20="",Q20="",S20="",W20="",Z20="",AB20="",AD20="",AF20=""),"",ROUND(Z20*AB20*Q20/1000,2))</f>
        <v/>
      </c>
      <c r="AZ20" s="878" t="str">
        <f>IF(OR(C20="",F20="",J20="",M20="",O20="",Q20="",S20="",W20="",Z20="",AB20="",AD20="",AF20=""),"",IF(ISNUMBER(AN20),(CONCATENATE(INDEX(CMLIGHTBASE[Measure Number],MATCH(F20,CMLIGHTBASE[Base Desc 1],0)),INDEX(CMLIGHTEFF[Measure Number],MATCH(S20,CMLIGHTEFF[Eff Desc 1],0)))),IF(AK20=0,"","000001")))</f>
        <v/>
      </c>
      <c r="BA20" s="816" t="str">
        <f t="shared" ref="BA20" si="9">IF(OR(C20="",F20="",J20="",M20="",O20="",Q20="",S20="",W20="",Z20="",AB20="",AD20="",AF20=""),"",IF((M20*O20)&lt;=(Z20*AB20),"0",AX20-AY20))</f>
        <v/>
      </c>
      <c r="BB20" s="1064" t="str">
        <f>IF(OR(C20="",F20="",J20="",M20="",O20="",Q20="",S20="",W20="",Z20="",AB20="",AD20="",AF20=""),"",IF(M02S02F46="Electric Only",0,IF(OR(ISNUMBER(SEARCH("Exterior",S20)),ISNUMBER(SEARCH("Exterior",C20)),ISNUMBER(SEARCH("Exterior",F20))),0,IF(OR(M02S02F32="AC with Natural Gas Heat",M02S02F32="Natural Gas Heat Only"),(((O20*M20-AB20*Z20)/1000)*Q20*-INDEX(LightingWHF[Waste Heat Gas Heating IFTherms],MATCH(M02S02F26,LightingWHF[Building/Space Type],0))),0))))</f>
        <v/>
      </c>
      <c r="BC20" s="1103" t="str">
        <f>IFERROR(AH20/M02S02F35/BA20,"")</f>
        <v/>
      </c>
      <c r="BD20" s="1064" t="str">
        <f>IF(OR(C20="",F20="",J20="",M20="",O20="",Q20="",S20="",W20="",Z20="",AB20="",AD20="",AF20=""),"",IF(M02S02F46="Gas Only",0,IF(OR(ISNUMBER(SEARCH("Exterior",S20)),ISNUMBER(SEARCH("Exterior",C20)),ISNUMBER(SEARCH("Exterior",F20))),0,IF(M02S02F32="Heat Pump",(((O20*M20-AB20*Z20)/1000)*Q20*-INDEX(LightingWHF[Waste Heat Electric Heat Pump Heating IFkWh],MATCH(M02S02F26,LightingWHF[Building/Space Type],0))),
IF(OR(M02S02F32="AC with Electric Heat",M02S02F32="Electric Heat Only"),(((O20*M20-AB20*Z20)/1000)*Q20*-INDEX(LightingWHF[Waste Heat Electric Resistance Heating IFkWh],MATCH(M02S02F26,LightingWHF[Building/Space Type],0))),0
)))))</f>
        <v/>
      </c>
      <c r="BE20" s="1064" t="str">
        <f>IF(OR(C20="",F20="",J20="",M20="",O20="",Q20="",S20="",W20="",Z20="",AB20="",AD20="",AF20=""),"",IF(M02S02F46="Gas Only",0,IF(OR(ISNUMBER(SEARCH("Exterior",S20)),ISNUMBER(SEARCH("Exterior",C20)),ISNUMBER(SEARCH("Exterior",F20))),1,IF(OR(M02S02F32="Heat Pump",M02S02F32="AC with Natural Gas Heat",M02S02F32="AC with Electric Heat"),(INDEX(LightingWHF[Waste Heat Cooling Energy WHFe],MATCH(M02S02F26,LightingWHF[Building/Space Type],0))),1))))</f>
        <v/>
      </c>
      <c r="BF20" s="1103" t="str">
        <f>IFERROR(IF((M20*O20)&lt;=(Z20*AB20),MEASURESAVE,IF(M02S02F35="",MEASURERATE,IF(AH20/M02S02F35/BA20&lt;1,MEASUREPAY,IF(AV20&lt;1,MEASURECB,IF(OR(ISBLANK(M02S02F26),ISBLANK(M02S02F32),ISBLANK(M02S02F46)),MEASUREBLDG,""))))),MEASURESUBMIT)</f>
        <v>No Savings</v>
      </c>
      <c r="BH20" s="1001" t="str">
        <f ca="1">IF(OR(C20="",F20="",J20="",M20="",O20="",Q20="",S20="",W20="",Z20="",AB20="",AD20="",AF20=""),"",IF('M01-S01'!$V$82&lt;TODAY(),0,IF(M02S02F46="Gas Only",0,IF(OR(AK20="",AK20&lt;0,AU20&lt;=AN20),0,MIN(AH20-AN20,ROUND(AN20*0.2,2))))))</f>
        <v/>
      </c>
    </row>
    <row r="21" spans="2:60" ht="15.95" customHeight="1">
      <c r="B21" s="834"/>
      <c r="C21" s="1094"/>
      <c r="D21" s="1094"/>
      <c r="E21" s="1094"/>
      <c r="F21" s="840"/>
      <c r="G21" s="841"/>
      <c r="H21" s="841"/>
      <c r="I21" s="842"/>
      <c r="J21" s="1094"/>
      <c r="K21" s="1094"/>
      <c r="L21" s="1094"/>
      <c r="M21" s="1084"/>
      <c r="N21" s="1084"/>
      <c r="O21" s="1087"/>
      <c r="P21" s="1088"/>
      <c r="Q21" s="1091"/>
      <c r="R21" s="1092"/>
      <c r="S21" s="856"/>
      <c r="T21" s="841"/>
      <c r="U21" s="841"/>
      <c r="V21" s="842"/>
      <c r="W21" s="1094"/>
      <c r="X21" s="1094"/>
      <c r="Y21" s="1094"/>
      <c r="Z21" s="1084"/>
      <c r="AA21" s="1084"/>
      <c r="AB21" s="1096"/>
      <c r="AC21" s="1096"/>
      <c r="AD21" s="1098"/>
      <c r="AE21" s="1098"/>
      <c r="AF21" s="1098"/>
      <c r="AG21" s="1100"/>
      <c r="AH21" s="870"/>
      <c r="AI21" s="1102"/>
      <c r="AJ21" s="1102"/>
      <c r="AK21" s="912"/>
      <c r="AL21" s="913"/>
      <c r="AM21" s="942"/>
      <c r="AN21" s="1106"/>
      <c r="AO21" s="1106"/>
      <c r="AP21" s="1106"/>
      <c r="AQ21" s="1106"/>
      <c r="AR21" s="59"/>
      <c r="AU21" s="1108"/>
      <c r="AV21" s="1108"/>
      <c r="AW21" s="907"/>
      <c r="AX21" s="817"/>
      <c r="AY21" s="817"/>
      <c r="AZ21" s="879"/>
      <c r="BA21" s="817"/>
      <c r="BB21" s="1002"/>
      <c r="BC21" s="1104"/>
      <c r="BD21" s="1002"/>
      <c r="BE21" s="1002"/>
      <c r="BF21" s="1104"/>
      <c r="BH21" s="1002"/>
    </row>
    <row r="22" spans="2:60" ht="15.95" customHeight="1">
      <c r="B22" s="834">
        <v>4</v>
      </c>
      <c r="C22" s="1093"/>
      <c r="D22" s="1093"/>
      <c r="E22" s="1093"/>
      <c r="F22" s="871"/>
      <c r="G22" s="872"/>
      <c r="H22" s="872"/>
      <c r="I22" s="873"/>
      <c r="J22" s="1093"/>
      <c r="K22" s="1093"/>
      <c r="L22" s="1093"/>
      <c r="M22" s="1083"/>
      <c r="N22" s="1083"/>
      <c r="O22" s="1085" t="str">
        <f>IFERROR(IF(F22="","",INDEX(CMLIGHTBASE[Base Watt 1],MATCH(F22,CMLIGHTBASE[Base Desc 1],0))),"")</f>
        <v/>
      </c>
      <c r="P22" s="1086"/>
      <c r="Q22" s="1089"/>
      <c r="R22" s="1090"/>
      <c r="S22" s="890"/>
      <c r="T22" s="872"/>
      <c r="U22" s="872"/>
      <c r="V22" s="873"/>
      <c r="W22" s="1093"/>
      <c r="X22" s="1093"/>
      <c r="Y22" s="1093"/>
      <c r="Z22" s="1083"/>
      <c r="AA22" s="1083"/>
      <c r="AB22" s="1095"/>
      <c r="AC22" s="1095"/>
      <c r="AD22" s="1097"/>
      <c r="AE22" s="1097"/>
      <c r="AF22" s="1097"/>
      <c r="AG22" s="1099"/>
      <c r="AH22" s="924" t="str">
        <f t="shared" ref="AH22" si="10">IFERROR(IF(OR(C22="",J22="",M22="",O22="",Q22="",W22="",Z22="",AB22="",AD22="",AF22=""),"",ROUND((AD22+AF22)*Z22,2)),"")</f>
        <v/>
      </c>
      <c r="AI22" s="1101"/>
      <c r="AJ22" s="1101"/>
      <c r="AK22" s="910" t="str">
        <f t="shared" ref="AK22" si="11">IFERROR(IF(OR(C22="",F22="",J22="",M22="",O22="",Q22="",S22="",W22="",Z22="",AB22="",AD22="",AF22=""),"",ROUND(IF((M22*O22)&lt;=(Z22*AB22),"0",(AX22-AY22+BD22)*BE22),2)),"")</f>
        <v/>
      </c>
      <c r="AL22" s="911"/>
      <c r="AM22" s="975"/>
      <c r="AN22" s="1105" t="str">
        <f>IFERROR(IF(OR(C22="",F22="",J22="",M22="",O22="",Q22="",S22="",W22="",Z22="",AB22="",AD22="",AF22=""),"",IF(OR(ISNUMBER(SEARCH("~~",F22)),ISNUMBER(SEARCH("~~",S22))),"Invalid Fixture Type Selected",IF(BF22&lt;&gt;"",BF22,ROUND(MIN(AH22*0.75,AK22*INDEX(INCRATE[Electric],MATCH("CMLIGHT",INCRATE[Incentive Type]))),2)))),"")</f>
        <v/>
      </c>
      <c r="AO22" s="1105"/>
      <c r="AP22" s="1105"/>
      <c r="AQ22" s="1105"/>
      <c r="AR22" s="59"/>
      <c r="AU22" s="1109" t="str">
        <f>IF(F22="","",INDEX(CUSTLIGHTUNIT,MATCH(F22,CMELIGHTBASE1,0)))</f>
        <v/>
      </c>
      <c r="AV22" s="1107" t="str">
        <f>IFERROR(IF(OR(C22="",F22="",J22="",M22="",O22="",Q22="",S22="",W22="",Z22="",AB22="",AD22="",AF22=""),"",((((1+ELOSS)*((AK22*INDEX(ELECCB[NPV AEC $/kWh],MATCH(15,ELECCB[Year Number],0)))+(AW22*INDEX(ELECCB[NPV ACC+T&amp;D $/kW],MATCH(15,ELECCB[Year Number],0)))))+((1+GLOSS)*((BB22*INDEX(GASCB[NPV GAEC $/therm],MATCH(15,GASCB[Year Number],1))))))/AH22)),"")</f>
        <v/>
      </c>
      <c r="AW22" s="906" t="str">
        <f>IFERROR(IF(OR(C22="",F22="",J22="",M22="",O22="",Q22="",S22="",W22="",Z22="",AB22="",AD22="",AF22=""),"",IF(OR(ISNUMBER(SEARCH("Exterior",C22)),((M22*O22)&lt;=(Z22*AB22)),ISNUMBER(SEARCH("Exterior",S22)),ISNUMBER(SEARCH("Exterior",F22))),0,ROUND((((M22*O22)-(Z22*AB22))/1000)*INDEX(LightingWHF[Coincidence Factor CF],MATCH(M02S02F26,LightingWHF[Building/Space Type],0))*IF(OR(M02S02F32="AC with Natural Gas Heat",M02S02F32="AC with Electric Heat",M02S02F32="Heat Pump"),INDEX(LightingWHF[Waste Heat Cooling Demand WHFd],MATCH(M02S02F26,LightingWHF[Building/Space Type],0)),1),3))),"")</f>
        <v/>
      </c>
      <c r="AX22" s="816" t="str">
        <f t="shared" ref="AX22" si="12">IF(OR(C22="",F22="",J22="",M22="",O22="",Q22="",S22="",W22="",Z22="",AB22="",AD22="",AF22=""),"",ROUND(M22*O22*Q22/1000,2))</f>
        <v/>
      </c>
      <c r="AY22" s="816" t="str">
        <f t="shared" ref="AY22" si="13">IF(OR(C22="",F22="",J22="",M22="",O22="",Q22="",S22="",W22="",Z22="",AB22="",AD22="",AF22=""),"",ROUND(Z22*AB22*Q22/1000,2))</f>
        <v/>
      </c>
      <c r="AZ22" s="878" t="str">
        <f>IF(OR(C22="",F22="",J22="",M22="",O22="",Q22="",S22="",W22="",Z22="",AB22="",AD22="",AF22=""),"",IF(ISNUMBER(AN22),(CONCATENATE(INDEX(CMLIGHTBASE[Measure Number],MATCH(F22,CMLIGHTBASE[Base Desc 1],0)),INDEX(CMLIGHTEFF[Measure Number],MATCH(S22,CMLIGHTEFF[Eff Desc 1],0)))),IF(AK22=0,"","000001")))</f>
        <v/>
      </c>
      <c r="BA22" s="816" t="str">
        <f t="shared" ref="BA22" si="14">IF(OR(C22="",F22="",J22="",M22="",O22="",Q22="",S22="",W22="",Z22="",AB22="",AD22="",AF22=""),"",IF((M22*O22)&lt;=(Z22*AB22),"0",AX22-AY22))</f>
        <v/>
      </c>
      <c r="BB22" s="1064" t="str">
        <f>IF(OR(C22="",F22="",J22="",M22="",O22="",Q22="",S22="",W22="",Z22="",AB22="",AD22="",AF22=""),"",IF(M02S02F46="Electric Only",0,IF(OR(ISNUMBER(SEARCH("Exterior",S22)),ISNUMBER(SEARCH("Exterior",C22)),ISNUMBER(SEARCH("Exterior",F22))),0,IF(OR(M02S02F32="AC with Natural Gas Heat",M02S02F32="Natural Gas Heat Only"),(((O22*M22-AB22*Z22)/1000)*Q22*-INDEX(LightingWHF[Waste Heat Gas Heating IFTherms],MATCH(M02S02F26,LightingWHF[Building/Space Type],0))),0))))</f>
        <v/>
      </c>
      <c r="BC22" s="1103" t="str">
        <f>IFERROR(AH22/M02S02F35/BA22,"")</f>
        <v/>
      </c>
      <c r="BD22" s="1064" t="str">
        <f>IF(OR(C22="",F22="",J22="",M22="",O22="",Q22="",S22="",W22="",Z22="",AB22="",AD22="",AF22=""),"",IF(M02S02F46="Gas Only",0,IF(OR(ISNUMBER(SEARCH("Exterior",S22)),ISNUMBER(SEARCH("Exterior",C22)),ISNUMBER(SEARCH("Exterior",F22))),0,IF(M02S02F32="Heat Pump",(((O22*M22-AB22*Z22)/1000)*Q22*-INDEX(LightingWHF[Waste Heat Electric Heat Pump Heating IFkWh],MATCH(M02S02F26,LightingWHF[Building/Space Type],0))),
IF(OR(M02S02F32="AC with Electric Heat",M02S02F32="Electric Heat Only"),(((O22*M22-AB22*Z22)/1000)*Q22*-INDEX(LightingWHF[Waste Heat Electric Resistance Heating IFkWh],MATCH(M02S02F26,LightingWHF[Building/Space Type],0))),0
)))))</f>
        <v/>
      </c>
      <c r="BE22" s="1064" t="str">
        <f>IF(OR(C22="",F22="",J22="",M22="",O22="",Q22="",S22="",W22="",Z22="",AB22="",AD22="",AF22=""),"",IF(M02S02F46="Gas Only",0,IF(OR(ISNUMBER(SEARCH("Exterior",S22)),ISNUMBER(SEARCH("Exterior",C22)),ISNUMBER(SEARCH("Exterior",F22))),1,IF(OR(M02S02F32="Heat Pump",M02S02F32="AC with Natural Gas Heat",M02S02F32="AC with Electric Heat"),(INDEX(LightingWHF[Waste Heat Cooling Energy WHFe],MATCH(M02S02F26,LightingWHF[Building/Space Type],0))),1))))</f>
        <v/>
      </c>
      <c r="BF22" s="1103" t="str">
        <f>IFERROR(IF((M22*O22)&lt;=(Z22*AB22),MEASURESAVE,IF(M02S02F35="",MEASURERATE,IF(AH22/M02S02F35/BA22&lt;1,MEASUREPAY,IF(AV22&lt;1,MEASURECB,IF(OR(ISBLANK(M02S02F26),ISBLANK(M02S02F32),ISBLANK(M02S02F46)),MEASUREBLDG,""))))),MEASURESUBMIT)</f>
        <v>Submit for Review</v>
      </c>
      <c r="BH22" s="1001" t="str">
        <f ca="1">IF(OR(C22="",F22="",J22="",M22="",O22="",Q22="",S22="",W22="",Z22="",AB22="",AD22="",AF22=""),"",IF('M01-S01'!$V$82&lt;TODAY(),0,IF(M02S02F46="Gas Only",0,IF(OR(AK22="",AK22&lt;0,AU22&lt;=AN22),0,MIN(AH22-AN22,ROUND(AN22*0.2,2))))))</f>
        <v/>
      </c>
    </row>
    <row r="23" spans="2:60" ht="15.95" customHeight="1">
      <c r="B23" s="834"/>
      <c r="C23" s="1094"/>
      <c r="D23" s="1094"/>
      <c r="E23" s="1094"/>
      <c r="F23" s="840"/>
      <c r="G23" s="841"/>
      <c r="H23" s="841"/>
      <c r="I23" s="842"/>
      <c r="J23" s="1094"/>
      <c r="K23" s="1094"/>
      <c r="L23" s="1094"/>
      <c r="M23" s="1084"/>
      <c r="N23" s="1084"/>
      <c r="O23" s="1087"/>
      <c r="P23" s="1088"/>
      <c r="Q23" s="1091"/>
      <c r="R23" s="1092"/>
      <c r="S23" s="856"/>
      <c r="T23" s="841"/>
      <c r="U23" s="841"/>
      <c r="V23" s="842"/>
      <c r="W23" s="1094"/>
      <c r="X23" s="1094"/>
      <c r="Y23" s="1094"/>
      <c r="Z23" s="1084"/>
      <c r="AA23" s="1084"/>
      <c r="AB23" s="1096"/>
      <c r="AC23" s="1096"/>
      <c r="AD23" s="1098"/>
      <c r="AE23" s="1098"/>
      <c r="AF23" s="1098"/>
      <c r="AG23" s="1100"/>
      <c r="AH23" s="870"/>
      <c r="AI23" s="1102"/>
      <c r="AJ23" s="1102"/>
      <c r="AK23" s="912"/>
      <c r="AL23" s="913"/>
      <c r="AM23" s="942"/>
      <c r="AN23" s="1106"/>
      <c r="AO23" s="1106"/>
      <c r="AP23" s="1106"/>
      <c r="AQ23" s="1106"/>
      <c r="AR23" s="59"/>
      <c r="AU23" s="1108"/>
      <c r="AV23" s="1108"/>
      <c r="AW23" s="907"/>
      <c r="AX23" s="817"/>
      <c r="AY23" s="817"/>
      <c r="AZ23" s="879"/>
      <c r="BA23" s="817"/>
      <c r="BB23" s="1002"/>
      <c r="BC23" s="1104"/>
      <c r="BD23" s="1002"/>
      <c r="BE23" s="1002"/>
      <c r="BF23" s="1104"/>
      <c r="BH23" s="1002"/>
    </row>
    <row r="24" spans="2:60" ht="15.95" customHeight="1">
      <c r="B24" s="834">
        <v>5</v>
      </c>
      <c r="C24" s="1093"/>
      <c r="D24" s="1093"/>
      <c r="E24" s="1093"/>
      <c r="F24" s="871"/>
      <c r="G24" s="872"/>
      <c r="H24" s="872"/>
      <c r="I24" s="873"/>
      <c r="J24" s="1093"/>
      <c r="K24" s="1093"/>
      <c r="L24" s="1093"/>
      <c r="M24" s="1083"/>
      <c r="N24" s="1083"/>
      <c r="O24" s="1085" t="str">
        <f>IFERROR(IF(F24="","",INDEX(CMLIGHTBASE[Base Watt 1],MATCH(F24,CMLIGHTBASE[Base Desc 1],0))),"")</f>
        <v/>
      </c>
      <c r="P24" s="1086"/>
      <c r="Q24" s="1089"/>
      <c r="R24" s="1090"/>
      <c r="S24" s="890"/>
      <c r="T24" s="872"/>
      <c r="U24" s="872"/>
      <c r="V24" s="873"/>
      <c r="W24" s="1093"/>
      <c r="X24" s="1093"/>
      <c r="Y24" s="1093"/>
      <c r="Z24" s="1083"/>
      <c r="AA24" s="1083"/>
      <c r="AB24" s="1095"/>
      <c r="AC24" s="1095"/>
      <c r="AD24" s="1097"/>
      <c r="AE24" s="1097"/>
      <c r="AF24" s="1097"/>
      <c r="AG24" s="1099"/>
      <c r="AH24" s="924" t="str">
        <f t="shared" ref="AH24" si="15">IFERROR(IF(OR(C24="",J24="",M24="",O24="",Q24="",W24="",Z24="",AB24="",AD24="",AF24=""),"",ROUND((AD24+AF24)*Z24,2)),"")</f>
        <v/>
      </c>
      <c r="AI24" s="1101"/>
      <c r="AJ24" s="1101"/>
      <c r="AK24" s="910" t="str">
        <f t="shared" ref="AK24" si="16">IFERROR(IF(OR(C24="",F24="",J24="",M24="",O24="",Q24="",S24="",W24="",Z24="",AB24="",AD24="",AF24=""),"",ROUND(IF((M24*O24)&lt;=(Z24*AB24),"0",(AX24-AY24+BD24)*BE24),2)),"")</f>
        <v/>
      </c>
      <c r="AL24" s="911"/>
      <c r="AM24" s="975"/>
      <c r="AN24" s="1105" t="str">
        <f>IFERROR(IF(OR(C24="",F24="",J24="",M24="",O24="",Q24="",S24="",W24="",Z24="",AB24="",AD24="",AF24=""),"",IF(OR(ISNUMBER(SEARCH("~~",F24)),ISNUMBER(SEARCH("~~",S24))),"Invalid Fixture Type Selected",IF(BF24&lt;&gt;"",BF24,ROUND(MIN(AH24*0.75,AK24*INDEX(INCRATE[Electric],MATCH("CMLIGHT",INCRATE[Incentive Type]))),2)))),"")</f>
        <v/>
      </c>
      <c r="AO24" s="1105"/>
      <c r="AP24" s="1105"/>
      <c r="AQ24" s="1105"/>
      <c r="AR24" s="59"/>
      <c r="AU24" s="1109" t="str">
        <f>IF(F24="","",INDEX(CUSTLIGHTUNIT,MATCH(F24,CMELIGHTBASE1,0)))</f>
        <v/>
      </c>
      <c r="AV24" s="1107" t="str">
        <f>IFERROR(IF(OR(C24="",F24="",J24="",M24="",O24="",Q24="",S24="",W24="",Z24="",AB24="",AD24="",AF24=""),"",((((1+ELOSS)*((AK24*INDEX(ELECCB[NPV AEC $/kWh],MATCH(15,ELECCB[Year Number],0)))+(AW24*INDEX(ELECCB[NPV ACC+T&amp;D $/kW],MATCH(15,ELECCB[Year Number],0)))))+((1+GLOSS)*((BB24*INDEX(GASCB[NPV GAEC $/therm],MATCH(15,GASCB[Year Number],1))))))/AH24)),"")</f>
        <v/>
      </c>
      <c r="AW24" s="906" t="str">
        <f>IFERROR(IF(OR(C24="",F24="",J24="",M24="",O24="",Q24="",S24="",W24="",Z24="",AB24="",AD24="",AF24=""),"",IF(OR(ISNUMBER(SEARCH("Exterior",C24)),((M24*O24)&lt;=(Z24*AB24)),ISNUMBER(SEARCH("Exterior",S24)),ISNUMBER(SEARCH("Exterior",F24))),0,ROUND((((M24*O24)-(Z24*AB24))/1000)*INDEX(LightingWHF[Coincidence Factor CF],MATCH(M02S02F26,LightingWHF[Building/Space Type],0))*IF(OR(M02S02F32="AC with Natural Gas Heat",M02S02F32="AC with Electric Heat",M02S02F32="Heat Pump"),INDEX(LightingWHF[Waste Heat Cooling Demand WHFd],MATCH(M02S02F26,LightingWHF[Building/Space Type],0)),1),3))),"")</f>
        <v/>
      </c>
      <c r="AX24" s="816" t="str">
        <f t="shared" ref="AX24" si="17">IF(OR(C24="",F24="",J24="",M24="",O24="",Q24="",S24="",W24="",Z24="",AB24="",AD24="",AF24=""),"",ROUND(M24*O24*Q24/1000,2))</f>
        <v/>
      </c>
      <c r="AY24" s="816" t="str">
        <f t="shared" ref="AY24" si="18">IF(OR(C24="",F24="",J24="",M24="",O24="",Q24="",S24="",W24="",Z24="",AB24="",AD24="",AF24=""),"",ROUND(Z24*AB24*Q24/1000,2))</f>
        <v/>
      </c>
      <c r="AZ24" s="878" t="str">
        <f>IF(OR(C24="",F24="",J24="",M24="",O24="",Q24="",S24="",W24="",Z24="",AB24="",AD24="",AF24=""),"",IF(ISNUMBER(AN24),(CONCATENATE(INDEX(CMLIGHTBASE[Measure Number],MATCH(F24,CMLIGHTBASE[Base Desc 1],0)),INDEX(CMLIGHTEFF[Measure Number],MATCH(S24,CMLIGHTEFF[Eff Desc 1],0)))),IF(AK24=0,"","000001")))</f>
        <v/>
      </c>
      <c r="BA24" s="816" t="str">
        <f t="shared" ref="BA24" si="19">IF(OR(C24="",F24="",J24="",M24="",O24="",Q24="",S24="",W24="",Z24="",AB24="",AD24="",AF24=""),"",IF((M24*O24)&lt;=(Z24*AB24),"0",AX24-AY24))</f>
        <v/>
      </c>
      <c r="BB24" s="1064" t="str">
        <f>IF(OR(C24="",F24="",J24="",M24="",O24="",Q24="",S24="",W24="",Z24="",AB24="",AD24="",AF24=""),"",IF(M02S02F46="Electric Only",0,IF(OR(ISNUMBER(SEARCH("Exterior",S24)),ISNUMBER(SEARCH("Exterior",C24)),ISNUMBER(SEARCH("Exterior",F24))),0,IF(OR(M02S02F32="AC with Natural Gas Heat",M02S02F32="Natural Gas Heat Only"),(((O24*M24-AB24*Z24)/1000)*Q24*-INDEX(LightingWHF[Waste Heat Gas Heating IFTherms],MATCH(M02S02F26,LightingWHF[Building/Space Type],0))),0))))</f>
        <v/>
      </c>
      <c r="BC24" s="1103" t="str">
        <f>IFERROR(AH24/M02S02F35/BA24,"")</f>
        <v/>
      </c>
      <c r="BD24" s="1064" t="str">
        <f>IF(OR(C24="",F24="",J24="",M24="",O24="",Q24="",S24="",W24="",Z24="",AB24="",AD24="",AF24=""),"",IF(M02S02F46="Gas Only",0,IF(OR(ISNUMBER(SEARCH("Exterior",S24)),ISNUMBER(SEARCH("Exterior",C24)),ISNUMBER(SEARCH("Exterior",F24))),0,IF(M02S02F32="Heat Pump",(((O24*M24-AB24*Z24)/1000)*Q24*-INDEX(LightingWHF[Waste Heat Electric Heat Pump Heating IFkWh],MATCH(M02S02F26,LightingWHF[Building/Space Type],0))),
IF(OR(M02S02F32="AC with Electric Heat",M02S02F32="Electric Heat Only"),(((O24*M24-AB24*Z24)/1000)*Q24*-INDEX(LightingWHF[Waste Heat Electric Resistance Heating IFkWh],MATCH(M02S02F26,LightingWHF[Building/Space Type],0))),0
)))))</f>
        <v/>
      </c>
      <c r="BE24" s="1064" t="str">
        <f>IF(OR(C24="",F24="",J24="",M24="",O24="",Q24="",S24="",W24="",Z24="",AB24="",AD24="",AF24=""),"",IF(M02S02F46="Gas Only",0,IF(OR(ISNUMBER(SEARCH("Exterior",S24)),ISNUMBER(SEARCH("Exterior",C24)),ISNUMBER(SEARCH("Exterior",F24))),1,IF(OR(M02S02F32="Heat Pump",M02S02F32="AC with Natural Gas Heat",M02S02F32="AC with Electric Heat"),(INDEX(LightingWHF[Waste Heat Cooling Energy WHFe],MATCH(M02S02F26,LightingWHF[Building/Space Type],0))),1))))</f>
        <v/>
      </c>
      <c r="BF24" s="1103" t="str">
        <f>IFERROR(IF((M24*O24)&lt;=(Z24*AB24),MEASURESAVE,IF(M02S02F35="",MEASURERATE,IF(AH24/M02S02F35/BA24&lt;1,MEASUREPAY,IF(AV24&lt;1,MEASURECB,IF(OR(ISBLANK(M02S02F26),ISBLANK(M02S02F32),ISBLANK(M02S02F46)),MEASUREBLDG,""))))),MEASURESUBMIT)</f>
        <v>Submit for Review</v>
      </c>
      <c r="BH24" s="1001" t="str">
        <f ca="1">IF(OR(C24="",F24="",J24="",M24="",O24="",Q24="",S24="",W24="",Z24="",AB24="",AD24="",AF24=""),"",IF('M01-S01'!$V$82&lt;TODAY(),0,IF(M02S02F46="Gas Only",0,IF(OR(AK24="",AK24&lt;0,AU24&lt;=AN24),0,MIN(AH24-AN24,ROUND(AN24*0.2,2))))))</f>
        <v/>
      </c>
    </row>
    <row r="25" spans="2:60" ht="15.95" customHeight="1">
      <c r="B25" s="834"/>
      <c r="C25" s="1094"/>
      <c r="D25" s="1094"/>
      <c r="E25" s="1094"/>
      <c r="F25" s="840"/>
      <c r="G25" s="841"/>
      <c r="H25" s="841"/>
      <c r="I25" s="842"/>
      <c r="J25" s="1094"/>
      <c r="K25" s="1094"/>
      <c r="L25" s="1094"/>
      <c r="M25" s="1084"/>
      <c r="N25" s="1084"/>
      <c r="O25" s="1087"/>
      <c r="P25" s="1088"/>
      <c r="Q25" s="1091"/>
      <c r="R25" s="1092"/>
      <c r="S25" s="856"/>
      <c r="T25" s="841"/>
      <c r="U25" s="841"/>
      <c r="V25" s="842"/>
      <c r="W25" s="1094"/>
      <c r="X25" s="1094"/>
      <c r="Y25" s="1094"/>
      <c r="Z25" s="1084"/>
      <c r="AA25" s="1084"/>
      <c r="AB25" s="1096"/>
      <c r="AC25" s="1096"/>
      <c r="AD25" s="1098"/>
      <c r="AE25" s="1098"/>
      <c r="AF25" s="1098"/>
      <c r="AG25" s="1100"/>
      <c r="AH25" s="870"/>
      <c r="AI25" s="1102"/>
      <c r="AJ25" s="1102"/>
      <c r="AK25" s="912"/>
      <c r="AL25" s="913"/>
      <c r="AM25" s="942"/>
      <c r="AN25" s="1106"/>
      <c r="AO25" s="1106"/>
      <c r="AP25" s="1106"/>
      <c r="AQ25" s="1106"/>
      <c r="AR25" s="59"/>
      <c r="AU25" s="1108"/>
      <c r="AV25" s="1108"/>
      <c r="AW25" s="907"/>
      <c r="AX25" s="817"/>
      <c r="AY25" s="817"/>
      <c r="AZ25" s="879"/>
      <c r="BA25" s="817"/>
      <c r="BB25" s="1002"/>
      <c r="BC25" s="1104"/>
      <c r="BD25" s="1002"/>
      <c r="BE25" s="1002"/>
      <c r="BF25" s="1104"/>
      <c r="BH25" s="1002"/>
    </row>
    <row r="26" spans="2:60" ht="15.95" customHeight="1">
      <c r="B26" s="834">
        <v>6</v>
      </c>
      <c r="C26" s="1093"/>
      <c r="D26" s="1093"/>
      <c r="E26" s="1093"/>
      <c r="F26" s="871"/>
      <c r="G26" s="872"/>
      <c r="H26" s="872"/>
      <c r="I26" s="873"/>
      <c r="J26" s="1093"/>
      <c r="K26" s="1093"/>
      <c r="L26" s="1093"/>
      <c r="M26" s="1083"/>
      <c r="N26" s="1083"/>
      <c r="O26" s="1085" t="str">
        <f>IFERROR(IF(F26="","",INDEX(CMLIGHTBASE[Base Watt 1],MATCH(F26,CMLIGHTBASE[Base Desc 1],0))),"")</f>
        <v/>
      </c>
      <c r="P26" s="1086"/>
      <c r="Q26" s="1089"/>
      <c r="R26" s="1090"/>
      <c r="S26" s="890"/>
      <c r="T26" s="872"/>
      <c r="U26" s="872"/>
      <c r="V26" s="873"/>
      <c r="W26" s="1093"/>
      <c r="X26" s="1093"/>
      <c r="Y26" s="1093"/>
      <c r="Z26" s="1083"/>
      <c r="AA26" s="1083"/>
      <c r="AB26" s="1095"/>
      <c r="AC26" s="1095"/>
      <c r="AD26" s="1097"/>
      <c r="AE26" s="1097"/>
      <c r="AF26" s="1097"/>
      <c r="AG26" s="1099"/>
      <c r="AH26" s="924" t="str">
        <f t="shared" ref="AH26" si="20">IFERROR(IF(OR(C26="",J26="",M26="",O26="",Q26="",W26="",Z26="",AB26="",AD26="",AF26=""),"",ROUND((AD26+AF26)*Z26,2)),"")</f>
        <v/>
      </c>
      <c r="AI26" s="1101"/>
      <c r="AJ26" s="1101"/>
      <c r="AK26" s="910" t="str">
        <f t="shared" ref="AK26" si="21">IFERROR(IF(OR(C26="",F26="",J26="",M26="",O26="",Q26="",S26="",W26="",Z26="",AB26="",AD26="",AF26=""),"",ROUND(IF((M26*O26)&lt;=(Z26*AB26),"0",(AX26-AY26+BD26)*BE26),2)),"")</f>
        <v/>
      </c>
      <c r="AL26" s="911"/>
      <c r="AM26" s="975"/>
      <c r="AN26" s="1105" t="str">
        <f>IFERROR(IF(OR(C26="",F26="",J26="",M26="",O26="",Q26="",S26="",W26="",Z26="",AB26="",AD26="",AF26=""),"",IF(OR(ISNUMBER(SEARCH("~~",F26)),ISNUMBER(SEARCH("~~",S26))),"Invalid Fixture Type Selected",IF(BF26&lt;&gt;"",BF26,ROUND(MIN(AH26*0.75,AK26*INDEX(INCRATE[Electric],MATCH("CMLIGHT",INCRATE[Incentive Type]))),2)))),"")</f>
        <v/>
      </c>
      <c r="AO26" s="1105"/>
      <c r="AP26" s="1105"/>
      <c r="AQ26" s="1105"/>
      <c r="AR26" s="59"/>
      <c r="AU26" s="1109" t="str">
        <f>IF(F26="","",INDEX(CUSTLIGHTUNIT,MATCH(F26,CMELIGHTBASE1,0)))</f>
        <v/>
      </c>
      <c r="AV26" s="1107" t="str">
        <f>IFERROR(IF(OR(C26="",F26="",J26="",M26="",O26="",Q26="",S26="",W26="",Z26="",AB26="",AD26="",AF26=""),"",((((1+ELOSS)*((AK26*INDEX(ELECCB[NPV AEC $/kWh],MATCH(15,ELECCB[Year Number],0)))+(AW26*INDEX(ELECCB[NPV ACC+T&amp;D $/kW],MATCH(15,ELECCB[Year Number],0)))))+((1+GLOSS)*((BB26*INDEX(GASCB[NPV GAEC $/therm],MATCH(15,GASCB[Year Number],1))))))/AH26)),"")</f>
        <v/>
      </c>
      <c r="AW26" s="906" t="str">
        <f>IFERROR(IF(OR(C26="",F26="",J26="",M26="",O26="",Q26="",S26="",W26="",Z26="",AB26="",AD26="",AF26=""),"",IF(OR(ISNUMBER(SEARCH("Exterior",C26)),((M26*O26)&lt;=(Z26*AB26)),ISNUMBER(SEARCH("Exterior",S26)),ISNUMBER(SEARCH("Exterior",F26))),0,ROUND((((M26*O26)-(Z26*AB26))/1000)*INDEX(LightingWHF[Coincidence Factor CF],MATCH(M02S02F26,LightingWHF[Building/Space Type],0))*IF(OR(M02S02F32="AC with Natural Gas Heat",M02S02F32="AC with Electric Heat",M02S02F32="Heat Pump"),INDEX(LightingWHF[Waste Heat Cooling Demand WHFd],MATCH(M02S02F26,LightingWHF[Building/Space Type],0)),1),3))),"")</f>
        <v/>
      </c>
      <c r="AX26" s="816" t="str">
        <f t="shared" ref="AX26" si="22">IF(OR(C26="",F26="",J26="",M26="",O26="",Q26="",S26="",W26="",Z26="",AB26="",AD26="",AF26=""),"",ROUND(M26*O26*Q26/1000,2))</f>
        <v/>
      </c>
      <c r="AY26" s="816" t="str">
        <f t="shared" ref="AY26" si="23">IF(OR(C26="",F26="",J26="",M26="",O26="",Q26="",S26="",W26="",Z26="",AB26="",AD26="",AF26=""),"",ROUND(Z26*AB26*Q26/1000,2))</f>
        <v/>
      </c>
      <c r="AZ26" s="878" t="str">
        <f>IF(OR(C26="",F26="",J26="",M26="",O26="",Q26="",S26="",W26="",Z26="",AB26="",AD26="",AF26=""),"",IF(ISNUMBER(AN26),(CONCATENATE(INDEX(CMLIGHTBASE[Measure Number],MATCH(F26,CMLIGHTBASE[Base Desc 1],0)),INDEX(CMLIGHTEFF[Measure Number],MATCH(S26,CMLIGHTEFF[Eff Desc 1],0)))),IF(AK26=0,"","000001")))</f>
        <v/>
      </c>
      <c r="BA26" s="816" t="str">
        <f t="shared" ref="BA26" si="24">IF(OR(C26="",F26="",J26="",M26="",O26="",Q26="",S26="",W26="",Z26="",AB26="",AD26="",AF26=""),"",IF((M26*O26)&lt;=(Z26*AB26),"0",AX26-AY26))</f>
        <v/>
      </c>
      <c r="BB26" s="1064" t="str">
        <f>IF(OR(C26="",F26="",J26="",M26="",O26="",Q26="",S26="",W26="",Z26="",AB26="",AD26="",AF26=""),"",IF(M02S02F46="Electric Only",0,IF(OR(ISNUMBER(SEARCH("Exterior",S26)),ISNUMBER(SEARCH("Exterior",C26)),ISNUMBER(SEARCH("Exterior",F26))),0,IF(OR(M02S02F32="AC with Natural Gas Heat",M02S02F32="Natural Gas Heat Only"),(((O26*M26-AB26*Z26)/1000)*Q26*-INDEX(LightingWHF[Waste Heat Gas Heating IFTherms],MATCH(M02S02F26,LightingWHF[Building/Space Type],0))),0))))</f>
        <v/>
      </c>
      <c r="BC26" s="1103" t="str">
        <f>IFERROR(AH26/M02S02F35/BA26,"")</f>
        <v/>
      </c>
      <c r="BD26" s="1064" t="str">
        <f>IF(OR(C26="",F26="",J26="",M26="",O26="",Q26="",S26="",W26="",Z26="",AB26="",AD26="",AF26=""),"",IF(M02S02F46="Gas Only",0,IF(OR(ISNUMBER(SEARCH("Exterior",S26)),ISNUMBER(SEARCH("Exterior",C26)),ISNUMBER(SEARCH("Exterior",F26))),0,IF(M02S02F32="Heat Pump",(((O26*M26-AB26*Z26)/1000)*Q26*-INDEX(LightingWHF[Waste Heat Electric Heat Pump Heating IFkWh],MATCH(M02S02F26,LightingWHF[Building/Space Type],0))),
IF(OR(M02S02F32="AC with Electric Heat",M02S02F32="Electric Heat Only"),(((O26*M26-AB26*Z26)/1000)*Q26*-INDEX(LightingWHF[Waste Heat Electric Resistance Heating IFkWh],MATCH(M02S02F26,LightingWHF[Building/Space Type],0))),0
)))))</f>
        <v/>
      </c>
      <c r="BE26" s="1064" t="str">
        <f>IF(OR(C26="",F26="",J26="",M26="",O26="",Q26="",S26="",W26="",Z26="",AB26="",AD26="",AF26=""),"",IF(M02S02F46="Gas Only",0,IF(OR(ISNUMBER(SEARCH("Exterior",S26)),ISNUMBER(SEARCH("Exterior",C26)),ISNUMBER(SEARCH("Exterior",F26))),1,IF(OR(M02S02F32="Heat Pump",M02S02F32="AC with Natural Gas Heat",M02S02F32="AC with Electric Heat"),(INDEX(LightingWHF[Waste Heat Cooling Energy WHFe],MATCH(M02S02F26,LightingWHF[Building/Space Type],0))),1))))</f>
        <v/>
      </c>
      <c r="BF26" s="1103" t="str">
        <f>IFERROR(IF((M26*O26)&lt;=(Z26*AB26),MEASURESAVE,IF(M02S02F35="",MEASURERATE,IF(AH26/M02S02F35/BA26&lt;1,MEASUREPAY,IF(AV26&lt;1,MEASURECB,IF(OR(ISBLANK(M02S02F26),ISBLANK(M02S02F32),ISBLANK(M02S02F46)),MEASUREBLDG,""))))),MEASURESUBMIT)</f>
        <v>Submit for Review</v>
      </c>
      <c r="BH26" s="1001" t="str">
        <f ca="1">IF(OR(C26="",F26="",J26="",M26="",O26="",Q26="",S26="",W26="",Z26="",AB26="",AD26="",AF26=""),"",IF('M01-S01'!$V$82&lt;TODAY(),0,IF(M02S02F46="Gas Only",0,IF(OR(AK26="",AK26&lt;0,AU26&lt;=AN26),0,MIN(AH26-AN26,ROUND(AN26*0.2,2))))))</f>
        <v/>
      </c>
    </row>
    <row r="27" spans="2:60" ht="15.95" customHeight="1">
      <c r="B27" s="834"/>
      <c r="C27" s="1094"/>
      <c r="D27" s="1094"/>
      <c r="E27" s="1094"/>
      <c r="F27" s="840"/>
      <c r="G27" s="841"/>
      <c r="H27" s="841"/>
      <c r="I27" s="842"/>
      <c r="J27" s="1094"/>
      <c r="K27" s="1094"/>
      <c r="L27" s="1094"/>
      <c r="M27" s="1084"/>
      <c r="N27" s="1084"/>
      <c r="O27" s="1087"/>
      <c r="P27" s="1088"/>
      <c r="Q27" s="1091"/>
      <c r="R27" s="1092"/>
      <c r="S27" s="856"/>
      <c r="T27" s="841"/>
      <c r="U27" s="841"/>
      <c r="V27" s="842"/>
      <c r="W27" s="1094"/>
      <c r="X27" s="1094"/>
      <c r="Y27" s="1094"/>
      <c r="Z27" s="1084"/>
      <c r="AA27" s="1084"/>
      <c r="AB27" s="1096"/>
      <c r="AC27" s="1096"/>
      <c r="AD27" s="1098"/>
      <c r="AE27" s="1098"/>
      <c r="AF27" s="1098"/>
      <c r="AG27" s="1100"/>
      <c r="AH27" s="870"/>
      <c r="AI27" s="1102"/>
      <c r="AJ27" s="1102"/>
      <c r="AK27" s="912"/>
      <c r="AL27" s="913"/>
      <c r="AM27" s="942"/>
      <c r="AN27" s="1106"/>
      <c r="AO27" s="1106"/>
      <c r="AP27" s="1106"/>
      <c r="AQ27" s="1106"/>
      <c r="AR27" s="59"/>
      <c r="AU27" s="1108"/>
      <c r="AV27" s="1108"/>
      <c r="AW27" s="907"/>
      <c r="AX27" s="817"/>
      <c r="AY27" s="817"/>
      <c r="AZ27" s="879"/>
      <c r="BA27" s="817"/>
      <c r="BB27" s="1002"/>
      <c r="BC27" s="1104"/>
      <c r="BD27" s="1002"/>
      <c r="BE27" s="1002"/>
      <c r="BF27" s="1104"/>
      <c r="BH27" s="1002"/>
    </row>
    <row r="28" spans="2:60" ht="15.95" customHeight="1">
      <c r="B28" s="834">
        <v>7</v>
      </c>
      <c r="C28" s="1093"/>
      <c r="D28" s="1093"/>
      <c r="E28" s="1093"/>
      <c r="F28" s="871"/>
      <c r="G28" s="872"/>
      <c r="H28" s="872"/>
      <c r="I28" s="873"/>
      <c r="J28" s="1093"/>
      <c r="K28" s="1093"/>
      <c r="L28" s="1093"/>
      <c r="M28" s="1083"/>
      <c r="N28" s="1083"/>
      <c r="O28" s="1085" t="str">
        <f>IFERROR(IF(F28="","",INDEX(CMLIGHTBASE[Base Watt 1],MATCH(F28,CMLIGHTBASE[Base Desc 1],0))),"")</f>
        <v/>
      </c>
      <c r="P28" s="1086"/>
      <c r="Q28" s="1089"/>
      <c r="R28" s="1090"/>
      <c r="S28" s="890"/>
      <c r="T28" s="872"/>
      <c r="U28" s="872"/>
      <c r="V28" s="873"/>
      <c r="W28" s="1093"/>
      <c r="X28" s="1093"/>
      <c r="Y28" s="1093"/>
      <c r="Z28" s="1083"/>
      <c r="AA28" s="1083"/>
      <c r="AB28" s="1095"/>
      <c r="AC28" s="1095"/>
      <c r="AD28" s="1097"/>
      <c r="AE28" s="1097"/>
      <c r="AF28" s="1097"/>
      <c r="AG28" s="1099"/>
      <c r="AH28" s="924" t="str">
        <f t="shared" ref="AH28" si="25">IFERROR(IF(OR(C28="",J28="",M28="",O28="",Q28="",W28="",Z28="",AB28="",AD28="",AF28=""),"",ROUND((AD28+AF28)*Z28,2)),"")</f>
        <v/>
      </c>
      <c r="AI28" s="1101"/>
      <c r="AJ28" s="1101"/>
      <c r="AK28" s="910" t="str">
        <f t="shared" ref="AK28" si="26">IFERROR(IF(OR(C28="",F28="",J28="",M28="",O28="",Q28="",S28="",W28="",Z28="",AB28="",AD28="",AF28=""),"",ROUND(IF((M28*O28)&lt;=(Z28*AB28),"0",(AX28-AY28+BD28)*BE28),2)),"")</f>
        <v/>
      </c>
      <c r="AL28" s="911"/>
      <c r="AM28" s="975"/>
      <c r="AN28" s="1105" t="str">
        <f>IFERROR(IF(OR(C28="",F28="",J28="",M28="",O28="",Q28="",S28="",W28="",Z28="",AB28="",AD28="",AF28=""),"",IF(OR(ISNUMBER(SEARCH("~~",F28)),ISNUMBER(SEARCH("~~",S28))),"Invalid Fixture Type Selected",IF(BF28&lt;&gt;"",BF28,ROUND(MIN(AH28*0.75,AK28*INDEX(INCRATE[Electric],MATCH("CMLIGHT",INCRATE[Incentive Type]))),2)))),"")</f>
        <v/>
      </c>
      <c r="AO28" s="1105"/>
      <c r="AP28" s="1105"/>
      <c r="AQ28" s="1105"/>
      <c r="AR28" s="59"/>
      <c r="AU28" s="1109" t="str">
        <f>IF(F28="","",INDEX(CUSTLIGHTUNIT,MATCH(F28,CMELIGHTBASE1,0)))</f>
        <v/>
      </c>
      <c r="AV28" s="1107" t="str">
        <f>IFERROR(IF(OR(C28="",F28="",J28="",M28="",O28="",Q28="",S28="",W28="",Z28="",AB28="",AD28="",AF28=""),"",((((1+ELOSS)*((AK28*INDEX(ELECCB[NPV AEC $/kWh],MATCH(15,ELECCB[Year Number],0)))+(AW28*INDEX(ELECCB[NPV ACC+T&amp;D $/kW],MATCH(15,ELECCB[Year Number],0)))))+((1+GLOSS)*((BB28*INDEX(GASCB[NPV GAEC $/therm],MATCH(15,GASCB[Year Number],1))))))/AH28)),"")</f>
        <v/>
      </c>
      <c r="AW28" s="906" t="str">
        <f>IFERROR(IF(OR(C28="",F28="",J28="",M28="",O28="",Q28="",S28="",W28="",Z28="",AB28="",AD28="",AF28=""),"",IF(OR(ISNUMBER(SEARCH("Exterior",C28)),((M28*O28)&lt;=(Z28*AB28)),ISNUMBER(SEARCH("Exterior",S28)),ISNUMBER(SEARCH("Exterior",F28))),0,ROUND((((M28*O28)-(Z28*AB28))/1000)*INDEX(LightingWHF[Coincidence Factor CF],MATCH(M02S02F26,LightingWHF[Building/Space Type],0))*IF(OR(M02S02F32="AC with Natural Gas Heat",M02S02F32="AC with Electric Heat",M02S02F32="Heat Pump"),INDEX(LightingWHF[Waste Heat Cooling Demand WHFd],MATCH(M02S02F26,LightingWHF[Building/Space Type],0)),1),3))),"")</f>
        <v/>
      </c>
      <c r="AX28" s="816" t="str">
        <f t="shared" ref="AX28" si="27">IF(OR(C28="",F28="",J28="",M28="",O28="",Q28="",S28="",W28="",Z28="",AB28="",AD28="",AF28=""),"",ROUND(M28*O28*Q28/1000,2))</f>
        <v/>
      </c>
      <c r="AY28" s="816" t="str">
        <f t="shared" ref="AY28" si="28">IF(OR(C28="",F28="",J28="",M28="",O28="",Q28="",S28="",W28="",Z28="",AB28="",AD28="",AF28=""),"",ROUND(Z28*AB28*Q28/1000,2))</f>
        <v/>
      </c>
      <c r="AZ28" s="878" t="str">
        <f>IF(OR(C28="",F28="",J28="",M28="",O28="",Q28="",S28="",W28="",Z28="",AB28="",AD28="",AF28=""),"",IF(ISNUMBER(AN28),(CONCATENATE(INDEX(CMLIGHTBASE[Measure Number],MATCH(F28,CMLIGHTBASE[Base Desc 1],0)),INDEX(CMLIGHTEFF[Measure Number],MATCH(S28,CMLIGHTEFF[Eff Desc 1],0)))),IF(AK28=0,"","000001")))</f>
        <v/>
      </c>
      <c r="BA28" s="816" t="str">
        <f t="shared" ref="BA28" si="29">IF(OR(C28="",F28="",J28="",M28="",O28="",Q28="",S28="",W28="",Z28="",AB28="",AD28="",AF28=""),"",IF((M28*O28)&lt;=(Z28*AB28),"0",AX28-AY28))</f>
        <v/>
      </c>
      <c r="BB28" s="1064" t="str">
        <f>IF(OR(C28="",F28="",J28="",M28="",O28="",Q28="",S28="",W28="",Z28="",AB28="",AD28="",AF28=""),"",IF(M02S02F46="Electric Only",0,IF(OR(ISNUMBER(SEARCH("Exterior",S28)),ISNUMBER(SEARCH("Exterior",C28)),ISNUMBER(SEARCH("Exterior",F28))),0,IF(OR(M02S02F32="AC with Natural Gas Heat",M02S02F32="Natural Gas Heat Only"),(((O28*M28-AB28*Z28)/1000)*Q28*-INDEX(LightingWHF[Waste Heat Gas Heating IFTherms],MATCH(M02S02F26,LightingWHF[Building/Space Type],0))),0))))</f>
        <v/>
      </c>
      <c r="BC28" s="1103" t="str">
        <f>IFERROR(AH28/M02S02F35/BA28,"")</f>
        <v/>
      </c>
      <c r="BD28" s="1064" t="str">
        <f>IF(OR(C28="",F28="",J28="",M28="",O28="",Q28="",S28="",W28="",Z28="",AB28="",AD28="",AF28=""),"",IF(M02S02F46="Gas Only",0,IF(OR(ISNUMBER(SEARCH("Exterior",S28)),ISNUMBER(SEARCH("Exterior",C28)),ISNUMBER(SEARCH("Exterior",F28))),0,IF(M02S02F32="Heat Pump",(((O28*M28-AB28*Z28)/1000)*Q28*-INDEX(LightingWHF[Waste Heat Electric Heat Pump Heating IFkWh],MATCH(M02S02F26,LightingWHF[Building/Space Type],0))),
IF(OR(M02S02F32="AC with Electric Heat",M02S02F32="Electric Heat Only"),(((O28*M28-AB28*Z28)/1000)*Q28*-INDEX(LightingWHF[Waste Heat Electric Resistance Heating IFkWh],MATCH(M02S02F26,LightingWHF[Building/Space Type],0))),0
)))))</f>
        <v/>
      </c>
      <c r="BE28" s="1064" t="str">
        <f>IF(OR(C28="",F28="",J28="",M28="",O28="",Q28="",S28="",W28="",Z28="",AB28="",AD28="",AF28=""),"",IF(M02S02F46="Gas Only",0,IF(OR(ISNUMBER(SEARCH("Exterior",S28)),ISNUMBER(SEARCH("Exterior",C28)),ISNUMBER(SEARCH("Exterior",F28))),1,IF(OR(M02S02F32="Heat Pump",M02S02F32="AC with Natural Gas Heat",M02S02F32="AC with Electric Heat"),(INDEX(LightingWHF[Waste Heat Cooling Energy WHFe],MATCH(M02S02F26,LightingWHF[Building/Space Type],0))),1))))</f>
        <v/>
      </c>
      <c r="BF28" s="1103" t="str">
        <f>IFERROR(IF((M28*O28)&lt;=(Z28*AB28),MEASURESAVE,IF(M02S02F35="",MEASURERATE,IF(AH28/M02S02F35/BA28&lt;1,MEASUREPAY,IF(AV28&lt;1,MEASURECB,IF(OR(ISBLANK(M02S02F26),ISBLANK(M02S02F32),ISBLANK(M02S02F46)),MEASUREBLDG,""))))),MEASURESUBMIT)</f>
        <v>Submit for Review</v>
      </c>
      <c r="BH28" s="1001" t="str">
        <f ca="1">IF(OR(C28="",F28="",J28="",M28="",O28="",Q28="",S28="",W28="",Z28="",AB28="",AD28="",AF28=""),"",IF('M01-S01'!$V$82&lt;TODAY(),0,IF(M02S02F46="Gas Only",0,IF(OR(AK28="",AK28&lt;0,AU28&lt;=AN28),0,MIN(AH28-AN28,ROUND(AN28*0.2,2))))))</f>
        <v/>
      </c>
    </row>
    <row r="29" spans="2:60" ht="15.95" customHeight="1">
      <c r="B29" s="834"/>
      <c r="C29" s="1094"/>
      <c r="D29" s="1094"/>
      <c r="E29" s="1094"/>
      <c r="F29" s="840"/>
      <c r="G29" s="841"/>
      <c r="H29" s="841"/>
      <c r="I29" s="842"/>
      <c r="J29" s="1094"/>
      <c r="K29" s="1094"/>
      <c r="L29" s="1094"/>
      <c r="M29" s="1084"/>
      <c r="N29" s="1084"/>
      <c r="O29" s="1087"/>
      <c r="P29" s="1088"/>
      <c r="Q29" s="1091"/>
      <c r="R29" s="1092"/>
      <c r="S29" s="856"/>
      <c r="T29" s="841"/>
      <c r="U29" s="841"/>
      <c r="V29" s="842"/>
      <c r="W29" s="1094"/>
      <c r="X29" s="1094"/>
      <c r="Y29" s="1094"/>
      <c r="Z29" s="1084"/>
      <c r="AA29" s="1084"/>
      <c r="AB29" s="1096"/>
      <c r="AC29" s="1096"/>
      <c r="AD29" s="1098"/>
      <c r="AE29" s="1098"/>
      <c r="AF29" s="1098"/>
      <c r="AG29" s="1100"/>
      <c r="AH29" s="870"/>
      <c r="AI29" s="1102"/>
      <c r="AJ29" s="1102"/>
      <c r="AK29" s="912"/>
      <c r="AL29" s="913"/>
      <c r="AM29" s="942"/>
      <c r="AN29" s="1106"/>
      <c r="AO29" s="1106"/>
      <c r="AP29" s="1106"/>
      <c r="AQ29" s="1106"/>
      <c r="AR29" s="59"/>
      <c r="AU29" s="1108"/>
      <c r="AV29" s="1108"/>
      <c r="AW29" s="907"/>
      <c r="AX29" s="817"/>
      <c r="AY29" s="817"/>
      <c r="AZ29" s="879"/>
      <c r="BA29" s="817"/>
      <c r="BB29" s="1002"/>
      <c r="BC29" s="1104"/>
      <c r="BD29" s="1002"/>
      <c r="BE29" s="1002"/>
      <c r="BF29" s="1104"/>
      <c r="BH29" s="1002"/>
    </row>
    <row r="30" spans="2:60" ht="15.95" customHeight="1">
      <c r="B30" s="834">
        <v>8</v>
      </c>
      <c r="C30" s="1093"/>
      <c r="D30" s="1093"/>
      <c r="E30" s="1093"/>
      <c r="F30" s="871"/>
      <c r="G30" s="872"/>
      <c r="H30" s="872"/>
      <c r="I30" s="873"/>
      <c r="J30" s="1093"/>
      <c r="K30" s="1093"/>
      <c r="L30" s="1093"/>
      <c r="M30" s="1083"/>
      <c r="N30" s="1083"/>
      <c r="O30" s="1085" t="str">
        <f>IFERROR(IF(F30="","",INDEX(CMLIGHTBASE[Base Watt 1],MATCH(F30,CMLIGHTBASE[Base Desc 1],0))),"")</f>
        <v/>
      </c>
      <c r="P30" s="1086"/>
      <c r="Q30" s="1089"/>
      <c r="R30" s="1090"/>
      <c r="S30" s="890"/>
      <c r="T30" s="872"/>
      <c r="U30" s="872"/>
      <c r="V30" s="873"/>
      <c r="W30" s="1093"/>
      <c r="X30" s="1093"/>
      <c r="Y30" s="1093"/>
      <c r="Z30" s="1083"/>
      <c r="AA30" s="1083"/>
      <c r="AB30" s="1095"/>
      <c r="AC30" s="1095"/>
      <c r="AD30" s="1097"/>
      <c r="AE30" s="1097"/>
      <c r="AF30" s="1097"/>
      <c r="AG30" s="1099"/>
      <c r="AH30" s="924" t="str">
        <f t="shared" ref="AH30" si="30">IFERROR(IF(OR(C30="",J30="",M30="",O30="",Q30="",W30="",Z30="",AB30="",AD30="",AF30=""),"",ROUND((AD30+AF30)*Z30,2)),"")</f>
        <v/>
      </c>
      <c r="AI30" s="1101"/>
      <c r="AJ30" s="1101"/>
      <c r="AK30" s="910" t="str">
        <f t="shared" ref="AK30" si="31">IFERROR(IF(OR(C30="",F30="",J30="",M30="",O30="",Q30="",S30="",W30="",Z30="",AB30="",AD30="",AF30=""),"",ROUND(IF((M30*O30)&lt;=(Z30*AB30),"0",(AX30-AY30+BD30)*BE30),2)),"")</f>
        <v/>
      </c>
      <c r="AL30" s="911"/>
      <c r="AM30" s="975"/>
      <c r="AN30" s="1105" t="str">
        <f>IFERROR(IF(OR(C30="",F30="",J30="",M30="",O30="",Q30="",S30="",W30="",Z30="",AB30="",AD30="",AF30=""),"",IF(OR(ISNUMBER(SEARCH("~~",F30)),ISNUMBER(SEARCH("~~",S30))),"Invalid Fixture Type Selected",IF(BF30&lt;&gt;"",BF30,ROUND(MIN(AH30*0.75,AK30*INDEX(INCRATE[Electric],MATCH("CMLIGHT",INCRATE[Incentive Type]))),2)))),"")</f>
        <v/>
      </c>
      <c r="AO30" s="1105"/>
      <c r="AP30" s="1105"/>
      <c r="AQ30" s="1105"/>
      <c r="AR30" s="59"/>
      <c r="AU30" s="1109" t="str">
        <f>IF(F30="","",INDEX(CUSTLIGHTUNIT,MATCH(F30,CMELIGHTBASE1,0)))</f>
        <v/>
      </c>
      <c r="AV30" s="1107" t="str">
        <f>IFERROR(IF(OR(C30="",F30="",J30="",M30="",O30="",Q30="",S30="",W30="",Z30="",AB30="",AD30="",AF30=""),"",((((1+ELOSS)*((AK30*INDEX(ELECCB[NPV AEC $/kWh],MATCH(15,ELECCB[Year Number],0)))+(AW30*INDEX(ELECCB[NPV ACC+T&amp;D $/kW],MATCH(15,ELECCB[Year Number],0)))))+((1+GLOSS)*((BB30*INDEX(GASCB[NPV GAEC $/therm],MATCH(15,GASCB[Year Number],1))))))/AH30)),"")</f>
        <v/>
      </c>
      <c r="AW30" s="906" t="str">
        <f>IFERROR(IF(OR(C30="",F30="",J30="",M30="",O30="",Q30="",S30="",W30="",Z30="",AB30="",AD30="",AF30=""),"",IF(OR(ISNUMBER(SEARCH("Exterior",C30)),((M30*O30)&lt;=(Z30*AB30)),ISNUMBER(SEARCH("Exterior",S30)),ISNUMBER(SEARCH("Exterior",F30))),0,ROUND((((M30*O30)-(Z30*AB30))/1000)*INDEX(LightingWHF[Coincidence Factor CF],MATCH(M02S02F26,LightingWHF[Building/Space Type],0))*IF(OR(M02S02F32="AC with Natural Gas Heat",M02S02F32="AC with Electric Heat",M02S02F32="Heat Pump"),INDEX(LightingWHF[Waste Heat Cooling Demand WHFd],MATCH(M02S02F26,LightingWHF[Building/Space Type],0)),1),3))),"")</f>
        <v/>
      </c>
      <c r="AX30" s="816" t="str">
        <f t="shared" ref="AX30" si="32">IF(OR(C30="",F30="",J30="",M30="",O30="",Q30="",S30="",W30="",Z30="",AB30="",AD30="",AF30=""),"",ROUND(M30*O30*Q30/1000,2))</f>
        <v/>
      </c>
      <c r="AY30" s="816" t="str">
        <f t="shared" ref="AY30" si="33">IF(OR(C30="",F30="",J30="",M30="",O30="",Q30="",S30="",W30="",Z30="",AB30="",AD30="",AF30=""),"",ROUND(Z30*AB30*Q30/1000,2))</f>
        <v/>
      </c>
      <c r="AZ30" s="878" t="str">
        <f>IF(OR(C30="",F30="",J30="",M30="",O30="",Q30="",S30="",W30="",Z30="",AB30="",AD30="",AF30=""),"",IF(ISNUMBER(AN30),(CONCATENATE(INDEX(CMLIGHTBASE[Measure Number],MATCH(F30,CMLIGHTBASE[Base Desc 1],0)),INDEX(CMLIGHTEFF[Measure Number],MATCH(S30,CMLIGHTEFF[Eff Desc 1],0)))),IF(AK30=0,"","000001")))</f>
        <v/>
      </c>
      <c r="BA30" s="816" t="str">
        <f t="shared" ref="BA30" si="34">IF(OR(C30="",F30="",J30="",M30="",O30="",Q30="",S30="",W30="",Z30="",AB30="",AD30="",AF30=""),"",IF((M30*O30)&lt;=(Z30*AB30),"0",AX30-AY30))</f>
        <v/>
      </c>
      <c r="BB30" s="1064" t="str">
        <f>IF(OR(C30="",F30="",J30="",M30="",O30="",Q30="",S30="",W30="",Z30="",AB30="",AD30="",AF30=""),"",IF(M02S02F46="Electric Only",0,IF(OR(ISNUMBER(SEARCH("Exterior",S30)),ISNUMBER(SEARCH("Exterior",C30)),ISNUMBER(SEARCH("Exterior",F30))),0,IF(OR(M02S02F32="AC with Natural Gas Heat",M02S02F32="Natural Gas Heat Only"),(((O30*M30-AB30*Z30)/1000)*Q30*-INDEX(LightingWHF[Waste Heat Gas Heating IFTherms],MATCH(M02S02F26,LightingWHF[Building/Space Type],0))),0))))</f>
        <v/>
      </c>
      <c r="BC30" s="1103" t="str">
        <f>IFERROR(AH30/M02S02F35/BA30,"")</f>
        <v/>
      </c>
      <c r="BD30" s="1064" t="str">
        <f>IF(OR(C30="",F30="",J30="",M30="",O30="",Q30="",S30="",W30="",Z30="",AB30="",AD30="",AF30=""),"",IF(M02S02F46="Gas Only",0,IF(OR(ISNUMBER(SEARCH("Exterior",S30)),ISNUMBER(SEARCH("Exterior",C30)),ISNUMBER(SEARCH("Exterior",F30))),0,IF(M02S02F32="Heat Pump",(((O30*M30-AB30*Z30)/1000)*Q30*-INDEX(LightingWHF[Waste Heat Electric Heat Pump Heating IFkWh],MATCH(M02S02F26,LightingWHF[Building/Space Type],0))),
IF(OR(M02S02F32="AC with Electric Heat",M02S02F32="Electric Heat Only"),(((O30*M30-AB30*Z30)/1000)*Q30*-INDEX(LightingWHF[Waste Heat Electric Resistance Heating IFkWh],MATCH(M02S02F26,LightingWHF[Building/Space Type],0))),0
)))))</f>
        <v/>
      </c>
      <c r="BE30" s="1064" t="str">
        <f>IF(OR(C30="",F30="",J30="",M30="",O30="",Q30="",S30="",W30="",Z30="",AB30="",AD30="",AF30=""),"",IF(M02S02F46="Gas Only",0,IF(OR(ISNUMBER(SEARCH("Exterior",S30)),ISNUMBER(SEARCH("Exterior",C30)),ISNUMBER(SEARCH("Exterior",F30))),1,IF(OR(M02S02F32="Heat Pump",M02S02F32="AC with Natural Gas Heat",M02S02F32="AC with Electric Heat"),(INDEX(LightingWHF[Waste Heat Cooling Energy WHFe],MATCH(M02S02F26,LightingWHF[Building/Space Type],0))),1))))</f>
        <v/>
      </c>
      <c r="BF30" s="1103" t="str">
        <f>IFERROR(IF((M30*O30)&lt;=(Z30*AB30),MEASURESAVE,IF(M02S02F35="",MEASURERATE,IF(AH30/M02S02F35/BA30&lt;1,MEASUREPAY,IF(AV30&lt;1,MEASURECB,IF(OR(ISBLANK(M02S02F26),ISBLANK(M02S02F32),ISBLANK(M02S02F46)),MEASUREBLDG,""))))),MEASURESUBMIT)</f>
        <v>Submit for Review</v>
      </c>
      <c r="BH30" s="1001" t="str">
        <f ca="1">IF(OR(C30="",F30="",J30="",M30="",O30="",Q30="",S30="",W30="",Z30="",AB30="",AD30="",AF30=""),"",IF('M01-S01'!$V$82&lt;TODAY(),0,IF(M02S02F46="Gas Only",0,IF(OR(AK30="",AK30&lt;0,AU30&lt;=AN30),0,MIN(AH30-AN30,ROUND(AN30*0.2,2))))))</f>
        <v/>
      </c>
    </row>
    <row r="31" spans="2:60" ht="15.95" customHeight="1">
      <c r="B31" s="834"/>
      <c r="C31" s="1094"/>
      <c r="D31" s="1094"/>
      <c r="E31" s="1094"/>
      <c r="F31" s="840"/>
      <c r="G31" s="841"/>
      <c r="H31" s="841"/>
      <c r="I31" s="842"/>
      <c r="J31" s="1094"/>
      <c r="K31" s="1094"/>
      <c r="L31" s="1094"/>
      <c r="M31" s="1084"/>
      <c r="N31" s="1084"/>
      <c r="O31" s="1087"/>
      <c r="P31" s="1088"/>
      <c r="Q31" s="1091"/>
      <c r="R31" s="1092"/>
      <c r="S31" s="856"/>
      <c r="T31" s="841"/>
      <c r="U31" s="841"/>
      <c r="V31" s="842"/>
      <c r="W31" s="1094"/>
      <c r="X31" s="1094"/>
      <c r="Y31" s="1094"/>
      <c r="Z31" s="1084"/>
      <c r="AA31" s="1084"/>
      <c r="AB31" s="1096"/>
      <c r="AC31" s="1096"/>
      <c r="AD31" s="1098"/>
      <c r="AE31" s="1098"/>
      <c r="AF31" s="1098"/>
      <c r="AG31" s="1100"/>
      <c r="AH31" s="870"/>
      <c r="AI31" s="1102"/>
      <c r="AJ31" s="1102"/>
      <c r="AK31" s="912"/>
      <c r="AL31" s="913"/>
      <c r="AM31" s="942"/>
      <c r="AN31" s="1106"/>
      <c r="AO31" s="1106"/>
      <c r="AP31" s="1106"/>
      <c r="AQ31" s="1106"/>
      <c r="AR31" s="59"/>
      <c r="AU31" s="1108"/>
      <c r="AV31" s="1108"/>
      <c r="AW31" s="907"/>
      <c r="AX31" s="817"/>
      <c r="AY31" s="817"/>
      <c r="AZ31" s="879"/>
      <c r="BA31" s="817"/>
      <c r="BB31" s="1002"/>
      <c r="BC31" s="1104"/>
      <c r="BD31" s="1002"/>
      <c r="BE31" s="1002"/>
      <c r="BF31" s="1104"/>
      <c r="BH31" s="1002"/>
    </row>
    <row r="32" spans="2:60" ht="15.95" customHeight="1">
      <c r="B32" s="834">
        <v>9</v>
      </c>
      <c r="C32" s="1093"/>
      <c r="D32" s="1093"/>
      <c r="E32" s="1093"/>
      <c r="F32" s="871"/>
      <c r="G32" s="872"/>
      <c r="H32" s="872"/>
      <c r="I32" s="873"/>
      <c r="J32" s="1093"/>
      <c r="K32" s="1093"/>
      <c r="L32" s="1093"/>
      <c r="M32" s="1083"/>
      <c r="N32" s="1083"/>
      <c r="O32" s="1085" t="str">
        <f>IFERROR(IF(F32="","",INDEX(CMLIGHTBASE[Base Watt 1],MATCH(F32,CMLIGHTBASE[Base Desc 1],0))),"")</f>
        <v/>
      </c>
      <c r="P32" s="1086"/>
      <c r="Q32" s="1089"/>
      <c r="R32" s="1090"/>
      <c r="S32" s="890"/>
      <c r="T32" s="872"/>
      <c r="U32" s="872"/>
      <c r="V32" s="873"/>
      <c r="W32" s="1093"/>
      <c r="X32" s="1093"/>
      <c r="Y32" s="1093"/>
      <c r="Z32" s="1083"/>
      <c r="AA32" s="1083"/>
      <c r="AB32" s="1095"/>
      <c r="AC32" s="1095"/>
      <c r="AD32" s="1097"/>
      <c r="AE32" s="1097"/>
      <c r="AF32" s="1097"/>
      <c r="AG32" s="1099"/>
      <c r="AH32" s="924" t="str">
        <f t="shared" ref="AH32" si="35">IFERROR(IF(OR(C32="",J32="",M32="",O32="",Q32="",W32="",Z32="",AB32="",AD32="",AF32=""),"",ROUND((AD32+AF32)*Z32,2)),"")</f>
        <v/>
      </c>
      <c r="AI32" s="1101"/>
      <c r="AJ32" s="1101"/>
      <c r="AK32" s="910" t="str">
        <f t="shared" ref="AK32" si="36">IFERROR(IF(OR(C32="",F32="",J32="",M32="",O32="",Q32="",S32="",W32="",Z32="",AB32="",AD32="",AF32=""),"",ROUND(IF((M32*O32)&lt;=(Z32*AB32),"0",(AX32-AY32+BD32)*BE32),2)),"")</f>
        <v/>
      </c>
      <c r="AL32" s="911"/>
      <c r="AM32" s="975"/>
      <c r="AN32" s="1105" t="str">
        <f>IFERROR(IF(OR(C32="",F32="",J32="",M32="",O32="",Q32="",S32="",W32="",Z32="",AB32="",AD32="",AF32=""),"",IF(OR(ISNUMBER(SEARCH("~~",F32)),ISNUMBER(SEARCH("~~",S32))),"Invalid Fixture Type Selected",IF(BF32&lt;&gt;"",BF32,ROUND(MIN(AH32*0.75,AK32*INDEX(INCRATE[Electric],MATCH("CMLIGHT",INCRATE[Incentive Type]))),2)))),"")</f>
        <v/>
      </c>
      <c r="AO32" s="1105"/>
      <c r="AP32" s="1105"/>
      <c r="AQ32" s="1105"/>
      <c r="AR32" s="59"/>
      <c r="AU32" s="1109" t="str">
        <f>IF(F32="","",INDEX(CUSTLIGHTUNIT,MATCH(F32,CMELIGHTBASE1,0)))</f>
        <v/>
      </c>
      <c r="AV32" s="1107" t="str">
        <f>IFERROR(IF(OR(C32="",F32="",J32="",M32="",O32="",Q32="",S32="",W32="",Z32="",AB32="",AD32="",AF32=""),"",((((1+ELOSS)*((AK32*INDEX(ELECCB[NPV AEC $/kWh],MATCH(15,ELECCB[Year Number],0)))+(AW32*INDEX(ELECCB[NPV ACC+T&amp;D $/kW],MATCH(15,ELECCB[Year Number],0)))))+((1+GLOSS)*((BB32*INDEX(GASCB[NPV GAEC $/therm],MATCH(15,GASCB[Year Number],1))))))/AH32)),"")</f>
        <v/>
      </c>
      <c r="AW32" s="906" t="str">
        <f>IFERROR(IF(OR(C32="",F32="",J32="",M32="",O32="",Q32="",S32="",W32="",Z32="",AB32="",AD32="",AF32=""),"",IF(OR(ISNUMBER(SEARCH("Exterior",C32)),((M32*O32)&lt;=(Z32*AB32)),ISNUMBER(SEARCH("Exterior",S32)),ISNUMBER(SEARCH("Exterior",F32))),0,ROUND((((M32*O32)-(Z32*AB32))/1000)*INDEX(LightingWHF[Coincidence Factor CF],MATCH(M02S02F26,LightingWHF[Building/Space Type],0))*IF(OR(M02S02F32="AC with Natural Gas Heat",M02S02F32="AC with Electric Heat",M02S02F32="Heat Pump"),INDEX(LightingWHF[Waste Heat Cooling Demand WHFd],MATCH(M02S02F26,LightingWHF[Building/Space Type],0)),1),3))),"")</f>
        <v/>
      </c>
      <c r="AX32" s="816" t="str">
        <f t="shared" ref="AX32" si="37">IF(OR(C32="",F32="",J32="",M32="",O32="",Q32="",S32="",W32="",Z32="",AB32="",AD32="",AF32=""),"",ROUND(M32*O32*Q32/1000,2))</f>
        <v/>
      </c>
      <c r="AY32" s="816" t="str">
        <f t="shared" ref="AY32" si="38">IF(OR(C32="",F32="",J32="",M32="",O32="",Q32="",S32="",W32="",Z32="",AB32="",AD32="",AF32=""),"",ROUND(Z32*AB32*Q32/1000,2))</f>
        <v/>
      </c>
      <c r="AZ32" s="878" t="str">
        <f>IF(OR(C32="",F32="",J32="",M32="",O32="",Q32="",S32="",W32="",Z32="",AB32="",AD32="",AF32=""),"",IF(ISNUMBER(AN32),(CONCATENATE(INDEX(CMLIGHTBASE[Measure Number],MATCH(F32,CMLIGHTBASE[Base Desc 1],0)),INDEX(CMLIGHTEFF[Measure Number],MATCH(S32,CMLIGHTEFF[Eff Desc 1],0)))),IF(AK32=0,"","000001")))</f>
        <v/>
      </c>
      <c r="BA32" s="816" t="str">
        <f t="shared" ref="BA32" si="39">IF(OR(C32="",F32="",J32="",M32="",O32="",Q32="",S32="",W32="",Z32="",AB32="",AD32="",AF32=""),"",IF((M32*O32)&lt;=(Z32*AB32),"0",AX32-AY32))</f>
        <v/>
      </c>
      <c r="BB32" s="1064" t="str">
        <f>IF(OR(C32="",F32="",J32="",M32="",O32="",Q32="",S32="",W32="",Z32="",AB32="",AD32="",AF32=""),"",IF(M02S02F46="Electric Only",0,IF(OR(ISNUMBER(SEARCH("Exterior",S32)),ISNUMBER(SEARCH("Exterior",C32)),ISNUMBER(SEARCH("Exterior",F32))),0,IF(OR(M02S02F32="AC with Natural Gas Heat",M02S02F32="Natural Gas Heat Only"),(((O32*M32-AB32*Z32)/1000)*Q32*-INDEX(LightingWHF[Waste Heat Gas Heating IFTherms],MATCH(M02S02F26,LightingWHF[Building/Space Type],0))),0))))</f>
        <v/>
      </c>
      <c r="BC32" s="1103" t="str">
        <f>IFERROR(AH32/M02S02F35/BA32,"")</f>
        <v/>
      </c>
      <c r="BD32" s="1064" t="str">
        <f>IF(OR(C32="",F32="",J32="",M32="",O32="",Q32="",S32="",W32="",Z32="",AB32="",AD32="",AF32=""),"",IF(M02S02F46="Gas Only",0,IF(OR(ISNUMBER(SEARCH("Exterior",S32)),ISNUMBER(SEARCH("Exterior",C32)),ISNUMBER(SEARCH("Exterior",F32))),0,IF(M02S02F32="Heat Pump",(((O32*M32-AB32*Z32)/1000)*Q32*-INDEX(LightingWHF[Waste Heat Electric Heat Pump Heating IFkWh],MATCH(M02S02F26,LightingWHF[Building/Space Type],0))),
IF(OR(M02S02F32="AC with Electric Heat",M02S02F32="Electric Heat Only"),(((O32*M32-AB32*Z32)/1000)*Q32*-INDEX(LightingWHF[Waste Heat Electric Resistance Heating IFkWh],MATCH(M02S02F26,LightingWHF[Building/Space Type],0))),0
)))))</f>
        <v/>
      </c>
      <c r="BE32" s="1064" t="str">
        <f>IF(OR(C32="",F32="",J32="",M32="",O32="",Q32="",S32="",W32="",Z32="",AB32="",AD32="",AF32=""),"",IF(M02S02F46="Gas Only",0,IF(OR(ISNUMBER(SEARCH("Exterior",S32)),ISNUMBER(SEARCH("Exterior",C32)),ISNUMBER(SEARCH("Exterior",F32))),1,IF(OR(M02S02F32="Heat Pump",M02S02F32="AC with Natural Gas Heat",M02S02F32="AC with Electric Heat"),(INDEX(LightingWHF[Waste Heat Cooling Energy WHFe],MATCH(M02S02F26,LightingWHF[Building/Space Type],0))),1))))</f>
        <v/>
      </c>
      <c r="BF32" s="1103" t="str">
        <f>IFERROR(IF((M32*O32)&lt;=(Z32*AB32),MEASURESAVE,IF(M02S02F35="",MEASURERATE,IF(AH32/M02S02F35/BA32&lt;1,MEASUREPAY,IF(AV32&lt;1,MEASURECB,IF(OR(ISBLANK(M02S02F26),ISBLANK(M02S02F32),ISBLANK(M02S02F46)),MEASUREBLDG,""))))),MEASURESUBMIT)</f>
        <v>Submit for Review</v>
      </c>
      <c r="BH32" s="1001" t="str">
        <f ca="1">IF(OR(C32="",F32="",J32="",M32="",O32="",Q32="",S32="",W32="",Z32="",AB32="",AD32="",AF32=""),"",IF('M01-S01'!$V$82&lt;TODAY(),0,IF(M02S02F46="Gas Only",0,IF(OR(AK32="",AK32&lt;0,AU32&lt;=AN32),0,MIN(AH32-AN32,ROUND(AN32*0.2,2))))))</f>
        <v/>
      </c>
    </row>
    <row r="33" spans="2:60" ht="15.95" customHeight="1">
      <c r="B33" s="834"/>
      <c r="C33" s="1094"/>
      <c r="D33" s="1094"/>
      <c r="E33" s="1094"/>
      <c r="F33" s="840"/>
      <c r="G33" s="841"/>
      <c r="H33" s="841"/>
      <c r="I33" s="842"/>
      <c r="J33" s="1094"/>
      <c r="K33" s="1094"/>
      <c r="L33" s="1094"/>
      <c r="M33" s="1084"/>
      <c r="N33" s="1084"/>
      <c r="O33" s="1087"/>
      <c r="P33" s="1088"/>
      <c r="Q33" s="1091"/>
      <c r="R33" s="1092"/>
      <c r="S33" s="856"/>
      <c r="T33" s="841"/>
      <c r="U33" s="841"/>
      <c r="V33" s="842"/>
      <c r="W33" s="1094"/>
      <c r="X33" s="1094"/>
      <c r="Y33" s="1094"/>
      <c r="Z33" s="1084"/>
      <c r="AA33" s="1084"/>
      <c r="AB33" s="1096"/>
      <c r="AC33" s="1096"/>
      <c r="AD33" s="1098"/>
      <c r="AE33" s="1098"/>
      <c r="AF33" s="1098"/>
      <c r="AG33" s="1100"/>
      <c r="AH33" s="870"/>
      <c r="AI33" s="1102"/>
      <c r="AJ33" s="1102"/>
      <c r="AK33" s="912"/>
      <c r="AL33" s="913"/>
      <c r="AM33" s="942"/>
      <c r="AN33" s="1106"/>
      <c r="AO33" s="1106"/>
      <c r="AP33" s="1106"/>
      <c r="AQ33" s="1106"/>
      <c r="AR33" s="59"/>
      <c r="AU33" s="1108"/>
      <c r="AV33" s="1108"/>
      <c r="AW33" s="907"/>
      <c r="AX33" s="817"/>
      <c r="AY33" s="817"/>
      <c r="AZ33" s="879"/>
      <c r="BA33" s="817"/>
      <c r="BB33" s="1002"/>
      <c r="BC33" s="1104"/>
      <c r="BD33" s="1002"/>
      <c r="BE33" s="1002"/>
      <c r="BF33" s="1104"/>
      <c r="BH33" s="1002"/>
    </row>
    <row r="34" spans="2:60" ht="15.95" customHeight="1">
      <c r="B34" s="834">
        <v>10</v>
      </c>
      <c r="C34" s="1093"/>
      <c r="D34" s="1093"/>
      <c r="E34" s="1093"/>
      <c r="F34" s="871"/>
      <c r="G34" s="872"/>
      <c r="H34" s="872"/>
      <c r="I34" s="873"/>
      <c r="J34" s="1093"/>
      <c r="K34" s="1093"/>
      <c r="L34" s="1093"/>
      <c r="M34" s="1083"/>
      <c r="N34" s="1083"/>
      <c r="O34" s="1085" t="str">
        <f>IFERROR(IF(F34="","",INDEX(CMLIGHTBASE[Base Watt 1],MATCH(F34,CMLIGHTBASE[Base Desc 1],0))),"")</f>
        <v/>
      </c>
      <c r="P34" s="1086"/>
      <c r="Q34" s="1089"/>
      <c r="R34" s="1090"/>
      <c r="S34" s="890"/>
      <c r="T34" s="872"/>
      <c r="U34" s="872"/>
      <c r="V34" s="873"/>
      <c r="W34" s="1093"/>
      <c r="X34" s="1093"/>
      <c r="Y34" s="1093"/>
      <c r="Z34" s="1083"/>
      <c r="AA34" s="1083"/>
      <c r="AB34" s="1095"/>
      <c r="AC34" s="1095"/>
      <c r="AD34" s="1097"/>
      <c r="AE34" s="1097"/>
      <c r="AF34" s="1097"/>
      <c r="AG34" s="1099"/>
      <c r="AH34" s="924" t="str">
        <f t="shared" ref="AH34" si="40">IFERROR(IF(OR(C34="",J34="",M34="",O34="",Q34="",W34="",Z34="",AB34="",AD34="",AF34=""),"",ROUND((AD34+AF34)*Z34,2)),"")</f>
        <v/>
      </c>
      <c r="AI34" s="1101"/>
      <c r="AJ34" s="1101"/>
      <c r="AK34" s="910" t="str">
        <f t="shared" ref="AK34" si="41">IFERROR(IF(OR(C34="",F34="",J34="",M34="",O34="",Q34="",S34="",W34="",Z34="",AB34="",AD34="",AF34=""),"",ROUND(IF((M34*O34)&lt;=(Z34*AB34),"0",(AX34-AY34+BD34)*BE34),2)),"")</f>
        <v/>
      </c>
      <c r="AL34" s="911"/>
      <c r="AM34" s="975"/>
      <c r="AN34" s="1105" t="str">
        <f>IFERROR(IF(OR(C34="",F34="",J34="",M34="",O34="",Q34="",S34="",W34="",Z34="",AB34="",AD34="",AF34=""),"",IF(OR(ISNUMBER(SEARCH("~~",F34)),ISNUMBER(SEARCH("~~",S34))),"Invalid Fixture Type Selected",IF(BF34&lt;&gt;"",BF34,ROUND(MIN(AH34*0.75,AK34*INDEX(INCRATE[Electric],MATCH("CMLIGHT",INCRATE[Incentive Type]))),2)))),"")</f>
        <v/>
      </c>
      <c r="AO34" s="1105"/>
      <c r="AP34" s="1105"/>
      <c r="AQ34" s="1105"/>
      <c r="AR34" s="59"/>
      <c r="AU34" s="1109" t="str">
        <f>IF(F34="","",INDEX(CUSTLIGHTUNIT,MATCH(F34,CMELIGHTBASE1,0)))</f>
        <v/>
      </c>
      <c r="AV34" s="1107" t="str">
        <f>IFERROR(IF(OR(C34="",F34="",J34="",M34="",O34="",Q34="",S34="",W34="",Z34="",AB34="",AD34="",AF34=""),"",((((1+ELOSS)*((AK34*INDEX(ELECCB[NPV AEC $/kWh],MATCH(15,ELECCB[Year Number],0)))+(AW34*INDEX(ELECCB[NPV ACC+T&amp;D $/kW],MATCH(15,ELECCB[Year Number],0)))))+((1+GLOSS)*((BB34*INDEX(GASCB[NPV GAEC $/therm],MATCH(15,GASCB[Year Number],1))))))/AH34)),"")</f>
        <v/>
      </c>
      <c r="AW34" s="906" t="str">
        <f>IFERROR(IF(OR(C34="",F34="",J34="",M34="",O34="",Q34="",S34="",W34="",Z34="",AB34="",AD34="",AF34=""),"",IF(OR(ISNUMBER(SEARCH("Exterior",C34)),((M34*O34)&lt;=(Z34*AB34)),ISNUMBER(SEARCH("Exterior",S34)),ISNUMBER(SEARCH("Exterior",F34))),0,ROUND((((M34*O34)-(Z34*AB34))/1000)*INDEX(LightingWHF[Coincidence Factor CF],MATCH(M02S02F26,LightingWHF[Building/Space Type],0))*IF(OR(M02S02F32="AC with Natural Gas Heat",M02S02F32="AC with Electric Heat",M02S02F32="Heat Pump"),INDEX(LightingWHF[Waste Heat Cooling Demand WHFd],MATCH(M02S02F26,LightingWHF[Building/Space Type],0)),1),3))),"")</f>
        <v/>
      </c>
      <c r="AX34" s="816" t="str">
        <f t="shared" ref="AX34" si="42">IF(OR(C34="",F34="",J34="",M34="",O34="",Q34="",S34="",W34="",Z34="",AB34="",AD34="",AF34=""),"",ROUND(M34*O34*Q34/1000,2))</f>
        <v/>
      </c>
      <c r="AY34" s="816" t="str">
        <f t="shared" ref="AY34" si="43">IF(OR(C34="",F34="",J34="",M34="",O34="",Q34="",S34="",W34="",Z34="",AB34="",AD34="",AF34=""),"",ROUND(Z34*AB34*Q34/1000,2))</f>
        <v/>
      </c>
      <c r="AZ34" s="878" t="str">
        <f>IF(OR(C34="",F34="",J34="",M34="",O34="",Q34="",S34="",W34="",Z34="",AB34="",AD34="",AF34=""),"",IF(ISNUMBER(AN34),(CONCATENATE(INDEX(CMLIGHTBASE[Measure Number],MATCH(F34,CMLIGHTBASE[Base Desc 1],0)),INDEX(CMLIGHTEFF[Measure Number],MATCH(S34,CMLIGHTEFF[Eff Desc 1],0)))),IF(AK34=0,"","000001")))</f>
        <v/>
      </c>
      <c r="BA34" s="816" t="str">
        <f t="shared" ref="BA34" si="44">IF(OR(C34="",F34="",J34="",M34="",O34="",Q34="",S34="",W34="",Z34="",AB34="",AD34="",AF34=""),"",IF((M34*O34)&lt;=(Z34*AB34),"0",AX34-AY34))</f>
        <v/>
      </c>
      <c r="BB34" s="1064" t="str">
        <f>IF(OR(C34="",F34="",J34="",M34="",O34="",Q34="",S34="",W34="",Z34="",AB34="",AD34="",AF34=""),"",IF(M02S02F46="Electric Only",0,IF(OR(ISNUMBER(SEARCH("Exterior",S34)),ISNUMBER(SEARCH("Exterior",C34)),ISNUMBER(SEARCH("Exterior",F34))),0,IF(OR(M02S02F32="AC with Natural Gas Heat",M02S02F32="Natural Gas Heat Only"),(((O34*M34-AB34*Z34)/1000)*Q34*-INDEX(LightingWHF[Waste Heat Gas Heating IFTherms],MATCH(M02S02F26,LightingWHF[Building/Space Type],0))),0))))</f>
        <v/>
      </c>
      <c r="BC34" s="1103" t="str">
        <f>IFERROR(AH34/M02S02F35/BA34,"")</f>
        <v/>
      </c>
      <c r="BD34" s="1064" t="str">
        <f>IF(OR(C34="",F34="",J34="",M34="",O34="",Q34="",S34="",W34="",Z34="",AB34="",AD34="",AF34=""),"",IF(M02S02F46="Gas Only",0,IF(OR(ISNUMBER(SEARCH("Exterior",S34)),ISNUMBER(SEARCH("Exterior",C34)),ISNUMBER(SEARCH("Exterior",F34))),0,IF(M02S02F32="Heat Pump",(((O34*M34-AB34*Z34)/1000)*Q34*-INDEX(LightingWHF[Waste Heat Electric Heat Pump Heating IFkWh],MATCH(M02S02F26,LightingWHF[Building/Space Type],0))),
IF(OR(M02S02F32="AC with Electric Heat",M02S02F32="Electric Heat Only"),(((O34*M34-AB34*Z34)/1000)*Q34*-INDEX(LightingWHF[Waste Heat Electric Resistance Heating IFkWh],MATCH(M02S02F26,LightingWHF[Building/Space Type],0))),0
)))))</f>
        <v/>
      </c>
      <c r="BE34" s="1064" t="str">
        <f>IF(OR(C34="",F34="",J34="",M34="",O34="",Q34="",S34="",W34="",Z34="",AB34="",AD34="",AF34=""),"",IF(M02S02F46="Gas Only",0,IF(OR(ISNUMBER(SEARCH("Exterior",S34)),ISNUMBER(SEARCH("Exterior",C34)),ISNUMBER(SEARCH("Exterior",F34))),1,IF(OR(M02S02F32="Heat Pump",M02S02F32="AC with Natural Gas Heat",M02S02F32="AC with Electric Heat"),(INDEX(LightingWHF[Waste Heat Cooling Energy WHFe],MATCH(M02S02F26,LightingWHF[Building/Space Type],0))),1))))</f>
        <v/>
      </c>
      <c r="BF34" s="1103" t="str">
        <f>IFERROR(IF((M34*O34)&lt;=(Z34*AB34),MEASURESAVE,IF(M02S02F35="",MEASURERATE,IF(AH34/M02S02F35/BA34&lt;1,MEASUREPAY,IF(AV34&lt;1,MEASURECB,IF(OR(ISBLANK(M02S02F26),ISBLANK(M02S02F32),ISBLANK(M02S02F46)),MEASUREBLDG,""))))),MEASURESUBMIT)</f>
        <v>Submit for Review</v>
      </c>
      <c r="BH34" s="1001" t="str">
        <f ca="1">IF(OR(C34="",F34="",J34="",M34="",O34="",Q34="",S34="",W34="",Z34="",AB34="",AD34="",AF34=""),"",IF('M01-S01'!$V$82&lt;TODAY(),0,IF(M02S02F46="Gas Only",0,IF(OR(AK34="",AK34&lt;0,AU34&lt;=AN34),0,MIN(AH34-AN34,ROUND(AN34*0.2,2))))))</f>
        <v/>
      </c>
    </row>
    <row r="35" spans="2:60" ht="15.95" customHeight="1">
      <c r="B35" s="834"/>
      <c r="C35" s="1094"/>
      <c r="D35" s="1094"/>
      <c r="E35" s="1094"/>
      <c r="F35" s="840"/>
      <c r="G35" s="841"/>
      <c r="H35" s="841"/>
      <c r="I35" s="842"/>
      <c r="J35" s="1094"/>
      <c r="K35" s="1094"/>
      <c r="L35" s="1094"/>
      <c r="M35" s="1084"/>
      <c r="N35" s="1084"/>
      <c r="O35" s="1087"/>
      <c r="P35" s="1088"/>
      <c r="Q35" s="1091"/>
      <c r="R35" s="1092"/>
      <c r="S35" s="856"/>
      <c r="T35" s="841"/>
      <c r="U35" s="841"/>
      <c r="V35" s="842"/>
      <c r="W35" s="1094"/>
      <c r="X35" s="1094"/>
      <c r="Y35" s="1094"/>
      <c r="Z35" s="1084"/>
      <c r="AA35" s="1084"/>
      <c r="AB35" s="1096"/>
      <c r="AC35" s="1096"/>
      <c r="AD35" s="1098"/>
      <c r="AE35" s="1098"/>
      <c r="AF35" s="1098"/>
      <c r="AG35" s="1100"/>
      <c r="AH35" s="870"/>
      <c r="AI35" s="1102"/>
      <c r="AJ35" s="1102"/>
      <c r="AK35" s="912"/>
      <c r="AL35" s="913"/>
      <c r="AM35" s="942"/>
      <c r="AN35" s="1106"/>
      <c r="AO35" s="1106"/>
      <c r="AP35" s="1106"/>
      <c r="AQ35" s="1106"/>
      <c r="AR35" s="59"/>
      <c r="AU35" s="1108"/>
      <c r="AV35" s="1108"/>
      <c r="AW35" s="907"/>
      <c r="AX35" s="817"/>
      <c r="AY35" s="817"/>
      <c r="AZ35" s="879"/>
      <c r="BA35" s="817"/>
      <c r="BB35" s="1002"/>
      <c r="BC35" s="1104"/>
      <c r="BD35" s="1002"/>
      <c r="BE35" s="1002"/>
      <c r="BF35" s="1104"/>
      <c r="BH35" s="1002"/>
    </row>
    <row r="36" spans="2:60" ht="15.95" customHeight="1">
      <c r="B36" s="834">
        <v>11</v>
      </c>
      <c r="C36" s="1093"/>
      <c r="D36" s="1093"/>
      <c r="E36" s="1093"/>
      <c r="F36" s="871"/>
      <c r="G36" s="872"/>
      <c r="H36" s="872"/>
      <c r="I36" s="873"/>
      <c r="J36" s="1093"/>
      <c r="K36" s="1093"/>
      <c r="L36" s="1093"/>
      <c r="M36" s="1083"/>
      <c r="N36" s="1083"/>
      <c r="O36" s="1085" t="str">
        <f>IFERROR(IF(F36="","",INDEX(CMLIGHTBASE[Base Watt 1],MATCH(F36,CMLIGHTBASE[Base Desc 1],0))),"")</f>
        <v/>
      </c>
      <c r="P36" s="1086"/>
      <c r="Q36" s="1089"/>
      <c r="R36" s="1090"/>
      <c r="S36" s="890"/>
      <c r="T36" s="872"/>
      <c r="U36" s="872"/>
      <c r="V36" s="873"/>
      <c r="W36" s="1093"/>
      <c r="X36" s="1093"/>
      <c r="Y36" s="1093"/>
      <c r="Z36" s="1083"/>
      <c r="AA36" s="1083"/>
      <c r="AB36" s="1095"/>
      <c r="AC36" s="1095"/>
      <c r="AD36" s="1097"/>
      <c r="AE36" s="1097"/>
      <c r="AF36" s="1097"/>
      <c r="AG36" s="1099"/>
      <c r="AH36" s="924" t="str">
        <f t="shared" ref="AH36" si="45">IFERROR(IF(OR(C36="",J36="",M36="",O36="",Q36="",W36="",Z36="",AB36="",AD36="",AF36=""),"",ROUND((AD36+AF36)*Z36,2)),"")</f>
        <v/>
      </c>
      <c r="AI36" s="1101"/>
      <c r="AJ36" s="1101"/>
      <c r="AK36" s="910" t="str">
        <f t="shared" ref="AK36" si="46">IFERROR(IF(OR(C36="",F36="",J36="",M36="",O36="",Q36="",S36="",W36="",Z36="",AB36="",AD36="",AF36=""),"",ROUND(IF((M36*O36)&lt;=(Z36*AB36),"0",(AX36-AY36+BD36)*BE36),2)),"")</f>
        <v/>
      </c>
      <c r="AL36" s="911"/>
      <c r="AM36" s="975"/>
      <c r="AN36" s="1105" t="str">
        <f>IFERROR(IF(OR(C36="",F36="",J36="",M36="",O36="",Q36="",S36="",W36="",Z36="",AB36="",AD36="",AF36=""),"",IF(OR(ISNUMBER(SEARCH("~~",F36)),ISNUMBER(SEARCH("~~",S36))),"Invalid Fixture Type Selected",IF(BF36&lt;&gt;"",BF36,ROUND(MIN(AH36*0.75,AK36*INDEX(INCRATE[Electric],MATCH("CMLIGHT",INCRATE[Incentive Type]))),2)))),"")</f>
        <v/>
      </c>
      <c r="AO36" s="1105"/>
      <c r="AP36" s="1105"/>
      <c r="AQ36" s="1105"/>
      <c r="AR36" s="59"/>
      <c r="AU36" s="1109" t="str">
        <f>IF(F36="","",INDEX(CUSTLIGHTUNIT,MATCH(F36,CMELIGHTBASE1,0)))</f>
        <v/>
      </c>
      <c r="AV36" s="1107" t="str">
        <f>IFERROR(IF(OR(C36="",F36="",J36="",M36="",O36="",Q36="",S36="",W36="",Z36="",AB36="",AD36="",AF36=""),"",((((1+ELOSS)*((AK36*INDEX(ELECCB[NPV AEC $/kWh],MATCH(15,ELECCB[Year Number],0)))+(AW36*INDEX(ELECCB[NPV ACC+T&amp;D $/kW],MATCH(15,ELECCB[Year Number],0)))))+((1+GLOSS)*((BB36*INDEX(GASCB[NPV GAEC $/therm],MATCH(15,GASCB[Year Number],1))))))/AH36)),"")</f>
        <v/>
      </c>
      <c r="AW36" s="906" t="str">
        <f>IFERROR(IF(OR(C36="",F36="",J36="",M36="",O36="",Q36="",S36="",W36="",Z36="",AB36="",AD36="",AF36=""),"",IF(OR(ISNUMBER(SEARCH("Exterior",C36)),((M36*O36)&lt;=(Z36*AB36)),ISNUMBER(SEARCH("Exterior",S36)),ISNUMBER(SEARCH("Exterior",F36))),0,ROUND((((M36*O36)-(Z36*AB36))/1000)*INDEX(LightingWHF[Coincidence Factor CF],MATCH(M02S02F26,LightingWHF[Building/Space Type],0))*IF(OR(M02S02F32="AC with Natural Gas Heat",M02S02F32="AC with Electric Heat",M02S02F32="Heat Pump"),INDEX(LightingWHF[Waste Heat Cooling Demand WHFd],MATCH(M02S02F26,LightingWHF[Building/Space Type],0)),1),3))),"")</f>
        <v/>
      </c>
      <c r="AX36" s="816" t="str">
        <f t="shared" ref="AX36" si="47">IF(OR(C36="",F36="",J36="",M36="",O36="",Q36="",S36="",W36="",Z36="",AB36="",AD36="",AF36=""),"",ROUND(M36*O36*Q36/1000,2))</f>
        <v/>
      </c>
      <c r="AY36" s="816" t="str">
        <f t="shared" ref="AY36" si="48">IF(OR(C36="",F36="",J36="",M36="",O36="",Q36="",S36="",W36="",Z36="",AB36="",AD36="",AF36=""),"",ROUND(Z36*AB36*Q36/1000,2))</f>
        <v/>
      </c>
      <c r="AZ36" s="878" t="str">
        <f>IF(OR(C36="",F36="",J36="",M36="",O36="",Q36="",S36="",W36="",Z36="",AB36="",AD36="",AF36=""),"",IF(ISNUMBER(AN36),(CONCATENATE(INDEX(CMLIGHTBASE[Measure Number],MATCH(F36,CMLIGHTBASE[Base Desc 1],0)),INDEX(CMLIGHTEFF[Measure Number],MATCH(S36,CMLIGHTEFF[Eff Desc 1],0)))),IF(AK36=0,"","000001")))</f>
        <v/>
      </c>
      <c r="BA36" s="816" t="str">
        <f t="shared" ref="BA36" si="49">IF(OR(C36="",F36="",J36="",M36="",O36="",Q36="",S36="",W36="",Z36="",AB36="",AD36="",AF36=""),"",IF((M36*O36)&lt;=(Z36*AB36),"0",AX36-AY36))</f>
        <v/>
      </c>
      <c r="BB36" s="1064" t="str">
        <f>IF(OR(C36="",F36="",J36="",M36="",O36="",Q36="",S36="",W36="",Z36="",AB36="",AD36="",AF36=""),"",IF(M02S02F46="Electric Only",0,IF(OR(ISNUMBER(SEARCH("Exterior",S36)),ISNUMBER(SEARCH("Exterior",C36)),ISNUMBER(SEARCH("Exterior",F36))),0,IF(OR(M02S02F32="AC with Natural Gas Heat",M02S02F32="Natural Gas Heat Only"),(((O36*M36-AB36*Z36)/1000)*Q36*-INDEX(LightingWHF[Waste Heat Gas Heating IFTherms],MATCH(M02S02F26,LightingWHF[Building/Space Type],0))),0))))</f>
        <v/>
      </c>
      <c r="BC36" s="1103" t="str">
        <f>IFERROR(AH36/M02S02F35/BA36,"")</f>
        <v/>
      </c>
      <c r="BD36" s="1064" t="str">
        <f>IF(OR(C36="",F36="",J36="",M36="",O36="",Q36="",S36="",W36="",Z36="",AB36="",AD36="",AF36=""),"",IF(M02S02F46="Gas Only",0,IF(OR(ISNUMBER(SEARCH("Exterior",S36)),ISNUMBER(SEARCH("Exterior",C36)),ISNUMBER(SEARCH("Exterior",F36))),0,IF(M02S02F32="Heat Pump",(((O36*M36-AB36*Z36)/1000)*Q36*-INDEX(LightingWHF[Waste Heat Electric Heat Pump Heating IFkWh],MATCH(M02S02F26,LightingWHF[Building/Space Type],0))),
IF(OR(M02S02F32="AC with Electric Heat",M02S02F32="Electric Heat Only"),(((O36*M36-AB36*Z36)/1000)*Q36*-INDEX(LightingWHF[Waste Heat Electric Resistance Heating IFkWh],MATCH(M02S02F26,LightingWHF[Building/Space Type],0))),0
)))))</f>
        <v/>
      </c>
      <c r="BE36" s="1064" t="str">
        <f>IF(OR(C36="",F36="",J36="",M36="",O36="",Q36="",S36="",W36="",Z36="",AB36="",AD36="",AF36=""),"",IF(M02S02F46="Gas Only",0,IF(OR(ISNUMBER(SEARCH("Exterior",S36)),ISNUMBER(SEARCH("Exterior",C36)),ISNUMBER(SEARCH("Exterior",F36))),1,IF(OR(M02S02F32="Heat Pump",M02S02F32="AC with Natural Gas Heat",M02S02F32="AC with Electric Heat"),(INDEX(LightingWHF[Waste Heat Cooling Energy WHFe],MATCH(M02S02F26,LightingWHF[Building/Space Type],0))),1))))</f>
        <v/>
      </c>
      <c r="BF36" s="1103" t="str">
        <f>IFERROR(IF((M36*O36)&lt;=(Z36*AB36),MEASURESAVE,IF(M02S02F35="",MEASURERATE,IF(AH36/M02S02F35/BA36&lt;1,MEASUREPAY,IF(AV36&lt;1,MEASURECB,IF(OR(ISBLANK(M02S02F26),ISBLANK(M02S02F32),ISBLANK(M02S02F46)),MEASUREBLDG,""))))),MEASURESUBMIT)</f>
        <v>Submit for Review</v>
      </c>
      <c r="BH36" s="1001" t="str">
        <f ca="1">IF(OR(C36="",F36="",J36="",M36="",O36="",Q36="",S36="",W36="",Z36="",AB36="",AD36="",AF36=""),"",IF('M01-S01'!$V$82&lt;TODAY(),0,IF(M02S02F46="Gas Only",0,IF(OR(AK36="",AK36&lt;0,AU36&lt;=AN36),0,MIN(AH36-AN36,ROUND(AN36*0.2,2))))))</f>
        <v/>
      </c>
    </row>
    <row r="37" spans="2:60" ht="15.95" customHeight="1">
      <c r="B37" s="834"/>
      <c r="C37" s="1094"/>
      <c r="D37" s="1094"/>
      <c r="E37" s="1094"/>
      <c r="F37" s="840"/>
      <c r="G37" s="841"/>
      <c r="H37" s="841"/>
      <c r="I37" s="842"/>
      <c r="J37" s="1094"/>
      <c r="K37" s="1094"/>
      <c r="L37" s="1094"/>
      <c r="M37" s="1084"/>
      <c r="N37" s="1084"/>
      <c r="O37" s="1087"/>
      <c r="P37" s="1088"/>
      <c r="Q37" s="1091"/>
      <c r="R37" s="1092"/>
      <c r="S37" s="856"/>
      <c r="T37" s="841"/>
      <c r="U37" s="841"/>
      <c r="V37" s="842"/>
      <c r="W37" s="1094"/>
      <c r="X37" s="1094"/>
      <c r="Y37" s="1094"/>
      <c r="Z37" s="1084"/>
      <c r="AA37" s="1084"/>
      <c r="AB37" s="1096"/>
      <c r="AC37" s="1096"/>
      <c r="AD37" s="1098"/>
      <c r="AE37" s="1098"/>
      <c r="AF37" s="1098"/>
      <c r="AG37" s="1100"/>
      <c r="AH37" s="870"/>
      <c r="AI37" s="1102"/>
      <c r="AJ37" s="1102"/>
      <c r="AK37" s="912"/>
      <c r="AL37" s="913"/>
      <c r="AM37" s="942"/>
      <c r="AN37" s="1106"/>
      <c r="AO37" s="1106"/>
      <c r="AP37" s="1106"/>
      <c r="AQ37" s="1106"/>
      <c r="AR37" s="59"/>
      <c r="AU37" s="1108"/>
      <c r="AV37" s="1108"/>
      <c r="AW37" s="907"/>
      <c r="AX37" s="817"/>
      <c r="AY37" s="817"/>
      <c r="AZ37" s="879"/>
      <c r="BA37" s="817"/>
      <c r="BB37" s="1002"/>
      <c r="BC37" s="1104"/>
      <c r="BD37" s="1002"/>
      <c r="BE37" s="1002"/>
      <c r="BF37" s="1104"/>
      <c r="BH37" s="1002"/>
    </row>
    <row r="38" spans="2:60" ht="15.95" customHeight="1">
      <c r="B38" s="834">
        <v>12</v>
      </c>
      <c r="C38" s="1093"/>
      <c r="D38" s="1093"/>
      <c r="E38" s="1093"/>
      <c r="F38" s="871"/>
      <c r="G38" s="872"/>
      <c r="H38" s="872"/>
      <c r="I38" s="873"/>
      <c r="J38" s="1093"/>
      <c r="K38" s="1093"/>
      <c r="L38" s="1093"/>
      <c r="M38" s="1083"/>
      <c r="N38" s="1083"/>
      <c r="O38" s="1085" t="str">
        <f>IFERROR(IF(F38="","",INDEX(CMLIGHTBASE[Base Watt 1],MATCH(F38,CMLIGHTBASE[Base Desc 1],0))),"")</f>
        <v/>
      </c>
      <c r="P38" s="1086"/>
      <c r="Q38" s="1089"/>
      <c r="R38" s="1090"/>
      <c r="S38" s="890"/>
      <c r="T38" s="872"/>
      <c r="U38" s="872"/>
      <c r="V38" s="873"/>
      <c r="W38" s="1093"/>
      <c r="X38" s="1093"/>
      <c r="Y38" s="1093"/>
      <c r="Z38" s="1083"/>
      <c r="AA38" s="1083"/>
      <c r="AB38" s="1095"/>
      <c r="AC38" s="1095"/>
      <c r="AD38" s="1097"/>
      <c r="AE38" s="1097"/>
      <c r="AF38" s="1097"/>
      <c r="AG38" s="1099"/>
      <c r="AH38" s="924" t="str">
        <f t="shared" ref="AH38" si="50">IFERROR(IF(OR(C38="",J38="",M38="",O38="",Q38="",W38="",Z38="",AB38="",AD38="",AF38=""),"",ROUND((AD38+AF38)*Z38,2)),"")</f>
        <v/>
      </c>
      <c r="AI38" s="1101"/>
      <c r="AJ38" s="1101"/>
      <c r="AK38" s="910" t="str">
        <f t="shared" ref="AK38" si="51">IFERROR(IF(OR(C38="",F38="",J38="",M38="",O38="",Q38="",S38="",W38="",Z38="",AB38="",AD38="",AF38=""),"",ROUND(IF((M38*O38)&lt;=(Z38*AB38),"0",(AX38-AY38+BD38)*BE38),2)),"")</f>
        <v/>
      </c>
      <c r="AL38" s="911"/>
      <c r="AM38" s="975"/>
      <c r="AN38" s="1105" t="str">
        <f>IFERROR(IF(OR(C38="",F38="",J38="",M38="",O38="",Q38="",S38="",W38="",Z38="",AB38="",AD38="",AF38=""),"",IF(OR(ISNUMBER(SEARCH("~~",F38)),ISNUMBER(SEARCH("~~",S38))),"Invalid Fixture Type Selected",IF(BF38&lt;&gt;"",BF38,ROUND(MIN(AH38*0.75,AK38*INDEX(INCRATE[Electric],MATCH("CMLIGHT",INCRATE[Incentive Type]))),2)))),"")</f>
        <v/>
      </c>
      <c r="AO38" s="1105"/>
      <c r="AP38" s="1105"/>
      <c r="AQ38" s="1105"/>
      <c r="AR38" s="59"/>
      <c r="AU38" s="1109" t="str">
        <f>IF(F38="","",INDEX(CUSTLIGHTUNIT,MATCH(F38,CMELIGHTBASE1,0)))</f>
        <v/>
      </c>
      <c r="AV38" s="1107" t="str">
        <f>IFERROR(IF(OR(C38="",F38="",J38="",M38="",O38="",Q38="",S38="",W38="",Z38="",AB38="",AD38="",AF38=""),"",((((1+ELOSS)*((AK38*INDEX(ELECCB[NPV AEC $/kWh],MATCH(15,ELECCB[Year Number],0)))+(AW38*INDEX(ELECCB[NPV ACC+T&amp;D $/kW],MATCH(15,ELECCB[Year Number],0)))))+((1+GLOSS)*((BB38*INDEX(GASCB[NPV GAEC $/therm],MATCH(15,GASCB[Year Number],1))))))/AH38)),"")</f>
        <v/>
      </c>
      <c r="AW38" s="906" t="str">
        <f>IFERROR(IF(OR(C38="",F38="",J38="",M38="",O38="",Q38="",S38="",W38="",Z38="",AB38="",AD38="",AF38=""),"",IF(OR(ISNUMBER(SEARCH("Exterior",C38)),((M38*O38)&lt;=(Z38*AB38)),ISNUMBER(SEARCH("Exterior",S38)),ISNUMBER(SEARCH("Exterior",F38))),0,ROUND((((M38*O38)-(Z38*AB38))/1000)*INDEX(LightingWHF[Coincidence Factor CF],MATCH(M02S02F26,LightingWHF[Building/Space Type],0))*IF(OR(M02S02F32="AC with Natural Gas Heat",M02S02F32="AC with Electric Heat",M02S02F32="Heat Pump"),INDEX(LightingWHF[Waste Heat Cooling Demand WHFd],MATCH(M02S02F26,LightingWHF[Building/Space Type],0)),1),3))),"")</f>
        <v/>
      </c>
      <c r="AX38" s="816" t="str">
        <f t="shared" ref="AX38" si="52">IF(OR(C38="",F38="",J38="",M38="",O38="",Q38="",S38="",W38="",Z38="",AB38="",AD38="",AF38=""),"",ROUND(M38*O38*Q38/1000,2))</f>
        <v/>
      </c>
      <c r="AY38" s="816" t="str">
        <f t="shared" ref="AY38" si="53">IF(OR(C38="",F38="",J38="",M38="",O38="",Q38="",S38="",W38="",Z38="",AB38="",AD38="",AF38=""),"",ROUND(Z38*AB38*Q38/1000,2))</f>
        <v/>
      </c>
      <c r="AZ38" s="878" t="str">
        <f>IF(OR(C38="",F38="",J38="",M38="",O38="",Q38="",S38="",W38="",Z38="",AB38="",AD38="",AF38=""),"",IF(ISNUMBER(AN38),(CONCATENATE(INDEX(CMLIGHTBASE[Measure Number],MATCH(F38,CMLIGHTBASE[Base Desc 1],0)),INDEX(CMLIGHTEFF[Measure Number],MATCH(S38,CMLIGHTEFF[Eff Desc 1],0)))),IF(AK38=0,"","000001")))</f>
        <v/>
      </c>
      <c r="BA38" s="816" t="str">
        <f t="shared" ref="BA38" si="54">IF(OR(C38="",F38="",J38="",M38="",O38="",Q38="",S38="",W38="",Z38="",AB38="",AD38="",AF38=""),"",IF((M38*O38)&lt;=(Z38*AB38),"0",AX38-AY38))</f>
        <v/>
      </c>
      <c r="BB38" s="1064" t="str">
        <f>IF(OR(C38="",F38="",J38="",M38="",O38="",Q38="",S38="",W38="",Z38="",AB38="",AD38="",AF38=""),"",IF(M02S02F46="Electric Only",0,IF(OR(ISNUMBER(SEARCH("Exterior",S38)),ISNUMBER(SEARCH("Exterior",C38)),ISNUMBER(SEARCH("Exterior",F38))),0,IF(OR(M02S02F32="AC with Natural Gas Heat",M02S02F32="Natural Gas Heat Only"),(((O38*M38-AB38*Z38)/1000)*Q38*-INDEX(LightingWHF[Waste Heat Gas Heating IFTherms],MATCH(M02S02F26,LightingWHF[Building/Space Type],0))),0))))</f>
        <v/>
      </c>
      <c r="BC38" s="1103" t="str">
        <f>IFERROR(AH38/M02S02F35/BA38,"")</f>
        <v/>
      </c>
      <c r="BD38" s="1064" t="str">
        <f>IF(OR(C38="",F38="",J38="",M38="",O38="",Q38="",S38="",W38="",Z38="",AB38="",AD38="",AF38=""),"",IF(M02S02F46="Gas Only",0,IF(OR(ISNUMBER(SEARCH("Exterior",S38)),ISNUMBER(SEARCH("Exterior",C38)),ISNUMBER(SEARCH("Exterior",F38))),0,IF(M02S02F32="Heat Pump",(((O38*M38-AB38*Z38)/1000)*Q38*-INDEX(LightingWHF[Waste Heat Electric Heat Pump Heating IFkWh],MATCH(M02S02F26,LightingWHF[Building/Space Type],0))),
IF(OR(M02S02F32="AC with Electric Heat",M02S02F32="Electric Heat Only"),(((O38*M38-AB38*Z38)/1000)*Q38*-INDEX(LightingWHF[Waste Heat Electric Resistance Heating IFkWh],MATCH(M02S02F26,LightingWHF[Building/Space Type],0))),0
)))))</f>
        <v/>
      </c>
      <c r="BE38" s="1064" t="str">
        <f>IF(OR(C38="",F38="",J38="",M38="",O38="",Q38="",S38="",W38="",Z38="",AB38="",AD38="",AF38=""),"",IF(M02S02F46="Gas Only",0,IF(OR(ISNUMBER(SEARCH("Exterior",S38)),ISNUMBER(SEARCH("Exterior",C38)),ISNUMBER(SEARCH("Exterior",F38))),1,IF(OR(M02S02F32="Heat Pump",M02S02F32="AC with Natural Gas Heat",M02S02F32="AC with Electric Heat"),(INDEX(LightingWHF[Waste Heat Cooling Energy WHFe],MATCH(M02S02F26,LightingWHF[Building/Space Type],0))),1))))</f>
        <v/>
      </c>
      <c r="BF38" s="1103" t="str">
        <f>IFERROR(IF((M38*O38)&lt;=(Z38*AB38),MEASURESAVE,IF(M02S02F35="",MEASURERATE,IF(AH38/M02S02F35/BA38&lt;1,MEASUREPAY,IF(AV38&lt;1,MEASURECB,IF(OR(ISBLANK(M02S02F26),ISBLANK(M02S02F32),ISBLANK(M02S02F46)),MEASUREBLDG,""))))),MEASURESUBMIT)</f>
        <v>Submit for Review</v>
      </c>
      <c r="BH38" s="1001" t="str">
        <f ca="1">IF(OR(C38="",F38="",J38="",M38="",O38="",Q38="",S38="",W38="",Z38="",AB38="",AD38="",AF38=""),"",IF('M01-S01'!$V$82&lt;TODAY(),0,IF(M02S02F46="Gas Only",0,IF(OR(AK38="",AK38&lt;0,AU38&lt;=AN38),0,MIN(AH38-AN38,ROUND(AN38*0.2,2))))))</f>
        <v/>
      </c>
    </row>
    <row r="39" spans="2:60" ht="15.95" customHeight="1">
      <c r="B39" s="834"/>
      <c r="C39" s="1094"/>
      <c r="D39" s="1094"/>
      <c r="E39" s="1094"/>
      <c r="F39" s="840"/>
      <c r="G39" s="841"/>
      <c r="H39" s="841"/>
      <c r="I39" s="842"/>
      <c r="J39" s="1094"/>
      <c r="K39" s="1094"/>
      <c r="L39" s="1094"/>
      <c r="M39" s="1084"/>
      <c r="N39" s="1084"/>
      <c r="O39" s="1087"/>
      <c r="P39" s="1088"/>
      <c r="Q39" s="1091"/>
      <c r="R39" s="1092"/>
      <c r="S39" s="856"/>
      <c r="T39" s="841"/>
      <c r="U39" s="841"/>
      <c r="V39" s="842"/>
      <c r="W39" s="1094"/>
      <c r="X39" s="1094"/>
      <c r="Y39" s="1094"/>
      <c r="Z39" s="1084"/>
      <c r="AA39" s="1084"/>
      <c r="AB39" s="1096"/>
      <c r="AC39" s="1096"/>
      <c r="AD39" s="1098"/>
      <c r="AE39" s="1098"/>
      <c r="AF39" s="1098"/>
      <c r="AG39" s="1100"/>
      <c r="AH39" s="870"/>
      <c r="AI39" s="1102"/>
      <c r="AJ39" s="1102"/>
      <c r="AK39" s="912"/>
      <c r="AL39" s="913"/>
      <c r="AM39" s="942"/>
      <c r="AN39" s="1106"/>
      <c r="AO39" s="1106"/>
      <c r="AP39" s="1106"/>
      <c r="AQ39" s="1106"/>
      <c r="AR39" s="59"/>
      <c r="AU39" s="1108"/>
      <c r="AV39" s="1108"/>
      <c r="AW39" s="907"/>
      <c r="AX39" s="817"/>
      <c r="AY39" s="817"/>
      <c r="AZ39" s="879"/>
      <c r="BA39" s="817"/>
      <c r="BB39" s="1002"/>
      <c r="BC39" s="1104"/>
      <c r="BD39" s="1002"/>
      <c r="BE39" s="1002"/>
      <c r="BF39" s="1104"/>
      <c r="BH39" s="1002"/>
    </row>
    <row r="40" spans="2:60" ht="15.95" customHeight="1">
      <c r="B40" s="834">
        <v>13</v>
      </c>
      <c r="C40" s="1093"/>
      <c r="D40" s="1093"/>
      <c r="E40" s="1093"/>
      <c r="F40" s="871"/>
      <c r="G40" s="872"/>
      <c r="H40" s="872"/>
      <c r="I40" s="873"/>
      <c r="J40" s="1093"/>
      <c r="K40" s="1093"/>
      <c r="L40" s="1093"/>
      <c r="M40" s="1083"/>
      <c r="N40" s="1083"/>
      <c r="O40" s="1085" t="str">
        <f>IFERROR(IF(F40="","",INDEX(CMLIGHTBASE[Base Watt 1],MATCH(F40,CMLIGHTBASE[Base Desc 1],0))),"")</f>
        <v/>
      </c>
      <c r="P40" s="1086"/>
      <c r="Q40" s="1089"/>
      <c r="R40" s="1090"/>
      <c r="S40" s="890"/>
      <c r="T40" s="872"/>
      <c r="U40" s="872"/>
      <c r="V40" s="873"/>
      <c r="W40" s="1093"/>
      <c r="X40" s="1093"/>
      <c r="Y40" s="1093"/>
      <c r="Z40" s="1083"/>
      <c r="AA40" s="1083"/>
      <c r="AB40" s="1095"/>
      <c r="AC40" s="1095"/>
      <c r="AD40" s="1097"/>
      <c r="AE40" s="1097"/>
      <c r="AF40" s="1097"/>
      <c r="AG40" s="1099"/>
      <c r="AH40" s="924" t="str">
        <f t="shared" ref="AH40" si="55">IFERROR(IF(OR(C40="",J40="",M40="",O40="",Q40="",W40="",Z40="",AB40="",AD40="",AF40=""),"",ROUND((AD40+AF40)*Z40,2)),"")</f>
        <v/>
      </c>
      <c r="AI40" s="1101"/>
      <c r="AJ40" s="1101"/>
      <c r="AK40" s="910" t="str">
        <f t="shared" ref="AK40" si="56">IFERROR(IF(OR(C40="",F40="",J40="",M40="",O40="",Q40="",S40="",W40="",Z40="",AB40="",AD40="",AF40=""),"",ROUND(IF((M40*O40)&lt;=(Z40*AB40),"0",(AX40-AY40+BD40)*BE40),2)),"")</f>
        <v/>
      </c>
      <c r="AL40" s="911"/>
      <c r="AM40" s="975"/>
      <c r="AN40" s="1105" t="str">
        <f>IFERROR(IF(OR(C40="",F40="",J40="",M40="",O40="",Q40="",S40="",W40="",Z40="",AB40="",AD40="",AF40=""),"",IF(OR(ISNUMBER(SEARCH("~~",F40)),ISNUMBER(SEARCH("~~",S40))),"Invalid Fixture Type Selected",IF(BF40&lt;&gt;"",BF40,ROUND(MIN(AH40*0.75,AK40*INDEX(INCRATE[Electric],MATCH("CMLIGHT",INCRATE[Incentive Type]))),2)))),"")</f>
        <v/>
      </c>
      <c r="AO40" s="1105"/>
      <c r="AP40" s="1105"/>
      <c r="AQ40" s="1105"/>
      <c r="AR40" s="59"/>
      <c r="AU40" s="1109" t="str">
        <f>IF(F40="","",INDEX(CUSTLIGHTUNIT,MATCH(F40,CMELIGHTBASE1,0)))</f>
        <v/>
      </c>
      <c r="AV40" s="1107" t="str">
        <f>IFERROR(IF(OR(C40="",F40="",J40="",M40="",O40="",Q40="",S40="",W40="",Z40="",AB40="",AD40="",AF40=""),"",((((1+ELOSS)*((AK40*INDEX(ELECCB[NPV AEC $/kWh],MATCH(15,ELECCB[Year Number],0)))+(AW40*INDEX(ELECCB[NPV ACC+T&amp;D $/kW],MATCH(15,ELECCB[Year Number],0)))))+((1+GLOSS)*((BB40*INDEX(GASCB[NPV GAEC $/therm],MATCH(15,GASCB[Year Number],1))))))/AH40)),"")</f>
        <v/>
      </c>
      <c r="AW40" s="906" t="str">
        <f>IFERROR(IF(OR(C40="",F40="",J40="",M40="",O40="",Q40="",S40="",W40="",Z40="",AB40="",AD40="",AF40=""),"",IF(OR(ISNUMBER(SEARCH("Exterior",C40)),((M40*O40)&lt;=(Z40*AB40)),ISNUMBER(SEARCH("Exterior",S40)),ISNUMBER(SEARCH("Exterior",F40))),0,ROUND((((M40*O40)-(Z40*AB40))/1000)*INDEX(LightingWHF[Coincidence Factor CF],MATCH(M02S02F26,LightingWHF[Building/Space Type],0))*IF(OR(M02S02F32="AC with Natural Gas Heat",M02S02F32="AC with Electric Heat",M02S02F32="Heat Pump"),INDEX(LightingWHF[Waste Heat Cooling Demand WHFd],MATCH(M02S02F26,LightingWHF[Building/Space Type],0)),1),3))),"")</f>
        <v/>
      </c>
      <c r="AX40" s="816" t="str">
        <f t="shared" ref="AX40" si="57">IF(OR(C40="",F40="",J40="",M40="",O40="",Q40="",S40="",W40="",Z40="",AB40="",AD40="",AF40=""),"",ROUND(M40*O40*Q40/1000,2))</f>
        <v/>
      </c>
      <c r="AY40" s="816" t="str">
        <f t="shared" ref="AY40" si="58">IF(OR(C40="",F40="",J40="",M40="",O40="",Q40="",S40="",W40="",Z40="",AB40="",AD40="",AF40=""),"",ROUND(Z40*AB40*Q40/1000,2))</f>
        <v/>
      </c>
      <c r="AZ40" s="878" t="str">
        <f>IF(OR(C40="",F40="",J40="",M40="",O40="",Q40="",S40="",W40="",Z40="",AB40="",AD40="",AF40=""),"",IF(ISNUMBER(AN40),(CONCATENATE(INDEX(CMLIGHTBASE[Measure Number],MATCH(F40,CMLIGHTBASE[Base Desc 1],0)),INDEX(CMLIGHTEFF[Measure Number],MATCH(S40,CMLIGHTEFF[Eff Desc 1],0)))),IF(AK40=0,"","000001")))</f>
        <v/>
      </c>
      <c r="BA40" s="816" t="str">
        <f t="shared" ref="BA40" si="59">IF(OR(C40="",F40="",J40="",M40="",O40="",Q40="",S40="",W40="",Z40="",AB40="",AD40="",AF40=""),"",IF((M40*O40)&lt;=(Z40*AB40),"0",AX40-AY40))</f>
        <v/>
      </c>
      <c r="BB40" s="1064" t="str">
        <f>IF(OR(C40="",F40="",J40="",M40="",O40="",Q40="",S40="",W40="",Z40="",AB40="",AD40="",AF40=""),"",IF(M02S02F46="Electric Only",0,IF(OR(ISNUMBER(SEARCH("Exterior",S40)),ISNUMBER(SEARCH("Exterior",C40)),ISNUMBER(SEARCH("Exterior",F40))),0,IF(OR(M02S02F32="AC with Natural Gas Heat",M02S02F32="Natural Gas Heat Only"),(((O40*M40-AB40*Z40)/1000)*Q40*-INDEX(LightingWHF[Waste Heat Gas Heating IFTherms],MATCH(M02S02F26,LightingWHF[Building/Space Type],0))),0))))</f>
        <v/>
      </c>
      <c r="BC40" s="1103" t="str">
        <f>IFERROR(AH40/M02S02F35/BA40,"")</f>
        <v/>
      </c>
      <c r="BD40" s="1064" t="str">
        <f>IF(OR(C40="",F40="",J40="",M40="",O40="",Q40="",S40="",W40="",Z40="",AB40="",AD40="",AF40=""),"",IF(M02S02F46="Gas Only",0,IF(OR(ISNUMBER(SEARCH("Exterior",S40)),ISNUMBER(SEARCH("Exterior",C40)),ISNUMBER(SEARCH("Exterior",F40))),0,IF(M02S02F32="Heat Pump",(((O40*M40-AB40*Z40)/1000)*Q40*-INDEX(LightingWHF[Waste Heat Electric Heat Pump Heating IFkWh],MATCH(M02S02F26,LightingWHF[Building/Space Type],0))),
IF(OR(M02S02F32="AC with Electric Heat",M02S02F32="Electric Heat Only"),(((O40*M40-AB40*Z40)/1000)*Q40*-INDEX(LightingWHF[Waste Heat Electric Resistance Heating IFkWh],MATCH(M02S02F26,LightingWHF[Building/Space Type],0))),0
)))))</f>
        <v/>
      </c>
      <c r="BE40" s="1064" t="str">
        <f>IF(OR(C40="",F40="",J40="",M40="",O40="",Q40="",S40="",W40="",Z40="",AB40="",AD40="",AF40=""),"",IF(M02S02F46="Gas Only",0,IF(OR(ISNUMBER(SEARCH("Exterior",S40)),ISNUMBER(SEARCH("Exterior",C40)),ISNUMBER(SEARCH("Exterior",F40))),1,IF(OR(M02S02F32="Heat Pump",M02S02F32="AC with Natural Gas Heat",M02S02F32="AC with Electric Heat"),(INDEX(LightingWHF[Waste Heat Cooling Energy WHFe],MATCH(M02S02F26,LightingWHF[Building/Space Type],0))),1))))</f>
        <v/>
      </c>
      <c r="BF40" s="1103" t="str">
        <f>IFERROR(IF((M40*O40)&lt;=(Z40*AB40),MEASURESAVE,IF(M02S02F35="",MEASURERATE,IF(AH40/M02S02F35/BA40&lt;1,MEASUREPAY,IF(AV40&lt;1,MEASURECB,IF(OR(ISBLANK(M02S02F26),ISBLANK(M02S02F32),ISBLANK(M02S02F46)),MEASUREBLDG,""))))),MEASURESUBMIT)</f>
        <v>Submit for Review</v>
      </c>
      <c r="BH40" s="1001" t="str">
        <f ca="1">IF(OR(C40="",F40="",J40="",M40="",O40="",Q40="",S40="",W40="",Z40="",AB40="",AD40="",AF40=""),"",IF('M01-S01'!$V$82&lt;TODAY(),0,IF(M02S02F46="Gas Only",0,IF(OR(AK40="",AK40&lt;0,AU40&lt;=AN40),0,MIN(AH40-AN40,ROUND(AN40*0.2,2))))))</f>
        <v/>
      </c>
    </row>
    <row r="41" spans="2:60" ht="15.95" customHeight="1">
      <c r="B41" s="834"/>
      <c r="C41" s="1094"/>
      <c r="D41" s="1094"/>
      <c r="E41" s="1094"/>
      <c r="F41" s="840"/>
      <c r="G41" s="841"/>
      <c r="H41" s="841"/>
      <c r="I41" s="842"/>
      <c r="J41" s="1094"/>
      <c r="K41" s="1094"/>
      <c r="L41" s="1094"/>
      <c r="M41" s="1084"/>
      <c r="N41" s="1084"/>
      <c r="O41" s="1087"/>
      <c r="P41" s="1088"/>
      <c r="Q41" s="1091"/>
      <c r="R41" s="1092"/>
      <c r="S41" s="856"/>
      <c r="T41" s="841"/>
      <c r="U41" s="841"/>
      <c r="V41" s="842"/>
      <c r="W41" s="1094"/>
      <c r="X41" s="1094"/>
      <c r="Y41" s="1094"/>
      <c r="Z41" s="1084"/>
      <c r="AA41" s="1084"/>
      <c r="AB41" s="1096"/>
      <c r="AC41" s="1096"/>
      <c r="AD41" s="1098"/>
      <c r="AE41" s="1098"/>
      <c r="AF41" s="1098"/>
      <c r="AG41" s="1100"/>
      <c r="AH41" s="870"/>
      <c r="AI41" s="1102"/>
      <c r="AJ41" s="1102"/>
      <c r="AK41" s="912"/>
      <c r="AL41" s="913"/>
      <c r="AM41" s="942"/>
      <c r="AN41" s="1106"/>
      <c r="AO41" s="1106"/>
      <c r="AP41" s="1106"/>
      <c r="AQ41" s="1106"/>
      <c r="AR41" s="59"/>
      <c r="AU41" s="1108"/>
      <c r="AV41" s="1108"/>
      <c r="AW41" s="907"/>
      <c r="AX41" s="817"/>
      <c r="AY41" s="817"/>
      <c r="AZ41" s="879"/>
      <c r="BA41" s="817"/>
      <c r="BB41" s="1002"/>
      <c r="BC41" s="1104"/>
      <c r="BD41" s="1002"/>
      <c r="BE41" s="1002"/>
      <c r="BF41" s="1104"/>
      <c r="BH41" s="1002"/>
    </row>
    <row r="42" spans="2:60" ht="15.95" customHeight="1">
      <c r="B42" s="834">
        <v>14</v>
      </c>
      <c r="C42" s="1093"/>
      <c r="D42" s="1093"/>
      <c r="E42" s="1093"/>
      <c r="F42" s="871"/>
      <c r="G42" s="872"/>
      <c r="H42" s="872"/>
      <c r="I42" s="873"/>
      <c r="J42" s="1093"/>
      <c r="K42" s="1093"/>
      <c r="L42" s="1093"/>
      <c r="M42" s="1083"/>
      <c r="N42" s="1083"/>
      <c r="O42" s="1085" t="str">
        <f>IFERROR(IF(F42="","",INDEX(CMLIGHTBASE[Base Watt 1],MATCH(F42,CMLIGHTBASE[Base Desc 1],0))),"")</f>
        <v/>
      </c>
      <c r="P42" s="1086"/>
      <c r="Q42" s="1089"/>
      <c r="R42" s="1090"/>
      <c r="S42" s="890"/>
      <c r="T42" s="872"/>
      <c r="U42" s="872"/>
      <c r="V42" s="873"/>
      <c r="W42" s="1093"/>
      <c r="X42" s="1093"/>
      <c r="Y42" s="1093"/>
      <c r="Z42" s="1083"/>
      <c r="AA42" s="1083"/>
      <c r="AB42" s="1095"/>
      <c r="AC42" s="1095"/>
      <c r="AD42" s="1097"/>
      <c r="AE42" s="1097"/>
      <c r="AF42" s="1097"/>
      <c r="AG42" s="1099"/>
      <c r="AH42" s="924" t="str">
        <f t="shared" ref="AH42" si="60">IFERROR(IF(OR(C42="",J42="",M42="",O42="",Q42="",W42="",Z42="",AB42="",AD42="",AF42=""),"",ROUND((AD42+AF42)*Z42,2)),"")</f>
        <v/>
      </c>
      <c r="AI42" s="1101"/>
      <c r="AJ42" s="1101"/>
      <c r="AK42" s="910" t="str">
        <f t="shared" ref="AK42" si="61">IFERROR(IF(OR(C42="",F42="",J42="",M42="",O42="",Q42="",S42="",W42="",Z42="",AB42="",AD42="",AF42=""),"",ROUND(IF((M42*O42)&lt;=(Z42*AB42),"0",(AX42-AY42+BD42)*BE42),2)),"")</f>
        <v/>
      </c>
      <c r="AL42" s="911"/>
      <c r="AM42" s="975"/>
      <c r="AN42" s="1105" t="str">
        <f>IFERROR(IF(OR(C42="",F42="",J42="",M42="",O42="",Q42="",S42="",W42="",Z42="",AB42="",AD42="",AF42=""),"",IF(OR(ISNUMBER(SEARCH("~~",F42)),ISNUMBER(SEARCH("~~",S42))),"Invalid Fixture Type Selected",IF(BF42&lt;&gt;"",BF42,ROUND(MIN(AH42*0.75,AK42*INDEX(INCRATE[Electric],MATCH("CMLIGHT",INCRATE[Incentive Type]))),2)))),"")</f>
        <v/>
      </c>
      <c r="AO42" s="1105"/>
      <c r="AP42" s="1105"/>
      <c r="AQ42" s="1105"/>
      <c r="AR42" s="59"/>
      <c r="AU42" s="1109" t="str">
        <f>IF(F42="","",INDEX(CUSTLIGHTUNIT,MATCH(F42,CMELIGHTBASE1,0)))</f>
        <v/>
      </c>
      <c r="AV42" s="1107" t="str">
        <f>IFERROR(IF(OR(C42="",F42="",J42="",M42="",O42="",Q42="",S42="",W42="",Z42="",AB42="",AD42="",AF42=""),"",((((1+ELOSS)*((AK42*INDEX(ELECCB[NPV AEC $/kWh],MATCH(15,ELECCB[Year Number],0)))+(AW42*INDEX(ELECCB[NPV ACC+T&amp;D $/kW],MATCH(15,ELECCB[Year Number],0)))))+((1+GLOSS)*((BB42*INDEX(GASCB[NPV GAEC $/therm],MATCH(15,GASCB[Year Number],1))))))/AH42)),"")</f>
        <v/>
      </c>
      <c r="AW42" s="906" t="str">
        <f>IFERROR(IF(OR(C42="",F42="",J42="",M42="",O42="",Q42="",S42="",W42="",Z42="",AB42="",AD42="",AF42=""),"",IF(OR(ISNUMBER(SEARCH("Exterior",C42)),((M42*O42)&lt;=(Z42*AB42)),ISNUMBER(SEARCH("Exterior",S42)),ISNUMBER(SEARCH("Exterior",F42))),0,ROUND((((M42*O42)-(Z42*AB42))/1000)*INDEX(LightingWHF[Coincidence Factor CF],MATCH(M02S02F26,LightingWHF[Building/Space Type],0))*IF(OR(M02S02F32="AC with Natural Gas Heat",M02S02F32="AC with Electric Heat",M02S02F32="Heat Pump"),INDEX(LightingWHF[Waste Heat Cooling Demand WHFd],MATCH(M02S02F26,LightingWHF[Building/Space Type],0)),1),3))),"")</f>
        <v/>
      </c>
      <c r="AX42" s="816" t="str">
        <f t="shared" ref="AX42" si="62">IF(OR(C42="",F42="",J42="",M42="",O42="",Q42="",S42="",W42="",Z42="",AB42="",AD42="",AF42=""),"",ROUND(M42*O42*Q42/1000,2))</f>
        <v/>
      </c>
      <c r="AY42" s="816" t="str">
        <f t="shared" ref="AY42" si="63">IF(OR(C42="",F42="",J42="",M42="",O42="",Q42="",S42="",W42="",Z42="",AB42="",AD42="",AF42=""),"",ROUND(Z42*AB42*Q42/1000,2))</f>
        <v/>
      </c>
      <c r="AZ42" s="878" t="str">
        <f>IF(OR(C42="",F42="",J42="",M42="",O42="",Q42="",S42="",W42="",Z42="",AB42="",AD42="",AF42=""),"",IF(ISNUMBER(AN42),(CONCATENATE(INDEX(CMLIGHTBASE[Measure Number],MATCH(F42,CMLIGHTBASE[Base Desc 1],0)),INDEX(CMLIGHTEFF[Measure Number],MATCH(S42,CMLIGHTEFF[Eff Desc 1],0)))),IF(AK42=0,"","000001")))</f>
        <v/>
      </c>
      <c r="BA42" s="816" t="str">
        <f t="shared" ref="BA42" si="64">IF(OR(C42="",F42="",J42="",M42="",O42="",Q42="",S42="",W42="",Z42="",AB42="",AD42="",AF42=""),"",IF((M42*O42)&lt;=(Z42*AB42),"0",AX42-AY42))</f>
        <v/>
      </c>
      <c r="BB42" s="1064" t="str">
        <f>IF(OR(C42="",F42="",J42="",M42="",O42="",Q42="",S42="",W42="",Z42="",AB42="",AD42="",AF42=""),"",IF(M02S02F46="Electric Only",0,IF(OR(ISNUMBER(SEARCH("Exterior",S42)),ISNUMBER(SEARCH("Exterior",C42)),ISNUMBER(SEARCH("Exterior",F42))),0,IF(OR(M02S02F32="AC with Natural Gas Heat",M02S02F32="Natural Gas Heat Only"),(((O42*M42-AB42*Z42)/1000)*Q42*-INDEX(LightingWHF[Waste Heat Gas Heating IFTherms],MATCH(M02S02F26,LightingWHF[Building/Space Type],0))),0))))</f>
        <v/>
      </c>
      <c r="BC42" s="1103" t="str">
        <f>IFERROR(AH42/M02S02F35/BA42,"")</f>
        <v/>
      </c>
      <c r="BD42" s="1064" t="str">
        <f>IF(OR(C42="",F42="",J42="",M42="",O42="",Q42="",S42="",W42="",Z42="",AB42="",AD42="",AF42=""),"",IF(M02S02F46="Gas Only",0,IF(OR(ISNUMBER(SEARCH("Exterior",S42)),ISNUMBER(SEARCH("Exterior",C42)),ISNUMBER(SEARCH("Exterior",F42))),0,IF(M02S02F32="Heat Pump",(((O42*M42-AB42*Z42)/1000)*Q42*-INDEX(LightingWHF[Waste Heat Electric Heat Pump Heating IFkWh],MATCH(M02S02F26,LightingWHF[Building/Space Type],0))),
IF(OR(M02S02F32="AC with Electric Heat",M02S02F32="Electric Heat Only"),(((O42*M42-AB42*Z42)/1000)*Q42*-INDEX(LightingWHF[Waste Heat Electric Resistance Heating IFkWh],MATCH(M02S02F26,LightingWHF[Building/Space Type],0))),0
)))))</f>
        <v/>
      </c>
      <c r="BE42" s="1064" t="str">
        <f>IF(OR(C42="",F42="",J42="",M42="",O42="",Q42="",S42="",W42="",Z42="",AB42="",AD42="",AF42=""),"",IF(M02S02F46="Gas Only",0,IF(OR(ISNUMBER(SEARCH("Exterior",S42)),ISNUMBER(SEARCH("Exterior",C42)),ISNUMBER(SEARCH("Exterior",F42))),1,IF(OR(M02S02F32="Heat Pump",M02S02F32="AC with Natural Gas Heat",M02S02F32="AC with Electric Heat"),(INDEX(LightingWHF[Waste Heat Cooling Energy WHFe],MATCH(M02S02F26,LightingWHF[Building/Space Type],0))),1))))</f>
        <v/>
      </c>
      <c r="BF42" s="1103" t="str">
        <f>IFERROR(IF((M42*O42)&lt;=(Z42*AB42),MEASURESAVE,IF(M02S02F35="",MEASURERATE,IF(AH42/M02S02F35/BA42&lt;1,MEASUREPAY,IF(AV42&lt;1,MEASURECB,IF(OR(ISBLANK(M02S02F26),ISBLANK(M02S02F32),ISBLANK(M02S02F46)),MEASUREBLDG,""))))),MEASURESUBMIT)</f>
        <v>Submit for Review</v>
      </c>
      <c r="BH42" s="1001" t="str">
        <f ca="1">IF(OR(C42="",F42="",J42="",M42="",O42="",Q42="",S42="",W42="",Z42="",AB42="",AD42="",AF42=""),"",IF('M01-S01'!$V$82&lt;TODAY(),0,IF(M02S02F46="Gas Only",0,IF(OR(AK42="",AK42&lt;0,AU42&lt;=AN42),0,MIN(AH42-AN42,ROUND(AN42*0.2,2))))))</f>
        <v/>
      </c>
    </row>
    <row r="43" spans="2:60" ht="15.95" customHeight="1">
      <c r="B43" s="834"/>
      <c r="C43" s="1094"/>
      <c r="D43" s="1094"/>
      <c r="E43" s="1094"/>
      <c r="F43" s="840"/>
      <c r="G43" s="841"/>
      <c r="H43" s="841"/>
      <c r="I43" s="842"/>
      <c r="J43" s="1094"/>
      <c r="K43" s="1094"/>
      <c r="L43" s="1094"/>
      <c r="M43" s="1084"/>
      <c r="N43" s="1084"/>
      <c r="O43" s="1087"/>
      <c r="P43" s="1088"/>
      <c r="Q43" s="1091"/>
      <c r="R43" s="1092"/>
      <c r="S43" s="856"/>
      <c r="T43" s="841"/>
      <c r="U43" s="841"/>
      <c r="V43" s="842"/>
      <c r="W43" s="1094"/>
      <c r="X43" s="1094"/>
      <c r="Y43" s="1094"/>
      <c r="Z43" s="1084"/>
      <c r="AA43" s="1084"/>
      <c r="AB43" s="1096"/>
      <c r="AC43" s="1096"/>
      <c r="AD43" s="1098"/>
      <c r="AE43" s="1098"/>
      <c r="AF43" s="1098"/>
      <c r="AG43" s="1100"/>
      <c r="AH43" s="870"/>
      <c r="AI43" s="1102"/>
      <c r="AJ43" s="1102"/>
      <c r="AK43" s="912"/>
      <c r="AL43" s="913"/>
      <c r="AM43" s="942"/>
      <c r="AN43" s="1106"/>
      <c r="AO43" s="1106"/>
      <c r="AP43" s="1106"/>
      <c r="AQ43" s="1106"/>
      <c r="AR43" s="59"/>
      <c r="AU43" s="1108"/>
      <c r="AV43" s="1108"/>
      <c r="AW43" s="907"/>
      <c r="AX43" s="817"/>
      <c r="AY43" s="817"/>
      <c r="AZ43" s="879"/>
      <c r="BA43" s="817"/>
      <c r="BB43" s="1002"/>
      <c r="BC43" s="1104"/>
      <c r="BD43" s="1002"/>
      <c r="BE43" s="1002"/>
      <c r="BF43" s="1104"/>
      <c r="BH43" s="1002"/>
    </row>
    <row r="44" spans="2:60" ht="15.95" customHeight="1">
      <c r="B44" s="834">
        <v>15</v>
      </c>
      <c r="C44" s="1093"/>
      <c r="D44" s="1093"/>
      <c r="E44" s="1093"/>
      <c r="F44" s="871"/>
      <c r="G44" s="872"/>
      <c r="H44" s="872"/>
      <c r="I44" s="873"/>
      <c r="J44" s="1093"/>
      <c r="K44" s="1093"/>
      <c r="L44" s="1093"/>
      <c r="M44" s="1083"/>
      <c r="N44" s="1083"/>
      <c r="O44" s="1085" t="str">
        <f>IFERROR(IF(F44="","",INDEX(CMLIGHTBASE[Base Watt 1],MATCH(F44,CMLIGHTBASE[Base Desc 1],0))),"")</f>
        <v/>
      </c>
      <c r="P44" s="1086"/>
      <c r="Q44" s="1089"/>
      <c r="R44" s="1090"/>
      <c r="S44" s="890"/>
      <c r="T44" s="872"/>
      <c r="U44" s="872"/>
      <c r="V44" s="873"/>
      <c r="W44" s="1093"/>
      <c r="X44" s="1093"/>
      <c r="Y44" s="1093"/>
      <c r="Z44" s="1083"/>
      <c r="AA44" s="1083"/>
      <c r="AB44" s="1095"/>
      <c r="AC44" s="1095"/>
      <c r="AD44" s="1097"/>
      <c r="AE44" s="1097"/>
      <c r="AF44" s="1097"/>
      <c r="AG44" s="1099"/>
      <c r="AH44" s="924" t="str">
        <f t="shared" ref="AH44" si="65">IFERROR(IF(OR(C44="",J44="",M44="",O44="",Q44="",W44="",Z44="",AB44="",AD44="",AF44=""),"",ROUND((AD44+AF44)*Z44,2)),"")</f>
        <v/>
      </c>
      <c r="AI44" s="1101"/>
      <c r="AJ44" s="1101"/>
      <c r="AK44" s="910" t="str">
        <f t="shared" ref="AK44" si="66">IFERROR(IF(OR(C44="",F44="",J44="",M44="",O44="",Q44="",S44="",W44="",Z44="",AB44="",AD44="",AF44=""),"",ROUND(IF((M44*O44)&lt;=(Z44*AB44),"0",(AX44-AY44+BD44)*BE44),2)),"")</f>
        <v/>
      </c>
      <c r="AL44" s="911"/>
      <c r="AM44" s="975"/>
      <c r="AN44" s="1105" t="str">
        <f>IFERROR(IF(OR(C44="",F44="",J44="",M44="",O44="",Q44="",S44="",W44="",Z44="",AB44="",AD44="",AF44=""),"",IF(OR(ISNUMBER(SEARCH("~~",F44)),ISNUMBER(SEARCH("~~",S44))),"Invalid Fixture Type Selected",IF(BF44&lt;&gt;"",BF44,ROUND(MIN(AH44*0.75,AK44*INDEX(INCRATE[Electric],MATCH("CMLIGHT",INCRATE[Incentive Type]))),2)))),"")</f>
        <v/>
      </c>
      <c r="AO44" s="1105"/>
      <c r="AP44" s="1105"/>
      <c r="AQ44" s="1105"/>
      <c r="AR44" s="59"/>
      <c r="AU44" s="1109" t="str">
        <f>IF(F44="","",INDEX(CUSTLIGHTUNIT,MATCH(F44,CMELIGHTBASE1,0)))</f>
        <v/>
      </c>
      <c r="AV44" s="1107" t="str">
        <f>IFERROR(IF(OR(C44="",F44="",J44="",M44="",O44="",Q44="",S44="",W44="",Z44="",AB44="",AD44="",AF44=""),"",((((1+ELOSS)*((AK44*INDEX(ELECCB[NPV AEC $/kWh],MATCH(15,ELECCB[Year Number],0)))+(AW44*INDEX(ELECCB[NPV ACC+T&amp;D $/kW],MATCH(15,ELECCB[Year Number],0)))))+((1+GLOSS)*((BB44*INDEX(GASCB[NPV GAEC $/therm],MATCH(15,GASCB[Year Number],1))))))/AH44)),"")</f>
        <v/>
      </c>
      <c r="AW44" s="906" t="str">
        <f>IFERROR(IF(OR(C44="",F44="",J44="",M44="",O44="",Q44="",S44="",W44="",Z44="",AB44="",AD44="",AF44=""),"",IF(OR(ISNUMBER(SEARCH("Exterior",C44)),((M44*O44)&lt;=(Z44*AB44)),ISNUMBER(SEARCH("Exterior",S44)),ISNUMBER(SEARCH("Exterior",F44))),0,ROUND((((M44*O44)-(Z44*AB44))/1000)*INDEX(LightingWHF[Coincidence Factor CF],MATCH(M02S02F26,LightingWHF[Building/Space Type],0))*IF(OR(M02S02F32="AC with Natural Gas Heat",M02S02F32="AC with Electric Heat",M02S02F32="Heat Pump"),INDEX(LightingWHF[Waste Heat Cooling Demand WHFd],MATCH(M02S02F26,LightingWHF[Building/Space Type],0)),1),3))),"")</f>
        <v/>
      </c>
      <c r="AX44" s="816" t="str">
        <f t="shared" ref="AX44" si="67">IF(OR(C44="",F44="",J44="",M44="",O44="",Q44="",S44="",W44="",Z44="",AB44="",AD44="",AF44=""),"",ROUND(M44*O44*Q44/1000,2))</f>
        <v/>
      </c>
      <c r="AY44" s="816" t="str">
        <f t="shared" ref="AY44" si="68">IF(OR(C44="",F44="",J44="",M44="",O44="",Q44="",S44="",W44="",Z44="",AB44="",AD44="",AF44=""),"",ROUND(Z44*AB44*Q44/1000,2))</f>
        <v/>
      </c>
      <c r="AZ44" s="878" t="str">
        <f>IF(OR(C44="",F44="",J44="",M44="",O44="",Q44="",S44="",W44="",Z44="",AB44="",AD44="",AF44=""),"",IF(ISNUMBER(AN44),(CONCATENATE(INDEX(CMLIGHTBASE[Measure Number],MATCH(F44,CMLIGHTBASE[Base Desc 1],0)),INDEX(CMLIGHTEFF[Measure Number],MATCH(S44,CMLIGHTEFF[Eff Desc 1],0)))),IF(AK44=0,"","000001")))</f>
        <v/>
      </c>
      <c r="BA44" s="816" t="str">
        <f t="shared" ref="BA44" si="69">IF(OR(C44="",F44="",J44="",M44="",O44="",Q44="",S44="",W44="",Z44="",AB44="",AD44="",AF44=""),"",IF((M44*O44)&lt;=(Z44*AB44),"0",AX44-AY44))</f>
        <v/>
      </c>
      <c r="BB44" s="1064" t="str">
        <f>IF(OR(C44="",F44="",J44="",M44="",O44="",Q44="",S44="",W44="",Z44="",AB44="",AD44="",AF44=""),"",IF(M02S02F46="Electric Only",0,IF(OR(ISNUMBER(SEARCH("Exterior",S44)),ISNUMBER(SEARCH("Exterior",C44)),ISNUMBER(SEARCH("Exterior",F44))),0,IF(OR(M02S02F32="AC with Natural Gas Heat",M02S02F32="Natural Gas Heat Only"),(((O44*M44-AB44*Z44)/1000)*Q44*-INDEX(LightingWHF[Waste Heat Gas Heating IFTherms],MATCH(M02S02F26,LightingWHF[Building/Space Type],0))),0))))</f>
        <v/>
      </c>
      <c r="BC44" s="1103" t="str">
        <f>IFERROR(AH44/M02S02F35/BA44,"")</f>
        <v/>
      </c>
      <c r="BD44" s="1064" t="str">
        <f>IF(OR(C44="",F44="",J44="",M44="",O44="",Q44="",S44="",W44="",Z44="",AB44="",AD44="",AF44=""),"",IF(M02S02F46="Gas Only",0,IF(OR(ISNUMBER(SEARCH("Exterior",S44)),ISNUMBER(SEARCH("Exterior",C44)),ISNUMBER(SEARCH("Exterior",F44))),0,IF(M02S02F32="Heat Pump",(((O44*M44-AB44*Z44)/1000)*Q44*-INDEX(LightingWHF[Waste Heat Electric Heat Pump Heating IFkWh],MATCH(M02S02F26,LightingWHF[Building/Space Type],0))),
IF(OR(M02S02F32="AC with Electric Heat",M02S02F32="Electric Heat Only"),(((O44*M44-AB44*Z44)/1000)*Q44*-INDEX(LightingWHF[Waste Heat Electric Resistance Heating IFkWh],MATCH(M02S02F26,LightingWHF[Building/Space Type],0))),0
)))))</f>
        <v/>
      </c>
      <c r="BE44" s="1064" t="str">
        <f>IF(OR(C44="",F44="",J44="",M44="",O44="",Q44="",S44="",W44="",Z44="",AB44="",AD44="",AF44=""),"",IF(M02S02F46="Gas Only",0,IF(OR(ISNUMBER(SEARCH("Exterior",S44)),ISNUMBER(SEARCH("Exterior",C44)),ISNUMBER(SEARCH("Exterior",F44))),1,IF(OR(M02S02F32="Heat Pump",M02S02F32="AC with Natural Gas Heat",M02S02F32="AC with Electric Heat"),(INDEX(LightingWHF[Waste Heat Cooling Energy WHFe],MATCH(M02S02F26,LightingWHF[Building/Space Type],0))),1))))</f>
        <v/>
      </c>
      <c r="BF44" s="1103" t="str">
        <f>IFERROR(IF((M44*O44)&lt;=(Z44*AB44),MEASURESAVE,IF(M02S02F35="",MEASURERATE,IF(AH44/M02S02F35/BA44&lt;1,MEASUREPAY,IF(AV44&lt;1,MEASURECB,IF(OR(ISBLANK(M02S02F26),ISBLANK(M02S02F32),ISBLANK(M02S02F46)),MEASUREBLDG,""))))),MEASURESUBMIT)</f>
        <v>Submit for Review</v>
      </c>
      <c r="BH44" s="1001" t="str">
        <f ca="1">IF(OR(C44="",F44="",J44="",M44="",O44="",Q44="",S44="",W44="",Z44="",AB44="",AD44="",AF44=""),"",IF('M01-S01'!$V$82&lt;TODAY(),0,IF(M02S02F46="Gas Only",0,IF(OR(AK44="",AK44&lt;0,AU44&lt;=AN44),0,MIN(AH44-AN44,ROUND(AN44*0.2,2))))))</f>
        <v/>
      </c>
    </row>
    <row r="45" spans="2:60" ht="15.95" customHeight="1">
      <c r="B45" s="834"/>
      <c r="C45" s="1094"/>
      <c r="D45" s="1094"/>
      <c r="E45" s="1094"/>
      <c r="F45" s="840"/>
      <c r="G45" s="841"/>
      <c r="H45" s="841"/>
      <c r="I45" s="842"/>
      <c r="J45" s="1094"/>
      <c r="K45" s="1094"/>
      <c r="L45" s="1094"/>
      <c r="M45" s="1084"/>
      <c r="N45" s="1084"/>
      <c r="O45" s="1087"/>
      <c r="P45" s="1088"/>
      <c r="Q45" s="1091"/>
      <c r="R45" s="1092"/>
      <c r="S45" s="856"/>
      <c r="T45" s="841"/>
      <c r="U45" s="841"/>
      <c r="V45" s="842"/>
      <c r="W45" s="1094"/>
      <c r="X45" s="1094"/>
      <c r="Y45" s="1094"/>
      <c r="Z45" s="1084"/>
      <c r="AA45" s="1084"/>
      <c r="AB45" s="1096"/>
      <c r="AC45" s="1096"/>
      <c r="AD45" s="1098"/>
      <c r="AE45" s="1098"/>
      <c r="AF45" s="1098"/>
      <c r="AG45" s="1100"/>
      <c r="AH45" s="870"/>
      <c r="AI45" s="1102"/>
      <c r="AJ45" s="1102"/>
      <c r="AK45" s="912"/>
      <c r="AL45" s="913"/>
      <c r="AM45" s="942"/>
      <c r="AN45" s="1106"/>
      <c r="AO45" s="1106"/>
      <c r="AP45" s="1106"/>
      <c r="AQ45" s="1106"/>
      <c r="AR45" s="59"/>
      <c r="AU45" s="1108"/>
      <c r="AV45" s="1108"/>
      <c r="AW45" s="907"/>
      <c r="AX45" s="817"/>
      <c r="AY45" s="817"/>
      <c r="AZ45" s="879"/>
      <c r="BA45" s="817"/>
      <c r="BB45" s="1002"/>
      <c r="BC45" s="1104"/>
      <c r="BD45" s="1002"/>
      <c r="BE45" s="1002"/>
      <c r="BF45" s="1104"/>
      <c r="BH45" s="1002"/>
    </row>
    <row r="46" spans="2:60" ht="15.95" customHeight="1">
      <c r="B46" s="834">
        <v>16</v>
      </c>
      <c r="C46" s="1093"/>
      <c r="D46" s="1093"/>
      <c r="E46" s="1093"/>
      <c r="F46" s="871"/>
      <c r="G46" s="872"/>
      <c r="H46" s="872"/>
      <c r="I46" s="873"/>
      <c r="J46" s="1093"/>
      <c r="K46" s="1093"/>
      <c r="L46" s="1093"/>
      <c r="M46" s="1083"/>
      <c r="N46" s="1083"/>
      <c r="O46" s="1085" t="str">
        <f>IFERROR(IF(F46="","",INDEX(CMLIGHTBASE[Base Watt 1],MATCH(F46,CMLIGHTBASE[Base Desc 1],0))),"")</f>
        <v/>
      </c>
      <c r="P46" s="1086"/>
      <c r="Q46" s="1089"/>
      <c r="R46" s="1090"/>
      <c r="S46" s="890"/>
      <c r="T46" s="872"/>
      <c r="U46" s="872"/>
      <c r="V46" s="873"/>
      <c r="W46" s="1093"/>
      <c r="X46" s="1093"/>
      <c r="Y46" s="1093"/>
      <c r="Z46" s="1083"/>
      <c r="AA46" s="1083"/>
      <c r="AB46" s="1095"/>
      <c r="AC46" s="1095"/>
      <c r="AD46" s="1097"/>
      <c r="AE46" s="1097"/>
      <c r="AF46" s="1097"/>
      <c r="AG46" s="1099"/>
      <c r="AH46" s="924" t="str">
        <f t="shared" ref="AH46" si="70">IFERROR(IF(OR(C46="",J46="",M46="",O46="",Q46="",W46="",Z46="",AB46="",AD46="",AF46=""),"",ROUND((AD46+AF46)*Z46,2)),"")</f>
        <v/>
      </c>
      <c r="AI46" s="1101"/>
      <c r="AJ46" s="1101"/>
      <c r="AK46" s="910" t="str">
        <f t="shared" ref="AK46" si="71">IFERROR(IF(OR(C46="",F46="",J46="",M46="",O46="",Q46="",S46="",W46="",Z46="",AB46="",AD46="",AF46=""),"",ROUND(IF((M46*O46)&lt;=(Z46*AB46),"0",(AX46-AY46+BD46)*BE46),2)),"")</f>
        <v/>
      </c>
      <c r="AL46" s="911"/>
      <c r="AM46" s="975"/>
      <c r="AN46" s="1105" t="str">
        <f>IFERROR(IF(OR(C46="",F46="",J46="",M46="",O46="",Q46="",S46="",W46="",Z46="",AB46="",AD46="",AF46=""),"",IF(OR(ISNUMBER(SEARCH("~~",F46)),ISNUMBER(SEARCH("~~",S46))),"Invalid Fixture Type Selected",IF(BF46&lt;&gt;"",BF46,ROUND(MIN(AH46*0.75,AK46*INDEX(INCRATE[Electric],MATCH("CMLIGHT",INCRATE[Incentive Type]))),2)))),"")</f>
        <v/>
      </c>
      <c r="AO46" s="1105"/>
      <c r="AP46" s="1105"/>
      <c r="AQ46" s="1105"/>
      <c r="AR46" s="59"/>
      <c r="AU46" s="1109" t="str">
        <f>IF(F46="","",INDEX(CUSTLIGHTUNIT,MATCH(F46,CMELIGHTBASE1,0)))</f>
        <v/>
      </c>
      <c r="AV46" s="1107" t="str">
        <f>IFERROR(IF(OR(C46="",F46="",J46="",M46="",O46="",Q46="",S46="",W46="",Z46="",AB46="",AD46="",AF46=""),"",((((1+ELOSS)*((AK46*INDEX(ELECCB[NPV AEC $/kWh],MATCH(15,ELECCB[Year Number],0)))+(AW46*INDEX(ELECCB[NPV ACC+T&amp;D $/kW],MATCH(15,ELECCB[Year Number],0)))))+((1+GLOSS)*((BB46*INDEX(GASCB[NPV GAEC $/therm],MATCH(15,GASCB[Year Number],1))))))/AH46)),"")</f>
        <v/>
      </c>
      <c r="AW46" s="906" t="str">
        <f>IFERROR(IF(OR(C46="",F46="",J46="",M46="",O46="",Q46="",S46="",W46="",Z46="",AB46="",AD46="",AF46=""),"",IF(OR(ISNUMBER(SEARCH("Exterior",C46)),((M46*O46)&lt;=(Z46*AB46)),ISNUMBER(SEARCH("Exterior",S46)),ISNUMBER(SEARCH("Exterior",F46))),0,ROUND((((M46*O46)-(Z46*AB46))/1000)*INDEX(LightingWHF[Coincidence Factor CF],MATCH(M02S02F26,LightingWHF[Building/Space Type],0))*IF(OR(M02S02F32="AC with Natural Gas Heat",M02S02F32="AC with Electric Heat",M02S02F32="Heat Pump"),INDEX(LightingWHF[Waste Heat Cooling Demand WHFd],MATCH(M02S02F26,LightingWHF[Building/Space Type],0)),1),3))),"")</f>
        <v/>
      </c>
      <c r="AX46" s="816" t="str">
        <f t="shared" ref="AX46" si="72">IF(OR(C46="",F46="",J46="",M46="",O46="",Q46="",S46="",W46="",Z46="",AB46="",AD46="",AF46=""),"",ROUND(M46*O46*Q46/1000,2))</f>
        <v/>
      </c>
      <c r="AY46" s="816" t="str">
        <f t="shared" ref="AY46" si="73">IF(OR(C46="",F46="",J46="",M46="",O46="",Q46="",S46="",W46="",Z46="",AB46="",AD46="",AF46=""),"",ROUND(Z46*AB46*Q46/1000,2))</f>
        <v/>
      </c>
      <c r="AZ46" s="878" t="str">
        <f>IF(OR(C46="",F46="",J46="",M46="",O46="",Q46="",S46="",W46="",Z46="",AB46="",AD46="",AF46=""),"",IF(ISNUMBER(AN46),(CONCATENATE(INDEX(CMLIGHTBASE[Measure Number],MATCH(F46,CMLIGHTBASE[Base Desc 1],0)),INDEX(CMLIGHTEFF[Measure Number],MATCH(S46,CMLIGHTEFF[Eff Desc 1],0)))),IF(AK46=0,"","000001")))</f>
        <v/>
      </c>
      <c r="BA46" s="816" t="str">
        <f t="shared" ref="BA46" si="74">IF(OR(C46="",F46="",J46="",M46="",O46="",Q46="",S46="",W46="",Z46="",AB46="",AD46="",AF46=""),"",IF((M46*O46)&lt;=(Z46*AB46),"0",AX46-AY46))</f>
        <v/>
      </c>
      <c r="BB46" s="1064" t="str">
        <f>IF(OR(C46="",F46="",J46="",M46="",O46="",Q46="",S46="",W46="",Z46="",AB46="",AD46="",AF46=""),"",IF(M02S02F46="Electric Only",0,IF(OR(ISNUMBER(SEARCH("Exterior",S46)),ISNUMBER(SEARCH("Exterior",C46)),ISNUMBER(SEARCH("Exterior",F46))),0,IF(OR(M02S02F32="AC with Natural Gas Heat",M02S02F32="Natural Gas Heat Only"),(((O46*M46-AB46*Z46)/1000)*Q46*-INDEX(LightingWHF[Waste Heat Gas Heating IFTherms],MATCH(M02S02F26,LightingWHF[Building/Space Type],0))),0))))</f>
        <v/>
      </c>
      <c r="BC46" s="1103" t="str">
        <f>IFERROR(AH46/M02S02F35/BA46,"")</f>
        <v/>
      </c>
      <c r="BD46" s="1064" t="str">
        <f>IF(OR(C46="",F46="",J46="",M46="",O46="",Q46="",S46="",W46="",Z46="",AB46="",AD46="",AF46=""),"",IF(M02S02F46="Gas Only",0,IF(OR(ISNUMBER(SEARCH("Exterior",S46)),ISNUMBER(SEARCH("Exterior",C46)),ISNUMBER(SEARCH("Exterior",F46))),0,IF(M02S02F32="Heat Pump",(((O46*M46-AB46*Z46)/1000)*Q46*-INDEX(LightingWHF[Waste Heat Electric Heat Pump Heating IFkWh],MATCH(M02S02F26,LightingWHF[Building/Space Type],0))),
IF(OR(M02S02F32="AC with Electric Heat",M02S02F32="Electric Heat Only"),(((O46*M46-AB46*Z46)/1000)*Q46*-INDEX(LightingWHF[Waste Heat Electric Resistance Heating IFkWh],MATCH(M02S02F26,LightingWHF[Building/Space Type],0))),0
)))))</f>
        <v/>
      </c>
      <c r="BE46" s="1064" t="str">
        <f>IF(OR(C46="",F46="",J46="",M46="",O46="",Q46="",S46="",W46="",Z46="",AB46="",AD46="",AF46=""),"",IF(M02S02F46="Gas Only",0,IF(OR(ISNUMBER(SEARCH("Exterior",S46)),ISNUMBER(SEARCH("Exterior",C46)),ISNUMBER(SEARCH("Exterior",F46))),1,IF(OR(M02S02F32="Heat Pump",M02S02F32="AC with Natural Gas Heat",M02S02F32="AC with Electric Heat"),(INDEX(LightingWHF[Waste Heat Cooling Energy WHFe],MATCH(M02S02F26,LightingWHF[Building/Space Type],0))),1))))</f>
        <v/>
      </c>
      <c r="BF46" s="1103" t="str">
        <f>IFERROR(IF((M46*O46)&lt;=(Z46*AB46),MEASURESAVE,IF(M02S02F35="",MEASURERATE,IF(AH46/M02S02F35/BA46&lt;1,MEASUREPAY,IF(AV46&lt;1,MEASURECB,IF(OR(ISBLANK(M02S02F26),ISBLANK(M02S02F32),ISBLANK(M02S02F46)),MEASUREBLDG,""))))),MEASURESUBMIT)</f>
        <v>Submit for Review</v>
      </c>
      <c r="BH46" s="1001" t="str">
        <f ca="1">IF(OR(C46="",F46="",J46="",M46="",O46="",Q46="",S46="",W46="",Z46="",AB46="",AD46="",AF46=""),"",IF('M01-S01'!$V$82&lt;TODAY(),0,IF(M02S02F46="Gas Only",0,IF(OR(AK46="",AK46&lt;0,AU46&lt;=AN46),0,MIN(AH46-AN46,ROUND(AN46*0.2,2))))))</f>
        <v/>
      </c>
    </row>
    <row r="47" spans="2:60" ht="15.95" customHeight="1">
      <c r="B47" s="834"/>
      <c r="C47" s="1094"/>
      <c r="D47" s="1094"/>
      <c r="E47" s="1094"/>
      <c r="F47" s="840"/>
      <c r="G47" s="841"/>
      <c r="H47" s="841"/>
      <c r="I47" s="842"/>
      <c r="J47" s="1094"/>
      <c r="K47" s="1094"/>
      <c r="L47" s="1094"/>
      <c r="M47" s="1084"/>
      <c r="N47" s="1084"/>
      <c r="O47" s="1087"/>
      <c r="P47" s="1088"/>
      <c r="Q47" s="1091"/>
      <c r="R47" s="1092"/>
      <c r="S47" s="856"/>
      <c r="T47" s="841"/>
      <c r="U47" s="841"/>
      <c r="V47" s="842"/>
      <c r="W47" s="1094"/>
      <c r="X47" s="1094"/>
      <c r="Y47" s="1094"/>
      <c r="Z47" s="1084"/>
      <c r="AA47" s="1084"/>
      <c r="AB47" s="1096"/>
      <c r="AC47" s="1096"/>
      <c r="AD47" s="1098"/>
      <c r="AE47" s="1098"/>
      <c r="AF47" s="1098"/>
      <c r="AG47" s="1100"/>
      <c r="AH47" s="870"/>
      <c r="AI47" s="1102"/>
      <c r="AJ47" s="1102"/>
      <c r="AK47" s="912"/>
      <c r="AL47" s="913"/>
      <c r="AM47" s="942"/>
      <c r="AN47" s="1106"/>
      <c r="AO47" s="1106"/>
      <c r="AP47" s="1106"/>
      <c r="AQ47" s="1106"/>
      <c r="AR47" s="59"/>
      <c r="AU47" s="1108"/>
      <c r="AV47" s="1108"/>
      <c r="AW47" s="907"/>
      <c r="AX47" s="817"/>
      <c r="AY47" s="817"/>
      <c r="AZ47" s="879"/>
      <c r="BA47" s="817"/>
      <c r="BB47" s="1002"/>
      <c r="BC47" s="1104"/>
      <c r="BD47" s="1002"/>
      <c r="BE47" s="1002"/>
      <c r="BF47" s="1104"/>
      <c r="BH47" s="1002"/>
    </row>
    <row r="48" spans="2:60" ht="15.95" customHeight="1">
      <c r="B48" s="834">
        <v>17</v>
      </c>
      <c r="C48" s="1093"/>
      <c r="D48" s="1093"/>
      <c r="E48" s="1093"/>
      <c r="F48" s="871"/>
      <c r="G48" s="872"/>
      <c r="H48" s="872"/>
      <c r="I48" s="873"/>
      <c r="J48" s="1093"/>
      <c r="K48" s="1093"/>
      <c r="L48" s="1093"/>
      <c r="M48" s="1083"/>
      <c r="N48" s="1083"/>
      <c r="O48" s="1085" t="str">
        <f>IFERROR(IF(F48="","",INDEX(CMLIGHTBASE[Base Watt 1],MATCH(F48,CMLIGHTBASE[Base Desc 1],0))),"")</f>
        <v/>
      </c>
      <c r="P48" s="1086"/>
      <c r="Q48" s="1089"/>
      <c r="R48" s="1090"/>
      <c r="S48" s="890"/>
      <c r="T48" s="872"/>
      <c r="U48" s="872"/>
      <c r="V48" s="873"/>
      <c r="W48" s="1093"/>
      <c r="X48" s="1093"/>
      <c r="Y48" s="1093"/>
      <c r="Z48" s="1083"/>
      <c r="AA48" s="1083"/>
      <c r="AB48" s="1095"/>
      <c r="AC48" s="1095"/>
      <c r="AD48" s="1097"/>
      <c r="AE48" s="1097"/>
      <c r="AF48" s="1097"/>
      <c r="AG48" s="1099"/>
      <c r="AH48" s="924" t="str">
        <f t="shared" ref="AH48" si="75">IFERROR(IF(OR(C48="",J48="",M48="",O48="",Q48="",W48="",Z48="",AB48="",AD48="",AF48=""),"",ROUND((AD48+AF48)*Z48,2)),"")</f>
        <v/>
      </c>
      <c r="AI48" s="1101"/>
      <c r="AJ48" s="1101"/>
      <c r="AK48" s="910" t="str">
        <f t="shared" ref="AK48" si="76">IFERROR(IF(OR(C48="",F48="",J48="",M48="",O48="",Q48="",S48="",W48="",Z48="",AB48="",AD48="",AF48=""),"",ROUND(IF((M48*O48)&lt;=(Z48*AB48),"0",(AX48-AY48+BD48)*BE48),2)),"")</f>
        <v/>
      </c>
      <c r="AL48" s="911"/>
      <c r="AM48" s="975"/>
      <c r="AN48" s="1105" t="str">
        <f>IFERROR(IF(OR(C48="",F48="",J48="",M48="",O48="",Q48="",S48="",W48="",Z48="",AB48="",AD48="",AF48=""),"",IF(OR(ISNUMBER(SEARCH("~~",F48)),ISNUMBER(SEARCH("~~",S48))),"Invalid Fixture Type Selected",IF(BF48&lt;&gt;"",BF48,ROUND(MIN(AH48*0.75,AK48*INDEX(INCRATE[Electric],MATCH("CMLIGHT",INCRATE[Incentive Type]))),2)))),"")</f>
        <v/>
      </c>
      <c r="AO48" s="1105"/>
      <c r="AP48" s="1105"/>
      <c r="AQ48" s="1105"/>
      <c r="AU48" s="1109" t="str">
        <f>IF(F48="","",INDEX(CUSTLIGHTUNIT,MATCH(F48,CMELIGHTBASE1,0)))</f>
        <v/>
      </c>
      <c r="AV48" s="1107" t="str">
        <f>IFERROR(IF(OR(C48="",F48="",J48="",M48="",O48="",Q48="",S48="",W48="",Z48="",AB48="",AD48="",AF48=""),"",((((1+ELOSS)*((AK48*INDEX(ELECCB[NPV AEC $/kWh],MATCH(15,ELECCB[Year Number],0)))+(AW48*INDEX(ELECCB[NPV ACC+T&amp;D $/kW],MATCH(15,ELECCB[Year Number],0)))))+((1+GLOSS)*((BB48*INDEX(GASCB[NPV GAEC $/therm],MATCH(15,GASCB[Year Number],1))))))/AH48)),"")</f>
        <v/>
      </c>
      <c r="AW48" s="906" t="str">
        <f>IFERROR(IF(OR(C48="",F48="",J48="",M48="",O48="",Q48="",S48="",W48="",Z48="",AB48="",AD48="",AF48=""),"",IF(OR(ISNUMBER(SEARCH("Exterior",C48)),((M48*O48)&lt;=(Z48*AB48)),ISNUMBER(SEARCH("Exterior",S48)),ISNUMBER(SEARCH("Exterior",F48))),0,ROUND((((M48*O48)-(Z48*AB48))/1000)*INDEX(LightingWHF[Coincidence Factor CF],MATCH(M02S02F26,LightingWHF[Building/Space Type],0))*IF(OR(M02S02F32="AC with Natural Gas Heat",M02S02F32="AC with Electric Heat",M02S02F32="Heat Pump"),INDEX(LightingWHF[Waste Heat Cooling Demand WHFd],MATCH(M02S02F26,LightingWHF[Building/Space Type],0)),1),3))),"")</f>
        <v/>
      </c>
      <c r="AX48" s="816" t="str">
        <f t="shared" ref="AX48" si="77">IF(OR(C48="",F48="",J48="",M48="",O48="",Q48="",S48="",W48="",Z48="",AB48="",AD48="",AF48=""),"",ROUND(M48*O48*Q48/1000,2))</f>
        <v/>
      </c>
      <c r="AY48" s="816" t="str">
        <f t="shared" ref="AY48" si="78">IF(OR(C48="",F48="",J48="",M48="",O48="",Q48="",S48="",W48="",Z48="",AB48="",AD48="",AF48=""),"",ROUND(Z48*AB48*Q48/1000,2))</f>
        <v/>
      </c>
      <c r="AZ48" s="878" t="str">
        <f>IF(OR(C48="",F48="",J48="",M48="",O48="",Q48="",S48="",W48="",Z48="",AB48="",AD48="",AF48=""),"",IF(ISNUMBER(AN48),(CONCATENATE(INDEX(CMLIGHTBASE[Measure Number],MATCH(F48,CMLIGHTBASE[Base Desc 1],0)),INDEX(CMLIGHTEFF[Measure Number],MATCH(S48,CMLIGHTEFF[Eff Desc 1],0)))),IF(AK48=0,"","000001")))</f>
        <v/>
      </c>
      <c r="BA48" s="816" t="str">
        <f t="shared" ref="BA48" si="79">IF(OR(C48="",F48="",J48="",M48="",O48="",Q48="",S48="",W48="",Z48="",AB48="",AD48="",AF48=""),"",IF((M48*O48)&lt;=(Z48*AB48),"0",AX48-AY48))</f>
        <v/>
      </c>
      <c r="BB48" s="1064" t="str">
        <f>IF(OR(C48="",F48="",J48="",M48="",O48="",Q48="",S48="",W48="",Z48="",AB48="",AD48="",AF48=""),"",IF(M02S02F46="Electric Only",0,IF(OR(ISNUMBER(SEARCH("Exterior",S48)),ISNUMBER(SEARCH("Exterior",C48)),ISNUMBER(SEARCH("Exterior",F48))),0,IF(OR(M02S02F32="AC with Natural Gas Heat",M02S02F32="Natural Gas Heat Only"),(((O48*M48-AB48*Z48)/1000)*Q48*-INDEX(LightingWHF[Waste Heat Gas Heating IFTherms],MATCH(M02S02F26,LightingWHF[Building/Space Type],0))),0))))</f>
        <v/>
      </c>
      <c r="BC48" s="1103" t="str">
        <f>IFERROR(AH48/M02S02F35/BA48,"")</f>
        <v/>
      </c>
      <c r="BD48" s="1064" t="str">
        <f>IF(OR(C48="",F48="",J48="",M48="",O48="",Q48="",S48="",W48="",Z48="",AB48="",AD48="",AF48=""),"",IF(M02S02F46="Gas Only",0,IF(OR(ISNUMBER(SEARCH("Exterior",S48)),ISNUMBER(SEARCH("Exterior",C48)),ISNUMBER(SEARCH("Exterior",F48))),0,IF(M02S02F32="Heat Pump",(((O48*M48-AB48*Z48)/1000)*Q48*-INDEX(LightingWHF[Waste Heat Electric Heat Pump Heating IFkWh],MATCH(M02S02F26,LightingWHF[Building/Space Type],0))),
IF(OR(M02S02F32="AC with Electric Heat",M02S02F32="Electric Heat Only"),(((O48*M48-AB48*Z48)/1000)*Q48*-INDEX(LightingWHF[Waste Heat Electric Resistance Heating IFkWh],MATCH(M02S02F26,LightingWHF[Building/Space Type],0))),0
)))))</f>
        <v/>
      </c>
      <c r="BE48" s="1064" t="str">
        <f>IF(OR(C48="",F48="",J48="",M48="",O48="",Q48="",S48="",W48="",Z48="",AB48="",AD48="",AF48=""),"",IF(M02S02F46="Gas Only",0,IF(OR(ISNUMBER(SEARCH("Exterior",S48)),ISNUMBER(SEARCH("Exterior",C48)),ISNUMBER(SEARCH("Exterior",F48))),1,IF(OR(M02S02F32="Heat Pump",M02S02F32="AC with Natural Gas Heat",M02S02F32="AC with Electric Heat"),(INDEX(LightingWHF[Waste Heat Cooling Energy WHFe],MATCH(M02S02F26,LightingWHF[Building/Space Type],0))),1))))</f>
        <v/>
      </c>
      <c r="BF48" s="1103" t="str">
        <f>IFERROR(IF((M48*O48)&lt;=(Z48*AB48),MEASURESAVE,IF(M02S02F35="",MEASURERATE,IF(AH48/M02S02F35/BA48&lt;1,MEASUREPAY,IF(AV48&lt;1,MEASURECB,IF(OR(ISBLANK(M02S02F26),ISBLANK(M02S02F32),ISBLANK(M02S02F46)),MEASUREBLDG,""))))),MEASURESUBMIT)</f>
        <v>Submit for Review</v>
      </c>
      <c r="BH48" s="1001" t="str">
        <f ca="1">IF(OR(C48="",F48="",J48="",M48="",O48="",Q48="",S48="",W48="",Z48="",AB48="",AD48="",AF48=""),"",IF('M01-S01'!$V$82&lt;TODAY(),0,IF(M02S02F46="Gas Only",0,IF(OR(AK48="",AK48&lt;0,AU48&lt;=AN48),0,MIN(AH48-AN48,ROUND(AN48*0.2,2))))))</f>
        <v/>
      </c>
    </row>
    <row r="49" spans="2:60" ht="15.95" customHeight="1">
      <c r="B49" s="834"/>
      <c r="C49" s="1094"/>
      <c r="D49" s="1094"/>
      <c r="E49" s="1094"/>
      <c r="F49" s="840"/>
      <c r="G49" s="841"/>
      <c r="H49" s="841"/>
      <c r="I49" s="842"/>
      <c r="J49" s="1094"/>
      <c r="K49" s="1094"/>
      <c r="L49" s="1094"/>
      <c r="M49" s="1084"/>
      <c r="N49" s="1084"/>
      <c r="O49" s="1087"/>
      <c r="P49" s="1088"/>
      <c r="Q49" s="1091"/>
      <c r="R49" s="1092"/>
      <c r="S49" s="856"/>
      <c r="T49" s="841"/>
      <c r="U49" s="841"/>
      <c r="V49" s="842"/>
      <c r="W49" s="1094"/>
      <c r="X49" s="1094"/>
      <c r="Y49" s="1094"/>
      <c r="Z49" s="1084"/>
      <c r="AA49" s="1084"/>
      <c r="AB49" s="1096"/>
      <c r="AC49" s="1096"/>
      <c r="AD49" s="1098"/>
      <c r="AE49" s="1098"/>
      <c r="AF49" s="1098"/>
      <c r="AG49" s="1100"/>
      <c r="AH49" s="870"/>
      <c r="AI49" s="1102"/>
      <c r="AJ49" s="1102"/>
      <c r="AK49" s="912"/>
      <c r="AL49" s="913"/>
      <c r="AM49" s="942"/>
      <c r="AN49" s="1106"/>
      <c r="AO49" s="1106"/>
      <c r="AP49" s="1106"/>
      <c r="AQ49" s="1106"/>
      <c r="AU49" s="1108"/>
      <c r="AV49" s="1108"/>
      <c r="AW49" s="907"/>
      <c r="AX49" s="817"/>
      <c r="AY49" s="817"/>
      <c r="AZ49" s="879"/>
      <c r="BA49" s="817"/>
      <c r="BB49" s="1002"/>
      <c r="BC49" s="1104"/>
      <c r="BD49" s="1002"/>
      <c r="BE49" s="1002"/>
      <c r="BF49" s="1104"/>
      <c r="BH49" s="1002"/>
    </row>
    <row r="50" spans="2:60" ht="15.95" customHeight="1">
      <c r="B50" s="834">
        <v>18</v>
      </c>
      <c r="C50" s="1093"/>
      <c r="D50" s="1093"/>
      <c r="E50" s="1093"/>
      <c r="F50" s="871"/>
      <c r="G50" s="872"/>
      <c r="H50" s="872"/>
      <c r="I50" s="873"/>
      <c r="J50" s="1093"/>
      <c r="K50" s="1093"/>
      <c r="L50" s="1093"/>
      <c r="M50" s="1083"/>
      <c r="N50" s="1083"/>
      <c r="O50" s="1085" t="str">
        <f>IFERROR(IF(F50="","",INDEX(CMLIGHTBASE[Base Watt 1],MATCH(F50,CMLIGHTBASE[Base Desc 1],0))),"")</f>
        <v/>
      </c>
      <c r="P50" s="1086"/>
      <c r="Q50" s="1089"/>
      <c r="R50" s="1090"/>
      <c r="S50" s="890"/>
      <c r="T50" s="872"/>
      <c r="U50" s="872"/>
      <c r="V50" s="873"/>
      <c r="W50" s="1093"/>
      <c r="X50" s="1093"/>
      <c r="Y50" s="1093"/>
      <c r="Z50" s="1083"/>
      <c r="AA50" s="1083"/>
      <c r="AB50" s="1095"/>
      <c r="AC50" s="1095"/>
      <c r="AD50" s="1097"/>
      <c r="AE50" s="1097"/>
      <c r="AF50" s="1097"/>
      <c r="AG50" s="1099"/>
      <c r="AH50" s="924" t="str">
        <f t="shared" ref="AH50" si="80">IFERROR(IF(OR(C50="",J50="",M50="",O50="",Q50="",W50="",Z50="",AB50="",AD50="",AF50=""),"",ROUND((AD50+AF50)*Z50,2)),"")</f>
        <v/>
      </c>
      <c r="AI50" s="1101"/>
      <c r="AJ50" s="1101"/>
      <c r="AK50" s="910" t="str">
        <f t="shared" ref="AK50" si="81">IFERROR(IF(OR(C50="",F50="",J50="",M50="",O50="",Q50="",S50="",W50="",Z50="",AB50="",AD50="",AF50=""),"",ROUND(IF((M50*O50)&lt;=(Z50*AB50),"0",(AX50-AY50+BD50)*BE50),2)),"")</f>
        <v/>
      </c>
      <c r="AL50" s="911"/>
      <c r="AM50" s="975"/>
      <c r="AN50" s="1105" t="str">
        <f>IFERROR(IF(OR(C50="",F50="",J50="",M50="",O50="",Q50="",S50="",W50="",Z50="",AB50="",AD50="",AF50=""),"",IF(OR(ISNUMBER(SEARCH("~~",F50)),ISNUMBER(SEARCH("~~",S50))),"Invalid Fixture Type Selected",IF(BF50&lt;&gt;"",BF50,ROUND(MIN(AH50*0.75,AK50*INDEX(INCRATE[Electric],MATCH("CMLIGHT",INCRATE[Incentive Type]))),2)))),"")</f>
        <v/>
      </c>
      <c r="AO50" s="1105"/>
      <c r="AP50" s="1105"/>
      <c r="AQ50" s="1105"/>
      <c r="AU50" s="1109" t="str">
        <f>IF(F50="","",INDEX(CUSTLIGHTUNIT,MATCH(F50,CMELIGHTBASE1,0)))</f>
        <v/>
      </c>
      <c r="AV50" s="1107" t="str">
        <f>IFERROR(IF(OR(C50="",F50="",J50="",M50="",O50="",Q50="",S50="",W50="",Z50="",AB50="",AD50="",AF50=""),"",((((1+ELOSS)*((AK50*INDEX(ELECCB[NPV AEC $/kWh],MATCH(15,ELECCB[Year Number],0)))+(AW50*INDEX(ELECCB[NPV ACC+T&amp;D $/kW],MATCH(15,ELECCB[Year Number],0)))))+((1+GLOSS)*((BB50*INDEX(GASCB[NPV GAEC $/therm],MATCH(15,GASCB[Year Number],1))))))/AH50)),"")</f>
        <v/>
      </c>
      <c r="AW50" s="906" t="str">
        <f>IFERROR(IF(OR(C50="",F50="",J50="",M50="",O50="",Q50="",S50="",W50="",Z50="",AB50="",AD50="",AF50=""),"",IF(OR(ISNUMBER(SEARCH("Exterior",C50)),((M50*O50)&lt;=(Z50*AB50)),ISNUMBER(SEARCH("Exterior",S50)),ISNUMBER(SEARCH("Exterior",F50))),0,ROUND((((M50*O50)-(Z50*AB50))/1000)*INDEX(LightingWHF[Coincidence Factor CF],MATCH(M02S02F26,LightingWHF[Building/Space Type],0))*IF(OR(M02S02F32="AC with Natural Gas Heat",M02S02F32="AC with Electric Heat",M02S02F32="Heat Pump"),INDEX(LightingWHF[Waste Heat Cooling Demand WHFd],MATCH(M02S02F26,LightingWHF[Building/Space Type],0)),1),3))),"")</f>
        <v/>
      </c>
      <c r="AX50" s="816" t="str">
        <f t="shared" ref="AX50" si="82">IF(OR(C50="",F50="",J50="",M50="",O50="",Q50="",S50="",W50="",Z50="",AB50="",AD50="",AF50=""),"",ROUND(M50*O50*Q50/1000,2))</f>
        <v/>
      </c>
      <c r="AY50" s="816" t="str">
        <f t="shared" ref="AY50" si="83">IF(OR(C50="",F50="",J50="",M50="",O50="",Q50="",S50="",W50="",Z50="",AB50="",AD50="",AF50=""),"",ROUND(Z50*AB50*Q50/1000,2))</f>
        <v/>
      </c>
      <c r="AZ50" s="878" t="str">
        <f>IF(OR(C50="",F50="",J50="",M50="",O50="",Q50="",S50="",W50="",Z50="",AB50="",AD50="",AF50=""),"",IF(ISNUMBER(AN50),(CONCATENATE(INDEX(CMLIGHTBASE[Measure Number],MATCH(F50,CMLIGHTBASE[Base Desc 1],0)),INDEX(CMLIGHTEFF[Measure Number],MATCH(S50,CMLIGHTEFF[Eff Desc 1],0)))),IF(AK50=0,"","000001")))</f>
        <v/>
      </c>
      <c r="BA50" s="816" t="str">
        <f t="shared" ref="BA50" si="84">IF(OR(C50="",F50="",J50="",M50="",O50="",Q50="",S50="",W50="",Z50="",AB50="",AD50="",AF50=""),"",IF((M50*O50)&lt;=(Z50*AB50),"0",AX50-AY50))</f>
        <v/>
      </c>
      <c r="BB50" s="1064" t="str">
        <f>IF(OR(C50="",F50="",J50="",M50="",O50="",Q50="",S50="",W50="",Z50="",AB50="",AD50="",AF50=""),"",IF(M02S02F46="Electric Only",0,IF(OR(ISNUMBER(SEARCH("Exterior",S50)),ISNUMBER(SEARCH("Exterior",C50)),ISNUMBER(SEARCH("Exterior",F50))),0,IF(OR(M02S02F32="AC with Natural Gas Heat",M02S02F32="Natural Gas Heat Only"),(((O50*M50-AB50*Z50)/1000)*Q50*-INDEX(LightingWHF[Waste Heat Gas Heating IFTherms],MATCH(M02S02F26,LightingWHF[Building/Space Type],0))),0))))</f>
        <v/>
      </c>
      <c r="BC50" s="1103" t="str">
        <f>IFERROR(AH50/M02S02F35/BA50,"")</f>
        <v/>
      </c>
      <c r="BD50" s="1064" t="str">
        <f>IF(OR(C50="",F50="",J50="",M50="",O50="",Q50="",S50="",W50="",Z50="",AB50="",AD50="",AF50=""),"",IF(M02S02F46="Gas Only",0,IF(OR(ISNUMBER(SEARCH("Exterior",S50)),ISNUMBER(SEARCH("Exterior",C50)),ISNUMBER(SEARCH("Exterior",F50))),0,IF(M02S02F32="Heat Pump",(((O50*M50-AB50*Z50)/1000)*Q50*-INDEX(LightingWHF[Waste Heat Electric Heat Pump Heating IFkWh],MATCH(M02S02F26,LightingWHF[Building/Space Type],0))),
IF(OR(M02S02F32="AC with Electric Heat",M02S02F32="Electric Heat Only"),(((O50*M50-AB50*Z50)/1000)*Q50*-INDEX(LightingWHF[Waste Heat Electric Resistance Heating IFkWh],MATCH(M02S02F26,LightingWHF[Building/Space Type],0))),0
)))))</f>
        <v/>
      </c>
      <c r="BE50" s="1064" t="str">
        <f>IF(OR(C50="",F50="",J50="",M50="",O50="",Q50="",S50="",W50="",Z50="",AB50="",AD50="",AF50=""),"",IF(M02S02F46="Gas Only",0,IF(OR(ISNUMBER(SEARCH("Exterior",S50)),ISNUMBER(SEARCH("Exterior",C50)),ISNUMBER(SEARCH("Exterior",F50))),1,IF(OR(M02S02F32="Heat Pump",M02S02F32="AC with Natural Gas Heat",M02S02F32="AC with Electric Heat"),(INDEX(LightingWHF[Waste Heat Cooling Energy WHFe],MATCH(M02S02F26,LightingWHF[Building/Space Type],0))),1))))</f>
        <v/>
      </c>
      <c r="BF50" s="1103" t="str">
        <f>IFERROR(IF((M50*O50)&lt;=(Z50*AB50),MEASURESAVE,IF(M02S02F35="",MEASURERATE,IF(AH50/M02S02F35/BA50&lt;1,MEASUREPAY,IF(AV50&lt;1,MEASURECB,IF(OR(ISBLANK(M02S02F26),ISBLANK(M02S02F32),ISBLANK(M02S02F46)),MEASUREBLDG,""))))),MEASURESUBMIT)</f>
        <v>Submit for Review</v>
      </c>
      <c r="BH50" s="1001" t="str">
        <f ca="1">IF(OR(C50="",F50="",J50="",M50="",O50="",Q50="",S50="",W50="",Z50="",AB50="",AD50="",AF50=""),"",IF('M01-S01'!$V$82&lt;TODAY(),0,IF(M02S02F46="Gas Only",0,IF(OR(AK50="",AK50&lt;0,AU50&lt;=AN50),0,MIN(AH50-AN50,ROUND(AN50*0.2,2))))))</f>
        <v/>
      </c>
    </row>
    <row r="51" spans="2:60" ht="15.95" customHeight="1">
      <c r="B51" s="834"/>
      <c r="C51" s="1094"/>
      <c r="D51" s="1094"/>
      <c r="E51" s="1094"/>
      <c r="F51" s="840"/>
      <c r="G51" s="841"/>
      <c r="H51" s="841"/>
      <c r="I51" s="842"/>
      <c r="J51" s="1094"/>
      <c r="K51" s="1094"/>
      <c r="L51" s="1094"/>
      <c r="M51" s="1084"/>
      <c r="N51" s="1084"/>
      <c r="O51" s="1087"/>
      <c r="P51" s="1088"/>
      <c r="Q51" s="1091"/>
      <c r="R51" s="1092"/>
      <c r="S51" s="856"/>
      <c r="T51" s="841"/>
      <c r="U51" s="841"/>
      <c r="V51" s="842"/>
      <c r="W51" s="1094"/>
      <c r="X51" s="1094"/>
      <c r="Y51" s="1094"/>
      <c r="Z51" s="1084"/>
      <c r="AA51" s="1084"/>
      <c r="AB51" s="1096"/>
      <c r="AC51" s="1096"/>
      <c r="AD51" s="1098"/>
      <c r="AE51" s="1098"/>
      <c r="AF51" s="1098"/>
      <c r="AG51" s="1100"/>
      <c r="AH51" s="870"/>
      <c r="AI51" s="1102"/>
      <c r="AJ51" s="1102"/>
      <c r="AK51" s="912"/>
      <c r="AL51" s="913"/>
      <c r="AM51" s="942"/>
      <c r="AN51" s="1106"/>
      <c r="AO51" s="1106"/>
      <c r="AP51" s="1106"/>
      <c r="AQ51" s="1106"/>
      <c r="AU51" s="1108"/>
      <c r="AV51" s="1108"/>
      <c r="AW51" s="907"/>
      <c r="AX51" s="817"/>
      <c r="AY51" s="817"/>
      <c r="AZ51" s="879"/>
      <c r="BA51" s="817"/>
      <c r="BB51" s="1002"/>
      <c r="BC51" s="1104"/>
      <c r="BD51" s="1002"/>
      <c r="BE51" s="1002"/>
      <c r="BF51" s="1104"/>
      <c r="BH51" s="1002"/>
    </row>
    <row r="52" spans="2:60" ht="15.95" customHeight="1">
      <c r="B52" s="834">
        <v>19</v>
      </c>
      <c r="C52" s="1093"/>
      <c r="D52" s="1093"/>
      <c r="E52" s="1093"/>
      <c r="F52" s="871"/>
      <c r="G52" s="872"/>
      <c r="H52" s="872"/>
      <c r="I52" s="873"/>
      <c r="J52" s="1093"/>
      <c r="K52" s="1093"/>
      <c r="L52" s="1093"/>
      <c r="M52" s="1083"/>
      <c r="N52" s="1083"/>
      <c r="O52" s="1085" t="str">
        <f>IFERROR(IF(F52="","",INDEX(CMLIGHTBASE[Base Watt 1],MATCH(F52,CMLIGHTBASE[Base Desc 1],0))),"")</f>
        <v/>
      </c>
      <c r="P52" s="1086"/>
      <c r="Q52" s="1089"/>
      <c r="R52" s="1090"/>
      <c r="S52" s="890"/>
      <c r="T52" s="872"/>
      <c r="U52" s="872"/>
      <c r="V52" s="873"/>
      <c r="W52" s="1093"/>
      <c r="X52" s="1093"/>
      <c r="Y52" s="1093"/>
      <c r="Z52" s="1083"/>
      <c r="AA52" s="1083"/>
      <c r="AB52" s="1095"/>
      <c r="AC52" s="1095"/>
      <c r="AD52" s="1097"/>
      <c r="AE52" s="1097"/>
      <c r="AF52" s="1097"/>
      <c r="AG52" s="1099"/>
      <c r="AH52" s="924" t="str">
        <f t="shared" ref="AH52" si="85">IFERROR(IF(OR(C52="",J52="",M52="",O52="",Q52="",W52="",Z52="",AB52="",AD52="",AF52=""),"",ROUND((AD52+AF52)*Z52,2)),"")</f>
        <v/>
      </c>
      <c r="AI52" s="1101"/>
      <c r="AJ52" s="1101"/>
      <c r="AK52" s="910" t="str">
        <f t="shared" ref="AK52" si="86">IFERROR(IF(OR(C52="",F52="",J52="",M52="",O52="",Q52="",S52="",W52="",Z52="",AB52="",AD52="",AF52=""),"",ROUND(IF((M52*O52)&lt;=(Z52*AB52),"0",(AX52-AY52+BD52)*BE52),2)),"")</f>
        <v/>
      </c>
      <c r="AL52" s="911"/>
      <c r="AM52" s="975"/>
      <c r="AN52" s="1105" t="str">
        <f>IFERROR(IF(OR(C52="",F52="",J52="",M52="",O52="",Q52="",S52="",W52="",Z52="",AB52="",AD52="",AF52=""),"",IF(OR(ISNUMBER(SEARCH("~~",F52)),ISNUMBER(SEARCH("~~",S52))),"Invalid Fixture Type Selected",IF(BF52&lt;&gt;"",BF52,ROUND(MIN(AH52*0.75,AK52*INDEX(INCRATE[Electric],MATCH("CMLIGHT",INCRATE[Incentive Type]))),2)))),"")</f>
        <v/>
      </c>
      <c r="AO52" s="1105"/>
      <c r="AP52" s="1105"/>
      <c r="AQ52" s="1105"/>
      <c r="AU52" s="1109" t="str">
        <f>IF(F52="","",INDEX(CUSTLIGHTUNIT,MATCH(F52,CMELIGHTBASE1,0)))</f>
        <v/>
      </c>
      <c r="AV52" s="1107" t="str">
        <f>IFERROR(IF(OR(C52="",F52="",J52="",M52="",O52="",Q52="",S52="",W52="",Z52="",AB52="",AD52="",AF52=""),"",((((1+ELOSS)*((AK52*INDEX(ELECCB[NPV AEC $/kWh],MATCH(15,ELECCB[Year Number],0)))+(AW52*INDEX(ELECCB[NPV ACC+T&amp;D $/kW],MATCH(15,ELECCB[Year Number],0)))))+((1+GLOSS)*((BB52*INDEX(GASCB[NPV GAEC $/therm],MATCH(15,GASCB[Year Number],1))))))/AH52)),"")</f>
        <v/>
      </c>
      <c r="AW52" s="906" t="str">
        <f>IFERROR(IF(OR(C52="",F52="",J52="",M52="",O52="",Q52="",S52="",W52="",Z52="",AB52="",AD52="",AF52=""),"",IF(OR(ISNUMBER(SEARCH("Exterior",C52)),((M52*O52)&lt;=(Z52*AB52)),ISNUMBER(SEARCH("Exterior",S52)),ISNUMBER(SEARCH("Exterior",F52))),0,ROUND((((M52*O52)-(Z52*AB52))/1000)*INDEX(LightingWHF[Coincidence Factor CF],MATCH(M02S02F26,LightingWHF[Building/Space Type],0))*IF(OR(M02S02F32="AC with Natural Gas Heat",M02S02F32="AC with Electric Heat",M02S02F32="Heat Pump"),INDEX(LightingWHF[Waste Heat Cooling Demand WHFd],MATCH(M02S02F26,LightingWHF[Building/Space Type],0)),1),3))),"")</f>
        <v/>
      </c>
      <c r="AX52" s="816" t="str">
        <f t="shared" ref="AX52" si="87">IF(OR(C52="",F52="",J52="",M52="",O52="",Q52="",S52="",W52="",Z52="",AB52="",AD52="",AF52=""),"",ROUND(M52*O52*Q52/1000,2))</f>
        <v/>
      </c>
      <c r="AY52" s="816" t="str">
        <f t="shared" ref="AY52" si="88">IF(OR(C52="",F52="",J52="",M52="",O52="",Q52="",S52="",W52="",Z52="",AB52="",AD52="",AF52=""),"",ROUND(Z52*AB52*Q52/1000,2))</f>
        <v/>
      </c>
      <c r="AZ52" s="878" t="str">
        <f>IF(OR(C52="",F52="",J52="",M52="",O52="",Q52="",S52="",W52="",Z52="",AB52="",AD52="",AF52=""),"",IF(ISNUMBER(AN52),(CONCATENATE(INDEX(CMLIGHTBASE[Measure Number],MATCH(F52,CMLIGHTBASE[Base Desc 1],0)),INDEX(CMLIGHTEFF[Measure Number],MATCH(S52,CMLIGHTEFF[Eff Desc 1],0)))),IF(AK52=0,"","000001")))</f>
        <v/>
      </c>
      <c r="BA52" s="816" t="str">
        <f t="shared" ref="BA52" si="89">IF(OR(C52="",F52="",J52="",M52="",O52="",Q52="",S52="",W52="",Z52="",AB52="",AD52="",AF52=""),"",IF((M52*O52)&lt;=(Z52*AB52),"0",AX52-AY52))</f>
        <v/>
      </c>
      <c r="BB52" s="1064" t="str">
        <f>IF(OR(C52="",F52="",J52="",M52="",O52="",Q52="",S52="",W52="",Z52="",AB52="",AD52="",AF52=""),"",IF(M02S02F46="Electric Only",0,IF(OR(ISNUMBER(SEARCH("Exterior",S52)),ISNUMBER(SEARCH("Exterior",C52)),ISNUMBER(SEARCH("Exterior",F52))),0,IF(OR(M02S02F32="AC with Natural Gas Heat",M02S02F32="Natural Gas Heat Only"),(((O52*M52-AB52*Z52)/1000)*Q52*-INDEX(LightingWHF[Waste Heat Gas Heating IFTherms],MATCH(M02S02F26,LightingWHF[Building/Space Type],0))),0))))</f>
        <v/>
      </c>
      <c r="BC52" s="1103" t="str">
        <f>IFERROR(AH52/M02S02F35/BA52,"")</f>
        <v/>
      </c>
      <c r="BD52" s="1064" t="str">
        <f>IF(OR(C52="",F52="",J52="",M52="",O52="",Q52="",S52="",W52="",Z52="",AB52="",AD52="",AF52=""),"",IF(M02S02F46="Gas Only",0,IF(OR(ISNUMBER(SEARCH("Exterior",S52)),ISNUMBER(SEARCH("Exterior",C52)),ISNUMBER(SEARCH("Exterior",F52))),0,IF(M02S02F32="Heat Pump",(((O52*M52-AB52*Z52)/1000)*Q52*-INDEX(LightingWHF[Waste Heat Electric Heat Pump Heating IFkWh],MATCH(M02S02F26,LightingWHF[Building/Space Type],0))),
IF(OR(M02S02F32="AC with Electric Heat",M02S02F32="Electric Heat Only"),(((O52*M52-AB52*Z52)/1000)*Q52*-INDEX(LightingWHF[Waste Heat Electric Resistance Heating IFkWh],MATCH(M02S02F26,LightingWHF[Building/Space Type],0))),0
)))))</f>
        <v/>
      </c>
      <c r="BE52" s="1064" t="str">
        <f>IF(OR(C52="",F52="",J52="",M52="",O52="",Q52="",S52="",W52="",Z52="",AB52="",AD52="",AF52=""),"",IF(M02S02F46="Gas Only",0,IF(OR(ISNUMBER(SEARCH("Exterior",S52)),ISNUMBER(SEARCH("Exterior",C52)),ISNUMBER(SEARCH("Exterior",F52))),1,IF(OR(M02S02F32="Heat Pump",M02S02F32="AC with Natural Gas Heat",M02S02F32="AC with Electric Heat"),(INDEX(LightingWHF[Waste Heat Cooling Energy WHFe],MATCH(M02S02F26,LightingWHF[Building/Space Type],0))),1))))</f>
        <v/>
      </c>
      <c r="BF52" s="1103" t="str">
        <f>IFERROR(IF((M52*O52)&lt;=(Z52*AB52),MEASURESAVE,IF(M02S02F35="",MEASURERATE,IF(AH52/M02S02F35/BA52&lt;1,MEASUREPAY,IF(AV52&lt;1,MEASURECB,IF(OR(ISBLANK(M02S02F26),ISBLANK(M02S02F32),ISBLANK(M02S02F46)),MEASUREBLDG,""))))),MEASURESUBMIT)</f>
        <v>Submit for Review</v>
      </c>
      <c r="BH52" s="1001" t="str">
        <f ca="1">IF(OR(C52="",F52="",J52="",M52="",O52="",Q52="",S52="",W52="",Z52="",AB52="",AD52="",AF52=""),"",IF('M01-S01'!$V$82&lt;TODAY(),0,IF(M02S02F46="Gas Only",0,IF(OR(AK52="",AK52&lt;0,AU52&lt;=AN52),0,MIN(AH52-AN52,ROUND(AN52*0.2,2))))))</f>
        <v/>
      </c>
    </row>
    <row r="53" spans="2:60" ht="15.95" customHeight="1">
      <c r="B53" s="834"/>
      <c r="C53" s="1094"/>
      <c r="D53" s="1094"/>
      <c r="E53" s="1094"/>
      <c r="F53" s="840"/>
      <c r="G53" s="841"/>
      <c r="H53" s="841"/>
      <c r="I53" s="842"/>
      <c r="J53" s="1094"/>
      <c r="K53" s="1094"/>
      <c r="L53" s="1094"/>
      <c r="M53" s="1084"/>
      <c r="N53" s="1084"/>
      <c r="O53" s="1087"/>
      <c r="P53" s="1088"/>
      <c r="Q53" s="1091"/>
      <c r="R53" s="1092"/>
      <c r="S53" s="856"/>
      <c r="T53" s="841"/>
      <c r="U53" s="841"/>
      <c r="V53" s="842"/>
      <c r="W53" s="1094"/>
      <c r="X53" s="1094"/>
      <c r="Y53" s="1094"/>
      <c r="Z53" s="1084"/>
      <c r="AA53" s="1084"/>
      <c r="AB53" s="1096"/>
      <c r="AC53" s="1096"/>
      <c r="AD53" s="1098"/>
      <c r="AE53" s="1098"/>
      <c r="AF53" s="1098"/>
      <c r="AG53" s="1100"/>
      <c r="AH53" s="870"/>
      <c r="AI53" s="1102"/>
      <c r="AJ53" s="1102"/>
      <c r="AK53" s="912"/>
      <c r="AL53" s="913"/>
      <c r="AM53" s="942"/>
      <c r="AN53" s="1106"/>
      <c r="AO53" s="1106"/>
      <c r="AP53" s="1106"/>
      <c r="AQ53" s="1106"/>
      <c r="AU53" s="1108"/>
      <c r="AV53" s="1108"/>
      <c r="AW53" s="907"/>
      <c r="AX53" s="817"/>
      <c r="AY53" s="817"/>
      <c r="AZ53" s="879"/>
      <c r="BA53" s="817"/>
      <c r="BB53" s="1002"/>
      <c r="BC53" s="1104"/>
      <c r="BD53" s="1002"/>
      <c r="BE53" s="1002"/>
      <c r="BF53" s="1104"/>
      <c r="BH53" s="1002"/>
    </row>
    <row r="54" spans="2:60" ht="15.95" customHeight="1">
      <c r="B54" s="834">
        <v>20</v>
      </c>
      <c r="C54" s="1093"/>
      <c r="D54" s="1093"/>
      <c r="E54" s="1093"/>
      <c r="F54" s="871"/>
      <c r="G54" s="872"/>
      <c r="H54" s="872"/>
      <c r="I54" s="873"/>
      <c r="J54" s="1093"/>
      <c r="K54" s="1093"/>
      <c r="L54" s="1093"/>
      <c r="M54" s="1083"/>
      <c r="N54" s="1083"/>
      <c r="O54" s="1085" t="str">
        <f>IFERROR(IF(F54="","",INDEX(CMLIGHTBASE[Base Watt 1],MATCH(F54,CMLIGHTBASE[Base Desc 1],0))),"")</f>
        <v/>
      </c>
      <c r="P54" s="1086"/>
      <c r="Q54" s="1089"/>
      <c r="R54" s="1090"/>
      <c r="S54" s="890"/>
      <c r="T54" s="872"/>
      <c r="U54" s="872"/>
      <c r="V54" s="873"/>
      <c r="W54" s="1093"/>
      <c r="X54" s="1093"/>
      <c r="Y54" s="1093"/>
      <c r="Z54" s="1083"/>
      <c r="AA54" s="1083"/>
      <c r="AB54" s="1095"/>
      <c r="AC54" s="1095"/>
      <c r="AD54" s="1097"/>
      <c r="AE54" s="1097"/>
      <c r="AF54" s="1097"/>
      <c r="AG54" s="1099"/>
      <c r="AH54" s="924" t="str">
        <f t="shared" ref="AH54" si="90">IFERROR(IF(OR(C54="",J54="",M54="",O54="",Q54="",W54="",Z54="",AB54="",AD54="",AF54=""),"",ROUND((AD54+AF54)*Z54,2)),"")</f>
        <v/>
      </c>
      <c r="AI54" s="1101"/>
      <c r="AJ54" s="1101"/>
      <c r="AK54" s="910" t="str">
        <f t="shared" ref="AK54" si="91">IFERROR(IF(OR(C54="",F54="",J54="",M54="",O54="",Q54="",S54="",W54="",Z54="",AB54="",AD54="",AF54=""),"",ROUND(IF((M54*O54)&lt;=(Z54*AB54),"0",(AX54-AY54+BD54)*BE54),2)),"")</f>
        <v/>
      </c>
      <c r="AL54" s="911"/>
      <c r="AM54" s="975"/>
      <c r="AN54" s="1105" t="str">
        <f>IFERROR(IF(OR(C54="",F54="",J54="",M54="",O54="",Q54="",S54="",W54="",Z54="",AB54="",AD54="",AF54=""),"",IF(OR(ISNUMBER(SEARCH("~~",F54)),ISNUMBER(SEARCH("~~",S54))),"Invalid Fixture Type Selected",IF(BF54&lt;&gt;"",BF54,ROUND(MIN(AH54*0.75,AK54*INDEX(INCRATE[Electric],MATCH("CMLIGHT",INCRATE[Incentive Type]))),2)))),"")</f>
        <v/>
      </c>
      <c r="AO54" s="1105"/>
      <c r="AP54" s="1105"/>
      <c r="AQ54" s="1105"/>
      <c r="AU54" s="1109" t="str">
        <f>IF(F54="","",INDEX(CUSTLIGHTUNIT,MATCH(F54,CMELIGHTBASE1,0)))</f>
        <v/>
      </c>
      <c r="AV54" s="1107" t="str">
        <f>IFERROR(IF(OR(C54="",F54="",J54="",M54="",O54="",Q54="",S54="",W54="",Z54="",AB54="",AD54="",AF54=""),"",((((1+ELOSS)*((AK54*INDEX(ELECCB[NPV AEC $/kWh],MATCH(15,ELECCB[Year Number],0)))+(AW54*INDEX(ELECCB[NPV ACC+T&amp;D $/kW],MATCH(15,ELECCB[Year Number],0)))))+((1+GLOSS)*((BB54*INDEX(GASCB[NPV GAEC $/therm],MATCH(15,GASCB[Year Number],1))))))/AH54)),"")</f>
        <v/>
      </c>
      <c r="AW54" s="906" t="str">
        <f>IFERROR(IF(OR(C54="",F54="",J54="",M54="",O54="",Q54="",S54="",W54="",Z54="",AB54="",AD54="",AF54=""),"",IF(OR(ISNUMBER(SEARCH("Exterior",C54)),((M54*O54)&lt;=(Z54*AB54)),ISNUMBER(SEARCH("Exterior",S54)),ISNUMBER(SEARCH("Exterior",F54))),0,ROUND((((M54*O54)-(Z54*AB54))/1000)*INDEX(LightingWHF[Coincidence Factor CF],MATCH(M02S02F26,LightingWHF[Building/Space Type],0))*IF(OR(M02S02F32="AC with Natural Gas Heat",M02S02F32="AC with Electric Heat",M02S02F32="Heat Pump"),INDEX(LightingWHF[Waste Heat Cooling Demand WHFd],MATCH(M02S02F26,LightingWHF[Building/Space Type],0)),1),3))),"")</f>
        <v/>
      </c>
      <c r="AX54" s="816" t="str">
        <f t="shared" ref="AX54" si="92">IF(OR(C54="",F54="",J54="",M54="",O54="",Q54="",S54="",W54="",Z54="",AB54="",AD54="",AF54=""),"",ROUND(M54*O54*Q54/1000,2))</f>
        <v/>
      </c>
      <c r="AY54" s="816" t="str">
        <f t="shared" ref="AY54" si="93">IF(OR(C54="",F54="",J54="",M54="",O54="",Q54="",S54="",W54="",Z54="",AB54="",AD54="",AF54=""),"",ROUND(Z54*AB54*Q54/1000,2))</f>
        <v/>
      </c>
      <c r="AZ54" s="878" t="str">
        <f>IF(OR(C54="",F54="",J54="",M54="",O54="",Q54="",S54="",W54="",Z54="",AB54="",AD54="",AF54=""),"",IF(ISNUMBER(AN54),(CONCATENATE(INDEX(CMLIGHTBASE[Measure Number],MATCH(F54,CMLIGHTBASE[Base Desc 1],0)),INDEX(CMLIGHTEFF[Measure Number],MATCH(S54,CMLIGHTEFF[Eff Desc 1],0)))),IF(AK54=0,"","000001")))</f>
        <v/>
      </c>
      <c r="BA54" s="816" t="str">
        <f t="shared" ref="BA54" si="94">IF(OR(C54="",F54="",J54="",M54="",O54="",Q54="",S54="",W54="",Z54="",AB54="",AD54="",AF54=""),"",IF((M54*O54)&lt;=(Z54*AB54),"0",AX54-AY54))</f>
        <v/>
      </c>
      <c r="BB54" s="1064" t="str">
        <f>IF(OR(C54="",F54="",J54="",M54="",O54="",Q54="",S54="",W54="",Z54="",AB54="",AD54="",AF54=""),"",IF(M02S02F46="Electric Only",0,IF(OR(ISNUMBER(SEARCH("Exterior",S54)),ISNUMBER(SEARCH("Exterior",C54)),ISNUMBER(SEARCH("Exterior",F54))),0,IF(OR(M02S02F32="AC with Natural Gas Heat",M02S02F32="Natural Gas Heat Only"),(((O54*M54-AB54*Z54)/1000)*Q54*-INDEX(LightingWHF[Waste Heat Gas Heating IFTherms],MATCH(M02S02F26,LightingWHF[Building/Space Type],0))),0))))</f>
        <v/>
      </c>
      <c r="BC54" s="1103" t="str">
        <f>IFERROR(AH54/M02S02F35/BA54,"")</f>
        <v/>
      </c>
      <c r="BD54" s="1064" t="str">
        <f>IF(OR(C54="",F54="",J54="",M54="",O54="",Q54="",S54="",W54="",Z54="",AB54="",AD54="",AF54=""),"",IF(M02S02F46="Gas Only",0,IF(OR(ISNUMBER(SEARCH("Exterior",S54)),ISNUMBER(SEARCH("Exterior",C54)),ISNUMBER(SEARCH("Exterior",F54))),0,IF(M02S02F32="Heat Pump",(((O54*M54-AB54*Z54)/1000)*Q54*-INDEX(LightingWHF[Waste Heat Electric Heat Pump Heating IFkWh],MATCH(M02S02F26,LightingWHF[Building/Space Type],0))),
IF(OR(M02S02F32="AC with Electric Heat",M02S02F32="Electric Heat Only"),(((O54*M54-AB54*Z54)/1000)*Q54*-INDEX(LightingWHF[Waste Heat Electric Resistance Heating IFkWh],MATCH(M02S02F26,LightingWHF[Building/Space Type],0))),0
)))))</f>
        <v/>
      </c>
      <c r="BE54" s="1064" t="str">
        <f>IF(OR(C54="",F54="",J54="",M54="",O54="",Q54="",S54="",W54="",Z54="",AB54="",AD54="",AF54=""),"",IF(M02S02F46="Gas Only",0,IF(OR(ISNUMBER(SEARCH("Exterior",S54)),ISNUMBER(SEARCH("Exterior",C54)),ISNUMBER(SEARCH("Exterior",F54))),1,IF(OR(M02S02F32="Heat Pump",M02S02F32="AC with Natural Gas Heat",M02S02F32="AC with Electric Heat"),(INDEX(LightingWHF[Waste Heat Cooling Energy WHFe],MATCH(M02S02F26,LightingWHF[Building/Space Type],0))),1))))</f>
        <v/>
      </c>
      <c r="BF54" s="1103" t="str">
        <f>IFERROR(IF((M54*O54)&lt;=(Z54*AB54),MEASURESAVE,IF(M02S02F35="",MEASURERATE,IF(AH54/M02S02F35/BA54&lt;1,MEASUREPAY,IF(AV54&lt;1,MEASURECB,IF(OR(ISBLANK(M02S02F26),ISBLANK(M02S02F32),ISBLANK(M02S02F46)),MEASUREBLDG,""))))),MEASURESUBMIT)</f>
        <v>Submit for Review</v>
      </c>
      <c r="BH54" s="1001" t="str">
        <f ca="1">IF(OR(C54="",F54="",J54="",M54="",O54="",Q54="",S54="",W54="",Z54="",AB54="",AD54="",AF54=""),"",IF('M01-S01'!$V$82&lt;TODAY(),0,IF(M02S02F46="Gas Only",0,IF(OR(AK54="",AK54&lt;0,AU54&lt;=AN54),0,MIN(AH54-AN54,ROUND(AN54*0.2,2))))))</f>
        <v/>
      </c>
    </row>
    <row r="55" spans="2:60" ht="15.95" customHeight="1">
      <c r="B55" s="834"/>
      <c r="C55" s="1094"/>
      <c r="D55" s="1094"/>
      <c r="E55" s="1094"/>
      <c r="F55" s="840"/>
      <c r="G55" s="841"/>
      <c r="H55" s="841"/>
      <c r="I55" s="842"/>
      <c r="J55" s="1094"/>
      <c r="K55" s="1094"/>
      <c r="L55" s="1094"/>
      <c r="M55" s="1084"/>
      <c r="N55" s="1084"/>
      <c r="O55" s="1087"/>
      <c r="P55" s="1088"/>
      <c r="Q55" s="1091"/>
      <c r="R55" s="1092"/>
      <c r="S55" s="856"/>
      <c r="T55" s="841"/>
      <c r="U55" s="841"/>
      <c r="V55" s="842"/>
      <c r="W55" s="1094"/>
      <c r="X55" s="1094"/>
      <c r="Y55" s="1094"/>
      <c r="Z55" s="1084"/>
      <c r="AA55" s="1084"/>
      <c r="AB55" s="1096"/>
      <c r="AC55" s="1096"/>
      <c r="AD55" s="1098"/>
      <c r="AE55" s="1098"/>
      <c r="AF55" s="1098"/>
      <c r="AG55" s="1100"/>
      <c r="AH55" s="870"/>
      <c r="AI55" s="1102"/>
      <c r="AJ55" s="1102"/>
      <c r="AK55" s="912"/>
      <c r="AL55" s="913"/>
      <c r="AM55" s="942"/>
      <c r="AN55" s="1106"/>
      <c r="AO55" s="1106"/>
      <c r="AP55" s="1106"/>
      <c r="AQ55" s="1106"/>
      <c r="AU55" s="1108"/>
      <c r="AV55" s="1108"/>
      <c r="AW55" s="907"/>
      <c r="AX55" s="817"/>
      <c r="AY55" s="817"/>
      <c r="AZ55" s="879"/>
      <c r="BA55" s="817"/>
      <c r="BB55" s="1002"/>
      <c r="BC55" s="1104"/>
      <c r="BD55" s="1002"/>
      <c r="BE55" s="1002"/>
      <c r="BF55" s="1104"/>
      <c r="BH55" s="1002"/>
    </row>
    <row r="56" spans="2:60" ht="15.95" customHeight="1">
      <c r="B56" s="834">
        <v>21</v>
      </c>
      <c r="C56" s="1093"/>
      <c r="D56" s="1093"/>
      <c r="E56" s="1093"/>
      <c r="F56" s="871"/>
      <c r="G56" s="872"/>
      <c r="H56" s="872"/>
      <c r="I56" s="873"/>
      <c r="J56" s="1093"/>
      <c r="K56" s="1093"/>
      <c r="L56" s="1093"/>
      <c r="M56" s="1083"/>
      <c r="N56" s="1083"/>
      <c r="O56" s="1085" t="str">
        <f>IFERROR(IF(F56="","",INDEX(CMLIGHTBASE[Base Watt 1],MATCH(F56,CMLIGHTBASE[Base Desc 1],0))),"")</f>
        <v/>
      </c>
      <c r="P56" s="1086"/>
      <c r="Q56" s="1089"/>
      <c r="R56" s="1090"/>
      <c r="S56" s="890"/>
      <c r="T56" s="872"/>
      <c r="U56" s="872"/>
      <c r="V56" s="873"/>
      <c r="W56" s="1093"/>
      <c r="X56" s="1093"/>
      <c r="Y56" s="1093"/>
      <c r="Z56" s="1083"/>
      <c r="AA56" s="1083"/>
      <c r="AB56" s="1095"/>
      <c r="AC56" s="1095"/>
      <c r="AD56" s="1097"/>
      <c r="AE56" s="1097"/>
      <c r="AF56" s="1097"/>
      <c r="AG56" s="1099"/>
      <c r="AH56" s="924" t="str">
        <f t="shared" ref="AH56" si="95">IFERROR(IF(OR(C56="",J56="",M56="",O56="",Q56="",W56="",Z56="",AB56="",AD56="",AF56=""),"",ROUND((AD56+AF56)*Z56,2)),"")</f>
        <v/>
      </c>
      <c r="AI56" s="1101"/>
      <c r="AJ56" s="1101"/>
      <c r="AK56" s="910" t="str">
        <f t="shared" ref="AK56" si="96">IFERROR(IF(OR(C56="",F56="",J56="",M56="",O56="",Q56="",S56="",W56="",Z56="",AB56="",AD56="",AF56=""),"",ROUND(IF((M56*O56)&lt;=(Z56*AB56),"0",(AX56-AY56+BD56)*BE56),2)),"")</f>
        <v/>
      </c>
      <c r="AL56" s="911"/>
      <c r="AM56" s="975"/>
      <c r="AN56" s="1105" t="str">
        <f>IFERROR(IF(OR(C56="",F56="",J56="",M56="",O56="",Q56="",S56="",W56="",Z56="",AB56="",AD56="",AF56=""),"",IF(OR(ISNUMBER(SEARCH("~~",F56)),ISNUMBER(SEARCH("~~",S56))),"Invalid Fixture Type Selected",IF(BF56&lt;&gt;"",BF56,ROUND(MIN(AH56*0.75,AK56*INDEX(INCRATE[Electric],MATCH("CMLIGHT",INCRATE[Incentive Type]))),2)))),"")</f>
        <v/>
      </c>
      <c r="AO56" s="1105"/>
      <c r="AP56" s="1105"/>
      <c r="AQ56" s="1105"/>
      <c r="AU56" s="1109" t="str">
        <f>IF(F56="","",INDEX(CUSTLIGHTUNIT,MATCH(F56,CMELIGHTBASE1,0)))</f>
        <v/>
      </c>
      <c r="AV56" s="1107" t="str">
        <f>IFERROR(IF(OR(C56="",F56="",J56="",M56="",O56="",Q56="",S56="",W56="",Z56="",AB56="",AD56="",AF56=""),"",((((1+ELOSS)*((AK56*INDEX(ELECCB[NPV AEC $/kWh],MATCH(15,ELECCB[Year Number],0)))+(AW56*INDEX(ELECCB[NPV ACC+T&amp;D $/kW],MATCH(15,ELECCB[Year Number],0)))))+((1+GLOSS)*((BB56*INDEX(GASCB[NPV GAEC $/therm],MATCH(15,GASCB[Year Number],1))))))/AH56)),"")</f>
        <v/>
      </c>
      <c r="AW56" s="906" t="str">
        <f>IFERROR(IF(OR(C56="",F56="",J56="",M56="",O56="",Q56="",S56="",W56="",Z56="",AB56="",AD56="",AF56=""),"",IF(OR(ISNUMBER(SEARCH("Exterior",C56)),((M56*O56)&lt;=(Z56*AB56)),ISNUMBER(SEARCH("Exterior",S56)),ISNUMBER(SEARCH("Exterior",F56))),0,ROUND((((M56*O56)-(Z56*AB56))/1000)*INDEX(LightingWHF[Coincidence Factor CF],MATCH(M02S02F26,LightingWHF[Building/Space Type],0))*IF(OR(M02S02F32="AC with Natural Gas Heat",M02S02F32="AC with Electric Heat",M02S02F32="Heat Pump"),INDEX(LightingWHF[Waste Heat Cooling Demand WHFd],MATCH(M02S02F26,LightingWHF[Building/Space Type],0)),1),3))),"")</f>
        <v/>
      </c>
      <c r="AX56" s="816" t="str">
        <f t="shared" ref="AX56" si="97">IF(OR(C56="",F56="",J56="",M56="",O56="",Q56="",S56="",W56="",Z56="",AB56="",AD56="",AF56=""),"",ROUND(M56*O56*Q56/1000,2))</f>
        <v/>
      </c>
      <c r="AY56" s="816" t="str">
        <f t="shared" ref="AY56" si="98">IF(OR(C56="",F56="",J56="",M56="",O56="",Q56="",S56="",W56="",Z56="",AB56="",AD56="",AF56=""),"",ROUND(Z56*AB56*Q56/1000,2))</f>
        <v/>
      </c>
      <c r="AZ56" s="878" t="str">
        <f>IF(OR(C56="",F56="",J56="",M56="",O56="",Q56="",S56="",W56="",Z56="",AB56="",AD56="",AF56=""),"",IF(ISNUMBER(AN56),(CONCATENATE(INDEX(CMLIGHTBASE[Measure Number],MATCH(F56,CMLIGHTBASE[Base Desc 1],0)),INDEX(CMLIGHTEFF[Measure Number],MATCH(S56,CMLIGHTEFF[Eff Desc 1],0)))),IF(AK56=0,"","000001")))</f>
        <v/>
      </c>
      <c r="BA56" s="816" t="str">
        <f t="shared" ref="BA56" si="99">IF(OR(C56="",F56="",J56="",M56="",O56="",Q56="",S56="",W56="",Z56="",AB56="",AD56="",AF56=""),"",IF((M56*O56)&lt;=(Z56*AB56),"0",AX56-AY56))</f>
        <v/>
      </c>
      <c r="BB56" s="1064" t="str">
        <f>IF(OR(C56="",F56="",J56="",M56="",O56="",Q56="",S56="",W56="",Z56="",AB56="",AD56="",AF56=""),"",IF(M02S02F46="Electric Only",0,IF(OR(ISNUMBER(SEARCH("Exterior",S56)),ISNUMBER(SEARCH("Exterior",C56)),ISNUMBER(SEARCH("Exterior",F56))),0,IF(OR(M02S02F32="AC with Natural Gas Heat",M02S02F32="Natural Gas Heat Only"),(((O56*M56-AB56*Z56)/1000)*Q56*-INDEX(LightingWHF[Waste Heat Gas Heating IFTherms],MATCH(M02S02F26,LightingWHF[Building/Space Type],0))),0))))</f>
        <v/>
      </c>
      <c r="BC56" s="1103" t="str">
        <f>IFERROR(AH56/M02S02F35/BA56,"")</f>
        <v/>
      </c>
      <c r="BD56" s="1064" t="str">
        <f>IF(OR(C56="",F56="",J56="",M56="",O56="",Q56="",S56="",W56="",Z56="",AB56="",AD56="",AF56=""),"",IF(M02S02F46="Gas Only",0,IF(OR(ISNUMBER(SEARCH("Exterior",S56)),ISNUMBER(SEARCH("Exterior",C56)),ISNUMBER(SEARCH("Exterior",F56))),0,IF(M02S02F32="Heat Pump",(((O56*M56-AB56*Z56)/1000)*Q56*-INDEX(LightingWHF[Waste Heat Electric Heat Pump Heating IFkWh],MATCH(M02S02F26,LightingWHF[Building/Space Type],0))),
IF(OR(M02S02F32="AC with Electric Heat",M02S02F32="Electric Heat Only"),(((O56*M56-AB56*Z56)/1000)*Q56*-INDEX(LightingWHF[Waste Heat Electric Resistance Heating IFkWh],MATCH(M02S02F26,LightingWHF[Building/Space Type],0))),0
)))))</f>
        <v/>
      </c>
      <c r="BE56" s="1064" t="str">
        <f>IF(OR(C56="",F56="",J56="",M56="",O56="",Q56="",S56="",W56="",Z56="",AB56="",AD56="",AF56=""),"",IF(M02S02F46="Gas Only",0,IF(OR(ISNUMBER(SEARCH("Exterior",S56)),ISNUMBER(SEARCH("Exterior",C56)),ISNUMBER(SEARCH("Exterior",F56))),1,IF(OR(M02S02F32="Heat Pump",M02S02F32="AC with Natural Gas Heat",M02S02F32="AC with Electric Heat"),(INDEX(LightingWHF[Waste Heat Cooling Energy WHFe],MATCH(M02S02F26,LightingWHF[Building/Space Type],0))),1))))</f>
        <v/>
      </c>
      <c r="BF56" s="1103" t="str">
        <f>IFERROR(IF((M56*O56)&lt;=(Z56*AB56),MEASURESAVE,IF(M02S02F35="",MEASURERATE,IF(AH56/M02S02F35/BA56&lt;1,MEASUREPAY,IF(AV56&lt;1,MEASURECB,IF(OR(ISBLANK(M02S02F26),ISBLANK(M02S02F32),ISBLANK(M02S02F46)),MEASUREBLDG,""))))),MEASURESUBMIT)</f>
        <v>Submit for Review</v>
      </c>
      <c r="BH56" s="1001" t="str">
        <f ca="1">IF(OR(C56="",F56="",J56="",M56="",O56="",Q56="",S56="",W56="",Z56="",AB56="",AD56="",AF56=""),"",IF('M01-S01'!$V$82&lt;TODAY(),0,IF(M02S02F46="Gas Only",0,IF(OR(AK56="",AK56&lt;0,AU56&lt;=AN56),0,MIN(AH56-AN56,ROUND(AN56*0.2,2))))))</f>
        <v/>
      </c>
    </row>
    <row r="57" spans="2:60" ht="15.95" customHeight="1">
      <c r="B57" s="834"/>
      <c r="C57" s="1094"/>
      <c r="D57" s="1094"/>
      <c r="E57" s="1094"/>
      <c r="F57" s="840"/>
      <c r="G57" s="841"/>
      <c r="H57" s="841"/>
      <c r="I57" s="842"/>
      <c r="J57" s="1094"/>
      <c r="K57" s="1094"/>
      <c r="L57" s="1094"/>
      <c r="M57" s="1084"/>
      <c r="N57" s="1084"/>
      <c r="O57" s="1087"/>
      <c r="P57" s="1088"/>
      <c r="Q57" s="1091"/>
      <c r="R57" s="1092"/>
      <c r="S57" s="856"/>
      <c r="T57" s="841"/>
      <c r="U57" s="841"/>
      <c r="V57" s="842"/>
      <c r="W57" s="1094"/>
      <c r="X57" s="1094"/>
      <c r="Y57" s="1094"/>
      <c r="Z57" s="1084"/>
      <c r="AA57" s="1084"/>
      <c r="AB57" s="1096"/>
      <c r="AC57" s="1096"/>
      <c r="AD57" s="1098"/>
      <c r="AE57" s="1098"/>
      <c r="AF57" s="1098"/>
      <c r="AG57" s="1100"/>
      <c r="AH57" s="870"/>
      <c r="AI57" s="1102"/>
      <c r="AJ57" s="1102"/>
      <c r="AK57" s="912"/>
      <c r="AL57" s="913"/>
      <c r="AM57" s="942"/>
      <c r="AN57" s="1106"/>
      <c r="AO57" s="1106"/>
      <c r="AP57" s="1106"/>
      <c r="AQ57" s="1106"/>
      <c r="AU57" s="1108"/>
      <c r="AV57" s="1108"/>
      <c r="AW57" s="907"/>
      <c r="AX57" s="817"/>
      <c r="AY57" s="817"/>
      <c r="AZ57" s="879"/>
      <c r="BA57" s="817"/>
      <c r="BB57" s="1002"/>
      <c r="BC57" s="1104"/>
      <c r="BD57" s="1002"/>
      <c r="BE57" s="1002"/>
      <c r="BF57" s="1104"/>
      <c r="BH57" s="1002"/>
    </row>
    <row r="58" spans="2:60" ht="15.95" customHeight="1">
      <c r="B58" s="834">
        <v>22</v>
      </c>
      <c r="C58" s="1093"/>
      <c r="D58" s="1093"/>
      <c r="E58" s="1093"/>
      <c r="F58" s="871"/>
      <c r="G58" s="872"/>
      <c r="H58" s="872"/>
      <c r="I58" s="873"/>
      <c r="J58" s="1093"/>
      <c r="K58" s="1093"/>
      <c r="L58" s="1093"/>
      <c r="M58" s="1083"/>
      <c r="N58" s="1083"/>
      <c r="O58" s="1085" t="str">
        <f>IFERROR(IF(F58="","",INDEX(CMLIGHTBASE[Base Watt 1],MATCH(F58,CMLIGHTBASE[Base Desc 1],0))),"")</f>
        <v/>
      </c>
      <c r="P58" s="1086"/>
      <c r="Q58" s="1089"/>
      <c r="R58" s="1090"/>
      <c r="S58" s="890"/>
      <c r="T58" s="872"/>
      <c r="U58" s="872"/>
      <c r="V58" s="873"/>
      <c r="W58" s="1093"/>
      <c r="X58" s="1093"/>
      <c r="Y58" s="1093"/>
      <c r="Z58" s="1083"/>
      <c r="AA58" s="1083"/>
      <c r="AB58" s="1095"/>
      <c r="AC58" s="1095"/>
      <c r="AD58" s="1097"/>
      <c r="AE58" s="1097"/>
      <c r="AF58" s="1097"/>
      <c r="AG58" s="1099"/>
      <c r="AH58" s="924" t="str">
        <f t="shared" ref="AH58" si="100">IFERROR(IF(OR(C58="",J58="",M58="",O58="",Q58="",W58="",Z58="",AB58="",AD58="",AF58=""),"",ROUND((AD58+AF58)*Z58,2)),"")</f>
        <v/>
      </c>
      <c r="AI58" s="1101"/>
      <c r="AJ58" s="1101"/>
      <c r="AK58" s="910" t="str">
        <f t="shared" ref="AK58" si="101">IFERROR(IF(OR(C58="",F58="",J58="",M58="",O58="",Q58="",S58="",W58="",Z58="",AB58="",AD58="",AF58=""),"",ROUND(IF((M58*O58)&lt;=(Z58*AB58),"0",(AX58-AY58+BD58)*BE58),2)),"")</f>
        <v/>
      </c>
      <c r="AL58" s="911"/>
      <c r="AM58" s="975"/>
      <c r="AN58" s="1105" t="str">
        <f>IFERROR(IF(OR(C58="",F58="",J58="",M58="",O58="",Q58="",S58="",W58="",Z58="",AB58="",AD58="",AF58=""),"",IF(OR(ISNUMBER(SEARCH("~~",F58)),ISNUMBER(SEARCH("~~",S58))),"Invalid Fixture Type Selected",IF(BF58&lt;&gt;"",BF58,ROUND(MIN(AH58*0.75,AK58*INDEX(INCRATE[Electric],MATCH("CMLIGHT",INCRATE[Incentive Type]))),2)))),"")</f>
        <v/>
      </c>
      <c r="AO58" s="1105"/>
      <c r="AP58" s="1105"/>
      <c r="AQ58" s="1105"/>
      <c r="AU58" s="1109" t="str">
        <f>IF(F58="","",INDEX(CUSTLIGHTUNIT,MATCH(F58,CMELIGHTBASE1,0)))</f>
        <v/>
      </c>
      <c r="AV58" s="1107" t="str">
        <f>IFERROR(IF(OR(C58="",F58="",J58="",M58="",O58="",Q58="",S58="",W58="",Z58="",AB58="",AD58="",AF58=""),"",((((1+ELOSS)*((AK58*INDEX(ELECCB[NPV AEC $/kWh],MATCH(15,ELECCB[Year Number],0)))+(AW58*INDEX(ELECCB[NPV ACC+T&amp;D $/kW],MATCH(15,ELECCB[Year Number],0)))))+((1+GLOSS)*((BB58*INDEX(GASCB[NPV GAEC $/therm],MATCH(15,GASCB[Year Number],1))))))/AH58)),"")</f>
        <v/>
      </c>
      <c r="AW58" s="906" t="str">
        <f>IFERROR(IF(OR(C58="",F58="",J58="",M58="",O58="",Q58="",S58="",W58="",Z58="",AB58="",AD58="",AF58=""),"",IF(OR(ISNUMBER(SEARCH("Exterior",C58)),((M58*O58)&lt;=(Z58*AB58)),ISNUMBER(SEARCH("Exterior",S58)),ISNUMBER(SEARCH("Exterior",F58))),0,ROUND((((M58*O58)-(Z58*AB58))/1000)*INDEX(LightingWHF[Coincidence Factor CF],MATCH(M02S02F26,LightingWHF[Building/Space Type],0))*IF(OR(M02S02F32="AC with Natural Gas Heat",M02S02F32="AC with Electric Heat",M02S02F32="Heat Pump"),INDEX(LightingWHF[Waste Heat Cooling Demand WHFd],MATCH(M02S02F26,LightingWHF[Building/Space Type],0)),1),3))),"")</f>
        <v/>
      </c>
      <c r="AX58" s="816" t="str">
        <f t="shared" ref="AX58" si="102">IF(OR(C58="",F58="",J58="",M58="",O58="",Q58="",S58="",W58="",Z58="",AB58="",AD58="",AF58=""),"",ROUND(M58*O58*Q58/1000,2))</f>
        <v/>
      </c>
      <c r="AY58" s="816" t="str">
        <f t="shared" ref="AY58" si="103">IF(OR(C58="",F58="",J58="",M58="",O58="",Q58="",S58="",W58="",Z58="",AB58="",AD58="",AF58=""),"",ROUND(Z58*AB58*Q58/1000,2))</f>
        <v/>
      </c>
      <c r="AZ58" s="878" t="str">
        <f>IF(OR(C58="",F58="",J58="",M58="",O58="",Q58="",S58="",W58="",Z58="",AB58="",AD58="",AF58=""),"",IF(ISNUMBER(AN58),(CONCATENATE(INDEX(CMLIGHTBASE[Measure Number],MATCH(F58,CMLIGHTBASE[Base Desc 1],0)),INDEX(CMLIGHTEFF[Measure Number],MATCH(S58,CMLIGHTEFF[Eff Desc 1],0)))),IF(AK58=0,"","000001")))</f>
        <v/>
      </c>
      <c r="BA58" s="816" t="str">
        <f t="shared" ref="BA58" si="104">IF(OR(C58="",F58="",J58="",M58="",O58="",Q58="",S58="",W58="",Z58="",AB58="",AD58="",AF58=""),"",IF((M58*O58)&lt;=(Z58*AB58),"0",AX58-AY58))</f>
        <v/>
      </c>
      <c r="BB58" s="1064" t="str">
        <f>IF(OR(C58="",F58="",J58="",M58="",O58="",Q58="",S58="",W58="",Z58="",AB58="",AD58="",AF58=""),"",IF(M02S02F46="Electric Only",0,IF(OR(ISNUMBER(SEARCH("Exterior",S58)),ISNUMBER(SEARCH("Exterior",C58)),ISNUMBER(SEARCH("Exterior",F58))),0,IF(OR(M02S02F32="AC with Natural Gas Heat",M02S02F32="Natural Gas Heat Only"),(((O58*M58-AB58*Z58)/1000)*Q58*-INDEX(LightingWHF[Waste Heat Gas Heating IFTherms],MATCH(M02S02F26,LightingWHF[Building/Space Type],0))),0))))</f>
        <v/>
      </c>
      <c r="BC58" s="1103" t="str">
        <f>IFERROR(AH58/M02S02F35/BA58,"")</f>
        <v/>
      </c>
      <c r="BD58" s="1064" t="str">
        <f>IF(OR(C58="",F58="",J58="",M58="",O58="",Q58="",S58="",W58="",Z58="",AB58="",AD58="",AF58=""),"",IF(M02S02F46="Gas Only",0,IF(OR(ISNUMBER(SEARCH("Exterior",S58)),ISNUMBER(SEARCH("Exterior",C58)),ISNUMBER(SEARCH("Exterior",F58))),0,IF(M02S02F32="Heat Pump",(((O58*M58-AB58*Z58)/1000)*Q58*-INDEX(LightingWHF[Waste Heat Electric Heat Pump Heating IFkWh],MATCH(M02S02F26,LightingWHF[Building/Space Type],0))),
IF(OR(M02S02F32="AC with Electric Heat",M02S02F32="Electric Heat Only"),(((O58*M58-AB58*Z58)/1000)*Q58*-INDEX(LightingWHF[Waste Heat Electric Resistance Heating IFkWh],MATCH(M02S02F26,LightingWHF[Building/Space Type],0))),0
)))))</f>
        <v/>
      </c>
      <c r="BE58" s="1064" t="str">
        <f>IF(OR(C58="",F58="",J58="",M58="",O58="",Q58="",S58="",W58="",Z58="",AB58="",AD58="",AF58=""),"",IF(M02S02F46="Gas Only",0,IF(OR(ISNUMBER(SEARCH("Exterior",S58)),ISNUMBER(SEARCH("Exterior",C58)),ISNUMBER(SEARCH("Exterior",F58))),1,IF(OR(M02S02F32="Heat Pump",M02S02F32="AC with Natural Gas Heat",M02S02F32="AC with Electric Heat"),(INDEX(LightingWHF[Waste Heat Cooling Energy WHFe],MATCH(M02S02F26,LightingWHF[Building/Space Type],0))),1))))</f>
        <v/>
      </c>
      <c r="BF58" s="1103" t="str">
        <f>IFERROR(IF((M58*O58)&lt;=(Z58*AB58),MEASURESAVE,IF(M02S02F35="",MEASURERATE,IF(AH58/M02S02F35/BA58&lt;1,MEASUREPAY,IF(AV58&lt;1,MEASURECB,IF(OR(ISBLANK(M02S02F26),ISBLANK(M02S02F32),ISBLANK(M02S02F46)),MEASUREBLDG,""))))),MEASURESUBMIT)</f>
        <v>Submit for Review</v>
      </c>
      <c r="BH58" s="1001" t="str">
        <f ca="1">IF(OR(C58="",F58="",J58="",M58="",O58="",Q58="",S58="",W58="",Z58="",AB58="",AD58="",AF58=""),"",IF('M01-S01'!$V$82&lt;TODAY(),0,IF(M02S02F46="Gas Only",0,IF(OR(AK58="",AK58&lt;0,AU58&lt;=AN58),0,MIN(AH58-AN58,ROUND(AN58*0.2,2))))))</f>
        <v/>
      </c>
    </row>
    <row r="59" spans="2:60" ht="15.95" customHeight="1">
      <c r="B59" s="834"/>
      <c r="C59" s="1094"/>
      <c r="D59" s="1094"/>
      <c r="E59" s="1094"/>
      <c r="F59" s="840"/>
      <c r="G59" s="841"/>
      <c r="H59" s="841"/>
      <c r="I59" s="842"/>
      <c r="J59" s="1094"/>
      <c r="K59" s="1094"/>
      <c r="L59" s="1094"/>
      <c r="M59" s="1084"/>
      <c r="N59" s="1084"/>
      <c r="O59" s="1087"/>
      <c r="P59" s="1088"/>
      <c r="Q59" s="1091"/>
      <c r="R59" s="1092"/>
      <c r="S59" s="856"/>
      <c r="T59" s="841"/>
      <c r="U59" s="841"/>
      <c r="V59" s="842"/>
      <c r="W59" s="1094"/>
      <c r="X59" s="1094"/>
      <c r="Y59" s="1094"/>
      <c r="Z59" s="1084"/>
      <c r="AA59" s="1084"/>
      <c r="AB59" s="1096"/>
      <c r="AC59" s="1096"/>
      <c r="AD59" s="1098"/>
      <c r="AE59" s="1098"/>
      <c r="AF59" s="1098"/>
      <c r="AG59" s="1100"/>
      <c r="AH59" s="870"/>
      <c r="AI59" s="1102"/>
      <c r="AJ59" s="1102"/>
      <c r="AK59" s="912"/>
      <c r="AL59" s="913"/>
      <c r="AM59" s="942"/>
      <c r="AN59" s="1106"/>
      <c r="AO59" s="1106"/>
      <c r="AP59" s="1106"/>
      <c r="AQ59" s="1106"/>
      <c r="AU59" s="1108"/>
      <c r="AV59" s="1108"/>
      <c r="AW59" s="907"/>
      <c r="AX59" s="817"/>
      <c r="AY59" s="817"/>
      <c r="AZ59" s="879"/>
      <c r="BA59" s="817"/>
      <c r="BB59" s="1002"/>
      <c r="BC59" s="1104"/>
      <c r="BD59" s="1002"/>
      <c r="BE59" s="1002"/>
      <c r="BF59" s="1104"/>
      <c r="BH59" s="1002"/>
    </row>
    <row r="60" spans="2:60" ht="15.95" customHeight="1">
      <c r="B60" s="834">
        <v>23</v>
      </c>
      <c r="C60" s="1093"/>
      <c r="D60" s="1093"/>
      <c r="E60" s="1093"/>
      <c r="F60" s="871"/>
      <c r="G60" s="872"/>
      <c r="H60" s="872"/>
      <c r="I60" s="873"/>
      <c r="J60" s="1093"/>
      <c r="K60" s="1093"/>
      <c r="L60" s="1093"/>
      <c r="M60" s="1083"/>
      <c r="N60" s="1083"/>
      <c r="O60" s="1085" t="str">
        <f>IFERROR(IF(F60="","",INDEX(CMLIGHTBASE[Base Watt 1],MATCH(F60,CMLIGHTBASE[Base Desc 1],0))),"")</f>
        <v/>
      </c>
      <c r="P60" s="1086"/>
      <c r="Q60" s="1089"/>
      <c r="R60" s="1090"/>
      <c r="S60" s="890"/>
      <c r="T60" s="872"/>
      <c r="U60" s="872"/>
      <c r="V60" s="873"/>
      <c r="W60" s="1093"/>
      <c r="X60" s="1093"/>
      <c r="Y60" s="1093"/>
      <c r="Z60" s="1083"/>
      <c r="AA60" s="1083"/>
      <c r="AB60" s="1095"/>
      <c r="AC60" s="1095"/>
      <c r="AD60" s="1097"/>
      <c r="AE60" s="1097"/>
      <c r="AF60" s="1097"/>
      <c r="AG60" s="1099"/>
      <c r="AH60" s="924" t="str">
        <f t="shared" ref="AH60" si="105">IFERROR(IF(OR(C60="",J60="",M60="",O60="",Q60="",W60="",Z60="",AB60="",AD60="",AF60=""),"",ROUND((AD60+AF60)*Z60,2)),"")</f>
        <v/>
      </c>
      <c r="AI60" s="1101"/>
      <c r="AJ60" s="1101"/>
      <c r="AK60" s="910" t="str">
        <f t="shared" ref="AK60" si="106">IFERROR(IF(OR(C60="",F60="",J60="",M60="",O60="",Q60="",S60="",W60="",Z60="",AB60="",AD60="",AF60=""),"",ROUND(IF((M60*O60)&lt;=(Z60*AB60),"0",(AX60-AY60+BD60)*BE60),2)),"")</f>
        <v/>
      </c>
      <c r="AL60" s="911"/>
      <c r="AM60" s="975"/>
      <c r="AN60" s="1105" t="str">
        <f>IFERROR(IF(OR(C60="",F60="",J60="",M60="",O60="",Q60="",S60="",W60="",Z60="",AB60="",AD60="",AF60=""),"",IF(OR(ISNUMBER(SEARCH("~~",F60)),ISNUMBER(SEARCH("~~",S60))),"Invalid Fixture Type Selected",IF(BF60&lt;&gt;"",BF60,ROUND(MIN(AH60*0.75,AK60*INDEX(INCRATE[Electric],MATCH("CMLIGHT",INCRATE[Incentive Type]))),2)))),"")</f>
        <v/>
      </c>
      <c r="AO60" s="1105"/>
      <c r="AP60" s="1105"/>
      <c r="AQ60" s="1105"/>
      <c r="AU60" s="1109" t="str">
        <f>IF(F60="","",INDEX(CUSTLIGHTUNIT,MATCH(F60,CMELIGHTBASE1,0)))</f>
        <v/>
      </c>
      <c r="AV60" s="1107" t="str">
        <f>IFERROR(IF(OR(C60="",F60="",J60="",M60="",O60="",Q60="",S60="",W60="",Z60="",AB60="",AD60="",AF60=""),"",((((1+ELOSS)*((AK60*INDEX(ELECCB[NPV AEC $/kWh],MATCH(15,ELECCB[Year Number],0)))+(AW60*INDEX(ELECCB[NPV ACC+T&amp;D $/kW],MATCH(15,ELECCB[Year Number],0)))))+((1+GLOSS)*((BB60*INDEX(GASCB[NPV GAEC $/therm],MATCH(15,GASCB[Year Number],1))))))/AH60)),"")</f>
        <v/>
      </c>
      <c r="AW60" s="906" t="str">
        <f>IFERROR(IF(OR(C60="",F60="",J60="",M60="",O60="",Q60="",S60="",W60="",Z60="",AB60="",AD60="",AF60=""),"",IF(OR(ISNUMBER(SEARCH("Exterior",C60)),((M60*O60)&lt;=(Z60*AB60)),ISNUMBER(SEARCH("Exterior",S60)),ISNUMBER(SEARCH("Exterior",F60))),0,ROUND((((M60*O60)-(Z60*AB60))/1000)*INDEX(LightingWHF[Coincidence Factor CF],MATCH(M02S02F26,LightingWHF[Building/Space Type],0))*IF(OR(M02S02F32="AC with Natural Gas Heat",M02S02F32="AC with Electric Heat",M02S02F32="Heat Pump"),INDEX(LightingWHF[Waste Heat Cooling Demand WHFd],MATCH(M02S02F26,LightingWHF[Building/Space Type],0)),1),3))),"")</f>
        <v/>
      </c>
      <c r="AX60" s="816" t="str">
        <f t="shared" ref="AX60" si="107">IF(OR(C60="",F60="",J60="",M60="",O60="",Q60="",S60="",W60="",Z60="",AB60="",AD60="",AF60=""),"",ROUND(M60*O60*Q60/1000,2))</f>
        <v/>
      </c>
      <c r="AY60" s="816" t="str">
        <f t="shared" ref="AY60" si="108">IF(OR(C60="",F60="",J60="",M60="",O60="",Q60="",S60="",W60="",Z60="",AB60="",AD60="",AF60=""),"",ROUND(Z60*AB60*Q60/1000,2))</f>
        <v/>
      </c>
      <c r="AZ60" s="878" t="str">
        <f>IF(OR(C60="",F60="",J60="",M60="",O60="",Q60="",S60="",W60="",Z60="",AB60="",AD60="",AF60=""),"",IF(ISNUMBER(AN60),(CONCATENATE(INDEX(CMLIGHTBASE[Measure Number],MATCH(F60,CMLIGHTBASE[Base Desc 1],0)),INDEX(CMLIGHTEFF[Measure Number],MATCH(S60,CMLIGHTEFF[Eff Desc 1],0)))),IF(AK60=0,"","000001")))</f>
        <v/>
      </c>
      <c r="BA60" s="816" t="str">
        <f t="shared" ref="BA60" si="109">IF(OR(C60="",F60="",J60="",M60="",O60="",Q60="",S60="",W60="",Z60="",AB60="",AD60="",AF60=""),"",IF((M60*O60)&lt;=(Z60*AB60),"0",AX60-AY60))</f>
        <v/>
      </c>
      <c r="BB60" s="1064" t="str">
        <f>IF(OR(C60="",F60="",J60="",M60="",O60="",Q60="",S60="",W60="",Z60="",AB60="",AD60="",AF60=""),"",IF(M02S02F46="Electric Only",0,IF(OR(ISNUMBER(SEARCH("Exterior",S60)),ISNUMBER(SEARCH("Exterior",C60)),ISNUMBER(SEARCH("Exterior",F60))),0,IF(OR(M02S02F32="AC with Natural Gas Heat",M02S02F32="Natural Gas Heat Only"),(((O60*M60-AB60*Z60)/1000)*Q60*-INDEX(LightingWHF[Waste Heat Gas Heating IFTherms],MATCH(M02S02F26,LightingWHF[Building/Space Type],0))),0))))</f>
        <v/>
      </c>
      <c r="BC60" s="1103" t="str">
        <f>IFERROR(AH60/M02S02F35/BA60,"")</f>
        <v/>
      </c>
      <c r="BD60" s="1064" t="str">
        <f>IF(OR(C60="",F60="",J60="",M60="",O60="",Q60="",S60="",W60="",Z60="",AB60="",AD60="",AF60=""),"",IF(M02S02F46="Gas Only",0,IF(OR(ISNUMBER(SEARCH("Exterior",S60)),ISNUMBER(SEARCH("Exterior",C60)),ISNUMBER(SEARCH("Exterior",F60))),0,IF(M02S02F32="Heat Pump",(((O60*M60-AB60*Z60)/1000)*Q60*-INDEX(LightingWHF[Waste Heat Electric Heat Pump Heating IFkWh],MATCH(M02S02F26,LightingWHF[Building/Space Type],0))),
IF(OR(M02S02F32="AC with Electric Heat",M02S02F32="Electric Heat Only"),(((O60*M60-AB60*Z60)/1000)*Q60*-INDEX(LightingWHF[Waste Heat Electric Resistance Heating IFkWh],MATCH(M02S02F26,LightingWHF[Building/Space Type],0))),0
)))))</f>
        <v/>
      </c>
      <c r="BE60" s="1064" t="str">
        <f>IF(OR(C60="",F60="",J60="",M60="",O60="",Q60="",S60="",W60="",Z60="",AB60="",AD60="",AF60=""),"",IF(M02S02F46="Gas Only",0,IF(OR(ISNUMBER(SEARCH("Exterior",S60)),ISNUMBER(SEARCH("Exterior",C60)),ISNUMBER(SEARCH("Exterior",F60))),1,IF(OR(M02S02F32="Heat Pump",M02S02F32="AC with Natural Gas Heat",M02S02F32="AC with Electric Heat"),(INDEX(LightingWHF[Waste Heat Cooling Energy WHFe],MATCH(M02S02F26,LightingWHF[Building/Space Type],0))),1))))</f>
        <v/>
      </c>
      <c r="BF60" s="1103" t="str">
        <f>IFERROR(IF((M60*O60)&lt;=(Z60*AB60),MEASURESAVE,IF(M02S02F35="",MEASURERATE,IF(AH60/M02S02F35/BA60&lt;1,MEASUREPAY,IF(AV60&lt;1,MEASURECB,IF(OR(ISBLANK(M02S02F26),ISBLANK(M02S02F32),ISBLANK(M02S02F46)),MEASUREBLDG,""))))),MEASURESUBMIT)</f>
        <v>Submit for Review</v>
      </c>
      <c r="BH60" s="1001" t="str">
        <f ca="1">IF(OR(C60="",F60="",J60="",M60="",O60="",Q60="",S60="",W60="",Z60="",AB60="",AD60="",AF60=""),"",IF('M01-S01'!$V$82&lt;TODAY(),0,IF(M02S02F46="Gas Only",0,IF(OR(AK60="",AK60&lt;0,AU60&lt;=AN60),0,MIN(AH60-AN60,ROUND(AN60*0.2,2))))))</f>
        <v/>
      </c>
    </row>
    <row r="61" spans="2:60" ht="15.95" customHeight="1">
      <c r="B61" s="834"/>
      <c r="C61" s="1094"/>
      <c r="D61" s="1094"/>
      <c r="E61" s="1094"/>
      <c r="F61" s="840"/>
      <c r="G61" s="841"/>
      <c r="H61" s="841"/>
      <c r="I61" s="842"/>
      <c r="J61" s="1094"/>
      <c r="K61" s="1094"/>
      <c r="L61" s="1094"/>
      <c r="M61" s="1084"/>
      <c r="N61" s="1084"/>
      <c r="O61" s="1087"/>
      <c r="P61" s="1088"/>
      <c r="Q61" s="1091"/>
      <c r="R61" s="1092"/>
      <c r="S61" s="856"/>
      <c r="T61" s="841"/>
      <c r="U61" s="841"/>
      <c r="V61" s="842"/>
      <c r="W61" s="1094"/>
      <c r="X61" s="1094"/>
      <c r="Y61" s="1094"/>
      <c r="Z61" s="1084"/>
      <c r="AA61" s="1084"/>
      <c r="AB61" s="1096"/>
      <c r="AC61" s="1096"/>
      <c r="AD61" s="1098"/>
      <c r="AE61" s="1098"/>
      <c r="AF61" s="1098"/>
      <c r="AG61" s="1100"/>
      <c r="AH61" s="870"/>
      <c r="AI61" s="1102"/>
      <c r="AJ61" s="1102"/>
      <c r="AK61" s="912"/>
      <c r="AL61" s="913"/>
      <c r="AM61" s="942"/>
      <c r="AN61" s="1106"/>
      <c r="AO61" s="1106"/>
      <c r="AP61" s="1106"/>
      <c r="AQ61" s="1106"/>
      <c r="AU61" s="1108"/>
      <c r="AV61" s="1108"/>
      <c r="AW61" s="907"/>
      <c r="AX61" s="817"/>
      <c r="AY61" s="817"/>
      <c r="AZ61" s="879"/>
      <c r="BA61" s="817"/>
      <c r="BB61" s="1002"/>
      <c r="BC61" s="1104"/>
      <c r="BD61" s="1002"/>
      <c r="BE61" s="1002"/>
      <c r="BF61" s="1104"/>
      <c r="BH61" s="1002"/>
    </row>
    <row r="62" spans="2:60" ht="15.95" customHeight="1">
      <c r="B62" s="834">
        <v>24</v>
      </c>
      <c r="C62" s="1093"/>
      <c r="D62" s="1093"/>
      <c r="E62" s="1093"/>
      <c r="F62" s="871"/>
      <c r="G62" s="872"/>
      <c r="H62" s="872"/>
      <c r="I62" s="873"/>
      <c r="J62" s="1093"/>
      <c r="K62" s="1093"/>
      <c r="L62" s="1093"/>
      <c r="M62" s="1083"/>
      <c r="N62" s="1083"/>
      <c r="O62" s="1085" t="str">
        <f>IFERROR(IF(F62="","",INDEX(CMLIGHTBASE[Base Watt 1],MATCH(F62,CMLIGHTBASE[Base Desc 1],0))),"")</f>
        <v/>
      </c>
      <c r="P62" s="1086"/>
      <c r="Q62" s="1089"/>
      <c r="R62" s="1090"/>
      <c r="S62" s="890"/>
      <c r="T62" s="872"/>
      <c r="U62" s="872"/>
      <c r="V62" s="873"/>
      <c r="W62" s="1093"/>
      <c r="X62" s="1093"/>
      <c r="Y62" s="1093"/>
      <c r="Z62" s="1083"/>
      <c r="AA62" s="1083"/>
      <c r="AB62" s="1095"/>
      <c r="AC62" s="1095"/>
      <c r="AD62" s="1097"/>
      <c r="AE62" s="1097"/>
      <c r="AF62" s="1097"/>
      <c r="AG62" s="1099"/>
      <c r="AH62" s="924" t="str">
        <f t="shared" ref="AH62" si="110">IFERROR(IF(OR(C62="",J62="",M62="",O62="",Q62="",W62="",Z62="",AB62="",AD62="",AF62=""),"",ROUND((AD62+AF62)*Z62,2)),"")</f>
        <v/>
      </c>
      <c r="AI62" s="1101"/>
      <c r="AJ62" s="1101"/>
      <c r="AK62" s="910" t="str">
        <f t="shared" ref="AK62" si="111">IFERROR(IF(OR(C62="",F62="",J62="",M62="",O62="",Q62="",S62="",W62="",Z62="",AB62="",AD62="",AF62=""),"",ROUND(IF((M62*O62)&lt;=(Z62*AB62),"0",(AX62-AY62+BD62)*BE62),2)),"")</f>
        <v/>
      </c>
      <c r="AL62" s="911"/>
      <c r="AM62" s="975"/>
      <c r="AN62" s="1105" t="str">
        <f>IFERROR(IF(OR(C62="",F62="",J62="",M62="",O62="",Q62="",S62="",W62="",Z62="",AB62="",AD62="",AF62=""),"",IF(OR(ISNUMBER(SEARCH("~~",F62)),ISNUMBER(SEARCH("~~",S62))),"Invalid Fixture Type Selected",IF(BF62&lt;&gt;"",BF62,ROUND(MIN(AH62*0.75,AK62*INDEX(INCRATE[Electric],MATCH("CMLIGHT",INCRATE[Incentive Type]))),2)))),"")</f>
        <v/>
      </c>
      <c r="AO62" s="1105"/>
      <c r="AP62" s="1105"/>
      <c r="AQ62" s="1105"/>
      <c r="AU62" s="1109" t="str">
        <f>IF(F62="","",INDEX(CUSTLIGHTUNIT,MATCH(F62,CMELIGHTBASE1,0)))</f>
        <v/>
      </c>
      <c r="AV62" s="1107" t="str">
        <f>IFERROR(IF(OR(C62="",F62="",J62="",M62="",O62="",Q62="",S62="",W62="",Z62="",AB62="",AD62="",AF62=""),"",((((1+ELOSS)*((AK62*INDEX(ELECCB[NPV AEC $/kWh],MATCH(15,ELECCB[Year Number],0)))+(AW62*INDEX(ELECCB[NPV ACC+T&amp;D $/kW],MATCH(15,ELECCB[Year Number],0)))))+((1+GLOSS)*((BB62*INDEX(GASCB[NPV GAEC $/therm],MATCH(15,GASCB[Year Number],1))))))/AH62)),"")</f>
        <v/>
      </c>
      <c r="AW62" s="906" t="str">
        <f>IFERROR(IF(OR(C62="",F62="",J62="",M62="",O62="",Q62="",S62="",W62="",Z62="",AB62="",AD62="",AF62=""),"",IF(OR(ISNUMBER(SEARCH("Exterior",C62)),((M62*O62)&lt;=(Z62*AB62)),ISNUMBER(SEARCH("Exterior",S62)),ISNUMBER(SEARCH("Exterior",F62))),0,ROUND((((M62*O62)-(Z62*AB62))/1000)*INDEX(LightingWHF[Coincidence Factor CF],MATCH(M02S02F26,LightingWHF[Building/Space Type],0))*IF(OR(M02S02F32="AC with Natural Gas Heat",M02S02F32="AC with Electric Heat",M02S02F32="Heat Pump"),INDEX(LightingWHF[Waste Heat Cooling Demand WHFd],MATCH(M02S02F26,LightingWHF[Building/Space Type],0)),1),3))),"")</f>
        <v/>
      </c>
      <c r="AX62" s="816" t="str">
        <f t="shared" ref="AX62" si="112">IF(OR(C62="",F62="",J62="",M62="",O62="",Q62="",S62="",W62="",Z62="",AB62="",AD62="",AF62=""),"",ROUND(M62*O62*Q62/1000,2))</f>
        <v/>
      </c>
      <c r="AY62" s="816" t="str">
        <f t="shared" ref="AY62" si="113">IF(OR(C62="",F62="",J62="",M62="",O62="",Q62="",S62="",W62="",Z62="",AB62="",AD62="",AF62=""),"",ROUND(Z62*AB62*Q62/1000,2))</f>
        <v/>
      </c>
      <c r="AZ62" s="878" t="str">
        <f>IF(OR(C62="",F62="",J62="",M62="",O62="",Q62="",S62="",W62="",Z62="",AB62="",AD62="",AF62=""),"",IF(ISNUMBER(AN62),(CONCATENATE(INDEX(CMLIGHTBASE[Measure Number],MATCH(F62,CMLIGHTBASE[Base Desc 1],0)),INDEX(CMLIGHTEFF[Measure Number],MATCH(S62,CMLIGHTEFF[Eff Desc 1],0)))),IF(AK62=0,"","000001")))</f>
        <v/>
      </c>
      <c r="BA62" s="816" t="str">
        <f t="shared" ref="BA62" si="114">IF(OR(C62="",F62="",J62="",M62="",O62="",Q62="",S62="",W62="",Z62="",AB62="",AD62="",AF62=""),"",IF((M62*O62)&lt;=(Z62*AB62),"0",AX62-AY62))</f>
        <v/>
      </c>
      <c r="BB62" s="1064" t="str">
        <f>IF(OR(C62="",F62="",J62="",M62="",O62="",Q62="",S62="",W62="",Z62="",AB62="",AD62="",AF62=""),"",IF(M02S02F46="Electric Only",0,IF(OR(ISNUMBER(SEARCH("Exterior",S62)),ISNUMBER(SEARCH("Exterior",C62)),ISNUMBER(SEARCH("Exterior",F62))),0,IF(OR(M02S02F32="AC with Natural Gas Heat",M02S02F32="Natural Gas Heat Only"),(((O62*M62-AB62*Z62)/1000)*Q62*-INDEX(LightingWHF[Waste Heat Gas Heating IFTherms],MATCH(M02S02F26,LightingWHF[Building/Space Type],0))),0))))</f>
        <v/>
      </c>
      <c r="BC62" s="1103" t="str">
        <f>IFERROR(AH62/M02S02F35/BA62,"")</f>
        <v/>
      </c>
      <c r="BD62" s="1064" t="str">
        <f>IF(OR(C62="",F62="",J62="",M62="",O62="",Q62="",S62="",W62="",Z62="",AB62="",AD62="",AF62=""),"",IF(M02S02F46="Gas Only",0,IF(OR(ISNUMBER(SEARCH("Exterior",S62)),ISNUMBER(SEARCH("Exterior",C62)),ISNUMBER(SEARCH("Exterior",F62))),0,IF(M02S02F32="Heat Pump",(((O62*M62-AB62*Z62)/1000)*Q62*-INDEX(LightingWHF[Waste Heat Electric Heat Pump Heating IFkWh],MATCH(M02S02F26,LightingWHF[Building/Space Type],0))),
IF(OR(M02S02F32="AC with Electric Heat",M02S02F32="Electric Heat Only"),(((O62*M62-AB62*Z62)/1000)*Q62*-INDEX(LightingWHF[Waste Heat Electric Resistance Heating IFkWh],MATCH(M02S02F26,LightingWHF[Building/Space Type],0))),0
)))))</f>
        <v/>
      </c>
      <c r="BE62" s="1064" t="str">
        <f>IF(OR(C62="",F62="",J62="",M62="",O62="",Q62="",S62="",W62="",Z62="",AB62="",AD62="",AF62=""),"",IF(M02S02F46="Gas Only",0,IF(OR(ISNUMBER(SEARCH("Exterior",S62)),ISNUMBER(SEARCH("Exterior",C62)),ISNUMBER(SEARCH("Exterior",F62))),1,IF(OR(M02S02F32="Heat Pump",M02S02F32="AC with Natural Gas Heat",M02S02F32="AC with Electric Heat"),(INDEX(LightingWHF[Waste Heat Cooling Energy WHFe],MATCH(M02S02F26,LightingWHF[Building/Space Type],0))),1))))</f>
        <v/>
      </c>
      <c r="BF62" s="1103" t="str">
        <f>IFERROR(IF((M62*O62)&lt;=(Z62*AB62),MEASURESAVE,IF(M02S02F35="",MEASURERATE,IF(AH62/M02S02F35/BA62&lt;1,MEASUREPAY,IF(AV62&lt;1,MEASURECB,IF(OR(ISBLANK(M02S02F26),ISBLANK(M02S02F32),ISBLANK(M02S02F46)),MEASUREBLDG,""))))),MEASURESUBMIT)</f>
        <v>Submit for Review</v>
      </c>
      <c r="BH62" s="1001" t="str">
        <f ca="1">IF(OR(C62="",F62="",J62="",M62="",O62="",Q62="",S62="",W62="",Z62="",AB62="",AD62="",AF62=""),"",IF('M01-S01'!$V$82&lt;TODAY(),0,IF(M02S02F46="Gas Only",0,IF(OR(AK62="",AK62&lt;0,AU62&lt;=AN62),0,MIN(AH62-AN62,ROUND(AN62*0.2,2))))))</f>
        <v/>
      </c>
    </row>
    <row r="63" spans="2:60" ht="15.95" customHeight="1">
      <c r="B63" s="834"/>
      <c r="C63" s="1094"/>
      <c r="D63" s="1094"/>
      <c r="E63" s="1094"/>
      <c r="F63" s="840"/>
      <c r="G63" s="841"/>
      <c r="H63" s="841"/>
      <c r="I63" s="842"/>
      <c r="J63" s="1094"/>
      <c r="K63" s="1094"/>
      <c r="L63" s="1094"/>
      <c r="M63" s="1084"/>
      <c r="N63" s="1084"/>
      <c r="O63" s="1087"/>
      <c r="P63" s="1088"/>
      <c r="Q63" s="1091"/>
      <c r="R63" s="1092"/>
      <c r="S63" s="856"/>
      <c r="T63" s="841"/>
      <c r="U63" s="841"/>
      <c r="V63" s="842"/>
      <c r="W63" s="1094"/>
      <c r="X63" s="1094"/>
      <c r="Y63" s="1094"/>
      <c r="Z63" s="1084"/>
      <c r="AA63" s="1084"/>
      <c r="AB63" s="1096"/>
      <c r="AC63" s="1096"/>
      <c r="AD63" s="1098"/>
      <c r="AE63" s="1098"/>
      <c r="AF63" s="1098"/>
      <c r="AG63" s="1100"/>
      <c r="AH63" s="870"/>
      <c r="AI63" s="1102"/>
      <c r="AJ63" s="1102"/>
      <c r="AK63" s="912"/>
      <c r="AL63" s="913"/>
      <c r="AM63" s="942"/>
      <c r="AN63" s="1106"/>
      <c r="AO63" s="1106"/>
      <c r="AP63" s="1106"/>
      <c r="AQ63" s="1106"/>
      <c r="AU63" s="1108"/>
      <c r="AV63" s="1108"/>
      <c r="AW63" s="907"/>
      <c r="AX63" s="817"/>
      <c r="AY63" s="817"/>
      <c r="AZ63" s="879"/>
      <c r="BA63" s="817"/>
      <c r="BB63" s="1002"/>
      <c r="BC63" s="1104"/>
      <c r="BD63" s="1002"/>
      <c r="BE63" s="1002"/>
      <c r="BF63" s="1104"/>
      <c r="BH63" s="1002"/>
    </row>
    <row r="64" spans="2:60" ht="15.95" customHeight="1">
      <c r="B64" s="834">
        <v>25</v>
      </c>
      <c r="C64" s="1093"/>
      <c r="D64" s="1093"/>
      <c r="E64" s="1093"/>
      <c r="F64" s="871"/>
      <c r="G64" s="872"/>
      <c r="H64" s="872"/>
      <c r="I64" s="873"/>
      <c r="J64" s="1093"/>
      <c r="K64" s="1093"/>
      <c r="L64" s="1093"/>
      <c r="M64" s="1083"/>
      <c r="N64" s="1083"/>
      <c r="O64" s="1085" t="str">
        <f>IFERROR(IF(F64="","",INDEX(CMLIGHTBASE[Base Watt 1],MATCH(F64,CMLIGHTBASE[Base Desc 1],0))),"")</f>
        <v/>
      </c>
      <c r="P64" s="1086"/>
      <c r="Q64" s="1089"/>
      <c r="R64" s="1090"/>
      <c r="S64" s="890"/>
      <c r="T64" s="872"/>
      <c r="U64" s="872"/>
      <c r="V64" s="873"/>
      <c r="W64" s="1093"/>
      <c r="X64" s="1093"/>
      <c r="Y64" s="1093"/>
      <c r="Z64" s="1083"/>
      <c r="AA64" s="1083"/>
      <c r="AB64" s="1095"/>
      <c r="AC64" s="1095"/>
      <c r="AD64" s="1097"/>
      <c r="AE64" s="1097"/>
      <c r="AF64" s="1097"/>
      <c r="AG64" s="1099"/>
      <c r="AH64" s="924" t="str">
        <f t="shared" ref="AH64" si="115">IFERROR(IF(OR(C64="",J64="",M64="",O64="",Q64="",W64="",Z64="",AB64="",AD64="",AF64=""),"",ROUND((AD64+AF64)*Z64,2)),"")</f>
        <v/>
      </c>
      <c r="AI64" s="1101"/>
      <c r="AJ64" s="1101"/>
      <c r="AK64" s="910" t="str">
        <f t="shared" ref="AK64" si="116">IFERROR(IF(OR(C64="",F64="",J64="",M64="",O64="",Q64="",S64="",W64="",Z64="",AB64="",AD64="",AF64=""),"",ROUND(IF((M64*O64)&lt;=(Z64*AB64),"0",(AX64-AY64+BD64)*BE64),2)),"")</f>
        <v/>
      </c>
      <c r="AL64" s="911"/>
      <c r="AM64" s="975"/>
      <c r="AN64" s="1105" t="str">
        <f>IFERROR(IF(OR(C64="",F64="",J64="",M64="",O64="",Q64="",S64="",W64="",Z64="",AB64="",AD64="",AF64=""),"",IF(OR(ISNUMBER(SEARCH("~~",F64)),ISNUMBER(SEARCH("~~",S64))),"Invalid Fixture Type Selected",IF(BF64&lt;&gt;"",BF64,ROUND(MIN(AH64*0.75,AK64*INDEX(INCRATE[Electric],MATCH("CMLIGHT",INCRATE[Incentive Type]))),2)))),"")</f>
        <v/>
      </c>
      <c r="AO64" s="1105"/>
      <c r="AP64" s="1105"/>
      <c r="AQ64" s="1105"/>
      <c r="AU64" s="1109" t="str">
        <f>IF(F64="","",INDEX(CUSTLIGHTUNIT,MATCH(F64,CMELIGHTBASE1,0)))</f>
        <v/>
      </c>
      <c r="AV64" s="1107" t="str">
        <f>IFERROR(IF(OR(C64="",F64="",J64="",M64="",O64="",Q64="",S64="",W64="",Z64="",AB64="",AD64="",AF64=""),"",((((1+ELOSS)*((AK64*INDEX(ELECCB[NPV AEC $/kWh],MATCH(15,ELECCB[Year Number],0)))+(AW64*INDEX(ELECCB[NPV ACC+T&amp;D $/kW],MATCH(15,ELECCB[Year Number],0)))))+((1+GLOSS)*((BB64*INDEX(GASCB[NPV GAEC $/therm],MATCH(15,GASCB[Year Number],1))))))/AH64)),"")</f>
        <v/>
      </c>
      <c r="AW64" s="906" t="str">
        <f>IFERROR(IF(OR(C64="",F64="",J64="",M64="",O64="",Q64="",S64="",W64="",Z64="",AB64="",AD64="",AF64=""),"",IF(OR(ISNUMBER(SEARCH("Exterior",C64)),((M64*O64)&lt;=(Z64*AB64)),ISNUMBER(SEARCH("Exterior",S64)),ISNUMBER(SEARCH("Exterior",F64))),0,ROUND((((M64*O64)-(Z64*AB64))/1000)*INDEX(LightingWHF[Coincidence Factor CF],MATCH(M02S02F26,LightingWHF[Building/Space Type],0))*IF(OR(M02S02F32="AC with Natural Gas Heat",M02S02F32="AC with Electric Heat",M02S02F32="Heat Pump"),INDEX(LightingWHF[Waste Heat Cooling Demand WHFd],MATCH(M02S02F26,LightingWHF[Building/Space Type],0)),1),3))),"")</f>
        <v/>
      </c>
      <c r="AX64" s="816" t="str">
        <f t="shared" ref="AX64" si="117">IF(OR(C64="",F64="",J64="",M64="",O64="",Q64="",S64="",W64="",Z64="",AB64="",AD64="",AF64=""),"",ROUND(M64*O64*Q64/1000,2))</f>
        <v/>
      </c>
      <c r="AY64" s="816" t="str">
        <f t="shared" ref="AY64" si="118">IF(OR(C64="",F64="",J64="",M64="",O64="",Q64="",S64="",W64="",Z64="",AB64="",AD64="",AF64=""),"",ROUND(Z64*AB64*Q64/1000,2))</f>
        <v/>
      </c>
      <c r="AZ64" s="878" t="str">
        <f>IF(OR(C64="",F64="",J64="",M64="",O64="",Q64="",S64="",W64="",Z64="",AB64="",AD64="",AF64=""),"",IF(ISNUMBER(AN64),(CONCATENATE(INDEX(CMLIGHTBASE[Measure Number],MATCH(F64,CMLIGHTBASE[Base Desc 1],0)),INDEX(CMLIGHTEFF[Measure Number],MATCH(S64,CMLIGHTEFF[Eff Desc 1],0)))),IF(AK64=0,"","000001")))</f>
        <v/>
      </c>
      <c r="BA64" s="816" t="str">
        <f t="shared" ref="BA64" si="119">IF(OR(C64="",F64="",J64="",M64="",O64="",Q64="",S64="",W64="",Z64="",AB64="",AD64="",AF64=""),"",IF((M64*O64)&lt;=(Z64*AB64),"0",AX64-AY64))</f>
        <v/>
      </c>
      <c r="BB64" s="1064" t="str">
        <f>IF(OR(C64="",F64="",J64="",M64="",O64="",Q64="",S64="",W64="",Z64="",AB64="",AD64="",AF64=""),"",IF(M02S02F46="Electric Only",0,IF(OR(ISNUMBER(SEARCH("Exterior",S64)),ISNUMBER(SEARCH("Exterior",C64)),ISNUMBER(SEARCH("Exterior",F64))),0,IF(OR(M02S02F32="AC with Natural Gas Heat",M02S02F32="Natural Gas Heat Only"),(((O64*M64-AB64*Z64)/1000)*Q64*-INDEX(LightingWHF[Waste Heat Gas Heating IFTherms],MATCH(M02S02F26,LightingWHF[Building/Space Type],0))),0))))</f>
        <v/>
      </c>
      <c r="BC64" s="1103" t="str">
        <f>IFERROR(AH64/M02S02F35/BA64,"")</f>
        <v/>
      </c>
      <c r="BD64" s="1064" t="str">
        <f>IF(OR(C64="",F64="",J64="",M64="",O64="",Q64="",S64="",W64="",Z64="",AB64="",AD64="",AF64=""),"",IF(M02S02F46="Gas Only",0,IF(OR(ISNUMBER(SEARCH("Exterior",S64)),ISNUMBER(SEARCH("Exterior",C64)),ISNUMBER(SEARCH("Exterior",F64))),0,IF(M02S02F32="Heat Pump",(((O64*M64-AB64*Z64)/1000)*Q64*-INDEX(LightingWHF[Waste Heat Electric Heat Pump Heating IFkWh],MATCH(M02S02F26,LightingWHF[Building/Space Type],0))),
IF(OR(M02S02F32="AC with Electric Heat",M02S02F32="Electric Heat Only"),(((O64*M64-AB64*Z64)/1000)*Q64*-INDEX(LightingWHF[Waste Heat Electric Resistance Heating IFkWh],MATCH(M02S02F26,LightingWHF[Building/Space Type],0))),0
)))))</f>
        <v/>
      </c>
      <c r="BE64" s="1064" t="str">
        <f>IF(OR(C64="",F64="",J64="",M64="",O64="",Q64="",S64="",W64="",Z64="",AB64="",AD64="",AF64=""),"",IF(M02S02F46="Gas Only",0,IF(OR(ISNUMBER(SEARCH("Exterior",S64)),ISNUMBER(SEARCH("Exterior",C64)),ISNUMBER(SEARCH("Exterior",F64))),1,IF(OR(M02S02F32="Heat Pump",M02S02F32="AC with Natural Gas Heat",M02S02F32="AC with Electric Heat"),(INDEX(LightingWHF[Waste Heat Cooling Energy WHFe],MATCH(M02S02F26,LightingWHF[Building/Space Type],0))),1))))</f>
        <v/>
      </c>
      <c r="BF64" s="1103" t="str">
        <f>IFERROR(IF((M64*O64)&lt;=(Z64*AB64),MEASURESAVE,IF(M02S02F35="",MEASURERATE,IF(AH64/M02S02F35/BA64&lt;1,MEASUREPAY,IF(AV64&lt;1,MEASURECB,IF(OR(ISBLANK(M02S02F26),ISBLANK(M02S02F32),ISBLANK(M02S02F46)),MEASUREBLDG,""))))),MEASURESUBMIT)</f>
        <v>Submit for Review</v>
      </c>
      <c r="BH64" s="1001" t="str">
        <f ca="1">IF(OR(C64="",F64="",J64="",M64="",O64="",Q64="",S64="",W64="",Z64="",AB64="",AD64="",AF64=""),"",IF('M01-S01'!$V$82&lt;TODAY(),0,IF(M02S02F46="Gas Only",0,IF(OR(AK64="",AK64&lt;0,AU64&lt;=AN64),0,MIN(AH64-AN64,ROUND(AN64*0.2,2))))))</f>
        <v/>
      </c>
    </row>
    <row r="65" spans="2:61" ht="15.95" customHeight="1">
      <c r="B65" s="834"/>
      <c r="C65" s="1094"/>
      <c r="D65" s="1094"/>
      <c r="E65" s="1094"/>
      <c r="F65" s="840"/>
      <c r="G65" s="841"/>
      <c r="H65" s="841"/>
      <c r="I65" s="842"/>
      <c r="J65" s="1094"/>
      <c r="K65" s="1094"/>
      <c r="L65" s="1094"/>
      <c r="M65" s="1084"/>
      <c r="N65" s="1084"/>
      <c r="O65" s="1087"/>
      <c r="P65" s="1088"/>
      <c r="Q65" s="1091"/>
      <c r="R65" s="1092"/>
      <c r="S65" s="856"/>
      <c r="T65" s="841"/>
      <c r="U65" s="841"/>
      <c r="V65" s="842"/>
      <c r="W65" s="1094"/>
      <c r="X65" s="1094"/>
      <c r="Y65" s="1094"/>
      <c r="Z65" s="1084"/>
      <c r="AA65" s="1084"/>
      <c r="AB65" s="1096"/>
      <c r="AC65" s="1096"/>
      <c r="AD65" s="1098"/>
      <c r="AE65" s="1098"/>
      <c r="AF65" s="1098"/>
      <c r="AG65" s="1100"/>
      <c r="AH65" s="870"/>
      <c r="AI65" s="1102"/>
      <c r="AJ65" s="1102"/>
      <c r="AK65" s="912"/>
      <c r="AL65" s="913"/>
      <c r="AM65" s="942"/>
      <c r="AN65" s="1106"/>
      <c r="AO65" s="1106"/>
      <c r="AP65" s="1106"/>
      <c r="AQ65" s="1106"/>
      <c r="AU65" s="1108"/>
      <c r="AV65" s="1108"/>
      <c r="AW65" s="907"/>
      <c r="AX65" s="817"/>
      <c r="AY65" s="817"/>
      <c r="AZ65" s="879"/>
      <c r="BA65" s="817"/>
      <c r="BB65" s="1002"/>
      <c r="BC65" s="1104"/>
      <c r="BD65" s="1002"/>
      <c r="BE65" s="1002"/>
      <c r="BF65" s="1104"/>
      <c r="BH65" s="1002"/>
    </row>
    <row r="66" spans="2:61" ht="15.95" hidden="1" customHeight="1">
      <c r="B66" s="834">
        <v>26</v>
      </c>
      <c r="C66" s="1093"/>
      <c r="D66" s="1093"/>
      <c r="E66" s="1093"/>
      <c r="F66" s="871"/>
      <c r="G66" s="872"/>
      <c r="H66" s="872"/>
      <c r="I66" s="873"/>
      <c r="J66" s="1093"/>
      <c r="K66" s="1093"/>
      <c r="L66" s="1093"/>
      <c r="M66" s="1083"/>
      <c r="N66" s="1083"/>
      <c r="O66" s="1085" t="str">
        <f>IFERROR(IF(F66="","",INDEX(CMLIGHTBASE[Base Watt 1],MATCH(F66,CMLIGHTBASE[Base Desc 1],0))),"")</f>
        <v/>
      </c>
      <c r="P66" s="1086"/>
      <c r="Q66" s="1089"/>
      <c r="R66" s="1090"/>
      <c r="S66" s="890"/>
      <c r="T66" s="872"/>
      <c r="U66" s="872"/>
      <c r="V66" s="873"/>
      <c r="W66" s="1093"/>
      <c r="X66" s="1093"/>
      <c r="Y66" s="1093"/>
      <c r="Z66" s="1083"/>
      <c r="AA66" s="1083"/>
      <c r="AB66" s="1095"/>
      <c r="AC66" s="1095"/>
      <c r="AD66" s="1097"/>
      <c r="AE66" s="1097"/>
      <c r="AF66" s="1097"/>
      <c r="AG66" s="1099"/>
      <c r="AH66" s="924" t="str">
        <f t="shared" ref="AH66" si="120">IFERROR(IF(OR(C66="",J66="",M66="",O66="",Q66="",W66="",Z66="",AB66="",AD66="",AF66=""),"",ROUND((AD66+AF66)*Z66,2)),"")</f>
        <v/>
      </c>
      <c r="AI66" s="1101"/>
      <c r="AJ66" s="1101"/>
      <c r="AK66" s="910" t="str">
        <f t="shared" ref="AK66" si="121">IFERROR(IF(OR(C66="",F66="",J66="",M66="",O66="",Q66="",S66="",W66="",Z66="",AB66="",AD66="",AF66=""),"",ROUND(IF((M66*O66)&lt;=(Z66*AB66),"0",(AX66-AY66+BD66)*BE66),2)),"")</f>
        <v/>
      </c>
      <c r="AL66" s="911"/>
      <c r="AM66" s="975"/>
      <c r="AN66" s="1105" t="str">
        <f>IFERROR(IF(OR(C66="",F66="",J66="",M66="",O66="",Q66="",S66="",W66="",Z66="",AB66="",AD66="",AF66=""),"",IF(OR(ISNUMBER(SEARCH("~~",F66)),ISNUMBER(SEARCH("~~",S66))),"Invalid Fixture Type Selected",IF(BF66&lt;&gt;"",BF66,ROUND(MIN(AH66*0.75,AK66*INDEX(INCRATE[Electric],MATCH("CMLIGHT",INCRATE[Incentive Type]))),2)))),"")</f>
        <v/>
      </c>
      <c r="AO66" s="1105"/>
      <c r="AP66" s="1105"/>
      <c r="AQ66" s="1105"/>
      <c r="AU66" s="1109" t="str">
        <f>IF(F66="","",INDEX(CUSTLIGHTUNIT,MATCH(F66,CMELIGHTBASE1,0)))</f>
        <v/>
      </c>
      <c r="AV66" s="1107" t="str">
        <f>IFERROR(IF(OR(C66="",F66="",J66="",M66="",O66="",Q66="",S66="",W66="",Z66="",AB66="",AD66="",AF66=""),"",((((1+ELOSS)*((AK66*INDEX(ELECCB[NPV AEC $/kWh],MATCH(15,ELECCB[Year Number],0)))+(AW66*INDEX(ELECCB[NPV ACC+T&amp;D $/kW],MATCH(15,ELECCB[Year Number],0)))))+((1+GLOSS)*((BB66*INDEX(GASCB[NPV GAEC $/therm],MATCH(15,GASCB[Year Number],1))))))/AH66)),"")</f>
        <v/>
      </c>
      <c r="AW66" s="906" t="str">
        <f>IFERROR(IF(OR(C66="",F66="",J66="",M66="",O66="",Q66="",S66="",W66="",Z66="",AB66="",AD66="",AF66=""),"",IF(OR(ISNUMBER(SEARCH("Exterior",C66)),((M66*O66)&lt;=(Z66*AB66)),ISNUMBER(SEARCH("Exterior",S66)),ISNUMBER(SEARCH("Exterior",F66))),0,ROUND((((M66*O66)-(Z66*AB66))/1000)*INDEX(LightingWHF[Coincidence Factor CF],MATCH(M02S02F26,LightingWHF[Building/Space Type],0))*IF(OR(M02S02F32="AC with Natural Gas Heat",M02S02F32="AC with Electric Heat",M02S02F32="Heat Pump"),INDEX(LightingWHF[Waste Heat Cooling Demand WHFd],MATCH(M02S02F26,LightingWHF[Building/Space Type],0)),1),3))),"")</f>
        <v/>
      </c>
      <c r="AX66" s="816" t="str">
        <f t="shared" ref="AX66" si="122">IF(OR(C66="",F66="",J66="",M66="",O66="",Q66="",S66="",W66="",Z66="",AB66="",AD66="",AF66=""),"",ROUND(M66*O66*Q66/1000,2))</f>
        <v/>
      </c>
      <c r="AY66" s="816" t="str">
        <f t="shared" ref="AY66" si="123">IF(OR(C66="",F66="",J66="",M66="",O66="",Q66="",S66="",W66="",Z66="",AB66="",AD66="",AF66=""),"",ROUND(Z66*AB66*Q66/1000,2))</f>
        <v/>
      </c>
      <c r="AZ66" s="878" t="str">
        <f>IF(OR(C66="",F66="",J66="",M66="",O66="",Q66="",S66="",W66="",Z66="",AB66="",AD66="",AF66=""),"",IF(ISNUMBER(AN66),(CONCATENATE(INDEX(CMLIGHTBASE[Measure Number],MATCH(F66,CMLIGHTBASE[Base Desc 1],0)),INDEX(CMLIGHTEFF[Measure Number],MATCH(S66,CMLIGHTEFF[Eff Desc 1],0)))),IF(AK66=0,"","000001")))</f>
        <v/>
      </c>
      <c r="BA66" s="816" t="str">
        <f t="shared" ref="BA66" si="124">IF(OR(C66="",F66="",J66="",M66="",O66="",Q66="",S66="",W66="",Z66="",AB66="",AD66="",AF66=""),"",IF((M66*O66)&lt;=(Z66*AB66),"0",AX66-AY66))</f>
        <v/>
      </c>
      <c r="BB66" s="1064" t="str">
        <f>IF(OR(C66="",F66="",J66="",M66="",O66="",Q66="",S66="",W66="",Z66="",AB66="",AD66="",AF66=""),"",IF(M02S02F46="Electric Only",0,IF(OR(ISNUMBER(SEARCH("Exterior",S66)),ISNUMBER(SEARCH("Exterior",C66)),ISNUMBER(SEARCH("Exterior",F66))),0,IF(OR(M02S02F32="AC with Natural Gas Heat",M02S02F32="Natural Gas Heat Only"),(((O66*M66-AB66*Z66)/1000)*Q66*-INDEX(LightingWHF[Waste Heat Gas Heating IFTherms],MATCH(M02S02F26,LightingWHF[Building/Space Type],0))),0))))</f>
        <v/>
      </c>
      <c r="BC66" s="1103" t="str">
        <f>IFERROR(AH66/M02S02F35/BA66,"")</f>
        <v/>
      </c>
      <c r="BD66" s="1064" t="str">
        <f>IF(OR(C66="",F66="",J66="",M66="",O66="",Q66="",S66="",W66="",Z66="",AB66="",AD66="",AF66=""),"",IF(M02S02F46="Gas Only",0,IF(OR(ISNUMBER(SEARCH("Exterior",S66)),ISNUMBER(SEARCH("Exterior",C66)),ISNUMBER(SEARCH("Exterior",F66))),0,IF(M02S02F32="Heat Pump",(((O66*M66-AB66*Z66)/1000)*Q66*-INDEX(LightingWHF[Waste Heat Electric Heat Pump Heating IFkWh],MATCH(M02S02F26,LightingWHF[Building/Space Type],0))),
IF(OR(M02S02F32="AC with Electric Heat",M02S02F32="Electric Heat Only"),(((O66*M66-AB66*Z66)/1000)*Q66*-INDEX(LightingWHF[Waste Heat Electric Resistance Heating IFkWh],MATCH(M02S02F26,LightingWHF[Building/Space Type],0))),0
)))))</f>
        <v/>
      </c>
      <c r="BE66" s="1064" t="str">
        <f>IF(OR(C66="",F66="",J66="",M66="",O66="",Q66="",S66="",W66="",Z66="",AB66="",AD66="",AF66=""),"",IF(M02S02F46="Gas Only",0,IF(OR(ISNUMBER(SEARCH("Exterior",S66)),ISNUMBER(SEARCH("Exterior",C66)),ISNUMBER(SEARCH("Exterior",F66))),1,IF(OR(M02S02F32="Heat Pump",M02S02F32="AC with Natural Gas Heat",M02S02F32="AC with Electric Heat"),(INDEX(LightingWHF[Waste Heat Cooling Energy WHFe],MATCH(M02S02F26,LightingWHF[Building/Space Type],0))),1))))</f>
        <v/>
      </c>
      <c r="BF66" s="1103" t="str">
        <f>IFERROR(IF((M66*O66)&lt;=(Z66*AB66),MEASURESAVE,IF(M02S02F35="",MEASURERATE,IF(AH66/M02S02F35/BA66&lt;1,MEASUREPAY,IF(AV66&lt;1,MEASURECB,IF(OR(ISBLANK(M02S02F26),ISBLANK(M02S02F32),ISBLANK(M02S02F46)),MEASUREBLDG,""))))),MEASURESUBMIT)</f>
        <v>Submit for Review</v>
      </c>
      <c r="BG66"/>
      <c r="BH66" s="1001" t="str">
        <f ca="1">IF(OR(C66="",F66="",J66="",M66="",O66="",Q66="",S66="",W66="",Z66="",AB66="",AD66="",AF66=""),"",IF('M01-S01'!$V$82&lt;TODAY(),0,IF(M02S02F46="Gas Only",0,IF(OR(AK66="",AK66&lt;0,AH66&lt;=AN66),0,MIN(AH66-AN66,ROUND(IF(OR(ISNUMBER(SEARCH("T12",F66)),ISNUMBER(SEARCH("T8",F66)),ISNUMBER(SEARCH("T5",F66)),ISNUMBER(SEARCH("MH",F66)),ISNUMBER(SEARCH("HPS",F66)),ISNUMBER(SEARCH("MV",F66))),AN66*0.2),2))))))</f>
        <v/>
      </c>
      <c r="BI66"/>
    </row>
    <row r="67" spans="2:61" ht="15.95" hidden="1" customHeight="1">
      <c r="B67" s="834"/>
      <c r="C67" s="1094"/>
      <c r="D67" s="1094"/>
      <c r="E67" s="1094"/>
      <c r="F67" s="840"/>
      <c r="G67" s="841"/>
      <c r="H67" s="841"/>
      <c r="I67" s="842"/>
      <c r="J67" s="1094"/>
      <c r="K67" s="1094"/>
      <c r="L67" s="1094"/>
      <c r="M67" s="1084"/>
      <c r="N67" s="1084"/>
      <c r="O67" s="1087"/>
      <c r="P67" s="1088"/>
      <c r="Q67" s="1091"/>
      <c r="R67" s="1092"/>
      <c r="S67" s="856"/>
      <c r="T67" s="841"/>
      <c r="U67" s="841"/>
      <c r="V67" s="842"/>
      <c r="W67" s="1094"/>
      <c r="X67" s="1094"/>
      <c r="Y67" s="1094"/>
      <c r="Z67" s="1084"/>
      <c r="AA67" s="1084"/>
      <c r="AB67" s="1096"/>
      <c r="AC67" s="1096"/>
      <c r="AD67" s="1098"/>
      <c r="AE67" s="1098"/>
      <c r="AF67" s="1098"/>
      <c r="AG67" s="1100"/>
      <c r="AH67" s="870"/>
      <c r="AI67" s="1102"/>
      <c r="AJ67" s="1102"/>
      <c r="AK67" s="912"/>
      <c r="AL67" s="913"/>
      <c r="AM67" s="942"/>
      <c r="AN67" s="1106"/>
      <c r="AO67" s="1106"/>
      <c r="AP67" s="1106"/>
      <c r="AQ67" s="1106"/>
      <c r="AU67" s="1108"/>
      <c r="AV67" s="1108"/>
      <c r="AW67" s="907"/>
      <c r="AX67" s="817"/>
      <c r="AY67" s="817"/>
      <c r="AZ67" s="879"/>
      <c r="BA67" s="817"/>
      <c r="BB67" s="1002"/>
      <c r="BC67" s="1104"/>
      <c r="BD67" s="1002"/>
      <c r="BE67" s="1002"/>
      <c r="BF67" s="1104"/>
      <c r="BG67"/>
      <c r="BH67" s="1002"/>
      <c r="BI67"/>
    </row>
    <row r="68" spans="2:61" ht="15.95" hidden="1" customHeight="1">
      <c r="B68" s="834">
        <v>27</v>
      </c>
      <c r="C68" s="1093"/>
      <c r="D68" s="1093"/>
      <c r="E68" s="1093"/>
      <c r="F68" s="871"/>
      <c r="G68" s="872"/>
      <c r="H68" s="872"/>
      <c r="I68" s="873"/>
      <c r="J68" s="1093"/>
      <c r="K68" s="1093"/>
      <c r="L68" s="1093"/>
      <c r="M68" s="1083"/>
      <c r="N68" s="1083"/>
      <c r="O68" s="1085" t="str">
        <f>IFERROR(IF(F68="","",INDEX(CMLIGHTBASE[Base Watt 1],MATCH(F68,CMLIGHTBASE[Base Desc 1],0))),"")</f>
        <v/>
      </c>
      <c r="P68" s="1086"/>
      <c r="Q68" s="1089"/>
      <c r="R68" s="1090"/>
      <c r="S68" s="890"/>
      <c r="T68" s="872"/>
      <c r="U68" s="872"/>
      <c r="V68" s="873"/>
      <c r="W68" s="1093"/>
      <c r="X68" s="1093"/>
      <c r="Y68" s="1093"/>
      <c r="Z68" s="1083"/>
      <c r="AA68" s="1083"/>
      <c r="AB68" s="1095"/>
      <c r="AC68" s="1095"/>
      <c r="AD68" s="1097"/>
      <c r="AE68" s="1097"/>
      <c r="AF68" s="1097"/>
      <c r="AG68" s="1099"/>
      <c r="AH68" s="924" t="str">
        <f t="shared" ref="AH68" si="125">IFERROR(IF(OR(C68="",J68="",M68="",O68="",Q68="",W68="",Z68="",AB68="",AD68="",AF68=""),"",ROUND((AD68+AF68)*Z68,2)),"")</f>
        <v/>
      </c>
      <c r="AI68" s="1101"/>
      <c r="AJ68" s="1101"/>
      <c r="AK68" s="910" t="str">
        <f t="shared" ref="AK68" si="126">IFERROR(IF(OR(C68="",F68="",J68="",M68="",O68="",Q68="",S68="",W68="",Z68="",AB68="",AD68="",AF68=""),"",ROUND(IF((M68*O68)&lt;=(Z68*AB68),"0",(AX68-AY68+BD68)*BE68),2)),"")</f>
        <v/>
      </c>
      <c r="AL68" s="911"/>
      <c r="AM68" s="975"/>
      <c r="AN68" s="1105" t="str">
        <f>IFERROR(IF(OR(C68="",F68="",J68="",M68="",O68="",Q68="",S68="",W68="",Z68="",AB68="",AD68="",AF68=""),"",IF(OR(ISNUMBER(SEARCH("~~",F68)),ISNUMBER(SEARCH("~~",S68))),"Invalid Fixture Type Selected",IF(BF68&lt;&gt;"",BF68,ROUND(MIN(AH68*0.75,AK68*INDEX(INCRATE[Electric],MATCH("CMLIGHT",INCRATE[Incentive Type]))),2)))),"")</f>
        <v/>
      </c>
      <c r="AO68" s="1105"/>
      <c r="AP68" s="1105"/>
      <c r="AQ68" s="1105"/>
      <c r="AU68" s="1109" t="str">
        <f>IF(F68="","",INDEX(CUSTLIGHTUNIT,MATCH(F68,CMELIGHTBASE1,0)))</f>
        <v/>
      </c>
      <c r="AV68" s="1107" t="str">
        <f>IFERROR(IF(OR(C68="",F68="",J68="",M68="",O68="",Q68="",S68="",W68="",Z68="",AB68="",AD68="",AF68=""),"",((((1+ELOSS)*((AK68*INDEX(ELECCB[NPV AEC $/kWh],MATCH(15,ELECCB[Year Number],0)))+(AW68*INDEX(ELECCB[NPV ACC+T&amp;D $/kW],MATCH(15,ELECCB[Year Number],0)))))+((1+GLOSS)*((BB68*INDEX(GASCB[NPV GAEC $/therm],MATCH(15,GASCB[Year Number],1))))))/AH68)),"")</f>
        <v/>
      </c>
      <c r="AW68" s="906" t="str">
        <f>IFERROR(IF(OR(C68="",F68="",J68="",M68="",O68="",Q68="",S68="",W68="",Z68="",AB68="",AD68="",AF68=""),"",IF(OR(ISNUMBER(SEARCH("Exterior",C68)),((M68*O68)&lt;=(Z68*AB68)),ISNUMBER(SEARCH("Exterior",S68)),ISNUMBER(SEARCH("Exterior",F68))),0,ROUND((((M68*O68)-(Z68*AB68))/1000)*INDEX(LightingWHF[Coincidence Factor CF],MATCH(M02S02F26,LightingWHF[Building/Space Type],0))*IF(OR(M02S02F32="AC with Natural Gas Heat",M02S02F32="AC with Electric Heat",M02S02F32="Heat Pump"),INDEX(LightingWHF[Waste Heat Cooling Demand WHFd],MATCH(M02S02F26,LightingWHF[Building/Space Type],0)),1),3))),"")</f>
        <v/>
      </c>
      <c r="AX68" s="816" t="str">
        <f t="shared" ref="AX68" si="127">IF(OR(C68="",F68="",J68="",M68="",O68="",Q68="",S68="",W68="",Z68="",AB68="",AD68="",AF68=""),"",ROUND(M68*O68*Q68/1000,2))</f>
        <v/>
      </c>
      <c r="AY68" s="816" t="str">
        <f t="shared" ref="AY68" si="128">IF(OR(C68="",F68="",J68="",M68="",O68="",Q68="",S68="",W68="",Z68="",AB68="",AD68="",AF68=""),"",ROUND(Z68*AB68*Q68/1000,2))</f>
        <v/>
      </c>
      <c r="AZ68" s="878" t="str">
        <f>IF(OR(C68="",F68="",J68="",M68="",O68="",Q68="",S68="",W68="",Z68="",AB68="",AD68="",AF68=""),"",IF(ISNUMBER(AN68),(CONCATENATE(INDEX(CMLIGHTBASE[Measure Number],MATCH(F68,CMLIGHTBASE[Base Desc 1],0)),INDEX(CMLIGHTEFF[Measure Number],MATCH(S68,CMLIGHTEFF[Eff Desc 1],0)))),IF(AK68=0,"","000001")))</f>
        <v/>
      </c>
      <c r="BA68" s="816" t="str">
        <f t="shared" ref="BA68" si="129">IF(OR(C68="",F68="",J68="",M68="",O68="",Q68="",S68="",W68="",Z68="",AB68="",AD68="",AF68=""),"",IF((M68*O68)&lt;=(Z68*AB68),"0",AX68-AY68))</f>
        <v/>
      </c>
      <c r="BB68" s="1064" t="str">
        <f>IF(OR(C68="",F68="",J68="",M68="",O68="",Q68="",S68="",W68="",Z68="",AB68="",AD68="",AF68=""),"",IF(M02S02F46="Electric Only",0,IF(OR(ISNUMBER(SEARCH("Exterior",S68)),ISNUMBER(SEARCH("Exterior",C68)),ISNUMBER(SEARCH("Exterior",F68))),0,IF(OR(M02S02F32="AC with Natural Gas Heat",M02S02F32="Natural Gas Heat Only"),(((O68*M68-AB68*Z68)/1000)*Q68*-INDEX(LightingWHF[Waste Heat Gas Heating IFTherms],MATCH(M02S02F26,LightingWHF[Building/Space Type],0))),0))))</f>
        <v/>
      </c>
      <c r="BC68" s="1103" t="str">
        <f>IFERROR(AH68/M02S02F35/BA68,"")</f>
        <v/>
      </c>
      <c r="BD68" s="1064" t="str">
        <f>IF(OR(C68="",F68="",J68="",M68="",O68="",Q68="",S68="",W68="",Z68="",AB68="",AD68="",AF68=""),"",IF(M02S02F46="Gas Only",0,IF(OR(ISNUMBER(SEARCH("Exterior",S68)),ISNUMBER(SEARCH("Exterior",C68)),ISNUMBER(SEARCH("Exterior",F68))),0,IF(M02S02F32="Heat Pump",(((O68*M68-AB68*Z68)/1000)*Q68*-INDEX(LightingWHF[Waste Heat Electric Heat Pump Heating IFkWh],MATCH(M02S02F26,LightingWHF[Building/Space Type],0))),
IF(OR(M02S02F32="AC with Electric Heat",M02S02F32="Electric Heat Only"),(((O68*M68-AB68*Z68)/1000)*Q68*-INDEX(LightingWHF[Waste Heat Electric Resistance Heating IFkWh],MATCH(M02S02F26,LightingWHF[Building/Space Type],0))),0
)))))</f>
        <v/>
      </c>
      <c r="BE68" s="1064" t="str">
        <f>IF(OR(C68="",F68="",J68="",M68="",O68="",Q68="",S68="",W68="",Z68="",AB68="",AD68="",AF68=""),"",IF(M02S02F46="Gas Only",0,IF(OR(ISNUMBER(SEARCH("Exterior",S68)),ISNUMBER(SEARCH("Exterior",C68)),ISNUMBER(SEARCH("Exterior",F68))),1,IF(OR(M02S02F32="Heat Pump",M02S02F32="AC with Natural Gas Heat",M02S02F32="AC with Electric Heat"),(INDEX(LightingWHF[Waste Heat Cooling Energy WHFe],MATCH(M02S02F26,LightingWHF[Building/Space Type],0))),1))))</f>
        <v/>
      </c>
      <c r="BF68" s="1103" t="str">
        <f>IFERROR(IF((M68*O68)&lt;=(Z68*AB68),MEASURESAVE,IF(M02S02F35="",MEASURERATE,IF(AH68/M02S02F35/BA68&lt;1,MEASUREPAY,IF(AV68&lt;1,MEASURECB,IF(OR(ISBLANK(M02S02F26),ISBLANK(M02S02F32),ISBLANK(M02S02F46)),MEASUREBLDG,""))))),MEASURESUBMIT)</f>
        <v>Submit for Review</v>
      </c>
      <c r="BG68"/>
      <c r="BH68" s="1001" t="str">
        <f ca="1">IF(OR(C68="",F68="",J68="",M68="",O68="",Q68="",S68="",W68="",Z68="",AB68="",AD68="",AF68=""),"",IF('M01-S01'!$V$82&lt;TODAY(),0,IF(M02S02F46="Gas Only",0,IF(OR(AK68="",AK68&lt;0,AH68&lt;=AN68),0,MIN(AH68-AN68,ROUND(IF(OR(ISNUMBER(SEARCH("T12",F68)),ISNUMBER(SEARCH("T8",F68)),ISNUMBER(SEARCH("T5",F68)),ISNUMBER(SEARCH("MH",F68)),ISNUMBER(SEARCH("HPS",F68)),ISNUMBER(SEARCH("MV",F68))),AN68*0.2),2))))))</f>
        <v/>
      </c>
      <c r="BI68"/>
    </row>
    <row r="69" spans="2:61" ht="15.95" hidden="1" customHeight="1">
      <c r="B69" s="834"/>
      <c r="C69" s="1094"/>
      <c r="D69" s="1094"/>
      <c r="E69" s="1094"/>
      <c r="F69" s="840"/>
      <c r="G69" s="841"/>
      <c r="H69" s="841"/>
      <c r="I69" s="842"/>
      <c r="J69" s="1094"/>
      <c r="K69" s="1094"/>
      <c r="L69" s="1094"/>
      <c r="M69" s="1084"/>
      <c r="N69" s="1084"/>
      <c r="O69" s="1087"/>
      <c r="P69" s="1088"/>
      <c r="Q69" s="1091"/>
      <c r="R69" s="1092"/>
      <c r="S69" s="856"/>
      <c r="T69" s="841"/>
      <c r="U69" s="841"/>
      <c r="V69" s="842"/>
      <c r="W69" s="1094"/>
      <c r="X69" s="1094"/>
      <c r="Y69" s="1094"/>
      <c r="Z69" s="1084"/>
      <c r="AA69" s="1084"/>
      <c r="AB69" s="1096"/>
      <c r="AC69" s="1096"/>
      <c r="AD69" s="1098"/>
      <c r="AE69" s="1098"/>
      <c r="AF69" s="1098"/>
      <c r="AG69" s="1100"/>
      <c r="AH69" s="870"/>
      <c r="AI69" s="1102"/>
      <c r="AJ69" s="1102"/>
      <c r="AK69" s="912"/>
      <c r="AL69" s="913"/>
      <c r="AM69" s="942"/>
      <c r="AN69" s="1106"/>
      <c r="AO69" s="1106"/>
      <c r="AP69" s="1106"/>
      <c r="AQ69" s="1106"/>
      <c r="AU69" s="1108"/>
      <c r="AV69" s="1108"/>
      <c r="AW69" s="907"/>
      <c r="AX69" s="817"/>
      <c r="AY69" s="817"/>
      <c r="AZ69" s="879"/>
      <c r="BA69" s="817"/>
      <c r="BB69" s="1002"/>
      <c r="BC69" s="1104"/>
      <c r="BD69" s="1002"/>
      <c r="BE69" s="1002"/>
      <c r="BF69" s="1104"/>
      <c r="BG69"/>
      <c r="BH69" s="1002"/>
      <c r="BI69"/>
    </row>
    <row r="70" spans="2:61" ht="15.95" hidden="1" customHeight="1">
      <c r="B70" s="834">
        <v>28</v>
      </c>
      <c r="C70" s="1093"/>
      <c r="D70" s="1093"/>
      <c r="E70" s="1093"/>
      <c r="F70" s="871"/>
      <c r="G70" s="872"/>
      <c r="H70" s="872"/>
      <c r="I70" s="873"/>
      <c r="J70" s="1093"/>
      <c r="K70" s="1093"/>
      <c r="L70" s="1093"/>
      <c r="M70" s="1083"/>
      <c r="N70" s="1083"/>
      <c r="O70" s="1085" t="str">
        <f>IFERROR(IF(F70="","",INDEX(CMLIGHTBASE[Base Watt 1],MATCH(F70,CMLIGHTBASE[Base Desc 1],0))),"")</f>
        <v/>
      </c>
      <c r="P70" s="1086"/>
      <c r="Q70" s="1089"/>
      <c r="R70" s="1090"/>
      <c r="S70" s="890"/>
      <c r="T70" s="872"/>
      <c r="U70" s="872"/>
      <c r="V70" s="873"/>
      <c r="W70" s="1093"/>
      <c r="X70" s="1093"/>
      <c r="Y70" s="1093"/>
      <c r="Z70" s="1083"/>
      <c r="AA70" s="1083"/>
      <c r="AB70" s="1095"/>
      <c r="AC70" s="1095"/>
      <c r="AD70" s="1097"/>
      <c r="AE70" s="1097"/>
      <c r="AF70" s="1097"/>
      <c r="AG70" s="1099"/>
      <c r="AH70" s="924" t="str">
        <f t="shared" ref="AH70" si="130">IFERROR(IF(OR(C70="",J70="",M70="",O70="",Q70="",W70="",Z70="",AB70="",AD70="",AF70=""),"",ROUND((AD70+AF70)*Z70,2)),"")</f>
        <v/>
      </c>
      <c r="AI70" s="1101"/>
      <c r="AJ70" s="1101"/>
      <c r="AK70" s="910" t="str">
        <f t="shared" ref="AK70" si="131">IFERROR(IF(OR(C70="",F70="",J70="",M70="",O70="",Q70="",S70="",W70="",Z70="",AB70="",AD70="",AF70=""),"",ROUND(IF((M70*O70)&lt;=(Z70*AB70),"0",(AX70-AY70+BD70)*BE70),2)),"")</f>
        <v/>
      </c>
      <c r="AL70" s="911"/>
      <c r="AM70" s="975"/>
      <c r="AN70" s="1105" t="str">
        <f>IFERROR(IF(OR(C70="",F70="",J70="",M70="",O70="",Q70="",S70="",W70="",Z70="",AB70="",AD70="",AF70=""),"",IF(OR(ISNUMBER(SEARCH("~~",F70)),ISNUMBER(SEARCH("~~",S70))),"Invalid Fixture Type Selected",IF(BF70&lt;&gt;"",BF70,ROUND(MIN(AH70*0.75,AK70*INDEX(INCRATE[Electric],MATCH("CMLIGHT",INCRATE[Incentive Type]))),2)))),"")</f>
        <v/>
      </c>
      <c r="AO70" s="1105"/>
      <c r="AP70" s="1105"/>
      <c r="AQ70" s="1105"/>
      <c r="AU70" s="1109" t="str">
        <f>IF(F70="","",INDEX(CUSTLIGHTUNIT,MATCH(F70,CMELIGHTBASE1,0)))</f>
        <v/>
      </c>
      <c r="AV70" s="1107" t="str">
        <f>IFERROR(IF(OR(C70="",F70="",J70="",M70="",O70="",Q70="",S70="",W70="",Z70="",AB70="",AD70="",AF70=""),"",((((1+ELOSS)*((AK70*INDEX(ELECCB[NPV AEC $/kWh],MATCH(15,ELECCB[Year Number],0)))+(AW70*INDEX(ELECCB[NPV ACC+T&amp;D $/kW],MATCH(15,ELECCB[Year Number],0)))))+((1+GLOSS)*((BB70*INDEX(GASCB[NPV GAEC $/therm],MATCH(15,GASCB[Year Number],1))))))/AH70)),"")</f>
        <v/>
      </c>
      <c r="AW70" s="906" t="str">
        <f>IFERROR(IF(OR(C70="",F70="",J70="",M70="",O70="",Q70="",S70="",W70="",Z70="",AB70="",AD70="",AF70=""),"",IF(OR(ISNUMBER(SEARCH("Exterior",C70)),((M70*O70)&lt;=(Z70*AB70)),ISNUMBER(SEARCH("Exterior",S70)),ISNUMBER(SEARCH("Exterior",F70))),0,ROUND((((M70*O70)-(Z70*AB70))/1000)*INDEX(LightingWHF[Coincidence Factor CF],MATCH(M02S02F26,LightingWHF[Building/Space Type],0))*IF(OR(M02S02F32="AC with Natural Gas Heat",M02S02F32="AC with Electric Heat",M02S02F32="Heat Pump"),INDEX(LightingWHF[Waste Heat Cooling Demand WHFd],MATCH(M02S02F26,LightingWHF[Building/Space Type],0)),1),3))),"")</f>
        <v/>
      </c>
      <c r="AX70" s="816" t="str">
        <f t="shared" ref="AX70" si="132">IF(OR(C70="",F70="",J70="",M70="",O70="",Q70="",S70="",W70="",Z70="",AB70="",AD70="",AF70=""),"",ROUND(M70*O70*Q70/1000,2))</f>
        <v/>
      </c>
      <c r="AY70" s="816" t="str">
        <f t="shared" ref="AY70" si="133">IF(OR(C70="",F70="",J70="",M70="",O70="",Q70="",S70="",W70="",Z70="",AB70="",AD70="",AF70=""),"",ROUND(Z70*AB70*Q70/1000,2))</f>
        <v/>
      </c>
      <c r="AZ70" s="878" t="str">
        <f>IF(OR(C70="",F70="",J70="",M70="",O70="",Q70="",S70="",W70="",Z70="",AB70="",AD70="",AF70=""),"",IF(ISNUMBER(AN70),(CONCATENATE(INDEX(CMLIGHTBASE[Measure Number],MATCH(F70,CMLIGHTBASE[Base Desc 1],0)),INDEX(CMLIGHTEFF[Measure Number],MATCH(S70,CMLIGHTEFF[Eff Desc 1],0)))),IF(AK70=0,"","000001")))</f>
        <v/>
      </c>
      <c r="BA70" s="816" t="str">
        <f t="shared" ref="BA70" si="134">IF(OR(C70="",F70="",J70="",M70="",O70="",Q70="",S70="",W70="",Z70="",AB70="",AD70="",AF70=""),"",IF((M70*O70)&lt;=(Z70*AB70),"0",AX70-AY70))</f>
        <v/>
      </c>
      <c r="BB70" s="1064" t="str">
        <f>IF(OR(C70="",F70="",J70="",M70="",O70="",Q70="",S70="",W70="",Z70="",AB70="",AD70="",AF70=""),"",IF(M02S02F46="Electric Only",0,IF(OR(ISNUMBER(SEARCH("Exterior",S70)),ISNUMBER(SEARCH("Exterior",C70)),ISNUMBER(SEARCH("Exterior",F70))),0,IF(OR(M02S02F32="AC with Natural Gas Heat",M02S02F32="Natural Gas Heat Only"),(((O70*M70-AB70*Z70)/1000)*Q70*-INDEX(LightingWHF[Waste Heat Gas Heating IFTherms],MATCH(M02S02F26,LightingWHF[Building/Space Type],0))),0))))</f>
        <v/>
      </c>
      <c r="BC70" s="1103" t="str">
        <f>IFERROR(AH70/M02S02F35/BA70,"")</f>
        <v/>
      </c>
      <c r="BD70" s="1064" t="str">
        <f>IF(OR(C70="",F70="",J70="",M70="",O70="",Q70="",S70="",W70="",Z70="",AB70="",AD70="",AF70=""),"",IF(M02S02F46="Gas Only",0,IF(OR(ISNUMBER(SEARCH("Exterior",S70)),ISNUMBER(SEARCH("Exterior",C70)),ISNUMBER(SEARCH("Exterior",F70))),0,IF(M02S02F32="Heat Pump",(((O70*M70-AB70*Z70)/1000)*Q70*-INDEX(LightingWHF[Waste Heat Electric Heat Pump Heating IFkWh],MATCH(M02S02F26,LightingWHF[Building/Space Type],0))),
IF(OR(M02S02F32="AC with Electric Heat",M02S02F32="Electric Heat Only"),(((O70*M70-AB70*Z70)/1000)*Q70*-INDEX(LightingWHF[Waste Heat Electric Resistance Heating IFkWh],MATCH(M02S02F26,LightingWHF[Building/Space Type],0))),0
)))))</f>
        <v/>
      </c>
      <c r="BE70" s="1064" t="str">
        <f>IF(OR(C70="",F70="",J70="",M70="",O70="",Q70="",S70="",W70="",Z70="",AB70="",AD70="",AF70=""),"",IF(M02S02F46="Gas Only",0,IF(OR(ISNUMBER(SEARCH("Exterior",S70)),ISNUMBER(SEARCH("Exterior",C70)),ISNUMBER(SEARCH("Exterior",F70))),1,IF(OR(M02S02F32="Heat Pump",M02S02F32="AC with Natural Gas Heat",M02S02F32="AC with Electric Heat"),(INDEX(LightingWHF[Waste Heat Cooling Energy WHFe],MATCH(M02S02F26,LightingWHF[Building/Space Type],0))),1))))</f>
        <v/>
      </c>
      <c r="BF70" s="1103" t="str">
        <f>IFERROR(IF((M70*O70)&lt;=(Z70*AB70),MEASURESAVE,IF(M02S02F35="",MEASURERATE,IF(AH70/M02S02F35/BA70&lt;1,MEASUREPAY,IF(AV70&lt;1,MEASURECB,IF(OR(ISBLANK(M02S02F26),ISBLANK(M02S02F32),ISBLANK(M02S02F46)),MEASUREBLDG,""))))),MEASURESUBMIT)</f>
        <v>Submit for Review</v>
      </c>
      <c r="BG70"/>
      <c r="BH70" s="1001" t="str">
        <f ca="1">IF(OR(C70="",F70="",J70="",M70="",O70="",Q70="",S70="",W70="",Z70="",AB70="",AD70="",AF70=""),"",IF('M01-S01'!$V$82&lt;TODAY(),0,IF(M02S02F46="Gas Only",0,IF(OR(AK70="",AK70&lt;0,AH70&lt;=AN70),0,MIN(AH70-AN70,ROUND(IF(OR(ISNUMBER(SEARCH("T12",F70)),ISNUMBER(SEARCH("T8",F70)),ISNUMBER(SEARCH("T5",F70)),ISNUMBER(SEARCH("MH",F70)),ISNUMBER(SEARCH("HPS",F70)),ISNUMBER(SEARCH("MV",F70))),AN70*0.2),2))))))</f>
        <v/>
      </c>
      <c r="BI70"/>
    </row>
    <row r="71" spans="2:61" ht="15.95" hidden="1" customHeight="1">
      <c r="B71" s="834"/>
      <c r="C71" s="1094"/>
      <c r="D71" s="1094"/>
      <c r="E71" s="1094"/>
      <c r="F71" s="840"/>
      <c r="G71" s="841"/>
      <c r="H71" s="841"/>
      <c r="I71" s="842"/>
      <c r="J71" s="1094"/>
      <c r="K71" s="1094"/>
      <c r="L71" s="1094"/>
      <c r="M71" s="1084"/>
      <c r="N71" s="1084"/>
      <c r="O71" s="1087"/>
      <c r="P71" s="1088"/>
      <c r="Q71" s="1091"/>
      <c r="R71" s="1092"/>
      <c r="S71" s="856"/>
      <c r="T71" s="841"/>
      <c r="U71" s="841"/>
      <c r="V71" s="842"/>
      <c r="W71" s="1094"/>
      <c r="X71" s="1094"/>
      <c r="Y71" s="1094"/>
      <c r="Z71" s="1084"/>
      <c r="AA71" s="1084"/>
      <c r="AB71" s="1096"/>
      <c r="AC71" s="1096"/>
      <c r="AD71" s="1098"/>
      <c r="AE71" s="1098"/>
      <c r="AF71" s="1098"/>
      <c r="AG71" s="1100"/>
      <c r="AH71" s="870"/>
      <c r="AI71" s="1102"/>
      <c r="AJ71" s="1102"/>
      <c r="AK71" s="912"/>
      <c r="AL71" s="913"/>
      <c r="AM71" s="942"/>
      <c r="AN71" s="1106"/>
      <c r="AO71" s="1106"/>
      <c r="AP71" s="1106"/>
      <c r="AQ71" s="1106"/>
      <c r="AU71" s="1108"/>
      <c r="AV71" s="1108"/>
      <c r="AW71" s="907"/>
      <c r="AX71" s="817"/>
      <c r="AY71" s="817"/>
      <c r="AZ71" s="879"/>
      <c r="BA71" s="817"/>
      <c r="BB71" s="1002"/>
      <c r="BC71" s="1104"/>
      <c r="BD71" s="1002"/>
      <c r="BE71" s="1002"/>
      <c r="BF71" s="1104"/>
      <c r="BG71"/>
      <c r="BH71" s="1002"/>
      <c r="BI71"/>
    </row>
    <row r="72" spans="2:61" ht="15.95" hidden="1" customHeight="1">
      <c r="B72" s="834">
        <v>29</v>
      </c>
      <c r="C72" s="1093"/>
      <c r="D72" s="1093"/>
      <c r="E72" s="1093"/>
      <c r="F72" s="871"/>
      <c r="G72" s="872"/>
      <c r="H72" s="872"/>
      <c r="I72" s="873"/>
      <c r="J72" s="1093"/>
      <c r="K72" s="1093"/>
      <c r="L72" s="1093"/>
      <c r="M72" s="1083"/>
      <c r="N72" s="1083"/>
      <c r="O72" s="1085" t="str">
        <f>IFERROR(IF(F72="","",INDEX(CMLIGHTBASE[Base Watt 1],MATCH(F72,CMLIGHTBASE[Base Desc 1],0))),"")</f>
        <v/>
      </c>
      <c r="P72" s="1086"/>
      <c r="Q72" s="1089"/>
      <c r="R72" s="1090"/>
      <c r="S72" s="890"/>
      <c r="T72" s="872"/>
      <c r="U72" s="872"/>
      <c r="V72" s="873"/>
      <c r="W72" s="1093"/>
      <c r="X72" s="1093"/>
      <c r="Y72" s="1093"/>
      <c r="Z72" s="1083"/>
      <c r="AA72" s="1083"/>
      <c r="AB72" s="1095"/>
      <c r="AC72" s="1095"/>
      <c r="AD72" s="1097"/>
      <c r="AE72" s="1097"/>
      <c r="AF72" s="1097"/>
      <c r="AG72" s="1099"/>
      <c r="AH72" s="924" t="str">
        <f t="shared" ref="AH72" si="135">IFERROR(IF(OR(C72="",J72="",M72="",O72="",Q72="",W72="",Z72="",AB72="",AD72="",AF72=""),"",ROUND((AD72+AF72)*Z72,2)),"")</f>
        <v/>
      </c>
      <c r="AI72" s="1101"/>
      <c r="AJ72" s="1101"/>
      <c r="AK72" s="910" t="str">
        <f t="shared" ref="AK72" si="136">IFERROR(IF(OR(C72="",F72="",J72="",M72="",O72="",Q72="",S72="",W72="",Z72="",AB72="",AD72="",AF72=""),"",ROUND(IF((M72*O72)&lt;=(Z72*AB72),"0",(AX72-AY72+BD72)*BE72),2)),"")</f>
        <v/>
      </c>
      <c r="AL72" s="911"/>
      <c r="AM72" s="975"/>
      <c r="AN72" s="1105" t="str">
        <f>IFERROR(IF(OR(C72="",F72="",J72="",M72="",O72="",Q72="",S72="",W72="",Z72="",AB72="",AD72="",AF72=""),"",IF(OR(ISNUMBER(SEARCH("~~",F72)),ISNUMBER(SEARCH("~~",S72))),"Invalid Fixture Type Selected",IF(BF72&lt;&gt;"",BF72,ROUND(MIN(AH72*0.75,AK72*INDEX(INCRATE[Electric],MATCH("CMLIGHT",INCRATE[Incentive Type]))),2)))),"")</f>
        <v/>
      </c>
      <c r="AO72" s="1105"/>
      <c r="AP72" s="1105"/>
      <c r="AQ72" s="1105"/>
      <c r="AU72" s="1109" t="str">
        <f>IF(F72="","",INDEX(CUSTLIGHTUNIT,MATCH(F72,CMELIGHTBASE1,0)))</f>
        <v/>
      </c>
      <c r="AV72" s="1107" t="str">
        <f>IFERROR(IF(OR(C72="",F72="",J72="",M72="",O72="",Q72="",S72="",W72="",Z72="",AB72="",AD72="",AF72=""),"",((((1+ELOSS)*((AK72*INDEX(ELECCB[NPV AEC $/kWh],MATCH(15,ELECCB[Year Number],0)))+(AW72*INDEX(ELECCB[NPV ACC+T&amp;D $/kW],MATCH(15,ELECCB[Year Number],0)))))+((1+GLOSS)*((BB72*INDEX(GASCB[NPV GAEC $/therm],MATCH(15,GASCB[Year Number],1))))))/AH72)),"")</f>
        <v/>
      </c>
      <c r="AW72" s="906" t="str">
        <f>IFERROR(IF(OR(C72="",F72="",J72="",M72="",O72="",Q72="",S72="",W72="",Z72="",AB72="",AD72="",AF72=""),"",IF(OR(ISNUMBER(SEARCH("Exterior",C72)),((M72*O72)&lt;=(Z72*AB72)),ISNUMBER(SEARCH("Exterior",S72)),ISNUMBER(SEARCH("Exterior",F72))),0,ROUND((((M72*O72)-(Z72*AB72))/1000)*INDEX(LightingWHF[Coincidence Factor CF],MATCH(M02S02F26,LightingWHF[Building/Space Type],0))*IF(OR(M02S02F32="AC with Natural Gas Heat",M02S02F32="AC with Electric Heat",M02S02F32="Heat Pump"),INDEX(LightingWHF[Waste Heat Cooling Demand WHFd],MATCH(M02S02F26,LightingWHF[Building/Space Type],0)),1),3))),"")</f>
        <v/>
      </c>
      <c r="AX72" s="816" t="str">
        <f t="shared" ref="AX72" si="137">IF(OR(C72="",F72="",J72="",M72="",O72="",Q72="",S72="",W72="",Z72="",AB72="",AD72="",AF72=""),"",ROUND(M72*O72*Q72/1000,2))</f>
        <v/>
      </c>
      <c r="AY72" s="816" t="str">
        <f t="shared" ref="AY72" si="138">IF(OR(C72="",F72="",J72="",M72="",O72="",Q72="",S72="",W72="",Z72="",AB72="",AD72="",AF72=""),"",ROUND(Z72*AB72*Q72/1000,2))</f>
        <v/>
      </c>
      <c r="AZ72" s="878" t="str">
        <f>IF(OR(C72="",F72="",J72="",M72="",O72="",Q72="",S72="",W72="",Z72="",AB72="",AD72="",AF72=""),"",IF(ISNUMBER(AN72),(CONCATENATE(INDEX(CMLIGHTBASE[Measure Number],MATCH(F72,CMLIGHTBASE[Base Desc 1],0)),INDEX(CMLIGHTEFF[Measure Number],MATCH(S72,CMLIGHTEFF[Eff Desc 1],0)))),IF(AK72=0,"","000001")))</f>
        <v/>
      </c>
      <c r="BA72" s="816" t="str">
        <f t="shared" ref="BA72" si="139">IF(OR(C72="",F72="",J72="",M72="",O72="",Q72="",S72="",W72="",Z72="",AB72="",AD72="",AF72=""),"",IF((M72*O72)&lt;=(Z72*AB72),"0",AX72-AY72))</f>
        <v/>
      </c>
      <c r="BB72" s="1064" t="str">
        <f>IF(OR(C72="",F72="",J72="",M72="",O72="",Q72="",S72="",W72="",Z72="",AB72="",AD72="",AF72=""),"",IF(M02S02F46="Electric Only",0,IF(OR(ISNUMBER(SEARCH("Exterior",S72)),ISNUMBER(SEARCH("Exterior",C72)),ISNUMBER(SEARCH("Exterior",F72))),0,IF(OR(M02S02F32="AC with Natural Gas Heat",M02S02F32="Natural Gas Heat Only"),(((O72*M72-AB72*Z72)/1000)*Q72*-INDEX(LightingWHF[Waste Heat Gas Heating IFTherms],MATCH(M02S02F26,LightingWHF[Building/Space Type],0))),0))))</f>
        <v/>
      </c>
      <c r="BC72" s="1103" t="str">
        <f>IFERROR(AH72/M02S02F35/BA72,"")</f>
        <v/>
      </c>
      <c r="BD72" s="1064" t="str">
        <f>IF(OR(C72="",F72="",J72="",M72="",O72="",Q72="",S72="",W72="",Z72="",AB72="",AD72="",AF72=""),"",IF(M02S02F46="Gas Only",0,IF(OR(ISNUMBER(SEARCH("Exterior",S72)),ISNUMBER(SEARCH("Exterior",C72)),ISNUMBER(SEARCH("Exterior",F72))),0,IF(M02S02F32="Heat Pump",(((O72*M72-AB72*Z72)/1000)*Q72*-INDEX(LightingWHF[Waste Heat Electric Heat Pump Heating IFkWh],MATCH(M02S02F26,LightingWHF[Building/Space Type],0))),
IF(OR(M02S02F32="AC with Electric Heat",M02S02F32="Electric Heat Only"),(((O72*M72-AB72*Z72)/1000)*Q72*-INDEX(LightingWHF[Waste Heat Electric Resistance Heating IFkWh],MATCH(M02S02F26,LightingWHF[Building/Space Type],0))),0
)))))</f>
        <v/>
      </c>
      <c r="BE72" s="1064" t="str">
        <f>IF(OR(C72="",F72="",J72="",M72="",O72="",Q72="",S72="",W72="",Z72="",AB72="",AD72="",AF72=""),"",IF(M02S02F46="Gas Only",0,IF(OR(ISNUMBER(SEARCH("Exterior",S72)),ISNUMBER(SEARCH("Exterior",C72)),ISNUMBER(SEARCH("Exterior",F72))),1,IF(OR(M02S02F32="Heat Pump",M02S02F32="AC with Natural Gas Heat",M02S02F32="AC with Electric Heat"),(INDEX(LightingWHF[Waste Heat Cooling Energy WHFe],MATCH(M02S02F26,LightingWHF[Building/Space Type],0))),1))))</f>
        <v/>
      </c>
      <c r="BF72" s="1103" t="str">
        <f>IFERROR(IF((M72*O72)&lt;=(Z72*AB72),MEASURESAVE,IF(M02S02F35="",MEASURERATE,IF(AH72/M02S02F35/BA72&lt;1,MEASUREPAY,IF(AV72&lt;1,MEASURECB,IF(OR(ISBLANK(M02S02F26),ISBLANK(M02S02F32),ISBLANK(M02S02F46)),MEASUREBLDG,""))))),MEASURESUBMIT)</f>
        <v>Submit for Review</v>
      </c>
      <c r="BG72"/>
      <c r="BH72" s="1001" t="str">
        <f ca="1">IF(OR(C72="",F72="",J72="",M72="",O72="",Q72="",S72="",W72="",Z72="",AB72="",AD72="",AF72=""),"",IF('M01-S01'!$V$82&lt;TODAY(),0,IF(M02S02F46="Gas Only",0,IF(OR(AK72="",AK72&lt;0,AH72&lt;=AN72),0,MIN(AH72-AN72,ROUND(IF(OR(ISNUMBER(SEARCH("T12",F72)),ISNUMBER(SEARCH("T8",F72)),ISNUMBER(SEARCH("T5",F72)),ISNUMBER(SEARCH("MH",F72)),ISNUMBER(SEARCH("HPS",F72)),ISNUMBER(SEARCH("MV",F72))),AN72*0.2),2))))))</f>
        <v/>
      </c>
      <c r="BI72"/>
    </row>
    <row r="73" spans="2:61" ht="15.95" hidden="1" customHeight="1">
      <c r="B73" s="834"/>
      <c r="C73" s="1094"/>
      <c r="D73" s="1094"/>
      <c r="E73" s="1094"/>
      <c r="F73" s="840"/>
      <c r="G73" s="841"/>
      <c r="H73" s="841"/>
      <c r="I73" s="842"/>
      <c r="J73" s="1094"/>
      <c r="K73" s="1094"/>
      <c r="L73" s="1094"/>
      <c r="M73" s="1084"/>
      <c r="N73" s="1084"/>
      <c r="O73" s="1087"/>
      <c r="P73" s="1088"/>
      <c r="Q73" s="1091"/>
      <c r="R73" s="1092"/>
      <c r="S73" s="856"/>
      <c r="T73" s="841"/>
      <c r="U73" s="841"/>
      <c r="V73" s="842"/>
      <c r="W73" s="1094"/>
      <c r="X73" s="1094"/>
      <c r="Y73" s="1094"/>
      <c r="Z73" s="1084"/>
      <c r="AA73" s="1084"/>
      <c r="AB73" s="1096"/>
      <c r="AC73" s="1096"/>
      <c r="AD73" s="1098"/>
      <c r="AE73" s="1098"/>
      <c r="AF73" s="1098"/>
      <c r="AG73" s="1100"/>
      <c r="AH73" s="870"/>
      <c r="AI73" s="1102"/>
      <c r="AJ73" s="1102"/>
      <c r="AK73" s="912"/>
      <c r="AL73" s="913"/>
      <c r="AM73" s="942"/>
      <c r="AN73" s="1106"/>
      <c r="AO73" s="1106"/>
      <c r="AP73" s="1106"/>
      <c r="AQ73" s="1106"/>
      <c r="AU73" s="1108"/>
      <c r="AV73" s="1108"/>
      <c r="AW73" s="907"/>
      <c r="AX73" s="817"/>
      <c r="AY73" s="817"/>
      <c r="AZ73" s="879"/>
      <c r="BA73" s="817"/>
      <c r="BB73" s="1002"/>
      <c r="BC73" s="1104"/>
      <c r="BD73" s="1002"/>
      <c r="BE73" s="1002"/>
      <c r="BF73" s="1104"/>
      <c r="BG73"/>
      <c r="BH73" s="1002"/>
      <c r="BI73"/>
    </row>
    <row r="74" spans="2:61" ht="15.95" hidden="1" customHeight="1">
      <c r="B74" s="834">
        <v>30</v>
      </c>
      <c r="C74" s="1093"/>
      <c r="D74" s="1093"/>
      <c r="E74" s="1093"/>
      <c r="F74" s="871"/>
      <c r="G74" s="872"/>
      <c r="H74" s="872"/>
      <c r="I74" s="873"/>
      <c r="J74" s="1093"/>
      <c r="K74" s="1093"/>
      <c r="L74" s="1093"/>
      <c r="M74" s="1083"/>
      <c r="N74" s="1083"/>
      <c r="O74" s="1085" t="str">
        <f>IFERROR(IF(F74="","",INDEX(CMLIGHTBASE[Base Watt 1],MATCH(F74,CMLIGHTBASE[Base Desc 1],0))),"")</f>
        <v/>
      </c>
      <c r="P74" s="1086"/>
      <c r="Q74" s="1089"/>
      <c r="R74" s="1090"/>
      <c r="S74" s="890"/>
      <c r="T74" s="872"/>
      <c r="U74" s="872"/>
      <c r="V74" s="873"/>
      <c r="W74" s="1093"/>
      <c r="X74" s="1093"/>
      <c r="Y74" s="1093"/>
      <c r="Z74" s="1083"/>
      <c r="AA74" s="1083"/>
      <c r="AB74" s="1095"/>
      <c r="AC74" s="1095"/>
      <c r="AD74" s="1097"/>
      <c r="AE74" s="1097"/>
      <c r="AF74" s="1097"/>
      <c r="AG74" s="1099"/>
      <c r="AH74" s="924" t="str">
        <f t="shared" ref="AH74" si="140">IFERROR(IF(OR(C74="",J74="",M74="",O74="",Q74="",W74="",Z74="",AB74="",AD74="",AF74=""),"",ROUND((AD74+AF74)*Z74,2)),"")</f>
        <v/>
      </c>
      <c r="AI74" s="1101"/>
      <c r="AJ74" s="1101"/>
      <c r="AK74" s="910" t="str">
        <f t="shared" ref="AK74" si="141">IFERROR(IF(OR(C74="",F74="",J74="",M74="",O74="",Q74="",S74="",W74="",Z74="",AB74="",AD74="",AF74=""),"",ROUND(IF((M74*O74)&lt;=(Z74*AB74),"0",(AX74-AY74+BD74)*BE74),2)),"")</f>
        <v/>
      </c>
      <c r="AL74" s="911"/>
      <c r="AM74" s="975"/>
      <c r="AN74" s="1105" t="str">
        <f>IFERROR(IF(OR(C74="",F74="",J74="",M74="",O74="",Q74="",S74="",W74="",Z74="",AB74="",AD74="",AF74=""),"",IF(OR(ISNUMBER(SEARCH("~~",F74)),ISNUMBER(SEARCH("~~",S74))),"Invalid Fixture Type Selected",IF(BF74&lt;&gt;"",BF74,ROUND(MIN(AH74*0.75,AK74*INDEX(INCRATE[Electric],MATCH("CMLIGHT",INCRATE[Incentive Type]))),2)))),"")</f>
        <v/>
      </c>
      <c r="AO74" s="1105"/>
      <c r="AP74" s="1105"/>
      <c r="AQ74" s="1105"/>
      <c r="AU74" s="1109" t="str">
        <f>IF(F74="","",INDEX(CUSTLIGHTUNIT,MATCH(F74,CMELIGHTBASE1,0)))</f>
        <v/>
      </c>
      <c r="AV74" s="1107" t="str">
        <f>IFERROR(IF(OR(C74="",F74="",J74="",M74="",O74="",Q74="",S74="",W74="",Z74="",AB74="",AD74="",AF74=""),"",((((1+ELOSS)*((AK74*INDEX(ELECCB[NPV AEC $/kWh],MATCH(15,ELECCB[Year Number],0)))+(AW74*INDEX(ELECCB[NPV ACC+T&amp;D $/kW],MATCH(15,ELECCB[Year Number],0)))))+((1+GLOSS)*((BB74*INDEX(GASCB[NPV GAEC $/therm],MATCH(15,GASCB[Year Number],1))))))/AH74)),"")</f>
        <v/>
      </c>
      <c r="AW74" s="906" t="str">
        <f>IFERROR(IF(OR(C74="",F74="",J74="",M74="",O74="",Q74="",S74="",W74="",Z74="",AB74="",AD74="",AF74=""),"",IF(OR(ISNUMBER(SEARCH("Exterior",C74)),((M74*O74)&lt;=(Z74*AB74)),ISNUMBER(SEARCH("Exterior",S74)),ISNUMBER(SEARCH("Exterior",F74))),0,ROUND((((M74*O74)-(Z74*AB74))/1000)*INDEX(LightingWHF[Coincidence Factor CF],MATCH(M02S02F26,LightingWHF[Building/Space Type],0))*IF(OR(M02S02F32="AC with Natural Gas Heat",M02S02F32="AC with Electric Heat",M02S02F32="Heat Pump"),INDEX(LightingWHF[Waste Heat Cooling Demand WHFd],MATCH(M02S02F26,LightingWHF[Building/Space Type],0)),1),3))),"")</f>
        <v/>
      </c>
      <c r="AX74" s="816" t="str">
        <f t="shared" ref="AX74" si="142">IF(OR(C74="",F74="",J74="",M74="",O74="",Q74="",S74="",W74="",Z74="",AB74="",AD74="",AF74=""),"",ROUND(M74*O74*Q74/1000,2))</f>
        <v/>
      </c>
      <c r="AY74" s="816" t="str">
        <f t="shared" ref="AY74" si="143">IF(OR(C74="",F74="",J74="",M74="",O74="",Q74="",S74="",W74="",Z74="",AB74="",AD74="",AF74=""),"",ROUND(Z74*AB74*Q74/1000,2))</f>
        <v/>
      </c>
      <c r="AZ74" s="878" t="str">
        <f>IF(OR(C74="",F74="",J74="",M74="",O74="",Q74="",S74="",W74="",Z74="",AB74="",AD74="",AF74=""),"",IF(ISNUMBER(AN74),(CONCATENATE(INDEX(CMLIGHTBASE[Measure Number],MATCH(F74,CMLIGHTBASE[Base Desc 1],0)),INDEX(CMLIGHTEFF[Measure Number],MATCH(S74,CMLIGHTEFF[Eff Desc 1],0)))),IF(AK74=0,"","000001")))</f>
        <v/>
      </c>
      <c r="BA74" s="816" t="str">
        <f t="shared" ref="BA74" si="144">IF(OR(C74="",F74="",J74="",M74="",O74="",Q74="",S74="",W74="",Z74="",AB74="",AD74="",AF74=""),"",IF((M74*O74)&lt;=(Z74*AB74),"0",AX74-AY74))</f>
        <v/>
      </c>
      <c r="BB74" s="1064" t="str">
        <f>IF(OR(C74="",F74="",J74="",M74="",O74="",Q74="",S74="",W74="",Z74="",AB74="",AD74="",AF74=""),"",IF(M02S02F46="Electric Only",0,IF(OR(ISNUMBER(SEARCH("Exterior",S74)),ISNUMBER(SEARCH("Exterior",C74)),ISNUMBER(SEARCH("Exterior",F74))),0,IF(OR(M02S02F32="AC with Natural Gas Heat",M02S02F32="Natural Gas Heat Only"),(((O74*M74-AB74*Z74)/1000)*Q74*-INDEX(LightingWHF[Waste Heat Gas Heating IFTherms],MATCH(M02S02F26,LightingWHF[Building/Space Type],0))),0))))</f>
        <v/>
      </c>
      <c r="BC74" s="1103" t="str">
        <f>IFERROR(AH74/M02S02F35/BA74,"")</f>
        <v/>
      </c>
      <c r="BD74" s="1064" t="str">
        <f>IF(OR(C74="",F74="",J74="",M74="",O74="",Q74="",S74="",W74="",Z74="",AB74="",AD74="",AF74=""),"",IF(M02S02F46="Gas Only",0,IF(OR(ISNUMBER(SEARCH("Exterior",S74)),ISNUMBER(SEARCH("Exterior",C74)),ISNUMBER(SEARCH("Exterior",F74))),0,IF(M02S02F32="Heat Pump",(((O74*M74-AB74*Z74)/1000)*Q74*-INDEX(LightingWHF[Waste Heat Electric Heat Pump Heating IFkWh],MATCH(M02S02F26,LightingWHF[Building/Space Type],0))),
IF(OR(M02S02F32="AC with Electric Heat",M02S02F32="Electric Heat Only"),(((O74*M74-AB74*Z74)/1000)*Q74*-INDEX(LightingWHF[Waste Heat Electric Resistance Heating IFkWh],MATCH(M02S02F26,LightingWHF[Building/Space Type],0))),0
)))))</f>
        <v/>
      </c>
      <c r="BE74" s="1064" t="str">
        <f>IF(OR(C74="",F74="",J74="",M74="",O74="",Q74="",S74="",W74="",Z74="",AB74="",AD74="",AF74=""),"",IF(M02S02F46="Gas Only",0,IF(OR(ISNUMBER(SEARCH("Exterior",S74)),ISNUMBER(SEARCH("Exterior",C74)),ISNUMBER(SEARCH("Exterior",F74))),1,IF(OR(M02S02F32="Heat Pump",M02S02F32="AC with Natural Gas Heat",M02S02F32="AC with Electric Heat"),(INDEX(LightingWHF[Waste Heat Cooling Energy WHFe],MATCH(M02S02F26,LightingWHF[Building/Space Type],0))),1))))</f>
        <v/>
      </c>
      <c r="BF74" s="1103" t="str">
        <f>IFERROR(IF((M74*O74)&lt;=(Z74*AB74),MEASURESAVE,IF(M02S02F35="",MEASURERATE,IF(AH74/M02S02F35/BA74&lt;1,MEASUREPAY,IF(AV74&lt;1,MEASURECB,IF(OR(ISBLANK(M02S02F26),ISBLANK(M02S02F32),ISBLANK(M02S02F46)),MEASUREBLDG,""))))),MEASURESUBMIT)</f>
        <v>Submit for Review</v>
      </c>
      <c r="BG74"/>
      <c r="BH74" s="1001" t="str">
        <f ca="1">IF(OR(C74="",F74="",J74="",M74="",O74="",Q74="",S74="",W74="",Z74="",AB74="",AD74="",AF74=""),"",IF('M01-S01'!$V$82&lt;TODAY(),0,IF(M02S02F46="Gas Only",0,IF(OR(AK74="",AK74&lt;0,AH74&lt;=AN74),0,MIN(AH74-AN74,ROUND(IF(OR(ISNUMBER(SEARCH("T12",F74)),ISNUMBER(SEARCH("T8",F74)),ISNUMBER(SEARCH("T5",F74)),ISNUMBER(SEARCH("MH",F74)),ISNUMBER(SEARCH("HPS",F74)),ISNUMBER(SEARCH("MV",F74))),AN74*0.2),2))))))</f>
        <v/>
      </c>
      <c r="BI74"/>
    </row>
    <row r="75" spans="2:61" ht="15.95" hidden="1" customHeight="1">
      <c r="B75" s="834"/>
      <c r="C75" s="1094"/>
      <c r="D75" s="1094"/>
      <c r="E75" s="1094"/>
      <c r="F75" s="840"/>
      <c r="G75" s="841"/>
      <c r="H75" s="841"/>
      <c r="I75" s="842"/>
      <c r="J75" s="1094"/>
      <c r="K75" s="1094"/>
      <c r="L75" s="1094"/>
      <c r="M75" s="1084"/>
      <c r="N75" s="1084"/>
      <c r="O75" s="1087"/>
      <c r="P75" s="1088"/>
      <c r="Q75" s="1091"/>
      <c r="R75" s="1092"/>
      <c r="S75" s="856"/>
      <c r="T75" s="841"/>
      <c r="U75" s="841"/>
      <c r="V75" s="842"/>
      <c r="W75" s="1094"/>
      <c r="X75" s="1094"/>
      <c r="Y75" s="1094"/>
      <c r="Z75" s="1084"/>
      <c r="AA75" s="1084"/>
      <c r="AB75" s="1096"/>
      <c r="AC75" s="1096"/>
      <c r="AD75" s="1098"/>
      <c r="AE75" s="1098"/>
      <c r="AF75" s="1098"/>
      <c r="AG75" s="1100"/>
      <c r="AH75" s="870"/>
      <c r="AI75" s="1102"/>
      <c r="AJ75" s="1102"/>
      <c r="AK75" s="912"/>
      <c r="AL75" s="913"/>
      <c r="AM75" s="942"/>
      <c r="AN75" s="1106"/>
      <c r="AO75" s="1106"/>
      <c r="AP75" s="1106"/>
      <c r="AQ75" s="1106"/>
      <c r="AU75" s="1108"/>
      <c r="AV75" s="1108"/>
      <c r="AW75" s="907"/>
      <c r="AX75" s="817"/>
      <c r="AY75" s="817"/>
      <c r="AZ75" s="879"/>
      <c r="BA75" s="817"/>
      <c r="BB75" s="1002"/>
      <c r="BC75" s="1104"/>
      <c r="BD75" s="1002"/>
      <c r="BE75" s="1002"/>
      <c r="BF75" s="1104"/>
      <c r="BG75"/>
      <c r="BH75" s="1002"/>
      <c r="BI75"/>
    </row>
    <row r="76" spans="2:61" ht="15.95" hidden="1" customHeight="1">
      <c r="B76" s="834">
        <v>31</v>
      </c>
      <c r="C76" s="1093"/>
      <c r="D76" s="1093"/>
      <c r="E76" s="1093"/>
      <c r="F76" s="871"/>
      <c r="G76" s="872"/>
      <c r="H76" s="872"/>
      <c r="I76" s="873"/>
      <c r="J76" s="1093"/>
      <c r="K76" s="1093"/>
      <c r="L76" s="1093"/>
      <c r="M76" s="1083"/>
      <c r="N76" s="1083"/>
      <c r="O76" s="1085" t="str">
        <f>IFERROR(IF(F76="","",INDEX(CMLIGHTBASE[Base Watt 1],MATCH(F76,CMLIGHTBASE[Base Desc 1],0))),"")</f>
        <v/>
      </c>
      <c r="P76" s="1086"/>
      <c r="Q76" s="1089"/>
      <c r="R76" s="1090"/>
      <c r="S76" s="890"/>
      <c r="T76" s="872"/>
      <c r="U76" s="872"/>
      <c r="V76" s="873"/>
      <c r="W76" s="1093"/>
      <c r="X76" s="1093"/>
      <c r="Y76" s="1093"/>
      <c r="Z76" s="1083"/>
      <c r="AA76" s="1083"/>
      <c r="AB76" s="1095"/>
      <c r="AC76" s="1095"/>
      <c r="AD76" s="1097"/>
      <c r="AE76" s="1097"/>
      <c r="AF76" s="1097"/>
      <c r="AG76" s="1099"/>
      <c r="AH76" s="924" t="str">
        <f t="shared" ref="AH76" si="145">IFERROR(IF(OR(C76="",J76="",M76="",O76="",Q76="",W76="",Z76="",AB76="",AD76="",AF76=""),"",ROUND((AD76+AF76)*Z76,2)),"")</f>
        <v/>
      </c>
      <c r="AI76" s="1101"/>
      <c r="AJ76" s="1101"/>
      <c r="AK76" s="910" t="str">
        <f t="shared" ref="AK76" si="146">IFERROR(IF(OR(C76="",F76="",J76="",M76="",O76="",Q76="",S76="",W76="",Z76="",AB76="",AD76="",AF76=""),"",ROUND(IF((M76*O76)&lt;=(Z76*AB76),"0",(AX76-AY76+BD76)*BE76),2)),"")</f>
        <v/>
      </c>
      <c r="AL76" s="911"/>
      <c r="AM76" s="975"/>
      <c r="AN76" s="1105" t="str">
        <f>IFERROR(IF(OR(C76="",F76="",J76="",M76="",O76="",Q76="",S76="",W76="",Z76="",AB76="",AD76="",AF76=""),"",IF(OR(ISNUMBER(SEARCH("~~",F76)),ISNUMBER(SEARCH("~~",S76))),"Invalid Fixture Type Selected",IF(BF76&lt;&gt;"",BF76,ROUND(MIN(AH76*0.75,AK76*INDEX(INCRATE[Electric],MATCH("CMLIGHT",INCRATE[Incentive Type]))),2)))),"")</f>
        <v/>
      </c>
      <c r="AO76" s="1105"/>
      <c r="AP76" s="1105"/>
      <c r="AQ76" s="1105"/>
      <c r="AU76" s="1109" t="str">
        <f>IF(F76="","",INDEX(CUSTLIGHTUNIT,MATCH(F76,CMELIGHTBASE1,0)))</f>
        <v/>
      </c>
      <c r="AV76" s="1107" t="str">
        <f>IFERROR(IF(OR(C76="",F76="",J76="",M76="",O76="",Q76="",S76="",W76="",Z76="",AB76="",AD76="",AF76=""),"",((((1+ELOSS)*((AK76*INDEX(ELECCB[NPV AEC $/kWh],MATCH(15,ELECCB[Year Number],0)))+(AW76*INDEX(ELECCB[NPV ACC+T&amp;D $/kW],MATCH(15,ELECCB[Year Number],0)))))+((1+GLOSS)*((BB76*INDEX(GASCB[NPV GAEC $/therm],MATCH(15,GASCB[Year Number],1))))))/AH76)),"")</f>
        <v/>
      </c>
      <c r="AW76" s="906" t="str">
        <f>IFERROR(IF(OR(C76="",F76="",J76="",M76="",O76="",Q76="",S76="",W76="",Z76="",AB76="",AD76="",AF76=""),"",IF(OR(ISNUMBER(SEARCH("Exterior",C76)),((M76*O76)&lt;=(Z76*AB76)),ISNUMBER(SEARCH("Exterior",S76)),ISNUMBER(SEARCH("Exterior",F76))),0,ROUND((((M76*O76)-(Z76*AB76))/1000)*INDEX(LightingWHF[Coincidence Factor CF],MATCH(M02S02F26,LightingWHF[Building/Space Type],0))*IF(OR(M02S02F32="AC with Natural Gas Heat",M02S02F32="AC with Electric Heat",M02S02F32="Heat Pump"),INDEX(LightingWHF[Waste Heat Cooling Demand WHFd],MATCH(M02S02F26,LightingWHF[Building/Space Type],0)),1),3))),"")</f>
        <v/>
      </c>
      <c r="AX76" s="816" t="str">
        <f t="shared" ref="AX76" si="147">IF(OR(C76="",F76="",J76="",M76="",O76="",Q76="",S76="",W76="",Z76="",AB76="",AD76="",AF76=""),"",ROUND(M76*O76*Q76/1000,2))</f>
        <v/>
      </c>
      <c r="AY76" s="816" t="str">
        <f t="shared" ref="AY76" si="148">IF(OR(C76="",F76="",J76="",M76="",O76="",Q76="",S76="",W76="",Z76="",AB76="",AD76="",AF76=""),"",ROUND(Z76*AB76*Q76/1000,2))</f>
        <v/>
      </c>
      <c r="AZ76" s="878" t="str">
        <f>IF(OR(C76="",F76="",J76="",M76="",O76="",Q76="",S76="",W76="",Z76="",AB76="",AD76="",AF76=""),"",IF(ISNUMBER(AN76),(CONCATENATE(INDEX(CMLIGHTBASE[Measure Number],MATCH(F76,CMLIGHTBASE[Base Desc 1],0)),INDEX(CMLIGHTEFF[Measure Number],MATCH(S76,CMLIGHTEFF[Eff Desc 1],0)))),IF(AK76=0,"","000001")))</f>
        <v/>
      </c>
      <c r="BA76" s="816" t="str">
        <f t="shared" ref="BA76" si="149">IF(OR(C76="",F76="",J76="",M76="",O76="",Q76="",S76="",W76="",Z76="",AB76="",AD76="",AF76=""),"",IF((M76*O76)&lt;=(Z76*AB76),"0",AX76-AY76))</f>
        <v/>
      </c>
      <c r="BB76" s="1064" t="str">
        <f>IF(OR(C76="",F76="",J76="",M76="",O76="",Q76="",S76="",W76="",Z76="",AB76="",AD76="",AF76=""),"",IF(M02S02F46="Electric Only",0,IF(OR(ISNUMBER(SEARCH("Exterior",S76)),ISNUMBER(SEARCH("Exterior",C76)),ISNUMBER(SEARCH("Exterior",F76))),0,IF(OR(M02S02F32="AC with Natural Gas Heat",M02S02F32="Natural Gas Heat Only"),(((O76*M76-AB76*Z76)/1000)*Q76*-INDEX(LightingWHF[Waste Heat Gas Heating IFTherms],MATCH(M02S02F26,LightingWHF[Building/Space Type],0))),0))))</f>
        <v/>
      </c>
      <c r="BC76" s="1103" t="str">
        <f>IFERROR(AH76/M02S02F35/BA76,"")</f>
        <v/>
      </c>
      <c r="BD76" s="1064" t="str">
        <f>IF(OR(C76="",F76="",J76="",M76="",O76="",Q76="",S76="",W76="",Z76="",AB76="",AD76="",AF76=""),"",IF(M02S02F46="Gas Only",0,IF(OR(ISNUMBER(SEARCH("Exterior",S76)),ISNUMBER(SEARCH("Exterior",C76)),ISNUMBER(SEARCH("Exterior",F76))),0,IF(M02S02F32="Heat Pump",(((O76*M76-AB76*Z76)/1000)*Q76*-INDEX(LightingWHF[Waste Heat Electric Heat Pump Heating IFkWh],MATCH(M02S02F26,LightingWHF[Building/Space Type],0))),
IF(OR(M02S02F32="AC with Electric Heat",M02S02F32="Electric Heat Only"),(((O76*M76-AB76*Z76)/1000)*Q76*-INDEX(LightingWHF[Waste Heat Electric Resistance Heating IFkWh],MATCH(M02S02F26,LightingWHF[Building/Space Type],0))),0
)))))</f>
        <v/>
      </c>
      <c r="BE76" s="1064" t="str">
        <f>IF(OR(C76="",F76="",J76="",M76="",O76="",Q76="",S76="",W76="",Z76="",AB76="",AD76="",AF76=""),"",IF(M02S02F46="Gas Only",0,IF(OR(ISNUMBER(SEARCH("Exterior",S76)),ISNUMBER(SEARCH("Exterior",C76)),ISNUMBER(SEARCH("Exterior",F76))),1,IF(OR(M02S02F32="Heat Pump",M02S02F32="AC with Natural Gas Heat",M02S02F32="AC with Electric Heat"),(INDEX(LightingWHF[Waste Heat Cooling Energy WHFe],MATCH(M02S02F26,LightingWHF[Building/Space Type],0))),1))))</f>
        <v/>
      </c>
      <c r="BF76" s="1103" t="str">
        <f>IFERROR(IF((M76*O76)&lt;=(Z76*AB76),MEASURESAVE,IF(M02S02F35="",MEASURERATE,IF(AH76/M02S02F35/BA76&lt;1,MEASUREPAY,IF(AV76&lt;1,MEASURECB,IF(OR(ISBLANK(M02S02F26),ISBLANK(M02S02F32),ISBLANK(M02S02F46)),MEASUREBLDG,""))))),MEASURESUBMIT)</f>
        <v>Submit for Review</v>
      </c>
      <c r="BG76"/>
      <c r="BH76" s="1001" t="str">
        <f ca="1">IF(OR(C76="",F76="",J76="",M76="",O76="",Q76="",S76="",W76="",Z76="",AB76="",AD76="",AF76=""),"",IF('M01-S01'!$V$82&lt;TODAY(),0,IF(M02S02F46="Gas Only",0,IF(OR(AK76="",AK76&lt;0,AH76&lt;=AN76),0,MIN(AH76-AN76,ROUND(IF(OR(ISNUMBER(SEARCH("T12",F76)),ISNUMBER(SEARCH("T8",F76)),ISNUMBER(SEARCH("T5",F76)),ISNUMBER(SEARCH("MH",F76)),ISNUMBER(SEARCH("HPS",F76)),ISNUMBER(SEARCH("MV",F76))),AN76*0.2),2))))))</f>
        <v/>
      </c>
      <c r="BI76"/>
    </row>
    <row r="77" spans="2:61" ht="15.95" hidden="1" customHeight="1">
      <c r="B77" s="834"/>
      <c r="C77" s="1094"/>
      <c r="D77" s="1094"/>
      <c r="E77" s="1094"/>
      <c r="F77" s="840"/>
      <c r="G77" s="841"/>
      <c r="H77" s="841"/>
      <c r="I77" s="842"/>
      <c r="J77" s="1094"/>
      <c r="K77" s="1094"/>
      <c r="L77" s="1094"/>
      <c r="M77" s="1084"/>
      <c r="N77" s="1084"/>
      <c r="O77" s="1087"/>
      <c r="P77" s="1088"/>
      <c r="Q77" s="1091"/>
      <c r="R77" s="1092"/>
      <c r="S77" s="856"/>
      <c r="T77" s="841"/>
      <c r="U77" s="841"/>
      <c r="V77" s="842"/>
      <c r="W77" s="1094"/>
      <c r="X77" s="1094"/>
      <c r="Y77" s="1094"/>
      <c r="Z77" s="1084"/>
      <c r="AA77" s="1084"/>
      <c r="AB77" s="1096"/>
      <c r="AC77" s="1096"/>
      <c r="AD77" s="1098"/>
      <c r="AE77" s="1098"/>
      <c r="AF77" s="1098"/>
      <c r="AG77" s="1100"/>
      <c r="AH77" s="870"/>
      <c r="AI77" s="1102"/>
      <c r="AJ77" s="1102"/>
      <c r="AK77" s="912"/>
      <c r="AL77" s="913"/>
      <c r="AM77" s="942"/>
      <c r="AN77" s="1106"/>
      <c r="AO77" s="1106"/>
      <c r="AP77" s="1106"/>
      <c r="AQ77" s="1106"/>
      <c r="AU77" s="1108"/>
      <c r="AV77" s="1108"/>
      <c r="AW77" s="907"/>
      <c r="AX77" s="817"/>
      <c r="AY77" s="817"/>
      <c r="AZ77" s="879"/>
      <c r="BA77" s="817"/>
      <c r="BB77" s="1002"/>
      <c r="BC77" s="1104"/>
      <c r="BD77" s="1002"/>
      <c r="BE77" s="1002"/>
      <c r="BF77" s="1104"/>
      <c r="BG77"/>
      <c r="BH77" s="1002"/>
      <c r="BI77"/>
    </row>
    <row r="78" spans="2:61" ht="15.95" hidden="1" customHeight="1">
      <c r="B78" s="834">
        <v>32</v>
      </c>
      <c r="C78" s="1093"/>
      <c r="D78" s="1093"/>
      <c r="E78" s="1093"/>
      <c r="F78" s="871"/>
      <c r="G78" s="872"/>
      <c r="H78" s="872"/>
      <c r="I78" s="873"/>
      <c r="J78" s="1093"/>
      <c r="K78" s="1093"/>
      <c r="L78" s="1093"/>
      <c r="M78" s="1083"/>
      <c r="N78" s="1083"/>
      <c r="O78" s="1085" t="str">
        <f>IFERROR(IF(F78="","",INDEX(CMLIGHTBASE[Base Watt 1],MATCH(F78,CMLIGHTBASE[Base Desc 1],0))),"")</f>
        <v/>
      </c>
      <c r="P78" s="1086"/>
      <c r="Q78" s="1089"/>
      <c r="R78" s="1090"/>
      <c r="S78" s="890"/>
      <c r="T78" s="872"/>
      <c r="U78" s="872"/>
      <c r="V78" s="873"/>
      <c r="W78" s="1093"/>
      <c r="X78" s="1093"/>
      <c r="Y78" s="1093"/>
      <c r="Z78" s="1083"/>
      <c r="AA78" s="1083"/>
      <c r="AB78" s="1095"/>
      <c r="AC78" s="1095"/>
      <c r="AD78" s="1097"/>
      <c r="AE78" s="1097"/>
      <c r="AF78" s="1097"/>
      <c r="AG78" s="1099"/>
      <c r="AH78" s="924" t="str">
        <f t="shared" ref="AH78" si="150">IFERROR(IF(OR(C78="",J78="",M78="",O78="",Q78="",W78="",Z78="",AB78="",AD78="",AF78=""),"",ROUND((AD78+AF78)*Z78,2)),"")</f>
        <v/>
      </c>
      <c r="AI78" s="1101"/>
      <c r="AJ78" s="1101"/>
      <c r="AK78" s="910" t="str">
        <f t="shared" ref="AK78" si="151">IFERROR(IF(OR(C78="",F78="",J78="",M78="",O78="",Q78="",S78="",W78="",Z78="",AB78="",AD78="",AF78=""),"",ROUND(IF((M78*O78)&lt;=(Z78*AB78),"0",(AX78-AY78+BD78)*BE78),2)),"")</f>
        <v/>
      </c>
      <c r="AL78" s="911"/>
      <c r="AM78" s="975"/>
      <c r="AN78" s="1105" t="str">
        <f>IFERROR(IF(OR(C78="",F78="",J78="",M78="",O78="",Q78="",S78="",W78="",Z78="",AB78="",AD78="",AF78=""),"",IF(OR(ISNUMBER(SEARCH("~~",F78)),ISNUMBER(SEARCH("~~",S78))),"Invalid Fixture Type Selected",IF(BF78&lt;&gt;"",BF78,ROUND(MIN(AH78*0.75,AK78*INDEX(INCRATE[Electric],MATCH("CMLIGHT",INCRATE[Incentive Type]))),2)))),"")</f>
        <v/>
      </c>
      <c r="AO78" s="1105"/>
      <c r="AP78" s="1105"/>
      <c r="AQ78" s="1105"/>
      <c r="AU78" s="1109" t="str">
        <f>IF(F78="","",INDEX(CUSTLIGHTUNIT,MATCH(F78,CMELIGHTBASE1,0)))</f>
        <v/>
      </c>
      <c r="AV78" s="1107" t="str">
        <f>IFERROR(IF(OR(C78="",F78="",J78="",M78="",O78="",Q78="",S78="",W78="",Z78="",AB78="",AD78="",AF78=""),"",((((1+ELOSS)*((AK78*INDEX(ELECCB[NPV AEC $/kWh],MATCH(15,ELECCB[Year Number],0)))+(AW78*INDEX(ELECCB[NPV ACC+T&amp;D $/kW],MATCH(15,ELECCB[Year Number],0)))))+((1+GLOSS)*((BB78*INDEX(GASCB[NPV GAEC $/therm],MATCH(15,GASCB[Year Number],1))))))/AH78)),"")</f>
        <v/>
      </c>
      <c r="AW78" s="906" t="str">
        <f>IFERROR(IF(OR(C78="",F78="",J78="",M78="",O78="",Q78="",S78="",W78="",Z78="",AB78="",AD78="",AF78=""),"",IF(OR(ISNUMBER(SEARCH("Exterior",C78)),((M78*O78)&lt;=(Z78*AB78)),ISNUMBER(SEARCH("Exterior",S78)),ISNUMBER(SEARCH("Exterior",F78))),0,ROUND((((M78*O78)-(Z78*AB78))/1000)*INDEX(LightingWHF[Coincidence Factor CF],MATCH(M02S02F26,LightingWHF[Building/Space Type],0))*IF(OR(M02S02F32="AC with Natural Gas Heat",M02S02F32="AC with Electric Heat",M02S02F32="Heat Pump"),INDEX(LightingWHF[Waste Heat Cooling Demand WHFd],MATCH(M02S02F26,LightingWHF[Building/Space Type],0)),1),3))),"")</f>
        <v/>
      </c>
      <c r="AX78" s="816" t="str">
        <f t="shared" ref="AX78" si="152">IF(OR(C78="",F78="",J78="",M78="",O78="",Q78="",S78="",W78="",Z78="",AB78="",AD78="",AF78=""),"",ROUND(M78*O78*Q78/1000,2))</f>
        <v/>
      </c>
      <c r="AY78" s="816" t="str">
        <f t="shared" ref="AY78" si="153">IF(OR(C78="",F78="",J78="",M78="",O78="",Q78="",S78="",W78="",Z78="",AB78="",AD78="",AF78=""),"",ROUND(Z78*AB78*Q78/1000,2))</f>
        <v/>
      </c>
      <c r="AZ78" s="878" t="str">
        <f>IF(OR(C78="",F78="",J78="",M78="",O78="",Q78="",S78="",W78="",Z78="",AB78="",AD78="",AF78=""),"",IF(ISNUMBER(AN78),(CONCATENATE(INDEX(CMLIGHTBASE[Measure Number],MATCH(F78,CMLIGHTBASE[Base Desc 1],0)),INDEX(CMLIGHTEFF[Measure Number],MATCH(S78,CMLIGHTEFF[Eff Desc 1],0)))),IF(AK78=0,"","000001")))</f>
        <v/>
      </c>
      <c r="BA78" s="816" t="str">
        <f t="shared" ref="BA78" si="154">IF(OR(C78="",F78="",J78="",M78="",O78="",Q78="",S78="",W78="",Z78="",AB78="",AD78="",AF78=""),"",IF((M78*O78)&lt;=(Z78*AB78),"0",AX78-AY78))</f>
        <v/>
      </c>
      <c r="BB78" s="1064" t="str">
        <f>IF(OR(C78="",F78="",J78="",M78="",O78="",Q78="",S78="",W78="",Z78="",AB78="",AD78="",AF78=""),"",IF(M02S02F46="Electric Only",0,IF(OR(ISNUMBER(SEARCH("Exterior",S78)),ISNUMBER(SEARCH("Exterior",C78)),ISNUMBER(SEARCH("Exterior",F78))),0,IF(OR(M02S02F32="AC with Natural Gas Heat",M02S02F32="Natural Gas Heat Only"),(((O78*M78-AB78*Z78)/1000)*Q78*-INDEX(LightingWHF[Waste Heat Gas Heating IFTherms],MATCH(M02S02F26,LightingWHF[Building/Space Type],0))),0))))</f>
        <v/>
      </c>
      <c r="BC78" s="1103" t="str">
        <f>IFERROR(AH78/M02S02F35/BA78,"")</f>
        <v/>
      </c>
      <c r="BD78" s="1064" t="str">
        <f>IF(OR(C78="",F78="",J78="",M78="",O78="",Q78="",S78="",W78="",Z78="",AB78="",AD78="",AF78=""),"",IF(M02S02F46="Gas Only",0,IF(OR(ISNUMBER(SEARCH("Exterior",S78)),ISNUMBER(SEARCH("Exterior",C78)),ISNUMBER(SEARCH("Exterior",F78))),0,IF(M02S02F32="Heat Pump",(((O78*M78-AB78*Z78)/1000)*Q78*-INDEX(LightingWHF[Waste Heat Electric Heat Pump Heating IFkWh],MATCH(M02S02F26,LightingWHF[Building/Space Type],0))),
IF(OR(M02S02F32="AC with Electric Heat",M02S02F32="Electric Heat Only"),(((O78*M78-AB78*Z78)/1000)*Q78*-INDEX(LightingWHF[Waste Heat Electric Resistance Heating IFkWh],MATCH(M02S02F26,LightingWHF[Building/Space Type],0))),0
)))))</f>
        <v/>
      </c>
      <c r="BE78" s="1064" t="str">
        <f>IF(OR(C78="",F78="",J78="",M78="",O78="",Q78="",S78="",W78="",Z78="",AB78="",AD78="",AF78=""),"",IF(M02S02F46="Gas Only",0,IF(OR(ISNUMBER(SEARCH("Exterior",S78)),ISNUMBER(SEARCH("Exterior",C78)),ISNUMBER(SEARCH("Exterior",F78))),1,IF(OR(M02S02F32="Heat Pump",M02S02F32="AC with Natural Gas Heat",M02S02F32="AC with Electric Heat"),(INDEX(LightingWHF[Waste Heat Cooling Energy WHFe],MATCH(M02S02F26,LightingWHF[Building/Space Type],0))),1))))</f>
        <v/>
      </c>
      <c r="BF78" s="1103" t="str">
        <f>IFERROR(IF((M78*O78)&lt;=(Z78*AB78),MEASURESAVE,IF(M02S02F35="",MEASURERATE,IF(AH78/M02S02F35/BA78&lt;1,MEASUREPAY,IF(AV78&lt;1,MEASURECB,IF(OR(ISBLANK(M02S02F26),ISBLANK(M02S02F32),ISBLANK(M02S02F46)),MEASUREBLDG,""))))),MEASURESUBMIT)</f>
        <v>Submit for Review</v>
      </c>
      <c r="BG78"/>
      <c r="BH78" s="1001" t="str">
        <f ca="1">IF(OR(C78="",F78="",J78="",M78="",O78="",Q78="",S78="",W78="",Z78="",AB78="",AD78="",AF78=""),"",IF('M01-S01'!$V$82&lt;TODAY(),0,IF(M02S02F46="Gas Only",0,IF(OR(AK78="",AK78&lt;0,AH78&lt;=AN78),0,MIN(AH78-AN78,ROUND(IF(OR(ISNUMBER(SEARCH("T12",F78)),ISNUMBER(SEARCH("T8",F78)),ISNUMBER(SEARCH("T5",F78)),ISNUMBER(SEARCH("MH",F78)),ISNUMBER(SEARCH("HPS",F78)),ISNUMBER(SEARCH("MV",F78))),AN78*0.2),2))))))</f>
        <v/>
      </c>
      <c r="BI78"/>
    </row>
    <row r="79" spans="2:61" ht="15.95" hidden="1" customHeight="1">
      <c r="B79" s="834"/>
      <c r="C79" s="1094"/>
      <c r="D79" s="1094"/>
      <c r="E79" s="1094"/>
      <c r="F79" s="840"/>
      <c r="G79" s="841"/>
      <c r="H79" s="841"/>
      <c r="I79" s="842"/>
      <c r="J79" s="1094"/>
      <c r="K79" s="1094"/>
      <c r="L79" s="1094"/>
      <c r="M79" s="1084"/>
      <c r="N79" s="1084"/>
      <c r="O79" s="1087"/>
      <c r="P79" s="1088"/>
      <c r="Q79" s="1091"/>
      <c r="R79" s="1092"/>
      <c r="S79" s="856"/>
      <c r="T79" s="841"/>
      <c r="U79" s="841"/>
      <c r="V79" s="842"/>
      <c r="W79" s="1094"/>
      <c r="X79" s="1094"/>
      <c r="Y79" s="1094"/>
      <c r="Z79" s="1084"/>
      <c r="AA79" s="1084"/>
      <c r="AB79" s="1096"/>
      <c r="AC79" s="1096"/>
      <c r="AD79" s="1098"/>
      <c r="AE79" s="1098"/>
      <c r="AF79" s="1098"/>
      <c r="AG79" s="1100"/>
      <c r="AH79" s="870"/>
      <c r="AI79" s="1102"/>
      <c r="AJ79" s="1102"/>
      <c r="AK79" s="912"/>
      <c r="AL79" s="913"/>
      <c r="AM79" s="942"/>
      <c r="AN79" s="1106"/>
      <c r="AO79" s="1106"/>
      <c r="AP79" s="1106"/>
      <c r="AQ79" s="1106"/>
      <c r="AU79" s="1108"/>
      <c r="AV79" s="1108"/>
      <c r="AW79" s="907"/>
      <c r="AX79" s="817"/>
      <c r="AY79" s="817"/>
      <c r="AZ79" s="879"/>
      <c r="BA79" s="817"/>
      <c r="BB79" s="1002"/>
      <c r="BC79" s="1104"/>
      <c r="BD79" s="1002"/>
      <c r="BE79" s="1002"/>
      <c r="BF79" s="1104"/>
      <c r="BG79"/>
      <c r="BH79" s="1002"/>
      <c r="BI79"/>
    </row>
    <row r="80" spans="2:61" ht="15.95" hidden="1" customHeight="1">
      <c r="B80" s="834">
        <v>33</v>
      </c>
      <c r="C80" s="1093"/>
      <c r="D80" s="1093"/>
      <c r="E80" s="1093"/>
      <c r="F80" s="871"/>
      <c r="G80" s="872"/>
      <c r="H80" s="872"/>
      <c r="I80" s="873"/>
      <c r="J80" s="1093"/>
      <c r="K80" s="1093"/>
      <c r="L80" s="1093"/>
      <c r="M80" s="1083"/>
      <c r="N80" s="1083"/>
      <c r="O80" s="1085" t="str">
        <f>IFERROR(IF(F80="","",INDEX(CMLIGHTBASE[Base Watt 1],MATCH(F80,CMLIGHTBASE[Base Desc 1],0))),"")</f>
        <v/>
      </c>
      <c r="P80" s="1086"/>
      <c r="Q80" s="1089"/>
      <c r="R80" s="1090"/>
      <c r="S80" s="890"/>
      <c r="T80" s="872"/>
      <c r="U80" s="872"/>
      <c r="V80" s="873"/>
      <c r="W80" s="1093"/>
      <c r="X80" s="1093"/>
      <c r="Y80" s="1093"/>
      <c r="Z80" s="1083"/>
      <c r="AA80" s="1083"/>
      <c r="AB80" s="1095"/>
      <c r="AC80" s="1095"/>
      <c r="AD80" s="1097"/>
      <c r="AE80" s="1097"/>
      <c r="AF80" s="1097"/>
      <c r="AG80" s="1099"/>
      <c r="AH80" s="924" t="str">
        <f t="shared" ref="AH80" si="155">IFERROR(IF(OR(C80="",J80="",M80="",O80="",Q80="",W80="",Z80="",AB80="",AD80="",AF80=""),"",ROUND((AD80+AF80)*Z80,2)),"")</f>
        <v/>
      </c>
      <c r="AI80" s="1101"/>
      <c r="AJ80" s="1101"/>
      <c r="AK80" s="910" t="str">
        <f t="shared" ref="AK80" si="156">IFERROR(IF(OR(C80="",F80="",J80="",M80="",O80="",Q80="",S80="",W80="",Z80="",AB80="",AD80="",AF80=""),"",ROUND(IF((M80*O80)&lt;=(Z80*AB80),"0",(AX80-AY80+BD80)*BE80),2)),"")</f>
        <v/>
      </c>
      <c r="AL80" s="911"/>
      <c r="AM80" s="975"/>
      <c r="AN80" s="1105" t="str">
        <f>IFERROR(IF(OR(C80="",F80="",J80="",M80="",O80="",Q80="",S80="",W80="",Z80="",AB80="",AD80="",AF80=""),"",IF(OR(ISNUMBER(SEARCH("~~",F80)),ISNUMBER(SEARCH("~~",S80))),"Invalid Fixture Type Selected",IF(BF80&lt;&gt;"",BF80,ROUND(MIN(AH80*0.75,AK80*INDEX(INCRATE[Electric],MATCH("CMLIGHT",INCRATE[Incentive Type]))),2)))),"")</f>
        <v/>
      </c>
      <c r="AO80" s="1105"/>
      <c r="AP80" s="1105"/>
      <c r="AQ80" s="1105"/>
      <c r="AU80" s="1109" t="str">
        <f>IF(F80="","",INDEX(CUSTLIGHTUNIT,MATCH(F80,CMELIGHTBASE1,0)))</f>
        <v/>
      </c>
      <c r="AV80" s="1107" t="str">
        <f>IFERROR(IF(OR(C80="",F80="",J80="",M80="",O80="",Q80="",S80="",W80="",Z80="",AB80="",AD80="",AF80=""),"",((((1+ELOSS)*((AK80*INDEX(ELECCB[NPV AEC $/kWh],MATCH(15,ELECCB[Year Number],0)))+(AW80*INDEX(ELECCB[NPV ACC+T&amp;D $/kW],MATCH(15,ELECCB[Year Number],0)))))+((1+GLOSS)*((BB80*INDEX(GASCB[NPV GAEC $/therm],MATCH(15,GASCB[Year Number],1))))))/AH80)),"")</f>
        <v/>
      </c>
      <c r="AW80" s="906" t="str">
        <f>IFERROR(IF(OR(C80="",F80="",J80="",M80="",O80="",Q80="",S80="",W80="",Z80="",AB80="",AD80="",AF80=""),"",IF(OR(ISNUMBER(SEARCH("Exterior",C80)),((M80*O80)&lt;=(Z80*AB80)),ISNUMBER(SEARCH("Exterior",S80)),ISNUMBER(SEARCH("Exterior",F80))),0,ROUND((((M80*O80)-(Z80*AB80))/1000)*INDEX(LightingWHF[Coincidence Factor CF],MATCH(M02S02F26,LightingWHF[Building/Space Type],0))*IF(OR(M02S02F32="AC with Natural Gas Heat",M02S02F32="AC with Electric Heat",M02S02F32="Heat Pump"),INDEX(LightingWHF[Waste Heat Cooling Demand WHFd],MATCH(M02S02F26,LightingWHF[Building/Space Type],0)),1),3))),"")</f>
        <v/>
      </c>
      <c r="AX80" s="816" t="str">
        <f t="shared" ref="AX80" si="157">IF(OR(C80="",F80="",J80="",M80="",O80="",Q80="",S80="",W80="",Z80="",AB80="",AD80="",AF80=""),"",ROUND(M80*O80*Q80/1000,2))</f>
        <v/>
      </c>
      <c r="AY80" s="816" t="str">
        <f t="shared" ref="AY80" si="158">IF(OR(C80="",F80="",J80="",M80="",O80="",Q80="",S80="",W80="",Z80="",AB80="",AD80="",AF80=""),"",ROUND(Z80*AB80*Q80/1000,2))</f>
        <v/>
      </c>
      <c r="AZ80" s="878" t="str">
        <f>IF(OR(C80="",F80="",J80="",M80="",O80="",Q80="",S80="",W80="",Z80="",AB80="",AD80="",AF80=""),"",IF(ISNUMBER(AN80),(CONCATENATE(INDEX(CMLIGHTBASE[Measure Number],MATCH(F80,CMLIGHTBASE[Base Desc 1],0)),INDEX(CMLIGHTEFF[Measure Number],MATCH(S80,CMLIGHTEFF[Eff Desc 1],0)))),IF(AK80=0,"","000001")))</f>
        <v/>
      </c>
      <c r="BA80" s="816" t="str">
        <f t="shared" ref="BA80" si="159">IF(OR(C80="",F80="",J80="",M80="",O80="",Q80="",S80="",W80="",Z80="",AB80="",AD80="",AF80=""),"",IF((M80*O80)&lt;=(Z80*AB80),"0",AX80-AY80))</f>
        <v/>
      </c>
      <c r="BB80" s="1064" t="str">
        <f>IF(OR(C80="",F80="",J80="",M80="",O80="",Q80="",S80="",W80="",Z80="",AB80="",AD80="",AF80=""),"",IF(M02S02F46="Electric Only",0,IF(OR(ISNUMBER(SEARCH("Exterior",S80)),ISNUMBER(SEARCH("Exterior",C80)),ISNUMBER(SEARCH("Exterior",F80))),0,IF(OR(M02S02F32="AC with Natural Gas Heat",M02S02F32="Natural Gas Heat Only"),(((O80*M80-AB80*Z80)/1000)*Q80*-INDEX(LightingWHF[Waste Heat Gas Heating IFTherms],MATCH(M02S02F26,LightingWHF[Building/Space Type],0))),0))))</f>
        <v/>
      </c>
      <c r="BC80" s="1103" t="str">
        <f>IFERROR(AH80/M02S02F35/BA80,"")</f>
        <v/>
      </c>
      <c r="BD80" s="1064" t="str">
        <f>IF(OR(C80="",F80="",J80="",M80="",O80="",Q80="",S80="",W80="",Z80="",AB80="",AD80="",AF80=""),"",IF(M02S02F46="Gas Only",0,IF(OR(ISNUMBER(SEARCH("Exterior",S80)),ISNUMBER(SEARCH("Exterior",C80)),ISNUMBER(SEARCH("Exterior",F80))),0,IF(M02S02F32="Heat Pump",(((O80*M80-AB80*Z80)/1000)*Q80*-INDEX(LightingWHF[Waste Heat Electric Heat Pump Heating IFkWh],MATCH(M02S02F26,LightingWHF[Building/Space Type],0))),
IF(OR(M02S02F32="AC with Electric Heat",M02S02F32="Electric Heat Only"),(((O80*M80-AB80*Z80)/1000)*Q80*-INDEX(LightingWHF[Waste Heat Electric Resistance Heating IFkWh],MATCH(M02S02F26,LightingWHF[Building/Space Type],0))),0
)))))</f>
        <v/>
      </c>
      <c r="BE80" s="1064" t="str">
        <f>IF(OR(C80="",F80="",J80="",M80="",O80="",Q80="",S80="",W80="",Z80="",AB80="",AD80="",AF80=""),"",IF(M02S02F46="Gas Only",0,IF(OR(ISNUMBER(SEARCH("Exterior",S80)),ISNUMBER(SEARCH("Exterior",C80)),ISNUMBER(SEARCH("Exterior",F80))),1,IF(OR(M02S02F32="Heat Pump",M02S02F32="AC with Natural Gas Heat",M02S02F32="AC with Electric Heat"),(INDEX(LightingWHF[Waste Heat Cooling Energy WHFe],MATCH(M02S02F26,LightingWHF[Building/Space Type],0))),1))))</f>
        <v/>
      </c>
      <c r="BF80" s="1103" t="str">
        <f>IFERROR(IF((M80*O80)&lt;=(Z80*AB80),MEASURESAVE,IF(M02S02F35="",MEASURERATE,IF(AH80/M02S02F35/BA80&lt;1,MEASUREPAY,IF(AV80&lt;1,MEASURECB,IF(OR(ISBLANK(M02S02F26),ISBLANK(M02S02F32),ISBLANK(M02S02F46)),MEASUREBLDG,""))))),MEASURESUBMIT)</f>
        <v>Submit for Review</v>
      </c>
      <c r="BG80"/>
      <c r="BH80" s="1001" t="str">
        <f ca="1">IF(OR(C80="",F80="",J80="",M80="",O80="",Q80="",S80="",W80="",Z80="",AB80="",AD80="",AF80=""),"",IF('M01-S01'!$V$82&lt;TODAY(),0,IF(M02S02F46="Gas Only",0,IF(OR(AK80="",AK80&lt;0,AH80&lt;=AN80),0,MIN(AH80-AN80,ROUND(IF(OR(ISNUMBER(SEARCH("T12",F80)),ISNUMBER(SEARCH("T8",F80)),ISNUMBER(SEARCH("T5",F80)),ISNUMBER(SEARCH("MH",F80)),ISNUMBER(SEARCH("HPS",F80)),ISNUMBER(SEARCH("MV",F80))),AN80*0.2),2))))))</f>
        <v/>
      </c>
      <c r="BI80"/>
    </row>
    <row r="81" spans="2:61" ht="15.95" hidden="1" customHeight="1">
      <c r="B81" s="834"/>
      <c r="C81" s="1094"/>
      <c r="D81" s="1094"/>
      <c r="E81" s="1094"/>
      <c r="F81" s="840"/>
      <c r="G81" s="841"/>
      <c r="H81" s="841"/>
      <c r="I81" s="842"/>
      <c r="J81" s="1094"/>
      <c r="K81" s="1094"/>
      <c r="L81" s="1094"/>
      <c r="M81" s="1084"/>
      <c r="N81" s="1084"/>
      <c r="O81" s="1087"/>
      <c r="P81" s="1088"/>
      <c r="Q81" s="1091"/>
      <c r="R81" s="1092"/>
      <c r="S81" s="856"/>
      <c r="T81" s="841"/>
      <c r="U81" s="841"/>
      <c r="V81" s="842"/>
      <c r="W81" s="1094"/>
      <c r="X81" s="1094"/>
      <c r="Y81" s="1094"/>
      <c r="Z81" s="1084"/>
      <c r="AA81" s="1084"/>
      <c r="AB81" s="1096"/>
      <c r="AC81" s="1096"/>
      <c r="AD81" s="1098"/>
      <c r="AE81" s="1098"/>
      <c r="AF81" s="1098"/>
      <c r="AG81" s="1100"/>
      <c r="AH81" s="870"/>
      <c r="AI81" s="1102"/>
      <c r="AJ81" s="1102"/>
      <c r="AK81" s="912"/>
      <c r="AL81" s="913"/>
      <c r="AM81" s="942"/>
      <c r="AN81" s="1106"/>
      <c r="AO81" s="1106"/>
      <c r="AP81" s="1106"/>
      <c r="AQ81" s="1106"/>
      <c r="AU81" s="1108"/>
      <c r="AV81" s="1108"/>
      <c r="AW81" s="907"/>
      <c r="AX81" s="817"/>
      <c r="AY81" s="817"/>
      <c r="AZ81" s="879"/>
      <c r="BA81" s="817"/>
      <c r="BB81" s="1002"/>
      <c r="BC81" s="1104"/>
      <c r="BD81" s="1002"/>
      <c r="BE81" s="1002"/>
      <c r="BF81" s="1104"/>
      <c r="BG81"/>
      <c r="BH81" s="1002"/>
      <c r="BI81"/>
    </row>
    <row r="82" spans="2:61" ht="15.95" hidden="1" customHeight="1">
      <c r="B82" s="834">
        <v>34</v>
      </c>
      <c r="C82" s="1093"/>
      <c r="D82" s="1093"/>
      <c r="E82" s="1093"/>
      <c r="F82" s="871"/>
      <c r="G82" s="872"/>
      <c r="H82" s="872"/>
      <c r="I82" s="873"/>
      <c r="J82" s="1093"/>
      <c r="K82" s="1093"/>
      <c r="L82" s="1093"/>
      <c r="M82" s="1083"/>
      <c r="N82" s="1083"/>
      <c r="O82" s="1085" t="str">
        <f>IFERROR(IF(F82="","",INDEX(CMLIGHTBASE[Base Watt 1],MATCH(F82,CMLIGHTBASE[Base Desc 1],0))),"")</f>
        <v/>
      </c>
      <c r="P82" s="1086"/>
      <c r="Q82" s="1089"/>
      <c r="R82" s="1090"/>
      <c r="S82" s="890"/>
      <c r="T82" s="872"/>
      <c r="U82" s="872"/>
      <c r="V82" s="873"/>
      <c r="W82" s="1093"/>
      <c r="X82" s="1093"/>
      <c r="Y82" s="1093"/>
      <c r="Z82" s="1083"/>
      <c r="AA82" s="1083"/>
      <c r="AB82" s="1095"/>
      <c r="AC82" s="1095"/>
      <c r="AD82" s="1097"/>
      <c r="AE82" s="1097"/>
      <c r="AF82" s="1097"/>
      <c r="AG82" s="1099"/>
      <c r="AH82" s="924" t="str">
        <f t="shared" ref="AH82" si="160">IFERROR(IF(OR(C82="",J82="",M82="",O82="",Q82="",W82="",Z82="",AB82="",AD82="",AF82=""),"",ROUND((AD82+AF82)*Z82,2)),"")</f>
        <v/>
      </c>
      <c r="AI82" s="1101"/>
      <c r="AJ82" s="1101"/>
      <c r="AK82" s="910" t="str">
        <f t="shared" ref="AK82" si="161">IFERROR(IF(OR(C82="",F82="",J82="",M82="",O82="",Q82="",S82="",W82="",Z82="",AB82="",AD82="",AF82=""),"",ROUND(IF((M82*O82)&lt;=(Z82*AB82),"0",(AX82-AY82+BD82)*BE82),2)),"")</f>
        <v/>
      </c>
      <c r="AL82" s="911"/>
      <c r="AM82" s="975"/>
      <c r="AN82" s="1105" t="str">
        <f>IFERROR(IF(OR(C82="",F82="",J82="",M82="",O82="",Q82="",S82="",W82="",Z82="",AB82="",AD82="",AF82=""),"",IF(OR(ISNUMBER(SEARCH("~~",F82)),ISNUMBER(SEARCH("~~",S82))),"Invalid Fixture Type Selected",IF(BF82&lt;&gt;"",BF82,ROUND(MIN(AH82*0.75,AK82*INDEX(INCRATE[Electric],MATCH("CMLIGHT",INCRATE[Incentive Type]))),2)))),"")</f>
        <v/>
      </c>
      <c r="AO82" s="1105"/>
      <c r="AP82" s="1105"/>
      <c r="AQ82" s="1105"/>
      <c r="AU82" s="1109" t="str">
        <f>IF(F82="","",INDEX(CUSTLIGHTUNIT,MATCH(F82,CMELIGHTBASE1,0)))</f>
        <v/>
      </c>
      <c r="AV82" s="1107" t="str">
        <f>IFERROR(IF(OR(C82="",F82="",J82="",M82="",O82="",Q82="",S82="",W82="",Z82="",AB82="",AD82="",AF82=""),"",((((1+ELOSS)*((AK82*INDEX(ELECCB[NPV AEC $/kWh],MATCH(15,ELECCB[Year Number],0)))+(AW82*INDEX(ELECCB[NPV ACC+T&amp;D $/kW],MATCH(15,ELECCB[Year Number],0)))))+((1+GLOSS)*((BB82*INDEX(GASCB[NPV GAEC $/therm],MATCH(15,GASCB[Year Number],1))))))/AH82)),"")</f>
        <v/>
      </c>
      <c r="AW82" s="906" t="str">
        <f>IFERROR(IF(OR(C82="",F82="",J82="",M82="",O82="",Q82="",S82="",W82="",Z82="",AB82="",AD82="",AF82=""),"",IF(OR(ISNUMBER(SEARCH("Exterior",C82)),((M82*O82)&lt;=(Z82*AB82)),ISNUMBER(SEARCH("Exterior",S82)),ISNUMBER(SEARCH("Exterior",F82))),0,ROUND((((M82*O82)-(Z82*AB82))/1000)*INDEX(LightingWHF[Coincidence Factor CF],MATCH(M02S02F26,LightingWHF[Building/Space Type],0))*IF(OR(M02S02F32="AC with Natural Gas Heat",M02S02F32="AC with Electric Heat",M02S02F32="Heat Pump"),INDEX(LightingWHF[Waste Heat Cooling Demand WHFd],MATCH(M02S02F26,LightingWHF[Building/Space Type],0)),1),3))),"")</f>
        <v/>
      </c>
      <c r="AX82" s="816" t="str">
        <f t="shared" ref="AX82" si="162">IF(OR(C82="",F82="",J82="",M82="",O82="",Q82="",S82="",W82="",Z82="",AB82="",AD82="",AF82=""),"",ROUND(M82*O82*Q82/1000,2))</f>
        <v/>
      </c>
      <c r="AY82" s="816" t="str">
        <f t="shared" ref="AY82" si="163">IF(OR(C82="",F82="",J82="",M82="",O82="",Q82="",S82="",W82="",Z82="",AB82="",AD82="",AF82=""),"",ROUND(Z82*AB82*Q82/1000,2))</f>
        <v/>
      </c>
      <c r="AZ82" s="878" t="str">
        <f>IF(OR(C82="",F82="",J82="",M82="",O82="",Q82="",S82="",W82="",Z82="",AB82="",AD82="",AF82=""),"",IF(ISNUMBER(AN82),(CONCATENATE(INDEX(CMLIGHTBASE[Measure Number],MATCH(F82,CMLIGHTBASE[Base Desc 1],0)),INDEX(CMLIGHTEFF[Measure Number],MATCH(S82,CMLIGHTEFF[Eff Desc 1],0)))),IF(AK82=0,"","000001")))</f>
        <v/>
      </c>
      <c r="BA82" s="816" t="str">
        <f t="shared" ref="BA82" si="164">IF(OR(C82="",F82="",J82="",M82="",O82="",Q82="",S82="",W82="",Z82="",AB82="",AD82="",AF82=""),"",IF((M82*O82)&lt;=(Z82*AB82),"0",AX82-AY82))</f>
        <v/>
      </c>
      <c r="BB82" s="1064" t="str">
        <f>IF(OR(C82="",F82="",J82="",M82="",O82="",Q82="",S82="",W82="",Z82="",AB82="",AD82="",AF82=""),"",IF(M02S02F46="Electric Only",0,IF(OR(ISNUMBER(SEARCH("Exterior",S82)),ISNUMBER(SEARCH("Exterior",C82)),ISNUMBER(SEARCH("Exterior",F82))),0,IF(OR(M02S02F32="AC with Natural Gas Heat",M02S02F32="Natural Gas Heat Only"),(((O82*M82-AB82*Z82)/1000)*Q82*-INDEX(LightingWHF[Waste Heat Gas Heating IFTherms],MATCH(M02S02F26,LightingWHF[Building/Space Type],0))),0))))</f>
        <v/>
      </c>
      <c r="BC82" s="1103" t="str">
        <f>IFERROR(AH82/M02S02F35/BA82,"")</f>
        <v/>
      </c>
      <c r="BD82" s="1064" t="str">
        <f>IF(OR(C82="",F82="",J82="",M82="",O82="",Q82="",S82="",W82="",Z82="",AB82="",AD82="",AF82=""),"",IF(M02S02F46="Gas Only",0,IF(OR(ISNUMBER(SEARCH("Exterior",S82)),ISNUMBER(SEARCH("Exterior",C82)),ISNUMBER(SEARCH("Exterior",F82))),0,IF(M02S02F32="Heat Pump",(((O82*M82-AB82*Z82)/1000)*Q82*-INDEX(LightingWHF[Waste Heat Electric Heat Pump Heating IFkWh],MATCH(M02S02F26,LightingWHF[Building/Space Type],0))),
IF(OR(M02S02F32="AC with Electric Heat",M02S02F32="Electric Heat Only"),(((O82*M82-AB82*Z82)/1000)*Q82*-INDEX(LightingWHF[Waste Heat Electric Resistance Heating IFkWh],MATCH(M02S02F26,LightingWHF[Building/Space Type],0))),0
)))))</f>
        <v/>
      </c>
      <c r="BE82" s="1064" t="str">
        <f>IF(OR(C82="",F82="",J82="",M82="",O82="",Q82="",S82="",W82="",Z82="",AB82="",AD82="",AF82=""),"",IF(M02S02F46="Gas Only",0,IF(OR(ISNUMBER(SEARCH("Exterior",S82)),ISNUMBER(SEARCH("Exterior",C82)),ISNUMBER(SEARCH("Exterior",F82))),1,IF(OR(M02S02F32="Heat Pump",M02S02F32="AC with Natural Gas Heat",M02S02F32="AC with Electric Heat"),(INDEX(LightingWHF[Waste Heat Cooling Energy WHFe],MATCH(M02S02F26,LightingWHF[Building/Space Type],0))),1))))</f>
        <v/>
      </c>
      <c r="BF82" s="1103" t="str">
        <f>IFERROR(IF((M82*O82)&lt;=(Z82*AB82),MEASURESAVE,IF(M02S02F35="",MEASURERATE,IF(AH82/M02S02F35/BA82&lt;1,MEASUREPAY,IF(AV82&lt;1,MEASURECB,IF(OR(ISBLANK(M02S02F26),ISBLANK(M02S02F32),ISBLANK(M02S02F46)),MEASUREBLDG,""))))),MEASURESUBMIT)</f>
        <v>Submit for Review</v>
      </c>
      <c r="BG82"/>
      <c r="BH82" s="1001" t="str">
        <f ca="1">IF(OR(C82="",F82="",J82="",M82="",O82="",Q82="",S82="",W82="",Z82="",AB82="",AD82="",AF82=""),"",IF('M01-S01'!$V$82&lt;TODAY(),0,IF(M02S02F46="Gas Only",0,IF(OR(AK82="",AK82&lt;0,AH82&lt;=AN82),0,MIN(AH82-AN82,ROUND(IF(OR(ISNUMBER(SEARCH("T12",F82)),ISNUMBER(SEARCH("T8",F82)),ISNUMBER(SEARCH("T5",F82)),ISNUMBER(SEARCH("MH",F82)),ISNUMBER(SEARCH("HPS",F82)),ISNUMBER(SEARCH("MV",F82))),AN82*0.2),2))))))</f>
        <v/>
      </c>
      <c r="BI82"/>
    </row>
    <row r="83" spans="2:61" ht="15.95" hidden="1" customHeight="1">
      <c r="B83" s="834"/>
      <c r="C83" s="1094"/>
      <c r="D83" s="1094"/>
      <c r="E83" s="1094"/>
      <c r="F83" s="840"/>
      <c r="G83" s="841"/>
      <c r="H83" s="841"/>
      <c r="I83" s="842"/>
      <c r="J83" s="1094"/>
      <c r="K83" s="1094"/>
      <c r="L83" s="1094"/>
      <c r="M83" s="1084"/>
      <c r="N83" s="1084"/>
      <c r="O83" s="1087"/>
      <c r="P83" s="1088"/>
      <c r="Q83" s="1091"/>
      <c r="R83" s="1092"/>
      <c r="S83" s="856"/>
      <c r="T83" s="841"/>
      <c r="U83" s="841"/>
      <c r="V83" s="842"/>
      <c r="W83" s="1094"/>
      <c r="X83" s="1094"/>
      <c r="Y83" s="1094"/>
      <c r="Z83" s="1084"/>
      <c r="AA83" s="1084"/>
      <c r="AB83" s="1096"/>
      <c r="AC83" s="1096"/>
      <c r="AD83" s="1098"/>
      <c r="AE83" s="1098"/>
      <c r="AF83" s="1098"/>
      <c r="AG83" s="1100"/>
      <c r="AH83" s="870"/>
      <c r="AI83" s="1102"/>
      <c r="AJ83" s="1102"/>
      <c r="AK83" s="912"/>
      <c r="AL83" s="913"/>
      <c r="AM83" s="942"/>
      <c r="AN83" s="1106"/>
      <c r="AO83" s="1106"/>
      <c r="AP83" s="1106"/>
      <c r="AQ83" s="1106"/>
      <c r="AU83" s="1108"/>
      <c r="AV83" s="1108"/>
      <c r="AW83" s="907"/>
      <c r="AX83" s="817"/>
      <c r="AY83" s="817"/>
      <c r="AZ83" s="879"/>
      <c r="BA83" s="817"/>
      <c r="BB83" s="1002"/>
      <c r="BC83" s="1104"/>
      <c r="BD83" s="1002"/>
      <c r="BE83" s="1002"/>
      <c r="BF83" s="1104"/>
      <c r="BG83"/>
      <c r="BH83" s="1002"/>
      <c r="BI83"/>
    </row>
    <row r="84" spans="2:61" ht="15.95" hidden="1" customHeight="1">
      <c r="B84" s="834">
        <v>35</v>
      </c>
      <c r="C84" s="1093"/>
      <c r="D84" s="1093"/>
      <c r="E84" s="1093"/>
      <c r="F84" s="871"/>
      <c r="G84" s="872"/>
      <c r="H84" s="872"/>
      <c r="I84" s="873"/>
      <c r="J84" s="1093"/>
      <c r="K84" s="1093"/>
      <c r="L84" s="1093"/>
      <c r="M84" s="1083"/>
      <c r="N84" s="1083"/>
      <c r="O84" s="1085" t="str">
        <f>IFERROR(IF(F84="","",INDEX(CMLIGHTBASE[Base Watt 1],MATCH(F84,CMLIGHTBASE[Base Desc 1],0))),"")</f>
        <v/>
      </c>
      <c r="P84" s="1086"/>
      <c r="Q84" s="1089"/>
      <c r="R84" s="1090"/>
      <c r="S84" s="890"/>
      <c r="T84" s="872"/>
      <c r="U84" s="872"/>
      <c r="V84" s="873"/>
      <c r="W84" s="1093"/>
      <c r="X84" s="1093"/>
      <c r="Y84" s="1093"/>
      <c r="Z84" s="1083"/>
      <c r="AA84" s="1083"/>
      <c r="AB84" s="1095"/>
      <c r="AC84" s="1095"/>
      <c r="AD84" s="1097"/>
      <c r="AE84" s="1097"/>
      <c r="AF84" s="1097"/>
      <c r="AG84" s="1099"/>
      <c r="AH84" s="924" t="str">
        <f t="shared" ref="AH84" si="165">IFERROR(IF(OR(C84="",J84="",M84="",O84="",Q84="",W84="",Z84="",AB84="",AD84="",AF84=""),"",ROUND((AD84+AF84)*Z84,2)),"")</f>
        <v/>
      </c>
      <c r="AI84" s="1101"/>
      <c r="AJ84" s="1101"/>
      <c r="AK84" s="910" t="str">
        <f t="shared" ref="AK84" si="166">IFERROR(IF(OR(C84="",F84="",J84="",M84="",O84="",Q84="",S84="",W84="",Z84="",AB84="",AD84="",AF84=""),"",ROUND(IF((M84*O84)&lt;=(Z84*AB84),"0",(AX84-AY84+BD84)*BE84),2)),"")</f>
        <v/>
      </c>
      <c r="AL84" s="911"/>
      <c r="AM84" s="975"/>
      <c r="AN84" s="1105" t="str">
        <f>IFERROR(IF(OR(C84="",F84="",J84="",M84="",O84="",Q84="",S84="",W84="",Z84="",AB84="",AD84="",AF84=""),"",IF(OR(ISNUMBER(SEARCH("~~",F84)),ISNUMBER(SEARCH("~~",S84))),"Invalid Fixture Type Selected",IF(BF84&lt;&gt;"",BF84,ROUND(MIN(AH84*0.75,AK84*INDEX(INCRATE[Electric],MATCH("CMLIGHT",INCRATE[Incentive Type]))),2)))),"")</f>
        <v/>
      </c>
      <c r="AO84" s="1105"/>
      <c r="AP84" s="1105"/>
      <c r="AQ84" s="1105"/>
      <c r="AU84" s="1109" t="str">
        <f>IF(F84="","",INDEX(CUSTLIGHTUNIT,MATCH(F84,CMELIGHTBASE1,0)))</f>
        <v/>
      </c>
      <c r="AV84" s="1107" t="str">
        <f>IFERROR(IF(OR(C84="",F84="",J84="",M84="",O84="",Q84="",S84="",W84="",Z84="",AB84="",AD84="",AF84=""),"",((((1+ELOSS)*((AK84*INDEX(ELECCB[NPV AEC $/kWh],MATCH(15,ELECCB[Year Number],0)))+(AW84*INDEX(ELECCB[NPV ACC+T&amp;D $/kW],MATCH(15,ELECCB[Year Number],0)))))+((1+GLOSS)*((BB84*INDEX(GASCB[NPV GAEC $/therm],MATCH(15,GASCB[Year Number],1))))))/AH84)),"")</f>
        <v/>
      </c>
      <c r="AW84" s="906" t="str">
        <f>IFERROR(IF(OR(C84="",F84="",J84="",M84="",O84="",Q84="",S84="",W84="",Z84="",AB84="",AD84="",AF84=""),"",IF(OR(ISNUMBER(SEARCH("Exterior",C84)),((M84*O84)&lt;=(Z84*AB84)),ISNUMBER(SEARCH("Exterior",S84)),ISNUMBER(SEARCH("Exterior",F84))),0,ROUND((((M84*O84)-(Z84*AB84))/1000)*INDEX(LightingWHF[Coincidence Factor CF],MATCH(M02S02F26,LightingWHF[Building/Space Type],0))*IF(OR(M02S02F32="AC with Natural Gas Heat",M02S02F32="AC with Electric Heat",M02S02F32="Heat Pump"),INDEX(LightingWHF[Waste Heat Cooling Demand WHFd],MATCH(M02S02F26,LightingWHF[Building/Space Type],0)),1),3))),"")</f>
        <v/>
      </c>
      <c r="AX84" s="816" t="str">
        <f t="shared" ref="AX84" si="167">IF(OR(C84="",F84="",J84="",M84="",O84="",Q84="",S84="",W84="",Z84="",AB84="",AD84="",AF84=""),"",ROUND(M84*O84*Q84/1000,2))</f>
        <v/>
      </c>
      <c r="AY84" s="816" t="str">
        <f t="shared" ref="AY84" si="168">IF(OR(C84="",F84="",J84="",M84="",O84="",Q84="",S84="",W84="",Z84="",AB84="",AD84="",AF84=""),"",ROUND(Z84*AB84*Q84/1000,2))</f>
        <v/>
      </c>
      <c r="AZ84" s="878" t="str">
        <f>IF(OR(C84="",F84="",J84="",M84="",O84="",Q84="",S84="",W84="",Z84="",AB84="",AD84="",AF84=""),"",IF(ISNUMBER(AN84),(CONCATENATE(INDEX(CMLIGHTBASE[Measure Number],MATCH(F84,CMLIGHTBASE[Base Desc 1],0)),INDEX(CMLIGHTEFF[Measure Number],MATCH(S84,CMLIGHTEFF[Eff Desc 1],0)))),IF(AK84=0,"","000001")))</f>
        <v/>
      </c>
      <c r="BA84" s="816" t="str">
        <f t="shared" ref="BA84" si="169">IF(OR(C84="",F84="",J84="",M84="",O84="",Q84="",S84="",W84="",Z84="",AB84="",AD84="",AF84=""),"",IF((M84*O84)&lt;=(Z84*AB84),"0",AX84-AY84))</f>
        <v/>
      </c>
      <c r="BB84" s="1064" t="str">
        <f>IF(OR(C84="",F84="",J84="",M84="",O84="",Q84="",S84="",W84="",Z84="",AB84="",AD84="",AF84=""),"",IF(M02S02F46="Electric Only",0,IF(OR(ISNUMBER(SEARCH("Exterior",S84)),ISNUMBER(SEARCH("Exterior",C84)),ISNUMBER(SEARCH("Exterior",F84))),0,IF(OR(M02S02F32="AC with Natural Gas Heat",M02S02F32="Natural Gas Heat Only"),(((O84*M84-AB84*Z84)/1000)*Q84*-INDEX(LightingWHF[Waste Heat Gas Heating IFTherms],MATCH(M02S02F26,LightingWHF[Building/Space Type],0))),0))))</f>
        <v/>
      </c>
      <c r="BC84" s="1103" t="str">
        <f>IFERROR(AH84/M02S02F35/BA84,"")</f>
        <v/>
      </c>
      <c r="BD84" s="1064" t="str">
        <f>IF(OR(C84="",F84="",J84="",M84="",O84="",Q84="",S84="",W84="",Z84="",AB84="",AD84="",AF84=""),"",IF(M02S02F46="Gas Only",0,IF(OR(ISNUMBER(SEARCH("Exterior",S84)),ISNUMBER(SEARCH("Exterior",C84)),ISNUMBER(SEARCH("Exterior",F84))),0,IF(M02S02F32="Heat Pump",(((O84*M84-AB84*Z84)/1000)*Q84*-INDEX(LightingWHF[Waste Heat Electric Heat Pump Heating IFkWh],MATCH(M02S02F26,LightingWHF[Building/Space Type],0))),
IF(OR(M02S02F32="AC with Electric Heat",M02S02F32="Electric Heat Only"),(((O84*M84-AB84*Z84)/1000)*Q84*-INDEX(LightingWHF[Waste Heat Electric Resistance Heating IFkWh],MATCH(M02S02F26,LightingWHF[Building/Space Type],0))),0
)))))</f>
        <v/>
      </c>
      <c r="BE84" s="1064" t="str">
        <f>IF(OR(C84="",F84="",J84="",M84="",O84="",Q84="",S84="",W84="",Z84="",AB84="",AD84="",AF84=""),"",IF(M02S02F46="Gas Only",0,IF(OR(ISNUMBER(SEARCH("Exterior",S84)),ISNUMBER(SEARCH("Exterior",C84)),ISNUMBER(SEARCH("Exterior",F84))),1,IF(OR(M02S02F32="Heat Pump",M02S02F32="AC with Natural Gas Heat",M02S02F32="AC with Electric Heat"),(INDEX(LightingWHF[Waste Heat Cooling Energy WHFe],MATCH(M02S02F26,LightingWHF[Building/Space Type],0))),1))))</f>
        <v/>
      </c>
      <c r="BF84" s="1103" t="str">
        <f>IFERROR(IF((M84*O84)&lt;=(Z84*AB84),MEASURESAVE,IF(M02S02F35="",MEASURERATE,IF(AH84/M02S02F35/BA84&lt;1,MEASUREPAY,IF(AV84&lt;1,MEASURECB,IF(OR(ISBLANK(M02S02F26),ISBLANK(M02S02F32),ISBLANK(M02S02F46)),MEASUREBLDG,""))))),MEASURESUBMIT)</f>
        <v>Submit for Review</v>
      </c>
      <c r="BG84"/>
      <c r="BH84" s="1001" t="str">
        <f ca="1">IF(OR(C84="",F84="",J84="",M84="",O84="",Q84="",S84="",W84="",Z84="",AB84="",AD84="",AF84=""),"",IF('M01-S01'!$V$82&lt;TODAY(),0,IF(M02S02F46="Gas Only",0,IF(OR(AK84="",AK84&lt;0,AH84&lt;=AN84),0,MIN(AH84-AN84,ROUND(IF(OR(ISNUMBER(SEARCH("T12",F84)),ISNUMBER(SEARCH("T8",F84)),ISNUMBER(SEARCH("T5",F84)),ISNUMBER(SEARCH("MH",F84)),ISNUMBER(SEARCH("HPS",F84)),ISNUMBER(SEARCH("MV",F84))),AN84*0.2),2))))))</f>
        <v/>
      </c>
      <c r="BI84"/>
    </row>
    <row r="85" spans="2:61" ht="15.95" hidden="1" customHeight="1">
      <c r="B85" s="834"/>
      <c r="C85" s="1094"/>
      <c r="D85" s="1094"/>
      <c r="E85" s="1094"/>
      <c r="F85" s="840"/>
      <c r="G85" s="841"/>
      <c r="H85" s="841"/>
      <c r="I85" s="842"/>
      <c r="J85" s="1094"/>
      <c r="K85" s="1094"/>
      <c r="L85" s="1094"/>
      <c r="M85" s="1084"/>
      <c r="N85" s="1084"/>
      <c r="O85" s="1087"/>
      <c r="P85" s="1088"/>
      <c r="Q85" s="1091"/>
      <c r="R85" s="1092"/>
      <c r="S85" s="856"/>
      <c r="T85" s="841"/>
      <c r="U85" s="841"/>
      <c r="V85" s="842"/>
      <c r="W85" s="1094"/>
      <c r="X85" s="1094"/>
      <c r="Y85" s="1094"/>
      <c r="Z85" s="1084"/>
      <c r="AA85" s="1084"/>
      <c r="AB85" s="1096"/>
      <c r="AC85" s="1096"/>
      <c r="AD85" s="1098"/>
      <c r="AE85" s="1098"/>
      <c r="AF85" s="1098"/>
      <c r="AG85" s="1100"/>
      <c r="AH85" s="870"/>
      <c r="AI85" s="1102"/>
      <c r="AJ85" s="1102"/>
      <c r="AK85" s="912"/>
      <c r="AL85" s="913"/>
      <c r="AM85" s="942"/>
      <c r="AN85" s="1106"/>
      <c r="AO85" s="1106"/>
      <c r="AP85" s="1106"/>
      <c r="AQ85" s="1106"/>
      <c r="AU85" s="1108"/>
      <c r="AV85" s="1108"/>
      <c r="AW85" s="907"/>
      <c r="AX85" s="817"/>
      <c r="AY85" s="817"/>
      <c r="AZ85" s="879"/>
      <c r="BA85" s="817"/>
      <c r="BB85" s="1002"/>
      <c r="BC85" s="1104"/>
      <c r="BD85" s="1002"/>
      <c r="BE85" s="1002"/>
      <c r="BF85" s="1104"/>
      <c r="BG85"/>
      <c r="BH85" s="1002"/>
      <c r="BI85"/>
    </row>
    <row r="86" spans="2:61" ht="15.95" hidden="1" customHeight="1">
      <c r="B86" s="834">
        <v>36</v>
      </c>
      <c r="C86" s="1093"/>
      <c r="D86" s="1093"/>
      <c r="E86" s="1093"/>
      <c r="F86" s="871"/>
      <c r="G86" s="872"/>
      <c r="H86" s="872"/>
      <c r="I86" s="873"/>
      <c r="J86" s="1093"/>
      <c r="K86" s="1093"/>
      <c r="L86" s="1093"/>
      <c r="M86" s="1083"/>
      <c r="N86" s="1083"/>
      <c r="O86" s="1085" t="str">
        <f>IFERROR(IF(F86="","",INDEX(CMLIGHTBASE[Base Watt 1],MATCH(F86,CMLIGHTBASE[Base Desc 1],0))),"")</f>
        <v/>
      </c>
      <c r="P86" s="1086"/>
      <c r="Q86" s="1089"/>
      <c r="R86" s="1090"/>
      <c r="S86" s="890"/>
      <c r="T86" s="872"/>
      <c r="U86" s="872"/>
      <c r="V86" s="873"/>
      <c r="W86" s="1093"/>
      <c r="X86" s="1093"/>
      <c r="Y86" s="1093"/>
      <c r="Z86" s="1083"/>
      <c r="AA86" s="1083"/>
      <c r="AB86" s="1095"/>
      <c r="AC86" s="1095"/>
      <c r="AD86" s="1097"/>
      <c r="AE86" s="1097"/>
      <c r="AF86" s="1097"/>
      <c r="AG86" s="1099"/>
      <c r="AH86" s="924" t="str">
        <f t="shared" ref="AH86" si="170">IFERROR(IF(OR(C86="",J86="",M86="",O86="",Q86="",W86="",Z86="",AB86="",AD86="",AF86=""),"",ROUND((AD86+AF86)*Z86,2)),"")</f>
        <v/>
      </c>
      <c r="AI86" s="1101"/>
      <c r="AJ86" s="1101"/>
      <c r="AK86" s="910" t="str">
        <f t="shared" ref="AK86" si="171">IFERROR(IF(OR(C86="",F86="",J86="",M86="",O86="",Q86="",S86="",W86="",Z86="",AB86="",AD86="",AF86=""),"",ROUND(IF((M86*O86)&lt;=(Z86*AB86),"0",(AX86-AY86+BD86)*BE86),2)),"")</f>
        <v/>
      </c>
      <c r="AL86" s="911"/>
      <c r="AM86" s="975"/>
      <c r="AN86" s="1105" t="str">
        <f>IFERROR(IF(OR(C86="",F86="",J86="",M86="",O86="",Q86="",S86="",W86="",Z86="",AB86="",AD86="",AF86=""),"",IF(OR(ISNUMBER(SEARCH("~~",F86)),ISNUMBER(SEARCH("~~",S86))),"Invalid Fixture Type Selected",IF(BF86&lt;&gt;"",BF86,ROUND(MIN(AH86*0.75,AK86*INDEX(INCRATE[Electric],MATCH("CMLIGHT",INCRATE[Incentive Type]))),2)))),"")</f>
        <v/>
      </c>
      <c r="AO86" s="1105"/>
      <c r="AP86" s="1105"/>
      <c r="AQ86" s="1105"/>
      <c r="AU86" s="1109" t="str">
        <f>IF(F86="","",INDEX(CUSTLIGHTUNIT,MATCH(F86,CMELIGHTBASE1,0)))</f>
        <v/>
      </c>
      <c r="AV86" s="1107" t="str">
        <f>IFERROR(IF(OR(C86="",F86="",J86="",M86="",O86="",Q86="",S86="",W86="",Z86="",AB86="",AD86="",AF86=""),"",((((1+ELOSS)*((AK86*INDEX(ELECCB[NPV AEC $/kWh],MATCH(15,ELECCB[Year Number],0)))+(AW86*INDEX(ELECCB[NPV ACC+T&amp;D $/kW],MATCH(15,ELECCB[Year Number],0)))))+((1+GLOSS)*((BB86*INDEX(GASCB[NPV GAEC $/therm],MATCH(15,GASCB[Year Number],1))))))/AH86)),"")</f>
        <v/>
      </c>
      <c r="AW86" s="906" t="str">
        <f>IFERROR(IF(OR(C86="",F86="",J86="",M86="",O86="",Q86="",S86="",W86="",Z86="",AB86="",AD86="",AF86=""),"",IF(OR(ISNUMBER(SEARCH("Exterior",C86)),((M86*O86)&lt;=(Z86*AB86)),ISNUMBER(SEARCH("Exterior",S86)),ISNUMBER(SEARCH("Exterior",F86))),0,ROUND((((M86*O86)-(Z86*AB86))/1000)*INDEX(LightingWHF[Coincidence Factor CF],MATCH(M02S02F26,LightingWHF[Building/Space Type],0))*IF(OR(M02S02F32="AC with Natural Gas Heat",M02S02F32="AC with Electric Heat",M02S02F32="Heat Pump"),INDEX(LightingWHF[Waste Heat Cooling Demand WHFd],MATCH(M02S02F26,LightingWHF[Building/Space Type],0)),1),3))),"")</f>
        <v/>
      </c>
      <c r="AX86" s="816" t="str">
        <f t="shared" ref="AX86" si="172">IF(OR(C86="",F86="",J86="",M86="",O86="",Q86="",S86="",W86="",Z86="",AB86="",AD86="",AF86=""),"",ROUND(M86*O86*Q86/1000,2))</f>
        <v/>
      </c>
      <c r="AY86" s="816" t="str">
        <f t="shared" ref="AY86" si="173">IF(OR(C86="",F86="",J86="",M86="",O86="",Q86="",S86="",W86="",Z86="",AB86="",AD86="",AF86=""),"",ROUND(Z86*AB86*Q86/1000,2))</f>
        <v/>
      </c>
      <c r="AZ86" s="878" t="str">
        <f>IF(OR(C86="",F86="",J86="",M86="",O86="",Q86="",S86="",W86="",Z86="",AB86="",AD86="",AF86=""),"",IF(ISNUMBER(AN86),(CONCATENATE(INDEX(CMLIGHTBASE[Measure Number],MATCH(F86,CMLIGHTBASE[Base Desc 1],0)),INDEX(CMLIGHTEFF[Measure Number],MATCH(S86,CMLIGHTEFF[Eff Desc 1],0)))),IF(AK86=0,"","000001")))</f>
        <v/>
      </c>
      <c r="BA86" s="816" t="str">
        <f t="shared" ref="BA86" si="174">IF(OR(C86="",F86="",J86="",M86="",O86="",Q86="",S86="",W86="",Z86="",AB86="",AD86="",AF86=""),"",IF((M86*O86)&lt;=(Z86*AB86),"0",AX86-AY86))</f>
        <v/>
      </c>
      <c r="BB86" s="1064" t="str">
        <f>IF(OR(C86="",F86="",J86="",M86="",O86="",Q86="",S86="",W86="",Z86="",AB86="",AD86="",AF86=""),"",IF(M02S02F46="Electric Only",0,IF(OR(ISNUMBER(SEARCH("Exterior",S86)),ISNUMBER(SEARCH("Exterior",C86)),ISNUMBER(SEARCH("Exterior",F86))),0,IF(OR(M02S02F32="AC with Natural Gas Heat",M02S02F32="Natural Gas Heat Only"),(((O86*M86-AB86*Z86)/1000)*Q86*-INDEX(LightingWHF[Waste Heat Gas Heating IFTherms],MATCH(M02S02F26,LightingWHF[Building/Space Type],0))),0))))</f>
        <v/>
      </c>
      <c r="BC86" s="1103" t="str">
        <f>IFERROR(AH86/M02S02F35/BA86,"")</f>
        <v/>
      </c>
      <c r="BD86" s="1064" t="str">
        <f>IF(OR(C86="",F86="",J86="",M86="",O86="",Q86="",S86="",W86="",Z86="",AB86="",AD86="",AF86=""),"",IF(M02S02F46="Gas Only",0,IF(OR(ISNUMBER(SEARCH("Exterior",S86)),ISNUMBER(SEARCH("Exterior",C86)),ISNUMBER(SEARCH("Exterior",F86))),0,IF(M02S02F32="Heat Pump",(((O86*M86-AB86*Z86)/1000)*Q86*-INDEX(LightingWHF[Waste Heat Electric Heat Pump Heating IFkWh],MATCH(M02S02F26,LightingWHF[Building/Space Type],0))),
IF(OR(M02S02F32="AC with Electric Heat",M02S02F32="Electric Heat Only"),(((O86*M86-AB86*Z86)/1000)*Q86*-INDEX(LightingWHF[Waste Heat Electric Resistance Heating IFkWh],MATCH(M02S02F26,LightingWHF[Building/Space Type],0))),0
)))))</f>
        <v/>
      </c>
      <c r="BE86" s="1064" t="str">
        <f>IF(OR(C86="",F86="",J86="",M86="",O86="",Q86="",S86="",W86="",Z86="",AB86="",AD86="",AF86=""),"",IF(M02S02F46="Gas Only",0,IF(OR(ISNUMBER(SEARCH("Exterior",S86)),ISNUMBER(SEARCH("Exterior",C86)),ISNUMBER(SEARCH("Exterior",F86))),1,IF(OR(M02S02F32="Heat Pump",M02S02F32="AC with Natural Gas Heat",M02S02F32="AC with Electric Heat"),(INDEX(LightingWHF[Waste Heat Cooling Energy WHFe],MATCH(M02S02F26,LightingWHF[Building/Space Type],0))),1))))</f>
        <v/>
      </c>
      <c r="BF86" s="1103" t="str">
        <f>IFERROR(IF((M86*O86)&lt;=(Z86*AB86),MEASURESAVE,IF(M02S02F35="",MEASURERATE,IF(AH86/M02S02F35/BA86&lt;1,MEASUREPAY,IF(AV86&lt;1,MEASURECB,IF(OR(ISBLANK(M02S02F26),ISBLANK(M02S02F32),ISBLANK(M02S02F46)),MEASUREBLDG,""))))),MEASURESUBMIT)</f>
        <v>Submit for Review</v>
      </c>
      <c r="BG86"/>
      <c r="BH86" s="1001" t="str">
        <f ca="1">IF(OR(C86="",F86="",J86="",M86="",O86="",Q86="",S86="",W86="",Z86="",AB86="",AD86="",AF86=""),"",IF('M01-S01'!$V$82&lt;TODAY(),0,IF(M02S02F46="Gas Only",0,IF(OR(AK86="",AK86&lt;0,AH86&lt;=AN86),0,MIN(AH86-AN86,ROUND(IF(OR(ISNUMBER(SEARCH("T12",F86)),ISNUMBER(SEARCH("T8",F86)),ISNUMBER(SEARCH("T5",F86)),ISNUMBER(SEARCH("MH",F86)),ISNUMBER(SEARCH("HPS",F86)),ISNUMBER(SEARCH("MV",F86))),AN86*0.2),2))))))</f>
        <v/>
      </c>
      <c r="BI86"/>
    </row>
    <row r="87" spans="2:61" ht="15.95" hidden="1" customHeight="1">
      <c r="B87" s="834"/>
      <c r="C87" s="1094"/>
      <c r="D87" s="1094"/>
      <c r="E87" s="1094"/>
      <c r="F87" s="840"/>
      <c r="G87" s="841"/>
      <c r="H87" s="841"/>
      <c r="I87" s="842"/>
      <c r="J87" s="1094"/>
      <c r="K87" s="1094"/>
      <c r="L87" s="1094"/>
      <c r="M87" s="1084"/>
      <c r="N87" s="1084"/>
      <c r="O87" s="1087"/>
      <c r="P87" s="1088"/>
      <c r="Q87" s="1091"/>
      <c r="R87" s="1092"/>
      <c r="S87" s="856"/>
      <c r="T87" s="841"/>
      <c r="U87" s="841"/>
      <c r="V87" s="842"/>
      <c r="W87" s="1094"/>
      <c r="X87" s="1094"/>
      <c r="Y87" s="1094"/>
      <c r="Z87" s="1084"/>
      <c r="AA87" s="1084"/>
      <c r="AB87" s="1096"/>
      <c r="AC87" s="1096"/>
      <c r="AD87" s="1098"/>
      <c r="AE87" s="1098"/>
      <c r="AF87" s="1098"/>
      <c r="AG87" s="1100"/>
      <c r="AH87" s="870"/>
      <c r="AI87" s="1102"/>
      <c r="AJ87" s="1102"/>
      <c r="AK87" s="912"/>
      <c r="AL87" s="913"/>
      <c r="AM87" s="942"/>
      <c r="AN87" s="1106"/>
      <c r="AO87" s="1106"/>
      <c r="AP87" s="1106"/>
      <c r="AQ87" s="1106"/>
      <c r="AU87" s="1108"/>
      <c r="AV87" s="1108"/>
      <c r="AW87" s="907"/>
      <c r="AX87" s="817"/>
      <c r="AY87" s="817"/>
      <c r="AZ87" s="879"/>
      <c r="BA87" s="817"/>
      <c r="BB87" s="1002"/>
      <c r="BC87" s="1104"/>
      <c r="BD87" s="1002"/>
      <c r="BE87" s="1002"/>
      <c r="BF87" s="1104"/>
      <c r="BG87"/>
      <c r="BH87" s="1002"/>
      <c r="BI87"/>
    </row>
    <row r="88" spans="2:61" ht="15.95" hidden="1" customHeight="1">
      <c r="B88" s="834">
        <v>37</v>
      </c>
      <c r="C88" s="1093"/>
      <c r="D88" s="1093"/>
      <c r="E88" s="1093"/>
      <c r="F88" s="871"/>
      <c r="G88" s="872"/>
      <c r="H88" s="872"/>
      <c r="I88" s="873"/>
      <c r="J88" s="1093"/>
      <c r="K88" s="1093"/>
      <c r="L88" s="1093"/>
      <c r="M88" s="1083"/>
      <c r="N88" s="1083"/>
      <c r="O88" s="1085" t="str">
        <f>IFERROR(IF(F88="","",INDEX(CMLIGHTBASE[Base Watt 1],MATCH(F88,CMLIGHTBASE[Base Desc 1],0))),"")</f>
        <v/>
      </c>
      <c r="P88" s="1086"/>
      <c r="Q88" s="1089"/>
      <c r="R88" s="1090"/>
      <c r="S88" s="890"/>
      <c r="T88" s="872"/>
      <c r="U88" s="872"/>
      <c r="V88" s="873"/>
      <c r="W88" s="1093"/>
      <c r="X88" s="1093"/>
      <c r="Y88" s="1093"/>
      <c r="Z88" s="1083"/>
      <c r="AA88" s="1083"/>
      <c r="AB88" s="1095"/>
      <c r="AC88" s="1095"/>
      <c r="AD88" s="1097"/>
      <c r="AE88" s="1097"/>
      <c r="AF88" s="1097"/>
      <c r="AG88" s="1099"/>
      <c r="AH88" s="924" t="str">
        <f t="shared" ref="AH88" si="175">IFERROR(IF(OR(C88="",J88="",M88="",O88="",Q88="",W88="",Z88="",AB88="",AD88="",AF88=""),"",ROUND((AD88+AF88)*Z88,2)),"")</f>
        <v/>
      </c>
      <c r="AI88" s="1101"/>
      <c r="AJ88" s="1101"/>
      <c r="AK88" s="910" t="str">
        <f t="shared" ref="AK88" si="176">IFERROR(IF(OR(C88="",F88="",J88="",M88="",O88="",Q88="",S88="",W88="",Z88="",AB88="",AD88="",AF88=""),"",ROUND(IF((M88*O88)&lt;=(Z88*AB88),"0",(AX88-AY88+BD88)*BE88),2)),"")</f>
        <v/>
      </c>
      <c r="AL88" s="911"/>
      <c r="AM88" s="975"/>
      <c r="AN88" s="1105" t="str">
        <f>IFERROR(IF(OR(C88="",F88="",J88="",M88="",O88="",Q88="",S88="",W88="",Z88="",AB88="",AD88="",AF88=""),"",IF(OR(ISNUMBER(SEARCH("~~",F88)),ISNUMBER(SEARCH("~~",S88))),"Invalid Fixture Type Selected",IF(BF88&lt;&gt;"",BF88,ROUND(MIN(AH88*0.75,AK88*INDEX(INCRATE[Electric],MATCH("CMLIGHT",INCRATE[Incentive Type]))),2)))),"")</f>
        <v/>
      </c>
      <c r="AO88" s="1105"/>
      <c r="AP88" s="1105"/>
      <c r="AQ88" s="1105"/>
      <c r="AU88" s="1109" t="str">
        <f>IF(F88="","",INDEX(CUSTLIGHTUNIT,MATCH(F88,CMELIGHTBASE1,0)))</f>
        <v/>
      </c>
      <c r="AV88" s="1107" t="str">
        <f>IFERROR(IF(OR(C88="",F88="",J88="",M88="",O88="",Q88="",S88="",W88="",Z88="",AB88="",AD88="",AF88=""),"",((((1+ELOSS)*((AK88*INDEX(ELECCB[NPV AEC $/kWh],MATCH(15,ELECCB[Year Number],0)))+(AW88*INDEX(ELECCB[NPV ACC+T&amp;D $/kW],MATCH(15,ELECCB[Year Number],0)))))+((1+GLOSS)*((BB88*INDEX(GASCB[NPV GAEC $/therm],MATCH(15,GASCB[Year Number],1))))))/AH88)),"")</f>
        <v/>
      </c>
      <c r="AW88" s="906" t="str">
        <f>IFERROR(IF(OR(C88="",F88="",J88="",M88="",O88="",Q88="",S88="",W88="",Z88="",AB88="",AD88="",AF88=""),"",IF(OR(ISNUMBER(SEARCH("Exterior",C88)),((M88*O88)&lt;=(Z88*AB88)),ISNUMBER(SEARCH("Exterior",S88)),ISNUMBER(SEARCH("Exterior",F88))),0,ROUND((((M88*O88)-(Z88*AB88))/1000)*INDEX(LightingWHF[Coincidence Factor CF],MATCH(M02S02F26,LightingWHF[Building/Space Type],0))*IF(OR(M02S02F32="AC with Natural Gas Heat",M02S02F32="AC with Electric Heat",M02S02F32="Heat Pump"),INDEX(LightingWHF[Waste Heat Cooling Demand WHFd],MATCH(M02S02F26,LightingWHF[Building/Space Type],0)),1),3))),"")</f>
        <v/>
      </c>
      <c r="AX88" s="816" t="str">
        <f t="shared" ref="AX88" si="177">IF(OR(C88="",F88="",J88="",M88="",O88="",Q88="",S88="",W88="",Z88="",AB88="",AD88="",AF88=""),"",ROUND(M88*O88*Q88/1000,2))</f>
        <v/>
      </c>
      <c r="AY88" s="816" t="str">
        <f t="shared" ref="AY88" si="178">IF(OR(C88="",F88="",J88="",M88="",O88="",Q88="",S88="",W88="",Z88="",AB88="",AD88="",AF88=""),"",ROUND(Z88*AB88*Q88/1000,2))</f>
        <v/>
      </c>
      <c r="AZ88" s="878" t="str">
        <f>IF(OR(C88="",F88="",J88="",M88="",O88="",Q88="",S88="",W88="",Z88="",AB88="",AD88="",AF88=""),"",IF(ISNUMBER(AN88),(CONCATENATE(INDEX(CMLIGHTBASE[Measure Number],MATCH(F88,CMLIGHTBASE[Base Desc 1],0)),INDEX(CMLIGHTEFF[Measure Number],MATCH(S88,CMLIGHTEFF[Eff Desc 1],0)))),IF(AK88=0,"","000001")))</f>
        <v/>
      </c>
      <c r="BA88" s="816" t="str">
        <f t="shared" ref="BA88" si="179">IF(OR(C88="",F88="",J88="",M88="",O88="",Q88="",S88="",W88="",Z88="",AB88="",AD88="",AF88=""),"",IF((M88*O88)&lt;=(Z88*AB88),"0",AX88-AY88))</f>
        <v/>
      </c>
      <c r="BB88" s="1064" t="str">
        <f>IF(OR(C88="",F88="",J88="",M88="",O88="",Q88="",S88="",W88="",Z88="",AB88="",AD88="",AF88=""),"",IF(M02S02F46="Electric Only",0,IF(OR(ISNUMBER(SEARCH("Exterior",S88)),ISNUMBER(SEARCH("Exterior",C88)),ISNUMBER(SEARCH("Exterior",F88))),0,IF(OR(M02S02F32="AC with Natural Gas Heat",M02S02F32="Natural Gas Heat Only"),(((O88*M88-AB88*Z88)/1000)*Q88*-INDEX(LightingWHF[Waste Heat Gas Heating IFTherms],MATCH(M02S02F26,LightingWHF[Building/Space Type],0))),0))))</f>
        <v/>
      </c>
      <c r="BC88" s="1103" t="str">
        <f>IFERROR(AH88/M02S02F35/BA88,"")</f>
        <v/>
      </c>
      <c r="BD88" s="1064" t="str">
        <f>IF(OR(C88="",F88="",J88="",M88="",O88="",Q88="",S88="",W88="",Z88="",AB88="",AD88="",AF88=""),"",IF(M02S02F46="Gas Only",0,IF(OR(ISNUMBER(SEARCH("Exterior",S88)),ISNUMBER(SEARCH("Exterior",C88)),ISNUMBER(SEARCH("Exterior",F88))),0,IF(M02S02F32="Heat Pump",(((O88*M88-AB88*Z88)/1000)*Q88*-INDEX(LightingWHF[Waste Heat Electric Heat Pump Heating IFkWh],MATCH(M02S02F26,LightingWHF[Building/Space Type],0))),
IF(OR(M02S02F32="AC with Electric Heat",M02S02F32="Electric Heat Only"),(((O88*M88-AB88*Z88)/1000)*Q88*-INDEX(LightingWHF[Waste Heat Electric Resistance Heating IFkWh],MATCH(M02S02F26,LightingWHF[Building/Space Type],0))),0
)))))</f>
        <v/>
      </c>
      <c r="BE88" s="1064" t="str">
        <f>IF(OR(C88="",F88="",J88="",M88="",O88="",Q88="",S88="",W88="",Z88="",AB88="",AD88="",AF88=""),"",IF(M02S02F46="Gas Only",0,IF(OR(ISNUMBER(SEARCH("Exterior",S88)),ISNUMBER(SEARCH("Exterior",C88)),ISNUMBER(SEARCH("Exterior",F88))),1,IF(OR(M02S02F32="Heat Pump",M02S02F32="AC with Natural Gas Heat",M02S02F32="AC with Electric Heat"),(INDEX(LightingWHF[Waste Heat Cooling Energy WHFe],MATCH(M02S02F26,LightingWHF[Building/Space Type],0))),1))))</f>
        <v/>
      </c>
      <c r="BF88" s="1103" t="str">
        <f>IFERROR(IF((M88*O88)&lt;=(Z88*AB88),MEASURESAVE,IF(M02S02F35="",MEASURERATE,IF(AH88/M02S02F35/BA88&lt;1,MEASUREPAY,IF(AV88&lt;1,MEASURECB,IF(OR(ISBLANK(M02S02F26),ISBLANK(M02S02F32),ISBLANK(M02S02F46)),MEASUREBLDG,""))))),MEASURESUBMIT)</f>
        <v>Submit for Review</v>
      </c>
      <c r="BG88"/>
      <c r="BH88" s="1001" t="str">
        <f ca="1">IF(OR(C88="",F88="",J88="",M88="",O88="",Q88="",S88="",W88="",Z88="",AB88="",AD88="",AF88=""),"",IF('M01-S01'!$V$82&lt;TODAY(),0,IF(M02S02F46="Gas Only",0,IF(OR(AK88="",AK88&lt;0,AH88&lt;=AN88),0,MIN(AH88-AN88,ROUND(IF(OR(ISNUMBER(SEARCH("T12",F88)),ISNUMBER(SEARCH("T8",F88)),ISNUMBER(SEARCH("T5",F88)),ISNUMBER(SEARCH("MH",F88)),ISNUMBER(SEARCH("HPS",F88)),ISNUMBER(SEARCH("MV",F88))),AN88*0.2),2))))))</f>
        <v/>
      </c>
      <c r="BI88"/>
    </row>
    <row r="89" spans="2:61" ht="15.95" hidden="1" customHeight="1">
      <c r="B89" s="834"/>
      <c r="C89" s="1094"/>
      <c r="D89" s="1094"/>
      <c r="E89" s="1094"/>
      <c r="F89" s="840"/>
      <c r="G89" s="841"/>
      <c r="H89" s="841"/>
      <c r="I89" s="842"/>
      <c r="J89" s="1094"/>
      <c r="K89" s="1094"/>
      <c r="L89" s="1094"/>
      <c r="M89" s="1084"/>
      <c r="N89" s="1084"/>
      <c r="O89" s="1087"/>
      <c r="P89" s="1088"/>
      <c r="Q89" s="1091"/>
      <c r="R89" s="1092"/>
      <c r="S89" s="856"/>
      <c r="T89" s="841"/>
      <c r="U89" s="841"/>
      <c r="V89" s="842"/>
      <c r="W89" s="1094"/>
      <c r="X89" s="1094"/>
      <c r="Y89" s="1094"/>
      <c r="Z89" s="1084"/>
      <c r="AA89" s="1084"/>
      <c r="AB89" s="1096"/>
      <c r="AC89" s="1096"/>
      <c r="AD89" s="1098"/>
      <c r="AE89" s="1098"/>
      <c r="AF89" s="1098"/>
      <c r="AG89" s="1100"/>
      <c r="AH89" s="870"/>
      <c r="AI89" s="1102"/>
      <c r="AJ89" s="1102"/>
      <c r="AK89" s="912"/>
      <c r="AL89" s="913"/>
      <c r="AM89" s="942"/>
      <c r="AN89" s="1106"/>
      <c r="AO89" s="1106"/>
      <c r="AP89" s="1106"/>
      <c r="AQ89" s="1106"/>
      <c r="AU89" s="1108"/>
      <c r="AV89" s="1108"/>
      <c r="AW89" s="907"/>
      <c r="AX89" s="817"/>
      <c r="AY89" s="817"/>
      <c r="AZ89" s="879"/>
      <c r="BA89" s="817"/>
      <c r="BB89" s="1002"/>
      <c r="BC89" s="1104"/>
      <c r="BD89" s="1002"/>
      <c r="BE89" s="1002"/>
      <c r="BF89" s="1104"/>
      <c r="BG89"/>
      <c r="BH89" s="1002"/>
      <c r="BI89"/>
    </row>
    <row r="90" spans="2:61" ht="15.95" hidden="1" customHeight="1">
      <c r="B90" s="834">
        <v>38</v>
      </c>
      <c r="C90" s="1093"/>
      <c r="D90" s="1093"/>
      <c r="E90" s="1093"/>
      <c r="F90" s="871"/>
      <c r="G90" s="872"/>
      <c r="H90" s="872"/>
      <c r="I90" s="873"/>
      <c r="J90" s="1093"/>
      <c r="K90" s="1093"/>
      <c r="L90" s="1093"/>
      <c r="M90" s="1083"/>
      <c r="N90" s="1083"/>
      <c r="O90" s="1085" t="str">
        <f>IFERROR(IF(F90="","",INDEX(CMLIGHTBASE[Base Watt 1],MATCH(F90,CMLIGHTBASE[Base Desc 1],0))),"")</f>
        <v/>
      </c>
      <c r="P90" s="1086"/>
      <c r="Q90" s="1089"/>
      <c r="R90" s="1090"/>
      <c r="S90" s="890"/>
      <c r="T90" s="872"/>
      <c r="U90" s="872"/>
      <c r="V90" s="873"/>
      <c r="W90" s="1093"/>
      <c r="X90" s="1093"/>
      <c r="Y90" s="1093"/>
      <c r="Z90" s="1083"/>
      <c r="AA90" s="1083"/>
      <c r="AB90" s="1095"/>
      <c r="AC90" s="1095"/>
      <c r="AD90" s="1097"/>
      <c r="AE90" s="1097"/>
      <c r="AF90" s="1097"/>
      <c r="AG90" s="1099"/>
      <c r="AH90" s="924" t="str">
        <f t="shared" ref="AH90" si="180">IFERROR(IF(OR(C90="",J90="",M90="",O90="",Q90="",W90="",Z90="",AB90="",AD90="",AF90=""),"",ROUND((AD90+AF90)*Z90,2)),"")</f>
        <v/>
      </c>
      <c r="AI90" s="1101"/>
      <c r="AJ90" s="1101"/>
      <c r="AK90" s="910" t="str">
        <f t="shared" ref="AK90" si="181">IFERROR(IF(OR(C90="",F90="",J90="",M90="",O90="",Q90="",S90="",W90="",Z90="",AB90="",AD90="",AF90=""),"",ROUND(IF((M90*O90)&lt;=(Z90*AB90),"0",(AX90-AY90+BD90)*BE90),2)),"")</f>
        <v/>
      </c>
      <c r="AL90" s="911"/>
      <c r="AM90" s="975"/>
      <c r="AN90" s="1105" t="str">
        <f>IFERROR(IF(OR(C90="",F90="",J90="",M90="",O90="",Q90="",S90="",W90="",Z90="",AB90="",AD90="",AF90=""),"",IF(OR(ISNUMBER(SEARCH("~~",F90)),ISNUMBER(SEARCH("~~",S90))),"Invalid Fixture Type Selected",IF(BF90&lt;&gt;"",BF90,ROUND(MIN(AH90*0.75,AK90*INDEX(INCRATE[Electric],MATCH("CMLIGHT",INCRATE[Incentive Type]))),2)))),"")</f>
        <v/>
      </c>
      <c r="AO90" s="1105"/>
      <c r="AP90" s="1105"/>
      <c r="AQ90" s="1105"/>
      <c r="AU90" s="1109" t="str">
        <f>IF(F90="","",INDEX(CUSTLIGHTUNIT,MATCH(F90,CMELIGHTBASE1,0)))</f>
        <v/>
      </c>
      <c r="AV90" s="1107" t="str">
        <f>IFERROR(IF(OR(C90="",F90="",J90="",M90="",O90="",Q90="",S90="",W90="",Z90="",AB90="",AD90="",AF90=""),"",((((1+ELOSS)*((AK90*INDEX(ELECCB[NPV AEC $/kWh],MATCH(15,ELECCB[Year Number],0)))+(AW90*INDEX(ELECCB[NPV ACC+T&amp;D $/kW],MATCH(15,ELECCB[Year Number],0)))))+((1+GLOSS)*((BB90*INDEX(GASCB[NPV GAEC $/therm],MATCH(15,GASCB[Year Number],1))))))/AH90)),"")</f>
        <v/>
      </c>
      <c r="AW90" s="906" t="str">
        <f>IFERROR(IF(OR(C90="",F90="",J90="",M90="",O90="",Q90="",S90="",W90="",Z90="",AB90="",AD90="",AF90=""),"",IF(OR(ISNUMBER(SEARCH("Exterior",C90)),((M90*O90)&lt;=(Z90*AB90)),ISNUMBER(SEARCH("Exterior",S90)),ISNUMBER(SEARCH("Exterior",F90))),0,ROUND((((M90*O90)-(Z90*AB90))/1000)*INDEX(LightingWHF[Coincidence Factor CF],MATCH(M02S02F26,LightingWHF[Building/Space Type],0))*IF(OR(M02S02F32="AC with Natural Gas Heat",M02S02F32="AC with Electric Heat",M02S02F32="Heat Pump"),INDEX(LightingWHF[Waste Heat Cooling Demand WHFd],MATCH(M02S02F26,LightingWHF[Building/Space Type],0)),1),3))),"")</f>
        <v/>
      </c>
      <c r="AX90" s="816" t="str">
        <f t="shared" ref="AX90" si="182">IF(OR(C90="",F90="",J90="",M90="",O90="",Q90="",S90="",W90="",Z90="",AB90="",AD90="",AF90=""),"",ROUND(M90*O90*Q90/1000,2))</f>
        <v/>
      </c>
      <c r="AY90" s="816" t="str">
        <f t="shared" ref="AY90" si="183">IF(OR(C90="",F90="",J90="",M90="",O90="",Q90="",S90="",W90="",Z90="",AB90="",AD90="",AF90=""),"",ROUND(Z90*AB90*Q90/1000,2))</f>
        <v/>
      </c>
      <c r="AZ90" s="878" t="str">
        <f>IF(OR(C90="",F90="",J90="",M90="",O90="",Q90="",S90="",W90="",Z90="",AB90="",AD90="",AF90=""),"",IF(ISNUMBER(AN90),(CONCATENATE(INDEX(CMLIGHTBASE[Measure Number],MATCH(F90,CMLIGHTBASE[Base Desc 1],0)),INDEX(CMLIGHTEFF[Measure Number],MATCH(S90,CMLIGHTEFF[Eff Desc 1],0)))),IF(AK90=0,"","000001")))</f>
        <v/>
      </c>
      <c r="BA90" s="816" t="str">
        <f t="shared" ref="BA90" si="184">IF(OR(C90="",F90="",J90="",M90="",O90="",Q90="",S90="",W90="",Z90="",AB90="",AD90="",AF90=""),"",IF((M90*O90)&lt;=(Z90*AB90),"0",AX90-AY90))</f>
        <v/>
      </c>
      <c r="BB90" s="1064" t="str">
        <f>IF(OR(C90="",F90="",J90="",M90="",O90="",Q90="",S90="",W90="",Z90="",AB90="",AD90="",AF90=""),"",IF(M02S02F46="Electric Only",0,IF(OR(ISNUMBER(SEARCH("Exterior",S90)),ISNUMBER(SEARCH("Exterior",C90)),ISNUMBER(SEARCH("Exterior",F90))),0,IF(OR(M02S02F32="AC with Natural Gas Heat",M02S02F32="Natural Gas Heat Only"),(((O90*M90-AB90*Z90)/1000)*Q90*-INDEX(LightingWHF[Waste Heat Gas Heating IFTherms],MATCH(M02S02F26,LightingWHF[Building/Space Type],0))),0))))</f>
        <v/>
      </c>
      <c r="BC90" s="1103" t="str">
        <f>IFERROR(AH90/M02S02F35/BA90,"")</f>
        <v/>
      </c>
      <c r="BD90" s="1064" t="str">
        <f>IF(OR(C90="",F90="",J90="",M90="",O90="",Q90="",S90="",W90="",Z90="",AB90="",AD90="",AF90=""),"",IF(M02S02F46="Gas Only",0,IF(OR(ISNUMBER(SEARCH("Exterior",S90)),ISNUMBER(SEARCH("Exterior",C90)),ISNUMBER(SEARCH("Exterior",F90))),0,IF(M02S02F32="Heat Pump",(((O90*M90-AB90*Z90)/1000)*Q90*-INDEX(LightingWHF[Waste Heat Electric Heat Pump Heating IFkWh],MATCH(M02S02F26,LightingWHF[Building/Space Type],0))),
IF(OR(M02S02F32="AC with Electric Heat",M02S02F32="Electric Heat Only"),(((O90*M90-AB90*Z90)/1000)*Q90*-INDEX(LightingWHF[Waste Heat Electric Resistance Heating IFkWh],MATCH(M02S02F26,LightingWHF[Building/Space Type],0))),0
)))))</f>
        <v/>
      </c>
      <c r="BE90" s="1064" t="str">
        <f>IF(OR(C90="",F90="",J90="",M90="",O90="",Q90="",S90="",W90="",Z90="",AB90="",AD90="",AF90=""),"",IF(M02S02F46="Gas Only",0,IF(OR(ISNUMBER(SEARCH("Exterior",S90)),ISNUMBER(SEARCH("Exterior",C90)),ISNUMBER(SEARCH("Exterior",F90))),1,IF(OR(M02S02F32="Heat Pump",M02S02F32="AC with Natural Gas Heat",M02S02F32="AC with Electric Heat"),(INDEX(LightingWHF[Waste Heat Cooling Energy WHFe],MATCH(M02S02F26,LightingWHF[Building/Space Type],0))),1))))</f>
        <v/>
      </c>
      <c r="BF90" s="1103" t="str">
        <f>IFERROR(IF((M90*O90)&lt;=(Z90*AB90),MEASURESAVE,IF(M02S02F35="",MEASURERATE,IF(AH90/M02S02F35/BA90&lt;1,MEASUREPAY,IF(AV90&lt;1,MEASURECB,IF(OR(ISBLANK(M02S02F26),ISBLANK(M02S02F32),ISBLANK(M02S02F46)),MEASUREBLDG,""))))),MEASURESUBMIT)</f>
        <v>Submit for Review</v>
      </c>
      <c r="BG90"/>
      <c r="BH90" s="1001" t="str">
        <f ca="1">IF(OR(C90="",F90="",J90="",M90="",O90="",Q90="",S90="",W90="",Z90="",AB90="",AD90="",AF90=""),"",IF('M01-S01'!$V$82&lt;TODAY(),0,IF(M02S02F46="Gas Only",0,IF(OR(AK90="",AK90&lt;0,AH90&lt;=AN90),0,MIN(AH90-AN90,ROUND(IF(OR(ISNUMBER(SEARCH("T12",F90)),ISNUMBER(SEARCH("T8",F90)),ISNUMBER(SEARCH("T5",F90)),ISNUMBER(SEARCH("MH",F90)),ISNUMBER(SEARCH("HPS",F90)),ISNUMBER(SEARCH("MV",F90))),AN90*0.2),2))))))</f>
        <v/>
      </c>
      <c r="BI90"/>
    </row>
    <row r="91" spans="2:61" ht="15.95" hidden="1" customHeight="1">
      <c r="B91" s="834"/>
      <c r="C91" s="1094"/>
      <c r="D91" s="1094"/>
      <c r="E91" s="1094"/>
      <c r="F91" s="840"/>
      <c r="G91" s="841"/>
      <c r="H91" s="841"/>
      <c r="I91" s="842"/>
      <c r="J91" s="1094"/>
      <c r="K91" s="1094"/>
      <c r="L91" s="1094"/>
      <c r="M91" s="1084"/>
      <c r="N91" s="1084"/>
      <c r="O91" s="1087"/>
      <c r="P91" s="1088"/>
      <c r="Q91" s="1091"/>
      <c r="R91" s="1092"/>
      <c r="S91" s="856"/>
      <c r="T91" s="841"/>
      <c r="U91" s="841"/>
      <c r="V91" s="842"/>
      <c r="W91" s="1094"/>
      <c r="X91" s="1094"/>
      <c r="Y91" s="1094"/>
      <c r="Z91" s="1084"/>
      <c r="AA91" s="1084"/>
      <c r="AB91" s="1096"/>
      <c r="AC91" s="1096"/>
      <c r="AD91" s="1098"/>
      <c r="AE91" s="1098"/>
      <c r="AF91" s="1098"/>
      <c r="AG91" s="1100"/>
      <c r="AH91" s="870"/>
      <c r="AI91" s="1102"/>
      <c r="AJ91" s="1102"/>
      <c r="AK91" s="912"/>
      <c r="AL91" s="913"/>
      <c r="AM91" s="942"/>
      <c r="AN91" s="1106"/>
      <c r="AO91" s="1106"/>
      <c r="AP91" s="1106"/>
      <c r="AQ91" s="1106"/>
      <c r="AU91" s="1108"/>
      <c r="AV91" s="1108"/>
      <c r="AW91" s="907"/>
      <c r="AX91" s="817"/>
      <c r="AY91" s="817"/>
      <c r="AZ91" s="879"/>
      <c r="BA91" s="817"/>
      <c r="BB91" s="1002"/>
      <c r="BC91" s="1104"/>
      <c r="BD91" s="1002"/>
      <c r="BE91" s="1002"/>
      <c r="BF91" s="1104"/>
      <c r="BG91"/>
      <c r="BH91" s="1002"/>
      <c r="BI91"/>
    </row>
    <row r="92" spans="2:61" ht="15.95" hidden="1" customHeight="1">
      <c r="B92" s="834">
        <v>39</v>
      </c>
      <c r="C92" s="1093"/>
      <c r="D92" s="1093"/>
      <c r="E92" s="1093"/>
      <c r="F92" s="871"/>
      <c r="G92" s="872"/>
      <c r="H92" s="872"/>
      <c r="I92" s="873"/>
      <c r="J92" s="1093"/>
      <c r="K92" s="1093"/>
      <c r="L92" s="1093"/>
      <c r="M92" s="1083"/>
      <c r="N92" s="1083"/>
      <c r="O92" s="1085" t="str">
        <f>IFERROR(IF(F92="","",INDEX(CMLIGHTBASE[Base Watt 1],MATCH(F92,CMLIGHTBASE[Base Desc 1],0))),"")</f>
        <v/>
      </c>
      <c r="P92" s="1086"/>
      <c r="Q92" s="1089"/>
      <c r="R92" s="1090"/>
      <c r="S92" s="890"/>
      <c r="T92" s="872"/>
      <c r="U92" s="872"/>
      <c r="V92" s="873"/>
      <c r="W92" s="1093"/>
      <c r="X92" s="1093"/>
      <c r="Y92" s="1093"/>
      <c r="Z92" s="1083"/>
      <c r="AA92" s="1083"/>
      <c r="AB92" s="1095"/>
      <c r="AC92" s="1095"/>
      <c r="AD92" s="1097"/>
      <c r="AE92" s="1097"/>
      <c r="AF92" s="1097"/>
      <c r="AG92" s="1099"/>
      <c r="AH92" s="924" t="str">
        <f t="shared" ref="AH92" si="185">IFERROR(IF(OR(C92="",J92="",M92="",O92="",Q92="",W92="",Z92="",AB92="",AD92="",AF92=""),"",ROUND((AD92+AF92)*Z92,2)),"")</f>
        <v/>
      </c>
      <c r="AI92" s="1101"/>
      <c r="AJ92" s="1101"/>
      <c r="AK92" s="910" t="str">
        <f t="shared" ref="AK92" si="186">IFERROR(IF(OR(C92="",F92="",J92="",M92="",O92="",Q92="",S92="",W92="",Z92="",AB92="",AD92="",AF92=""),"",ROUND(IF((M92*O92)&lt;=(Z92*AB92),"0",(AX92-AY92+BD92)*BE92),2)),"")</f>
        <v/>
      </c>
      <c r="AL92" s="911"/>
      <c r="AM92" s="975"/>
      <c r="AN92" s="1105" t="str">
        <f>IFERROR(IF(OR(C92="",F92="",J92="",M92="",O92="",Q92="",S92="",W92="",Z92="",AB92="",AD92="",AF92=""),"",IF(OR(ISNUMBER(SEARCH("~~",F92)),ISNUMBER(SEARCH("~~",S92))),"Invalid Fixture Type Selected",IF(BF92&lt;&gt;"",BF92,ROUND(MIN(AH92*0.75,AK92*INDEX(INCRATE[Electric],MATCH("CMLIGHT",INCRATE[Incentive Type]))),2)))),"")</f>
        <v/>
      </c>
      <c r="AO92" s="1105"/>
      <c r="AP92" s="1105"/>
      <c r="AQ92" s="1105"/>
      <c r="AU92" s="1109" t="str">
        <f>IF(F92="","",INDEX(CUSTLIGHTUNIT,MATCH(F92,CMELIGHTBASE1,0)))</f>
        <v/>
      </c>
      <c r="AV92" s="1107" t="str">
        <f>IFERROR(IF(OR(C92="",F92="",J92="",M92="",O92="",Q92="",S92="",W92="",Z92="",AB92="",AD92="",AF92=""),"",((((1+ELOSS)*((AK92*INDEX(ELECCB[NPV AEC $/kWh],MATCH(15,ELECCB[Year Number],0)))+(AW92*INDEX(ELECCB[NPV ACC+T&amp;D $/kW],MATCH(15,ELECCB[Year Number],0)))))+((1+GLOSS)*((BB92*INDEX(GASCB[NPV GAEC $/therm],MATCH(15,GASCB[Year Number],1))))))/AH92)),"")</f>
        <v/>
      </c>
      <c r="AW92" s="906" t="str">
        <f>IFERROR(IF(OR(C92="",F92="",J92="",M92="",O92="",Q92="",S92="",W92="",Z92="",AB92="",AD92="",AF92=""),"",IF(OR(ISNUMBER(SEARCH("Exterior",C92)),((M92*O92)&lt;=(Z92*AB92)),ISNUMBER(SEARCH("Exterior",S92)),ISNUMBER(SEARCH("Exterior",F92))),0,ROUND((((M92*O92)-(Z92*AB92))/1000)*INDEX(LightingWHF[Coincidence Factor CF],MATCH(M02S02F26,LightingWHF[Building/Space Type],0))*IF(OR(M02S02F32="AC with Natural Gas Heat",M02S02F32="AC with Electric Heat",M02S02F32="Heat Pump"),INDEX(LightingWHF[Waste Heat Cooling Demand WHFd],MATCH(M02S02F26,LightingWHF[Building/Space Type],0)),1),3))),"")</f>
        <v/>
      </c>
      <c r="AX92" s="816" t="str">
        <f t="shared" ref="AX92" si="187">IF(OR(C92="",F92="",J92="",M92="",O92="",Q92="",S92="",W92="",Z92="",AB92="",AD92="",AF92=""),"",ROUND(M92*O92*Q92/1000,2))</f>
        <v/>
      </c>
      <c r="AY92" s="816" t="str">
        <f t="shared" ref="AY92" si="188">IF(OR(C92="",F92="",J92="",M92="",O92="",Q92="",S92="",W92="",Z92="",AB92="",AD92="",AF92=""),"",ROUND(Z92*AB92*Q92/1000,2))</f>
        <v/>
      </c>
      <c r="AZ92" s="878" t="str">
        <f>IF(OR(C92="",F92="",J92="",M92="",O92="",Q92="",S92="",W92="",Z92="",AB92="",AD92="",AF92=""),"",IF(ISNUMBER(AN92),(CONCATENATE(INDEX(CMLIGHTBASE[Measure Number],MATCH(F92,CMLIGHTBASE[Base Desc 1],0)),INDEX(CMLIGHTEFF[Measure Number],MATCH(S92,CMLIGHTEFF[Eff Desc 1],0)))),IF(AK92=0,"","000001")))</f>
        <v/>
      </c>
      <c r="BA92" s="816" t="str">
        <f t="shared" ref="BA92" si="189">IF(OR(C92="",F92="",J92="",M92="",O92="",Q92="",S92="",W92="",Z92="",AB92="",AD92="",AF92=""),"",IF((M92*O92)&lt;=(Z92*AB92),"0",AX92-AY92))</f>
        <v/>
      </c>
      <c r="BB92" s="1064" t="str">
        <f>IF(OR(C92="",F92="",J92="",M92="",O92="",Q92="",S92="",W92="",Z92="",AB92="",AD92="",AF92=""),"",IF(M02S02F46="Electric Only",0,IF(OR(ISNUMBER(SEARCH("Exterior",S92)),ISNUMBER(SEARCH("Exterior",C92)),ISNUMBER(SEARCH("Exterior",F92))),0,IF(OR(M02S02F32="AC with Natural Gas Heat",M02S02F32="Natural Gas Heat Only"),(((O92*M92-AB92*Z92)/1000)*Q92*-INDEX(LightingWHF[Waste Heat Gas Heating IFTherms],MATCH(M02S02F26,LightingWHF[Building/Space Type],0))),0))))</f>
        <v/>
      </c>
      <c r="BC92" s="1103" t="str">
        <f>IFERROR(AH92/M02S02F35/BA92,"")</f>
        <v/>
      </c>
      <c r="BD92" s="1064" t="str">
        <f>IF(OR(C92="",F92="",J92="",M92="",O92="",Q92="",S92="",W92="",Z92="",AB92="",AD92="",AF92=""),"",IF(M02S02F46="Gas Only",0,IF(OR(ISNUMBER(SEARCH("Exterior",S92)),ISNUMBER(SEARCH("Exterior",C92)),ISNUMBER(SEARCH("Exterior",F92))),0,IF(M02S02F32="Heat Pump",(((O92*M92-AB92*Z92)/1000)*Q92*-INDEX(LightingWHF[Waste Heat Electric Heat Pump Heating IFkWh],MATCH(M02S02F26,LightingWHF[Building/Space Type],0))),
IF(OR(M02S02F32="AC with Electric Heat",M02S02F32="Electric Heat Only"),(((O92*M92-AB92*Z92)/1000)*Q92*-INDEX(LightingWHF[Waste Heat Electric Resistance Heating IFkWh],MATCH(M02S02F26,LightingWHF[Building/Space Type],0))),0
)))))</f>
        <v/>
      </c>
      <c r="BE92" s="1064" t="str">
        <f>IF(OR(C92="",F92="",J92="",M92="",O92="",Q92="",S92="",W92="",Z92="",AB92="",AD92="",AF92=""),"",IF(M02S02F46="Gas Only",0,IF(OR(ISNUMBER(SEARCH("Exterior",S92)),ISNUMBER(SEARCH("Exterior",C92)),ISNUMBER(SEARCH("Exterior",F92))),1,IF(OR(M02S02F32="Heat Pump",M02S02F32="AC with Natural Gas Heat",M02S02F32="AC with Electric Heat"),(INDEX(LightingWHF[Waste Heat Cooling Energy WHFe],MATCH(M02S02F26,LightingWHF[Building/Space Type],0))),1))))</f>
        <v/>
      </c>
      <c r="BF92" s="1103" t="str">
        <f>IFERROR(IF((M92*O92)&lt;=(Z92*AB92),MEASURESAVE,IF(M02S02F35="",MEASURERATE,IF(AH92/M02S02F35/BA92&lt;1,MEASUREPAY,IF(AV92&lt;1,MEASURECB,IF(OR(ISBLANK(M02S02F26),ISBLANK(M02S02F32),ISBLANK(M02S02F46)),MEASUREBLDG,""))))),MEASURESUBMIT)</f>
        <v>Submit for Review</v>
      </c>
      <c r="BG92"/>
      <c r="BH92" s="1001" t="str">
        <f ca="1">IF(OR(C92="",F92="",J92="",M92="",O92="",Q92="",S92="",W92="",Z92="",AB92="",AD92="",AF92=""),"",IF('M01-S01'!$V$82&lt;TODAY(),0,IF(M02S02F46="Gas Only",0,IF(OR(AK92="",AK92&lt;0,AH92&lt;=AN92),0,MIN(AH92-AN92,ROUND(IF(OR(ISNUMBER(SEARCH("T12",F92)),ISNUMBER(SEARCH("T8",F92)),ISNUMBER(SEARCH("T5",F92)),ISNUMBER(SEARCH("MH",F92)),ISNUMBER(SEARCH("HPS",F92)),ISNUMBER(SEARCH("MV",F92))),AN92*0.2),2))))))</f>
        <v/>
      </c>
      <c r="BI92"/>
    </row>
    <row r="93" spans="2:61" ht="15.95" hidden="1" customHeight="1">
      <c r="B93" s="834"/>
      <c r="C93" s="1094"/>
      <c r="D93" s="1094"/>
      <c r="E93" s="1094"/>
      <c r="F93" s="840"/>
      <c r="G93" s="841"/>
      <c r="H93" s="841"/>
      <c r="I93" s="842"/>
      <c r="J93" s="1094"/>
      <c r="K93" s="1094"/>
      <c r="L93" s="1094"/>
      <c r="M93" s="1084"/>
      <c r="N93" s="1084"/>
      <c r="O93" s="1087"/>
      <c r="P93" s="1088"/>
      <c r="Q93" s="1091"/>
      <c r="R93" s="1092"/>
      <c r="S93" s="856"/>
      <c r="T93" s="841"/>
      <c r="U93" s="841"/>
      <c r="V93" s="842"/>
      <c r="W93" s="1094"/>
      <c r="X93" s="1094"/>
      <c r="Y93" s="1094"/>
      <c r="Z93" s="1084"/>
      <c r="AA93" s="1084"/>
      <c r="AB93" s="1096"/>
      <c r="AC93" s="1096"/>
      <c r="AD93" s="1098"/>
      <c r="AE93" s="1098"/>
      <c r="AF93" s="1098"/>
      <c r="AG93" s="1100"/>
      <c r="AH93" s="870"/>
      <c r="AI93" s="1102"/>
      <c r="AJ93" s="1102"/>
      <c r="AK93" s="912"/>
      <c r="AL93" s="913"/>
      <c r="AM93" s="942"/>
      <c r="AN93" s="1106"/>
      <c r="AO93" s="1106"/>
      <c r="AP93" s="1106"/>
      <c r="AQ93" s="1106"/>
      <c r="AU93" s="1108"/>
      <c r="AV93" s="1108"/>
      <c r="AW93" s="907"/>
      <c r="AX93" s="817"/>
      <c r="AY93" s="817"/>
      <c r="AZ93" s="879"/>
      <c r="BA93" s="817"/>
      <c r="BB93" s="1002"/>
      <c r="BC93" s="1104"/>
      <c r="BD93" s="1002"/>
      <c r="BE93" s="1002"/>
      <c r="BF93" s="1104"/>
      <c r="BG93"/>
      <c r="BH93" s="1002"/>
      <c r="BI93"/>
    </row>
    <row r="94" spans="2:61" ht="15.95" hidden="1" customHeight="1">
      <c r="B94" s="834">
        <v>40</v>
      </c>
      <c r="C94" s="1093"/>
      <c r="D94" s="1093"/>
      <c r="E94" s="1093"/>
      <c r="F94" s="871"/>
      <c r="G94" s="872"/>
      <c r="H94" s="872"/>
      <c r="I94" s="873"/>
      <c r="J94" s="1093"/>
      <c r="K94" s="1093"/>
      <c r="L94" s="1093"/>
      <c r="M94" s="1083"/>
      <c r="N94" s="1083"/>
      <c r="O94" s="1085" t="str">
        <f>IFERROR(IF(F94="","",INDEX(CMLIGHTBASE[Base Watt 1],MATCH(F94,CMLIGHTBASE[Base Desc 1],0))),"")</f>
        <v/>
      </c>
      <c r="P94" s="1086"/>
      <c r="Q94" s="1089"/>
      <c r="R94" s="1090"/>
      <c r="S94" s="890"/>
      <c r="T94" s="872"/>
      <c r="U94" s="872"/>
      <c r="V94" s="873"/>
      <c r="W94" s="1093"/>
      <c r="X94" s="1093"/>
      <c r="Y94" s="1093"/>
      <c r="Z94" s="1083"/>
      <c r="AA94" s="1083"/>
      <c r="AB94" s="1095"/>
      <c r="AC94" s="1095"/>
      <c r="AD94" s="1097"/>
      <c r="AE94" s="1097"/>
      <c r="AF94" s="1097"/>
      <c r="AG94" s="1099"/>
      <c r="AH94" s="924" t="str">
        <f t="shared" ref="AH94" si="190">IFERROR(IF(OR(C94="",J94="",M94="",O94="",Q94="",W94="",Z94="",AB94="",AD94="",AF94=""),"",ROUND((AD94+AF94)*Z94,2)),"")</f>
        <v/>
      </c>
      <c r="AI94" s="1101"/>
      <c r="AJ94" s="1101"/>
      <c r="AK94" s="910" t="str">
        <f t="shared" ref="AK94" si="191">IFERROR(IF(OR(C94="",F94="",J94="",M94="",O94="",Q94="",S94="",W94="",Z94="",AB94="",AD94="",AF94=""),"",ROUND(IF((M94*O94)&lt;=(Z94*AB94),"0",(AX94-AY94+BD94)*BE94),2)),"")</f>
        <v/>
      </c>
      <c r="AL94" s="911"/>
      <c r="AM94" s="975"/>
      <c r="AN94" s="1105" t="str">
        <f>IFERROR(IF(OR(C94="",F94="",J94="",M94="",O94="",Q94="",S94="",W94="",Z94="",AB94="",AD94="",AF94=""),"",IF(OR(ISNUMBER(SEARCH("~~",F94)),ISNUMBER(SEARCH("~~",S94))),"Invalid Fixture Type Selected",IF(BF94&lt;&gt;"",BF94,ROUND(MIN(AH94*0.75,AK94*INDEX(INCRATE[Electric],MATCH("CMLIGHT",INCRATE[Incentive Type]))),2)))),"")</f>
        <v/>
      </c>
      <c r="AO94" s="1105"/>
      <c r="AP94" s="1105"/>
      <c r="AQ94" s="1105"/>
      <c r="AU94" s="1109" t="str">
        <f>IF(F94="","",INDEX(CUSTLIGHTUNIT,MATCH(F94,CMELIGHTBASE1,0)))</f>
        <v/>
      </c>
      <c r="AV94" s="1107" t="str">
        <f>IFERROR(IF(OR(C94="",F94="",J94="",M94="",O94="",Q94="",S94="",W94="",Z94="",AB94="",AD94="",AF94=""),"",((((1+ELOSS)*((AK94*INDEX(ELECCB[NPV AEC $/kWh],MATCH(15,ELECCB[Year Number],0)))+(AW94*INDEX(ELECCB[NPV ACC+T&amp;D $/kW],MATCH(15,ELECCB[Year Number],0)))))+((1+GLOSS)*((BB94*INDEX(GASCB[NPV GAEC $/therm],MATCH(15,GASCB[Year Number],1))))))/AH94)),"")</f>
        <v/>
      </c>
      <c r="AW94" s="906" t="str">
        <f>IFERROR(IF(OR(C94="",F94="",J94="",M94="",O94="",Q94="",S94="",W94="",Z94="",AB94="",AD94="",AF94=""),"",IF(OR(ISNUMBER(SEARCH("Exterior",C94)),((M94*O94)&lt;=(Z94*AB94)),ISNUMBER(SEARCH("Exterior",S94)),ISNUMBER(SEARCH("Exterior",F94))),0,ROUND((((M94*O94)-(Z94*AB94))/1000)*INDEX(LightingWHF[Coincidence Factor CF],MATCH(M02S02F26,LightingWHF[Building/Space Type],0))*IF(OR(M02S02F32="AC with Natural Gas Heat",M02S02F32="AC with Electric Heat",M02S02F32="Heat Pump"),INDEX(LightingWHF[Waste Heat Cooling Demand WHFd],MATCH(M02S02F26,LightingWHF[Building/Space Type],0)),1),3))),"")</f>
        <v/>
      </c>
      <c r="AX94" s="816" t="str">
        <f t="shared" ref="AX94" si="192">IF(OR(C94="",F94="",J94="",M94="",O94="",Q94="",S94="",W94="",Z94="",AB94="",AD94="",AF94=""),"",ROUND(M94*O94*Q94/1000,2))</f>
        <v/>
      </c>
      <c r="AY94" s="816" t="str">
        <f t="shared" ref="AY94" si="193">IF(OR(C94="",F94="",J94="",M94="",O94="",Q94="",S94="",W94="",Z94="",AB94="",AD94="",AF94=""),"",ROUND(Z94*AB94*Q94/1000,2))</f>
        <v/>
      </c>
      <c r="AZ94" s="878" t="str">
        <f>IF(OR(C94="",F94="",J94="",M94="",O94="",Q94="",S94="",W94="",Z94="",AB94="",AD94="",AF94=""),"",IF(ISNUMBER(AN94),(CONCATENATE(INDEX(CMLIGHTBASE[Measure Number],MATCH(F94,CMLIGHTBASE[Base Desc 1],0)),INDEX(CMLIGHTEFF[Measure Number],MATCH(S94,CMLIGHTEFF[Eff Desc 1],0)))),IF(AK94=0,"","000001")))</f>
        <v/>
      </c>
      <c r="BA94" s="816" t="str">
        <f t="shared" ref="BA94" si="194">IF(OR(C94="",F94="",J94="",M94="",O94="",Q94="",S94="",W94="",Z94="",AB94="",AD94="",AF94=""),"",IF((M94*O94)&lt;=(Z94*AB94),"0",AX94-AY94))</f>
        <v/>
      </c>
      <c r="BB94" s="1064" t="str">
        <f>IF(OR(C94="",F94="",J94="",M94="",O94="",Q94="",S94="",W94="",Z94="",AB94="",AD94="",AF94=""),"",IF(M02S02F46="Electric Only",0,IF(OR(ISNUMBER(SEARCH("Exterior",S94)),ISNUMBER(SEARCH("Exterior",C94)),ISNUMBER(SEARCH("Exterior",F94))),0,IF(OR(M02S02F32="AC with Natural Gas Heat",M02S02F32="Natural Gas Heat Only"),(((O94*M94-AB94*Z94)/1000)*Q94*-INDEX(LightingWHF[Waste Heat Gas Heating IFTherms],MATCH(M02S02F26,LightingWHF[Building/Space Type],0))),0))))</f>
        <v/>
      </c>
      <c r="BC94" s="1103" t="str">
        <f>IFERROR(AH94/M02S02F35/BA94,"")</f>
        <v/>
      </c>
      <c r="BD94" s="1064" t="str">
        <f>IF(OR(C94="",F94="",J94="",M94="",O94="",Q94="",S94="",W94="",Z94="",AB94="",AD94="",AF94=""),"",IF(M02S02F46="Gas Only",0,IF(OR(ISNUMBER(SEARCH("Exterior",S94)),ISNUMBER(SEARCH("Exterior",C94)),ISNUMBER(SEARCH("Exterior",F94))),0,IF(M02S02F32="Heat Pump",(((O94*M94-AB94*Z94)/1000)*Q94*-INDEX(LightingWHF[Waste Heat Electric Heat Pump Heating IFkWh],MATCH(M02S02F26,LightingWHF[Building/Space Type],0))),
IF(OR(M02S02F32="AC with Electric Heat",M02S02F32="Electric Heat Only"),(((O94*M94-AB94*Z94)/1000)*Q94*-INDEX(LightingWHF[Waste Heat Electric Resistance Heating IFkWh],MATCH(M02S02F26,LightingWHF[Building/Space Type],0))),0
)))))</f>
        <v/>
      </c>
      <c r="BE94" s="1064" t="str">
        <f>IF(OR(C94="",F94="",J94="",M94="",O94="",Q94="",S94="",W94="",Z94="",AB94="",AD94="",AF94=""),"",IF(M02S02F46="Gas Only",0,IF(OR(ISNUMBER(SEARCH("Exterior",S94)),ISNUMBER(SEARCH("Exterior",C94)),ISNUMBER(SEARCH("Exterior",F94))),1,IF(OR(M02S02F32="Heat Pump",M02S02F32="AC with Natural Gas Heat",M02S02F32="AC with Electric Heat"),(INDEX(LightingWHF[Waste Heat Cooling Energy WHFe],MATCH(M02S02F26,LightingWHF[Building/Space Type],0))),1))))</f>
        <v/>
      </c>
      <c r="BF94" s="1103" t="str">
        <f>IFERROR(IF((M94*O94)&lt;=(Z94*AB94),MEASURESAVE,IF(M02S02F35="",MEASURERATE,IF(AH94/M02S02F35/BA94&lt;1,MEASUREPAY,IF(AV94&lt;1,MEASURECB,IF(OR(ISBLANK(M02S02F26),ISBLANK(M02S02F32),ISBLANK(M02S02F46)),MEASUREBLDG,""))))),MEASURESUBMIT)</f>
        <v>Submit for Review</v>
      </c>
      <c r="BG94"/>
      <c r="BH94" s="1001" t="str">
        <f ca="1">IF(OR(C94="",F94="",J94="",M94="",O94="",Q94="",S94="",W94="",Z94="",AB94="",AD94="",AF94=""),"",IF('M01-S01'!$V$82&lt;TODAY(),0,IF(M02S02F46="Gas Only",0,IF(OR(AK94="",AK94&lt;0,AH94&lt;=AN94),0,MIN(AH94-AN94,ROUND(IF(OR(ISNUMBER(SEARCH("T12",F94)),ISNUMBER(SEARCH("T8",F94)),ISNUMBER(SEARCH("T5",F94)),ISNUMBER(SEARCH("MH",F94)),ISNUMBER(SEARCH("HPS",F94)),ISNUMBER(SEARCH("MV",F94))),AN94*0.2),2))))))</f>
        <v/>
      </c>
      <c r="BI94"/>
    </row>
    <row r="95" spans="2:61" ht="15.95" hidden="1" customHeight="1">
      <c r="B95" s="834"/>
      <c r="C95" s="1094"/>
      <c r="D95" s="1094"/>
      <c r="E95" s="1094"/>
      <c r="F95" s="840"/>
      <c r="G95" s="841"/>
      <c r="H95" s="841"/>
      <c r="I95" s="842"/>
      <c r="J95" s="1094"/>
      <c r="K95" s="1094"/>
      <c r="L95" s="1094"/>
      <c r="M95" s="1084"/>
      <c r="N95" s="1084"/>
      <c r="O95" s="1087"/>
      <c r="P95" s="1088"/>
      <c r="Q95" s="1091"/>
      <c r="R95" s="1092"/>
      <c r="S95" s="856"/>
      <c r="T95" s="841"/>
      <c r="U95" s="841"/>
      <c r="V95" s="842"/>
      <c r="W95" s="1094"/>
      <c r="X95" s="1094"/>
      <c r="Y95" s="1094"/>
      <c r="Z95" s="1084"/>
      <c r="AA95" s="1084"/>
      <c r="AB95" s="1096"/>
      <c r="AC95" s="1096"/>
      <c r="AD95" s="1098"/>
      <c r="AE95" s="1098"/>
      <c r="AF95" s="1098"/>
      <c r="AG95" s="1100"/>
      <c r="AH95" s="870"/>
      <c r="AI95" s="1102"/>
      <c r="AJ95" s="1102"/>
      <c r="AK95" s="912"/>
      <c r="AL95" s="913"/>
      <c r="AM95" s="942"/>
      <c r="AN95" s="1106"/>
      <c r="AO95" s="1106"/>
      <c r="AP95" s="1106"/>
      <c r="AQ95" s="1106"/>
      <c r="AU95" s="1108"/>
      <c r="AV95" s="1108"/>
      <c r="AW95" s="907"/>
      <c r="AX95" s="817"/>
      <c r="AY95" s="817"/>
      <c r="AZ95" s="879"/>
      <c r="BA95" s="817"/>
      <c r="BB95" s="1002"/>
      <c r="BC95" s="1104"/>
      <c r="BD95" s="1002"/>
      <c r="BE95" s="1002"/>
      <c r="BF95" s="1104"/>
      <c r="BG95"/>
      <c r="BH95" s="1002"/>
      <c r="BI95"/>
    </row>
    <row r="96" spans="2:61" ht="15.95" hidden="1" customHeight="1">
      <c r="B96" s="834">
        <v>41</v>
      </c>
      <c r="C96" s="1093"/>
      <c r="D96" s="1093"/>
      <c r="E96" s="1093"/>
      <c r="F96" s="871"/>
      <c r="G96" s="872"/>
      <c r="H96" s="872"/>
      <c r="I96" s="873"/>
      <c r="J96" s="1093"/>
      <c r="K96" s="1093"/>
      <c r="L96" s="1093"/>
      <c r="M96" s="1083"/>
      <c r="N96" s="1083"/>
      <c r="O96" s="1085" t="str">
        <f>IFERROR(IF(F96="","",INDEX(CMLIGHTBASE[Base Watt 1],MATCH(F96,CMLIGHTBASE[Base Desc 1],0))),"")</f>
        <v/>
      </c>
      <c r="P96" s="1086"/>
      <c r="Q96" s="1089"/>
      <c r="R96" s="1090"/>
      <c r="S96" s="890"/>
      <c r="T96" s="872"/>
      <c r="U96" s="872"/>
      <c r="V96" s="873"/>
      <c r="W96" s="1093"/>
      <c r="X96" s="1093"/>
      <c r="Y96" s="1093"/>
      <c r="Z96" s="1083"/>
      <c r="AA96" s="1083"/>
      <c r="AB96" s="1095"/>
      <c r="AC96" s="1095"/>
      <c r="AD96" s="1097"/>
      <c r="AE96" s="1097"/>
      <c r="AF96" s="1097"/>
      <c r="AG96" s="1099"/>
      <c r="AH96" s="924" t="str">
        <f t="shared" ref="AH96" si="195">IFERROR(IF(OR(C96="",J96="",M96="",O96="",Q96="",W96="",Z96="",AB96="",AD96="",AF96=""),"",ROUND((AD96+AF96)*Z96,2)),"")</f>
        <v/>
      </c>
      <c r="AI96" s="1101"/>
      <c r="AJ96" s="1101"/>
      <c r="AK96" s="910" t="str">
        <f t="shared" ref="AK96" si="196">IFERROR(IF(OR(C96="",F96="",J96="",M96="",O96="",Q96="",S96="",W96="",Z96="",AB96="",AD96="",AF96=""),"",ROUND(IF((M96*O96)&lt;=(Z96*AB96),"0",(AX96-AY96+BD96)*BE96),2)),"")</f>
        <v/>
      </c>
      <c r="AL96" s="911"/>
      <c r="AM96" s="975"/>
      <c r="AN96" s="1105" t="str">
        <f>IFERROR(IF(OR(C96="",F96="",J96="",M96="",O96="",Q96="",S96="",W96="",Z96="",AB96="",AD96="",AF96=""),"",IF(OR(ISNUMBER(SEARCH("~~",F96)),ISNUMBER(SEARCH("~~",S96))),"Invalid Fixture Type Selected",IF(BF96&lt;&gt;"",BF96,ROUND(MIN(AH96*0.75,AK96*INDEX(INCRATE[Electric],MATCH("CMLIGHT",INCRATE[Incentive Type]))),2)))),"")</f>
        <v/>
      </c>
      <c r="AO96" s="1105"/>
      <c r="AP96" s="1105"/>
      <c r="AQ96" s="1105"/>
      <c r="AU96" s="1109" t="str">
        <f>IF(F96="","",INDEX(CUSTLIGHTUNIT,MATCH(F96,CMELIGHTBASE1,0)))</f>
        <v/>
      </c>
      <c r="AV96" s="1107" t="str">
        <f>IFERROR(IF(OR(C96="",F96="",J96="",M96="",O96="",Q96="",S96="",W96="",Z96="",AB96="",AD96="",AF96=""),"",((((1+ELOSS)*((AK96*INDEX(ELECCB[NPV AEC $/kWh],MATCH(15,ELECCB[Year Number],0)))+(AW96*INDEX(ELECCB[NPV ACC+T&amp;D $/kW],MATCH(15,ELECCB[Year Number],0)))))+((1+GLOSS)*((BB96*INDEX(GASCB[NPV GAEC $/therm],MATCH(15,GASCB[Year Number],1))))))/AH96)),"")</f>
        <v/>
      </c>
      <c r="AW96" s="906" t="str">
        <f>IFERROR(IF(OR(C96="",F96="",J96="",M96="",O96="",Q96="",S96="",W96="",Z96="",AB96="",AD96="",AF96=""),"",IF(OR(ISNUMBER(SEARCH("Exterior",C96)),((M96*O96)&lt;=(Z96*AB96)),ISNUMBER(SEARCH("Exterior",S96)),ISNUMBER(SEARCH("Exterior",F96))),0,ROUND((((M96*O96)-(Z96*AB96))/1000)*INDEX(LightingWHF[Coincidence Factor CF],MATCH(M02S02F26,LightingWHF[Building/Space Type],0))*IF(OR(M02S02F32="AC with Natural Gas Heat",M02S02F32="AC with Electric Heat",M02S02F32="Heat Pump"),INDEX(LightingWHF[Waste Heat Cooling Demand WHFd],MATCH(M02S02F26,LightingWHF[Building/Space Type],0)),1),3))),"")</f>
        <v/>
      </c>
      <c r="AX96" s="816" t="str">
        <f t="shared" ref="AX96" si="197">IF(OR(C96="",F96="",J96="",M96="",O96="",Q96="",S96="",W96="",Z96="",AB96="",AD96="",AF96=""),"",ROUND(M96*O96*Q96/1000,2))</f>
        <v/>
      </c>
      <c r="AY96" s="816" t="str">
        <f t="shared" ref="AY96" si="198">IF(OR(C96="",F96="",J96="",M96="",O96="",Q96="",S96="",W96="",Z96="",AB96="",AD96="",AF96=""),"",ROUND(Z96*AB96*Q96/1000,2))</f>
        <v/>
      </c>
      <c r="AZ96" s="878" t="str">
        <f>IF(OR(C96="",F96="",J96="",M96="",O96="",Q96="",S96="",W96="",Z96="",AB96="",AD96="",AF96=""),"",IF(ISNUMBER(AN96),(CONCATENATE(INDEX(CMLIGHTBASE[Measure Number],MATCH(F96,CMLIGHTBASE[Base Desc 1],0)),INDEX(CMLIGHTEFF[Measure Number],MATCH(S96,CMLIGHTEFF[Eff Desc 1],0)))),IF(AK96=0,"","000001")))</f>
        <v/>
      </c>
      <c r="BA96" s="816" t="str">
        <f t="shared" ref="BA96" si="199">IF(OR(C96="",F96="",J96="",M96="",O96="",Q96="",S96="",W96="",Z96="",AB96="",AD96="",AF96=""),"",IF((M96*O96)&lt;=(Z96*AB96),"0",AX96-AY96))</f>
        <v/>
      </c>
      <c r="BB96" s="1064" t="str">
        <f>IF(OR(C96="",F96="",J96="",M96="",O96="",Q96="",S96="",W96="",Z96="",AB96="",AD96="",AF96=""),"",IF(M02S02F46="Electric Only",0,IF(OR(ISNUMBER(SEARCH("Exterior",S96)),ISNUMBER(SEARCH("Exterior",C96)),ISNUMBER(SEARCH("Exterior",F96))),0,IF(OR(M02S02F32="AC with Natural Gas Heat",M02S02F32="Natural Gas Heat Only"),(((O96*M96-AB96*Z96)/1000)*Q96*-INDEX(LightingWHF[Waste Heat Gas Heating IFTherms],MATCH(M02S02F26,LightingWHF[Building/Space Type],0))),0))))</f>
        <v/>
      </c>
      <c r="BC96" s="1103" t="str">
        <f>IFERROR(AH96/M02S02F35/BA96,"")</f>
        <v/>
      </c>
      <c r="BD96" s="1064" t="str">
        <f>IF(OR(C96="",F96="",J96="",M96="",O96="",Q96="",S96="",W96="",Z96="",AB96="",AD96="",AF96=""),"",IF(M02S02F46="Gas Only",0,IF(OR(ISNUMBER(SEARCH("Exterior",S96)),ISNUMBER(SEARCH("Exterior",C96)),ISNUMBER(SEARCH("Exterior",F96))),0,IF(M02S02F32="Heat Pump",(((O96*M96-AB96*Z96)/1000)*Q96*-INDEX(LightingWHF[Waste Heat Electric Heat Pump Heating IFkWh],MATCH(M02S02F26,LightingWHF[Building/Space Type],0))),
IF(OR(M02S02F32="AC with Electric Heat",M02S02F32="Electric Heat Only"),(((O96*M96-AB96*Z96)/1000)*Q96*-INDEX(LightingWHF[Waste Heat Electric Resistance Heating IFkWh],MATCH(M02S02F26,LightingWHF[Building/Space Type],0))),0
)))))</f>
        <v/>
      </c>
      <c r="BE96" s="1064" t="str">
        <f>IF(OR(C96="",F96="",J96="",M96="",O96="",Q96="",S96="",W96="",Z96="",AB96="",AD96="",AF96=""),"",IF(M02S02F46="Gas Only",0,IF(OR(ISNUMBER(SEARCH("Exterior",S96)),ISNUMBER(SEARCH("Exterior",C96)),ISNUMBER(SEARCH("Exterior",F96))),1,IF(OR(M02S02F32="Heat Pump",M02S02F32="AC with Natural Gas Heat",M02S02F32="AC with Electric Heat"),(INDEX(LightingWHF[Waste Heat Cooling Energy WHFe],MATCH(M02S02F26,LightingWHF[Building/Space Type],0))),1))))</f>
        <v/>
      </c>
      <c r="BF96" s="1103" t="str">
        <f>IFERROR(IF((M96*O96)&lt;=(Z96*AB96),MEASURESAVE,IF(M02S02F35="",MEASURERATE,IF(AH96/M02S02F35/BA96&lt;1,MEASUREPAY,IF(AV96&lt;1,MEASURECB,IF(OR(ISBLANK(M02S02F26),ISBLANK(M02S02F32),ISBLANK(M02S02F46)),MEASUREBLDG,""))))),MEASURESUBMIT)</f>
        <v>Submit for Review</v>
      </c>
      <c r="BG96"/>
      <c r="BH96" s="1001" t="str">
        <f ca="1">IF(OR(C96="",F96="",J96="",M96="",O96="",Q96="",S96="",W96="",Z96="",AB96="",AD96="",AF96=""),"",IF('M01-S01'!$V$82&lt;TODAY(),0,IF(M02S02F46="Gas Only",0,IF(OR(AK96="",AK96&lt;0,AH96&lt;=AN96),0,MIN(AH96-AN96,ROUND(IF(OR(ISNUMBER(SEARCH("T12",F96)),ISNUMBER(SEARCH("T8",F96)),ISNUMBER(SEARCH("T5",F96)),ISNUMBER(SEARCH("MH",F96)),ISNUMBER(SEARCH("HPS",F96)),ISNUMBER(SEARCH("MV",F96))),AN96*0.2),2))))))</f>
        <v/>
      </c>
      <c r="BI96"/>
    </row>
    <row r="97" spans="2:61" ht="15.95" hidden="1" customHeight="1">
      <c r="B97" s="834"/>
      <c r="C97" s="1094"/>
      <c r="D97" s="1094"/>
      <c r="E97" s="1094"/>
      <c r="F97" s="840"/>
      <c r="G97" s="841"/>
      <c r="H97" s="841"/>
      <c r="I97" s="842"/>
      <c r="J97" s="1094"/>
      <c r="K97" s="1094"/>
      <c r="L97" s="1094"/>
      <c r="M97" s="1084"/>
      <c r="N97" s="1084"/>
      <c r="O97" s="1087"/>
      <c r="P97" s="1088"/>
      <c r="Q97" s="1091"/>
      <c r="R97" s="1092"/>
      <c r="S97" s="856"/>
      <c r="T97" s="841"/>
      <c r="U97" s="841"/>
      <c r="V97" s="842"/>
      <c r="W97" s="1094"/>
      <c r="X97" s="1094"/>
      <c r="Y97" s="1094"/>
      <c r="Z97" s="1084"/>
      <c r="AA97" s="1084"/>
      <c r="AB97" s="1096"/>
      <c r="AC97" s="1096"/>
      <c r="AD97" s="1098"/>
      <c r="AE97" s="1098"/>
      <c r="AF97" s="1098"/>
      <c r="AG97" s="1100"/>
      <c r="AH97" s="870"/>
      <c r="AI97" s="1102"/>
      <c r="AJ97" s="1102"/>
      <c r="AK97" s="912"/>
      <c r="AL97" s="913"/>
      <c r="AM97" s="942"/>
      <c r="AN97" s="1106"/>
      <c r="AO97" s="1106"/>
      <c r="AP97" s="1106"/>
      <c r="AQ97" s="1106"/>
      <c r="AU97" s="1108"/>
      <c r="AV97" s="1108"/>
      <c r="AW97" s="907"/>
      <c r="AX97" s="817"/>
      <c r="AY97" s="817"/>
      <c r="AZ97" s="879"/>
      <c r="BA97" s="817"/>
      <c r="BB97" s="1002"/>
      <c r="BC97" s="1104"/>
      <c r="BD97" s="1002"/>
      <c r="BE97" s="1002"/>
      <c r="BF97" s="1104"/>
      <c r="BG97"/>
      <c r="BH97" s="1002"/>
      <c r="BI97"/>
    </row>
    <row r="98" spans="2:61" ht="15.95" hidden="1" customHeight="1">
      <c r="B98" s="834">
        <v>42</v>
      </c>
      <c r="C98" s="1093"/>
      <c r="D98" s="1093"/>
      <c r="E98" s="1093"/>
      <c r="F98" s="871"/>
      <c r="G98" s="872"/>
      <c r="H98" s="872"/>
      <c r="I98" s="873"/>
      <c r="J98" s="1093"/>
      <c r="K98" s="1093"/>
      <c r="L98" s="1093"/>
      <c r="M98" s="1083"/>
      <c r="N98" s="1083"/>
      <c r="O98" s="1085" t="str">
        <f>IFERROR(IF(F98="","",INDEX(CMLIGHTBASE[Base Watt 1],MATCH(F98,CMLIGHTBASE[Base Desc 1],0))),"")</f>
        <v/>
      </c>
      <c r="P98" s="1086"/>
      <c r="Q98" s="1089"/>
      <c r="R98" s="1090"/>
      <c r="S98" s="890"/>
      <c r="T98" s="872"/>
      <c r="U98" s="872"/>
      <c r="V98" s="873"/>
      <c r="W98" s="1093"/>
      <c r="X98" s="1093"/>
      <c r="Y98" s="1093"/>
      <c r="Z98" s="1083"/>
      <c r="AA98" s="1083"/>
      <c r="AB98" s="1095"/>
      <c r="AC98" s="1095"/>
      <c r="AD98" s="1097"/>
      <c r="AE98" s="1097"/>
      <c r="AF98" s="1097"/>
      <c r="AG98" s="1099"/>
      <c r="AH98" s="924" t="str">
        <f t="shared" ref="AH98" si="200">IFERROR(IF(OR(C98="",J98="",M98="",O98="",Q98="",W98="",Z98="",AB98="",AD98="",AF98=""),"",ROUND((AD98+AF98)*Z98,2)),"")</f>
        <v/>
      </c>
      <c r="AI98" s="1101"/>
      <c r="AJ98" s="1101"/>
      <c r="AK98" s="910" t="str">
        <f t="shared" ref="AK98" si="201">IFERROR(IF(OR(C98="",F98="",J98="",M98="",O98="",Q98="",S98="",W98="",Z98="",AB98="",AD98="",AF98=""),"",ROUND(IF((M98*O98)&lt;=(Z98*AB98),"0",(AX98-AY98+BD98)*BE98),2)),"")</f>
        <v/>
      </c>
      <c r="AL98" s="911"/>
      <c r="AM98" s="975"/>
      <c r="AN98" s="1105" t="str">
        <f>IFERROR(IF(OR(C98="",F98="",J98="",M98="",O98="",Q98="",S98="",W98="",Z98="",AB98="",AD98="",AF98=""),"",IF(OR(ISNUMBER(SEARCH("~~",F98)),ISNUMBER(SEARCH("~~",S98))),"Invalid Fixture Type Selected",IF(BF98&lt;&gt;"",BF98,ROUND(MIN(AH98*0.75,AK98*INDEX(INCRATE[Electric],MATCH("CMLIGHT",INCRATE[Incentive Type]))),2)))),"")</f>
        <v/>
      </c>
      <c r="AO98" s="1105"/>
      <c r="AP98" s="1105"/>
      <c r="AQ98" s="1105"/>
      <c r="AU98" s="1109" t="str">
        <f>IF(F98="","",INDEX(CUSTLIGHTUNIT,MATCH(F98,CMELIGHTBASE1,0)))</f>
        <v/>
      </c>
      <c r="AV98" s="1107" t="str">
        <f>IFERROR(IF(OR(C98="",F98="",J98="",M98="",O98="",Q98="",S98="",W98="",Z98="",AB98="",AD98="",AF98=""),"",((((1+ELOSS)*((AK98*INDEX(ELECCB[NPV AEC $/kWh],MATCH(15,ELECCB[Year Number],0)))+(AW98*INDEX(ELECCB[NPV ACC+T&amp;D $/kW],MATCH(15,ELECCB[Year Number],0)))))+((1+GLOSS)*((BB98*INDEX(GASCB[NPV GAEC $/therm],MATCH(15,GASCB[Year Number],1))))))/AH98)),"")</f>
        <v/>
      </c>
      <c r="AW98" s="906" t="str">
        <f>IFERROR(IF(OR(C98="",F98="",J98="",M98="",O98="",Q98="",S98="",W98="",Z98="",AB98="",AD98="",AF98=""),"",IF(OR(ISNUMBER(SEARCH("Exterior",C98)),((M98*O98)&lt;=(Z98*AB98)),ISNUMBER(SEARCH("Exterior",S98)),ISNUMBER(SEARCH("Exterior",F98))),0,ROUND((((M98*O98)-(Z98*AB98))/1000)*INDEX(LightingWHF[Coincidence Factor CF],MATCH(M02S02F26,LightingWHF[Building/Space Type],0))*IF(OR(M02S02F32="AC with Natural Gas Heat",M02S02F32="AC with Electric Heat",M02S02F32="Heat Pump"),INDEX(LightingWHF[Waste Heat Cooling Demand WHFd],MATCH(M02S02F26,LightingWHF[Building/Space Type],0)),1),3))),"")</f>
        <v/>
      </c>
      <c r="AX98" s="816" t="str">
        <f t="shared" ref="AX98" si="202">IF(OR(C98="",F98="",J98="",M98="",O98="",Q98="",S98="",W98="",Z98="",AB98="",AD98="",AF98=""),"",ROUND(M98*O98*Q98/1000,2))</f>
        <v/>
      </c>
      <c r="AY98" s="816" t="str">
        <f t="shared" ref="AY98" si="203">IF(OR(C98="",F98="",J98="",M98="",O98="",Q98="",S98="",W98="",Z98="",AB98="",AD98="",AF98=""),"",ROUND(Z98*AB98*Q98/1000,2))</f>
        <v/>
      </c>
      <c r="AZ98" s="878" t="str">
        <f>IF(OR(C98="",F98="",J98="",M98="",O98="",Q98="",S98="",W98="",Z98="",AB98="",AD98="",AF98=""),"",IF(ISNUMBER(AN98),(CONCATENATE(INDEX(CMLIGHTBASE[Measure Number],MATCH(F98,CMLIGHTBASE[Base Desc 1],0)),INDEX(CMLIGHTEFF[Measure Number],MATCH(S98,CMLIGHTEFF[Eff Desc 1],0)))),IF(AK98=0,"","000001")))</f>
        <v/>
      </c>
      <c r="BA98" s="816" t="str">
        <f t="shared" ref="BA98" si="204">IF(OR(C98="",F98="",J98="",M98="",O98="",Q98="",S98="",W98="",Z98="",AB98="",AD98="",AF98=""),"",IF((M98*O98)&lt;=(Z98*AB98),"0",AX98-AY98))</f>
        <v/>
      </c>
      <c r="BB98" s="1064" t="str">
        <f>IF(OR(C98="",F98="",J98="",M98="",O98="",Q98="",S98="",W98="",Z98="",AB98="",AD98="",AF98=""),"",IF(M02S02F46="Electric Only",0,IF(OR(ISNUMBER(SEARCH("Exterior",S98)),ISNUMBER(SEARCH("Exterior",C98)),ISNUMBER(SEARCH("Exterior",F98))),0,IF(OR(M02S02F32="AC with Natural Gas Heat",M02S02F32="Natural Gas Heat Only"),(((O98*M98-AB98*Z98)/1000)*Q98*-INDEX(LightingWHF[Waste Heat Gas Heating IFTherms],MATCH(M02S02F26,LightingWHF[Building/Space Type],0))),0))))</f>
        <v/>
      </c>
      <c r="BC98" s="1103" t="str">
        <f>IFERROR(AH98/M02S02F35/BA98,"")</f>
        <v/>
      </c>
      <c r="BD98" s="1064" t="str">
        <f>IF(OR(C98="",F98="",J98="",M98="",O98="",Q98="",S98="",W98="",Z98="",AB98="",AD98="",AF98=""),"",IF(M02S02F46="Gas Only",0,IF(OR(ISNUMBER(SEARCH("Exterior",S98)),ISNUMBER(SEARCH("Exterior",C98)),ISNUMBER(SEARCH("Exterior",F98))),0,IF(M02S02F32="Heat Pump",(((O98*M98-AB98*Z98)/1000)*Q98*-INDEX(LightingWHF[Waste Heat Electric Heat Pump Heating IFkWh],MATCH(M02S02F26,LightingWHF[Building/Space Type],0))),
IF(OR(M02S02F32="AC with Electric Heat",M02S02F32="Electric Heat Only"),(((O98*M98-AB98*Z98)/1000)*Q98*-INDEX(LightingWHF[Waste Heat Electric Resistance Heating IFkWh],MATCH(M02S02F26,LightingWHF[Building/Space Type],0))),0
)))))</f>
        <v/>
      </c>
      <c r="BE98" s="1064" t="str">
        <f>IF(OR(C98="",F98="",J98="",M98="",O98="",Q98="",S98="",W98="",Z98="",AB98="",AD98="",AF98=""),"",IF(M02S02F46="Gas Only",0,IF(OR(ISNUMBER(SEARCH("Exterior",S98)),ISNUMBER(SEARCH("Exterior",C98)),ISNUMBER(SEARCH("Exterior",F98))),1,IF(OR(M02S02F32="Heat Pump",M02S02F32="AC with Natural Gas Heat",M02S02F32="AC with Electric Heat"),(INDEX(LightingWHF[Waste Heat Cooling Energy WHFe],MATCH(M02S02F26,LightingWHF[Building/Space Type],0))),1))))</f>
        <v/>
      </c>
      <c r="BF98" s="1103" t="str">
        <f>IFERROR(IF((M98*O98)&lt;=(Z98*AB98),MEASURESAVE,IF(M02S02F35="",MEASURERATE,IF(AH98/M02S02F35/BA98&lt;1,MEASUREPAY,IF(AV98&lt;1,MEASURECB,IF(OR(ISBLANK(M02S02F26),ISBLANK(M02S02F32),ISBLANK(M02S02F46)),MEASUREBLDG,""))))),MEASURESUBMIT)</f>
        <v>Submit for Review</v>
      </c>
      <c r="BG98"/>
      <c r="BH98" s="1001" t="str">
        <f ca="1">IF(OR(C98="",F98="",J98="",M98="",O98="",Q98="",S98="",W98="",Z98="",AB98="",AD98="",AF98=""),"",IF('M01-S01'!$V$82&lt;TODAY(),0,IF(M02S02F46="Gas Only",0,IF(OR(AK98="",AK98&lt;0,AH98&lt;=AN98),0,MIN(AH98-AN98,ROUND(IF(OR(ISNUMBER(SEARCH("T12",F98)),ISNUMBER(SEARCH("T8",F98)),ISNUMBER(SEARCH("T5",F98)),ISNUMBER(SEARCH("MH",F98)),ISNUMBER(SEARCH("HPS",F98)),ISNUMBER(SEARCH("MV",F98))),AN98*0.2),2))))))</f>
        <v/>
      </c>
      <c r="BI98"/>
    </row>
    <row r="99" spans="2:61" ht="15.95" hidden="1" customHeight="1">
      <c r="B99" s="834"/>
      <c r="C99" s="1094"/>
      <c r="D99" s="1094"/>
      <c r="E99" s="1094"/>
      <c r="F99" s="840"/>
      <c r="G99" s="841"/>
      <c r="H99" s="841"/>
      <c r="I99" s="842"/>
      <c r="J99" s="1094"/>
      <c r="K99" s="1094"/>
      <c r="L99" s="1094"/>
      <c r="M99" s="1084"/>
      <c r="N99" s="1084"/>
      <c r="O99" s="1087"/>
      <c r="P99" s="1088"/>
      <c r="Q99" s="1091"/>
      <c r="R99" s="1092"/>
      <c r="S99" s="856"/>
      <c r="T99" s="841"/>
      <c r="U99" s="841"/>
      <c r="V99" s="842"/>
      <c r="W99" s="1094"/>
      <c r="X99" s="1094"/>
      <c r="Y99" s="1094"/>
      <c r="Z99" s="1084"/>
      <c r="AA99" s="1084"/>
      <c r="AB99" s="1096"/>
      <c r="AC99" s="1096"/>
      <c r="AD99" s="1098"/>
      <c r="AE99" s="1098"/>
      <c r="AF99" s="1098"/>
      <c r="AG99" s="1100"/>
      <c r="AH99" s="870"/>
      <c r="AI99" s="1102"/>
      <c r="AJ99" s="1102"/>
      <c r="AK99" s="912"/>
      <c r="AL99" s="913"/>
      <c r="AM99" s="942"/>
      <c r="AN99" s="1106"/>
      <c r="AO99" s="1106"/>
      <c r="AP99" s="1106"/>
      <c r="AQ99" s="1106"/>
      <c r="AU99" s="1108"/>
      <c r="AV99" s="1108"/>
      <c r="AW99" s="907"/>
      <c r="AX99" s="817"/>
      <c r="AY99" s="817"/>
      <c r="AZ99" s="879"/>
      <c r="BA99" s="817"/>
      <c r="BB99" s="1002"/>
      <c r="BC99" s="1104"/>
      <c r="BD99" s="1002"/>
      <c r="BE99" s="1002"/>
      <c r="BF99" s="1104"/>
      <c r="BG99"/>
      <c r="BH99" s="1002"/>
      <c r="BI99"/>
    </row>
    <row r="100" spans="2:61" ht="15.95" hidden="1" customHeight="1">
      <c r="B100" s="834">
        <v>43</v>
      </c>
      <c r="C100" s="1093"/>
      <c r="D100" s="1093"/>
      <c r="E100" s="1093"/>
      <c r="F100" s="871"/>
      <c r="G100" s="872"/>
      <c r="H100" s="872"/>
      <c r="I100" s="873"/>
      <c r="J100" s="1093"/>
      <c r="K100" s="1093"/>
      <c r="L100" s="1093"/>
      <c r="M100" s="1083"/>
      <c r="N100" s="1083"/>
      <c r="O100" s="1085" t="str">
        <f>IFERROR(IF(F100="","",INDEX(CMLIGHTBASE[Base Watt 1],MATCH(F100,CMLIGHTBASE[Base Desc 1],0))),"")</f>
        <v/>
      </c>
      <c r="P100" s="1086"/>
      <c r="Q100" s="1089"/>
      <c r="R100" s="1090"/>
      <c r="S100" s="890"/>
      <c r="T100" s="872"/>
      <c r="U100" s="872"/>
      <c r="V100" s="873"/>
      <c r="W100" s="1093"/>
      <c r="X100" s="1093"/>
      <c r="Y100" s="1093"/>
      <c r="Z100" s="1083"/>
      <c r="AA100" s="1083"/>
      <c r="AB100" s="1095"/>
      <c r="AC100" s="1095"/>
      <c r="AD100" s="1097"/>
      <c r="AE100" s="1097"/>
      <c r="AF100" s="1097"/>
      <c r="AG100" s="1099"/>
      <c r="AH100" s="924" t="str">
        <f t="shared" ref="AH100" si="205">IFERROR(IF(OR(C100="",J100="",M100="",O100="",Q100="",W100="",Z100="",AB100="",AD100="",AF100=""),"",ROUND((AD100+AF100)*Z100,2)),"")</f>
        <v/>
      </c>
      <c r="AI100" s="1101"/>
      <c r="AJ100" s="1101"/>
      <c r="AK100" s="910" t="str">
        <f t="shared" ref="AK100" si="206">IFERROR(IF(OR(C100="",F100="",J100="",M100="",O100="",Q100="",S100="",W100="",Z100="",AB100="",AD100="",AF100=""),"",ROUND(IF((M100*O100)&lt;=(Z100*AB100),"0",(AX100-AY100+BD100)*BE100),2)),"")</f>
        <v/>
      </c>
      <c r="AL100" s="911"/>
      <c r="AM100" s="975"/>
      <c r="AN100" s="1105" t="str">
        <f>IFERROR(IF(OR(C100="",F100="",J100="",M100="",O100="",Q100="",S100="",W100="",Z100="",AB100="",AD100="",AF100=""),"",IF(OR(ISNUMBER(SEARCH("~~",F100)),ISNUMBER(SEARCH("~~",S100))),"Invalid Fixture Type Selected",IF(BF100&lt;&gt;"",BF100,ROUND(MIN(AH100*0.75,AK100*INDEX(INCRATE[Electric],MATCH("CMLIGHT",INCRATE[Incentive Type]))),2)))),"")</f>
        <v/>
      </c>
      <c r="AO100" s="1105"/>
      <c r="AP100" s="1105"/>
      <c r="AQ100" s="1105"/>
      <c r="AU100" s="1109" t="str">
        <f>IF(F100="","",INDEX(CUSTLIGHTUNIT,MATCH(F100,CMELIGHTBASE1,0)))</f>
        <v/>
      </c>
      <c r="AV100" s="1107" t="str">
        <f>IFERROR(IF(OR(C100="",F100="",J100="",M100="",O100="",Q100="",S100="",W100="",Z100="",AB100="",AD100="",AF100=""),"",((((1+ELOSS)*((AK100*INDEX(ELECCB[NPV AEC $/kWh],MATCH(15,ELECCB[Year Number],0)))+(AW100*INDEX(ELECCB[NPV ACC+T&amp;D $/kW],MATCH(15,ELECCB[Year Number],0)))))+((1+GLOSS)*((BB100*INDEX(GASCB[NPV GAEC $/therm],MATCH(15,GASCB[Year Number],1))))))/AH100)),"")</f>
        <v/>
      </c>
      <c r="AW100" s="906" t="str">
        <f>IFERROR(IF(OR(C100="",F100="",J100="",M100="",O100="",Q100="",S100="",W100="",Z100="",AB100="",AD100="",AF100=""),"",IF(OR(ISNUMBER(SEARCH("Exterior",C100)),((M100*O100)&lt;=(Z100*AB100)),ISNUMBER(SEARCH("Exterior",S100)),ISNUMBER(SEARCH("Exterior",F100))),0,ROUND((((M100*O100)-(Z100*AB100))/1000)*INDEX(LightingWHF[Coincidence Factor CF],MATCH(M02S02F26,LightingWHF[Building/Space Type],0))*IF(OR(M02S02F32="AC with Natural Gas Heat",M02S02F32="AC with Electric Heat",M02S02F32="Heat Pump"),INDEX(LightingWHF[Waste Heat Cooling Demand WHFd],MATCH(M02S02F26,LightingWHF[Building/Space Type],0)),1),3))),"")</f>
        <v/>
      </c>
      <c r="AX100" s="816" t="str">
        <f t="shared" ref="AX100" si="207">IF(OR(C100="",F100="",J100="",M100="",O100="",Q100="",S100="",W100="",Z100="",AB100="",AD100="",AF100=""),"",ROUND(M100*O100*Q100/1000,2))</f>
        <v/>
      </c>
      <c r="AY100" s="816" t="str">
        <f t="shared" ref="AY100" si="208">IF(OR(C100="",F100="",J100="",M100="",O100="",Q100="",S100="",W100="",Z100="",AB100="",AD100="",AF100=""),"",ROUND(Z100*AB100*Q100/1000,2))</f>
        <v/>
      </c>
      <c r="AZ100" s="878" t="str">
        <f>IF(OR(C100="",F100="",J100="",M100="",O100="",Q100="",S100="",W100="",Z100="",AB100="",AD100="",AF100=""),"",IF(ISNUMBER(AN100),(CONCATENATE(INDEX(CMLIGHTBASE[Measure Number],MATCH(F100,CMLIGHTBASE[Base Desc 1],0)),INDEX(CMLIGHTEFF[Measure Number],MATCH(S100,CMLIGHTEFF[Eff Desc 1],0)))),IF(AK100=0,"","000001")))</f>
        <v/>
      </c>
      <c r="BA100" s="816" t="str">
        <f t="shared" ref="BA100" si="209">IF(OR(C100="",F100="",J100="",M100="",O100="",Q100="",S100="",W100="",Z100="",AB100="",AD100="",AF100=""),"",IF((M100*O100)&lt;=(Z100*AB100),"0",AX100-AY100))</f>
        <v/>
      </c>
      <c r="BB100" s="1064" t="str">
        <f>IF(OR(C100="",F100="",J100="",M100="",O100="",Q100="",S100="",W100="",Z100="",AB100="",AD100="",AF100=""),"",IF(M02S02F46="Electric Only",0,IF(OR(ISNUMBER(SEARCH("Exterior",S100)),ISNUMBER(SEARCH("Exterior",C100)),ISNUMBER(SEARCH("Exterior",F100))),0,IF(OR(M02S02F32="AC with Natural Gas Heat",M02S02F32="Natural Gas Heat Only"),(((O100*M100-AB100*Z100)/1000)*Q100*-INDEX(LightingWHF[Waste Heat Gas Heating IFTherms],MATCH(M02S02F26,LightingWHF[Building/Space Type],0))),0))))</f>
        <v/>
      </c>
      <c r="BC100" s="1103" t="str">
        <f>IFERROR(AH100/M02S02F35/BA100,"")</f>
        <v/>
      </c>
      <c r="BD100" s="1064" t="str">
        <f>IF(OR(C100="",F100="",J100="",M100="",O100="",Q100="",S100="",W100="",Z100="",AB100="",AD100="",AF100=""),"",IF(M02S02F46="Gas Only",0,IF(OR(ISNUMBER(SEARCH("Exterior",S100)),ISNUMBER(SEARCH("Exterior",C100)),ISNUMBER(SEARCH("Exterior",F100))),0,IF(M02S02F32="Heat Pump",(((O100*M100-AB100*Z100)/1000)*Q100*-INDEX(LightingWHF[Waste Heat Electric Heat Pump Heating IFkWh],MATCH(M02S02F26,LightingWHF[Building/Space Type],0))),
IF(OR(M02S02F32="AC with Electric Heat",M02S02F32="Electric Heat Only"),(((O100*M100-AB100*Z100)/1000)*Q100*-INDEX(LightingWHF[Waste Heat Electric Resistance Heating IFkWh],MATCH(M02S02F26,LightingWHF[Building/Space Type],0))),0
)))))</f>
        <v/>
      </c>
      <c r="BE100" s="1064" t="str">
        <f>IF(OR(C100="",F100="",J100="",M100="",O100="",Q100="",S100="",W100="",Z100="",AB100="",AD100="",AF100=""),"",IF(M02S02F46="Gas Only",0,IF(OR(ISNUMBER(SEARCH("Exterior",S100)),ISNUMBER(SEARCH("Exterior",C100)),ISNUMBER(SEARCH("Exterior",F100))),1,IF(OR(M02S02F32="Heat Pump",M02S02F32="AC with Natural Gas Heat",M02S02F32="AC with Electric Heat"),(INDEX(LightingWHF[Waste Heat Cooling Energy WHFe],MATCH(M02S02F26,LightingWHF[Building/Space Type],0))),1))))</f>
        <v/>
      </c>
      <c r="BF100" s="1103" t="str">
        <f>IFERROR(IF((M100*O100)&lt;=(Z100*AB100),MEASURESAVE,IF(M02S02F35="",MEASURERATE,IF(AH100/M02S02F35/BA100&lt;1,MEASUREPAY,IF(AV100&lt;1,MEASURECB,IF(OR(ISBLANK(M02S02F26),ISBLANK(M02S02F32),ISBLANK(M02S02F46)),MEASUREBLDG,""))))),MEASURESUBMIT)</f>
        <v>Submit for Review</v>
      </c>
      <c r="BG100"/>
      <c r="BH100" s="1001" t="str">
        <f ca="1">IF(OR(C100="",F100="",J100="",M100="",O100="",Q100="",S100="",W100="",Z100="",AB100="",AD100="",AF100=""),"",IF('M01-S01'!$V$82&lt;TODAY(),0,IF(M02S02F46="Gas Only",0,IF(OR(AK100="",AK100&lt;0,AH100&lt;=AN100),0,MIN(AH100-AN100,ROUND(IF(OR(ISNUMBER(SEARCH("T12",F100)),ISNUMBER(SEARCH("T8",F100)),ISNUMBER(SEARCH("T5",F100)),ISNUMBER(SEARCH("MH",F100)),ISNUMBER(SEARCH("HPS",F100)),ISNUMBER(SEARCH("MV",F100))),AN100*0.2),2))))))</f>
        <v/>
      </c>
      <c r="BI100"/>
    </row>
    <row r="101" spans="2:61" ht="15.95" hidden="1" customHeight="1">
      <c r="B101" s="834"/>
      <c r="C101" s="1094"/>
      <c r="D101" s="1094"/>
      <c r="E101" s="1094"/>
      <c r="F101" s="840"/>
      <c r="G101" s="841"/>
      <c r="H101" s="841"/>
      <c r="I101" s="842"/>
      <c r="J101" s="1094"/>
      <c r="K101" s="1094"/>
      <c r="L101" s="1094"/>
      <c r="M101" s="1084"/>
      <c r="N101" s="1084"/>
      <c r="O101" s="1087"/>
      <c r="P101" s="1088"/>
      <c r="Q101" s="1091"/>
      <c r="R101" s="1092"/>
      <c r="S101" s="856"/>
      <c r="T101" s="841"/>
      <c r="U101" s="841"/>
      <c r="V101" s="842"/>
      <c r="W101" s="1094"/>
      <c r="X101" s="1094"/>
      <c r="Y101" s="1094"/>
      <c r="Z101" s="1084"/>
      <c r="AA101" s="1084"/>
      <c r="AB101" s="1096"/>
      <c r="AC101" s="1096"/>
      <c r="AD101" s="1098"/>
      <c r="AE101" s="1098"/>
      <c r="AF101" s="1098"/>
      <c r="AG101" s="1100"/>
      <c r="AH101" s="870"/>
      <c r="AI101" s="1102"/>
      <c r="AJ101" s="1102"/>
      <c r="AK101" s="912"/>
      <c r="AL101" s="913"/>
      <c r="AM101" s="942"/>
      <c r="AN101" s="1106"/>
      <c r="AO101" s="1106"/>
      <c r="AP101" s="1106"/>
      <c r="AQ101" s="1106"/>
      <c r="AU101" s="1108"/>
      <c r="AV101" s="1108"/>
      <c r="AW101" s="907"/>
      <c r="AX101" s="817"/>
      <c r="AY101" s="817"/>
      <c r="AZ101" s="879"/>
      <c r="BA101" s="817"/>
      <c r="BB101" s="1002"/>
      <c r="BC101" s="1104"/>
      <c r="BD101" s="1002"/>
      <c r="BE101" s="1002"/>
      <c r="BF101" s="1104"/>
      <c r="BG101"/>
      <c r="BH101" s="1002"/>
      <c r="BI101"/>
    </row>
    <row r="102" spans="2:61" ht="15.95" hidden="1" customHeight="1">
      <c r="B102" s="834">
        <v>44</v>
      </c>
      <c r="C102" s="1093"/>
      <c r="D102" s="1093"/>
      <c r="E102" s="1093"/>
      <c r="F102" s="871"/>
      <c r="G102" s="872"/>
      <c r="H102" s="872"/>
      <c r="I102" s="873"/>
      <c r="J102" s="1093"/>
      <c r="K102" s="1093"/>
      <c r="L102" s="1093"/>
      <c r="M102" s="1083"/>
      <c r="N102" s="1083"/>
      <c r="O102" s="1085" t="str">
        <f>IFERROR(IF(F102="","",INDEX(CMLIGHTBASE[Base Watt 1],MATCH(F102,CMLIGHTBASE[Base Desc 1],0))),"")</f>
        <v/>
      </c>
      <c r="P102" s="1086"/>
      <c r="Q102" s="1089"/>
      <c r="R102" s="1090"/>
      <c r="S102" s="890"/>
      <c r="T102" s="872"/>
      <c r="U102" s="872"/>
      <c r="V102" s="873"/>
      <c r="W102" s="1093"/>
      <c r="X102" s="1093"/>
      <c r="Y102" s="1093"/>
      <c r="Z102" s="1083"/>
      <c r="AA102" s="1083"/>
      <c r="AB102" s="1095"/>
      <c r="AC102" s="1095"/>
      <c r="AD102" s="1097"/>
      <c r="AE102" s="1097"/>
      <c r="AF102" s="1097"/>
      <c r="AG102" s="1099"/>
      <c r="AH102" s="924" t="str">
        <f t="shared" ref="AH102" si="210">IFERROR(IF(OR(C102="",J102="",M102="",O102="",Q102="",W102="",Z102="",AB102="",AD102="",AF102=""),"",ROUND((AD102+AF102)*Z102,2)),"")</f>
        <v/>
      </c>
      <c r="AI102" s="1101"/>
      <c r="AJ102" s="1101"/>
      <c r="AK102" s="910" t="str">
        <f t="shared" ref="AK102" si="211">IFERROR(IF(OR(C102="",F102="",J102="",M102="",O102="",Q102="",S102="",W102="",Z102="",AB102="",AD102="",AF102=""),"",ROUND(IF((M102*O102)&lt;=(Z102*AB102),"0",(AX102-AY102+BD102)*BE102),2)),"")</f>
        <v/>
      </c>
      <c r="AL102" s="911"/>
      <c r="AM102" s="975"/>
      <c r="AN102" s="1105" t="str">
        <f>IFERROR(IF(OR(C102="",F102="",J102="",M102="",O102="",Q102="",S102="",W102="",Z102="",AB102="",AD102="",AF102=""),"",IF(OR(ISNUMBER(SEARCH("~~",F102)),ISNUMBER(SEARCH("~~",S102))),"Invalid Fixture Type Selected",IF(BF102&lt;&gt;"",BF102,ROUND(MIN(AH102*0.75,AK102*INDEX(INCRATE[Electric],MATCH("CMLIGHT",INCRATE[Incentive Type]))),2)))),"")</f>
        <v/>
      </c>
      <c r="AO102" s="1105"/>
      <c r="AP102" s="1105"/>
      <c r="AQ102" s="1105"/>
      <c r="AU102" s="1109" t="str">
        <f>IF(F102="","",INDEX(CUSTLIGHTUNIT,MATCH(F102,CMELIGHTBASE1,0)))</f>
        <v/>
      </c>
      <c r="AV102" s="1107" t="str">
        <f>IFERROR(IF(OR(C102="",F102="",J102="",M102="",O102="",Q102="",S102="",W102="",Z102="",AB102="",AD102="",AF102=""),"",((((1+ELOSS)*((AK102*INDEX(ELECCB[NPV AEC $/kWh],MATCH(15,ELECCB[Year Number],0)))+(AW102*INDEX(ELECCB[NPV ACC+T&amp;D $/kW],MATCH(15,ELECCB[Year Number],0)))))+((1+GLOSS)*((BB102*INDEX(GASCB[NPV GAEC $/therm],MATCH(15,GASCB[Year Number],1))))))/AH102)),"")</f>
        <v/>
      </c>
      <c r="AW102" s="906" t="str">
        <f>IFERROR(IF(OR(C102="",F102="",J102="",M102="",O102="",Q102="",S102="",W102="",Z102="",AB102="",AD102="",AF102=""),"",IF(OR(ISNUMBER(SEARCH("Exterior",C102)),((M102*O102)&lt;=(Z102*AB102)),ISNUMBER(SEARCH("Exterior",S102)),ISNUMBER(SEARCH("Exterior",F102))),0,ROUND((((M102*O102)-(Z102*AB102))/1000)*INDEX(LightingWHF[Coincidence Factor CF],MATCH(M02S02F26,LightingWHF[Building/Space Type],0))*IF(OR(M02S02F32="AC with Natural Gas Heat",M02S02F32="AC with Electric Heat",M02S02F32="Heat Pump"),INDEX(LightingWHF[Waste Heat Cooling Demand WHFd],MATCH(M02S02F26,LightingWHF[Building/Space Type],0)),1),3))),"")</f>
        <v/>
      </c>
      <c r="AX102" s="816" t="str">
        <f t="shared" ref="AX102" si="212">IF(OR(C102="",F102="",J102="",M102="",O102="",Q102="",S102="",W102="",Z102="",AB102="",AD102="",AF102=""),"",ROUND(M102*O102*Q102/1000,2))</f>
        <v/>
      </c>
      <c r="AY102" s="816" t="str">
        <f t="shared" ref="AY102" si="213">IF(OR(C102="",F102="",J102="",M102="",O102="",Q102="",S102="",W102="",Z102="",AB102="",AD102="",AF102=""),"",ROUND(Z102*AB102*Q102/1000,2))</f>
        <v/>
      </c>
      <c r="AZ102" s="878" t="str">
        <f>IF(OR(C102="",F102="",J102="",M102="",O102="",Q102="",S102="",W102="",Z102="",AB102="",AD102="",AF102=""),"",IF(ISNUMBER(AN102),(CONCATENATE(INDEX(CMLIGHTBASE[Measure Number],MATCH(F102,CMLIGHTBASE[Base Desc 1],0)),INDEX(CMLIGHTEFF[Measure Number],MATCH(S102,CMLIGHTEFF[Eff Desc 1],0)))),IF(AK102=0,"","000001")))</f>
        <v/>
      </c>
      <c r="BA102" s="816" t="str">
        <f t="shared" ref="BA102" si="214">IF(OR(C102="",F102="",J102="",M102="",O102="",Q102="",S102="",W102="",Z102="",AB102="",AD102="",AF102=""),"",IF((M102*O102)&lt;=(Z102*AB102),"0",AX102-AY102))</f>
        <v/>
      </c>
      <c r="BB102" s="1064" t="str">
        <f>IF(OR(C102="",F102="",J102="",M102="",O102="",Q102="",S102="",W102="",Z102="",AB102="",AD102="",AF102=""),"",IF(M02S02F46="Electric Only",0,IF(OR(ISNUMBER(SEARCH("Exterior",S102)),ISNUMBER(SEARCH("Exterior",C102)),ISNUMBER(SEARCH("Exterior",F102))),0,IF(OR(M02S02F32="AC with Natural Gas Heat",M02S02F32="Natural Gas Heat Only"),(((O102*M102-AB102*Z102)/1000)*Q102*-INDEX(LightingWHF[Waste Heat Gas Heating IFTherms],MATCH(M02S02F26,LightingWHF[Building/Space Type],0))),0))))</f>
        <v/>
      </c>
      <c r="BC102" s="1103" t="str">
        <f>IFERROR(AH102/M02S02F35/BA102,"")</f>
        <v/>
      </c>
      <c r="BD102" s="1064" t="str">
        <f>IF(OR(C102="",F102="",J102="",M102="",O102="",Q102="",S102="",W102="",Z102="",AB102="",AD102="",AF102=""),"",IF(M02S02F46="Gas Only",0,IF(OR(ISNUMBER(SEARCH("Exterior",S102)),ISNUMBER(SEARCH("Exterior",C102)),ISNUMBER(SEARCH("Exterior",F102))),0,IF(M02S02F32="Heat Pump",(((O102*M102-AB102*Z102)/1000)*Q102*-INDEX(LightingWHF[Waste Heat Electric Heat Pump Heating IFkWh],MATCH(M02S02F26,LightingWHF[Building/Space Type],0))),
IF(OR(M02S02F32="AC with Electric Heat",M02S02F32="Electric Heat Only"),(((O102*M102-AB102*Z102)/1000)*Q102*-INDEX(LightingWHF[Waste Heat Electric Resistance Heating IFkWh],MATCH(M02S02F26,LightingWHF[Building/Space Type],0))),0
)))))</f>
        <v/>
      </c>
      <c r="BE102" s="1064" t="str">
        <f>IF(OR(C102="",F102="",J102="",M102="",O102="",Q102="",S102="",W102="",Z102="",AB102="",AD102="",AF102=""),"",IF(M02S02F46="Gas Only",0,IF(OR(ISNUMBER(SEARCH("Exterior",S102)),ISNUMBER(SEARCH("Exterior",C102)),ISNUMBER(SEARCH("Exterior",F102))),1,IF(OR(M02S02F32="Heat Pump",M02S02F32="AC with Natural Gas Heat",M02S02F32="AC with Electric Heat"),(INDEX(LightingWHF[Waste Heat Cooling Energy WHFe],MATCH(M02S02F26,LightingWHF[Building/Space Type],0))),1))))</f>
        <v/>
      </c>
      <c r="BF102" s="1103" t="str">
        <f>IFERROR(IF((M102*O102)&lt;=(Z102*AB102),MEASURESAVE,IF(M02S02F35="",MEASURERATE,IF(AH102/M02S02F35/BA102&lt;1,MEASUREPAY,IF(AV102&lt;1,MEASURECB,IF(OR(ISBLANK(M02S02F26),ISBLANK(M02S02F32),ISBLANK(M02S02F46)),MEASUREBLDG,""))))),MEASURESUBMIT)</f>
        <v>Submit for Review</v>
      </c>
      <c r="BG102"/>
      <c r="BH102" s="1001" t="str">
        <f ca="1">IF(OR(C102="",F102="",J102="",M102="",O102="",Q102="",S102="",W102="",Z102="",AB102="",AD102="",AF102=""),"",IF('M01-S01'!$V$82&lt;TODAY(),0,IF(M02S02F46="Gas Only",0,IF(OR(AK102="",AK102&lt;0,AH102&lt;=AN102),0,MIN(AH102-AN102,ROUND(IF(OR(ISNUMBER(SEARCH("T12",F102)),ISNUMBER(SEARCH("T8",F102)),ISNUMBER(SEARCH("T5",F102)),ISNUMBER(SEARCH("MH",F102)),ISNUMBER(SEARCH("HPS",F102)),ISNUMBER(SEARCH("MV",F102))),AN102*0.2),2))))))</f>
        <v/>
      </c>
      <c r="BI102"/>
    </row>
    <row r="103" spans="2:61" ht="15.95" hidden="1" customHeight="1">
      <c r="B103" s="834"/>
      <c r="C103" s="1094"/>
      <c r="D103" s="1094"/>
      <c r="E103" s="1094"/>
      <c r="F103" s="840"/>
      <c r="G103" s="841"/>
      <c r="H103" s="841"/>
      <c r="I103" s="842"/>
      <c r="J103" s="1094"/>
      <c r="K103" s="1094"/>
      <c r="L103" s="1094"/>
      <c r="M103" s="1084"/>
      <c r="N103" s="1084"/>
      <c r="O103" s="1087"/>
      <c r="P103" s="1088"/>
      <c r="Q103" s="1091"/>
      <c r="R103" s="1092"/>
      <c r="S103" s="856"/>
      <c r="T103" s="841"/>
      <c r="U103" s="841"/>
      <c r="V103" s="842"/>
      <c r="W103" s="1094"/>
      <c r="X103" s="1094"/>
      <c r="Y103" s="1094"/>
      <c r="Z103" s="1084"/>
      <c r="AA103" s="1084"/>
      <c r="AB103" s="1096"/>
      <c r="AC103" s="1096"/>
      <c r="AD103" s="1098"/>
      <c r="AE103" s="1098"/>
      <c r="AF103" s="1098"/>
      <c r="AG103" s="1100"/>
      <c r="AH103" s="870"/>
      <c r="AI103" s="1102"/>
      <c r="AJ103" s="1102"/>
      <c r="AK103" s="912"/>
      <c r="AL103" s="913"/>
      <c r="AM103" s="942"/>
      <c r="AN103" s="1106"/>
      <c r="AO103" s="1106"/>
      <c r="AP103" s="1106"/>
      <c r="AQ103" s="1106"/>
      <c r="AU103" s="1108"/>
      <c r="AV103" s="1108"/>
      <c r="AW103" s="907"/>
      <c r="AX103" s="817"/>
      <c r="AY103" s="817"/>
      <c r="AZ103" s="879"/>
      <c r="BA103" s="817"/>
      <c r="BB103" s="1002"/>
      <c r="BC103" s="1104"/>
      <c r="BD103" s="1002"/>
      <c r="BE103" s="1002"/>
      <c r="BF103" s="1104"/>
      <c r="BG103"/>
      <c r="BH103" s="1002"/>
      <c r="BI103"/>
    </row>
    <row r="104" spans="2:61" ht="15.95" hidden="1" customHeight="1">
      <c r="B104" s="834">
        <v>45</v>
      </c>
      <c r="C104" s="1093"/>
      <c r="D104" s="1093"/>
      <c r="E104" s="1093"/>
      <c r="F104" s="871"/>
      <c r="G104" s="872"/>
      <c r="H104" s="872"/>
      <c r="I104" s="873"/>
      <c r="J104" s="1093"/>
      <c r="K104" s="1093"/>
      <c r="L104" s="1093"/>
      <c r="M104" s="1083"/>
      <c r="N104" s="1083"/>
      <c r="O104" s="1085" t="str">
        <f>IFERROR(IF(F104="","",INDEX(CMLIGHTBASE[Base Watt 1],MATCH(F104,CMLIGHTBASE[Base Desc 1],0))),"")</f>
        <v/>
      </c>
      <c r="P104" s="1086"/>
      <c r="Q104" s="1089"/>
      <c r="R104" s="1090"/>
      <c r="S104" s="890"/>
      <c r="T104" s="872"/>
      <c r="U104" s="872"/>
      <c r="V104" s="873"/>
      <c r="W104" s="1093"/>
      <c r="X104" s="1093"/>
      <c r="Y104" s="1093"/>
      <c r="Z104" s="1083"/>
      <c r="AA104" s="1083"/>
      <c r="AB104" s="1095"/>
      <c r="AC104" s="1095"/>
      <c r="AD104" s="1097"/>
      <c r="AE104" s="1097"/>
      <c r="AF104" s="1097"/>
      <c r="AG104" s="1099"/>
      <c r="AH104" s="924" t="str">
        <f t="shared" ref="AH104" si="215">IFERROR(IF(OR(C104="",J104="",M104="",O104="",Q104="",W104="",Z104="",AB104="",AD104="",AF104=""),"",ROUND((AD104+AF104)*Z104,2)),"")</f>
        <v/>
      </c>
      <c r="AI104" s="1101"/>
      <c r="AJ104" s="1101"/>
      <c r="AK104" s="910" t="str">
        <f t="shared" ref="AK104" si="216">IFERROR(IF(OR(C104="",F104="",J104="",M104="",O104="",Q104="",S104="",W104="",Z104="",AB104="",AD104="",AF104=""),"",ROUND(IF((M104*O104)&lt;=(Z104*AB104),"0",(AX104-AY104+BD104)*BE104),2)),"")</f>
        <v/>
      </c>
      <c r="AL104" s="911"/>
      <c r="AM104" s="975"/>
      <c r="AN104" s="1105" t="str">
        <f>IFERROR(IF(OR(C104="",F104="",J104="",M104="",O104="",Q104="",S104="",W104="",Z104="",AB104="",AD104="",AF104=""),"",IF(OR(ISNUMBER(SEARCH("~~",F104)),ISNUMBER(SEARCH("~~",S104))),"Invalid Fixture Type Selected",IF(BF104&lt;&gt;"",BF104,ROUND(MIN(AH104*0.75,AK104*INDEX(INCRATE[Electric],MATCH("CMLIGHT",INCRATE[Incentive Type]))),2)))),"")</f>
        <v/>
      </c>
      <c r="AO104" s="1105"/>
      <c r="AP104" s="1105"/>
      <c r="AQ104" s="1105"/>
      <c r="AU104" s="1109" t="str">
        <f>IF(F104="","",INDEX(CUSTLIGHTUNIT,MATCH(F104,CMELIGHTBASE1,0)))</f>
        <v/>
      </c>
      <c r="AV104" s="1107" t="str">
        <f>IFERROR(IF(OR(C104="",F104="",J104="",M104="",O104="",Q104="",S104="",W104="",Z104="",AB104="",AD104="",AF104=""),"",((((1+ELOSS)*((AK104*INDEX(ELECCB[NPV AEC $/kWh],MATCH(15,ELECCB[Year Number],0)))+(AW104*INDEX(ELECCB[NPV ACC+T&amp;D $/kW],MATCH(15,ELECCB[Year Number],0)))))+((1+GLOSS)*((BB104*INDEX(GASCB[NPV GAEC $/therm],MATCH(15,GASCB[Year Number],1))))))/AH104)),"")</f>
        <v/>
      </c>
      <c r="AW104" s="906" t="str">
        <f>IFERROR(IF(OR(C104="",F104="",J104="",M104="",O104="",Q104="",S104="",W104="",Z104="",AB104="",AD104="",AF104=""),"",IF(OR(ISNUMBER(SEARCH("Exterior",C104)),((M104*O104)&lt;=(Z104*AB104)),ISNUMBER(SEARCH("Exterior",S104)),ISNUMBER(SEARCH("Exterior",F104))),0,ROUND((((M104*O104)-(Z104*AB104))/1000)*INDEX(LightingWHF[Coincidence Factor CF],MATCH(M02S02F26,LightingWHF[Building/Space Type],0))*IF(OR(M02S02F32="AC with Natural Gas Heat",M02S02F32="AC with Electric Heat",M02S02F32="Heat Pump"),INDEX(LightingWHF[Waste Heat Cooling Demand WHFd],MATCH(M02S02F26,LightingWHF[Building/Space Type],0)),1),3))),"")</f>
        <v/>
      </c>
      <c r="AX104" s="816" t="str">
        <f t="shared" ref="AX104" si="217">IF(OR(C104="",F104="",J104="",M104="",O104="",Q104="",S104="",W104="",Z104="",AB104="",AD104="",AF104=""),"",ROUND(M104*O104*Q104/1000,2))</f>
        <v/>
      </c>
      <c r="AY104" s="816" t="str">
        <f t="shared" ref="AY104" si="218">IF(OR(C104="",F104="",J104="",M104="",O104="",Q104="",S104="",W104="",Z104="",AB104="",AD104="",AF104=""),"",ROUND(Z104*AB104*Q104/1000,2))</f>
        <v/>
      </c>
      <c r="AZ104" s="878" t="str">
        <f>IF(OR(C104="",F104="",J104="",M104="",O104="",Q104="",S104="",W104="",Z104="",AB104="",AD104="",AF104=""),"",IF(ISNUMBER(AN104),(CONCATENATE(INDEX(CMLIGHTBASE[Measure Number],MATCH(F104,CMLIGHTBASE[Base Desc 1],0)),INDEX(CMLIGHTEFF[Measure Number],MATCH(S104,CMLIGHTEFF[Eff Desc 1],0)))),IF(AK104=0,"","000001")))</f>
        <v/>
      </c>
      <c r="BA104" s="816" t="str">
        <f t="shared" ref="BA104" si="219">IF(OR(C104="",F104="",J104="",M104="",O104="",Q104="",S104="",W104="",Z104="",AB104="",AD104="",AF104=""),"",IF((M104*O104)&lt;=(Z104*AB104),"0",AX104-AY104))</f>
        <v/>
      </c>
      <c r="BB104" s="1064" t="str">
        <f>IF(OR(C104="",F104="",J104="",M104="",O104="",Q104="",S104="",W104="",Z104="",AB104="",AD104="",AF104=""),"",IF(M02S02F46="Electric Only",0,IF(OR(ISNUMBER(SEARCH("Exterior",S104)),ISNUMBER(SEARCH("Exterior",C104)),ISNUMBER(SEARCH("Exterior",F104))),0,IF(OR(M02S02F32="AC with Natural Gas Heat",M02S02F32="Natural Gas Heat Only"),(((O104*M104-AB104*Z104)/1000)*Q104*-INDEX(LightingWHF[Waste Heat Gas Heating IFTherms],MATCH(M02S02F26,LightingWHF[Building/Space Type],0))),0))))</f>
        <v/>
      </c>
      <c r="BC104" s="1103" t="str">
        <f>IFERROR(AH104/M02S02F35/BA104,"")</f>
        <v/>
      </c>
      <c r="BD104" s="1064" t="str">
        <f>IF(OR(C104="",F104="",J104="",M104="",O104="",Q104="",S104="",W104="",Z104="",AB104="",AD104="",AF104=""),"",IF(M02S02F46="Gas Only",0,IF(OR(ISNUMBER(SEARCH("Exterior",S104)),ISNUMBER(SEARCH("Exterior",C104)),ISNUMBER(SEARCH("Exterior",F104))),0,IF(M02S02F32="Heat Pump",(((O104*M104-AB104*Z104)/1000)*Q104*-INDEX(LightingWHF[Waste Heat Electric Heat Pump Heating IFkWh],MATCH(M02S02F26,LightingWHF[Building/Space Type],0))),
IF(OR(M02S02F32="AC with Electric Heat",M02S02F32="Electric Heat Only"),(((O104*M104-AB104*Z104)/1000)*Q104*-INDEX(LightingWHF[Waste Heat Electric Resistance Heating IFkWh],MATCH(M02S02F26,LightingWHF[Building/Space Type],0))),0
)))))</f>
        <v/>
      </c>
      <c r="BE104" s="1064" t="str">
        <f>IF(OR(C104="",F104="",J104="",M104="",O104="",Q104="",S104="",W104="",Z104="",AB104="",AD104="",AF104=""),"",IF(M02S02F46="Gas Only",0,IF(OR(ISNUMBER(SEARCH("Exterior",S104)),ISNUMBER(SEARCH("Exterior",C104)),ISNUMBER(SEARCH("Exterior",F104))),1,IF(OR(M02S02F32="Heat Pump",M02S02F32="AC with Natural Gas Heat",M02S02F32="AC with Electric Heat"),(INDEX(LightingWHF[Waste Heat Cooling Energy WHFe],MATCH(M02S02F26,LightingWHF[Building/Space Type],0))),1))))</f>
        <v/>
      </c>
      <c r="BF104" s="1103" t="str">
        <f>IFERROR(IF((M104*O104)&lt;=(Z104*AB104),MEASURESAVE,IF(M02S02F35="",MEASURERATE,IF(AH104/M02S02F35/BA104&lt;1,MEASUREPAY,IF(AV104&lt;1,MEASURECB,IF(OR(ISBLANK(M02S02F26),ISBLANK(M02S02F32),ISBLANK(M02S02F46)),MEASUREBLDG,""))))),MEASURESUBMIT)</f>
        <v>Submit for Review</v>
      </c>
      <c r="BG104"/>
      <c r="BH104" s="1001" t="str">
        <f ca="1">IF(OR(C104="",F104="",J104="",M104="",O104="",Q104="",S104="",W104="",Z104="",AB104="",AD104="",AF104=""),"",IF('M01-S01'!$V$82&lt;TODAY(),0,IF(M02S02F46="Gas Only",0,IF(OR(AK104="",AK104&lt;0,AH104&lt;=AN104),0,MIN(AH104-AN104,ROUND(IF(OR(ISNUMBER(SEARCH("T12",F104)),ISNUMBER(SEARCH("T8",F104)),ISNUMBER(SEARCH("T5",F104)),ISNUMBER(SEARCH("MH",F104)),ISNUMBER(SEARCH("HPS",F104)),ISNUMBER(SEARCH("MV",F104))),AN104*0.2),2))))))</f>
        <v/>
      </c>
      <c r="BI104"/>
    </row>
    <row r="105" spans="2:61" ht="15.95" hidden="1" customHeight="1">
      <c r="B105" s="834"/>
      <c r="C105" s="1094"/>
      <c r="D105" s="1094"/>
      <c r="E105" s="1094"/>
      <c r="F105" s="840"/>
      <c r="G105" s="841"/>
      <c r="H105" s="841"/>
      <c r="I105" s="842"/>
      <c r="J105" s="1094"/>
      <c r="K105" s="1094"/>
      <c r="L105" s="1094"/>
      <c r="M105" s="1084"/>
      <c r="N105" s="1084"/>
      <c r="O105" s="1087"/>
      <c r="P105" s="1088"/>
      <c r="Q105" s="1091"/>
      <c r="R105" s="1092"/>
      <c r="S105" s="856"/>
      <c r="T105" s="841"/>
      <c r="U105" s="841"/>
      <c r="V105" s="842"/>
      <c r="W105" s="1094"/>
      <c r="X105" s="1094"/>
      <c r="Y105" s="1094"/>
      <c r="Z105" s="1084"/>
      <c r="AA105" s="1084"/>
      <c r="AB105" s="1096"/>
      <c r="AC105" s="1096"/>
      <c r="AD105" s="1098"/>
      <c r="AE105" s="1098"/>
      <c r="AF105" s="1098"/>
      <c r="AG105" s="1100"/>
      <c r="AH105" s="870"/>
      <c r="AI105" s="1102"/>
      <c r="AJ105" s="1102"/>
      <c r="AK105" s="912"/>
      <c r="AL105" s="913"/>
      <c r="AM105" s="942"/>
      <c r="AN105" s="1106"/>
      <c r="AO105" s="1106"/>
      <c r="AP105" s="1106"/>
      <c r="AQ105" s="1106"/>
      <c r="AU105" s="1108"/>
      <c r="AV105" s="1108"/>
      <c r="AW105" s="907"/>
      <c r="AX105" s="817"/>
      <c r="AY105" s="817"/>
      <c r="AZ105" s="879"/>
      <c r="BA105" s="817"/>
      <c r="BB105" s="1002"/>
      <c r="BC105" s="1104"/>
      <c r="BD105" s="1002"/>
      <c r="BE105" s="1002"/>
      <c r="BF105" s="1104"/>
      <c r="BG105"/>
      <c r="BH105" s="1002"/>
      <c r="BI105"/>
    </row>
    <row r="106" spans="2:61" ht="15.95" hidden="1" customHeight="1">
      <c r="B106" s="834">
        <v>46</v>
      </c>
      <c r="C106" s="1093"/>
      <c r="D106" s="1093"/>
      <c r="E106" s="1093"/>
      <c r="F106" s="871"/>
      <c r="G106" s="872"/>
      <c r="H106" s="872"/>
      <c r="I106" s="873"/>
      <c r="J106" s="1093"/>
      <c r="K106" s="1093"/>
      <c r="L106" s="1093"/>
      <c r="M106" s="1083"/>
      <c r="N106" s="1083"/>
      <c r="O106" s="1085" t="str">
        <f>IFERROR(IF(F106="","",INDEX(CMLIGHTBASE[Base Watt 1],MATCH(F106,CMLIGHTBASE[Base Desc 1],0))),"")</f>
        <v/>
      </c>
      <c r="P106" s="1086"/>
      <c r="Q106" s="1089"/>
      <c r="R106" s="1090"/>
      <c r="S106" s="890"/>
      <c r="T106" s="872"/>
      <c r="U106" s="872"/>
      <c r="V106" s="873"/>
      <c r="W106" s="1093"/>
      <c r="X106" s="1093"/>
      <c r="Y106" s="1093"/>
      <c r="Z106" s="1083"/>
      <c r="AA106" s="1083"/>
      <c r="AB106" s="1095"/>
      <c r="AC106" s="1095"/>
      <c r="AD106" s="1097"/>
      <c r="AE106" s="1097"/>
      <c r="AF106" s="1097"/>
      <c r="AG106" s="1099"/>
      <c r="AH106" s="924" t="str">
        <f t="shared" ref="AH106" si="220">IFERROR(IF(OR(C106="",J106="",M106="",O106="",Q106="",W106="",Z106="",AB106="",AD106="",AF106=""),"",ROUND((AD106+AF106)*Z106,2)),"")</f>
        <v/>
      </c>
      <c r="AI106" s="1101"/>
      <c r="AJ106" s="1101"/>
      <c r="AK106" s="910" t="str">
        <f t="shared" ref="AK106" si="221">IFERROR(IF(OR(C106="",F106="",J106="",M106="",O106="",Q106="",S106="",W106="",Z106="",AB106="",AD106="",AF106=""),"",ROUND(IF((M106*O106)&lt;=(Z106*AB106),"0",(AX106-AY106+BD106)*BE106),2)),"")</f>
        <v/>
      </c>
      <c r="AL106" s="911"/>
      <c r="AM106" s="975"/>
      <c r="AN106" s="1105" t="str">
        <f>IFERROR(IF(OR(C106="",F106="",J106="",M106="",O106="",Q106="",S106="",W106="",Z106="",AB106="",AD106="",AF106=""),"",IF(OR(ISNUMBER(SEARCH("~~",F106)),ISNUMBER(SEARCH("~~",S106))),"Invalid Fixture Type Selected",IF(BF106&lt;&gt;"",BF106,ROUND(MIN(AH106*0.75,AK106*INDEX(INCRATE[Electric],MATCH("CMLIGHT",INCRATE[Incentive Type]))),2)))),"")</f>
        <v/>
      </c>
      <c r="AO106" s="1105"/>
      <c r="AP106" s="1105"/>
      <c r="AQ106" s="1105"/>
      <c r="AU106" s="1109" t="str">
        <f>IF(F106="","",INDEX(CUSTLIGHTUNIT,MATCH(F106,CMELIGHTBASE1,0)))</f>
        <v/>
      </c>
      <c r="AV106" s="1107" t="str">
        <f>IFERROR(IF(OR(C106="",F106="",J106="",M106="",O106="",Q106="",S106="",W106="",Z106="",AB106="",AD106="",AF106=""),"",((((1+ELOSS)*((AK106*INDEX(ELECCB[NPV AEC $/kWh],MATCH(15,ELECCB[Year Number],0)))+(AW106*INDEX(ELECCB[NPV ACC+T&amp;D $/kW],MATCH(15,ELECCB[Year Number],0)))))+((1+GLOSS)*((BB106*INDEX(GASCB[NPV GAEC $/therm],MATCH(15,GASCB[Year Number],1))))))/AH106)),"")</f>
        <v/>
      </c>
      <c r="AW106" s="906" t="str">
        <f>IFERROR(IF(OR(C106="",F106="",J106="",M106="",O106="",Q106="",S106="",W106="",Z106="",AB106="",AD106="",AF106=""),"",IF(OR(ISNUMBER(SEARCH("Exterior",C106)),((M106*O106)&lt;=(Z106*AB106)),ISNUMBER(SEARCH("Exterior",S106)),ISNUMBER(SEARCH("Exterior",F106))),0,ROUND((((M106*O106)-(Z106*AB106))/1000)*INDEX(LightingWHF[Coincidence Factor CF],MATCH(M02S02F26,LightingWHF[Building/Space Type],0))*IF(OR(M02S02F32="AC with Natural Gas Heat",M02S02F32="AC with Electric Heat",M02S02F32="Heat Pump"),INDEX(LightingWHF[Waste Heat Cooling Demand WHFd],MATCH(M02S02F26,LightingWHF[Building/Space Type],0)),1),3))),"")</f>
        <v/>
      </c>
      <c r="AX106" s="816" t="str">
        <f t="shared" ref="AX106" si="222">IF(OR(C106="",F106="",J106="",M106="",O106="",Q106="",S106="",W106="",Z106="",AB106="",AD106="",AF106=""),"",ROUND(M106*O106*Q106/1000,2))</f>
        <v/>
      </c>
      <c r="AY106" s="816" t="str">
        <f t="shared" ref="AY106" si="223">IF(OR(C106="",F106="",J106="",M106="",O106="",Q106="",S106="",W106="",Z106="",AB106="",AD106="",AF106=""),"",ROUND(Z106*AB106*Q106/1000,2))</f>
        <v/>
      </c>
      <c r="AZ106" s="878" t="str">
        <f>IF(OR(C106="",F106="",J106="",M106="",O106="",Q106="",S106="",W106="",Z106="",AB106="",AD106="",AF106=""),"",IF(ISNUMBER(AN106),(CONCATENATE(INDEX(CMLIGHTBASE[Measure Number],MATCH(F106,CMLIGHTBASE[Base Desc 1],0)),INDEX(CMLIGHTEFF[Measure Number],MATCH(S106,CMLIGHTEFF[Eff Desc 1],0)))),IF(AK106=0,"","000001")))</f>
        <v/>
      </c>
      <c r="BA106" s="816" t="str">
        <f t="shared" ref="BA106" si="224">IF(OR(C106="",F106="",J106="",M106="",O106="",Q106="",S106="",W106="",Z106="",AB106="",AD106="",AF106=""),"",IF((M106*O106)&lt;=(Z106*AB106),"0",AX106-AY106))</f>
        <v/>
      </c>
      <c r="BB106" s="1064" t="str">
        <f>IF(OR(C106="",F106="",J106="",M106="",O106="",Q106="",S106="",W106="",Z106="",AB106="",AD106="",AF106=""),"",IF(M02S02F46="Electric Only",0,IF(OR(ISNUMBER(SEARCH("Exterior",S106)),ISNUMBER(SEARCH("Exterior",C106)),ISNUMBER(SEARCH("Exterior",F106))),0,IF(OR(M02S02F32="AC with Natural Gas Heat",M02S02F32="Natural Gas Heat Only"),(((O106*M106-AB106*Z106)/1000)*Q106*-INDEX(LightingWHF[Waste Heat Gas Heating IFTherms],MATCH(M02S02F26,LightingWHF[Building/Space Type],0))),0))))</f>
        <v/>
      </c>
      <c r="BC106" s="1103" t="str">
        <f>IFERROR(AH106/M02S02F35/BA106,"")</f>
        <v/>
      </c>
      <c r="BD106" s="1064" t="str">
        <f>IF(OR(C106="",F106="",J106="",M106="",O106="",Q106="",S106="",W106="",Z106="",AB106="",AD106="",AF106=""),"",IF(M02S02F46="Gas Only",0,IF(OR(ISNUMBER(SEARCH("Exterior",S106)),ISNUMBER(SEARCH("Exterior",C106)),ISNUMBER(SEARCH("Exterior",F106))),0,IF(M02S02F32="Heat Pump",(((O106*M106-AB106*Z106)/1000)*Q106*-INDEX(LightingWHF[Waste Heat Electric Heat Pump Heating IFkWh],MATCH(M02S02F26,LightingWHF[Building/Space Type],0))),
IF(OR(M02S02F32="AC with Electric Heat",M02S02F32="Electric Heat Only"),(((O106*M106-AB106*Z106)/1000)*Q106*-INDEX(LightingWHF[Waste Heat Electric Resistance Heating IFkWh],MATCH(M02S02F26,LightingWHF[Building/Space Type],0))),0
)))))</f>
        <v/>
      </c>
      <c r="BE106" s="1064" t="str">
        <f>IF(OR(C106="",F106="",J106="",M106="",O106="",Q106="",S106="",W106="",Z106="",AB106="",AD106="",AF106=""),"",IF(M02S02F46="Gas Only",0,IF(OR(ISNUMBER(SEARCH("Exterior",S106)),ISNUMBER(SEARCH("Exterior",C106)),ISNUMBER(SEARCH("Exterior",F106))),1,IF(OR(M02S02F32="Heat Pump",M02S02F32="AC with Natural Gas Heat",M02S02F32="AC with Electric Heat"),(INDEX(LightingWHF[Waste Heat Cooling Energy WHFe],MATCH(M02S02F26,LightingWHF[Building/Space Type],0))),1))))</f>
        <v/>
      </c>
      <c r="BF106" s="1103" t="str">
        <f>IFERROR(IF((M106*O106)&lt;=(Z106*AB106),MEASURESAVE,IF(M02S02F35="",MEASURERATE,IF(AH106/M02S02F35/BA106&lt;1,MEASUREPAY,IF(AV106&lt;1,MEASURECB,IF(OR(ISBLANK(M02S02F26),ISBLANK(M02S02F32),ISBLANK(M02S02F46)),MEASUREBLDG,""))))),MEASURESUBMIT)</f>
        <v>Submit for Review</v>
      </c>
      <c r="BG106"/>
      <c r="BH106" s="1001" t="str">
        <f ca="1">IF(OR(C106="",F106="",J106="",M106="",O106="",Q106="",S106="",W106="",Z106="",AB106="",AD106="",AF106=""),"",IF('M01-S01'!$V$82&lt;TODAY(),0,IF(M02S02F46="Gas Only",0,IF(OR(AK106="",AK106&lt;0,AH106&lt;=AN106),0,MIN(AH106-AN106,ROUND(IF(OR(ISNUMBER(SEARCH("T12",F106)),ISNUMBER(SEARCH("T8",F106)),ISNUMBER(SEARCH("T5",F106)),ISNUMBER(SEARCH("MH",F106)),ISNUMBER(SEARCH("HPS",F106)),ISNUMBER(SEARCH("MV",F106))),AN106*0.2),2))))))</f>
        <v/>
      </c>
      <c r="BI106"/>
    </row>
    <row r="107" spans="2:61" ht="15.95" hidden="1" customHeight="1">
      <c r="B107" s="834"/>
      <c r="C107" s="1094"/>
      <c r="D107" s="1094"/>
      <c r="E107" s="1094"/>
      <c r="F107" s="840"/>
      <c r="G107" s="841"/>
      <c r="H107" s="841"/>
      <c r="I107" s="842"/>
      <c r="J107" s="1094"/>
      <c r="K107" s="1094"/>
      <c r="L107" s="1094"/>
      <c r="M107" s="1084"/>
      <c r="N107" s="1084"/>
      <c r="O107" s="1087"/>
      <c r="P107" s="1088"/>
      <c r="Q107" s="1091"/>
      <c r="R107" s="1092"/>
      <c r="S107" s="856"/>
      <c r="T107" s="841"/>
      <c r="U107" s="841"/>
      <c r="V107" s="842"/>
      <c r="W107" s="1094"/>
      <c r="X107" s="1094"/>
      <c r="Y107" s="1094"/>
      <c r="Z107" s="1084"/>
      <c r="AA107" s="1084"/>
      <c r="AB107" s="1096"/>
      <c r="AC107" s="1096"/>
      <c r="AD107" s="1098"/>
      <c r="AE107" s="1098"/>
      <c r="AF107" s="1098"/>
      <c r="AG107" s="1100"/>
      <c r="AH107" s="870"/>
      <c r="AI107" s="1102"/>
      <c r="AJ107" s="1102"/>
      <c r="AK107" s="912"/>
      <c r="AL107" s="913"/>
      <c r="AM107" s="942"/>
      <c r="AN107" s="1106"/>
      <c r="AO107" s="1106"/>
      <c r="AP107" s="1106"/>
      <c r="AQ107" s="1106"/>
      <c r="AU107" s="1108"/>
      <c r="AV107" s="1108"/>
      <c r="AW107" s="907"/>
      <c r="AX107" s="817"/>
      <c r="AY107" s="817"/>
      <c r="AZ107" s="879"/>
      <c r="BA107" s="817"/>
      <c r="BB107" s="1002"/>
      <c r="BC107" s="1104"/>
      <c r="BD107" s="1002"/>
      <c r="BE107" s="1002"/>
      <c r="BF107" s="1104"/>
      <c r="BG107"/>
      <c r="BH107" s="1002"/>
      <c r="BI107"/>
    </row>
    <row r="108" spans="2:61" ht="15.95" hidden="1" customHeight="1">
      <c r="B108" s="834">
        <v>47</v>
      </c>
      <c r="C108" s="1093"/>
      <c r="D108" s="1093"/>
      <c r="E108" s="1093"/>
      <c r="F108" s="871"/>
      <c r="G108" s="872"/>
      <c r="H108" s="872"/>
      <c r="I108" s="873"/>
      <c r="J108" s="1093"/>
      <c r="K108" s="1093"/>
      <c r="L108" s="1093"/>
      <c r="M108" s="1083"/>
      <c r="N108" s="1083"/>
      <c r="O108" s="1085" t="str">
        <f>IFERROR(IF(F108="","",INDEX(CMLIGHTBASE[Base Watt 1],MATCH(F108,CMLIGHTBASE[Base Desc 1],0))),"")</f>
        <v/>
      </c>
      <c r="P108" s="1086"/>
      <c r="Q108" s="1089"/>
      <c r="R108" s="1090"/>
      <c r="S108" s="890"/>
      <c r="T108" s="872"/>
      <c r="U108" s="872"/>
      <c r="V108" s="873"/>
      <c r="W108" s="1093"/>
      <c r="X108" s="1093"/>
      <c r="Y108" s="1093"/>
      <c r="Z108" s="1083"/>
      <c r="AA108" s="1083"/>
      <c r="AB108" s="1095"/>
      <c r="AC108" s="1095"/>
      <c r="AD108" s="1097"/>
      <c r="AE108" s="1097"/>
      <c r="AF108" s="1097"/>
      <c r="AG108" s="1099"/>
      <c r="AH108" s="924" t="str">
        <f t="shared" ref="AH108" si="225">IFERROR(IF(OR(C108="",J108="",M108="",O108="",Q108="",W108="",Z108="",AB108="",AD108="",AF108=""),"",ROUND((AD108+AF108)*Z108,2)),"")</f>
        <v/>
      </c>
      <c r="AI108" s="1101"/>
      <c r="AJ108" s="1101"/>
      <c r="AK108" s="910" t="str">
        <f t="shared" ref="AK108" si="226">IFERROR(IF(OR(C108="",F108="",J108="",M108="",O108="",Q108="",S108="",W108="",Z108="",AB108="",AD108="",AF108=""),"",ROUND(IF((M108*O108)&lt;=(Z108*AB108),"0",(AX108-AY108+BD108)*BE108),2)),"")</f>
        <v/>
      </c>
      <c r="AL108" s="911"/>
      <c r="AM108" s="975"/>
      <c r="AN108" s="1105" t="str">
        <f>IFERROR(IF(OR(C108="",F108="",J108="",M108="",O108="",Q108="",S108="",W108="",Z108="",AB108="",AD108="",AF108=""),"",IF(OR(ISNUMBER(SEARCH("~~",F108)),ISNUMBER(SEARCH("~~",S108))),"Invalid Fixture Type Selected",IF(BF108&lt;&gt;"",BF108,ROUND(MIN(AH108*0.75,AK108*INDEX(INCRATE[Electric],MATCH("CMLIGHT",INCRATE[Incentive Type]))),2)))),"")</f>
        <v/>
      </c>
      <c r="AO108" s="1105"/>
      <c r="AP108" s="1105"/>
      <c r="AQ108" s="1105"/>
      <c r="AU108" s="1109" t="str">
        <f>IF(F108="","",INDEX(CUSTLIGHTUNIT,MATCH(F108,CMELIGHTBASE1,0)))</f>
        <v/>
      </c>
      <c r="AV108" s="1107" t="str">
        <f>IFERROR(IF(OR(C108="",F108="",J108="",M108="",O108="",Q108="",S108="",W108="",Z108="",AB108="",AD108="",AF108=""),"",((((1+ELOSS)*((AK108*INDEX(ELECCB[NPV AEC $/kWh],MATCH(15,ELECCB[Year Number],0)))+(AW108*INDEX(ELECCB[NPV ACC+T&amp;D $/kW],MATCH(15,ELECCB[Year Number],0)))))+((1+GLOSS)*((BB108*INDEX(GASCB[NPV GAEC $/therm],MATCH(15,GASCB[Year Number],1))))))/AH108)),"")</f>
        <v/>
      </c>
      <c r="AW108" s="906" t="str">
        <f>IFERROR(IF(OR(C108="",F108="",J108="",M108="",O108="",Q108="",S108="",W108="",Z108="",AB108="",AD108="",AF108=""),"",IF(OR(ISNUMBER(SEARCH("Exterior",C108)),((M108*O108)&lt;=(Z108*AB108)),ISNUMBER(SEARCH("Exterior",S108)),ISNUMBER(SEARCH("Exterior",F108))),0,ROUND((((M108*O108)-(Z108*AB108))/1000)*INDEX(LightingWHF[Coincidence Factor CF],MATCH(M02S02F26,LightingWHF[Building/Space Type],0))*IF(OR(M02S02F32="AC with Natural Gas Heat",M02S02F32="AC with Electric Heat",M02S02F32="Heat Pump"),INDEX(LightingWHF[Waste Heat Cooling Demand WHFd],MATCH(M02S02F26,LightingWHF[Building/Space Type],0)),1),3))),"")</f>
        <v/>
      </c>
      <c r="AX108" s="816" t="str">
        <f t="shared" ref="AX108" si="227">IF(OR(C108="",F108="",J108="",M108="",O108="",Q108="",S108="",W108="",Z108="",AB108="",AD108="",AF108=""),"",ROUND(M108*O108*Q108/1000,2))</f>
        <v/>
      </c>
      <c r="AY108" s="816" t="str">
        <f t="shared" ref="AY108" si="228">IF(OR(C108="",F108="",J108="",M108="",O108="",Q108="",S108="",W108="",Z108="",AB108="",AD108="",AF108=""),"",ROUND(Z108*AB108*Q108/1000,2))</f>
        <v/>
      </c>
      <c r="AZ108" s="878" t="str">
        <f>IF(OR(C108="",F108="",J108="",M108="",O108="",Q108="",S108="",W108="",Z108="",AB108="",AD108="",AF108=""),"",IF(ISNUMBER(AN108),(CONCATENATE(INDEX(CMLIGHTBASE[Measure Number],MATCH(F108,CMLIGHTBASE[Base Desc 1],0)),INDEX(CMLIGHTEFF[Measure Number],MATCH(S108,CMLIGHTEFF[Eff Desc 1],0)))),IF(AK108=0,"","000001")))</f>
        <v/>
      </c>
      <c r="BA108" s="816" t="str">
        <f t="shared" ref="BA108" si="229">IF(OR(C108="",F108="",J108="",M108="",O108="",Q108="",S108="",W108="",Z108="",AB108="",AD108="",AF108=""),"",IF((M108*O108)&lt;=(Z108*AB108),"0",AX108-AY108))</f>
        <v/>
      </c>
      <c r="BB108" s="1064" t="str">
        <f>IF(OR(C108="",F108="",J108="",M108="",O108="",Q108="",S108="",W108="",Z108="",AB108="",AD108="",AF108=""),"",IF(M02S02F46="Electric Only",0,IF(OR(ISNUMBER(SEARCH("Exterior",S108)),ISNUMBER(SEARCH("Exterior",C108)),ISNUMBER(SEARCH("Exterior",F108))),0,IF(OR(M02S02F32="AC with Natural Gas Heat",M02S02F32="Natural Gas Heat Only"),(((O108*M108-AB108*Z108)/1000)*Q108*-INDEX(LightingWHF[Waste Heat Gas Heating IFTherms],MATCH(M02S02F26,LightingWHF[Building/Space Type],0))),0))))</f>
        <v/>
      </c>
      <c r="BC108" s="1103" t="str">
        <f>IFERROR(AH108/M02S02F35/BA108,"")</f>
        <v/>
      </c>
      <c r="BD108" s="1064" t="str">
        <f>IF(OR(C108="",F108="",J108="",M108="",O108="",Q108="",S108="",W108="",Z108="",AB108="",AD108="",AF108=""),"",IF(M02S02F46="Gas Only",0,IF(OR(ISNUMBER(SEARCH("Exterior",S108)),ISNUMBER(SEARCH("Exterior",C108)),ISNUMBER(SEARCH("Exterior",F108))),0,IF(M02S02F32="Heat Pump",(((O108*M108-AB108*Z108)/1000)*Q108*-INDEX(LightingWHF[Waste Heat Electric Heat Pump Heating IFkWh],MATCH(M02S02F26,LightingWHF[Building/Space Type],0))),
IF(OR(M02S02F32="AC with Electric Heat",M02S02F32="Electric Heat Only"),(((O108*M108-AB108*Z108)/1000)*Q108*-INDEX(LightingWHF[Waste Heat Electric Resistance Heating IFkWh],MATCH(M02S02F26,LightingWHF[Building/Space Type],0))),0
)))))</f>
        <v/>
      </c>
      <c r="BE108" s="1064" t="str">
        <f>IF(OR(C108="",F108="",J108="",M108="",O108="",Q108="",S108="",W108="",Z108="",AB108="",AD108="",AF108=""),"",IF(M02S02F46="Gas Only",0,IF(OR(ISNUMBER(SEARCH("Exterior",S108)),ISNUMBER(SEARCH("Exterior",C108)),ISNUMBER(SEARCH("Exterior",F108))),1,IF(OR(M02S02F32="Heat Pump",M02S02F32="AC with Natural Gas Heat",M02S02F32="AC with Electric Heat"),(INDEX(LightingWHF[Waste Heat Cooling Energy WHFe],MATCH(M02S02F26,LightingWHF[Building/Space Type],0))),1))))</f>
        <v/>
      </c>
      <c r="BF108" s="1103" t="str">
        <f>IFERROR(IF((M108*O108)&lt;=(Z108*AB108),MEASURESAVE,IF(M02S02F35="",MEASURERATE,IF(AH108/M02S02F35/BA108&lt;1,MEASUREPAY,IF(AV108&lt;1,MEASURECB,IF(OR(ISBLANK(M02S02F26),ISBLANK(M02S02F32),ISBLANK(M02S02F46)),MEASUREBLDG,""))))),MEASURESUBMIT)</f>
        <v>Submit for Review</v>
      </c>
      <c r="BG108"/>
      <c r="BH108" s="1001" t="str">
        <f ca="1">IF(OR(C108="",F108="",J108="",M108="",O108="",Q108="",S108="",W108="",Z108="",AB108="",AD108="",AF108=""),"",IF('M01-S01'!$V$82&lt;TODAY(),0,IF(M02S02F46="Gas Only",0,IF(OR(AK108="",AK108&lt;0,AH108&lt;=AN108),0,MIN(AH108-AN108,ROUND(IF(OR(ISNUMBER(SEARCH("T12",F108)),ISNUMBER(SEARCH("T8",F108)),ISNUMBER(SEARCH("T5",F108)),ISNUMBER(SEARCH("MH",F108)),ISNUMBER(SEARCH("HPS",F108)),ISNUMBER(SEARCH("MV",F108))),AN108*0.2),2))))))</f>
        <v/>
      </c>
      <c r="BI108"/>
    </row>
    <row r="109" spans="2:61" ht="15.95" hidden="1" customHeight="1">
      <c r="B109" s="834"/>
      <c r="C109" s="1094"/>
      <c r="D109" s="1094"/>
      <c r="E109" s="1094"/>
      <c r="F109" s="840"/>
      <c r="G109" s="841"/>
      <c r="H109" s="841"/>
      <c r="I109" s="842"/>
      <c r="J109" s="1094"/>
      <c r="K109" s="1094"/>
      <c r="L109" s="1094"/>
      <c r="M109" s="1084"/>
      <c r="N109" s="1084"/>
      <c r="O109" s="1087"/>
      <c r="P109" s="1088"/>
      <c r="Q109" s="1091"/>
      <c r="R109" s="1092"/>
      <c r="S109" s="856"/>
      <c r="T109" s="841"/>
      <c r="U109" s="841"/>
      <c r="V109" s="842"/>
      <c r="W109" s="1094"/>
      <c r="X109" s="1094"/>
      <c r="Y109" s="1094"/>
      <c r="Z109" s="1084"/>
      <c r="AA109" s="1084"/>
      <c r="AB109" s="1096"/>
      <c r="AC109" s="1096"/>
      <c r="AD109" s="1098"/>
      <c r="AE109" s="1098"/>
      <c r="AF109" s="1098"/>
      <c r="AG109" s="1100"/>
      <c r="AH109" s="870"/>
      <c r="AI109" s="1102"/>
      <c r="AJ109" s="1102"/>
      <c r="AK109" s="912"/>
      <c r="AL109" s="913"/>
      <c r="AM109" s="942"/>
      <c r="AN109" s="1106"/>
      <c r="AO109" s="1106"/>
      <c r="AP109" s="1106"/>
      <c r="AQ109" s="1106"/>
      <c r="AU109" s="1108"/>
      <c r="AV109" s="1108"/>
      <c r="AW109" s="907"/>
      <c r="AX109" s="817"/>
      <c r="AY109" s="817"/>
      <c r="AZ109" s="879"/>
      <c r="BA109" s="817"/>
      <c r="BB109" s="1002"/>
      <c r="BC109" s="1104"/>
      <c r="BD109" s="1002"/>
      <c r="BE109" s="1002"/>
      <c r="BF109" s="1104"/>
      <c r="BG109"/>
      <c r="BH109" s="1002"/>
      <c r="BI109"/>
    </row>
    <row r="110" spans="2:61" ht="15.95" hidden="1" customHeight="1">
      <c r="B110" s="834">
        <v>48</v>
      </c>
      <c r="C110" s="1093"/>
      <c r="D110" s="1093"/>
      <c r="E110" s="1093"/>
      <c r="F110" s="871"/>
      <c r="G110" s="872"/>
      <c r="H110" s="872"/>
      <c r="I110" s="873"/>
      <c r="J110" s="1093"/>
      <c r="K110" s="1093"/>
      <c r="L110" s="1093"/>
      <c r="M110" s="1083"/>
      <c r="N110" s="1083"/>
      <c r="O110" s="1085" t="str">
        <f>IFERROR(IF(F110="","",INDEX(CMLIGHTBASE[Base Watt 1],MATCH(F110,CMLIGHTBASE[Base Desc 1],0))),"")</f>
        <v/>
      </c>
      <c r="P110" s="1086"/>
      <c r="Q110" s="1089"/>
      <c r="R110" s="1090"/>
      <c r="S110" s="890"/>
      <c r="T110" s="872"/>
      <c r="U110" s="872"/>
      <c r="V110" s="873"/>
      <c r="W110" s="1093"/>
      <c r="X110" s="1093"/>
      <c r="Y110" s="1093"/>
      <c r="Z110" s="1083"/>
      <c r="AA110" s="1083"/>
      <c r="AB110" s="1095"/>
      <c r="AC110" s="1095"/>
      <c r="AD110" s="1097"/>
      <c r="AE110" s="1097"/>
      <c r="AF110" s="1097"/>
      <c r="AG110" s="1099"/>
      <c r="AH110" s="924" t="str">
        <f t="shared" ref="AH110" si="230">IFERROR(IF(OR(C110="",J110="",M110="",O110="",Q110="",W110="",Z110="",AB110="",AD110="",AF110=""),"",ROUND((AD110+AF110)*Z110,2)),"")</f>
        <v/>
      </c>
      <c r="AI110" s="1101"/>
      <c r="AJ110" s="1101"/>
      <c r="AK110" s="910" t="str">
        <f t="shared" ref="AK110" si="231">IFERROR(IF(OR(C110="",F110="",J110="",M110="",O110="",Q110="",S110="",W110="",Z110="",AB110="",AD110="",AF110=""),"",ROUND(IF((M110*O110)&lt;=(Z110*AB110),"0",(AX110-AY110+BD110)*BE110),2)),"")</f>
        <v/>
      </c>
      <c r="AL110" s="911"/>
      <c r="AM110" s="975"/>
      <c r="AN110" s="1105" t="str">
        <f>IFERROR(IF(OR(C110="",F110="",J110="",M110="",O110="",Q110="",S110="",W110="",Z110="",AB110="",AD110="",AF110=""),"",IF(OR(ISNUMBER(SEARCH("~~",F110)),ISNUMBER(SEARCH("~~",S110))),"Invalid Fixture Type Selected",IF(BF110&lt;&gt;"",BF110,ROUND(MIN(AH110*0.75,AK110*INDEX(INCRATE[Electric],MATCH("CMLIGHT",INCRATE[Incentive Type]))),2)))),"")</f>
        <v/>
      </c>
      <c r="AO110" s="1105"/>
      <c r="AP110" s="1105"/>
      <c r="AQ110" s="1105"/>
      <c r="AU110" s="1109" t="str">
        <f>IF(F110="","",INDEX(CUSTLIGHTUNIT,MATCH(F110,CMELIGHTBASE1,0)))</f>
        <v/>
      </c>
      <c r="AV110" s="1107" t="str">
        <f>IFERROR(IF(OR(C110="",F110="",J110="",M110="",O110="",Q110="",S110="",W110="",Z110="",AB110="",AD110="",AF110=""),"",((((1+ELOSS)*((AK110*INDEX(ELECCB[NPV AEC $/kWh],MATCH(15,ELECCB[Year Number],0)))+(AW110*INDEX(ELECCB[NPV ACC+T&amp;D $/kW],MATCH(15,ELECCB[Year Number],0)))))+((1+GLOSS)*((BB110*INDEX(GASCB[NPV GAEC $/therm],MATCH(15,GASCB[Year Number],1))))))/AH110)),"")</f>
        <v/>
      </c>
      <c r="AW110" s="906" t="str">
        <f>IFERROR(IF(OR(C110="",F110="",J110="",M110="",O110="",Q110="",S110="",W110="",Z110="",AB110="",AD110="",AF110=""),"",IF(OR(ISNUMBER(SEARCH("Exterior",C110)),((M110*O110)&lt;=(Z110*AB110)),ISNUMBER(SEARCH("Exterior",S110)),ISNUMBER(SEARCH("Exterior",F110))),0,ROUND((((M110*O110)-(Z110*AB110))/1000)*INDEX(LightingWHF[Coincidence Factor CF],MATCH(M02S02F26,LightingWHF[Building/Space Type],0))*IF(OR(M02S02F32="AC with Natural Gas Heat",M02S02F32="AC with Electric Heat",M02S02F32="Heat Pump"),INDEX(LightingWHF[Waste Heat Cooling Demand WHFd],MATCH(M02S02F26,LightingWHF[Building/Space Type],0)),1),3))),"")</f>
        <v/>
      </c>
      <c r="AX110" s="816" t="str">
        <f t="shared" ref="AX110" si="232">IF(OR(C110="",F110="",J110="",M110="",O110="",Q110="",S110="",W110="",Z110="",AB110="",AD110="",AF110=""),"",ROUND(M110*O110*Q110/1000,2))</f>
        <v/>
      </c>
      <c r="AY110" s="816" t="str">
        <f t="shared" ref="AY110" si="233">IF(OR(C110="",F110="",J110="",M110="",O110="",Q110="",S110="",W110="",Z110="",AB110="",AD110="",AF110=""),"",ROUND(Z110*AB110*Q110/1000,2))</f>
        <v/>
      </c>
      <c r="AZ110" s="878" t="str">
        <f>IF(OR(C110="",F110="",J110="",M110="",O110="",Q110="",S110="",W110="",Z110="",AB110="",AD110="",AF110=""),"",IF(ISNUMBER(AN110),(CONCATENATE(INDEX(CMLIGHTBASE[Measure Number],MATCH(F110,CMLIGHTBASE[Base Desc 1],0)),INDEX(CMLIGHTEFF[Measure Number],MATCH(S110,CMLIGHTEFF[Eff Desc 1],0)))),IF(AK110=0,"","000001")))</f>
        <v/>
      </c>
      <c r="BA110" s="816" t="str">
        <f t="shared" ref="BA110" si="234">IF(OR(C110="",F110="",J110="",M110="",O110="",Q110="",S110="",W110="",Z110="",AB110="",AD110="",AF110=""),"",IF((M110*O110)&lt;=(Z110*AB110),"0",AX110-AY110))</f>
        <v/>
      </c>
      <c r="BB110" s="1064" t="str">
        <f>IF(OR(C110="",F110="",J110="",M110="",O110="",Q110="",S110="",W110="",Z110="",AB110="",AD110="",AF110=""),"",IF(M02S02F46="Electric Only",0,IF(OR(ISNUMBER(SEARCH("Exterior",S110)),ISNUMBER(SEARCH("Exterior",C110)),ISNUMBER(SEARCH("Exterior",F110))),0,IF(OR(M02S02F32="AC with Natural Gas Heat",M02S02F32="Natural Gas Heat Only"),(((O110*M110-AB110*Z110)/1000)*Q110*-INDEX(LightingWHF[Waste Heat Gas Heating IFTherms],MATCH(M02S02F26,LightingWHF[Building/Space Type],0))),0))))</f>
        <v/>
      </c>
      <c r="BC110" s="1103" t="str">
        <f>IFERROR(AH110/M02S02F35/BA110,"")</f>
        <v/>
      </c>
      <c r="BD110" s="1064" t="str">
        <f>IF(OR(C110="",F110="",J110="",M110="",O110="",Q110="",S110="",W110="",Z110="",AB110="",AD110="",AF110=""),"",IF(M02S02F46="Gas Only",0,IF(OR(ISNUMBER(SEARCH("Exterior",S110)),ISNUMBER(SEARCH("Exterior",C110)),ISNUMBER(SEARCH("Exterior",F110))),0,IF(M02S02F32="Heat Pump",(((O110*M110-AB110*Z110)/1000)*Q110*-INDEX(LightingWHF[Waste Heat Electric Heat Pump Heating IFkWh],MATCH(M02S02F26,LightingWHF[Building/Space Type],0))),
IF(OR(M02S02F32="AC with Electric Heat",M02S02F32="Electric Heat Only"),(((O110*M110-AB110*Z110)/1000)*Q110*-INDEX(LightingWHF[Waste Heat Electric Resistance Heating IFkWh],MATCH(M02S02F26,LightingWHF[Building/Space Type],0))),0
)))))</f>
        <v/>
      </c>
      <c r="BE110" s="1064" t="str">
        <f>IF(OR(C110="",F110="",J110="",M110="",O110="",Q110="",S110="",W110="",Z110="",AB110="",AD110="",AF110=""),"",IF(M02S02F46="Gas Only",0,IF(OR(ISNUMBER(SEARCH("Exterior",S110)),ISNUMBER(SEARCH("Exterior",C110)),ISNUMBER(SEARCH("Exterior",F110))),1,IF(OR(M02S02F32="Heat Pump",M02S02F32="AC with Natural Gas Heat",M02S02F32="AC with Electric Heat"),(INDEX(LightingWHF[Waste Heat Cooling Energy WHFe],MATCH(M02S02F26,LightingWHF[Building/Space Type],0))),1))))</f>
        <v/>
      </c>
      <c r="BF110" s="1103" t="str">
        <f>IFERROR(IF((M110*O110)&lt;=(Z110*AB110),MEASURESAVE,IF(M02S02F35="",MEASURERATE,IF(AH110/M02S02F35/BA110&lt;1,MEASUREPAY,IF(AV110&lt;1,MEASURECB,IF(OR(ISBLANK(M02S02F26),ISBLANK(M02S02F32),ISBLANK(M02S02F46)),MEASUREBLDG,""))))),MEASURESUBMIT)</f>
        <v>Submit for Review</v>
      </c>
      <c r="BH110" s="1001" t="str">
        <f ca="1">IF(OR(C110="",F110="",J110="",M110="",O110="",Q110="",S110="",W110="",Z110="",AB110="",AD110="",AF110=""),"",IF('M01-S01'!$V$82&lt;TODAY(),0,IF(M02S02F46="Gas Only",0,IF(OR(AK110="",AK110&lt;0,AH110&lt;=AN110),0,MIN(AH110-AN110,ROUND(IF(OR(ISNUMBER(SEARCH("T12",F110)),ISNUMBER(SEARCH("T8",F110)),ISNUMBER(SEARCH("T5",F110)),ISNUMBER(SEARCH("MH",F110)),ISNUMBER(SEARCH("HPS",F110)),ISNUMBER(SEARCH("MV",F110))),AN110*0.2),2))))))</f>
        <v/>
      </c>
      <c r="BI110"/>
    </row>
    <row r="111" spans="2:61" ht="15.95" hidden="1" customHeight="1">
      <c r="B111" s="834"/>
      <c r="C111" s="1094"/>
      <c r="D111" s="1094"/>
      <c r="E111" s="1094"/>
      <c r="F111" s="840"/>
      <c r="G111" s="841"/>
      <c r="H111" s="841"/>
      <c r="I111" s="842"/>
      <c r="J111" s="1094"/>
      <c r="K111" s="1094"/>
      <c r="L111" s="1094"/>
      <c r="M111" s="1084"/>
      <c r="N111" s="1084"/>
      <c r="O111" s="1087"/>
      <c r="P111" s="1088"/>
      <c r="Q111" s="1091"/>
      <c r="R111" s="1092"/>
      <c r="S111" s="856"/>
      <c r="T111" s="841"/>
      <c r="U111" s="841"/>
      <c r="V111" s="842"/>
      <c r="W111" s="1094"/>
      <c r="X111" s="1094"/>
      <c r="Y111" s="1094"/>
      <c r="Z111" s="1084"/>
      <c r="AA111" s="1084"/>
      <c r="AB111" s="1096"/>
      <c r="AC111" s="1096"/>
      <c r="AD111" s="1098"/>
      <c r="AE111" s="1098"/>
      <c r="AF111" s="1098"/>
      <c r="AG111" s="1100"/>
      <c r="AH111" s="870"/>
      <c r="AI111" s="1102"/>
      <c r="AJ111" s="1102"/>
      <c r="AK111" s="912"/>
      <c r="AL111" s="913"/>
      <c r="AM111" s="942"/>
      <c r="AN111" s="1106"/>
      <c r="AO111" s="1106"/>
      <c r="AP111" s="1106"/>
      <c r="AQ111" s="1106"/>
      <c r="AU111" s="1108"/>
      <c r="AV111" s="1108"/>
      <c r="AW111" s="907"/>
      <c r="AX111" s="817"/>
      <c r="AY111" s="817"/>
      <c r="AZ111" s="879"/>
      <c r="BA111" s="817"/>
      <c r="BB111" s="1002"/>
      <c r="BC111" s="1104"/>
      <c r="BD111" s="1002"/>
      <c r="BE111" s="1002"/>
      <c r="BF111" s="1104"/>
      <c r="BG111"/>
      <c r="BH111" s="1002"/>
      <c r="BI111"/>
    </row>
    <row r="112" spans="2:61" ht="15.95" hidden="1" customHeight="1">
      <c r="B112" s="834">
        <v>49</v>
      </c>
      <c r="C112" s="1093"/>
      <c r="D112" s="1093"/>
      <c r="E112" s="1093"/>
      <c r="F112" s="871"/>
      <c r="G112" s="872"/>
      <c r="H112" s="872"/>
      <c r="I112" s="873"/>
      <c r="J112" s="1093"/>
      <c r="K112" s="1093"/>
      <c r="L112" s="1093"/>
      <c r="M112" s="1083"/>
      <c r="N112" s="1083"/>
      <c r="O112" s="1085" t="str">
        <f>IFERROR(IF(F112="","",INDEX(CMLIGHTBASE[Base Watt 1],MATCH(F112,CMLIGHTBASE[Base Desc 1],0))),"")</f>
        <v/>
      </c>
      <c r="P112" s="1086"/>
      <c r="Q112" s="1089"/>
      <c r="R112" s="1090"/>
      <c r="S112" s="890"/>
      <c r="T112" s="872"/>
      <c r="U112" s="872"/>
      <c r="V112" s="873"/>
      <c r="W112" s="1093"/>
      <c r="X112" s="1093"/>
      <c r="Y112" s="1093"/>
      <c r="Z112" s="1083"/>
      <c r="AA112" s="1083"/>
      <c r="AB112" s="1095"/>
      <c r="AC112" s="1095"/>
      <c r="AD112" s="1097"/>
      <c r="AE112" s="1097"/>
      <c r="AF112" s="1097"/>
      <c r="AG112" s="1099"/>
      <c r="AH112" s="924" t="str">
        <f t="shared" ref="AH112" si="235">IFERROR(IF(OR(C112="",J112="",M112="",O112="",Q112="",W112="",Z112="",AB112="",AD112="",AF112=""),"",ROUND((AD112+AF112)*Z112,2)),"")</f>
        <v/>
      </c>
      <c r="AI112" s="1101"/>
      <c r="AJ112" s="1101"/>
      <c r="AK112" s="910" t="str">
        <f t="shared" ref="AK112" si="236">IFERROR(IF(OR(C112="",F112="",J112="",M112="",O112="",Q112="",S112="",W112="",Z112="",AB112="",AD112="",AF112=""),"",ROUND(IF((M112*O112)&lt;=(Z112*AB112),"0",(AX112-AY112+BD112)*BE112),2)),"")</f>
        <v/>
      </c>
      <c r="AL112" s="911"/>
      <c r="AM112" s="975"/>
      <c r="AN112" s="1105" t="str">
        <f>IFERROR(IF(OR(C112="",F112="",J112="",M112="",O112="",Q112="",S112="",W112="",Z112="",AB112="",AD112="",AF112=""),"",IF(OR(ISNUMBER(SEARCH("~~",F112)),ISNUMBER(SEARCH("~~",S112))),"Invalid Fixture Type Selected",IF(BF112&lt;&gt;"",BF112,ROUND(MIN(AH112*0.75,AK112*INDEX(INCRATE[Electric],MATCH("CMLIGHT",INCRATE[Incentive Type]))),2)))),"")</f>
        <v/>
      </c>
      <c r="AO112" s="1105"/>
      <c r="AP112" s="1105"/>
      <c r="AQ112" s="1105"/>
      <c r="AU112" s="1109" t="str">
        <f>IF(F112="","",INDEX(CUSTLIGHTUNIT,MATCH(F112,CMELIGHTBASE1,0)))</f>
        <v/>
      </c>
      <c r="AV112" s="1107" t="str">
        <f>IFERROR(IF(OR(C112="",F112="",J112="",M112="",O112="",Q112="",S112="",W112="",Z112="",AB112="",AD112="",AF112=""),"",((((1+ELOSS)*((AK112*INDEX(ELECCB[NPV AEC $/kWh],MATCH(15,ELECCB[Year Number],0)))+(AW112*INDEX(ELECCB[NPV ACC+T&amp;D $/kW],MATCH(15,ELECCB[Year Number],0)))))+((1+GLOSS)*((BB112*INDEX(GASCB[NPV GAEC $/therm],MATCH(15,GASCB[Year Number],1))))))/AH112)),"")</f>
        <v/>
      </c>
      <c r="AW112" s="906" t="str">
        <f>IFERROR(IF(OR(C112="",F112="",J112="",M112="",O112="",Q112="",S112="",W112="",Z112="",AB112="",AD112="",AF112=""),"",IF(OR(ISNUMBER(SEARCH("Exterior",C112)),((M112*O112)&lt;=(Z112*AB112)),ISNUMBER(SEARCH("Exterior",S112)),ISNUMBER(SEARCH("Exterior",F112))),0,ROUND((((M112*O112)-(Z112*AB112))/1000)*INDEX(LightingWHF[Coincidence Factor CF],MATCH(M02S02F26,LightingWHF[Building/Space Type],0))*IF(OR(M02S02F32="AC with Natural Gas Heat",M02S02F32="AC with Electric Heat",M02S02F32="Heat Pump"),INDEX(LightingWHF[Waste Heat Cooling Demand WHFd],MATCH(M02S02F26,LightingWHF[Building/Space Type],0)),1),3))),"")</f>
        <v/>
      </c>
      <c r="AX112" s="816" t="str">
        <f t="shared" ref="AX112" si="237">IF(OR(C112="",F112="",J112="",M112="",O112="",Q112="",S112="",W112="",Z112="",AB112="",AD112="",AF112=""),"",ROUND(M112*O112*Q112/1000,2))</f>
        <v/>
      </c>
      <c r="AY112" s="816" t="str">
        <f t="shared" ref="AY112" si="238">IF(OR(C112="",F112="",J112="",M112="",O112="",Q112="",S112="",W112="",Z112="",AB112="",AD112="",AF112=""),"",ROUND(Z112*AB112*Q112/1000,2))</f>
        <v/>
      </c>
      <c r="AZ112" s="878" t="str">
        <f>IF(OR(C112="",F112="",J112="",M112="",O112="",Q112="",S112="",W112="",Z112="",AB112="",AD112="",AF112=""),"",IF(ISNUMBER(AN112),(CONCATENATE(INDEX(CMLIGHTBASE[Measure Number],MATCH(F112,CMLIGHTBASE[Base Desc 1],0)),INDEX(CMLIGHTEFF[Measure Number],MATCH(S112,CMLIGHTEFF[Eff Desc 1],0)))),IF(AK112=0,"","000001")))</f>
        <v/>
      </c>
      <c r="BA112" s="816" t="str">
        <f t="shared" ref="BA112" si="239">IF(OR(C112="",F112="",J112="",M112="",O112="",Q112="",S112="",W112="",Z112="",AB112="",AD112="",AF112=""),"",IF((M112*O112)&lt;=(Z112*AB112),"0",AX112-AY112))</f>
        <v/>
      </c>
      <c r="BB112" s="1064" t="str">
        <f>IF(OR(C112="",F112="",J112="",M112="",O112="",Q112="",S112="",W112="",Z112="",AB112="",AD112="",AF112=""),"",IF(M02S02F46="Electric Only",0,IF(OR(ISNUMBER(SEARCH("Exterior",S112)),ISNUMBER(SEARCH("Exterior",C112)),ISNUMBER(SEARCH("Exterior",F112))),0,IF(OR(M02S02F32="AC with Natural Gas Heat",M02S02F32="Natural Gas Heat Only"),(((O112*M112-AB112*Z112)/1000)*Q112*-INDEX(LightingWHF[Waste Heat Gas Heating IFTherms],MATCH(M02S02F26,LightingWHF[Building/Space Type],0))),0))))</f>
        <v/>
      </c>
      <c r="BC112" s="1103" t="str">
        <f>IFERROR(AH112/M02S02F35/BA112,"")</f>
        <v/>
      </c>
      <c r="BD112" s="1064" t="str">
        <f>IF(OR(C112="",F112="",J112="",M112="",O112="",Q112="",S112="",W112="",Z112="",AB112="",AD112="",AF112=""),"",IF(M02S02F46="Gas Only",0,IF(OR(ISNUMBER(SEARCH("Exterior",S112)),ISNUMBER(SEARCH("Exterior",C112)),ISNUMBER(SEARCH("Exterior",F112))),0,IF(M02S02F32="Heat Pump",(((O112*M112-AB112*Z112)/1000)*Q112*-INDEX(LightingWHF[Waste Heat Electric Heat Pump Heating IFkWh],MATCH(M02S02F26,LightingWHF[Building/Space Type],0))),
IF(OR(M02S02F32="AC with Electric Heat",M02S02F32="Electric Heat Only"),(((O112*M112-AB112*Z112)/1000)*Q112*-INDEX(LightingWHF[Waste Heat Electric Resistance Heating IFkWh],MATCH(M02S02F26,LightingWHF[Building/Space Type],0))),0
)))))</f>
        <v/>
      </c>
      <c r="BE112" s="1064" t="str">
        <f>IF(OR(C112="",F112="",J112="",M112="",O112="",Q112="",S112="",W112="",Z112="",AB112="",AD112="",AF112=""),"",IF(M02S02F46="Gas Only",0,IF(OR(ISNUMBER(SEARCH("Exterior",S112)),ISNUMBER(SEARCH("Exterior",C112)),ISNUMBER(SEARCH("Exterior",F112))),1,IF(OR(M02S02F32="Heat Pump",M02S02F32="AC with Natural Gas Heat",M02S02F32="AC with Electric Heat"),(INDEX(LightingWHF[Waste Heat Cooling Energy WHFe],MATCH(M02S02F26,LightingWHF[Building/Space Type],0))),1))))</f>
        <v/>
      </c>
      <c r="BF112" s="1103" t="str">
        <f>IFERROR(IF((M112*O112)&lt;=(Z112*AB112),MEASURESAVE,IF(M02S02F35="",MEASURERATE,IF(AH112/M02S02F35/BA112&lt;1,MEASUREPAY,IF(AV112&lt;1,MEASURECB,IF(OR(ISBLANK(M02S02F26),ISBLANK(M02S02F32),ISBLANK(M02S02F46)),MEASUREBLDG,""))))),MEASURESUBMIT)</f>
        <v>Submit for Review</v>
      </c>
      <c r="BG112"/>
      <c r="BH112" s="1001" t="str">
        <f ca="1">IF(OR(C112="",F112="",J112="",M112="",O112="",Q112="",S112="",W112="",Z112="",AB112="",AD112="",AF112=""),"",IF('M01-S01'!$V$82&lt;TODAY(),0,IF(M02S02F46="Gas Only",0,IF(OR(AK112="",AK112&lt;0,AH112&lt;=AN112),0,MIN(AH112-AN112,ROUND(IF(OR(ISNUMBER(SEARCH("T12",F112)),ISNUMBER(SEARCH("T8",F112)),ISNUMBER(SEARCH("T5",F112)),ISNUMBER(SEARCH("MH",F112)),ISNUMBER(SEARCH("HPS",F112)),ISNUMBER(SEARCH("MV",F112))),AN112*0.2),2))))))</f>
        <v/>
      </c>
      <c r="BI112"/>
    </row>
    <row r="113" spans="2:61" ht="15.95" hidden="1" customHeight="1">
      <c r="B113" s="834"/>
      <c r="C113" s="1094"/>
      <c r="D113" s="1094"/>
      <c r="E113" s="1094"/>
      <c r="F113" s="840"/>
      <c r="G113" s="841"/>
      <c r="H113" s="841"/>
      <c r="I113" s="842"/>
      <c r="J113" s="1094"/>
      <c r="K113" s="1094"/>
      <c r="L113" s="1094"/>
      <c r="M113" s="1084"/>
      <c r="N113" s="1084"/>
      <c r="O113" s="1087"/>
      <c r="P113" s="1088"/>
      <c r="Q113" s="1091"/>
      <c r="R113" s="1092"/>
      <c r="S113" s="856"/>
      <c r="T113" s="841"/>
      <c r="U113" s="841"/>
      <c r="V113" s="842"/>
      <c r="W113" s="1094"/>
      <c r="X113" s="1094"/>
      <c r="Y113" s="1094"/>
      <c r="Z113" s="1084"/>
      <c r="AA113" s="1084"/>
      <c r="AB113" s="1096"/>
      <c r="AC113" s="1096"/>
      <c r="AD113" s="1098"/>
      <c r="AE113" s="1098"/>
      <c r="AF113" s="1098"/>
      <c r="AG113" s="1100"/>
      <c r="AH113" s="870"/>
      <c r="AI113" s="1102"/>
      <c r="AJ113" s="1102"/>
      <c r="AK113" s="912"/>
      <c r="AL113" s="913"/>
      <c r="AM113" s="942"/>
      <c r="AN113" s="1106"/>
      <c r="AO113" s="1106"/>
      <c r="AP113" s="1106"/>
      <c r="AQ113" s="1106"/>
      <c r="AU113" s="1108"/>
      <c r="AV113" s="1108"/>
      <c r="AW113" s="907"/>
      <c r="AX113" s="817"/>
      <c r="AY113" s="817"/>
      <c r="AZ113" s="879"/>
      <c r="BA113" s="817"/>
      <c r="BB113" s="1002"/>
      <c r="BC113" s="1104"/>
      <c r="BD113" s="1002"/>
      <c r="BE113" s="1002"/>
      <c r="BF113" s="1104"/>
      <c r="BG113"/>
      <c r="BH113" s="1002"/>
      <c r="BI113"/>
    </row>
    <row r="114" spans="2:61" ht="15.95" hidden="1" customHeight="1">
      <c r="B114" s="834">
        <v>50</v>
      </c>
      <c r="C114" s="1093"/>
      <c r="D114" s="1093"/>
      <c r="E114" s="1093"/>
      <c r="F114" s="871">
        <f ca="1">IF(OR(S114="",S114=0),0,INDEX(PMEBONUS[Base Desc 1],MATCH(S114,PMEBONUS[Eff Desc 1],0)))</f>
        <v>0</v>
      </c>
      <c r="G114" s="872"/>
      <c r="H114" s="872"/>
      <c r="I114" s="873"/>
      <c r="J114" s="1093"/>
      <c r="K114" s="1093"/>
      <c r="L114" s="1093"/>
      <c r="M114" s="1083">
        <f ca="1">IF(F114=0,0,1)</f>
        <v>0</v>
      </c>
      <c r="N114" s="1083"/>
      <c r="O114" s="1085" t="str">
        <f ca="1">IFERROR(IF(F114="","",INDEX(CMLIGHTBASE[Base Watt 1],MATCH(F114,CMLIGHTBASE[Base Desc 1],0))),"")</f>
        <v/>
      </c>
      <c r="P114" s="1086"/>
      <c r="Q114" s="1089"/>
      <c r="R114" s="1090"/>
      <c r="S114" s="890">
        <f ca="1">IF(OR(SUM(AK16:AM113)&lt;=0,SUM(BH16:BH113)&lt;=0),0,INDEX(PMEBONUS[],4,3))</f>
        <v>0</v>
      </c>
      <c r="T114" s="872"/>
      <c r="U114" s="872"/>
      <c r="V114" s="873"/>
      <c r="W114" s="1093"/>
      <c r="X114" s="1093"/>
      <c r="Y114" s="1093"/>
      <c r="Z114" s="1083">
        <f ca="1">IF(S114=0,0,1)</f>
        <v>0</v>
      </c>
      <c r="AA114" s="1083"/>
      <c r="AB114" s="1095"/>
      <c r="AC114" s="1095"/>
      <c r="AD114" s="1097"/>
      <c r="AE114" s="1097"/>
      <c r="AF114" s="1097"/>
      <c r="AG114" s="1099"/>
      <c r="AH114" s="924" t="str">
        <f ca="1">IFERROR(IF(OR(C114="",J114="",M114="",O114="",Q114="",W114="",Z114="",AB114="",AD114="",AF114=""),"",ROUND((AD114+AF114)*Z114,2)),"")</f>
        <v/>
      </c>
      <c r="AI114" s="1101"/>
      <c r="AJ114" s="1101"/>
      <c r="AK114" s="910" t="str">
        <f ca="1">IFERROR(IF(OR(C114="",F114="",J114="",M114="",O114="",Q114="",S114="",W114="",Z114="",AB114="",AD114="",AF114=""),"",ROUND(IF((M114*O114)&lt;=(Z114*AB114),"0",(AX114-AY114+BD114)*BE114),2)),"")</f>
        <v/>
      </c>
      <c r="AL114" s="911"/>
      <c r="AM114" s="975"/>
      <c r="AN114" s="1105" t="str">
        <f ca="1">IF(BB114="","",BB114)</f>
        <v/>
      </c>
      <c r="AO114" s="1105"/>
      <c r="AP114" s="1105"/>
      <c r="AQ114" s="1105"/>
      <c r="AU114" s="1109" t="str">
        <f ca="1">IF(OR(F114="",F114=0),"",INDEX(PMEBONUS[Unit of Measure],MATCH(F114,PMEBONUS[Base Desc 1],0)))</f>
        <v/>
      </c>
      <c r="AV114" s="1107" t="str">
        <f ca="1">IFERROR(IF(OR(C114="",F114="",J114="",M114="",O114="",Q114="",S114="",W114="",Z114="",AB114="",AD114="",AF114=""),"",((1+ELOSS)*((AK114*INDEX(ELECCB[NPV AEC $/kWh],MATCH(15,ELECCB[Year Number],0)))+(AW114*INDEX(ELECCB[NPV ACC+T&amp;D $/kW],MATCH(15,ELECCB[Year Number],0))))/AH114)),"")</f>
        <v/>
      </c>
      <c r="AW114" s="906" t="str">
        <f ca="1">IFERROR(IF(OR(C114="",F114="",J114="",M114="",O114="",Q114="",S114="",W114="",Z114="",AB114="",AD114="",AF114=""),"",IF(OR(ISNUMBER(SEARCH("Exterior",C114)),((M114*O114)&lt;=(Z114*AB114)),ISNUMBER(SEARCH("Exterior",S114)),ISNUMBER(SEARCH("Exterior",F114))),0,ROUND((((M114*O114)-(Z114*AB114))/1000)*INDEX(BUILDINGTYPE[Lighting Coincidence Factor],MATCH(M02S02F26,BUILDINGTYPE[Building Type],0)),3))),"")</f>
        <v/>
      </c>
      <c r="AX114" s="816" t="str">
        <f ca="1">IF(OR(C114="",F114="",J114="",M114="",O114="",Q114="",S114="",W114="",Z114="",AB114="",AD114="",AF114=""),"",ROUND(M114*O114*Q114/1000,2))</f>
        <v/>
      </c>
      <c r="AY114" s="816" t="str">
        <f ca="1">IF(OR(C114="",F114="",J114="",M114="",O114="",Q114="",S114="",W114="",Z114="",AB114="",AD114="",AF114=""),"",ROUND(Z114*AB114*Q114/1000,2))</f>
        <v/>
      </c>
      <c r="AZ114" s="878" t="str">
        <f ca="1">IF(OR(S114="",S114=0,SUM(AK16:AM113)&lt;=0),"",INDEX(PMEBONUS[Measure '#],MATCH(S114,PMEBONUS[Equipment Description],0)))</f>
        <v/>
      </c>
      <c r="BA114" s="816" t="str">
        <f ca="1">IF(OR(C114="",F114="",J114="",M114="",O114="",Q114="",S114="",W114="",Z114="",AB114="",AD114="",AF114=""),"",IF((M114*O114)&lt;=(Z114*AB114),"0",AX114-AY114))</f>
        <v/>
      </c>
      <c r="BB114" s="1064" t="str">
        <f ca="1">IFERROR(IF(OR(S114="",S114=0,SUM(AK16:AM113)&lt;=0),"",SUM(BH16:BH113)),"")</f>
        <v/>
      </c>
      <c r="BC114" s="1103" t="str">
        <f ca="1">IFERROR(AH114/M02S02F35/BA114,"")</f>
        <v/>
      </c>
      <c r="BD114" s="1064" t="str">
        <f ca="1">IF(OR(C114="",F114="",J114="",M114="",O114="",Q114="",S114="",W114="",Z114="",AB114="",AD114="",AF114=""),"",IF(M02S02F46="Gas Only",0,IF(OR(ISNUMBER(SEARCH("Exterior",S114)),ISNUMBER(SEARCH("Exterior",C114)),ISNUMBER(SEARCH("Exterior",F114))),0,IF(M02S02F32="Heat Pump",(((O114*M114-AB114*Z114)/1000)*Q114*-INDEX(LightingWHF[Waste Heat Electric Heat Pump Heating IFkWh],MATCH(M02S02F26,LightingWHF[Building/Space Type],0))),
IF(OR(M02S02F32="AC with Electric Heat",M02S02F32="Electric Heat Only"),(((O114*M114-AB114*Z114)/1000)*Q114*-INDEX(LightingWHF[Waste Heat Electric Resistance Heating IFkWh],MATCH(M02S02F26,LightingWHF[Building/Space Type],0))),0
)))))</f>
        <v/>
      </c>
      <c r="BE114" s="1064" t="str">
        <f ca="1">IF(OR(C114="",F114="",J114="",M114="",O114="",Q114="",S114="",W114="",Z114="",AB114="",AD114="",AF114=""),"",IF(M02S02F46="Gas Only",0,IF(OR(ISNUMBER(SEARCH("Exterior",S114)),ISNUMBER(SEARCH("Exterior",C114)),ISNUMBER(SEARCH("Exterior",F114))),1,IF(OR(M02S02F32="Heat Pump",M02S02F32="AC with Natural Gas Heat",M02S02F32="AC with Electric Heat"),(INDEX(LightingWHF[Waste Heat Cooling Energy WHFe],MATCH(M02S02F26,LightingWHF[Building/Space Type],0))),1))))</f>
        <v/>
      </c>
      <c r="BF114" s="1103" t="str">
        <f ca="1">IFERROR(IF((M114*O114)&lt;=(Z114*AB114),MEASURESAVE,IF(M02S02F35="",MEASURERATE,IF(AH114/M02S02F35/BA114&lt;1,MEASUREPAY,IF(AV114&lt;1,MEASURECB,IF(OR(ISBLANK(M02S02F26),ISBLANK(M02S02F32),ISBLANK(M02S02F46)),MEASUREBLDG,""))))),MEASURESUBMIT)</f>
        <v>Submit for Review</v>
      </c>
      <c r="BG114" s="813"/>
      <c r="BH114"/>
      <c r="BI114"/>
    </row>
    <row r="115" spans="2:61" ht="15.95" hidden="1" customHeight="1">
      <c r="B115" s="834"/>
      <c r="C115" s="1094"/>
      <c r="D115" s="1094"/>
      <c r="E115" s="1094"/>
      <c r="F115" s="840"/>
      <c r="G115" s="841"/>
      <c r="H115" s="841"/>
      <c r="I115" s="842"/>
      <c r="J115" s="1094"/>
      <c r="K115" s="1094"/>
      <c r="L115" s="1094"/>
      <c r="M115" s="1084"/>
      <c r="N115" s="1084"/>
      <c r="O115" s="1087"/>
      <c r="P115" s="1088"/>
      <c r="Q115" s="1091"/>
      <c r="R115" s="1092"/>
      <c r="S115" s="856"/>
      <c r="T115" s="841"/>
      <c r="U115" s="841"/>
      <c r="V115" s="842"/>
      <c r="W115" s="1094"/>
      <c r="X115" s="1094"/>
      <c r="Y115" s="1094"/>
      <c r="Z115" s="1084"/>
      <c r="AA115" s="1084"/>
      <c r="AB115" s="1096"/>
      <c r="AC115" s="1096"/>
      <c r="AD115" s="1098"/>
      <c r="AE115" s="1098"/>
      <c r="AF115" s="1098"/>
      <c r="AG115" s="1100"/>
      <c r="AH115" s="870"/>
      <c r="AI115" s="1102"/>
      <c r="AJ115" s="1102"/>
      <c r="AK115" s="912"/>
      <c r="AL115" s="913"/>
      <c r="AM115" s="942"/>
      <c r="AN115" s="1106"/>
      <c r="AO115" s="1106"/>
      <c r="AP115" s="1106"/>
      <c r="AQ115" s="1106"/>
      <c r="AU115" s="1108"/>
      <c r="AV115" s="1108"/>
      <c r="AW115" s="907"/>
      <c r="AX115" s="817"/>
      <c r="AY115" s="817"/>
      <c r="AZ115" s="879"/>
      <c r="BA115" s="817"/>
      <c r="BB115" s="1002"/>
      <c r="BC115" s="1104"/>
      <c r="BD115" s="1002"/>
      <c r="BE115" s="1002"/>
      <c r="BF115" s="1104"/>
      <c r="BG115" s="814"/>
      <c r="BH115"/>
      <c r="BI115"/>
    </row>
    <row r="116" spans="2:61" ht="15.95" hidden="1" customHeight="1">
      <c r="B116" s="929">
        <v>51</v>
      </c>
      <c r="AV116" s="135"/>
    </row>
    <row r="117" spans="2:61" ht="15.95" hidden="1" customHeight="1">
      <c r="B117" s="929"/>
      <c r="AV117" s="135"/>
    </row>
    <row r="118" spans="2:61" ht="15.95" hidden="1" customHeight="1">
      <c r="B118" s="929">
        <v>52</v>
      </c>
      <c r="AV118" s="135"/>
    </row>
    <row r="119" spans="2:61" ht="15.95" hidden="1" customHeight="1">
      <c r="B119" s="929"/>
      <c r="AV119" s="135"/>
    </row>
    <row r="120" spans="2:61" ht="15.95" hidden="1" customHeight="1">
      <c r="B120" s="929">
        <v>53</v>
      </c>
      <c r="AV120" s="135"/>
    </row>
    <row r="121" spans="2:61" ht="15.95" hidden="1" customHeight="1">
      <c r="B121" s="929"/>
      <c r="AV121" s="135"/>
    </row>
    <row r="122" spans="2:61" ht="15.95" hidden="1" customHeight="1">
      <c r="B122" s="929">
        <v>54</v>
      </c>
      <c r="AV122" s="135"/>
    </row>
    <row r="123" spans="2:61" ht="15.95" hidden="1" customHeight="1">
      <c r="B123" s="929"/>
      <c r="AV123" s="135"/>
    </row>
    <row r="124" spans="2:61" ht="15.95" hidden="1" customHeight="1">
      <c r="B124" s="929">
        <v>55</v>
      </c>
      <c r="AV124" s="135"/>
    </row>
    <row r="125" spans="2:61" ht="15.95" hidden="1" customHeight="1">
      <c r="B125" s="929"/>
      <c r="AV125" s="135"/>
    </row>
    <row r="126" spans="2:61" ht="15.95" hidden="1" customHeight="1">
      <c r="B126" s="929">
        <v>56</v>
      </c>
      <c r="AV126" s="135"/>
    </row>
    <row r="127" spans="2:61" ht="15.95" hidden="1" customHeight="1">
      <c r="B127" s="929"/>
      <c r="AV127" s="135"/>
    </row>
    <row r="128" spans="2:61" ht="15.95" hidden="1" customHeight="1">
      <c r="B128" s="929">
        <v>57</v>
      </c>
      <c r="AV128" s="135"/>
    </row>
    <row r="129" spans="2:48" ht="15.95" hidden="1" customHeight="1">
      <c r="B129" s="929"/>
      <c r="AV129" s="135"/>
    </row>
    <row r="130" spans="2:48" ht="15.95" hidden="1" customHeight="1">
      <c r="B130" s="929">
        <v>58</v>
      </c>
      <c r="AV130" s="135"/>
    </row>
    <row r="131" spans="2:48" ht="15.95" hidden="1" customHeight="1">
      <c r="B131" s="929"/>
      <c r="AV131" s="135"/>
    </row>
    <row r="132" spans="2:48" ht="15.95" hidden="1" customHeight="1">
      <c r="B132" s="929">
        <v>59</v>
      </c>
      <c r="AV132" s="135"/>
    </row>
    <row r="133" spans="2:48" ht="15.95" hidden="1" customHeight="1">
      <c r="B133" s="929"/>
      <c r="AV133" s="135"/>
    </row>
    <row r="134" spans="2:48" ht="15.95" hidden="1" customHeight="1">
      <c r="B134" s="929">
        <v>60</v>
      </c>
      <c r="AV134" s="135"/>
    </row>
    <row r="135" spans="2:48" ht="15.95" hidden="1" customHeight="1">
      <c r="B135" s="929"/>
      <c r="AV135" s="135"/>
    </row>
    <row r="136" spans="2:48" ht="15.95" hidden="1" customHeight="1">
      <c r="B136" s="929">
        <v>61</v>
      </c>
      <c r="AV136" s="135"/>
    </row>
    <row r="137" spans="2:48" ht="15.95" hidden="1" customHeight="1">
      <c r="B137" s="929"/>
      <c r="AV137" s="135"/>
    </row>
    <row r="138" spans="2:48" ht="15.95" hidden="1" customHeight="1">
      <c r="B138" s="929">
        <v>62</v>
      </c>
      <c r="AV138" s="135"/>
    </row>
    <row r="139" spans="2:48" ht="15.95" hidden="1" customHeight="1">
      <c r="B139" s="929"/>
      <c r="AV139" s="135"/>
    </row>
    <row r="140" spans="2:48" ht="15.95" hidden="1" customHeight="1">
      <c r="B140" s="929">
        <v>63</v>
      </c>
      <c r="AV140" s="135"/>
    </row>
    <row r="141" spans="2:48" ht="15.95" hidden="1" customHeight="1">
      <c r="B141" s="929"/>
      <c r="AV141" s="135"/>
    </row>
    <row r="142" spans="2:48" ht="15.95" hidden="1" customHeight="1">
      <c r="B142" s="929">
        <v>64</v>
      </c>
      <c r="AV142" s="135"/>
    </row>
    <row r="143" spans="2:48" ht="15.95" hidden="1" customHeight="1">
      <c r="B143" s="929"/>
      <c r="AV143" s="135"/>
    </row>
    <row r="144" spans="2:48" ht="15.95" hidden="1" customHeight="1">
      <c r="B144" s="929">
        <v>65</v>
      </c>
      <c r="AV144" s="135"/>
    </row>
    <row r="145" spans="2:48" ht="15.95" hidden="1" customHeight="1">
      <c r="B145" s="929"/>
      <c r="AV145" s="135"/>
    </row>
    <row r="146" spans="2:48" ht="15.95" hidden="1" customHeight="1">
      <c r="B146" s="929">
        <v>66</v>
      </c>
      <c r="AV146" s="135"/>
    </row>
    <row r="147" spans="2:48" ht="15.95" hidden="1" customHeight="1">
      <c r="B147" s="929"/>
      <c r="AV147" s="135"/>
    </row>
    <row r="148" spans="2:48" ht="15.95" hidden="1" customHeight="1">
      <c r="B148" s="929">
        <v>67</v>
      </c>
      <c r="AV148" s="135"/>
    </row>
    <row r="149" spans="2:48" ht="15.95" hidden="1" customHeight="1">
      <c r="B149" s="929"/>
      <c r="AV149" s="135"/>
    </row>
    <row r="150" spans="2:48" ht="15.95" hidden="1" customHeight="1">
      <c r="B150" s="929">
        <v>68</v>
      </c>
      <c r="AV150" s="135"/>
    </row>
    <row r="151" spans="2:48" ht="15.95" hidden="1" customHeight="1">
      <c r="B151" s="929"/>
      <c r="AV151" s="135"/>
    </row>
    <row r="152" spans="2:48" ht="15.95" hidden="1" customHeight="1">
      <c r="B152" s="929">
        <v>69</v>
      </c>
      <c r="AV152" s="135"/>
    </row>
    <row r="153" spans="2:48" ht="15.95" hidden="1" customHeight="1">
      <c r="B153" s="929"/>
      <c r="AV153" s="135"/>
    </row>
    <row r="154" spans="2:48" ht="15.95" hidden="1" customHeight="1">
      <c r="B154" s="929">
        <v>70</v>
      </c>
      <c r="AV154" s="135"/>
    </row>
    <row r="155" spans="2:48" ht="15.95" hidden="1" customHeight="1">
      <c r="B155" s="929"/>
      <c r="AV155" s="135"/>
    </row>
    <row r="156" spans="2:48" ht="15.95" hidden="1" customHeight="1">
      <c r="B156" s="929">
        <v>71</v>
      </c>
      <c r="AV156" s="135"/>
    </row>
    <row r="157" spans="2:48" ht="15.95" hidden="1" customHeight="1">
      <c r="B157" s="929"/>
      <c r="AV157" s="135"/>
    </row>
    <row r="158" spans="2:48" ht="15.95" hidden="1" customHeight="1">
      <c r="B158" s="929">
        <v>72</v>
      </c>
      <c r="AV158" s="135"/>
    </row>
    <row r="159" spans="2:48" ht="15.95" hidden="1" customHeight="1">
      <c r="B159" s="929"/>
      <c r="AV159" s="135"/>
    </row>
    <row r="160" spans="2:48" ht="15.95" hidden="1" customHeight="1">
      <c r="B160" s="929">
        <v>73</v>
      </c>
      <c r="AV160" s="135"/>
    </row>
    <row r="161" spans="2:48" ht="15.95" hidden="1" customHeight="1">
      <c r="B161" s="929"/>
      <c r="AV161" s="135"/>
    </row>
    <row r="162" spans="2:48" ht="15.95" hidden="1" customHeight="1">
      <c r="B162" s="929">
        <v>74</v>
      </c>
      <c r="AV162" s="135"/>
    </row>
    <row r="163" spans="2:48" ht="15.95" hidden="1" customHeight="1">
      <c r="B163" s="929"/>
      <c r="AV163" s="135"/>
    </row>
    <row r="164" spans="2:48" ht="15.95" hidden="1" customHeight="1">
      <c r="B164" s="929">
        <v>75</v>
      </c>
      <c r="AV164" s="135"/>
    </row>
    <row r="165" spans="2:48" ht="15.95" hidden="1" customHeight="1">
      <c r="B165" s="929"/>
      <c r="AV165" s="135"/>
    </row>
    <row r="166" spans="2:48" ht="15.95" hidden="1" customHeight="1">
      <c r="B166" s="929">
        <v>76</v>
      </c>
      <c r="AV166" s="135"/>
    </row>
    <row r="167" spans="2:48" ht="15.95" hidden="1" customHeight="1">
      <c r="B167" s="929"/>
      <c r="AV167" s="135"/>
    </row>
    <row r="168" spans="2:48" ht="15.95" hidden="1" customHeight="1">
      <c r="B168" s="929">
        <v>77</v>
      </c>
      <c r="AV168" s="135"/>
    </row>
    <row r="169" spans="2:48" ht="15.95" hidden="1" customHeight="1">
      <c r="B169" s="929"/>
      <c r="AV169" s="135"/>
    </row>
    <row r="170" spans="2:48" ht="15.95" hidden="1" customHeight="1">
      <c r="B170" s="929">
        <v>78</v>
      </c>
      <c r="AV170" s="135"/>
    </row>
    <row r="171" spans="2:48" ht="15.95" hidden="1" customHeight="1">
      <c r="B171" s="929"/>
      <c r="AV171" s="135"/>
    </row>
    <row r="172" spans="2:48" ht="15.95" hidden="1" customHeight="1">
      <c r="B172" s="929">
        <v>79</v>
      </c>
      <c r="AV172" s="135"/>
    </row>
    <row r="173" spans="2:48" ht="15.95" hidden="1" customHeight="1">
      <c r="B173" s="929"/>
      <c r="AV173" s="135"/>
    </row>
    <row r="174" spans="2:48" ht="15.95" hidden="1" customHeight="1">
      <c r="B174" s="929">
        <v>80</v>
      </c>
      <c r="AV174" s="135"/>
    </row>
    <row r="175" spans="2:48" ht="15.95" hidden="1" customHeight="1">
      <c r="B175" s="929"/>
      <c r="AV175" s="135"/>
    </row>
    <row r="176" spans="2:48" ht="15.95" hidden="1" customHeight="1">
      <c r="B176" s="929">
        <v>81</v>
      </c>
      <c r="AV176" s="135"/>
    </row>
    <row r="177" spans="2:48" ht="15.95" hidden="1" customHeight="1">
      <c r="B177" s="929"/>
      <c r="AV177" s="135"/>
    </row>
    <row r="178" spans="2:48" ht="15.95" hidden="1" customHeight="1">
      <c r="B178" s="929">
        <v>82</v>
      </c>
      <c r="AV178" s="135"/>
    </row>
    <row r="179" spans="2:48" ht="15.95" hidden="1" customHeight="1">
      <c r="B179" s="929"/>
      <c r="AV179" s="135"/>
    </row>
    <row r="180" spans="2:48" ht="15.95" hidden="1" customHeight="1">
      <c r="B180" s="929">
        <v>83</v>
      </c>
      <c r="AV180" s="135"/>
    </row>
    <row r="181" spans="2:48" ht="15.95" hidden="1" customHeight="1">
      <c r="B181" s="929"/>
      <c r="AV181" s="135"/>
    </row>
    <row r="182" spans="2:48" ht="15.95" hidden="1" customHeight="1">
      <c r="B182" s="929">
        <v>84</v>
      </c>
      <c r="AV182" s="135"/>
    </row>
    <row r="183" spans="2:48" ht="15.95" hidden="1" customHeight="1">
      <c r="B183" s="929"/>
      <c r="AV183" s="135"/>
    </row>
    <row r="184" spans="2:48" ht="15.95" hidden="1" customHeight="1">
      <c r="B184" s="929">
        <v>85</v>
      </c>
      <c r="AV184" s="135"/>
    </row>
    <row r="185" spans="2:48" ht="15.95" hidden="1" customHeight="1">
      <c r="B185" s="929"/>
      <c r="AV185" s="135"/>
    </row>
    <row r="186" spans="2:48" ht="15.95" hidden="1" customHeight="1">
      <c r="B186" s="929">
        <v>86</v>
      </c>
      <c r="AV186" s="135"/>
    </row>
    <row r="187" spans="2:48" ht="15.95" hidden="1" customHeight="1">
      <c r="B187" s="929"/>
      <c r="AV187" s="135"/>
    </row>
    <row r="188" spans="2:48" ht="15.95" hidden="1" customHeight="1">
      <c r="B188" s="929">
        <v>87</v>
      </c>
      <c r="AV188" s="135"/>
    </row>
    <row r="189" spans="2:48" ht="15.95" hidden="1" customHeight="1">
      <c r="B189" s="929"/>
      <c r="AV189" s="135"/>
    </row>
    <row r="190" spans="2:48" ht="15.95" hidden="1" customHeight="1">
      <c r="B190" s="929">
        <v>88</v>
      </c>
      <c r="AV190" s="135"/>
    </row>
    <row r="191" spans="2:48" ht="15.95" hidden="1" customHeight="1">
      <c r="B191" s="929"/>
      <c r="AV191" s="135"/>
    </row>
    <row r="192" spans="2:48" ht="15.95" hidden="1" customHeight="1">
      <c r="B192" s="929">
        <v>89</v>
      </c>
      <c r="AV192" s="135"/>
    </row>
    <row r="193" spans="2:55" ht="15.95" hidden="1" customHeight="1">
      <c r="B193" s="929"/>
      <c r="AV193" s="135"/>
    </row>
    <row r="194" spans="2:55" ht="15.95" hidden="1" customHeight="1">
      <c r="B194" s="929">
        <v>90</v>
      </c>
      <c r="AV194" s="135"/>
    </row>
    <row r="195" spans="2:55" ht="15.95" hidden="1" customHeight="1">
      <c r="B195" s="929"/>
      <c r="AV195" s="135"/>
    </row>
    <row r="196" spans="2:55" ht="15.95" hidden="1" customHeight="1">
      <c r="B196" s="929">
        <v>91</v>
      </c>
      <c r="AV196" s="135"/>
    </row>
    <row r="197" spans="2:55" ht="15.95" hidden="1" customHeight="1">
      <c r="B197" s="929"/>
      <c r="AV197" s="135"/>
    </row>
    <row r="198" spans="2:55" ht="15.75" hidden="1" customHeight="1">
      <c r="B198" s="929">
        <v>92</v>
      </c>
      <c r="AV198" s="135"/>
    </row>
    <row r="199" spans="2:55" ht="15.95" hidden="1" customHeight="1">
      <c r="B199" s="929"/>
      <c r="AV199" s="135"/>
    </row>
    <row r="200" spans="2:55" ht="15.95" customHeight="1">
      <c r="B200" s="272" t="str">
        <f>FOOT1</f>
        <v>NIPSCO Energy Efficiency Program</v>
      </c>
      <c r="C200" s="272"/>
      <c r="D200" s="272"/>
      <c r="E200" s="272"/>
      <c r="F200" s="272"/>
      <c r="G200" s="272"/>
      <c r="H200" s="272"/>
      <c r="I200" s="272"/>
      <c r="J200" s="272"/>
      <c r="K200" s="272"/>
      <c r="L200" s="272"/>
      <c r="M200" s="661" t="str">
        <f>FOOT4</f>
        <v>NIPSCO’s energy efficiency programs are administered by TRC, a third‐party implementation specialist that helps homes and businesses save energy.</v>
      </c>
      <c r="N200" s="661"/>
      <c r="O200" s="661"/>
      <c r="P200" s="661"/>
      <c r="Q200" s="661"/>
      <c r="R200" s="661"/>
      <c r="S200" s="661"/>
      <c r="T200" s="661"/>
      <c r="U200" s="661"/>
      <c r="V200" s="661"/>
      <c r="W200" s="661"/>
      <c r="X200" s="661"/>
      <c r="Y200" s="661"/>
      <c r="Z200" s="661"/>
      <c r="AA200" s="661"/>
      <c r="AB200" s="661"/>
      <c r="AC200" s="661"/>
      <c r="AD200" s="661"/>
      <c r="AE200" s="661"/>
      <c r="AF200" s="661"/>
      <c r="AG200" s="661"/>
      <c r="AH200" s="272"/>
      <c r="AI200" s="272"/>
      <c r="AJ200" s="272"/>
      <c r="AK200" s="272"/>
      <c r="AL200" s="272"/>
      <c r="AM200" s="272"/>
      <c r="AN200" s="272"/>
      <c r="AO200" s="272"/>
      <c r="AP200" s="272"/>
      <c r="AQ200" s="272"/>
      <c r="AR200" s="273" t="str">
        <f>FOOTDISCLAIM</f>
        <v/>
      </c>
      <c r="AV200" s="692">
        <f ca="1">SUMIF(AN16:AQ199,"&gt;0",AV66:AV199)</f>
        <v>0</v>
      </c>
      <c r="AW200"/>
      <c r="AX200"/>
      <c r="AY200"/>
      <c r="AZ200"/>
      <c r="BA200"/>
    </row>
    <row r="201" spans="2:55" ht="15.95" customHeight="1">
      <c r="B201" s="272" t="str">
        <f>FOOT2</f>
        <v>Toll-Free 800-299-2501</v>
      </c>
      <c r="C201" s="272"/>
      <c r="D201" s="272"/>
      <c r="E201" s="272"/>
      <c r="F201" s="272"/>
      <c r="G201" s="272"/>
      <c r="H201" s="272"/>
      <c r="I201" s="272"/>
      <c r="J201" s="272"/>
      <c r="K201" s="272"/>
      <c r="L201" s="272"/>
      <c r="M201" s="661"/>
      <c r="N201" s="661"/>
      <c r="O201" s="661"/>
      <c r="P201" s="661"/>
      <c r="Q201" s="661"/>
      <c r="R201" s="661"/>
      <c r="S201" s="661"/>
      <c r="T201" s="661"/>
      <c r="U201" s="661"/>
      <c r="V201" s="661"/>
      <c r="W201" s="661"/>
      <c r="X201" s="661"/>
      <c r="Y201" s="661"/>
      <c r="Z201" s="661"/>
      <c r="AA201" s="661"/>
      <c r="AB201" s="661"/>
      <c r="AC201" s="661"/>
      <c r="AD201" s="661"/>
      <c r="AE201" s="661"/>
      <c r="AF201" s="661"/>
      <c r="AG201" s="661"/>
      <c r="AH201" s="272"/>
      <c r="AI201" s="272"/>
      <c r="AJ201" s="272"/>
      <c r="AK201" s="272"/>
      <c r="AL201" s="272"/>
      <c r="AM201" s="272"/>
      <c r="AN201" s="272"/>
      <c r="AO201" s="272"/>
      <c r="AP201" s="272"/>
      <c r="AQ201" s="272"/>
      <c r="AR201" s="273" t="str">
        <f>FOOT5</f>
        <v/>
      </c>
      <c r="AV201" s="692"/>
      <c r="AW201"/>
      <c r="AX201"/>
      <c r="AY201"/>
      <c r="AZ201"/>
      <c r="BA201"/>
      <c r="BC201"/>
    </row>
    <row r="202" spans="2:55" ht="15.95" customHeight="1">
      <c r="B202" s="281" t="s">
        <v>1547</v>
      </c>
      <c r="C202" s="272"/>
      <c r="D202" s="272"/>
      <c r="E202" s="272"/>
      <c r="F202" s="272"/>
      <c r="G202" s="272"/>
      <c r="H202" s="272"/>
      <c r="I202" s="272"/>
      <c r="J202" s="272"/>
      <c r="K202" s="272"/>
      <c r="L202" s="272"/>
      <c r="M202" s="274"/>
      <c r="N202" s="272"/>
      <c r="O202" s="272"/>
      <c r="P202" s="274"/>
      <c r="Q202" s="274"/>
      <c r="R202" s="274"/>
      <c r="S202" s="274"/>
      <c r="T202" s="274"/>
      <c r="U202" s="274"/>
      <c r="V202" s="274"/>
      <c r="W202" s="275" t="str">
        <f>VERSION</f>
        <v>Custom Prescriptive Application v3.7.1</v>
      </c>
      <c r="X202" s="274"/>
      <c r="Y202" s="274"/>
      <c r="Z202" s="274"/>
      <c r="AA202" s="274"/>
      <c r="AB202" s="274"/>
      <c r="AC202" s="274"/>
      <c r="AD202" s="274"/>
      <c r="AE202" s="272"/>
      <c r="AF202" s="272"/>
      <c r="AG202" s="272"/>
      <c r="AH202" s="272"/>
      <c r="AI202" s="272"/>
      <c r="AJ202" s="272"/>
      <c r="AK202" s="272"/>
      <c r="AL202" s="272"/>
      <c r="AM202" s="272"/>
      <c r="AN202" s="272"/>
      <c r="AO202" s="272"/>
      <c r="AP202" s="272"/>
      <c r="AQ202" s="272"/>
      <c r="AR202" s="273" t="str">
        <f>FOOT6</f>
        <v>Product of TRC</v>
      </c>
    </row>
  </sheetData>
  <sheetProtection algorithmName="SHA-512" hashValue="N4TJTESKM3t+LBZxFlqXFD3jBm6cEuNx1HBV9ntLhmt3hGTeRyLuAZHtEdZwR2f9bNkKdnYJjfv+W+hN01Cs0A==" saltValue="RHf4+YgdFlz/1eIP9CpGGA==" spinCount="100000" sheet="1" objects="1" scenarios="1" selectLockedCells="1"/>
  <mergeCells count="1537">
    <mergeCell ref="AF11:AI11"/>
    <mergeCell ref="AF12:AI13"/>
    <mergeCell ref="BH82:BH83"/>
    <mergeCell ref="BH84:BH85"/>
    <mergeCell ref="BH86:BH87"/>
    <mergeCell ref="BH88:BH89"/>
    <mergeCell ref="BH90:BH91"/>
    <mergeCell ref="BH92:BH93"/>
    <mergeCell ref="BH94:BH95"/>
    <mergeCell ref="BH96:BH97"/>
    <mergeCell ref="BH98:BH99"/>
    <mergeCell ref="BH100:BH101"/>
    <mergeCell ref="BH102:BH103"/>
    <mergeCell ref="BH104:BH105"/>
    <mergeCell ref="BH106:BH107"/>
    <mergeCell ref="BH108:BH109"/>
    <mergeCell ref="BH110:BH111"/>
    <mergeCell ref="BH14:BH15"/>
    <mergeCell ref="BH16:BH17"/>
    <mergeCell ref="BH18:BH19"/>
    <mergeCell ref="BH20:BH21"/>
    <mergeCell ref="BH22:BH23"/>
    <mergeCell ref="BH24:BH25"/>
    <mergeCell ref="BH26:BH27"/>
    <mergeCell ref="BH28:BH29"/>
    <mergeCell ref="BH30:BH31"/>
    <mergeCell ref="BH32:BH33"/>
    <mergeCell ref="BH34:BH35"/>
    <mergeCell ref="BH36:BH37"/>
    <mergeCell ref="BH38:BH39"/>
    <mergeCell ref="BH40:BH41"/>
    <mergeCell ref="BH42:BH43"/>
    <mergeCell ref="BH112:BH113"/>
    <mergeCell ref="BH48:BH49"/>
    <mergeCell ref="BH50:BH51"/>
    <mergeCell ref="BH52:BH53"/>
    <mergeCell ref="BH54:BH55"/>
    <mergeCell ref="BH56:BH57"/>
    <mergeCell ref="BH58:BH59"/>
    <mergeCell ref="BH60:BH61"/>
    <mergeCell ref="BH62:BH63"/>
    <mergeCell ref="BH64:BH65"/>
    <mergeCell ref="BH66:BH67"/>
    <mergeCell ref="BH68:BH69"/>
    <mergeCell ref="BH70:BH71"/>
    <mergeCell ref="BH72:BH73"/>
    <mergeCell ref="BH74:BH75"/>
    <mergeCell ref="BH76:BH77"/>
    <mergeCell ref="BH78:BH79"/>
    <mergeCell ref="BH80:BH81"/>
    <mergeCell ref="BH44:BH45"/>
    <mergeCell ref="BH46:BH47"/>
    <mergeCell ref="C106:E107"/>
    <mergeCell ref="F106:I107"/>
    <mergeCell ref="J106:L107"/>
    <mergeCell ref="BE114:BE115"/>
    <mergeCell ref="BF114:BF115"/>
    <mergeCell ref="BG114:BG115"/>
    <mergeCell ref="BF112:BF113"/>
    <mergeCell ref="AW110:AW111"/>
    <mergeCell ref="AX110:AX111"/>
    <mergeCell ref="AY110:AY111"/>
    <mergeCell ref="AZ110:AZ111"/>
    <mergeCell ref="BA110:BA111"/>
    <mergeCell ref="BB110:BB111"/>
    <mergeCell ref="BC110:BC111"/>
    <mergeCell ref="BF110:BF111"/>
    <mergeCell ref="AX114:AX115"/>
    <mergeCell ref="AY114:AY115"/>
    <mergeCell ref="AZ114:AZ115"/>
    <mergeCell ref="BA114:BA115"/>
    <mergeCell ref="BB114:BB115"/>
    <mergeCell ref="BC114:BC115"/>
    <mergeCell ref="BC112:BC113"/>
    <mergeCell ref="AW114:AW115"/>
    <mergeCell ref="C114:E115"/>
    <mergeCell ref="F114:I115"/>
    <mergeCell ref="J114:L115"/>
    <mergeCell ref="M114:N115"/>
    <mergeCell ref="O114:P115"/>
    <mergeCell ref="Q114:R115"/>
    <mergeCell ref="S114:V115"/>
    <mergeCell ref="W114:Y115"/>
    <mergeCell ref="Z114:AA115"/>
    <mergeCell ref="AB114:AC115"/>
    <mergeCell ref="AD114:AE115"/>
    <mergeCell ref="AK112:AM113"/>
    <mergeCell ref="AN112:AQ113"/>
    <mergeCell ref="AU112:AU113"/>
    <mergeCell ref="AU110:AU111"/>
    <mergeCell ref="C108:E109"/>
    <mergeCell ref="F108:I109"/>
    <mergeCell ref="J108:L109"/>
    <mergeCell ref="M108:N109"/>
    <mergeCell ref="C112:E113"/>
    <mergeCell ref="F112:I113"/>
    <mergeCell ref="J112:L113"/>
    <mergeCell ref="M112:N113"/>
    <mergeCell ref="O112:P113"/>
    <mergeCell ref="Q112:R113"/>
    <mergeCell ref="C110:E111"/>
    <mergeCell ref="F110:I111"/>
    <mergeCell ref="J110:L111"/>
    <mergeCell ref="M110:N111"/>
    <mergeCell ref="O110:P111"/>
    <mergeCell ref="Q110:R111"/>
    <mergeCell ref="S110:V111"/>
    <mergeCell ref="W110:Y111"/>
    <mergeCell ref="Z110:AA111"/>
    <mergeCell ref="AB110:AC111"/>
    <mergeCell ref="S112:V113"/>
    <mergeCell ref="W112:Y113"/>
    <mergeCell ref="Z112:AA113"/>
    <mergeCell ref="AB112:AC113"/>
    <mergeCell ref="AZ108:AZ109"/>
    <mergeCell ref="BA108:BA109"/>
    <mergeCell ref="BB108:BB109"/>
    <mergeCell ref="BC108:BC109"/>
    <mergeCell ref="BF108:BF109"/>
    <mergeCell ref="AV112:AV113"/>
    <mergeCell ref="AW112:AW113"/>
    <mergeCell ref="AX112:AX113"/>
    <mergeCell ref="AY112:AY113"/>
    <mergeCell ref="AZ112:AZ113"/>
    <mergeCell ref="BA112:BA113"/>
    <mergeCell ref="BF106:BF107"/>
    <mergeCell ref="AD106:AE107"/>
    <mergeCell ref="AF106:AG107"/>
    <mergeCell ref="AH106:AJ107"/>
    <mergeCell ref="AK106:AM107"/>
    <mergeCell ref="AN106:AQ107"/>
    <mergeCell ref="BC106:BC107"/>
    <mergeCell ref="AW108:AW109"/>
    <mergeCell ref="AY106:AY107"/>
    <mergeCell ref="AU106:AU107"/>
    <mergeCell ref="AD108:AE109"/>
    <mergeCell ref="AF108:AG109"/>
    <mergeCell ref="AH108:AJ109"/>
    <mergeCell ref="AK108:AM109"/>
    <mergeCell ref="AN108:AQ109"/>
    <mergeCell ref="AU108:AU109"/>
    <mergeCell ref="AV108:AV109"/>
    <mergeCell ref="AD110:AE111"/>
    <mergeCell ref="AD112:AE113"/>
    <mergeCell ref="M106:N107"/>
    <mergeCell ref="O106:P107"/>
    <mergeCell ref="Q106:R107"/>
    <mergeCell ref="S106:V107"/>
    <mergeCell ref="W106:Y107"/>
    <mergeCell ref="Z106:AA107"/>
    <mergeCell ref="AB106:AC107"/>
    <mergeCell ref="AF114:AG115"/>
    <mergeCell ref="AH114:AJ115"/>
    <mergeCell ref="AK114:AM115"/>
    <mergeCell ref="AN114:AQ115"/>
    <mergeCell ref="AU114:AU115"/>
    <mergeCell ref="AV114:AV115"/>
    <mergeCell ref="AZ106:AZ107"/>
    <mergeCell ref="BA106:BA107"/>
    <mergeCell ref="BB106:BB107"/>
    <mergeCell ref="AX108:AX109"/>
    <mergeCell ref="AF110:AG111"/>
    <mergeCell ref="AH110:AJ111"/>
    <mergeCell ref="AK110:AM111"/>
    <mergeCell ref="AN110:AQ111"/>
    <mergeCell ref="BB112:BB113"/>
    <mergeCell ref="AV110:AV111"/>
    <mergeCell ref="AB108:AC109"/>
    <mergeCell ref="AY108:AY109"/>
    <mergeCell ref="O108:P109"/>
    <mergeCell ref="Q108:R109"/>
    <mergeCell ref="S108:V109"/>
    <mergeCell ref="W108:Y109"/>
    <mergeCell ref="Z108:AA109"/>
    <mergeCell ref="AF112:AG113"/>
    <mergeCell ref="AH112:AJ113"/>
    <mergeCell ref="BF100:BF101"/>
    <mergeCell ref="AW98:AW99"/>
    <mergeCell ref="AX98:AX99"/>
    <mergeCell ref="AY98:AY99"/>
    <mergeCell ref="AZ98:AZ99"/>
    <mergeCell ref="BA98:BA99"/>
    <mergeCell ref="BB98:BB99"/>
    <mergeCell ref="BC98:BC99"/>
    <mergeCell ref="BF98:BF99"/>
    <mergeCell ref="AY102:AY103"/>
    <mergeCell ref="AZ102:AZ103"/>
    <mergeCell ref="BA102:BA103"/>
    <mergeCell ref="BB102:BB103"/>
    <mergeCell ref="BC102:BC103"/>
    <mergeCell ref="BF102:BF103"/>
    <mergeCell ref="AX102:AX103"/>
    <mergeCell ref="AV106:AV107"/>
    <mergeCell ref="AW106:AW107"/>
    <mergeCell ref="AX106:AX107"/>
    <mergeCell ref="AV104:AV105"/>
    <mergeCell ref="BC100:BC101"/>
    <mergeCell ref="AW102:AW103"/>
    <mergeCell ref="AW104:AW105"/>
    <mergeCell ref="AX104:AX105"/>
    <mergeCell ref="AY104:AY105"/>
    <mergeCell ref="AZ104:AZ105"/>
    <mergeCell ref="BA104:BA105"/>
    <mergeCell ref="BB104:BB105"/>
    <mergeCell ref="BC104:BC105"/>
    <mergeCell ref="BF104:BF105"/>
    <mergeCell ref="AZ100:AZ101"/>
    <mergeCell ref="BA100:BA101"/>
    <mergeCell ref="C104:E105"/>
    <mergeCell ref="F104:I105"/>
    <mergeCell ref="J104:L105"/>
    <mergeCell ref="M104:N105"/>
    <mergeCell ref="O104:P105"/>
    <mergeCell ref="Q104:R105"/>
    <mergeCell ref="S104:V105"/>
    <mergeCell ref="W104:Y105"/>
    <mergeCell ref="Z104:AA105"/>
    <mergeCell ref="AB104:AC105"/>
    <mergeCell ref="AD104:AE105"/>
    <mergeCell ref="AF104:AG105"/>
    <mergeCell ref="AH104:AJ105"/>
    <mergeCell ref="AK104:AM105"/>
    <mergeCell ref="AN104:AQ105"/>
    <mergeCell ref="AU104:AU105"/>
    <mergeCell ref="AF102:AG103"/>
    <mergeCell ref="C102:E103"/>
    <mergeCell ref="F102:I103"/>
    <mergeCell ref="J102:L103"/>
    <mergeCell ref="M102:N103"/>
    <mergeCell ref="O102:P103"/>
    <mergeCell ref="Q102:R103"/>
    <mergeCell ref="S102:V103"/>
    <mergeCell ref="F96:I97"/>
    <mergeCell ref="J96:L97"/>
    <mergeCell ref="M96:N97"/>
    <mergeCell ref="O96:P97"/>
    <mergeCell ref="Q96:R97"/>
    <mergeCell ref="S96:V97"/>
    <mergeCell ref="W96:Y97"/>
    <mergeCell ref="Z96:AA97"/>
    <mergeCell ref="AV100:AV101"/>
    <mergeCell ref="AW100:AW101"/>
    <mergeCell ref="AB96:AC97"/>
    <mergeCell ref="AD96:AE97"/>
    <mergeCell ref="AF96:AG97"/>
    <mergeCell ref="AH96:AJ97"/>
    <mergeCell ref="AK96:AM97"/>
    <mergeCell ref="AN96:AQ97"/>
    <mergeCell ref="AU96:AU97"/>
    <mergeCell ref="AV96:AV97"/>
    <mergeCell ref="AW96:AW97"/>
    <mergeCell ref="AX100:AX101"/>
    <mergeCell ref="AY100:AY101"/>
    <mergeCell ref="M98:N99"/>
    <mergeCell ref="O98:P99"/>
    <mergeCell ref="Q98:R99"/>
    <mergeCell ref="S98:V99"/>
    <mergeCell ref="W98:Y99"/>
    <mergeCell ref="Z98:AA99"/>
    <mergeCell ref="AB98:AC99"/>
    <mergeCell ref="AD98:AE99"/>
    <mergeCell ref="AF98:AG99"/>
    <mergeCell ref="AH98:AJ99"/>
    <mergeCell ref="AK98:AM99"/>
    <mergeCell ref="AN98:AQ99"/>
    <mergeCell ref="AU98:AU99"/>
    <mergeCell ref="AU102:AU103"/>
    <mergeCell ref="BB100:BB101"/>
    <mergeCell ref="AV98:AV99"/>
    <mergeCell ref="W102:Y103"/>
    <mergeCell ref="Z102:AA103"/>
    <mergeCell ref="AB102:AC103"/>
    <mergeCell ref="AD102:AE103"/>
    <mergeCell ref="AH102:AJ103"/>
    <mergeCell ref="AK102:AM103"/>
    <mergeCell ref="AN102:AQ103"/>
    <mergeCell ref="AV102:AV103"/>
    <mergeCell ref="C100:E101"/>
    <mergeCell ref="F100:I101"/>
    <mergeCell ref="J100:L101"/>
    <mergeCell ref="M100:N101"/>
    <mergeCell ref="O100:P101"/>
    <mergeCell ref="Q100:R101"/>
    <mergeCell ref="S100:V101"/>
    <mergeCell ref="W100:Y101"/>
    <mergeCell ref="Z100:AA101"/>
    <mergeCell ref="AB100:AC101"/>
    <mergeCell ref="AD100:AE101"/>
    <mergeCell ref="AF100:AG101"/>
    <mergeCell ref="AH100:AJ101"/>
    <mergeCell ref="AK100:AM101"/>
    <mergeCell ref="AN100:AQ101"/>
    <mergeCell ref="AU100:AU101"/>
    <mergeCell ref="C98:E99"/>
    <mergeCell ref="F98:I99"/>
    <mergeCell ref="J98:L99"/>
    <mergeCell ref="C96:E97"/>
    <mergeCell ref="BF94:BF95"/>
    <mergeCell ref="AW92:AW93"/>
    <mergeCell ref="AX92:AX93"/>
    <mergeCell ref="AY92:AY93"/>
    <mergeCell ref="AZ92:AZ93"/>
    <mergeCell ref="BA92:BA93"/>
    <mergeCell ref="BB92:BB93"/>
    <mergeCell ref="BC92:BC93"/>
    <mergeCell ref="BF92:BF93"/>
    <mergeCell ref="AY96:AY97"/>
    <mergeCell ref="AZ96:AZ97"/>
    <mergeCell ref="BA96:BA97"/>
    <mergeCell ref="BB96:BB97"/>
    <mergeCell ref="BC96:BC97"/>
    <mergeCell ref="BF96:BF97"/>
    <mergeCell ref="AY94:AY95"/>
    <mergeCell ref="AZ94:AZ95"/>
    <mergeCell ref="BA94:BA95"/>
    <mergeCell ref="BB94:BB95"/>
    <mergeCell ref="AX96:AX97"/>
    <mergeCell ref="AD94:AE95"/>
    <mergeCell ref="AF94:AG95"/>
    <mergeCell ref="AH94:AJ95"/>
    <mergeCell ref="AK94:AM95"/>
    <mergeCell ref="AN94:AQ95"/>
    <mergeCell ref="AU94:AU95"/>
    <mergeCell ref="BC94:BC95"/>
    <mergeCell ref="C92:E93"/>
    <mergeCell ref="F92:I93"/>
    <mergeCell ref="J92:L93"/>
    <mergeCell ref="M92:N93"/>
    <mergeCell ref="C90:E91"/>
    <mergeCell ref="F90:I91"/>
    <mergeCell ref="J90:L91"/>
    <mergeCell ref="M90:N91"/>
    <mergeCell ref="O90:P91"/>
    <mergeCell ref="Q90:R91"/>
    <mergeCell ref="S90:V91"/>
    <mergeCell ref="W90:Y91"/>
    <mergeCell ref="Z90:AA91"/>
    <mergeCell ref="AV94:AV95"/>
    <mergeCell ref="AW94:AW95"/>
    <mergeCell ref="AX94:AX95"/>
    <mergeCell ref="AV92:AV93"/>
    <mergeCell ref="AB90:AC91"/>
    <mergeCell ref="AD90:AE91"/>
    <mergeCell ref="AF90:AG91"/>
    <mergeCell ref="AH90:AJ91"/>
    <mergeCell ref="AK90:AM91"/>
    <mergeCell ref="AN90:AQ91"/>
    <mergeCell ref="AU90:AU91"/>
    <mergeCell ref="AV90:AV91"/>
    <mergeCell ref="AW90:AW91"/>
    <mergeCell ref="C94:E95"/>
    <mergeCell ref="F94:I95"/>
    <mergeCell ref="J94:L95"/>
    <mergeCell ref="M94:N95"/>
    <mergeCell ref="O94:P95"/>
    <mergeCell ref="Q94:R95"/>
    <mergeCell ref="S94:V95"/>
    <mergeCell ref="W94:Y95"/>
    <mergeCell ref="Z94:AA95"/>
    <mergeCell ref="AB94:AC95"/>
    <mergeCell ref="BC88:BC89"/>
    <mergeCell ref="BF88:BF89"/>
    <mergeCell ref="AW86:AW87"/>
    <mergeCell ref="AX86:AX87"/>
    <mergeCell ref="AY86:AY87"/>
    <mergeCell ref="AZ86:AZ87"/>
    <mergeCell ref="BA86:BA87"/>
    <mergeCell ref="BB86:BB87"/>
    <mergeCell ref="BC86:BC87"/>
    <mergeCell ref="BF86:BF87"/>
    <mergeCell ref="AY90:AY91"/>
    <mergeCell ref="AZ90:AZ91"/>
    <mergeCell ref="BA90:BA91"/>
    <mergeCell ref="BB90:BB91"/>
    <mergeCell ref="BC90:BC91"/>
    <mergeCell ref="BF90:BF91"/>
    <mergeCell ref="AV88:AV89"/>
    <mergeCell ref="AW88:AW89"/>
    <mergeCell ref="AX88:AX89"/>
    <mergeCell ref="AY88:AY89"/>
    <mergeCell ref="AZ88:AZ89"/>
    <mergeCell ref="BA88:BA89"/>
    <mergeCell ref="BB88:BB89"/>
    <mergeCell ref="AV86:AV87"/>
    <mergeCell ref="AX90:AX91"/>
    <mergeCell ref="O92:P93"/>
    <mergeCell ref="Q92:R93"/>
    <mergeCell ref="S92:V93"/>
    <mergeCell ref="W92:Y93"/>
    <mergeCell ref="Z92:AA93"/>
    <mergeCell ref="AB92:AC93"/>
    <mergeCell ref="AD92:AE93"/>
    <mergeCell ref="AF92:AG93"/>
    <mergeCell ref="AH92:AJ93"/>
    <mergeCell ref="AK92:AM93"/>
    <mergeCell ref="AN92:AQ93"/>
    <mergeCell ref="AU92:AU93"/>
    <mergeCell ref="C84:E85"/>
    <mergeCell ref="F84:I85"/>
    <mergeCell ref="J84:L85"/>
    <mergeCell ref="M84:N85"/>
    <mergeCell ref="O84:P85"/>
    <mergeCell ref="Q84:R85"/>
    <mergeCell ref="S84:V85"/>
    <mergeCell ref="W84:Y85"/>
    <mergeCell ref="Z84:AA85"/>
    <mergeCell ref="AB84:AC85"/>
    <mergeCell ref="AD84:AE85"/>
    <mergeCell ref="AF84:AG85"/>
    <mergeCell ref="AH84:AJ85"/>
    <mergeCell ref="AK84:AM85"/>
    <mergeCell ref="AN84:AQ85"/>
    <mergeCell ref="AU84:AU85"/>
    <mergeCell ref="Q88:R89"/>
    <mergeCell ref="S88:V89"/>
    <mergeCell ref="W88:Y89"/>
    <mergeCell ref="Z88:AA89"/>
    <mergeCell ref="AV84:AV85"/>
    <mergeCell ref="AW84:AW85"/>
    <mergeCell ref="C88:E89"/>
    <mergeCell ref="F88:I89"/>
    <mergeCell ref="J88:L89"/>
    <mergeCell ref="M88:N89"/>
    <mergeCell ref="O88:P89"/>
    <mergeCell ref="BC82:BC83"/>
    <mergeCell ref="BF82:BF83"/>
    <mergeCell ref="AW80:AW81"/>
    <mergeCell ref="AX80:AX81"/>
    <mergeCell ref="AY80:AY81"/>
    <mergeCell ref="AZ80:AZ81"/>
    <mergeCell ref="BA80:BA81"/>
    <mergeCell ref="BB80:BB81"/>
    <mergeCell ref="BC80:BC81"/>
    <mergeCell ref="BF80:BF81"/>
    <mergeCell ref="AY84:AY85"/>
    <mergeCell ref="AZ84:AZ85"/>
    <mergeCell ref="BA84:BA85"/>
    <mergeCell ref="BB84:BB85"/>
    <mergeCell ref="BC84:BC85"/>
    <mergeCell ref="BF84:BF85"/>
    <mergeCell ref="AY82:AY83"/>
    <mergeCell ref="AZ82:AZ83"/>
    <mergeCell ref="BA82:BA83"/>
    <mergeCell ref="BB82:BB83"/>
    <mergeCell ref="AX84:AX85"/>
    <mergeCell ref="AV82:AV83"/>
    <mergeCell ref="AW82:AW83"/>
    <mergeCell ref="AX82:AX83"/>
    <mergeCell ref="AV80:AV81"/>
    <mergeCell ref="AB88:AC89"/>
    <mergeCell ref="AD88:AE89"/>
    <mergeCell ref="AF88:AG89"/>
    <mergeCell ref="AH88:AJ89"/>
    <mergeCell ref="AK88:AM89"/>
    <mergeCell ref="AN88:AQ89"/>
    <mergeCell ref="AU88:AU89"/>
    <mergeCell ref="C82:E83"/>
    <mergeCell ref="F82:I83"/>
    <mergeCell ref="J82:L83"/>
    <mergeCell ref="M82:N83"/>
    <mergeCell ref="O82:P83"/>
    <mergeCell ref="Q82:R83"/>
    <mergeCell ref="S82:V83"/>
    <mergeCell ref="W82:Y83"/>
    <mergeCell ref="Z82:AA83"/>
    <mergeCell ref="AB82:AC83"/>
    <mergeCell ref="AD82:AE83"/>
    <mergeCell ref="AF82:AG83"/>
    <mergeCell ref="AH82:AJ83"/>
    <mergeCell ref="AK82:AM83"/>
    <mergeCell ref="AN82:AQ83"/>
    <mergeCell ref="AU82:AU83"/>
    <mergeCell ref="C86:E87"/>
    <mergeCell ref="F86:I87"/>
    <mergeCell ref="J86:L87"/>
    <mergeCell ref="M86:N87"/>
    <mergeCell ref="O86:P87"/>
    <mergeCell ref="Q86:R87"/>
    <mergeCell ref="S86:V87"/>
    <mergeCell ref="W86:Y87"/>
    <mergeCell ref="Z86:AA87"/>
    <mergeCell ref="AB86:AC87"/>
    <mergeCell ref="AD86:AE87"/>
    <mergeCell ref="AF86:AG87"/>
    <mergeCell ref="AH86:AJ87"/>
    <mergeCell ref="AK86:AM87"/>
    <mergeCell ref="AN86:AQ87"/>
    <mergeCell ref="AU86:AU87"/>
    <mergeCell ref="C80:E81"/>
    <mergeCell ref="F80:I81"/>
    <mergeCell ref="J80:L81"/>
    <mergeCell ref="M80:N81"/>
    <mergeCell ref="O80:P81"/>
    <mergeCell ref="Q80:R81"/>
    <mergeCell ref="S80:V81"/>
    <mergeCell ref="W80:Y81"/>
    <mergeCell ref="Z80:AA81"/>
    <mergeCell ref="AB80:AC81"/>
    <mergeCell ref="AD80:AE81"/>
    <mergeCell ref="AF80:AG81"/>
    <mergeCell ref="AH80:AJ81"/>
    <mergeCell ref="AK80:AM81"/>
    <mergeCell ref="AN80:AQ81"/>
    <mergeCell ref="AU80:AU81"/>
    <mergeCell ref="BC76:BC77"/>
    <mergeCell ref="BF76:BF77"/>
    <mergeCell ref="AW74:AW75"/>
    <mergeCell ref="AX74:AX75"/>
    <mergeCell ref="AY74:AY75"/>
    <mergeCell ref="AZ74:AZ75"/>
    <mergeCell ref="BA74:BA75"/>
    <mergeCell ref="BB74:BB75"/>
    <mergeCell ref="BC74:BC75"/>
    <mergeCell ref="BF74:BF75"/>
    <mergeCell ref="AY78:AY79"/>
    <mergeCell ref="AZ78:AZ79"/>
    <mergeCell ref="BA78:BA79"/>
    <mergeCell ref="BB78:BB79"/>
    <mergeCell ref="BC78:BC79"/>
    <mergeCell ref="BF78:BF79"/>
    <mergeCell ref="AV78:AV79"/>
    <mergeCell ref="AW78:AW79"/>
    <mergeCell ref="AX78:AX79"/>
    <mergeCell ref="AY76:AY77"/>
    <mergeCell ref="AZ76:AZ77"/>
    <mergeCell ref="BA76:BA77"/>
    <mergeCell ref="BB76:BB77"/>
    <mergeCell ref="AV74:AV75"/>
    <mergeCell ref="AV72:AV73"/>
    <mergeCell ref="AW72:AW73"/>
    <mergeCell ref="C76:E77"/>
    <mergeCell ref="F76:I77"/>
    <mergeCell ref="J76:L77"/>
    <mergeCell ref="M76:N77"/>
    <mergeCell ref="O76:P77"/>
    <mergeCell ref="C72:E73"/>
    <mergeCell ref="F72:I73"/>
    <mergeCell ref="J72:L73"/>
    <mergeCell ref="M72:N73"/>
    <mergeCell ref="O72:P73"/>
    <mergeCell ref="Q72:R73"/>
    <mergeCell ref="S72:V73"/>
    <mergeCell ref="W72:Y73"/>
    <mergeCell ref="Z72:AA73"/>
    <mergeCell ref="M78:N79"/>
    <mergeCell ref="O78:P79"/>
    <mergeCell ref="Q78:R79"/>
    <mergeCell ref="S78:V79"/>
    <mergeCell ref="W78:Y79"/>
    <mergeCell ref="Z78:AA79"/>
    <mergeCell ref="AB78:AC79"/>
    <mergeCell ref="AD78:AE79"/>
    <mergeCell ref="AF78:AG79"/>
    <mergeCell ref="AH78:AJ79"/>
    <mergeCell ref="AK78:AM79"/>
    <mergeCell ref="AN78:AQ79"/>
    <mergeCell ref="AU78:AU79"/>
    <mergeCell ref="C78:E79"/>
    <mergeCell ref="F78:I79"/>
    <mergeCell ref="J78:L79"/>
    <mergeCell ref="BC70:BC71"/>
    <mergeCell ref="BF70:BF71"/>
    <mergeCell ref="AW68:AW69"/>
    <mergeCell ref="AX68:AX69"/>
    <mergeCell ref="AY68:AY69"/>
    <mergeCell ref="AZ68:AZ69"/>
    <mergeCell ref="BA68:BA69"/>
    <mergeCell ref="BB68:BB69"/>
    <mergeCell ref="BC68:BC69"/>
    <mergeCell ref="BF68:BF69"/>
    <mergeCell ref="AY72:AY73"/>
    <mergeCell ref="AZ72:AZ73"/>
    <mergeCell ref="BA72:BA73"/>
    <mergeCell ref="BB72:BB73"/>
    <mergeCell ref="BC72:BC73"/>
    <mergeCell ref="BF72:BF73"/>
    <mergeCell ref="AY70:AY71"/>
    <mergeCell ref="AZ70:AZ71"/>
    <mergeCell ref="BA70:BA71"/>
    <mergeCell ref="BB70:BB71"/>
    <mergeCell ref="AX72:AX73"/>
    <mergeCell ref="C70:E71"/>
    <mergeCell ref="F70:I71"/>
    <mergeCell ref="J70:L71"/>
    <mergeCell ref="J66:L67"/>
    <mergeCell ref="M66:N67"/>
    <mergeCell ref="O66:P67"/>
    <mergeCell ref="Q66:R67"/>
    <mergeCell ref="S66:V67"/>
    <mergeCell ref="W66:Y67"/>
    <mergeCell ref="Z66:AA67"/>
    <mergeCell ref="AV70:AV71"/>
    <mergeCell ref="AW70:AW71"/>
    <mergeCell ref="AX70:AX71"/>
    <mergeCell ref="AK66:AM67"/>
    <mergeCell ref="AN66:AQ67"/>
    <mergeCell ref="AU66:AU67"/>
    <mergeCell ref="Q76:R77"/>
    <mergeCell ref="S76:V77"/>
    <mergeCell ref="W76:Y77"/>
    <mergeCell ref="Z76:AA77"/>
    <mergeCell ref="AB76:AC77"/>
    <mergeCell ref="AD76:AE77"/>
    <mergeCell ref="AF76:AG77"/>
    <mergeCell ref="AH76:AJ77"/>
    <mergeCell ref="AK76:AM77"/>
    <mergeCell ref="AN76:AQ77"/>
    <mergeCell ref="AU76:AU77"/>
    <mergeCell ref="AV76:AV77"/>
    <mergeCell ref="AW76:AW77"/>
    <mergeCell ref="AX76:AX77"/>
    <mergeCell ref="AB72:AC73"/>
    <mergeCell ref="AD72:AE73"/>
    <mergeCell ref="AF72:AG73"/>
    <mergeCell ref="AH72:AJ73"/>
    <mergeCell ref="AK72:AM73"/>
    <mergeCell ref="M70:N71"/>
    <mergeCell ref="O70:P71"/>
    <mergeCell ref="Q70:R71"/>
    <mergeCell ref="S70:V71"/>
    <mergeCell ref="W70:Y71"/>
    <mergeCell ref="Z70:AA71"/>
    <mergeCell ref="AB70:AC71"/>
    <mergeCell ref="AD70:AE71"/>
    <mergeCell ref="AF70:AG71"/>
    <mergeCell ref="AH70:AJ71"/>
    <mergeCell ref="AK70:AM71"/>
    <mergeCell ref="AN70:AQ71"/>
    <mergeCell ref="AU70:AU71"/>
    <mergeCell ref="C74:E75"/>
    <mergeCell ref="F74:I75"/>
    <mergeCell ref="J74:L75"/>
    <mergeCell ref="M74:N75"/>
    <mergeCell ref="O74:P75"/>
    <mergeCell ref="Q74:R75"/>
    <mergeCell ref="S74:V75"/>
    <mergeCell ref="W74:Y75"/>
    <mergeCell ref="Z74:AA75"/>
    <mergeCell ref="AB74:AC75"/>
    <mergeCell ref="AD74:AE75"/>
    <mergeCell ref="AF74:AG75"/>
    <mergeCell ref="AH74:AJ75"/>
    <mergeCell ref="AK74:AM75"/>
    <mergeCell ref="AN74:AQ75"/>
    <mergeCell ref="AU74:AU75"/>
    <mergeCell ref="AN72:AQ73"/>
    <mergeCell ref="AU72:AU73"/>
    <mergeCell ref="AY66:AY67"/>
    <mergeCell ref="AZ66:AZ67"/>
    <mergeCell ref="BA66:BA67"/>
    <mergeCell ref="BB66:BB67"/>
    <mergeCell ref="BC66:BC67"/>
    <mergeCell ref="BF66:BF67"/>
    <mergeCell ref="C68:E69"/>
    <mergeCell ref="F68:I69"/>
    <mergeCell ref="J68:L69"/>
    <mergeCell ref="M68:N69"/>
    <mergeCell ref="O68:P69"/>
    <mergeCell ref="Q68:R69"/>
    <mergeCell ref="S68:V69"/>
    <mergeCell ref="W68:Y69"/>
    <mergeCell ref="Z68:AA69"/>
    <mergeCell ref="AB68:AC69"/>
    <mergeCell ref="AD68:AE69"/>
    <mergeCell ref="AF68:AG69"/>
    <mergeCell ref="AH68:AJ69"/>
    <mergeCell ref="AK68:AM69"/>
    <mergeCell ref="AN68:AQ69"/>
    <mergeCell ref="AU68:AU69"/>
    <mergeCell ref="AV68:AV69"/>
    <mergeCell ref="AB66:AC67"/>
    <mergeCell ref="AD66:AE67"/>
    <mergeCell ref="AF66:AG67"/>
    <mergeCell ref="AH66:AJ67"/>
    <mergeCell ref="AV66:AV67"/>
    <mergeCell ref="AW66:AW67"/>
    <mergeCell ref="AX66:AX67"/>
    <mergeCell ref="C66:E67"/>
    <mergeCell ref="F66:I67"/>
    <mergeCell ref="AV200:AV201"/>
    <mergeCell ref="C18:E19"/>
    <mergeCell ref="R12:U13"/>
    <mergeCell ref="V12:Y13"/>
    <mergeCell ref="Z12:AC13"/>
    <mergeCell ref="C14:E15"/>
    <mergeCell ref="C16:E17"/>
    <mergeCell ref="AQ1:AR1"/>
    <mergeCell ref="AQ2:AR3"/>
    <mergeCell ref="AH20:AJ21"/>
    <mergeCell ref="AH1:AK1"/>
    <mergeCell ref="AL1:AP1"/>
    <mergeCell ref="AH2:AK3"/>
    <mergeCell ref="AL2:AP3"/>
    <mergeCell ref="Z20:AA21"/>
    <mergeCell ref="Q20:R21"/>
    <mergeCell ref="J20:L21"/>
    <mergeCell ref="M20:N21"/>
    <mergeCell ref="O20:P21"/>
    <mergeCell ref="W20:Y21"/>
    <mergeCell ref="AD20:AE21"/>
    <mergeCell ref="AF20:AG21"/>
    <mergeCell ref="J16:L17"/>
    <mergeCell ref="J14:L15"/>
    <mergeCell ref="M14:N15"/>
    <mergeCell ref="R9:AC10"/>
    <mergeCell ref="AH16:AJ17"/>
    <mergeCell ref="AN16:AQ17"/>
    <mergeCell ref="AV16:AV17"/>
    <mergeCell ref="S14:V15"/>
    <mergeCell ref="Q14:R15"/>
    <mergeCell ref="W14:Y15"/>
    <mergeCell ref="O16:P17"/>
    <mergeCell ref="Z22:AA23"/>
    <mergeCell ref="S22:V23"/>
    <mergeCell ref="AX22:AX23"/>
    <mergeCell ref="AZ14:AZ15"/>
    <mergeCell ref="AZ16:AZ17"/>
    <mergeCell ref="AY14:AY15"/>
    <mergeCell ref="AV14:AV15"/>
    <mergeCell ref="AB14:AC15"/>
    <mergeCell ref="AD14:AE15"/>
    <mergeCell ref="AF14:AG15"/>
    <mergeCell ref="AH14:AJ15"/>
    <mergeCell ref="AN14:AQ15"/>
    <mergeCell ref="AB16:AC17"/>
    <mergeCell ref="AD16:AE17"/>
    <mergeCell ref="AF16:AG17"/>
    <mergeCell ref="AU18:AU19"/>
    <mergeCell ref="AU20:AU21"/>
    <mergeCell ref="AU22:AU23"/>
    <mergeCell ref="Z14:AA15"/>
    <mergeCell ref="Q16:R17"/>
    <mergeCell ref="W16:Y17"/>
    <mergeCell ref="AU14:AU15"/>
    <mergeCell ref="AU16:AU17"/>
    <mergeCell ref="AW16:AW17"/>
    <mergeCell ref="AW14:AW15"/>
    <mergeCell ref="AX14:AX15"/>
    <mergeCell ref="AX16:AX17"/>
    <mergeCell ref="AH18:AJ19"/>
    <mergeCell ref="AF18:AG19"/>
    <mergeCell ref="AN18:AQ19"/>
    <mergeCell ref="AB20:AC21"/>
    <mergeCell ref="AN34:AQ35"/>
    <mergeCell ref="AZ32:AZ33"/>
    <mergeCell ref="AB22:AC23"/>
    <mergeCell ref="AD22:AE23"/>
    <mergeCell ref="AF22:AG23"/>
    <mergeCell ref="AD26:AE27"/>
    <mergeCell ref="AF26:AG27"/>
    <mergeCell ref="AH26:AJ27"/>
    <mergeCell ref="AN26:AQ27"/>
    <mergeCell ref="AW22:AW23"/>
    <mergeCell ref="AN24:AQ25"/>
    <mergeCell ref="AZ26:AZ27"/>
    <mergeCell ref="AB26:AC27"/>
    <mergeCell ref="AN28:AQ29"/>
    <mergeCell ref="AN30:AQ31"/>
    <mergeCell ref="AU32:AU33"/>
    <mergeCell ref="AU34:AU35"/>
    <mergeCell ref="J18:L19"/>
    <mergeCell ref="M18:N19"/>
    <mergeCell ref="O18:P19"/>
    <mergeCell ref="Q18:R19"/>
    <mergeCell ref="W18:Y19"/>
    <mergeCell ref="Z18:AA19"/>
    <mergeCell ref="S18:V19"/>
    <mergeCell ref="J22:L23"/>
    <mergeCell ref="M22:N23"/>
    <mergeCell ref="O22:P23"/>
    <mergeCell ref="Q22:R23"/>
    <mergeCell ref="W22:Y23"/>
    <mergeCell ref="AW18:AW19"/>
    <mergeCell ref="AX18:AX19"/>
    <mergeCell ref="AY18:AY19"/>
    <mergeCell ref="AZ18:AZ19"/>
    <mergeCell ref="Q24:R25"/>
    <mergeCell ref="W24:Y25"/>
    <mergeCell ref="AK22:AM23"/>
    <mergeCell ref="AZ24:AZ25"/>
    <mergeCell ref="AV20:AV21"/>
    <mergeCell ref="AW20:AW21"/>
    <mergeCell ref="AX20:AX21"/>
    <mergeCell ref="AY20:AY21"/>
    <mergeCell ref="AZ20:AZ21"/>
    <mergeCell ref="AV22:AV23"/>
    <mergeCell ref="S20:V21"/>
    <mergeCell ref="AB18:AC19"/>
    <mergeCell ref="AD18:AE19"/>
    <mergeCell ref="AY22:AY23"/>
    <mergeCell ref="AZ22:AZ23"/>
    <mergeCell ref="AV24:AV25"/>
    <mergeCell ref="J24:L25"/>
    <mergeCell ref="M24:N25"/>
    <mergeCell ref="O24:P25"/>
    <mergeCell ref="AZ28:AZ29"/>
    <mergeCell ref="C20:E21"/>
    <mergeCell ref="M30:N31"/>
    <mergeCell ref="AH22:AJ23"/>
    <mergeCell ref="AN22:AQ23"/>
    <mergeCell ref="AH24:AJ25"/>
    <mergeCell ref="AN20:AQ21"/>
    <mergeCell ref="AK26:AM27"/>
    <mergeCell ref="AK28:AM29"/>
    <mergeCell ref="AK30:AM31"/>
    <mergeCell ref="C22:E23"/>
    <mergeCell ref="S24:V25"/>
    <mergeCell ref="AB24:AC25"/>
    <mergeCell ref="AD24:AE25"/>
    <mergeCell ref="AF24:AG25"/>
    <mergeCell ref="AU24:AU25"/>
    <mergeCell ref="AU26:AU27"/>
    <mergeCell ref="AU28:AU29"/>
    <mergeCell ref="AU30:AU31"/>
    <mergeCell ref="AB30:AC31"/>
    <mergeCell ref="AD30:AE31"/>
    <mergeCell ref="AF30:AG31"/>
    <mergeCell ref="AH30:AJ31"/>
    <mergeCell ref="S30:V31"/>
    <mergeCell ref="AK24:AM25"/>
    <mergeCell ref="C24:E25"/>
    <mergeCell ref="AW24:AW25"/>
    <mergeCell ref="AX24:AX25"/>
    <mergeCell ref="AY24:AY25"/>
    <mergeCell ref="B34:B35"/>
    <mergeCell ref="B36:B37"/>
    <mergeCell ref="C26:E27"/>
    <mergeCell ref="C28:E29"/>
    <mergeCell ref="C30:E31"/>
    <mergeCell ref="C32:E33"/>
    <mergeCell ref="C34:E35"/>
    <mergeCell ref="C36:E37"/>
    <mergeCell ref="B38:B39"/>
    <mergeCell ref="M200:AG201"/>
    <mergeCell ref="B16:B17"/>
    <mergeCell ref="R11:U11"/>
    <mergeCell ref="V11:Y11"/>
    <mergeCell ref="Z11:AC11"/>
    <mergeCell ref="B40:B41"/>
    <mergeCell ref="B18:B19"/>
    <mergeCell ref="B20:B21"/>
    <mergeCell ref="B22:B23"/>
    <mergeCell ref="B24:B25"/>
    <mergeCell ref="B26:B27"/>
    <mergeCell ref="B28:B29"/>
    <mergeCell ref="B64:B65"/>
    <mergeCell ref="B42:B43"/>
    <mergeCell ref="B44:B45"/>
    <mergeCell ref="B46:B47"/>
    <mergeCell ref="B48:B49"/>
    <mergeCell ref="B50:B51"/>
    <mergeCell ref="B30:B31"/>
    <mergeCell ref="Z16:AA17"/>
    <mergeCell ref="S16:V17"/>
    <mergeCell ref="O14:P15"/>
    <mergeCell ref="M16:N17"/>
    <mergeCell ref="B52:B53"/>
    <mergeCell ref="J28:L29"/>
    <mergeCell ref="M28:N29"/>
    <mergeCell ref="J30:L31"/>
    <mergeCell ref="B54:B55"/>
    <mergeCell ref="B56:B57"/>
    <mergeCell ref="B58:B59"/>
    <mergeCell ref="B60:B61"/>
    <mergeCell ref="B62:B63"/>
    <mergeCell ref="B88:B89"/>
    <mergeCell ref="B66:B67"/>
    <mergeCell ref="B68:B69"/>
    <mergeCell ref="B70:B71"/>
    <mergeCell ref="B72:B73"/>
    <mergeCell ref="B74:B75"/>
    <mergeCell ref="B76:B77"/>
    <mergeCell ref="B78:B79"/>
    <mergeCell ref="B80:B81"/>
    <mergeCell ref="B82:B83"/>
    <mergeCell ref="B84:B85"/>
    <mergeCell ref="B86:B87"/>
    <mergeCell ref="C40:E41"/>
    <mergeCell ref="J40:L41"/>
    <mergeCell ref="M40:N41"/>
    <mergeCell ref="C38:E39"/>
    <mergeCell ref="C42:E43"/>
    <mergeCell ref="J42:L43"/>
    <mergeCell ref="M42:N43"/>
    <mergeCell ref="C60:E61"/>
    <mergeCell ref="J60:L61"/>
    <mergeCell ref="M60:N61"/>
    <mergeCell ref="B32:B33"/>
    <mergeCell ref="B112:B113"/>
    <mergeCell ref="B90:B91"/>
    <mergeCell ref="B92:B93"/>
    <mergeCell ref="B94:B95"/>
    <mergeCell ref="B96:B97"/>
    <mergeCell ref="B98:B99"/>
    <mergeCell ref="B100:B101"/>
    <mergeCell ref="B102:B103"/>
    <mergeCell ref="B104:B105"/>
    <mergeCell ref="B106:B107"/>
    <mergeCell ref="B108:B109"/>
    <mergeCell ref="B110:B111"/>
    <mergeCell ref="B140:B141"/>
    <mergeCell ref="B142:B143"/>
    <mergeCell ref="B144:B145"/>
    <mergeCell ref="B146:B147"/>
    <mergeCell ref="B148:B149"/>
    <mergeCell ref="B150:B151"/>
    <mergeCell ref="B152:B153"/>
    <mergeCell ref="B154:B155"/>
    <mergeCell ref="B156:B157"/>
    <mergeCell ref="B136:B137"/>
    <mergeCell ref="B114:B115"/>
    <mergeCell ref="B116:B117"/>
    <mergeCell ref="B118:B119"/>
    <mergeCell ref="B120:B121"/>
    <mergeCell ref="B122:B123"/>
    <mergeCell ref="B124:B125"/>
    <mergeCell ref="B126:B127"/>
    <mergeCell ref="B128:B129"/>
    <mergeCell ref="B130:B131"/>
    <mergeCell ref="B132:B133"/>
    <mergeCell ref="B134:B135"/>
    <mergeCell ref="B198:B199"/>
    <mergeCell ref="B186:B187"/>
    <mergeCell ref="B188:B189"/>
    <mergeCell ref="B190:B191"/>
    <mergeCell ref="B192:B193"/>
    <mergeCell ref="B194:B195"/>
    <mergeCell ref="B196:B197"/>
    <mergeCell ref="B184:B185"/>
    <mergeCell ref="B162:B163"/>
    <mergeCell ref="B164:B165"/>
    <mergeCell ref="B166:B167"/>
    <mergeCell ref="B168:B169"/>
    <mergeCell ref="B170:B171"/>
    <mergeCell ref="B172:B173"/>
    <mergeCell ref="B174:B175"/>
    <mergeCell ref="B176:B177"/>
    <mergeCell ref="B178:B179"/>
    <mergeCell ref="B180:B181"/>
    <mergeCell ref="B182:B183"/>
    <mergeCell ref="B160:B161"/>
    <mergeCell ref="B138:B139"/>
    <mergeCell ref="B158:B159"/>
    <mergeCell ref="AV34:AV35"/>
    <mergeCell ref="AW34:AW35"/>
    <mergeCell ref="AX34:AX35"/>
    <mergeCell ref="AY34:AY35"/>
    <mergeCell ref="AV28:AV29"/>
    <mergeCell ref="AW28:AW29"/>
    <mergeCell ref="AX28:AX29"/>
    <mergeCell ref="AY28:AY29"/>
    <mergeCell ref="AV32:AV33"/>
    <mergeCell ref="AW32:AW33"/>
    <mergeCell ref="AX32:AX33"/>
    <mergeCell ref="AY32:AY33"/>
    <mergeCell ref="Q32:R33"/>
    <mergeCell ref="W32:Y33"/>
    <mergeCell ref="Z32:AA33"/>
    <mergeCell ref="AB32:AC33"/>
    <mergeCell ref="AD32:AE33"/>
    <mergeCell ref="AB28:AC29"/>
    <mergeCell ref="AD28:AE29"/>
    <mergeCell ref="AF28:AG29"/>
    <mergeCell ref="AH28:AJ29"/>
    <mergeCell ref="AN32:AQ33"/>
    <mergeCell ref="AK34:AM35"/>
    <mergeCell ref="AN36:AQ37"/>
    <mergeCell ref="AV36:AV37"/>
    <mergeCell ref="AW36:AW37"/>
    <mergeCell ref="BF32:BF33"/>
    <mergeCell ref="BF34:BF35"/>
    <mergeCell ref="BF14:BF15"/>
    <mergeCell ref="BF16:BF17"/>
    <mergeCell ref="BF18:BF19"/>
    <mergeCell ref="BF20:BF21"/>
    <mergeCell ref="BF22:BF23"/>
    <mergeCell ref="BF24:BF25"/>
    <mergeCell ref="BF26:BF27"/>
    <mergeCell ref="BF28:BF29"/>
    <mergeCell ref="BF30:BF31"/>
    <mergeCell ref="BC32:BC33"/>
    <mergeCell ref="BC34:BC35"/>
    <mergeCell ref="BC14:BC15"/>
    <mergeCell ref="BC16:BC17"/>
    <mergeCell ref="BC18:BC19"/>
    <mergeCell ref="BC20:BC21"/>
    <mergeCell ref="BC22:BC23"/>
    <mergeCell ref="BC24:BC25"/>
    <mergeCell ref="BC26:BC27"/>
    <mergeCell ref="BD14:BD15"/>
    <mergeCell ref="BE14:BE15"/>
    <mergeCell ref="BD16:BD17"/>
    <mergeCell ref="BE16:BE17"/>
    <mergeCell ref="BD18:BD19"/>
    <mergeCell ref="BE18:BE19"/>
    <mergeCell ref="BD20:BD21"/>
    <mergeCell ref="BE20:BE21"/>
    <mergeCell ref="BD22:BD23"/>
    <mergeCell ref="BE22:BE23"/>
    <mergeCell ref="BD24:BD25"/>
    <mergeCell ref="BE24:BE25"/>
    <mergeCell ref="BA32:BA33"/>
    <mergeCell ref="BB32:BB33"/>
    <mergeCell ref="BA26:BA27"/>
    <mergeCell ref="BB26:BB27"/>
    <mergeCell ref="BA14:BA15"/>
    <mergeCell ref="BB14:BB15"/>
    <mergeCell ref="BB20:BB21"/>
    <mergeCell ref="BB22:BB23"/>
    <mergeCell ref="BB24:BB25"/>
    <mergeCell ref="BA16:BA17"/>
    <mergeCell ref="BB16:BB17"/>
    <mergeCell ref="BB30:BB31"/>
    <mergeCell ref="AK14:AM15"/>
    <mergeCell ref="AK16:AM17"/>
    <mergeCell ref="AK18:AM19"/>
    <mergeCell ref="AK20:AM21"/>
    <mergeCell ref="AY16:AY17"/>
    <mergeCell ref="BB18:BB19"/>
    <mergeCell ref="AV26:AV27"/>
    <mergeCell ref="AW26:AW27"/>
    <mergeCell ref="AX26:AX27"/>
    <mergeCell ref="AY26:AY27"/>
    <mergeCell ref="AV30:AV31"/>
    <mergeCell ref="AW30:AW31"/>
    <mergeCell ref="AX30:AX31"/>
    <mergeCell ref="AY30:AY31"/>
    <mergeCell ref="AK32:AM33"/>
    <mergeCell ref="BA18:BA19"/>
    <mergeCell ref="BA20:BA21"/>
    <mergeCell ref="BA22:BA23"/>
    <mergeCell ref="BA24:BA25"/>
    <mergeCell ref="AV18:AV19"/>
    <mergeCell ref="J38:L39"/>
    <mergeCell ref="M38:N39"/>
    <mergeCell ref="O38:P39"/>
    <mergeCell ref="Q38:R39"/>
    <mergeCell ref="W38:Y39"/>
    <mergeCell ref="Z38:AA39"/>
    <mergeCell ref="BC28:BC29"/>
    <mergeCell ref="BC30:BC31"/>
    <mergeCell ref="BA28:BA29"/>
    <mergeCell ref="BB28:BB29"/>
    <mergeCell ref="AZ34:AZ35"/>
    <mergeCell ref="BA34:BA35"/>
    <mergeCell ref="BB34:BB35"/>
    <mergeCell ref="AZ30:AZ31"/>
    <mergeCell ref="BA30:BA31"/>
    <mergeCell ref="Z24:AA25"/>
    <mergeCell ref="O28:P29"/>
    <mergeCell ref="Q28:R29"/>
    <mergeCell ref="W28:Y29"/>
    <mergeCell ref="Z28:AA29"/>
    <mergeCell ref="J26:L27"/>
    <mergeCell ref="M26:N27"/>
    <mergeCell ref="O26:P27"/>
    <mergeCell ref="S26:V27"/>
    <mergeCell ref="S28:V29"/>
    <mergeCell ref="Q26:R27"/>
    <mergeCell ref="W26:Y27"/>
    <mergeCell ref="Z26:AA27"/>
    <mergeCell ref="O30:P31"/>
    <mergeCell ref="Q30:R31"/>
    <mergeCell ref="W30:Y31"/>
    <mergeCell ref="Z30:AA31"/>
    <mergeCell ref="J32:L33"/>
    <mergeCell ref="M32:N33"/>
    <mergeCell ref="M36:N37"/>
    <mergeCell ref="O36:P37"/>
    <mergeCell ref="Q36:R37"/>
    <mergeCell ref="W36:Y37"/>
    <mergeCell ref="Z36:AA37"/>
    <mergeCell ref="J34:L35"/>
    <mergeCell ref="M34:N35"/>
    <mergeCell ref="O34:P35"/>
    <mergeCell ref="Q34:R35"/>
    <mergeCell ref="W34:Y35"/>
    <mergeCell ref="Z34:AA35"/>
    <mergeCell ref="AF32:AG33"/>
    <mergeCell ref="AH32:AJ33"/>
    <mergeCell ref="AH34:AJ35"/>
    <mergeCell ref="AB34:AC35"/>
    <mergeCell ref="AD34:AE35"/>
    <mergeCell ref="O32:P33"/>
    <mergeCell ref="J36:L37"/>
    <mergeCell ref="AF34:AG35"/>
    <mergeCell ref="AD38:AE39"/>
    <mergeCell ref="AF38:AG39"/>
    <mergeCell ref="AH38:AJ39"/>
    <mergeCell ref="AN38:AQ39"/>
    <mergeCell ref="AV38:AV39"/>
    <mergeCell ref="AW38:AW39"/>
    <mergeCell ref="AX38:AX39"/>
    <mergeCell ref="AY38:AY39"/>
    <mergeCell ref="AZ38:AZ39"/>
    <mergeCell ref="AN40:AQ41"/>
    <mergeCell ref="AV40:AV41"/>
    <mergeCell ref="AW40:AW41"/>
    <mergeCell ref="AX40:AX41"/>
    <mergeCell ref="AY40:AY41"/>
    <mergeCell ref="AZ40:AZ41"/>
    <mergeCell ref="BA40:BA41"/>
    <mergeCell ref="AU38:AU39"/>
    <mergeCell ref="AU40:AU41"/>
    <mergeCell ref="BF44:BF45"/>
    <mergeCell ref="BA42:BA43"/>
    <mergeCell ref="BB42:BB43"/>
    <mergeCell ref="BC42:BC43"/>
    <mergeCell ref="BF42:BF43"/>
    <mergeCell ref="AK44:AM45"/>
    <mergeCell ref="BF40:BF41"/>
    <mergeCell ref="BA36:BA37"/>
    <mergeCell ref="BB36:BB37"/>
    <mergeCell ref="BC36:BC37"/>
    <mergeCell ref="BF36:BF37"/>
    <mergeCell ref="BA38:BA39"/>
    <mergeCell ref="BB38:BB39"/>
    <mergeCell ref="BC38:BC39"/>
    <mergeCell ref="BF38:BF39"/>
    <mergeCell ref="AU42:AU43"/>
    <mergeCell ref="AU44:AU45"/>
    <mergeCell ref="BA44:BA45"/>
    <mergeCell ref="BB44:BB45"/>
    <mergeCell ref="BC44:BC45"/>
    <mergeCell ref="AX36:AX37"/>
    <mergeCell ref="AY36:AY37"/>
    <mergeCell ref="AU36:AU37"/>
    <mergeCell ref="AN42:AQ43"/>
    <mergeCell ref="AV42:AV43"/>
    <mergeCell ref="AW42:AW43"/>
    <mergeCell ref="AX42:AX43"/>
    <mergeCell ref="AY42:AY43"/>
    <mergeCell ref="AZ42:AZ43"/>
    <mergeCell ref="AK42:AM43"/>
    <mergeCell ref="AZ36:AZ37"/>
    <mergeCell ref="BD44:BD45"/>
    <mergeCell ref="C44:E45"/>
    <mergeCell ref="J44:L45"/>
    <mergeCell ref="AN44:AQ45"/>
    <mergeCell ref="AV44:AV45"/>
    <mergeCell ref="AW44:AW45"/>
    <mergeCell ref="AX44:AX45"/>
    <mergeCell ref="AY44:AY45"/>
    <mergeCell ref="AZ44:AZ45"/>
    <mergeCell ref="BB40:BB41"/>
    <mergeCell ref="BC40:BC41"/>
    <mergeCell ref="O40:P41"/>
    <mergeCell ref="BC46:BC47"/>
    <mergeCell ref="AU50:AU51"/>
    <mergeCell ref="BF48:BF49"/>
    <mergeCell ref="AK46:AM47"/>
    <mergeCell ref="C46:E47"/>
    <mergeCell ref="J46:L47"/>
    <mergeCell ref="M46:N47"/>
    <mergeCell ref="O46:P47"/>
    <mergeCell ref="Q46:R47"/>
    <mergeCell ref="W46:Y47"/>
    <mergeCell ref="Z46:AA47"/>
    <mergeCell ref="AB46:AC47"/>
    <mergeCell ref="AD46:AE47"/>
    <mergeCell ref="AF46:AG47"/>
    <mergeCell ref="AH46:AJ47"/>
    <mergeCell ref="AN46:AQ47"/>
    <mergeCell ref="AV46:AV47"/>
    <mergeCell ref="AW46:AW47"/>
    <mergeCell ref="AX46:AX47"/>
    <mergeCell ref="AY46:AY47"/>
    <mergeCell ref="AZ46:AZ47"/>
    <mergeCell ref="BA46:BA47"/>
    <mergeCell ref="BB46:BB47"/>
    <mergeCell ref="BF46:BF47"/>
    <mergeCell ref="C48:E49"/>
    <mergeCell ref="AN48:AQ49"/>
    <mergeCell ref="AV48:AV49"/>
    <mergeCell ref="AW48:AW49"/>
    <mergeCell ref="AX48:AX49"/>
    <mergeCell ref="AY48:AY49"/>
    <mergeCell ref="AZ48:AZ49"/>
    <mergeCell ref="BA48:BA49"/>
    <mergeCell ref="AU46:AU47"/>
    <mergeCell ref="AU48:AU49"/>
    <mergeCell ref="M50:N51"/>
    <mergeCell ref="O50:P51"/>
    <mergeCell ref="Q50:R51"/>
    <mergeCell ref="W50:Y51"/>
    <mergeCell ref="Z50:AA51"/>
    <mergeCell ref="AB50:AC51"/>
    <mergeCell ref="AD50:AE51"/>
    <mergeCell ref="AF50:AG51"/>
    <mergeCell ref="AH50:AJ51"/>
    <mergeCell ref="AN50:AQ51"/>
    <mergeCell ref="AV50:AV51"/>
    <mergeCell ref="AW50:AW51"/>
    <mergeCell ref="AX50:AX51"/>
    <mergeCell ref="AY50:AY51"/>
    <mergeCell ref="AZ50:AZ51"/>
    <mergeCell ref="AK50:AM51"/>
    <mergeCell ref="W48:Y49"/>
    <mergeCell ref="C54:E55"/>
    <mergeCell ref="J54:L55"/>
    <mergeCell ref="AZ52:AZ53"/>
    <mergeCell ref="C50:E51"/>
    <mergeCell ref="J50:L51"/>
    <mergeCell ref="Z48:AA49"/>
    <mergeCell ref="AB48:AC49"/>
    <mergeCell ref="AD48:AE49"/>
    <mergeCell ref="AF48:AG49"/>
    <mergeCell ref="BC48:BC49"/>
    <mergeCell ref="F48:I49"/>
    <mergeCell ref="J48:L49"/>
    <mergeCell ref="M48:N49"/>
    <mergeCell ref="O48:P49"/>
    <mergeCell ref="Q48:R49"/>
    <mergeCell ref="AH48:AJ49"/>
    <mergeCell ref="AK48:AM49"/>
    <mergeCell ref="BB48:BB49"/>
    <mergeCell ref="C52:E53"/>
    <mergeCell ref="J52:L53"/>
    <mergeCell ref="M52:N53"/>
    <mergeCell ref="O52:P53"/>
    <mergeCell ref="Q52:R53"/>
    <mergeCell ref="W52:Y53"/>
    <mergeCell ref="Z52:AA53"/>
    <mergeCell ref="AB52:AC53"/>
    <mergeCell ref="AD52:AE53"/>
    <mergeCell ref="AF52:AG53"/>
    <mergeCell ref="AH52:AJ53"/>
    <mergeCell ref="AN52:AQ53"/>
    <mergeCell ref="AV52:AV53"/>
    <mergeCell ref="AW52:AW53"/>
    <mergeCell ref="AY52:AY53"/>
    <mergeCell ref="BC54:BC55"/>
    <mergeCell ref="BF54:BF55"/>
    <mergeCell ref="AV54:AV55"/>
    <mergeCell ref="AW54:AW55"/>
    <mergeCell ref="AX54:AX55"/>
    <mergeCell ref="AY54:AY55"/>
    <mergeCell ref="BA52:BA53"/>
    <mergeCell ref="BB52:BB53"/>
    <mergeCell ref="BC52:BC53"/>
    <mergeCell ref="AU54:AU55"/>
    <mergeCell ref="AU52:AU53"/>
    <mergeCell ref="S50:V51"/>
    <mergeCell ref="F50:I51"/>
    <mergeCell ref="AZ54:AZ55"/>
    <mergeCell ref="AB54:AC55"/>
    <mergeCell ref="AD54:AE55"/>
    <mergeCell ref="AF54:AG55"/>
    <mergeCell ref="AH54:AJ55"/>
    <mergeCell ref="AN54:AQ55"/>
    <mergeCell ref="BA54:BA55"/>
    <mergeCell ref="BB54:BB55"/>
    <mergeCell ref="BA50:BA51"/>
    <mergeCell ref="BB50:BB51"/>
    <mergeCell ref="BC50:BC51"/>
    <mergeCell ref="BF50:BF51"/>
    <mergeCell ref="F54:I55"/>
    <mergeCell ref="S52:V53"/>
    <mergeCell ref="S54:V55"/>
    <mergeCell ref="BF52:BF53"/>
    <mergeCell ref="J56:L57"/>
    <mergeCell ref="M56:N57"/>
    <mergeCell ref="O56:P57"/>
    <mergeCell ref="Q56:R57"/>
    <mergeCell ref="W56:Y57"/>
    <mergeCell ref="F56:I57"/>
    <mergeCell ref="S56:V57"/>
    <mergeCell ref="AW56:AW57"/>
    <mergeCell ref="AX56:AX57"/>
    <mergeCell ref="AK52:AM53"/>
    <mergeCell ref="AK54:AM55"/>
    <mergeCell ref="AK56:AM57"/>
    <mergeCell ref="M54:N55"/>
    <mergeCell ref="O54:P55"/>
    <mergeCell ref="Q54:R55"/>
    <mergeCell ref="W54:Y55"/>
    <mergeCell ref="Z54:AA55"/>
    <mergeCell ref="AX52:AX53"/>
    <mergeCell ref="BF56:BF57"/>
    <mergeCell ref="C58:E59"/>
    <mergeCell ref="J58:L59"/>
    <mergeCell ref="M58:N59"/>
    <mergeCell ref="O58:P59"/>
    <mergeCell ref="Q58:R59"/>
    <mergeCell ref="W58:Y59"/>
    <mergeCell ref="Z58:AA59"/>
    <mergeCell ref="AB58:AC59"/>
    <mergeCell ref="AD58:AE59"/>
    <mergeCell ref="AF58:AG59"/>
    <mergeCell ref="AH58:AJ59"/>
    <mergeCell ref="AN58:AQ59"/>
    <mergeCell ref="AV58:AV59"/>
    <mergeCell ref="AW58:AW59"/>
    <mergeCell ref="AX58:AX59"/>
    <mergeCell ref="AY58:AY59"/>
    <mergeCell ref="AZ58:AZ59"/>
    <mergeCell ref="BA58:BA59"/>
    <mergeCell ref="BB58:BB59"/>
    <mergeCell ref="BC58:BC59"/>
    <mergeCell ref="Z56:AA57"/>
    <mergeCell ref="AU56:AU57"/>
    <mergeCell ref="AU58:AU59"/>
    <mergeCell ref="AY56:AY57"/>
    <mergeCell ref="AZ56:AZ57"/>
    <mergeCell ref="AV56:AV57"/>
    <mergeCell ref="AN56:AQ57"/>
    <mergeCell ref="BA56:BA57"/>
    <mergeCell ref="BB56:BB57"/>
    <mergeCell ref="BC56:BC57"/>
    <mergeCell ref="C56:E57"/>
    <mergeCell ref="BA62:BA63"/>
    <mergeCell ref="BB62:BB63"/>
    <mergeCell ref="BF58:BF59"/>
    <mergeCell ref="AN60:AQ61"/>
    <mergeCell ref="AV60:AV61"/>
    <mergeCell ref="AW60:AW61"/>
    <mergeCell ref="AX60:AX61"/>
    <mergeCell ref="AY60:AY61"/>
    <mergeCell ref="AZ60:AZ61"/>
    <mergeCell ref="BA60:BA61"/>
    <mergeCell ref="BB60:BB61"/>
    <mergeCell ref="BC60:BC61"/>
    <mergeCell ref="BF60:BF61"/>
    <mergeCell ref="BC62:BC63"/>
    <mergeCell ref="BF62:BF63"/>
    <mergeCell ref="AK58:AM59"/>
    <mergeCell ref="F58:I59"/>
    <mergeCell ref="F60:I61"/>
    <mergeCell ref="AU60:AU61"/>
    <mergeCell ref="AU62:AU63"/>
    <mergeCell ref="AK60:AM61"/>
    <mergeCell ref="O60:P61"/>
    <mergeCell ref="Q60:R61"/>
    <mergeCell ref="W60:Y61"/>
    <mergeCell ref="Z60:AA61"/>
    <mergeCell ref="AB60:AC61"/>
    <mergeCell ref="BD62:BD63"/>
    <mergeCell ref="BE62:BE63"/>
    <mergeCell ref="AN64:AQ65"/>
    <mergeCell ref="AV64:AV65"/>
    <mergeCell ref="AW64:AW65"/>
    <mergeCell ref="AX64:AX65"/>
    <mergeCell ref="AY64:AY65"/>
    <mergeCell ref="AZ64:AZ65"/>
    <mergeCell ref="F64:I65"/>
    <mergeCell ref="C62:E63"/>
    <mergeCell ref="J62:L63"/>
    <mergeCell ref="M62:N63"/>
    <mergeCell ref="O62:P63"/>
    <mergeCell ref="Q62:R63"/>
    <mergeCell ref="W62:Y63"/>
    <mergeCell ref="Z62:AA63"/>
    <mergeCell ref="AB62:AC63"/>
    <mergeCell ref="C64:E65"/>
    <mergeCell ref="J64:L65"/>
    <mergeCell ref="M64:N65"/>
    <mergeCell ref="O64:P65"/>
    <mergeCell ref="Q64:R65"/>
    <mergeCell ref="W64:Y65"/>
    <mergeCell ref="Z64:AA65"/>
    <mergeCell ref="AB64:AC65"/>
    <mergeCell ref="AN62:AQ63"/>
    <mergeCell ref="AH64:AJ65"/>
    <mergeCell ref="AV62:AV63"/>
    <mergeCell ref="AW62:AW63"/>
    <mergeCell ref="AX62:AX63"/>
    <mergeCell ref="AY62:AY63"/>
    <mergeCell ref="AZ62:AZ63"/>
    <mergeCell ref="AU64:AU65"/>
    <mergeCell ref="AK62:AM63"/>
    <mergeCell ref="BA64:BA65"/>
    <mergeCell ref="BB64:BB65"/>
    <mergeCell ref="BC64:BC65"/>
    <mergeCell ref="BF64:BF65"/>
    <mergeCell ref="F62:I63"/>
    <mergeCell ref="F14:I15"/>
    <mergeCell ref="F16:I17"/>
    <mergeCell ref="F18:I19"/>
    <mergeCell ref="F20:I21"/>
    <mergeCell ref="F22:I23"/>
    <mergeCell ref="F24:I25"/>
    <mergeCell ref="F26:I27"/>
    <mergeCell ref="F28:I29"/>
    <mergeCell ref="F30:I31"/>
    <mergeCell ref="F52:I53"/>
    <mergeCell ref="S32:V33"/>
    <mergeCell ref="S34:V35"/>
    <mergeCell ref="S36:V37"/>
    <mergeCell ref="S38:V39"/>
    <mergeCell ref="S40:V41"/>
    <mergeCell ref="S42:V43"/>
    <mergeCell ref="S44:V45"/>
    <mergeCell ref="S46:V47"/>
    <mergeCell ref="S48:V49"/>
    <mergeCell ref="F32:I33"/>
    <mergeCell ref="F34:I35"/>
    <mergeCell ref="F36:I37"/>
    <mergeCell ref="F38:I39"/>
    <mergeCell ref="F40:I41"/>
    <mergeCell ref="F42:I43"/>
    <mergeCell ref="F44:I45"/>
    <mergeCell ref="F46:I47"/>
    <mergeCell ref="AK64:AM65"/>
    <mergeCell ref="S58:V59"/>
    <mergeCell ref="S60:V61"/>
    <mergeCell ref="S62:V63"/>
    <mergeCell ref="S64:V65"/>
    <mergeCell ref="AF56:AG57"/>
    <mergeCell ref="AH56:AJ57"/>
    <mergeCell ref="AD62:AE63"/>
    <mergeCell ref="AF62:AG63"/>
    <mergeCell ref="AH62:AJ63"/>
    <mergeCell ref="AF60:AG61"/>
    <mergeCell ref="AH60:AJ61"/>
    <mergeCell ref="AB56:AC57"/>
    <mergeCell ref="AD56:AE57"/>
    <mergeCell ref="AD64:AE65"/>
    <mergeCell ref="AF64:AG65"/>
    <mergeCell ref="AD60:AE61"/>
    <mergeCell ref="M44:N45"/>
    <mergeCell ref="O44:P45"/>
    <mergeCell ref="Q44:R45"/>
    <mergeCell ref="W44:Y45"/>
    <mergeCell ref="Z44:AA45"/>
    <mergeCell ref="AB44:AC45"/>
    <mergeCell ref="AD44:AE45"/>
    <mergeCell ref="AF44:AG45"/>
    <mergeCell ref="AH44:AJ45"/>
    <mergeCell ref="AF36:AG37"/>
    <mergeCell ref="AH36:AJ37"/>
    <mergeCell ref="AK36:AM37"/>
    <mergeCell ref="AK38:AM39"/>
    <mergeCell ref="AK40:AM41"/>
    <mergeCell ref="Q40:R41"/>
    <mergeCell ref="W40:Y41"/>
    <mergeCell ref="Z40:AA41"/>
    <mergeCell ref="AB40:AC41"/>
    <mergeCell ref="AD40:AE41"/>
    <mergeCell ref="AF40:AG41"/>
    <mergeCell ref="AH40:AJ41"/>
    <mergeCell ref="AB36:AC37"/>
    <mergeCell ref="AD36:AE37"/>
    <mergeCell ref="O42:P43"/>
    <mergeCell ref="Q42:R43"/>
    <mergeCell ref="W42:Y43"/>
    <mergeCell ref="Z42:AA43"/>
    <mergeCell ref="AB42:AC43"/>
    <mergeCell ref="AD42:AE43"/>
    <mergeCell ref="AF42:AG43"/>
    <mergeCell ref="AH42:AJ43"/>
    <mergeCell ref="AB38:AC39"/>
    <mergeCell ref="BD26:BD27"/>
    <mergeCell ref="BE26:BE27"/>
    <mergeCell ref="BD28:BD29"/>
    <mergeCell ref="BE28:BE29"/>
    <mergeCell ref="BD30:BD31"/>
    <mergeCell ref="BE30:BE31"/>
    <mergeCell ref="BD32:BD33"/>
    <mergeCell ref="BE32:BE33"/>
    <mergeCell ref="BD34:BD35"/>
    <mergeCell ref="BE34:BE35"/>
    <mergeCell ref="BD36:BD37"/>
    <mergeCell ref="BE36:BE37"/>
    <mergeCell ref="BD38:BD39"/>
    <mergeCell ref="BE38:BE39"/>
    <mergeCell ref="BD40:BD41"/>
    <mergeCell ref="BE40:BE41"/>
    <mergeCell ref="BD42:BD43"/>
    <mergeCell ref="BE42:BE43"/>
    <mergeCell ref="BE44:BE45"/>
    <mergeCell ref="BD46:BD47"/>
    <mergeCell ref="BE46:BE47"/>
    <mergeCell ref="BD48:BD49"/>
    <mergeCell ref="BE48:BE49"/>
    <mergeCell ref="BD50:BD51"/>
    <mergeCell ref="BE50:BE51"/>
    <mergeCell ref="BD52:BD53"/>
    <mergeCell ref="BE52:BE53"/>
    <mergeCell ref="BD54:BD55"/>
    <mergeCell ref="BE54:BE55"/>
    <mergeCell ref="BD56:BD57"/>
    <mergeCell ref="BE56:BE57"/>
    <mergeCell ref="BD58:BD59"/>
    <mergeCell ref="BE58:BE59"/>
    <mergeCell ref="BD60:BD61"/>
    <mergeCell ref="BE60:BE61"/>
    <mergeCell ref="BE98:BE99"/>
    <mergeCell ref="BD64:BD65"/>
    <mergeCell ref="BE64:BE65"/>
    <mergeCell ref="BD66:BD67"/>
    <mergeCell ref="BE66:BE67"/>
    <mergeCell ref="BD68:BD69"/>
    <mergeCell ref="BE68:BE69"/>
    <mergeCell ref="BD70:BD71"/>
    <mergeCell ref="BE70:BE71"/>
    <mergeCell ref="BD72:BD73"/>
    <mergeCell ref="BE72:BE73"/>
    <mergeCell ref="BD74:BD75"/>
    <mergeCell ref="BE74:BE75"/>
    <mergeCell ref="BD76:BD77"/>
    <mergeCell ref="BE76:BE77"/>
    <mergeCell ref="BD78:BD79"/>
    <mergeCell ref="BE78:BE79"/>
    <mergeCell ref="BD80:BD81"/>
    <mergeCell ref="BE80:BE81"/>
    <mergeCell ref="BD100:BD101"/>
    <mergeCell ref="BE100:BE101"/>
    <mergeCell ref="BD102:BD103"/>
    <mergeCell ref="BE102:BE103"/>
    <mergeCell ref="BD104:BD105"/>
    <mergeCell ref="BE104:BE105"/>
    <mergeCell ref="BD106:BD107"/>
    <mergeCell ref="BE106:BE107"/>
    <mergeCell ref="BD108:BD109"/>
    <mergeCell ref="BE108:BE109"/>
    <mergeCell ref="BD110:BD111"/>
    <mergeCell ref="BE110:BE111"/>
    <mergeCell ref="BD112:BD113"/>
    <mergeCell ref="BE112:BE113"/>
    <mergeCell ref="BD114:BD115"/>
    <mergeCell ref="BD82:BD83"/>
    <mergeCell ref="BE82:BE83"/>
    <mergeCell ref="BD84:BD85"/>
    <mergeCell ref="BE84:BE85"/>
    <mergeCell ref="BD86:BD87"/>
    <mergeCell ref="BE86:BE87"/>
    <mergeCell ref="BD88:BD89"/>
    <mergeCell ref="BE88:BE89"/>
    <mergeCell ref="BD90:BD91"/>
    <mergeCell ref="BE90:BE91"/>
    <mergeCell ref="BD92:BD93"/>
    <mergeCell ref="BE92:BE93"/>
    <mergeCell ref="BD94:BD95"/>
    <mergeCell ref="BE94:BE95"/>
    <mergeCell ref="BD96:BD97"/>
    <mergeCell ref="BE96:BE97"/>
    <mergeCell ref="BD98:BD99"/>
  </mergeCells>
  <conditionalFormatting sqref="J16:AG115">
    <cfRule type="expression" dxfId="135" priority="1">
      <formula>AND(ISBLANK($F16)=FALSE,OR(ISBLANK(J16)=TRUE,J16=""))</formula>
    </cfRule>
  </conditionalFormatting>
  <conditionalFormatting sqref="O16:P115">
    <cfRule type="expression" dxfId="134" priority="300">
      <formula>O16&lt;&gt;INDEX(CMELIGHTBASEW,MATCH(F16,CMELIGHTBASE1,0))</formula>
    </cfRule>
  </conditionalFormatting>
  <conditionalFormatting sqref="Q16:R115">
    <cfRule type="expression" dxfId="133" priority="28">
      <formula>AND(ISNUMBER(SEARCH("24/7",#REF!))=TRUE,Q16&lt;&gt;8760)</formula>
    </cfRule>
  </conditionalFormatting>
  <conditionalFormatting sqref="AB16:AC115 O16:P115">
    <cfRule type="expression" dxfId="132" priority="302">
      <formula>MOD(O16,1)&lt;&gt;0</formula>
    </cfRule>
  </conditionalFormatting>
  <conditionalFormatting sqref="AB16:AC115">
    <cfRule type="expression" dxfId="131" priority="301">
      <formula>AB16&lt;&gt;INDEX(CMELIGHTEFFBASEW,MATCH(S16,CMELIGHTEFF1,0))</formula>
    </cfRule>
  </conditionalFormatting>
  <conditionalFormatting sqref="AH2 AL2">
    <cfRule type="expression" dxfId="130" priority="7">
      <formula>PROJSTATUS=PROJSTATELI</formula>
    </cfRule>
    <cfRule type="expression" dxfId="129" priority="8">
      <formula>PROJSTATUS=PROJSTATREVIEW</formula>
    </cfRule>
    <cfRule type="expression" dxfId="128" priority="22">
      <formula>PROJSTATUS=PROJSTATPREAPPROVE</formula>
    </cfRule>
    <cfRule type="expression" dxfId="127" priority="23">
      <formula>PROJSTATUS=PROJSTATSTANDARD</formula>
    </cfRule>
    <cfRule type="expression" dxfId="126" priority="24">
      <formula>PROJSTATUS=PROJSTATEXP</formula>
    </cfRule>
  </conditionalFormatting>
  <conditionalFormatting sqref="AN16 AN18 AN20 AN22 AN24 AN26 AN28 AN30 AN32 AN34 AN36 AN38 AN40 AN42 AN44 AN46 AN48 AN50 AN52 AN54 AN56 AN58 AN60 AN62 AN64 AN66 AN68 AN70 AN72 AN74 AN76 AN78 AN80 AN82 AN84 AN86 AN88 AN90 AN92 AN94 AN96 AN98 AN100 AN102 AN104 AN106 AN108 AN110 AN112 AN114">
    <cfRule type="expression" dxfId="125" priority="25">
      <formula>ISNUMBER(AN16)=FALSE</formula>
    </cfRule>
  </conditionalFormatting>
  <conditionalFormatting sqref="AQ2:AR3">
    <cfRule type="cellIs" dxfId="124" priority="12" operator="equal">
      <formula>1</formula>
    </cfRule>
    <cfRule type="cellIs" dxfId="123" priority="17" operator="between">
      <formula>0.51</formula>
      <formula>0.99</formula>
    </cfRule>
    <cfRule type="cellIs" dxfId="122" priority="19" operator="lessThanOrEqual">
      <formula>0.5</formula>
    </cfRule>
  </conditionalFormatting>
  <conditionalFormatting sqref="AZ16:AZ115">
    <cfRule type="expression" dxfId="121" priority="100">
      <formula>AND(ISBLANK($S16)=FALSE,OR(ISBLANK(AZ16)=TRUE,AZ16=""))</formula>
    </cfRule>
  </conditionalFormatting>
  <dataValidations xWindow="224" yWindow="512" count="8">
    <dataValidation type="decimal" operator="greaterThan" allowBlank="1" showInputMessage="1" showErrorMessage="1" error="Please enter a number value into the field." sqref="AB16:AC65" xr:uid="{00000000-0002-0000-1C00-000000000000}">
      <formula1>0</formula1>
    </dataValidation>
    <dataValidation type="whole" operator="lessThanOrEqual" allowBlank="1" showInputMessage="1" showErrorMessage="1" sqref="Q16:R65" xr:uid="{00000000-0002-0000-1C00-000001000000}">
      <formula1>8760</formula1>
    </dataValidation>
    <dataValidation type="list" allowBlank="1" showInputMessage="1" showErrorMessage="1" prompt="Choose from existing fixture type options. If the fixture is not listed, select Other at the bottom and provide a detailed description of the fixture in the next column." sqref="F16:I113" xr:uid="{00000000-0002-0000-1C00-000002000000}">
      <formula1>CMELIGHTBASE1</formula1>
    </dataValidation>
    <dataValidation type="list" allowBlank="1" showInputMessage="1" showErrorMessage="1" prompt="Choose from new fixture type options. If the fixture is not listed, select Other at the botom and provide a detailed description of the fixture in the next column." sqref="S18:V113" xr:uid="{00000000-0002-0000-1C00-000003000000}">
      <formula1>CMELIGHTEFF1</formula1>
    </dataValidation>
    <dataValidation type="decimal" operator="greaterThan" allowBlank="1" showInputMessage="1" error="Please enter a number value into the field." sqref="O16:P115" xr:uid="{00000000-0002-0000-1C00-000004000000}">
      <formula1>0</formula1>
    </dataValidation>
    <dataValidation type="decimal" allowBlank="1" showInputMessage="1" showErrorMessage="1" sqref="M16:N65 Z16:AA65" xr:uid="{00000000-0002-0000-1C00-000005000000}">
      <formula1>0</formula1>
      <formula2>999999</formula2>
    </dataValidation>
    <dataValidation type="decimal" allowBlank="1" showInputMessage="1" showErrorMessage="1" sqref="AD16:AG65" xr:uid="{00000000-0002-0000-1C00-000006000000}">
      <formula1>0</formula1>
      <formula2>1000000</formula2>
    </dataValidation>
    <dataValidation type="list" allowBlank="1" showInputMessage="1" showErrorMessage="1" prompt="Choose from new fixture type options. If the fixture is not listed, select Other at the botom and provide a detailed description of the fixture in the next column." sqref="S16:V17" xr:uid="{00000000-0002-0000-1C00-000007000000}">
      <formula1>IF(F16="Others - Exterior",CMELIGHTEFF2,IF(F16="Others - Interior",CMELIGHTEFF3,CMELIGHTEFF1))</formula1>
    </dataValidation>
  </dataValidations>
  <hyperlinks>
    <hyperlink ref="B202" r:id="rId1" xr:uid="{1CCDF4D6-2B0C-42B7-BC56-E1AB04B185CF}"/>
  </hyperlinks>
  <pageMargins left="0.25" right="0.25" top="0.25" bottom="0.25" header="0.25" footer="0.25"/>
  <pageSetup scale="46" fitToHeight="0" orientation="landscape" r:id="rId2"/>
  <drawing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5">
    <pageSetUpPr fitToPage="1"/>
  </sheetPr>
  <dimension ref="A1:BZ202"/>
  <sheetViews>
    <sheetView showGridLines="0" showRowColHeaders="0" zoomScale="85" zoomScaleNormal="85" workbookViewId="0">
      <selection activeCell="C16" sqref="C16:E17"/>
    </sheetView>
  </sheetViews>
  <sheetFormatPr defaultColWidth="0" defaultRowHeight="15" customHeight="1" zeroHeight="1"/>
  <cols>
    <col min="1" max="4" width="4.7109375" customWidth="1"/>
    <col min="5" max="5" width="4.85546875" customWidth="1"/>
    <col min="6" max="44" width="4.7109375" customWidth="1"/>
    <col min="45" max="45" width="4.7109375" style="59" customWidth="1"/>
    <col min="46" max="46" width="4.7109375" style="59" hidden="1" customWidth="1"/>
    <col min="47" max="78" width="9.140625" style="59" hidden="1" customWidth="1"/>
    <col min="79" max="16384" width="9.140625" hidden="1"/>
  </cols>
  <sheetData>
    <row r="1" spans="2:59" ht="15.95" customHeight="1">
      <c r="AH1" s="686" t="s">
        <v>471</v>
      </c>
      <c r="AI1" s="686"/>
      <c r="AJ1" s="686"/>
      <c r="AK1" s="686"/>
      <c r="AL1" s="687" t="s">
        <v>736</v>
      </c>
      <c r="AM1" s="687"/>
      <c r="AN1" s="687"/>
      <c r="AO1" s="687"/>
      <c r="AP1" s="687"/>
      <c r="AQ1" s="683" t="s">
        <v>474</v>
      </c>
      <c r="AR1" s="683"/>
    </row>
    <row r="2" spans="2:59" ht="15.95" customHeight="1">
      <c r="AH2" s="688" t="str">
        <f ca="1">INCENSTATUS</f>
        <v>---</v>
      </c>
      <c r="AI2" s="689"/>
      <c r="AJ2" s="689"/>
      <c r="AK2" s="689"/>
      <c r="AL2" s="690" t="str">
        <f ca="1">PROJSTATUS</f>
        <v>Enter Measures</v>
      </c>
      <c r="AM2" s="690"/>
      <c r="AN2" s="690"/>
      <c r="AO2" s="690"/>
      <c r="AP2" s="690"/>
      <c r="AQ2" s="684">
        <f ca="1">PROGRESSSTATUS</f>
        <v>2.8985507246376812E-2</v>
      </c>
      <c r="AR2" s="685"/>
    </row>
    <row r="3" spans="2:59" ht="15.95" customHeight="1">
      <c r="AH3" s="680"/>
      <c r="AI3" s="681"/>
      <c r="AJ3" s="681"/>
      <c r="AK3" s="681"/>
      <c r="AL3" s="673"/>
      <c r="AM3" s="673"/>
      <c r="AN3" s="673"/>
      <c r="AO3" s="673"/>
      <c r="AP3" s="673"/>
      <c r="AQ3" s="667"/>
      <c r="AR3" s="668"/>
    </row>
    <row r="4" spans="2:59" ht="15.95" customHeight="1">
      <c r="AR4" s="171"/>
      <c r="BB4" s="415"/>
    </row>
    <row r="5" spans="2:59" ht="15.95" customHeight="1"/>
    <row r="6" spans="2:59" ht="15.95" customHeight="1">
      <c r="AU6" s="59" t="s">
        <v>907</v>
      </c>
      <c r="AV6" s="59">
        <f>PROJID</f>
        <v>0</v>
      </c>
      <c r="AY6"/>
      <c r="BE6" s="415"/>
    </row>
    <row r="7" spans="2:59" ht="15.95" customHeight="1">
      <c r="AU7" s="87"/>
      <c r="AV7" s="87" t="s">
        <v>866</v>
      </c>
      <c r="AW7" s="87" t="s">
        <v>231</v>
      </c>
      <c r="AX7" s="87" t="s">
        <v>892</v>
      </c>
      <c r="AY7"/>
    </row>
    <row r="8" spans="2:59" ht="15.95" customHeight="1">
      <c r="AU8" s="87" t="s">
        <v>219</v>
      </c>
      <c r="AV8" s="87" t="str">
        <f ca="1">CBPRESE</f>
        <v>NA</v>
      </c>
      <c r="AW8" s="87" t="str">
        <f ca="1">CBCUSE</f>
        <v>NA</v>
      </c>
      <c r="AX8" s="87" t="str">
        <f ca="1">CBALL</f>
        <v>NA</v>
      </c>
      <c r="AY8"/>
    </row>
    <row r="9" spans="2:59" ht="15.95" customHeight="1">
      <c r="B9" s="59"/>
      <c r="C9" s="59"/>
      <c r="D9" s="59"/>
      <c r="E9" s="59"/>
      <c r="F9" s="59"/>
      <c r="G9" s="59"/>
      <c r="H9" s="59"/>
      <c r="I9" s="59"/>
      <c r="J9" s="59"/>
      <c r="K9" s="59"/>
      <c r="L9" s="59"/>
      <c r="M9" s="59"/>
      <c r="N9" s="59"/>
      <c r="O9" s="59"/>
      <c r="P9" s="59"/>
      <c r="Q9" s="59"/>
      <c r="R9" s="735" t="str">
        <f>CONCATENATE(M4S2," ","Summary")</f>
        <v>New Construction Lighting Summary</v>
      </c>
      <c r="S9" s="735"/>
      <c r="T9" s="735"/>
      <c r="U9" s="735"/>
      <c r="V9" s="735"/>
      <c r="W9" s="735"/>
      <c r="X9" s="735"/>
      <c r="Y9" s="735"/>
      <c r="Z9" s="735"/>
      <c r="AA9" s="735"/>
      <c r="AB9" s="735"/>
      <c r="AC9" s="735"/>
      <c r="AD9" s="59"/>
      <c r="AE9" s="59"/>
      <c r="AF9" s="59"/>
      <c r="AG9" s="59"/>
      <c r="AH9" s="59"/>
      <c r="AI9" s="59"/>
      <c r="AJ9" s="59"/>
      <c r="AK9" s="59"/>
      <c r="AL9" s="59"/>
      <c r="AM9" s="59"/>
      <c r="AN9" s="59"/>
      <c r="AO9" s="59"/>
      <c r="AP9" s="59"/>
      <c r="AQ9" s="59"/>
      <c r="AR9" s="59"/>
      <c r="AU9" s="87"/>
      <c r="AV9" s="87"/>
      <c r="AW9" s="87"/>
      <c r="AX9" s="87"/>
      <c r="AY9"/>
    </row>
    <row r="10" spans="2:59" ht="15.95" customHeight="1">
      <c r="B10" s="59"/>
      <c r="C10" s="59"/>
      <c r="D10" s="59"/>
      <c r="E10" s="59"/>
      <c r="F10" s="59"/>
      <c r="G10" s="59"/>
      <c r="H10" s="59"/>
      <c r="I10" s="59"/>
      <c r="J10" s="59"/>
      <c r="K10" s="59"/>
      <c r="L10" s="59"/>
      <c r="M10" s="59"/>
      <c r="N10" s="59"/>
      <c r="O10" s="59"/>
      <c r="P10" s="67"/>
      <c r="Q10" s="67"/>
      <c r="R10" s="735"/>
      <c r="S10" s="735"/>
      <c r="T10" s="735"/>
      <c r="U10" s="735"/>
      <c r="V10" s="735"/>
      <c r="W10" s="735"/>
      <c r="X10" s="735"/>
      <c r="Y10" s="735"/>
      <c r="Z10" s="735"/>
      <c r="AA10" s="735"/>
      <c r="AB10" s="735"/>
      <c r="AC10" s="735"/>
      <c r="AD10" s="67"/>
      <c r="AE10" s="67"/>
      <c r="AF10" s="67"/>
      <c r="AG10" s="59"/>
      <c r="AH10" s="59"/>
      <c r="AI10" s="59"/>
      <c r="AJ10" s="59"/>
      <c r="AK10" s="59"/>
      <c r="AL10" s="59"/>
      <c r="AM10" s="59"/>
      <c r="AN10" s="59"/>
      <c r="AO10" s="59"/>
      <c r="AP10" s="59"/>
      <c r="AQ10" s="59"/>
      <c r="AR10" s="59"/>
      <c r="AU10" s="87" t="s">
        <v>581</v>
      </c>
      <c r="AV10" s="87" t="str">
        <f ca="1">PAYPRESE</f>
        <v>NA</v>
      </c>
      <c r="AW10" s="87" t="str">
        <f ca="1">PAYCUSE</f>
        <v>NA</v>
      </c>
      <c r="AX10" s="367" t="str">
        <f ca="1">PAYALL</f>
        <v>NA</v>
      </c>
      <c r="AY10"/>
    </row>
    <row r="11" spans="2:59" ht="15.95" customHeight="1">
      <c r="B11" s="59"/>
      <c r="C11" s="59"/>
      <c r="D11" s="59"/>
      <c r="E11" s="59"/>
      <c r="F11" s="59"/>
      <c r="G11" s="59"/>
      <c r="H11" s="59"/>
      <c r="I11" s="59"/>
      <c r="J11" s="59"/>
      <c r="K11" s="59"/>
      <c r="L11" s="59"/>
      <c r="M11" s="59"/>
      <c r="N11" s="59"/>
      <c r="O11" s="59"/>
      <c r="P11" s="59"/>
      <c r="Q11" s="59"/>
      <c r="R11" s="836" t="s">
        <v>68</v>
      </c>
      <c r="S11" s="836"/>
      <c r="T11" s="836"/>
      <c r="U11" s="836"/>
      <c r="V11" s="836" t="s">
        <v>69</v>
      </c>
      <c r="W11" s="836"/>
      <c r="X11" s="836"/>
      <c r="Y11" s="836"/>
      <c r="Z11" s="836" t="s">
        <v>70</v>
      </c>
      <c r="AA11" s="836"/>
      <c r="AB11" s="836"/>
      <c r="AC11" s="836"/>
      <c r="AD11" s="59"/>
      <c r="AE11" s="59"/>
      <c r="AJ11" s="59"/>
      <c r="AK11" s="59"/>
      <c r="AL11" s="59"/>
      <c r="AM11" s="59"/>
      <c r="AN11" s="59"/>
      <c r="AO11" s="59"/>
      <c r="AP11" s="59"/>
      <c r="AQ11" s="59"/>
      <c r="AR11" s="59"/>
      <c r="AU11" s="88"/>
    </row>
    <row r="12" spans="2:59" ht="15.95" customHeight="1">
      <c r="B12" s="59"/>
      <c r="C12" s="59"/>
      <c r="D12" s="59"/>
      <c r="E12" s="59"/>
      <c r="F12" s="59"/>
      <c r="G12" s="59"/>
      <c r="H12" s="59"/>
      <c r="I12" s="59"/>
      <c r="J12" s="59"/>
      <c r="K12" s="59"/>
      <c r="L12" s="59"/>
      <c r="M12" s="59"/>
      <c r="N12" s="59"/>
      <c r="O12" s="59"/>
      <c r="P12" s="59"/>
      <c r="Q12" s="59"/>
      <c r="R12" s="880">
        <f>SUM(AN16:AQ199)</f>
        <v>0</v>
      </c>
      <c r="S12" s="880"/>
      <c r="T12" s="880"/>
      <c r="U12" s="880"/>
      <c r="V12" s="880">
        <f ca="1">SUMIF(AN16:AQ198,"&gt;0",AH16:AJ198)</f>
        <v>0</v>
      </c>
      <c r="W12" s="880"/>
      <c r="X12" s="880"/>
      <c r="Y12" s="880"/>
      <c r="Z12" s="881">
        <f ca="1">SUMIF(AN16:AQ198,"&gt;0",AK16:AM198)</f>
        <v>0</v>
      </c>
      <c r="AA12" s="881"/>
      <c r="AB12" s="881"/>
      <c r="AC12" s="881"/>
      <c r="AD12" s="474"/>
      <c r="AE12" s="59"/>
      <c r="AJ12" s="59"/>
      <c r="AK12" s="59"/>
      <c r="AL12" s="59"/>
      <c r="AM12" s="59"/>
      <c r="AN12" s="59"/>
      <c r="AO12" s="59"/>
      <c r="AP12" s="59"/>
      <c r="AQ12" s="59"/>
      <c r="AR12" s="59"/>
      <c r="AU12" s="59" t="s">
        <v>1506</v>
      </c>
    </row>
    <row r="13" spans="2:59" ht="15.95" customHeight="1">
      <c r="B13" s="59"/>
      <c r="C13" s="59"/>
      <c r="D13" s="59"/>
      <c r="E13" s="59"/>
      <c r="F13" s="59"/>
      <c r="G13" s="59"/>
      <c r="H13" s="59"/>
      <c r="I13" s="59"/>
      <c r="J13" s="59"/>
      <c r="K13" s="59"/>
      <c r="L13" s="59"/>
      <c r="M13" s="59"/>
      <c r="N13" s="59"/>
      <c r="O13" s="59"/>
      <c r="P13" s="59"/>
      <c r="Q13" s="59"/>
      <c r="R13" s="880"/>
      <c r="S13" s="880"/>
      <c r="T13" s="880"/>
      <c r="U13" s="880"/>
      <c r="V13" s="880"/>
      <c r="W13" s="880"/>
      <c r="X13" s="880"/>
      <c r="Y13" s="880"/>
      <c r="Z13" s="881"/>
      <c r="AA13" s="881"/>
      <c r="AB13" s="881"/>
      <c r="AC13" s="881"/>
      <c r="AD13" s="474"/>
      <c r="AE13" s="59"/>
      <c r="AJ13" s="59"/>
      <c r="AK13" s="59"/>
      <c r="AL13" s="59"/>
      <c r="AM13" s="59"/>
      <c r="AN13" s="59"/>
      <c r="AO13" s="59"/>
      <c r="AP13" s="59"/>
      <c r="AQ13" s="59"/>
      <c r="AR13" s="59"/>
    </row>
    <row r="14" spans="2:59" ht="15.95" customHeight="1">
      <c r="B14" s="59"/>
      <c r="C14" s="809" t="s">
        <v>1325</v>
      </c>
      <c r="D14" s="809"/>
      <c r="E14" s="809"/>
      <c r="F14" s="809" t="s">
        <v>1324</v>
      </c>
      <c r="G14" s="809"/>
      <c r="H14" s="809"/>
      <c r="I14" s="809"/>
      <c r="J14" s="809"/>
      <c r="K14" s="809"/>
      <c r="L14" s="809" t="s">
        <v>1328</v>
      </c>
      <c r="M14" s="809"/>
      <c r="N14" s="809"/>
      <c r="O14" s="809"/>
      <c r="P14" s="809"/>
      <c r="Q14" s="809" t="s">
        <v>997</v>
      </c>
      <c r="R14" s="809"/>
      <c r="S14" s="1147" t="s">
        <v>1329</v>
      </c>
      <c r="T14" s="1147"/>
      <c r="U14" s="1147"/>
      <c r="V14" s="1147"/>
      <c r="W14" s="1147"/>
      <c r="X14" s="1147"/>
      <c r="Y14" s="1147" t="s">
        <v>1327</v>
      </c>
      <c r="Z14" s="1147"/>
      <c r="AA14" s="1147"/>
      <c r="AB14" s="1147"/>
      <c r="AC14" s="1147"/>
      <c r="AD14" s="809" t="s">
        <v>1621</v>
      </c>
      <c r="AE14" s="809"/>
      <c r="AF14" s="809"/>
      <c r="AG14" s="809"/>
      <c r="AH14" s="809" t="s">
        <v>151</v>
      </c>
      <c r="AI14" s="809"/>
      <c r="AJ14" s="809"/>
      <c r="AK14" s="809" t="s">
        <v>116</v>
      </c>
      <c r="AL14" s="809"/>
      <c r="AM14" s="809"/>
      <c r="AN14" s="809" t="s">
        <v>108</v>
      </c>
      <c r="AO14" s="809"/>
      <c r="AP14" s="809"/>
      <c r="AQ14" s="809"/>
      <c r="AR14" s="59"/>
      <c r="AU14" s="809" t="s">
        <v>219</v>
      </c>
      <c r="AV14" s="809" t="s">
        <v>240</v>
      </c>
      <c r="AW14" s="809" t="s">
        <v>1697</v>
      </c>
      <c r="AX14" s="809" t="s">
        <v>1359</v>
      </c>
      <c r="AY14" s="809" t="s">
        <v>149</v>
      </c>
      <c r="AZ14" s="809" t="s">
        <v>1610</v>
      </c>
      <c r="BA14" s="809" t="s">
        <v>1609</v>
      </c>
      <c r="BB14" s="1150" t="s">
        <v>1608</v>
      </c>
      <c r="BC14" s="1150" t="s">
        <v>1696</v>
      </c>
      <c r="BD14" s="809" t="s">
        <v>581</v>
      </c>
      <c r="BE14" s="809" t="s">
        <v>141</v>
      </c>
      <c r="BF14" s="809" t="s">
        <v>1695</v>
      </c>
      <c r="BG14" s="809" t="s">
        <v>489</v>
      </c>
    </row>
    <row r="15" spans="2:59" ht="15.95" customHeight="1" thickBot="1">
      <c r="B15" s="59"/>
      <c r="C15" s="810"/>
      <c r="D15" s="810"/>
      <c r="E15" s="810"/>
      <c r="F15" s="810"/>
      <c r="G15" s="810"/>
      <c r="H15" s="810"/>
      <c r="I15" s="810"/>
      <c r="J15" s="810"/>
      <c r="K15" s="810"/>
      <c r="L15" s="810" t="s">
        <v>1455</v>
      </c>
      <c r="M15" s="810"/>
      <c r="N15" s="810" t="s">
        <v>1326</v>
      </c>
      <c r="O15" s="810"/>
      <c r="P15" s="810"/>
      <c r="Q15" s="810"/>
      <c r="R15" s="810"/>
      <c r="S15" s="810"/>
      <c r="T15" s="810"/>
      <c r="U15" s="810"/>
      <c r="V15" s="810"/>
      <c r="W15" s="810"/>
      <c r="X15" s="810"/>
      <c r="Y15" s="810" t="s">
        <v>1455</v>
      </c>
      <c r="Z15" s="810"/>
      <c r="AA15" s="810" t="s">
        <v>1326</v>
      </c>
      <c r="AB15" s="810"/>
      <c r="AC15" s="810"/>
      <c r="AD15" s="810" t="s">
        <v>1328</v>
      </c>
      <c r="AE15" s="810"/>
      <c r="AF15" s="810" t="s">
        <v>1622</v>
      </c>
      <c r="AG15" s="810"/>
      <c r="AH15" s="810"/>
      <c r="AI15" s="810"/>
      <c r="AJ15" s="810"/>
      <c r="AK15" s="810"/>
      <c r="AL15" s="810"/>
      <c r="AM15" s="810"/>
      <c r="AN15" s="810"/>
      <c r="AO15" s="810"/>
      <c r="AP15" s="810"/>
      <c r="AQ15" s="810"/>
      <c r="AR15" s="59"/>
      <c r="AU15" s="810"/>
      <c r="AV15" s="810"/>
      <c r="AW15" s="810"/>
      <c r="AX15" s="810"/>
      <c r="AY15" s="810"/>
      <c r="AZ15" s="810"/>
      <c r="BA15" s="810"/>
      <c r="BB15" s="1151"/>
      <c r="BC15" s="1151"/>
      <c r="BD15" s="810"/>
      <c r="BE15" s="810"/>
      <c r="BF15" s="810"/>
      <c r="BG15" s="810"/>
    </row>
    <row r="16" spans="2:59" ht="15.95" customHeight="1">
      <c r="B16" s="835">
        <v>1</v>
      </c>
      <c r="C16" s="1140"/>
      <c r="D16" s="1140"/>
      <c r="E16" s="1140"/>
      <c r="F16" s="1132" t="str">
        <f>IF(ISBLANK(M04S09F01),"",M04S09F01)</f>
        <v/>
      </c>
      <c r="G16" s="1132"/>
      <c r="H16" s="1132"/>
      <c r="I16" s="1132"/>
      <c r="J16" s="1132"/>
      <c r="K16" s="1132"/>
      <c r="L16" s="1128" t="str">
        <f>IF(F16="","",IF('M04-S09'!$C$3="Building_Area_Method",INDEX(LPDValues[BA IECC 2018  (Watts/ Sq. Ft.)],MATCH(F16,LPDValues[Building_Area_Method]),0),IF('M04-S09'!$C$3="Space_By_Space_Method",INDEX(LPDValues[SBS IECC 2018  (Watts/ Sq. Ft.)],MATCH(F16,LPDValues[Space_By_Space_Method],0)))))</f>
        <v/>
      </c>
      <c r="M16" s="1128"/>
      <c r="N16" s="1112" t="str">
        <f>IF(OR(C16="",F16=""),"",C16*L16)</f>
        <v/>
      </c>
      <c r="O16" s="1112"/>
      <c r="P16" s="1112"/>
      <c r="Q16" s="1114" t="str">
        <f>IF(F16="","",INDEX(LPDWATT[Fixture Annual Operating Hours],MATCH(F16,LPDWATT[Building Area Type]),0))</f>
        <v/>
      </c>
      <c r="R16" s="1115"/>
      <c r="S16" s="1144" t="str">
        <f>IF(F16="","","Lighting Schedule Space Type #1")</f>
        <v/>
      </c>
      <c r="T16" s="1145"/>
      <c r="U16" s="1145"/>
      <c r="V16" s="1145"/>
      <c r="W16" s="1145"/>
      <c r="X16" s="1146"/>
      <c r="Y16" s="1128" t="str">
        <f>IF(OR(C16="",F16=""),"",ROUND(AA16/C16,2))</f>
        <v/>
      </c>
      <c r="Z16" s="1128"/>
      <c r="AA16" s="1112" t="str">
        <f>IF(OR(S16="",F16=""),"",M04S09F02)</f>
        <v/>
      </c>
      <c r="AB16" s="1112"/>
      <c r="AC16" s="1112"/>
      <c r="AD16" s="1142"/>
      <c r="AE16" s="1143"/>
      <c r="AF16" s="1097"/>
      <c r="AG16" s="1097"/>
      <c r="AH16" s="870" t="str">
        <f>IFERROR(IF(OR(L16="",F16="",Q16="",S16="",N16="",C16="",Y16="",AA16="",AF16=""),"",ROUND(AZ16,2)),0)</f>
        <v/>
      </c>
      <c r="AI16" s="1102"/>
      <c r="AJ16" s="1102"/>
      <c r="AK16" s="1111" t="str">
        <f>IF(OR(C16="",F16="",L16="",N16="",Q16="",,S16="",Y16="",AA16="",AF16=""),"",IF((N16)-(AA16)&lt;=0,0,ROUND(((((N16*Q16)-(AA16*Q16))/1000)+BF16)*AW16,2)))</f>
        <v/>
      </c>
      <c r="AL16" s="1111"/>
      <c r="AM16" s="1111"/>
      <c r="AN16" s="1138" t="str">
        <f>IF(OR(C16="",F16="",L16="",N16="",Q16="",Y16="",S16="",,AA16="",AF16=""),"",IF(BG16&lt;&gt;"",BG16,AX16))</f>
        <v/>
      </c>
      <c r="AO16" s="1138"/>
      <c r="AP16" s="1138"/>
      <c r="AQ16" s="1138"/>
      <c r="AR16" s="59"/>
      <c r="AU16" s="1109" t="str">
        <f>IF(OR(C16="",F16="",L16="",N16="",Q16="",S16="",Y16="",AA16="",AF16=""),"",((((1+ELOSS)*((AK16*INDEX(ELECCB[NPV AEC $/kWh],MATCH(15,ELECCB[Year Number],0)))+(AV16*INDEX(ELECCB[NPV ACC+T&amp;D $/kW],MATCH(15,ELECCB[Year Number],0)))))+((1+GLOSS)*((BC16*INDEX(GASCB[NPV GAEC $/therm],MATCH(15,GASCB[Year Number],1))))))/AH16))</f>
        <v/>
      </c>
      <c r="AV16" s="1134" t="str">
        <f>IFERROR(IF(OR(C16="",F16="",L16="",N16="",Q16="",S16="",Y16="",AA16="",AF16=""),"",IF(OR(ISNUMBER(SEARCH("Exterior",F16)),((N16)-(AA16)&lt;=0)),0,
ROUND((((N16)-(AA16))/1000)*IF('M04-S09'!$C$3="Building_Area_Method",INDEX(LPDWATT[Lighting Coincidence Factor],MATCH(F16,LPDWATT[Building Area Type],0)),INDEX(LPDValues[Lighting Coincidence Factor],MATCH(F16,LPDValues[Space_By_Space_Method],0)))*IF(OR(M02S02F32="AC with Natural Gas Heat",M02S02F32="AC with Electric Heat",M02S02F32="Heat Pump"),IF('M04-S09'!$C$3="Building_Area_Method",INDEX(LPDWATT[Waste Heat Cooling Demand WHFd],MATCH(F16,LPDWATT[Building Area Type],0)),INDEX(LPDValues[Waste Heat Cooling Demand WHFd],MATCH(F16,LPDValues[Space_By_Space_Method],0)))),3))),"")</f>
        <v/>
      </c>
      <c r="AW16" s="1134" t="str" cm="1">
        <f t="array" ref="AW16">IFERROR(IF(OR(C16="",F16="",L16="",N16="",Q16="",S16="",Y16="",AA16="",AF16=""),"",IF(M02S02F46="Gas Only",0,IF(ISNUMBER(SEARCH("Exterior",F16)),1,IF(OR(M02S02F32="Heat Pump",M02S02F32="AC with Natural Gas Heat",M02S02F32="AC with Electric Heat"),IF('M04-S09'!$C$3="Building_Area_Method",(INDEX(LPDWATT[Waste Heat Cooling Energy WHFe],MATCH(F16,LPDWATT[Building Area Type],0))),INDEX(LPDValues[Waste Heat Cooling Energy WHFe],MATCH(F16,LPDValues[Space_By_Space_Method]),0)),1)))),0)</f>
        <v/>
      </c>
      <c r="AX16" s="1103" t="str">
        <f>IFERROR(ROUND(MIN(AH16,AK16*INDEX(INCRATE[Electric],MATCH("CMLIGHT",INCRATE[Incentive Type]))),2),"")</f>
        <v/>
      </c>
      <c r="AY16" s="830">
        <v>15</v>
      </c>
      <c r="AZ16" s="1103" t="str">
        <f>IFERROR(IF(AD16&lt;&gt;"",(AF16-AD16)*1,MIN(AF16*0.75,BB16*1)),"")</f>
        <v/>
      </c>
      <c r="BA16" s="1103" t="str">
        <f>IFERROR(1-(AA16/N16),"")</f>
        <v/>
      </c>
      <c r="BB16" s="1103" t="str">
        <f>IFERROR(IF(ISNUMBER(SEARCH("Exterior",F16)),((N16-AA16)/1000)*INDEX(NCLIGHTINCCOST[WI Incremental Cost ($/sq ft)],MATCH("Exterior",NCLIGHTINCCOST[% Below Code],0)),IF(OR(BA16="",BA16&lt;=0),"",IF(BA16&lt;=0.2, C16*INDEX(NCLIGHTINCCOST[WI Incremental Cost ($/sq ft)],MATCH(0.2,NCLIGHTINCCOST[% Below Code],0)),IF(AND(BA16&gt;0.2,BA16&lt;0.4),C16*INDEX(NCLIGHTINCCOST[WI Incremental Cost ($/sq ft)],MATCH(0.3,NCLIGHTINCCOST[% Below Code],0)), IF(BA16&gt;=0.4,C16*INDEX(NCLIGHTINCCOST[WI Incremental Cost ($/sq ft)],MATCH(0.4,NCLIGHTINCCOST[% Below Code],0)),0))))),"")</f>
        <v/>
      </c>
      <c r="BC16" s="1152" t="str">
        <f>IFERROR(IF(OR(C16="",F16="",L16="",N16="",Q16="",S16="",Y16="",AA16="",AF16=""),"",IF(M02S02F46="Electric Only",0,IF(ISNUMBER(SEARCH("Exterior",F16)),0,IF(OR(M02S02F32="AC with Natural Gas Heat",M02S02F32="Natural Gas Heat Only"),(AK16*-IF('M04-S09'!$C$3="Building_Area_Method",INDEX(LPDWATT[Waste Heat Gas Heating IFTherms],MATCH(F16,LPDWATT[Building Area Type],0)),INDEX(LPDValues[Waste Heat Gas Heating IFTherms],MATCH(F16,LPDValues[Space_By_Space_Method],0)))),0)))),0)</f>
        <v/>
      </c>
      <c r="BD16" s="1103" t="str">
        <f>IFERROR(AH16/M02S02F35/AK16,"")</f>
        <v/>
      </c>
      <c r="BE16" s="1130" t="str">
        <f>IF(OR(C16="",F16="",Q16="",S16="",AA16="",AF16=""),"",IF(ISNUMBER(AN16),IF(ISNUMBER(SEARCH("Exterior",F16)),"710102","710101"),IF(AK16=0,"","000001")))</f>
        <v/>
      </c>
      <c r="BF16" s="1103" t="str">
        <f>IFERROR(IF(OR(C16="",F16="",L16="",N16="",Q16="",S16="",Y16="",AA16="",AF16=""),"",IF(M02S02F46="Gas Only",0,IF(ISNUMBER(SEARCH("Exterior",F16)),0,IF(M02S02F32="Heat Pump",((((N16-Q16)-(AA16-Q16))/1000)*-IF('M04-S09'!$C$3="Building_Area_Method",INDEX(LPDWATT[Waste Heat Electric Heat Pump Heating IFkWh],MATCH(F16,LPDWATT[Building Area Type],0)),INDEX(LPDValues[Waste Heat Electric Heat Pump Heating IFkWh],MATCH(F16,LPDValues[Space_By_Space_Method],0)))),IF(OR(M02S02F32="AC with Electric Heat",M02S02F32="Electric Heat Only"),(((N16-Q16)-(AA16-Q16))/1000)*-IF('M04-S09'!$C$3="Building_Area_Method",INDEX(LPDWATT[Waste Heat Electric Resistance Heating IFkWh],MATCH(F16,LPDWATT[Building Area Type],0)),INDEX(LPDValues[Waste Heat Electric Resistance Heating IFkWh],MATCH(F16,LPDValues[Space_By_Space_Method],0))),0))))),0)</f>
        <v/>
      </c>
      <c r="BG16" s="1103" t="str">
        <f>IFERROR(IF((N16)-(AA16)&lt;=0,MEASURESAV,IF(M02S02F35="",MEASURERATE,IF(OR(F16="Others (Incremental)",F16="Others"),MEASURESUBMIT, IF(BD16&lt;1,MEASUREPAY,IF(AU16&lt;1,MEASURECB,""))))),MEASURESUBMIT)</f>
        <v>Submit for Review</v>
      </c>
    </row>
    <row r="17" spans="2:59" ht="15.95" customHeight="1">
      <c r="B17" s="835"/>
      <c r="C17" s="1141"/>
      <c r="D17" s="1141"/>
      <c r="E17" s="1141"/>
      <c r="F17" s="1133"/>
      <c r="G17" s="1133"/>
      <c r="H17" s="1133"/>
      <c r="I17" s="1133"/>
      <c r="J17" s="1133"/>
      <c r="K17" s="1133"/>
      <c r="L17" s="1129"/>
      <c r="M17" s="1129"/>
      <c r="N17" s="1113"/>
      <c r="O17" s="1113"/>
      <c r="P17" s="1113"/>
      <c r="Q17" s="1116"/>
      <c r="R17" s="1117"/>
      <c r="S17" s="1125"/>
      <c r="T17" s="1126"/>
      <c r="U17" s="1126"/>
      <c r="V17" s="1126"/>
      <c r="W17" s="1126"/>
      <c r="X17" s="1127"/>
      <c r="Y17" s="1129"/>
      <c r="Z17" s="1129"/>
      <c r="AA17" s="1113"/>
      <c r="AB17" s="1113"/>
      <c r="AC17" s="1113"/>
      <c r="AD17" s="1120"/>
      <c r="AE17" s="1121"/>
      <c r="AF17" s="1098"/>
      <c r="AG17" s="1098"/>
      <c r="AH17" s="1136"/>
      <c r="AI17" s="1137"/>
      <c r="AJ17" s="1137"/>
      <c r="AK17" s="1149"/>
      <c r="AL17" s="1149"/>
      <c r="AM17" s="1149"/>
      <c r="AN17" s="1139"/>
      <c r="AO17" s="1139"/>
      <c r="AP17" s="1139"/>
      <c r="AQ17" s="1139"/>
      <c r="AR17" s="59"/>
      <c r="AU17" s="1108"/>
      <c r="AV17" s="1135"/>
      <c r="AW17" s="1135"/>
      <c r="AX17" s="1104"/>
      <c r="AY17" s="831"/>
      <c r="AZ17" s="1104"/>
      <c r="BA17" s="1104"/>
      <c r="BB17" s="1104"/>
      <c r="BC17" s="1153"/>
      <c r="BD17" s="1104"/>
      <c r="BE17" s="1131"/>
      <c r="BF17" s="1104"/>
      <c r="BG17" s="1104"/>
    </row>
    <row r="18" spans="2:59" ht="15.95" customHeight="1">
      <c r="B18" s="834">
        <v>2</v>
      </c>
      <c r="C18" s="1140"/>
      <c r="D18" s="1140"/>
      <c r="E18" s="1140"/>
      <c r="F18" s="1132" t="str">
        <f>IF(ISBLANK(M04S09F03),"",M04S09F03)</f>
        <v/>
      </c>
      <c r="G18" s="1132"/>
      <c r="H18" s="1132"/>
      <c r="I18" s="1132"/>
      <c r="J18" s="1132"/>
      <c r="K18" s="1132"/>
      <c r="L18" s="1128" t="str">
        <f>IF(F18="","",IF('M04-S09'!$C$3="Building_Area_Method",INDEX(LPDValues[BA IECC 2018  (Watts/ Sq. Ft.)],MATCH(F18,LPDValues[Building_Area_Method]),0),IF('M04-S09'!$C$3="Space_By_Space_Method",INDEX(LPDValues[SBS IECC 2018  (Watts/ Sq. Ft.)],MATCH(F18,LPDValues[Space_By_Space_Method],0)))))</f>
        <v/>
      </c>
      <c r="M18" s="1128"/>
      <c r="N18" s="1112" t="str">
        <f>IF(OR(C18="",F18=""),"",C18*L18)</f>
        <v/>
      </c>
      <c r="O18" s="1112"/>
      <c r="P18" s="1112"/>
      <c r="Q18" s="1114" t="str">
        <f>IF(F18="","",INDEX(LPDWATT[Fixture Annual Operating Hours],MATCH(F18,LPDWATT[Building Area Type]),0))</f>
        <v/>
      </c>
      <c r="R18" s="1115"/>
      <c r="S18" s="1122" t="str">
        <f>IF(F18="","","Lighting Schedule Space Type #2")</f>
        <v/>
      </c>
      <c r="T18" s="1123"/>
      <c r="U18" s="1123"/>
      <c r="V18" s="1123"/>
      <c r="W18" s="1123"/>
      <c r="X18" s="1124"/>
      <c r="Y18" s="1128" t="str">
        <f t="shared" ref="Y18" si="0">IF(OR(C18="",F18=""),"",ROUND(AA18/C18,2))</f>
        <v/>
      </c>
      <c r="Z18" s="1128"/>
      <c r="AA18" s="1112" t="str">
        <f>IF(OR(S18="",F18=""),"",M04S09F04)</f>
        <v/>
      </c>
      <c r="AB18" s="1112"/>
      <c r="AC18" s="1112"/>
      <c r="AD18" s="1118"/>
      <c r="AE18" s="1119"/>
      <c r="AF18" s="1097"/>
      <c r="AG18" s="1097"/>
      <c r="AH18" s="870" t="str">
        <f t="shared" ref="AH18" si="1">IFERROR(IF(OR(L18="",F18="",Q18="",S18="",N18="",C18="",Y18="",AA18="",AF18=""),"",ROUND(AZ18,2)),0)</f>
        <v/>
      </c>
      <c r="AI18" s="1102"/>
      <c r="AJ18" s="1102"/>
      <c r="AK18" s="910" t="str">
        <f t="shared" ref="AK18" si="2">IF(OR(C18="",F18="",L18="",N18="",Q18="",,S18="",Y18="",AA18="",AF18=""),"",IF((N18)-(AA18)&lt;=0,0,ROUND(((((N18*Q18)-(AA18*Q18))/1000)+BF18)*AW18,2)))</f>
        <v/>
      </c>
      <c r="AL18" s="911"/>
      <c r="AM18" s="975"/>
      <c r="AN18" s="1138" t="str">
        <f>IF(OR(C18="",F18="",L18="",N18="",Q18="",Y18="",S18="",,AA18="",AF18=""),"",IF(BG18&lt;&gt;"",BG18,AX18))</f>
        <v/>
      </c>
      <c r="AO18" s="1138"/>
      <c r="AP18" s="1138"/>
      <c r="AQ18" s="1138"/>
      <c r="AR18" s="59"/>
      <c r="AU18" s="1109" t="str">
        <f>IF(OR(C18="",F18="",L18="",N18="",Q18="",S18="",Y18="",AA18="",AF18=""),"",((((1+ELOSS)*((AK18*INDEX(ELECCB[NPV AEC $/kWh],MATCH(15,ELECCB[Year Number],0)))+(AV18*INDEX(ELECCB[NPV ACC+T&amp;D $/kW],MATCH(15,ELECCB[Year Number],0)))))+((1+GLOSS)*((BC18*INDEX(GASCB[NPV GAEC $/therm],MATCH(15,GASCB[Year Number],1))))))/AH18))</f>
        <v/>
      </c>
      <c r="AV18" s="1134" t="str">
        <f>IFERROR(IF(OR(C18="",F18="",L18="",N18="",Q18="",S18="",Y18="",AA18="",AF18=""),"",IF(OR(ISNUMBER(SEARCH("Exterior",F18)),((N18)-(AA18)&lt;=0)),0,
ROUND((((N18)-(AA18))/1000)*IF('M04-S09'!$C$3="Building_Area_Method",INDEX(LPDWATT[Lighting Coincidence Factor],MATCH(F18,LPDWATT[Building Area Type],0)),INDEX(LPDValues[Lighting Coincidence Factor],MATCH(F18,LPDValues[Space_By_Space_Method],0)))*IF(OR(M02S02F32="AC with Natural Gas Heat",M02S02F32="AC with Electric Heat",M02S02F32="Heat Pump"),IF('M04-S09'!$C$3="Building_Area_Method",INDEX(LPDWATT[Waste Heat Cooling Demand WHFd],MATCH(F18,LPDWATT[Building Area Type],0)),INDEX(LPDValues[Waste Heat Cooling Demand WHFd],MATCH(F18,LPDValues[Space_By_Space_Method],0)))),3))),"")</f>
        <v/>
      </c>
      <c r="AW18" s="1134" t="str" cm="1">
        <f t="array" ref="AW18">IFERROR(IF(OR(C18="",F18="",L18="",N18="",Q18="",S18="",Y18="",AA18="",AF18=""),"",IF(M02S02F46="Gas Only",0,IF(ISNUMBER(SEARCH("Exterior",F18)),1,IF(OR(M02S02F32="Heat Pump",M02S02F32="AC with Natural Gas Heat",M02S02F32="AC with Electric Heat"),IF('M04-S09'!$C$3="Building_Area_Method",(INDEX(LPDWATT[Waste Heat Cooling Energy WHFe],MATCH(F18,LPDWATT[Building Area Type],0))),INDEX(LPDValues[Waste Heat Cooling Energy WHFe],MATCH(F18,LPDValues[Space_By_Space_Method]),0)),1)))),0)</f>
        <v/>
      </c>
      <c r="AX18" s="1103" t="str">
        <f>IFERROR(ROUND(MIN(AH18,AK18*INDEX(INCRATE[Electric],MATCH("CMLIGHT",INCRATE[Incentive Type]))),2),"")</f>
        <v/>
      </c>
      <c r="AY18" s="830">
        <v>15</v>
      </c>
      <c r="AZ18" s="1103" t="str">
        <f t="shared" ref="AZ18" si="3">IFERROR(IF(AD18&lt;&gt;"",(AF18-AD18)*1,MIN(AF18*0.75,BB18*1)),"")</f>
        <v/>
      </c>
      <c r="BA18" s="1103" t="str">
        <f t="shared" ref="BA18" si="4">IFERROR(1-(AA18/N18),"")</f>
        <v/>
      </c>
      <c r="BB18" s="1103" t="str">
        <f>IFERROR(IF(ISNUMBER(SEARCH("Exterior",F18)),((N18-AA18)/1000)*INDEX(NCLIGHTINCCOST[WI Incremental Cost ($/sq ft)],MATCH("Exterior",NCLIGHTINCCOST[% Below Code],0)),IF(OR(BA18="",BA18&lt;=0),"",IF(BA18&lt;=0.2, C18*INDEX(NCLIGHTINCCOST[WI Incremental Cost ($/sq ft)],MATCH(0.2,NCLIGHTINCCOST[% Below Code],0)),IF(AND(BA18&gt;0.2,BA18&lt;0.4),C18*INDEX(NCLIGHTINCCOST[WI Incremental Cost ($/sq ft)],MATCH(0.3,NCLIGHTINCCOST[% Below Code],0)), IF(BA18&gt;=0.4,C18*INDEX(NCLIGHTINCCOST[WI Incremental Cost ($/sq ft)],MATCH(0.4,NCLIGHTINCCOST[% Below Code],0)),0))))),"")</f>
        <v/>
      </c>
      <c r="BC18" s="1152" t="str">
        <f>IFERROR(IF(OR(C18="",F18="",L18="",N18="",Q18="",S18="",Y18="",AA18="",AF18=""),"",IF(M02S02F46="Electric Only",0,IF(ISNUMBER(SEARCH("Exterior",F18)),0,IF(OR(M02S02F32="AC with Natural Gas Heat",M02S02F32="Natural Gas Heat Only"),(AK18*-IF('M04-S09'!$C$3="Building_Area_Method",INDEX(LPDWATT[Waste Heat Gas Heating IFTherms],MATCH(F18,LPDWATT[Building Area Type],0)),INDEX(LPDValues[Waste Heat Gas Heating IFTherms],MATCH(F18,LPDValues[Space_By_Space_Method],0)))),0)))),0)</f>
        <v/>
      </c>
      <c r="BD18" s="1103" t="str">
        <f>IFERROR(AH18/M02S02F35/AK18,"")</f>
        <v/>
      </c>
      <c r="BE18" s="1130" t="str">
        <f t="shared" ref="BE18" si="5">IF(OR(C18="",F18="",Q18="",S18="",AA18="",AF18=""),"",IF(ISNUMBER(AN18),IF(ISNUMBER(SEARCH("Exterior",F18)),"710102","710101"),IF(AK18=0,"","000001")))</f>
        <v/>
      </c>
      <c r="BF18" s="1103" t="str">
        <f>IFERROR(IF(OR(C18="",F18="",L18="",N18="",Q18="",S18="",Y18="",AA18="",AF18=""),"",IF(M02S02F46="Gas Only",0,IF(ISNUMBER(SEARCH("Exterior",F18)),0,IF(M02S02F32="Heat Pump",((((N18-Q18)-(AA18-Q18))/1000)*-IF('M04-S09'!$C$3="Building_Area_Method",INDEX(LPDWATT[Waste Heat Electric Heat Pump Heating IFkWh],MATCH(F18,LPDWATT[Building Area Type],0)),INDEX(LPDValues[Waste Heat Electric Heat Pump Heating IFkWh],MATCH(F18,LPDValues[Space_By_Space_Method],0)))),IF(OR(M02S02F32="AC with Electric Heat",M02S02F32="Electric Heat Only"),(((N18-Q18)-(AA18-Q18))/1000)*-IF('M04-S09'!$C$3="Building_Area_Method",INDEX(LPDWATT[Waste Heat Electric Resistance Heating IFkWh],MATCH(F18,LPDWATT[Building Area Type],0)),INDEX(LPDValues[Waste Heat Electric Resistance Heating IFkWh],MATCH(F18,LPDValues[Space_By_Space_Method],0))),0))))),0)</f>
        <v/>
      </c>
      <c r="BG18" s="1103" t="str">
        <f>IFERROR(IF((N18)-(AA18)&lt;=0,MEASURESAV,IF(M02S02F35="",MEASURERATE,IF(OR(F18="Others (Incremental)",F18="Others"),MEASURESUBMIT, IF(BD18&lt;1,MEASUREPAY,IF(AU18&lt;1,MEASURECB,""))))),MEASURESUBMIT)</f>
        <v>Submit for Review</v>
      </c>
    </row>
    <row r="19" spans="2:59" ht="15.95" customHeight="1">
      <c r="B19" s="834"/>
      <c r="C19" s="1141"/>
      <c r="D19" s="1141"/>
      <c r="E19" s="1141"/>
      <c r="F19" s="1133"/>
      <c r="G19" s="1133"/>
      <c r="H19" s="1133"/>
      <c r="I19" s="1133"/>
      <c r="J19" s="1133"/>
      <c r="K19" s="1133"/>
      <c r="L19" s="1129"/>
      <c r="M19" s="1129"/>
      <c r="N19" s="1113"/>
      <c r="O19" s="1113"/>
      <c r="P19" s="1113"/>
      <c r="Q19" s="1116"/>
      <c r="R19" s="1117"/>
      <c r="S19" s="1125"/>
      <c r="T19" s="1126"/>
      <c r="U19" s="1126"/>
      <c r="V19" s="1126"/>
      <c r="W19" s="1126"/>
      <c r="X19" s="1127"/>
      <c r="Y19" s="1129"/>
      <c r="Z19" s="1129"/>
      <c r="AA19" s="1113"/>
      <c r="AB19" s="1113"/>
      <c r="AC19" s="1113"/>
      <c r="AD19" s="1120"/>
      <c r="AE19" s="1121"/>
      <c r="AF19" s="1098"/>
      <c r="AG19" s="1098"/>
      <c r="AH19" s="1136"/>
      <c r="AI19" s="1137"/>
      <c r="AJ19" s="1137"/>
      <c r="AK19" s="912"/>
      <c r="AL19" s="913"/>
      <c r="AM19" s="942"/>
      <c r="AN19" s="1139"/>
      <c r="AO19" s="1139"/>
      <c r="AP19" s="1139"/>
      <c r="AQ19" s="1139"/>
      <c r="AR19" s="59"/>
      <c r="AU19" s="1108"/>
      <c r="AV19" s="1135"/>
      <c r="AW19" s="1135"/>
      <c r="AX19" s="1104"/>
      <c r="AY19" s="831"/>
      <c r="AZ19" s="1104"/>
      <c r="BA19" s="1104"/>
      <c r="BB19" s="1104"/>
      <c r="BC19" s="1153"/>
      <c r="BD19" s="1104"/>
      <c r="BE19" s="1131"/>
      <c r="BF19" s="1104"/>
      <c r="BG19" s="1104"/>
    </row>
    <row r="20" spans="2:59" ht="15.95" customHeight="1">
      <c r="B20" s="834">
        <v>3</v>
      </c>
      <c r="C20" s="1140"/>
      <c r="D20" s="1140"/>
      <c r="E20" s="1140"/>
      <c r="F20" s="1132" t="str">
        <f>IF(ISBLANK(M04S09F05),"",M04S09F05)</f>
        <v/>
      </c>
      <c r="G20" s="1132"/>
      <c r="H20" s="1132"/>
      <c r="I20" s="1132"/>
      <c r="J20" s="1132"/>
      <c r="K20" s="1132"/>
      <c r="L20" s="1128" t="str">
        <f>IF(F20="","",IF('M04-S09'!$C$3="Building_Area_Method",INDEX(LPDValues[BA IECC 2018  (Watts/ Sq. Ft.)],MATCH(F20,LPDValues[Building_Area_Method]),0),IF('M04-S09'!$C$3="Space_By_Space_Method",INDEX(LPDValues[SBS IECC 2018  (Watts/ Sq. Ft.)],MATCH(F20,LPDValues[Space_By_Space_Method],0)))))</f>
        <v/>
      </c>
      <c r="M20" s="1128"/>
      <c r="N20" s="1112" t="str">
        <f>IF(OR(C20="",F20=""),"",C20*L20)</f>
        <v/>
      </c>
      <c r="O20" s="1112"/>
      <c r="P20" s="1112"/>
      <c r="Q20" s="1114" t="str">
        <f>IF(F20="","",INDEX(LPDWATT[Fixture Annual Operating Hours],MATCH(F20,LPDWATT[Building Area Type]),0))</f>
        <v/>
      </c>
      <c r="R20" s="1115"/>
      <c r="S20" s="1122" t="str">
        <f>IF(F20="","","Lighting Schedule Space Type #3")</f>
        <v/>
      </c>
      <c r="T20" s="1123"/>
      <c r="U20" s="1123"/>
      <c r="V20" s="1123"/>
      <c r="W20" s="1123"/>
      <c r="X20" s="1124"/>
      <c r="Y20" s="1128" t="str">
        <f t="shared" ref="Y20" si="6">IF(OR(C20="",F20=""),"",ROUND(AA20/C20,2))</f>
        <v/>
      </c>
      <c r="Z20" s="1128"/>
      <c r="AA20" s="1112" t="str">
        <f>IF(OR(S20="",F20=""),"",M04S09F06)</f>
        <v/>
      </c>
      <c r="AB20" s="1112"/>
      <c r="AC20" s="1112"/>
      <c r="AD20" s="1118"/>
      <c r="AE20" s="1119"/>
      <c r="AF20" s="1097"/>
      <c r="AG20" s="1097"/>
      <c r="AH20" s="870" t="str">
        <f t="shared" ref="AH20" si="7">IFERROR(IF(OR(L20="",F20="",Q20="",S20="",N20="",C20="",Y20="",AA20="",AF20=""),"",ROUND(AZ20,2)),0)</f>
        <v/>
      </c>
      <c r="AI20" s="1102"/>
      <c r="AJ20" s="1102"/>
      <c r="AK20" s="910" t="str">
        <f t="shared" ref="AK20" si="8">IF(OR(C20="",F20="",L20="",N20="",Q20="",,S20="",Y20="",AA20="",AF20=""),"",IF((N20)-(AA20)&lt;=0,0,ROUND(((((N20*Q20)-(AA20*Q20))/1000)+BF20)*AW20,2)))</f>
        <v/>
      </c>
      <c r="AL20" s="911"/>
      <c r="AM20" s="975"/>
      <c r="AN20" s="1138" t="str">
        <f>IF(OR(C20="",F20="",L20="",N20="",Q20="",Y20="",S20="",,AA20="",AF20=""),"",IF(BG20&lt;&gt;"",BG20,AX20))</f>
        <v/>
      </c>
      <c r="AO20" s="1138"/>
      <c r="AP20" s="1138"/>
      <c r="AQ20" s="1138"/>
      <c r="AR20" s="59"/>
      <c r="AU20" s="1109" t="str">
        <f>IF(OR(C20="",F20="",L20="",N20="",Q20="",S20="",Y20="",AA20="",AF20=""),"",((((1+ELOSS)*((AK20*INDEX(ELECCB[NPV AEC $/kWh],MATCH(15,ELECCB[Year Number],0)))+(AV20*INDEX(ELECCB[NPV ACC+T&amp;D $/kW],MATCH(15,ELECCB[Year Number],0)))))+((1+GLOSS)*((BC20*INDEX(GASCB[NPV GAEC $/therm],MATCH(15,GASCB[Year Number],1))))))/AH20))</f>
        <v/>
      </c>
      <c r="AV20" s="1134" t="str">
        <f>IFERROR(IF(OR(C20="",F20="",L20="",N20="",Q20="",S20="",Y20="",AA20="",AF20=""),"",IF(OR(ISNUMBER(SEARCH("Exterior",F20)),((N20)-(AA20)&lt;=0)),0,
ROUND((((N20)-(AA20))/1000)*IF('M04-S09'!$C$3="Building_Area_Method",INDEX(LPDWATT[Lighting Coincidence Factor],MATCH(F20,LPDWATT[Building Area Type],0)),INDEX(LPDValues[Lighting Coincidence Factor],MATCH(F20,LPDValues[Space_By_Space_Method],0)))*IF(OR(M02S02F32="AC with Natural Gas Heat",M02S02F32="AC with Electric Heat",M02S02F32="Heat Pump"),IF('M04-S09'!$C$3="Building_Area_Method",INDEX(LPDWATT[Waste Heat Cooling Demand WHFd],MATCH(F20,LPDWATT[Building Area Type],0)),INDEX(LPDValues[Waste Heat Cooling Demand WHFd],MATCH(F20,LPDValues[Space_By_Space_Method],0)))),3))),"")</f>
        <v/>
      </c>
      <c r="AW20" s="1134" t="str" cm="1">
        <f t="array" ref="AW20">IFERROR(IF(OR(C20="",F20="",L20="",N20="",Q20="",S20="",Y20="",AA20="",AF20=""),"",IF(M02S02F46="Gas Only",0,IF(ISNUMBER(SEARCH("Exterior",F20)),1,IF(OR(M02S02F32="Heat Pump",M02S02F32="AC with Natural Gas Heat",M02S02F32="AC with Electric Heat"),IF('M04-S09'!$C$3="Building_Area_Method",(INDEX(LPDWATT[Waste Heat Cooling Energy WHFe],MATCH(F20,LPDWATT[Building Area Type],0))),INDEX(LPDValues[Waste Heat Cooling Energy WHFe],MATCH(F20,LPDValues[Space_By_Space_Method]),0)),1)))),0)</f>
        <v/>
      </c>
      <c r="AX20" s="1103" t="str">
        <f>IFERROR(ROUND(MIN(AH20,AK20*INDEX(INCRATE[Electric],MATCH("CMLIGHT",INCRATE[Incentive Type]))),2),"")</f>
        <v/>
      </c>
      <c r="AY20" s="830">
        <v>15</v>
      </c>
      <c r="AZ20" s="1103" t="str">
        <f t="shared" ref="AZ20" si="9">IFERROR(IF(AD20&lt;&gt;"",(AF20-AD20)*1,MIN(AF20*0.75,BB20*1)),"")</f>
        <v/>
      </c>
      <c r="BA20" s="1103" t="str">
        <f t="shared" ref="BA20" si="10">IFERROR(1-(AA20/N20),"")</f>
        <v/>
      </c>
      <c r="BB20" s="1103" t="str">
        <f>IFERROR(IF(ISNUMBER(SEARCH("Exterior",F20)),((N20-AA20)/1000)*INDEX(NCLIGHTINCCOST[WI Incremental Cost ($/sq ft)],MATCH("Exterior",NCLIGHTINCCOST[% Below Code],0)),IF(OR(BA20="",BA20&lt;=0),"",IF(BA20&lt;=0.2, C20*INDEX(NCLIGHTINCCOST[WI Incremental Cost ($/sq ft)],MATCH(0.2,NCLIGHTINCCOST[% Below Code],0)),IF(AND(BA20&gt;0.2,BA20&lt;0.4),C20*INDEX(NCLIGHTINCCOST[WI Incremental Cost ($/sq ft)],MATCH(0.3,NCLIGHTINCCOST[% Below Code],0)), IF(BA20&gt;=0.4,C20*INDEX(NCLIGHTINCCOST[WI Incremental Cost ($/sq ft)],MATCH(0.4,NCLIGHTINCCOST[% Below Code],0)),0))))),"")</f>
        <v/>
      </c>
      <c r="BC20" s="1152" t="str">
        <f>IFERROR(IF(OR(C20="",F20="",L20="",N20="",Q20="",S20="",Y20="",AA20="",AF20=""),"",IF(M02S02F46="Electric Only",0,IF(ISNUMBER(SEARCH("Exterior",F20)),0,IF(OR(M02S02F32="AC with Natural Gas Heat",M02S02F32="Natural Gas Heat Only"),(AK20*-IF('M04-S09'!$C$3="Building_Area_Method",INDEX(LPDWATT[Waste Heat Gas Heating IFTherms],MATCH(F20,LPDWATT[Building Area Type],0)),INDEX(LPDValues[Waste Heat Gas Heating IFTherms],MATCH(F20,LPDValues[Space_By_Space_Method],0)))),0)))),0)</f>
        <v/>
      </c>
      <c r="BD20" s="1103" t="str">
        <f>IFERROR(AH20/M02S02F35/AK20,"")</f>
        <v/>
      </c>
      <c r="BE20" s="1130" t="str">
        <f t="shared" ref="BE20" si="11">IF(OR(C20="",F20="",Q20="",S20="",AA20="",AF20=""),"",IF(ISNUMBER(AN20),IF(ISNUMBER(SEARCH("Exterior",F20)),"710102","710101"),IF(AK20=0,"","000001")))</f>
        <v/>
      </c>
      <c r="BF20" s="1103" t="str">
        <f>IFERROR(IF(OR(C20="",F20="",L20="",N20="",Q20="",S20="",Y20="",AA20="",AF20=""),"",IF(M02S02F46="Gas Only",0,IF(ISNUMBER(SEARCH("Exterior",F20)),0,IF(M02S02F32="Heat Pump",((((N20-Q20)-(AA20-Q20))/1000)*-IF('M04-S09'!$C$3="Building_Area_Method",INDEX(LPDWATT[Waste Heat Electric Heat Pump Heating IFkWh],MATCH(F20,LPDWATT[Building Area Type],0)),INDEX(LPDValues[Waste Heat Electric Heat Pump Heating IFkWh],MATCH(F20,LPDValues[Space_By_Space_Method],0)))),IF(OR(M02S02F32="AC with Electric Heat",M02S02F32="Electric Heat Only"),(((N20-Q20)-(AA20-Q20))/1000)*-IF('M04-S09'!$C$3="Building_Area_Method",INDEX(LPDWATT[Waste Heat Electric Resistance Heating IFkWh],MATCH(F20,LPDWATT[Building Area Type],0)),INDEX(LPDValues[Waste Heat Electric Resistance Heating IFkWh],MATCH(F20,LPDValues[Space_By_Space_Method],0))),0))))),0)</f>
        <v/>
      </c>
      <c r="BG20" s="1103" t="str">
        <f>IFERROR(IF((N20)-(AA20)&lt;=0,MEASURESAV,IF(M02S02F35="",MEASURERATE,IF(OR(F20="Others (Incremental)",F20="Others"),MEASURESUBMIT, IF(BD20&lt;1,MEASUREPAY,IF(AU20&lt;1,MEASURECB,""))))),MEASURESUBMIT)</f>
        <v>Submit for Review</v>
      </c>
    </row>
    <row r="21" spans="2:59" ht="15.95" customHeight="1">
      <c r="B21" s="834"/>
      <c r="C21" s="1141"/>
      <c r="D21" s="1141"/>
      <c r="E21" s="1141"/>
      <c r="F21" s="1133"/>
      <c r="G21" s="1133"/>
      <c r="H21" s="1133"/>
      <c r="I21" s="1133"/>
      <c r="J21" s="1133"/>
      <c r="K21" s="1133"/>
      <c r="L21" s="1129"/>
      <c r="M21" s="1129"/>
      <c r="N21" s="1113"/>
      <c r="O21" s="1113"/>
      <c r="P21" s="1113"/>
      <c r="Q21" s="1116"/>
      <c r="R21" s="1117"/>
      <c r="S21" s="1125"/>
      <c r="T21" s="1126"/>
      <c r="U21" s="1126"/>
      <c r="V21" s="1126"/>
      <c r="W21" s="1126"/>
      <c r="X21" s="1127"/>
      <c r="Y21" s="1129"/>
      <c r="Z21" s="1129"/>
      <c r="AA21" s="1113"/>
      <c r="AB21" s="1113"/>
      <c r="AC21" s="1113"/>
      <c r="AD21" s="1120"/>
      <c r="AE21" s="1121"/>
      <c r="AF21" s="1098"/>
      <c r="AG21" s="1098"/>
      <c r="AH21" s="1136"/>
      <c r="AI21" s="1137"/>
      <c r="AJ21" s="1137"/>
      <c r="AK21" s="912"/>
      <c r="AL21" s="913"/>
      <c r="AM21" s="942"/>
      <c r="AN21" s="1139"/>
      <c r="AO21" s="1139"/>
      <c r="AP21" s="1139"/>
      <c r="AQ21" s="1139"/>
      <c r="AR21" s="59"/>
      <c r="AU21" s="1108"/>
      <c r="AV21" s="1135"/>
      <c r="AW21" s="1135"/>
      <c r="AX21" s="1104"/>
      <c r="AY21" s="831"/>
      <c r="AZ21" s="1104"/>
      <c r="BA21" s="1104"/>
      <c r="BB21" s="1104"/>
      <c r="BC21" s="1153"/>
      <c r="BD21" s="1104"/>
      <c r="BE21" s="1131"/>
      <c r="BF21" s="1104"/>
      <c r="BG21" s="1104"/>
    </row>
    <row r="22" spans="2:59" ht="15.95" customHeight="1">
      <c r="B22" s="834">
        <v>4</v>
      </c>
      <c r="C22" s="1140"/>
      <c r="D22" s="1140"/>
      <c r="E22" s="1140"/>
      <c r="F22" s="1132" t="str">
        <f>IF(ISBLANK(M04S09F07),"",M04S09F07)</f>
        <v/>
      </c>
      <c r="G22" s="1132"/>
      <c r="H22" s="1132"/>
      <c r="I22" s="1132"/>
      <c r="J22" s="1132"/>
      <c r="K22" s="1132"/>
      <c r="L22" s="1128" t="str">
        <f>IF(F22="","",IF('M04-S09'!$C$3="Building_Area_Method",INDEX(LPDValues[BA IECC 2018  (Watts/ Sq. Ft.)],MATCH(F22,LPDValues[Building_Area_Method]),0),IF('M04-S09'!$C$3="Space_By_Space_Method",INDEX(LPDValues[SBS IECC 2018  (Watts/ Sq. Ft.)],MATCH(F22,LPDValues[Space_By_Space_Method],0)))))</f>
        <v/>
      </c>
      <c r="M22" s="1128"/>
      <c r="N22" s="1112" t="str">
        <f>IF(OR(C22="",F22=""),"",C22*L22)</f>
        <v/>
      </c>
      <c r="O22" s="1112"/>
      <c r="P22" s="1112"/>
      <c r="Q22" s="1114" t="str">
        <f>IF(F22="","",INDEX(LPDWATT[Fixture Annual Operating Hours],MATCH(F22,LPDWATT[Building Area Type]),0))</f>
        <v/>
      </c>
      <c r="R22" s="1115"/>
      <c r="S22" s="1122" t="str">
        <f>IF(F22="","","Lighting Schedule Space Type #4")</f>
        <v/>
      </c>
      <c r="T22" s="1123"/>
      <c r="U22" s="1123"/>
      <c r="V22" s="1123"/>
      <c r="W22" s="1123"/>
      <c r="X22" s="1124"/>
      <c r="Y22" s="1128" t="str">
        <f t="shared" ref="Y22" si="12">IF(OR(C22="",F22=""),"",ROUND(AA22/C22,2))</f>
        <v/>
      </c>
      <c r="Z22" s="1128"/>
      <c r="AA22" s="1112" t="str">
        <f>IF(OR(S22="",F22=""),"",M04S09F08)</f>
        <v/>
      </c>
      <c r="AB22" s="1112"/>
      <c r="AC22" s="1112"/>
      <c r="AD22" s="1118"/>
      <c r="AE22" s="1119"/>
      <c r="AF22" s="1097"/>
      <c r="AG22" s="1097"/>
      <c r="AH22" s="870" t="str">
        <f t="shared" ref="AH22" si="13">IFERROR(IF(OR(L22="",F22="",Q22="",S22="",N22="",C22="",Y22="",AA22="",AF22=""),"",ROUND(AZ22,2)),0)</f>
        <v/>
      </c>
      <c r="AI22" s="1102"/>
      <c r="AJ22" s="1102"/>
      <c r="AK22" s="910" t="str">
        <f t="shared" ref="AK22" si="14">IF(OR(C22="",F22="",L22="",N22="",Q22="",,S22="",Y22="",AA22="",AF22=""),"",IF((N22)-(AA22)&lt;=0,0,ROUND(((((N22*Q22)-(AA22*Q22))/1000)+BF22)*AW22,2)))</f>
        <v/>
      </c>
      <c r="AL22" s="911"/>
      <c r="AM22" s="975"/>
      <c r="AN22" s="1138" t="str">
        <f>IF(OR(C22="",F22="",L22="",N22="",Q22="",Y22="",S22="",,AA22="",AF22=""),"",IF(BG22&lt;&gt;"",BG22,AX22))</f>
        <v/>
      </c>
      <c r="AO22" s="1138"/>
      <c r="AP22" s="1138"/>
      <c r="AQ22" s="1138"/>
      <c r="AR22" s="59"/>
      <c r="AU22" s="1109" t="str">
        <f>IF(OR(C22="",F22="",L22="",N22="",Q22="",S22="",Y22="",AA22="",AF22=""),"",((((1+ELOSS)*((AK22*INDEX(ELECCB[NPV AEC $/kWh],MATCH(15,ELECCB[Year Number],0)))+(AV22*INDEX(ELECCB[NPV ACC+T&amp;D $/kW],MATCH(15,ELECCB[Year Number],0)))))+((1+GLOSS)*((BC22*INDEX(GASCB[NPV GAEC $/therm],MATCH(15,GASCB[Year Number],1))))))/AH22))</f>
        <v/>
      </c>
      <c r="AV22" s="1134" t="str">
        <f>IFERROR(IF(OR(C22="",F22="",L22="",N22="",Q22="",S22="",Y22="",AA22="",AF22=""),"",IF(OR(ISNUMBER(SEARCH("Exterior",F22)),((N22)-(AA22)&lt;=0)),0,
ROUND((((N22)-(AA22))/1000)*IF('M04-S09'!$C$3="Building_Area_Method",INDEX(LPDWATT[Lighting Coincidence Factor],MATCH(F22,LPDWATT[Building Area Type],0)),INDEX(LPDValues[Lighting Coincidence Factor],MATCH(F22,LPDValues[Space_By_Space_Method],0)))*IF(OR(M02S02F32="AC with Natural Gas Heat",M02S02F32="AC with Electric Heat",M02S02F32="Heat Pump"),IF('M04-S09'!$C$3="Building_Area_Method",INDEX(LPDWATT[Waste Heat Cooling Demand WHFd],MATCH(F22,LPDWATT[Building Area Type],0)),INDEX(LPDValues[Waste Heat Cooling Demand WHFd],MATCH(F22,LPDValues[Space_By_Space_Method],0)))),3))),"")</f>
        <v/>
      </c>
      <c r="AW22" s="1134" t="str" cm="1">
        <f t="array" ref="AW22">IFERROR(IF(OR(C22="",F22="",L22="",N22="",Q22="",S22="",Y22="",AA22="",AF22=""),"",IF(M02S02F46="Gas Only",0,IF(ISNUMBER(SEARCH("Exterior",F22)),1,IF(OR(M02S02F32="Heat Pump",M02S02F32="AC with Natural Gas Heat",M02S02F32="AC with Electric Heat"),IF('M04-S09'!$C$3="Building_Area_Method",(INDEX(LPDWATT[Waste Heat Cooling Energy WHFe],MATCH(F22,LPDWATT[Building Area Type],0))),INDEX(LPDValues[Waste Heat Cooling Energy WHFe],MATCH(F22,LPDValues[Space_By_Space_Method]),0)),1)))),0)</f>
        <v/>
      </c>
      <c r="AX22" s="1103" t="str">
        <f>IFERROR(ROUND(MIN(AH22,AK22*INDEX(INCRATE[Electric],MATCH("CMLIGHT",INCRATE[Incentive Type]))),2),"")</f>
        <v/>
      </c>
      <c r="AY22" s="830">
        <v>15</v>
      </c>
      <c r="AZ22" s="1103" t="str">
        <f t="shared" ref="AZ22" si="15">IFERROR(IF(AD22&lt;&gt;"",(AF22-AD22)*1,MIN(AF22*0.75,BB22*1)),"")</f>
        <v/>
      </c>
      <c r="BA22" s="1103" t="str">
        <f t="shared" ref="BA22" si="16">IFERROR(1-(AA22/N22),"")</f>
        <v/>
      </c>
      <c r="BB22" s="1103" t="str">
        <f>IFERROR(IF(ISNUMBER(SEARCH("Exterior",F22)),((N22-AA22)/1000)*INDEX(NCLIGHTINCCOST[WI Incremental Cost ($/sq ft)],MATCH("Exterior",NCLIGHTINCCOST[% Below Code],0)),IF(OR(BA22="",BA22&lt;=0),"",IF(BA22&lt;=0.2, C22*INDEX(NCLIGHTINCCOST[WI Incremental Cost ($/sq ft)],MATCH(0.2,NCLIGHTINCCOST[% Below Code],0)),IF(AND(BA22&gt;0.2,BA22&lt;0.4),C22*INDEX(NCLIGHTINCCOST[WI Incremental Cost ($/sq ft)],MATCH(0.3,NCLIGHTINCCOST[% Below Code],0)), IF(BA22&gt;=0.4,C22*INDEX(NCLIGHTINCCOST[WI Incremental Cost ($/sq ft)],MATCH(0.4,NCLIGHTINCCOST[% Below Code],0)),0))))),"")</f>
        <v/>
      </c>
      <c r="BC22" s="1152" t="str">
        <f>IFERROR(IF(OR(C22="",F22="",L22="",N22="",Q22="",S22="",Y22="",AA22="",AF22=""),"",IF(M02S02F46="Electric Only",0,IF(ISNUMBER(SEARCH("Exterior",F22)),0,IF(OR(M02S02F32="AC with Natural Gas Heat",M02S02F32="Natural Gas Heat Only"),(AK22*-IF('M04-S09'!$C$3="Building_Area_Method",INDEX(LPDWATT[Waste Heat Gas Heating IFTherms],MATCH(F22,LPDWATT[Building Area Type],0)),INDEX(LPDValues[Waste Heat Gas Heating IFTherms],MATCH(F22,LPDValues[Space_By_Space_Method],0)))),0)))),0)</f>
        <v/>
      </c>
      <c r="BD22" s="1103" t="str">
        <f>IFERROR(AH22/M02S02F35/AK22,"")</f>
        <v/>
      </c>
      <c r="BE22" s="1130" t="str">
        <f t="shared" ref="BE22" si="17">IF(OR(C22="",F22="",Q22="",S22="",AA22="",AF22=""),"",IF(ISNUMBER(AN22),IF(ISNUMBER(SEARCH("Exterior",F22)),"710102","710101"),IF(AK22=0,"","000001")))</f>
        <v/>
      </c>
      <c r="BF22" s="1103" t="str">
        <f>IFERROR(IF(OR(C22="",F22="",L22="",N22="",Q22="",S22="",Y22="",AA22="",AF22=""),"",IF(M02S02F46="Gas Only",0,IF(ISNUMBER(SEARCH("Exterior",F22)),0,IF(M02S02F32="Heat Pump",((((N22-Q22)-(AA22-Q22))/1000)*-IF('M04-S09'!$C$3="Building_Area_Method",INDEX(LPDWATT[Waste Heat Electric Heat Pump Heating IFkWh],MATCH(F22,LPDWATT[Building Area Type],0)),INDEX(LPDValues[Waste Heat Electric Heat Pump Heating IFkWh],MATCH(F22,LPDValues[Space_By_Space_Method],0)))),IF(OR(M02S02F32="AC with Electric Heat",M02S02F32="Electric Heat Only"),(((N22-Q22)-(AA22-Q22))/1000)*-IF('M04-S09'!$C$3="Building_Area_Method",INDEX(LPDWATT[Waste Heat Electric Resistance Heating IFkWh],MATCH(F22,LPDWATT[Building Area Type],0)),INDEX(LPDValues[Waste Heat Electric Resistance Heating IFkWh],MATCH(F22,LPDValues[Space_By_Space_Method],0))),0))))),0)</f>
        <v/>
      </c>
      <c r="BG22" s="1103" t="str">
        <f>IFERROR(IF((N22)-(AA22)&lt;=0,MEASURESAV,IF(M02S02F35="",MEASURERATE,IF(OR(F22="Others (Incremental)",F22="Others"),MEASURESUBMIT, IF(BD22&lt;1,MEASUREPAY,IF(AU22&lt;1,MEASURECB,""))))),MEASURESUBMIT)</f>
        <v>Submit for Review</v>
      </c>
    </row>
    <row r="23" spans="2:59" ht="15.95" customHeight="1">
      <c r="B23" s="834"/>
      <c r="C23" s="1141"/>
      <c r="D23" s="1141"/>
      <c r="E23" s="1141"/>
      <c r="F23" s="1133"/>
      <c r="G23" s="1133"/>
      <c r="H23" s="1133"/>
      <c r="I23" s="1133"/>
      <c r="J23" s="1133"/>
      <c r="K23" s="1133"/>
      <c r="L23" s="1129"/>
      <c r="M23" s="1129"/>
      <c r="N23" s="1113"/>
      <c r="O23" s="1113"/>
      <c r="P23" s="1113"/>
      <c r="Q23" s="1116"/>
      <c r="R23" s="1117"/>
      <c r="S23" s="1125"/>
      <c r="T23" s="1126"/>
      <c r="U23" s="1126"/>
      <c r="V23" s="1126"/>
      <c r="W23" s="1126"/>
      <c r="X23" s="1127"/>
      <c r="Y23" s="1129"/>
      <c r="Z23" s="1129"/>
      <c r="AA23" s="1113"/>
      <c r="AB23" s="1113"/>
      <c r="AC23" s="1113"/>
      <c r="AD23" s="1120"/>
      <c r="AE23" s="1121"/>
      <c r="AF23" s="1098"/>
      <c r="AG23" s="1098"/>
      <c r="AH23" s="1136"/>
      <c r="AI23" s="1137"/>
      <c r="AJ23" s="1137"/>
      <c r="AK23" s="912"/>
      <c r="AL23" s="913"/>
      <c r="AM23" s="942"/>
      <c r="AN23" s="1139"/>
      <c r="AO23" s="1139"/>
      <c r="AP23" s="1139"/>
      <c r="AQ23" s="1139"/>
      <c r="AR23" s="59"/>
      <c r="AU23" s="1108"/>
      <c r="AV23" s="1135"/>
      <c r="AW23" s="1135"/>
      <c r="AX23" s="1104"/>
      <c r="AY23" s="831"/>
      <c r="AZ23" s="1104"/>
      <c r="BA23" s="1104"/>
      <c r="BB23" s="1104"/>
      <c r="BC23" s="1153"/>
      <c r="BD23" s="1104"/>
      <c r="BE23" s="1131"/>
      <c r="BF23" s="1104"/>
      <c r="BG23" s="1104"/>
    </row>
    <row r="24" spans="2:59" ht="15.95" customHeight="1">
      <c r="B24" s="834">
        <v>5</v>
      </c>
      <c r="C24" s="1140"/>
      <c r="D24" s="1140"/>
      <c r="E24" s="1140"/>
      <c r="F24" s="1132" t="str">
        <f>IF(ISBLANK(M04S09F09),"",M04S09F09)</f>
        <v/>
      </c>
      <c r="G24" s="1132"/>
      <c r="H24" s="1132"/>
      <c r="I24" s="1132"/>
      <c r="J24" s="1132"/>
      <c r="K24" s="1132"/>
      <c r="L24" s="1128" t="str">
        <f>IF(F24="","",IF('M04-S09'!$C$3="Building_Area_Method",INDEX(LPDValues[BA IECC 2018  (Watts/ Sq. Ft.)],MATCH(F24,LPDValues[Building_Area_Method]),0),IF('M04-S09'!$C$3="Space_By_Space_Method",INDEX(LPDValues[SBS IECC 2018  (Watts/ Sq. Ft.)],MATCH(F24,LPDValues[Space_By_Space_Method],0)))))</f>
        <v/>
      </c>
      <c r="M24" s="1128"/>
      <c r="N24" s="1112" t="str">
        <f>IF(OR(C24="",F24=""),"",C24*L24)</f>
        <v/>
      </c>
      <c r="O24" s="1112"/>
      <c r="P24" s="1112"/>
      <c r="Q24" s="1114" t="str">
        <f>IF(F24="","",INDEX(LPDWATT[Fixture Annual Operating Hours],MATCH(F24,LPDWATT[Building Area Type]),0))</f>
        <v/>
      </c>
      <c r="R24" s="1115"/>
      <c r="S24" s="1122" t="str">
        <f>IF(F24="","","Lighting Schedule Space Type #5")</f>
        <v/>
      </c>
      <c r="T24" s="1123"/>
      <c r="U24" s="1123"/>
      <c r="V24" s="1123"/>
      <c r="W24" s="1123"/>
      <c r="X24" s="1124"/>
      <c r="Y24" s="1128" t="str">
        <f t="shared" ref="Y24" si="18">IF(OR(C24="",F24=""),"",ROUND(AA24/C24,2))</f>
        <v/>
      </c>
      <c r="Z24" s="1128"/>
      <c r="AA24" s="1112" t="str">
        <f>IF(OR(S24="",F24=""),"",M04S09F10)</f>
        <v/>
      </c>
      <c r="AB24" s="1112"/>
      <c r="AC24" s="1112"/>
      <c r="AD24" s="1118"/>
      <c r="AE24" s="1119"/>
      <c r="AF24" s="1097"/>
      <c r="AG24" s="1097"/>
      <c r="AH24" s="870" t="str">
        <f t="shared" ref="AH24" si="19">IFERROR(IF(OR(L24="",F24="",Q24="",S24="",N24="",C24="",Y24="",AA24="",AF24=""),"",ROUND(AZ24,2)),0)</f>
        <v/>
      </c>
      <c r="AI24" s="1102"/>
      <c r="AJ24" s="1102"/>
      <c r="AK24" s="910" t="str">
        <f t="shared" ref="AK24" si="20">IF(OR(C24="",F24="",L24="",N24="",Q24="",,S24="",Y24="",AA24="",AF24=""),"",IF((N24)-(AA24)&lt;=0,0,ROUND(((((N24*Q24)-(AA24*Q24))/1000)+BF24)*AW24,2)))</f>
        <v/>
      </c>
      <c r="AL24" s="911"/>
      <c r="AM24" s="975"/>
      <c r="AN24" s="1138" t="str">
        <f>IF(OR(C24="",F24="",L24="",N24="",Q24="",Y24="",S24="",,AA24="",AF24=""),"",IF(BG24&lt;&gt;"",BG24,AX24))</f>
        <v/>
      </c>
      <c r="AO24" s="1138"/>
      <c r="AP24" s="1138"/>
      <c r="AQ24" s="1138"/>
      <c r="AR24" s="59"/>
      <c r="AU24" s="1109" t="str">
        <f>IF(OR(C24="",F24="",L24="",N24="",Q24="",S24="",Y24="",AA24="",AF24=""),"",((((1+ELOSS)*((AK24*INDEX(ELECCB[NPV AEC $/kWh],MATCH(15,ELECCB[Year Number],0)))+(AV24*INDEX(ELECCB[NPV ACC+T&amp;D $/kW],MATCH(15,ELECCB[Year Number],0)))))+((1+GLOSS)*((BC24*INDEX(GASCB[NPV GAEC $/therm],MATCH(15,GASCB[Year Number],1))))))/AH24))</f>
        <v/>
      </c>
      <c r="AV24" s="1134" t="str">
        <f>IFERROR(IF(OR(C24="",F24="",L24="",N24="",Q24="",S24="",Y24="",AA24="",AF24=""),"",IF(OR(ISNUMBER(SEARCH("Exterior",F24)),((N24)-(AA24)&lt;=0)),0,
ROUND((((N24)-(AA24))/1000)*IF('M04-S09'!$C$3="Building_Area_Method",INDEX(LPDWATT[Lighting Coincidence Factor],MATCH(F24,LPDWATT[Building Area Type],0)),INDEX(LPDValues[Lighting Coincidence Factor],MATCH(F24,LPDValues[Space_By_Space_Method],0)))*IF(OR(M02S02F32="AC with Natural Gas Heat",M02S02F32="AC with Electric Heat",M02S02F32="Heat Pump"),IF('M04-S09'!$C$3="Building_Area_Method",INDEX(LPDWATT[Waste Heat Cooling Demand WHFd],MATCH(F24,LPDWATT[Building Area Type],0)),INDEX(LPDValues[Waste Heat Cooling Demand WHFd],MATCH(F24,LPDValues[Space_By_Space_Method],0)))),3))),"")</f>
        <v/>
      </c>
      <c r="AW24" s="1134" t="str" cm="1">
        <f t="array" ref="AW24">IFERROR(IF(OR(C24="",F24="",L24="",N24="",Q24="",S24="",Y24="",AA24="",AF24=""),"",IF(M02S02F46="Gas Only",0,IF(ISNUMBER(SEARCH("Exterior",F24)),1,IF(OR(M02S02F32="Heat Pump",M02S02F32="AC with Natural Gas Heat",M02S02F32="AC with Electric Heat"),IF('M04-S09'!$C$3="Building_Area_Method",(INDEX(LPDWATT[Waste Heat Cooling Energy WHFe],MATCH(F24,LPDWATT[Building Area Type],0))),INDEX(LPDValues[Waste Heat Cooling Energy WHFe],MATCH(F24,LPDValues[Space_By_Space_Method]),0)),1)))),0)</f>
        <v/>
      </c>
      <c r="AX24" s="1103" t="str">
        <f>IFERROR(ROUND(MIN(AH24,AK24*INDEX(INCRATE[Electric],MATCH("CMLIGHT",INCRATE[Incentive Type]))),2),"")</f>
        <v/>
      </c>
      <c r="AY24" s="830">
        <v>15</v>
      </c>
      <c r="AZ24" s="1103" t="str">
        <f t="shared" ref="AZ24" si="21">IFERROR(IF(AD24&lt;&gt;"",(AF24-AD24)*1,MIN(AF24*0.75,BB24*1)),"")</f>
        <v/>
      </c>
      <c r="BA24" s="1103" t="str">
        <f t="shared" ref="BA24" si="22">IFERROR(1-(AA24/N24),"")</f>
        <v/>
      </c>
      <c r="BB24" s="1103" t="str">
        <f>IFERROR(IF(ISNUMBER(SEARCH("Exterior",F24)),((N24-AA24)/1000)*INDEX(NCLIGHTINCCOST[WI Incremental Cost ($/sq ft)],MATCH("Exterior",NCLIGHTINCCOST[% Below Code],0)),IF(OR(BA24="",BA24&lt;=0),"",IF(BA24&lt;=0.2, C24*INDEX(NCLIGHTINCCOST[WI Incremental Cost ($/sq ft)],MATCH(0.2,NCLIGHTINCCOST[% Below Code],0)),IF(AND(BA24&gt;0.2,BA24&lt;0.4),C24*INDEX(NCLIGHTINCCOST[WI Incremental Cost ($/sq ft)],MATCH(0.3,NCLIGHTINCCOST[% Below Code],0)), IF(BA24&gt;=0.4,C24*INDEX(NCLIGHTINCCOST[WI Incremental Cost ($/sq ft)],MATCH(0.4,NCLIGHTINCCOST[% Below Code],0)),0))))),"")</f>
        <v/>
      </c>
      <c r="BC24" s="1152" t="str">
        <f>IFERROR(IF(OR(C24="",F24="",L24="",N24="",Q24="",S24="",Y24="",AA24="",AF24=""),"",IF(M02S02F46="Electric Only",0,IF(ISNUMBER(SEARCH("Exterior",F24)),0,IF(OR(M02S02F32="AC with Natural Gas Heat",M02S02F32="Natural Gas Heat Only"),(AK24*-IF('M04-S09'!$C$3="Building_Area_Method",INDEX(LPDWATT[Waste Heat Gas Heating IFTherms],MATCH(F24,LPDWATT[Building Area Type],0)),INDEX(LPDValues[Waste Heat Gas Heating IFTherms],MATCH(F24,LPDValues[Space_By_Space_Method],0)))),0)))),0)</f>
        <v/>
      </c>
      <c r="BD24" s="1103" t="str">
        <f>IFERROR(AH24/M02S02F35/AK24,"")</f>
        <v/>
      </c>
      <c r="BE24" s="1130" t="str">
        <f t="shared" ref="BE24" si="23">IF(OR(C24="",F24="",Q24="",S24="",AA24="",AF24=""),"",IF(ISNUMBER(AN24),IF(ISNUMBER(SEARCH("Exterior",F24)),"710102","710101"),IF(AK24=0,"","000001")))</f>
        <v/>
      </c>
      <c r="BF24" s="1103" t="str">
        <f>IFERROR(IF(OR(C24="",F24="",L24="",N24="",Q24="",S24="",Y24="",AA24="",AF24=""),"",IF(M02S02F46="Gas Only",0,IF(ISNUMBER(SEARCH("Exterior",F24)),0,IF(M02S02F32="Heat Pump",((((N24-Q24)-(AA24-Q24))/1000)*-IF('M04-S09'!$C$3="Building_Area_Method",INDEX(LPDWATT[Waste Heat Electric Heat Pump Heating IFkWh],MATCH(F24,LPDWATT[Building Area Type],0)),INDEX(LPDValues[Waste Heat Electric Heat Pump Heating IFkWh],MATCH(F24,LPDValues[Space_By_Space_Method],0)))),IF(OR(M02S02F32="AC with Electric Heat",M02S02F32="Electric Heat Only"),(((N24-Q24)-(AA24-Q24))/1000)*-IF('M04-S09'!$C$3="Building_Area_Method",INDEX(LPDWATT[Waste Heat Electric Resistance Heating IFkWh],MATCH(F24,LPDWATT[Building Area Type],0)),INDEX(LPDValues[Waste Heat Electric Resistance Heating IFkWh],MATCH(F24,LPDValues[Space_By_Space_Method],0))),0))))),0)</f>
        <v/>
      </c>
      <c r="BG24" s="1103" t="str">
        <f>IFERROR(IF((N24)-(AA24)&lt;=0,MEASURESAV,IF(M02S02F35="",MEASURERATE,IF(OR(F24="Others (Incremental)",F24="Others"),MEASURESUBMIT, IF(BD24&lt;1,MEASUREPAY,IF(AU24&lt;1,MEASURECB,""))))),MEASURESUBMIT)</f>
        <v>Submit for Review</v>
      </c>
    </row>
    <row r="25" spans="2:59" ht="15.95" customHeight="1">
      <c r="B25" s="834"/>
      <c r="C25" s="1141"/>
      <c r="D25" s="1141"/>
      <c r="E25" s="1141"/>
      <c r="F25" s="1133"/>
      <c r="G25" s="1133"/>
      <c r="H25" s="1133"/>
      <c r="I25" s="1133"/>
      <c r="J25" s="1133"/>
      <c r="K25" s="1133"/>
      <c r="L25" s="1129"/>
      <c r="M25" s="1129"/>
      <c r="N25" s="1113"/>
      <c r="O25" s="1113"/>
      <c r="P25" s="1113"/>
      <c r="Q25" s="1116"/>
      <c r="R25" s="1117"/>
      <c r="S25" s="1125"/>
      <c r="T25" s="1126"/>
      <c r="U25" s="1126"/>
      <c r="V25" s="1126"/>
      <c r="W25" s="1126"/>
      <c r="X25" s="1127"/>
      <c r="Y25" s="1129"/>
      <c r="Z25" s="1129"/>
      <c r="AA25" s="1113"/>
      <c r="AB25" s="1113"/>
      <c r="AC25" s="1113"/>
      <c r="AD25" s="1120"/>
      <c r="AE25" s="1121"/>
      <c r="AF25" s="1098"/>
      <c r="AG25" s="1098"/>
      <c r="AH25" s="1136"/>
      <c r="AI25" s="1137"/>
      <c r="AJ25" s="1137"/>
      <c r="AK25" s="912"/>
      <c r="AL25" s="913"/>
      <c r="AM25" s="942"/>
      <c r="AN25" s="1139"/>
      <c r="AO25" s="1139"/>
      <c r="AP25" s="1139"/>
      <c r="AQ25" s="1139"/>
      <c r="AR25" s="59"/>
      <c r="AU25" s="1108"/>
      <c r="AV25" s="1135"/>
      <c r="AW25" s="1135"/>
      <c r="AX25" s="1104"/>
      <c r="AY25" s="831"/>
      <c r="AZ25" s="1104"/>
      <c r="BA25" s="1104"/>
      <c r="BB25" s="1104"/>
      <c r="BC25" s="1153"/>
      <c r="BD25" s="1104"/>
      <c r="BE25" s="1131"/>
      <c r="BF25" s="1104"/>
      <c r="BG25" s="1104"/>
    </row>
    <row r="26" spans="2:59" ht="15.95" customHeight="1">
      <c r="B26" s="834">
        <v>6</v>
      </c>
      <c r="C26" s="1140"/>
      <c r="D26" s="1140"/>
      <c r="E26" s="1140"/>
      <c r="F26" s="1132" t="str">
        <f>IF(ISBLANK(M04S09F11),"",M04S09F11)</f>
        <v/>
      </c>
      <c r="G26" s="1132"/>
      <c r="H26" s="1132"/>
      <c r="I26" s="1132"/>
      <c r="J26" s="1132"/>
      <c r="K26" s="1132"/>
      <c r="L26" s="1128" t="str">
        <f>IF(F26="","",IF('M04-S09'!$C$3="Building_Area_Method",INDEX(LPDValues[BA IECC 2018  (Watts/ Sq. Ft.)],MATCH(F26,LPDValues[Building_Area_Method]),0),IF('M04-S09'!$C$3="Space_By_Space_Method",INDEX(LPDValues[SBS IECC 2018  (Watts/ Sq. Ft.)],MATCH(F26,LPDValues[Space_By_Space_Method],0)))))</f>
        <v/>
      </c>
      <c r="M26" s="1128"/>
      <c r="N26" s="1112" t="str">
        <f>IF(OR(C26="",F26=""),"",C26*L26)</f>
        <v/>
      </c>
      <c r="O26" s="1112"/>
      <c r="P26" s="1112"/>
      <c r="Q26" s="1114" t="str">
        <f>IF(F26="","",INDEX(LPDWATT[Fixture Annual Operating Hours],MATCH(F26,LPDWATT[Building Area Type]),0))</f>
        <v/>
      </c>
      <c r="R26" s="1115"/>
      <c r="S26" s="1122" t="str">
        <f>IF(F26="","","Lighting Schedule Space Type #6")</f>
        <v/>
      </c>
      <c r="T26" s="1123"/>
      <c r="U26" s="1123"/>
      <c r="V26" s="1123"/>
      <c r="W26" s="1123"/>
      <c r="X26" s="1124"/>
      <c r="Y26" s="1128" t="str">
        <f t="shared" ref="Y26" si="24">IF(OR(C26="",F26=""),"",ROUND(AA26/C26,2))</f>
        <v/>
      </c>
      <c r="Z26" s="1128"/>
      <c r="AA26" s="1112" t="str">
        <f>IF(OR(S26="",F26=""),"",M04S09F12)</f>
        <v/>
      </c>
      <c r="AB26" s="1112"/>
      <c r="AC26" s="1112"/>
      <c r="AD26" s="1118"/>
      <c r="AE26" s="1119"/>
      <c r="AF26" s="1097"/>
      <c r="AG26" s="1097"/>
      <c r="AH26" s="870" t="str">
        <f t="shared" ref="AH26" si="25">IFERROR(IF(OR(L26="",F26="",Q26="",S26="",N26="",C26="",Y26="",AA26="",AF26=""),"",ROUND(AZ26,2)),0)</f>
        <v/>
      </c>
      <c r="AI26" s="1102"/>
      <c r="AJ26" s="1102"/>
      <c r="AK26" s="910" t="str">
        <f t="shared" ref="AK26" si="26">IF(OR(C26="",F26="",L26="",N26="",Q26="",,S26="",Y26="",AA26="",AF26=""),"",IF((N26)-(AA26)&lt;=0,0,ROUND(((((N26*Q26)-(AA26*Q26))/1000)+BF26)*AW26,2)))</f>
        <v/>
      </c>
      <c r="AL26" s="911"/>
      <c r="AM26" s="975"/>
      <c r="AN26" s="1138" t="str">
        <f>IF(OR(C26="",F26="",L26="",N26="",Q26="",Y26="",S26="",,AA26="",AF26=""),"",IF(BG26&lt;&gt;"",BG26,AX26))</f>
        <v/>
      </c>
      <c r="AO26" s="1138"/>
      <c r="AP26" s="1138"/>
      <c r="AQ26" s="1138"/>
      <c r="AR26" s="59"/>
      <c r="AU26" s="1109" t="str">
        <f>IF(OR(C26="",F26="",L26="",N26="",Q26="",S26="",Y26="",AA26="",AF26=""),"",((((1+ELOSS)*((AK26*INDEX(ELECCB[NPV AEC $/kWh],MATCH(15,ELECCB[Year Number],0)))+(AV26*INDEX(ELECCB[NPV ACC+T&amp;D $/kW],MATCH(15,ELECCB[Year Number],0)))))+((1+GLOSS)*((BC26*INDEX(GASCB[NPV GAEC $/therm],MATCH(15,GASCB[Year Number],1))))))/AH26))</f>
        <v/>
      </c>
      <c r="AV26" s="1134" t="str">
        <f>IFERROR(IF(OR(C26="",F26="",L26="",N26="",Q26="",S26="",Y26="",AA26="",AF26=""),"",IF(OR(ISNUMBER(SEARCH("Exterior",F26)),((N26)-(AA26)&lt;=0)),0,
ROUND((((N26)-(AA26))/1000)*IF('M04-S09'!$C$3="Building_Area_Method",INDEX(LPDWATT[Lighting Coincidence Factor],MATCH(F26,LPDWATT[Building Area Type],0)),INDEX(LPDValues[Lighting Coincidence Factor],MATCH(F26,LPDValues[Space_By_Space_Method],0)))*IF(OR(M02S02F32="AC with Natural Gas Heat",M02S02F32="AC with Electric Heat",M02S02F32="Heat Pump"),IF('M04-S09'!$C$3="Building_Area_Method",INDEX(LPDWATT[Waste Heat Cooling Demand WHFd],MATCH(F26,LPDWATT[Building Area Type],0)),INDEX(LPDValues[Waste Heat Cooling Demand WHFd],MATCH(F26,LPDValues[Space_By_Space_Method],0)))),3))),"")</f>
        <v/>
      </c>
      <c r="AW26" s="1134" t="str" cm="1">
        <f t="array" ref="AW26">IFERROR(IF(OR(C26="",F26="",L26="",N26="",Q26="",S26="",Y26="",AA26="",AF26=""),"",IF(M02S02F46="Gas Only",0,IF(ISNUMBER(SEARCH("Exterior",F26)),1,IF(OR(M02S02F32="Heat Pump",M02S02F32="AC with Natural Gas Heat",M02S02F32="AC with Electric Heat"),IF('M04-S09'!$C$3="Building_Area_Method",(INDEX(LPDWATT[Waste Heat Cooling Energy WHFe],MATCH(F26,LPDWATT[Building Area Type],0))),INDEX(LPDValues[Waste Heat Cooling Energy WHFe],MATCH(F26,LPDValues[Space_By_Space_Method]),0)),1)))),0)</f>
        <v/>
      </c>
      <c r="AX26" s="1103" t="str">
        <f>IFERROR(ROUND(MIN(AH26,AK26*INDEX(INCRATE[Electric],MATCH("CMLIGHT",INCRATE[Incentive Type]))),2),"")</f>
        <v/>
      </c>
      <c r="AY26" s="830">
        <v>15</v>
      </c>
      <c r="AZ26" s="1103" t="str">
        <f t="shared" ref="AZ26" si="27">IFERROR(IF(AD26&lt;&gt;"",(AF26-AD26)*1,MIN(AF26*0.75,BB26*1)),"")</f>
        <v/>
      </c>
      <c r="BA26" s="1103" t="str">
        <f t="shared" ref="BA26" si="28">IFERROR(1-(AA26/N26),"")</f>
        <v/>
      </c>
      <c r="BB26" s="1103" t="str">
        <f>IFERROR(IF(ISNUMBER(SEARCH("Exterior",F26)),((N26-AA26)/1000)*INDEX(NCLIGHTINCCOST[WI Incremental Cost ($/sq ft)],MATCH("Exterior",NCLIGHTINCCOST[% Below Code],0)),IF(OR(BA26="",BA26&lt;=0),"",IF(BA26&lt;=0.2, C26*INDEX(NCLIGHTINCCOST[WI Incremental Cost ($/sq ft)],MATCH(0.2,NCLIGHTINCCOST[% Below Code],0)),IF(AND(BA26&gt;0.2,BA26&lt;0.4),C26*INDEX(NCLIGHTINCCOST[WI Incremental Cost ($/sq ft)],MATCH(0.3,NCLIGHTINCCOST[% Below Code],0)), IF(BA26&gt;=0.4,C26*INDEX(NCLIGHTINCCOST[WI Incremental Cost ($/sq ft)],MATCH(0.4,NCLIGHTINCCOST[% Below Code],0)),0))))),"")</f>
        <v/>
      </c>
      <c r="BC26" s="1152" t="str">
        <f>IFERROR(IF(OR(C26="",F26="",L26="",N26="",Q26="",S26="",Y26="",AA26="",AF26=""),"",IF(M02S02F46="Electric Only",0,IF(ISNUMBER(SEARCH("Exterior",F26)),0,IF(OR(M02S02F32="AC with Natural Gas Heat",M02S02F32="Natural Gas Heat Only"),(AK26*-IF('M04-S09'!$C$3="Building_Area_Method",INDEX(LPDWATT[Waste Heat Gas Heating IFTherms],MATCH(F26,LPDWATT[Building Area Type],0)),INDEX(LPDValues[Waste Heat Gas Heating IFTherms],MATCH(F26,LPDValues[Space_By_Space_Method],0)))),0)))),0)</f>
        <v/>
      </c>
      <c r="BD26" s="1103" t="str">
        <f>IFERROR(AH26/M02S02F35/AK26,"")</f>
        <v/>
      </c>
      <c r="BE26" s="1130" t="str">
        <f t="shared" ref="BE26" si="29">IF(OR(C26="",F26="",Q26="",S26="",AA26="",AF26=""),"",IF(ISNUMBER(AN26),IF(ISNUMBER(SEARCH("Exterior",F26)),"710102","710101"),IF(AK26=0,"","000001")))</f>
        <v/>
      </c>
      <c r="BF26" s="1103" t="str">
        <f>IFERROR(IF(OR(C26="",F26="",L26="",N26="",Q26="",S26="",Y26="",AA26="",AF26=""),"",IF(M02S02F46="Gas Only",0,IF(ISNUMBER(SEARCH("Exterior",F26)),0,IF(M02S02F32="Heat Pump",((((N26-Q26)-(AA26-Q26))/1000)*-IF('M04-S09'!$C$3="Building_Area_Method",INDEX(LPDWATT[Waste Heat Electric Heat Pump Heating IFkWh],MATCH(F26,LPDWATT[Building Area Type],0)),INDEX(LPDValues[Waste Heat Electric Heat Pump Heating IFkWh],MATCH(F26,LPDValues[Space_By_Space_Method],0)))),IF(OR(M02S02F32="AC with Electric Heat",M02S02F32="Electric Heat Only"),(((N26-Q26)-(AA26-Q26))/1000)*-IF('M04-S09'!$C$3="Building_Area_Method",INDEX(LPDWATT[Waste Heat Electric Resistance Heating IFkWh],MATCH(F26,LPDWATT[Building Area Type],0)),INDEX(LPDValues[Waste Heat Electric Resistance Heating IFkWh],MATCH(F26,LPDValues[Space_By_Space_Method],0))),0))))),0)</f>
        <v/>
      </c>
      <c r="BG26" s="1103" t="str">
        <f>IFERROR(IF((N26)-(AA26)&lt;=0,MEASURESAV,IF(M02S02F35="",MEASURERATE,IF(OR(F26="Others (Incremental)",F26="Others"),MEASURESUBMIT, IF(BD26&lt;1,MEASUREPAY,IF(AU26&lt;1,MEASURECB,""))))),MEASURESUBMIT)</f>
        <v>Submit for Review</v>
      </c>
    </row>
    <row r="27" spans="2:59" ht="15.95" customHeight="1">
      <c r="B27" s="834"/>
      <c r="C27" s="1141"/>
      <c r="D27" s="1141"/>
      <c r="E27" s="1141"/>
      <c r="F27" s="1133"/>
      <c r="G27" s="1133"/>
      <c r="H27" s="1133"/>
      <c r="I27" s="1133"/>
      <c r="J27" s="1133"/>
      <c r="K27" s="1133"/>
      <c r="L27" s="1129"/>
      <c r="M27" s="1129"/>
      <c r="N27" s="1113"/>
      <c r="O27" s="1113"/>
      <c r="P27" s="1113"/>
      <c r="Q27" s="1116"/>
      <c r="R27" s="1117"/>
      <c r="S27" s="1125"/>
      <c r="T27" s="1126"/>
      <c r="U27" s="1126"/>
      <c r="V27" s="1126"/>
      <c r="W27" s="1126"/>
      <c r="X27" s="1127"/>
      <c r="Y27" s="1129"/>
      <c r="Z27" s="1129"/>
      <c r="AA27" s="1113"/>
      <c r="AB27" s="1113"/>
      <c r="AC27" s="1113"/>
      <c r="AD27" s="1120"/>
      <c r="AE27" s="1121"/>
      <c r="AF27" s="1098"/>
      <c r="AG27" s="1098"/>
      <c r="AH27" s="1136"/>
      <c r="AI27" s="1137"/>
      <c r="AJ27" s="1137"/>
      <c r="AK27" s="912"/>
      <c r="AL27" s="913"/>
      <c r="AM27" s="942"/>
      <c r="AN27" s="1139"/>
      <c r="AO27" s="1139"/>
      <c r="AP27" s="1139"/>
      <c r="AQ27" s="1139"/>
      <c r="AR27" s="59"/>
      <c r="AU27" s="1108"/>
      <c r="AV27" s="1135"/>
      <c r="AW27" s="1135"/>
      <c r="AX27" s="1104"/>
      <c r="AY27" s="831"/>
      <c r="AZ27" s="1104"/>
      <c r="BA27" s="1104"/>
      <c r="BB27" s="1104"/>
      <c r="BC27" s="1153"/>
      <c r="BD27" s="1104"/>
      <c r="BE27" s="1131"/>
      <c r="BF27" s="1104"/>
      <c r="BG27" s="1104"/>
    </row>
    <row r="28" spans="2:59" ht="15.95" customHeight="1">
      <c r="B28" s="834">
        <v>7</v>
      </c>
      <c r="C28" s="1140"/>
      <c r="D28" s="1140"/>
      <c r="E28" s="1140"/>
      <c r="F28" s="1132" t="str" cm="1">
        <f t="array" ref="F28">IF(ISBLANK(M04S09F13),"",M04S09F13)</f>
        <v/>
      </c>
      <c r="G28" s="1132"/>
      <c r="H28" s="1132"/>
      <c r="I28" s="1132"/>
      <c r="J28" s="1132"/>
      <c r="K28" s="1132"/>
      <c r="L28" s="1128" t="str">
        <f>IF(F28="","",IF('M04-S09'!$C$3="Building_Area_Method",INDEX(LPDValues[BA IECC 2018  (Watts/ Sq. Ft.)],MATCH(F28,LPDValues[Building_Area_Method]),0),IF('M04-S09'!$C$3="Space_By_Space_Method",INDEX(LPDValues[SBS IECC 2018  (Watts/ Sq. Ft.)],MATCH(F28,LPDValues[Space_By_Space_Method],0)))))</f>
        <v/>
      </c>
      <c r="M28" s="1128"/>
      <c r="N28" s="1112" t="str">
        <f t="shared" ref="N28" si="30">IF(OR(C28="",F28=""),"",C28*L28)</f>
        <v/>
      </c>
      <c r="O28" s="1112"/>
      <c r="P28" s="1112"/>
      <c r="Q28" s="1114" t="str">
        <f>IF(F28="","",INDEX(LPDWATT[Fixture Annual Operating Hours],MATCH(F28,LPDWATT[Building Area Type]),0))</f>
        <v/>
      </c>
      <c r="R28" s="1115"/>
      <c r="S28" s="1122" t="str">
        <f>IF(F28="","","Lighting Schedule Space Type #7")</f>
        <v/>
      </c>
      <c r="T28" s="1123"/>
      <c r="U28" s="1123"/>
      <c r="V28" s="1123"/>
      <c r="W28" s="1123"/>
      <c r="X28" s="1124"/>
      <c r="Y28" s="1128" t="str">
        <f t="shared" ref="Y28" si="31">IF(OR(C28="",F28=""),"",ROUND(AA28/C28,2))</f>
        <v/>
      </c>
      <c r="Z28" s="1128"/>
      <c r="AA28" s="1112" t="str">
        <f>IF(OR(S28="",F28=""),"",M04S09F14)</f>
        <v/>
      </c>
      <c r="AB28" s="1112"/>
      <c r="AC28" s="1112"/>
      <c r="AD28" s="1118"/>
      <c r="AE28" s="1119"/>
      <c r="AF28" s="1097"/>
      <c r="AG28" s="1097"/>
      <c r="AH28" s="870" t="str">
        <f t="shared" ref="AH28" si="32">IFERROR(IF(OR(L28="",F28="",Q28="",S28="",N28="",C28="",Y28="",AA28="",AF28=""),"",ROUND(AZ28,2)),0)</f>
        <v/>
      </c>
      <c r="AI28" s="1102"/>
      <c r="AJ28" s="1102"/>
      <c r="AK28" s="910" t="str">
        <f t="shared" ref="AK28" si="33">IF(OR(C28="",F28="",L28="",N28="",Q28="",,S28="",Y28="",AA28="",AF28=""),"",IF((N28)-(AA28)&lt;=0,0,ROUND(((((N28*Q28)-(AA28*Q28))/1000)+BF28)*AW28,2)))</f>
        <v/>
      </c>
      <c r="AL28" s="911"/>
      <c r="AM28" s="975"/>
      <c r="AN28" s="1138" t="str">
        <f t="shared" ref="AN28" si="34">IF(OR(C28="",F28="",L28="",N28="",Q28="",Y28="",S28="",,AA28="",AF28=""),"",IF(BG28&lt;&gt;"",BG28,AX28))</f>
        <v/>
      </c>
      <c r="AO28" s="1138"/>
      <c r="AP28" s="1138"/>
      <c r="AQ28" s="1138"/>
      <c r="AS28"/>
      <c r="AT28"/>
      <c r="AU28" s="1109" t="str">
        <f>IF(OR(C28="",F28="",L28="",N28="",Q28="",S28="",Y28="",AA28="",AF28=""),"",((((1+ELOSS)*((AK28*INDEX(ELECCB[NPV AEC $/kWh],MATCH(15,ELECCB[Year Number],0)))+(AV28*INDEX(ELECCB[NPV ACC+T&amp;D $/kW],MATCH(15,ELECCB[Year Number],0)))))+((1+GLOSS)*((BC28*INDEX(GASCB[NPV GAEC $/therm],MATCH(15,GASCB[Year Number],1))))))/AH28))</f>
        <v/>
      </c>
      <c r="AV28" s="1134" t="str">
        <f>IFERROR(IF(OR(C28="",F28="",L28="",N28="",Q28="",S28="",Y28="",AA28="",AF28=""),"",IF(OR(ISNUMBER(SEARCH("Exterior",F28)),((N28)-(AA28)&lt;=0)),0,
ROUND((((N28)-(AA28))/1000)*IF('M04-S09'!$C$3="Building_Area_Method",INDEX(LPDWATT[Lighting Coincidence Factor],MATCH(F28,LPDWATT[Building Area Type],0)),INDEX(LPDValues[Lighting Coincidence Factor],MATCH(F28,LPDValues[Space_By_Space_Method],0)))*IF(OR(M02S02F32="AC with Natural Gas Heat",M02S02F32="AC with Electric Heat",M02S02F32="Heat Pump"),IF('M04-S09'!$C$3="Building_Area_Method",INDEX(LPDWATT[Waste Heat Cooling Demand WHFd],MATCH(F28,LPDWATT[Building Area Type],0)),INDEX(LPDValues[Waste Heat Cooling Demand WHFd],MATCH(F28,LPDValues[Space_By_Space_Method],0)))),3))),"")</f>
        <v/>
      </c>
      <c r="AW28" s="1134" t="str" cm="1">
        <f t="array" ref="AW28">IFERROR(IF(OR(C28="",F28="",L28="",N28="",Q28="",S28="",Y28="",AA28="",AF28=""),"",IF(M02S02F46="Gas Only",0,IF(ISNUMBER(SEARCH("Exterior",F28)),1,IF(OR(M02S02F32="Heat Pump",M02S02F32="AC with Natural Gas Heat",M02S02F32="AC with Electric Heat"),IF('M04-S09'!$C$3="Building_Area_Method",(INDEX(LPDWATT[Waste Heat Cooling Energy WHFe],MATCH(F28,LPDWATT[Building Area Type],0))),INDEX(LPDValues[Waste Heat Cooling Energy WHFe],MATCH(F28,LPDValues[Space_By_Space_Method]),0)),1)))),0)</f>
        <v/>
      </c>
      <c r="AX28" s="1103" t="str">
        <f>IFERROR(ROUND(MIN(AH28,AK28*INDEX(INCRATE[Electric],MATCH("CMLIGHT",INCRATE[Incentive Type]))),2),"")</f>
        <v/>
      </c>
      <c r="AY28" s="830">
        <v>15</v>
      </c>
      <c r="AZ28" s="1103" t="str">
        <f t="shared" ref="AZ28" si="35">IFERROR(IF(AD28&lt;&gt;"",(AF28-AD28)*1,MIN(AF28*0.75,BB28*1)),"")</f>
        <v/>
      </c>
      <c r="BA28" s="1103" t="str">
        <f t="shared" ref="BA28" si="36">IFERROR(1-(AA28/N28),"")</f>
        <v/>
      </c>
      <c r="BB28" s="1103" t="str">
        <f>IFERROR(IF(ISNUMBER(SEARCH("Exterior",F28)),((N28-AA28)/1000)*INDEX(NCLIGHTINCCOST[WI Incremental Cost ($/sq ft)],MATCH("Exterior",NCLIGHTINCCOST[% Below Code],0)),IF(OR(BA28="",BA28&lt;=0),"",IF(BA28&lt;=0.2, C28*INDEX(NCLIGHTINCCOST[WI Incremental Cost ($/sq ft)],MATCH(0.2,NCLIGHTINCCOST[% Below Code],0)),IF(AND(BA28&gt;0.2,BA28&lt;0.4),C28*INDEX(NCLIGHTINCCOST[WI Incremental Cost ($/sq ft)],MATCH(0.3,NCLIGHTINCCOST[% Below Code],0)), IF(BA28&gt;=0.4,C28*INDEX(NCLIGHTINCCOST[WI Incremental Cost ($/sq ft)],MATCH(0.4,NCLIGHTINCCOST[% Below Code],0)),0))))),"")</f>
        <v/>
      </c>
      <c r="BC28" s="1152" t="str">
        <f>IFERROR(IF(OR(C28="",F28="",L28="",N28="",Q28="",S28="",Y28="",AA28="",AF28=""),"",IF(M02S02F46="Electric Only",0,IF(ISNUMBER(SEARCH("Exterior",F28)),0,IF(OR(M02S02F32="AC with Natural Gas Heat",M02S02F32="Natural Gas Heat Only"),(AK28*-IF('M04-S09'!$C$3="Building_Area_Method",INDEX(LPDWATT[Waste Heat Gas Heating IFTherms],MATCH(F28,LPDWATT[Building Area Type],0)),INDEX(LPDValues[Waste Heat Gas Heating IFTherms],MATCH(F28,LPDValues[Space_By_Space_Method],0)))),0)))),0)</f>
        <v/>
      </c>
      <c r="BD28" s="1103" t="str">
        <f>IFERROR(AH28/M02S02F35/AK28,"")</f>
        <v/>
      </c>
      <c r="BE28" s="1130" t="str">
        <f t="shared" ref="BE28" si="37">IF(OR(C28="",F28="",Q28="",S28="",AA28="",AF28=""),"",IF(ISNUMBER(AN28),IF(ISNUMBER(SEARCH("Exterior",F28)),"710102","710101"),IF(AK28=0,"","000001")))</f>
        <v/>
      </c>
      <c r="BF28" s="1103" t="str">
        <f>IFERROR(IF(OR(C28="",F28="",L28="",N28="",Q28="",S28="",Y28="",AA28="",AF28=""),"",IF(M02S02F46="Gas Only",0,IF(ISNUMBER(SEARCH("Exterior",F28)),0,IF(M02S02F32="Heat Pump",((((N28-Q28)-(AA28-Q28))/1000)*-IF('M04-S09'!$C$3="Building_Area_Method",INDEX(LPDWATT[Waste Heat Electric Heat Pump Heating IFkWh],MATCH(F28,LPDWATT[Building Area Type],0)),INDEX(LPDValues[Waste Heat Electric Heat Pump Heating IFkWh],MATCH(F28,LPDValues[Space_By_Space_Method],0)))),IF(OR(M02S02F32="AC with Electric Heat",M02S02F32="Electric Heat Only"),(((N28-Q28)-(AA28-Q28))/1000)*-IF('M04-S09'!$C$3="Building_Area_Method",INDEX(LPDWATT[Waste Heat Electric Resistance Heating IFkWh],MATCH(F28,LPDWATT[Building Area Type],0)),INDEX(LPDValues[Waste Heat Electric Resistance Heating IFkWh],MATCH(F28,LPDValues[Space_By_Space_Method],0))),0))))),0)</f>
        <v/>
      </c>
      <c r="BG28" s="1103" t="str">
        <f>IFERROR(IF((N28)-(AA28)&lt;=0,MEASURESAV,IF(M02S02F35="",MEASURERATE,IF(OR(F28="Others (Incremental)",F28="Others"),MEASURESUBMIT, IF(BD28&lt;1,MEASUREPAY,IF(AU28&lt;1,MEASURECB,""))))),MEASURESUBMIT)</f>
        <v>Submit for Review</v>
      </c>
    </row>
    <row r="29" spans="2:59" ht="15.95" customHeight="1">
      <c r="B29" s="834"/>
      <c r="C29" s="1141"/>
      <c r="D29" s="1141"/>
      <c r="E29" s="1141"/>
      <c r="F29" s="1133"/>
      <c r="G29" s="1133"/>
      <c r="H29" s="1133"/>
      <c r="I29" s="1133"/>
      <c r="J29" s="1133"/>
      <c r="K29" s="1133"/>
      <c r="L29" s="1129"/>
      <c r="M29" s="1129"/>
      <c r="N29" s="1113"/>
      <c r="O29" s="1113"/>
      <c r="P29" s="1113"/>
      <c r="Q29" s="1116"/>
      <c r="R29" s="1117"/>
      <c r="S29" s="1125"/>
      <c r="T29" s="1126"/>
      <c r="U29" s="1126"/>
      <c r="V29" s="1126"/>
      <c r="W29" s="1126"/>
      <c r="X29" s="1127"/>
      <c r="Y29" s="1129"/>
      <c r="Z29" s="1129"/>
      <c r="AA29" s="1113"/>
      <c r="AB29" s="1113"/>
      <c r="AC29" s="1113"/>
      <c r="AD29" s="1120"/>
      <c r="AE29" s="1121"/>
      <c r="AF29" s="1098"/>
      <c r="AG29" s="1098"/>
      <c r="AH29" s="1136"/>
      <c r="AI29" s="1137"/>
      <c r="AJ29" s="1137"/>
      <c r="AK29" s="912"/>
      <c r="AL29" s="913"/>
      <c r="AM29" s="942"/>
      <c r="AN29" s="1139"/>
      <c r="AO29" s="1139"/>
      <c r="AP29" s="1139"/>
      <c r="AQ29" s="1139"/>
      <c r="AS29"/>
      <c r="AT29"/>
      <c r="AU29" s="1108"/>
      <c r="AV29" s="1135"/>
      <c r="AW29" s="1135"/>
      <c r="AX29" s="1104"/>
      <c r="AY29" s="831"/>
      <c r="AZ29" s="1104"/>
      <c r="BA29" s="1104"/>
      <c r="BB29" s="1104"/>
      <c r="BC29" s="1153"/>
      <c r="BD29" s="1104"/>
      <c r="BE29" s="1131"/>
      <c r="BF29" s="1104"/>
      <c r="BG29" s="1104"/>
    </row>
    <row r="30" spans="2:59" ht="15.95" customHeight="1">
      <c r="B30" s="834">
        <v>8</v>
      </c>
      <c r="C30" s="1140"/>
      <c r="D30" s="1140"/>
      <c r="E30" s="1140"/>
      <c r="F30" s="1132" t="str">
        <f>IF(ISBLANK(M04S09F15),"",M04S09F15)</f>
        <v/>
      </c>
      <c r="G30" s="1132"/>
      <c r="H30" s="1132"/>
      <c r="I30" s="1132"/>
      <c r="J30" s="1132"/>
      <c r="K30" s="1132"/>
      <c r="L30" s="1128" t="str">
        <f>IF(F30="","",IF('M04-S09'!$C$3="Building_Area_Method",INDEX(LPDValues[BA IECC 2018  (Watts/ Sq. Ft.)],MATCH(F30,LPDValues[Building_Area_Method]),0),IF('M04-S09'!$C$3="Space_By_Space_Method",INDEX(LPDValues[SBS IECC 2018  (Watts/ Sq. Ft.)],MATCH(F30,LPDValues[Space_By_Space_Method],0)))))</f>
        <v/>
      </c>
      <c r="M30" s="1128"/>
      <c r="N30" s="1112" t="str">
        <f t="shared" ref="N30" si="38">IF(OR(C30="",F30=""),"",C30*L30)</f>
        <v/>
      </c>
      <c r="O30" s="1112"/>
      <c r="P30" s="1112"/>
      <c r="Q30" s="1114" t="str">
        <f>IF(F30="","",INDEX(LPDWATT[Fixture Annual Operating Hours],MATCH(F30,LPDWATT[Building Area Type]),0))</f>
        <v/>
      </c>
      <c r="R30" s="1115"/>
      <c r="S30" s="1122" t="str">
        <f>IF(F30="","","Lighting Schedule Space Type #8")</f>
        <v/>
      </c>
      <c r="T30" s="1123"/>
      <c r="U30" s="1123"/>
      <c r="V30" s="1123"/>
      <c r="W30" s="1123"/>
      <c r="X30" s="1124"/>
      <c r="Y30" s="1128" t="str">
        <f t="shared" ref="Y30" si="39">IF(OR(C30="",F30=""),"",ROUND(AA30/C30,2))</f>
        <v/>
      </c>
      <c r="Z30" s="1128"/>
      <c r="AA30" s="1112" t="str">
        <f>IF(OR(S30="",F30=""),"",M04S09F16)</f>
        <v/>
      </c>
      <c r="AB30" s="1112"/>
      <c r="AC30" s="1112"/>
      <c r="AD30" s="1118"/>
      <c r="AE30" s="1119"/>
      <c r="AF30" s="1097"/>
      <c r="AG30" s="1097"/>
      <c r="AH30" s="870" t="str">
        <f t="shared" ref="AH30" si="40">IFERROR(IF(OR(L30="",F30="",Q30="",S30="",N30="",C30="",Y30="",AA30="",AF30=""),"",ROUND(AZ30,2)),0)</f>
        <v/>
      </c>
      <c r="AI30" s="1102"/>
      <c r="AJ30" s="1102"/>
      <c r="AK30" s="910" t="str">
        <f t="shared" ref="AK30" si="41">IF(OR(C30="",F30="",L30="",N30="",Q30="",,S30="",Y30="",AA30="",AF30=""),"",IF((N30)-(AA30)&lt;=0,0,ROUND(((((N30*Q30)-(AA30*Q30))/1000)+BF30)*AW30,2)))</f>
        <v/>
      </c>
      <c r="AL30" s="911"/>
      <c r="AM30" s="975"/>
      <c r="AN30" s="1138" t="str">
        <f t="shared" ref="AN30" si="42">IF(OR(C30="",F30="",L30="",N30="",Q30="",Y30="",S30="",,AA30="",AF30=""),"",IF(BG30&lt;&gt;"",BG30,AX30))</f>
        <v/>
      </c>
      <c r="AO30" s="1138"/>
      <c r="AP30" s="1138"/>
      <c r="AQ30" s="1138"/>
      <c r="AS30"/>
      <c r="AT30"/>
      <c r="AU30" s="1109" t="str">
        <f>IF(OR(C30="",F30="",L30="",N30="",Q30="",S30="",Y30="",AA30="",AF30=""),"",((((1+ELOSS)*((AK30*INDEX(ELECCB[NPV AEC $/kWh],MATCH(15,ELECCB[Year Number],0)))+(AV30*INDEX(ELECCB[NPV ACC+T&amp;D $/kW],MATCH(15,ELECCB[Year Number],0)))))+((1+GLOSS)*((BC30*INDEX(GASCB[NPV GAEC $/therm],MATCH(15,GASCB[Year Number],1))))))/AH30))</f>
        <v/>
      </c>
      <c r="AV30" s="1134" t="str">
        <f>IFERROR(IF(OR(C30="",F30="",L30="",N30="",Q30="",S30="",Y30="",AA30="",AF30=""),"",IF(OR(ISNUMBER(SEARCH("Exterior",F30)),((N30)-(AA30)&lt;=0)),0,
ROUND((((N30)-(AA30))/1000)*IF('M04-S09'!$C$3="Building_Area_Method",INDEX(LPDWATT[Lighting Coincidence Factor],MATCH(F30,LPDWATT[Building Area Type],0)),INDEX(LPDValues[Lighting Coincidence Factor],MATCH(F30,LPDValues[Space_By_Space_Method],0)))*IF(OR(M02S02F32="AC with Natural Gas Heat",M02S02F32="AC with Electric Heat",M02S02F32="Heat Pump"),IF('M04-S09'!$C$3="Building_Area_Method",INDEX(LPDWATT[Waste Heat Cooling Demand WHFd],MATCH(F30,LPDWATT[Building Area Type],0)),INDEX(LPDValues[Waste Heat Cooling Demand WHFd],MATCH(F30,LPDValues[Space_By_Space_Method],0)))),3))),"")</f>
        <v/>
      </c>
      <c r="AW30" s="1134" t="str" cm="1">
        <f t="array" ref="AW30">IFERROR(IF(OR(C30="",F30="",L30="",N30="",Q30="",S30="",Y30="",AA30="",AF30=""),"",IF(M02S02F46="Gas Only",0,IF(ISNUMBER(SEARCH("Exterior",F30)),1,IF(OR(M02S02F32="Heat Pump",M02S02F32="AC with Natural Gas Heat",M02S02F32="AC with Electric Heat"),IF('M04-S09'!$C$3="Building_Area_Method",(INDEX(LPDWATT[Waste Heat Cooling Energy WHFe],MATCH(F30,LPDWATT[Building Area Type],0))),INDEX(LPDValues[Waste Heat Cooling Energy WHFe],MATCH(F30,LPDValues[Space_By_Space_Method]),0)),1)))),0)</f>
        <v/>
      </c>
      <c r="AX30" s="1103" t="str">
        <f>IFERROR(ROUND(MIN(AH30,AK30*INDEX(INCRATE[Electric],MATCH("CMLIGHT",INCRATE[Incentive Type]))),2),"")</f>
        <v/>
      </c>
      <c r="AY30" s="830">
        <v>15</v>
      </c>
      <c r="AZ30" s="1103" t="str">
        <f t="shared" ref="AZ30" si="43">IFERROR(IF(AD30&lt;&gt;"",(AF30-AD30)*1,MIN(AF30*0.75,BB30*1)),"")</f>
        <v/>
      </c>
      <c r="BA30" s="1103" t="str">
        <f t="shared" ref="BA30" si="44">IFERROR(1-(AA30/N30),"")</f>
        <v/>
      </c>
      <c r="BB30" s="1103" t="str">
        <f>IFERROR(IF(ISNUMBER(SEARCH("Exterior",F30)),((N30-AA30)/1000)*INDEX(NCLIGHTINCCOST[WI Incremental Cost ($/sq ft)],MATCH("Exterior",NCLIGHTINCCOST[% Below Code],0)),IF(OR(BA30="",BA30&lt;=0),"",IF(BA30&lt;=0.2, C30*INDEX(NCLIGHTINCCOST[WI Incremental Cost ($/sq ft)],MATCH(0.2,NCLIGHTINCCOST[% Below Code],0)),IF(AND(BA30&gt;0.2,BA30&lt;0.4),C30*INDEX(NCLIGHTINCCOST[WI Incremental Cost ($/sq ft)],MATCH(0.3,NCLIGHTINCCOST[% Below Code],0)), IF(BA30&gt;=0.4,C30*INDEX(NCLIGHTINCCOST[WI Incremental Cost ($/sq ft)],MATCH(0.4,NCLIGHTINCCOST[% Below Code],0)),0))))),"")</f>
        <v/>
      </c>
      <c r="BC30" s="1152" t="str">
        <f>IFERROR(IF(OR(C30="",F30="",L30="",N30="",Q30="",S30="",Y30="",AA30="",AF30=""),"",IF(M02S02F46="Electric Only",0,IF(ISNUMBER(SEARCH("Exterior",F30)),0,IF(OR(M02S02F32="AC with Natural Gas Heat",M02S02F32="Natural Gas Heat Only"),(AK30*-IF('M04-S09'!$C$3="Building_Area_Method",INDEX(LPDWATT[Waste Heat Gas Heating IFTherms],MATCH(F30,LPDWATT[Building Area Type],0)),INDEX(LPDValues[Waste Heat Gas Heating IFTherms],MATCH(F30,LPDValues[Space_By_Space_Method],0)))),0)))),0)</f>
        <v/>
      </c>
      <c r="BD30" s="1103" t="str">
        <f>IFERROR(AH30/M02S02F35/AK30,"")</f>
        <v/>
      </c>
      <c r="BE30" s="1130" t="str">
        <f t="shared" ref="BE30" si="45">IF(OR(C30="",F30="",Q30="",S30="",AA30="",AF30=""),"",IF(ISNUMBER(AN30),IF(ISNUMBER(SEARCH("Exterior",F30)),"710102","710101"),IF(AK30=0,"","000001")))</f>
        <v/>
      </c>
      <c r="BF30" s="1103" t="str">
        <f>IFERROR(IF(OR(C30="",F30="",L30="",N30="",Q30="",S30="",Y30="",AA30="",AF30=""),"",IF(M02S02F46="Gas Only",0,IF(ISNUMBER(SEARCH("Exterior",F30)),0,IF(M02S02F32="Heat Pump",((((N30-Q30)-(AA30-Q30))/1000)*-IF('M04-S09'!$C$3="Building_Area_Method",INDEX(LPDWATT[Waste Heat Electric Heat Pump Heating IFkWh],MATCH(F30,LPDWATT[Building Area Type],0)),INDEX(LPDValues[Waste Heat Electric Heat Pump Heating IFkWh],MATCH(F30,LPDValues[Space_By_Space_Method],0)))),IF(OR(M02S02F32="AC with Electric Heat",M02S02F32="Electric Heat Only"),(((N30-Q30)-(AA30-Q30))/1000)*-IF('M04-S09'!$C$3="Building_Area_Method",INDEX(LPDWATT[Waste Heat Electric Resistance Heating IFkWh],MATCH(F30,LPDWATT[Building Area Type],0)),INDEX(LPDValues[Waste Heat Electric Resistance Heating IFkWh],MATCH(F30,LPDValues[Space_By_Space_Method],0))),0))))),0)</f>
        <v/>
      </c>
      <c r="BG30" s="1103" t="str">
        <f>IFERROR(IF((N30)-(AA30)&lt;=0,MEASURESAV,IF(M02S02F35="",MEASURERATE,IF(OR(F30="Others (Incremental)",F30="Others"),MEASURESUBMIT, IF(BD30&lt;1,MEASUREPAY,IF(AU30&lt;1,MEASURECB,""))))),MEASURESUBMIT)</f>
        <v>Submit for Review</v>
      </c>
    </row>
    <row r="31" spans="2:59" ht="15.95" customHeight="1">
      <c r="B31" s="834"/>
      <c r="C31" s="1141"/>
      <c r="D31" s="1141"/>
      <c r="E31" s="1141"/>
      <c r="F31" s="1133"/>
      <c r="G31" s="1133"/>
      <c r="H31" s="1133"/>
      <c r="I31" s="1133"/>
      <c r="J31" s="1133"/>
      <c r="K31" s="1133"/>
      <c r="L31" s="1129"/>
      <c r="M31" s="1129"/>
      <c r="N31" s="1113"/>
      <c r="O31" s="1113"/>
      <c r="P31" s="1113"/>
      <c r="Q31" s="1116"/>
      <c r="R31" s="1117"/>
      <c r="S31" s="1125"/>
      <c r="T31" s="1126"/>
      <c r="U31" s="1126"/>
      <c r="V31" s="1126"/>
      <c r="W31" s="1126"/>
      <c r="X31" s="1127"/>
      <c r="Y31" s="1129"/>
      <c r="Z31" s="1129"/>
      <c r="AA31" s="1113"/>
      <c r="AB31" s="1113"/>
      <c r="AC31" s="1113"/>
      <c r="AD31" s="1120"/>
      <c r="AE31" s="1121"/>
      <c r="AF31" s="1098"/>
      <c r="AG31" s="1098"/>
      <c r="AH31" s="1136"/>
      <c r="AI31" s="1137"/>
      <c r="AJ31" s="1137"/>
      <c r="AK31" s="912"/>
      <c r="AL31" s="913"/>
      <c r="AM31" s="942"/>
      <c r="AN31" s="1139"/>
      <c r="AO31" s="1139"/>
      <c r="AP31" s="1139"/>
      <c r="AQ31" s="1139"/>
      <c r="AS31"/>
      <c r="AT31"/>
      <c r="AU31" s="1108"/>
      <c r="AV31" s="1135"/>
      <c r="AW31" s="1135"/>
      <c r="AX31" s="1104"/>
      <c r="AY31" s="831"/>
      <c r="AZ31" s="1104"/>
      <c r="BA31" s="1104"/>
      <c r="BB31" s="1104"/>
      <c r="BC31" s="1153"/>
      <c r="BD31" s="1104"/>
      <c r="BE31" s="1131"/>
      <c r="BF31" s="1104"/>
      <c r="BG31" s="1104"/>
    </row>
    <row r="32" spans="2:59" ht="15.95" customHeight="1">
      <c r="B32" s="834">
        <v>9</v>
      </c>
      <c r="C32" s="1140"/>
      <c r="D32" s="1140"/>
      <c r="E32" s="1140"/>
      <c r="F32" s="1132" t="str">
        <f>IF(ISBLANK(M04S09F17),"",M04S09F17)</f>
        <v/>
      </c>
      <c r="G32" s="1132"/>
      <c r="H32" s="1132"/>
      <c r="I32" s="1132"/>
      <c r="J32" s="1132"/>
      <c r="K32" s="1132"/>
      <c r="L32" s="1128" t="str">
        <f>IF(F32="","",IF('M04-S09'!$C$3="Building_Area_Method",INDEX(LPDValues[BA IECC 2018  (Watts/ Sq. Ft.)],MATCH(F32,LPDValues[Building_Area_Method]),0),IF('M04-S09'!$C$3="Space_By_Space_Method",INDEX(LPDValues[SBS IECC 2018  (Watts/ Sq. Ft.)],MATCH(F32,LPDValues[Space_By_Space_Method],0)))))</f>
        <v/>
      </c>
      <c r="M32" s="1128"/>
      <c r="N32" s="1112" t="str">
        <f t="shared" ref="N32" si="46">IF(OR(C32="",F32=""),"",C32*L32)</f>
        <v/>
      </c>
      <c r="O32" s="1112"/>
      <c r="P32" s="1112"/>
      <c r="Q32" s="1114" t="str">
        <f>IF(F32="","",INDEX(LPDWATT[Fixture Annual Operating Hours],MATCH(F32,LPDWATT[Building Area Type]),0))</f>
        <v/>
      </c>
      <c r="R32" s="1115"/>
      <c r="S32" s="1122" t="str">
        <f>IF(F32="","","Lighting Schedule Space Type #9")</f>
        <v/>
      </c>
      <c r="T32" s="1123"/>
      <c r="U32" s="1123"/>
      <c r="V32" s="1123"/>
      <c r="W32" s="1123"/>
      <c r="X32" s="1124"/>
      <c r="Y32" s="1128" t="str">
        <f t="shared" ref="Y32" si="47">IF(OR(C32="",F32=""),"",ROUND(AA32/C32,2))</f>
        <v/>
      </c>
      <c r="Z32" s="1128"/>
      <c r="AA32" s="1112" t="str">
        <f>IF(OR(S32="",F32=""),"",M04S09F18)</f>
        <v/>
      </c>
      <c r="AB32" s="1112"/>
      <c r="AC32" s="1112"/>
      <c r="AD32" s="1118"/>
      <c r="AE32" s="1119"/>
      <c r="AF32" s="1097"/>
      <c r="AG32" s="1097"/>
      <c r="AH32" s="870" t="str">
        <f t="shared" ref="AH32" si="48">IFERROR(IF(OR(L32="",F32="",Q32="",S32="",N32="",C32="",Y32="",AA32="",AF32=""),"",ROUND(AZ32,2)),0)</f>
        <v/>
      </c>
      <c r="AI32" s="1102"/>
      <c r="AJ32" s="1102"/>
      <c r="AK32" s="910" t="str">
        <f t="shared" ref="AK32" si="49">IF(OR(C32="",F32="",L32="",N32="",Q32="",,S32="",Y32="",AA32="",AF32=""),"",IF((N32)-(AA32)&lt;=0,0,ROUND(((((N32*Q32)-(AA32*Q32))/1000)+BF32)*AW32,2)))</f>
        <v/>
      </c>
      <c r="AL32" s="911"/>
      <c r="AM32" s="975"/>
      <c r="AN32" s="1138" t="str">
        <f t="shared" ref="AN32" si="50">IF(OR(C32="",F32="",L32="",N32="",Q32="",Y32="",S32="",,AA32="",AF32=""),"",IF(BG32&lt;&gt;"",BG32,AX32))</f>
        <v/>
      </c>
      <c r="AO32" s="1138"/>
      <c r="AP32" s="1138"/>
      <c r="AQ32" s="1138"/>
      <c r="AS32"/>
      <c r="AT32"/>
      <c r="AU32" s="1109" t="str">
        <f>IF(OR(C32="",F32="",L32="",N32="",Q32="",S32="",Y32="",AA32="",AF32=""),"",((((1+ELOSS)*((AK32*INDEX(ELECCB[NPV AEC $/kWh],MATCH(15,ELECCB[Year Number],0)))+(AV32*INDEX(ELECCB[NPV ACC+T&amp;D $/kW],MATCH(15,ELECCB[Year Number],0)))))+((1+GLOSS)*((BC32*INDEX(GASCB[NPV GAEC $/therm],MATCH(15,GASCB[Year Number],1))))))/AH32))</f>
        <v/>
      </c>
      <c r="AV32" s="1134" t="str">
        <f>IFERROR(IF(OR(C32="",F32="",L32="",N32="",Q32="",S32="",Y32="",AA32="",AF32=""),"",IF(OR(ISNUMBER(SEARCH("Exterior",F32)),((N32)-(AA32)&lt;=0)),0,
ROUND((((N32)-(AA32))/1000)*IF('M04-S09'!$C$3="Building_Area_Method",INDEX(LPDWATT[Lighting Coincidence Factor],MATCH(F32,LPDWATT[Building Area Type],0)),INDEX(LPDValues[Lighting Coincidence Factor],MATCH(F32,LPDValues[Space_By_Space_Method],0)))*IF(OR(M02S02F32="AC with Natural Gas Heat",M02S02F32="AC with Electric Heat",M02S02F32="Heat Pump"),IF('M04-S09'!$C$3="Building_Area_Method",INDEX(LPDWATT[Waste Heat Cooling Demand WHFd],MATCH(F32,LPDWATT[Building Area Type],0)),INDEX(LPDValues[Waste Heat Cooling Demand WHFd],MATCH(F32,LPDValues[Space_By_Space_Method],0)))),3))),"")</f>
        <v/>
      </c>
      <c r="AW32" s="1134" t="str" cm="1">
        <f t="array" ref="AW32">IFERROR(IF(OR(C32="",F32="",L32="",N32="",Q32="",S32="",Y32="",AA32="",AF32=""),"",IF(M02S02F46="Gas Only",0,IF(ISNUMBER(SEARCH("Exterior",F32)),1,IF(OR(M02S02F32="Heat Pump",M02S02F32="AC with Natural Gas Heat",M02S02F32="AC with Electric Heat"),IF('M04-S09'!$C$3="Building_Area_Method",(INDEX(LPDWATT[Waste Heat Cooling Energy WHFe],MATCH(F32,LPDWATT[Building Area Type],0))),INDEX(LPDValues[Waste Heat Cooling Energy WHFe],MATCH(F32,LPDValues[Space_By_Space_Method]),0)),1)))),0)</f>
        <v/>
      </c>
      <c r="AX32" s="1103" t="str">
        <f>IFERROR(ROUND(MIN(AH32,AK32*INDEX(INCRATE[Electric],MATCH("CMLIGHT",INCRATE[Incentive Type]))),2),"")</f>
        <v/>
      </c>
      <c r="AY32" s="830">
        <v>15</v>
      </c>
      <c r="AZ32" s="1103" t="str">
        <f t="shared" ref="AZ32" si="51">IFERROR(IF(AD32&lt;&gt;"",(AF32-AD32)*1,MIN(AF32*0.75,BB32*1)),"")</f>
        <v/>
      </c>
      <c r="BA32" s="1103" t="str">
        <f t="shared" ref="BA32" si="52">IFERROR(1-(AA32/N32),"")</f>
        <v/>
      </c>
      <c r="BB32" s="1103" t="str">
        <f>IFERROR(IF(ISNUMBER(SEARCH("Exterior",F32)),((N32-AA32)/1000)*INDEX(NCLIGHTINCCOST[WI Incremental Cost ($/sq ft)],MATCH("Exterior",NCLIGHTINCCOST[% Below Code],0)),IF(OR(BA32="",BA32&lt;=0),"",IF(BA32&lt;=0.2, C32*INDEX(NCLIGHTINCCOST[WI Incremental Cost ($/sq ft)],MATCH(0.2,NCLIGHTINCCOST[% Below Code],0)),IF(AND(BA32&gt;0.2,BA32&lt;0.4),C32*INDEX(NCLIGHTINCCOST[WI Incremental Cost ($/sq ft)],MATCH(0.3,NCLIGHTINCCOST[% Below Code],0)), IF(BA32&gt;=0.4,C32*INDEX(NCLIGHTINCCOST[WI Incremental Cost ($/sq ft)],MATCH(0.4,NCLIGHTINCCOST[% Below Code],0)),0))))),"")</f>
        <v/>
      </c>
      <c r="BC32" s="1152" t="str">
        <f>IFERROR(IF(OR(C32="",F32="",L32="",N32="",Q32="",S32="",Y32="",AA32="",AF32=""),"",IF(M02S02F46="Electric Only",0,IF(ISNUMBER(SEARCH("Exterior",F32)),0,IF(OR(M02S02F32="AC with Natural Gas Heat",M02S02F32="Natural Gas Heat Only"),(AK32*-IF('M04-S09'!$C$3="Building_Area_Method",INDEX(LPDWATT[Waste Heat Gas Heating IFTherms],MATCH(F32,LPDWATT[Building Area Type],0)),INDEX(LPDValues[Waste Heat Gas Heating IFTherms],MATCH(F32,LPDValues[Space_By_Space_Method],0)))),0)))),0)</f>
        <v/>
      </c>
      <c r="BD32" s="1103" t="str">
        <f>IFERROR(AH32/M02S02F35/AK32,"")</f>
        <v/>
      </c>
      <c r="BE32" s="1130" t="str">
        <f t="shared" ref="BE32" si="53">IF(OR(C32="",F32="",Q32="",S32="",AA32="",AF32=""),"",IF(ISNUMBER(AN32),IF(ISNUMBER(SEARCH("Exterior",F32)),"710102","710101"),IF(AK32=0,"","000001")))</f>
        <v/>
      </c>
      <c r="BF32" s="1103" t="str">
        <f>IFERROR(IF(OR(C32="",F32="",L32="",N32="",Q32="",S32="",Y32="",AA32="",AF32=""),"",IF(M02S02F46="Gas Only",0,IF(ISNUMBER(SEARCH("Exterior",F32)),0,IF(M02S02F32="Heat Pump",((((N32-Q32)-(AA32-Q32))/1000)*-IF('M04-S09'!$C$3="Building_Area_Method",INDEX(LPDWATT[Waste Heat Electric Heat Pump Heating IFkWh],MATCH(F32,LPDWATT[Building Area Type],0)),INDEX(LPDValues[Waste Heat Electric Heat Pump Heating IFkWh],MATCH(F32,LPDValues[Space_By_Space_Method],0)))),IF(OR(M02S02F32="AC with Electric Heat",M02S02F32="Electric Heat Only"),(((N32-Q32)-(AA32-Q32))/1000)*-IF('M04-S09'!$C$3="Building_Area_Method",INDEX(LPDWATT[Waste Heat Electric Resistance Heating IFkWh],MATCH(F32,LPDWATT[Building Area Type],0)),INDEX(LPDValues[Waste Heat Electric Resistance Heating IFkWh],MATCH(F32,LPDValues[Space_By_Space_Method],0))),0))))),0)</f>
        <v/>
      </c>
      <c r="BG32" s="1103" t="str">
        <f>IFERROR(IF((N32)-(AA32)&lt;=0,MEASURESAV,IF(M02S02F35="",MEASURERATE,IF(OR(F32="Others (Incremental)",F32="Others"),MEASURESUBMIT, IF(BD32&lt;1,MEASUREPAY,IF(AU32&lt;1,MEASURECB,""))))),MEASURESUBMIT)</f>
        <v>Submit for Review</v>
      </c>
    </row>
    <row r="33" spans="2:59" ht="15.95" customHeight="1">
      <c r="B33" s="834"/>
      <c r="C33" s="1141"/>
      <c r="D33" s="1141"/>
      <c r="E33" s="1141"/>
      <c r="F33" s="1133"/>
      <c r="G33" s="1133"/>
      <c r="H33" s="1133"/>
      <c r="I33" s="1133"/>
      <c r="J33" s="1133"/>
      <c r="K33" s="1133"/>
      <c r="L33" s="1129"/>
      <c r="M33" s="1129"/>
      <c r="N33" s="1113"/>
      <c r="O33" s="1113"/>
      <c r="P33" s="1113"/>
      <c r="Q33" s="1116"/>
      <c r="R33" s="1117"/>
      <c r="S33" s="1125"/>
      <c r="T33" s="1126"/>
      <c r="U33" s="1126"/>
      <c r="V33" s="1126"/>
      <c r="W33" s="1126"/>
      <c r="X33" s="1127"/>
      <c r="Y33" s="1129"/>
      <c r="Z33" s="1129"/>
      <c r="AA33" s="1113"/>
      <c r="AB33" s="1113"/>
      <c r="AC33" s="1113"/>
      <c r="AD33" s="1120"/>
      <c r="AE33" s="1121"/>
      <c r="AF33" s="1098"/>
      <c r="AG33" s="1098"/>
      <c r="AH33" s="1136"/>
      <c r="AI33" s="1137"/>
      <c r="AJ33" s="1137"/>
      <c r="AK33" s="912"/>
      <c r="AL33" s="913"/>
      <c r="AM33" s="942"/>
      <c r="AN33" s="1139"/>
      <c r="AO33" s="1139"/>
      <c r="AP33" s="1139"/>
      <c r="AQ33" s="1139"/>
      <c r="AS33"/>
      <c r="AT33"/>
      <c r="AU33" s="1108"/>
      <c r="AV33" s="1135"/>
      <c r="AW33" s="1135"/>
      <c r="AX33" s="1104"/>
      <c r="AY33" s="831"/>
      <c r="AZ33" s="1104"/>
      <c r="BA33" s="1104"/>
      <c r="BB33" s="1104"/>
      <c r="BC33" s="1153"/>
      <c r="BD33" s="1104"/>
      <c r="BE33" s="1131"/>
      <c r="BF33" s="1104"/>
      <c r="BG33" s="1104"/>
    </row>
    <row r="34" spans="2:59" ht="15.95" customHeight="1">
      <c r="B34" s="834">
        <v>10</v>
      </c>
      <c r="C34" s="1140"/>
      <c r="D34" s="1140"/>
      <c r="E34" s="1140"/>
      <c r="F34" s="1132" t="str">
        <f>IF(ISBLANK(M04S09F19),"",M04S09F19)</f>
        <v/>
      </c>
      <c r="G34" s="1132"/>
      <c r="H34" s="1132"/>
      <c r="I34" s="1132"/>
      <c r="J34" s="1132"/>
      <c r="K34" s="1132"/>
      <c r="L34" s="1128" t="str">
        <f>IF(F34="","",IF('M04-S09'!$C$3="Building_Area_Method",INDEX(LPDValues[BA IECC 2018  (Watts/ Sq. Ft.)],MATCH(F34,LPDValues[Building_Area_Method]),0),IF('M04-S09'!$C$3="Space_By_Space_Method",INDEX(LPDValues[SBS IECC 2018  (Watts/ Sq. Ft.)],MATCH(F34,LPDValues[Space_By_Space_Method],0)))))</f>
        <v/>
      </c>
      <c r="M34" s="1128"/>
      <c r="N34" s="1112" t="str">
        <f t="shared" ref="N34" si="54">IF(OR(C34="",F34=""),"",C34*L34)</f>
        <v/>
      </c>
      <c r="O34" s="1112"/>
      <c r="P34" s="1112"/>
      <c r="Q34" s="1114" t="str">
        <f>IF(F34="","",INDEX(LPDWATT[Fixture Annual Operating Hours],MATCH(F34,LPDWATT[Building Area Type]),0))</f>
        <v/>
      </c>
      <c r="R34" s="1115"/>
      <c r="S34" s="1122" t="str">
        <f>IF(F34="","","Lighting Schedule Space Type #10")</f>
        <v/>
      </c>
      <c r="T34" s="1123"/>
      <c r="U34" s="1123"/>
      <c r="V34" s="1123"/>
      <c r="W34" s="1123"/>
      <c r="X34" s="1124"/>
      <c r="Y34" s="1128" t="str">
        <f t="shared" ref="Y34" si="55">IF(OR(C34="",F34=""),"",ROUND(AA34/C34,2))</f>
        <v/>
      </c>
      <c r="Z34" s="1128"/>
      <c r="AA34" s="1112" t="str">
        <f>IF(OR(S34="",F34=""),"",M04S09F20)</f>
        <v/>
      </c>
      <c r="AB34" s="1112"/>
      <c r="AC34" s="1112"/>
      <c r="AD34" s="1118"/>
      <c r="AE34" s="1119"/>
      <c r="AF34" s="1097"/>
      <c r="AG34" s="1097"/>
      <c r="AH34" s="870" t="str">
        <f t="shared" ref="AH34" si="56">IFERROR(IF(OR(L34="",F34="",Q34="",S34="",N34="",C34="",Y34="",AA34="",AF34=""),"",ROUND(AZ34,2)),0)</f>
        <v/>
      </c>
      <c r="AI34" s="1102"/>
      <c r="AJ34" s="1102"/>
      <c r="AK34" s="910" t="str">
        <f t="shared" ref="AK34" si="57">IF(OR(C34="",F34="",L34="",N34="",Q34="",,S34="",Y34="",AA34="",AF34=""),"",IF((N34)-(AA34)&lt;=0,0,ROUND(((((N34*Q34)-(AA34*Q34))/1000)+BF34)*AW34,2)))</f>
        <v/>
      </c>
      <c r="AL34" s="911"/>
      <c r="AM34" s="975"/>
      <c r="AN34" s="1138" t="str">
        <f t="shared" ref="AN34" si="58">IF(OR(C34="",F34="",L34="",N34="",Q34="",Y34="",S34="",,AA34="",AF34=""),"",IF(BG34&lt;&gt;"",BG34,AX34))</f>
        <v/>
      </c>
      <c r="AO34" s="1138"/>
      <c r="AP34" s="1138"/>
      <c r="AQ34" s="1138"/>
      <c r="AS34"/>
      <c r="AT34"/>
      <c r="AU34" s="1109" t="str">
        <f>IF(OR(C34="",F34="",L34="",N34="",Q34="",S34="",Y34="",AA34="",AF34=""),"",((((1+ELOSS)*((AK34*INDEX(ELECCB[NPV AEC $/kWh],MATCH(15,ELECCB[Year Number],0)))+(AV34*INDEX(ELECCB[NPV ACC+T&amp;D $/kW],MATCH(15,ELECCB[Year Number],0)))))+((1+GLOSS)*((BC34*INDEX(GASCB[NPV GAEC $/therm],MATCH(15,GASCB[Year Number],1))))))/AH34))</f>
        <v/>
      </c>
      <c r="AV34" s="1134" t="str">
        <f>IFERROR(IF(OR(C34="",F34="",L34="",N34="",Q34="",S34="",Y34="",AA34="",AF34=""),"",IF(OR(ISNUMBER(SEARCH("Exterior",F34)),((N34)-(AA34)&lt;=0)),0,
ROUND((((N34)-(AA34))/1000)*IF('M04-S09'!$C$3="Building_Area_Method",INDEX(LPDWATT[Lighting Coincidence Factor],MATCH(F34,LPDWATT[Building Area Type],0)),INDEX(LPDValues[Lighting Coincidence Factor],MATCH(F34,LPDValues[Space_By_Space_Method],0)))*IF(OR(M02S02F32="AC with Natural Gas Heat",M02S02F32="AC with Electric Heat",M02S02F32="Heat Pump"),IF('M04-S09'!$C$3="Building_Area_Method",INDEX(LPDWATT[Waste Heat Cooling Demand WHFd],MATCH(F34,LPDWATT[Building Area Type],0)),INDEX(LPDValues[Waste Heat Cooling Demand WHFd],MATCH(F34,LPDValues[Space_By_Space_Method],0)))),3))),"")</f>
        <v/>
      </c>
      <c r="AW34" s="1134" t="str" cm="1">
        <f t="array" ref="AW34">IFERROR(IF(OR(C34="",F34="",L34="",N34="",Q34="",S34="",Y34="",AA34="",AF34=""),"",IF(M02S02F46="Gas Only",0,IF(ISNUMBER(SEARCH("Exterior",F34)),1,IF(OR(M02S02F32="Heat Pump",M02S02F32="AC with Natural Gas Heat",M02S02F32="AC with Electric Heat"),IF('M04-S09'!$C$3="Building_Area_Method",(INDEX(LPDWATT[Waste Heat Cooling Energy WHFe],MATCH(F34,LPDWATT[Building Area Type],0))),INDEX(LPDValues[Waste Heat Cooling Energy WHFe],MATCH(F34,LPDValues[Space_By_Space_Method]),0)),1)))),0)</f>
        <v/>
      </c>
      <c r="AX34" s="1103" t="str">
        <f>IFERROR(ROUND(MIN(AH34,AK34*INDEX(INCRATE[Electric],MATCH("CMLIGHT",INCRATE[Incentive Type]))),2),"")</f>
        <v/>
      </c>
      <c r="AY34" s="830">
        <v>15</v>
      </c>
      <c r="AZ34" s="1103" t="str">
        <f t="shared" ref="AZ34" si="59">IFERROR(IF(AD34&lt;&gt;"",(AF34-AD34)*1,MIN(AF34*0.75,BB34*1)),"")</f>
        <v/>
      </c>
      <c r="BA34" s="1103" t="str">
        <f t="shared" ref="BA34" si="60">IFERROR(1-(AA34/N34),"")</f>
        <v/>
      </c>
      <c r="BB34" s="1103" t="str">
        <f>IFERROR(IF(ISNUMBER(SEARCH("Exterior",F34)),((N34-AA34)/1000)*INDEX(NCLIGHTINCCOST[WI Incremental Cost ($/sq ft)],MATCH("Exterior",NCLIGHTINCCOST[% Below Code],0)),IF(OR(BA34="",BA34&lt;=0),"",IF(BA34&lt;=0.2, C34*INDEX(NCLIGHTINCCOST[WI Incremental Cost ($/sq ft)],MATCH(0.2,NCLIGHTINCCOST[% Below Code],0)),IF(AND(BA34&gt;0.2,BA34&lt;0.4),C34*INDEX(NCLIGHTINCCOST[WI Incremental Cost ($/sq ft)],MATCH(0.3,NCLIGHTINCCOST[% Below Code],0)), IF(BA34&gt;=0.4,C34*INDEX(NCLIGHTINCCOST[WI Incremental Cost ($/sq ft)],MATCH(0.4,NCLIGHTINCCOST[% Below Code],0)),0))))),"")</f>
        <v/>
      </c>
      <c r="BC34" s="1152" t="str">
        <f>IFERROR(IF(OR(C34="",F34="",L34="",N34="",Q34="",S34="",Y34="",AA34="",AF34=""),"",IF(M02S02F46="Electric Only",0,IF(ISNUMBER(SEARCH("Exterior",F34)),0,IF(OR(M02S02F32="AC with Natural Gas Heat",M02S02F32="Natural Gas Heat Only"),(AK34*-IF('M04-S09'!$C$3="Building_Area_Method",INDEX(LPDWATT[Waste Heat Gas Heating IFTherms],MATCH(F34,LPDWATT[Building Area Type],0)),INDEX(LPDValues[Waste Heat Gas Heating IFTherms],MATCH(F34,LPDValues[Space_By_Space_Method],0)))),0)))),0)</f>
        <v/>
      </c>
      <c r="BD34" s="1103" t="str">
        <f>IFERROR(AH34/M02S02F35/AK34,"")</f>
        <v/>
      </c>
      <c r="BE34" s="1130" t="str">
        <f t="shared" ref="BE34" si="61">IF(OR(C34="",F34="",Q34="",S34="",AA34="",AF34=""),"",IF(ISNUMBER(AN34),IF(ISNUMBER(SEARCH("Exterior",F34)),"710102","710101"),IF(AK34=0,"","000001")))</f>
        <v/>
      </c>
      <c r="BF34" s="1103" t="str">
        <f>IFERROR(IF(OR(C34="",F34="",L34="",N34="",Q34="",S34="",Y34="",AA34="",AF34=""),"",IF(M02S02F46="Gas Only",0,IF(ISNUMBER(SEARCH("Exterior",F34)),0,IF(M02S02F32="Heat Pump",((((N34-Q34)-(AA34-Q34))/1000)*-IF('M04-S09'!$C$3="Building_Area_Method",INDEX(LPDWATT[Waste Heat Electric Heat Pump Heating IFkWh],MATCH(F34,LPDWATT[Building Area Type],0)),INDEX(LPDValues[Waste Heat Electric Heat Pump Heating IFkWh],MATCH(F34,LPDValues[Space_By_Space_Method],0)))),IF(OR(M02S02F32="AC with Electric Heat",M02S02F32="Electric Heat Only"),(((N34-Q34)-(AA34-Q34))/1000)*-IF('M04-S09'!$C$3="Building_Area_Method",INDEX(LPDWATT[Waste Heat Electric Resistance Heating IFkWh],MATCH(F34,LPDWATT[Building Area Type],0)),INDEX(LPDValues[Waste Heat Electric Resistance Heating IFkWh],MATCH(F34,LPDValues[Space_By_Space_Method],0))),0))))),0)</f>
        <v/>
      </c>
      <c r="BG34" s="1103" t="str">
        <f>IFERROR(IF((N34)-(AA34)&lt;=0,MEASURESAV,IF(M02S02F35="",MEASURERATE,IF(OR(F34="Others (Incremental)",F34="Others"),MEASURESUBMIT, IF(BD34&lt;1,MEASUREPAY,IF(AU34&lt;1,MEASURECB,""))))),MEASURESUBMIT)</f>
        <v>Submit for Review</v>
      </c>
    </row>
    <row r="35" spans="2:59" ht="15.95" customHeight="1">
      <c r="B35" s="834"/>
      <c r="C35" s="1141"/>
      <c r="D35" s="1141"/>
      <c r="E35" s="1141"/>
      <c r="F35" s="1133"/>
      <c r="G35" s="1133"/>
      <c r="H35" s="1133"/>
      <c r="I35" s="1133"/>
      <c r="J35" s="1133"/>
      <c r="K35" s="1133"/>
      <c r="L35" s="1129"/>
      <c r="M35" s="1129"/>
      <c r="N35" s="1113"/>
      <c r="O35" s="1113"/>
      <c r="P35" s="1113"/>
      <c r="Q35" s="1116"/>
      <c r="R35" s="1117"/>
      <c r="S35" s="1125"/>
      <c r="T35" s="1126"/>
      <c r="U35" s="1126"/>
      <c r="V35" s="1126"/>
      <c r="W35" s="1126"/>
      <c r="X35" s="1127"/>
      <c r="Y35" s="1129"/>
      <c r="Z35" s="1129"/>
      <c r="AA35" s="1113"/>
      <c r="AB35" s="1113"/>
      <c r="AC35" s="1113"/>
      <c r="AD35" s="1120"/>
      <c r="AE35" s="1121"/>
      <c r="AF35" s="1098"/>
      <c r="AG35" s="1098"/>
      <c r="AH35" s="1136"/>
      <c r="AI35" s="1137"/>
      <c r="AJ35" s="1137"/>
      <c r="AK35" s="912"/>
      <c r="AL35" s="913"/>
      <c r="AM35" s="942"/>
      <c r="AN35" s="1139"/>
      <c r="AO35" s="1139"/>
      <c r="AP35" s="1139"/>
      <c r="AQ35" s="1139"/>
      <c r="AS35"/>
      <c r="AT35"/>
      <c r="AU35" s="1108"/>
      <c r="AV35" s="1135"/>
      <c r="AW35" s="1135"/>
      <c r="AX35" s="1104"/>
      <c r="AY35" s="831"/>
      <c r="AZ35" s="1104"/>
      <c r="BA35" s="1104"/>
      <c r="BB35" s="1104"/>
      <c r="BC35" s="1153"/>
      <c r="BD35" s="1104"/>
      <c r="BE35" s="1131"/>
      <c r="BF35" s="1104"/>
      <c r="BG35" s="1104"/>
    </row>
    <row r="36" spans="2:59" ht="15.95" customHeight="1">
      <c r="B36" s="834">
        <v>11</v>
      </c>
      <c r="C36" s="1140"/>
      <c r="D36" s="1140"/>
      <c r="E36" s="1140"/>
      <c r="F36" s="1132" t="str">
        <f>IF(ISBLANK(M04S09F21),"",M04S09F21)</f>
        <v/>
      </c>
      <c r="G36" s="1132"/>
      <c r="H36" s="1132"/>
      <c r="I36" s="1132"/>
      <c r="J36" s="1132"/>
      <c r="K36" s="1132"/>
      <c r="L36" s="1128" t="str">
        <f>IF(F36="","",IF('M04-S09'!$C$3="Building_Area_Method",INDEX(LPDValues[BA IECC 2018  (Watts/ Sq. Ft.)],MATCH(F36,LPDValues[Building_Area_Method]),0),IF('M04-S09'!$C$3="Space_By_Space_Method",INDEX(LPDValues[SBS IECC 2018  (Watts/ Sq. Ft.)],MATCH(F36,LPDValues[Space_By_Space_Method],0)))))</f>
        <v/>
      </c>
      <c r="M36" s="1128"/>
      <c r="N36" s="1112" t="str">
        <f t="shared" ref="N36" si="62">IF(OR(C36="",F36=""),"",C36*L36)</f>
        <v/>
      </c>
      <c r="O36" s="1112"/>
      <c r="P36" s="1112"/>
      <c r="Q36" s="1114" t="str">
        <f>IF(F36="","",INDEX(LPDWATT[Fixture Annual Operating Hours],MATCH(F36,LPDWATT[Building Area Type]),0))</f>
        <v/>
      </c>
      <c r="R36" s="1115"/>
      <c r="S36" s="1122" t="str">
        <f>IF(F36="","","Lighting Schedule Space Type #11")</f>
        <v/>
      </c>
      <c r="T36" s="1123"/>
      <c r="U36" s="1123"/>
      <c r="V36" s="1123"/>
      <c r="W36" s="1123"/>
      <c r="X36" s="1124"/>
      <c r="Y36" s="1128" t="str">
        <f t="shared" ref="Y36" si="63">IF(OR(C36="",F36=""),"",ROUND(AA36/C36,2))</f>
        <v/>
      </c>
      <c r="Z36" s="1128"/>
      <c r="AA36" s="1112" t="str">
        <f>IF(OR(S36="",F36=""),"",M04S09F22)</f>
        <v/>
      </c>
      <c r="AB36" s="1112"/>
      <c r="AC36" s="1112"/>
      <c r="AD36" s="1118"/>
      <c r="AE36" s="1119"/>
      <c r="AF36" s="1097"/>
      <c r="AG36" s="1097"/>
      <c r="AH36" s="870" t="str">
        <f t="shared" ref="AH36" si="64">IFERROR(IF(OR(L36="",F36="",Q36="",S36="",N36="",C36="",Y36="",AA36="",AF36=""),"",ROUND(AZ36,2)),0)</f>
        <v/>
      </c>
      <c r="AI36" s="1102"/>
      <c r="AJ36" s="1102"/>
      <c r="AK36" s="910" t="str">
        <f t="shared" ref="AK36" si="65">IF(OR(C36="",F36="",L36="",N36="",Q36="",,S36="",Y36="",AA36="",AF36=""),"",IF((N36)-(AA36)&lt;=0,0,ROUND(((((N36*Q36)-(AA36*Q36))/1000)+BF36)*AW36,2)))</f>
        <v/>
      </c>
      <c r="AL36" s="911"/>
      <c r="AM36" s="975"/>
      <c r="AN36" s="1138" t="str">
        <f t="shared" ref="AN36" si="66">IF(OR(C36="",F36="",L36="",N36="",Q36="",Y36="",S36="",,AA36="",AF36=""),"",IF(BG36&lt;&gt;"",BG36,AX36))</f>
        <v/>
      </c>
      <c r="AO36" s="1138"/>
      <c r="AP36" s="1138"/>
      <c r="AQ36" s="1138"/>
      <c r="AR36" s="59"/>
      <c r="AU36" s="1109" t="str">
        <f>IF(OR(C36="",F36="",L36="",N36="",Q36="",S36="",Y36="",AA36="",AF36=""),"",((((1+ELOSS)*((AK36*INDEX(ELECCB[NPV AEC $/kWh],MATCH(15,ELECCB[Year Number],0)))+(AV36*INDEX(ELECCB[NPV ACC+T&amp;D $/kW],MATCH(15,ELECCB[Year Number],0)))))+((1+GLOSS)*((BC36*INDEX(GASCB[NPV GAEC $/therm],MATCH(15,GASCB[Year Number],1))))))/AH36))</f>
        <v/>
      </c>
      <c r="AV36" s="1134" t="str">
        <f>IFERROR(IF(OR(C36="",F36="",L36="",N36="",Q36="",S36="",Y36="",AA36="",AF36=""),"",IF(OR(ISNUMBER(SEARCH("Exterior",F36)),((N36)-(AA36)&lt;=0)),0,
ROUND((((N36)-(AA36))/1000)*IF('M04-S09'!$C$3="Building_Area_Method",INDEX(LPDWATT[Lighting Coincidence Factor],MATCH(F36,LPDWATT[Building Area Type],0)),INDEX(LPDValues[Lighting Coincidence Factor],MATCH(F36,LPDValues[Space_By_Space_Method],0)))*IF(OR(M02S02F32="AC with Natural Gas Heat",M02S02F32="AC with Electric Heat",M02S02F32="Heat Pump"),IF('M04-S09'!$C$3="Building_Area_Method",INDEX(LPDWATT[Waste Heat Cooling Demand WHFd],MATCH(F36,LPDWATT[Building Area Type],0)),INDEX(LPDValues[Waste Heat Cooling Demand WHFd],MATCH(F36,LPDValues[Space_By_Space_Method],0)))),3))),"")</f>
        <v/>
      </c>
      <c r="AW36" s="1134" t="str" cm="1">
        <f t="array" ref="AW36">IFERROR(IF(OR(C36="",F36="",L36="",N36="",Q36="",S36="",Y36="",AA36="",AF36=""),"",IF(M02S02F46="Gas Only",0,IF(ISNUMBER(SEARCH("Exterior",F36)),1,IF(OR(M02S02F32="Heat Pump",M02S02F32="AC with Natural Gas Heat",M02S02F32="AC with Electric Heat"),IF('M04-S09'!$C$3="Building_Area_Method",(INDEX(LPDWATT[Waste Heat Cooling Energy WHFe],MATCH(F36,LPDWATT[Building Area Type],0))),INDEX(LPDValues[Waste Heat Cooling Energy WHFe],MATCH(F36,LPDValues[Space_By_Space_Method]),0)),1)))),0)</f>
        <v/>
      </c>
      <c r="AX36" s="1103" t="str">
        <f>IFERROR(ROUND(MIN(AH36,AK36*INDEX(INCRATE[Electric],MATCH("CMLIGHT",INCRATE[Incentive Type]))),2),"")</f>
        <v/>
      </c>
      <c r="AY36" s="830">
        <v>15</v>
      </c>
      <c r="AZ36" s="1103" t="str">
        <f t="shared" ref="AZ36" si="67">IFERROR(IF(AD36&lt;&gt;"",(AF36-AD36)*1,MIN(AF36*0.75,BB36*1)),"")</f>
        <v/>
      </c>
      <c r="BA36" s="1103" t="str">
        <f t="shared" ref="BA36" si="68">IFERROR(1-(AA36/N36),"")</f>
        <v/>
      </c>
      <c r="BB36" s="1103" t="str">
        <f>IFERROR(IF(ISNUMBER(SEARCH("Exterior",F36)),((N36-AA36)/1000)*INDEX(NCLIGHTINCCOST[WI Incremental Cost ($/sq ft)],MATCH("Exterior",NCLIGHTINCCOST[% Below Code],0)),IF(OR(BA36="",BA36&lt;=0),"",IF(BA36&lt;=0.2, C36*INDEX(NCLIGHTINCCOST[WI Incremental Cost ($/sq ft)],MATCH(0.2,NCLIGHTINCCOST[% Below Code],0)),IF(AND(BA36&gt;0.2,BA36&lt;0.4),C36*INDEX(NCLIGHTINCCOST[WI Incremental Cost ($/sq ft)],MATCH(0.3,NCLIGHTINCCOST[% Below Code],0)), IF(BA36&gt;=0.4,C36*INDEX(NCLIGHTINCCOST[WI Incremental Cost ($/sq ft)],MATCH(0.4,NCLIGHTINCCOST[% Below Code],0)),0))))),"")</f>
        <v/>
      </c>
      <c r="BC36" s="1152" t="str">
        <f>IFERROR(IF(OR(C36="",F36="",L36="",N36="",Q36="",S36="",Y36="",AA36="",AF36=""),"",IF(M02S02F46="Electric Only",0,IF(ISNUMBER(SEARCH("Exterior",F36)),0,IF(OR(M02S02F32="AC with Natural Gas Heat",M02S02F32="Natural Gas Heat Only"),(AK36*-IF('M04-S09'!$C$3="Building_Area_Method",INDEX(LPDWATT[Waste Heat Gas Heating IFTherms],MATCH(F36,LPDWATT[Building Area Type],0)),INDEX(LPDValues[Waste Heat Gas Heating IFTherms],MATCH(F36,LPDValues[Space_By_Space_Method],0)))),0)))),0)</f>
        <v/>
      </c>
      <c r="BD36" s="1103" t="str">
        <f>IFERROR(AH36/M02S02F35/AK36,"")</f>
        <v/>
      </c>
      <c r="BE36" s="1130" t="str">
        <f t="shared" ref="BE36" si="69">IF(OR(C36="",F36="",Q36="",S36="",AA36="",AF36=""),"",IF(ISNUMBER(AN36),IF(ISNUMBER(SEARCH("Exterior",F36)),"710102","710101"),IF(AK36=0,"","000001")))</f>
        <v/>
      </c>
      <c r="BF36" s="1103" t="str">
        <f>IFERROR(IF(OR(C36="",F36="",L36="",N36="",Q36="",S36="",Y36="",AA36="",AF36=""),"",IF(M02S02F46="Gas Only",0,IF(ISNUMBER(SEARCH("Exterior",F36)),0,IF(M02S02F32="Heat Pump",((((N36-Q36)-(AA36-Q36))/1000)*-IF('M04-S09'!$C$3="Building_Area_Method",INDEX(LPDWATT[Waste Heat Electric Heat Pump Heating IFkWh],MATCH(F36,LPDWATT[Building Area Type],0)),INDEX(LPDValues[Waste Heat Electric Heat Pump Heating IFkWh],MATCH(F36,LPDValues[Space_By_Space_Method],0)))),IF(OR(M02S02F32="AC with Electric Heat",M02S02F32="Electric Heat Only"),(((N36-Q36)-(AA36-Q36))/1000)*-IF('M04-S09'!$C$3="Building_Area_Method",INDEX(LPDWATT[Waste Heat Electric Resistance Heating IFkWh],MATCH(F36,LPDWATT[Building Area Type],0)),INDEX(LPDValues[Waste Heat Electric Resistance Heating IFkWh],MATCH(F36,LPDValues[Space_By_Space_Method],0))),0))))),0)</f>
        <v/>
      </c>
      <c r="BG36" s="1103" t="str">
        <f>IFERROR(IF((N36)-(AA36)&lt;=0,MEASURESAV,IF(M02S02F35="",MEASURERATE,IF(OR(F36="Others (Incremental)",F36="Others"),MEASURESUBMIT, IF(BD36&lt;1,MEASUREPAY,IF(AU36&lt;1,MEASURECB,""))))),MEASURESUBMIT)</f>
        <v>Submit for Review</v>
      </c>
    </row>
    <row r="37" spans="2:59" ht="15.95" customHeight="1">
      <c r="B37" s="834"/>
      <c r="C37" s="1141"/>
      <c r="D37" s="1141"/>
      <c r="E37" s="1141"/>
      <c r="F37" s="1133"/>
      <c r="G37" s="1133"/>
      <c r="H37" s="1133"/>
      <c r="I37" s="1133"/>
      <c r="J37" s="1133"/>
      <c r="K37" s="1133"/>
      <c r="L37" s="1129"/>
      <c r="M37" s="1129"/>
      <c r="N37" s="1113"/>
      <c r="O37" s="1113"/>
      <c r="P37" s="1113"/>
      <c r="Q37" s="1116"/>
      <c r="R37" s="1117"/>
      <c r="S37" s="1125"/>
      <c r="T37" s="1126"/>
      <c r="U37" s="1126"/>
      <c r="V37" s="1126"/>
      <c r="W37" s="1126"/>
      <c r="X37" s="1127"/>
      <c r="Y37" s="1129"/>
      <c r="Z37" s="1129"/>
      <c r="AA37" s="1113"/>
      <c r="AB37" s="1113"/>
      <c r="AC37" s="1113"/>
      <c r="AD37" s="1120"/>
      <c r="AE37" s="1121"/>
      <c r="AF37" s="1098"/>
      <c r="AG37" s="1098"/>
      <c r="AH37" s="1136"/>
      <c r="AI37" s="1137"/>
      <c r="AJ37" s="1137"/>
      <c r="AK37" s="912"/>
      <c r="AL37" s="913"/>
      <c r="AM37" s="942"/>
      <c r="AN37" s="1139"/>
      <c r="AO37" s="1139"/>
      <c r="AP37" s="1139"/>
      <c r="AQ37" s="1139"/>
      <c r="AR37" s="59"/>
      <c r="AU37" s="1108"/>
      <c r="AV37" s="1135"/>
      <c r="AW37" s="1135"/>
      <c r="AX37" s="1104"/>
      <c r="AY37" s="831"/>
      <c r="AZ37" s="1104"/>
      <c r="BA37" s="1104"/>
      <c r="BB37" s="1104"/>
      <c r="BC37" s="1153"/>
      <c r="BD37" s="1104"/>
      <c r="BE37" s="1131"/>
      <c r="BF37" s="1104"/>
      <c r="BG37" s="1104"/>
    </row>
    <row r="38" spans="2:59" ht="15.95" customHeight="1">
      <c r="B38" s="834">
        <v>12</v>
      </c>
      <c r="C38" s="1140"/>
      <c r="D38" s="1140"/>
      <c r="E38" s="1140"/>
      <c r="F38" s="1132" t="str">
        <f>IF(ISBLANK(M04S09F23),"",M04S09F23)</f>
        <v/>
      </c>
      <c r="G38" s="1132"/>
      <c r="H38" s="1132"/>
      <c r="I38" s="1132"/>
      <c r="J38" s="1132"/>
      <c r="K38" s="1132"/>
      <c r="L38" s="1128" t="str">
        <f>IF(F38="","",IF('M04-S09'!$C$3="Building_Area_Method",INDEX(LPDValues[BA IECC 2018  (Watts/ Sq. Ft.)],MATCH(F38,LPDValues[Building_Area_Method]),0),IF('M04-S09'!$C$3="Space_By_Space_Method",INDEX(LPDValues[SBS IECC 2018  (Watts/ Sq. Ft.)],MATCH(F38,LPDValues[Space_By_Space_Method],0)))))</f>
        <v/>
      </c>
      <c r="M38" s="1128"/>
      <c r="N38" s="1112" t="str">
        <f t="shared" ref="N38" si="70">IF(OR(C38="",F38=""),"",C38*L38)</f>
        <v/>
      </c>
      <c r="O38" s="1112"/>
      <c r="P38" s="1112"/>
      <c r="Q38" s="1114" t="str">
        <f>IF(F38="","",INDEX(LPDWATT[Fixture Annual Operating Hours],MATCH(F38,LPDWATT[Building Area Type]),0))</f>
        <v/>
      </c>
      <c r="R38" s="1115"/>
      <c r="S38" s="1122" t="str">
        <f>IF(F38="","","Lighting Schedule Space Type #12")</f>
        <v/>
      </c>
      <c r="T38" s="1123"/>
      <c r="U38" s="1123"/>
      <c r="V38" s="1123"/>
      <c r="W38" s="1123"/>
      <c r="X38" s="1124"/>
      <c r="Y38" s="1128" t="str">
        <f t="shared" ref="Y38" si="71">IF(OR(C38="",F38=""),"",ROUND(AA38/C38,2))</f>
        <v/>
      </c>
      <c r="Z38" s="1128"/>
      <c r="AA38" s="1112" t="str">
        <f>IF(OR(S38="",F38=""),"",M04S09F24)</f>
        <v/>
      </c>
      <c r="AB38" s="1112"/>
      <c r="AC38" s="1112"/>
      <c r="AD38" s="1118"/>
      <c r="AE38" s="1119"/>
      <c r="AF38" s="1097"/>
      <c r="AG38" s="1097"/>
      <c r="AH38" s="870" t="str">
        <f t="shared" ref="AH38" si="72">IFERROR(IF(OR(L38="",F38="",Q38="",S38="",N38="",C38="",Y38="",AA38="",AF38=""),"",ROUND(AZ38,2)),0)</f>
        <v/>
      </c>
      <c r="AI38" s="1102"/>
      <c r="AJ38" s="1102"/>
      <c r="AK38" s="910" t="str">
        <f t="shared" ref="AK38" si="73">IF(OR(C38="",F38="",L38="",N38="",Q38="",,S38="",Y38="",AA38="",AF38=""),"",IF((N38)-(AA38)&lt;=0,0,ROUND(((((N38*Q38)-(AA38*Q38))/1000)+BF38)*AW38,2)))</f>
        <v/>
      </c>
      <c r="AL38" s="911"/>
      <c r="AM38" s="975"/>
      <c r="AN38" s="1138" t="str">
        <f t="shared" ref="AN38" si="74">IF(OR(C38="",F38="",L38="",N38="",Q38="",Y38="",S38="",,AA38="",AF38=""),"",IF(BG38&lt;&gt;"",BG38,AX38))</f>
        <v/>
      </c>
      <c r="AO38" s="1138"/>
      <c r="AP38" s="1138"/>
      <c r="AQ38" s="1138"/>
      <c r="AR38" s="59"/>
      <c r="AU38" s="1109" t="str">
        <f>IF(OR(C38="",F38="",L38="",N38="",Q38="",S38="",Y38="",AA38="",AF38=""),"",((((1+ELOSS)*((AK38*INDEX(ELECCB[NPV AEC $/kWh],MATCH(15,ELECCB[Year Number],0)))+(AV38*INDEX(ELECCB[NPV ACC+T&amp;D $/kW],MATCH(15,ELECCB[Year Number],0)))))+((1+GLOSS)*((BC38*INDEX(GASCB[NPV GAEC $/therm],MATCH(15,GASCB[Year Number],1))))))/AH38))</f>
        <v/>
      </c>
      <c r="AV38" s="1134" t="str">
        <f>IFERROR(IF(OR(C38="",F38="",L38="",N38="",Q38="",S38="",Y38="",AA38="",AF38=""),"",IF(OR(ISNUMBER(SEARCH("Exterior",F38)),((N38)-(AA38)&lt;=0)),0,
ROUND((((N38)-(AA38))/1000)*IF('M04-S09'!$C$3="Building_Area_Method",INDEX(LPDWATT[Lighting Coincidence Factor],MATCH(F38,LPDWATT[Building Area Type],0)),INDEX(LPDValues[Lighting Coincidence Factor],MATCH(F38,LPDValues[Space_By_Space_Method],0)))*IF(OR(M02S02F32="AC with Natural Gas Heat",M02S02F32="AC with Electric Heat",M02S02F32="Heat Pump"),IF('M04-S09'!$C$3="Building_Area_Method",INDEX(LPDWATT[Waste Heat Cooling Demand WHFd],MATCH(F38,LPDWATT[Building Area Type],0)),INDEX(LPDValues[Waste Heat Cooling Demand WHFd],MATCH(F38,LPDValues[Space_By_Space_Method],0)))),3))),"")</f>
        <v/>
      </c>
      <c r="AW38" s="1134" t="str" cm="1">
        <f t="array" ref="AW38">IFERROR(IF(OR(C38="",F38="",L38="",N38="",Q38="",S38="",Y38="",AA38="",AF38=""),"",IF(M02S02F46="Gas Only",0,IF(ISNUMBER(SEARCH("Exterior",F38)),1,IF(OR(M02S02F32="Heat Pump",M02S02F32="AC with Natural Gas Heat",M02S02F32="AC with Electric Heat"),IF('M04-S09'!$C$3="Building_Area_Method",(INDEX(LPDWATT[Waste Heat Cooling Energy WHFe],MATCH(F38,LPDWATT[Building Area Type],0))),INDEX(LPDValues[Waste Heat Cooling Energy WHFe],MATCH(F38,LPDValues[Space_By_Space_Method]),0)),1)))),0)</f>
        <v/>
      </c>
      <c r="AX38" s="1103" t="str">
        <f>IFERROR(ROUND(MIN(AH38,AK38*INDEX(INCRATE[Electric],MATCH("CMLIGHT",INCRATE[Incentive Type]))),2),"")</f>
        <v/>
      </c>
      <c r="AY38" s="830">
        <v>15</v>
      </c>
      <c r="AZ38" s="1103" t="str">
        <f t="shared" ref="AZ38" si="75">IFERROR(IF(AD38&lt;&gt;"",(AF38-AD38)*1,MIN(AF38*0.75,BB38*1)),"")</f>
        <v/>
      </c>
      <c r="BA38" s="1103" t="str">
        <f t="shared" ref="BA38" si="76">IFERROR(1-(AA38/N38),"")</f>
        <v/>
      </c>
      <c r="BB38" s="1103" t="str">
        <f>IFERROR(IF(ISNUMBER(SEARCH("Exterior",F38)),((N38-AA38)/1000)*INDEX(NCLIGHTINCCOST[WI Incremental Cost ($/sq ft)],MATCH("Exterior",NCLIGHTINCCOST[% Below Code],0)),IF(OR(BA38="",BA38&lt;=0),"",IF(BA38&lt;=0.2, C38*INDEX(NCLIGHTINCCOST[WI Incremental Cost ($/sq ft)],MATCH(0.2,NCLIGHTINCCOST[% Below Code],0)),IF(AND(BA38&gt;0.2,BA38&lt;0.4),C38*INDEX(NCLIGHTINCCOST[WI Incremental Cost ($/sq ft)],MATCH(0.3,NCLIGHTINCCOST[% Below Code],0)), IF(BA38&gt;=0.4,C38*INDEX(NCLIGHTINCCOST[WI Incremental Cost ($/sq ft)],MATCH(0.4,NCLIGHTINCCOST[% Below Code],0)),0))))),"")</f>
        <v/>
      </c>
      <c r="BC38" s="1152" t="str">
        <f>IFERROR(IF(OR(C38="",F38="",L38="",N38="",Q38="",S38="",Y38="",AA38="",AF38=""),"",IF(M02S02F46="Electric Only",0,IF(ISNUMBER(SEARCH("Exterior",F38)),0,IF(OR(M02S02F32="AC with Natural Gas Heat",M02S02F32="Natural Gas Heat Only"),(AK38*-IF('M04-S09'!$C$3="Building_Area_Method",INDEX(LPDWATT[Waste Heat Gas Heating IFTherms],MATCH(F38,LPDWATT[Building Area Type],0)),INDEX(LPDValues[Waste Heat Gas Heating IFTherms],MATCH(F38,LPDValues[Space_By_Space_Method],0)))),0)))),0)</f>
        <v/>
      </c>
      <c r="BD38" s="1103" t="str">
        <f>IFERROR(AH38/M02S02F35/AK38,"")</f>
        <v/>
      </c>
      <c r="BE38" s="1130" t="str">
        <f t="shared" ref="BE38" si="77">IF(OR(C38="",F38="",Q38="",S38="",AA38="",AF38=""),"",IF(ISNUMBER(AN38),IF(ISNUMBER(SEARCH("Exterior",F38)),"710102","710101"),IF(AK38=0,"","000001")))</f>
        <v/>
      </c>
      <c r="BF38" s="1103" t="str">
        <f>IFERROR(IF(OR(C38="",F38="",L38="",N38="",Q38="",S38="",Y38="",AA38="",AF38=""),"",IF(M02S02F46="Gas Only",0,IF(ISNUMBER(SEARCH("Exterior",F38)),0,IF(M02S02F32="Heat Pump",((((N38-Q38)-(AA38-Q38))/1000)*-IF('M04-S09'!$C$3="Building_Area_Method",INDEX(LPDWATT[Waste Heat Electric Heat Pump Heating IFkWh],MATCH(F38,LPDWATT[Building Area Type],0)),INDEX(LPDValues[Waste Heat Electric Heat Pump Heating IFkWh],MATCH(F38,LPDValues[Space_By_Space_Method],0)))),IF(OR(M02S02F32="AC with Electric Heat",M02S02F32="Electric Heat Only"),(((N38-Q38)-(AA38-Q38))/1000)*-IF('M04-S09'!$C$3="Building_Area_Method",INDEX(LPDWATT[Waste Heat Electric Resistance Heating IFkWh],MATCH(F38,LPDWATT[Building Area Type],0)),INDEX(LPDValues[Waste Heat Electric Resistance Heating IFkWh],MATCH(F38,LPDValues[Space_By_Space_Method],0))),0))))),0)</f>
        <v/>
      </c>
      <c r="BG38" s="1103" t="str">
        <f>IFERROR(IF((N38)-(AA38)&lt;=0,MEASURESAV,IF(M02S02F35="",MEASURERATE,IF(OR(F38="Others (Incremental)",F38="Others"),MEASURESUBMIT, IF(BD38&lt;1,MEASUREPAY,IF(AU38&lt;1,MEASURECB,""))))),MEASURESUBMIT)</f>
        <v>Submit for Review</v>
      </c>
    </row>
    <row r="39" spans="2:59" ht="15.95" customHeight="1">
      <c r="B39" s="834"/>
      <c r="C39" s="1141"/>
      <c r="D39" s="1141"/>
      <c r="E39" s="1141"/>
      <c r="F39" s="1133"/>
      <c r="G39" s="1133"/>
      <c r="H39" s="1133"/>
      <c r="I39" s="1133"/>
      <c r="J39" s="1133"/>
      <c r="K39" s="1133"/>
      <c r="L39" s="1129"/>
      <c r="M39" s="1129"/>
      <c r="N39" s="1113"/>
      <c r="O39" s="1113"/>
      <c r="P39" s="1113"/>
      <c r="Q39" s="1116"/>
      <c r="R39" s="1117"/>
      <c r="S39" s="1125"/>
      <c r="T39" s="1126"/>
      <c r="U39" s="1126"/>
      <c r="V39" s="1126"/>
      <c r="W39" s="1126"/>
      <c r="X39" s="1127"/>
      <c r="Y39" s="1129"/>
      <c r="Z39" s="1129"/>
      <c r="AA39" s="1113"/>
      <c r="AB39" s="1113"/>
      <c r="AC39" s="1113"/>
      <c r="AD39" s="1120"/>
      <c r="AE39" s="1121"/>
      <c r="AF39" s="1098"/>
      <c r="AG39" s="1098"/>
      <c r="AH39" s="1136"/>
      <c r="AI39" s="1137"/>
      <c r="AJ39" s="1137"/>
      <c r="AK39" s="912"/>
      <c r="AL39" s="913"/>
      <c r="AM39" s="942"/>
      <c r="AN39" s="1139"/>
      <c r="AO39" s="1139"/>
      <c r="AP39" s="1139"/>
      <c r="AQ39" s="1139"/>
      <c r="AR39" s="59"/>
      <c r="AU39" s="1108"/>
      <c r="AV39" s="1135"/>
      <c r="AW39" s="1135"/>
      <c r="AX39" s="1104"/>
      <c r="AY39" s="831"/>
      <c r="AZ39" s="1104"/>
      <c r="BA39" s="1104"/>
      <c r="BB39" s="1104"/>
      <c r="BC39" s="1153"/>
      <c r="BD39" s="1104"/>
      <c r="BE39" s="1131"/>
      <c r="BF39" s="1104"/>
      <c r="BG39" s="1104"/>
    </row>
    <row r="40" spans="2:59" ht="15.95" customHeight="1">
      <c r="B40" s="929">
        <v>13</v>
      </c>
      <c r="C40" s="1140"/>
      <c r="D40" s="1140"/>
      <c r="E40" s="1140"/>
      <c r="F40" s="1132" t="str">
        <f>IF(ISBLANK(M04S09F25),"",M04S09F25)</f>
        <v/>
      </c>
      <c r="G40" s="1132"/>
      <c r="H40" s="1132"/>
      <c r="I40" s="1132"/>
      <c r="J40" s="1132"/>
      <c r="K40" s="1132"/>
      <c r="L40" s="1128" t="str">
        <f>IF(F40="","",IF('M04-S09'!$C$3="Building_Area_Method",INDEX(LPDValues[BA IECC 2018  (Watts/ Sq. Ft.)],MATCH(F40,LPDValues[Building_Area_Method]),0),IF('M04-S09'!$C$3="Space_By_Space_Method",INDEX(LPDValues[SBS IECC 2018  (Watts/ Sq. Ft.)],MATCH(F40,LPDValues[Space_By_Space_Method],0)))))</f>
        <v/>
      </c>
      <c r="M40" s="1128"/>
      <c r="N40" s="1112" t="str">
        <f t="shared" ref="N40" si="78">IF(OR(C40="",F40=""),"",C40*L40)</f>
        <v/>
      </c>
      <c r="O40" s="1112"/>
      <c r="P40" s="1112"/>
      <c r="Q40" s="1114" t="str">
        <f>IF(F40="","",INDEX(LPDWATT[Fixture Annual Operating Hours],MATCH(F40,LPDWATT[Building Area Type]),0))</f>
        <v/>
      </c>
      <c r="R40" s="1115"/>
      <c r="S40" s="1122" t="str">
        <f>IF(F40="","","Lighting Schedule Space Type #13")</f>
        <v/>
      </c>
      <c r="T40" s="1123"/>
      <c r="U40" s="1123"/>
      <c r="V40" s="1123"/>
      <c r="W40" s="1123"/>
      <c r="X40" s="1124"/>
      <c r="Y40" s="1128" t="str">
        <f t="shared" ref="Y40" si="79">IF(OR(C40="",F40=""),"",ROUND(AA40/C40,2))</f>
        <v/>
      </c>
      <c r="Z40" s="1128"/>
      <c r="AA40" s="1112" t="str">
        <f>IF(OR(S40="",F40=""),"",M04S09F26)</f>
        <v/>
      </c>
      <c r="AB40" s="1112"/>
      <c r="AC40" s="1112"/>
      <c r="AD40" s="1118"/>
      <c r="AE40" s="1119"/>
      <c r="AF40" s="1097"/>
      <c r="AG40" s="1097"/>
      <c r="AH40" s="870" t="str">
        <f t="shared" ref="AH40" si="80">IFERROR(IF(OR(L40="",F40="",Q40="",S40="",N40="",C40="",Y40="",AA40="",AF40=""),"",ROUND(AZ40,2)),0)</f>
        <v/>
      </c>
      <c r="AI40" s="1102"/>
      <c r="AJ40" s="1102"/>
      <c r="AK40" s="910" t="str">
        <f t="shared" ref="AK40" si="81">IF(OR(C40="",F40="",L40="",N40="",Q40="",,S40="",Y40="",AA40="",AF40=""),"",IF((N40)-(AA40)&lt;=0,0,ROUND(((((N40*Q40)-(AA40*Q40))/1000)+BF40)*AW40,2)))</f>
        <v/>
      </c>
      <c r="AL40" s="911"/>
      <c r="AM40" s="975"/>
      <c r="AN40" s="1138" t="str">
        <f t="shared" ref="AN40" si="82">IF(OR(C40="",F40="",L40="",N40="",Q40="",Y40="",S40="",,AA40="",AF40=""),"",IF(BG40&lt;&gt;"",BG40,AX40))</f>
        <v/>
      </c>
      <c r="AO40" s="1138"/>
      <c r="AP40" s="1138"/>
      <c r="AQ40" s="1138"/>
      <c r="AU40" s="1109" t="str">
        <f>IF(OR(C40="",F40="",L40="",N40="",Q40="",S40="",Y40="",AA40="",AF40=""),"",((((1+ELOSS)*((AK40*INDEX(ELECCB[NPV AEC $/kWh],MATCH(15,ELECCB[Year Number],0)))+(AV40*INDEX(ELECCB[NPV ACC+T&amp;D $/kW],MATCH(15,ELECCB[Year Number],0)))))+((1+GLOSS)*((BC40*INDEX(GASCB[NPV GAEC $/therm],MATCH(15,GASCB[Year Number],1))))))/AH40))</f>
        <v/>
      </c>
      <c r="AV40" s="1134" t="str">
        <f>IFERROR(IF(OR(C40="",F40="",L40="",N40="",Q40="",S40="",Y40="",AA40="",AF40=""),"",IF(OR(ISNUMBER(SEARCH("Exterior",F40)),((N40)-(AA40)&lt;=0)),0,
ROUND((((N40)-(AA40))/1000)*IF('M04-S09'!$C$3="Building_Area_Method",INDEX(LPDWATT[Lighting Coincidence Factor],MATCH(F40,LPDWATT[Building Area Type],0)),INDEX(LPDValues[Lighting Coincidence Factor],MATCH(F40,LPDValues[Space_By_Space_Method],0)))*IF(OR(M02S02F32="AC with Natural Gas Heat",M02S02F32="AC with Electric Heat",M02S02F32="Heat Pump"),IF('M04-S09'!$C$3="Building_Area_Method",INDEX(LPDWATT[Waste Heat Cooling Demand WHFd],MATCH(F40,LPDWATT[Building Area Type],0)),INDEX(LPDValues[Waste Heat Cooling Demand WHFd],MATCH(F40,LPDValues[Space_By_Space_Method],0)))),3))),"")</f>
        <v/>
      </c>
      <c r="AW40" s="1134" t="str" cm="1">
        <f t="array" ref="AW40">IFERROR(IF(OR(C40="",F40="",L40="",N40="",Q40="",S40="",Y40="",AA40="",AF40=""),"",IF(M02S02F46="Gas Only",0,IF(ISNUMBER(SEARCH("Exterior",F40)),1,IF(OR(M02S02F32="Heat Pump",M02S02F32="AC with Natural Gas Heat",M02S02F32="AC with Electric Heat"),IF('M04-S09'!$C$3="Building_Area_Method",(INDEX(LPDWATT[Waste Heat Cooling Energy WHFe],MATCH(F40,LPDWATT[Building Area Type],0))),INDEX(LPDValues[Waste Heat Cooling Energy WHFe],MATCH(F40,LPDValues[Space_By_Space_Method]),0)),1)))),0)</f>
        <v/>
      </c>
      <c r="AX40" s="1103" t="str">
        <f>IFERROR(ROUND(MIN(AH40,AK40*INDEX(INCRATE[Electric],MATCH("CMLIGHT",INCRATE[Incentive Type]))),2),"")</f>
        <v/>
      </c>
      <c r="AY40" s="830">
        <v>15</v>
      </c>
      <c r="AZ40" s="1103" t="str">
        <f t="shared" ref="AZ40" si="83">IFERROR(IF(AD40&lt;&gt;"",(AF40-AD40)*1,MIN(AF40*0.75,BB40*1)),"")</f>
        <v/>
      </c>
      <c r="BA40" s="1103" t="str">
        <f t="shared" ref="BA40" si="84">IFERROR(1-(AA40/N40),"")</f>
        <v/>
      </c>
      <c r="BB40" s="1103" t="str">
        <f>IFERROR(IF(ISNUMBER(SEARCH("Exterior",F40)),((N40-AA40)/1000)*INDEX(NCLIGHTINCCOST[WI Incremental Cost ($/sq ft)],MATCH("Exterior",NCLIGHTINCCOST[% Below Code],0)),IF(OR(BA40="",BA40&lt;=0),"",IF(BA40&lt;=0.2, C40*INDEX(NCLIGHTINCCOST[WI Incremental Cost ($/sq ft)],MATCH(0.2,NCLIGHTINCCOST[% Below Code],0)),IF(AND(BA40&gt;0.2,BA40&lt;0.4),C40*INDEX(NCLIGHTINCCOST[WI Incremental Cost ($/sq ft)],MATCH(0.3,NCLIGHTINCCOST[% Below Code],0)), IF(BA40&gt;=0.4,C40*INDEX(NCLIGHTINCCOST[WI Incremental Cost ($/sq ft)],MATCH(0.4,NCLIGHTINCCOST[% Below Code],0)),0))))),"")</f>
        <v/>
      </c>
      <c r="BC40" s="1152" t="str">
        <f>IFERROR(IF(OR(C40="",F40="",L40="",N40="",Q40="",S40="",Y40="",AA40="",AF40=""),"",IF(M02S02F46="Electric Only",0,IF(ISNUMBER(SEARCH("Exterior",F40)),0,IF(OR(M02S02F32="AC with Natural Gas Heat",M02S02F32="Natural Gas Heat Only"),(AK40*-IF('M04-S09'!$C$3="Building_Area_Method",INDEX(LPDWATT[Waste Heat Gas Heating IFTherms],MATCH(F40,LPDWATT[Building Area Type],0)),INDEX(LPDValues[Waste Heat Gas Heating IFTherms],MATCH(F40,LPDValues[Space_By_Space_Method],0)))),0)))),0)</f>
        <v/>
      </c>
      <c r="BD40" s="1103" t="str">
        <f>IFERROR(AH40/M02S02F35/AK40,"")</f>
        <v/>
      </c>
      <c r="BE40" s="1130" t="str">
        <f t="shared" ref="BE40" si="85">IF(OR(C40="",F40="",Q40="",S40="",AA40="",AF40=""),"",IF(ISNUMBER(AN40),IF(ISNUMBER(SEARCH("Exterior",F40)),"710102","710101"),IF(AK40=0,"","000001")))</f>
        <v/>
      </c>
      <c r="BF40" s="1103" t="str">
        <f>IFERROR(IF(OR(C40="",F40="",L40="",N40="",Q40="",S40="",Y40="",AA40="",AF40=""),"",IF(M02S02F46="Gas Only",0,IF(ISNUMBER(SEARCH("Exterior",F40)),0,IF(M02S02F32="Heat Pump",((((N40-Q40)-(AA40-Q40))/1000)*-IF('M04-S09'!$C$3="Building_Area_Method",INDEX(LPDWATT[Waste Heat Electric Heat Pump Heating IFkWh],MATCH(F40,LPDWATT[Building Area Type],0)),INDEX(LPDValues[Waste Heat Electric Heat Pump Heating IFkWh],MATCH(F40,LPDValues[Space_By_Space_Method],0)))),IF(OR(M02S02F32="AC with Electric Heat",M02S02F32="Electric Heat Only"),(((N40-Q40)-(AA40-Q40))/1000)*-IF('M04-S09'!$C$3="Building_Area_Method",INDEX(LPDWATT[Waste Heat Electric Resistance Heating IFkWh],MATCH(F40,LPDWATT[Building Area Type],0)),INDEX(LPDValues[Waste Heat Electric Resistance Heating IFkWh],MATCH(F40,LPDValues[Space_By_Space_Method],0))),0))))),0)</f>
        <v/>
      </c>
      <c r="BG40" s="1103" t="str">
        <f>IFERROR(IF((N40)-(AA40)&lt;=0,MEASURESAV,IF(M02S02F35="",MEASURERATE,IF(OR(F40="Others (Incremental)",F40="Others"),MEASURESUBMIT, IF(BD40&lt;1,MEASUREPAY,IF(AU40&lt;1,MEASURECB,""))))),MEASURESUBMIT)</f>
        <v>Submit for Review</v>
      </c>
    </row>
    <row r="41" spans="2:59" ht="15.95" customHeight="1">
      <c r="B41" s="929"/>
      <c r="C41" s="1141"/>
      <c r="D41" s="1141"/>
      <c r="E41" s="1141"/>
      <c r="F41" s="1133"/>
      <c r="G41" s="1133"/>
      <c r="H41" s="1133"/>
      <c r="I41" s="1133"/>
      <c r="J41" s="1133"/>
      <c r="K41" s="1133"/>
      <c r="L41" s="1129"/>
      <c r="M41" s="1129"/>
      <c r="N41" s="1113"/>
      <c r="O41" s="1113"/>
      <c r="P41" s="1113"/>
      <c r="Q41" s="1116"/>
      <c r="R41" s="1117"/>
      <c r="S41" s="1125"/>
      <c r="T41" s="1126"/>
      <c r="U41" s="1126"/>
      <c r="V41" s="1126"/>
      <c r="W41" s="1126"/>
      <c r="X41" s="1127"/>
      <c r="Y41" s="1129"/>
      <c r="Z41" s="1129"/>
      <c r="AA41" s="1113"/>
      <c r="AB41" s="1113"/>
      <c r="AC41" s="1113"/>
      <c r="AD41" s="1120"/>
      <c r="AE41" s="1121"/>
      <c r="AF41" s="1098"/>
      <c r="AG41" s="1098"/>
      <c r="AH41" s="1136"/>
      <c r="AI41" s="1137"/>
      <c r="AJ41" s="1137"/>
      <c r="AK41" s="912"/>
      <c r="AL41" s="913"/>
      <c r="AM41" s="942"/>
      <c r="AN41" s="1139"/>
      <c r="AO41" s="1139"/>
      <c r="AP41" s="1139"/>
      <c r="AQ41" s="1139"/>
      <c r="AU41" s="1108"/>
      <c r="AV41" s="1135"/>
      <c r="AW41" s="1135"/>
      <c r="AX41" s="1104"/>
      <c r="AY41" s="831"/>
      <c r="AZ41" s="1104"/>
      <c r="BA41" s="1104"/>
      <c r="BB41" s="1104"/>
      <c r="BC41" s="1153"/>
      <c r="BD41" s="1104"/>
      <c r="BE41" s="1131"/>
      <c r="BF41" s="1104"/>
      <c r="BG41" s="1104"/>
    </row>
    <row r="42" spans="2:59" ht="15.95" customHeight="1">
      <c r="B42" s="929">
        <v>14</v>
      </c>
      <c r="C42" s="1140"/>
      <c r="D42" s="1140"/>
      <c r="E42" s="1140"/>
      <c r="F42" s="1132" t="str">
        <f>IF(ISBLANK(M04S09F27),"",M04S09F27)</f>
        <v/>
      </c>
      <c r="G42" s="1132"/>
      <c r="H42" s="1132"/>
      <c r="I42" s="1132"/>
      <c r="J42" s="1132"/>
      <c r="K42" s="1132"/>
      <c r="L42" s="1128" t="str">
        <f>IF(F42="","",IF('M04-S09'!$C$3="Building_Area_Method",INDEX(LPDValues[BA IECC 2018  (Watts/ Sq. Ft.)],MATCH(F42,LPDValues[Building_Area_Method]),0),IF('M04-S09'!$C$3="Space_By_Space_Method",INDEX(LPDValues[SBS IECC 2018  (Watts/ Sq. Ft.)],MATCH(F42,LPDValues[Space_By_Space_Method],0)))))</f>
        <v/>
      </c>
      <c r="M42" s="1128"/>
      <c r="N42" s="1112" t="str">
        <f t="shared" ref="N42" si="86">IF(OR(C42="",F42=""),"",C42*L42)</f>
        <v/>
      </c>
      <c r="O42" s="1112"/>
      <c r="P42" s="1112"/>
      <c r="Q42" s="1114" t="str">
        <f>IF(F42="","",INDEX(LPDWATT[Fixture Annual Operating Hours],MATCH(F42,LPDWATT[Building Area Type]),0))</f>
        <v/>
      </c>
      <c r="R42" s="1115"/>
      <c r="S42" s="1122" t="str">
        <f>IF(F42="","","Lighting Schedule Space Type #14")</f>
        <v/>
      </c>
      <c r="T42" s="1123"/>
      <c r="U42" s="1123"/>
      <c r="V42" s="1123"/>
      <c r="W42" s="1123"/>
      <c r="X42" s="1124"/>
      <c r="Y42" s="1128" t="str">
        <f t="shared" ref="Y42" si="87">IF(OR(C42="",F42=""),"",ROUND(AA42/C42,2))</f>
        <v/>
      </c>
      <c r="Z42" s="1128"/>
      <c r="AA42" s="1112" t="str">
        <f>IF(OR(S42="",F42=""),"",M04S09F28)</f>
        <v/>
      </c>
      <c r="AB42" s="1112"/>
      <c r="AC42" s="1112"/>
      <c r="AD42" s="1118"/>
      <c r="AE42" s="1119"/>
      <c r="AF42" s="1097"/>
      <c r="AG42" s="1097"/>
      <c r="AH42" s="870" t="str">
        <f t="shared" ref="AH42" si="88">IFERROR(IF(OR(L42="",F42="",Q42="",S42="",N42="",C42="",Y42="",AA42="",AF42=""),"",ROUND(AZ42,2)),0)</f>
        <v/>
      </c>
      <c r="AI42" s="1102"/>
      <c r="AJ42" s="1102"/>
      <c r="AK42" s="910" t="str">
        <f t="shared" ref="AK42" si="89">IF(OR(C42="",F42="",L42="",N42="",Q42="",,S42="",Y42="",AA42="",AF42=""),"",IF((N42)-(AA42)&lt;=0,0,ROUND(((((N42*Q42)-(AA42*Q42))/1000)+BF42)*AW42,2)))</f>
        <v/>
      </c>
      <c r="AL42" s="911"/>
      <c r="AM42" s="975"/>
      <c r="AN42" s="1138" t="str">
        <f t="shared" ref="AN42" si="90">IF(OR(C42="",F42="",L42="",N42="",Q42="",Y42="",S42="",,AA42="",AF42=""),"",IF(BG42&lt;&gt;"",BG42,AX42))</f>
        <v/>
      </c>
      <c r="AO42" s="1138"/>
      <c r="AP42" s="1138"/>
      <c r="AQ42" s="1138"/>
      <c r="AU42" s="1109" t="str">
        <f>IF(OR(C42="",F42="",L42="",N42="",Q42="",S42="",Y42="",AA42="",AF42=""),"",((((1+ELOSS)*((AK42*INDEX(ELECCB[NPV AEC $/kWh],MATCH(15,ELECCB[Year Number],0)))+(AV42*INDEX(ELECCB[NPV ACC+T&amp;D $/kW],MATCH(15,ELECCB[Year Number],0)))))+((1+GLOSS)*((BC42*INDEX(GASCB[NPV GAEC $/therm],MATCH(15,GASCB[Year Number],1))))))/AH42))</f>
        <v/>
      </c>
      <c r="AV42" s="1134" t="str">
        <f>IFERROR(IF(OR(C42="",F42="",L42="",N42="",Q42="",S42="",Y42="",AA42="",AF42=""),"",IF(OR(ISNUMBER(SEARCH("Exterior",F42)),((N42)-(AA42)&lt;=0)),0,
ROUND((((N42)-(AA42))/1000)*IF('M04-S09'!$C$3="Building_Area_Method",INDEX(LPDWATT[Lighting Coincidence Factor],MATCH(F42,LPDWATT[Building Area Type],0)),INDEX(LPDValues[Lighting Coincidence Factor],MATCH(F42,LPDValues[Space_By_Space_Method],0)))*IF(OR(M02S02F32="AC with Natural Gas Heat",M02S02F32="AC with Electric Heat",M02S02F32="Heat Pump"),IF('M04-S09'!$C$3="Building_Area_Method",INDEX(LPDWATT[Waste Heat Cooling Demand WHFd],MATCH(F42,LPDWATT[Building Area Type],0)),INDEX(LPDValues[Waste Heat Cooling Demand WHFd],MATCH(F42,LPDValues[Space_By_Space_Method],0)))),3))),"")</f>
        <v/>
      </c>
      <c r="AW42" s="1134" t="str" cm="1">
        <f t="array" ref="AW42">IFERROR(IF(OR(C42="",F42="",L42="",N42="",Q42="",S42="",Y42="",AA42="",AF42=""),"",IF(M02S02F46="Gas Only",0,IF(ISNUMBER(SEARCH("Exterior",F42)),1,IF(OR(M02S02F32="Heat Pump",M02S02F32="AC with Natural Gas Heat",M02S02F32="AC with Electric Heat"),IF('M04-S09'!$C$3="Building_Area_Method",(INDEX(LPDWATT[Waste Heat Cooling Energy WHFe],MATCH(F42,LPDWATT[Building Area Type],0))),INDEX(LPDValues[Waste Heat Cooling Energy WHFe],MATCH(F42,LPDValues[Space_By_Space_Method]),0)),1)))),0)</f>
        <v/>
      </c>
      <c r="AX42" s="1103" t="str">
        <f>IFERROR(ROUND(MIN(AH42,AK42*INDEX(INCRATE[Electric],MATCH("CMLIGHT",INCRATE[Incentive Type]))),2),"")</f>
        <v/>
      </c>
      <c r="AY42" s="830">
        <v>15</v>
      </c>
      <c r="AZ42" s="1103" t="str">
        <f t="shared" ref="AZ42" si="91">IFERROR(IF(AD42&lt;&gt;"",(AF42-AD42)*1,MIN(AF42*0.75,BB42*1)),"")</f>
        <v/>
      </c>
      <c r="BA42" s="1103" t="str">
        <f t="shared" ref="BA42" si="92">IFERROR(1-(AA42/N42),"")</f>
        <v/>
      </c>
      <c r="BB42" s="1103" t="str">
        <f>IFERROR(IF(ISNUMBER(SEARCH("Exterior",F42)),((N42-AA42)/1000)*INDEX(NCLIGHTINCCOST[WI Incremental Cost ($/sq ft)],MATCH("Exterior",NCLIGHTINCCOST[% Below Code],0)),IF(OR(BA42="",BA42&lt;=0),"",IF(BA42&lt;=0.2, C42*INDEX(NCLIGHTINCCOST[WI Incremental Cost ($/sq ft)],MATCH(0.2,NCLIGHTINCCOST[% Below Code],0)),IF(AND(BA42&gt;0.2,BA42&lt;0.4),C42*INDEX(NCLIGHTINCCOST[WI Incremental Cost ($/sq ft)],MATCH(0.3,NCLIGHTINCCOST[% Below Code],0)), IF(BA42&gt;=0.4,C42*INDEX(NCLIGHTINCCOST[WI Incremental Cost ($/sq ft)],MATCH(0.4,NCLIGHTINCCOST[% Below Code],0)),0))))),"")</f>
        <v/>
      </c>
      <c r="BC42" s="1152" t="str">
        <f>IFERROR(IF(OR(C42="",F42="",L42="",N42="",Q42="",S42="",Y42="",AA42="",AF42=""),"",IF(M02S02F46="Electric Only",0,IF(ISNUMBER(SEARCH("Exterior",F42)),0,IF(OR(M02S02F32="AC with Natural Gas Heat",M02S02F32="Natural Gas Heat Only"),(AK42*-IF('M04-S09'!$C$3="Building_Area_Method",INDEX(LPDWATT[Waste Heat Gas Heating IFTherms],MATCH(F42,LPDWATT[Building Area Type],0)),INDEX(LPDValues[Waste Heat Gas Heating IFTherms],MATCH(F42,LPDValues[Space_By_Space_Method],0)))),0)))),0)</f>
        <v/>
      </c>
      <c r="BD42" s="1103" t="str">
        <f>IFERROR(AH42/M02S02F35/AK42,"")</f>
        <v/>
      </c>
      <c r="BE42" s="1130" t="str">
        <f t="shared" ref="BE42" si="93">IF(OR(C42="",F42="",Q42="",S42="",AA42="",AF42=""),"",IF(ISNUMBER(AN42),IF(ISNUMBER(SEARCH("Exterior",F42)),"710102","710101"),IF(AK42=0,"","000001")))</f>
        <v/>
      </c>
      <c r="BF42" s="1103" t="str">
        <f>IFERROR(IF(OR(C42="",F42="",L42="",N42="",Q42="",S42="",Y42="",AA42="",AF42=""),"",IF(M02S02F46="Gas Only",0,IF(ISNUMBER(SEARCH("Exterior",F42)),0,IF(M02S02F32="Heat Pump",((((N42-Q42)-(AA42-Q42))/1000)*-IF('M04-S09'!$C$3="Building_Area_Method",INDEX(LPDWATT[Waste Heat Electric Heat Pump Heating IFkWh],MATCH(F42,LPDWATT[Building Area Type],0)),INDEX(LPDValues[Waste Heat Electric Heat Pump Heating IFkWh],MATCH(F42,LPDValues[Space_By_Space_Method],0)))),IF(OR(M02S02F32="AC with Electric Heat",M02S02F32="Electric Heat Only"),(((N42-Q42)-(AA42-Q42))/1000)*-IF('M04-S09'!$C$3="Building_Area_Method",INDEX(LPDWATT[Waste Heat Electric Resistance Heating IFkWh],MATCH(F42,LPDWATT[Building Area Type],0)),INDEX(LPDValues[Waste Heat Electric Resistance Heating IFkWh],MATCH(F42,LPDValues[Space_By_Space_Method],0))),0))))),0)</f>
        <v/>
      </c>
      <c r="BG42" s="1103" t="str">
        <f>IFERROR(IF((N42)-(AA42)&lt;=0,MEASURESAV,IF(M02S02F35="",MEASURERATE,IF(OR(F42="Others (Incremental)",F42="Others"),MEASURESUBMIT, IF(BD42&lt;1,MEASUREPAY,IF(AU42&lt;1,MEASURECB,""))))),MEASURESUBMIT)</f>
        <v>Submit for Review</v>
      </c>
    </row>
    <row r="43" spans="2:59" ht="15.95" customHeight="1">
      <c r="B43" s="929"/>
      <c r="C43" s="1141"/>
      <c r="D43" s="1141"/>
      <c r="E43" s="1141"/>
      <c r="F43" s="1133"/>
      <c r="G43" s="1133"/>
      <c r="H43" s="1133"/>
      <c r="I43" s="1133"/>
      <c r="J43" s="1133"/>
      <c r="K43" s="1133"/>
      <c r="L43" s="1129"/>
      <c r="M43" s="1129"/>
      <c r="N43" s="1113"/>
      <c r="O43" s="1113"/>
      <c r="P43" s="1113"/>
      <c r="Q43" s="1116"/>
      <c r="R43" s="1117"/>
      <c r="S43" s="1125"/>
      <c r="T43" s="1126"/>
      <c r="U43" s="1126"/>
      <c r="V43" s="1126"/>
      <c r="W43" s="1126"/>
      <c r="X43" s="1127"/>
      <c r="Y43" s="1129"/>
      <c r="Z43" s="1129"/>
      <c r="AA43" s="1113"/>
      <c r="AB43" s="1113"/>
      <c r="AC43" s="1113"/>
      <c r="AD43" s="1120"/>
      <c r="AE43" s="1121"/>
      <c r="AF43" s="1098"/>
      <c r="AG43" s="1098"/>
      <c r="AH43" s="1136"/>
      <c r="AI43" s="1137"/>
      <c r="AJ43" s="1137"/>
      <c r="AK43" s="912"/>
      <c r="AL43" s="913"/>
      <c r="AM43" s="942"/>
      <c r="AN43" s="1139"/>
      <c r="AO43" s="1139"/>
      <c r="AP43" s="1139"/>
      <c r="AQ43" s="1139"/>
      <c r="AU43" s="1108"/>
      <c r="AV43" s="1135"/>
      <c r="AW43" s="1135"/>
      <c r="AX43" s="1104"/>
      <c r="AY43" s="831"/>
      <c r="AZ43" s="1104"/>
      <c r="BA43" s="1104"/>
      <c r="BB43" s="1104"/>
      <c r="BC43" s="1153"/>
      <c r="BD43" s="1104"/>
      <c r="BE43" s="1131"/>
      <c r="BF43" s="1104"/>
      <c r="BG43" s="1104"/>
    </row>
    <row r="44" spans="2:59" ht="15.95" customHeight="1">
      <c r="B44" s="929">
        <v>15</v>
      </c>
      <c r="C44" s="1140"/>
      <c r="D44" s="1140"/>
      <c r="E44" s="1140"/>
      <c r="F44" s="1132" t="str">
        <f>IF(ISBLANK(M04S09F29),"",M04S09F29)</f>
        <v/>
      </c>
      <c r="G44" s="1132"/>
      <c r="H44" s="1132"/>
      <c r="I44" s="1132"/>
      <c r="J44" s="1132"/>
      <c r="K44" s="1132"/>
      <c r="L44" s="1128" t="str">
        <f>IF(F44="","",IF('M04-S09'!$C$3="Building_Area_Method",INDEX(LPDValues[BA IECC 2018  (Watts/ Sq. Ft.)],MATCH(F44,LPDValues[Building_Area_Method]),0),IF('M04-S09'!$C$3="Space_By_Space_Method",INDEX(LPDValues[SBS IECC 2018  (Watts/ Sq. Ft.)],MATCH(F44,LPDValues[Space_By_Space_Method],0)))))</f>
        <v/>
      </c>
      <c r="M44" s="1128"/>
      <c r="N44" s="1112" t="str">
        <f t="shared" ref="N44" si="94">IF(OR(C44="",F44=""),"",C44*L44)</f>
        <v/>
      </c>
      <c r="O44" s="1112"/>
      <c r="P44" s="1112"/>
      <c r="Q44" s="1114" t="str">
        <f>IF(F44="","",INDEX(LPDWATT[Fixture Annual Operating Hours],MATCH(F44,LPDWATT[Building Area Type]),0))</f>
        <v/>
      </c>
      <c r="R44" s="1115"/>
      <c r="S44" s="1122" t="str">
        <f>IF(F44="","","Lighting Schedule Space Type #15")</f>
        <v/>
      </c>
      <c r="T44" s="1123"/>
      <c r="U44" s="1123"/>
      <c r="V44" s="1123"/>
      <c r="W44" s="1123"/>
      <c r="X44" s="1124"/>
      <c r="Y44" s="1128" t="str">
        <f t="shared" ref="Y44" si="95">IF(OR(C44="",F44=""),"",ROUND(AA44/C44,2))</f>
        <v/>
      </c>
      <c r="Z44" s="1128"/>
      <c r="AA44" s="1112" t="str">
        <f>IF(OR(S44="",F44=""),"",M04S09F30)</f>
        <v/>
      </c>
      <c r="AB44" s="1112"/>
      <c r="AC44" s="1112"/>
      <c r="AD44" s="1118"/>
      <c r="AE44" s="1119"/>
      <c r="AF44" s="1097"/>
      <c r="AG44" s="1097"/>
      <c r="AH44" s="870" t="str">
        <f t="shared" ref="AH44" si="96">IFERROR(IF(OR(L44="",F44="",Q44="",S44="",N44="",C44="",Y44="",AA44="",AF44=""),"",ROUND(AZ44,2)),0)</f>
        <v/>
      </c>
      <c r="AI44" s="1102"/>
      <c r="AJ44" s="1102"/>
      <c r="AK44" s="910" t="str">
        <f t="shared" ref="AK44" si="97">IF(OR(C44="",F44="",L44="",N44="",Q44="",,S44="",Y44="",AA44="",AF44=""),"",IF((N44)-(AA44)&lt;=0,0,ROUND(((((N44*Q44)-(AA44*Q44))/1000)+BF44)*AW44,2)))</f>
        <v/>
      </c>
      <c r="AL44" s="911"/>
      <c r="AM44" s="975"/>
      <c r="AN44" s="1138" t="str">
        <f t="shared" ref="AN44" si="98">IF(OR(C44="",F44="",L44="",N44="",Q44="",Y44="",S44="",,AA44="",AF44=""),"",IF(BG44&lt;&gt;"",BG44,AX44))</f>
        <v/>
      </c>
      <c r="AO44" s="1138"/>
      <c r="AP44" s="1138"/>
      <c r="AQ44" s="1138"/>
      <c r="AU44" s="1109" t="str">
        <f>IF(OR(C44="",F44="",L44="",N44="",Q44="",S44="",Y44="",AA44="",AF44=""),"",((((1+ELOSS)*((AK44*INDEX(ELECCB[NPV AEC $/kWh],MATCH(15,ELECCB[Year Number],0)))+(AV44*INDEX(ELECCB[NPV ACC+T&amp;D $/kW],MATCH(15,ELECCB[Year Number],0)))))+((1+GLOSS)*((BC44*INDEX(GASCB[NPV GAEC $/therm],MATCH(15,GASCB[Year Number],1))))))/AH44))</f>
        <v/>
      </c>
      <c r="AV44" s="1134" t="str">
        <f>IFERROR(IF(OR(C44="",F44="",L44="",N44="",Q44="",S44="",Y44="",AA44="",AF44=""),"",IF(OR(ISNUMBER(SEARCH("Exterior",F44)),((N44)-(AA44)&lt;=0)),0,
ROUND((((N44)-(AA44))/1000)*IF('M04-S09'!$C$3="Building_Area_Method",INDEX(LPDWATT[Lighting Coincidence Factor],MATCH(F44,LPDWATT[Building Area Type],0)),INDEX(LPDValues[Lighting Coincidence Factor],MATCH(F44,LPDValues[Space_By_Space_Method],0)))*IF(OR(M02S02F32="AC with Natural Gas Heat",M02S02F32="AC with Electric Heat",M02S02F32="Heat Pump"),IF('M04-S09'!$C$3="Building_Area_Method",INDEX(LPDWATT[Waste Heat Cooling Demand WHFd],MATCH(F44,LPDWATT[Building Area Type],0)),INDEX(LPDValues[Waste Heat Cooling Demand WHFd],MATCH(F44,LPDValues[Space_By_Space_Method],0)))),3))),"")</f>
        <v/>
      </c>
      <c r="AW44" s="1134" t="str" cm="1">
        <f t="array" ref="AW44">IFERROR(IF(OR(C44="",F44="",L44="",N44="",Q44="",S44="",Y44="",AA44="",AF44=""),"",IF(M02S02F46="Gas Only",0,IF(ISNUMBER(SEARCH("Exterior",F44)),1,IF(OR(M02S02F32="Heat Pump",M02S02F32="AC with Natural Gas Heat",M02S02F32="AC with Electric Heat"),IF('M04-S09'!$C$3="Building_Area_Method",(INDEX(LPDWATT[Waste Heat Cooling Energy WHFe],MATCH(F44,LPDWATT[Building Area Type],0))),INDEX(LPDValues[Waste Heat Cooling Energy WHFe],MATCH(F44,LPDValues[Space_By_Space_Method]),0)),1)))),0)</f>
        <v/>
      </c>
      <c r="AX44" s="1103" t="str">
        <f>IFERROR(ROUND(MIN(AH44,AK44*INDEX(INCRATE[Electric],MATCH("CMLIGHT",INCRATE[Incentive Type]))),2),"")</f>
        <v/>
      </c>
      <c r="AY44" s="830">
        <v>15</v>
      </c>
      <c r="AZ44" s="1103" t="str">
        <f t="shared" ref="AZ44" si="99">IFERROR(IF(AD44&lt;&gt;"",(AF44-AD44)*1,MIN(AF44*0.75,BB44*1)),"")</f>
        <v/>
      </c>
      <c r="BA44" s="1103" t="str">
        <f t="shared" ref="BA44" si="100">IFERROR(1-(AA44/N44),"")</f>
        <v/>
      </c>
      <c r="BB44" s="1103" t="str">
        <f>IFERROR(IF(ISNUMBER(SEARCH("Exterior",F44)),((N44-AA44)/1000)*INDEX(NCLIGHTINCCOST[WI Incremental Cost ($/sq ft)],MATCH("Exterior",NCLIGHTINCCOST[% Below Code],0)),IF(OR(BA44="",BA44&lt;=0),"",IF(BA44&lt;=0.2, C44*INDEX(NCLIGHTINCCOST[WI Incremental Cost ($/sq ft)],MATCH(0.2,NCLIGHTINCCOST[% Below Code],0)),IF(AND(BA44&gt;0.2,BA44&lt;0.4),C44*INDEX(NCLIGHTINCCOST[WI Incremental Cost ($/sq ft)],MATCH(0.3,NCLIGHTINCCOST[% Below Code],0)), IF(BA44&gt;=0.4,C44*INDEX(NCLIGHTINCCOST[WI Incremental Cost ($/sq ft)],MATCH(0.4,NCLIGHTINCCOST[% Below Code],0)),0))))),"")</f>
        <v/>
      </c>
      <c r="BC44" s="1152" t="str">
        <f>IFERROR(IF(OR(C44="",F44="",L44="",N44="",Q44="",S44="",Y44="",AA44="",AF44=""),"",IF(M02S02F46="Electric Only",0,IF(ISNUMBER(SEARCH("Exterior",F44)),0,IF(OR(M02S02F32="AC with Natural Gas Heat",M02S02F32="Natural Gas Heat Only"),(AK44*-IF('M04-S09'!$C$3="Building_Area_Method",INDEX(LPDWATT[Waste Heat Gas Heating IFTherms],MATCH(F44,LPDWATT[Building Area Type],0)),INDEX(LPDValues[Waste Heat Gas Heating IFTherms],MATCH(F44,LPDValues[Space_By_Space_Method],0)))),0)))),0)</f>
        <v/>
      </c>
      <c r="BD44" s="1103" t="str">
        <f>IFERROR(AH44/M02S02F35/AK44,"")</f>
        <v/>
      </c>
      <c r="BE44" s="1130" t="str">
        <f t="shared" ref="BE44" si="101">IF(OR(C44="",F44="",Q44="",S44="",AA44="",AF44=""),"",IF(ISNUMBER(AN44),IF(ISNUMBER(SEARCH("Exterior",F44)),"710102","710101"),IF(AK44=0,"","000001")))</f>
        <v/>
      </c>
      <c r="BF44" s="1103" t="str">
        <f>IFERROR(IF(OR(C44="",F44="",L44="",N44="",Q44="",S44="",Y44="",AA44="",AF44=""),"",IF(M02S02F46="Gas Only",0,IF(ISNUMBER(SEARCH("Exterior",F44)),0,IF(M02S02F32="Heat Pump",((((N44-Q44)-(AA44-Q44))/1000)*-IF('M04-S09'!$C$3="Building_Area_Method",INDEX(LPDWATT[Waste Heat Electric Heat Pump Heating IFkWh],MATCH(F44,LPDWATT[Building Area Type],0)),INDEX(LPDValues[Waste Heat Electric Heat Pump Heating IFkWh],MATCH(F44,LPDValues[Space_By_Space_Method],0)))),IF(OR(M02S02F32="AC with Electric Heat",M02S02F32="Electric Heat Only"),(((N44-Q44)-(AA44-Q44))/1000)*-IF('M04-S09'!$C$3="Building_Area_Method",INDEX(LPDWATT[Waste Heat Electric Resistance Heating IFkWh],MATCH(F44,LPDWATT[Building Area Type],0)),INDEX(LPDValues[Waste Heat Electric Resistance Heating IFkWh],MATCH(F44,LPDValues[Space_By_Space_Method],0))),0))))),0)</f>
        <v/>
      </c>
      <c r="BG44" s="1103" t="str">
        <f>IFERROR(IF((N44)-(AA44)&lt;=0,MEASURESAV,IF(M02S02F35="",MEASURERATE,IF(OR(F44="Others (Incremental)",F44="Others"),MEASURESUBMIT, IF(BD44&lt;1,MEASUREPAY,IF(AU44&lt;1,MEASURECB,""))))),MEASURESUBMIT)</f>
        <v>Submit for Review</v>
      </c>
    </row>
    <row r="45" spans="2:59" ht="15.95" customHeight="1">
      <c r="B45" s="929"/>
      <c r="C45" s="1141"/>
      <c r="D45" s="1141"/>
      <c r="E45" s="1141"/>
      <c r="F45" s="1133"/>
      <c r="G45" s="1133"/>
      <c r="H45" s="1133"/>
      <c r="I45" s="1133"/>
      <c r="J45" s="1133"/>
      <c r="K45" s="1133"/>
      <c r="L45" s="1129"/>
      <c r="M45" s="1129"/>
      <c r="N45" s="1113"/>
      <c r="O45" s="1113"/>
      <c r="P45" s="1113"/>
      <c r="Q45" s="1116"/>
      <c r="R45" s="1117"/>
      <c r="S45" s="1125"/>
      <c r="T45" s="1126"/>
      <c r="U45" s="1126"/>
      <c r="V45" s="1126"/>
      <c r="W45" s="1126"/>
      <c r="X45" s="1127"/>
      <c r="Y45" s="1129"/>
      <c r="Z45" s="1129"/>
      <c r="AA45" s="1113"/>
      <c r="AB45" s="1113"/>
      <c r="AC45" s="1113"/>
      <c r="AD45" s="1120"/>
      <c r="AE45" s="1121"/>
      <c r="AF45" s="1098"/>
      <c r="AG45" s="1098"/>
      <c r="AH45" s="1136"/>
      <c r="AI45" s="1137"/>
      <c r="AJ45" s="1137"/>
      <c r="AK45" s="912"/>
      <c r="AL45" s="913"/>
      <c r="AM45" s="942"/>
      <c r="AN45" s="1139"/>
      <c r="AO45" s="1139"/>
      <c r="AP45" s="1139"/>
      <c r="AQ45" s="1139"/>
      <c r="AU45" s="1108"/>
      <c r="AV45" s="1135"/>
      <c r="AW45" s="1135"/>
      <c r="AX45" s="1104"/>
      <c r="AY45" s="831"/>
      <c r="AZ45" s="1104"/>
      <c r="BA45" s="1104"/>
      <c r="BB45" s="1104"/>
      <c r="BC45" s="1153"/>
      <c r="BD45" s="1104"/>
      <c r="BE45" s="1131"/>
      <c r="BF45" s="1104"/>
      <c r="BG45" s="1104"/>
    </row>
    <row r="46" spans="2:59" ht="15.95" customHeight="1">
      <c r="B46" s="929">
        <v>16</v>
      </c>
      <c r="C46" s="1140"/>
      <c r="D46" s="1140"/>
      <c r="E46" s="1140"/>
      <c r="F46" s="1132" t="str">
        <f>IF(ISBLANK(M04S09F31),"",M04S09F31)</f>
        <v/>
      </c>
      <c r="G46" s="1132"/>
      <c r="H46" s="1132"/>
      <c r="I46" s="1132"/>
      <c r="J46" s="1132"/>
      <c r="K46" s="1132"/>
      <c r="L46" s="1128" t="str">
        <f>IF(F46="","",IF('M04-S09'!$C$3="Building_Area_Method",INDEX(LPDValues[BA IECC 2018  (Watts/ Sq. Ft.)],MATCH(F46,LPDValues[Building_Area_Method]),0),IF('M04-S09'!$C$3="Space_By_Space_Method",INDEX(LPDValues[SBS IECC 2018  (Watts/ Sq. Ft.)],MATCH(F46,LPDValues[Space_By_Space_Method],0)))))</f>
        <v/>
      </c>
      <c r="M46" s="1128"/>
      <c r="N46" s="1112" t="str">
        <f t="shared" ref="N46" si="102">IF(OR(C46="",F46=""),"",C46*L46)</f>
        <v/>
      </c>
      <c r="O46" s="1112"/>
      <c r="P46" s="1112"/>
      <c r="Q46" s="1114" t="str">
        <f>IF(F46="","",INDEX(LPDWATT[Fixture Annual Operating Hours],MATCH(F46,LPDWATT[Building Area Type]),0))</f>
        <v/>
      </c>
      <c r="R46" s="1115"/>
      <c r="S46" s="1122" t="str">
        <f>IF(F46="","","Lighting Schedule Space Type #16")</f>
        <v/>
      </c>
      <c r="T46" s="1123"/>
      <c r="U46" s="1123"/>
      <c r="V46" s="1123"/>
      <c r="W46" s="1123"/>
      <c r="X46" s="1124"/>
      <c r="Y46" s="1128" t="str">
        <f t="shared" ref="Y46" si="103">IF(OR(C46="",F46=""),"",ROUND(AA46/C46,2))</f>
        <v/>
      </c>
      <c r="Z46" s="1128"/>
      <c r="AA46" s="1112" t="str">
        <f>IF(OR(S46="",F46=""),"",M04S09F32)</f>
        <v/>
      </c>
      <c r="AB46" s="1112"/>
      <c r="AC46" s="1112"/>
      <c r="AD46" s="1118"/>
      <c r="AE46" s="1119"/>
      <c r="AF46" s="1097"/>
      <c r="AG46" s="1097"/>
      <c r="AH46" s="870" t="str">
        <f t="shared" ref="AH46" si="104">IFERROR(IF(OR(L46="",F46="",Q46="",S46="",N46="",C46="",Y46="",AA46="",AF46=""),"",ROUND(AZ46,2)),0)</f>
        <v/>
      </c>
      <c r="AI46" s="1102"/>
      <c r="AJ46" s="1102"/>
      <c r="AK46" s="910" t="str">
        <f t="shared" ref="AK46" si="105">IF(OR(C46="",F46="",L46="",N46="",Q46="",,S46="",Y46="",AA46="",AF46=""),"",IF((N46)-(AA46)&lt;=0,0,ROUND(((((N46*Q46)-(AA46*Q46))/1000)+BF46)*AW46,2)))</f>
        <v/>
      </c>
      <c r="AL46" s="911"/>
      <c r="AM46" s="975"/>
      <c r="AN46" s="1138" t="str">
        <f t="shared" ref="AN46" si="106">IF(OR(C46="",F46="",L46="",N46="",Q46="",Y46="",S46="",,AA46="",AF46=""),"",IF(BG46&lt;&gt;"",BG46,AX46))</f>
        <v/>
      </c>
      <c r="AO46" s="1138"/>
      <c r="AP46" s="1138"/>
      <c r="AQ46" s="1138"/>
      <c r="AU46" s="1109" t="str">
        <f>IF(OR(C46="",F46="",L46="",N46="",Q46="",S46="",Y46="",AA46="",AF46=""),"",((((1+ELOSS)*((AK46*INDEX(ELECCB[NPV AEC $/kWh],MATCH(15,ELECCB[Year Number],0)))+(AV46*INDEX(ELECCB[NPV ACC+T&amp;D $/kW],MATCH(15,ELECCB[Year Number],0)))))+((1+GLOSS)*((BC46*INDEX(GASCB[NPV GAEC $/therm],MATCH(15,GASCB[Year Number],1))))))/AH46))</f>
        <v/>
      </c>
      <c r="AV46" s="1134" t="str">
        <f>IFERROR(IF(OR(C46="",F46="",L46="",N46="",Q46="",S46="",Y46="",AA46="",AF46=""),"",IF(OR(ISNUMBER(SEARCH("Exterior",F46)),((N46)-(AA46)&lt;=0)),0,
ROUND((((N46)-(AA46))/1000)*IF('M04-S09'!$C$3="Building_Area_Method",INDEX(LPDWATT[Lighting Coincidence Factor],MATCH(F46,LPDWATT[Building Area Type],0)),INDEX(LPDValues[Lighting Coincidence Factor],MATCH(F46,LPDValues[Space_By_Space_Method],0)))*IF(OR(M02S02F32="AC with Natural Gas Heat",M02S02F32="AC with Electric Heat",M02S02F32="Heat Pump"),IF('M04-S09'!$C$3="Building_Area_Method",INDEX(LPDWATT[Waste Heat Cooling Demand WHFd],MATCH(F46,LPDWATT[Building Area Type],0)),INDEX(LPDValues[Waste Heat Cooling Demand WHFd],MATCH(F46,LPDValues[Space_By_Space_Method],0)))),3))),"")</f>
        <v/>
      </c>
      <c r="AW46" s="1134" t="str" cm="1">
        <f t="array" ref="AW46">IFERROR(IF(OR(C46="",F46="",L46="",N46="",Q46="",S46="",Y46="",AA46="",AF46=""),"",IF(M02S02F46="Gas Only",0,IF(ISNUMBER(SEARCH("Exterior",F46)),1,IF(OR(M02S02F32="Heat Pump",M02S02F32="AC with Natural Gas Heat",M02S02F32="AC with Electric Heat"),IF('M04-S09'!$C$3="Building_Area_Method",(INDEX(LPDWATT[Waste Heat Cooling Energy WHFe],MATCH(F46,LPDWATT[Building Area Type],0))),INDEX(LPDValues[Waste Heat Cooling Energy WHFe],MATCH(F46,LPDValues[Space_By_Space_Method]),0)),1)))),0)</f>
        <v/>
      </c>
      <c r="AX46" s="1103" t="str">
        <f>IFERROR(ROUND(MIN(AH46,AK46*INDEX(INCRATE[Electric],MATCH("CMLIGHT",INCRATE[Incentive Type]))),2),"")</f>
        <v/>
      </c>
      <c r="AY46" s="830">
        <v>15</v>
      </c>
      <c r="AZ46" s="1103" t="str">
        <f t="shared" ref="AZ46" si="107">IFERROR(IF(AD46&lt;&gt;"",(AF46-AD46)*1,MIN(AF46*0.75,BB46*1)),"")</f>
        <v/>
      </c>
      <c r="BA46" s="1103" t="str">
        <f t="shared" ref="BA46" si="108">IFERROR(1-(AA46/N46),"")</f>
        <v/>
      </c>
      <c r="BB46" s="1103" t="str">
        <f>IFERROR(IF(ISNUMBER(SEARCH("Exterior",F46)),((N46-AA46)/1000)*INDEX(NCLIGHTINCCOST[WI Incremental Cost ($/sq ft)],MATCH("Exterior",NCLIGHTINCCOST[% Below Code],0)),IF(OR(BA46="",BA46&lt;=0),"",IF(BA46&lt;=0.2, C46*INDEX(NCLIGHTINCCOST[WI Incremental Cost ($/sq ft)],MATCH(0.2,NCLIGHTINCCOST[% Below Code],0)),IF(AND(BA46&gt;0.2,BA46&lt;0.4),C46*INDEX(NCLIGHTINCCOST[WI Incremental Cost ($/sq ft)],MATCH(0.3,NCLIGHTINCCOST[% Below Code],0)), IF(BA46&gt;=0.4,C46*INDEX(NCLIGHTINCCOST[WI Incremental Cost ($/sq ft)],MATCH(0.4,NCLIGHTINCCOST[% Below Code],0)),0))))),"")</f>
        <v/>
      </c>
      <c r="BC46" s="1152" t="str">
        <f>IFERROR(IF(OR(C46="",F46="",L46="",N46="",Q46="",S46="",Y46="",AA46="",AF46=""),"",IF(M02S02F46="Electric Only",0,IF(ISNUMBER(SEARCH("Exterior",F46)),0,IF(OR(M02S02F32="AC with Natural Gas Heat",M02S02F32="Natural Gas Heat Only"),(AK46*-IF('M04-S09'!$C$3="Building_Area_Method",INDEX(LPDWATT[Waste Heat Gas Heating IFTherms],MATCH(F46,LPDWATT[Building Area Type],0)),INDEX(LPDValues[Waste Heat Gas Heating IFTherms],MATCH(F46,LPDValues[Space_By_Space_Method],0)))),0)))),0)</f>
        <v/>
      </c>
      <c r="BD46" s="1103" t="str">
        <f>IFERROR(AH46/M02S02F35/AK46,"")</f>
        <v/>
      </c>
      <c r="BE46" s="1130" t="str">
        <f t="shared" ref="BE46" si="109">IF(OR(C46="",F46="",Q46="",S46="",AA46="",AF46=""),"",IF(ISNUMBER(AN46),IF(ISNUMBER(SEARCH("Exterior",F46)),"710102","710101"),IF(AK46=0,"","000001")))</f>
        <v/>
      </c>
      <c r="BF46" s="1103" t="str">
        <f>IFERROR(IF(OR(C46="",F46="",L46="",N46="",Q46="",S46="",Y46="",AA46="",AF46=""),"",IF(M02S02F46="Gas Only",0,IF(ISNUMBER(SEARCH("Exterior",F46)),0,IF(M02S02F32="Heat Pump",((((N46-Q46)-(AA46-Q46))/1000)*-IF('M04-S09'!$C$3="Building_Area_Method",INDEX(LPDWATT[Waste Heat Electric Heat Pump Heating IFkWh],MATCH(F46,LPDWATT[Building Area Type],0)),INDEX(LPDValues[Waste Heat Electric Heat Pump Heating IFkWh],MATCH(F46,LPDValues[Space_By_Space_Method],0)))),IF(OR(M02S02F32="AC with Electric Heat",M02S02F32="Electric Heat Only"),(((N46-Q46)-(AA46-Q46))/1000)*-IF('M04-S09'!$C$3="Building_Area_Method",INDEX(LPDWATT[Waste Heat Electric Resistance Heating IFkWh],MATCH(F46,LPDWATT[Building Area Type],0)),INDEX(LPDValues[Waste Heat Electric Resistance Heating IFkWh],MATCH(F46,LPDValues[Space_By_Space_Method],0))),0))))),0)</f>
        <v/>
      </c>
      <c r="BG46" s="1103" t="str">
        <f>IFERROR(IF((N46)-(AA46)&lt;=0,MEASURESAV,IF(M02S02F35="",MEASURERATE,IF(OR(F46="Others (Incremental)",F46="Others"),MEASURESUBMIT, IF(BD46&lt;1,MEASUREPAY,IF(AU46&lt;1,MEASURECB,""))))),MEASURESUBMIT)</f>
        <v>Submit for Review</v>
      </c>
    </row>
    <row r="47" spans="2:59" ht="15.95" customHeight="1">
      <c r="B47" s="929"/>
      <c r="C47" s="1141"/>
      <c r="D47" s="1141"/>
      <c r="E47" s="1141"/>
      <c r="F47" s="1133"/>
      <c r="G47" s="1133"/>
      <c r="H47" s="1133"/>
      <c r="I47" s="1133"/>
      <c r="J47" s="1133"/>
      <c r="K47" s="1133"/>
      <c r="L47" s="1129"/>
      <c r="M47" s="1129"/>
      <c r="N47" s="1113"/>
      <c r="O47" s="1113"/>
      <c r="P47" s="1113"/>
      <c r="Q47" s="1116"/>
      <c r="R47" s="1117"/>
      <c r="S47" s="1125"/>
      <c r="T47" s="1126"/>
      <c r="U47" s="1126"/>
      <c r="V47" s="1126"/>
      <c r="W47" s="1126"/>
      <c r="X47" s="1127"/>
      <c r="Y47" s="1129"/>
      <c r="Z47" s="1129"/>
      <c r="AA47" s="1113"/>
      <c r="AB47" s="1113"/>
      <c r="AC47" s="1113"/>
      <c r="AD47" s="1120"/>
      <c r="AE47" s="1121"/>
      <c r="AF47" s="1098"/>
      <c r="AG47" s="1098"/>
      <c r="AH47" s="1136"/>
      <c r="AI47" s="1137"/>
      <c r="AJ47" s="1137"/>
      <c r="AK47" s="912"/>
      <c r="AL47" s="913"/>
      <c r="AM47" s="942"/>
      <c r="AN47" s="1139"/>
      <c r="AO47" s="1139"/>
      <c r="AP47" s="1139"/>
      <c r="AQ47" s="1139"/>
      <c r="AU47" s="1108"/>
      <c r="AV47" s="1135"/>
      <c r="AW47" s="1135"/>
      <c r="AX47" s="1104"/>
      <c r="AY47" s="831"/>
      <c r="AZ47" s="1104"/>
      <c r="BA47" s="1104"/>
      <c r="BB47" s="1104"/>
      <c r="BC47" s="1153"/>
      <c r="BD47" s="1104"/>
      <c r="BE47" s="1131"/>
      <c r="BF47" s="1104"/>
      <c r="BG47" s="1104"/>
    </row>
    <row r="48" spans="2:59" ht="15.95" customHeight="1">
      <c r="B48" s="929">
        <v>17</v>
      </c>
      <c r="C48" s="1140"/>
      <c r="D48" s="1140"/>
      <c r="E48" s="1140"/>
      <c r="F48" s="1132" t="str">
        <f>IF(ISBLANK(M04S09F33),"",M04S09F33)</f>
        <v/>
      </c>
      <c r="G48" s="1132"/>
      <c r="H48" s="1132"/>
      <c r="I48" s="1132"/>
      <c r="J48" s="1132"/>
      <c r="K48" s="1132"/>
      <c r="L48" s="1128" t="str">
        <f>IF(F48="","",IF('M04-S09'!$C$3="Building_Area_Method",INDEX(LPDValues[BA IECC 2018  (Watts/ Sq. Ft.)],MATCH(F48,LPDValues[Building_Area_Method]),0),IF('M04-S09'!$C$3="Space_By_Space_Method",INDEX(LPDValues[SBS IECC 2018  (Watts/ Sq. Ft.)],MATCH(F48,LPDValues[Space_By_Space_Method],0)))))</f>
        <v/>
      </c>
      <c r="M48" s="1128"/>
      <c r="N48" s="1112" t="str">
        <f t="shared" ref="N48" si="110">IF(OR(C48="",F48=""),"",C48*L48)</f>
        <v/>
      </c>
      <c r="O48" s="1112"/>
      <c r="P48" s="1112"/>
      <c r="Q48" s="1114" t="str">
        <f>IF(F48="","",INDEX(LPDWATT[Fixture Annual Operating Hours],MATCH(F48,LPDWATT[Building Area Type]),0))</f>
        <v/>
      </c>
      <c r="R48" s="1115"/>
      <c r="S48" s="1122" t="str">
        <f>IF(F48="","","Lighting Schedule Space Type #17")</f>
        <v/>
      </c>
      <c r="T48" s="1123"/>
      <c r="U48" s="1123"/>
      <c r="V48" s="1123"/>
      <c r="W48" s="1123"/>
      <c r="X48" s="1124"/>
      <c r="Y48" s="1128" t="str">
        <f t="shared" ref="Y48" si="111">IF(OR(C48="",F48=""),"",ROUND(AA48/C48,2))</f>
        <v/>
      </c>
      <c r="Z48" s="1128"/>
      <c r="AA48" s="1112" t="str">
        <f>IF(OR(S48="",F48=""),"",M04S09F34)</f>
        <v/>
      </c>
      <c r="AB48" s="1112"/>
      <c r="AC48" s="1112"/>
      <c r="AD48" s="1118"/>
      <c r="AE48" s="1119"/>
      <c r="AF48" s="1097"/>
      <c r="AG48" s="1097"/>
      <c r="AH48" s="870" t="str">
        <f t="shared" ref="AH48" si="112">IFERROR(IF(OR(L48="",F48="",Q48="",S48="",N48="",C48="",Y48="",AA48="",AF48=""),"",ROUND(AZ48,2)),0)</f>
        <v/>
      </c>
      <c r="AI48" s="1102"/>
      <c r="AJ48" s="1102"/>
      <c r="AK48" s="910" t="str">
        <f t="shared" ref="AK48" si="113">IF(OR(C48="",F48="",L48="",N48="",Q48="",,S48="",Y48="",AA48="",AF48=""),"",IF((N48)-(AA48)&lt;=0,0,ROUND(((((N48*Q48)-(AA48*Q48))/1000)+BF48)*AW48,2)))</f>
        <v/>
      </c>
      <c r="AL48" s="911"/>
      <c r="AM48" s="975"/>
      <c r="AN48" s="1138" t="str">
        <f t="shared" ref="AN48" si="114">IF(OR(C48="",F48="",L48="",N48="",Q48="",Y48="",S48="",,AA48="",AF48=""),"",IF(BG48&lt;&gt;"",BG48,AX48))</f>
        <v/>
      </c>
      <c r="AO48" s="1138"/>
      <c r="AP48" s="1138"/>
      <c r="AQ48" s="1138"/>
      <c r="AU48" s="1109" t="str">
        <f>IF(OR(C48="",F48="",L48="",N48="",Q48="",S48="",Y48="",AA48="",AF48=""),"",((((1+ELOSS)*((AK48*INDEX(ELECCB[NPV AEC $/kWh],MATCH(15,ELECCB[Year Number],0)))+(AV48*INDEX(ELECCB[NPV ACC+T&amp;D $/kW],MATCH(15,ELECCB[Year Number],0)))))+((1+GLOSS)*((BC48*INDEX(GASCB[NPV GAEC $/therm],MATCH(15,GASCB[Year Number],1))))))/AH48))</f>
        <v/>
      </c>
      <c r="AV48" s="1134" t="str">
        <f>IFERROR(IF(OR(C48="",F48="",L48="",N48="",Q48="",S48="",Y48="",AA48="",AF48=""),"",IF(OR(ISNUMBER(SEARCH("Exterior",F48)),((N48)-(AA48)&lt;=0)),0,
ROUND((((N48)-(AA48))/1000)*IF('M04-S09'!$C$3="Building_Area_Method",INDEX(LPDWATT[Lighting Coincidence Factor],MATCH(F48,LPDWATT[Building Area Type],0)),INDEX(LPDValues[Lighting Coincidence Factor],MATCH(F48,LPDValues[Space_By_Space_Method],0)))*IF(OR(M02S02F32="AC with Natural Gas Heat",M02S02F32="AC with Electric Heat",M02S02F32="Heat Pump"),IF('M04-S09'!$C$3="Building_Area_Method",INDEX(LPDWATT[Waste Heat Cooling Demand WHFd],MATCH(F48,LPDWATT[Building Area Type],0)),INDEX(LPDValues[Waste Heat Cooling Demand WHFd],MATCH(F48,LPDValues[Space_By_Space_Method],0)))),3))),"")</f>
        <v/>
      </c>
      <c r="AW48" s="1134" t="str" cm="1">
        <f t="array" ref="AW48">IFERROR(IF(OR(C48="",F48="",L48="",N48="",Q48="",S48="",Y48="",AA48="",AF48=""),"",IF(M02S02F46="Gas Only",0,IF(ISNUMBER(SEARCH("Exterior",F48)),1,IF(OR(M02S02F32="Heat Pump",M02S02F32="AC with Natural Gas Heat",M02S02F32="AC with Electric Heat"),IF('M04-S09'!$C$3="Building_Area_Method",(INDEX(LPDWATT[Waste Heat Cooling Energy WHFe],MATCH(F48,LPDWATT[Building Area Type],0))),INDEX(LPDValues[Waste Heat Cooling Energy WHFe],MATCH(F48,LPDValues[Space_By_Space_Method]),0)),1)))),0)</f>
        <v/>
      </c>
      <c r="AX48" s="1103" t="str">
        <f>IFERROR(ROUND(MIN(AH48,AK48*INDEX(INCRATE[Electric],MATCH("CMLIGHT",INCRATE[Incentive Type]))),2),"")</f>
        <v/>
      </c>
      <c r="AY48" s="830">
        <v>15</v>
      </c>
      <c r="AZ48" s="1103" t="str">
        <f t="shared" ref="AZ48" si="115">IFERROR(IF(AD48&lt;&gt;"",(AF48-AD48)*1,MIN(AF48*0.75,BB48*1)),"")</f>
        <v/>
      </c>
      <c r="BA48" s="1103" t="str">
        <f t="shared" ref="BA48" si="116">IFERROR(1-(AA48/N48),"")</f>
        <v/>
      </c>
      <c r="BB48" s="1103" t="str">
        <f>IFERROR(IF(ISNUMBER(SEARCH("Exterior",F48)),((N48-AA48)/1000)*INDEX(NCLIGHTINCCOST[WI Incremental Cost ($/sq ft)],MATCH("Exterior",NCLIGHTINCCOST[% Below Code],0)),IF(OR(BA48="",BA48&lt;=0),"",IF(BA48&lt;=0.2, C48*INDEX(NCLIGHTINCCOST[WI Incremental Cost ($/sq ft)],MATCH(0.2,NCLIGHTINCCOST[% Below Code],0)),IF(AND(BA48&gt;0.2,BA48&lt;0.4),C48*INDEX(NCLIGHTINCCOST[WI Incremental Cost ($/sq ft)],MATCH(0.3,NCLIGHTINCCOST[% Below Code],0)), IF(BA48&gt;=0.4,C48*INDEX(NCLIGHTINCCOST[WI Incremental Cost ($/sq ft)],MATCH(0.4,NCLIGHTINCCOST[% Below Code],0)),0))))),"")</f>
        <v/>
      </c>
      <c r="BC48" s="1152" t="str">
        <f>IFERROR(IF(OR(C48="",F48="",L48="",N48="",Q48="",S48="",Y48="",AA48="",AF48=""),"",IF(M02S02F46="Electric Only",0,IF(ISNUMBER(SEARCH("Exterior",F48)),0,IF(OR(M02S02F32="AC with Natural Gas Heat",M02S02F32="Natural Gas Heat Only"),(AK48*-IF('M04-S09'!$C$3="Building_Area_Method",INDEX(LPDWATT[Waste Heat Gas Heating IFTherms],MATCH(F48,LPDWATT[Building Area Type],0)),INDEX(LPDValues[Waste Heat Gas Heating IFTherms],MATCH(F48,LPDValues[Space_By_Space_Method],0)))),0)))),0)</f>
        <v/>
      </c>
      <c r="BD48" s="1103" t="str">
        <f>IFERROR(AH48/M02S02F35/AK48,"")</f>
        <v/>
      </c>
      <c r="BE48" s="1130" t="str">
        <f t="shared" ref="BE48" si="117">IF(OR(C48="",F48="",Q48="",S48="",AA48="",AF48=""),"",IF(ISNUMBER(AN48),IF(ISNUMBER(SEARCH("Exterior",F48)),"710102","710101"),IF(AK48=0,"","000001")))</f>
        <v/>
      </c>
      <c r="BF48" s="1103" t="str">
        <f>IFERROR(IF(OR(C48="",F48="",L48="",N48="",Q48="",S48="",Y48="",AA48="",AF48=""),"",IF(M02S02F46="Gas Only",0,IF(ISNUMBER(SEARCH("Exterior",F48)),0,IF(M02S02F32="Heat Pump",((((N48-Q48)-(AA48-Q48))/1000)*-IF('M04-S09'!$C$3="Building_Area_Method",INDEX(LPDWATT[Waste Heat Electric Heat Pump Heating IFkWh],MATCH(F48,LPDWATT[Building Area Type],0)),INDEX(LPDValues[Waste Heat Electric Heat Pump Heating IFkWh],MATCH(F48,LPDValues[Space_By_Space_Method],0)))),IF(OR(M02S02F32="AC with Electric Heat",M02S02F32="Electric Heat Only"),(((N48-Q48)-(AA48-Q48))/1000)*-IF('M04-S09'!$C$3="Building_Area_Method",INDEX(LPDWATT[Waste Heat Electric Resistance Heating IFkWh],MATCH(F48,LPDWATT[Building Area Type],0)),INDEX(LPDValues[Waste Heat Electric Resistance Heating IFkWh],MATCH(F48,LPDValues[Space_By_Space_Method],0))),0))))),0)</f>
        <v/>
      </c>
      <c r="BG48" s="1103" t="str">
        <f>IFERROR(IF((N48)-(AA48)&lt;=0,MEASURESAV,IF(M02S02F35="",MEASURERATE,IF(OR(F48="Others (Incremental)",F48="Others"),MEASURESUBMIT, IF(BD48&lt;1,MEASUREPAY,IF(AU48&lt;1,MEASURECB,""))))),MEASURESUBMIT)</f>
        <v>Submit for Review</v>
      </c>
    </row>
    <row r="49" spans="2:59" ht="15.95" customHeight="1">
      <c r="B49" s="929"/>
      <c r="C49" s="1141"/>
      <c r="D49" s="1141"/>
      <c r="E49" s="1141"/>
      <c r="F49" s="1133"/>
      <c r="G49" s="1133"/>
      <c r="H49" s="1133"/>
      <c r="I49" s="1133"/>
      <c r="J49" s="1133"/>
      <c r="K49" s="1133"/>
      <c r="L49" s="1129"/>
      <c r="M49" s="1129"/>
      <c r="N49" s="1113"/>
      <c r="O49" s="1113"/>
      <c r="P49" s="1113"/>
      <c r="Q49" s="1116"/>
      <c r="R49" s="1117"/>
      <c r="S49" s="1125"/>
      <c r="T49" s="1126"/>
      <c r="U49" s="1126"/>
      <c r="V49" s="1126"/>
      <c r="W49" s="1126"/>
      <c r="X49" s="1127"/>
      <c r="Y49" s="1129"/>
      <c r="Z49" s="1129"/>
      <c r="AA49" s="1113"/>
      <c r="AB49" s="1113"/>
      <c r="AC49" s="1113"/>
      <c r="AD49" s="1120"/>
      <c r="AE49" s="1121"/>
      <c r="AF49" s="1098"/>
      <c r="AG49" s="1098"/>
      <c r="AH49" s="1136"/>
      <c r="AI49" s="1137"/>
      <c r="AJ49" s="1137"/>
      <c r="AK49" s="912"/>
      <c r="AL49" s="913"/>
      <c r="AM49" s="942"/>
      <c r="AN49" s="1139"/>
      <c r="AO49" s="1139"/>
      <c r="AP49" s="1139"/>
      <c r="AQ49" s="1139"/>
      <c r="AU49" s="1108"/>
      <c r="AV49" s="1135"/>
      <c r="AW49" s="1135"/>
      <c r="AX49" s="1104"/>
      <c r="AY49" s="831"/>
      <c r="AZ49" s="1104"/>
      <c r="BA49" s="1104"/>
      <c r="BB49" s="1104"/>
      <c r="BC49" s="1153"/>
      <c r="BD49" s="1104"/>
      <c r="BE49" s="1131"/>
      <c r="BF49" s="1104"/>
      <c r="BG49" s="1104"/>
    </row>
    <row r="50" spans="2:59" ht="15.95" customHeight="1">
      <c r="B50" s="929">
        <v>18</v>
      </c>
      <c r="C50" s="1140"/>
      <c r="D50" s="1140"/>
      <c r="E50" s="1140"/>
      <c r="F50" s="1132" t="str">
        <f>IF(ISBLANK(M04S09F35),"",M04S09F35)</f>
        <v/>
      </c>
      <c r="G50" s="1132"/>
      <c r="H50" s="1132"/>
      <c r="I50" s="1132"/>
      <c r="J50" s="1132"/>
      <c r="K50" s="1132"/>
      <c r="L50" s="1128" t="str">
        <f>IF(F50="","",IF('M04-S09'!$C$3="Building_Area_Method",INDEX(LPDValues[BA IECC 2018  (Watts/ Sq. Ft.)],MATCH(F50,LPDValues[Building_Area_Method]),0),IF('M04-S09'!$C$3="Space_By_Space_Method",INDEX(LPDValues[SBS IECC 2018  (Watts/ Sq. Ft.)],MATCH(F50,LPDValues[Space_By_Space_Method],0)))))</f>
        <v/>
      </c>
      <c r="M50" s="1128"/>
      <c r="N50" s="1112" t="str">
        <f t="shared" ref="N50" si="118">IF(OR(C50="",F50=""),"",C50*L50)</f>
        <v/>
      </c>
      <c r="O50" s="1112"/>
      <c r="P50" s="1112"/>
      <c r="Q50" s="1114" t="str">
        <f>IF(F50="","",INDEX(LPDWATT[Fixture Annual Operating Hours],MATCH(F50,LPDWATT[Building Area Type]),0))</f>
        <v/>
      </c>
      <c r="R50" s="1115"/>
      <c r="S50" s="1122" t="str">
        <f>IF(F50="","","Lighting Schedule Space Type #18")</f>
        <v/>
      </c>
      <c r="T50" s="1123"/>
      <c r="U50" s="1123"/>
      <c r="V50" s="1123"/>
      <c r="W50" s="1123"/>
      <c r="X50" s="1124"/>
      <c r="Y50" s="1128" t="str">
        <f t="shared" ref="Y50" si="119">IF(OR(C50="",F50=""),"",ROUND(AA50/C50,2))</f>
        <v/>
      </c>
      <c r="Z50" s="1128"/>
      <c r="AA50" s="1112" t="str">
        <f>IF(OR(S50="",F50=""),"",M04S09F36)</f>
        <v/>
      </c>
      <c r="AB50" s="1112"/>
      <c r="AC50" s="1112"/>
      <c r="AD50" s="1118"/>
      <c r="AE50" s="1119"/>
      <c r="AF50" s="1097"/>
      <c r="AG50" s="1097"/>
      <c r="AH50" s="870" t="str">
        <f t="shared" ref="AH50" si="120">IFERROR(IF(OR(L50="",F50="",Q50="",S50="",N50="",C50="",Y50="",AA50="",AF50=""),"",ROUND(AZ50,2)),0)</f>
        <v/>
      </c>
      <c r="AI50" s="1102"/>
      <c r="AJ50" s="1102"/>
      <c r="AK50" s="910" t="str">
        <f t="shared" ref="AK50" si="121">IF(OR(C50="",F50="",L50="",N50="",Q50="",,S50="",Y50="",AA50="",AF50=""),"",IF((N50)-(AA50)&lt;=0,0,ROUND(((((N50*Q50)-(AA50*Q50))/1000)+BF50)*AW50,2)))</f>
        <v/>
      </c>
      <c r="AL50" s="911"/>
      <c r="AM50" s="975"/>
      <c r="AN50" s="1138" t="str">
        <f t="shared" ref="AN50" si="122">IF(OR(C50="",F50="",L50="",N50="",Q50="",Y50="",S50="",,AA50="",AF50=""),"",IF(BG50&lt;&gt;"",BG50,AX50))</f>
        <v/>
      </c>
      <c r="AO50" s="1138"/>
      <c r="AP50" s="1138"/>
      <c r="AQ50" s="1138"/>
      <c r="AU50" s="1109" t="str">
        <f>IF(OR(C50="",F50="",L50="",N50="",Q50="",S50="",Y50="",AA50="",AF50=""),"",((((1+ELOSS)*((AK50*INDEX(ELECCB[NPV AEC $/kWh],MATCH(15,ELECCB[Year Number],0)))+(AV50*INDEX(ELECCB[NPV ACC+T&amp;D $/kW],MATCH(15,ELECCB[Year Number],0)))))+((1+GLOSS)*((BC50*INDEX(GASCB[NPV GAEC $/therm],MATCH(15,GASCB[Year Number],1))))))/AH50))</f>
        <v/>
      </c>
      <c r="AV50" s="1134" t="str">
        <f>IFERROR(IF(OR(C50="",F50="",L50="",N50="",Q50="",S50="",Y50="",AA50="",AF50=""),"",IF(OR(ISNUMBER(SEARCH("Exterior",F50)),((N50)-(AA50)&lt;=0)),0,
ROUND((((N50)-(AA50))/1000)*IF('M04-S09'!$C$3="Building_Area_Method",INDEX(LPDWATT[Lighting Coincidence Factor],MATCH(F50,LPDWATT[Building Area Type],0)),INDEX(LPDValues[Lighting Coincidence Factor],MATCH(F50,LPDValues[Space_By_Space_Method],0)))*IF(OR(M02S02F32="AC with Natural Gas Heat",M02S02F32="AC with Electric Heat",M02S02F32="Heat Pump"),IF('M04-S09'!$C$3="Building_Area_Method",INDEX(LPDWATT[Waste Heat Cooling Demand WHFd],MATCH(F50,LPDWATT[Building Area Type],0)),INDEX(LPDValues[Waste Heat Cooling Demand WHFd],MATCH(F50,LPDValues[Space_By_Space_Method],0)))),3))),"")</f>
        <v/>
      </c>
      <c r="AW50" s="1134" t="str" cm="1">
        <f t="array" ref="AW50">IFERROR(IF(OR(C50="",F50="",L50="",N50="",Q50="",S50="",Y50="",AA50="",AF50=""),"",IF(M02S02F46="Gas Only",0,IF(ISNUMBER(SEARCH("Exterior",F50)),1,IF(OR(M02S02F32="Heat Pump",M02S02F32="AC with Natural Gas Heat",M02S02F32="AC with Electric Heat"),IF('M04-S09'!$C$3="Building_Area_Method",(INDEX(LPDWATT[Waste Heat Cooling Energy WHFe],MATCH(F50,LPDWATT[Building Area Type],0))),INDEX(LPDValues[Waste Heat Cooling Energy WHFe],MATCH(F50,LPDValues[Space_By_Space_Method]),0)),1)))),0)</f>
        <v/>
      </c>
      <c r="AX50" s="1103" t="str">
        <f>IFERROR(ROUND(MIN(AH50,AK50*INDEX(INCRATE[Electric],MATCH("CMLIGHT",INCRATE[Incentive Type]))),2),"")</f>
        <v/>
      </c>
      <c r="AY50" s="830">
        <v>15</v>
      </c>
      <c r="AZ50" s="1103" t="str">
        <f t="shared" ref="AZ50" si="123">IFERROR(IF(AD50&lt;&gt;"",(AF50-AD50)*1,MIN(AF50*0.75,BB50*1)),"")</f>
        <v/>
      </c>
      <c r="BA50" s="1103" t="str">
        <f t="shared" ref="BA50" si="124">IFERROR(1-(AA50/N50),"")</f>
        <v/>
      </c>
      <c r="BB50" s="1103" t="str">
        <f>IFERROR(IF(ISNUMBER(SEARCH("Exterior",F50)),((N50-AA50)/1000)*INDEX(NCLIGHTINCCOST[WI Incremental Cost ($/sq ft)],MATCH("Exterior",NCLIGHTINCCOST[% Below Code],0)),IF(OR(BA50="",BA50&lt;=0),"",IF(BA50&lt;=0.2, C50*INDEX(NCLIGHTINCCOST[WI Incremental Cost ($/sq ft)],MATCH(0.2,NCLIGHTINCCOST[% Below Code],0)),IF(AND(BA50&gt;0.2,BA50&lt;0.4),C50*INDEX(NCLIGHTINCCOST[WI Incremental Cost ($/sq ft)],MATCH(0.3,NCLIGHTINCCOST[% Below Code],0)), IF(BA50&gt;=0.4,C50*INDEX(NCLIGHTINCCOST[WI Incremental Cost ($/sq ft)],MATCH(0.4,NCLIGHTINCCOST[% Below Code],0)),0))))),"")</f>
        <v/>
      </c>
      <c r="BC50" s="1152" t="str">
        <f>IFERROR(IF(OR(C50="",F50="",L50="",N50="",Q50="",S50="",Y50="",AA50="",AF50=""),"",IF(M02S02F46="Electric Only",0,IF(ISNUMBER(SEARCH("Exterior",F50)),0,IF(OR(M02S02F32="AC with Natural Gas Heat",M02S02F32="Natural Gas Heat Only"),(AK50*-IF('M04-S09'!$C$3="Building_Area_Method",INDEX(LPDWATT[Waste Heat Gas Heating IFTherms],MATCH(F50,LPDWATT[Building Area Type],0)),INDEX(LPDValues[Waste Heat Gas Heating IFTherms],MATCH(F50,LPDValues[Space_By_Space_Method],0)))),0)))),0)</f>
        <v/>
      </c>
      <c r="BD50" s="1103" t="str">
        <f>IFERROR(AH50/M02S02F35/AK50,"")</f>
        <v/>
      </c>
      <c r="BE50" s="1130" t="str">
        <f t="shared" ref="BE50" si="125">IF(OR(C50="",F50="",Q50="",S50="",AA50="",AF50=""),"",IF(ISNUMBER(AN50),IF(ISNUMBER(SEARCH("Exterior",F50)),"710102","710101"),IF(AK50=0,"","000001")))</f>
        <v/>
      </c>
      <c r="BF50" s="1103" t="str">
        <f>IFERROR(IF(OR(C50="",F50="",L50="",N50="",Q50="",S50="",Y50="",AA50="",AF50=""),"",IF(M02S02F46="Gas Only",0,IF(ISNUMBER(SEARCH("Exterior",F50)),0,IF(M02S02F32="Heat Pump",((((N50-Q50)-(AA50-Q50))/1000)*-IF('M04-S09'!$C$3="Building_Area_Method",INDEX(LPDWATT[Waste Heat Electric Heat Pump Heating IFkWh],MATCH(F50,LPDWATT[Building Area Type],0)),INDEX(LPDValues[Waste Heat Electric Heat Pump Heating IFkWh],MATCH(F50,LPDValues[Space_By_Space_Method],0)))),IF(OR(M02S02F32="AC with Electric Heat",M02S02F32="Electric Heat Only"),(((N50-Q50)-(AA50-Q50))/1000)*-IF('M04-S09'!$C$3="Building_Area_Method",INDEX(LPDWATT[Waste Heat Electric Resistance Heating IFkWh],MATCH(F50,LPDWATT[Building Area Type],0)),INDEX(LPDValues[Waste Heat Electric Resistance Heating IFkWh],MATCH(F50,LPDValues[Space_By_Space_Method],0))),0))))),0)</f>
        <v/>
      </c>
      <c r="BG50" s="1103" t="str">
        <f>IFERROR(IF((N50)-(AA50)&lt;=0,MEASURESAV,IF(M02S02F35="",MEASURERATE,IF(OR(F50="Others (Incremental)",F50="Others"),MEASURESUBMIT, IF(BD50&lt;1,MEASUREPAY,IF(AU50&lt;1,MEASURECB,""))))),MEASURESUBMIT)</f>
        <v>Submit for Review</v>
      </c>
    </row>
    <row r="51" spans="2:59" ht="15.95" customHeight="1">
      <c r="B51" s="929"/>
      <c r="C51" s="1141"/>
      <c r="D51" s="1141"/>
      <c r="E51" s="1141"/>
      <c r="F51" s="1133"/>
      <c r="G51" s="1133"/>
      <c r="H51" s="1133"/>
      <c r="I51" s="1133"/>
      <c r="J51" s="1133"/>
      <c r="K51" s="1133"/>
      <c r="L51" s="1129"/>
      <c r="M51" s="1129"/>
      <c r="N51" s="1113"/>
      <c r="O51" s="1113"/>
      <c r="P51" s="1113"/>
      <c r="Q51" s="1116"/>
      <c r="R51" s="1117"/>
      <c r="S51" s="1125"/>
      <c r="T51" s="1126"/>
      <c r="U51" s="1126"/>
      <c r="V51" s="1126"/>
      <c r="W51" s="1126"/>
      <c r="X51" s="1127"/>
      <c r="Y51" s="1129"/>
      <c r="Z51" s="1129"/>
      <c r="AA51" s="1113"/>
      <c r="AB51" s="1113"/>
      <c r="AC51" s="1113"/>
      <c r="AD51" s="1120"/>
      <c r="AE51" s="1121"/>
      <c r="AF51" s="1098"/>
      <c r="AG51" s="1098"/>
      <c r="AH51" s="1136"/>
      <c r="AI51" s="1137"/>
      <c r="AJ51" s="1137"/>
      <c r="AK51" s="912"/>
      <c r="AL51" s="913"/>
      <c r="AM51" s="942"/>
      <c r="AN51" s="1139"/>
      <c r="AO51" s="1139"/>
      <c r="AP51" s="1139"/>
      <c r="AQ51" s="1139"/>
      <c r="AU51" s="1108"/>
      <c r="AV51" s="1135"/>
      <c r="AW51" s="1135"/>
      <c r="AX51" s="1104"/>
      <c r="AY51" s="831"/>
      <c r="AZ51" s="1104"/>
      <c r="BA51" s="1104"/>
      <c r="BB51" s="1104"/>
      <c r="BC51" s="1153"/>
      <c r="BD51" s="1104"/>
      <c r="BE51" s="1131"/>
      <c r="BF51" s="1104"/>
      <c r="BG51" s="1104"/>
    </row>
    <row r="52" spans="2:59" ht="15.95" customHeight="1">
      <c r="B52" s="929">
        <v>19</v>
      </c>
      <c r="C52" s="1140"/>
      <c r="D52" s="1140"/>
      <c r="E52" s="1140"/>
      <c r="F52" s="1132" t="str">
        <f>IF(ISBLANK(M04S09F37),"",M04S09F37)</f>
        <v/>
      </c>
      <c r="G52" s="1132"/>
      <c r="H52" s="1132"/>
      <c r="I52" s="1132"/>
      <c r="J52" s="1132"/>
      <c r="K52" s="1132"/>
      <c r="L52" s="1128" t="str">
        <f>IF(F52="","",IF('M04-S09'!$C$3="Building_Area_Method",INDEX(LPDValues[BA IECC 2018  (Watts/ Sq. Ft.)],MATCH(F52,LPDValues[Building_Area_Method]),0),IF('M04-S09'!$C$3="Space_By_Space_Method",INDEX(LPDValues[SBS IECC 2018  (Watts/ Sq. Ft.)],MATCH(F52,LPDValues[Space_By_Space_Method],0)))))</f>
        <v/>
      </c>
      <c r="M52" s="1128"/>
      <c r="N52" s="1112" t="str">
        <f t="shared" ref="N52" si="126">IF(OR(C52="",F52=""),"",C52*L52)</f>
        <v/>
      </c>
      <c r="O52" s="1112"/>
      <c r="P52" s="1112"/>
      <c r="Q52" s="1114" t="str">
        <f>IF(F52="","",INDEX(LPDWATT[Fixture Annual Operating Hours],MATCH(F52,LPDWATT[Building Area Type]),0))</f>
        <v/>
      </c>
      <c r="R52" s="1115"/>
      <c r="S52" s="1122" t="str">
        <f>IF(F52="","","Lighting Schedule Space Type #19")</f>
        <v/>
      </c>
      <c r="T52" s="1123"/>
      <c r="U52" s="1123"/>
      <c r="V52" s="1123"/>
      <c r="W52" s="1123"/>
      <c r="X52" s="1124"/>
      <c r="Y52" s="1128" t="str">
        <f t="shared" ref="Y52" si="127">IF(OR(C52="",F52=""),"",ROUND(AA52/C52,2))</f>
        <v/>
      </c>
      <c r="Z52" s="1128"/>
      <c r="AA52" s="1112" t="str">
        <f>IF(OR(S52="",F52=""),"",M04S09F38)</f>
        <v/>
      </c>
      <c r="AB52" s="1112"/>
      <c r="AC52" s="1112"/>
      <c r="AD52" s="1118"/>
      <c r="AE52" s="1119"/>
      <c r="AF52" s="1097"/>
      <c r="AG52" s="1097"/>
      <c r="AH52" s="870" t="str">
        <f t="shared" ref="AH52" si="128">IFERROR(IF(OR(L52="",F52="",Q52="",S52="",N52="",C52="",Y52="",AA52="",AF52=""),"",ROUND(AZ52,2)),0)</f>
        <v/>
      </c>
      <c r="AI52" s="1102"/>
      <c r="AJ52" s="1102"/>
      <c r="AK52" s="910" t="str">
        <f t="shared" ref="AK52" si="129">IF(OR(C52="",F52="",L52="",N52="",Q52="",,S52="",Y52="",AA52="",AF52=""),"",IF((N52)-(AA52)&lt;=0,0,ROUND(((((N52*Q52)-(AA52*Q52))/1000)+BF52)*AW52,2)))</f>
        <v/>
      </c>
      <c r="AL52" s="911"/>
      <c r="AM52" s="975"/>
      <c r="AN52" s="1138" t="str">
        <f t="shared" ref="AN52" si="130">IF(OR(C52="",F52="",L52="",N52="",Q52="",Y52="",S52="",,AA52="",AF52=""),"",IF(BG52&lt;&gt;"",BG52,AX52))</f>
        <v/>
      </c>
      <c r="AO52" s="1138"/>
      <c r="AP52" s="1138"/>
      <c r="AQ52" s="1138"/>
      <c r="AU52" s="1109" t="str">
        <f>IF(OR(C52="",F52="",L52="",N52="",Q52="",S52="",Y52="",AA52="",AF52=""),"",((((1+ELOSS)*((AK52*INDEX(ELECCB[NPV AEC $/kWh],MATCH(15,ELECCB[Year Number],0)))+(AV52*INDEX(ELECCB[NPV ACC+T&amp;D $/kW],MATCH(15,ELECCB[Year Number],0)))))+((1+GLOSS)*((BC52*INDEX(GASCB[NPV GAEC $/therm],MATCH(15,GASCB[Year Number],1))))))/AH52))</f>
        <v/>
      </c>
      <c r="AV52" s="1134" t="str">
        <f>IFERROR(IF(OR(C52="",F52="",L52="",N52="",Q52="",S52="",Y52="",AA52="",AF52=""),"",IF(OR(ISNUMBER(SEARCH("Exterior",F52)),((N52)-(AA52)&lt;=0)),0,
ROUND((((N52)-(AA52))/1000)*IF('M04-S09'!$C$3="Building_Area_Method",INDEX(LPDWATT[Lighting Coincidence Factor],MATCH(F52,LPDWATT[Building Area Type],0)),INDEX(LPDValues[Lighting Coincidence Factor],MATCH(F52,LPDValues[Space_By_Space_Method],0)))*IF(OR(M02S02F32="AC with Natural Gas Heat",M02S02F32="AC with Electric Heat",M02S02F32="Heat Pump"),IF('M04-S09'!$C$3="Building_Area_Method",INDEX(LPDWATT[Waste Heat Cooling Demand WHFd],MATCH(F52,LPDWATT[Building Area Type],0)),INDEX(LPDValues[Waste Heat Cooling Demand WHFd],MATCH(F52,LPDValues[Space_By_Space_Method],0)))),3))),"")</f>
        <v/>
      </c>
      <c r="AW52" s="1134" t="str" cm="1">
        <f t="array" ref="AW52">IFERROR(IF(OR(C52="",F52="",L52="",N52="",Q52="",S52="",Y52="",AA52="",AF52=""),"",IF(M02S02F46="Gas Only",0,IF(ISNUMBER(SEARCH("Exterior",F52)),1,IF(OR(M02S02F32="Heat Pump",M02S02F32="AC with Natural Gas Heat",M02S02F32="AC with Electric Heat"),IF('M04-S09'!$C$3="Building_Area_Method",(INDEX(LPDWATT[Waste Heat Cooling Energy WHFe],MATCH(F52,LPDWATT[Building Area Type],0))),INDEX(LPDValues[Waste Heat Cooling Energy WHFe],MATCH(F52,LPDValues[Space_By_Space_Method]),0)),1)))),0)</f>
        <v/>
      </c>
      <c r="AX52" s="1103" t="str">
        <f>IFERROR(ROUND(MIN(AH52,AK52*INDEX(INCRATE[Electric],MATCH("CMLIGHT",INCRATE[Incentive Type]))),2),"")</f>
        <v/>
      </c>
      <c r="AY52" s="830">
        <v>15</v>
      </c>
      <c r="AZ52" s="1103" t="str">
        <f t="shared" ref="AZ52" si="131">IFERROR(IF(AD52&lt;&gt;"",(AF52-AD52)*1,MIN(AF52*0.75,BB52*1)),"")</f>
        <v/>
      </c>
      <c r="BA52" s="1103" t="str">
        <f t="shared" ref="BA52" si="132">IFERROR(1-(AA52/N52),"")</f>
        <v/>
      </c>
      <c r="BB52" s="1103" t="str">
        <f>IFERROR(IF(ISNUMBER(SEARCH("Exterior",F52)),((N52-AA52)/1000)*INDEX(NCLIGHTINCCOST[WI Incremental Cost ($/sq ft)],MATCH("Exterior",NCLIGHTINCCOST[% Below Code],0)),IF(OR(BA52="",BA52&lt;=0),"",IF(BA52&lt;=0.2, C52*INDEX(NCLIGHTINCCOST[WI Incremental Cost ($/sq ft)],MATCH(0.2,NCLIGHTINCCOST[% Below Code],0)),IF(AND(BA52&gt;0.2,BA52&lt;0.4),C52*INDEX(NCLIGHTINCCOST[WI Incremental Cost ($/sq ft)],MATCH(0.3,NCLIGHTINCCOST[% Below Code],0)), IF(BA52&gt;=0.4,C52*INDEX(NCLIGHTINCCOST[WI Incremental Cost ($/sq ft)],MATCH(0.4,NCLIGHTINCCOST[% Below Code],0)),0))))),"")</f>
        <v/>
      </c>
      <c r="BC52" s="1152" t="str">
        <f>IFERROR(IF(OR(C52="",F52="",L52="",N52="",Q52="",S52="",Y52="",AA52="",AF52=""),"",IF(M02S02F46="Electric Only",0,IF(ISNUMBER(SEARCH("Exterior",F52)),0,IF(OR(M02S02F32="AC with Natural Gas Heat",M02S02F32="Natural Gas Heat Only"),(AK52*-IF('M04-S09'!$C$3="Building_Area_Method",INDEX(LPDWATT[Waste Heat Gas Heating IFTherms],MATCH(F52,LPDWATT[Building Area Type],0)),INDEX(LPDValues[Waste Heat Gas Heating IFTherms],MATCH(F52,LPDValues[Space_By_Space_Method],0)))),0)))),0)</f>
        <v/>
      </c>
      <c r="BD52" s="1103" t="str">
        <f>IFERROR(AH52/M02S02F35/AK52,"")</f>
        <v/>
      </c>
      <c r="BE52" s="1130" t="str">
        <f t="shared" ref="BE52" si="133">IF(OR(C52="",F52="",Q52="",S52="",AA52="",AF52=""),"",IF(ISNUMBER(AN52),IF(ISNUMBER(SEARCH("Exterior",F52)),"710102","710101"),IF(AK52=0,"","000001")))</f>
        <v/>
      </c>
      <c r="BF52" s="1103" t="str">
        <f>IFERROR(IF(OR(C52="",F52="",L52="",N52="",Q52="",S52="",Y52="",AA52="",AF52=""),"",IF(M02S02F46="Gas Only",0,IF(ISNUMBER(SEARCH("Exterior",F52)),0,IF(M02S02F32="Heat Pump",((((N52-Q52)-(AA52-Q52))/1000)*-IF('M04-S09'!$C$3="Building_Area_Method",INDEX(LPDWATT[Waste Heat Electric Heat Pump Heating IFkWh],MATCH(F52,LPDWATT[Building Area Type],0)),INDEX(LPDValues[Waste Heat Electric Heat Pump Heating IFkWh],MATCH(F52,LPDValues[Space_By_Space_Method],0)))),IF(OR(M02S02F32="AC with Electric Heat",M02S02F32="Electric Heat Only"),(((N52-Q52)-(AA52-Q52))/1000)*-IF('M04-S09'!$C$3="Building_Area_Method",INDEX(LPDWATT[Waste Heat Electric Resistance Heating IFkWh],MATCH(F52,LPDWATT[Building Area Type],0)),INDEX(LPDValues[Waste Heat Electric Resistance Heating IFkWh],MATCH(F52,LPDValues[Space_By_Space_Method],0))),0))))),0)</f>
        <v/>
      </c>
      <c r="BG52" s="1103" t="str">
        <f>IFERROR(IF((N52)-(AA52)&lt;=0,MEASURESAV,IF(M02S02F35="",MEASURERATE,IF(OR(F52="Others (Incremental)",F52="Others"),MEASURESUBMIT, IF(BD52&lt;1,MEASUREPAY,IF(AU52&lt;1,MEASURECB,""))))),MEASURESUBMIT)</f>
        <v>Submit for Review</v>
      </c>
    </row>
    <row r="53" spans="2:59" ht="15.95" customHeight="1">
      <c r="B53" s="929"/>
      <c r="C53" s="1141"/>
      <c r="D53" s="1141"/>
      <c r="E53" s="1141"/>
      <c r="F53" s="1133"/>
      <c r="G53" s="1133"/>
      <c r="H53" s="1133"/>
      <c r="I53" s="1133"/>
      <c r="J53" s="1133"/>
      <c r="K53" s="1133"/>
      <c r="L53" s="1129"/>
      <c r="M53" s="1129"/>
      <c r="N53" s="1113"/>
      <c r="O53" s="1113"/>
      <c r="P53" s="1113"/>
      <c r="Q53" s="1116"/>
      <c r="R53" s="1117"/>
      <c r="S53" s="1125"/>
      <c r="T53" s="1126"/>
      <c r="U53" s="1126"/>
      <c r="V53" s="1126"/>
      <c r="W53" s="1126"/>
      <c r="X53" s="1127"/>
      <c r="Y53" s="1129"/>
      <c r="Z53" s="1129"/>
      <c r="AA53" s="1113"/>
      <c r="AB53" s="1113"/>
      <c r="AC53" s="1113"/>
      <c r="AD53" s="1120"/>
      <c r="AE53" s="1121"/>
      <c r="AF53" s="1098"/>
      <c r="AG53" s="1098"/>
      <c r="AH53" s="1136"/>
      <c r="AI53" s="1137"/>
      <c r="AJ53" s="1137"/>
      <c r="AK53" s="912"/>
      <c r="AL53" s="913"/>
      <c r="AM53" s="942"/>
      <c r="AN53" s="1139"/>
      <c r="AO53" s="1139"/>
      <c r="AP53" s="1139"/>
      <c r="AQ53" s="1139"/>
      <c r="AU53" s="1108"/>
      <c r="AV53" s="1135"/>
      <c r="AW53" s="1135"/>
      <c r="AX53" s="1104"/>
      <c r="AY53" s="831"/>
      <c r="AZ53" s="1104"/>
      <c r="BA53" s="1104"/>
      <c r="BB53" s="1104"/>
      <c r="BC53" s="1153"/>
      <c r="BD53" s="1104"/>
      <c r="BE53" s="1131"/>
      <c r="BF53" s="1104"/>
      <c r="BG53" s="1104"/>
    </row>
    <row r="54" spans="2:59" ht="15.95" customHeight="1">
      <c r="B54" s="929">
        <v>20</v>
      </c>
      <c r="C54" s="1140"/>
      <c r="D54" s="1140"/>
      <c r="E54" s="1140"/>
      <c r="F54" s="1132" t="str">
        <f>IF(ISBLANK(M04S09F39),"",M04S09F39)</f>
        <v/>
      </c>
      <c r="G54" s="1132"/>
      <c r="H54" s="1132"/>
      <c r="I54" s="1132"/>
      <c r="J54" s="1132"/>
      <c r="K54" s="1132"/>
      <c r="L54" s="1128" t="str">
        <f>IF(F54="","",IF('M04-S09'!$C$3="Building_Area_Method",INDEX(LPDValues[BA IECC 2018  (Watts/ Sq. Ft.)],MATCH(F54,LPDValues[Building_Area_Method]),0),IF('M04-S09'!$C$3="Space_By_Space_Method",INDEX(LPDValues[SBS IECC 2018  (Watts/ Sq. Ft.)],MATCH(F54,LPDValues[Space_By_Space_Method],0)))))</f>
        <v/>
      </c>
      <c r="M54" s="1128"/>
      <c r="N54" s="1112" t="str">
        <f t="shared" ref="N54" si="134">IF(OR(C54="",F54=""),"",C54*L54)</f>
        <v/>
      </c>
      <c r="O54" s="1112"/>
      <c r="P54" s="1112"/>
      <c r="Q54" s="1114" t="str">
        <f>IF(F54="","",INDEX(LPDWATT[Fixture Annual Operating Hours],MATCH(F54,LPDWATT[Building Area Type]),0))</f>
        <v/>
      </c>
      <c r="R54" s="1115"/>
      <c r="S54" s="1122" t="str">
        <f>IF(F54="","","Lighting Schedule Space Type #20")</f>
        <v/>
      </c>
      <c r="T54" s="1123"/>
      <c r="U54" s="1123"/>
      <c r="V54" s="1123"/>
      <c r="W54" s="1123"/>
      <c r="X54" s="1124"/>
      <c r="Y54" s="1128" t="str">
        <f t="shared" ref="Y54" si="135">IF(OR(C54="",F54=""),"",ROUND(AA54/C54,2))</f>
        <v/>
      </c>
      <c r="Z54" s="1128"/>
      <c r="AA54" s="1112" t="str">
        <f>IF(OR(S54="",F54=""),"",M04S09F40)</f>
        <v/>
      </c>
      <c r="AB54" s="1112"/>
      <c r="AC54" s="1112"/>
      <c r="AD54" s="1118"/>
      <c r="AE54" s="1119"/>
      <c r="AF54" s="1097"/>
      <c r="AG54" s="1097"/>
      <c r="AH54" s="870" t="str">
        <f t="shared" ref="AH54" si="136">IFERROR(IF(OR(L54="",F54="",Q54="",S54="",N54="",C54="",Y54="",AA54="",AF54=""),"",ROUND(AZ54,2)),0)</f>
        <v/>
      </c>
      <c r="AI54" s="1102"/>
      <c r="AJ54" s="1102"/>
      <c r="AK54" s="910" t="str">
        <f t="shared" ref="AK54" si="137">IF(OR(C54="",F54="",L54="",N54="",Q54="",,S54="",Y54="",AA54="",AF54=""),"",IF((N54)-(AA54)&lt;=0,0,ROUND(((((N54*Q54)-(AA54*Q54))/1000)+BF54)*AW54,2)))</f>
        <v/>
      </c>
      <c r="AL54" s="911"/>
      <c r="AM54" s="975"/>
      <c r="AN54" s="1138" t="str">
        <f t="shared" ref="AN54" si="138">IF(OR(C54="",F54="",L54="",N54="",Q54="",Y54="",S54="",,AA54="",AF54=""),"",IF(BG54&lt;&gt;"",BG54,AX54))</f>
        <v/>
      </c>
      <c r="AO54" s="1138"/>
      <c r="AP54" s="1138"/>
      <c r="AQ54" s="1138"/>
      <c r="AU54" s="1109" t="str">
        <f>IF(OR(C54="",F54="",L54="",N54="",Q54="",S54="",Y54="",AA54="",AF54=""),"",((((1+ELOSS)*((AK54*INDEX(ELECCB[NPV AEC $/kWh],MATCH(15,ELECCB[Year Number],0)))+(AV54*INDEX(ELECCB[NPV ACC+T&amp;D $/kW],MATCH(15,ELECCB[Year Number],0)))))+((1+GLOSS)*((BC54*INDEX(GASCB[NPV GAEC $/therm],MATCH(15,GASCB[Year Number],1))))))/AH54))</f>
        <v/>
      </c>
      <c r="AV54" s="1134" t="str">
        <f>IFERROR(IF(OR(C54="",F54="",L54="",N54="",Q54="",S54="",Y54="",AA54="",AF54=""),"",IF(OR(ISNUMBER(SEARCH("Exterior",F54)),((N54)-(AA54)&lt;=0)),0,
ROUND((((N54)-(AA54))/1000)*IF('M04-S09'!$C$3="Building_Area_Method",INDEX(LPDWATT[Lighting Coincidence Factor],MATCH(F54,LPDWATT[Building Area Type],0)),INDEX(LPDValues[Lighting Coincidence Factor],MATCH(F54,LPDValues[Space_By_Space_Method],0)))*IF(OR(M02S02F32="AC with Natural Gas Heat",M02S02F32="AC with Electric Heat",M02S02F32="Heat Pump"),IF('M04-S09'!$C$3="Building_Area_Method",INDEX(LPDWATT[Waste Heat Cooling Demand WHFd],MATCH(F54,LPDWATT[Building Area Type],0)),INDEX(LPDValues[Waste Heat Cooling Demand WHFd],MATCH(F54,LPDValues[Space_By_Space_Method],0)))),3))),"")</f>
        <v/>
      </c>
      <c r="AW54" s="1134" t="str" cm="1">
        <f t="array" ref="AW54">IFERROR(IF(OR(C54="",F54="",L54="",N54="",Q54="",S54="",Y54="",AA54="",AF54=""),"",IF(M02S02F46="Gas Only",0,IF(ISNUMBER(SEARCH("Exterior",F54)),1,IF(OR(M02S02F32="Heat Pump",M02S02F32="AC with Natural Gas Heat",M02S02F32="AC with Electric Heat"),IF('M04-S09'!$C$3="Building_Area_Method",(INDEX(LPDWATT[Waste Heat Cooling Energy WHFe],MATCH(F54,LPDWATT[Building Area Type],0))),INDEX(LPDValues[Waste Heat Cooling Energy WHFe],MATCH(F54,LPDValues[Space_By_Space_Method]),0)),1)))),0)</f>
        <v/>
      </c>
      <c r="AX54" s="1103" t="str">
        <f>IFERROR(ROUND(MIN(AH54,AK54*INDEX(INCRATE[Electric],MATCH("CMLIGHT",INCRATE[Incentive Type]))),2),"")</f>
        <v/>
      </c>
      <c r="AY54" s="830">
        <v>15</v>
      </c>
      <c r="AZ54" s="1103" t="str">
        <f t="shared" ref="AZ54" si="139">IFERROR(IF(AD54&lt;&gt;"",(AF54-AD54)*1,MIN(AF54*0.75,BB54*1)),"")</f>
        <v/>
      </c>
      <c r="BA54" s="1103" t="str">
        <f t="shared" ref="BA54" si="140">IFERROR(1-(AA54/N54),"")</f>
        <v/>
      </c>
      <c r="BB54" s="1103" t="str">
        <f>IFERROR(IF(ISNUMBER(SEARCH("Exterior",F54)),((N54-AA54)/1000)*INDEX(NCLIGHTINCCOST[WI Incremental Cost ($/sq ft)],MATCH("Exterior",NCLIGHTINCCOST[% Below Code],0)),IF(OR(BA54="",BA54&lt;=0),"",IF(BA54&lt;=0.2, C54*INDEX(NCLIGHTINCCOST[WI Incremental Cost ($/sq ft)],MATCH(0.2,NCLIGHTINCCOST[% Below Code],0)),IF(AND(BA54&gt;0.2,BA54&lt;0.4),C54*INDEX(NCLIGHTINCCOST[WI Incremental Cost ($/sq ft)],MATCH(0.3,NCLIGHTINCCOST[% Below Code],0)), IF(BA54&gt;=0.4,C54*INDEX(NCLIGHTINCCOST[WI Incremental Cost ($/sq ft)],MATCH(0.4,NCLIGHTINCCOST[% Below Code],0)),0))))),"")</f>
        <v/>
      </c>
      <c r="BC54" s="1152" t="str">
        <f>IFERROR(IF(OR(C54="",F54="",L54="",N54="",Q54="",S54="",Y54="",AA54="",AF54=""),"",IF(M02S02F46="Electric Only",0,IF(ISNUMBER(SEARCH("Exterior",F54)),0,IF(OR(M02S02F32="AC with Natural Gas Heat",M02S02F32="Natural Gas Heat Only"),(AK54*-IF('M04-S09'!$C$3="Building_Area_Method",INDEX(LPDWATT[Waste Heat Gas Heating IFTherms],MATCH(F54,LPDWATT[Building Area Type],0)),INDEX(LPDValues[Waste Heat Gas Heating IFTherms],MATCH(F54,LPDValues[Space_By_Space_Method],0)))),0)))),0)</f>
        <v/>
      </c>
      <c r="BD54" s="1103" t="str">
        <f>IFERROR(AH54/M02S02F35/AK54,"")</f>
        <v/>
      </c>
      <c r="BE54" s="1130" t="str">
        <f t="shared" ref="BE54" si="141">IF(OR(C54="",F54="",Q54="",S54="",AA54="",AF54=""),"",IF(ISNUMBER(AN54),IF(ISNUMBER(SEARCH("Exterior",F54)),"710102","710101"),IF(AK54=0,"","000001")))</f>
        <v/>
      </c>
      <c r="BF54" s="1103" t="str">
        <f>IFERROR(IF(OR(C54="",F54="",L54="",N54="",Q54="",S54="",Y54="",AA54="",AF54=""),"",IF(M02S02F46="Gas Only",0,IF(ISNUMBER(SEARCH("Exterior",F54)),0,IF(M02S02F32="Heat Pump",((((N54-Q54)-(AA54-Q54))/1000)*-IF('M04-S09'!$C$3="Building_Area_Method",INDEX(LPDWATT[Waste Heat Electric Heat Pump Heating IFkWh],MATCH(F54,LPDWATT[Building Area Type],0)),INDEX(LPDValues[Waste Heat Electric Heat Pump Heating IFkWh],MATCH(F54,LPDValues[Space_By_Space_Method],0)))),IF(OR(M02S02F32="AC with Electric Heat",M02S02F32="Electric Heat Only"),(((N54-Q54)-(AA54-Q54))/1000)*-IF('M04-S09'!$C$3="Building_Area_Method",INDEX(LPDWATT[Waste Heat Electric Resistance Heating IFkWh],MATCH(F54,LPDWATT[Building Area Type],0)),INDEX(LPDValues[Waste Heat Electric Resistance Heating IFkWh],MATCH(F54,LPDValues[Space_By_Space_Method],0))),0))))),0)</f>
        <v/>
      </c>
      <c r="BG54" s="1103" t="str">
        <f>IFERROR(IF((N54)-(AA54)&lt;=0,MEASURESAV,IF(M02S02F35="",MEASURERATE,IF(OR(F54="Others (Incremental)",F54="Others"),MEASURESUBMIT, IF(BD54&lt;1,MEASUREPAY,IF(AU54&lt;1,MEASURECB,""))))),MEASURESUBMIT)</f>
        <v>Submit for Review</v>
      </c>
    </row>
    <row r="55" spans="2:59" ht="15.95" customHeight="1">
      <c r="B55" s="929"/>
      <c r="C55" s="1141"/>
      <c r="D55" s="1141"/>
      <c r="E55" s="1141"/>
      <c r="F55" s="1133"/>
      <c r="G55" s="1133"/>
      <c r="H55" s="1133"/>
      <c r="I55" s="1133"/>
      <c r="J55" s="1133"/>
      <c r="K55" s="1133"/>
      <c r="L55" s="1129"/>
      <c r="M55" s="1129"/>
      <c r="N55" s="1113"/>
      <c r="O55" s="1113"/>
      <c r="P55" s="1113"/>
      <c r="Q55" s="1116"/>
      <c r="R55" s="1117"/>
      <c r="S55" s="1125"/>
      <c r="T55" s="1126"/>
      <c r="U55" s="1126"/>
      <c r="V55" s="1126"/>
      <c r="W55" s="1126"/>
      <c r="X55" s="1127"/>
      <c r="Y55" s="1129"/>
      <c r="Z55" s="1129"/>
      <c r="AA55" s="1113"/>
      <c r="AB55" s="1113"/>
      <c r="AC55" s="1113"/>
      <c r="AD55" s="1120"/>
      <c r="AE55" s="1121"/>
      <c r="AF55" s="1098"/>
      <c r="AG55" s="1098"/>
      <c r="AH55" s="1136"/>
      <c r="AI55" s="1137"/>
      <c r="AJ55" s="1137"/>
      <c r="AK55" s="912"/>
      <c r="AL55" s="913"/>
      <c r="AM55" s="942"/>
      <c r="AN55" s="1139"/>
      <c r="AO55" s="1139"/>
      <c r="AP55" s="1139"/>
      <c r="AQ55" s="1139"/>
      <c r="AU55" s="1108"/>
      <c r="AV55" s="1135"/>
      <c r="AW55" s="1135"/>
      <c r="AX55" s="1104"/>
      <c r="AY55" s="831"/>
      <c r="AZ55" s="1104"/>
      <c r="BA55" s="1104"/>
      <c r="BB55" s="1104"/>
      <c r="BC55" s="1153"/>
      <c r="BD55" s="1104"/>
      <c r="BE55" s="1131"/>
      <c r="BF55" s="1104"/>
      <c r="BG55" s="1104"/>
    </row>
    <row r="56" spans="2:59" ht="15.95" customHeight="1"/>
    <row r="57" spans="2:59" ht="15.95" customHeight="1"/>
    <row r="58" spans="2:59" ht="15.95" customHeight="1"/>
    <row r="59" spans="2:59" ht="15.95" customHeight="1"/>
    <row r="60" spans="2:59" ht="15.95" customHeight="1"/>
    <row r="61" spans="2:59" ht="15.95" customHeight="1"/>
    <row r="62" spans="2:59" ht="15.95" customHeight="1"/>
    <row r="63" spans="2:59" ht="15.95" customHeight="1"/>
    <row r="64" spans="2:59" ht="15.95" customHeight="1"/>
    <row r="65" spans="2:43" ht="15.95" customHeight="1"/>
    <row r="66" spans="2:43" ht="15.95" hidden="1" customHeight="1">
      <c r="B66" s="929">
        <v>26</v>
      </c>
      <c r="C66" s="8"/>
      <c r="D66" s="8"/>
      <c r="E66" s="8"/>
      <c r="F66" s="8"/>
      <c r="G66" s="8"/>
      <c r="H66" s="8"/>
      <c r="I66" s="8"/>
      <c r="J66" s="8"/>
      <c r="K66" s="8"/>
      <c r="L66" s="8"/>
      <c r="M66" s="8"/>
      <c r="N66" s="8"/>
      <c r="O66" s="8"/>
      <c r="P66" s="8"/>
      <c r="Q66" s="8"/>
      <c r="R66" s="8"/>
      <c r="S66" s="8"/>
      <c r="T66" s="8"/>
      <c r="U66" s="8"/>
      <c r="V66" s="8"/>
      <c r="W66" s="8"/>
      <c r="X66" s="8"/>
      <c r="Y66" s="8"/>
      <c r="Z66" s="8"/>
      <c r="AA66" s="8"/>
      <c r="AB66" s="8"/>
      <c r="AC66" s="8"/>
      <c r="AD66" s="8"/>
      <c r="AE66" s="8"/>
      <c r="AF66" s="8"/>
      <c r="AG66" s="8"/>
      <c r="AH66" s="8"/>
      <c r="AI66" s="8"/>
      <c r="AJ66" s="8"/>
      <c r="AK66" s="8"/>
      <c r="AL66" s="8"/>
      <c r="AM66" s="8"/>
      <c r="AN66" s="8"/>
      <c r="AO66" s="8"/>
      <c r="AP66" s="8"/>
      <c r="AQ66" s="8"/>
    </row>
    <row r="67" spans="2:43" ht="15.95" hidden="1" customHeight="1">
      <c r="B67" s="929"/>
      <c r="C67" s="8"/>
      <c r="D67" s="8"/>
      <c r="E67" s="8"/>
      <c r="F67" s="8"/>
      <c r="G67" s="8"/>
      <c r="H67" s="8"/>
      <c r="I67" s="8"/>
      <c r="J67" s="8"/>
      <c r="K67" s="8"/>
      <c r="L67" s="8"/>
      <c r="M67" s="8"/>
      <c r="N67" s="8"/>
      <c r="O67" s="8"/>
      <c r="P67" s="8"/>
      <c r="Q67" s="8"/>
      <c r="R67" s="8"/>
      <c r="S67" s="8"/>
      <c r="T67" s="8"/>
      <c r="U67" s="8"/>
      <c r="V67" s="8"/>
      <c r="W67" s="8"/>
      <c r="X67" s="8"/>
      <c r="Y67" s="8"/>
      <c r="Z67" s="8"/>
      <c r="AA67" s="8"/>
      <c r="AB67" s="8"/>
      <c r="AC67" s="8"/>
      <c r="AD67" s="8"/>
      <c r="AE67" s="8"/>
      <c r="AF67" s="8"/>
      <c r="AG67" s="8"/>
      <c r="AH67" s="8"/>
      <c r="AI67" s="8"/>
      <c r="AJ67" s="8"/>
      <c r="AK67" s="8"/>
      <c r="AL67" s="8"/>
      <c r="AM67" s="8"/>
      <c r="AN67" s="8"/>
      <c r="AO67" s="8"/>
      <c r="AP67" s="8"/>
      <c r="AQ67" s="8"/>
    </row>
    <row r="68" spans="2:43" ht="15.95" hidden="1" customHeight="1">
      <c r="B68" s="929">
        <v>27</v>
      </c>
      <c r="C68" s="8"/>
      <c r="D68" s="8"/>
      <c r="E68" s="8"/>
      <c r="F68" s="8"/>
      <c r="G68" s="8"/>
      <c r="H68" s="8"/>
      <c r="I68" s="8"/>
      <c r="J68" s="8"/>
      <c r="K68" s="8"/>
      <c r="L68" s="8"/>
      <c r="M68" s="8"/>
      <c r="N68" s="8"/>
      <c r="O68" s="8"/>
      <c r="P68" s="8"/>
      <c r="Q68" s="8"/>
      <c r="R68" s="8"/>
      <c r="S68" s="8"/>
      <c r="T68" s="8"/>
      <c r="U68" s="8"/>
      <c r="V68" s="8"/>
      <c r="W68" s="8"/>
      <c r="X68" s="8"/>
      <c r="Y68" s="8"/>
      <c r="Z68" s="8"/>
      <c r="AA68" s="8"/>
      <c r="AB68" s="8"/>
      <c r="AC68" s="8"/>
      <c r="AD68" s="8"/>
      <c r="AE68" s="8"/>
      <c r="AF68" s="8"/>
      <c r="AG68" s="8"/>
      <c r="AH68" s="8"/>
      <c r="AI68" s="8"/>
      <c r="AJ68" s="8"/>
      <c r="AK68" s="8"/>
      <c r="AL68" s="8"/>
      <c r="AM68" s="8"/>
      <c r="AN68" s="8"/>
      <c r="AO68" s="8"/>
      <c r="AP68" s="8"/>
      <c r="AQ68" s="8"/>
    </row>
    <row r="69" spans="2:43" ht="15.95" hidden="1" customHeight="1">
      <c r="B69" s="929"/>
      <c r="C69" s="8"/>
      <c r="D69" s="8"/>
      <c r="E69" s="8"/>
      <c r="F69" s="8"/>
      <c r="G69" s="8"/>
      <c r="H69" s="8"/>
      <c r="I69" s="8"/>
      <c r="J69" s="8"/>
      <c r="K69" s="8"/>
      <c r="L69" s="8"/>
      <c r="M69" s="8"/>
      <c r="N69" s="8"/>
      <c r="O69" s="8"/>
      <c r="P69" s="8"/>
      <c r="Q69" s="8"/>
      <c r="R69" s="8"/>
      <c r="S69" s="8"/>
      <c r="T69" s="8"/>
      <c r="U69" s="8"/>
      <c r="V69" s="8"/>
      <c r="W69" s="8"/>
      <c r="X69" s="8"/>
      <c r="Y69" s="8"/>
      <c r="Z69" s="8"/>
      <c r="AA69" s="8"/>
      <c r="AB69" s="8"/>
      <c r="AC69" s="8"/>
      <c r="AD69" s="8"/>
      <c r="AE69" s="8"/>
      <c r="AF69" s="8"/>
      <c r="AG69" s="8"/>
      <c r="AH69" s="8"/>
      <c r="AI69" s="8"/>
      <c r="AJ69" s="8"/>
      <c r="AK69" s="8"/>
      <c r="AL69" s="8"/>
      <c r="AM69" s="8"/>
      <c r="AN69" s="8"/>
      <c r="AO69" s="8"/>
      <c r="AP69" s="8"/>
      <c r="AQ69" s="8"/>
    </row>
    <row r="70" spans="2:43" ht="15.95" hidden="1" customHeight="1">
      <c r="B70" s="929">
        <v>28</v>
      </c>
      <c r="C70" s="8"/>
      <c r="D70" s="8"/>
      <c r="E70" s="8"/>
      <c r="F70" s="8"/>
      <c r="G70" s="8"/>
      <c r="H70" s="8"/>
      <c r="I70" s="8"/>
      <c r="J70" s="8"/>
      <c r="K70" s="8"/>
      <c r="L70" s="8"/>
      <c r="M70" s="8"/>
      <c r="N70" s="8"/>
      <c r="O70" s="8"/>
      <c r="P70" s="8"/>
      <c r="Q70" s="8"/>
      <c r="R70" s="8"/>
      <c r="S70" s="8"/>
      <c r="T70" s="8"/>
      <c r="U70" s="8"/>
      <c r="V70" s="8"/>
      <c r="W70" s="8"/>
      <c r="X70" s="8"/>
      <c r="Y70" s="8"/>
      <c r="Z70" s="8"/>
      <c r="AA70" s="8"/>
      <c r="AB70" s="8"/>
      <c r="AC70" s="8"/>
      <c r="AD70" s="8"/>
      <c r="AE70" s="8"/>
      <c r="AF70" s="8"/>
      <c r="AG70" s="8"/>
      <c r="AH70" s="8"/>
      <c r="AI70" s="8"/>
      <c r="AJ70" s="8"/>
      <c r="AK70" s="8"/>
      <c r="AL70" s="8"/>
      <c r="AM70" s="8"/>
      <c r="AN70" s="8"/>
      <c r="AO70" s="8"/>
      <c r="AP70" s="8"/>
      <c r="AQ70" s="8"/>
    </row>
    <row r="71" spans="2:43" ht="15.95" hidden="1" customHeight="1">
      <c r="B71" s="929"/>
      <c r="C71" s="8"/>
      <c r="D71" s="8"/>
      <c r="E71" s="8"/>
      <c r="F71" s="8"/>
      <c r="G71" s="8"/>
      <c r="H71" s="8"/>
      <c r="I71" s="8"/>
      <c r="J71" s="8"/>
      <c r="K71" s="8"/>
      <c r="L71" s="8"/>
      <c r="M71" s="8"/>
      <c r="N71" s="8"/>
      <c r="O71" s="8"/>
      <c r="P71" s="8"/>
      <c r="Q71" s="8"/>
      <c r="R71" s="8"/>
      <c r="S71" s="8"/>
      <c r="T71" s="8"/>
      <c r="U71" s="8"/>
      <c r="V71" s="8"/>
      <c r="W71" s="8"/>
      <c r="X71" s="8"/>
      <c r="Y71" s="8"/>
      <c r="Z71" s="8"/>
      <c r="AA71" s="8"/>
      <c r="AB71" s="8"/>
      <c r="AC71" s="8"/>
      <c r="AD71" s="8"/>
      <c r="AE71" s="8"/>
      <c r="AF71" s="8"/>
      <c r="AG71" s="8"/>
      <c r="AH71" s="8"/>
      <c r="AI71" s="8"/>
      <c r="AJ71" s="8"/>
      <c r="AK71" s="8"/>
      <c r="AL71" s="8"/>
      <c r="AM71" s="8"/>
      <c r="AN71" s="8"/>
      <c r="AO71" s="8"/>
      <c r="AP71" s="8"/>
      <c r="AQ71" s="8"/>
    </row>
    <row r="72" spans="2:43" ht="15.95" hidden="1" customHeight="1">
      <c r="B72" s="929">
        <v>29</v>
      </c>
      <c r="C72" s="8"/>
      <c r="D72" s="8"/>
      <c r="E72" s="8"/>
      <c r="F72" s="8"/>
      <c r="G72" s="8"/>
      <c r="H72" s="8"/>
      <c r="I72" s="8"/>
      <c r="J72" s="8"/>
      <c r="K72" s="8"/>
      <c r="L72" s="8"/>
      <c r="M72" s="8"/>
      <c r="N72" s="8"/>
      <c r="O72" s="8"/>
      <c r="P72" s="8"/>
      <c r="Q72" s="8"/>
      <c r="R72" s="8"/>
      <c r="S72" s="8"/>
      <c r="T72" s="8"/>
      <c r="U72" s="8"/>
      <c r="V72" s="8"/>
      <c r="W72" s="8"/>
      <c r="X72" s="8"/>
      <c r="Y72" s="8"/>
      <c r="Z72" s="8"/>
      <c r="AA72" s="8"/>
      <c r="AB72" s="8"/>
      <c r="AC72" s="8"/>
      <c r="AD72" s="8"/>
      <c r="AE72" s="8"/>
      <c r="AF72" s="8"/>
      <c r="AG72" s="8"/>
      <c r="AH72" s="8"/>
      <c r="AI72" s="8"/>
      <c r="AJ72" s="8"/>
      <c r="AK72" s="8"/>
      <c r="AL72" s="8"/>
      <c r="AM72" s="8"/>
      <c r="AN72" s="8"/>
      <c r="AO72" s="8"/>
      <c r="AP72" s="8"/>
      <c r="AQ72" s="8"/>
    </row>
    <row r="73" spans="2:43" ht="15.95" hidden="1" customHeight="1">
      <c r="B73" s="929"/>
      <c r="C73" s="8"/>
      <c r="D73" s="8"/>
      <c r="E73" s="8"/>
      <c r="F73" s="8"/>
      <c r="G73" s="8"/>
      <c r="H73" s="8"/>
      <c r="I73" s="8"/>
      <c r="J73" s="8"/>
      <c r="K73" s="8"/>
      <c r="L73" s="8"/>
      <c r="M73" s="8"/>
      <c r="N73" s="8"/>
      <c r="O73" s="8"/>
      <c r="P73" s="8"/>
      <c r="Q73" s="8"/>
      <c r="R73" s="8"/>
      <c r="S73" s="8"/>
      <c r="T73" s="8"/>
      <c r="U73" s="8"/>
      <c r="V73" s="8"/>
      <c r="W73" s="8"/>
      <c r="X73" s="8"/>
      <c r="Y73" s="8"/>
      <c r="Z73" s="8"/>
      <c r="AA73" s="8"/>
      <c r="AB73" s="8"/>
      <c r="AC73" s="8"/>
      <c r="AD73" s="8"/>
      <c r="AE73" s="8"/>
      <c r="AF73" s="8"/>
      <c r="AG73" s="8"/>
      <c r="AH73" s="8"/>
      <c r="AI73" s="8"/>
      <c r="AJ73" s="8"/>
      <c r="AK73" s="8"/>
      <c r="AL73" s="8"/>
      <c r="AM73" s="8"/>
      <c r="AN73" s="8"/>
      <c r="AO73" s="8"/>
      <c r="AP73" s="8"/>
      <c r="AQ73" s="8"/>
    </row>
    <row r="74" spans="2:43" ht="15.95" hidden="1" customHeight="1">
      <c r="B74" s="929">
        <v>30</v>
      </c>
      <c r="C74" s="8"/>
      <c r="D74" s="8"/>
      <c r="E74" s="8"/>
      <c r="F74" s="8"/>
      <c r="G74" s="8"/>
      <c r="H74" s="8"/>
      <c r="I74" s="8"/>
      <c r="J74" s="8"/>
      <c r="K74" s="8"/>
      <c r="L74" s="8"/>
      <c r="M74" s="8"/>
      <c r="N74" s="8"/>
      <c r="O74" s="8"/>
      <c r="P74" s="8"/>
      <c r="Q74" s="8"/>
      <c r="R74" s="8"/>
      <c r="S74" s="8"/>
      <c r="T74" s="8"/>
      <c r="U74" s="8"/>
      <c r="V74" s="8"/>
      <c r="W74" s="8"/>
      <c r="X74" s="8"/>
      <c r="Y74" s="8"/>
      <c r="Z74" s="8"/>
      <c r="AA74" s="8"/>
      <c r="AB74" s="8"/>
      <c r="AC74" s="8"/>
      <c r="AD74" s="8"/>
      <c r="AE74" s="8"/>
      <c r="AF74" s="8"/>
      <c r="AG74" s="8"/>
      <c r="AH74" s="8"/>
      <c r="AI74" s="8"/>
      <c r="AJ74" s="8"/>
      <c r="AK74" s="8"/>
      <c r="AL74" s="8"/>
      <c r="AM74" s="8"/>
      <c r="AN74" s="8"/>
      <c r="AO74" s="8"/>
      <c r="AP74" s="8"/>
      <c r="AQ74" s="8"/>
    </row>
    <row r="75" spans="2:43" ht="15.95" hidden="1" customHeight="1">
      <c r="B75" s="929"/>
      <c r="C75" s="8"/>
      <c r="D75" s="8"/>
      <c r="E75" s="8"/>
      <c r="F75" s="8"/>
      <c r="G75" s="8"/>
      <c r="H75" s="8"/>
      <c r="I75" s="8"/>
      <c r="J75" s="8"/>
      <c r="K75" s="8"/>
      <c r="L75" s="8"/>
      <c r="M75" s="8"/>
      <c r="N75" s="8"/>
      <c r="O75" s="8"/>
      <c r="P75" s="8"/>
      <c r="Q75" s="8"/>
      <c r="R75" s="8"/>
      <c r="S75" s="8"/>
      <c r="T75" s="8"/>
      <c r="U75" s="8"/>
      <c r="V75" s="8"/>
      <c r="W75" s="8"/>
      <c r="X75" s="8"/>
      <c r="Y75" s="8"/>
      <c r="Z75" s="8"/>
      <c r="AA75" s="8"/>
      <c r="AB75" s="8"/>
      <c r="AC75" s="8"/>
      <c r="AD75" s="8"/>
      <c r="AE75" s="8"/>
      <c r="AF75" s="8"/>
      <c r="AG75" s="8"/>
      <c r="AH75" s="8"/>
      <c r="AI75" s="8"/>
      <c r="AJ75" s="8"/>
      <c r="AK75" s="8"/>
      <c r="AL75" s="8"/>
      <c r="AM75" s="8"/>
      <c r="AN75" s="8"/>
      <c r="AO75" s="8"/>
      <c r="AP75" s="8"/>
      <c r="AQ75" s="8"/>
    </row>
    <row r="76" spans="2:43" ht="15.95" hidden="1" customHeight="1">
      <c r="B76" s="929">
        <v>31</v>
      </c>
      <c r="C76" s="8"/>
      <c r="D76" s="8"/>
      <c r="E76" s="8"/>
      <c r="F76" s="8"/>
      <c r="G76" s="8"/>
      <c r="H76" s="8"/>
      <c r="I76" s="8"/>
      <c r="J76" s="8"/>
      <c r="K76" s="8"/>
      <c r="L76" s="8"/>
      <c r="M76" s="8"/>
      <c r="N76" s="8"/>
      <c r="O76" s="8"/>
      <c r="P76" s="8"/>
      <c r="Q76" s="8"/>
      <c r="R76" s="8"/>
      <c r="S76" s="8"/>
      <c r="T76" s="8"/>
      <c r="U76" s="8"/>
      <c r="V76" s="8"/>
      <c r="W76" s="8"/>
      <c r="X76" s="8"/>
      <c r="Y76" s="8"/>
      <c r="Z76" s="8"/>
      <c r="AA76" s="8"/>
      <c r="AB76" s="8"/>
      <c r="AC76" s="8"/>
      <c r="AD76" s="8"/>
      <c r="AE76" s="8"/>
      <c r="AF76" s="8"/>
      <c r="AG76" s="8"/>
      <c r="AH76" s="8"/>
      <c r="AI76" s="8"/>
      <c r="AJ76" s="8"/>
      <c r="AK76" s="8"/>
      <c r="AL76" s="8"/>
      <c r="AM76" s="8"/>
      <c r="AN76" s="8"/>
      <c r="AO76" s="8"/>
      <c r="AP76" s="8"/>
      <c r="AQ76" s="8"/>
    </row>
    <row r="77" spans="2:43" ht="15.95" hidden="1" customHeight="1">
      <c r="B77" s="929"/>
      <c r="C77" s="8"/>
      <c r="D77" s="8"/>
      <c r="E77" s="8"/>
      <c r="F77" s="8"/>
      <c r="G77" s="8"/>
      <c r="H77" s="8"/>
      <c r="I77" s="8"/>
      <c r="J77" s="8"/>
      <c r="K77" s="8"/>
      <c r="L77" s="8"/>
      <c r="M77" s="8"/>
      <c r="N77" s="8"/>
      <c r="O77" s="8"/>
      <c r="P77" s="8"/>
      <c r="Q77" s="8"/>
      <c r="R77" s="8"/>
      <c r="S77" s="8"/>
      <c r="T77" s="8"/>
      <c r="U77" s="8"/>
      <c r="V77" s="8"/>
      <c r="W77" s="8"/>
      <c r="X77" s="8"/>
      <c r="Y77" s="8"/>
      <c r="Z77" s="8"/>
      <c r="AA77" s="8"/>
      <c r="AB77" s="8"/>
      <c r="AC77" s="8"/>
      <c r="AD77" s="8"/>
      <c r="AE77" s="8"/>
      <c r="AF77" s="8"/>
      <c r="AG77" s="8"/>
      <c r="AH77" s="8"/>
      <c r="AI77" s="8"/>
      <c r="AJ77" s="8"/>
      <c r="AK77" s="8"/>
      <c r="AL77" s="8"/>
      <c r="AM77" s="8"/>
      <c r="AN77" s="8"/>
      <c r="AO77" s="8"/>
      <c r="AP77" s="8"/>
      <c r="AQ77" s="8"/>
    </row>
    <row r="78" spans="2:43" ht="15.95" hidden="1" customHeight="1">
      <c r="B78" s="929">
        <v>32</v>
      </c>
      <c r="C78" s="8"/>
      <c r="D78" s="8"/>
      <c r="E78" s="8"/>
      <c r="F78" s="8"/>
      <c r="G78" s="8"/>
      <c r="H78" s="8"/>
      <c r="I78" s="8"/>
      <c r="J78" s="8"/>
      <c r="K78" s="8"/>
      <c r="L78" s="8"/>
      <c r="M78" s="8"/>
      <c r="N78" s="8"/>
      <c r="O78" s="8"/>
      <c r="P78" s="8"/>
      <c r="Q78" s="8"/>
      <c r="R78" s="8"/>
      <c r="S78" s="8"/>
      <c r="T78" s="8"/>
      <c r="U78" s="8"/>
      <c r="V78" s="8"/>
      <c r="W78" s="8"/>
      <c r="X78" s="8"/>
      <c r="Y78" s="8"/>
      <c r="Z78" s="8"/>
      <c r="AA78" s="8"/>
      <c r="AB78" s="8"/>
      <c r="AC78" s="8"/>
      <c r="AD78" s="8"/>
      <c r="AE78" s="8"/>
      <c r="AF78" s="8"/>
      <c r="AG78" s="8"/>
      <c r="AH78" s="8"/>
      <c r="AI78" s="8"/>
      <c r="AJ78" s="8"/>
      <c r="AK78" s="8"/>
      <c r="AL78" s="8"/>
      <c r="AM78" s="8"/>
      <c r="AN78" s="8"/>
      <c r="AO78" s="8"/>
      <c r="AP78" s="8"/>
      <c r="AQ78" s="8"/>
    </row>
    <row r="79" spans="2:43" ht="15.95" hidden="1" customHeight="1">
      <c r="B79" s="929"/>
      <c r="C79" s="8"/>
      <c r="D79" s="8"/>
      <c r="E79" s="8"/>
      <c r="F79" s="8"/>
      <c r="G79" s="8"/>
      <c r="H79" s="8"/>
      <c r="I79" s="8"/>
      <c r="J79" s="8"/>
      <c r="K79" s="8"/>
      <c r="L79" s="8"/>
      <c r="M79" s="8"/>
      <c r="N79" s="8"/>
      <c r="O79" s="8"/>
      <c r="P79" s="8"/>
      <c r="Q79" s="8"/>
      <c r="R79" s="8"/>
      <c r="S79" s="8"/>
      <c r="T79" s="8"/>
      <c r="U79" s="8"/>
      <c r="V79" s="8"/>
      <c r="W79" s="8"/>
      <c r="X79" s="8"/>
      <c r="Y79" s="8"/>
      <c r="Z79" s="8"/>
      <c r="AA79" s="8"/>
      <c r="AB79" s="8"/>
      <c r="AC79" s="8"/>
      <c r="AD79" s="8"/>
      <c r="AE79" s="8"/>
      <c r="AF79" s="8"/>
      <c r="AG79" s="8"/>
      <c r="AH79" s="8"/>
      <c r="AI79" s="8"/>
      <c r="AJ79" s="8"/>
      <c r="AK79" s="8"/>
      <c r="AL79" s="8"/>
      <c r="AM79" s="8"/>
      <c r="AN79" s="8"/>
      <c r="AO79" s="8"/>
      <c r="AP79" s="8"/>
      <c r="AQ79" s="8"/>
    </row>
    <row r="80" spans="2:43" ht="15.95" hidden="1" customHeight="1">
      <c r="B80" s="929">
        <v>33</v>
      </c>
      <c r="C80" s="8"/>
      <c r="D80" s="8"/>
      <c r="E80" s="8"/>
      <c r="F80" s="8"/>
      <c r="G80" s="8"/>
      <c r="H80" s="8"/>
      <c r="I80" s="8"/>
      <c r="J80" s="8"/>
      <c r="K80" s="8"/>
      <c r="L80" s="8"/>
      <c r="M80" s="8"/>
      <c r="N80" s="8"/>
      <c r="O80" s="8"/>
      <c r="P80" s="8"/>
      <c r="Q80" s="8"/>
      <c r="R80" s="8"/>
      <c r="S80" s="8"/>
      <c r="T80" s="8"/>
      <c r="U80" s="8"/>
      <c r="V80" s="8"/>
      <c r="W80" s="8"/>
      <c r="X80" s="8"/>
      <c r="Y80" s="8"/>
      <c r="Z80" s="8"/>
      <c r="AA80" s="8"/>
      <c r="AB80" s="8"/>
      <c r="AC80" s="8"/>
      <c r="AD80" s="8"/>
      <c r="AE80" s="8"/>
      <c r="AF80" s="8"/>
      <c r="AG80" s="8"/>
      <c r="AH80" s="8"/>
      <c r="AI80" s="8"/>
      <c r="AJ80" s="8"/>
      <c r="AK80" s="8"/>
      <c r="AL80" s="8"/>
      <c r="AM80" s="8"/>
      <c r="AN80" s="8"/>
      <c r="AO80" s="8"/>
      <c r="AP80" s="8"/>
      <c r="AQ80" s="8"/>
    </row>
    <row r="81" spans="2:43" ht="15.95" hidden="1" customHeight="1">
      <c r="B81" s="929"/>
      <c r="C81" s="8"/>
      <c r="D81" s="8"/>
      <c r="E81" s="8"/>
      <c r="F81" s="8"/>
      <c r="G81" s="8"/>
      <c r="H81" s="8"/>
      <c r="I81" s="8"/>
      <c r="J81" s="8"/>
      <c r="K81" s="8"/>
      <c r="L81" s="8"/>
      <c r="M81" s="8"/>
      <c r="N81" s="8"/>
      <c r="O81" s="8"/>
      <c r="P81" s="8"/>
      <c r="Q81" s="8"/>
      <c r="R81" s="8"/>
      <c r="S81" s="8"/>
      <c r="T81" s="8"/>
      <c r="U81" s="8"/>
      <c r="V81" s="8"/>
      <c r="W81" s="8"/>
      <c r="X81" s="8"/>
      <c r="Y81" s="8"/>
      <c r="Z81" s="8"/>
      <c r="AA81" s="8"/>
      <c r="AB81" s="8"/>
      <c r="AC81" s="8"/>
      <c r="AD81" s="8"/>
      <c r="AE81" s="8"/>
      <c r="AF81" s="8"/>
      <c r="AG81" s="8"/>
      <c r="AH81" s="8"/>
      <c r="AI81" s="8"/>
      <c r="AJ81" s="8"/>
      <c r="AK81" s="8"/>
      <c r="AL81" s="8"/>
      <c r="AM81" s="8"/>
      <c r="AN81" s="8"/>
      <c r="AO81" s="8"/>
      <c r="AP81" s="8"/>
      <c r="AQ81" s="8"/>
    </row>
    <row r="82" spans="2:43" ht="15.95" hidden="1" customHeight="1">
      <c r="B82" s="929">
        <v>34</v>
      </c>
      <c r="C82" s="8"/>
      <c r="D82" s="8"/>
      <c r="E82" s="8"/>
      <c r="F82" s="8"/>
      <c r="G82" s="8"/>
      <c r="H82" s="8"/>
      <c r="I82" s="8"/>
      <c r="J82" s="8"/>
      <c r="K82" s="8"/>
      <c r="L82" s="8"/>
      <c r="M82" s="8"/>
      <c r="N82" s="8"/>
      <c r="O82" s="8"/>
      <c r="P82" s="8"/>
      <c r="Q82" s="8"/>
      <c r="R82" s="8"/>
      <c r="S82" s="8"/>
      <c r="T82" s="8"/>
      <c r="U82" s="8"/>
      <c r="V82" s="8"/>
      <c r="W82" s="8"/>
      <c r="X82" s="8"/>
      <c r="Y82" s="8"/>
      <c r="Z82" s="8"/>
      <c r="AA82" s="8"/>
      <c r="AB82" s="8"/>
      <c r="AC82" s="8"/>
      <c r="AD82" s="8"/>
      <c r="AE82" s="8"/>
      <c r="AF82" s="8"/>
      <c r="AG82" s="8"/>
      <c r="AH82" s="8"/>
      <c r="AI82" s="8"/>
      <c r="AJ82" s="8"/>
      <c r="AK82" s="8"/>
      <c r="AL82" s="8"/>
      <c r="AM82" s="8"/>
      <c r="AN82" s="8"/>
      <c r="AO82" s="8"/>
      <c r="AP82" s="8"/>
      <c r="AQ82" s="8"/>
    </row>
    <row r="83" spans="2:43" ht="15.95" hidden="1" customHeight="1">
      <c r="B83" s="929"/>
      <c r="C83" s="8"/>
      <c r="D83" s="8"/>
      <c r="E83" s="8"/>
      <c r="F83" s="8"/>
      <c r="G83" s="8"/>
      <c r="H83" s="8"/>
      <c r="I83" s="8"/>
      <c r="J83" s="8"/>
      <c r="K83" s="8"/>
      <c r="L83" s="8"/>
      <c r="M83" s="8"/>
      <c r="N83" s="8"/>
      <c r="O83" s="8"/>
      <c r="P83" s="8"/>
      <c r="Q83" s="8"/>
      <c r="R83" s="8"/>
      <c r="S83" s="8"/>
      <c r="T83" s="8"/>
      <c r="U83" s="8"/>
      <c r="V83" s="8"/>
      <c r="W83" s="8"/>
      <c r="X83" s="8"/>
      <c r="Y83" s="8"/>
      <c r="Z83" s="8"/>
      <c r="AA83" s="8"/>
      <c r="AB83" s="8"/>
      <c r="AC83" s="8"/>
      <c r="AD83" s="8"/>
      <c r="AE83" s="8"/>
      <c r="AF83" s="8"/>
      <c r="AG83" s="8"/>
      <c r="AH83" s="8"/>
      <c r="AI83" s="8"/>
      <c r="AJ83" s="8"/>
      <c r="AK83" s="8"/>
      <c r="AL83" s="8"/>
      <c r="AM83" s="8"/>
      <c r="AN83" s="8"/>
      <c r="AO83" s="8"/>
      <c r="AP83" s="8"/>
      <c r="AQ83" s="8"/>
    </row>
    <row r="84" spans="2:43" ht="15.95" hidden="1" customHeight="1">
      <c r="B84" s="929">
        <v>35</v>
      </c>
      <c r="C84" s="8"/>
      <c r="D84" s="8"/>
      <c r="E84" s="8"/>
      <c r="F84" s="8"/>
      <c r="G84" s="8"/>
      <c r="H84" s="8"/>
      <c r="I84" s="8"/>
      <c r="J84" s="8"/>
      <c r="K84" s="8"/>
      <c r="L84" s="8"/>
      <c r="M84" s="8"/>
      <c r="N84" s="8"/>
      <c r="O84" s="8"/>
      <c r="P84" s="8"/>
      <c r="Q84" s="8"/>
      <c r="R84" s="8"/>
      <c r="S84" s="8"/>
      <c r="T84" s="8"/>
      <c r="U84" s="8"/>
      <c r="V84" s="8"/>
      <c r="W84" s="8"/>
      <c r="X84" s="8"/>
      <c r="Y84" s="8"/>
      <c r="Z84" s="8"/>
      <c r="AA84" s="8"/>
      <c r="AB84" s="8"/>
      <c r="AC84" s="8"/>
      <c r="AD84" s="8"/>
      <c r="AE84" s="8"/>
      <c r="AF84" s="8"/>
      <c r="AG84" s="8"/>
      <c r="AH84" s="8"/>
      <c r="AI84" s="8"/>
      <c r="AJ84" s="8"/>
      <c r="AK84" s="8"/>
      <c r="AL84" s="8"/>
      <c r="AM84" s="8"/>
      <c r="AN84" s="8"/>
      <c r="AO84" s="8"/>
      <c r="AP84" s="8"/>
      <c r="AQ84" s="8"/>
    </row>
    <row r="85" spans="2:43" ht="15.95" hidden="1" customHeight="1">
      <c r="B85" s="929"/>
      <c r="C85" s="8"/>
      <c r="D85" s="8"/>
      <c r="E85" s="8"/>
      <c r="F85" s="8"/>
      <c r="G85" s="8"/>
      <c r="H85" s="8"/>
      <c r="I85" s="8"/>
      <c r="J85" s="8"/>
      <c r="K85" s="8"/>
      <c r="L85" s="8"/>
      <c r="M85" s="8"/>
      <c r="N85" s="8"/>
      <c r="O85" s="8"/>
      <c r="P85" s="8"/>
      <c r="Q85" s="8"/>
      <c r="R85" s="8"/>
      <c r="S85" s="8"/>
      <c r="T85" s="8"/>
      <c r="U85" s="8"/>
      <c r="V85" s="8"/>
      <c r="W85" s="8"/>
      <c r="X85" s="8"/>
      <c r="Y85" s="8"/>
      <c r="Z85" s="8"/>
      <c r="AA85" s="8"/>
      <c r="AB85" s="8"/>
      <c r="AC85" s="8"/>
      <c r="AD85" s="8"/>
      <c r="AE85" s="8"/>
      <c r="AF85" s="8"/>
      <c r="AG85" s="8"/>
      <c r="AH85" s="8"/>
      <c r="AI85" s="8"/>
      <c r="AJ85" s="8"/>
      <c r="AK85" s="8"/>
      <c r="AL85" s="8"/>
      <c r="AM85" s="8"/>
      <c r="AN85" s="8"/>
      <c r="AO85" s="8"/>
      <c r="AP85" s="8"/>
      <c r="AQ85" s="8"/>
    </row>
    <row r="86" spans="2:43" ht="15.95" hidden="1" customHeight="1">
      <c r="B86" s="929">
        <v>36</v>
      </c>
      <c r="C86" s="8"/>
      <c r="D86" s="8"/>
      <c r="E86" s="8"/>
      <c r="F86" s="8"/>
      <c r="G86" s="8"/>
      <c r="H86" s="8"/>
      <c r="I86" s="8"/>
      <c r="J86" s="8"/>
      <c r="K86" s="8"/>
      <c r="L86" s="8"/>
      <c r="M86" s="8"/>
      <c r="N86" s="8"/>
      <c r="O86" s="8"/>
      <c r="P86" s="8"/>
      <c r="Q86" s="8"/>
      <c r="R86" s="8"/>
      <c r="S86" s="8"/>
      <c r="T86" s="8"/>
      <c r="U86" s="8"/>
      <c r="V86" s="8"/>
      <c r="W86" s="8"/>
      <c r="X86" s="8"/>
      <c r="Y86" s="8"/>
      <c r="Z86" s="8"/>
      <c r="AA86" s="8"/>
      <c r="AB86" s="8"/>
      <c r="AC86" s="8"/>
      <c r="AD86" s="8"/>
      <c r="AE86" s="8"/>
      <c r="AF86" s="8"/>
      <c r="AG86" s="8"/>
      <c r="AH86" s="8"/>
      <c r="AI86" s="8"/>
      <c r="AJ86" s="8"/>
      <c r="AK86" s="8"/>
      <c r="AL86" s="8"/>
      <c r="AM86" s="8"/>
      <c r="AN86" s="8"/>
      <c r="AO86" s="8"/>
      <c r="AP86" s="8"/>
      <c r="AQ86" s="8"/>
    </row>
    <row r="87" spans="2:43" ht="15.95" hidden="1" customHeight="1">
      <c r="B87" s="929"/>
      <c r="C87" s="8"/>
      <c r="D87" s="8"/>
      <c r="E87" s="8"/>
      <c r="F87" s="8"/>
      <c r="G87" s="8"/>
      <c r="H87" s="8"/>
      <c r="I87" s="8"/>
      <c r="J87" s="8"/>
      <c r="K87" s="8"/>
      <c r="L87" s="8"/>
      <c r="M87" s="8"/>
      <c r="N87" s="8"/>
      <c r="O87" s="8"/>
      <c r="P87" s="8"/>
      <c r="Q87" s="8"/>
      <c r="R87" s="8"/>
      <c r="S87" s="8"/>
      <c r="T87" s="8"/>
      <c r="U87" s="8"/>
      <c r="V87" s="8"/>
      <c r="W87" s="8"/>
      <c r="X87" s="8"/>
      <c r="Y87" s="8"/>
      <c r="Z87" s="8"/>
      <c r="AA87" s="8"/>
      <c r="AB87" s="8"/>
      <c r="AC87" s="8"/>
      <c r="AD87" s="8"/>
      <c r="AE87" s="8"/>
      <c r="AF87" s="8"/>
      <c r="AG87" s="8"/>
      <c r="AH87" s="8"/>
      <c r="AI87" s="8"/>
      <c r="AJ87" s="8"/>
      <c r="AK87" s="8"/>
      <c r="AL87" s="8"/>
      <c r="AM87" s="8"/>
      <c r="AN87" s="8"/>
      <c r="AO87" s="8"/>
      <c r="AP87" s="8"/>
      <c r="AQ87" s="8"/>
    </row>
    <row r="88" spans="2:43" ht="15.95" hidden="1" customHeight="1">
      <c r="B88" s="929">
        <v>37</v>
      </c>
      <c r="C88" s="8"/>
      <c r="D88" s="8"/>
      <c r="E88" s="8"/>
      <c r="F88" s="8"/>
      <c r="G88" s="8"/>
      <c r="H88" s="8"/>
      <c r="I88" s="8"/>
      <c r="J88" s="8"/>
      <c r="K88" s="8"/>
      <c r="L88" s="8"/>
      <c r="M88" s="8"/>
      <c r="N88" s="8"/>
      <c r="O88" s="8"/>
      <c r="P88" s="8"/>
      <c r="Q88" s="8"/>
      <c r="R88" s="8"/>
      <c r="S88" s="8"/>
      <c r="T88" s="8"/>
      <c r="U88" s="8"/>
      <c r="V88" s="8"/>
      <c r="W88" s="8"/>
      <c r="X88" s="8"/>
      <c r="Y88" s="8"/>
      <c r="Z88" s="8"/>
      <c r="AA88" s="8"/>
      <c r="AB88" s="8"/>
      <c r="AC88" s="8"/>
      <c r="AD88" s="8"/>
      <c r="AE88" s="8"/>
      <c r="AF88" s="8"/>
      <c r="AG88" s="8"/>
      <c r="AH88" s="8"/>
      <c r="AI88" s="8"/>
      <c r="AJ88" s="8"/>
      <c r="AK88" s="8"/>
      <c r="AL88" s="8"/>
      <c r="AM88" s="8"/>
      <c r="AN88" s="8"/>
      <c r="AO88" s="8"/>
      <c r="AP88" s="8"/>
      <c r="AQ88" s="8"/>
    </row>
    <row r="89" spans="2:43" ht="15.95" hidden="1" customHeight="1">
      <c r="B89" s="929"/>
      <c r="C89" s="8"/>
      <c r="D89" s="8"/>
      <c r="E89" s="8"/>
      <c r="F89" s="8"/>
      <c r="G89" s="8"/>
      <c r="H89" s="8"/>
      <c r="I89" s="8"/>
      <c r="J89" s="8"/>
      <c r="K89" s="8"/>
      <c r="L89" s="8"/>
      <c r="M89" s="8"/>
      <c r="N89" s="8"/>
      <c r="O89" s="8"/>
      <c r="P89" s="8"/>
      <c r="Q89" s="8"/>
      <c r="R89" s="8"/>
      <c r="S89" s="8"/>
      <c r="T89" s="8"/>
      <c r="U89" s="8"/>
      <c r="V89" s="8"/>
      <c r="W89" s="8"/>
      <c r="X89" s="8"/>
      <c r="Y89" s="8"/>
      <c r="Z89" s="8"/>
      <c r="AA89" s="8"/>
      <c r="AB89" s="8"/>
      <c r="AC89" s="8"/>
      <c r="AD89" s="8"/>
      <c r="AE89" s="8"/>
      <c r="AF89" s="8"/>
      <c r="AG89" s="8"/>
      <c r="AH89" s="8"/>
      <c r="AI89" s="8"/>
      <c r="AJ89" s="8"/>
      <c r="AK89" s="8"/>
      <c r="AL89" s="8"/>
      <c r="AM89" s="8"/>
      <c r="AN89" s="8"/>
      <c r="AO89" s="8"/>
      <c r="AP89" s="8"/>
      <c r="AQ89" s="8"/>
    </row>
    <row r="90" spans="2:43" ht="15.95" hidden="1" customHeight="1">
      <c r="B90" s="929">
        <v>38</v>
      </c>
      <c r="C90" s="8"/>
      <c r="D90" s="8"/>
      <c r="E90" s="8"/>
      <c r="F90" s="8"/>
      <c r="G90" s="8"/>
      <c r="H90" s="8"/>
      <c r="I90" s="8"/>
      <c r="J90" s="8"/>
      <c r="K90" s="8"/>
      <c r="L90" s="8"/>
      <c r="M90" s="8"/>
      <c r="N90" s="8"/>
      <c r="O90" s="8"/>
      <c r="P90" s="8"/>
      <c r="Q90" s="8"/>
      <c r="R90" s="8"/>
      <c r="S90" s="8"/>
      <c r="T90" s="8"/>
      <c r="U90" s="8"/>
      <c r="V90" s="8"/>
      <c r="W90" s="8"/>
      <c r="X90" s="8"/>
      <c r="Y90" s="8"/>
      <c r="Z90" s="8"/>
      <c r="AA90" s="8"/>
      <c r="AB90" s="8"/>
      <c r="AC90" s="8"/>
      <c r="AD90" s="8"/>
      <c r="AE90" s="8"/>
      <c r="AF90" s="8"/>
      <c r="AG90" s="8"/>
      <c r="AH90" s="8"/>
      <c r="AI90" s="8"/>
      <c r="AJ90" s="8"/>
      <c r="AK90" s="8"/>
      <c r="AL90" s="8"/>
      <c r="AM90" s="8"/>
      <c r="AN90" s="8"/>
      <c r="AO90" s="8"/>
      <c r="AP90" s="8"/>
      <c r="AQ90" s="8"/>
    </row>
    <row r="91" spans="2:43" ht="15.95" hidden="1" customHeight="1">
      <c r="B91" s="929"/>
      <c r="C91" s="8"/>
      <c r="D91" s="8"/>
      <c r="E91" s="8"/>
      <c r="F91" s="8"/>
      <c r="G91" s="8"/>
      <c r="H91" s="8"/>
      <c r="I91" s="8"/>
      <c r="J91" s="8"/>
      <c r="K91" s="8"/>
      <c r="L91" s="8"/>
      <c r="M91" s="8"/>
      <c r="N91" s="8"/>
      <c r="O91" s="8"/>
      <c r="P91" s="8"/>
      <c r="Q91" s="8"/>
      <c r="R91" s="8"/>
      <c r="S91" s="8"/>
      <c r="T91" s="8"/>
      <c r="U91" s="8"/>
      <c r="V91" s="8"/>
      <c r="W91" s="8"/>
      <c r="X91" s="8"/>
      <c r="Y91" s="8"/>
      <c r="Z91" s="8"/>
      <c r="AA91" s="8"/>
      <c r="AB91" s="8"/>
      <c r="AC91" s="8"/>
      <c r="AD91" s="8"/>
      <c r="AE91" s="8"/>
      <c r="AF91" s="8"/>
      <c r="AG91" s="8"/>
      <c r="AH91" s="8"/>
      <c r="AI91" s="8"/>
      <c r="AJ91" s="8"/>
      <c r="AK91" s="8"/>
      <c r="AL91" s="8"/>
      <c r="AM91" s="8"/>
      <c r="AN91" s="8"/>
      <c r="AO91" s="8"/>
      <c r="AP91" s="8"/>
      <c r="AQ91" s="8"/>
    </row>
    <row r="92" spans="2:43" ht="15.95" hidden="1" customHeight="1">
      <c r="B92" s="929">
        <v>39</v>
      </c>
      <c r="C92" s="8"/>
      <c r="D92" s="8"/>
      <c r="E92" s="8"/>
      <c r="F92" s="8"/>
      <c r="G92" s="8"/>
      <c r="H92" s="8"/>
      <c r="I92" s="8"/>
      <c r="J92" s="8"/>
      <c r="K92" s="8"/>
      <c r="L92" s="8"/>
      <c r="M92" s="8"/>
      <c r="N92" s="8"/>
      <c r="O92" s="8"/>
      <c r="P92" s="8"/>
      <c r="Q92" s="8"/>
      <c r="R92" s="8"/>
      <c r="S92" s="8"/>
      <c r="T92" s="8"/>
      <c r="U92" s="8"/>
      <c r="V92" s="8"/>
      <c r="W92" s="8"/>
      <c r="X92" s="8"/>
      <c r="Y92" s="8"/>
      <c r="Z92" s="8"/>
      <c r="AA92" s="8"/>
      <c r="AB92" s="8"/>
      <c r="AC92" s="8"/>
      <c r="AD92" s="8"/>
      <c r="AE92" s="8"/>
      <c r="AF92" s="8"/>
      <c r="AG92" s="8"/>
      <c r="AH92" s="8"/>
      <c r="AI92" s="8"/>
      <c r="AJ92" s="8"/>
      <c r="AK92" s="8"/>
      <c r="AL92" s="8"/>
      <c r="AM92" s="8"/>
      <c r="AN92" s="8"/>
      <c r="AO92" s="8"/>
      <c r="AP92" s="8"/>
      <c r="AQ92" s="8"/>
    </row>
    <row r="93" spans="2:43" ht="15.95" hidden="1" customHeight="1">
      <c r="B93" s="929"/>
      <c r="C93" s="8"/>
      <c r="D93" s="8"/>
      <c r="E93" s="8"/>
      <c r="F93" s="8"/>
      <c r="G93" s="8"/>
      <c r="H93" s="8"/>
      <c r="I93" s="8"/>
      <c r="J93" s="8"/>
      <c r="K93" s="8"/>
      <c r="L93" s="8"/>
      <c r="M93" s="8"/>
      <c r="N93" s="8"/>
      <c r="O93" s="8"/>
      <c r="P93" s="8"/>
      <c r="Q93" s="8"/>
      <c r="R93" s="8"/>
      <c r="S93" s="8"/>
      <c r="T93" s="8"/>
      <c r="U93" s="8"/>
      <c r="V93" s="8"/>
      <c r="W93" s="8"/>
      <c r="X93" s="8"/>
      <c r="Y93" s="8"/>
      <c r="Z93" s="8"/>
      <c r="AA93" s="8"/>
      <c r="AB93" s="8"/>
      <c r="AC93" s="8"/>
      <c r="AD93" s="8"/>
      <c r="AE93" s="8"/>
      <c r="AF93" s="8"/>
      <c r="AG93" s="8"/>
      <c r="AH93" s="8"/>
      <c r="AI93" s="8"/>
      <c r="AJ93" s="8"/>
      <c r="AK93" s="8"/>
      <c r="AL93" s="8"/>
      <c r="AM93" s="8"/>
      <c r="AN93" s="8"/>
      <c r="AO93" s="8"/>
      <c r="AP93" s="8"/>
      <c r="AQ93" s="8"/>
    </row>
    <row r="94" spans="2:43" ht="15.95" hidden="1" customHeight="1">
      <c r="B94" s="929">
        <v>40</v>
      </c>
      <c r="C94" s="8"/>
      <c r="D94" s="8"/>
      <c r="E94" s="8"/>
      <c r="F94" s="8"/>
      <c r="G94" s="8"/>
      <c r="H94" s="8"/>
      <c r="I94" s="8"/>
      <c r="J94" s="8"/>
      <c r="K94" s="8"/>
      <c r="L94" s="8"/>
      <c r="M94" s="8"/>
      <c r="N94" s="8"/>
      <c r="O94" s="8"/>
      <c r="P94" s="8"/>
      <c r="Q94" s="8"/>
      <c r="R94" s="8"/>
      <c r="S94" s="8"/>
      <c r="T94" s="8"/>
      <c r="U94" s="8"/>
      <c r="V94" s="8"/>
      <c r="W94" s="8"/>
      <c r="X94" s="8"/>
      <c r="Y94" s="8"/>
      <c r="Z94" s="8"/>
      <c r="AA94" s="8"/>
      <c r="AB94" s="8"/>
      <c r="AC94" s="8"/>
      <c r="AD94" s="8"/>
      <c r="AE94" s="8"/>
      <c r="AF94" s="8"/>
      <c r="AG94" s="8"/>
      <c r="AH94" s="8"/>
      <c r="AI94" s="8"/>
      <c r="AJ94" s="8"/>
      <c r="AK94" s="8"/>
      <c r="AL94" s="8"/>
      <c r="AM94" s="8"/>
      <c r="AN94" s="8"/>
      <c r="AO94" s="8"/>
      <c r="AP94" s="8"/>
      <c r="AQ94" s="8"/>
    </row>
    <row r="95" spans="2:43" ht="15.95" hidden="1" customHeight="1">
      <c r="B95" s="929"/>
      <c r="C95" s="8"/>
      <c r="D95" s="8"/>
      <c r="E95" s="8"/>
      <c r="F95" s="8"/>
      <c r="G95" s="8"/>
      <c r="H95" s="8"/>
      <c r="I95" s="8"/>
      <c r="J95" s="8"/>
      <c r="K95" s="8"/>
      <c r="L95" s="8"/>
      <c r="M95" s="8"/>
      <c r="N95" s="8"/>
      <c r="O95" s="8"/>
      <c r="P95" s="8"/>
      <c r="Q95" s="8"/>
      <c r="R95" s="8"/>
      <c r="S95" s="8"/>
      <c r="T95" s="8"/>
      <c r="U95" s="8"/>
      <c r="V95" s="8"/>
      <c r="W95" s="8"/>
      <c r="X95" s="8"/>
      <c r="Y95" s="8"/>
      <c r="Z95" s="8"/>
      <c r="AA95" s="8"/>
      <c r="AB95" s="8"/>
      <c r="AC95" s="8"/>
      <c r="AD95" s="8"/>
      <c r="AE95" s="8"/>
      <c r="AF95" s="8"/>
      <c r="AG95" s="8"/>
      <c r="AH95" s="8"/>
      <c r="AI95" s="8"/>
      <c r="AJ95" s="8"/>
      <c r="AK95" s="8"/>
      <c r="AL95" s="8"/>
      <c r="AM95" s="8"/>
      <c r="AN95" s="8"/>
      <c r="AO95" s="8"/>
      <c r="AP95" s="8"/>
      <c r="AQ95" s="8"/>
    </row>
    <row r="96" spans="2:43" ht="15.95" hidden="1" customHeight="1">
      <c r="B96" s="929">
        <v>41</v>
      </c>
      <c r="C96" s="8"/>
      <c r="D96" s="8"/>
      <c r="E96" s="8"/>
      <c r="F96" s="8"/>
      <c r="G96" s="8"/>
      <c r="H96" s="8"/>
      <c r="I96" s="8"/>
      <c r="J96" s="8"/>
      <c r="K96" s="8"/>
      <c r="L96" s="8"/>
      <c r="M96" s="8"/>
      <c r="N96" s="8"/>
      <c r="O96" s="8"/>
      <c r="P96" s="8"/>
      <c r="Q96" s="8"/>
      <c r="R96" s="8"/>
      <c r="S96" s="8"/>
      <c r="T96" s="8"/>
      <c r="U96" s="8"/>
      <c r="V96" s="8"/>
      <c r="W96" s="8"/>
      <c r="X96" s="8"/>
      <c r="Y96" s="8"/>
      <c r="Z96" s="8"/>
      <c r="AA96" s="8"/>
      <c r="AB96" s="8"/>
      <c r="AC96" s="8"/>
      <c r="AD96" s="8"/>
      <c r="AE96" s="8"/>
      <c r="AF96" s="8"/>
      <c r="AG96" s="8"/>
      <c r="AH96" s="8"/>
      <c r="AI96" s="8"/>
      <c r="AJ96" s="8"/>
      <c r="AK96" s="8"/>
      <c r="AL96" s="8"/>
      <c r="AM96" s="8"/>
      <c r="AN96" s="8"/>
      <c r="AO96" s="8"/>
      <c r="AP96" s="8"/>
      <c r="AQ96" s="8"/>
    </row>
    <row r="97" spans="2:43" ht="15.95" hidden="1" customHeight="1">
      <c r="B97" s="929"/>
      <c r="C97" s="8"/>
      <c r="D97" s="8"/>
      <c r="E97" s="8"/>
      <c r="F97" s="8"/>
      <c r="G97" s="8"/>
      <c r="H97" s="8"/>
      <c r="I97" s="8"/>
      <c r="J97" s="8"/>
      <c r="K97" s="8"/>
      <c r="L97" s="8"/>
      <c r="M97" s="8"/>
      <c r="N97" s="8"/>
      <c r="O97" s="8"/>
      <c r="P97" s="8"/>
      <c r="Q97" s="8"/>
      <c r="R97" s="8"/>
      <c r="S97" s="8"/>
      <c r="T97" s="8"/>
      <c r="U97" s="8"/>
      <c r="V97" s="8"/>
      <c r="W97" s="8"/>
      <c r="X97" s="8"/>
      <c r="Y97" s="8"/>
      <c r="Z97" s="8"/>
      <c r="AA97" s="8"/>
      <c r="AB97" s="8"/>
      <c r="AC97" s="8"/>
      <c r="AD97" s="8"/>
      <c r="AE97" s="8"/>
      <c r="AF97" s="8"/>
      <c r="AG97" s="8"/>
      <c r="AH97" s="8"/>
      <c r="AI97" s="8"/>
      <c r="AJ97" s="8"/>
      <c r="AK97" s="8"/>
      <c r="AL97" s="8"/>
      <c r="AM97" s="8"/>
      <c r="AN97" s="8"/>
      <c r="AO97" s="8"/>
      <c r="AP97" s="8"/>
      <c r="AQ97" s="8"/>
    </row>
    <row r="98" spans="2:43" ht="15.95" hidden="1" customHeight="1">
      <c r="B98" s="929">
        <v>42</v>
      </c>
      <c r="C98" s="8"/>
      <c r="D98" s="8"/>
      <c r="E98" s="8"/>
      <c r="F98" s="8"/>
      <c r="G98" s="8"/>
      <c r="H98" s="8"/>
      <c r="I98" s="8"/>
      <c r="J98" s="8"/>
      <c r="K98" s="8"/>
      <c r="L98" s="8"/>
      <c r="M98" s="8"/>
      <c r="N98" s="8"/>
      <c r="O98" s="8"/>
      <c r="P98" s="8"/>
      <c r="Q98" s="8"/>
      <c r="R98" s="8"/>
      <c r="S98" s="8"/>
      <c r="T98" s="8"/>
      <c r="U98" s="8"/>
      <c r="V98" s="8"/>
      <c r="W98" s="8"/>
      <c r="X98" s="8"/>
      <c r="Y98" s="8"/>
      <c r="Z98" s="8"/>
      <c r="AA98" s="8"/>
      <c r="AB98" s="8"/>
      <c r="AC98" s="8"/>
      <c r="AD98" s="8"/>
      <c r="AE98" s="8"/>
      <c r="AF98" s="8"/>
      <c r="AG98" s="8"/>
      <c r="AH98" s="8"/>
      <c r="AI98" s="8"/>
      <c r="AJ98" s="8"/>
      <c r="AK98" s="8"/>
      <c r="AL98" s="8"/>
      <c r="AM98" s="8"/>
      <c r="AN98" s="8"/>
      <c r="AO98" s="8"/>
      <c r="AP98" s="8"/>
      <c r="AQ98" s="8"/>
    </row>
    <row r="99" spans="2:43" ht="15.95" hidden="1" customHeight="1">
      <c r="B99" s="929"/>
      <c r="C99" s="8"/>
      <c r="D99" s="8"/>
      <c r="E99" s="8"/>
      <c r="F99" s="8"/>
      <c r="G99" s="8"/>
      <c r="H99" s="8"/>
      <c r="I99" s="8"/>
      <c r="J99" s="8"/>
      <c r="K99" s="8"/>
      <c r="L99" s="8"/>
      <c r="M99" s="8"/>
      <c r="N99" s="8"/>
      <c r="O99" s="8"/>
      <c r="P99" s="8"/>
      <c r="Q99" s="8"/>
      <c r="R99" s="8"/>
      <c r="S99" s="8"/>
      <c r="T99" s="8"/>
      <c r="U99" s="8"/>
      <c r="V99" s="8"/>
      <c r="W99" s="8"/>
      <c r="X99" s="8"/>
      <c r="Y99" s="8"/>
      <c r="Z99" s="8"/>
      <c r="AA99" s="8"/>
      <c r="AB99" s="8"/>
      <c r="AC99" s="8"/>
      <c r="AD99" s="8"/>
      <c r="AE99" s="8"/>
      <c r="AF99" s="8"/>
      <c r="AG99" s="8"/>
      <c r="AH99" s="8"/>
      <c r="AI99" s="8"/>
      <c r="AJ99" s="8"/>
      <c r="AK99" s="8"/>
      <c r="AL99" s="8"/>
      <c r="AM99" s="8"/>
      <c r="AN99" s="8"/>
      <c r="AO99" s="8"/>
      <c r="AP99" s="8"/>
      <c r="AQ99" s="8"/>
    </row>
    <row r="100" spans="2:43" ht="15.95" hidden="1" customHeight="1">
      <c r="B100" s="929">
        <v>43</v>
      </c>
      <c r="C100" s="8"/>
      <c r="D100" s="8"/>
      <c r="E100" s="8"/>
      <c r="F100" s="8"/>
      <c r="G100" s="8"/>
      <c r="H100" s="8"/>
      <c r="I100" s="8"/>
      <c r="J100" s="8"/>
      <c r="K100" s="8"/>
      <c r="L100" s="8"/>
      <c r="M100" s="8"/>
      <c r="N100" s="8"/>
      <c r="O100" s="8"/>
      <c r="P100" s="8"/>
      <c r="Q100" s="8"/>
      <c r="R100" s="8"/>
      <c r="S100" s="8"/>
      <c r="T100" s="8"/>
      <c r="U100" s="8"/>
      <c r="V100" s="8"/>
      <c r="W100" s="8"/>
      <c r="X100" s="8"/>
      <c r="Y100" s="8"/>
      <c r="Z100" s="8"/>
      <c r="AA100" s="8"/>
      <c r="AB100" s="8"/>
      <c r="AC100" s="8"/>
      <c r="AD100" s="8"/>
      <c r="AE100" s="8"/>
      <c r="AF100" s="8"/>
      <c r="AG100" s="8"/>
      <c r="AH100" s="8"/>
      <c r="AI100" s="8"/>
      <c r="AJ100" s="8"/>
      <c r="AK100" s="8"/>
      <c r="AL100" s="8"/>
      <c r="AM100" s="8"/>
      <c r="AN100" s="8"/>
      <c r="AO100" s="8"/>
      <c r="AP100" s="8"/>
      <c r="AQ100" s="8"/>
    </row>
    <row r="101" spans="2:43" ht="15.95" hidden="1" customHeight="1">
      <c r="B101" s="929"/>
      <c r="C101" s="8"/>
      <c r="D101" s="8"/>
      <c r="E101" s="8"/>
      <c r="F101" s="8"/>
      <c r="G101" s="8"/>
      <c r="H101" s="8"/>
      <c r="I101" s="8"/>
      <c r="J101" s="8"/>
      <c r="K101" s="8"/>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c r="AL101" s="8"/>
      <c r="AM101" s="8"/>
      <c r="AN101" s="8"/>
      <c r="AO101" s="8"/>
      <c r="AP101" s="8"/>
      <c r="AQ101" s="8"/>
    </row>
    <row r="102" spans="2:43" ht="15.95" hidden="1" customHeight="1">
      <c r="B102" s="929">
        <v>44</v>
      </c>
      <c r="C102" s="8"/>
      <c r="D102" s="8"/>
      <c r="E102" s="8"/>
      <c r="F102" s="8"/>
      <c r="G102" s="8"/>
      <c r="H102" s="8"/>
      <c r="I102" s="8"/>
      <c r="J102" s="8"/>
      <c r="K102" s="8"/>
      <c r="L102" s="8"/>
      <c r="M102" s="8"/>
      <c r="N102" s="8"/>
      <c r="O102" s="8"/>
      <c r="P102" s="8"/>
      <c r="Q102" s="8"/>
      <c r="R102" s="8"/>
      <c r="S102" s="8"/>
      <c r="T102" s="8"/>
      <c r="U102" s="8"/>
      <c r="V102" s="8"/>
      <c r="W102" s="8"/>
      <c r="X102" s="8"/>
      <c r="Y102" s="8"/>
      <c r="Z102" s="8"/>
      <c r="AA102" s="8"/>
      <c r="AB102" s="8"/>
      <c r="AC102" s="8"/>
      <c r="AD102" s="8"/>
      <c r="AE102" s="8"/>
      <c r="AF102" s="8"/>
      <c r="AG102" s="8"/>
      <c r="AH102" s="8"/>
      <c r="AI102" s="8"/>
      <c r="AJ102" s="8"/>
      <c r="AK102" s="8"/>
      <c r="AL102" s="8"/>
      <c r="AM102" s="8"/>
      <c r="AN102" s="8"/>
      <c r="AO102" s="8"/>
      <c r="AP102" s="8"/>
      <c r="AQ102" s="8"/>
    </row>
    <row r="103" spans="2:43" ht="15.95" hidden="1" customHeight="1">
      <c r="B103" s="929"/>
      <c r="C103" s="8"/>
      <c r="D103" s="8"/>
      <c r="E103" s="8"/>
      <c r="F103" s="8"/>
      <c r="G103" s="8"/>
      <c r="H103" s="8"/>
      <c r="I103" s="8"/>
      <c r="J103" s="8"/>
      <c r="K103" s="8"/>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c r="AM103" s="8"/>
      <c r="AN103" s="8"/>
      <c r="AO103" s="8"/>
      <c r="AP103" s="8"/>
      <c r="AQ103" s="8"/>
    </row>
    <row r="104" spans="2:43" ht="15.95" hidden="1" customHeight="1">
      <c r="B104" s="929">
        <v>45</v>
      </c>
      <c r="C104" s="8"/>
      <c r="D104" s="8"/>
      <c r="E104" s="8"/>
      <c r="F104" s="8"/>
      <c r="G104" s="8"/>
      <c r="H104" s="8"/>
      <c r="I104" s="8"/>
      <c r="J104" s="8"/>
      <c r="K104" s="8"/>
      <c r="L104" s="8"/>
      <c r="M104" s="8"/>
      <c r="N104" s="8"/>
      <c r="O104" s="8"/>
      <c r="P104" s="8"/>
      <c r="Q104" s="8"/>
      <c r="R104" s="8"/>
      <c r="S104" s="8"/>
      <c r="T104" s="8"/>
      <c r="U104" s="8"/>
      <c r="V104" s="8"/>
      <c r="W104" s="8"/>
      <c r="X104" s="8"/>
      <c r="Y104" s="8"/>
      <c r="Z104" s="8"/>
      <c r="AA104" s="8"/>
      <c r="AB104" s="8"/>
      <c r="AC104" s="8"/>
      <c r="AD104" s="8"/>
      <c r="AE104" s="8"/>
      <c r="AF104" s="8"/>
      <c r="AG104" s="8"/>
      <c r="AH104" s="8"/>
      <c r="AI104" s="8"/>
      <c r="AJ104" s="8"/>
      <c r="AK104" s="8"/>
      <c r="AL104" s="8"/>
      <c r="AM104" s="8"/>
      <c r="AN104" s="8"/>
      <c r="AO104" s="8"/>
      <c r="AP104" s="8"/>
      <c r="AQ104" s="8"/>
    </row>
    <row r="105" spans="2:43" ht="15.95" hidden="1" customHeight="1">
      <c r="B105" s="929"/>
      <c r="C105" s="8"/>
      <c r="D105" s="8"/>
      <c r="E105" s="8"/>
      <c r="F105" s="8"/>
      <c r="G105" s="8"/>
      <c r="H105" s="8"/>
      <c r="I105" s="8"/>
      <c r="J105" s="8"/>
      <c r="K105" s="8"/>
      <c r="L105" s="8"/>
      <c r="M105" s="8"/>
      <c r="N105" s="8"/>
      <c r="O105" s="8"/>
      <c r="P105" s="8"/>
      <c r="Q105" s="8"/>
      <c r="R105" s="8"/>
      <c r="S105" s="8"/>
      <c r="T105" s="8"/>
      <c r="U105" s="8"/>
      <c r="V105" s="8"/>
      <c r="W105" s="8"/>
      <c r="X105" s="8"/>
      <c r="Y105" s="8"/>
      <c r="Z105" s="8"/>
      <c r="AA105" s="8"/>
      <c r="AB105" s="8"/>
      <c r="AC105" s="8"/>
      <c r="AD105" s="8"/>
      <c r="AE105" s="8"/>
      <c r="AF105" s="8"/>
      <c r="AG105" s="8"/>
      <c r="AH105" s="8"/>
      <c r="AI105" s="8"/>
      <c r="AJ105" s="8"/>
      <c r="AK105" s="8"/>
      <c r="AL105" s="8"/>
      <c r="AM105" s="8"/>
      <c r="AN105" s="8"/>
      <c r="AO105" s="8"/>
      <c r="AP105" s="8"/>
      <c r="AQ105" s="8"/>
    </row>
    <row r="106" spans="2:43" ht="15.95" hidden="1" customHeight="1">
      <c r="B106" s="929">
        <v>46</v>
      </c>
      <c r="C106" s="8"/>
      <c r="D106" s="8"/>
      <c r="E106" s="8"/>
      <c r="F106" s="8"/>
      <c r="G106" s="8"/>
      <c r="H106" s="8"/>
      <c r="I106" s="8"/>
      <c r="J106" s="8"/>
      <c r="K106" s="8"/>
      <c r="L106" s="8"/>
      <c r="M106" s="8"/>
      <c r="N106" s="8"/>
      <c r="O106" s="8"/>
      <c r="P106" s="8"/>
      <c r="Q106" s="8"/>
      <c r="R106" s="8"/>
      <c r="S106" s="8"/>
      <c r="T106" s="8"/>
      <c r="U106" s="8"/>
      <c r="V106" s="8"/>
      <c r="W106" s="8"/>
      <c r="X106" s="8"/>
      <c r="Y106" s="8"/>
      <c r="Z106" s="8"/>
      <c r="AA106" s="8"/>
      <c r="AB106" s="8"/>
      <c r="AC106" s="8"/>
      <c r="AD106" s="8"/>
      <c r="AE106" s="8"/>
      <c r="AF106" s="8"/>
      <c r="AG106" s="8"/>
      <c r="AH106" s="8"/>
      <c r="AI106" s="8"/>
      <c r="AJ106" s="8"/>
      <c r="AK106" s="8"/>
      <c r="AL106" s="8"/>
      <c r="AM106" s="8"/>
      <c r="AN106" s="8"/>
      <c r="AO106" s="8"/>
      <c r="AP106" s="8"/>
      <c r="AQ106" s="8"/>
    </row>
    <row r="107" spans="2:43" ht="15.95" hidden="1" customHeight="1">
      <c r="B107" s="929"/>
      <c r="C107" s="8"/>
      <c r="D107" s="8"/>
      <c r="E107" s="8"/>
      <c r="F107" s="8"/>
      <c r="G107" s="8"/>
      <c r="H107" s="8"/>
      <c r="I107" s="8"/>
      <c r="J107" s="8"/>
      <c r="K107" s="8"/>
      <c r="L107" s="8"/>
      <c r="M107" s="8"/>
      <c r="N107" s="8"/>
      <c r="O107" s="8"/>
      <c r="P107" s="8"/>
      <c r="Q107" s="8"/>
      <c r="R107" s="8"/>
      <c r="S107" s="8"/>
      <c r="T107" s="8"/>
      <c r="U107" s="8"/>
      <c r="V107" s="8"/>
      <c r="W107" s="8"/>
      <c r="X107" s="8"/>
      <c r="Y107" s="8"/>
      <c r="Z107" s="8"/>
      <c r="AA107" s="8"/>
      <c r="AB107" s="8"/>
      <c r="AC107" s="8"/>
      <c r="AD107" s="8"/>
      <c r="AE107" s="8"/>
      <c r="AF107" s="8"/>
      <c r="AG107" s="8"/>
      <c r="AH107" s="8"/>
      <c r="AI107" s="8"/>
      <c r="AJ107" s="8"/>
      <c r="AK107" s="8"/>
      <c r="AL107" s="8"/>
      <c r="AM107" s="8"/>
      <c r="AN107" s="8"/>
      <c r="AO107" s="8"/>
      <c r="AP107" s="8"/>
      <c r="AQ107" s="8"/>
    </row>
    <row r="108" spans="2:43" ht="15.95" hidden="1" customHeight="1">
      <c r="B108" s="929">
        <v>47</v>
      </c>
      <c r="C108" s="8"/>
      <c r="D108" s="8"/>
      <c r="E108" s="8"/>
      <c r="F108" s="8"/>
      <c r="G108" s="8"/>
      <c r="H108" s="8"/>
      <c r="I108" s="8"/>
      <c r="J108" s="8"/>
      <c r="K108" s="8"/>
      <c r="L108" s="8"/>
      <c r="M108" s="8"/>
      <c r="N108" s="8"/>
      <c r="O108" s="8"/>
      <c r="P108" s="8"/>
      <c r="Q108" s="8"/>
      <c r="R108" s="8"/>
      <c r="S108" s="8"/>
      <c r="T108" s="8"/>
      <c r="U108" s="8"/>
      <c r="V108" s="8"/>
      <c r="W108" s="8"/>
      <c r="X108" s="8"/>
      <c r="Y108" s="8"/>
      <c r="Z108" s="8"/>
      <c r="AA108" s="8"/>
      <c r="AB108" s="8"/>
      <c r="AC108" s="8"/>
      <c r="AD108" s="8"/>
      <c r="AE108" s="8"/>
      <c r="AF108" s="8"/>
      <c r="AG108" s="8"/>
      <c r="AH108" s="8"/>
      <c r="AI108" s="8"/>
      <c r="AJ108" s="8"/>
      <c r="AK108" s="8"/>
      <c r="AL108" s="8"/>
      <c r="AM108" s="8"/>
      <c r="AN108" s="8"/>
      <c r="AO108" s="8"/>
      <c r="AP108" s="8"/>
      <c r="AQ108" s="8"/>
    </row>
    <row r="109" spans="2:43" ht="15.95" hidden="1" customHeight="1">
      <c r="B109" s="929"/>
      <c r="C109" s="8"/>
      <c r="D109" s="8"/>
      <c r="E109" s="8"/>
      <c r="F109" s="8"/>
      <c r="G109" s="8"/>
      <c r="H109" s="8"/>
      <c r="I109" s="8"/>
      <c r="J109" s="8"/>
      <c r="K109" s="8"/>
      <c r="L109" s="8"/>
      <c r="M109" s="8"/>
      <c r="N109" s="8"/>
      <c r="O109" s="8"/>
      <c r="P109" s="8"/>
      <c r="Q109" s="8"/>
      <c r="R109" s="8"/>
      <c r="S109" s="8"/>
      <c r="T109" s="8"/>
      <c r="U109" s="8"/>
      <c r="V109" s="8"/>
      <c r="W109" s="8"/>
      <c r="X109" s="8"/>
      <c r="Y109" s="8"/>
      <c r="Z109" s="8"/>
      <c r="AA109" s="8"/>
      <c r="AB109" s="8"/>
      <c r="AC109" s="8"/>
      <c r="AD109" s="8"/>
      <c r="AE109" s="8"/>
      <c r="AF109" s="8"/>
      <c r="AG109" s="8"/>
      <c r="AH109" s="8"/>
      <c r="AI109" s="8"/>
      <c r="AJ109" s="8"/>
      <c r="AK109" s="8"/>
      <c r="AL109" s="8"/>
      <c r="AM109" s="8"/>
      <c r="AN109" s="8"/>
      <c r="AO109" s="8"/>
      <c r="AP109" s="8"/>
      <c r="AQ109" s="8"/>
    </row>
    <row r="110" spans="2:43" ht="15.95" hidden="1" customHeight="1">
      <c r="B110" s="929">
        <v>48</v>
      </c>
      <c r="C110" s="8"/>
      <c r="D110" s="8"/>
      <c r="E110" s="8"/>
      <c r="F110" s="8"/>
      <c r="G110" s="8"/>
      <c r="H110" s="8"/>
      <c r="I110" s="8"/>
      <c r="J110" s="8"/>
      <c r="K110" s="8"/>
      <c r="L110" s="8"/>
      <c r="M110" s="8"/>
      <c r="N110" s="8"/>
      <c r="O110" s="8"/>
      <c r="P110" s="8"/>
      <c r="Q110" s="8"/>
      <c r="R110" s="8"/>
      <c r="S110" s="8"/>
      <c r="T110" s="8"/>
      <c r="U110" s="8"/>
      <c r="V110" s="8"/>
      <c r="W110" s="8"/>
      <c r="X110" s="8"/>
      <c r="Y110" s="8"/>
      <c r="Z110" s="8"/>
      <c r="AA110" s="8"/>
      <c r="AB110" s="8"/>
      <c r="AC110" s="8"/>
      <c r="AD110" s="8"/>
      <c r="AE110" s="8"/>
      <c r="AF110" s="8"/>
      <c r="AG110" s="8"/>
      <c r="AH110" s="8"/>
      <c r="AI110" s="8"/>
      <c r="AJ110" s="8"/>
      <c r="AK110" s="8"/>
      <c r="AL110" s="8"/>
      <c r="AM110" s="8"/>
      <c r="AN110" s="8"/>
      <c r="AO110" s="8"/>
      <c r="AP110" s="8"/>
      <c r="AQ110" s="8"/>
    </row>
    <row r="111" spans="2:43" ht="15.95" hidden="1" customHeight="1">
      <c r="B111" s="929"/>
      <c r="C111" s="8"/>
      <c r="D111" s="8"/>
      <c r="E111" s="8"/>
      <c r="F111" s="8"/>
      <c r="G111" s="8"/>
      <c r="H111" s="8"/>
      <c r="I111" s="8"/>
      <c r="J111" s="8"/>
      <c r="K111" s="8"/>
      <c r="L111" s="8"/>
      <c r="M111" s="8"/>
      <c r="N111" s="8"/>
      <c r="O111" s="8"/>
      <c r="P111" s="8"/>
      <c r="Q111" s="8"/>
      <c r="R111" s="8"/>
      <c r="S111" s="8"/>
      <c r="T111" s="8"/>
      <c r="U111" s="8"/>
      <c r="V111" s="8"/>
      <c r="W111" s="8"/>
      <c r="X111" s="8"/>
      <c r="Y111" s="8"/>
      <c r="Z111" s="8"/>
      <c r="AA111" s="8"/>
      <c r="AB111" s="8"/>
      <c r="AC111" s="8"/>
      <c r="AD111" s="8"/>
      <c r="AE111" s="8"/>
      <c r="AF111" s="8"/>
      <c r="AG111" s="8"/>
      <c r="AH111" s="8"/>
      <c r="AI111" s="8"/>
      <c r="AJ111" s="8"/>
      <c r="AK111" s="8"/>
      <c r="AL111" s="8"/>
      <c r="AM111" s="8"/>
      <c r="AN111" s="8"/>
      <c r="AO111" s="8"/>
      <c r="AP111" s="8"/>
      <c r="AQ111" s="8"/>
    </row>
    <row r="112" spans="2:43" ht="15.95" hidden="1" customHeight="1">
      <c r="B112" s="929">
        <v>49</v>
      </c>
      <c r="C112" s="8"/>
      <c r="D112" s="8"/>
      <c r="E112" s="8"/>
      <c r="F112" s="8"/>
      <c r="G112" s="8"/>
      <c r="H112" s="8"/>
      <c r="I112" s="8"/>
      <c r="J112" s="8"/>
      <c r="K112" s="8"/>
      <c r="L112" s="8"/>
      <c r="M112" s="8"/>
      <c r="N112" s="8"/>
      <c r="O112" s="8"/>
      <c r="P112" s="8"/>
      <c r="Q112" s="8"/>
      <c r="R112" s="8"/>
      <c r="S112" s="8"/>
      <c r="T112" s="8"/>
      <c r="U112" s="8"/>
      <c r="V112" s="8"/>
      <c r="W112" s="8"/>
      <c r="X112" s="8"/>
      <c r="Y112" s="8"/>
      <c r="Z112" s="8"/>
      <c r="AA112" s="8"/>
      <c r="AB112" s="8"/>
      <c r="AC112" s="8"/>
      <c r="AD112" s="8"/>
      <c r="AE112" s="8"/>
      <c r="AF112" s="8"/>
      <c r="AG112" s="8"/>
      <c r="AH112" s="8"/>
      <c r="AI112" s="8"/>
      <c r="AJ112" s="8"/>
      <c r="AK112" s="8"/>
      <c r="AL112" s="8"/>
      <c r="AM112" s="8"/>
      <c r="AN112" s="8"/>
      <c r="AO112" s="8"/>
      <c r="AP112" s="8"/>
      <c r="AQ112" s="8"/>
    </row>
    <row r="113" spans="2:43" ht="15.95" hidden="1" customHeight="1">
      <c r="B113" s="929"/>
      <c r="C113" s="8"/>
      <c r="D113" s="8"/>
      <c r="E113" s="8"/>
      <c r="F113" s="8"/>
      <c r="G113" s="8"/>
      <c r="H113" s="8"/>
      <c r="I113" s="8"/>
      <c r="J113" s="8"/>
      <c r="K113" s="8"/>
      <c r="L113" s="8"/>
      <c r="M113" s="8"/>
      <c r="N113" s="8"/>
      <c r="O113" s="8"/>
      <c r="P113" s="8"/>
      <c r="Q113" s="8"/>
      <c r="R113" s="8"/>
      <c r="S113" s="8"/>
      <c r="T113" s="8"/>
      <c r="U113" s="8"/>
      <c r="V113" s="8"/>
      <c r="W113" s="8"/>
      <c r="X113" s="8"/>
      <c r="Y113" s="8"/>
      <c r="Z113" s="8"/>
      <c r="AA113" s="8"/>
      <c r="AB113" s="8"/>
      <c r="AC113" s="8"/>
      <c r="AD113" s="8"/>
      <c r="AE113" s="8"/>
      <c r="AF113" s="8"/>
      <c r="AG113" s="8"/>
      <c r="AH113" s="8"/>
      <c r="AI113" s="8"/>
      <c r="AJ113" s="8"/>
      <c r="AK113" s="8"/>
      <c r="AL113" s="8"/>
      <c r="AM113" s="8"/>
      <c r="AN113" s="8"/>
      <c r="AO113" s="8"/>
      <c r="AP113" s="8"/>
      <c r="AQ113" s="8"/>
    </row>
    <row r="114" spans="2:43" ht="15.95" hidden="1" customHeight="1">
      <c r="B114" s="929">
        <v>50</v>
      </c>
      <c r="C114" s="8"/>
      <c r="D114" s="8"/>
      <c r="E114" s="8"/>
      <c r="F114" s="8"/>
      <c r="G114" s="8"/>
      <c r="H114" s="8"/>
      <c r="I114" s="8"/>
      <c r="J114" s="8"/>
      <c r="K114" s="8"/>
      <c r="L114" s="8"/>
      <c r="M114" s="8"/>
      <c r="N114" s="8"/>
      <c r="O114" s="8"/>
      <c r="P114" s="8"/>
      <c r="Q114" s="8"/>
      <c r="R114" s="8"/>
      <c r="S114" s="8"/>
      <c r="T114" s="8"/>
      <c r="U114" s="8"/>
      <c r="V114" s="8"/>
      <c r="W114" s="8"/>
      <c r="X114" s="8"/>
      <c r="Y114" s="8"/>
      <c r="Z114" s="8"/>
      <c r="AA114" s="8"/>
      <c r="AB114" s="8"/>
      <c r="AC114" s="8"/>
      <c r="AD114" s="8"/>
      <c r="AE114" s="8"/>
      <c r="AF114" s="8"/>
      <c r="AG114" s="8"/>
      <c r="AH114" s="8"/>
      <c r="AI114" s="8"/>
      <c r="AJ114" s="8"/>
      <c r="AK114" s="8"/>
      <c r="AL114" s="8"/>
      <c r="AM114" s="8"/>
      <c r="AN114" s="8"/>
      <c r="AO114" s="8"/>
      <c r="AP114" s="8"/>
      <c r="AQ114" s="8"/>
    </row>
    <row r="115" spans="2:43" ht="15.95" hidden="1" customHeight="1">
      <c r="B115" s="929"/>
      <c r="C115" s="8"/>
      <c r="D115" s="8"/>
      <c r="E115" s="8"/>
      <c r="F115" s="8"/>
      <c r="G115" s="8"/>
      <c r="H115" s="8"/>
      <c r="I115" s="8"/>
      <c r="J115" s="8"/>
      <c r="K115" s="8"/>
      <c r="L115" s="8"/>
      <c r="M115" s="8"/>
      <c r="N115" s="8"/>
      <c r="O115" s="8"/>
      <c r="P115" s="8"/>
      <c r="Q115" s="8"/>
      <c r="R115" s="8"/>
      <c r="S115" s="8"/>
      <c r="T115" s="8"/>
      <c r="U115" s="8"/>
      <c r="V115" s="8"/>
      <c r="W115" s="8"/>
      <c r="X115" s="8"/>
      <c r="Y115" s="8"/>
      <c r="Z115" s="8"/>
      <c r="AA115" s="8"/>
      <c r="AB115" s="8"/>
      <c r="AC115" s="8"/>
      <c r="AD115" s="8"/>
      <c r="AE115" s="8"/>
      <c r="AF115" s="8"/>
      <c r="AG115" s="8"/>
      <c r="AH115" s="8"/>
      <c r="AI115" s="8"/>
      <c r="AJ115" s="8"/>
      <c r="AK115" s="8"/>
      <c r="AL115" s="8"/>
      <c r="AM115" s="8"/>
      <c r="AN115" s="8"/>
      <c r="AO115" s="8"/>
      <c r="AP115" s="8"/>
      <c r="AQ115" s="8"/>
    </row>
    <row r="116" spans="2:43" ht="15.95" hidden="1" customHeight="1">
      <c r="B116" s="929">
        <v>51</v>
      </c>
      <c r="C116" s="8"/>
      <c r="D116" s="8"/>
      <c r="E116" s="8"/>
      <c r="F116" s="8"/>
      <c r="G116" s="8"/>
      <c r="H116" s="8"/>
      <c r="I116" s="8"/>
      <c r="J116" s="8"/>
      <c r="K116" s="8"/>
      <c r="L116" s="8"/>
      <c r="M116" s="8"/>
      <c r="N116" s="8"/>
      <c r="O116" s="8"/>
      <c r="P116" s="8"/>
      <c r="Q116" s="8"/>
      <c r="R116" s="8"/>
      <c r="S116" s="8"/>
      <c r="T116" s="8"/>
      <c r="U116" s="8"/>
      <c r="V116" s="8"/>
      <c r="W116" s="8"/>
      <c r="X116" s="8"/>
      <c r="Y116" s="8"/>
      <c r="Z116" s="8"/>
      <c r="AA116" s="8"/>
      <c r="AB116" s="8"/>
      <c r="AC116" s="8"/>
      <c r="AD116" s="8"/>
      <c r="AE116" s="8"/>
      <c r="AF116" s="8"/>
      <c r="AG116" s="8"/>
      <c r="AH116" s="8"/>
      <c r="AI116" s="8"/>
      <c r="AJ116" s="8"/>
      <c r="AK116" s="8"/>
      <c r="AL116" s="8"/>
      <c r="AM116" s="8"/>
      <c r="AN116" s="8"/>
      <c r="AO116" s="8"/>
      <c r="AP116" s="8"/>
      <c r="AQ116" s="8"/>
    </row>
    <row r="117" spans="2:43" ht="15.95" hidden="1" customHeight="1">
      <c r="B117" s="929"/>
      <c r="C117" s="8"/>
      <c r="D117" s="8"/>
      <c r="E117" s="8"/>
      <c r="F117" s="8"/>
      <c r="G117" s="8"/>
      <c r="H117" s="8"/>
      <c r="I117" s="8"/>
      <c r="J117" s="8"/>
      <c r="K117" s="8"/>
      <c r="L117" s="8"/>
      <c r="M117" s="8"/>
      <c r="N117" s="8"/>
      <c r="O117" s="8"/>
      <c r="P117" s="8"/>
      <c r="Q117" s="8"/>
      <c r="R117" s="8"/>
      <c r="S117" s="8"/>
      <c r="T117" s="8"/>
      <c r="U117" s="8"/>
      <c r="V117" s="8"/>
      <c r="W117" s="8"/>
      <c r="X117" s="8"/>
      <c r="Y117" s="8"/>
      <c r="Z117" s="8"/>
      <c r="AA117" s="8"/>
      <c r="AB117" s="8"/>
      <c r="AC117" s="8"/>
      <c r="AD117" s="8"/>
      <c r="AE117" s="8"/>
      <c r="AF117" s="8"/>
      <c r="AG117" s="8"/>
      <c r="AH117" s="8"/>
      <c r="AI117" s="8"/>
      <c r="AJ117" s="8"/>
      <c r="AK117" s="8"/>
      <c r="AL117" s="8"/>
      <c r="AM117" s="8"/>
      <c r="AN117" s="8"/>
      <c r="AO117" s="8"/>
      <c r="AP117" s="8"/>
      <c r="AQ117" s="8"/>
    </row>
    <row r="118" spans="2:43" ht="15.95" hidden="1" customHeight="1">
      <c r="B118" s="929">
        <v>52</v>
      </c>
      <c r="C118" s="8"/>
      <c r="D118" s="8"/>
      <c r="E118" s="8"/>
      <c r="F118" s="8"/>
      <c r="G118" s="8"/>
      <c r="H118" s="8"/>
      <c r="I118" s="8"/>
      <c r="J118" s="8"/>
      <c r="K118" s="8"/>
      <c r="L118" s="8"/>
      <c r="M118" s="8"/>
      <c r="N118" s="8"/>
      <c r="O118" s="8"/>
      <c r="P118" s="8"/>
      <c r="Q118" s="8"/>
      <c r="R118" s="8"/>
      <c r="S118" s="8"/>
      <c r="T118" s="8"/>
      <c r="U118" s="8"/>
      <c r="V118" s="8"/>
      <c r="W118" s="8"/>
      <c r="X118" s="8"/>
      <c r="Y118" s="8"/>
      <c r="Z118" s="8"/>
      <c r="AA118" s="8"/>
      <c r="AB118" s="8"/>
      <c r="AC118" s="8"/>
      <c r="AD118" s="8"/>
      <c r="AE118" s="8"/>
      <c r="AF118" s="8"/>
      <c r="AG118" s="8"/>
      <c r="AH118" s="8"/>
      <c r="AI118" s="8"/>
      <c r="AJ118" s="8"/>
      <c r="AK118" s="8"/>
      <c r="AL118" s="8"/>
      <c r="AM118" s="8"/>
      <c r="AN118" s="8"/>
      <c r="AO118" s="8"/>
      <c r="AP118" s="8"/>
      <c r="AQ118" s="8"/>
    </row>
    <row r="119" spans="2:43" ht="15.95" hidden="1" customHeight="1">
      <c r="B119" s="929"/>
      <c r="C119" s="8"/>
      <c r="D119" s="8"/>
      <c r="E119" s="8"/>
      <c r="F119" s="8"/>
      <c r="G119" s="8"/>
      <c r="H119" s="8"/>
      <c r="I119" s="8"/>
      <c r="J119" s="8"/>
      <c r="K119" s="8"/>
      <c r="L119" s="8"/>
      <c r="M119" s="8"/>
      <c r="N119" s="8"/>
      <c r="O119" s="8"/>
      <c r="P119" s="8"/>
      <c r="Q119" s="8"/>
      <c r="R119" s="8"/>
      <c r="S119" s="8"/>
      <c r="T119" s="8"/>
      <c r="U119" s="8"/>
      <c r="V119" s="8"/>
      <c r="W119" s="8"/>
      <c r="X119" s="8"/>
      <c r="Y119" s="8"/>
      <c r="Z119" s="8"/>
      <c r="AA119" s="8"/>
      <c r="AB119" s="8"/>
      <c r="AC119" s="8"/>
      <c r="AD119" s="8"/>
      <c r="AE119" s="8"/>
      <c r="AF119" s="8"/>
      <c r="AG119" s="8"/>
      <c r="AH119" s="8"/>
      <c r="AI119" s="8"/>
      <c r="AJ119" s="8"/>
      <c r="AK119" s="8"/>
      <c r="AL119" s="8"/>
      <c r="AM119" s="8"/>
      <c r="AN119" s="8"/>
      <c r="AO119" s="8"/>
      <c r="AP119" s="8"/>
      <c r="AQ119" s="8"/>
    </row>
    <row r="120" spans="2:43" ht="15.95" hidden="1" customHeight="1">
      <c r="B120" s="929">
        <v>53</v>
      </c>
      <c r="C120" s="8"/>
      <c r="D120" s="8"/>
      <c r="E120" s="8"/>
      <c r="F120" s="8"/>
      <c r="G120" s="8"/>
      <c r="H120" s="8"/>
      <c r="I120" s="8"/>
      <c r="J120" s="8"/>
      <c r="K120" s="8"/>
      <c r="L120" s="8"/>
      <c r="M120" s="8"/>
      <c r="N120" s="8"/>
      <c r="O120" s="8"/>
      <c r="P120" s="8"/>
      <c r="Q120" s="8"/>
      <c r="R120" s="8"/>
      <c r="S120" s="8"/>
      <c r="T120" s="8"/>
      <c r="U120" s="8"/>
      <c r="V120" s="8"/>
      <c r="W120" s="8"/>
      <c r="X120" s="8"/>
      <c r="Y120" s="8"/>
      <c r="Z120" s="8"/>
      <c r="AA120" s="8"/>
      <c r="AB120" s="8"/>
      <c r="AC120" s="8"/>
      <c r="AD120" s="8"/>
      <c r="AE120" s="8"/>
      <c r="AF120" s="8"/>
      <c r="AG120" s="8"/>
      <c r="AH120" s="8"/>
      <c r="AI120" s="8"/>
      <c r="AJ120" s="8"/>
      <c r="AK120" s="8"/>
      <c r="AL120" s="8"/>
      <c r="AM120" s="8"/>
      <c r="AN120" s="8"/>
      <c r="AO120" s="8"/>
      <c r="AP120" s="8"/>
      <c r="AQ120" s="8"/>
    </row>
    <row r="121" spans="2:43" ht="15.95" hidden="1" customHeight="1">
      <c r="B121" s="929"/>
      <c r="C121" s="8"/>
      <c r="D121" s="8"/>
      <c r="E121" s="8"/>
      <c r="F121" s="8"/>
      <c r="G121" s="8"/>
      <c r="H121" s="8"/>
      <c r="I121" s="8"/>
      <c r="J121" s="8"/>
      <c r="K121" s="8"/>
      <c r="L121" s="8"/>
      <c r="M121" s="8"/>
      <c r="N121" s="8"/>
      <c r="O121" s="8"/>
      <c r="P121" s="8"/>
      <c r="Q121" s="8"/>
      <c r="R121" s="8"/>
      <c r="S121" s="8"/>
      <c r="T121" s="8"/>
      <c r="U121" s="8"/>
      <c r="V121" s="8"/>
      <c r="W121" s="8"/>
      <c r="X121" s="8"/>
      <c r="Y121" s="8"/>
      <c r="Z121" s="8"/>
      <c r="AA121" s="8"/>
      <c r="AB121" s="8"/>
      <c r="AC121" s="8"/>
      <c r="AD121" s="8"/>
      <c r="AE121" s="8"/>
      <c r="AF121" s="8"/>
      <c r="AG121" s="8"/>
      <c r="AH121" s="8"/>
      <c r="AI121" s="8"/>
      <c r="AJ121" s="8"/>
      <c r="AK121" s="8"/>
      <c r="AL121" s="8"/>
      <c r="AM121" s="8"/>
      <c r="AN121" s="8"/>
      <c r="AO121" s="8"/>
      <c r="AP121" s="8"/>
      <c r="AQ121" s="8"/>
    </row>
    <row r="122" spans="2:43" ht="15.95" hidden="1" customHeight="1">
      <c r="B122" s="929">
        <v>54</v>
      </c>
      <c r="C122" s="8"/>
      <c r="D122" s="8"/>
      <c r="E122" s="8"/>
      <c r="F122" s="8"/>
      <c r="G122" s="8"/>
      <c r="H122" s="8"/>
      <c r="I122" s="8"/>
      <c r="J122" s="8"/>
      <c r="K122" s="8"/>
      <c r="L122" s="8"/>
      <c r="M122" s="8"/>
      <c r="N122" s="8"/>
      <c r="O122" s="8"/>
      <c r="P122" s="8"/>
      <c r="Q122" s="8"/>
      <c r="R122" s="8"/>
      <c r="S122" s="8"/>
      <c r="T122" s="8"/>
      <c r="U122" s="8"/>
      <c r="V122" s="8"/>
      <c r="W122" s="8"/>
      <c r="X122" s="8"/>
      <c r="Y122" s="8"/>
      <c r="Z122" s="8"/>
      <c r="AA122" s="8"/>
      <c r="AB122" s="8"/>
      <c r="AC122" s="8"/>
      <c r="AD122" s="8"/>
      <c r="AE122" s="8"/>
      <c r="AF122" s="8"/>
      <c r="AG122" s="8"/>
      <c r="AH122" s="8"/>
      <c r="AI122" s="8"/>
      <c r="AJ122" s="8"/>
      <c r="AK122" s="8"/>
      <c r="AL122" s="8"/>
      <c r="AM122" s="8"/>
      <c r="AN122" s="8"/>
      <c r="AO122" s="8"/>
      <c r="AP122" s="8"/>
      <c r="AQ122" s="8"/>
    </row>
    <row r="123" spans="2:43" ht="15.95" hidden="1" customHeight="1">
      <c r="B123" s="929"/>
      <c r="C123" s="8"/>
      <c r="D123" s="8"/>
      <c r="E123" s="8"/>
      <c r="F123" s="8"/>
      <c r="G123" s="8"/>
      <c r="H123" s="8"/>
      <c r="I123" s="8"/>
      <c r="J123" s="8"/>
      <c r="K123" s="8"/>
      <c r="L123" s="8"/>
      <c r="M123" s="8"/>
      <c r="N123" s="8"/>
      <c r="O123" s="8"/>
      <c r="P123" s="8"/>
      <c r="Q123" s="8"/>
      <c r="R123" s="8"/>
      <c r="S123" s="8"/>
      <c r="T123" s="8"/>
      <c r="U123" s="8"/>
      <c r="V123" s="8"/>
      <c r="W123" s="8"/>
      <c r="X123" s="8"/>
      <c r="Y123" s="8"/>
      <c r="Z123" s="8"/>
      <c r="AA123" s="8"/>
      <c r="AB123" s="8"/>
      <c r="AC123" s="8"/>
      <c r="AD123" s="8"/>
      <c r="AE123" s="8"/>
      <c r="AF123" s="8"/>
      <c r="AG123" s="8"/>
      <c r="AH123" s="8"/>
      <c r="AI123" s="8"/>
      <c r="AJ123" s="8"/>
      <c r="AK123" s="8"/>
      <c r="AL123" s="8"/>
      <c r="AM123" s="8"/>
      <c r="AN123" s="8"/>
      <c r="AO123" s="8"/>
      <c r="AP123" s="8"/>
      <c r="AQ123" s="8"/>
    </row>
    <row r="124" spans="2:43" ht="15.95" hidden="1" customHeight="1">
      <c r="B124" s="929">
        <v>55</v>
      </c>
      <c r="C124" s="8"/>
      <c r="D124" s="8"/>
      <c r="E124" s="8"/>
      <c r="F124" s="8"/>
      <c r="G124" s="8"/>
      <c r="H124" s="8"/>
      <c r="I124" s="8"/>
      <c r="J124" s="8"/>
      <c r="K124" s="8"/>
      <c r="L124" s="8"/>
      <c r="M124" s="8"/>
      <c r="N124" s="8"/>
      <c r="O124" s="8"/>
      <c r="P124" s="8"/>
      <c r="Q124" s="8"/>
      <c r="R124" s="8"/>
      <c r="S124" s="8"/>
      <c r="T124" s="8"/>
      <c r="U124" s="8"/>
      <c r="V124" s="8"/>
      <c r="W124" s="8"/>
      <c r="X124" s="8"/>
      <c r="Y124" s="8"/>
      <c r="Z124" s="8"/>
      <c r="AA124" s="8"/>
      <c r="AB124" s="8"/>
      <c r="AC124" s="8"/>
      <c r="AD124" s="8"/>
      <c r="AE124" s="8"/>
      <c r="AF124" s="8"/>
      <c r="AG124" s="8"/>
      <c r="AH124" s="8"/>
      <c r="AI124" s="8"/>
      <c r="AJ124" s="8"/>
      <c r="AK124" s="8"/>
      <c r="AL124" s="8"/>
      <c r="AM124" s="8"/>
      <c r="AN124" s="8"/>
      <c r="AO124" s="8"/>
      <c r="AP124" s="8"/>
      <c r="AQ124" s="8"/>
    </row>
    <row r="125" spans="2:43" ht="15.95" hidden="1" customHeight="1">
      <c r="B125" s="929"/>
      <c r="C125" s="8"/>
      <c r="D125" s="8"/>
      <c r="E125" s="8"/>
      <c r="F125" s="8"/>
      <c r="G125" s="8"/>
      <c r="H125" s="8"/>
      <c r="I125" s="8"/>
      <c r="J125" s="8"/>
      <c r="K125" s="8"/>
      <c r="L125" s="8"/>
      <c r="M125" s="8"/>
      <c r="N125" s="8"/>
      <c r="O125" s="8"/>
      <c r="P125" s="8"/>
      <c r="Q125" s="8"/>
      <c r="R125" s="8"/>
      <c r="S125" s="8"/>
      <c r="T125" s="8"/>
      <c r="U125" s="8"/>
      <c r="V125" s="8"/>
      <c r="W125" s="8"/>
      <c r="X125" s="8"/>
      <c r="Y125" s="8"/>
      <c r="Z125" s="8"/>
      <c r="AA125" s="8"/>
      <c r="AB125" s="8"/>
      <c r="AC125" s="8"/>
      <c r="AD125" s="8"/>
      <c r="AE125" s="8"/>
      <c r="AF125" s="8"/>
      <c r="AG125" s="8"/>
      <c r="AH125" s="8"/>
      <c r="AI125" s="8"/>
      <c r="AJ125" s="8"/>
      <c r="AK125" s="8"/>
      <c r="AL125" s="8"/>
      <c r="AM125" s="8"/>
      <c r="AN125" s="8"/>
      <c r="AO125" s="8"/>
      <c r="AP125" s="8"/>
      <c r="AQ125" s="8"/>
    </row>
    <row r="126" spans="2:43" ht="15.95" hidden="1" customHeight="1">
      <c r="B126" s="929">
        <v>56</v>
      </c>
      <c r="C126" s="8"/>
      <c r="D126" s="8"/>
      <c r="E126" s="8"/>
      <c r="F126" s="8"/>
      <c r="G126" s="8"/>
      <c r="H126" s="8"/>
      <c r="I126" s="8"/>
      <c r="J126" s="8"/>
      <c r="K126" s="8"/>
      <c r="L126" s="8"/>
      <c r="M126" s="8"/>
      <c r="N126" s="8"/>
      <c r="O126" s="8"/>
      <c r="P126" s="8"/>
      <c r="Q126" s="8"/>
      <c r="R126" s="8"/>
      <c r="S126" s="8"/>
      <c r="T126" s="8"/>
      <c r="U126" s="8"/>
      <c r="V126" s="8"/>
      <c r="W126" s="8"/>
      <c r="X126" s="8"/>
      <c r="Y126" s="8"/>
      <c r="Z126" s="8"/>
      <c r="AA126" s="8"/>
      <c r="AB126" s="8"/>
      <c r="AC126" s="8"/>
      <c r="AD126" s="8"/>
      <c r="AE126" s="8"/>
      <c r="AF126" s="8"/>
      <c r="AG126" s="8"/>
      <c r="AH126" s="8"/>
      <c r="AI126" s="8"/>
      <c r="AJ126" s="8"/>
      <c r="AK126" s="8"/>
      <c r="AL126" s="8"/>
      <c r="AM126" s="8"/>
      <c r="AN126" s="8"/>
      <c r="AO126" s="8"/>
      <c r="AP126" s="8"/>
      <c r="AQ126" s="8"/>
    </row>
    <row r="127" spans="2:43" ht="15.95" hidden="1" customHeight="1">
      <c r="B127" s="929"/>
      <c r="C127" s="8"/>
      <c r="D127" s="8"/>
      <c r="E127" s="8"/>
      <c r="F127" s="8"/>
      <c r="G127" s="8"/>
      <c r="H127" s="8"/>
      <c r="I127" s="8"/>
      <c r="J127" s="8"/>
      <c r="K127" s="8"/>
      <c r="L127" s="8"/>
      <c r="M127" s="8"/>
      <c r="N127" s="8"/>
      <c r="O127" s="8"/>
      <c r="P127" s="8"/>
      <c r="Q127" s="8"/>
      <c r="R127" s="8"/>
      <c r="S127" s="8"/>
      <c r="T127" s="8"/>
      <c r="U127" s="8"/>
      <c r="V127" s="8"/>
      <c r="W127" s="8"/>
      <c r="X127" s="8"/>
      <c r="Y127" s="8"/>
      <c r="Z127" s="8"/>
      <c r="AA127" s="8"/>
      <c r="AB127" s="8"/>
      <c r="AC127" s="8"/>
      <c r="AD127" s="8"/>
      <c r="AE127" s="8"/>
      <c r="AF127" s="8"/>
      <c r="AG127" s="8"/>
      <c r="AH127" s="8"/>
      <c r="AI127" s="8"/>
      <c r="AJ127" s="8"/>
      <c r="AK127" s="8"/>
      <c r="AL127" s="8"/>
      <c r="AM127" s="8"/>
      <c r="AN127" s="8"/>
      <c r="AO127" s="8"/>
      <c r="AP127" s="8"/>
      <c r="AQ127" s="8"/>
    </row>
    <row r="128" spans="2:43" ht="15.95" hidden="1" customHeight="1">
      <c r="B128" s="929">
        <v>57</v>
      </c>
      <c r="C128" s="8"/>
      <c r="D128" s="8"/>
      <c r="E128" s="8"/>
      <c r="F128" s="8"/>
      <c r="G128" s="8"/>
      <c r="H128" s="8"/>
      <c r="I128" s="8"/>
      <c r="J128" s="8"/>
      <c r="K128" s="8"/>
      <c r="L128" s="8"/>
      <c r="M128" s="8"/>
      <c r="N128" s="8"/>
      <c r="O128" s="8"/>
      <c r="P128" s="8"/>
      <c r="Q128" s="8"/>
      <c r="R128" s="8"/>
      <c r="S128" s="8"/>
      <c r="T128" s="8"/>
      <c r="U128" s="8"/>
      <c r="V128" s="8"/>
      <c r="W128" s="8"/>
      <c r="X128" s="8"/>
      <c r="Y128" s="8"/>
      <c r="Z128" s="8"/>
      <c r="AA128" s="8"/>
      <c r="AB128" s="8"/>
      <c r="AC128" s="8"/>
      <c r="AD128" s="8"/>
      <c r="AE128" s="8"/>
      <c r="AF128" s="8"/>
      <c r="AG128" s="8"/>
      <c r="AH128" s="8"/>
      <c r="AI128" s="8"/>
      <c r="AJ128" s="8"/>
      <c r="AK128" s="8"/>
      <c r="AL128" s="8"/>
      <c r="AM128" s="8"/>
      <c r="AN128" s="8"/>
      <c r="AO128" s="8"/>
      <c r="AP128" s="8"/>
      <c r="AQ128" s="8"/>
    </row>
    <row r="129" spans="2:43" ht="15.95" hidden="1" customHeight="1">
      <c r="B129" s="929"/>
      <c r="C129" s="8"/>
      <c r="D129" s="8"/>
      <c r="E129" s="8"/>
      <c r="F129" s="8"/>
      <c r="G129" s="8"/>
      <c r="H129" s="8"/>
      <c r="I129" s="8"/>
      <c r="J129" s="8"/>
      <c r="K129" s="8"/>
      <c r="L129" s="8"/>
      <c r="M129" s="8"/>
      <c r="N129" s="8"/>
      <c r="O129" s="8"/>
      <c r="P129" s="8"/>
      <c r="Q129" s="8"/>
      <c r="R129" s="8"/>
      <c r="S129" s="8"/>
      <c r="T129" s="8"/>
      <c r="U129" s="8"/>
      <c r="V129" s="8"/>
      <c r="W129" s="8"/>
      <c r="X129" s="8"/>
      <c r="Y129" s="8"/>
      <c r="Z129" s="8"/>
      <c r="AA129" s="8"/>
      <c r="AB129" s="8"/>
      <c r="AC129" s="8"/>
      <c r="AD129" s="8"/>
      <c r="AE129" s="8"/>
      <c r="AF129" s="8"/>
      <c r="AG129" s="8"/>
      <c r="AH129" s="8"/>
      <c r="AI129" s="8"/>
      <c r="AJ129" s="8"/>
      <c r="AK129" s="8"/>
      <c r="AL129" s="8"/>
      <c r="AM129" s="8"/>
      <c r="AN129" s="8"/>
      <c r="AO129" s="8"/>
      <c r="AP129" s="8"/>
      <c r="AQ129" s="8"/>
    </row>
    <row r="130" spans="2:43" ht="15.95" hidden="1" customHeight="1">
      <c r="B130" s="929">
        <v>58</v>
      </c>
      <c r="C130" s="8"/>
      <c r="D130" s="8"/>
      <c r="E130" s="8"/>
      <c r="F130" s="8"/>
      <c r="G130" s="8"/>
      <c r="H130" s="8"/>
      <c r="I130" s="8"/>
      <c r="J130" s="8"/>
      <c r="K130" s="8"/>
      <c r="L130" s="8"/>
      <c r="M130" s="8"/>
      <c r="N130" s="8"/>
      <c r="O130" s="8"/>
      <c r="P130" s="8"/>
      <c r="Q130" s="8"/>
      <c r="R130" s="8"/>
      <c r="S130" s="8"/>
      <c r="T130" s="8"/>
      <c r="U130" s="8"/>
      <c r="V130" s="8"/>
      <c r="W130" s="8"/>
      <c r="X130" s="8"/>
      <c r="Y130" s="8"/>
      <c r="Z130" s="8"/>
      <c r="AA130" s="8"/>
      <c r="AB130" s="8"/>
      <c r="AC130" s="8"/>
      <c r="AD130" s="8"/>
      <c r="AE130" s="8"/>
      <c r="AF130" s="8"/>
      <c r="AG130" s="8"/>
      <c r="AH130" s="8"/>
      <c r="AI130" s="8"/>
      <c r="AJ130" s="8"/>
      <c r="AK130" s="8"/>
      <c r="AL130" s="8"/>
      <c r="AM130" s="8"/>
      <c r="AN130" s="8"/>
      <c r="AO130" s="8"/>
      <c r="AP130" s="8"/>
      <c r="AQ130" s="8"/>
    </row>
    <row r="131" spans="2:43" ht="15.95" hidden="1" customHeight="1">
      <c r="B131" s="929"/>
      <c r="C131" s="8"/>
      <c r="D131" s="8"/>
      <c r="E131" s="8"/>
      <c r="F131" s="8"/>
      <c r="G131" s="8"/>
      <c r="H131" s="8"/>
      <c r="I131" s="8"/>
      <c r="J131" s="8"/>
      <c r="K131" s="8"/>
      <c r="L131" s="8"/>
      <c r="M131" s="8"/>
      <c r="N131" s="8"/>
      <c r="O131" s="8"/>
      <c r="P131" s="8"/>
      <c r="Q131" s="8"/>
      <c r="R131" s="8"/>
      <c r="S131" s="8"/>
      <c r="T131" s="8"/>
      <c r="U131" s="8"/>
      <c r="V131" s="8"/>
      <c r="W131" s="8"/>
      <c r="X131" s="8"/>
      <c r="Y131" s="8"/>
      <c r="Z131" s="8"/>
      <c r="AA131" s="8"/>
      <c r="AB131" s="8"/>
      <c r="AC131" s="8"/>
      <c r="AD131" s="8"/>
      <c r="AE131" s="8"/>
      <c r="AF131" s="8"/>
      <c r="AG131" s="8"/>
      <c r="AH131" s="8"/>
      <c r="AI131" s="8"/>
      <c r="AJ131" s="8"/>
      <c r="AK131" s="8"/>
      <c r="AL131" s="8"/>
      <c r="AM131" s="8"/>
      <c r="AN131" s="8"/>
      <c r="AO131" s="8"/>
      <c r="AP131" s="8"/>
      <c r="AQ131" s="8"/>
    </row>
    <row r="132" spans="2:43" ht="15.95" hidden="1" customHeight="1">
      <c r="B132" s="929">
        <v>59</v>
      </c>
      <c r="C132" s="8"/>
      <c r="D132" s="8"/>
      <c r="E132" s="8"/>
      <c r="F132" s="8"/>
      <c r="G132" s="8"/>
      <c r="H132" s="8"/>
      <c r="I132" s="8"/>
      <c r="J132" s="8"/>
      <c r="K132" s="8"/>
      <c r="L132" s="8"/>
      <c r="M132" s="8"/>
      <c r="N132" s="8"/>
      <c r="O132" s="8"/>
      <c r="P132" s="8"/>
      <c r="Q132" s="8"/>
      <c r="R132" s="8"/>
      <c r="S132" s="8"/>
      <c r="T132" s="8"/>
      <c r="U132" s="8"/>
      <c r="V132" s="8"/>
      <c r="W132" s="8"/>
      <c r="X132" s="8"/>
      <c r="Y132" s="8"/>
      <c r="Z132" s="8"/>
      <c r="AA132" s="8"/>
      <c r="AB132" s="8"/>
      <c r="AC132" s="8"/>
      <c r="AD132" s="8"/>
      <c r="AE132" s="8"/>
      <c r="AF132" s="8"/>
      <c r="AG132" s="8"/>
      <c r="AH132" s="8"/>
      <c r="AI132" s="8"/>
      <c r="AJ132" s="8"/>
      <c r="AK132" s="8"/>
      <c r="AL132" s="8"/>
      <c r="AM132" s="8"/>
      <c r="AN132" s="8"/>
      <c r="AO132" s="8"/>
      <c r="AP132" s="8"/>
      <c r="AQ132" s="8"/>
    </row>
    <row r="133" spans="2:43" ht="15.95" hidden="1" customHeight="1">
      <c r="B133" s="929"/>
      <c r="C133" s="8"/>
      <c r="D133" s="8"/>
      <c r="E133" s="8"/>
      <c r="F133" s="8"/>
      <c r="G133" s="8"/>
      <c r="H133" s="8"/>
      <c r="I133" s="8"/>
      <c r="J133" s="8"/>
      <c r="K133" s="8"/>
      <c r="L133" s="8"/>
      <c r="M133" s="8"/>
      <c r="N133" s="8"/>
      <c r="O133" s="8"/>
      <c r="P133" s="8"/>
      <c r="Q133" s="8"/>
      <c r="R133" s="8"/>
      <c r="S133" s="8"/>
      <c r="T133" s="8"/>
      <c r="U133" s="8"/>
      <c r="V133" s="8"/>
      <c r="W133" s="8"/>
      <c r="X133" s="8"/>
      <c r="Y133" s="8"/>
      <c r="Z133" s="8"/>
      <c r="AA133" s="8"/>
      <c r="AB133" s="8"/>
      <c r="AC133" s="8"/>
      <c r="AD133" s="8"/>
      <c r="AE133" s="8"/>
      <c r="AF133" s="8"/>
      <c r="AG133" s="8"/>
      <c r="AH133" s="8"/>
      <c r="AI133" s="8"/>
      <c r="AJ133" s="8"/>
      <c r="AK133" s="8"/>
      <c r="AL133" s="8"/>
      <c r="AM133" s="8"/>
      <c r="AN133" s="8"/>
      <c r="AO133" s="8"/>
      <c r="AP133" s="8"/>
      <c r="AQ133" s="8"/>
    </row>
    <row r="134" spans="2:43" ht="15.95" hidden="1" customHeight="1">
      <c r="B134" s="929">
        <v>60</v>
      </c>
      <c r="C134" s="8"/>
      <c r="D134" s="8"/>
      <c r="E134" s="8"/>
      <c r="F134" s="8"/>
      <c r="G134" s="8"/>
      <c r="H134" s="8"/>
      <c r="I134" s="8"/>
      <c r="J134" s="8"/>
      <c r="K134" s="8"/>
      <c r="L134" s="8"/>
      <c r="M134" s="8"/>
      <c r="N134" s="8"/>
      <c r="O134" s="8"/>
      <c r="P134" s="8"/>
      <c r="Q134" s="8"/>
      <c r="R134" s="8"/>
      <c r="S134" s="8"/>
      <c r="T134" s="8"/>
      <c r="U134" s="8"/>
      <c r="V134" s="8"/>
      <c r="W134" s="8"/>
      <c r="X134" s="8"/>
      <c r="Y134" s="8"/>
      <c r="Z134" s="8"/>
      <c r="AA134" s="8"/>
      <c r="AB134" s="8"/>
      <c r="AC134" s="8"/>
      <c r="AD134" s="8"/>
      <c r="AE134" s="8"/>
      <c r="AF134" s="8"/>
      <c r="AG134" s="8"/>
      <c r="AH134" s="8"/>
      <c r="AI134" s="8"/>
      <c r="AJ134" s="8"/>
      <c r="AK134" s="8"/>
      <c r="AL134" s="8"/>
      <c r="AM134" s="8"/>
      <c r="AN134" s="8"/>
      <c r="AO134" s="8"/>
      <c r="AP134" s="8"/>
      <c r="AQ134" s="8"/>
    </row>
    <row r="135" spans="2:43" ht="15.95" hidden="1" customHeight="1">
      <c r="B135" s="929"/>
      <c r="C135" s="8"/>
      <c r="D135" s="8"/>
      <c r="E135" s="8"/>
      <c r="F135" s="8"/>
      <c r="G135" s="8"/>
      <c r="H135" s="8"/>
      <c r="I135" s="8"/>
      <c r="J135" s="8"/>
      <c r="K135" s="8"/>
      <c r="L135" s="8"/>
      <c r="M135" s="8"/>
      <c r="N135" s="8"/>
      <c r="O135" s="8"/>
      <c r="P135" s="8"/>
      <c r="Q135" s="8"/>
      <c r="R135" s="8"/>
      <c r="S135" s="8"/>
      <c r="T135" s="8"/>
      <c r="U135" s="8"/>
      <c r="V135" s="8"/>
      <c r="W135" s="8"/>
      <c r="X135" s="8"/>
      <c r="Y135" s="8"/>
      <c r="Z135" s="8"/>
      <c r="AA135" s="8"/>
      <c r="AB135" s="8"/>
      <c r="AC135" s="8"/>
      <c r="AD135" s="8"/>
      <c r="AE135" s="8"/>
      <c r="AF135" s="8"/>
      <c r="AG135" s="8"/>
      <c r="AH135" s="8"/>
      <c r="AI135" s="8"/>
      <c r="AJ135" s="8"/>
      <c r="AK135" s="8"/>
      <c r="AL135" s="8"/>
      <c r="AM135" s="8"/>
      <c r="AN135" s="8"/>
      <c r="AO135" s="8"/>
      <c r="AP135" s="8"/>
      <c r="AQ135" s="8"/>
    </row>
    <row r="136" spans="2:43" ht="15.95" hidden="1" customHeight="1">
      <c r="B136" s="929">
        <v>61</v>
      </c>
      <c r="C136" s="8"/>
      <c r="D136" s="8"/>
      <c r="E136" s="8"/>
      <c r="F136" s="8"/>
      <c r="G136" s="8"/>
      <c r="H136" s="8"/>
      <c r="I136" s="8"/>
      <c r="J136" s="8"/>
      <c r="K136" s="8"/>
      <c r="L136" s="8"/>
      <c r="M136" s="8"/>
      <c r="N136" s="8"/>
      <c r="O136" s="8"/>
      <c r="P136" s="8"/>
      <c r="Q136" s="8"/>
      <c r="R136" s="8"/>
      <c r="S136" s="8"/>
      <c r="T136" s="8"/>
      <c r="U136" s="8"/>
      <c r="V136" s="8"/>
      <c r="W136" s="8"/>
      <c r="X136" s="8"/>
      <c r="Y136" s="8"/>
      <c r="Z136" s="8"/>
      <c r="AA136" s="8"/>
      <c r="AB136" s="8"/>
      <c r="AC136" s="8"/>
      <c r="AD136" s="8"/>
      <c r="AE136" s="8"/>
      <c r="AF136" s="8"/>
      <c r="AG136" s="8"/>
      <c r="AH136" s="8"/>
      <c r="AI136" s="8"/>
      <c r="AJ136" s="8"/>
      <c r="AK136" s="8"/>
      <c r="AL136" s="8"/>
      <c r="AM136" s="8"/>
      <c r="AN136" s="8"/>
      <c r="AO136" s="8"/>
      <c r="AP136" s="8"/>
      <c r="AQ136" s="8"/>
    </row>
    <row r="137" spans="2:43" ht="15.95" hidden="1" customHeight="1">
      <c r="B137" s="929"/>
      <c r="C137" s="8"/>
      <c r="D137" s="8"/>
      <c r="E137" s="8"/>
      <c r="F137" s="8"/>
      <c r="G137" s="8"/>
      <c r="H137" s="8"/>
      <c r="I137" s="8"/>
      <c r="J137" s="8"/>
      <c r="K137" s="8"/>
      <c r="L137" s="8"/>
      <c r="M137" s="8"/>
      <c r="N137" s="8"/>
      <c r="O137" s="8"/>
      <c r="P137" s="8"/>
      <c r="Q137" s="8"/>
      <c r="R137" s="8"/>
      <c r="S137" s="8"/>
      <c r="T137" s="8"/>
      <c r="U137" s="8"/>
      <c r="V137" s="8"/>
      <c r="W137" s="8"/>
      <c r="X137" s="8"/>
      <c r="Y137" s="8"/>
      <c r="Z137" s="8"/>
      <c r="AA137" s="8"/>
      <c r="AB137" s="8"/>
      <c r="AC137" s="8"/>
      <c r="AD137" s="8"/>
      <c r="AE137" s="8"/>
      <c r="AF137" s="8"/>
      <c r="AG137" s="8"/>
      <c r="AH137" s="8"/>
      <c r="AI137" s="8"/>
      <c r="AJ137" s="8"/>
      <c r="AK137" s="8"/>
      <c r="AL137" s="8"/>
      <c r="AM137" s="8"/>
      <c r="AN137" s="8"/>
      <c r="AO137" s="8"/>
      <c r="AP137" s="8"/>
      <c r="AQ137" s="8"/>
    </row>
    <row r="138" spans="2:43" ht="15.95" hidden="1" customHeight="1">
      <c r="B138" s="929">
        <v>62</v>
      </c>
      <c r="C138" s="8"/>
      <c r="D138" s="8"/>
      <c r="E138" s="8"/>
      <c r="F138" s="8"/>
      <c r="G138" s="8"/>
      <c r="H138" s="8"/>
      <c r="I138" s="8"/>
      <c r="J138" s="8"/>
      <c r="K138" s="8"/>
      <c r="L138" s="8"/>
      <c r="M138" s="8"/>
      <c r="N138" s="8"/>
      <c r="O138" s="8"/>
      <c r="P138" s="8"/>
      <c r="Q138" s="8"/>
      <c r="R138" s="8"/>
      <c r="S138" s="8"/>
      <c r="T138" s="8"/>
      <c r="U138" s="8"/>
      <c r="V138" s="8"/>
      <c r="W138" s="8"/>
      <c r="X138" s="8"/>
      <c r="Y138" s="8"/>
      <c r="Z138" s="8"/>
      <c r="AA138" s="8"/>
      <c r="AB138" s="8"/>
      <c r="AC138" s="8"/>
      <c r="AD138" s="8"/>
      <c r="AE138" s="8"/>
      <c r="AF138" s="8"/>
      <c r="AG138" s="8"/>
      <c r="AH138" s="8"/>
      <c r="AI138" s="8"/>
      <c r="AJ138" s="8"/>
      <c r="AK138" s="8"/>
      <c r="AL138" s="8"/>
      <c r="AM138" s="8"/>
      <c r="AN138" s="8"/>
      <c r="AO138" s="8"/>
      <c r="AP138" s="8"/>
      <c r="AQ138" s="8"/>
    </row>
    <row r="139" spans="2:43" ht="15.95" hidden="1" customHeight="1">
      <c r="B139" s="929"/>
      <c r="C139" s="8"/>
      <c r="D139" s="8"/>
      <c r="E139" s="8"/>
      <c r="F139" s="8"/>
      <c r="G139" s="8"/>
      <c r="H139" s="8"/>
      <c r="I139" s="8"/>
      <c r="J139" s="8"/>
      <c r="K139" s="8"/>
      <c r="L139" s="8"/>
      <c r="M139" s="8"/>
      <c r="N139" s="8"/>
      <c r="O139" s="8"/>
      <c r="P139" s="8"/>
      <c r="Q139" s="8"/>
      <c r="R139" s="8"/>
      <c r="S139" s="8"/>
      <c r="T139" s="8"/>
      <c r="U139" s="8"/>
      <c r="V139" s="8"/>
      <c r="W139" s="8"/>
      <c r="X139" s="8"/>
      <c r="Y139" s="8"/>
      <c r="Z139" s="8"/>
      <c r="AA139" s="8"/>
      <c r="AB139" s="8"/>
      <c r="AC139" s="8"/>
      <c r="AD139" s="8"/>
      <c r="AE139" s="8"/>
      <c r="AF139" s="8"/>
      <c r="AG139" s="8"/>
      <c r="AH139" s="8"/>
      <c r="AI139" s="8"/>
      <c r="AJ139" s="8"/>
      <c r="AK139" s="8"/>
      <c r="AL139" s="8"/>
      <c r="AM139" s="8"/>
      <c r="AN139" s="8"/>
      <c r="AO139" s="8"/>
      <c r="AP139" s="8"/>
      <c r="AQ139" s="8"/>
    </row>
    <row r="140" spans="2:43" ht="15.95" hidden="1" customHeight="1">
      <c r="B140" s="929">
        <v>63</v>
      </c>
      <c r="C140" s="8"/>
      <c r="D140" s="8"/>
      <c r="E140" s="8"/>
      <c r="F140" s="8"/>
      <c r="G140" s="8"/>
      <c r="H140" s="8"/>
      <c r="I140" s="8"/>
      <c r="J140" s="8"/>
      <c r="K140" s="8"/>
      <c r="L140" s="8"/>
      <c r="M140" s="8"/>
      <c r="N140" s="8"/>
      <c r="O140" s="8"/>
      <c r="P140" s="8"/>
      <c r="Q140" s="8"/>
      <c r="R140" s="8"/>
      <c r="S140" s="8"/>
      <c r="T140" s="8"/>
      <c r="U140" s="8"/>
      <c r="V140" s="8"/>
      <c r="W140" s="8"/>
      <c r="X140" s="8"/>
      <c r="Y140" s="8"/>
      <c r="Z140" s="8"/>
      <c r="AA140" s="8"/>
      <c r="AB140" s="8"/>
      <c r="AC140" s="8"/>
      <c r="AD140" s="8"/>
      <c r="AE140" s="8"/>
      <c r="AF140" s="8"/>
      <c r="AG140" s="8"/>
      <c r="AH140" s="8"/>
      <c r="AI140" s="8"/>
      <c r="AJ140" s="8"/>
      <c r="AK140" s="8"/>
      <c r="AL140" s="8"/>
      <c r="AM140" s="8"/>
      <c r="AN140" s="8"/>
      <c r="AO140" s="8"/>
      <c r="AP140" s="8"/>
      <c r="AQ140" s="8"/>
    </row>
    <row r="141" spans="2:43" ht="15.95" hidden="1" customHeight="1">
      <c r="B141" s="929"/>
      <c r="C141" s="8"/>
      <c r="D141" s="8"/>
      <c r="E141" s="8"/>
      <c r="F141" s="8"/>
      <c r="G141" s="8"/>
      <c r="H141" s="8"/>
      <c r="I141" s="8"/>
      <c r="J141" s="8"/>
      <c r="K141" s="8"/>
      <c r="L141" s="8"/>
      <c r="M141" s="8"/>
      <c r="N141" s="8"/>
      <c r="O141" s="8"/>
      <c r="P141" s="8"/>
      <c r="Q141" s="8"/>
      <c r="R141" s="8"/>
      <c r="S141" s="8"/>
      <c r="T141" s="8"/>
      <c r="U141" s="8"/>
      <c r="V141" s="8"/>
      <c r="W141" s="8"/>
      <c r="X141" s="8"/>
      <c r="Y141" s="8"/>
      <c r="Z141" s="8"/>
      <c r="AA141" s="8"/>
      <c r="AB141" s="8"/>
      <c r="AC141" s="8"/>
      <c r="AD141" s="8"/>
      <c r="AE141" s="8"/>
      <c r="AF141" s="8"/>
      <c r="AG141" s="8"/>
      <c r="AH141" s="8"/>
      <c r="AI141" s="8"/>
      <c r="AJ141" s="8"/>
      <c r="AK141" s="8"/>
      <c r="AL141" s="8"/>
      <c r="AM141" s="8"/>
      <c r="AN141" s="8"/>
      <c r="AO141" s="8"/>
      <c r="AP141" s="8"/>
      <c r="AQ141" s="8"/>
    </row>
    <row r="142" spans="2:43" ht="15.95" hidden="1" customHeight="1">
      <c r="B142" s="929">
        <v>64</v>
      </c>
      <c r="C142" s="8"/>
      <c r="D142" s="8"/>
      <c r="E142" s="8"/>
      <c r="F142" s="8"/>
      <c r="G142" s="8"/>
      <c r="H142" s="8"/>
      <c r="I142" s="8"/>
      <c r="J142" s="8"/>
      <c r="K142" s="8"/>
      <c r="L142" s="8"/>
      <c r="M142" s="8"/>
      <c r="N142" s="8"/>
      <c r="O142" s="8"/>
      <c r="P142" s="8"/>
      <c r="Q142" s="8"/>
      <c r="R142" s="8"/>
      <c r="S142" s="8"/>
      <c r="T142" s="8"/>
      <c r="U142" s="8"/>
      <c r="V142" s="8"/>
      <c r="W142" s="8"/>
      <c r="X142" s="8"/>
      <c r="Y142" s="8"/>
      <c r="Z142" s="8"/>
      <c r="AA142" s="8"/>
      <c r="AB142" s="8"/>
      <c r="AC142" s="8"/>
      <c r="AD142" s="8"/>
      <c r="AE142" s="8"/>
      <c r="AF142" s="8"/>
      <c r="AG142" s="8"/>
      <c r="AH142" s="8"/>
      <c r="AI142" s="8"/>
      <c r="AJ142" s="8"/>
      <c r="AK142" s="8"/>
      <c r="AL142" s="8"/>
      <c r="AM142" s="8"/>
      <c r="AN142" s="8"/>
      <c r="AO142" s="8"/>
      <c r="AP142" s="8"/>
      <c r="AQ142" s="8"/>
    </row>
    <row r="143" spans="2:43" ht="15.95" hidden="1" customHeight="1">
      <c r="B143" s="929"/>
      <c r="C143" s="8"/>
      <c r="D143" s="8"/>
      <c r="E143" s="8"/>
      <c r="F143" s="8"/>
      <c r="G143" s="8"/>
      <c r="H143" s="8"/>
      <c r="I143" s="8"/>
      <c r="J143" s="8"/>
      <c r="K143" s="8"/>
      <c r="L143" s="8"/>
      <c r="M143" s="8"/>
      <c r="N143" s="8"/>
      <c r="O143" s="8"/>
      <c r="P143" s="8"/>
      <c r="Q143" s="8"/>
      <c r="R143" s="8"/>
      <c r="S143" s="8"/>
      <c r="T143" s="8"/>
      <c r="U143" s="8"/>
      <c r="V143" s="8"/>
      <c r="W143" s="8"/>
      <c r="X143" s="8"/>
      <c r="Y143" s="8"/>
      <c r="Z143" s="8"/>
      <c r="AA143" s="8"/>
      <c r="AB143" s="8"/>
      <c r="AC143" s="8"/>
      <c r="AD143" s="8"/>
      <c r="AE143" s="8"/>
      <c r="AF143" s="8"/>
      <c r="AG143" s="8"/>
      <c r="AH143" s="8"/>
      <c r="AI143" s="8"/>
      <c r="AJ143" s="8"/>
      <c r="AK143" s="8"/>
      <c r="AL143" s="8"/>
      <c r="AM143" s="8"/>
      <c r="AN143" s="8"/>
      <c r="AO143" s="8"/>
      <c r="AP143" s="8"/>
      <c r="AQ143" s="8"/>
    </row>
    <row r="144" spans="2:43" ht="15.95" hidden="1" customHeight="1">
      <c r="B144" s="929">
        <v>65</v>
      </c>
      <c r="C144" s="8"/>
      <c r="D144" s="8"/>
      <c r="E144" s="8"/>
      <c r="F144" s="8"/>
      <c r="G144" s="8"/>
      <c r="H144" s="8"/>
      <c r="I144" s="8"/>
      <c r="J144" s="8"/>
      <c r="K144" s="8"/>
      <c r="L144" s="8"/>
      <c r="M144" s="8"/>
      <c r="N144" s="8"/>
      <c r="O144" s="8"/>
      <c r="P144" s="8"/>
      <c r="Q144" s="8"/>
      <c r="R144" s="8"/>
      <c r="S144" s="8"/>
      <c r="T144" s="8"/>
      <c r="U144" s="8"/>
      <c r="V144" s="8"/>
      <c r="W144" s="8"/>
      <c r="X144" s="8"/>
      <c r="Y144" s="8"/>
      <c r="Z144" s="8"/>
      <c r="AA144" s="8"/>
      <c r="AB144" s="8"/>
      <c r="AC144" s="8"/>
      <c r="AD144" s="8"/>
      <c r="AE144" s="8"/>
      <c r="AF144" s="8"/>
      <c r="AG144" s="8"/>
      <c r="AH144" s="8"/>
      <c r="AI144" s="8"/>
      <c r="AJ144" s="8"/>
      <c r="AK144" s="8"/>
      <c r="AL144" s="8"/>
      <c r="AM144" s="8"/>
      <c r="AN144" s="8"/>
      <c r="AO144" s="8"/>
      <c r="AP144" s="8"/>
      <c r="AQ144" s="8"/>
    </row>
    <row r="145" spans="2:43" ht="15.95" hidden="1" customHeight="1">
      <c r="B145" s="929"/>
      <c r="C145" s="8"/>
      <c r="D145" s="8"/>
      <c r="E145" s="8"/>
      <c r="F145" s="8"/>
      <c r="G145" s="8"/>
      <c r="H145" s="8"/>
      <c r="I145" s="8"/>
      <c r="J145" s="8"/>
      <c r="K145" s="8"/>
      <c r="L145" s="8"/>
      <c r="M145" s="8"/>
      <c r="N145" s="8"/>
      <c r="O145" s="8"/>
      <c r="P145" s="8"/>
      <c r="Q145" s="8"/>
      <c r="R145" s="8"/>
      <c r="S145" s="8"/>
      <c r="T145" s="8"/>
      <c r="U145" s="8"/>
      <c r="V145" s="8"/>
      <c r="W145" s="8"/>
      <c r="X145" s="8"/>
      <c r="Y145" s="8"/>
      <c r="Z145" s="8"/>
      <c r="AA145" s="8"/>
      <c r="AB145" s="8"/>
      <c r="AC145" s="8"/>
      <c r="AD145" s="8"/>
      <c r="AE145" s="8"/>
      <c r="AF145" s="8"/>
      <c r="AG145" s="8"/>
      <c r="AH145" s="8"/>
      <c r="AI145" s="8"/>
      <c r="AJ145" s="8"/>
      <c r="AK145" s="8"/>
      <c r="AL145" s="8"/>
      <c r="AM145" s="8"/>
      <c r="AN145" s="8"/>
      <c r="AO145" s="8"/>
      <c r="AP145" s="8"/>
      <c r="AQ145" s="8"/>
    </row>
    <row r="146" spans="2:43" ht="15.95" hidden="1" customHeight="1">
      <c r="B146" s="929">
        <v>66</v>
      </c>
      <c r="C146" s="8"/>
      <c r="D146" s="8"/>
      <c r="E146" s="8"/>
      <c r="F146" s="8"/>
      <c r="G146" s="8"/>
      <c r="H146" s="8"/>
      <c r="I146" s="8"/>
      <c r="J146" s="8"/>
      <c r="K146" s="8"/>
      <c r="L146" s="8"/>
      <c r="M146" s="8"/>
      <c r="N146" s="8"/>
      <c r="O146" s="8"/>
      <c r="P146" s="8"/>
      <c r="Q146" s="8"/>
      <c r="R146" s="8"/>
      <c r="S146" s="8"/>
      <c r="T146" s="8"/>
      <c r="U146" s="8"/>
      <c r="V146" s="8"/>
      <c r="W146" s="8"/>
      <c r="X146" s="8"/>
      <c r="Y146" s="8"/>
      <c r="Z146" s="8"/>
      <c r="AA146" s="8"/>
      <c r="AB146" s="8"/>
      <c r="AC146" s="8"/>
      <c r="AD146" s="8"/>
      <c r="AE146" s="8"/>
      <c r="AF146" s="8"/>
      <c r="AG146" s="8"/>
      <c r="AH146" s="8"/>
      <c r="AI146" s="8"/>
      <c r="AJ146" s="8"/>
      <c r="AK146" s="8"/>
      <c r="AL146" s="8"/>
      <c r="AM146" s="8"/>
      <c r="AN146" s="8"/>
      <c r="AO146" s="8"/>
      <c r="AP146" s="8"/>
      <c r="AQ146" s="8"/>
    </row>
    <row r="147" spans="2:43" ht="15.95" hidden="1" customHeight="1">
      <c r="B147" s="929"/>
      <c r="C147" s="8"/>
      <c r="D147" s="8"/>
      <c r="E147" s="8"/>
      <c r="F147" s="8"/>
      <c r="G147" s="8"/>
      <c r="H147" s="8"/>
      <c r="I147" s="8"/>
      <c r="J147" s="8"/>
      <c r="K147" s="8"/>
      <c r="L147" s="8"/>
      <c r="M147" s="8"/>
      <c r="N147" s="8"/>
      <c r="O147" s="8"/>
      <c r="P147" s="8"/>
      <c r="Q147" s="8"/>
      <c r="R147" s="8"/>
      <c r="S147" s="8"/>
      <c r="T147" s="8"/>
      <c r="U147" s="8"/>
      <c r="V147" s="8"/>
      <c r="W147" s="8"/>
      <c r="X147" s="8"/>
      <c r="Y147" s="8"/>
      <c r="Z147" s="8"/>
      <c r="AA147" s="8"/>
      <c r="AB147" s="8"/>
      <c r="AC147" s="8"/>
      <c r="AD147" s="8"/>
      <c r="AE147" s="8"/>
      <c r="AF147" s="8"/>
      <c r="AG147" s="8"/>
      <c r="AH147" s="8"/>
      <c r="AI147" s="8"/>
      <c r="AJ147" s="8"/>
      <c r="AK147" s="8"/>
      <c r="AL147" s="8"/>
      <c r="AM147" s="8"/>
      <c r="AN147" s="8"/>
      <c r="AO147" s="8"/>
      <c r="AP147" s="8"/>
      <c r="AQ147" s="8"/>
    </row>
    <row r="148" spans="2:43" ht="15.95" hidden="1" customHeight="1">
      <c r="B148" s="929">
        <v>67</v>
      </c>
      <c r="C148" s="8"/>
      <c r="D148" s="8"/>
      <c r="E148" s="8"/>
      <c r="F148" s="8"/>
      <c r="G148" s="8"/>
      <c r="H148" s="8"/>
      <c r="I148" s="8"/>
      <c r="J148" s="8"/>
      <c r="K148" s="8"/>
      <c r="L148" s="8"/>
      <c r="M148" s="8"/>
      <c r="N148" s="8"/>
      <c r="O148" s="8"/>
      <c r="P148" s="8"/>
      <c r="Q148" s="8"/>
      <c r="R148" s="8"/>
      <c r="S148" s="8"/>
      <c r="T148" s="8"/>
      <c r="U148" s="8"/>
      <c r="V148" s="8"/>
      <c r="W148" s="8"/>
      <c r="X148" s="8"/>
      <c r="Y148" s="8"/>
      <c r="Z148" s="8"/>
      <c r="AA148" s="8"/>
      <c r="AB148" s="8"/>
      <c r="AC148" s="8"/>
      <c r="AD148" s="8"/>
      <c r="AE148" s="8"/>
      <c r="AF148" s="8"/>
      <c r="AG148" s="8"/>
      <c r="AH148" s="8"/>
      <c r="AI148" s="8"/>
      <c r="AJ148" s="8"/>
      <c r="AK148" s="8"/>
      <c r="AL148" s="8"/>
      <c r="AM148" s="8"/>
      <c r="AN148" s="8"/>
      <c r="AO148" s="8"/>
      <c r="AP148" s="8"/>
      <c r="AQ148" s="8"/>
    </row>
    <row r="149" spans="2:43" ht="15.95" hidden="1" customHeight="1">
      <c r="B149" s="929"/>
      <c r="C149" s="8"/>
      <c r="D149" s="8"/>
      <c r="E149" s="8"/>
      <c r="F149" s="8"/>
      <c r="G149" s="8"/>
      <c r="H149" s="8"/>
      <c r="I149" s="8"/>
      <c r="J149" s="8"/>
      <c r="K149" s="8"/>
      <c r="L149" s="8"/>
      <c r="M149" s="8"/>
      <c r="N149" s="8"/>
      <c r="O149" s="8"/>
      <c r="P149" s="8"/>
      <c r="Q149" s="8"/>
      <c r="R149" s="8"/>
      <c r="S149" s="8"/>
      <c r="T149" s="8"/>
      <c r="U149" s="8"/>
      <c r="V149" s="8"/>
      <c r="W149" s="8"/>
      <c r="X149" s="8"/>
      <c r="Y149" s="8"/>
      <c r="Z149" s="8"/>
      <c r="AA149" s="8"/>
      <c r="AB149" s="8"/>
      <c r="AC149" s="8"/>
      <c r="AD149" s="8"/>
      <c r="AE149" s="8"/>
      <c r="AF149" s="8"/>
      <c r="AG149" s="8"/>
      <c r="AH149" s="8"/>
      <c r="AI149" s="8"/>
      <c r="AJ149" s="8"/>
      <c r="AK149" s="8"/>
      <c r="AL149" s="8"/>
      <c r="AM149" s="8"/>
      <c r="AN149" s="8"/>
      <c r="AO149" s="8"/>
      <c r="AP149" s="8"/>
      <c r="AQ149" s="8"/>
    </row>
    <row r="150" spans="2:43" ht="15.95" hidden="1" customHeight="1">
      <c r="B150" s="929">
        <v>68</v>
      </c>
      <c r="C150" s="8"/>
      <c r="D150" s="8"/>
      <c r="E150" s="8"/>
      <c r="F150" s="8"/>
      <c r="G150" s="8"/>
      <c r="H150" s="8"/>
      <c r="I150" s="8"/>
      <c r="J150" s="8"/>
      <c r="K150" s="8"/>
      <c r="L150" s="8"/>
      <c r="M150" s="8"/>
      <c r="N150" s="8"/>
      <c r="O150" s="8"/>
      <c r="P150" s="8"/>
      <c r="Q150" s="8"/>
      <c r="R150" s="8"/>
      <c r="S150" s="8"/>
      <c r="T150" s="8"/>
      <c r="U150" s="8"/>
      <c r="V150" s="8"/>
      <c r="W150" s="8"/>
      <c r="X150" s="8"/>
      <c r="Y150" s="8"/>
      <c r="Z150" s="8"/>
      <c r="AA150" s="8"/>
      <c r="AB150" s="8"/>
      <c r="AC150" s="8"/>
      <c r="AD150" s="8"/>
      <c r="AE150" s="8"/>
      <c r="AF150" s="8"/>
      <c r="AG150" s="8"/>
      <c r="AH150" s="8"/>
      <c r="AI150" s="8"/>
      <c r="AJ150" s="8"/>
      <c r="AK150" s="8"/>
      <c r="AL150" s="8"/>
      <c r="AM150" s="8"/>
      <c r="AN150" s="8"/>
      <c r="AO150" s="8"/>
      <c r="AP150" s="8"/>
      <c r="AQ150" s="8"/>
    </row>
    <row r="151" spans="2:43" ht="15.95" hidden="1" customHeight="1">
      <c r="B151" s="929"/>
      <c r="C151" s="8"/>
      <c r="D151" s="8"/>
      <c r="E151" s="8"/>
      <c r="F151" s="8"/>
      <c r="G151" s="8"/>
      <c r="H151" s="8"/>
      <c r="I151" s="8"/>
      <c r="J151" s="8"/>
      <c r="K151" s="8"/>
      <c r="L151" s="8"/>
      <c r="M151" s="8"/>
      <c r="N151" s="8"/>
      <c r="O151" s="8"/>
      <c r="P151" s="8"/>
      <c r="Q151" s="8"/>
      <c r="R151" s="8"/>
      <c r="S151" s="8"/>
      <c r="T151" s="8"/>
      <c r="U151" s="8"/>
      <c r="V151" s="8"/>
      <c r="W151" s="8"/>
      <c r="X151" s="8"/>
      <c r="Y151" s="8"/>
      <c r="Z151" s="8"/>
      <c r="AA151" s="8"/>
      <c r="AB151" s="8"/>
      <c r="AC151" s="8"/>
      <c r="AD151" s="8"/>
      <c r="AE151" s="8"/>
      <c r="AF151" s="8"/>
      <c r="AG151" s="8"/>
      <c r="AH151" s="8"/>
      <c r="AI151" s="8"/>
      <c r="AJ151" s="8"/>
      <c r="AK151" s="8"/>
      <c r="AL151" s="8"/>
      <c r="AM151" s="8"/>
      <c r="AN151" s="8"/>
      <c r="AO151" s="8"/>
      <c r="AP151" s="8"/>
      <c r="AQ151" s="8"/>
    </row>
    <row r="152" spans="2:43" ht="15.95" hidden="1" customHeight="1">
      <c r="B152" s="929">
        <v>69</v>
      </c>
      <c r="C152" s="8"/>
      <c r="D152" s="8"/>
      <c r="E152" s="8"/>
      <c r="F152" s="8"/>
      <c r="G152" s="8"/>
      <c r="H152" s="8"/>
      <c r="I152" s="8"/>
      <c r="J152" s="8"/>
      <c r="K152" s="8"/>
      <c r="L152" s="8"/>
      <c r="M152" s="8"/>
      <c r="N152" s="8"/>
      <c r="O152" s="8"/>
      <c r="P152" s="8"/>
      <c r="Q152" s="8"/>
      <c r="R152" s="8"/>
      <c r="S152" s="8"/>
      <c r="T152" s="8"/>
      <c r="U152" s="8"/>
      <c r="V152" s="8"/>
      <c r="W152" s="8"/>
      <c r="X152" s="8"/>
      <c r="Y152" s="8"/>
      <c r="Z152" s="8"/>
      <c r="AA152" s="8"/>
      <c r="AB152" s="8"/>
      <c r="AC152" s="8"/>
      <c r="AD152" s="8"/>
      <c r="AE152" s="8"/>
      <c r="AF152" s="8"/>
      <c r="AG152" s="8"/>
      <c r="AH152" s="8"/>
      <c r="AI152" s="8"/>
      <c r="AJ152" s="8"/>
      <c r="AK152" s="8"/>
      <c r="AL152" s="8"/>
      <c r="AM152" s="8"/>
      <c r="AN152" s="8"/>
      <c r="AO152" s="8"/>
      <c r="AP152" s="8"/>
      <c r="AQ152" s="8"/>
    </row>
    <row r="153" spans="2:43" ht="15.95" hidden="1" customHeight="1">
      <c r="B153" s="929"/>
      <c r="C153" s="8"/>
      <c r="D153" s="8"/>
      <c r="E153" s="8"/>
      <c r="F153" s="8"/>
      <c r="G153" s="8"/>
      <c r="H153" s="8"/>
      <c r="I153" s="8"/>
      <c r="J153" s="8"/>
      <c r="K153" s="8"/>
      <c r="L153" s="8"/>
      <c r="M153" s="8"/>
      <c r="N153" s="8"/>
      <c r="O153" s="8"/>
      <c r="P153" s="8"/>
      <c r="Q153" s="8"/>
      <c r="R153" s="8"/>
      <c r="S153" s="8"/>
      <c r="T153" s="8"/>
      <c r="U153" s="8"/>
      <c r="V153" s="8"/>
      <c r="W153" s="8"/>
      <c r="X153" s="8"/>
      <c r="Y153" s="8"/>
      <c r="Z153" s="8"/>
      <c r="AA153" s="8"/>
      <c r="AB153" s="8"/>
      <c r="AC153" s="8"/>
      <c r="AD153" s="8"/>
      <c r="AE153" s="8"/>
      <c r="AF153" s="8"/>
      <c r="AG153" s="8"/>
      <c r="AH153" s="8"/>
      <c r="AI153" s="8"/>
      <c r="AJ153" s="8"/>
      <c r="AK153" s="8"/>
      <c r="AL153" s="8"/>
      <c r="AM153" s="8"/>
      <c r="AN153" s="8"/>
      <c r="AO153" s="8"/>
      <c r="AP153" s="8"/>
      <c r="AQ153" s="8"/>
    </row>
    <row r="154" spans="2:43" ht="15.95" hidden="1" customHeight="1">
      <c r="B154" s="929">
        <v>70</v>
      </c>
      <c r="C154" s="8"/>
      <c r="D154" s="8"/>
      <c r="E154" s="8"/>
      <c r="F154" s="8"/>
      <c r="G154" s="8"/>
      <c r="H154" s="8"/>
      <c r="I154" s="8"/>
      <c r="J154" s="8"/>
      <c r="K154" s="8"/>
      <c r="L154" s="8"/>
      <c r="M154" s="8"/>
      <c r="N154" s="8"/>
      <c r="O154" s="8"/>
      <c r="P154" s="8"/>
      <c r="Q154" s="8"/>
      <c r="R154" s="8"/>
      <c r="S154" s="8"/>
      <c r="T154" s="8"/>
      <c r="U154" s="8"/>
      <c r="V154" s="8"/>
      <c r="W154" s="8"/>
      <c r="X154" s="8"/>
      <c r="Y154" s="8"/>
      <c r="Z154" s="8"/>
      <c r="AA154" s="8"/>
      <c r="AB154" s="8"/>
      <c r="AC154" s="8"/>
      <c r="AD154" s="8"/>
      <c r="AE154" s="8"/>
      <c r="AF154" s="8"/>
      <c r="AG154" s="8"/>
      <c r="AH154" s="8"/>
      <c r="AI154" s="8"/>
      <c r="AJ154" s="8"/>
      <c r="AK154" s="8"/>
      <c r="AL154" s="8"/>
      <c r="AM154" s="8"/>
      <c r="AN154" s="8"/>
      <c r="AO154" s="8"/>
      <c r="AP154" s="8"/>
      <c r="AQ154" s="8"/>
    </row>
    <row r="155" spans="2:43" ht="15.95" hidden="1" customHeight="1">
      <c r="B155" s="929"/>
      <c r="C155" s="8"/>
      <c r="D155" s="8"/>
      <c r="E155" s="8"/>
      <c r="F155" s="8"/>
      <c r="G155" s="8"/>
      <c r="H155" s="8"/>
      <c r="I155" s="8"/>
      <c r="J155" s="8"/>
      <c r="K155" s="8"/>
      <c r="L155" s="8"/>
      <c r="M155" s="8"/>
      <c r="N155" s="8"/>
      <c r="O155" s="8"/>
      <c r="P155" s="8"/>
      <c r="Q155" s="8"/>
      <c r="R155" s="8"/>
      <c r="S155" s="8"/>
      <c r="T155" s="8"/>
      <c r="U155" s="8"/>
      <c r="V155" s="8"/>
      <c r="W155" s="8"/>
      <c r="X155" s="8"/>
      <c r="Y155" s="8"/>
      <c r="Z155" s="8"/>
      <c r="AA155" s="8"/>
      <c r="AB155" s="8"/>
      <c r="AC155" s="8"/>
      <c r="AD155" s="8"/>
      <c r="AE155" s="8"/>
      <c r="AF155" s="8"/>
      <c r="AG155" s="8"/>
      <c r="AH155" s="8"/>
      <c r="AI155" s="8"/>
      <c r="AJ155" s="8"/>
      <c r="AK155" s="8"/>
      <c r="AL155" s="8"/>
      <c r="AM155" s="8"/>
      <c r="AN155" s="8"/>
      <c r="AO155" s="8"/>
      <c r="AP155" s="8"/>
      <c r="AQ155" s="8"/>
    </row>
    <row r="156" spans="2:43" ht="15.95" hidden="1" customHeight="1">
      <c r="B156" s="929">
        <v>71</v>
      </c>
      <c r="C156" s="8"/>
      <c r="D156" s="8"/>
      <c r="E156" s="8"/>
      <c r="F156" s="8"/>
      <c r="G156" s="8"/>
      <c r="H156" s="8"/>
      <c r="I156" s="8"/>
      <c r="J156" s="8"/>
      <c r="K156" s="8"/>
      <c r="L156" s="8"/>
      <c r="M156" s="8"/>
      <c r="N156" s="8"/>
      <c r="O156" s="8"/>
      <c r="P156" s="8"/>
      <c r="Q156" s="8"/>
      <c r="R156" s="8"/>
      <c r="S156" s="8"/>
      <c r="T156" s="8"/>
      <c r="U156" s="8"/>
      <c r="V156" s="8"/>
      <c r="W156" s="8"/>
      <c r="X156" s="8"/>
      <c r="Y156" s="8"/>
      <c r="Z156" s="8"/>
      <c r="AA156" s="8"/>
      <c r="AB156" s="8"/>
      <c r="AC156" s="8"/>
      <c r="AD156" s="8"/>
      <c r="AE156" s="8"/>
      <c r="AF156" s="8"/>
      <c r="AG156" s="8"/>
      <c r="AH156" s="8"/>
      <c r="AI156" s="8"/>
      <c r="AJ156" s="8"/>
      <c r="AK156" s="8"/>
      <c r="AL156" s="8"/>
      <c r="AM156" s="8"/>
      <c r="AN156" s="8"/>
      <c r="AO156" s="8"/>
      <c r="AP156" s="8"/>
      <c r="AQ156" s="8"/>
    </row>
    <row r="157" spans="2:43" ht="15.95" hidden="1" customHeight="1">
      <c r="B157" s="929"/>
      <c r="C157" s="8"/>
      <c r="D157" s="8"/>
      <c r="E157" s="8"/>
      <c r="F157" s="8"/>
      <c r="G157" s="8"/>
      <c r="H157" s="8"/>
      <c r="I157" s="8"/>
      <c r="J157" s="8"/>
      <c r="K157" s="8"/>
      <c r="L157" s="8"/>
      <c r="M157" s="8"/>
      <c r="N157" s="8"/>
      <c r="O157" s="8"/>
      <c r="P157" s="8"/>
      <c r="Q157" s="8"/>
      <c r="R157" s="8"/>
      <c r="S157" s="8"/>
      <c r="T157" s="8"/>
      <c r="U157" s="8"/>
      <c r="V157" s="8"/>
      <c r="W157" s="8"/>
      <c r="X157" s="8"/>
      <c r="Y157" s="8"/>
      <c r="Z157" s="8"/>
      <c r="AA157" s="8"/>
      <c r="AB157" s="8"/>
      <c r="AC157" s="8"/>
      <c r="AD157" s="8"/>
      <c r="AE157" s="8"/>
      <c r="AF157" s="8"/>
      <c r="AG157" s="8"/>
      <c r="AH157" s="8"/>
      <c r="AI157" s="8"/>
      <c r="AJ157" s="8"/>
      <c r="AK157" s="8"/>
      <c r="AL157" s="8"/>
      <c r="AM157" s="8"/>
      <c r="AN157" s="8"/>
      <c r="AO157" s="8"/>
      <c r="AP157" s="8"/>
      <c r="AQ157" s="8"/>
    </row>
    <row r="158" spans="2:43" ht="15.95" hidden="1" customHeight="1">
      <c r="B158" s="929">
        <v>72</v>
      </c>
      <c r="C158" s="8"/>
      <c r="D158" s="8"/>
      <c r="E158" s="8"/>
      <c r="F158" s="8"/>
      <c r="G158" s="8"/>
      <c r="H158" s="8"/>
      <c r="I158" s="8"/>
      <c r="J158" s="8"/>
      <c r="K158" s="8"/>
      <c r="L158" s="8"/>
      <c r="M158" s="8"/>
      <c r="N158" s="8"/>
      <c r="O158" s="8"/>
      <c r="P158" s="8"/>
      <c r="Q158" s="8"/>
      <c r="R158" s="8"/>
      <c r="S158" s="8"/>
      <c r="T158" s="8"/>
      <c r="U158" s="8"/>
      <c r="V158" s="8"/>
      <c r="W158" s="8"/>
      <c r="X158" s="8"/>
      <c r="Y158" s="8"/>
      <c r="Z158" s="8"/>
      <c r="AA158" s="8"/>
      <c r="AB158" s="8"/>
      <c r="AC158" s="8"/>
      <c r="AD158" s="8"/>
      <c r="AE158" s="8"/>
      <c r="AF158" s="8"/>
      <c r="AG158" s="8"/>
      <c r="AH158" s="8"/>
      <c r="AI158" s="8"/>
      <c r="AJ158" s="8"/>
      <c r="AK158" s="8"/>
      <c r="AL158" s="8"/>
      <c r="AM158" s="8"/>
      <c r="AN158" s="8"/>
      <c r="AO158" s="8"/>
      <c r="AP158" s="8"/>
      <c r="AQ158" s="8"/>
    </row>
    <row r="159" spans="2:43" ht="15.95" hidden="1" customHeight="1">
      <c r="B159" s="929"/>
      <c r="C159" s="8"/>
      <c r="D159" s="8"/>
      <c r="E159" s="8"/>
      <c r="F159" s="8"/>
      <c r="G159" s="8"/>
      <c r="H159" s="8"/>
      <c r="I159" s="8"/>
      <c r="J159" s="8"/>
      <c r="K159" s="8"/>
      <c r="L159" s="8"/>
      <c r="M159" s="8"/>
      <c r="N159" s="8"/>
      <c r="O159" s="8"/>
      <c r="P159" s="8"/>
      <c r="Q159" s="8"/>
      <c r="R159" s="8"/>
      <c r="S159" s="8"/>
      <c r="T159" s="8"/>
      <c r="U159" s="8"/>
      <c r="V159" s="8"/>
      <c r="W159" s="8"/>
      <c r="X159" s="8"/>
      <c r="Y159" s="8"/>
      <c r="Z159" s="8"/>
      <c r="AA159" s="8"/>
      <c r="AB159" s="8"/>
      <c r="AC159" s="8"/>
      <c r="AD159" s="8"/>
      <c r="AE159" s="8"/>
      <c r="AF159" s="8"/>
      <c r="AG159" s="8"/>
      <c r="AH159" s="8"/>
      <c r="AI159" s="8"/>
      <c r="AJ159" s="8"/>
      <c r="AK159" s="8"/>
      <c r="AL159" s="8"/>
      <c r="AM159" s="8"/>
      <c r="AN159" s="8"/>
      <c r="AO159" s="8"/>
      <c r="AP159" s="8"/>
      <c r="AQ159" s="8"/>
    </row>
    <row r="160" spans="2:43" ht="15.95" hidden="1" customHeight="1">
      <c r="B160" s="929">
        <v>73</v>
      </c>
      <c r="C160" s="8"/>
      <c r="D160" s="8"/>
      <c r="E160" s="8"/>
      <c r="F160" s="8"/>
      <c r="G160" s="8"/>
      <c r="H160" s="8"/>
      <c r="I160" s="8"/>
      <c r="J160" s="8"/>
      <c r="K160" s="8"/>
      <c r="L160" s="8"/>
      <c r="M160" s="8"/>
      <c r="N160" s="8"/>
      <c r="O160" s="8"/>
      <c r="P160" s="8"/>
      <c r="Q160" s="8"/>
      <c r="R160" s="8"/>
      <c r="S160" s="8"/>
      <c r="T160" s="8"/>
      <c r="U160" s="8"/>
      <c r="V160" s="8"/>
      <c r="W160" s="8"/>
      <c r="X160" s="8"/>
      <c r="Y160" s="8"/>
      <c r="Z160" s="8"/>
      <c r="AA160" s="8"/>
      <c r="AB160" s="8"/>
      <c r="AC160" s="8"/>
      <c r="AD160" s="8"/>
      <c r="AE160" s="8"/>
      <c r="AF160" s="8"/>
      <c r="AG160" s="8"/>
      <c r="AH160" s="8"/>
      <c r="AI160" s="8"/>
      <c r="AJ160" s="8"/>
      <c r="AK160" s="8"/>
      <c r="AL160" s="8"/>
      <c r="AM160" s="8"/>
      <c r="AN160" s="8"/>
      <c r="AO160" s="8"/>
      <c r="AP160" s="8"/>
      <c r="AQ160" s="8"/>
    </row>
    <row r="161" spans="2:43" ht="15.95" hidden="1" customHeight="1">
      <c r="B161" s="929"/>
      <c r="C161" s="8"/>
      <c r="D161" s="8"/>
      <c r="E161" s="8"/>
      <c r="F161" s="8"/>
      <c r="G161" s="8"/>
      <c r="H161" s="8"/>
      <c r="I161" s="8"/>
      <c r="J161" s="8"/>
      <c r="K161" s="8"/>
      <c r="L161" s="8"/>
      <c r="M161" s="8"/>
      <c r="N161" s="8"/>
      <c r="O161" s="8"/>
      <c r="P161" s="8"/>
      <c r="Q161" s="8"/>
      <c r="R161" s="8"/>
      <c r="S161" s="8"/>
      <c r="T161" s="8"/>
      <c r="U161" s="8"/>
      <c r="V161" s="8"/>
      <c r="W161" s="8"/>
      <c r="X161" s="8"/>
      <c r="Y161" s="8"/>
      <c r="Z161" s="8"/>
      <c r="AA161" s="8"/>
      <c r="AB161" s="8"/>
      <c r="AC161" s="8"/>
      <c r="AD161" s="8"/>
      <c r="AE161" s="8"/>
      <c r="AF161" s="8"/>
      <c r="AG161" s="8"/>
      <c r="AH161" s="8"/>
      <c r="AI161" s="8"/>
      <c r="AJ161" s="8"/>
      <c r="AK161" s="8"/>
      <c r="AL161" s="8"/>
      <c r="AM161" s="8"/>
      <c r="AN161" s="8"/>
      <c r="AO161" s="8"/>
      <c r="AP161" s="8"/>
      <c r="AQ161" s="8"/>
    </row>
    <row r="162" spans="2:43" ht="15.95" hidden="1" customHeight="1">
      <c r="B162" s="929">
        <v>74</v>
      </c>
      <c r="C162" s="8"/>
      <c r="D162" s="8"/>
      <c r="E162" s="8"/>
      <c r="F162" s="8"/>
      <c r="G162" s="8"/>
      <c r="H162" s="8"/>
      <c r="I162" s="8"/>
      <c r="J162" s="8"/>
      <c r="K162" s="8"/>
      <c r="L162" s="8"/>
      <c r="M162" s="8"/>
      <c r="N162" s="8"/>
      <c r="O162" s="8"/>
      <c r="P162" s="8"/>
      <c r="Q162" s="8"/>
      <c r="R162" s="8"/>
      <c r="S162" s="8"/>
      <c r="T162" s="8"/>
      <c r="U162" s="8"/>
      <c r="V162" s="8"/>
      <c r="W162" s="8"/>
      <c r="X162" s="8"/>
      <c r="Y162" s="8"/>
      <c r="Z162" s="8"/>
      <c r="AA162" s="8"/>
      <c r="AB162" s="8"/>
      <c r="AC162" s="8"/>
      <c r="AD162" s="8"/>
      <c r="AE162" s="8"/>
      <c r="AF162" s="8"/>
      <c r="AG162" s="8"/>
      <c r="AH162" s="8"/>
      <c r="AI162" s="8"/>
      <c r="AJ162" s="8"/>
      <c r="AK162" s="8"/>
      <c r="AL162" s="8"/>
      <c r="AM162" s="8"/>
      <c r="AN162" s="8"/>
      <c r="AO162" s="8"/>
      <c r="AP162" s="8"/>
      <c r="AQ162" s="8"/>
    </row>
    <row r="163" spans="2:43" ht="15.95" hidden="1" customHeight="1">
      <c r="B163" s="929"/>
      <c r="C163" s="8"/>
      <c r="D163" s="8"/>
      <c r="E163" s="8"/>
      <c r="F163" s="8"/>
      <c r="G163" s="8"/>
      <c r="H163" s="8"/>
      <c r="I163" s="8"/>
      <c r="J163" s="8"/>
      <c r="K163" s="8"/>
      <c r="L163" s="8"/>
      <c r="M163" s="8"/>
      <c r="N163" s="8"/>
      <c r="O163" s="8"/>
      <c r="P163" s="8"/>
      <c r="Q163" s="8"/>
      <c r="R163" s="8"/>
      <c r="S163" s="8"/>
      <c r="T163" s="8"/>
      <c r="U163" s="8"/>
      <c r="V163" s="8"/>
      <c r="W163" s="8"/>
      <c r="X163" s="8"/>
      <c r="Y163" s="8"/>
      <c r="Z163" s="8"/>
      <c r="AA163" s="8"/>
      <c r="AB163" s="8"/>
      <c r="AC163" s="8"/>
      <c r="AD163" s="8"/>
      <c r="AE163" s="8"/>
      <c r="AF163" s="8"/>
      <c r="AG163" s="8"/>
      <c r="AH163" s="8"/>
      <c r="AI163" s="8"/>
      <c r="AJ163" s="8"/>
      <c r="AK163" s="8"/>
      <c r="AL163" s="8"/>
      <c r="AM163" s="8"/>
      <c r="AN163" s="8"/>
      <c r="AO163" s="8"/>
      <c r="AP163" s="8"/>
      <c r="AQ163" s="8"/>
    </row>
    <row r="164" spans="2:43" ht="15.95" hidden="1" customHeight="1">
      <c r="B164" s="929">
        <v>75</v>
      </c>
      <c r="C164" s="8"/>
      <c r="D164" s="8"/>
      <c r="E164" s="8"/>
      <c r="F164" s="8"/>
      <c r="G164" s="8"/>
      <c r="H164" s="8"/>
      <c r="I164" s="8"/>
      <c r="J164" s="8"/>
      <c r="K164" s="8"/>
      <c r="L164" s="8"/>
      <c r="M164" s="8"/>
      <c r="N164" s="8"/>
      <c r="O164" s="8"/>
      <c r="P164" s="8"/>
      <c r="Q164" s="8"/>
      <c r="R164" s="8"/>
      <c r="S164" s="8"/>
      <c r="T164" s="8"/>
      <c r="U164" s="8"/>
      <c r="V164" s="8"/>
      <c r="W164" s="8"/>
      <c r="X164" s="8"/>
      <c r="Y164" s="8"/>
      <c r="Z164" s="8"/>
      <c r="AA164" s="8"/>
      <c r="AB164" s="8"/>
      <c r="AC164" s="8"/>
      <c r="AD164" s="8"/>
      <c r="AE164" s="8"/>
      <c r="AF164" s="8"/>
      <c r="AG164" s="8"/>
      <c r="AH164" s="8"/>
      <c r="AI164" s="8"/>
      <c r="AJ164" s="8"/>
      <c r="AK164" s="8"/>
      <c r="AL164" s="8"/>
      <c r="AM164" s="8"/>
      <c r="AN164" s="8"/>
      <c r="AO164" s="8"/>
      <c r="AP164" s="8"/>
      <c r="AQ164" s="8"/>
    </row>
    <row r="165" spans="2:43" ht="15.95" hidden="1" customHeight="1">
      <c r="B165" s="929"/>
      <c r="C165" s="8"/>
      <c r="D165" s="8"/>
      <c r="E165" s="8"/>
      <c r="F165" s="8"/>
      <c r="G165" s="8"/>
      <c r="H165" s="8"/>
      <c r="I165" s="8"/>
      <c r="J165" s="8"/>
      <c r="K165" s="8"/>
      <c r="L165" s="8"/>
      <c r="M165" s="8"/>
      <c r="N165" s="8"/>
      <c r="O165" s="8"/>
      <c r="P165" s="8"/>
      <c r="Q165" s="8"/>
      <c r="R165" s="8"/>
      <c r="S165" s="8"/>
      <c r="T165" s="8"/>
      <c r="U165" s="8"/>
      <c r="V165" s="8"/>
      <c r="W165" s="8"/>
      <c r="X165" s="8"/>
      <c r="Y165" s="8"/>
      <c r="Z165" s="8"/>
      <c r="AA165" s="8"/>
      <c r="AB165" s="8"/>
      <c r="AC165" s="8"/>
      <c r="AD165" s="8"/>
      <c r="AE165" s="8"/>
      <c r="AF165" s="8"/>
      <c r="AG165" s="8"/>
      <c r="AH165" s="8"/>
      <c r="AI165" s="8"/>
      <c r="AJ165" s="8"/>
      <c r="AK165" s="8"/>
      <c r="AL165" s="8"/>
      <c r="AM165" s="8"/>
      <c r="AN165" s="8"/>
      <c r="AO165" s="8"/>
      <c r="AP165" s="8"/>
      <c r="AQ165" s="8"/>
    </row>
    <row r="166" spans="2:43" ht="15.95" hidden="1" customHeight="1">
      <c r="B166" s="929">
        <v>76</v>
      </c>
      <c r="C166" s="8"/>
      <c r="D166" s="8"/>
      <c r="E166" s="8"/>
      <c r="F166" s="8"/>
      <c r="G166" s="8"/>
      <c r="H166" s="8"/>
      <c r="I166" s="8"/>
      <c r="J166" s="8"/>
      <c r="K166" s="8"/>
      <c r="L166" s="8"/>
      <c r="M166" s="8"/>
      <c r="N166" s="8"/>
      <c r="O166" s="8"/>
      <c r="P166" s="8"/>
      <c r="Q166" s="8"/>
      <c r="R166" s="8"/>
      <c r="S166" s="8"/>
      <c r="T166" s="8"/>
      <c r="U166" s="8"/>
      <c r="V166" s="8"/>
      <c r="W166" s="8"/>
      <c r="X166" s="8"/>
      <c r="Y166" s="8"/>
      <c r="Z166" s="8"/>
      <c r="AA166" s="8"/>
      <c r="AB166" s="8"/>
      <c r="AC166" s="8"/>
      <c r="AD166" s="8"/>
      <c r="AE166" s="8"/>
      <c r="AF166" s="8"/>
      <c r="AG166" s="8"/>
      <c r="AH166" s="8"/>
      <c r="AI166" s="8"/>
      <c r="AJ166" s="8"/>
      <c r="AK166" s="8"/>
      <c r="AL166" s="8"/>
      <c r="AM166" s="8"/>
      <c r="AN166" s="8"/>
      <c r="AO166" s="8"/>
      <c r="AP166" s="8"/>
      <c r="AQ166" s="8"/>
    </row>
    <row r="167" spans="2:43" ht="15.95" hidden="1" customHeight="1">
      <c r="B167" s="929"/>
      <c r="C167" s="8"/>
      <c r="D167" s="8"/>
      <c r="E167" s="8"/>
      <c r="F167" s="8"/>
      <c r="G167" s="8"/>
      <c r="H167" s="8"/>
      <c r="I167" s="8"/>
      <c r="J167" s="8"/>
      <c r="K167" s="8"/>
      <c r="L167" s="8"/>
      <c r="M167" s="8"/>
      <c r="N167" s="8"/>
      <c r="O167" s="8"/>
      <c r="P167" s="8"/>
      <c r="Q167" s="8"/>
      <c r="R167" s="8"/>
      <c r="S167" s="8"/>
      <c r="T167" s="8"/>
      <c r="U167" s="8"/>
      <c r="V167" s="8"/>
      <c r="W167" s="8"/>
      <c r="X167" s="8"/>
      <c r="Y167" s="8"/>
      <c r="Z167" s="8"/>
      <c r="AA167" s="8"/>
      <c r="AB167" s="8"/>
      <c r="AC167" s="8"/>
      <c r="AD167" s="8"/>
      <c r="AE167" s="8"/>
      <c r="AF167" s="8"/>
      <c r="AG167" s="8"/>
      <c r="AH167" s="8"/>
      <c r="AI167" s="8"/>
      <c r="AJ167" s="8"/>
      <c r="AK167" s="8"/>
      <c r="AL167" s="8"/>
      <c r="AM167" s="8"/>
      <c r="AN167" s="8"/>
      <c r="AO167" s="8"/>
      <c r="AP167" s="8"/>
      <c r="AQ167" s="8"/>
    </row>
    <row r="168" spans="2:43" ht="15.95" hidden="1" customHeight="1">
      <c r="B168" s="929">
        <v>77</v>
      </c>
      <c r="C168" s="8"/>
      <c r="D168" s="8"/>
      <c r="E168" s="8"/>
      <c r="F168" s="8"/>
      <c r="G168" s="8"/>
      <c r="H168" s="8"/>
      <c r="I168" s="8"/>
      <c r="J168" s="8"/>
      <c r="K168" s="8"/>
      <c r="L168" s="8"/>
      <c r="M168" s="8"/>
      <c r="N168" s="8"/>
      <c r="O168" s="8"/>
      <c r="P168" s="8"/>
      <c r="Q168" s="8"/>
      <c r="R168" s="8"/>
      <c r="S168" s="8"/>
      <c r="T168" s="8"/>
      <c r="U168" s="8"/>
      <c r="V168" s="8"/>
      <c r="W168" s="8"/>
      <c r="X168" s="8"/>
      <c r="Y168" s="8"/>
      <c r="Z168" s="8"/>
      <c r="AA168" s="8"/>
      <c r="AB168" s="8"/>
      <c r="AC168" s="8"/>
      <c r="AD168" s="8"/>
      <c r="AE168" s="8"/>
      <c r="AF168" s="8"/>
      <c r="AG168" s="8"/>
      <c r="AH168" s="8"/>
      <c r="AI168" s="8"/>
      <c r="AJ168" s="8"/>
      <c r="AK168" s="8"/>
      <c r="AL168" s="8"/>
      <c r="AM168" s="8"/>
      <c r="AN168" s="8"/>
      <c r="AO168" s="8"/>
      <c r="AP168" s="8"/>
      <c r="AQ168" s="8"/>
    </row>
    <row r="169" spans="2:43" ht="15.95" hidden="1" customHeight="1">
      <c r="B169" s="929"/>
      <c r="C169" s="8"/>
      <c r="D169" s="8"/>
      <c r="E169" s="8"/>
      <c r="F169" s="8"/>
      <c r="G169" s="8"/>
      <c r="H169" s="8"/>
      <c r="I169" s="8"/>
      <c r="J169" s="8"/>
      <c r="K169" s="8"/>
      <c r="L169" s="8"/>
      <c r="M169" s="8"/>
      <c r="N169" s="8"/>
      <c r="O169" s="8"/>
      <c r="P169" s="8"/>
      <c r="Q169" s="8"/>
      <c r="R169" s="8"/>
      <c r="S169" s="8"/>
      <c r="T169" s="8"/>
      <c r="U169" s="8"/>
      <c r="V169" s="8"/>
      <c r="W169" s="8"/>
      <c r="X169" s="8"/>
      <c r="Y169" s="8"/>
      <c r="Z169" s="8"/>
      <c r="AA169" s="8"/>
      <c r="AB169" s="8"/>
      <c r="AC169" s="8"/>
      <c r="AD169" s="8"/>
      <c r="AE169" s="8"/>
      <c r="AF169" s="8"/>
      <c r="AG169" s="8"/>
      <c r="AH169" s="8"/>
      <c r="AI169" s="8"/>
      <c r="AJ169" s="8"/>
      <c r="AK169" s="8"/>
      <c r="AL169" s="8"/>
      <c r="AM169" s="8"/>
      <c r="AN169" s="8"/>
      <c r="AO169" s="8"/>
      <c r="AP169" s="8"/>
      <c r="AQ169" s="8"/>
    </row>
    <row r="170" spans="2:43" ht="15.95" hidden="1" customHeight="1">
      <c r="B170" s="929">
        <v>78</v>
      </c>
      <c r="C170" s="8"/>
      <c r="D170" s="8"/>
      <c r="E170" s="8"/>
      <c r="F170" s="8"/>
      <c r="G170" s="8"/>
      <c r="H170" s="8"/>
      <c r="I170" s="8"/>
      <c r="J170" s="8"/>
      <c r="K170" s="8"/>
      <c r="L170" s="8"/>
      <c r="M170" s="8"/>
      <c r="N170" s="8"/>
      <c r="O170" s="8"/>
      <c r="P170" s="8"/>
      <c r="Q170" s="8"/>
      <c r="R170" s="8"/>
      <c r="S170" s="8"/>
      <c r="T170" s="8"/>
      <c r="U170" s="8"/>
      <c r="V170" s="8"/>
      <c r="W170" s="8"/>
      <c r="X170" s="8"/>
      <c r="Y170" s="8"/>
      <c r="Z170" s="8"/>
      <c r="AA170" s="8"/>
      <c r="AB170" s="8"/>
      <c r="AC170" s="8"/>
      <c r="AD170" s="8"/>
      <c r="AE170" s="8"/>
      <c r="AF170" s="8"/>
      <c r="AG170" s="8"/>
      <c r="AH170" s="8"/>
      <c r="AI170" s="8"/>
      <c r="AJ170" s="8"/>
      <c r="AK170" s="8"/>
      <c r="AL170" s="8"/>
      <c r="AM170" s="8"/>
      <c r="AN170" s="8"/>
      <c r="AO170" s="8"/>
      <c r="AP170" s="8"/>
      <c r="AQ170" s="8"/>
    </row>
    <row r="171" spans="2:43" ht="15.95" hidden="1" customHeight="1">
      <c r="B171" s="929"/>
      <c r="C171" s="8"/>
      <c r="D171" s="8"/>
      <c r="E171" s="8"/>
      <c r="F171" s="8"/>
      <c r="G171" s="8"/>
      <c r="H171" s="8"/>
      <c r="I171" s="8"/>
      <c r="J171" s="8"/>
      <c r="K171" s="8"/>
      <c r="L171" s="8"/>
      <c r="M171" s="8"/>
      <c r="N171" s="8"/>
      <c r="O171" s="8"/>
      <c r="P171" s="8"/>
      <c r="Q171" s="8"/>
      <c r="R171" s="8"/>
      <c r="S171" s="8"/>
      <c r="T171" s="8"/>
      <c r="U171" s="8"/>
      <c r="V171" s="8"/>
      <c r="W171" s="8"/>
      <c r="X171" s="8"/>
      <c r="Y171" s="8"/>
      <c r="Z171" s="8"/>
      <c r="AA171" s="8"/>
      <c r="AB171" s="8"/>
      <c r="AC171" s="8"/>
      <c r="AD171" s="8"/>
      <c r="AE171" s="8"/>
      <c r="AF171" s="8"/>
      <c r="AG171" s="8"/>
      <c r="AH171" s="8"/>
      <c r="AI171" s="8"/>
      <c r="AJ171" s="8"/>
      <c r="AK171" s="8"/>
      <c r="AL171" s="8"/>
      <c r="AM171" s="8"/>
      <c r="AN171" s="8"/>
      <c r="AO171" s="8"/>
      <c r="AP171" s="8"/>
      <c r="AQ171" s="8"/>
    </row>
    <row r="172" spans="2:43" ht="15.95" hidden="1" customHeight="1">
      <c r="B172" s="929">
        <v>79</v>
      </c>
      <c r="C172" s="8"/>
      <c r="D172" s="8"/>
      <c r="E172" s="8"/>
      <c r="F172" s="8"/>
      <c r="G172" s="8"/>
      <c r="H172" s="8"/>
      <c r="I172" s="8"/>
      <c r="J172" s="8"/>
      <c r="K172" s="8"/>
      <c r="L172" s="8"/>
      <c r="M172" s="8"/>
      <c r="N172" s="8"/>
      <c r="O172" s="8"/>
      <c r="P172" s="8"/>
      <c r="Q172" s="8"/>
      <c r="R172" s="8"/>
      <c r="S172" s="8"/>
      <c r="T172" s="8"/>
      <c r="U172" s="8"/>
      <c r="V172" s="8"/>
      <c r="W172" s="8"/>
      <c r="X172" s="8"/>
      <c r="Y172" s="8"/>
      <c r="Z172" s="8"/>
      <c r="AA172" s="8"/>
      <c r="AB172" s="8"/>
      <c r="AC172" s="8"/>
      <c r="AD172" s="8"/>
      <c r="AE172" s="8"/>
      <c r="AF172" s="8"/>
      <c r="AG172" s="8"/>
      <c r="AH172" s="8"/>
      <c r="AI172" s="8"/>
      <c r="AJ172" s="8"/>
      <c r="AK172" s="8"/>
      <c r="AL172" s="8"/>
      <c r="AM172" s="8"/>
      <c r="AN172" s="8"/>
      <c r="AO172" s="8"/>
      <c r="AP172" s="8"/>
      <c r="AQ172" s="8"/>
    </row>
    <row r="173" spans="2:43" ht="15.95" hidden="1" customHeight="1">
      <c r="B173" s="929"/>
      <c r="C173" s="8"/>
      <c r="D173" s="8"/>
      <c r="E173" s="8"/>
      <c r="F173" s="8"/>
      <c r="G173" s="8"/>
      <c r="H173" s="8"/>
      <c r="I173" s="8"/>
      <c r="J173" s="8"/>
      <c r="K173" s="8"/>
      <c r="L173" s="8"/>
      <c r="M173" s="8"/>
      <c r="N173" s="8"/>
      <c r="O173" s="8"/>
      <c r="P173" s="8"/>
      <c r="Q173" s="8"/>
      <c r="R173" s="8"/>
      <c r="S173" s="8"/>
      <c r="T173" s="8"/>
      <c r="U173" s="8"/>
      <c r="V173" s="8"/>
      <c r="W173" s="8"/>
      <c r="X173" s="8"/>
      <c r="Y173" s="8"/>
      <c r="Z173" s="8"/>
      <c r="AA173" s="8"/>
      <c r="AB173" s="8"/>
      <c r="AC173" s="8"/>
      <c r="AD173" s="8"/>
      <c r="AE173" s="8"/>
      <c r="AF173" s="8"/>
      <c r="AG173" s="8"/>
      <c r="AH173" s="8"/>
      <c r="AI173" s="8"/>
      <c r="AJ173" s="8"/>
      <c r="AK173" s="8"/>
      <c r="AL173" s="8"/>
      <c r="AM173" s="8"/>
      <c r="AN173" s="8"/>
      <c r="AO173" s="8"/>
      <c r="AP173" s="8"/>
      <c r="AQ173" s="8"/>
    </row>
    <row r="174" spans="2:43" ht="15.95" hidden="1" customHeight="1">
      <c r="B174" s="929">
        <v>80</v>
      </c>
      <c r="C174" s="8"/>
      <c r="D174" s="8"/>
      <c r="E174" s="8"/>
      <c r="F174" s="8"/>
      <c r="G174" s="8"/>
      <c r="H174" s="8"/>
      <c r="I174" s="8"/>
      <c r="J174" s="8"/>
      <c r="K174" s="8"/>
      <c r="L174" s="8"/>
      <c r="M174" s="8"/>
      <c r="N174" s="8"/>
      <c r="O174" s="8"/>
      <c r="P174" s="8"/>
      <c r="Q174" s="8"/>
      <c r="R174" s="8"/>
      <c r="S174" s="8"/>
      <c r="T174" s="8"/>
      <c r="U174" s="8"/>
      <c r="V174" s="8"/>
      <c r="W174" s="8"/>
      <c r="X174" s="8"/>
      <c r="Y174" s="8"/>
      <c r="Z174" s="8"/>
      <c r="AA174" s="8"/>
      <c r="AB174" s="8"/>
      <c r="AC174" s="8"/>
      <c r="AD174" s="8"/>
      <c r="AE174" s="8"/>
      <c r="AF174" s="8"/>
      <c r="AG174" s="8"/>
      <c r="AH174" s="8"/>
      <c r="AI174" s="8"/>
      <c r="AJ174" s="8"/>
      <c r="AK174" s="8"/>
      <c r="AL174" s="8"/>
      <c r="AM174" s="8"/>
      <c r="AN174" s="8"/>
      <c r="AO174" s="8"/>
      <c r="AP174" s="8"/>
      <c r="AQ174" s="8"/>
    </row>
    <row r="175" spans="2:43" ht="15.95" hidden="1" customHeight="1">
      <c r="B175" s="929"/>
      <c r="C175" s="8"/>
      <c r="D175" s="8"/>
      <c r="E175" s="8"/>
      <c r="F175" s="8"/>
      <c r="G175" s="8"/>
      <c r="H175" s="8"/>
      <c r="I175" s="8"/>
      <c r="J175" s="8"/>
      <c r="K175" s="8"/>
      <c r="L175" s="8"/>
      <c r="M175" s="8"/>
      <c r="N175" s="8"/>
      <c r="O175" s="8"/>
      <c r="P175" s="8"/>
      <c r="Q175" s="8"/>
      <c r="R175" s="8"/>
      <c r="S175" s="8"/>
      <c r="T175" s="8"/>
      <c r="U175" s="8"/>
      <c r="V175" s="8"/>
      <c r="W175" s="8"/>
      <c r="X175" s="8"/>
      <c r="Y175" s="8"/>
      <c r="Z175" s="8"/>
      <c r="AA175" s="8"/>
      <c r="AB175" s="8"/>
      <c r="AC175" s="8"/>
      <c r="AD175" s="8"/>
      <c r="AE175" s="8"/>
      <c r="AF175" s="8"/>
      <c r="AG175" s="8"/>
      <c r="AH175" s="8"/>
      <c r="AI175" s="8"/>
      <c r="AJ175" s="8"/>
      <c r="AK175" s="8"/>
      <c r="AL175" s="8"/>
      <c r="AM175" s="8"/>
      <c r="AN175" s="8"/>
      <c r="AO175" s="8"/>
      <c r="AP175" s="8"/>
      <c r="AQ175" s="8"/>
    </row>
    <row r="176" spans="2:43" ht="15.95" hidden="1" customHeight="1">
      <c r="B176" s="929">
        <v>81</v>
      </c>
      <c r="C176" s="8"/>
      <c r="D176" s="8"/>
      <c r="E176" s="8"/>
      <c r="F176" s="8"/>
      <c r="G176" s="8"/>
      <c r="H176" s="8"/>
      <c r="I176" s="8"/>
      <c r="J176" s="8"/>
      <c r="K176" s="8"/>
      <c r="L176" s="8"/>
      <c r="M176" s="8"/>
      <c r="N176" s="8"/>
      <c r="O176" s="8"/>
      <c r="P176" s="8"/>
      <c r="Q176" s="8"/>
      <c r="R176" s="8"/>
      <c r="S176" s="8"/>
      <c r="T176" s="8"/>
      <c r="U176" s="8"/>
      <c r="V176" s="8"/>
      <c r="W176" s="8"/>
      <c r="X176" s="8"/>
      <c r="Y176" s="8"/>
      <c r="Z176" s="8"/>
      <c r="AA176" s="8"/>
      <c r="AB176" s="8"/>
      <c r="AC176" s="8"/>
      <c r="AD176" s="8"/>
      <c r="AE176" s="8"/>
      <c r="AF176" s="8"/>
      <c r="AG176" s="8"/>
      <c r="AH176" s="8"/>
      <c r="AI176" s="8"/>
      <c r="AJ176" s="8"/>
      <c r="AK176" s="8"/>
      <c r="AL176" s="8"/>
      <c r="AM176" s="8"/>
      <c r="AN176" s="8"/>
      <c r="AO176" s="8"/>
      <c r="AP176" s="8"/>
      <c r="AQ176" s="8"/>
    </row>
    <row r="177" spans="2:43" ht="15.95" hidden="1" customHeight="1">
      <c r="B177" s="929"/>
      <c r="C177" s="8"/>
      <c r="D177" s="8"/>
      <c r="E177" s="8"/>
      <c r="F177" s="8"/>
      <c r="G177" s="8"/>
      <c r="H177" s="8"/>
      <c r="I177" s="8"/>
      <c r="J177" s="8"/>
      <c r="K177" s="8"/>
      <c r="L177" s="8"/>
      <c r="M177" s="8"/>
      <c r="N177" s="8"/>
      <c r="O177" s="8"/>
      <c r="P177" s="8"/>
      <c r="Q177" s="8"/>
      <c r="R177" s="8"/>
      <c r="S177" s="8"/>
      <c r="T177" s="8"/>
      <c r="U177" s="8"/>
      <c r="V177" s="8"/>
      <c r="W177" s="8"/>
      <c r="X177" s="8"/>
      <c r="Y177" s="8"/>
      <c r="Z177" s="8"/>
      <c r="AA177" s="8"/>
      <c r="AB177" s="8"/>
      <c r="AC177" s="8"/>
      <c r="AD177" s="8"/>
      <c r="AE177" s="8"/>
      <c r="AF177" s="8"/>
      <c r="AG177" s="8"/>
      <c r="AH177" s="8"/>
      <c r="AI177" s="8"/>
      <c r="AJ177" s="8"/>
      <c r="AK177" s="8"/>
      <c r="AL177" s="8"/>
      <c r="AM177" s="8"/>
      <c r="AN177" s="8"/>
      <c r="AO177" s="8"/>
      <c r="AP177" s="8"/>
      <c r="AQ177" s="8"/>
    </row>
    <row r="178" spans="2:43" ht="15.95" hidden="1" customHeight="1">
      <c r="B178" s="929">
        <v>82</v>
      </c>
      <c r="C178" s="8"/>
      <c r="D178" s="8"/>
      <c r="E178" s="8"/>
      <c r="F178" s="8"/>
      <c r="G178" s="8"/>
      <c r="H178" s="8"/>
      <c r="I178" s="8"/>
      <c r="J178" s="8"/>
      <c r="K178" s="8"/>
      <c r="L178" s="8"/>
      <c r="M178" s="8"/>
      <c r="N178" s="8"/>
      <c r="O178" s="8"/>
      <c r="P178" s="8"/>
      <c r="Q178" s="8"/>
      <c r="R178" s="8"/>
      <c r="S178" s="8"/>
      <c r="T178" s="8"/>
      <c r="U178" s="8"/>
      <c r="V178" s="8"/>
      <c r="W178" s="8"/>
      <c r="X178" s="8"/>
      <c r="Y178" s="8"/>
      <c r="Z178" s="8"/>
      <c r="AA178" s="8"/>
      <c r="AB178" s="8"/>
      <c r="AC178" s="8"/>
      <c r="AD178" s="8"/>
      <c r="AE178" s="8"/>
      <c r="AF178" s="8"/>
      <c r="AG178" s="8"/>
      <c r="AH178" s="8"/>
      <c r="AI178" s="8"/>
      <c r="AJ178" s="8"/>
      <c r="AK178" s="8"/>
      <c r="AL178" s="8"/>
      <c r="AM178" s="8"/>
      <c r="AN178" s="8"/>
      <c r="AO178" s="8"/>
      <c r="AP178" s="8"/>
      <c r="AQ178" s="8"/>
    </row>
    <row r="179" spans="2:43" ht="15.95" hidden="1" customHeight="1">
      <c r="B179" s="929"/>
      <c r="C179" s="8"/>
      <c r="D179" s="8"/>
      <c r="E179" s="8"/>
      <c r="F179" s="8"/>
      <c r="G179" s="8"/>
      <c r="H179" s="8"/>
      <c r="I179" s="8"/>
      <c r="J179" s="8"/>
      <c r="K179" s="8"/>
      <c r="L179" s="8"/>
      <c r="M179" s="8"/>
      <c r="N179" s="8"/>
      <c r="O179" s="8"/>
      <c r="P179" s="8"/>
      <c r="Q179" s="8"/>
      <c r="R179" s="8"/>
      <c r="S179" s="8"/>
      <c r="T179" s="8"/>
      <c r="U179" s="8"/>
      <c r="V179" s="8"/>
      <c r="W179" s="8"/>
      <c r="X179" s="8"/>
      <c r="Y179" s="8"/>
      <c r="Z179" s="8"/>
      <c r="AA179" s="8"/>
      <c r="AB179" s="8"/>
      <c r="AC179" s="8"/>
      <c r="AD179" s="8"/>
      <c r="AE179" s="8"/>
      <c r="AF179" s="8"/>
      <c r="AG179" s="8"/>
      <c r="AH179" s="8"/>
      <c r="AI179" s="8"/>
      <c r="AJ179" s="8"/>
      <c r="AK179" s="8"/>
      <c r="AL179" s="8"/>
      <c r="AM179" s="8"/>
      <c r="AN179" s="8"/>
      <c r="AO179" s="8"/>
      <c r="AP179" s="8"/>
      <c r="AQ179" s="8"/>
    </row>
    <row r="180" spans="2:43" ht="15.95" hidden="1" customHeight="1">
      <c r="B180" s="929">
        <v>83</v>
      </c>
      <c r="C180" s="8"/>
      <c r="D180" s="8"/>
      <c r="E180" s="8"/>
      <c r="F180" s="8"/>
      <c r="G180" s="8"/>
      <c r="H180" s="8"/>
      <c r="I180" s="8"/>
      <c r="J180" s="8"/>
      <c r="K180" s="8"/>
      <c r="L180" s="8"/>
      <c r="M180" s="8"/>
      <c r="N180" s="8"/>
      <c r="O180" s="8"/>
      <c r="P180" s="8"/>
      <c r="Q180" s="8"/>
      <c r="R180" s="8"/>
      <c r="S180" s="8"/>
      <c r="T180" s="8"/>
      <c r="U180" s="8"/>
      <c r="V180" s="8"/>
      <c r="W180" s="8"/>
      <c r="X180" s="8"/>
      <c r="Y180" s="8"/>
      <c r="Z180" s="8"/>
      <c r="AA180" s="8"/>
      <c r="AB180" s="8"/>
      <c r="AC180" s="8"/>
      <c r="AD180" s="8"/>
      <c r="AE180" s="8"/>
      <c r="AF180" s="8"/>
      <c r="AG180" s="8"/>
      <c r="AH180" s="8"/>
      <c r="AI180" s="8"/>
      <c r="AJ180" s="8"/>
      <c r="AK180" s="8"/>
      <c r="AL180" s="8"/>
      <c r="AM180" s="8"/>
      <c r="AN180" s="8"/>
      <c r="AO180" s="8"/>
      <c r="AP180" s="8"/>
      <c r="AQ180" s="8"/>
    </row>
    <row r="181" spans="2:43" ht="15.95" hidden="1" customHeight="1">
      <c r="B181" s="929"/>
      <c r="C181" s="8"/>
      <c r="D181" s="8"/>
      <c r="E181" s="8"/>
      <c r="F181" s="8"/>
      <c r="G181" s="8"/>
      <c r="H181" s="8"/>
      <c r="I181" s="8"/>
      <c r="J181" s="8"/>
      <c r="K181" s="8"/>
      <c r="L181" s="8"/>
      <c r="M181" s="8"/>
      <c r="N181" s="8"/>
      <c r="O181" s="8"/>
      <c r="P181" s="8"/>
      <c r="Q181" s="8"/>
      <c r="R181" s="8"/>
      <c r="S181" s="8"/>
      <c r="T181" s="8"/>
      <c r="U181" s="8"/>
      <c r="V181" s="8"/>
      <c r="W181" s="8"/>
      <c r="X181" s="8"/>
      <c r="Y181" s="8"/>
      <c r="Z181" s="8"/>
      <c r="AA181" s="8"/>
      <c r="AB181" s="8"/>
      <c r="AC181" s="8"/>
      <c r="AD181" s="8"/>
      <c r="AE181" s="8"/>
      <c r="AF181" s="8"/>
      <c r="AG181" s="8"/>
      <c r="AH181" s="8"/>
      <c r="AI181" s="8"/>
      <c r="AJ181" s="8"/>
      <c r="AK181" s="8"/>
      <c r="AL181" s="8"/>
      <c r="AM181" s="8"/>
      <c r="AN181" s="8"/>
      <c r="AO181" s="8"/>
      <c r="AP181" s="8"/>
      <c r="AQ181" s="8"/>
    </row>
    <row r="182" spans="2:43" ht="15.95" hidden="1" customHeight="1">
      <c r="B182" s="929">
        <v>84</v>
      </c>
      <c r="C182" s="8"/>
      <c r="D182" s="8"/>
      <c r="E182" s="8"/>
      <c r="F182" s="8"/>
      <c r="G182" s="8"/>
      <c r="H182" s="8"/>
      <c r="I182" s="8"/>
      <c r="J182" s="8"/>
      <c r="K182" s="8"/>
      <c r="L182" s="8"/>
      <c r="M182" s="8"/>
      <c r="N182" s="8"/>
      <c r="O182" s="8"/>
      <c r="P182" s="8"/>
      <c r="Q182" s="8"/>
      <c r="R182" s="8"/>
      <c r="S182" s="8"/>
      <c r="T182" s="8"/>
      <c r="U182" s="8"/>
      <c r="V182" s="8"/>
      <c r="W182" s="8"/>
      <c r="X182" s="8"/>
      <c r="Y182" s="8"/>
      <c r="Z182" s="8"/>
      <c r="AA182" s="8"/>
      <c r="AB182" s="8"/>
      <c r="AC182" s="8"/>
      <c r="AD182" s="8"/>
      <c r="AE182" s="8"/>
      <c r="AF182" s="8"/>
      <c r="AG182" s="8"/>
      <c r="AH182" s="8"/>
      <c r="AI182" s="8"/>
      <c r="AJ182" s="8"/>
      <c r="AK182" s="8"/>
      <c r="AL182" s="8"/>
      <c r="AM182" s="8"/>
      <c r="AN182" s="8"/>
      <c r="AO182" s="8"/>
      <c r="AP182" s="8"/>
      <c r="AQ182" s="8"/>
    </row>
    <row r="183" spans="2:43" ht="15.95" hidden="1" customHeight="1">
      <c r="B183" s="929"/>
      <c r="C183" s="8"/>
      <c r="D183" s="8"/>
      <c r="E183" s="8"/>
      <c r="F183" s="8"/>
      <c r="G183" s="8"/>
      <c r="H183" s="8"/>
      <c r="I183" s="8"/>
      <c r="J183" s="8"/>
      <c r="K183" s="8"/>
      <c r="L183" s="8"/>
      <c r="M183" s="8"/>
      <c r="N183" s="8"/>
      <c r="O183" s="8"/>
      <c r="P183" s="8"/>
      <c r="Q183" s="8"/>
      <c r="R183" s="8"/>
      <c r="S183" s="8"/>
      <c r="T183" s="8"/>
      <c r="U183" s="8"/>
      <c r="V183" s="8"/>
      <c r="W183" s="8"/>
      <c r="X183" s="8"/>
      <c r="Y183" s="8"/>
      <c r="Z183" s="8"/>
      <c r="AA183" s="8"/>
      <c r="AB183" s="8"/>
      <c r="AC183" s="8"/>
      <c r="AD183" s="8"/>
      <c r="AE183" s="8"/>
      <c r="AF183" s="8"/>
      <c r="AG183" s="8"/>
      <c r="AH183" s="8"/>
      <c r="AI183" s="8"/>
      <c r="AJ183" s="8"/>
      <c r="AK183" s="8"/>
      <c r="AL183" s="8"/>
      <c r="AM183" s="8"/>
      <c r="AN183" s="8"/>
      <c r="AO183" s="8"/>
      <c r="AP183" s="8"/>
      <c r="AQ183" s="8"/>
    </row>
    <row r="184" spans="2:43" ht="15.95" hidden="1" customHeight="1">
      <c r="B184" s="929">
        <v>85</v>
      </c>
      <c r="C184" s="8"/>
      <c r="D184" s="8"/>
      <c r="E184" s="8"/>
      <c r="F184" s="8"/>
      <c r="G184" s="8"/>
      <c r="H184" s="8"/>
      <c r="I184" s="8"/>
      <c r="J184" s="8"/>
      <c r="K184" s="8"/>
      <c r="L184" s="8"/>
      <c r="M184" s="8"/>
      <c r="N184" s="8"/>
      <c r="O184" s="8"/>
      <c r="P184" s="8"/>
      <c r="Q184" s="8"/>
      <c r="R184" s="8"/>
      <c r="S184" s="8"/>
      <c r="T184" s="8"/>
      <c r="U184" s="8"/>
      <c r="V184" s="8"/>
      <c r="W184" s="8"/>
      <c r="X184" s="8"/>
      <c r="Y184" s="8"/>
      <c r="Z184" s="8"/>
      <c r="AA184" s="8"/>
      <c r="AB184" s="8"/>
      <c r="AC184" s="8"/>
      <c r="AD184" s="8"/>
      <c r="AE184" s="8"/>
      <c r="AF184" s="8"/>
      <c r="AG184" s="8"/>
      <c r="AH184" s="8"/>
      <c r="AI184" s="8"/>
      <c r="AJ184" s="8"/>
      <c r="AK184" s="8"/>
      <c r="AL184" s="8"/>
      <c r="AM184" s="8"/>
      <c r="AN184" s="8"/>
      <c r="AO184" s="8"/>
      <c r="AP184" s="8"/>
      <c r="AQ184" s="8"/>
    </row>
    <row r="185" spans="2:43" ht="15.95" hidden="1" customHeight="1">
      <c r="B185" s="929"/>
      <c r="C185" s="8"/>
      <c r="D185" s="8"/>
      <c r="E185" s="8"/>
      <c r="F185" s="8"/>
      <c r="G185" s="8"/>
      <c r="H185" s="8"/>
      <c r="I185" s="8"/>
      <c r="J185" s="8"/>
      <c r="K185" s="8"/>
      <c r="L185" s="8"/>
      <c r="M185" s="8"/>
      <c r="N185" s="8"/>
      <c r="O185" s="8"/>
      <c r="P185" s="8"/>
      <c r="Q185" s="8"/>
      <c r="R185" s="8"/>
      <c r="S185" s="8"/>
      <c r="T185" s="8"/>
      <c r="U185" s="8"/>
      <c r="V185" s="8"/>
      <c r="W185" s="8"/>
      <c r="X185" s="8"/>
      <c r="Y185" s="8"/>
      <c r="Z185" s="8"/>
      <c r="AA185" s="8"/>
      <c r="AB185" s="8"/>
      <c r="AC185" s="8"/>
      <c r="AD185" s="8"/>
      <c r="AE185" s="8"/>
      <c r="AF185" s="8"/>
      <c r="AG185" s="8"/>
      <c r="AH185" s="8"/>
      <c r="AI185" s="8"/>
      <c r="AJ185" s="8"/>
      <c r="AK185" s="8"/>
      <c r="AL185" s="8"/>
      <c r="AM185" s="8"/>
      <c r="AN185" s="8"/>
      <c r="AO185" s="8"/>
      <c r="AP185" s="8"/>
      <c r="AQ185" s="8"/>
    </row>
    <row r="186" spans="2:43" ht="15.95" hidden="1" customHeight="1">
      <c r="B186" s="929">
        <v>86</v>
      </c>
      <c r="C186" s="8"/>
      <c r="D186" s="8"/>
      <c r="E186" s="8"/>
      <c r="F186" s="8"/>
      <c r="G186" s="8"/>
      <c r="H186" s="8"/>
      <c r="I186" s="8"/>
      <c r="J186" s="8"/>
      <c r="K186" s="8"/>
      <c r="L186" s="8"/>
      <c r="M186" s="8"/>
      <c r="N186" s="8"/>
      <c r="O186" s="8"/>
      <c r="P186" s="8"/>
      <c r="Q186" s="8"/>
      <c r="R186" s="8"/>
      <c r="S186" s="8"/>
      <c r="T186" s="8"/>
      <c r="U186" s="8"/>
      <c r="V186" s="8"/>
      <c r="W186" s="8"/>
      <c r="X186" s="8"/>
      <c r="Y186" s="8"/>
      <c r="Z186" s="8"/>
      <c r="AA186" s="8"/>
      <c r="AB186" s="8"/>
      <c r="AC186" s="8"/>
      <c r="AD186" s="8"/>
      <c r="AE186" s="8"/>
      <c r="AF186" s="8"/>
      <c r="AG186" s="8"/>
      <c r="AH186" s="8"/>
      <c r="AI186" s="8"/>
      <c r="AJ186" s="8"/>
      <c r="AK186" s="8"/>
      <c r="AL186" s="8"/>
      <c r="AM186" s="8"/>
      <c r="AN186" s="8"/>
      <c r="AO186" s="8"/>
      <c r="AP186" s="8"/>
      <c r="AQ186" s="8"/>
    </row>
    <row r="187" spans="2:43" ht="15.95" hidden="1" customHeight="1">
      <c r="B187" s="929"/>
      <c r="C187" s="8"/>
      <c r="D187" s="8"/>
      <c r="E187" s="8"/>
      <c r="F187" s="8"/>
      <c r="G187" s="8"/>
      <c r="H187" s="8"/>
      <c r="I187" s="8"/>
      <c r="J187" s="8"/>
      <c r="K187" s="8"/>
      <c r="L187" s="8"/>
      <c r="M187" s="8"/>
      <c r="N187" s="8"/>
      <c r="O187" s="8"/>
      <c r="P187" s="8"/>
      <c r="Q187" s="8"/>
      <c r="R187" s="8"/>
      <c r="S187" s="8"/>
      <c r="T187" s="8"/>
      <c r="U187" s="8"/>
      <c r="V187" s="8"/>
      <c r="W187" s="8"/>
      <c r="X187" s="8"/>
      <c r="Y187" s="8"/>
      <c r="Z187" s="8"/>
      <c r="AA187" s="8"/>
      <c r="AB187" s="8"/>
      <c r="AC187" s="8"/>
      <c r="AD187" s="8"/>
      <c r="AE187" s="8"/>
      <c r="AF187" s="8"/>
      <c r="AG187" s="8"/>
      <c r="AH187" s="8"/>
      <c r="AI187" s="8"/>
      <c r="AJ187" s="8"/>
      <c r="AK187" s="8"/>
      <c r="AL187" s="8"/>
      <c r="AM187" s="8"/>
      <c r="AN187" s="8"/>
      <c r="AO187" s="8"/>
      <c r="AP187" s="8"/>
      <c r="AQ187" s="8"/>
    </row>
    <row r="188" spans="2:43" ht="15.95" hidden="1" customHeight="1">
      <c r="B188" s="929">
        <v>87</v>
      </c>
      <c r="C188" s="8"/>
      <c r="D188" s="8"/>
      <c r="E188" s="8"/>
      <c r="F188" s="8"/>
      <c r="G188" s="8"/>
      <c r="H188" s="8"/>
      <c r="I188" s="8"/>
      <c r="J188" s="8"/>
      <c r="K188" s="8"/>
      <c r="L188" s="8"/>
      <c r="M188" s="8"/>
      <c r="N188" s="8"/>
      <c r="O188" s="8"/>
      <c r="P188" s="8"/>
      <c r="Q188" s="8"/>
      <c r="R188" s="8"/>
      <c r="S188" s="8"/>
      <c r="T188" s="8"/>
      <c r="U188" s="8"/>
      <c r="V188" s="8"/>
      <c r="W188" s="8"/>
      <c r="X188" s="8"/>
      <c r="Y188" s="8"/>
      <c r="Z188" s="8"/>
      <c r="AA188" s="8"/>
      <c r="AB188" s="8"/>
      <c r="AC188" s="8"/>
      <c r="AD188" s="8"/>
      <c r="AE188" s="8"/>
      <c r="AF188" s="8"/>
      <c r="AG188" s="8"/>
      <c r="AH188" s="8"/>
      <c r="AI188" s="8"/>
      <c r="AJ188" s="8"/>
      <c r="AK188" s="8"/>
      <c r="AL188" s="8"/>
      <c r="AM188" s="8"/>
      <c r="AN188" s="8"/>
      <c r="AO188" s="8"/>
      <c r="AP188" s="8"/>
      <c r="AQ188" s="8"/>
    </row>
    <row r="189" spans="2:43" ht="15.95" hidden="1" customHeight="1">
      <c r="B189" s="929"/>
      <c r="C189" s="8"/>
      <c r="D189" s="8"/>
      <c r="E189" s="8"/>
      <c r="F189" s="8"/>
      <c r="G189" s="8"/>
      <c r="H189" s="8"/>
      <c r="I189" s="8"/>
      <c r="J189" s="8"/>
      <c r="K189" s="8"/>
      <c r="L189" s="8"/>
      <c r="M189" s="8"/>
      <c r="N189" s="8"/>
      <c r="O189" s="8"/>
      <c r="P189" s="8"/>
      <c r="Q189" s="8"/>
      <c r="R189" s="8"/>
      <c r="S189" s="8"/>
      <c r="T189" s="8"/>
      <c r="U189" s="8"/>
      <c r="V189" s="8"/>
      <c r="W189" s="8"/>
      <c r="X189" s="8"/>
      <c r="Y189" s="8"/>
      <c r="Z189" s="8"/>
      <c r="AA189" s="8"/>
      <c r="AB189" s="8"/>
      <c r="AC189" s="8"/>
      <c r="AD189" s="8"/>
      <c r="AE189" s="8"/>
      <c r="AF189" s="8"/>
      <c r="AG189" s="8"/>
      <c r="AH189" s="8"/>
      <c r="AI189" s="8"/>
      <c r="AJ189" s="8"/>
      <c r="AK189" s="8"/>
      <c r="AL189" s="8"/>
      <c r="AM189" s="8"/>
      <c r="AN189" s="8"/>
      <c r="AO189" s="8"/>
      <c r="AP189" s="8"/>
      <c r="AQ189" s="8"/>
    </row>
    <row r="190" spans="2:43" ht="15.95" hidden="1" customHeight="1">
      <c r="B190" s="929">
        <v>88</v>
      </c>
      <c r="C190" s="8"/>
      <c r="D190" s="8"/>
      <c r="E190" s="8"/>
      <c r="F190" s="8"/>
      <c r="G190" s="8"/>
      <c r="H190" s="8"/>
      <c r="I190" s="8"/>
      <c r="J190" s="8"/>
      <c r="K190" s="8"/>
      <c r="L190" s="8"/>
      <c r="M190" s="8"/>
      <c r="N190" s="8"/>
      <c r="O190" s="8"/>
      <c r="P190" s="8"/>
      <c r="Q190" s="8"/>
      <c r="R190" s="8"/>
      <c r="S190" s="8"/>
      <c r="T190" s="8"/>
      <c r="U190" s="8"/>
      <c r="V190" s="8"/>
      <c r="W190" s="8"/>
      <c r="X190" s="8"/>
      <c r="Y190" s="8"/>
      <c r="Z190" s="8"/>
      <c r="AA190" s="8"/>
      <c r="AB190" s="8"/>
      <c r="AC190" s="8"/>
      <c r="AD190" s="8"/>
      <c r="AE190" s="8"/>
      <c r="AF190" s="8"/>
      <c r="AG190" s="8"/>
      <c r="AH190" s="8"/>
      <c r="AI190" s="8"/>
      <c r="AJ190" s="8"/>
      <c r="AK190" s="8"/>
      <c r="AL190" s="8"/>
      <c r="AM190" s="8"/>
      <c r="AN190" s="8"/>
      <c r="AO190" s="8"/>
      <c r="AP190" s="8"/>
      <c r="AQ190" s="8"/>
    </row>
    <row r="191" spans="2:43" ht="15.95" hidden="1" customHeight="1">
      <c r="B191" s="929"/>
      <c r="C191" s="8"/>
      <c r="D191" s="8"/>
      <c r="E191" s="8"/>
      <c r="F191" s="8"/>
      <c r="G191" s="8"/>
      <c r="H191" s="8"/>
      <c r="I191" s="8"/>
      <c r="J191" s="8"/>
      <c r="K191" s="8"/>
      <c r="L191" s="8"/>
      <c r="M191" s="8"/>
      <c r="N191" s="8"/>
      <c r="O191" s="8"/>
      <c r="P191" s="8"/>
      <c r="Q191" s="8"/>
      <c r="R191" s="8"/>
      <c r="S191" s="8"/>
      <c r="T191" s="8"/>
      <c r="U191" s="8"/>
      <c r="V191" s="8"/>
      <c r="W191" s="8"/>
      <c r="X191" s="8"/>
      <c r="Y191" s="8"/>
      <c r="Z191" s="8"/>
      <c r="AA191" s="8"/>
      <c r="AB191" s="8"/>
      <c r="AC191" s="8"/>
      <c r="AD191" s="8"/>
      <c r="AE191" s="8"/>
      <c r="AF191" s="8"/>
      <c r="AG191" s="8"/>
      <c r="AH191" s="8"/>
      <c r="AI191" s="8"/>
      <c r="AJ191" s="8"/>
      <c r="AK191" s="8"/>
      <c r="AL191" s="8"/>
      <c r="AM191" s="8"/>
      <c r="AN191" s="8"/>
      <c r="AO191" s="8"/>
      <c r="AP191" s="8"/>
      <c r="AQ191" s="8"/>
    </row>
    <row r="192" spans="2:43" ht="15.95" hidden="1" customHeight="1">
      <c r="B192" s="929">
        <v>89</v>
      </c>
      <c r="C192" s="8"/>
      <c r="D192" s="8"/>
      <c r="E192" s="8"/>
      <c r="F192" s="8"/>
      <c r="G192" s="8"/>
      <c r="H192" s="8"/>
      <c r="I192" s="8"/>
      <c r="J192" s="8"/>
      <c r="K192" s="8"/>
      <c r="L192" s="8"/>
      <c r="M192" s="8"/>
      <c r="N192" s="8"/>
      <c r="O192" s="8"/>
      <c r="P192" s="8"/>
      <c r="Q192" s="8"/>
      <c r="R192" s="8"/>
      <c r="S192" s="8"/>
      <c r="T192" s="8"/>
      <c r="U192" s="8"/>
      <c r="V192" s="8"/>
      <c r="W192" s="8"/>
      <c r="X192" s="8"/>
      <c r="Y192" s="8"/>
      <c r="Z192" s="8"/>
      <c r="AA192" s="8"/>
      <c r="AB192" s="8"/>
      <c r="AC192" s="8"/>
      <c r="AD192" s="8"/>
      <c r="AE192" s="8"/>
      <c r="AF192" s="8"/>
      <c r="AG192" s="8"/>
      <c r="AH192" s="8"/>
      <c r="AI192" s="8"/>
      <c r="AJ192" s="8"/>
      <c r="AK192" s="8"/>
      <c r="AL192" s="8"/>
      <c r="AM192" s="8"/>
      <c r="AN192" s="8"/>
      <c r="AO192" s="8"/>
      <c r="AP192" s="8"/>
      <c r="AQ192" s="8"/>
    </row>
    <row r="193" spans="2:48" ht="15.95" hidden="1" customHeight="1">
      <c r="B193" s="929"/>
      <c r="C193" s="8"/>
      <c r="D193" s="8"/>
      <c r="E193" s="8"/>
      <c r="F193" s="8"/>
      <c r="G193" s="8"/>
      <c r="H193" s="8"/>
      <c r="I193" s="8"/>
      <c r="J193" s="8"/>
      <c r="K193" s="8"/>
      <c r="L193" s="8"/>
      <c r="M193" s="8"/>
      <c r="N193" s="8"/>
      <c r="O193" s="8"/>
      <c r="P193" s="8"/>
      <c r="Q193" s="8"/>
      <c r="R193" s="8"/>
      <c r="S193" s="8"/>
      <c r="T193" s="8"/>
      <c r="U193" s="8"/>
      <c r="V193" s="8"/>
      <c r="W193" s="8"/>
      <c r="X193" s="8"/>
      <c r="Y193" s="8"/>
      <c r="Z193" s="8"/>
      <c r="AA193" s="8"/>
      <c r="AB193" s="8"/>
      <c r="AC193" s="8"/>
      <c r="AD193" s="8"/>
      <c r="AE193" s="8"/>
      <c r="AF193" s="8"/>
      <c r="AG193" s="8"/>
      <c r="AH193" s="8"/>
      <c r="AI193" s="8"/>
      <c r="AJ193" s="8"/>
      <c r="AK193" s="8"/>
      <c r="AL193" s="8"/>
      <c r="AM193" s="8"/>
      <c r="AN193" s="8"/>
      <c r="AO193" s="8"/>
      <c r="AP193" s="8"/>
      <c r="AQ193" s="8"/>
    </row>
    <row r="194" spans="2:48" ht="15.95" hidden="1" customHeight="1">
      <c r="B194" s="929">
        <v>90</v>
      </c>
      <c r="C194" s="8"/>
      <c r="D194" s="8"/>
      <c r="E194" s="8"/>
      <c r="F194" s="8"/>
      <c r="G194" s="8"/>
      <c r="H194" s="8"/>
      <c r="I194" s="8"/>
      <c r="J194" s="8"/>
      <c r="K194" s="8"/>
      <c r="L194" s="8"/>
      <c r="M194" s="8"/>
      <c r="N194" s="8"/>
      <c r="O194" s="8"/>
      <c r="P194" s="8"/>
      <c r="Q194" s="8"/>
      <c r="R194" s="8"/>
      <c r="S194" s="8"/>
      <c r="T194" s="8"/>
      <c r="U194" s="8"/>
      <c r="V194" s="8"/>
      <c r="W194" s="8"/>
      <c r="X194" s="8"/>
      <c r="Y194" s="8"/>
      <c r="Z194" s="8"/>
      <c r="AA194" s="8"/>
      <c r="AB194" s="8"/>
      <c r="AC194" s="8"/>
      <c r="AD194" s="8"/>
      <c r="AE194" s="8"/>
      <c r="AF194" s="8"/>
      <c r="AG194" s="8"/>
      <c r="AH194" s="8"/>
      <c r="AI194" s="8"/>
      <c r="AJ194" s="8"/>
      <c r="AK194" s="8"/>
      <c r="AL194" s="8"/>
      <c r="AM194" s="8"/>
      <c r="AN194" s="8"/>
      <c r="AO194" s="8"/>
      <c r="AP194" s="8"/>
      <c r="AQ194" s="8"/>
    </row>
    <row r="195" spans="2:48" ht="15.95" hidden="1" customHeight="1">
      <c r="B195" s="929"/>
      <c r="C195" s="8"/>
      <c r="D195" s="8"/>
      <c r="E195" s="8"/>
      <c r="F195" s="8"/>
      <c r="G195" s="8"/>
      <c r="H195" s="8"/>
      <c r="I195" s="8"/>
      <c r="J195" s="8"/>
      <c r="K195" s="8"/>
      <c r="L195" s="8"/>
      <c r="M195" s="8"/>
      <c r="N195" s="8"/>
      <c r="O195" s="8"/>
      <c r="P195" s="8"/>
      <c r="Q195" s="8"/>
      <c r="R195" s="8"/>
      <c r="S195" s="8"/>
      <c r="T195" s="8"/>
      <c r="U195" s="8"/>
      <c r="V195" s="8"/>
      <c r="W195" s="8"/>
      <c r="X195" s="8"/>
      <c r="Y195" s="8"/>
      <c r="Z195" s="8"/>
      <c r="AA195" s="8"/>
      <c r="AB195" s="8"/>
      <c r="AC195" s="8"/>
      <c r="AD195" s="8"/>
      <c r="AE195" s="8"/>
      <c r="AF195" s="8"/>
      <c r="AG195" s="8"/>
      <c r="AH195" s="8"/>
      <c r="AI195" s="8"/>
      <c r="AJ195" s="8"/>
      <c r="AK195" s="8"/>
      <c r="AL195" s="8"/>
      <c r="AM195" s="8"/>
      <c r="AN195" s="8"/>
      <c r="AO195" s="8"/>
      <c r="AP195" s="8"/>
      <c r="AQ195" s="8"/>
    </row>
    <row r="196" spans="2:48" ht="15.95" hidden="1" customHeight="1">
      <c r="B196" s="929">
        <v>91</v>
      </c>
      <c r="C196" s="8"/>
      <c r="D196" s="8"/>
      <c r="E196" s="8"/>
      <c r="F196" s="8"/>
      <c r="G196" s="8"/>
      <c r="H196" s="8"/>
      <c r="I196" s="8"/>
      <c r="J196" s="8"/>
      <c r="K196" s="8"/>
      <c r="L196" s="8"/>
      <c r="M196" s="8"/>
      <c r="N196" s="8"/>
      <c r="O196" s="8"/>
      <c r="P196" s="8"/>
      <c r="Q196" s="8"/>
      <c r="R196" s="8"/>
      <c r="S196" s="8"/>
      <c r="T196" s="8"/>
      <c r="U196" s="8"/>
      <c r="V196" s="8"/>
      <c r="W196" s="8"/>
      <c r="X196" s="8"/>
      <c r="Y196" s="8"/>
      <c r="Z196" s="8"/>
      <c r="AA196" s="8"/>
      <c r="AB196" s="8"/>
      <c r="AC196" s="8"/>
      <c r="AD196" s="8"/>
      <c r="AE196" s="8"/>
      <c r="AF196" s="8"/>
      <c r="AG196" s="8"/>
      <c r="AH196" s="8"/>
      <c r="AI196" s="8"/>
      <c r="AJ196" s="8"/>
      <c r="AK196" s="8"/>
      <c r="AL196" s="8"/>
      <c r="AM196" s="8"/>
      <c r="AN196" s="8"/>
      <c r="AO196" s="8"/>
      <c r="AP196" s="8"/>
      <c r="AQ196" s="8"/>
    </row>
    <row r="197" spans="2:48" ht="15.95" hidden="1" customHeight="1">
      <c r="B197" s="929"/>
      <c r="C197" s="8"/>
      <c r="D197" s="8"/>
      <c r="E197" s="8"/>
      <c r="F197" s="8"/>
      <c r="G197" s="8"/>
      <c r="H197" s="8"/>
      <c r="I197" s="8"/>
      <c r="J197" s="8"/>
      <c r="K197" s="8"/>
      <c r="L197" s="8"/>
      <c r="M197" s="8"/>
      <c r="N197" s="8"/>
      <c r="O197" s="8"/>
      <c r="P197" s="8"/>
      <c r="Q197" s="8"/>
      <c r="R197" s="8"/>
      <c r="S197" s="8"/>
      <c r="T197" s="8"/>
      <c r="U197" s="8"/>
      <c r="V197" s="8"/>
      <c r="W197" s="8"/>
      <c r="X197" s="8"/>
      <c r="Y197" s="8"/>
      <c r="Z197" s="8"/>
      <c r="AA197" s="8"/>
      <c r="AB197" s="8"/>
      <c r="AC197" s="8"/>
      <c r="AD197" s="8"/>
      <c r="AE197" s="8"/>
      <c r="AF197" s="8"/>
      <c r="AG197" s="8"/>
      <c r="AH197" s="8"/>
      <c r="AI197" s="8"/>
      <c r="AJ197" s="8"/>
      <c r="AK197" s="8"/>
      <c r="AL197" s="8"/>
      <c r="AM197" s="8"/>
      <c r="AN197" s="8"/>
      <c r="AO197" s="8"/>
      <c r="AP197" s="8"/>
      <c r="AQ197" s="8"/>
    </row>
    <row r="198" spans="2:48" ht="15.95" hidden="1" customHeight="1">
      <c r="B198" s="929">
        <v>92</v>
      </c>
      <c r="C198" s="8"/>
      <c r="D198" s="8"/>
      <c r="E198" s="8"/>
      <c r="F198" s="8"/>
      <c r="G198" s="8"/>
      <c r="H198" s="8"/>
      <c r="I198" s="8"/>
      <c r="J198" s="8"/>
      <c r="K198" s="8"/>
      <c r="L198" s="8"/>
      <c r="M198" s="8"/>
      <c r="N198" s="8"/>
      <c r="O198" s="8"/>
      <c r="P198" s="8"/>
      <c r="Q198" s="8"/>
      <c r="R198" s="8"/>
      <c r="S198" s="8"/>
      <c r="T198" s="8"/>
      <c r="U198" s="8"/>
      <c r="V198" s="8"/>
      <c r="W198" s="8"/>
      <c r="X198" s="8"/>
      <c r="Y198" s="8"/>
      <c r="Z198" s="8"/>
      <c r="AA198" s="8"/>
      <c r="AB198" s="8"/>
      <c r="AC198" s="8"/>
      <c r="AD198" s="8"/>
      <c r="AE198" s="8"/>
      <c r="AF198" s="8"/>
      <c r="AG198" s="8"/>
      <c r="AH198" s="8"/>
      <c r="AI198" s="8"/>
      <c r="AJ198" s="8"/>
      <c r="AK198" s="8"/>
      <c r="AL198" s="8"/>
      <c r="AM198" s="8"/>
      <c r="AN198" s="8"/>
      <c r="AO198" s="8"/>
      <c r="AP198" s="8"/>
      <c r="AQ198" s="8"/>
    </row>
    <row r="199" spans="2:48" ht="15.95" hidden="1" customHeight="1">
      <c r="B199" s="929"/>
      <c r="C199" s="8"/>
      <c r="D199" s="8"/>
      <c r="E199" s="8"/>
      <c r="F199" s="8"/>
      <c r="G199" s="8"/>
      <c r="H199" s="8"/>
      <c r="I199" s="8"/>
      <c r="J199" s="8"/>
      <c r="K199" s="8"/>
      <c r="L199" s="8"/>
      <c r="M199" s="8"/>
      <c r="N199" s="8"/>
      <c r="O199" s="8"/>
      <c r="P199" s="8"/>
      <c r="Q199" s="8"/>
      <c r="R199" s="8"/>
      <c r="S199" s="8"/>
      <c r="T199" s="8"/>
      <c r="U199" s="8"/>
      <c r="V199" s="8"/>
      <c r="W199" s="8"/>
      <c r="X199" s="8"/>
      <c r="Y199" s="8"/>
      <c r="Z199" s="8"/>
      <c r="AA199" s="8"/>
      <c r="AB199" s="8"/>
      <c r="AC199" s="8"/>
      <c r="AD199" s="8"/>
      <c r="AE199" s="8"/>
      <c r="AF199" s="8"/>
      <c r="AG199" s="8"/>
      <c r="AH199" s="8"/>
      <c r="AI199" s="8"/>
      <c r="AJ199" s="8"/>
      <c r="AK199" s="8"/>
      <c r="AL199" s="8"/>
      <c r="AM199" s="8"/>
      <c r="AN199" s="8"/>
      <c r="AO199" s="8"/>
      <c r="AP199" s="8"/>
      <c r="AQ199" s="8"/>
    </row>
    <row r="200" spans="2:48" ht="15.95" customHeight="1">
      <c r="B200" s="272" t="str">
        <f>FOOT1</f>
        <v>NIPSCO Energy Efficiency Program</v>
      </c>
      <c r="C200" s="272"/>
      <c r="D200" s="272"/>
      <c r="E200" s="272"/>
      <c r="F200" s="272"/>
      <c r="G200" s="272"/>
      <c r="H200" s="272"/>
      <c r="I200" s="272"/>
      <c r="J200" s="272"/>
      <c r="K200" s="272"/>
      <c r="L200" s="272"/>
      <c r="M200" s="661" t="str">
        <f>FOOT4</f>
        <v>NIPSCO’s energy efficiency programs are administered by TRC, a third‐party implementation specialist that helps homes and businesses save energy.</v>
      </c>
      <c r="N200" s="661"/>
      <c r="O200" s="661"/>
      <c r="P200" s="661"/>
      <c r="Q200" s="661"/>
      <c r="R200" s="661"/>
      <c r="S200" s="661"/>
      <c r="T200" s="661"/>
      <c r="U200" s="661"/>
      <c r="V200" s="661"/>
      <c r="W200" s="661"/>
      <c r="X200" s="661"/>
      <c r="Y200" s="661"/>
      <c r="Z200" s="661"/>
      <c r="AA200" s="661"/>
      <c r="AB200" s="661"/>
      <c r="AC200" s="661"/>
      <c r="AD200" s="661"/>
      <c r="AE200" s="661"/>
      <c r="AF200" s="661"/>
      <c r="AG200" s="661"/>
      <c r="AH200" s="272"/>
      <c r="AI200" s="272"/>
      <c r="AJ200" s="272"/>
      <c r="AK200" s="272"/>
      <c r="AL200" s="272"/>
      <c r="AM200" s="272"/>
      <c r="AN200" s="272"/>
      <c r="AO200" s="272"/>
      <c r="AP200" s="272"/>
      <c r="AQ200" s="272"/>
      <c r="AR200" s="273" t="str">
        <f>FOOTDISCLAIM</f>
        <v/>
      </c>
      <c r="AV200" s="1148">
        <f ca="1">SUMIF(AN16:AQ199,"&gt;0",AV16:AV199)</f>
        <v>0</v>
      </c>
    </row>
    <row r="201" spans="2:48" ht="15.95" customHeight="1">
      <c r="B201" s="272" t="str">
        <f>FOOT2</f>
        <v>Toll-Free 800-299-2501</v>
      </c>
      <c r="C201" s="272"/>
      <c r="D201" s="272"/>
      <c r="E201" s="272"/>
      <c r="F201" s="272"/>
      <c r="G201" s="272"/>
      <c r="H201" s="272"/>
      <c r="I201" s="272"/>
      <c r="J201" s="272"/>
      <c r="K201" s="272"/>
      <c r="L201" s="272"/>
      <c r="M201" s="661"/>
      <c r="N201" s="661"/>
      <c r="O201" s="661"/>
      <c r="P201" s="661"/>
      <c r="Q201" s="661"/>
      <c r="R201" s="661"/>
      <c r="S201" s="661"/>
      <c r="T201" s="661"/>
      <c r="U201" s="661"/>
      <c r="V201" s="661"/>
      <c r="W201" s="661"/>
      <c r="X201" s="661"/>
      <c r="Y201" s="661"/>
      <c r="Z201" s="661"/>
      <c r="AA201" s="661"/>
      <c r="AB201" s="661"/>
      <c r="AC201" s="661"/>
      <c r="AD201" s="661"/>
      <c r="AE201" s="661"/>
      <c r="AF201" s="661"/>
      <c r="AG201" s="661"/>
      <c r="AH201" s="272"/>
      <c r="AI201" s="272"/>
      <c r="AJ201" s="272"/>
      <c r="AK201" s="272"/>
      <c r="AL201" s="272"/>
      <c r="AM201" s="272"/>
      <c r="AN201" s="272"/>
      <c r="AO201" s="272"/>
      <c r="AP201" s="272"/>
      <c r="AQ201" s="272"/>
      <c r="AR201" s="273" t="str">
        <f>FOOT5</f>
        <v/>
      </c>
      <c r="AV201" s="1148"/>
    </row>
    <row r="202" spans="2:48" ht="15.95" customHeight="1">
      <c r="B202" s="281" t="s">
        <v>1547</v>
      </c>
      <c r="C202" s="272"/>
      <c r="D202" s="272"/>
      <c r="E202" s="272"/>
      <c r="F202" s="272"/>
      <c r="G202" s="272"/>
      <c r="H202" s="272"/>
      <c r="I202" s="272"/>
      <c r="J202" s="272"/>
      <c r="K202" s="272"/>
      <c r="L202" s="272"/>
      <c r="M202" s="274"/>
      <c r="N202" s="272"/>
      <c r="O202" s="272"/>
      <c r="P202" s="274"/>
      <c r="Q202" s="274"/>
      <c r="R202" s="274"/>
      <c r="S202" s="274"/>
      <c r="T202" s="274"/>
      <c r="U202" s="274"/>
      <c r="V202" s="274"/>
      <c r="W202" s="275" t="str">
        <f>VERSION</f>
        <v>Custom Prescriptive Application v3.7.1</v>
      </c>
      <c r="X202" s="274"/>
      <c r="Y202" s="274"/>
      <c r="Z202" s="274"/>
      <c r="AA202" s="274"/>
      <c r="AB202" s="274"/>
      <c r="AC202" s="274"/>
      <c r="AD202" s="274"/>
      <c r="AE202" s="272"/>
      <c r="AF202" s="272"/>
      <c r="AG202" s="272"/>
      <c r="AH202" s="272"/>
      <c r="AI202" s="272"/>
      <c r="AJ202" s="272"/>
      <c r="AK202" s="272"/>
      <c r="AL202" s="272"/>
      <c r="AM202" s="272"/>
      <c r="AN202" s="272"/>
      <c r="AO202" s="272"/>
      <c r="AP202" s="272"/>
      <c r="AQ202" s="272"/>
      <c r="AR202" s="273" t="str">
        <f>FOOT6</f>
        <v>Product of TRC</v>
      </c>
    </row>
  </sheetData>
  <sheetProtection algorithmName="SHA-512" hashValue="Hm4gkf8/SXRuDLvBDg07ieKTNeHjYPaiE7crCvla9oTijA/HoUEkhMxSXsKPqkzR0tyFvsNnc25z/Fg12oSO/A==" saltValue="hmWyvKOT0zTzpSj/IB4BSQ==" spinCount="100000" sheet="1" objects="1" scenarios="1" selectLockedCells="1"/>
  <mergeCells count="651">
    <mergeCell ref="BD52:BD53"/>
    <mergeCell ref="BE52:BE53"/>
    <mergeCell ref="BF52:BF53"/>
    <mergeCell ref="BG52:BG53"/>
    <mergeCell ref="AU54:AU55"/>
    <mergeCell ref="AV54:AV55"/>
    <mergeCell ref="AW54:AW55"/>
    <mergeCell ref="AX54:AX55"/>
    <mergeCell ref="AY54:AY55"/>
    <mergeCell ref="AZ54:AZ55"/>
    <mergeCell ref="BA54:BA55"/>
    <mergeCell ref="BB54:BB55"/>
    <mergeCell ref="BC54:BC55"/>
    <mergeCell ref="BD54:BD55"/>
    <mergeCell ref="BE54:BE55"/>
    <mergeCell ref="BF54:BF55"/>
    <mergeCell ref="BG54:BG55"/>
    <mergeCell ref="AU52:AU53"/>
    <mergeCell ref="AV52:AV53"/>
    <mergeCell ref="AW52:AW53"/>
    <mergeCell ref="AX52:AX53"/>
    <mergeCell ref="AY52:AY53"/>
    <mergeCell ref="AZ52:AZ53"/>
    <mergeCell ref="BA52:BA53"/>
    <mergeCell ref="BB52:BB53"/>
    <mergeCell ref="BC52:BC53"/>
    <mergeCell ref="BD48:BD49"/>
    <mergeCell ref="BE48:BE49"/>
    <mergeCell ref="BF48:BF49"/>
    <mergeCell ref="BG48:BG49"/>
    <mergeCell ref="AU50:AU51"/>
    <mergeCell ref="AV50:AV51"/>
    <mergeCell ref="AW50:AW51"/>
    <mergeCell ref="AX50:AX51"/>
    <mergeCell ref="AY50:AY51"/>
    <mergeCell ref="AZ50:AZ51"/>
    <mergeCell ref="BA50:BA51"/>
    <mergeCell ref="BB50:BB51"/>
    <mergeCell ref="BC50:BC51"/>
    <mergeCell ref="BD50:BD51"/>
    <mergeCell ref="BE50:BE51"/>
    <mergeCell ref="BF50:BF51"/>
    <mergeCell ref="BG50:BG51"/>
    <mergeCell ref="AU48:AU49"/>
    <mergeCell ref="AV48:AV49"/>
    <mergeCell ref="AW48:AW49"/>
    <mergeCell ref="AX48:AX49"/>
    <mergeCell ref="AY48:AY49"/>
    <mergeCell ref="AZ48:AZ49"/>
    <mergeCell ref="BA48:BA49"/>
    <mergeCell ref="BB48:BB49"/>
    <mergeCell ref="BC48:BC49"/>
    <mergeCell ref="BD44:BD45"/>
    <mergeCell ref="BE44:BE45"/>
    <mergeCell ref="BF44:BF45"/>
    <mergeCell ref="BG44:BG45"/>
    <mergeCell ref="AU46:AU47"/>
    <mergeCell ref="AV46:AV47"/>
    <mergeCell ref="AW46:AW47"/>
    <mergeCell ref="AX46:AX47"/>
    <mergeCell ref="AY46:AY47"/>
    <mergeCell ref="AZ46:AZ47"/>
    <mergeCell ref="BA46:BA47"/>
    <mergeCell ref="BB46:BB47"/>
    <mergeCell ref="BC46:BC47"/>
    <mergeCell ref="BD46:BD47"/>
    <mergeCell ref="BE46:BE47"/>
    <mergeCell ref="BF46:BF47"/>
    <mergeCell ref="BG46:BG47"/>
    <mergeCell ref="AU44:AU45"/>
    <mergeCell ref="AV44:AV45"/>
    <mergeCell ref="AW44:AW45"/>
    <mergeCell ref="AX44:AX45"/>
    <mergeCell ref="AY44:AY45"/>
    <mergeCell ref="AZ44:AZ45"/>
    <mergeCell ref="BA44:BA45"/>
    <mergeCell ref="BB44:BB45"/>
    <mergeCell ref="BC44:BC45"/>
    <mergeCell ref="BD40:BD41"/>
    <mergeCell ref="BE40:BE41"/>
    <mergeCell ref="BF40:BF41"/>
    <mergeCell ref="BG40:BG41"/>
    <mergeCell ref="AU42:AU43"/>
    <mergeCell ref="AV42:AV43"/>
    <mergeCell ref="AW42:AW43"/>
    <mergeCell ref="AX42:AX43"/>
    <mergeCell ref="AY42:AY43"/>
    <mergeCell ref="AZ42:AZ43"/>
    <mergeCell ref="BA42:BA43"/>
    <mergeCell ref="BB42:BB43"/>
    <mergeCell ref="BC42:BC43"/>
    <mergeCell ref="BD42:BD43"/>
    <mergeCell ref="BE42:BE43"/>
    <mergeCell ref="BF42:BF43"/>
    <mergeCell ref="BG42:BG43"/>
    <mergeCell ref="AU40:AU41"/>
    <mergeCell ref="AV40:AV41"/>
    <mergeCell ref="AW40:AW41"/>
    <mergeCell ref="AX40:AX41"/>
    <mergeCell ref="AY40:AY41"/>
    <mergeCell ref="AZ40:AZ41"/>
    <mergeCell ref="BA40:BA41"/>
    <mergeCell ref="BB40:BB41"/>
    <mergeCell ref="BC40:BC41"/>
    <mergeCell ref="BG36:BG37"/>
    <mergeCell ref="AU38:AU39"/>
    <mergeCell ref="AV38:AV39"/>
    <mergeCell ref="AW38:AW39"/>
    <mergeCell ref="AX38:AX39"/>
    <mergeCell ref="AY38:AY39"/>
    <mergeCell ref="AZ38:AZ39"/>
    <mergeCell ref="BA38:BA39"/>
    <mergeCell ref="BB38:BB39"/>
    <mergeCell ref="BC38:BC39"/>
    <mergeCell ref="BD38:BD39"/>
    <mergeCell ref="BE38:BE39"/>
    <mergeCell ref="BF38:BF39"/>
    <mergeCell ref="BG38:BG39"/>
    <mergeCell ref="AX36:AX37"/>
    <mergeCell ref="AY36:AY37"/>
    <mergeCell ref="AZ36:AZ37"/>
    <mergeCell ref="BA36:BA37"/>
    <mergeCell ref="BB36:BB37"/>
    <mergeCell ref="BC36:BC37"/>
    <mergeCell ref="BD36:BD37"/>
    <mergeCell ref="BE36:BE37"/>
    <mergeCell ref="BF36:BF37"/>
    <mergeCell ref="AY34:AY35"/>
    <mergeCell ref="AZ34:AZ35"/>
    <mergeCell ref="BA34:BA35"/>
    <mergeCell ref="BB34:BB35"/>
    <mergeCell ref="BC34:BC35"/>
    <mergeCell ref="BD34:BD35"/>
    <mergeCell ref="BE34:BE35"/>
    <mergeCell ref="BF34:BF35"/>
    <mergeCell ref="BG34:BG35"/>
    <mergeCell ref="AY32:AY33"/>
    <mergeCell ref="AZ32:AZ33"/>
    <mergeCell ref="BA32:BA33"/>
    <mergeCell ref="BB32:BB33"/>
    <mergeCell ref="BC32:BC33"/>
    <mergeCell ref="BD32:BD33"/>
    <mergeCell ref="BE32:BE33"/>
    <mergeCell ref="BF32:BF33"/>
    <mergeCell ref="BG32:BG33"/>
    <mergeCell ref="AY30:AY31"/>
    <mergeCell ref="AZ30:AZ31"/>
    <mergeCell ref="BA30:BA31"/>
    <mergeCell ref="BB30:BB31"/>
    <mergeCell ref="BC30:BC31"/>
    <mergeCell ref="BD30:BD31"/>
    <mergeCell ref="BE30:BE31"/>
    <mergeCell ref="BF30:BF31"/>
    <mergeCell ref="BG30:BG31"/>
    <mergeCell ref="AY28:AY29"/>
    <mergeCell ref="AZ28:AZ29"/>
    <mergeCell ref="BA28:BA29"/>
    <mergeCell ref="BB28:BB29"/>
    <mergeCell ref="BC28:BC29"/>
    <mergeCell ref="BD28:BD29"/>
    <mergeCell ref="BE28:BE29"/>
    <mergeCell ref="BF28:BF29"/>
    <mergeCell ref="BG28:BG29"/>
    <mergeCell ref="AN46:AQ47"/>
    <mergeCell ref="AN48:AQ49"/>
    <mergeCell ref="AN50:AQ51"/>
    <mergeCell ref="AN52:AQ53"/>
    <mergeCell ref="AN54:AQ55"/>
    <mergeCell ref="AU28:AU29"/>
    <mergeCell ref="AV28:AV29"/>
    <mergeCell ref="AW28:AW29"/>
    <mergeCell ref="AX28:AX29"/>
    <mergeCell ref="AU30:AU31"/>
    <mergeCell ref="AV30:AV31"/>
    <mergeCell ref="AW30:AW31"/>
    <mergeCell ref="AX30:AX31"/>
    <mergeCell ref="AU32:AU33"/>
    <mergeCell ref="AV32:AV33"/>
    <mergeCell ref="AW32:AW33"/>
    <mergeCell ref="AX32:AX33"/>
    <mergeCell ref="AU34:AU35"/>
    <mergeCell ref="AV34:AV35"/>
    <mergeCell ref="AW34:AW35"/>
    <mergeCell ref="AX34:AX35"/>
    <mergeCell ref="AU36:AU37"/>
    <mergeCell ref="AV36:AV37"/>
    <mergeCell ref="AW36:AW37"/>
    <mergeCell ref="AN28:AQ29"/>
    <mergeCell ref="AN30:AQ31"/>
    <mergeCell ref="AN32:AQ33"/>
    <mergeCell ref="AN34:AQ35"/>
    <mergeCell ref="AN36:AQ37"/>
    <mergeCell ref="AN38:AQ39"/>
    <mergeCell ref="AN40:AQ41"/>
    <mergeCell ref="AN42:AQ43"/>
    <mergeCell ref="AN44:AQ45"/>
    <mergeCell ref="AK46:AM47"/>
    <mergeCell ref="AK48:AM49"/>
    <mergeCell ref="AK50:AM51"/>
    <mergeCell ref="AK52:AM53"/>
    <mergeCell ref="AK54:AM55"/>
    <mergeCell ref="AH28:AJ29"/>
    <mergeCell ref="AH30:AJ31"/>
    <mergeCell ref="AH32:AJ33"/>
    <mergeCell ref="AH34:AJ35"/>
    <mergeCell ref="AH36:AJ37"/>
    <mergeCell ref="AK28:AM29"/>
    <mergeCell ref="AK30:AM31"/>
    <mergeCell ref="AK32:AM33"/>
    <mergeCell ref="AK34:AM35"/>
    <mergeCell ref="AK36:AM37"/>
    <mergeCell ref="AK38:AM39"/>
    <mergeCell ref="AK40:AM41"/>
    <mergeCell ref="AK42:AM43"/>
    <mergeCell ref="AK44:AM45"/>
    <mergeCell ref="AH38:AJ39"/>
    <mergeCell ref="AH40:AJ41"/>
    <mergeCell ref="AH42:AJ43"/>
    <mergeCell ref="AH44:AJ45"/>
    <mergeCell ref="AH46:AJ47"/>
    <mergeCell ref="AD46:AE47"/>
    <mergeCell ref="AD48:AE49"/>
    <mergeCell ref="AD50:AE51"/>
    <mergeCell ref="AD52:AE53"/>
    <mergeCell ref="AD54:AE55"/>
    <mergeCell ref="AF46:AG47"/>
    <mergeCell ref="AF48:AG49"/>
    <mergeCell ref="AF50:AG51"/>
    <mergeCell ref="AF52:AG53"/>
    <mergeCell ref="AF54:AG55"/>
    <mergeCell ref="AH48:AJ49"/>
    <mergeCell ref="AH50:AJ51"/>
    <mergeCell ref="AH52:AJ53"/>
    <mergeCell ref="AH54:AJ55"/>
    <mergeCell ref="AF28:AG29"/>
    <mergeCell ref="AF30:AG31"/>
    <mergeCell ref="AF32:AG33"/>
    <mergeCell ref="AF34:AG35"/>
    <mergeCell ref="AF36:AG37"/>
    <mergeCell ref="AF38:AG39"/>
    <mergeCell ref="AF40:AG41"/>
    <mergeCell ref="AF42:AG43"/>
    <mergeCell ref="AF44:AG45"/>
    <mergeCell ref="AD28:AE29"/>
    <mergeCell ref="AD30:AE31"/>
    <mergeCell ref="AD32:AE33"/>
    <mergeCell ref="AD34:AE35"/>
    <mergeCell ref="AD36:AE37"/>
    <mergeCell ref="AD38:AE39"/>
    <mergeCell ref="AD40:AE41"/>
    <mergeCell ref="AD42:AE43"/>
    <mergeCell ref="AD44:AE45"/>
    <mergeCell ref="AA46:AC47"/>
    <mergeCell ref="AA48:AC49"/>
    <mergeCell ref="AA50:AC51"/>
    <mergeCell ref="AA52:AC53"/>
    <mergeCell ref="AA54:AC55"/>
    <mergeCell ref="Y28:Z29"/>
    <mergeCell ref="Y30:Z31"/>
    <mergeCell ref="Y32:Z33"/>
    <mergeCell ref="Y34:Z35"/>
    <mergeCell ref="Y36:Z37"/>
    <mergeCell ref="AA28:AC29"/>
    <mergeCell ref="AA30:AC31"/>
    <mergeCell ref="AA32:AC33"/>
    <mergeCell ref="AA34:AC35"/>
    <mergeCell ref="AA36:AC37"/>
    <mergeCell ref="AA38:AC39"/>
    <mergeCell ref="AA40:AC41"/>
    <mergeCell ref="AA42:AC43"/>
    <mergeCell ref="AA44:AC45"/>
    <mergeCell ref="Y38:Z39"/>
    <mergeCell ref="Y40:Z41"/>
    <mergeCell ref="Y42:Z43"/>
    <mergeCell ref="Y44:Z45"/>
    <mergeCell ref="Y46:Z47"/>
    <mergeCell ref="Q46:R47"/>
    <mergeCell ref="Q48:R49"/>
    <mergeCell ref="Q50:R51"/>
    <mergeCell ref="Q52:R53"/>
    <mergeCell ref="Q54:R55"/>
    <mergeCell ref="S46:X47"/>
    <mergeCell ref="S48:X49"/>
    <mergeCell ref="S50:X51"/>
    <mergeCell ref="S52:X53"/>
    <mergeCell ref="S54:X55"/>
    <mergeCell ref="Y48:Z49"/>
    <mergeCell ref="Y50:Z51"/>
    <mergeCell ref="Y52:Z53"/>
    <mergeCell ref="Y54:Z55"/>
    <mergeCell ref="S28:X29"/>
    <mergeCell ref="S30:X31"/>
    <mergeCell ref="S32:X33"/>
    <mergeCell ref="S34:X35"/>
    <mergeCell ref="S36:X37"/>
    <mergeCell ref="S38:X39"/>
    <mergeCell ref="S40:X41"/>
    <mergeCell ref="S42:X43"/>
    <mergeCell ref="S44:X45"/>
    <mergeCell ref="Q28:R29"/>
    <mergeCell ref="Q30:R31"/>
    <mergeCell ref="Q32:R33"/>
    <mergeCell ref="Q34:R35"/>
    <mergeCell ref="Q36:R37"/>
    <mergeCell ref="Q38:R39"/>
    <mergeCell ref="Q40:R41"/>
    <mergeCell ref="Q42:R43"/>
    <mergeCell ref="Q44:R45"/>
    <mergeCell ref="L52:M53"/>
    <mergeCell ref="L54:M55"/>
    <mergeCell ref="N28:P29"/>
    <mergeCell ref="N30:P31"/>
    <mergeCell ref="N32:P33"/>
    <mergeCell ref="N34:P35"/>
    <mergeCell ref="N36:P37"/>
    <mergeCell ref="N38:P39"/>
    <mergeCell ref="N40:P41"/>
    <mergeCell ref="N42:P43"/>
    <mergeCell ref="N44:P45"/>
    <mergeCell ref="N46:P47"/>
    <mergeCell ref="N48:P49"/>
    <mergeCell ref="N50:P51"/>
    <mergeCell ref="N52:P53"/>
    <mergeCell ref="N54:P55"/>
    <mergeCell ref="L28:M29"/>
    <mergeCell ref="L30:M31"/>
    <mergeCell ref="L32:M33"/>
    <mergeCell ref="L34:M35"/>
    <mergeCell ref="L36:M37"/>
    <mergeCell ref="BF20:BF21"/>
    <mergeCell ref="BF22:BF23"/>
    <mergeCell ref="BF24:BF25"/>
    <mergeCell ref="BF26:BF27"/>
    <mergeCell ref="AW26:AW27"/>
    <mergeCell ref="BC16:BC17"/>
    <mergeCell ref="BC18:BC19"/>
    <mergeCell ref="BC20:BC21"/>
    <mergeCell ref="BC22:BC23"/>
    <mergeCell ref="BC24:BC25"/>
    <mergeCell ref="BC26:BC27"/>
    <mergeCell ref="BB16:BB17"/>
    <mergeCell ref="BC14:BC15"/>
    <mergeCell ref="AW14:AW15"/>
    <mergeCell ref="BB18:BB19"/>
    <mergeCell ref="BB20:BB21"/>
    <mergeCell ref="BB22:BB23"/>
    <mergeCell ref="BB24:BB25"/>
    <mergeCell ref="BB26:BB27"/>
    <mergeCell ref="AZ18:AZ19"/>
    <mergeCell ref="AZ20:AZ21"/>
    <mergeCell ref="AY18:AY19"/>
    <mergeCell ref="AX18:AX19"/>
    <mergeCell ref="AX26:AX27"/>
    <mergeCell ref="AY24:AY25"/>
    <mergeCell ref="AZ26:AZ27"/>
    <mergeCell ref="AZ22:AZ23"/>
    <mergeCell ref="AZ24:AZ25"/>
    <mergeCell ref="AY22:AY23"/>
    <mergeCell ref="AY26:AY27"/>
    <mergeCell ref="AX22:AX23"/>
    <mergeCell ref="AX24:AX25"/>
    <mergeCell ref="BA26:BA27"/>
    <mergeCell ref="BB14:BB15"/>
    <mergeCell ref="BA14:BA15"/>
    <mergeCell ref="AZ14:AZ15"/>
    <mergeCell ref="AU24:AU25"/>
    <mergeCell ref="AV24:AV25"/>
    <mergeCell ref="BA16:BA17"/>
    <mergeCell ref="BA18:BA19"/>
    <mergeCell ref="BA20:BA21"/>
    <mergeCell ref="BA22:BA23"/>
    <mergeCell ref="BA24:BA25"/>
    <mergeCell ref="AY20:AY21"/>
    <mergeCell ref="AX20:AX21"/>
    <mergeCell ref="AW16:AW17"/>
    <mergeCell ref="AW18:AW19"/>
    <mergeCell ref="AW20:AW21"/>
    <mergeCell ref="AW22:AW23"/>
    <mergeCell ref="AW24:AW25"/>
    <mergeCell ref="AZ16:AZ17"/>
    <mergeCell ref="AY14:AY15"/>
    <mergeCell ref="AD15:AE15"/>
    <mergeCell ref="AF15:AG15"/>
    <mergeCell ref="AD14:AG14"/>
    <mergeCell ref="AH16:AJ17"/>
    <mergeCell ref="AN16:AQ17"/>
    <mergeCell ref="AK16:AM17"/>
    <mergeCell ref="AU16:AU17"/>
    <mergeCell ref="AV16:AV17"/>
    <mergeCell ref="AY16:AY17"/>
    <mergeCell ref="AV200:AV201"/>
    <mergeCell ref="AH20:AJ21"/>
    <mergeCell ref="AN20:AQ21"/>
    <mergeCell ref="AK20:AM21"/>
    <mergeCell ref="AU20:AU21"/>
    <mergeCell ref="AV20:AV21"/>
    <mergeCell ref="AX14:AX15"/>
    <mergeCell ref="AX16:AX17"/>
    <mergeCell ref="AU14:AU15"/>
    <mergeCell ref="AV14:AV15"/>
    <mergeCell ref="AH26:AJ27"/>
    <mergeCell ref="AN26:AQ27"/>
    <mergeCell ref="AK26:AM27"/>
    <mergeCell ref="AU26:AU27"/>
    <mergeCell ref="AV26:AV27"/>
    <mergeCell ref="AH24:AJ25"/>
    <mergeCell ref="AK18:AM19"/>
    <mergeCell ref="AH22:AJ23"/>
    <mergeCell ref="AN22:AQ23"/>
    <mergeCell ref="AK22:AM23"/>
    <mergeCell ref="AU22:AU23"/>
    <mergeCell ref="AV22:AV23"/>
    <mergeCell ref="AN24:AQ25"/>
    <mergeCell ref="AK24:AM25"/>
    <mergeCell ref="R9:AC10"/>
    <mergeCell ref="F14:K15"/>
    <mergeCell ref="AH14:AJ15"/>
    <mergeCell ref="AN14:AQ15"/>
    <mergeCell ref="AK14:AM15"/>
    <mergeCell ref="R12:U13"/>
    <mergeCell ref="V12:Y13"/>
    <mergeCell ref="Z12:AC13"/>
    <mergeCell ref="AH1:AK1"/>
    <mergeCell ref="AL1:AP1"/>
    <mergeCell ref="AH2:AK3"/>
    <mergeCell ref="AL2:AP3"/>
    <mergeCell ref="Q14:R15"/>
    <mergeCell ref="N15:P15"/>
    <mergeCell ref="L15:M15"/>
    <mergeCell ref="L14:P14"/>
    <mergeCell ref="S14:X15"/>
    <mergeCell ref="Y15:Z15"/>
    <mergeCell ref="AA15:AC15"/>
    <mergeCell ref="Y14:AC14"/>
    <mergeCell ref="AQ1:AR1"/>
    <mergeCell ref="AQ2:AR3"/>
    <mergeCell ref="M200:AG201"/>
    <mergeCell ref="B198:B199"/>
    <mergeCell ref="B186:B187"/>
    <mergeCell ref="B188:B189"/>
    <mergeCell ref="B190:B191"/>
    <mergeCell ref="B192:B193"/>
    <mergeCell ref="B194:B195"/>
    <mergeCell ref="B196:B197"/>
    <mergeCell ref="B184:B185"/>
    <mergeCell ref="B180:B181"/>
    <mergeCell ref="B182:B183"/>
    <mergeCell ref="B160:B161"/>
    <mergeCell ref="B138:B139"/>
    <mergeCell ref="B140:B141"/>
    <mergeCell ref="B142:B143"/>
    <mergeCell ref="B144:B145"/>
    <mergeCell ref="B146:B147"/>
    <mergeCell ref="B148:B149"/>
    <mergeCell ref="B150:B151"/>
    <mergeCell ref="B152:B153"/>
    <mergeCell ref="B154:B155"/>
    <mergeCell ref="B156:B157"/>
    <mergeCell ref="B158:B159"/>
    <mergeCell ref="B162:B163"/>
    <mergeCell ref="B164:B165"/>
    <mergeCell ref="B166:B167"/>
    <mergeCell ref="B168:B169"/>
    <mergeCell ref="B170:B171"/>
    <mergeCell ref="B172:B173"/>
    <mergeCell ref="B174:B175"/>
    <mergeCell ref="B176:B177"/>
    <mergeCell ref="B178:B179"/>
    <mergeCell ref="B136:B137"/>
    <mergeCell ref="B114:B115"/>
    <mergeCell ref="B116:B117"/>
    <mergeCell ref="B118:B119"/>
    <mergeCell ref="B120:B121"/>
    <mergeCell ref="B122:B123"/>
    <mergeCell ref="B124:B125"/>
    <mergeCell ref="B126:B127"/>
    <mergeCell ref="B128:B129"/>
    <mergeCell ref="B130:B131"/>
    <mergeCell ref="B132:B133"/>
    <mergeCell ref="B134:B135"/>
    <mergeCell ref="B112:B113"/>
    <mergeCell ref="B90:B91"/>
    <mergeCell ref="B92:B93"/>
    <mergeCell ref="B94:B95"/>
    <mergeCell ref="B96:B97"/>
    <mergeCell ref="B98:B99"/>
    <mergeCell ref="B100:B101"/>
    <mergeCell ref="B102:B103"/>
    <mergeCell ref="B104:B105"/>
    <mergeCell ref="B106:B107"/>
    <mergeCell ref="B108:B109"/>
    <mergeCell ref="B110:B111"/>
    <mergeCell ref="B88:B89"/>
    <mergeCell ref="B66:B67"/>
    <mergeCell ref="B68:B69"/>
    <mergeCell ref="B70:B71"/>
    <mergeCell ref="B72:B73"/>
    <mergeCell ref="B74:B75"/>
    <mergeCell ref="B76:B77"/>
    <mergeCell ref="B78:B79"/>
    <mergeCell ref="B80:B81"/>
    <mergeCell ref="B82:B83"/>
    <mergeCell ref="B84:B85"/>
    <mergeCell ref="B86:B87"/>
    <mergeCell ref="F22:K23"/>
    <mergeCell ref="F24:K25"/>
    <mergeCell ref="F26:K27"/>
    <mergeCell ref="L20:M21"/>
    <mergeCell ref="L22:M23"/>
    <mergeCell ref="L24:M25"/>
    <mergeCell ref="B42:B43"/>
    <mergeCell ref="B44:B45"/>
    <mergeCell ref="B46:B47"/>
    <mergeCell ref="F28:K29"/>
    <mergeCell ref="F30:K31"/>
    <mergeCell ref="F32:K33"/>
    <mergeCell ref="F34:K35"/>
    <mergeCell ref="F36:K37"/>
    <mergeCell ref="F38:K39"/>
    <mergeCell ref="F40:K41"/>
    <mergeCell ref="F42:K43"/>
    <mergeCell ref="F44:K45"/>
    <mergeCell ref="F46:K47"/>
    <mergeCell ref="L38:M39"/>
    <mergeCell ref="L40:M41"/>
    <mergeCell ref="L42:M43"/>
    <mergeCell ref="L44:M45"/>
    <mergeCell ref="C40:E41"/>
    <mergeCell ref="B48:B49"/>
    <mergeCell ref="B50:B51"/>
    <mergeCell ref="B52:B53"/>
    <mergeCell ref="B54:B55"/>
    <mergeCell ref="B40:B41"/>
    <mergeCell ref="L26:M27"/>
    <mergeCell ref="B28:B29"/>
    <mergeCell ref="B30:B31"/>
    <mergeCell ref="B32:B33"/>
    <mergeCell ref="B34:B35"/>
    <mergeCell ref="C50:E51"/>
    <mergeCell ref="C52:E53"/>
    <mergeCell ref="C54:E55"/>
    <mergeCell ref="F48:K49"/>
    <mergeCell ref="F50:K51"/>
    <mergeCell ref="F52:K53"/>
    <mergeCell ref="F54:K55"/>
    <mergeCell ref="C42:E43"/>
    <mergeCell ref="C44:E45"/>
    <mergeCell ref="C46:E47"/>
    <mergeCell ref="C48:E49"/>
    <mergeCell ref="L46:M47"/>
    <mergeCell ref="L48:M49"/>
    <mergeCell ref="L50:M51"/>
    <mergeCell ref="B18:B19"/>
    <mergeCell ref="B20:B21"/>
    <mergeCell ref="B22:B23"/>
    <mergeCell ref="B24:B25"/>
    <mergeCell ref="B26:B27"/>
    <mergeCell ref="B36:B37"/>
    <mergeCell ref="B38:B39"/>
    <mergeCell ref="C20:E21"/>
    <mergeCell ref="C22:E23"/>
    <mergeCell ref="C24:E25"/>
    <mergeCell ref="C26:E27"/>
    <mergeCell ref="C18:E19"/>
    <mergeCell ref="C28:E29"/>
    <mergeCell ref="C30:E31"/>
    <mergeCell ref="C32:E33"/>
    <mergeCell ref="C34:E35"/>
    <mergeCell ref="C36:E37"/>
    <mergeCell ref="C38:E39"/>
    <mergeCell ref="B16:B17"/>
    <mergeCell ref="R11:U11"/>
    <mergeCell ref="V11:Y11"/>
    <mergeCell ref="Z11:AC11"/>
    <mergeCell ref="C14:E15"/>
    <mergeCell ref="C16:E17"/>
    <mergeCell ref="AD16:AE17"/>
    <mergeCell ref="AF16:AG17"/>
    <mergeCell ref="N16:P17"/>
    <mergeCell ref="Q16:R17"/>
    <mergeCell ref="Y16:Z17"/>
    <mergeCell ref="AA16:AC17"/>
    <mergeCell ref="S16:X17"/>
    <mergeCell ref="L18:M19"/>
    <mergeCell ref="Q18:R19"/>
    <mergeCell ref="AA18:AC19"/>
    <mergeCell ref="F18:K19"/>
    <mergeCell ref="F20:K21"/>
    <mergeCell ref="F16:K17"/>
    <mergeCell ref="L16:M17"/>
    <mergeCell ref="S18:X19"/>
    <mergeCell ref="AV18:AV19"/>
    <mergeCell ref="AU18:AU19"/>
    <mergeCell ref="AH18:AJ19"/>
    <mergeCell ref="AN18:AQ19"/>
    <mergeCell ref="N18:P19"/>
    <mergeCell ref="N20:P21"/>
    <mergeCell ref="S20:X21"/>
    <mergeCell ref="Y20:Z21"/>
    <mergeCell ref="Y18:Z19"/>
    <mergeCell ref="AA20:AC21"/>
    <mergeCell ref="AD18:AE19"/>
    <mergeCell ref="AF18:AG19"/>
    <mergeCell ref="AD20:AE21"/>
    <mergeCell ref="AF20:AG21"/>
    <mergeCell ref="BG24:BG25"/>
    <mergeCell ref="BE26:BE27"/>
    <mergeCell ref="BG26:BG27"/>
    <mergeCell ref="BD18:BD19"/>
    <mergeCell ref="BD20:BD21"/>
    <mergeCell ref="BE16:BE17"/>
    <mergeCell ref="BD14:BD15"/>
    <mergeCell ref="BD22:BD23"/>
    <mergeCell ref="BD24:BD25"/>
    <mergeCell ref="BE14:BE15"/>
    <mergeCell ref="BG14:BG15"/>
    <mergeCell ref="BD16:BD17"/>
    <mergeCell ref="BG16:BG17"/>
    <mergeCell ref="BE18:BE19"/>
    <mergeCell ref="BG18:BG19"/>
    <mergeCell ref="BE20:BE21"/>
    <mergeCell ref="BG20:BG21"/>
    <mergeCell ref="BE22:BE23"/>
    <mergeCell ref="BG22:BG23"/>
    <mergeCell ref="BD26:BD27"/>
    <mergeCell ref="BE24:BE25"/>
    <mergeCell ref="BF14:BF15"/>
    <mergeCell ref="BF16:BF17"/>
    <mergeCell ref="BF18:BF19"/>
    <mergeCell ref="N22:P23"/>
    <mergeCell ref="N24:P25"/>
    <mergeCell ref="N26:P27"/>
    <mergeCell ref="Q20:R21"/>
    <mergeCell ref="Q22:R23"/>
    <mergeCell ref="Q24:R25"/>
    <mergeCell ref="Q26:R27"/>
    <mergeCell ref="AF22:AG23"/>
    <mergeCell ref="AD24:AE25"/>
    <mergeCell ref="AF24:AG25"/>
    <mergeCell ref="AD26:AE27"/>
    <mergeCell ref="AF26:AG27"/>
    <mergeCell ref="S22:X23"/>
    <mergeCell ref="S24:X25"/>
    <mergeCell ref="S26:X27"/>
    <mergeCell ref="Y22:Z23"/>
    <mergeCell ref="Y24:Z25"/>
    <mergeCell ref="Y26:Z27"/>
    <mergeCell ref="AA22:AC23"/>
    <mergeCell ref="AA24:AC25"/>
    <mergeCell ref="AA26:AC27"/>
    <mergeCell ref="AD22:AE23"/>
  </mergeCells>
  <conditionalFormatting sqref="Q16:R55">
    <cfRule type="expression" dxfId="120" priority="13">
      <formula>Q16&lt;&gt;INDEX(LPDOPHR,MATCH(F16,LPDSPACE,0))</formula>
    </cfRule>
  </conditionalFormatting>
  <conditionalFormatting sqref="S16 C16:E55 Q16:R55 AF16:AG55 S18 S20 S22 S24 S26 S28 S30 S32 S34 S36 S38 S40 S42 S44 S46 S48 S50 S52 S54">
    <cfRule type="expression" dxfId="119" priority="1">
      <formula>AND(($F16="")=FALSE, ISBLANK(C16)=TRUE)</formula>
    </cfRule>
  </conditionalFormatting>
  <conditionalFormatting sqref="AH2 AL2">
    <cfRule type="expression" dxfId="118" priority="14">
      <formula>PROJSTATUS=PROJSTATELI</formula>
    </cfRule>
    <cfRule type="expression" dxfId="117" priority="15">
      <formula>PROJSTATUS=PROJSTATREVIEW</formula>
    </cfRule>
    <cfRule type="expression" dxfId="116" priority="19">
      <formula>PROJSTATUS=PROJSTATPREAPPROVE</formula>
    </cfRule>
    <cfRule type="expression" dxfId="115" priority="20">
      <formula>PROJSTATUS=PROJSTATSTANDARD</formula>
    </cfRule>
    <cfRule type="expression" dxfId="114" priority="21">
      <formula>PROJSTATUS=PROJSTATEXP</formula>
    </cfRule>
  </conditionalFormatting>
  <conditionalFormatting sqref="AN16 AN18 AN20 AN22 AN24 AN26 AN28 AN30 AN32 AN34 AN36 AN38 AN40 AN42 AN44 AN46 AN48 AN50 AN52 AN54">
    <cfRule type="expression" dxfId="113" priority="50">
      <formula>ISNUMBER(AN16)=FALSE</formula>
    </cfRule>
  </conditionalFormatting>
  <conditionalFormatting sqref="AQ2:AR3">
    <cfRule type="cellIs" dxfId="112" priority="16" operator="equal">
      <formula>1</formula>
    </cfRule>
    <cfRule type="cellIs" dxfId="111" priority="17" operator="between">
      <formula>0.51</formula>
      <formula>0.99</formula>
    </cfRule>
    <cfRule type="cellIs" dxfId="110" priority="18" operator="lessThanOrEqual">
      <formula>0.5</formula>
    </cfRule>
  </conditionalFormatting>
  <dataValidations xWindow="920" yWindow="669" count="8">
    <dataValidation allowBlank="1" showErrorMessage="1" prompt="Select the project type using the dropdown._x000a__x000a_Select whether you are replacing existing working equipment/controls or purchasing new equipment/replace failed equipment._x000a__x000a_If you want to change this field, delete the data in the &quot;Measure Type&quot; field first." sqref="C16:E55" xr:uid="{00000000-0002-0000-1D00-000000000000}"/>
    <dataValidation allowBlank="1" showErrorMessage="1" prompt="Baseline Detail is the equipment currently present that is being replaced._x000a__x000a_For New or Failed Replacement, this is the code-minimum equipment or control strategy that could be installed in lieu of the more efficient option." sqref="L16:M55" xr:uid="{00000000-0002-0000-1D00-000001000000}"/>
    <dataValidation type="decimal" operator="lessThanOrEqual" allowBlank="1" showInputMessage="1" showErrorMessage="1" prompt="Annual Operating Hours of Lighting" sqref="Q26 Q16 Q18 Q54 Q22 Q24 Q28 Q30 Q32 Q34 Q36 Q38 Q40 Q42 Q44 Q46 Q48 Q50 Q52 Q20" xr:uid="{00000000-0002-0000-1D00-000002000000}">
      <formula1>8760</formula1>
    </dataValidation>
    <dataValidation allowBlank="1" showErrorMessage="1" error="Please enter a numerical value" sqref="N16:P55" xr:uid="{00000000-0002-0000-1D00-000003000000}"/>
    <dataValidation type="whole" allowBlank="1" showInputMessage="1" error="Please enter a numerical value" sqref="Y16:Z55" xr:uid="{00000000-0002-0000-1D00-000004000000}">
      <formula1>0</formula1>
      <formula2>999999</formula2>
    </dataValidation>
    <dataValidation type="list" allowBlank="1" showInputMessage="1" prompt="Use the Lighting Schedule button above to auto-populate the Building Type, New Equipment Detail, Fixture Wattage, and Fixture Quantity fields for this lighting power density measure." sqref="F16:K55" xr:uid="{00000000-0002-0000-1D00-000005000000}">
      <formula1>LPDSPACE</formula1>
    </dataValidation>
    <dataValidation type="decimal" allowBlank="1" showInputMessage="1" showErrorMessage="1" error="Please enter a numerical value" promptTitle="Baseline Equipment Cost" prompt="If you have a quoted baseline cost for this measure please enter it here.  If unknown incremental material cost will calculate from TRM values." sqref="AD16:AE55" xr:uid="{00000000-0002-0000-1D00-000006000000}">
      <formula1>0</formula1>
      <formula2>999999999</formula2>
    </dataValidation>
    <dataValidation type="decimal" allowBlank="1" showInputMessage="1" showErrorMessage="1" error="Efficient cost should be greater than baseline cost.  If baseline cost unknown please leave blank.  Please enter a numerical value." promptTitle="Efficient Equipment Cost" prompt="Input the total cost of the efficient equipment." sqref="AF16:AG55" xr:uid="{00000000-0002-0000-1D00-000007000000}">
      <formula1>AD16</formula1>
      <formula2>999999999</formula2>
    </dataValidation>
  </dataValidations>
  <hyperlinks>
    <hyperlink ref="B202" r:id="rId1" xr:uid="{51BE48BD-1B2D-47CB-9B7B-46C783634671}"/>
  </hyperlinks>
  <pageMargins left="0.25" right="0.25" top="0.25" bottom="0.25" header="0.25" footer="0.25"/>
  <pageSetup scale="62" fitToHeight="0" orientation="landscape" r:id="rId2"/>
  <drawing r:id="rId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1">
    <pageSetUpPr fitToPage="1"/>
  </sheetPr>
  <dimension ref="A1:AB262"/>
  <sheetViews>
    <sheetView showGridLines="0" showRowColHeaders="0" zoomScale="85" zoomScaleNormal="85" workbookViewId="0">
      <selection activeCell="C3" sqref="C3:D3"/>
    </sheetView>
  </sheetViews>
  <sheetFormatPr defaultColWidth="0" defaultRowHeight="14.25"/>
  <cols>
    <col min="1" max="1" width="3.7109375" style="59" customWidth="1"/>
    <col min="2" max="2" width="4.7109375" style="59" customWidth="1"/>
    <col min="3" max="3" width="26.140625" style="59" customWidth="1"/>
    <col min="4" max="4" width="14" style="59" bestFit="1" customWidth="1"/>
    <col min="5" max="5" width="2.7109375" style="59" customWidth="1"/>
    <col min="6" max="6" width="5.7109375" style="59" customWidth="1"/>
    <col min="7" max="8" width="11.7109375" style="59" bestFit="1" customWidth="1"/>
    <col min="9" max="9" width="2.7109375" style="59" customWidth="1"/>
    <col min="10" max="10" width="3.7109375" style="59" customWidth="1"/>
    <col min="11" max="11" width="4.7109375" style="59" customWidth="1"/>
    <col min="12" max="12" width="24.7109375" style="59" customWidth="1"/>
    <col min="13" max="13" width="13.7109375" style="59" customWidth="1"/>
    <col min="14" max="14" width="2.7109375" style="59" customWidth="1"/>
    <col min="15" max="15" width="5.7109375" style="59" customWidth="1"/>
    <col min="16" max="17" width="11.7109375" style="59" bestFit="1" customWidth="1"/>
    <col min="18" max="18" width="2.7109375" style="59" customWidth="1"/>
    <col min="19" max="19" width="3.7109375" style="59" customWidth="1"/>
    <col min="20" max="20" width="4.7109375" style="59" customWidth="1"/>
    <col min="21" max="21" width="24.7109375" style="59" customWidth="1"/>
    <col min="22" max="22" width="13.7109375" style="59" customWidth="1"/>
    <col min="23" max="23" width="2.7109375" style="59" customWidth="1"/>
    <col min="24" max="24" width="5.7109375" style="59" customWidth="1"/>
    <col min="25" max="26" width="11.7109375" style="59" bestFit="1" customWidth="1"/>
    <col min="27" max="27" width="2.7109375" style="59" customWidth="1"/>
    <col min="28" max="28" width="3.7109375" style="59" customWidth="1"/>
    <col min="29" max="16384" width="9.140625" style="59" hidden="1"/>
  </cols>
  <sheetData>
    <row r="1" spans="1:27" ht="18" customHeight="1">
      <c r="A1" s="214"/>
      <c r="C1" s="362"/>
      <c r="D1" s="362"/>
      <c r="E1" s="362"/>
      <c r="F1" s="1167" t="s">
        <v>1346</v>
      </c>
      <c r="G1" s="1167"/>
      <c r="H1" s="1167"/>
      <c r="I1" s="1167"/>
      <c r="J1" s="1167"/>
      <c r="K1" s="1167"/>
      <c r="L1" s="1167"/>
      <c r="M1" s="1167"/>
      <c r="N1" s="1167"/>
      <c r="O1" s="1167"/>
      <c r="P1" s="1167"/>
      <c r="Q1" s="1167"/>
      <c r="R1" s="1167"/>
      <c r="S1" s="1167"/>
      <c r="T1" s="1167"/>
      <c r="U1" s="1167"/>
      <c r="V1" s="1167"/>
      <c r="W1" s="362"/>
      <c r="X1" s="362"/>
      <c r="Y1" s="362"/>
      <c r="Z1" s="362"/>
      <c r="AA1" s="362"/>
    </row>
    <row r="2" spans="1:27" ht="18" customHeight="1">
      <c r="A2" s="214"/>
      <c r="B2" s="362"/>
      <c r="C2" s="1164" t="s">
        <v>2434</v>
      </c>
      <c r="D2" s="1164"/>
      <c r="E2" s="362"/>
      <c r="F2" s="1167"/>
      <c r="G2" s="1167"/>
      <c r="H2" s="1167"/>
      <c r="I2" s="1167"/>
      <c r="J2" s="1167"/>
      <c r="K2" s="1167"/>
      <c r="L2" s="1167"/>
      <c r="M2" s="1167"/>
      <c r="N2" s="1167"/>
      <c r="O2" s="1167"/>
      <c r="P2" s="1167"/>
      <c r="Q2" s="1167"/>
      <c r="R2" s="1167"/>
      <c r="S2" s="1167"/>
      <c r="T2" s="1167"/>
      <c r="U2" s="1167"/>
      <c r="V2" s="1167"/>
      <c r="X2" s="1168" t="s">
        <v>1347</v>
      </c>
      <c r="Y2" s="1168"/>
      <c r="Z2" s="362"/>
      <c r="AA2" s="362"/>
    </row>
    <row r="3" spans="1:27" ht="18" customHeight="1">
      <c r="A3" s="214"/>
      <c r="C3" s="1165"/>
      <c r="D3" s="1165"/>
      <c r="E3" s="364"/>
      <c r="F3" s="1166" t="s">
        <v>1348</v>
      </c>
      <c r="G3" s="1166"/>
      <c r="H3" s="1166"/>
      <c r="I3" s="1166"/>
      <c r="J3" s="1166"/>
      <c r="K3" s="1166"/>
      <c r="L3" s="1166"/>
      <c r="M3" s="1166"/>
      <c r="N3" s="1166"/>
      <c r="O3" s="1166"/>
      <c r="P3" s="1166"/>
      <c r="Q3" s="1166"/>
      <c r="R3" s="1166"/>
      <c r="S3" s="1166"/>
      <c r="T3" s="1166"/>
      <c r="U3" s="1166"/>
      <c r="V3" s="1166"/>
      <c r="W3" s="365"/>
      <c r="X3" s="1168"/>
      <c r="Y3" s="1168"/>
    </row>
    <row r="4" spans="1:27" ht="15" customHeight="1">
      <c r="A4" s="214"/>
      <c r="B4" s="363"/>
      <c r="C4" s="363"/>
      <c r="D4" s="363"/>
      <c r="E4" s="363"/>
      <c r="F4" s="363"/>
      <c r="G4" s="363"/>
      <c r="H4" s="363"/>
      <c r="I4" s="363"/>
      <c r="J4" s="363"/>
      <c r="K4" s="363"/>
      <c r="L4" s="363"/>
      <c r="M4" s="363"/>
      <c r="N4" s="363"/>
      <c r="O4" s="363"/>
      <c r="P4" s="363"/>
      <c r="Q4" s="363"/>
      <c r="R4" s="363"/>
      <c r="S4" s="363"/>
      <c r="T4" s="363"/>
      <c r="U4" s="363"/>
      <c r="V4" s="363"/>
    </row>
    <row r="5" spans="1:27" ht="9.9499999999999993" customHeight="1">
      <c r="A5" s="214"/>
      <c r="B5" s="215"/>
      <c r="C5" s="216"/>
      <c r="D5" s="216"/>
      <c r="E5" s="216"/>
      <c r="F5" s="216"/>
      <c r="G5" s="216"/>
      <c r="H5" s="216"/>
      <c r="I5" s="217"/>
      <c r="J5" s="218"/>
      <c r="K5" s="215"/>
      <c r="L5" s="216"/>
      <c r="M5" s="216"/>
      <c r="N5" s="216"/>
      <c r="O5" s="216"/>
      <c r="P5" s="216"/>
      <c r="Q5" s="216"/>
      <c r="R5" s="217"/>
      <c r="S5" s="214"/>
      <c r="T5" s="215"/>
      <c r="U5" s="216"/>
      <c r="V5" s="216"/>
      <c r="W5" s="216"/>
      <c r="X5" s="216"/>
      <c r="Y5" s="216"/>
      <c r="Z5" s="216"/>
      <c r="AA5" s="209"/>
    </row>
    <row r="6" spans="1:27" ht="16.5" customHeight="1">
      <c r="B6" s="196"/>
      <c r="C6" s="361" t="s">
        <v>1218</v>
      </c>
      <c r="D6" s="1159"/>
      <c r="E6" s="1159"/>
      <c r="F6" s="1159"/>
      <c r="G6" s="1159"/>
      <c r="H6" s="1159"/>
      <c r="I6" s="198"/>
      <c r="J6"/>
      <c r="K6" s="196"/>
      <c r="L6" s="361" t="s">
        <v>1219</v>
      </c>
      <c r="M6" s="1159"/>
      <c r="N6" s="1159"/>
      <c r="O6" s="1159"/>
      <c r="P6" s="1159"/>
      <c r="Q6" s="1159"/>
      <c r="R6" s="198"/>
      <c r="T6" s="196"/>
      <c r="U6" s="361" t="s">
        <v>1220</v>
      </c>
      <c r="V6" s="1159"/>
      <c r="W6" s="1159"/>
      <c r="X6" s="1159"/>
      <c r="Y6" s="1159"/>
      <c r="Z6" s="1159"/>
      <c r="AA6" s="198"/>
    </row>
    <row r="7" spans="1:27" ht="7.5" customHeight="1">
      <c r="B7" s="196"/>
      <c r="C7" s="195"/>
      <c r="D7" s="195"/>
      <c r="E7" s="195"/>
      <c r="F7" s="195"/>
      <c r="G7" s="195"/>
      <c r="H7" s="197"/>
      <c r="I7" s="198"/>
      <c r="J7"/>
      <c r="K7" s="196"/>
      <c r="L7" s="195"/>
      <c r="M7" s="195"/>
      <c r="N7" s="195"/>
      <c r="O7" s="195"/>
      <c r="P7" s="195"/>
      <c r="Q7" s="197"/>
      <c r="R7" s="198"/>
      <c r="T7" s="196"/>
      <c r="U7" s="195"/>
      <c r="V7" s="195"/>
      <c r="W7" s="195"/>
      <c r="X7" s="195"/>
      <c r="Y7" s="195"/>
      <c r="Z7" s="197"/>
      <c r="AA7" s="198"/>
    </row>
    <row r="8" spans="1:27" ht="15" customHeight="1">
      <c r="B8" s="199"/>
      <c r="C8" s="205" t="s">
        <v>1217</v>
      </c>
      <c r="D8" s="206"/>
      <c r="E8" s="1158" t="s">
        <v>91</v>
      </c>
      <c r="F8" s="1158"/>
      <c r="G8" s="205" t="s">
        <v>1216</v>
      </c>
      <c r="H8" s="205" t="s">
        <v>1040</v>
      </c>
      <c r="I8" s="200"/>
      <c r="K8" s="199"/>
      <c r="L8" s="205" t="s">
        <v>1217</v>
      </c>
      <c r="M8" s="206"/>
      <c r="N8" s="1158" t="s">
        <v>91</v>
      </c>
      <c r="O8" s="1158"/>
      <c r="P8" s="205" t="s">
        <v>1216</v>
      </c>
      <c r="Q8" s="205" t="s">
        <v>1040</v>
      </c>
      <c r="R8" s="200"/>
      <c r="T8" s="199"/>
      <c r="U8" s="205" t="s">
        <v>1217</v>
      </c>
      <c r="V8" s="206"/>
      <c r="W8" s="1158" t="s">
        <v>91</v>
      </c>
      <c r="X8" s="1158"/>
      <c r="Y8" s="205" t="s">
        <v>1216</v>
      </c>
      <c r="Z8" s="205" t="s">
        <v>1040</v>
      </c>
      <c r="AA8" s="200"/>
    </row>
    <row r="9" spans="1:27">
      <c r="B9" s="199">
        <v>1</v>
      </c>
      <c r="C9" s="1157"/>
      <c r="D9" s="1157"/>
      <c r="E9" s="1155"/>
      <c r="F9" s="1156"/>
      <c r="G9" s="219"/>
      <c r="H9" s="207" t="str">
        <f>IF(AND(ISBLANK(C9),ISBLANK(E9),ISBLANK(G9)),"",(IF(OR(ISBLANK(C9),ISBLANK(E9),ISBLANK(G9)),"Enter Info",(E9*G9))))</f>
        <v/>
      </c>
      <c r="I9" s="200"/>
      <c r="K9" s="199">
        <v>1</v>
      </c>
      <c r="L9" s="1157"/>
      <c r="M9" s="1157"/>
      <c r="N9" s="1155"/>
      <c r="O9" s="1156"/>
      <c r="P9" s="219"/>
      <c r="Q9" s="210" t="str">
        <f>IF(AND(ISBLANK(L9),ISBLANK(N9),ISBLANK(P9)),"",(IF(OR(ISBLANK(L9),ISBLANK(N9),ISBLANK(P9)),"Enter Info",(N9*P9))))</f>
        <v/>
      </c>
      <c r="R9" s="200"/>
      <c r="T9" s="199">
        <v>1</v>
      </c>
      <c r="U9" s="1157"/>
      <c r="V9" s="1157"/>
      <c r="W9" s="1155"/>
      <c r="X9" s="1156"/>
      <c r="Y9" s="219"/>
      <c r="Z9" s="207" t="str">
        <f t="shared" ref="Z9:Z38" si="0">IF(AND(ISBLANK(U9),ISBLANK(W9),ISBLANK(Y9)),"",(IF(OR(ISBLANK(U9),ISBLANK(W9),ISBLANK(Y9)),"Enter Info",(W9*Y9))))</f>
        <v/>
      </c>
      <c r="AA9" s="200"/>
    </row>
    <row r="10" spans="1:27">
      <c r="B10" s="199">
        <v>2</v>
      </c>
      <c r="C10" s="1154"/>
      <c r="D10" s="1154"/>
      <c r="E10" s="1155"/>
      <c r="F10" s="1156"/>
      <c r="G10" s="220"/>
      <c r="H10" s="207" t="str">
        <f t="shared" ref="H10:H38" si="1">IF(AND(ISBLANK(C10),ISBLANK(E10),ISBLANK(G10)),"",(IF(OR(ISBLANK(C10),ISBLANK(E10),ISBLANK(G10)),"Enter Info",(E10*G10))))</f>
        <v/>
      </c>
      <c r="I10" s="200"/>
      <c r="K10" s="199">
        <v>2</v>
      </c>
      <c r="L10" s="1154"/>
      <c r="M10" s="1154"/>
      <c r="N10" s="1155"/>
      <c r="O10" s="1156"/>
      <c r="P10" s="220"/>
      <c r="Q10" s="210" t="str">
        <f>IF(AND(ISBLANK(L10),ISBLANK(N10),ISBLANK(P10)),"",(IF(OR(ISBLANK(L10),ISBLANK(N10),ISBLANK(P10)),"Enter Info",(N10*P10))))</f>
        <v/>
      </c>
      <c r="R10" s="200"/>
      <c r="T10" s="199">
        <v>2</v>
      </c>
      <c r="U10" s="1154"/>
      <c r="V10" s="1154"/>
      <c r="W10" s="1155"/>
      <c r="X10" s="1156"/>
      <c r="Y10" s="220"/>
      <c r="Z10" s="207" t="str">
        <f t="shared" si="0"/>
        <v/>
      </c>
      <c r="AA10" s="200"/>
    </row>
    <row r="11" spans="1:27">
      <c r="B11" s="199">
        <v>3</v>
      </c>
      <c r="C11" s="1154"/>
      <c r="D11" s="1154"/>
      <c r="E11" s="1160"/>
      <c r="F11" s="1161"/>
      <c r="G11" s="220"/>
      <c r="H11" s="207" t="str">
        <f t="shared" si="1"/>
        <v/>
      </c>
      <c r="I11" s="200"/>
      <c r="K11" s="199">
        <v>3</v>
      </c>
      <c r="L11" s="1154"/>
      <c r="M11" s="1154"/>
      <c r="N11" s="1160"/>
      <c r="O11" s="1161"/>
      <c r="P11" s="220"/>
      <c r="Q11" s="210" t="str">
        <f t="shared" ref="Q11:Q38" si="2">IF(AND(ISBLANK(L11),ISBLANK(N11),ISBLANK(P11)),"",(IF(OR(ISBLANK(L11),ISBLANK(N11),ISBLANK(P11)),"Enter Info",(N11*P11))))</f>
        <v/>
      </c>
      <c r="R11" s="200"/>
      <c r="T11" s="199">
        <v>3</v>
      </c>
      <c r="U11" s="1154"/>
      <c r="V11" s="1154"/>
      <c r="W11" s="1160"/>
      <c r="X11" s="1161"/>
      <c r="Y11" s="220"/>
      <c r="Z11" s="207" t="str">
        <f t="shared" si="0"/>
        <v/>
      </c>
      <c r="AA11" s="200"/>
    </row>
    <row r="12" spans="1:27">
      <c r="B12" s="199">
        <v>4</v>
      </c>
      <c r="C12" s="1154"/>
      <c r="D12" s="1154"/>
      <c r="E12" s="1155"/>
      <c r="F12" s="1156"/>
      <c r="G12" s="220"/>
      <c r="H12" s="207" t="str">
        <f t="shared" si="1"/>
        <v/>
      </c>
      <c r="I12" s="200"/>
      <c r="K12" s="199">
        <v>4</v>
      </c>
      <c r="L12" s="1154"/>
      <c r="M12" s="1154"/>
      <c r="N12" s="1155"/>
      <c r="O12" s="1156"/>
      <c r="P12" s="220"/>
      <c r="Q12" s="210" t="str">
        <f t="shared" si="2"/>
        <v/>
      </c>
      <c r="R12" s="200"/>
      <c r="T12" s="199">
        <v>4</v>
      </c>
      <c r="U12" s="1154"/>
      <c r="V12" s="1154"/>
      <c r="W12" s="1155"/>
      <c r="X12" s="1156"/>
      <c r="Y12" s="220"/>
      <c r="Z12" s="207" t="str">
        <f t="shared" si="0"/>
        <v/>
      </c>
      <c r="AA12" s="200"/>
    </row>
    <row r="13" spans="1:27">
      <c r="B13" s="199">
        <v>5</v>
      </c>
      <c r="C13" s="1154"/>
      <c r="D13" s="1154"/>
      <c r="E13" s="1155"/>
      <c r="F13" s="1156"/>
      <c r="G13" s="220"/>
      <c r="H13" s="207" t="str">
        <f t="shared" si="1"/>
        <v/>
      </c>
      <c r="I13" s="200"/>
      <c r="K13" s="199">
        <v>5</v>
      </c>
      <c r="L13" s="1154"/>
      <c r="M13" s="1154"/>
      <c r="N13" s="1155"/>
      <c r="O13" s="1156"/>
      <c r="P13" s="220"/>
      <c r="Q13" s="210" t="str">
        <f t="shared" si="2"/>
        <v/>
      </c>
      <c r="R13" s="200"/>
      <c r="T13" s="199">
        <v>5</v>
      </c>
      <c r="U13" s="1154"/>
      <c r="V13" s="1154"/>
      <c r="W13" s="1155"/>
      <c r="X13" s="1156"/>
      <c r="Y13" s="220"/>
      <c r="Z13" s="207" t="str">
        <f t="shared" si="0"/>
        <v/>
      </c>
      <c r="AA13" s="200"/>
    </row>
    <row r="14" spans="1:27">
      <c r="B14" s="199">
        <v>6</v>
      </c>
      <c r="C14" s="1154"/>
      <c r="D14" s="1154"/>
      <c r="E14" s="1155"/>
      <c r="F14" s="1156"/>
      <c r="G14" s="220"/>
      <c r="H14" s="207" t="str">
        <f t="shared" si="1"/>
        <v/>
      </c>
      <c r="I14" s="200"/>
      <c r="K14" s="199">
        <v>6</v>
      </c>
      <c r="L14" s="1154"/>
      <c r="M14" s="1154"/>
      <c r="N14" s="1155"/>
      <c r="O14" s="1156"/>
      <c r="P14" s="220"/>
      <c r="Q14" s="210" t="str">
        <f t="shared" si="2"/>
        <v/>
      </c>
      <c r="R14" s="200"/>
      <c r="T14" s="199">
        <v>6</v>
      </c>
      <c r="U14" s="1154"/>
      <c r="V14" s="1154"/>
      <c r="W14" s="1155"/>
      <c r="X14" s="1156"/>
      <c r="Y14" s="220"/>
      <c r="Z14" s="207" t="str">
        <f t="shared" si="0"/>
        <v/>
      </c>
      <c r="AA14" s="200"/>
    </row>
    <row r="15" spans="1:27">
      <c r="B15" s="199">
        <v>7</v>
      </c>
      <c r="C15" s="1154"/>
      <c r="D15" s="1154"/>
      <c r="E15" s="1155"/>
      <c r="F15" s="1156"/>
      <c r="G15" s="220"/>
      <c r="H15" s="207" t="str">
        <f t="shared" si="1"/>
        <v/>
      </c>
      <c r="I15" s="200"/>
      <c r="K15" s="199">
        <v>7</v>
      </c>
      <c r="L15" s="1162"/>
      <c r="M15" s="1163"/>
      <c r="N15" s="1155"/>
      <c r="O15" s="1156"/>
      <c r="P15" s="220"/>
      <c r="Q15" s="210" t="str">
        <f>IF(AND(ISBLANK(L15),ISBLANK(N15),ISBLANK(P15)),"",(IF(OR(ISBLANK(L15),ISBLANK(N15),ISBLANK(P15)),"Enter Info",(N15*P15))))</f>
        <v/>
      </c>
      <c r="R15" s="200"/>
      <c r="T15" s="199">
        <v>7</v>
      </c>
      <c r="U15" s="1154"/>
      <c r="V15" s="1154"/>
      <c r="W15" s="1155"/>
      <c r="X15" s="1156"/>
      <c r="Y15" s="220"/>
      <c r="Z15" s="207" t="str">
        <f t="shared" si="0"/>
        <v/>
      </c>
      <c r="AA15" s="200"/>
    </row>
    <row r="16" spans="1:27">
      <c r="B16" s="199">
        <v>8</v>
      </c>
      <c r="C16" s="1154"/>
      <c r="D16" s="1154"/>
      <c r="E16" s="1155"/>
      <c r="F16" s="1156"/>
      <c r="G16" s="220"/>
      <c r="H16" s="207" t="str">
        <f t="shared" si="1"/>
        <v/>
      </c>
      <c r="I16" s="200"/>
      <c r="K16" s="199">
        <v>8</v>
      </c>
      <c r="L16" s="1154"/>
      <c r="M16" s="1154"/>
      <c r="N16" s="1155"/>
      <c r="O16" s="1156"/>
      <c r="P16" s="220"/>
      <c r="Q16" s="210" t="str">
        <f t="shared" si="2"/>
        <v/>
      </c>
      <c r="R16" s="200"/>
      <c r="T16" s="199">
        <v>8</v>
      </c>
      <c r="U16" s="1154"/>
      <c r="V16" s="1154"/>
      <c r="W16" s="1155"/>
      <c r="X16" s="1156"/>
      <c r="Y16" s="220"/>
      <c r="Z16" s="207" t="str">
        <f t="shared" si="0"/>
        <v/>
      </c>
      <c r="AA16" s="200"/>
    </row>
    <row r="17" spans="2:27">
      <c r="B17" s="199">
        <v>9</v>
      </c>
      <c r="C17" s="1154"/>
      <c r="D17" s="1154"/>
      <c r="E17" s="1155"/>
      <c r="F17" s="1156"/>
      <c r="G17" s="220"/>
      <c r="H17" s="207" t="str">
        <f t="shared" si="1"/>
        <v/>
      </c>
      <c r="I17" s="200"/>
      <c r="K17" s="199">
        <v>9</v>
      </c>
      <c r="L17" s="1154"/>
      <c r="M17" s="1154"/>
      <c r="N17" s="1155"/>
      <c r="O17" s="1156"/>
      <c r="P17" s="220"/>
      <c r="Q17" s="210" t="str">
        <f t="shared" si="2"/>
        <v/>
      </c>
      <c r="R17" s="200"/>
      <c r="T17" s="199">
        <v>9</v>
      </c>
      <c r="U17" s="1154"/>
      <c r="V17" s="1154"/>
      <c r="W17" s="1155"/>
      <c r="X17" s="1156"/>
      <c r="Y17" s="220"/>
      <c r="Z17" s="207" t="str">
        <f t="shared" si="0"/>
        <v/>
      </c>
      <c r="AA17" s="200"/>
    </row>
    <row r="18" spans="2:27">
      <c r="B18" s="199">
        <v>10</v>
      </c>
      <c r="C18" s="1154"/>
      <c r="D18" s="1154"/>
      <c r="E18" s="1155"/>
      <c r="F18" s="1156"/>
      <c r="G18" s="220"/>
      <c r="H18" s="207" t="str">
        <f t="shared" si="1"/>
        <v/>
      </c>
      <c r="I18" s="200"/>
      <c r="K18" s="199">
        <v>10</v>
      </c>
      <c r="L18" s="1154"/>
      <c r="M18" s="1154"/>
      <c r="N18" s="1155"/>
      <c r="O18" s="1156"/>
      <c r="P18" s="220"/>
      <c r="Q18" s="210" t="str">
        <f t="shared" si="2"/>
        <v/>
      </c>
      <c r="R18" s="200"/>
      <c r="T18" s="199">
        <v>10</v>
      </c>
      <c r="U18" s="1154"/>
      <c r="V18" s="1154"/>
      <c r="W18" s="1155"/>
      <c r="X18" s="1156"/>
      <c r="Y18" s="220"/>
      <c r="Z18" s="207" t="str">
        <f t="shared" si="0"/>
        <v/>
      </c>
      <c r="AA18" s="200"/>
    </row>
    <row r="19" spans="2:27">
      <c r="B19" s="199">
        <v>11</v>
      </c>
      <c r="C19" s="1154"/>
      <c r="D19" s="1154"/>
      <c r="E19" s="1155"/>
      <c r="F19" s="1156"/>
      <c r="G19" s="220"/>
      <c r="H19" s="207" t="str">
        <f t="shared" si="1"/>
        <v/>
      </c>
      <c r="I19" s="200"/>
      <c r="K19" s="199">
        <v>11</v>
      </c>
      <c r="L19" s="1154"/>
      <c r="M19" s="1154"/>
      <c r="N19" s="1155"/>
      <c r="O19" s="1156"/>
      <c r="P19" s="220"/>
      <c r="Q19" s="210" t="str">
        <f t="shared" si="2"/>
        <v/>
      </c>
      <c r="R19" s="200"/>
      <c r="T19" s="199">
        <v>11</v>
      </c>
      <c r="U19" s="1154"/>
      <c r="V19" s="1154"/>
      <c r="W19" s="1155"/>
      <c r="X19" s="1156"/>
      <c r="Y19" s="220"/>
      <c r="Z19" s="207" t="str">
        <f t="shared" si="0"/>
        <v/>
      </c>
      <c r="AA19" s="200"/>
    </row>
    <row r="20" spans="2:27">
      <c r="B20" s="199">
        <v>12</v>
      </c>
      <c r="C20" s="1154"/>
      <c r="D20" s="1154"/>
      <c r="E20" s="1155"/>
      <c r="F20" s="1156"/>
      <c r="G20" s="220"/>
      <c r="H20" s="207" t="str">
        <f t="shared" si="1"/>
        <v/>
      </c>
      <c r="I20" s="200"/>
      <c r="K20" s="199">
        <v>12</v>
      </c>
      <c r="L20" s="1154"/>
      <c r="M20" s="1154"/>
      <c r="N20" s="1155"/>
      <c r="O20" s="1156"/>
      <c r="P20" s="220"/>
      <c r="Q20" s="210" t="str">
        <f t="shared" si="2"/>
        <v/>
      </c>
      <c r="R20" s="200"/>
      <c r="T20" s="199">
        <v>12</v>
      </c>
      <c r="U20" s="1154"/>
      <c r="V20" s="1154"/>
      <c r="W20" s="1155"/>
      <c r="X20" s="1156"/>
      <c r="Y20" s="220"/>
      <c r="Z20" s="207" t="str">
        <f t="shared" si="0"/>
        <v/>
      </c>
      <c r="AA20" s="200"/>
    </row>
    <row r="21" spans="2:27">
      <c r="B21" s="199">
        <v>13</v>
      </c>
      <c r="C21" s="1154"/>
      <c r="D21" s="1154"/>
      <c r="E21" s="1155"/>
      <c r="F21" s="1156"/>
      <c r="G21" s="220"/>
      <c r="H21" s="207" t="str">
        <f t="shared" si="1"/>
        <v/>
      </c>
      <c r="I21" s="200"/>
      <c r="K21" s="199">
        <v>13</v>
      </c>
      <c r="L21" s="1154"/>
      <c r="M21" s="1154"/>
      <c r="N21" s="1155"/>
      <c r="O21" s="1156"/>
      <c r="P21" s="220"/>
      <c r="Q21" s="210" t="str">
        <f t="shared" si="2"/>
        <v/>
      </c>
      <c r="R21" s="200"/>
      <c r="T21" s="199">
        <v>13</v>
      </c>
      <c r="U21" s="1154"/>
      <c r="V21" s="1154"/>
      <c r="W21" s="1155"/>
      <c r="X21" s="1156"/>
      <c r="Y21" s="220"/>
      <c r="Z21" s="207" t="str">
        <f t="shared" si="0"/>
        <v/>
      </c>
      <c r="AA21" s="200"/>
    </row>
    <row r="22" spans="2:27">
      <c r="B22" s="199">
        <v>14</v>
      </c>
      <c r="C22" s="1154"/>
      <c r="D22" s="1154"/>
      <c r="E22" s="1155"/>
      <c r="F22" s="1156"/>
      <c r="G22" s="220"/>
      <c r="H22" s="207" t="str">
        <f t="shared" si="1"/>
        <v/>
      </c>
      <c r="I22" s="200"/>
      <c r="K22" s="199">
        <v>14</v>
      </c>
      <c r="L22" s="1154"/>
      <c r="M22" s="1154"/>
      <c r="N22" s="1155"/>
      <c r="O22" s="1156"/>
      <c r="P22" s="220"/>
      <c r="Q22" s="210" t="str">
        <f t="shared" si="2"/>
        <v/>
      </c>
      <c r="R22" s="200"/>
      <c r="T22" s="199">
        <v>14</v>
      </c>
      <c r="U22" s="1154"/>
      <c r="V22" s="1154"/>
      <c r="W22" s="1155"/>
      <c r="X22" s="1156"/>
      <c r="Y22" s="220"/>
      <c r="Z22" s="207" t="str">
        <f t="shared" si="0"/>
        <v/>
      </c>
      <c r="AA22" s="200"/>
    </row>
    <row r="23" spans="2:27">
      <c r="B23" s="199">
        <v>15</v>
      </c>
      <c r="C23" s="1154"/>
      <c r="D23" s="1154"/>
      <c r="E23" s="1155"/>
      <c r="F23" s="1156"/>
      <c r="G23" s="220"/>
      <c r="H23" s="207" t="str">
        <f t="shared" si="1"/>
        <v/>
      </c>
      <c r="I23" s="200"/>
      <c r="K23" s="199">
        <v>15</v>
      </c>
      <c r="L23" s="1154"/>
      <c r="M23" s="1154"/>
      <c r="N23" s="1155"/>
      <c r="O23" s="1156"/>
      <c r="P23" s="220"/>
      <c r="Q23" s="210" t="str">
        <f t="shared" si="2"/>
        <v/>
      </c>
      <c r="R23" s="200"/>
      <c r="T23" s="199">
        <v>15</v>
      </c>
      <c r="U23" s="1154"/>
      <c r="V23" s="1154"/>
      <c r="W23" s="1155"/>
      <c r="X23" s="1156"/>
      <c r="Y23" s="220"/>
      <c r="Z23" s="207" t="str">
        <f t="shared" si="0"/>
        <v/>
      </c>
      <c r="AA23" s="200"/>
    </row>
    <row r="24" spans="2:27">
      <c r="B24" s="199">
        <v>16</v>
      </c>
      <c r="C24" s="1154"/>
      <c r="D24" s="1154"/>
      <c r="E24" s="1155"/>
      <c r="F24" s="1156"/>
      <c r="G24" s="220"/>
      <c r="H24" s="207" t="str">
        <f t="shared" si="1"/>
        <v/>
      </c>
      <c r="I24" s="200"/>
      <c r="K24" s="199">
        <v>16</v>
      </c>
      <c r="L24" s="1154"/>
      <c r="M24" s="1154"/>
      <c r="N24" s="1155"/>
      <c r="O24" s="1156"/>
      <c r="P24" s="220"/>
      <c r="Q24" s="210" t="str">
        <f t="shared" si="2"/>
        <v/>
      </c>
      <c r="R24" s="200"/>
      <c r="T24" s="199">
        <v>16</v>
      </c>
      <c r="U24" s="1154"/>
      <c r="V24" s="1154"/>
      <c r="W24" s="1155"/>
      <c r="X24" s="1156"/>
      <c r="Y24" s="220"/>
      <c r="Z24" s="207" t="str">
        <f t="shared" si="0"/>
        <v/>
      </c>
      <c r="AA24" s="200"/>
    </row>
    <row r="25" spans="2:27">
      <c r="B25" s="199">
        <v>17</v>
      </c>
      <c r="C25" s="1154"/>
      <c r="D25" s="1154"/>
      <c r="E25" s="1155"/>
      <c r="F25" s="1156"/>
      <c r="G25" s="220"/>
      <c r="H25" s="207" t="str">
        <f t="shared" si="1"/>
        <v/>
      </c>
      <c r="I25" s="200"/>
      <c r="K25" s="199">
        <v>17</v>
      </c>
      <c r="L25" s="1154"/>
      <c r="M25" s="1154"/>
      <c r="N25" s="1155"/>
      <c r="O25" s="1156"/>
      <c r="P25" s="220"/>
      <c r="Q25" s="210" t="str">
        <f t="shared" si="2"/>
        <v/>
      </c>
      <c r="R25" s="200"/>
      <c r="T25" s="199">
        <v>17</v>
      </c>
      <c r="U25" s="1154"/>
      <c r="V25" s="1154"/>
      <c r="W25" s="1155"/>
      <c r="X25" s="1156"/>
      <c r="Y25" s="220"/>
      <c r="Z25" s="207" t="str">
        <f t="shared" si="0"/>
        <v/>
      </c>
      <c r="AA25" s="200"/>
    </row>
    <row r="26" spans="2:27">
      <c r="B26" s="199">
        <v>18</v>
      </c>
      <c r="C26" s="1154"/>
      <c r="D26" s="1154"/>
      <c r="E26" s="1155"/>
      <c r="F26" s="1156"/>
      <c r="G26" s="220"/>
      <c r="H26" s="207" t="str">
        <f t="shared" si="1"/>
        <v/>
      </c>
      <c r="I26" s="200"/>
      <c r="K26" s="199">
        <v>18</v>
      </c>
      <c r="L26" s="1154"/>
      <c r="M26" s="1154"/>
      <c r="N26" s="1155"/>
      <c r="O26" s="1156"/>
      <c r="P26" s="220"/>
      <c r="Q26" s="210" t="str">
        <f t="shared" si="2"/>
        <v/>
      </c>
      <c r="R26" s="200"/>
      <c r="T26" s="199">
        <v>18</v>
      </c>
      <c r="U26" s="1154"/>
      <c r="V26" s="1154"/>
      <c r="W26" s="1155"/>
      <c r="X26" s="1156"/>
      <c r="Y26" s="220"/>
      <c r="Z26" s="207" t="str">
        <f t="shared" si="0"/>
        <v/>
      </c>
      <c r="AA26" s="200"/>
    </row>
    <row r="27" spans="2:27">
      <c r="B27" s="199">
        <v>19</v>
      </c>
      <c r="C27" s="1154"/>
      <c r="D27" s="1154"/>
      <c r="E27" s="1155"/>
      <c r="F27" s="1156"/>
      <c r="G27" s="220"/>
      <c r="H27" s="207" t="str">
        <f t="shared" si="1"/>
        <v/>
      </c>
      <c r="I27" s="200"/>
      <c r="K27" s="199">
        <v>19</v>
      </c>
      <c r="L27" s="1154"/>
      <c r="M27" s="1154"/>
      <c r="N27" s="1155"/>
      <c r="O27" s="1156"/>
      <c r="P27" s="220"/>
      <c r="Q27" s="210" t="str">
        <f t="shared" si="2"/>
        <v/>
      </c>
      <c r="R27" s="200"/>
      <c r="T27" s="199">
        <v>19</v>
      </c>
      <c r="U27" s="1154"/>
      <c r="V27" s="1154"/>
      <c r="W27" s="1155"/>
      <c r="X27" s="1156"/>
      <c r="Y27" s="220"/>
      <c r="Z27" s="207" t="str">
        <f t="shared" si="0"/>
        <v/>
      </c>
      <c r="AA27" s="200"/>
    </row>
    <row r="28" spans="2:27">
      <c r="B28" s="199">
        <v>20</v>
      </c>
      <c r="C28" s="1154"/>
      <c r="D28" s="1154"/>
      <c r="E28" s="1155"/>
      <c r="F28" s="1156"/>
      <c r="G28" s="220"/>
      <c r="H28" s="207" t="str">
        <f t="shared" si="1"/>
        <v/>
      </c>
      <c r="I28" s="200"/>
      <c r="K28" s="199">
        <v>20</v>
      </c>
      <c r="L28" s="1154"/>
      <c r="M28" s="1154"/>
      <c r="N28" s="1155"/>
      <c r="O28" s="1156"/>
      <c r="P28" s="220"/>
      <c r="Q28" s="210" t="str">
        <f t="shared" si="2"/>
        <v/>
      </c>
      <c r="R28" s="200"/>
      <c r="T28" s="199">
        <v>20</v>
      </c>
      <c r="U28" s="1154"/>
      <c r="V28" s="1154"/>
      <c r="W28" s="1155"/>
      <c r="X28" s="1156"/>
      <c r="Y28" s="220"/>
      <c r="Z28" s="207" t="str">
        <f t="shared" si="0"/>
        <v/>
      </c>
      <c r="AA28" s="200"/>
    </row>
    <row r="29" spans="2:27">
      <c r="B29" s="199">
        <v>21</v>
      </c>
      <c r="C29" s="1154"/>
      <c r="D29" s="1154"/>
      <c r="E29" s="1155"/>
      <c r="F29" s="1156"/>
      <c r="G29" s="220"/>
      <c r="H29" s="207" t="str">
        <f t="shared" si="1"/>
        <v/>
      </c>
      <c r="I29" s="200"/>
      <c r="K29" s="199">
        <v>21</v>
      </c>
      <c r="L29" s="1154"/>
      <c r="M29" s="1154"/>
      <c r="N29" s="1155"/>
      <c r="O29" s="1156"/>
      <c r="P29" s="220"/>
      <c r="Q29" s="210" t="str">
        <f t="shared" si="2"/>
        <v/>
      </c>
      <c r="R29" s="200"/>
      <c r="T29" s="199">
        <v>21</v>
      </c>
      <c r="U29" s="1154"/>
      <c r="V29" s="1154"/>
      <c r="W29" s="1155"/>
      <c r="X29" s="1156"/>
      <c r="Y29" s="220"/>
      <c r="Z29" s="207" t="str">
        <f t="shared" si="0"/>
        <v/>
      </c>
      <c r="AA29" s="200"/>
    </row>
    <row r="30" spans="2:27">
      <c r="B30" s="199">
        <v>22</v>
      </c>
      <c r="C30" s="1154"/>
      <c r="D30" s="1154"/>
      <c r="E30" s="1155"/>
      <c r="F30" s="1156"/>
      <c r="G30" s="220"/>
      <c r="H30" s="207" t="str">
        <f t="shared" si="1"/>
        <v/>
      </c>
      <c r="I30" s="200"/>
      <c r="K30" s="199">
        <v>22</v>
      </c>
      <c r="L30" s="1154"/>
      <c r="M30" s="1154"/>
      <c r="N30" s="1155"/>
      <c r="O30" s="1156"/>
      <c r="P30" s="220"/>
      <c r="Q30" s="210" t="str">
        <f t="shared" si="2"/>
        <v/>
      </c>
      <c r="R30" s="200"/>
      <c r="T30" s="199">
        <v>22</v>
      </c>
      <c r="U30" s="1154"/>
      <c r="V30" s="1154"/>
      <c r="W30" s="1155"/>
      <c r="X30" s="1156"/>
      <c r="Y30" s="220"/>
      <c r="Z30" s="207" t="str">
        <f t="shared" si="0"/>
        <v/>
      </c>
      <c r="AA30" s="200"/>
    </row>
    <row r="31" spans="2:27">
      <c r="B31" s="199">
        <v>23</v>
      </c>
      <c r="C31" s="1154"/>
      <c r="D31" s="1154"/>
      <c r="E31" s="1155"/>
      <c r="F31" s="1156"/>
      <c r="G31" s="220"/>
      <c r="H31" s="207" t="str">
        <f t="shared" si="1"/>
        <v/>
      </c>
      <c r="I31" s="200"/>
      <c r="K31" s="199">
        <v>23</v>
      </c>
      <c r="L31" s="1154"/>
      <c r="M31" s="1154"/>
      <c r="N31" s="1155"/>
      <c r="O31" s="1156"/>
      <c r="P31" s="220"/>
      <c r="Q31" s="210" t="str">
        <f t="shared" si="2"/>
        <v/>
      </c>
      <c r="R31" s="200"/>
      <c r="T31" s="199">
        <v>23</v>
      </c>
      <c r="U31" s="1154"/>
      <c r="V31" s="1154"/>
      <c r="W31" s="1155"/>
      <c r="X31" s="1156"/>
      <c r="Y31" s="220"/>
      <c r="Z31" s="207" t="str">
        <f t="shared" si="0"/>
        <v/>
      </c>
      <c r="AA31" s="200"/>
    </row>
    <row r="32" spans="2:27">
      <c r="B32" s="199">
        <v>24</v>
      </c>
      <c r="C32" s="1154"/>
      <c r="D32" s="1154"/>
      <c r="E32" s="1155"/>
      <c r="F32" s="1156"/>
      <c r="G32" s="220"/>
      <c r="H32" s="207" t="str">
        <f t="shared" si="1"/>
        <v/>
      </c>
      <c r="I32" s="200"/>
      <c r="K32" s="199">
        <v>24</v>
      </c>
      <c r="L32" s="1154"/>
      <c r="M32" s="1154"/>
      <c r="N32" s="1155"/>
      <c r="O32" s="1156"/>
      <c r="P32" s="220"/>
      <c r="Q32" s="210" t="str">
        <f t="shared" si="2"/>
        <v/>
      </c>
      <c r="R32" s="200"/>
      <c r="T32" s="199">
        <v>24</v>
      </c>
      <c r="U32" s="1154"/>
      <c r="V32" s="1154"/>
      <c r="W32" s="1155"/>
      <c r="X32" s="1156"/>
      <c r="Y32" s="220"/>
      <c r="Z32" s="207" t="str">
        <f t="shared" si="0"/>
        <v/>
      </c>
      <c r="AA32" s="200"/>
    </row>
    <row r="33" spans="2:27">
      <c r="B33" s="199">
        <v>25</v>
      </c>
      <c r="C33" s="1154"/>
      <c r="D33" s="1154"/>
      <c r="E33" s="1155"/>
      <c r="F33" s="1156"/>
      <c r="G33" s="220"/>
      <c r="H33" s="207" t="str">
        <f t="shared" si="1"/>
        <v/>
      </c>
      <c r="I33" s="200"/>
      <c r="K33" s="199">
        <v>25</v>
      </c>
      <c r="L33" s="1154"/>
      <c r="M33" s="1154"/>
      <c r="N33" s="1155"/>
      <c r="O33" s="1156"/>
      <c r="P33" s="220"/>
      <c r="Q33" s="210" t="str">
        <f t="shared" si="2"/>
        <v/>
      </c>
      <c r="R33" s="200"/>
      <c r="T33" s="199">
        <v>25</v>
      </c>
      <c r="U33" s="1154"/>
      <c r="V33" s="1154"/>
      <c r="W33" s="1155"/>
      <c r="X33" s="1156"/>
      <c r="Y33" s="220"/>
      <c r="Z33" s="207" t="str">
        <f t="shared" si="0"/>
        <v/>
      </c>
      <c r="AA33" s="200"/>
    </row>
    <row r="34" spans="2:27">
      <c r="B34" s="199">
        <v>26</v>
      </c>
      <c r="C34" s="1154"/>
      <c r="D34" s="1154"/>
      <c r="E34" s="1155"/>
      <c r="F34" s="1156"/>
      <c r="G34" s="220"/>
      <c r="H34" s="207" t="str">
        <f t="shared" si="1"/>
        <v/>
      </c>
      <c r="I34" s="200"/>
      <c r="K34" s="199">
        <v>26</v>
      </c>
      <c r="L34" s="1154"/>
      <c r="M34" s="1154"/>
      <c r="N34" s="1155"/>
      <c r="O34" s="1156"/>
      <c r="P34" s="220"/>
      <c r="Q34" s="210" t="str">
        <f t="shared" si="2"/>
        <v/>
      </c>
      <c r="R34" s="200"/>
      <c r="T34" s="199">
        <v>26</v>
      </c>
      <c r="U34" s="1154"/>
      <c r="V34" s="1154"/>
      <c r="W34" s="1155"/>
      <c r="X34" s="1156"/>
      <c r="Y34" s="220"/>
      <c r="Z34" s="207" t="str">
        <f t="shared" si="0"/>
        <v/>
      </c>
      <c r="AA34" s="200"/>
    </row>
    <row r="35" spans="2:27">
      <c r="B35" s="199">
        <v>27</v>
      </c>
      <c r="C35" s="1154"/>
      <c r="D35" s="1154"/>
      <c r="E35" s="1155"/>
      <c r="F35" s="1156"/>
      <c r="G35" s="220"/>
      <c r="H35" s="207" t="str">
        <f t="shared" si="1"/>
        <v/>
      </c>
      <c r="I35" s="200"/>
      <c r="K35" s="199">
        <v>27</v>
      </c>
      <c r="L35" s="1154"/>
      <c r="M35" s="1154"/>
      <c r="N35" s="1155"/>
      <c r="O35" s="1156"/>
      <c r="P35" s="220"/>
      <c r="Q35" s="210" t="str">
        <f t="shared" si="2"/>
        <v/>
      </c>
      <c r="R35" s="200"/>
      <c r="T35" s="199">
        <v>27</v>
      </c>
      <c r="U35" s="1154"/>
      <c r="V35" s="1154"/>
      <c r="W35" s="1155"/>
      <c r="X35" s="1156"/>
      <c r="Y35" s="220"/>
      <c r="Z35" s="207" t="str">
        <f t="shared" si="0"/>
        <v/>
      </c>
      <c r="AA35" s="200"/>
    </row>
    <row r="36" spans="2:27">
      <c r="B36" s="199">
        <v>28</v>
      </c>
      <c r="C36" s="1154"/>
      <c r="D36" s="1154"/>
      <c r="E36" s="1155"/>
      <c r="F36" s="1156"/>
      <c r="G36" s="220"/>
      <c r="H36" s="207" t="str">
        <f t="shared" si="1"/>
        <v/>
      </c>
      <c r="I36" s="200"/>
      <c r="K36" s="199">
        <v>28</v>
      </c>
      <c r="L36" s="1154"/>
      <c r="M36" s="1154"/>
      <c r="N36" s="1155"/>
      <c r="O36" s="1156"/>
      <c r="P36" s="220"/>
      <c r="Q36" s="210" t="str">
        <f t="shared" si="2"/>
        <v/>
      </c>
      <c r="R36" s="200"/>
      <c r="T36" s="199">
        <v>28</v>
      </c>
      <c r="U36" s="1154"/>
      <c r="V36" s="1154"/>
      <c r="W36" s="1155"/>
      <c r="X36" s="1156"/>
      <c r="Y36" s="220"/>
      <c r="Z36" s="207" t="str">
        <f t="shared" si="0"/>
        <v/>
      </c>
      <c r="AA36" s="200"/>
    </row>
    <row r="37" spans="2:27">
      <c r="B37" s="199">
        <v>29</v>
      </c>
      <c r="C37" s="1154"/>
      <c r="D37" s="1154"/>
      <c r="E37" s="1155"/>
      <c r="F37" s="1156"/>
      <c r="G37" s="220"/>
      <c r="H37" s="207" t="str">
        <f t="shared" si="1"/>
        <v/>
      </c>
      <c r="I37" s="200"/>
      <c r="K37" s="199">
        <v>29</v>
      </c>
      <c r="L37" s="1154"/>
      <c r="M37" s="1154"/>
      <c r="N37" s="1155"/>
      <c r="O37" s="1156"/>
      <c r="P37" s="220"/>
      <c r="Q37" s="210" t="str">
        <f t="shared" si="2"/>
        <v/>
      </c>
      <c r="R37" s="200"/>
      <c r="T37" s="199">
        <v>29</v>
      </c>
      <c r="U37" s="1154"/>
      <c r="V37" s="1154"/>
      <c r="W37" s="1155"/>
      <c r="X37" s="1156"/>
      <c r="Y37" s="220"/>
      <c r="Z37" s="207" t="str">
        <f t="shared" si="0"/>
        <v/>
      </c>
      <c r="AA37" s="200"/>
    </row>
    <row r="38" spans="2:27">
      <c r="B38" s="199">
        <v>30</v>
      </c>
      <c r="C38" s="1154"/>
      <c r="D38" s="1154"/>
      <c r="E38" s="1155"/>
      <c r="F38" s="1156"/>
      <c r="G38" s="220"/>
      <c r="H38" s="207" t="str">
        <f t="shared" si="1"/>
        <v/>
      </c>
      <c r="I38" s="200"/>
      <c r="K38" s="199">
        <v>30</v>
      </c>
      <c r="L38" s="1154"/>
      <c r="M38" s="1154"/>
      <c r="N38" s="1155"/>
      <c r="O38" s="1156"/>
      <c r="P38" s="220"/>
      <c r="Q38" s="210" t="str">
        <f t="shared" si="2"/>
        <v/>
      </c>
      <c r="R38" s="200"/>
      <c r="T38" s="199">
        <v>30</v>
      </c>
      <c r="U38" s="1154"/>
      <c r="V38" s="1154"/>
      <c r="W38" s="1155"/>
      <c r="X38" s="1156"/>
      <c r="Y38" s="220"/>
      <c r="Z38" s="207" t="str">
        <f t="shared" si="0"/>
        <v/>
      </c>
      <c r="AA38" s="200"/>
    </row>
    <row r="39" spans="2:27">
      <c r="B39" s="199"/>
      <c r="C39" s="194"/>
      <c r="D39" s="194"/>
      <c r="E39" s="194"/>
      <c r="F39" s="194"/>
      <c r="G39" s="194" t="s">
        <v>1040</v>
      </c>
      <c r="H39" s="208">
        <f>SUM(H9:H38)</f>
        <v>0</v>
      </c>
      <c r="I39" s="200"/>
      <c r="K39" s="199"/>
      <c r="L39" s="194"/>
      <c r="M39" s="194"/>
      <c r="N39" s="194"/>
      <c r="O39" s="194"/>
      <c r="P39" s="194" t="s">
        <v>1040</v>
      </c>
      <c r="Q39" s="211">
        <f>SUM(Q9:Q38)</f>
        <v>0</v>
      </c>
      <c r="R39" s="200"/>
      <c r="T39" s="199"/>
      <c r="U39" s="194"/>
      <c r="V39" s="194"/>
      <c r="W39" s="194"/>
      <c r="X39" s="194"/>
      <c r="Y39" s="194" t="s">
        <v>1040</v>
      </c>
      <c r="Z39" s="208">
        <f>SUM(Z9:Z38)</f>
        <v>0</v>
      </c>
      <c r="AA39" s="200"/>
    </row>
    <row r="40" spans="2:27" ht="9.9499999999999993" customHeight="1">
      <c r="B40" s="201"/>
      <c r="C40" s="202"/>
      <c r="D40" s="202"/>
      <c r="E40" s="202"/>
      <c r="F40" s="202"/>
      <c r="G40" s="202"/>
      <c r="H40" s="213"/>
      <c r="I40" s="204"/>
      <c r="K40" s="201"/>
      <c r="L40" s="202"/>
      <c r="M40" s="202"/>
      <c r="N40" s="202"/>
      <c r="O40" s="202"/>
      <c r="P40" s="202"/>
      <c r="Q40" s="203"/>
      <c r="R40" s="204"/>
      <c r="T40" s="201"/>
      <c r="U40" s="202"/>
      <c r="V40" s="202"/>
      <c r="W40" s="202"/>
      <c r="X40" s="202"/>
      <c r="Y40" s="202"/>
      <c r="Z40" s="203"/>
      <c r="AA40" s="204"/>
    </row>
    <row r="41" spans="2:27" ht="15">
      <c r="H41"/>
      <c r="I41"/>
      <c r="J41"/>
      <c r="P41"/>
      <c r="Q41"/>
    </row>
    <row r="42" spans="2:27" ht="9.9499999999999993" customHeight="1">
      <c r="B42" s="215"/>
      <c r="C42" s="216"/>
      <c r="D42" s="216"/>
      <c r="E42" s="216"/>
      <c r="F42" s="216"/>
      <c r="G42" s="216"/>
      <c r="H42" s="216"/>
      <c r="I42" s="217"/>
      <c r="J42" s="218"/>
      <c r="K42" s="215"/>
      <c r="L42" s="216"/>
      <c r="M42" s="216"/>
      <c r="N42" s="216"/>
      <c r="O42" s="216"/>
      <c r="P42" s="216"/>
      <c r="Q42" s="216"/>
      <c r="R42" s="217"/>
      <c r="S42" s="214"/>
      <c r="T42" s="215"/>
      <c r="U42" s="216"/>
      <c r="V42" s="216"/>
      <c r="W42" s="216"/>
      <c r="X42" s="216"/>
      <c r="Y42" s="216"/>
      <c r="Z42" s="216"/>
      <c r="AA42" s="209"/>
    </row>
    <row r="43" spans="2:27" ht="15">
      <c r="B43" s="196"/>
      <c r="C43" s="361" t="s">
        <v>1343</v>
      </c>
      <c r="D43" s="1159"/>
      <c r="E43" s="1159"/>
      <c r="F43" s="1159"/>
      <c r="G43" s="1159"/>
      <c r="H43" s="1159"/>
      <c r="I43" s="198"/>
      <c r="J43"/>
      <c r="K43" s="196"/>
      <c r="L43" s="361" t="s">
        <v>1344</v>
      </c>
      <c r="M43" s="1159"/>
      <c r="N43" s="1159"/>
      <c r="O43" s="1159"/>
      <c r="P43" s="1159"/>
      <c r="Q43" s="1159"/>
      <c r="R43" s="198"/>
      <c r="T43" s="196"/>
      <c r="U43" s="361" t="s">
        <v>1345</v>
      </c>
      <c r="V43" s="1159"/>
      <c r="W43" s="1159"/>
      <c r="X43" s="1159"/>
      <c r="Y43" s="1159"/>
      <c r="Z43" s="1159"/>
      <c r="AA43" s="198"/>
    </row>
    <row r="44" spans="2:27" ht="15">
      <c r="B44" s="196"/>
      <c r="C44" s="195"/>
      <c r="D44" s="195"/>
      <c r="E44" s="195"/>
      <c r="F44" s="195"/>
      <c r="G44" s="195"/>
      <c r="H44" s="197"/>
      <c r="I44" s="198"/>
      <c r="J44"/>
      <c r="K44" s="196"/>
      <c r="L44" s="195"/>
      <c r="M44" s="195"/>
      <c r="N44" s="195"/>
      <c r="O44" s="195"/>
      <c r="P44" s="195"/>
      <c r="Q44" s="197"/>
      <c r="R44" s="198"/>
      <c r="T44" s="196"/>
      <c r="U44" s="195"/>
      <c r="V44" s="195"/>
      <c r="W44" s="195"/>
      <c r="X44" s="195"/>
      <c r="Y44" s="195"/>
      <c r="Z44" s="197"/>
      <c r="AA44" s="198"/>
    </row>
    <row r="45" spans="2:27">
      <c r="B45" s="199"/>
      <c r="C45" s="205" t="s">
        <v>1217</v>
      </c>
      <c r="D45" s="206"/>
      <c r="E45" s="1158" t="s">
        <v>91</v>
      </c>
      <c r="F45" s="1158"/>
      <c r="G45" s="205" t="s">
        <v>1216</v>
      </c>
      <c r="H45" s="205" t="s">
        <v>1040</v>
      </c>
      <c r="I45" s="200"/>
      <c r="K45" s="199"/>
      <c r="L45" s="205" t="s">
        <v>1217</v>
      </c>
      <c r="M45" s="206"/>
      <c r="N45" s="1158" t="s">
        <v>91</v>
      </c>
      <c r="O45" s="1158"/>
      <c r="P45" s="205" t="s">
        <v>1216</v>
      </c>
      <c r="Q45" s="205" t="s">
        <v>1040</v>
      </c>
      <c r="R45" s="200"/>
      <c r="T45" s="199"/>
      <c r="U45" s="205" t="s">
        <v>1217</v>
      </c>
      <c r="V45" s="206"/>
      <c r="W45" s="1158" t="s">
        <v>91</v>
      </c>
      <c r="X45" s="1158"/>
      <c r="Y45" s="205" t="s">
        <v>1216</v>
      </c>
      <c r="Z45" s="205" t="s">
        <v>1040</v>
      </c>
      <c r="AA45" s="200"/>
    </row>
    <row r="46" spans="2:27">
      <c r="B46" s="199">
        <v>1</v>
      </c>
      <c r="C46" s="1157"/>
      <c r="D46" s="1157"/>
      <c r="E46" s="1155"/>
      <c r="F46" s="1156"/>
      <c r="G46" s="219"/>
      <c r="H46" s="207" t="str">
        <f>IF(AND(ISBLANK(C46),ISBLANK(E46),ISBLANK(G46)),"",(IF(OR(ISBLANK(C46),ISBLANK(E46),ISBLANK(G46)),"Enter Info",(E46*G46))))</f>
        <v/>
      </c>
      <c r="I46" s="200"/>
      <c r="K46" s="199">
        <v>1</v>
      </c>
      <c r="L46" s="1157"/>
      <c r="M46" s="1157"/>
      <c r="N46" s="1155"/>
      <c r="O46" s="1156"/>
      <c r="P46" s="219"/>
      <c r="Q46" s="210" t="str">
        <f>IF(AND(ISBLANK(L46),ISBLANK(N46),ISBLANK(P46)),"",(IF(OR(ISBLANK(L46),ISBLANK(N46),ISBLANK(P46)),"Enter Info",(N46*P46))))</f>
        <v/>
      </c>
      <c r="R46" s="200"/>
      <c r="T46" s="199">
        <v>1</v>
      </c>
      <c r="U46" s="1157"/>
      <c r="V46" s="1157"/>
      <c r="W46" s="1155"/>
      <c r="X46" s="1156"/>
      <c r="Y46" s="219"/>
      <c r="Z46" s="207" t="str">
        <f t="shared" ref="Z46:Z75" si="3">IF(AND(ISBLANK(U46),ISBLANK(W46),ISBLANK(Y46)),"",(IF(OR(ISBLANK(U46),ISBLANK(W46),ISBLANK(Y46)),"Enter Info",(W46*Y46))))</f>
        <v/>
      </c>
      <c r="AA46" s="200"/>
    </row>
    <row r="47" spans="2:27">
      <c r="B47" s="199">
        <v>2</v>
      </c>
      <c r="C47" s="1154"/>
      <c r="D47" s="1154"/>
      <c r="E47" s="1155"/>
      <c r="F47" s="1156"/>
      <c r="G47" s="220"/>
      <c r="H47" s="207" t="str">
        <f t="shared" ref="H47:H75" si="4">IF(AND(ISBLANK(C47),ISBLANK(E47),ISBLANK(G47)),"",(IF(OR(ISBLANK(C47),ISBLANK(E47),ISBLANK(G47)),"Enter Info",(E47*G47))))</f>
        <v/>
      </c>
      <c r="I47" s="200"/>
      <c r="K47" s="199">
        <v>2</v>
      </c>
      <c r="L47" s="1154"/>
      <c r="M47" s="1154"/>
      <c r="N47" s="1155"/>
      <c r="O47" s="1156"/>
      <c r="P47" s="220"/>
      <c r="Q47" s="210" t="str">
        <f>IF(AND(ISBLANK(L47),ISBLANK(N47),ISBLANK(P47)),"",(IF(OR(ISBLANK(L47),ISBLANK(N47),ISBLANK(P47)),"Enter Info",(N47*P47))))</f>
        <v/>
      </c>
      <c r="R47" s="200"/>
      <c r="T47" s="199">
        <v>2</v>
      </c>
      <c r="U47" s="1154"/>
      <c r="V47" s="1154"/>
      <c r="W47" s="1155"/>
      <c r="X47" s="1156"/>
      <c r="Y47" s="220"/>
      <c r="Z47" s="207" t="str">
        <f t="shared" si="3"/>
        <v/>
      </c>
      <c r="AA47" s="200"/>
    </row>
    <row r="48" spans="2:27">
      <c r="B48" s="199">
        <v>3</v>
      </c>
      <c r="C48" s="1154"/>
      <c r="D48" s="1154"/>
      <c r="E48" s="1160"/>
      <c r="F48" s="1161"/>
      <c r="G48" s="220"/>
      <c r="H48" s="207" t="str">
        <f t="shared" si="4"/>
        <v/>
      </c>
      <c r="I48" s="200"/>
      <c r="K48" s="199">
        <v>3</v>
      </c>
      <c r="L48" s="1154"/>
      <c r="M48" s="1154"/>
      <c r="N48" s="1160"/>
      <c r="O48" s="1161"/>
      <c r="P48" s="220"/>
      <c r="Q48" s="210" t="str">
        <f t="shared" ref="Q48:Q51" si="5">IF(AND(ISBLANK(L48),ISBLANK(N48),ISBLANK(P48)),"",(IF(OR(ISBLANK(L48),ISBLANK(N48),ISBLANK(P48)),"Enter Info",(N48*P48))))</f>
        <v/>
      </c>
      <c r="R48" s="200"/>
      <c r="T48" s="199">
        <v>3</v>
      </c>
      <c r="U48" s="1154"/>
      <c r="V48" s="1154"/>
      <c r="W48" s="1160"/>
      <c r="X48" s="1161"/>
      <c r="Y48" s="220"/>
      <c r="Z48" s="207" t="str">
        <f t="shared" si="3"/>
        <v/>
      </c>
      <c r="AA48" s="200"/>
    </row>
    <row r="49" spans="2:27">
      <c r="B49" s="199">
        <v>4</v>
      </c>
      <c r="C49" s="1154"/>
      <c r="D49" s="1154"/>
      <c r="E49" s="1155"/>
      <c r="F49" s="1156"/>
      <c r="G49" s="220"/>
      <c r="H49" s="207" t="str">
        <f t="shared" si="4"/>
        <v/>
      </c>
      <c r="I49" s="200"/>
      <c r="K49" s="199">
        <v>4</v>
      </c>
      <c r="L49" s="1154"/>
      <c r="M49" s="1154"/>
      <c r="N49" s="1155"/>
      <c r="O49" s="1156"/>
      <c r="P49" s="220"/>
      <c r="Q49" s="210" t="str">
        <f t="shared" si="5"/>
        <v/>
      </c>
      <c r="R49" s="200"/>
      <c r="T49" s="199">
        <v>4</v>
      </c>
      <c r="U49" s="1154"/>
      <c r="V49" s="1154"/>
      <c r="W49" s="1155"/>
      <c r="X49" s="1156"/>
      <c r="Y49" s="220"/>
      <c r="Z49" s="207" t="str">
        <f t="shared" si="3"/>
        <v/>
      </c>
      <c r="AA49" s="200"/>
    </row>
    <row r="50" spans="2:27">
      <c r="B50" s="199">
        <v>5</v>
      </c>
      <c r="C50" s="1154"/>
      <c r="D50" s="1154"/>
      <c r="E50" s="1155"/>
      <c r="F50" s="1156"/>
      <c r="G50" s="220"/>
      <c r="H50" s="207" t="str">
        <f t="shared" si="4"/>
        <v/>
      </c>
      <c r="I50" s="200"/>
      <c r="K50" s="199">
        <v>5</v>
      </c>
      <c r="L50" s="1154"/>
      <c r="M50" s="1154"/>
      <c r="N50" s="1155"/>
      <c r="O50" s="1156"/>
      <c r="P50" s="220"/>
      <c r="Q50" s="210" t="str">
        <f t="shared" si="5"/>
        <v/>
      </c>
      <c r="R50" s="200"/>
      <c r="T50" s="199">
        <v>5</v>
      </c>
      <c r="U50" s="1154"/>
      <c r="V50" s="1154"/>
      <c r="W50" s="1155"/>
      <c r="X50" s="1156"/>
      <c r="Y50" s="220"/>
      <c r="Z50" s="207" t="str">
        <f t="shared" si="3"/>
        <v/>
      </c>
      <c r="AA50" s="200"/>
    </row>
    <row r="51" spans="2:27">
      <c r="B51" s="199">
        <v>6</v>
      </c>
      <c r="C51" s="1154"/>
      <c r="D51" s="1154"/>
      <c r="E51" s="1155"/>
      <c r="F51" s="1156"/>
      <c r="G51" s="220"/>
      <c r="H51" s="207" t="str">
        <f t="shared" si="4"/>
        <v/>
      </c>
      <c r="I51" s="200"/>
      <c r="K51" s="199">
        <v>6</v>
      </c>
      <c r="L51" s="1154"/>
      <c r="M51" s="1154"/>
      <c r="N51" s="1155"/>
      <c r="O51" s="1156"/>
      <c r="P51" s="220"/>
      <c r="Q51" s="210" t="str">
        <f t="shared" si="5"/>
        <v/>
      </c>
      <c r="R51" s="200"/>
      <c r="T51" s="199">
        <v>6</v>
      </c>
      <c r="U51" s="1154"/>
      <c r="V51" s="1154"/>
      <c r="W51" s="1155"/>
      <c r="X51" s="1156"/>
      <c r="Y51" s="220"/>
      <c r="Z51" s="207" t="str">
        <f t="shared" si="3"/>
        <v/>
      </c>
      <c r="AA51" s="200"/>
    </row>
    <row r="52" spans="2:27">
      <c r="B52" s="199">
        <v>7</v>
      </c>
      <c r="C52" s="1154"/>
      <c r="D52" s="1154"/>
      <c r="E52" s="1155"/>
      <c r="F52" s="1156"/>
      <c r="G52" s="220"/>
      <c r="H52" s="207" t="str">
        <f t="shared" si="4"/>
        <v/>
      </c>
      <c r="I52" s="200"/>
      <c r="K52" s="199">
        <v>7</v>
      </c>
      <c r="L52" s="1162"/>
      <c r="M52" s="1163"/>
      <c r="N52" s="1155"/>
      <c r="O52" s="1156"/>
      <c r="P52" s="220"/>
      <c r="Q52" s="210" t="str">
        <f>IF(AND(ISBLANK(L52),ISBLANK(N52),ISBLANK(P52)),"",(IF(OR(ISBLANK(L52),ISBLANK(N52),ISBLANK(P52)),"Enter Info",(N52*P52))))</f>
        <v/>
      </c>
      <c r="R52" s="200"/>
      <c r="T52" s="199">
        <v>7</v>
      </c>
      <c r="U52" s="1154"/>
      <c r="V52" s="1154"/>
      <c r="W52" s="1155"/>
      <c r="X52" s="1156"/>
      <c r="Y52" s="220"/>
      <c r="Z52" s="207" t="str">
        <f t="shared" si="3"/>
        <v/>
      </c>
      <c r="AA52" s="200"/>
    </row>
    <row r="53" spans="2:27">
      <c r="B53" s="199">
        <v>8</v>
      </c>
      <c r="C53" s="1154"/>
      <c r="D53" s="1154"/>
      <c r="E53" s="1155"/>
      <c r="F53" s="1156"/>
      <c r="G53" s="220"/>
      <c r="H53" s="207" t="str">
        <f t="shared" si="4"/>
        <v/>
      </c>
      <c r="I53" s="200"/>
      <c r="K53" s="199">
        <v>8</v>
      </c>
      <c r="L53" s="1154"/>
      <c r="M53" s="1154"/>
      <c r="N53" s="1155"/>
      <c r="O53" s="1156"/>
      <c r="P53" s="220"/>
      <c r="Q53" s="210" t="str">
        <f t="shared" ref="Q53:Q75" si="6">IF(AND(ISBLANK(L53),ISBLANK(N53),ISBLANK(P53)),"",(IF(OR(ISBLANK(L53),ISBLANK(N53),ISBLANK(P53)),"Enter Info",(N53*P53))))</f>
        <v/>
      </c>
      <c r="R53" s="200"/>
      <c r="T53" s="199">
        <v>8</v>
      </c>
      <c r="U53" s="1154"/>
      <c r="V53" s="1154"/>
      <c r="W53" s="1155"/>
      <c r="X53" s="1156"/>
      <c r="Y53" s="220"/>
      <c r="Z53" s="207" t="str">
        <f t="shared" si="3"/>
        <v/>
      </c>
      <c r="AA53" s="200"/>
    </row>
    <row r="54" spans="2:27">
      <c r="B54" s="199">
        <v>9</v>
      </c>
      <c r="C54" s="1154"/>
      <c r="D54" s="1154"/>
      <c r="E54" s="1155"/>
      <c r="F54" s="1156"/>
      <c r="G54" s="220"/>
      <c r="H54" s="207" t="str">
        <f t="shared" si="4"/>
        <v/>
      </c>
      <c r="I54" s="200"/>
      <c r="K54" s="199">
        <v>9</v>
      </c>
      <c r="L54" s="1154"/>
      <c r="M54" s="1154"/>
      <c r="N54" s="1155"/>
      <c r="O54" s="1156"/>
      <c r="P54" s="220"/>
      <c r="Q54" s="210" t="str">
        <f t="shared" si="6"/>
        <v/>
      </c>
      <c r="R54" s="200"/>
      <c r="T54" s="199">
        <v>9</v>
      </c>
      <c r="U54" s="1154"/>
      <c r="V54" s="1154"/>
      <c r="W54" s="1155"/>
      <c r="X54" s="1156"/>
      <c r="Y54" s="220"/>
      <c r="Z54" s="207" t="str">
        <f t="shared" si="3"/>
        <v/>
      </c>
      <c r="AA54" s="200"/>
    </row>
    <row r="55" spans="2:27">
      <c r="B55" s="199">
        <v>10</v>
      </c>
      <c r="C55" s="1154"/>
      <c r="D55" s="1154"/>
      <c r="E55" s="1155"/>
      <c r="F55" s="1156"/>
      <c r="G55" s="220"/>
      <c r="H55" s="207" t="str">
        <f t="shared" si="4"/>
        <v/>
      </c>
      <c r="I55" s="200"/>
      <c r="K55" s="199">
        <v>10</v>
      </c>
      <c r="L55" s="1154"/>
      <c r="M55" s="1154"/>
      <c r="N55" s="1155"/>
      <c r="O55" s="1156"/>
      <c r="P55" s="220"/>
      <c r="Q55" s="210" t="str">
        <f t="shared" si="6"/>
        <v/>
      </c>
      <c r="R55" s="200"/>
      <c r="T55" s="199">
        <v>10</v>
      </c>
      <c r="U55" s="1154"/>
      <c r="V55" s="1154"/>
      <c r="W55" s="1155"/>
      <c r="X55" s="1156"/>
      <c r="Y55" s="220"/>
      <c r="Z55" s="207" t="str">
        <f t="shared" si="3"/>
        <v/>
      </c>
      <c r="AA55" s="200"/>
    </row>
    <row r="56" spans="2:27">
      <c r="B56" s="199">
        <v>11</v>
      </c>
      <c r="C56" s="1154"/>
      <c r="D56" s="1154"/>
      <c r="E56" s="1155"/>
      <c r="F56" s="1156"/>
      <c r="G56" s="220"/>
      <c r="H56" s="207" t="str">
        <f t="shared" si="4"/>
        <v/>
      </c>
      <c r="I56" s="200"/>
      <c r="K56" s="199">
        <v>11</v>
      </c>
      <c r="L56" s="1154"/>
      <c r="M56" s="1154"/>
      <c r="N56" s="1155"/>
      <c r="O56" s="1156"/>
      <c r="P56" s="220"/>
      <c r="Q56" s="210" t="str">
        <f t="shared" si="6"/>
        <v/>
      </c>
      <c r="R56" s="200"/>
      <c r="T56" s="199">
        <v>11</v>
      </c>
      <c r="U56" s="1154"/>
      <c r="V56" s="1154"/>
      <c r="W56" s="1155"/>
      <c r="X56" s="1156"/>
      <c r="Y56" s="220"/>
      <c r="Z56" s="207" t="str">
        <f t="shared" si="3"/>
        <v/>
      </c>
      <c r="AA56" s="200"/>
    </row>
    <row r="57" spans="2:27">
      <c r="B57" s="199">
        <v>12</v>
      </c>
      <c r="C57" s="1154"/>
      <c r="D57" s="1154"/>
      <c r="E57" s="1155"/>
      <c r="F57" s="1156"/>
      <c r="G57" s="220"/>
      <c r="H57" s="207" t="str">
        <f t="shared" si="4"/>
        <v/>
      </c>
      <c r="I57" s="200"/>
      <c r="K57" s="199">
        <v>12</v>
      </c>
      <c r="L57" s="1154"/>
      <c r="M57" s="1154"/>
      <c r="N57" s="1155"/>
      <c r="O57" s="1156"/>
      <c r="P57" s="220"/>
      <c r="Q57" s="210" t="str">
        <f t="shared" si="6"/>
        <v/>
      </c>
      <c r="R57" s="200"/>
      <c r="T57" s="199">
        <v>12</v>
      </c>
      <c r="U57" s="1154"/>
      <c r="V57" s="1154"/>
      <c r="W57" s="1155"/>
      <c r="X57" s="1156"/>
      <c r="Y57" s="220"/>
      <c r="Z57" s="207" t="str">
        <f t="shared" si="3"/>
        <v/>
      </c>
      <c r="AA57" s="200"/>
    </row>
    <row r="58" spans="2:27">
      <c r="B58" s="199">
        <v>13</v>
      </c>
      <c r="C58" s="1154"/>
      <c r="D58" s="1154"/>
      <c r="E58" s="1155"/>
      <c r="F58" s="1156"/>
      <c r="G58" s="220"/>
      <c r="H58" s="207" t="str">
        <f t="shared" si="4"/>
        <v/>
      </c>
      <c r="I58" s="200"/>
      <c r="K58" s="199">
        <v>13</v>
      </c>
      <c r="L58" s="1154"/>
      <c r="M58" s="1154"/>
      <c r="N58" s="1155"/>
      <c r="O58" s="1156"/>
      <c r="P58" s="220"/>
      <c r="Q58" s="210" t="str">
        <f t="shared" si="6"/>
        <v/>
      </c>
      <c r="R58" s="200"/>
      <c r="T58" s="199">
        <v>13</v>
      </c>
      <c r="U58" s="1154"/>
      <c r="V58" s="1154"/>
      <c r="W58" s="1155"/>
      <c r="X58" s="1156"/>
      <c r="Y58" s="220"/>
      <c r="Z58" s="207" t="str">
        <f t="shared" si="3"/>
        <v/>
      </c>
      <c r="AA58" s="200"/>
    </row>
    <row r="59" spans="2:27">
      <c r="B59" s="199">
        <v>14</v>
      </c>
      <c r="C59" s="1154"/>
      <c r="D59" s="1154"/>
      <c r="E59" s="1155"/>
      <c r="F59" s="1156"/>
      <c r="G59" s="220"/>
      <c r="H59" s="207" t="str">
        <f t="shared" si="4"/>
        <v/>
      </c>
      <c r="I59" s="200"/>
      <c r="K59" s="199">
        <v>14</v>
      </c>
      <c r="L59" s="1154"/>
      <c r="M59" s="1154"/>
      <c r="N59" s="1155"/>
      <c r="O59" s="1156"/>
      <c r="P59" s="220"/>
      <c r="Q59" s="210" t="str">
        <f t="shared" si="6"/>
        <v/>
      </c>
      <c r="R59" s="200"/>
      <c r="T59" s="199">
        <v>14</v>
      </c>
      <c r="U59" s="1154"/>
      <c r="V59" s="1154"/>
      <c r="W59" s="1155"/>
      <c r="X59" s="1156"/>
      <c r="Y59" s="220"/>
      <c r="Z59" s="207" t="str">
        <f t="shared" si="3"/>
        <v/>
      </c>
      <c r="AA59" s="200"/>
    </row>
    <row r="60" spans="2:27">
      <c r="B60" s="199">
        <v>15</v>
      </c>
      <c r="C60" s="1154"/>
      <c r="D60" s="1154"/>
      <c r="E60" s="1155"/>
      <c r="F60" s="1156"/>
      <c r="G60" s="220"/>
      <c r="H60" s="207" t="str">
        <f t="shared" si="4"/>
        <v/>
      </c>
      <c r="I60" s="200"/>
      <c r="K60" s="199">
        <v>15</v>
      </c>
      <c r="L60" s="1154"/>
      <c r="M60" s="1154"/>
      <c r="N60" s="1155"/>
      <c r="O60" s="1156"/>
      <c r="P60" s="220"/>
      <c r="Q60" s="210" t="str">
        <f t="shared" si="6"/>
        <v/>
      </c>
      <c r="R60" s="200"/>
      <c r="T60" s="199">
        <v>15</v>
      </c>
      <c r="U60" s="1154"/>
      <c r="V60" s="1154"/>
      <c r="W60" s="1155"/>
      <c r="X60" s="1156"/>
      <c r="Y60" s="220"/>
      <c r="Z60" s="207" t="str">
        <f t="shared" si="3"/>
        <v/>
      </c>
      <c r="AA60" s="200"/>
    </row>
    <row r="61" spans="2:27">
      <c r="B61" s="199">
        <v>16</v>
      </c>
      <c r="C61" s="1154"/>
      <c r="D61" s="1154"/>
      <c r="E61" s="1155"/>
      <c r="F61" s="1156"/>
      <c r="G61" s="220"/>
      <c r="H61" s="207" t="str">
        <f t="shared" si="4"/>
        <v/>
      </c>
      <c r="I61" s="200"/>
      <c r="K61" s="199">
        <v>16</v>
      </c>
      <c r="L61" s="1154"/>
      <c r="M61" s="1154"/>
      <c r="N61" s="1155"/>
      <c r="O61" s="1156"/>
      <c r="P61" s="220"/>
      <c r="Q61" s="210" t="str">
        <f t="shared" si="6"/>
        <v/>
      </c>
      <c r="R61" s="200"/>
      <c r="T61" s="199">
        <v>16</v>
      </c>
      <c r="U61" s="1154"/>
      <c r="V61" s="1154"/>
      <c r="W61" s="1155"/>
      <c r="X61" s="1156"/>
      <c r="Y61" s="220"/>
      <c r="Z61" s="207" t="str">
        <f t="shared" si="3"/>
        <v/>
      </c>
      <c r="AA61" s="200"/>
    </row>
    <row r="62" spans="2:27">
      <c r="B62" s="199">
        <v>17</v>
      </c>
      <c r="C62" s="1154"/>
      <c r="D62" s="1154"/>
      <c r="E62" s="1155"/>
      <c r="F62" s="1156"/>
      <c r="G62" s="220"/>
      <c r="H62" s="207" t="str">
        <f t="shared" si="4"/>
        <v/>
      </c>
      <c r="I62" s="200"/>
      <c r="K62" s="199">
        <v>17</v>
      </c>
      <c r="L62" s="1154"/>
      <c r="M62" s="1154"/>
      <c r="N62" s="1155"/>
      <c r="O62" s="1156"/>
      <c r="P62" s="220"/>
      <c r="Q62" s="210" t="str">
        <f t="shared" si="6"/>
        <v/>
      </c>
      <c r="R62" s="200"/>
      <c r="T62" s="199">
        <v>17</v>
      </c>
      <c r="U62" s="1154"/>
      <c r="V62" s="1154"/>
      <c r="W62" s="1155"/>
      <c r="X62" s="1156"/>
      <c r="Y62" s="220"/>
      <c r="Z62" s="207" t="str">
        <f t="shared" si="3"/>
        <v/>
      </c>
      <c r="AA62" s="200"/>
    </row>
    <row r="63" spans="2:27">
      <c r="B63" s="199">
        <v>18</v>
      </c>
      <c r="C63" s="1154"/>
      <c r="D63" s="1154"/>
      <c r="E63" s="1155"/>
      <c r="F63" s="1156"/>
      <c r="G63" s="220"/>
      <c r="H63" s="207" t="str">
        <f t="shared" si="4"/>
        <v/>
      </c>
      <c r="I63" s="200"/>
      <c r="K63" s="199">
        <v>18</v>
      </c>
      <c r="L63" s="1154"/>
      <c r="M63" s="1154"/>
      <c r="N63" s="1155"/>
      <c r="O63" s="1156"/>
      <c r="P63" s="220"/>
      <c r="Q63" s="210" t="str">
        <f t="shared" si="6"/>
        <v/>
      </c>
      <c r="R63" s="200"/>
      <c r="T63" s="199">
        <v>18</v>
      </c>
      <c r="U63" s="1154"/>
      <c r="V63" s="1154"/>
      <c r="W63" s="1155"/>
      <c r="X63" s="1156"/>
      <c r="Y63" s="220"/>
      <c r="Z63" s="207" t="str">
        <f t="shared" si="3"/>
        <v/>
      </c>
      <c r="AA63" s="200"/>
    </row>
    <row r="64" spans="2:27">
      <c r="B64" s="199">
        <v>19</v>
      </c>
      <c r="C64" s="1154"/>
      <c r="D64" s="1154"/>
      <c r="E64" s="1155"/>
      <c r="F64" s="1156"/>
      <c r="G64" s="220"/>
      <c r="H64" s="207" t="str">
        <f t="shared" si="4"/>
        <v/>
      </c>
      <c r="I64" s="200"/>
      <c r="K64" s="199">
        <v>19</v>
      </c>
      <c r="L64" s="1154"/>
      <c r="M64" s="1154"/>
      <c r="N64" s="1155"/>
      <c r="O64" s="1156"/>
      <c r="P64" s="220"/>
      <c r="Q64" s="210" t="str">
        <f t="shared" si="6"/>
        <v/>
      </c>
      <c r="R64" s="200"/>
      <c r="T64" s="199">
        <v>19</v>
      </c>
      <c r="U64" s="1154"/>
      <c r="V64" s="1154"/>
      <c r="W64" s="1155"/>
      <c r="X64" s="1156"/>
      <c r="Y64" s="220"/>
      <c r="Z64" s="207" t="str">
        <f t="shared" si="3"/>
        <v/>
      </c>
      <c r="AA64" s="200"/>
    </row>
    <row r="65" spans="2:27">
      <c r="B65" s="199">
        <v>20</v>
      </c>
      <c r="C65" s="1154"/>
      <c r="D65" s="1154"/>
      <c r="E65" s="1155"/>
      <c r="F65" s="1156"/>
      <c r="G65" s="220"/>
      <c r="H65" s="207" t="str">
        <f t="shared" si="4"/>
        <v/>
      </c>
      <c r="I65" s="200"/>
      <c r="K65" s="199">
        <v>20</v>
      </c>
      <c r="L65" s="1154"/>
      <c r="M65" s="1154"/>
      <c r="N65" s="1155"/>
      <c r="O65" s="1156"/>
      <c r="P65" s="220"/>
      <c r="Q65" s="210" t="str">
        <f t="shared" si="6"/>
        <v/>
      </c>
      <c r="R65" s="200"/>
      <c r="T65" s="199">
        <v>20</v>
      </c>
      <c r="U65" s="1154"/>
      <c r="V65" s="1154"/>
      <c r="W65" s="1155"/>
      <c r="X65" s="1156"/>
      <c r="Y65" s="220"/>
      <c r="Z65" s="207" t="str">
        <f t="shared" si="3"/>
        <v/>
      </c>
      <c r="AA65" s="200"/>
    </row>
    <row r="66" spans="2:27">
      <c r="B66" s="199">
        <v>21</v>
      </c>
      <c r="C66" s="1154"/>
      <c r="D66" s="1154"/>
      <c r="E66" s="1155"/>
      <c r="F66" s="1156"/>
      <c r="G66" s="220"/>
      <c r="H66" s="207" t="str">
        <f t="shared" si="4"/>
        <v/>
      </c>
      <c r="I66" s="200"/>
      <c r="K66" s="199">
        <v>21</v>
      </c>
      <c r="L66" s="1154"/>
      <c r="M66" s="1154"/>
      <c r="N66" s="1155"/>
      <c r="O66" s="1156"/>
      <c r="P66" s="220"/>
      <c r="Q66" s="210" t="str">
        <f t="shared" si="6"/>
        <v/>
      </c>
      <c r="R66" s="200"/>
      <c r="T66" s="199">
        <v>21</v>
      </c>
      <c r="U66" s="1154"/>
      <c r="V66" s="1154"/>
      <c r="W66" s="1155"/>
      <c r="X66" s="1156"/>
      <c r="Y66" s="220"/>
      <c r="Z66" s="207" t="str">
        <f t="shared" si="3"/>
        <v/>
      </c>
      <c r="AA66" s="200"/>
    </row>
    <row r="67" spans="2:27">
      <c r="B67" s="199">
        <v>22</v>
      </c>
      <c r="C67" s="1154"/>
      <c r="D67" s="1154"/>
      <c r="E67" s="1155"/>
      <c r="F67" s="1156"/>
      <c r="G67" s="220"/>
      <c r="H67" s="207" t="str">
        <f t="shared" si="4"/>
        <v/>
      </c>
      <c r="I67" s="200"/>
      <c r="K67" s="199">
        <v>22</v>
      </c>
      <c r="L67" s="1154"/>
      <c r="M67" s="1154"/>
      <c r="N67" s="1155"/>
      <c r="O67" s="1156"/>
      <c r="P67" s="220"/>
      <c r="Q67" s="210" t="str">
        <f t="shared" si="6"/>
        <v/>
      </c>
      <c r="R67" s="200"/>
      <c r="T67" s="199">
        <v>22</v>
      </c>
      <c r="U67" s="1154"/>
      <c r="V67" s="1154"/>
      <c r="W67" s="1155"/>
      <c r="X67" s="1156"/>
      <c r="Y67" s="220"/>
      <c r="Z67" s="207" t="str">
        <f t="shared" si="3"/>
        <v/>
      </c>
      <c r="AA67" s="200"/>
    </row>
    <row r="68" spans="2:27">
      <c r="B68" s="199">
        <v>23</v>
      </c>
      <c r="C68" s="1154"/>
      <c r="D68" s="1154"/>
      <c r="E68" s="1155"/>
      <c r="F68" s="1156"/>
      <c r="G68" s="220"/>
      <c r="H68" s="207" t="str">
        <f t="shared" si="4"/>
        <v/>
      </c>
      <c r="I68" s="200"/>
      <c r="K68" s="199">
        <v>23</v>
      </c>
      <c r="L68" s="1154"/>
      <c r="M68" s="1154"/>
      <c r="N68" s="1155"/>
      <c r="O68" s="1156"/>
      <c r="P68" s="220"/>
      <c r="Q68" s="210" t="str">
        <f t="shared" si="6"/>
        <v/>
      </c>
      <c r="R68" s="200"/>
      <c r="T68" s="199">
        <v>23</v>
      </c>
      <c r="U68" s="1154"/>
      <c r="V68" s="1154"/>
      <c r="W68" s="1155"/>
      <c r="X68" s="1156"/>
      <c r="Y68" s="220"/>
      <c r="Z68" s="207" t="str">
        <f t="shared" si="3"/>
        <v/>
      </c>
      <c r="AA68" s="200"/>
    </row>
    <row r="69" spans="2:27">
      <c r="B69" s="199">
        <v>24</v>
      </c>
      <c r="C69" s="1154"/>
      <c r="D69" s="1154"/>
      <c r="E69" s="1155"/>
      <c r="F69" s="1156"/>
      <c r="G69" s="220"/>
      <c r="H69" s="207" t="str">
        <f t="shared" si="4"/>
        <v/>
      </c>
      <c r="I69" s="200"/>
      <c r="K69" s="199">
        <v>24</v>
      </c>
      <c r="L69" s="1154"/>
      <c r="M69" s="1154"/>
      <c r="N69" s="1155"/>
      <c r="O69" s="1156"/>
      <c r="P69" s="220"/>
      <c r="Q69" s="210" t="str">
        <f t="shared" si="6"/>
        <v/>
      </c>
      <c r="R69" s="200"/>
      <c r="T69" s="199">
        <v>24</v>
      </c>
      <c r="U69" s="1154"/>
      <c r="V69" s="1154"/>
      <c r="W69" s="1155"/>
      <c r="X69" s="1156"/>
      <c r="Y69" s="220"/>
      <c r="Z69" s="207" t="str">
        <f t="shared" si="3"/>
        <v/>
      </c>
      <c r="AA69" s="200"/>
    </row>
    <row r="70" spans="2:27">
      <c r="B70" s="199">
        <v>25</v>
      </c>
      <c r="C70" s="1154"/>
      <c r="D70" s="1154"/>
      <c r="E70" s="1155"/>
      <c r="F70" s="1156"/>
      <c r="G70" s="220"/>
      <c r="H70" s="207" t="str">
        <f t="shared" si="4"/>
        <v/>
      </c>
      <c r="I70" s="200"/>
      <c r="K70" s="199">
        <v>25</v>
      </c>
      <c r="L70" s="1154"/>
      <c r="M70" s="1154"/>
      <c r="N70" s="1155"/>
      <c r="O70" s="1156"/>
      <c r="P70" s="220"/>
      <c r="Q70" s="210" t="str">
        <f t="shared" si="6"/>
        <v/>
      </c>
      <c r="R70" s="200"/>
      <c r="T70" s="199">
        <v>25</v>
      </c>
      <c r="U70" s="1154"/>
      <c r="V70" s="1154"/>
      <c r="W70" s="1155"/>
      <c r="X70" s="1156"/>
      <c r="Y70" s="220"/>
      <c r="Z70" s="207" t="str">
        <f t="shared" si="3"/>
        <v/>
      </c>
      <c r="AA70" s="200"/>
    </row>
    <row r="71" spans="2:27">
      <c r="B71" s="199">
        <v>26</v>
      </c>
      <c r="C71" s="1154"/>
      <c r="D71" s="1154"/>
      <c r="E71" s="1155"/>
      <c r="F71" s="1156"/>
      <c r="G71" s="220"/>
      <c r="H71" s="207" t="str">
        <f t="shared" si="4"/>
        <v/>
      </c>
      <c r="I71" s="200"/>
      <c r="K71" s="199">
        <v>26</v>
      </c>
      <c r="L71" s="1154"/>
      <c r="M71" s="1154"/>
      <c r="N71" s="1155"/>
      <c r="O71" s="1156"/>
      <c r="P71" s="220"/>
      <c r="Q71" s="210" t="str">
        <f t="shared" si="6"/>
        <v/>
      </c>
      <c r="R71" s="200"/>
      <c r="T71" s="199">
        <v>26</v>
      </c>
      <c r="U71" s="1154"/>
      <c r="V71" s="1154"/>
      <c r="W71" s="1155"/>
      <c r="X71" s="1156"/>
      <c r="Y71" s="220"/>
      <c r="Z71" s="207" t="str">
        <f t="shared" si="3"/>
        <v/>
      </c>
      <c r="AA71" s="200"/>
    </row>
    <row r="72" spans="2:27">
      <c r="B72" s="199">
        <v>27</v>
      </c>
      <c r="C72" s="1154"/>
      <c r="D72" s="1154"/>
      <c r="E72" s="1155"/>
      <c r="F72" s="1156"/>
      <c r="G72" s="220"/>
      <c r="H72" s="207" t="str">
        <f t="shared" si="4"/>
        <v/>
      </c>
      <c r="I72" s="200"/>
      <c r="K72" s="199">
        <v>27</v>
      </c>
      <c r="L72" s="1154"/>
      <c r="M72" s="1154"/>
      <c r="N72" s="1155"/>
      <c r="O72" s="1156"/>
      <c r="P72" s="220"/>
      <c r="Q72" s="210" t="str">
        <f t="shared" si="6"/>
        <v/>
      </c>
      <c r="R72" s="200"/>
      <c r="T72" s="199">
        <v>27</v>
      </c>
      <c r="U72" s="1154"/>
      <c r="V72" s="1154"/>
      <c r="W72" s="1155"/>
      <c r="X72" s="1156"/>
      <c r="Y72" s="220"/>
      <c r="Z72" s="207" t="str">
        <f t="shared" si="3"/>
        <v/>
      </c>
      <c r="AA72" s="200"/>
    </row>
    <row r="73" spans="2:27">
      <c r="B73" s="199">
        <v>28</v>
      </c>
      <c r="C73" s="1154"/>
      <c r="D73" s="1154"/>
      <c r="E73" s="1155"/>
      <c r="F73" s="1156"/>
      <c r="G73" s="220"/>
      <c r="H73" s="207" t="str">
        <f t="shared" si="4"/>
        <v/>
      </c>
      <c r="I73" s="200"/>
      <c r="K73" s="199">
        <v>28</v>
      </c>
      <c r="L73" s="1154"/>
      <c r="M73" s="1154"/>
      <c r="N73" s="1155"/>
      <c r="O73" s="1156"/>
      <c r="P73" s="220"/>
      <c r="Q73" s="210" t="str">
        <f t="shared" si="6"/>
        <v/>
      </c>
      <c r="R73" s="200"/>
      <c r="T73" s="199">
        <v>28</v>
      </c>
      <c r="U73" s="1154"/>
      <c r="V73" s="1154"/>
      <c r="W73" s="1155"/>
      <c r="X73" s="1156"/>
      <c r="Y73" s="220"/>
      <c r="Z73" s="207" t="str">
        <f t="shared" si="3"/>
        <v/>
      </c>
      <c r="AA73" s="200"/>
    </row>
    <row r="74" spans="2:27">
      <c r="B74" s="199">
        <v>29</v>
      </c>
      <c r="C74" s="1154"/>
      <c r="D74" s="1154"/>
      <c r="E74" s="1155"/>
      <c r="F74" s="1156"/>
      <c r="G74" s="220"/>
      <c r="H74" s="207" t="str">
        <f t="shared" si="4"/>
        <v/>
      </c>
      <c r="I74" s="200"/>
      <c r="K74" s="199">
        <v>29</v>
      </c>
      <c r="L74" s="1154"/>
      <c r="M74" s="1154"/>
      <c r="N74" s="1155"/>
      <c r="O74" s="1156"/>
      <c r="P74" s="220"/>
      <c r="Q74" s="210" t="str">
        <f t="shared" si="6"/>
        <v/>
      </c>
      <c r="R74" s="200"/>
      <c r="T74" s="199">
        <v>29</v>
      </c>
      <c r="U74" s="1154"/>
      <c r="V74" s="1154"/>
      <c r="W74" s="1155"/>
      <c r="X74" s="1156"/>
      <c r="Y74" s="220"/>
      <c r="Z74" s="207" t="str">
        <f t="shared" si="3"/>
        <v/>
      </c>
      <c r="AA74" s="200"/>
    </row>
    <row r="75" spans="2:27">
      <c r="B75" s="199">
        <v>30</v>
      </c>
      <c r="C75" s="1154"/>
      <c r="D75" s="1154"/>
      <c r="E75" s="1155"/>
      <c r="F75" s="1156"/>
      <c r="G75" s="220"/>
      <c r="H75" s="207" t="str">
        <f t="shared" si="4"/>
        <v/>
      </c>
      <c r="I75" s="200"/>
      <c r="K75" s="199">
        <v>30</v>
      </c>
      <c r="L75" s="1154"/>
      <c r="M75" s="1154"/>
      <c r="N75" s="1155"/>
      <c r="O75" s="1156"/>
      <c r="P75" s="220"/>
      <c r="Q75" s="210" t="str">
        <f t="shared" si="6"/>
        <v/>
      </c>
      <c r="R75" s="200"/>
      <c r="T75" s="199">
        <v>30</v>
      </c>
      <c r="U75" s="1154"/>
      <c r="V75" s="1154"/>
      <c r="W75" s="1155"/>
      <c r="X75" s="1156"/>
      <c r="Y75" s="220"/>
      <c r="Z75" s="207" t="str">
        <f t="shared" si="3"/>
        <v/>
      </c>
      <c r="AA75" s="200"/>
    </row>
    <row r="76" spans="2:27">
      <c r="B76" s="199"/>
      <c r="C76" s="194"/>
      <c r="D76" s="194"/>
      <c r="E76" s="194"/>
      <c r="F76" s="194"/>
      <c r="G76" s="194" t="s">
        <v>1040</v>
      </c>
      <c r="H76" s="208">
        <f>SUM(H46:H75)</f>
        <v>0</v>
      </c>
      <c r="I76" s="200"/>
      <c r="K76" s="199"/>
      <c r="L76" s="194"/>
      <c r="M76" s="194"/>
      <c r="N76" s="194"/>
      <c r="O76" s="194"/>
      <c r="P76" s="194" t="s">
        <v>1040</v>
      </c>
      <c r="Q76" s="211">
        <f>SUM(Q46:Q75)</f>
        <v>0</v>
      </c>
      <c r="R76" s="200"/>
      <c r="T76" s="199"/>
      <c r="U76" s="194"/>
      <c r="V76" s="194"/>
      <c r="W76" s="194"/>
      <c r="X76" s="194"/>
      <c r="Y76" s="194" t="s">
        <v>1040</v>
      </c>
      <c r="Z76" s="208">
        <f>SUM(Z46:Z75)</f>
        <v>0</v>
      </c>
      <c r="AA76" s="200"/>
    </row>
    <row r="77" spans="2:27">
      <c r="B77" s="201"/>
      <c r="C77" s="202"/>
      <c r="D77" s="202"/>
      <c r="E77" s="202"/>
      <c r="F77" s="202"/>
      <c r="G77" s="202"/>
      <c r="H77" s="213"/>
      <c r="I77" s="204"/>
      <c r="K77" s="201"/>
      <c r="L77" s="202"/>
      <c r="M77" s="202"/>
      <c r="N77" s="202"/>
      <c r="O77" s="202"/>
      <c r="P77" s="202"/>
      <c r="Q77" s="203"/>
      <c r="R77" s="204"/>
      <c r="T77" s="201"/>
      <c r="U77" s="202"/>
      <c r="V77" s="202"/>
      <c r="W77" s="202"/>
      <c r="X77" s="202"/>
      <c r="Y77" s="202"/>
      <c r="Z77" s="203"/>
      <c r="AA77" s="204"/>
    </row>
    <row r="79" spans="2:27" ht="15">
      <c r="B79" s="215"/>
      <c r="C79" s="216"/>
      <c r="D79" s="216"/>
      <c r="E79" s="216"/>
      <c r="F79" s="216"/>
      <c r="G79" s="216"/>
      <c r="H79" s="216"/>
      <c r="I79" s="217"/>
      <c r="J79" s="218"/>
      <c r="K79" s="215"/>
      <c r="L79" s="216"/>
      <c r="M79" s="216"/>
      <c r="N79" s="216"/>
      <c r="O79" s="216"/>
      <c r="P79" s="216"/>
      <c r="Q79" s="216"/>
      <c r="R79" s="217"/>
      <c r="S79" s="214"/>
      <c r="T79" s="215"/>
      <c r="U79" s="216"/>
      <c r="V79" s="216"/>
      <c r="W79" s="216"/>
      <c r="X79" s="216"/>
      <c r="Y79" s="216"/>
      <c r="Z79" s="216"/>
      <c r="AA79" s="209"/>
    </row>
    <row r="80" spans="2:27" ht="15">
      <c r="B80" s="196"/>
      <c r="C80" s="361" t="s">
        <v>2555</v>
      </c>
      <c r="D80" s="1159"/>
      <c r="E80" s="1159"/>
      <c r="F80" s="1159"/>
      <c r="G80" s="1159"/>
      <c r="H80" s="1159"/>
      <c r="I80" s="198"/>
      <c r="J80"/>
      <c r="K80" s="196"/>
      <c r="L80" s="361" t="s">
        <v>2556</v>
      </c>
      <c r="M80" s="1159"/>
      <c r="N80" s="1159"/>
      <c r="O80" s="1159"/>
      <c r="P80" s="1159"/>
      <c r="Q80" s="1159"/>
      <c r="R80" s="198"/>
      <c r="T80" s="196"/>
      <c r="U80" s="361" t="s">
        <v>2557</v>
      </c>
      <c r="V80" s="1159"/>
      <c r="W80" s="1159"/>
      <c r="X80" s="1159"/>
      <c r="Y80" s="1159"/>
      <c r="Z80" s="1159"/>
      <c r="AA80" s="198"/>
    </row>
    <row r="81" spans="2:27" ht="15">
      <c r="B81" s="196"/>
      <c r="C81" s="195"/>
      <c r="D81" s="195"/>
      <c r="E81" s="195"/>
      <c r="F81" s="195"/>
      <c r="G81" s="195"/>
      <c r="H81" s="197"/>
      <c r="I81" s="198"/>
      <c r="J81"/>
      <c r="K81" s="196"/>
      <c r="L81" s="195"/>
      <c r="M81" s="195"/>
      <c r="N81" s="195"/>
      <c r="O81" s="195"/>
      <c r="P81" s="195"/>
      <c r="Q81" s="197"/>
      <c r="R81" s="198"/>
      <c r="T81" s="196"/>
      <c r="U81" s="195"/>
      <c r="V81" s="195"/>
      <c r="W81" s="195"/>
      <c r="X81" s="195"/>
      <c r="Y81" s="195"/>
      <c r="Z81" s="197"/>
      <c r="AA81" s="198"/>
    </row>
    <row r="82" spans="2:27">
      <c r="B82" s="199"/>
      <c r="C82" s="205" t="s">
        <v>1217</v>
      </c>
      <c r="D82" s="206"/>
      <c r="E82" s="1158" t="s">
        <v>91</v>
      </c>
      <c r="F82" s="1158"/>
      <c r="G82" s="205" t="s">
        <v>1216</v>
      </c>
      <c r="H82" s="205" t="s">
        <v>1040</v>
      </c>
      <c r="I82" s="200"/>
      <c r="K82" s="199"/>
      <c r="L82" s="205" t="s">
        <v>1217</v>
      </c>
      <c r="M82" s="206"/>
      <c r="N82" s="1158" t="s">
        <v>91</v>
      </c>
      <c r="O82" s="1158"/>
      <c r="P82" s="205" t="s">
        <v>1216</v>
      </c>
      <c r="Q82" s="205" t="s">
        <v>1040</v>
      </c>
      <c r="R82" s="200"/>
      <c r="T82" s="199"/>
      <c r="U82" s="205" t="s">
        <v>1217</v>
      </c>
      <c r="V82" s="206"/>
      <c r="W82" s="1158" t="s">
        <v>91</v>
      </c>
      <c r="X82" s="1158"/>
      <c r="Y82" s="205" t="s">
        <v>1216</v>
      </c>
      <c r="Z82" s="205" t="s">
        <v>1040</v>
      </c>
      <c r="AA82" s="200"/>
    </row>
    <row r="83" spans="2:27">
      <c r="B83" s="199">
        <v>1</v>
      </c>
      <c r="C83" s="1157"/>
      <c r="D83" s="1157"/>
      <c r="E83" s="1155"/>
      <c r="F83" s="1156"/>
      <c r="G83" s="219"/>
      <c r="H83" s="207" t="str">
        <f>IF(AND(ISBLANK(C83),ISBLANK(E83),ISBLANK(G83)),"",(IF(OR(ISBLANK(C83),ISBLANK(E83),ISBLANK(G83)),"Enter Info",(E83*G83))))</f>
        <v/>
      </c>
      <c r="I83" s="200"/>
      <c r="K83" s="199">
        <v>1</v>
      </c>
      <c r="L83" s="1157"/>
      <c r="M83" s="1157"/>
      <c r="N83" s="1155"/>
      <c r="O83" s="1156"/>
      <c r="P83" s="219"/>
      <c r="Q83" s="210" t="str">
        <f>IF(AND(ISBLANK(L83),ISBLANK(N83),ISBLANK(P83)),"",(IF(OR(ISBLANK(L83),ISBLANK(N83),ISBLANK(P83)),"Enter Info",(N83*P83))))</f>
        <v/>
      </c>
      <c r="R83" s="200"/>
      <c r="T83" s="199">
        <v>1</v>
      </c>
      <c r="U83" s="1157"/>
      <c r="V83" s="1157"/>
      <c r="W83" s="1155"/>
      <c r="X83" s="1156"/>
      <c r="Y83" s="219"/>
      <c r="Z83" s="207" t="str">
        <f t="shared" ref="Z83:Z112" si="7">IF(AND(ISBLANK(U83),ISBLANK(W83),ISBLANK(Y83)),"",(IF(OR(ISBLANK(U83),ISBLANK(W83),ISBLANK(Y83)),"Enter Info",(W83*Y83))))</f>
        <v/>
      </c>
      <c r="AA83" s="200"/>
    </row>
    <row r="84" spans="2:27">
      <c r="B84" s="199">
        <v>2</v>
      </c>
      <c r="C84" s="1154"/>
      <c r="D84" s="1154"/>
      <c r="E84" s="1155"/>
      <c r="F84" s="1156"/>
      <c r="G84" s="220"/>
      <c r="H84" s="207" t="str">
        <f t="shared" ref="H84:H112" si="8">IF(AND(ISBLANK(C84),ISBLANK(E84),ISBLANK(G84)),"",(IF(OR(ISBLANK(C84),ISBLANK(E84),ISBLANK(G84)),"Enter Info",(E84*G84))))</f>
        <v/>
      </c>
      <c r="I84" s="200"/>
      <c r="K84" s="199">
        <v>2</v>
      </c>
      <c r="L84" s="1154"/>
      <c r="M84" s="1154"/>
      <c r="N84" s="1155"/>
      <c r="O84" s="1156"/>
      <c r="P84" s="220"/>
      <c r="Q84" s="210" t="str">
        <f>IF(AND(ISBLANK(L84),ISBLANK(N84),ISBLANK(P84)),"",(IF(OR(ISBLANK(L84),ISBLANK(N84),ISBLANK(P84)),"Enter Info",(N84*P84))))</f>
        <v/>
      </c>
      <c r="R84" s="200"/>
      <c r="T84" s="199">
        <v>2</v>
      </c>
      <c r="U84" s="1154"/>
      <c r="V84" s="1154"/>
      <c r="W84" s="1155"/>
      <c r="X84" s="1156"/>
      <c r="Y84" s="220"/>
      <c r="Z84" s="207" t="str">
        <f t="shared" si="7"/>
        <v/>
      </c>
      <c r="AA84" s="200"/>
    </row>
    <row r="85" spans="2:27">
      <c r="B85" s="199">
        <v>3</v>
      </c>
      <c r="C85" s="1154"/>
      <c r="D85" s="1154"/>
      <c r="E85" s="1160"/>
      <c r="F85" s="1161"/>
      <c r="G85" s="220"/>
      <c r="H85" s="207" t="str">
        <f t="shared" si="8"/>
        <v/>
      </c>
      <c r="I85" s="200"/>
      <c r="K85" s="199">
        <v>3</v>
      </c>
      <c r="L85" s="1154"/>
      <c r="M85" s="1154"/>
      <c r="N85" s="1160"/>
      <c r="O85" s="1161"/>
      <c r="P85" s="220"/>
      <c r="Q85" s="210" t="str">
        <f t="shared" ref="Q85:Q88" si="9">IF(AND(ISBLANK(L85),ISBLANK(N85),ISBLANK(P85)),"",(IF(OR(ISBLANK(L85),ISBLANK(N85),ISBLANK(P85)),"Enter Info",(N85*P85))))</f>
        <v/>
      </c>
      <c r="R85" s="200"/>
      <c r="T85" s="199">
        <v>3</v>
      </c>
      <c r="U85" s="1154"/>
      <c r="V85" s="1154"/>
      <c r="W85" s="1160"/>
      <c r="X85" s="1161"/>
      <c r="Y85" s="220"/>
      <c r="Z85" s="207" t="str">
        <f t="shared" si="7"/>
        <v/>
      </c>
      <c r="AA85" s="200"/>
    </row>
    <row r="86" spans="2:27">
      <c r="B86" s="199">
        <v>4</v>
      </c>
      <c r="C86" s="1154"/>
      <c r="D86" s="1154"/>
      <c r="E86" s="1155"/>
      <c r="F86" s="1156"/>
      <c r="G86" s="220"/>
      <c r="H86" s="207" t="str">
        <f t="shared" si="8"/>
        <v/>
      </c>
      <c r="I86" s="200"/>
      <c r="K86" s="199">
        <v>4</v>
      </c>
      <c r="L86" s="1154"/>
      <c r="M86" s="1154"/>
      <c r="N86" s="1155"/>
      <c r="O86" s="1156"/>
      <c r="P86" s="220"/>
      <c r="Q86" s="210" t="str">
        <f t="shared" si="9"/>
        <v/>
      </c>
      <c r="R86" s="200"/>
      <c r="T86" s="199">
        <v>4</v>
      </c>
      <c r="U86" s="1154"/>
      <c r="V86" s="1154"/>
      <c r="W86" s="1155"/>
      <c r="X86" s="1156"/>
      <c r="Y86" s="220"/>
      <c r="Z86" s="207" t="str">
        <f t="shared" si="7"/>
        <v/>
      </c>
      <c r="AA86" s="200"/>
    </row>
    <row r="87" spans="2:27">
      <c r="B87" s="199">
        <v>5</v>
      </c>
      <c r="C87" s="1154"/>
      <c r="D87" s="1154"/>
      <c r="E87" s="1155"/>
      <c r="F87" s="1156"/>
      <c r="G87" s="220"/>
      <c r="H87" s="207" t="str">
        <f t="shared" si="8"/>
        <v/>
      </c>
      <c r="I87" s="200"/>
      <c r="K87" s="199">
        <v>5</v>
      </c>
      <c r="L87" s="1154"/>
      <c r="M87" s="1154"/>
      <c r="N87" s="1155"/>
      <c r="O87" s="1156"/>
      <c r="P87" s="220"/>
      <c r="Q87" s="210" t="str">
        <f t="shared" si="9"/>
        <v/>
      </c>
      <c r="R87" s="200"/>
      <c r="T87" s="199">
        <v>5</v>
      </c>
      <c r="U87" s="1154"/>
      <c r="V87" s="1154"/>
      <c r="W87" s="1155"/>
      <c r="X87" s="1156"/>
      <c r="Y87" s="220"/>
      <c r="Z87" s="207" t="str">
        <f t="shared" si="7"/>
        <v/>
      </c>
      <c r="AA87" s="200"/>
    </row>
    <row r="88" spans="2:27">
      <c r="B88" s="199">
        <v>6</v>
      </c>
      <c r="C88" s="1154"/>
      <c r="D88" s="1154"/>
      <c r="E88" s="1155"/>
      <c r="F88" s="1156"/>
      <c r="G88" s="220"/>
      <c r="H88" s="207" t="str">
        <f t="shared" si="8"/>
        <v/>
      </c>
      <c r="I88" s="200"/>
      <c r="K88" s="199">
        <v>6</v>
      </c>
      <c r="L88" s="1154"/>
      <c r="M88" s="1154"/>
      <c r="N88" s="1155"/>
      <c r="O88" s="1156"/>
      <c r="P88" s="220"/>
      <c r="Q88" s="210" t="str">
        <f t="shared" si="9"/>
        <v/>
      </c>
      <c r="R88" s="200"/>
      <c r="T88" s="199">
        <v>6</v>
      </c>
      <c r="U88" s="1154"/>
      <c r="V88" s="1154"/>
      <c r="W88" s="1155"/>
      <c r="X88" s="1156"/>
      <c r="Y88" s="220"/>
      <c r="Z88" s="207" t="str">
        <f t="shared" si="7"/>
        <v/>
      </c>
      <c r="AA88" s="200"/>
    </row>
    <row r="89" spans="2:27">
      <c r="B89" s="199">
        <v>7</v>
      </c>
      <c r="C89" s="1154"/>
      <c r="D89" s="1154"/>
      <c r="E89" s="1155"/>
      <c r="F89" s="1156"/>
      <c r="G89" s="220"/>
      <c r="H89" s="207" t="str">
        <f t="shared" si="8"/>
        <v/>
      </c>
      <c r="I89" s="200"/>
      <c r="K89" s="199">
        <v>7</v>
      </c>
      <c r="L89" s="1162"/>
      <c r="M89" s="1163"/>
      <c r="N89" s="1155"/>
      <c r="O89" s="1156"/>
      <c r="P89" s="220"/>
      <c r="Q89" s="210" t="str">
        <f>IF(AND(ISBLANK(L89),ISBLANK(N89),ISBLANK(P89)),"",(IF(OR(ISBLANK(L89),ISBLANK(N89),ISBLANK(P89)),"Enter Info",(N89*P89))))</f>
        <v/>
      </c>
      <c r="R89" s="200"/>
      <c r="T89" s="199">
        <v>7</v>
      </c>
      <c r="U89" s="1154"/>
      <c r="V89" s="1154"/>
      <c r="W89" s="1155"/>
      <c r="X89" s="1156"/>
      <c r="Y89" s="220"/>
      <c r="Z89" s="207" t="str">
        <f t="shared" si="7"/>
        <v/>
      </c>
      <c r="AA89" s="200"/>
    </row>
    <row r="90" spans="2:27">
      <c r="B90" s="199">
        <v>8</v>
      </c>
      <c r="C90" s="1154"/>
      <c r="D90" s="1154"/>
      <c r="E90" s="1155"/>
      <c r="F90" s="1156"/>
      <c r="G90" s="220"/>
      <c r="H90" s="207" t="str">
        <f t="shared" si="8"/>
        <v/>
      </c>
      <c r="I90" s="200"/>
      <c r="K90" s="199">
        <v>8</v>
      </c>
      <c r="L90" s="1154"/>
      <c r="M90" s="1154"/>
      <c r="N90" s="1155"/>
      <c r="O90" s="1156"/>
      <c r="P90" s="220"/>
      <c r="Q90" s="210" t="str">
        <f t="shared" ref="Q90:Q112" si="10">IF(AND(ISBLANK(L90),ISBLANK(N90),ISBLANK(P90)),"",(IF(OR(ISBLANK(L90),ISBLANK(N90),ISBLANK(P90)),"Enter Info",(N90*P90))))</f>
        <v/>
      </c>
      <c r="R90" s="200"/>
      <c r="T90" s="199">
        <v>8</v>
      </c>
      <c r="U90" s="1154"/>
      <c r="V90" s="1154"/>
      <c r="W90" s="1155"/>
      <c r="X90" s="1156"/>
      <c r="Y90" s="220"/>
      <c r="Z90" s="207" t="str">
        <f t="shared" si="7"/>
        <v/>
      </c>
      <c r="AA90" s="200"/>
    </row>
    <row r="91" spans="2:27">
      <c r="B91" s="199">
        <v>9</v>
      </c>
      <c r="C91" s="1154"/>
      <c r="D91" s="1154"/>
      <c r="E91" s="1155"/>
      <c r="F91" s="1156"/>
      <c r="G91" s="220"/>
      <c r="H91" s="207" t="str">
        <f t="shared" si="8"/>
        <v/>
      </c>
      <c r="I91" s="200"/>
      <c r="K91" s="199">
        <v>9</v>
      </c>
      <c r="L91" s="1154"/>
      <c r="M91" s="1154"/>
      <c r="N91" s="1155"/>
      <c r="O91" s="1156"/>
      <c r="P91" s="220"/>
      <c r="Q91" s="210" t="str">
        <f t="shared" si="10"/>
        <v/>
      </c>
      <c r="R91" s="200"/>
      <c r="T91" s="199">
        <v>9</v>
      </c>
      <c r="U91" s="1154"/>
      <c r="V91" s="1154"/>
      <c r="W91" s="1155"/>
      <c r="X91" s="1156"/>
      <c r="Y91" s="220"/>
      <c r="Z91" s="207" t="str">
        <f t="shared" si="7"/>
        <v/>
      </c>
      <c r="AA91" s="200"/>
    </row>
    <row r="92" spans="2:27">
      <c r="B92" s="199">
        <v>10</v>
      </c>
      <c r="C92" s="1154"/>
      <c r="D92" s="1154"/>
      <c r="E92" s="1155"/>
      <c r="F92" s="1156"/>
      <c r="G92" s="220"/>
      <c r="H92" s="207" t="str">
        <f t="shared" si="8"/>
        <v/>
      </c>
      <c r="I92" s="200"/>
      <c r="K92" s="199">
        <v>10</v>
      </c>
      <c r="L92" s="1154"/>
      <c r="M92" s="1154"/>
      <c r="N92" s="1155"/>
      <c r="O92" s="1156"/>
      <c r="P92" s="220"/>
      <c r="Q92" s="210" t="str">
        <f t="shared" si="10"/>
        <v/>
      </c>
      <c r="R92" s="200"/>
      <c r="T92" s="199">
        <v>10</v>
      </c>
      <c r="U92" s="1154"/>
      <c r="V92" s="1154"/>
      <c r="W92" s="1155"/>
      <c r="X92" s="1156"/>
      <c r="Y92" s="220"/>
      <c r="Z92" s="207" t="str">
        <f t="shared" si="7"/>
        <v/>
      </c>
      <c r="AA92" s="200"/>
    </row>
    <row r="93" spans="2:27">
      <c r="B93" s="199">
        <v>11</v>
      </c>
      <c r="C93" s="1154"/>
      <c r="D93" s="1154"/>
      <c r="E93" s="1155"/>
      <c r="F93" s="1156"/>
      <c r="G93" s="220"/>
      <c r="H93" s="207" t="str">
        <f t="shared" si="8"/>
        <v/>
      </c>
      <c r="I93" s="200"/>
      <c r="K93" s="199">
        <v>11</v>
      </c>
      <c r="L93" s="1154"/>
      <c r="M93" s="1154"/>
      <c r="N93" s="1155"/>
      <c r="O93" s="1156"/>
      <c r="P93" s="220"/>
      <c r="Q93" s="210" t="str">
        <f t="shared" si="10"/>
        <v/>
      </c>
      <c r="R93" s="200"/>
      <c r="T93" s="199">
        <v>11</v>
      </c>
      <c r="U93" s="1154"/>
      <c r="V93" s="1154"/>
      <c r="W93" s="1155"/>
      <c r="X93" s="1156"/>
      <c r="Y93" s="220"/>
      <c r="Z93" s="207" t="str">
        <f t="shared" si="7"/>
        <v/>
      </c>
      <c r="AA93" s="200"/>
    </row>
    <row r="94" spans="2:27">
      <c r="B94" s="199">
        <v>12</v>
      </c>
      <c r="C94" s="1154"/>
      <c r="D94" s="1154"/>
      <c r="E94" s="1155"/>
      <c r="F94" s="1156"/>
      <c r="G94" s="220"/>
      <c r="H94" s="207" t="str">
        <f t="shared" si="8"/>
        <v/>
      </c>
      <c r="I94" s="200"/>
      <c r="K94" s="199">
        <v>12</v>
      </c>
      <c r="L94" s="1154"/>
      <c r="M94" s="1154"/>
      <c r="N94" s="1155"/>
      <c r="O94" s="1156"/>
      <c r="P94" s="220"/>
      <c r="Q94" s="210" t="str">
        <f t="shared" si="10"/>
        <v/>
      </c>
      <c r="R94" s="200"/>
      <c r="T94" s="199">
        <v>12</v>
      </c>
      <c r="U94" s="1154"/>
      <c r="V94" s="1154"/>
      <c r="W94" s="1155"/>
      <c r="X94" s="1156"/>
      <c r="Y94" s="220"/>
      <c r="Z94" s="207" t="str">
        <f t="shared" si="7"/>
        <v/>
      </c>
      <c r="AA94" s="200"/>
    </row>
    <row r="95" spans="2:27">
      <c r="B95" s="199">
        <v>13</v>
      </c>
      <c r="C95" s="1154"/>
      <c r="D95" s="1154"/>
      <c r="E95" s="1155"/>
      <c r="F95" s="1156"/>
      <c r="G95" s="220"/>
      <c r="H95" s="207" t="str">
        <f t="shared" si="8"/>
        <v/>
      </c>
      <c r="I95" s="200"/>
      <c r="K95" s="199">
        <v>13</v>
      </c>
      <c r="L95" s="1154"/>
      <c r="M95" s="1154"/>
      <c r="N95" s="1155"/>
      <c r="O95" s="1156"/>
      <c r="P95" s="220"/>
      <c r="Q95" s="210" t="str">
        <f t="shared" si="10"/>
        <v/>
      </c>
      <c r="R95" s="200"/>
      <c r="T95" s="199">
        <v>13</v>
      </c>
      <c r="U95" s="1154"/>
      <c r="V95" s="1154"/>
      <c r="W95" s="1155"/>
      <c r="X95" s="1156"/>
      <c r="Y95" s="220"/>
      <c r="Z95" s="207" t="str">
        <f t="shared" si="7"/>
        <v/>
      </c>
      <c r="AA95" s="200"/>
    </row>
    <row r="96" spans="2:27">
      <c r="B96" s="199">
        <v>14</v>
      </c>
      <c r="C96" s="1154"/>
      <c r="D96" s="1154"/>
      <c r="E96" s="1155"/>
      <c r="F96" s="1156"/>
      <c r="G96" s="220"/>
      <c r="H96" s="207" t="str">
        <f t="shared" si="8"/>
        <v/>
      </c>
      <c r="I96" s="200"/>
      <c r="K96" s="199">
        <v>14</v>
      </c>
      <c r="L96" s="1154"/>
      <c r="M96" s="1154"/>
      <c r="N96" s="1155"/>
      <c r="O96" s="1156"/>
      <c r="P96" s="220"/>
      <c r="Q96" s="210" t="str">
        <f t="shared" si="10"/>
        <v/>
      </c>
      <c r="R96" s="200"/>
      <c r="T96" s="199">
        <v>14</v>
      </c>
      <c r="U96" s="1154"/>
      <c r="V96" s="1154"/>
      <c r="W96" s="1155"/>
      <c r="X96" s="1156"/>
      <c r="Y96" s="220"/>
      <c r="Z96" s="207" t="str">
        <f t="shared" si="7"/>
        <v/>
      </c>
      <c r="AA96" s="200"/>
    </row>
    <row r="97" spans="2:27">
      <c r="B97" s="199">
        <v>15</v>
      </c>
      <c r="C97" s="1154"/>
      <c r="D97" s="1154"/>
      <c r="E97" s="1155"/>
      <c r="F97" s="1156"/>
      <c r="G97" s="220"/>
      <c r="H97" s="207" t="str">
        <f t="shared" si="8"/>
        <v/>
      </c>
      <c r="I97" s="200"/>
      <c r="K97" s="199">
        <v>15</v>
      </c>
      <c r="L97" s="1154"/>
      <c r="M97" s="1154"/>
      <c r="N97" s="1155"/>
      <c r="O97" s="1156"/>
      <c r="P97" s="220"/>
      <c r="Q97" s="210" t="str">
        <f t="shared" si="10"/>
        <v/>
      </c>
      <c r="R97" s="200"/>
      <c r="T97" s="199">
        <v>15</v>
      </c>
      <c r="U97" s="1154"/>
      <c r="V97" s="1154"/>
      <c r="W97" s="1155"/>
      <c r="X97" s="1156"/>
      <c r="Y97" s="220"/>
      <c r="Z97" s="207" t="str">
        <f t="shared" si="7"/>
        <v/>
      </c>
      <c r="AA97" s="200"/>
    </row>
    <row r="98" spans="2:27">
      <c r="B98" s="199">
        <v>16</v>
      </c>
      <c r="C98" s="1154"/>
      <c r="D98" s="1154"/>
      <c r="E98" s="1155"/>
      <c r="F98" s="1156"/>
      <c r="G98" s="220"/>
      <c r="H98" s="207" t="str">
        <f t="shared" si="8"/>
        <v/>
      </c>
      <c r="I98" s="200"/>
      <c r="K98" s="199">
        <v>16</v>
      </c>
      <c r="L98" s="1154"/>
      <c r="M98" s="1154"/>
      <c r="N98" s="1155"/>
      <c r="O98" s="1156"/>
      <c r="P98" s="220"/>
      <c r="Q98" s="210" t="str">
        <f t="shared" si="10"/>
        <v/>
      </c>
      <c r="R98" s="200"/>
      <c r="T98" s="199">
        <v>16</v>
      </c>
      <c r="U98" s="1154"/>
      <c r="V98" s="1154"/>
      <c r="W98" s="1155"/>
      <c r="X98" s="1156"/>
      <c r="Y98" s="220"/>
      <c r="Z98" s="207" t="str">
        <f t="shared" si="7"/>
        <v/>
      </c>
      <c r="AA98" s="200"/>
    </row>
    <row r="99" spans="2:27">
      <c r="B99" s="199">
        <v>17</v>
      </c>
      <c r="C99" s="1154"/>
      <c r="D99" s="1154"/>
      <c r="E99" s="1155"/>
      <c r="F99" s="1156"/>
      <c r="G99" s="220"/>
      <c r="H99" s="207" t="str">
        <f t="shared" si="8"/>
        <v/>
      </c>
      <c r="I99" s="200"/>
      <c r="K99" s="199">
        <v>17</v>
      </c>
      <c r="L99" s="1154"/>
      <c r="M99" s="1154"/>
      <c r="N99" s="1155"/>
      <c r="O99" s="1156"/>
      <c r="P99" s="220"/>
      <c r="Q99" s="210" t="str">
        <f t="shared" si="10"/>
        <v/>
      </c>
      <c r="R99" s="200"/>
      <c r="T99" s="199">
        <v>17</v>
      </c>
      <c r="U99" s="1154"/>
      <c r="V99" s="1154"/>
      <c r="W99" s="1155"/>
      <c r="X99" s="1156"/>
      <c r="Y99" s="220"/>
      <c r="Z99" s="207" t="str">
        <f t="shared" si="7"/>
        <v/>
      </c>
      <c r="AA99" s="200"/>
    </row>
    <row r="100" spans="2:27">
      <c r="B100" s="199">
        <v>18</v>
      </c>
      <c r="C100" s="1154"/>
      <c r="D100" s="1154"/>
      <c r="E100" s="1155"/>
      <c r="F100" s="1156"/>
      <c r="G100" s="220"/>
      <c r="H100" s="207" t="str">
        <f t="shared" si="8"/>
        <v/>
      </c>
      <c r="I100" s="200"/>
      <c r="K100" s="199">
        <v>18</v>
      </c>
      <c r="L100" s="1154"/>
      <c r="M100" s="1154"/>
      <c r="N100" s="1155"/>
      <c r="O100" s="1156"/>
      <c r="P100" s="220"/>
      <c r="Q100" s="210" t="str">
        <f t="shared" si="10"/>
        <v/>
      </c>
      <c r="R100" s="200"/>
      <c r="T100" s="199">
        <v>18</v>
      </c>
      <c r="U100" s="1154"/>
      <c r="V100" s="1154"/>
      <c r="W100" s="1155"/>
      <c r="X100" s="1156"/>
      <c r="Y100" s="220"/>
      <c r="Z100" s="207" t="str">
        <f t="shared" si="7"/>
        <v/>
      </c>
      <c r="AA100" s="200"/>
    </row>
    <row r="101" spans="2:27">
      <c r="B101" s="199">
        <v>19</v>
      </c>
      <c r="C101" s="1154"/>
      <c r="D101" s="1154"/>
      <c r="E101" s="1155"/>
      <c r="F101" s="1156"/>
      <c r="G101" s="220"/>
      <c r="H101" s="207" t="str">
        <f t="shared" si="8"/>
        <v/>
      </c>
      <c r="I101" s="200"/>
      <c r="K101" s="199">
        <v>19</v>
      </c>
      <c r="L101" s="1154"/>
      <c r="M101" s="1154"/>
      <c r="N101" s="1155"/>
      <c r="O101" s="1156"/>
      <c r="P101" s="220"/>
      <c r="Q101" s="210" t="str">
        <f t="shared" si="10"/>
        <v/>
      </c>
      <c r="R101" s="200"/>
      <c r="T101" s="199">
        <v>19</v>
      </c>
      <c r="U101" s="1154"/>
      <c r="V101" s="1154"/>
      <c r="W101" s="1155"/>
      <c r="X101" s="1156"/>
      <c r="Y101" s="220"/>
      <c r="Z101" s="207" t="str">
        <f t="shared" si="7"/>
        <v/>
      </c>
      <c r="AA101" s="200"/>
    </row>
    <row r="102" spans="2:27">
      <c r="B102" s="199">
        <v>20</v>
      </c>
      <c r="C102" s="1154"/>
      <c r="D102" s="1154"/>
      <c r="E102" s="1155"/>
      <c r="F102" s="1156"/>
      <c r="G102" s="220"/>
      <c r="H102" s="207" t="str">
        <f t="shared" si="8"/>
        <v/>
      </c>
      <c r="I102" s="200"/>
      <c r="K102" s="199">
        <v>20</v>
      </c>
      <c r="L102" s="1154"/>
      <c r="M102" s="1154"/>
      <c r="N102" s="1155"/>
      <c r="O102" s="1156"/>
      <c r="P102" s="220"/>
      <c r="Q102" s="210" t="str">
        <f t="shared" si="10"/>
        <v/>
      </c>
      <c r="R102" s="200"/>
      <c r="T102" s="199">
        <v>20</v>
      </c>
      <c r="U102" s="1154"/>
      <c r="V102" s="1154"/>
      <c r="W102" s="1155"/>
      <c r="X102" s="1156"/>
      <c r="Y102" s="220"/>
      <c r="Z102" s="207" t="str">
        <f t="shared" si="7"/>
        <v/>
      </c>
      <c r="AA102" s="200"/>
    </row>
    <row r="103" spans="2:27">
      <c r="B103" s="199">
        <v>21</v>
      </c>
      <c r="C103" s="1154"/>
      <c r="D103" s="1154"/>
      <c r="E103" s="1155"/>
      <c r="F103" s="1156"/>
      <c r="G103" s="220"/>
      <c r="H103" s="207" t="str">
        <f t="shared" si="8"/>
        <v/>
      </c>
      <c r="I103" s="200"/>
      <c r="K103" s="199">
        <v>21</v>
      </c>
      <c r="L103" s="1154"/>
      <c r="M103" s="1154"/>
      <c r="N103" s="1155"/>
      <c r="O103" s="1156"/>
      <c r="P103" s="220"/>
      <c r="Q103" s="210" t="str">
        <f t="shared" si="10"/>
        <v/>
      </c>
      <c r="R103" s="200"/>
      <c r="T103" s="199">
        <v>21</v>
      </c>
      <c r="U103" s="1154"/>
      <c r="V103" s="1154"/>
      <c r="W103" s="1155"/>
      <c r="X103" s="1156"/>
      <c r="Y103" s="220"/>
      <c r="Z103" s="207" t="str">
        <f t="shared" si="7"/>
        <v/>
      </c>
      <c r="AA103" s="200"/>
    </row>
    <row r="104" spans="2:27">
      <c r="B104" s="199">
        <v>22</v>
      </c>
      <c r="C104" s="1154"/>
      <c r="D104" s="1154"/>
      <c r="E104" s="1155"/>
      <c r="F104" s="1156"/>
      <c r="G104" s="220"/>
      <c r="H104" s="207" t="str">
        <f t="shared" si="8"/>
        <v/>
      </c>
      <c r="I104" s="200"/>
      <c r="K104" s="199">
        <v>22</v>
      </c>
      <c r="L104" s="1154"/>
      <c r="M104" s="1154"/>
      <c r="N104" s="1155"/>
      <c r="O104" s="1156"/>
      <c r="P104" s="220"/>
      <c r="Q104" s="210" t="str">
        <f t="shared" si="10"/>
        <v/>
      </c>
      <c r="R104" s="200"/>
      <c r="T104" s="199">
        <v>22</v>
      </c>
      <c r="U104" s="1154"/>
      <c r="V104" s="1154"/>
      <c r="W104" s="1155"/>
      <c r="X104" s="1156"/>
      <c r="Y104" s="220"/>
      <c r="Z104" s="207" t="str">
        <f t="shared" si="7"/>
        <v/>
      </c>
      <c r="AA104" s="200"/>
    </row>
    <row r="105" spans="2:27">
      <c r="B105" s="199">
        <v>23</v>
      </c>
      <c r="C105" s="1154"/>
      <c r="D105" s="1154"/>
      <c r="E105" s="1155"/>
      <c r="F105" s="1156"/>
      <c r="G105" s="220"/>
      <c r="H105" s="207" t="str">
        <f t="shared" si="8"/>
        <v/>
      </c>
      <c r="I105" s="200"/>
      <c r="K105" s="199">
        <v>23</v>
      </c>
      <c r="L105" s="1154"/>
      <c r="M105" s="1154"/>
      <c r="N105" s="1155"/>
      <c r="O105" s="1156"/>
      <c r="P105" s="220"/>
      <c r="Q105" s="210" t="str">
        <f t="shared" si="10"/>
        <v/>
      </c>
      <c r="R105" s="200"/>
      <c r="T105" s="199">
        <v>23</v>
      </c>
      <c r="U105" s="1154"/>
      <c r="V105" s="1154"/>
      <c r="W105" s="1155"/>
      <c r="X105" s="1156"/>
      <c r="Y105" s="220"/>
      <c r="Z105" s="207" t="str">
        <f t="shared" si="7"/>
        <v/>
      </c>
      <c r="AA105" s="200"/>
    </row>
    <row r="106" spans="2:27">
      <c r="B106" s="199">
        <v>24</v>
      </c>
      <c r="C106" s="1154"/>
      <c r="D106" s="1154"/>
      <c r="E106" s="1155"/>
      <c r="F106" s="1156"/>
      <c r="G106" s="220"/>
      <c r="H106" s="207" t="str">
        <f t="shared" si="8"/>
        <v/>
      </c>
      <c r="I106" s="200"/>
      <c r="K106" s="199">
        <v>24</v>
      </c>
      <c r="L106" s="1154"/>
      <c r="M106" s="1154"/>
      <c r="N106" s="1155"/>
      <c r="O106" s="1156"/>
      <c r="P106" s="220"/>
      <c r="Q106" s="210" t="str">
        <f t="shared" si="10"/>
        <v/>
      </c>
      <c r="R106" s="200"/>
      <c r="T106" s="199">
        <v>24</v>
      </c>
      <c r="U106" s="1154"/>
      <c r="V106" s="1154"/>
      <c r="W106" s="1155"/>
      <c r="X106" s="1156"/>
      <c r="Y106" s="220"/>
      <c r="Z106" s="207" t="str">
        <f t="shared" si="7"/>
        <v/>
      </c>
      <c r="AA106" s="200"/>
    </row>
    <row r="107" spans="2:27">
      <c r="B107" s="199">
        <v>25</v>
      </c>
      <c r="C107" s="1154"/>
      <c r="D107" s="1154"/>
      <c r="E107" s="1155"/>
      <c r="F107" s="1156"/>
      <c r="G107" s="220"/>
      <c r="H107" s="207" t="str">
        <f t="shared" si="8"/>
        <v/>
      </c>
      <c r="I107" s="200"/>
      <c r="K107" s="199">
        <v>25</v>
      </c>
      <c r="L107" s="1154"/>
      <c r="M107" s="1154"/>
      <c r="N107" s="1155"/>
      <c r="O107" s="1156"/>
      <c r="P107" s="220"/>
      <c r="Q107" s="210" t="str">
        <f t="shared" si="10"/>
        <v/>
      </c>
      <c r="R107" s="200"/>
      <c r="T107" s="199">
        <v>25</v>
      </c>
      <c r="U107" s="1154"/>
      <c r="V107" s="1154"/>
      <c r="W107" s="1155"/>
      <c r="X107" s="1156"/>
      <c r="Y107" s="220"/>
      <c r="Z107" s="207" t="str">
        <f t="shared" si="7"/>
        <v/>
      </c>
      <c r="AA107" s="200"/>
    </row>
    <row r="108" spans="2:27">
      <c r="B108" s="199">
        <v>26</v>
      </c>
      <c r="C108" s="1154"/>
      <c r="D108" s="1154"/>
      <c r="E108" s="1155"/>
      <c r="F108" s="1156"/>
      <c r="G108" s="220"/>
      <c r="H108" s="207" t="str">
        <f t="shared" si="8"/>
        <v/>
      </c>
      <c r="I108" s="200"/>
      <c r="K108" s="199">
        <v>26</v>
      </c>
      <c r="L108" s="1154"/>
      <c r="M108" s="1154"/>
      <c r="N108" s="1155"/>
      <c r="O108" s="1156"/>
      <c r="P108" s="220"/>
      <c r="Q108" s="210" t="str">
        <f t="shared" si="10"/>
        <v/>
      </c>
      <c r="R108" s="200"/>
      <c r="T108" s="199">
        <v>26</v>
      </c>
      <c r="U108" s="1154"/>
      <c r="V108" s="1154"/>
      <c r="W108" s="1155"/>
      <c r="X108" s="1156"/>
      <c r="Y108" s="220"/>
      <c r="Z108" s="207" t="str">
        <f t="shared" si="7"/>
        <v/>
      </c>
      <c r="AA108" s="200"/>
    </row>
    <row r="109" spans="2:27">
      <c r="B109" s="199">
        <v>27</v>
      </c>
      <c r="C109" s="1154"/>
      <c r="D109" s="1154"/>
      <c r="E109" s="1155"/>
      <c r="F109" s="1156"/>
      <c r="G109" s="220"/>
      <c r="H109" s="207" t="str">
        <f t="shared" si="8"/>
        <v/>
      </c>
      <c r="I109" s="200"/>
      <c r="K109" s="199">
        <v>27</v>
      </c>
      <c r="L109" s="1154"/>
      <c r="M109" s="1154"/>
      <c r="N109" s="1155"/>
      <c r="O109" s="1156"/>
      <c r="P109" s="220"/>
      <c r="Q109" s="210" t="str">
        <f t="shared" si="10"/>
        <v/>
      </c>
      <c r="R109" s="200"/>
      <c r="T109" s="199">
        <v>27</v>
      </c>
      <c r="U109" s="1154"/>
      <c r="V109" s="1154"/>
      <c r="W109" s="1155"/>
      <c r="X109" s="1156"/>
      <c r="Y109" s="220"/>
      <c r="Z109" s="207" t="str">
        <f t="shared" si="7"/>
        <v/>
      </c>
      <c r="AA109" s="200"/>
    </row>
    <row r="110" spans="2:27">
      <c r="B110" s="199">
        <v>28</v>
      </c>
      <c r="C110" s="1154"/>
      <c r="D110" s="1154"/>
      <c r="E110" s="1155"/>
      <c r="F110" s="1156"/>
      <c r="G110" s="220"/>
      <c r="H110" s="207" t="str">
        <f t="shared" si="8"/>
        <v/>
      </c>
      <c r="I110" s="200"/>
      <c r="K110" s="199">
        <v>28</v>
      </c>
      <c r="L110" s="1154"/>
      <c r="M110" s="1154"/>
      <c r="N110" s="1155"/>
      <c r="O110" s="1156"/>
      <c r="P110" s="220"/>
      <c r="Q110" s="210" t="str">
        <f t="shared" si="10"/>
        <v/>
      </c>
      <c r="R110" s="200"/>
      <c r="T110" s="199">
        <v>28</v>
      </c>
      <c r="U110" s="1154"/>
      <c r="V110" s="1154"/>
      <c r="W110" s="1155"/>
      <c r="X110" s="1156"/>
      <c r="Y110" s="220"/>
      <c r="Z110" s="207" t="str">
        <f t="shared" si="7"/>
        <v/>
      </c>
      <c r="AA110" s="200"/>
    </row>
    <row r="111" spans="2:27">
      <c r="B111" s="199">
        <v>29</v>
      </c>
      <c r="C111" s="1154"/>
      <c r="D111" s="1154"/>
      <c r="E111" s="1155"/>
      <c r="F111" s="1156"/>
      <c r="G111" s="220"/>
      <c r="H111" s="207" t="str">
        <f t="shared" si="8"/>
        <v/>
      </c>
      <c r="I111" s="200"/>
      <c r="K111" s="199">
        <v>29</v>
      </c>
      <c r="L111" s="1154"/>
      <c r="M111" s="1154"/>
      <c r="N111" s="1155"/>
      <c r="O111" s="1156"/>
      <c r="P111" s="220"/>
      <c r="Q111" s="210" t="str">
        <f t="shared" si="10"/>
        <v/>
      </c>
      <c r="R111" s="200"/>
      <c r="T111" s="199">
        <v>29</v>
      </c>
      <c r="U111" s="1154"/>
      <c r="V111" s="1154"/>
      <c r="W111" s="1155"/>
      <c r="X111" s="1156"/>
      <c r="Y111" s="220"/>
      <c r="Z111" s="207" t="str">
        <f t="shared" si="7"/>
        <v/>
      </c>
      <c r="AA111" s="200"/>
    </row>
    <row r="112" spans="2:27">
      <c r="B112" s="199">
        <v>30</v>
      </c>
      <c r="C112" s="1154"/>
      <c r="D112" s="1154"/>
      <c r="E112" s="1155"/>
      <c r="F112" s="1156"/>
      <c r="G112" s="220"/>
      <c r="H112" s="207" t="str">
        <f t="shared" si="8"/>
        <v/>
      </c>
      <c r="I112" s="200"/>
      <c r="K112" s="199">
        <v>30</v>
      </c>
      <c r="L112" s="1154"/>
      <c r="M112" s="1154"/>
      <c r="N112" s="1155"/>
      <c r="O112" s="1156"/>
      <c r="P112" s="220"/>
      <c r="Q112" s="210" t="str">
        <f t="shared" si="10"/>
        <v/>
      </c>
      <c r="R112" s="200"/>
      <c r="T112" s="199">
        <v>30</v>
      </c>
      <c r="U112" s="1154"/>
      <c r="V112" s="1154"/>
      <c r="W112" s="1155"/>
      <c r="X112" s="1156"/>
      <c r="Y112" s="220"/>
      <c r="Z112" s="207" t="str">
        <f t="shared" si="7"/>
        <v/>
      </c>
      <c r="AA112" s="200"/>
    </row>
    <row r="113" spans="2:27">
      <c r="B113" s="199"/>
      <c r="C113" s="194"/>
      <c r="D113" s="194"/>
      <c r="E113" s="194"/>
      <c r="F113" s="194"/>
      <c r="G113" s="194" t="s">
        <v>1040</v>
      </c>
      <c r="H113" s="208">
        <f>SUM(H83:H112)</f>
        <v>0</v>
      </c>
      <c r="I113" s="200"/>
      <c r="K113" s="199"/>
      <c r="L113" s="194"/>
      <c r="M113" s="194"/>
      <c r="N113" s="194"/>
      <c r="O113" s="194"/>
      <c r="P113" s="194" t="s">
        <v>1040</v>
      </c>
      <c r="Q113" s="211">
        <f>SUM(Q83:Q112)</f>
        <v>0</v>
      </c>
      <c r="R113" s="200"/>
      <c r="T113" s="199"/>
      <c r="U113" s="194"/>
      <c r="V113" s="194"/>
      <c r="W113" s="194"/>
      <c r="X113" s="194"/>
      <c r="Y113" s="194" t="s">
        <v>1040</v>
      </c>
      <c r="Z113" s="208">
        <f>SUM(Z83:Z112)</f>
        <v>0</v>
      </c>
      <c r="AA113" s="200"/>
    </row>
    <row r="114" spans="2:27">
      <c r="B114" s="201"/>
      <c r="C114" s="202"/>
      <c r="D114" s="202"/>
      <c r="E114" s="202"/>
      <c r="F114" s="202"/>
      <c r="G114" s="202"/>
      <c r="H114" s="213"/>
      <c r="I114" s="204"/>
      <c r="K114" s="201"/>
      <c r="L114" s="202"/>
      <c r="M114" s="202"/>
      <c r="N114" s="202"/>
      <c r="O114" s="202"/>
      <c r="P114" s="202"/>
      <c r="Q114" s="203"/>
      <c r="R114" s="204"/>
      <c r="T114" s="201"/>
      <c r="U114" s="202"/>
      <c r="V114" s="202"/>
      <c r="W114" s="202"/>
      <c r="X114" s="202"/>
      <c r="Y114" s="202"/>
      <c r="Z114" s="203"/>
      <c r="AA114" s="204"/>
    </row>
    <row r="116" spans="2:27" ht="15">
      <c r="B116" s="215"/>
      <c r="C116" s="216"/>
      <c r="D116" s="216"/>
      <c r="E116" s="216"/>
      <c r="F116" s="216"/>
      <c r="G116" s="216"/>
      <c r="H116" s="216"/>
      <c r="I116" s="217"/>
      <c r="J116" s="218"/>
      <c r="K116" s="215"/>
      <c r="L116" s="216"/>
      <c r="M116" s="216"/>
      <c r="N116" s="216"/>
      <c r="O116" s="216"/>
      <c r="P116" s="216"/>
      <c r="Q116" s="216"/>
      <c r="R116" s="217"/>
      <c r="S116" s="214"/>
      <c r="T116" s="215"/>
      <c r="U116" s="216"/>
      <c r="V116" s="216"/>
      <c r="W116" s="216"/>
      <c r="X116" s="216"/>
      <c r="Y116" s="216"/>
      <c r="Z116" s="216"/>
      <c r="AA116" s="209"/>
    </row>
    <row r="117" spans="2:27" ht="15">
      <c r="B117" s="196"/>
      <c r="C117" s="361" t="s">
        <v>2558</v>
      </c>
      <c r="D117" s="1159"/>
      <c r="E117" s="1159"/>
      <c r="F117" s="1159"/>
      <c r="G117" s="1159"/>
      <c r="H117" s="1159"/>
      <c r="I117" s="198"/>
      <c r="J117"/>
      <c r="K117" s="196"/>
      <c r="L117" s="361" t="s">
        <v>2559</v>
      </c>
      <c r="M117" s="1159"/>
      <c r="N117" s="1159"/>
      <c r="O117" s="1159"/>
      <c r="P117" s="1159"/>
      <c r="Q117" s="1159"/>
      <c r="R117" s="198"/>
      <c r="T117" s="196"/>
      <c r="U117" s="361" t="s">
        <v>2560</v>
      </c>
      <c r="V117" s="1159"/>
      <c r="W117" s="1159"/>
      <c r="X117" s="1159"/>
      <c r="Y117" s="1159"/>
      <c r="Z117" s="1159"/>
      <c r="AA117" s="198"/>
    </row>
    <row r="118" spans="2:27" ht="15">
      <c r="B118" s="196"/>
      <c r="C118" s="195"/>
      <c r="D118" s="195"/>
      <c r="E118" s="195"/>
      <c r="F118" s="195"/>
      <c r="G118" s="195"/>
      <c r="H118" s="197"/>
      <c r="I118" s="198"/>
      <c r="J118"/>
      <c r="K118" s="196"/>
      <c r="L118" s="195"/>
      <c r="M118" s="195"/>
      <c r="N118" s="195"/>
      <c r="O118" s="195"/>
      <c r="P118" s="195"/>
      <c r="Q118" s="197"/>
      <c r="R118" s="198"/>
      <c r="T118" s="196"/>
      <c r="U118" s="195"/>
      <c r="V118" s="195"/>
      <c r="W118" s="195"/>
      <c r="X118" s="195"/>
      <c r="Y118" s="195"/>
      <c r="Z118" s="197"/>
      <c r="AA118" s="198"/>
    </row>
    <row r="119" spans="2:27">
      <c r="B119" s="199"/>
      <c r="C119" s="205" t="s">
        <v>1217</v>
      </c>
      <c r="D119" s="206"/>
      <c r="E119" s="1158" t="s">
        <v>91</v>
      </c>
      <c r="F119" s="1158"/>
      <c r="G119" s="205" t="s">
        <v>1216</v>
      </c>
      <c r="H119" s="205" t="s">
        <v>1040</v>
      </c>
      <c r="I119" s="200"/>
      <c r="K119" s="199"/>
      <c r="L119" s="205" t="s">
        <v>1217</v>
      </c>
      <c r="M119" s="206"/>
      <c r="N119" s="1158" t="s">
        <v>91</v>
      </c>
      <c r="O119" s="1158"/>
      <c r="P119" s="205" t="s">
        <v>1216</v>
      </c>
      <c r="Q119" s="205" t="s">
        <v>1040</v>
      </c>
      <c r="R119" s="200"/>
      <c r="T119" s="199"/>
      <c r="U119" s="205" t="s">
        <v>1217</v>
      </c>
      <c r="V119" s="206"/>
      <c r="W119" s="1158" t="s">
        <v>91</v>
      </c>
      <c r="X119" s="1158"/>
      <c r="Y119" s="205" t="s">
        <v>1216</v>
      </c>
      <c r="Z119" s="205" t="s">
        <v>1040</v>
      </c>
      <c r="AA119" s="200"/>
    </row>
    <row r="120" spans="2:27">
      <c r="B120" s="199">
        <v>1</v>
      </c>
      <c r="C120" s="1157"/>
      <c r="D120" s="1157"/>
      <c r="E120" s="1155"/>
      <c r="F120" s="1156"/>
      <c r="G120" s="219"/>
      <c r="H120" s="207" t="str">
        <f>IF(AND(ISBLANK(C120),ISBLANK(E120),ISBLANK(G120)),"",(IF(OR(ISBLANK(C120),ISBLANK(E120),ISBLANK(G120)),"Enter Info",(E120*G120))))</f>
        <v/>
      </c>
      <c r="I120" s="200"/>
      <c r="K120" s="199">
        <v>1</v>
      </c>
      <c r="L120" s="1157"/>
      <c r="M120" s="1157"/>
      <c r="N120" s="1155"/>
      <c r="O120" s="1156"/>
      <c r="P120" s="219"/>
      <c r="Q120" s="210" t="str">
        <f>IF(AND(ISBLANK(L120),ISBLANK(N120),ISBLANK(P120)),"",(IF(OR(ISBLANK(L120),ISBLANK(N120),ISBLANK(P120)),"Enter Info",(N120*P120))))</f>
        <v/>
      </c>
      <c r="R120" s="200"/>
      <c r="T120" s="199">
        <v>1</v>
      </c>
      <c r="U120" s="1157"/>
      <c r="V120" s="1157"/>
      <c r="W120" s="1155"/>
      <c r="X120" s="1156"/>
      <c r="Y120" s="219"/>
      <c r="Z120" s="207" t="str">
        <f t="shared" ref="Z120:Z149" si="11">IF(AND(ISBLANK(U120),ISBLANK(W120),ISBLANK(Y120)),"",(IF(OR(ISBLANK(U120),ISBLANK(W120),ISBLANK(Y120)),"Enter Info",(W120*Y120))))</f>
        <v/>
      </c>
      <c r="AA120" s="200"/>
    </row>
    <row r="121" spans="2:27">
      <c r="B121" s="199">
        <v>2</v>
      </c>
      <c r="C121" s="1154"/>
      <c r="D121" s="1154"/>
      <c r="E121" s="1155"/>
      <c r="F121" s="1156"/>
      <c r="G121" s="220"/>
      <c r="H121" s="207" t="str">
        <f t="shared" ref="H121:H149" si="12">IF(AND(ISBLANK(C121),ISBLANK(E121),ISBLANK(G121)),"",(IF(OR(ISBLANK(C121),ISBLANK(E121),ISBLANK(G121)),"Enter Info",(E121*G121))))</f>
        <v/>
      </c>
      <c r="I121" s="200"/>
      <c r="K121" s="199">
        <v>2</v>
      </c>
      <c r="L121" s="1154"/>
      <c r="M121" s="1154"/>
      <c r="N121" s="1155"/>
      <c r="O121" s="1156"/>
      <c r="P121" s="220"/>
      <c r="Q121" s="210" t="str">
        <f>IF(AND(ISBLANK(L121),ISBLANK(N121),ISBLANK(P121)),"",(IF(OR(ISBLANK(L121),ISBLANK(N121),ISBLANK(P121)),"Enter Info",(N121*P121))))</f>
        <v/>
      </c>
      <c r="R121" s="200"/>
      <c r="T121" s="199">
        <v>2</v>
      </c>
      <c r="U121" s="1154"/>
      <c r="V121" s="1154"/>
      <c r="W121" s="1155"/>
      <c r="X121" s="1156"/>
      <c r="Y121" s="220"/>
      <c r="Z121" s="207" t="str">
        <f t="shared" si="11"/>
        <v/>
      </c>
      <c r="AA121" s="200"/>
    </row>
    <row r="122" spans="2:27">
      <c r="B122" s="199">
        <v>3</v>
      </c>
      <c r="C122" s="1154"/>
      <c r="D122" s="1154"/>
      <c r="E122" s="1160"/>
      <c r="F122" s="1161"/>
      <c r="G122" s="220"/>
      <c r="H122" s="207" t="str">
        <f t="shared" si="12"/>
        <v/>
      </c>
      <c r="I122" s="200"/>
      <c r="K122" s="199">
        <v>3</v>
      </c>
      <c r="L122" s="1154"/>
      <c r="M122" s="1154"/>
      <c r="N122" s="1160"/>
      <c r="O122" s="1161"/>
      <c r="P122" s="220"/>
      <c r="Q122" s="210" t="str">
        <f t="shared" ref="Q122:Q125" si="13">IF(AND(ISBLANK(L122),ISBLANK(N122),ISBLANK(P122)),"",(IF(OR(ISBLANK(L122),ISBLANK(N122),ISBLANK(P122)),"Enter Info",(N122*P122))))</f>
        <v/>
      </c>
      <c r="R122" s="200"/>
      <c r="T122" s="199">
        <v>3</v>
      </c>
      <c r="U122" s="1154"/>
      <c r="V122" s="1154"/>
      <c r="W122" s="1160"/>
      <c r="X122" s="1161"/>
      <c r="Y122" s="220"/>
      <c r="Z122" s="207" t="str">
        <f t="shared" si="11"/>
        <v/>
      </c>
      <c r="AA122" s="200"/>
    </row>
    <row r="123" spans="2:27">
      <c r="B123" s="199">
        <v>4</v>
      </c>
      <c r="C123" s="1154"/>
      <c r="D123" s="1154"/>
      <c r="E123" s="1155"/>
      <c r="F123" s="1156"/>
      <c r="G123" s="220"/>
      <c r="H123" s="207" t="str">
        <f t="shared" si="12"/>
        <v/>
      </c>
      <c r="I123" s="200"/>
      <c r="K123" s="199">
        <v>4</v>
      </c>
      <c r="L123" s="1154"/>
      <c r="M123" s="1154"/>
      <c r="N123" s="1155"/>
      <c r="O123" s="1156"/>
      <c r="P123" s="220"/>
      <c r="Q123" s="210" t="str">
        <f t="shared" si="13"/>
        <v/>
      </c>
      <c r="R123" s="200"/>
      <c r="T123" s="199">
        <v>4</v>
      </c>
      <c r="U123" s="1154"/>
      <c r="V123" s="1154"/>
      <c r="W123" s="1155"/>
      <c r="X123" s="1156"/>
      <c r="Y123" s="220"/>
      <c r="Z123" s="207" t="str">
        <f t="shared" si="11"/>
        <v/>
      </c>
      <c r="AA123" s="200"/>
    </row>
    <row r="124" spans="2:27">
      <c r="B124" s="199">
        <v>5</v>
      </c>
      <c r="C124" s="1154"/>
      <c r="D124" s="1154"/>
      <c r="E124" s="1155"/>
      <c r="F124" s="1156"/>
      <c r="G124" s="220"/>
      <c r="H124" s="207" t="str">
        <f t="shared" si="12"/>
        <v/>
      </c>
      <c r="I124" s="200"/>
      <c r="K124" s="199">
        <v>5</v>
      </c>
      <c r="L124" s="1154"/>
      <c r="M124" s="1154"/>
      <c r="N124" s="1155"/>
      <c r="O124" s="1156"/>
      <c r="P124" s="220"/>
      <c r="Q124" s="210" t="str">
        <f t="shared" si="13"/>
        <v/>
      </c>
      <c r="R124" s="200"/>
      <c r="T124" s="199">
        <v>5</v>
      </c>
      <c r="U124" s="1154"/>
      <c r="V124" s="1154"/>
      <c r="W124" s="1155"/>
      <c r="X124" s="1156"/>
      <c r="Y124" s="220"/>
      <c r="Z124" s="207" t="str">
        <f t="shared" si="11"/>
        <v/>
      </c>
      <c r="AA124" s="200"/>
    </row>
    <row r="125" spans="2:27">
      <c r="B125" s="199">
        <v>6</v>
      </c>
      <c r="C125" s="1154"/>
      <c r="D125" s="1154"/>
      <c r="E125" s="1155"/>
      <c r="F125" s="1156"/>
      <c r="G125" s="220"/>
      <c r="H125" s="207" t="str">
        <f t="shared" si="12"/>
        <v/>
      </c>
      <c r="I125" s="200"/>
      <c r="K125" s="199">
        <v>6</v>
      </c>
      <c r="L125" s="1154"/>
      <c r="M125" s="1154"/>
      <c r="N125" s="1155"/>
      <c r="O125" s="1156"/>
      <c r="P125" s="220"/>
      <c r="Q125" s="210" t="str">
        <f t="shared" si="13"/>
        <v/>
      </c>
      <c r="R125" s="200"/>
      <c r="T125" s="199">
        <v>6</v>
      </c>
      <c r="U125" s="1154"/>
      <c r="V125" s="1154"/>
      <c r="W125" s="1155"/>
      <c r="X125" s="1156"/>
      <c r="Y125" s="220"/>
      <c r="Z125" s="207" t="str">
        <f t="shared" si="11"/>
        <v/>
      </c>
      <c r="AA125" s="200"/>
    </row>
    <row r="126" spans="2:27">
      <c r="B126" s="199">
        <v>7</v>
      </c>
      <c r="C126" s="1154"/>
      <c r="D126" s="1154"/>
      <c r="E126" s="1155"/>
      <c r="F126" s="1156"/>
      <c r="G126" s="220"/>
      <c r="H126" s="207" t="str">
        <f t="shared" si="12"/>
        <v/>
      </c>
      <c r="I126" s="200"/>
      <c r="K126" s="199">
        <v>7</v>
      </c>
      <c r="L126" s="1162"/>
      <c r="M126" s="1163"/>
      <c r="N126" s="1155"/>
      <c r="O126" s="1156"/>
      <c r="P126" s="220"/>
      <c r="Q126" s="210" t="str">
        <f>IF(AND(ISBLANK(L126),ISBLANK(N126),ISBLANK(P126)),"",(IF(OR(ISBLANK(L126),ISBLANK(N126),ISBLANK(P126)),"Enter Info",(N126*P126))))</f>
        <v/>
      </c>
      <c r="R126" s="200"/>
      <c r="T126" s="199">
        <v>7</v>
      </c>
      <c r="U126" s="1154"/>
      <c r="V126" s="1154"/>
      <c r="W126" s="1155"/>
      <c r="X126" s="1156"/>
      <c r="Y126" s="220"/>
      <c r="Z126" s="207" t="str">
        <f t="shared" si="11"/>
        <v/>
      </c>
      <c r="AA126" s="200"/>
    </row>
    <row r="127" spans="2:27">
      <c r="B127" s="199">
        <v>8</v>
      </c>
      <c r="C127" s="1154"/>
      <c r="D127" s="1154"/>
      <c r="E127" s="1155"/>
      <c r="F127" s="1156"/>
      <c r="G127" s="220"/>
      <c r="H127" s="207" t="str">
        <f t="shared" si="12"/>
        <v/>
      </c>
      <c r="I127" s="200"/>
      <c r="K127" s="199">
        <v>8</v>
      </c>
      <c r="L127" s="1154"/>
      <c r="M127" s="1154"/>
      <c r="N127" s="1155"/>
      <c r="O127" s="1156"/>
      <c r="P127" s="220"/>
      <c r="Q127" s="210" t="str">
        <f t="shared" ref="Q127:Q149" si="14">IF(AND(ISBLANK(L127),ISBLANK(N127),ISBLANK(P127)),"",(IF(OR(ISBLANK(L127),ISBLANK(N127),ISBLANK(P127)),"Enter Info",(N127*P127))))</f>
        <v/>
      </c>
      <c r="R127" s="200"/>
      <c r="T127" s="199">
        <v>8</v>
      </c>
      <c r="U127" s="1154"/>
      <c r="V127" s="1154"/>
      <c r="W127" s="1155"/>
      <c r="X127" s="1156"/>
      <c r="Y127" s="220"/>
      <c r="Z127" s="207" t="str">
        <f t="shared" si="11"/>
        <v/>
      </c>
      <c r="AA127" s="200"/>
    </row>
    <row r="128" spans="2:27">
      <c r="B128" s="199">
        <v>9</v>
      </c>
      <c r="C128" s="1154"/>
      <c r="D128" s="1154"/>
      <c r="E128" s="1155"/>
      <c r="F128" s="1156"/>
      <c r="G128" s="220"/>
      <c r="H128" s="207" t="str">
        <f t="shared" si="12"/>
        <v/>
      </c>
      <c r="I128" s="200"/>
      <c r="K128" s="199">
        <v>9</v>
      </c>
      <c r="L128" s="1154"/>
      <c r="M128" s="1154"/>
      <c r="N128" s="1155"/>
      <c r="O128" s="1156"/>
      <c r="P128" s="220"/>
      <c r="Q128" s="210" t="str">
        <f t="shared" si="14"/>
        <v/>
      </c>
      <c r="R128" s="200"/>
      <c r="T128" s="199">
        <v>9</v>
      </c>
      <c r="U128" s="1154"/>
      <c r="V128" s="1154"/>
      <c r="W128" s="1155"/>
      <c r="X128" s="1156"/>
      <c r="Y128" s="220"/>
      <c r="Z128" s="207" t="str">
        <f t="shared" si="11"/>
        <v/>
      </c>
      <c r="AA128" s="200"/>
    </row>
    <row r="129" spans="2:27">
      <c r="B129" s="199">
        <v>10</v>
      </c>
      <c r="C129" s="1154"/>
      <c r="D129" s="1154"/>
      <c r="E129" s="1155"/>
      <c r="F129" s="1156"/>
      <c r="G129" s="220"/>
      <c r="H129" s="207" t="str">
        <f t="shared" si="12"/>
        <v/>
      </c>
      <c r="I129" s="200"/>
      <c r="K129" s="199">
        <v>10</v>
      </c>
      <c r="L129" s="1154"/>
      <c r="M129" s="1154"/>
      <c r="N129" s="1155"/>
      <c r="O129" s="1156"/>
      <c r="P129" s="220"/>
      <c r="Q129" s="210" t="str">
        <f t="shared" si="14"/>
        <v/>
      </c>
      <c r="R129" s="200"/>
      <c r="T129" s="199">
        <v>10</v>
      </c>
      <c r="U129" s="1154"/>
      <c r="V129" s="1154"/>
      <c r="W129" s="1155"/>
      <c r="X129" s="1156"/>
      <c r="Y129" s="220"/>
      <c r="Z129" s="207" t="str">
        <f t="shared" si="11"/>
        <v/>
      </c>
      <c r="AA129" s="200"/>
    </row>
    <row r="130" spans="2:27">
      <c r="B130" s="199">
        <v>11</v>
      </c>
      <c r="C130" s="1154"/>
      <c r="D130" s="1154"/>
      <c r="E130" s="1155"/>
      <c r="F130" s="1156"/>
      <c r="G130" s="220"/>
      <c r="H130" s="207" t="str">
        <f t="shared" si="12"/>
        <v/>
      </c>
      <c r="I130" s="200"/>
      <c r="K130" s="199">
        <v>11</v>
      </c>
      <c r="L130" s="1154"/>
      <c r="M130" s="1154"/>
      <c r="N130" s="1155"/>
      <c r="O130" s="1156"/>
      <c r="P130" s="220"/>
      <c r="Q130" s="210" t="str">
        <f t="shared" si="14"/>
        <v/>
      </c>
      <c r="R130" s="200"/>
      <c r="T130" s="199">
        <v>11</v>
      </c>
      <c r="U130" s="1154"/>
      <c r="V130" s="1154"/>
      <c r="W130" s="1155"/>
      <c r="X130" s="1156"/>
      <c r="Y130" s="220"/>
      <c r="Z130" s="207" t="str">
        <f t="shared" si="11"/>
        <v/>
      </c>
      <c r="AA130" s="200"/>
    </row>
    <row r="131" spans="2:27">
      <c r="B131" s="199">
        <v>12</v>
      </c>
      <c r="C131" s="1154"/>
      <c r="D131" s="1154"/>
      <c r="E131" s="1155"/>
      <c r="F131" s="1156"/>
      <c r="G131" s="220"/>
      <c r="H131" s="207" t="str">
        <f t="shared" si="12"/>
        <v/>
      </c>
      <c r="I131" s="200"/>
      <c r="K131" s="199">
        <v>12</v>
      </c>
      <c r="L131" s="1154"/>
      <c r="M131" s="1154"/>
      <c r="N131" s="1155"/>
      <c r="O131" s="1156"/>
      <c r="P131" s="220"/>
      <c r="Q131" s="210" t="str">
        <f t="shared" si="14"/>
        <v/>
      </c>
      <c r="R131" s="200"/>
      <c r="T131" s="199">
        <v>12</v>
      </c>
      <c r="U131" s="1154"/>
      <c r="V131" s="1154"/>
      <c r="W131" s="1155"/>
      <c r="X131" s="1156"/>
      <c r="Y131" s="220"/>
      <c r="Z131" s="207" t="str">
        <f t="shared" si="11"/>
        <v/>
      </c>
      <c r="AA131" s="200"/>
    </row>
    <row r="132" spans="2:27">
      <c r="B132" s="199">
        <v>13</v>
      </c>
      <c r="C132" s="1154"/>
      <c r="D132" s="1154"/>
      <c r="E132" s="1155"/>
      <c r="F132" s="1156"/>
      <c r="G132" s="220"/>
      <c r="H132" s="207" t="str">
        <f t="shared" si="12"/>
        <v/>
      </c>
      <c r="I132" s="200"/>
      <c r="K132" s="199">
        <v>13</v>
      </c>
      <c r="L132" s="1154"/>
      <c r="M132" s="1154"/>
      <c r="N132" s="1155"/>
      <c r="O132" s="1156"/>
      <c r="P132" s="220"/>
      <c r="Q132" s="210" t="str">
        <f t="shared" si="14"/>
        <v/>
      </c>
      <c r="R132" s="200"/>
      <c r="T132" s="199">
        <v>13</v>
      </c>
      <c r="U132" s="1154"/>
      <c r="V132" s="1154"/>
      <c r="W132" s="1155"/>
      <c r="X132" s="1156"/>
      <c r="Y132" s="220"/>
      <c r="Z132" s="207" t="str">
        <f t="shared" si="11"/>
        <v/>
      </c>
      <c r="AA132" s="200"/>
    </row>
    <row r="133" spans="2:27">
      <c r="B133" s="199">
        <v>14</v>
      </c>
      <c r="C133" s="1154"/>
      <c r="D133" s="1154"/>
      <c r="E133" s="1155"/>
      <c r="F133" s="1156"/>
      <c r="G133" s="220"/>
      <c r="H133" s="207" t="str">
        <f t="shared" si="12"/>
        <v/>
      </c>
      <c r="I133" s="200"/>
      <c r="K133" s="199">
        <v>14</v>
      </c>
      <c r="L133" s="1154"/>
      <c r="M133" s="1154"/>
      <c r="N133" s="1155"/>
      <c r="O133" s="1156"/>
      <c r="P133" s="220"/>
      <c r="Q133" s="210" t="str">
        <f t="shared" si="14"/>
        <v/>
      </c>
      <c r="R133" s="200"/>
      <c r="T133" s="199">
        <v>14</v>
      </c>
      <c r="U133" s="1154"/>
      <c r="V133" s="1154"/>
      <c r="W133" s="1155"/>
      <c r="X133" s="1156"/>
      <c r="Y133" s="220"/>
      <c r="Z133" s="207" t="str">
        <f t="shared" si="11"/>
        <v/>
      </c>
      <c r="AA133" s="200"/>
    </row>
    <row r="134" spans="2:27">
      <c r="B134" s="199">
        <v>15</v>
      </c>
      <c r="C134" s="1154"/>
      <c r="D134" s="1154"/>
      <c r="E134" s="1155"/>
      <c r="F134" s="1156"/>
      <c r="G134" s="220"/>
      <c r="H134" s="207" t="str">
        <f t="shared" si="12"/>
        <v/>
      </c>
      <c r="I134" s="200"/>
      <c r="K134" s="199">
        <v>15</v>
      </c>
      <c r="L134" s="1154"/>
      <c r="M134" s="1154"/>
      <c r="N134" s="1155"/>
      <c r="O134" s="1156"/>
      <c r="P134" s="220"/>
      <c r="Q134" s="210" t="str">
        <f t="shared" si="14"/>
        <v/>
      </c>
      <c r="R134" s="200"/>
      <c r="T134" s="199">
        <v>15</v>
      </c>
      <c r="U134" s="1154"/>
      <c r="V134" s="1154"/>
      <c r="W134" s="1155"/>
      <c r="X134" s="1156"/>
      <c r="Y134" s="220"/>
      <c r="Z134" s="207" t="str">
        <f t="shared" si="11"/>
        <v/>
      </c>
      <c r="AA134" s="200"/>
    </row>
    <row r="135" spans="2:27">
      <c r="B135" s="199">
        <v>16</v>
      </c>
      <c r="C135" s="1154"/>
      <c r="D135" s="1154"/>
      <c r="E135" s="1155"/>
      <c r="F135" s="1156"/>
      <c r="G135" s="220"/>
      <c r="H135" s="207" t="str">
        <f t="shared" si="12"/>
        <v/>
      </c>
      <c r="I135" s="200"/>
      <c r="K135" s="199">
        <v>16</v>
      </c>
      <c r="L135" s="1154"/>
      <c r="M135" s="1154"/>
      <c r="N135" s="1155"/>
      <c r="O135" s="1156"/>
      <c r="P135" s="220"/>
      <c r="Q135" s="210" t="str">
        <f t="shared" si="14"/>
        <v/>
      </c>
      <c r="R135" s="200"/>
      <c r="T135" s="199">
        <v>16</v>
      </c>
      <c r="U135" s="1154"/>
      <c r="V135" s="1154"/>
      <c r="W135" s="1155"/>
      <c r="X135" s="1156"/>
      <c r="Y135" s="220"/>
      <c r="Z135" s="207" t="str">
        <f t="shared" si="11"/>
        <v/>
      </c>
      <c r="AA135" s="200"/>
    </row>
    <row r="136" spans="2:27">
      <c r="B136" s="199">
        <v>17</v>
      </c>
      <c r="C136" s="1154"/>
      <c r="D136" s="1154"/>
      <c r="E136" s="1155"/>
      <c r="F136" s="1156"/>
      <c r="G136" s="220"/>
      <c r="H136" s="207" t="str">
        <f t="shared" si="12"/>
        <v/>
      </c>
      <c r="I136" s="200"/>
      <c r="K136" s="199">
        <v>17</v>
      </c>
      <c r="L136" s="1154"/>
      <c r="M136" s="1154"/>
      <c r="N136" s="1155"/>
      <c r="O136" s="1156"/>
      <c r="P136" s="220"/>
      <c r="Q136" s="210" t="str">
        <f t="shared" si="14"/>
        <v/>
      </c>
      <c r="R136" s="200"/>
      <c r="T136" s="199">
        <v>17</v>
      </c>
      <c r="U136" s="1154"/>
      <c r="V136" s="1154"/>
      <c r="W136" s="1155"/>
      <c r="X136" s="1156"/>
      <c r="Y136" s="220"/>
      <c r="Z136" s="207" t="str">
        <f t="shared" si="11"/>
        <v/>
      </c>
      <c r="AA136" s="200"/>
    </row>
    <row r="137" spans="2:27">
      <c r="B137" s="199">
        <v>18</v>
      </c>
      <c r="C137" s="1154"/>
      <c r="D137" s="1154"/>
      <c r="E137" s="1155"/>
      <c r="F137" s="1156"/>
      <c r="G137" s="220"/>
      <c r="H137" s="207" t="str">
        <f t="shared" si="12"/>
        <v/>
      </c>
      <c r="I137" s="200"/>
      <c r="K137" s="199">
        <v>18</v>
      </c>
      <c r="L137" s="1154"/>
      <c r="M137" s="1154"/>
      <c r="N137" s="1155"/>
      <c r="O137" s="1156"/>
      <c r="P137" s="220"/>
      <c r="Q137" s="210" t="str">
        <f t="shared" si="14"/>
        <v/>
      </c>
      <c r="R137" s="200"/>
      <c r="T137" s="199">
        <v>18</v>
      </c>
      <c r="U137" s="1154"/>
      <c r="V137" s="1154"/>
      <c r="W137" s="1155"/>
      <c r="X137" s="1156"/>
      <c r="Y137" s="220"/>
      <c r="Z137" s="207" t="str">
        <f t="shared" si="11"/>
        <v/>
      </c>
      <c r="AA137" s="200"/>
    </row>
    <row r="138" spans="2:27">
      <c r="B138" s="199">
        <v>19</v>
      </c>
      <c r="C138" s="1154"/>
      <c r="D138" s="1154"/>
      <c r="E138" s="1155"/>
      <c r="F138" s="1156"/>
      <c r="G138" s="220"/>
      <c r="H138" s="207" t="str">
        <f t="shared" si="12"/>
        <v/>
      </c>
      <c r="I138" s="200"/>
      <c r="K138" s="199">
        <v>19</v>
      </c>
      <c r="L138" s="1154"/>
      <c r="M138" s="1154"/>
      <c r="N138" s="1155"/>
      <c r="O138" s="1156"/>
      <c r="P138" s="220"/>
      <c r="Q138" s="210" t="str">
        <f t="shared" si="14"/>
        <v/>
      </c>
      <c r="R138" s="200"/>
      <c r="T138" s="199">
        <v>19</v>
      </c>
      <c r="U138" s="1154"/>
      <c r="V138" s="1154"/>
      <c r="W138" s="1155"/>
      <c r="X138" s="1156"/>
      <c r="Y138" s="220"/>
      <c r="Z138" s="207" t="str">
        <f t="shared" si="11"/>
        <v/>
      </c>
      <c r="AA138" s="200"/>
    </row>
    <row r="139" spans="2:27">
      <c r="B139" s="199">
        <v>20</v>
      </c>
      <c r="C139" s="1154"/>
      <c r="D139" s="1154"/>
      <c r="E139" s="1155"/>
      <c r="F139" s="1156"/>
      <c r="G139" s="220"/>
      <c r="H139" s="207" t="str">
        <f t="shared" si="12"/>
        <v/>
      </c>
      <c r="I139" s="200"/>
      <c r="K139" s="199">
        <v>20</v>
      </c>
      <c r="L139" s="1154"/>
      <c r="M139" s="1154"/>
      <c r="N139" s="1155"/>
      <c r="O139" s="1156"/>
      <c r="P139" s="220"/>
      <c r="Q139" s="210" t="str">
        <f t="shared" si="14"/>
        <v/>
      </c>
      <c r="R139" s="200"/>
      <c r="T139" s="199">
        <v>20</v>
      </c>
      <c r="U139" s="1154"/>
      <c r="V139" s="1154"/>
      <c r="W139" s="1155"/>
      <c r="X139" s="1156"/>
      <c r="Y139" s="220"/>
      <c r="Z139" s="207" t="str">
        <f t="shared" si="11"/>
        <v/>
      </c>
      <c r="AA139" s="200"/>
    </row>
    <row r="140" spans="2:27">
      <c r="B140" s="199">
        <v>21</v>
      </c>
      <c r="C140" s="1154"/>
      <c r="D140" s="1154"/>
      <c r="E140" s="1155"/>
      <c r="F140" s="1156"/>
      <c r="G140" s="220"/>
      <c r="H140" s="207" t="str">
        <f t="shared" si="12"/>
        <v/>
      </c>
      <c r="I140" s="200"/>
      <c r="K140" s="199">
        <v>21</v>
      </c>
      <c r="L140" s="1154"/>
      <c r="M140" s="1154"/>
      <c r="N140" s="1155"/>
      <c r="O140" s="1156"/>
      <c r="P140" s="220"/>
      <c r="Q140" s="210" t="str">
        <f t="shared" si="14"/>
        <v/>
      </c>
      <c r="R140" s="200"/>
      <c r="T140" s="199">
        <v>21</v>
      </c>
      <c r="U140" s="1154"/>
      <c r="V140" s="1154"/>
      <c r="W140" s="1155"/>
      <c r="X140" s="1156"/>
      <c r="Y140" s="220"/>
      <c r="Z140" s="207" t="str">
        <f t="shared" si="11"/>
        <v/>
      </c>
      <c r="AA140" s="200"/>
    </row>
    <row r="141" spans="2:27">
      <c r="B141" s="199">
        <v>22</v>
      </c>
      <c r="C141" s="1154"/>
      <c r="D141" s="1154"/>
      <c r="E141" s="1155"/>
      <c r="F141" s="1156"/>
      <c r="G141" s="220"/>
      <c r="H141" s="207" t="str">
        <f t="shared" si="12"/>
        <v/>
      </c>
      <c r="I141" s="200"/>
      <c r="K141" s="199">
        <v>22</v>
      </c>
      <c r="L141" s="1154"/>
      <c r="M141" s="1154"/>
      <c r="N141" s="1155"/>
      <c r="O141" s="1156"/>
      <c r="P141" s="220"/>
      <c r="Q141" s="210" t="str">
        <f t="shared" si="14"/>
        <v/>
      </c>
      <c r="R141" s="200"/>
      <c r="T141" s="199">
        <v>22</v>
      </c>
      <c r="U141" s="1154"/>
      <c r="V141" s="1154"/>
      <c r="W141" s="1155"/>
      <c r="X141" s="1156"/>
      <c r="Y141" s="220"/>
      <c r="Z141" s="207" t="str">
        <f t="shared" si="11"/>
        <v/>
      </c>
      <c r="AA141" s="200"/>
    </row>
    <row r="142" spans="2:27">
      <c r="B142" s="199">
        <v>23</v>
      </c>
      <c r="C142" s="1154"/>
      <c r="D142" s="1154"/>
      <c r="E142" s="1155"/>
      <c r="F142" s="1156"/>
      <c r="G142" s="220"/>
      <c r="H142" s="207" t="str">
        <f t="shared" si="12"/>
        <v/>
      </c>
      <c r="I142" s="200"/>
      <c r="K142" s="199">
        <v>23</v>
      </c>
      <c r="L142" s="1154"/>
      <c r="M142" s="1154"/>
      <c r="N142" s="1155"/>
      <c r="O142" s="1156"/>
      <c r="P142" s="220"/>
      <c r="Q142" s="210" t="str">
        <f t="shared" si="14"/>
        <v/>
      </c>
      <c r="R142" s="200"/>
      <c r="T142" s="199">
        <v>23</v>
      </c>
      <c r="U142" s="1154"/>
      <c r="V142" s="1154"/>
      <c r="W142" s="1155"/>
      <c r="X142" s="1156"/>
      <c r="Y142" s="220"/>
      <c r="Z142" s="207" t="str">
        <f t="shared" si="11"/>
        <v/>
      </c>
      <c r="AA142" s="200"/>
    </row>
    <row r="143" spans="2:27">
      <c r="B143" s="199">
        <v>24</v>
      </c>
      <c r="C143" s="1154"/>
      <c r="D143" s="1154"/>
      <c r="E143" s="1155"/>
      <c r="F143" s="1156"/>
      <c r="G143" s="220"/>
      <c r="H143" s="207" t="str">
        <f t="shared" si="12"/>
        <v/>
      </c>
      <c r="I143" s="200"/>
      <c r="K143" s="199">
        <v>24</v>
      </c>
      <c r="L143" s="1154"/>
      <c r="M143" s="1154"/>
      <c r="N143" s="1155"/>
      <c r="O143" s="1156"/>
      <c r="P143" s="220"/>
      <c r="Q143" s="210" t="str">
        <f t="shared" si="14"/>
        <v/>
      </c>
      <c r="R143" s="200"/>
      <c r="T143" s="199">
        <v>24</v>
      </c>
      <c r="U143" s="1154"/>
      <c r="V143" s="1154"/>
      <c r="W143" s="1155"/>
      <c r="X143" s="1156"/>
      <c r="Y143" s="220"/>
      <c r="Z143" s="207" t="str">
        <f t="shared" si="11"/>
        <v/>
      </c>
      <c r="AA143" s="200"/>
    </row>
    <row r="144" spans="2:27">
      <c r="B144" s="199">
        <v>25</v>
      </c>
      <c r="C144" s="1154"/>
      <c r="D144" s="1154"/>
      <c r="E144" s="1155"/>
      <c r="F144" s="1156"/>
      <c r="G144" s="220"/>
      <c r="H144" s="207" t="str">
        <f t="shared" si="12"/>
        <v/>
      </c>
      <c r="I144" s="200"/>
      <c r="K144" s="199">
        <v>25</v>
      </c>
      <c r="L144" s="1154"/>
      <c r="M144" s="1154"/>
      <c r="N144" s="1155"/>
      <c r="O144" s="1156"/>
      <c r="P144" s="220"/>
      <c r="Q144" s="210" t="str">
        <f t="shared" si="14"/>
        <v/>
      </c>
      <c r="R144" s="200"/>
      <c r="T144" s="199">
        <v>25</v>
      </c>
      <c r="U144" s="1154"/>
      <c r="V144" s="1154"/>
      <c r="W144" s="1155"/>
      <c r="X144" s="1156"/>
      <c r="Y144" s="220"/>
      <c r="Z144" s="207" t="str">
        <f t="shared" si="11"/>
        <v/>
      </c>
      <c r="AA144" s="200"/>
    </row>
    <row r="145" spans="2:27">
      <c r="B145" s="199">
        <v>26</v>
      </c>
      <c r="C145" s="1154"/>
      <c r="D145" s="1154"/>
      <c r="E145" s="1155"/>
      <c r="F145" s="1156"/>
      <c r="G145" s="220"/>
      <c r="H145" s="207" t="str">
        <f t="shared" si="12"/>
        <v/>
      </c>
      <c r="I145" s="200"/>
      <c r="K145" s="199">
        <v>26</v>
      </c>
      <c r="L145" s="1154"/>
      <c r="M145" s="1154"/>
      <c r="N145" s="1155"/>
      <c r="O145" s="1156"/>
      <c r="P145" s="220"/>
      <c r="Q145" s="210" t="str">
        <f t="shared" si="14"/>
        <v/>
      </c>
      <c r="R145" s="200"/>
      <c r="T145" s="199">
        <v>26</v>
      </c>
      <c r="U145" s="1154"/>
      <c r="V145" s="1154"/>
      <c r="W145" s="1155"/>
      <c r="X145" s="1156"/>
      <c r="Y145" s="220"/>
      <c r="Z145" s="207" t="str">
        <f t="shared" si="11"/>
        <v/>
      </c>
      <c r="AA145" s="200"/>
    </row>
    <row r="146" spans="2:27">
      <c r="B146" s="199">
        <v>27</v>
      </c>
      <c r="C146" s="1154"/>
      <c r="D146" s="1154"/>
      <c r="E146" s="1155"/>
      <c r="F146" s="1156"/>
      <c r="G146" s="220"/>
      <c r="H146" s="207" t="str">
        <f t="shared" si="12"/>
        <v/>
      </c>
      <c r="I146" s="200"/>
      <c r="K146" s="199">
        <v>27</v>
      </c>
      <c r="L146" s="1154"/>
      <c r="M146" s="1154"/>
      <c r="N146" s="1155"/>
      <c r="O146" s="1156"/>
      <c r="P146" s="220"/>
      <c r="Q146" s="210" t="str">
        <f t="shared" si="14"/>
        <v/>
      </c>
      <c r="R146" s="200"/>
      <c r="T146" s="199">
        <v>27</v>
      </c>
      <c r="U146" s="1154"/>
      <c r="V146" s="1154"/>
      <c r="W146" s="1155"/>
      <c r="X146" s="1156"/>
      <c r="Y146" s="220"/>
      <c r="Z146" s="207" t="str">
        <f t="shared" si="11"/>
        <v/>
      </c>
      <c r="AA146" s="200"/>
    </row>
    <row r="147" spans="2:27">
      <c r="B147" s="199">
        <v>28</v>
      </c>
      <c r="C147" s="1154"/>
      <c r="D147" s="1154"/>
      <c r="E147" s="1155"/>
      <c r="F147" s="1156"/>
      <c r="G147" s="220"/>
      <c r="H147" s="207" t="str">
        <f t="shared" si="12"/>
        <v/>
      </c>
      <c r="I147" s="200"/>
      <c r="K147" s="199">
        <v>28</v>
      </c>
      <c r="L147" s="1154"/>
      <c r="M147" s="1154"/>
      <c r="N147" s="1155"/>
      <c r="O147" s="1156"/>
      <c r="P147" s="220"/>
      <c r="Q147" s="210" t="str">
        <f t="shared" si="14"/>
        <v/>
      </c>
      <c r="R147" s="200"/>
      <c r="T147" s="199">
        <v>28</v>
      </c>
      <c r="U147" s="1154"/>
      <c r="V147" s="1154"/>
      <c r="W147" s="1155"/>
      <c r="X147" s="1156"/>
      <c r="Y147" s="220"/>
      <c r="Z147" s="207" t="str">
        <f t="shared" si="11"/>
        <v/>
      </c>
      <c r="AA147" s="200"/>
    </row>
    <row r="148" spans="2:27">
      <c r="B148" s="199">
        <v>29</v>
      </c>
      <c r="C148" s="1154"/>
      <c r="D148" s="1154"/>
      <c r="E148" s="1155"/>
      <c r="F148" s="1156"/>
      <c r="G148" s="220"/>
      <c r="H148" s="207" t="str">
        <f t="shared" si="12"/>
        <v/>
      </c>
      <c r="I148" s="200"/>
      <c r="K148" s="199">
        <v>29</v>
      </c>
      <c r="L148" s="1154"/>
      <c r="M148" s="1154"/>
      <c r="N148" s="1155"/>
      <c r="O148" s="1156"/>
      <c r="P148" s="220"/>
      <c r="Q148" s="210" t="str">
        <f t="shared" si="14"/>
        <v/>
      </c>
      <c r="R148" s="200"/>
      <c r="T148" s="199">
        <v>29</v>
      </c>
      <c r="U148" s="1154"/>
      <c r="V148" s="1154"/>
      <c r="W148" s="1155"/>
      <c r="X148" s="1156"/>
      <c r="Y148" s="220"/>
      <c r="Z148" s="207" t="str">
        <f t="shared" si="11"/>
        <v/>
      </c>
      <c r="AA148" s="200"/>
    </row>
    <row r="149" spans="2:27">
      <c r="B149" s="199">
        <v>30</v>
      </c>
      <c r="C149" s="1154"/>
      <c r="D149" s="1154"/>
      <c r="E149" s="1155"/>
      <c r="F149" s="1156"/>
      <c r="G149" s="220"/>
      <c r="H149" s="207" t="str">
        <f t="shared" si="12"/>
        <v/>
      </c>
      <c r="I149" s="200"/>
      <c r="K149" s="199">
        <v>30</v>
      </c>
      <c r="L149" s="1154"/>
      <c r="M149" s="1154"/>
      <c r="N149" s="1155"/>
      <c r="O149" s="1156"/>
      <c r="P149" s="220"/>
      <c r="Q149" s="210" t="str">
        <f t="shared" si="14"/>
        <v/>
      </c>
      <c r="R149" s="200"/>
      <c r="T149" s="199">
        <v>30</v>
      </c>
      <c r="U149" s="1154"/>
      <c r="V149" s="1154"/>
      <c r="W149" s="1155"/>
      <c r="X149" s="1156"/>
      <c r="Y149" s="220"/>
      <c r="Z149" s="207" t="str">
        <f t="shared" si="11"/>
        <v/>
      </c>
      <c r="AA149" s="200"/>
    </row>
    <row r="150" spans="2:27">
      <c r="B150" s="199"/>
      <c r="C150" s="194"/>
      <c r="D150" s="194"/>
      <c r="E150" s="194"/>
      <c r="F150" s="194"/>
      <c r="G150" s="194" t="s">
        <v>1040</v>
      </c>
      <c r="H150" s="208">
        <f>SUM(H120:H149)</f>
        <v>0</v>
      </c>
      <c r="I150" s="200"/>
      <c r="K150" s="199"/>
      <c r="L150" s="194"/>
      <c r="M150" s="194"/>
      <c r="N150" s="194"/>
      <c r="O150" s="194"/>
      <c r="P150" s="194" t="s">
        <v>1040</v>
      </c>
      <c r="Q150" s="211">
        <f>SUM(Q120:Q149)</f>
        <v>0</v>
      </c>
      <c r="R150" s="200"/>
      <c r="T150" s="199"/>
      <c r="U150" s="194"/>
      <c r="V150" s="194"/>
      <c r="W150" s="194"/>
      <c r="X150" s="194"/>
      <c r="Y150" s="194" t="s">
        <v>1040</v>
      </c>
      <c r="Z150" s="208">
        <f>SUM(Z120:Z149)</f>
        <v>0</v>
      </c>
      <c r="AA150" s="200"/>
    </row>
    <row r="151" spans="2:27">
      <c r="B151" s="201"/>
      <c r="C151" s="202"/>
      <c r="D151" s="202"/>
      <c r="E151" s="202"/>
      <c r="F151" s="202"/>
      <c r="G151" s="202"/>
      <c r="H151" s="213"/>
      <c r="I151" s="204"/>
      <c r="K151" s="201"/>
      <c r="L151" s="202"/>
      <c r="M151" s="202"/>
      <c r="N151" s="202"/>
      <c r="O151" s="202"/>
      <c r="P151" s="202"/>
      <c r="Q151" s="203"/>
      <c r="R151" s="204"/>
      <c r="T151" s="201"/>
      <c r="U151" s="202"/>
      <c r="V151" s="202"/>
      <c r="W151" s="202"/>
      <c r="X151" s="202"/>
      <c r="Y151" s="202"/>
      <c r="Z151" s="203"/>
      <c r="AA151" s="204"/>
    </row>
    <row r="153" spans="2:27" ht="15">
      <c r="B153" s="215"/>
      <c r="C153" s="216"/>
      <c r="D153" s="216"/>
      <c r="E153" s="216"/>
      <c r="F153" s="216"/>
      <c r="G153" s="216"/>
      <c r="H153" s="216"/>
      <c r="I153" s="217"/>
      <c r="J153" s="218"/>
      <c r="K153" s="215"/>
      <c r="L153" s="216"/>
      <c r="M153" s="216"/>
      <c r="N153" s="216"/>
      <c r="O153" s="216"/>
      <c r="P153" s="216"/>
      <c r="Q153" s="216"/>
      <c r="R153" s="217"/>
      <c r="S153" s="214"/>
      <c r="T153" s="215"/>
      <c r="U153" s="216"/>
      <c r="V153" s="216"/>
      <c r="W153" s="216"/>
      <c r="X153" s="216"/>
      <c r="Y153" s="216"/>
      <c r="Z153" s="216"/>
      <c r="AA153" s="209"/>
    </row>
    <row r="154" spans="2:27" ht="15">
      <c r="B154" s="196"/>
      <c r="C154" s="361" t="s">
        <v>2561</v>
      </c>
      <c r="D154" s="1159"/>
      <c r="E154" s="1159"/>
      <c r="F154" s="1159"/>
      <c r="G154" s="1159"/>
      <c r="H154" s="1159"/>
      <c r="I154" s="198"/>
      <c r="J154"/>
      <c r="K154" s="196"/>
      <c r="L154" s="361" t="s">
        <v>2562</v>
      </c>
      <c r="M154" s="1159"/>
      <c r="N154" s="1159"/>
      <c r="O154" s="1159"/>
      <c r="P154" s="1159"/>
      <c r="Q154" s="1159"/>
      <c r="R154" s="198"/>
      <c r="T154" s="196"/>
      <c r="U154" s="361" t="s">
        <v>2563</v>
      </c>
      <c r="V154" s="1159"/>
      <c r="W154" s="1159"/>
      <c r="X154" s="1159"/>
      <c r="Y154" s="1159"/>
      <c r="Z154" s="1159"/>
      <c r="AA154" s="198"/>
    </row>
    <row r="155" spans="2:27" ht="15">
      <c r="B155" s="196"/>
      <c r="C155" s="195"/>
      <c r="D155" s="195"/>
      <c r="E155" s="195"/>
      <c r="F155" s="195"/>
      <c r="G155" s="195"/>
      <c r="H155" s="197"/>
      <c r="I155" s="198"/>
      <c r="J155"/>
      <c r="K155" s="196"/>
      <c r="L155" s="195"/>
      <c r="M155" s="195"/>
      <c r="N155" s="195"/>
      <c r="O155" s="195"/>
      <c r="P155" s="195"/>
      <c r="Q155" s="197"/>
      <c r="R155" s="198"/>
      <c r="T155" s="196"/>
      <c r="U155" s="195"/>
      <c r="V155" s="195"/>
      <c r="W155" s="195"/>
      <c r="X155" s="195"/>
      <c r="Y155" s="195"/>
      <c r="Z155" s="197"/>
      <c r="AA155" s="198"/>
    </row>
    <row r="156" spans="2:27">
      <c r="B156" s="199"/>
      <c r="C156" s="205" t="s">
        <v>1217</v>
      </c>
      <c r="D156" s="206"/>
      <c r="E156" s="1158" t="s">
        <v>91</v>
      </c>
      <c r="F156" s="1158"/>
      <c r="G156" s="205" t="s">
        <v>1216</v>
      </c>
      <c r="H156" s="205" t="s">
        <v>1040</v>
      </c>
      <c r="I156" s="200"/>
      <c r="K156" s="199"/>
      <c r="L156" s="205" t="s">
        <v>1217</v>
      </c>
      <c r="M156" s="206"/>
      <c r="N156" s="1158" t="s">
        <v>91</v>
      </c>
      <c r="O156" s="1158"/>
      <c r="P156" s="205" t="s">
        <v>1216</v>
      </c>
      <c r="Q156" s="205" t="s">
        <v>1040</v>
      </c>
      <c r="R156" s="200"/>
      <c r="T156" s="199"/>
      <c r="U156" s="205" t="s">
        <v>1217</v>
      </c>
      <c r="V156" s="206"/>
      <c r="W156" s="1158" t="s">
        <v>91</v>
      </c>
      <c r="X156" s="1158"/>
      <c r="Y156" s="205" t="s">
        <v>1216</v>
      </c>
      <c r="Z156" s="205" t="s">
        <v>1040</v>
      </c>
      <c r="AA156" s="200"/>
    </row>
    <row r="157" spans="2:27">
      <c r="B157" s="199">
        <v>1</v>
      </c>
      <c r="C157" s="1157"/>
      <c r="D157" s="1157"/>
      <c r="E157" s="1155"/>
      <c r="F157" s="1156"/>
      <c r="G157" s="219"/>
      <c r="H157" s="207" t="str">
        <f>IF(AND(ISBLANK(C157),ISBLANK(E157),ISBLANK(G157)),"",(IF(OR(ISBLANK(C157),ISBLANK(E157),ISBLANK(G157)),"Enter Info",(E157*G157))))</f>
        <v/>
      </c>
      <c r="I157" s="200"/>
      <c r="K157" s="199">
        <v>1</v>
      </c>
      <c r="L157" s="1157"/>
      <c r="M157" s="1157"/>
      <c r="N157" s="1155"/>
      <c r="O157" s="1156"/>
      <c r="P157" s="219"/>
      <c r="Q157" s="210" t="str">
        <f>IF(AND(ISBLANK(L157),ISBLANK(N157),ISBLANK(P157)),"",(IF(OR(ISBLANK(L157),ISBLANK(N157),ISBLANK(P157)),"Enter Info",(N157*P157))))</f>
        <v/>
      </c>
      <c r="R157" s="200"/>
      <c r="T157" s="199">
        <v>1</v>
      </c>
      <c r="U157" s="1157"/>
      <c r="V157" s="1157"/>
      <c r="W157" s="1155"/>
      <c r="X157" s="1156"/>
      <c r="Y157" s="219"/>
      <c r="Z157" s="207" t="str">
        <f t="shared" ref="Z157:Z186" si="15">IF(AND(ISBLANK(U157),ISBLANK(W157),ISBLANK(Y157)),"",(IF(OR(ISBLANK(U157),ISBLANK(W157),ISBLANK(Y157)),"Enter Info",(W157*Y157))))</f>
        <v/>
      </c>
      <c r="AA157" s="200"/>
    </row>
    <row r="158" spans="2:27">
      <c r="B158" s="199">
        <v>2</v>
      </c>
      <c r="C158" s="1154"/>
      <c r="D158" s="1154"/>
      <c r="E158" s="1155"/>
      <c r="F158" s="1156"/>
      <c r="G158" s="220"/>
      <c r="H158" s="207" t="str">
        <f t="shared" ref="H158:H186" si="16">IF(AND(ISBLANK(C158),ISBLANK(E158),ISBLANK(G158)),"",(IF(OR(ISBLANK(C158),ISBLANK(E158),ISBLANK(G158)),"Enter Info",(E158*G158))))</f>
        <v/>
      </c>
      <c r="I158" s="200"/>
      <c r="K158" s="199">
        <v>2</v>
      </c>
      <c r="L158" s="1154"/>
      <c r="M158" s="1154"/>
      <c r="N158" s="1155"/>
      <c r="O158" s="1156"/>
      <c r="P158" s="220"/>
      <c r="Q158" s="210" t="str">
        <f>IF(AND(ISBLANK(L158),ISBLANK(N158),ISBLANK(P158)),"",(IF(OR(ISBLANK(L158),ISBLANK(N158),ISBLANK(P158)),"Enter Info",(N158*P158))))</f>
        <v/>
      </c>
      <c r="R158" s="200"/>
      <c r="T158" s="199">
        <v>2</v>
      </c>
      <c r="U158" s="1154"/>
      <c r="V158" s="1154"/>
      <c r="W158" s="1155"/>
      <c r="X158" s="1156"/>
      <c r="Y158" s="220"/>
      <c r="Z158" s="207" t="str">
        <f t="shared" si="15"/>
        <v/>
      </c>
      <c r="AA158" s="200"/>
    </row>
    <row r="159" spans="2:27">
      <c r="B159" s="199">
        <v>3</v>
      </c>
      <c r="C159" s="1154"/>
      <c r="D159" s="1154"/>
      <c r="E159" s="1160"/>
      <c r="F159" s="1161"/>
      <c r="G159" s="220"/>
      <c r="H159" s="207" t="str">
        <f t="shared" si="16"/>
        <v/>
      </c>
      <c r="I159" s="200"/>
      <c r="K159" s="199">
        <v>3</v>
      </c>
      <c r="L159" s="1154"/>
      <c r="M159" s="1154"/>
      <c r="N159" s="1160"/>
      <c r="O159" s="1161"/>
      <c r="P159" s="220"/>
      <c r="Q159" s="210" t="str">
        <f t="shared" ref="Q159:Q162" si="17">IF(AND(ISBLANK(L159),ISBLANK(N159),ISBLANK(P159)),"",(IF(OR(ISBLANK(L159),ISBLANK(N159),ISBLANK(P159)),"Enter Info",(N159*P159))))</f>
        <v/>
      </c>
      <c r="R159" s="200"/>
      <c r="T159" s="199">
        <v>3</v>
      </c>
      <c r="U159" s="1154"/>
      <c r="V159" s="1154"/>
      <c r="W159" s="1160"/>
      <c r="X159" s="1161"/>
      <c r="Y159" s="220"/>
      <c r="Z159" s="207" t="str">
        <f t="shared" si="15"/>
        <v/>
      </c>
      <c r="AA159" s="200"/>
    </row>
    <row r="160" spans="2:27">
      <c r="B160" s="199">
        <v>4</v>
      </c>
      <c r="C160" s="1154"/>
      <c r="D160" s="1154"/>
      <c r="E160" s="1155"/>
      <c r="F160" s="1156"/>
      <c r="G160" s="220"/>
      <c r="H160" s="207" t="str">
        <f t="shared" si="16"/>
        <v/>
      </c>
      <c r="I160" s="200"/>
      <c r="K160" s="199">
        <v>4</v>
      </c>
      <c r="L160" s="1154"/>
      <c r="M160" s="1154"/>
      <c r="N160" s="1155"/>
      <c r="O160" s="1156"/>
      <c r="P160" s="220"/>
      <c r="Q160" s="210" t="str">
        <f t="shared" si="17"/>
        <v/>
      </c>
      <c r="R160" s="200"/>
      <c r="T160" s="199">
        <v>4</v>
      </c>
      <c r="U160" s="1154"/>
      <c r="V160" s="1154"/>
      <c r="W160" s="1155"/>
      <c r="X160" s="1156"/>
      <c r="Y160" s="220"/>
      <c r="Z160" s="207" t="str">
        <f t="shared" si="15"/>
        <v/>
      </c>
      <c r="AA160" s="200"/>
    </row>
    <row r="161" spans="2:27">
      <c r="B161" s="199">
        <v>5</v>
      </c>
      <c r="C161" s="1154"/>
      <c r="D161" s="1154"/>
      <c r="E161" s="1155"/>
      <c r="F161" s="1156"/>
      <c r="G161" s="220"/>
      <c r="H161" s="207" t="str">
        <f t="shared" si="16"/>
        <v/>
      </c>
      <c r="I161" s="200"/>
      <c r="K161" s="199">
        <v>5</v>
      </c>
      <c r="L161" s="1154"/>
      <c r="M161" s="1154"/>
      <c r="N161" s="1155"/>
      <c r="O161" s="1156"/>
      <c r="P161" s="220"/>
      <c r="Q161" s="210" t="str">
        <f t="shared" si="17"/>
        <v/>
      </c>
      <c r="R161" s="200"/>
      <c r="T161" s="199">
        <v>5</v>
      </c>
      <c r="U161" s="1154"/>
      <c r="V161" s="1154"/>
      <c r="W161" s="1155"/>
      <c r="X161" s="1156"/>
      <c r="Y161" s="220"/>
      <c r="Z161" s="207" t="str">
        <f t="shared" si="15"/>
        <v/>
      </c>
      <c r="AA161" s="200"/>
    </row>
    <row r="162" spans="2:27">
      <c r="B162" s="199">
        <v>6</v>
      </c>
      <c r="C162" s="1154"/>
      <c r="D162" s="1154"/>
      <c r="E162" s="1155"/>
      <c r="F162" s="1156"/>
      <c r="G162" s="220"/>
      <c r="H162" s="207" t="str">
        <f t="shared" si="16"/>
        <v/>
      </c>
      <c r="I162" s="200"/>
      <c r="K162" s="199">
        <v>6</v>
      </c>
      <c r="L162" s="1154"/>
      <c r="M162" s="1154"/>
      <c r="N162" s="1155"/>
      <c r="O162" s="1156"/>
      <c r="P162" s="220"/>
      <c r="Q162" s="210" t="str">
        <f t="shared" si="17"/>
        <v/>
      </c>
      <c r="R162" s="200"/>
      <c r="T162" s="199">
        <v>6</v>
      </c>
      <c r="U162" s="1154"/>
      <c r="V162" s="1154"/>
      <c r="W162" s="1155"/>
      <c r="X162" s="1156"/>
      <c r="Y162" s="220"/>
      <c r="Z162" s="207" t="str">
        <f t="shared" si="15"/>
        <v/>
      </c>
      <c r="AA162" s="200"/>
    </row>
    <row r="163" spans="2:27">
      <c r="B163" s="199">
        <v>7</v>
      </c>
      <c r="C163" s="1154"/>
      <c r="D163" s="1154"/>
      <c r="E163" s="1155"/>
      <c r="F163" s="1156"/>
      <c r="G163" s="220"/>
      <c r="H163" s="207" t="str">
        <f t="shared" si="16"/>
        <v/>
      </c>
      <c r="I163" s="200"/>
      <c r="K163" s="199">
        <v>7</v>
      </c>
      <c r="L163" s="1162"/>
      <c r="M163" s="1163"/>
      <c r="N163" s="1155"/>
      <c r="O163" s="1156"/>
      <c r="P163" s="220"/>
      <c r="Q163" s="210" t="str">
        <f>IF(AND(ISBLANK(L163),ISBLANK(N163),ISBLANK(P163)),"",(IF(OR(ISBLANK(L163),ISBLANK(N163),ISBLANK(P163)),"Enter Info",(N163*P163))))</f>
        <v/>
      </c>
      <c r="R163" s="200"/>
      <c r="T163" s="199">
        <v>7</v>
      </c>
      <c r="U163" s="1154"/>
      <c r="V163" s="1154"/>
      <c r="W163" s="1155"/>
      <c r="X163" s="1156"/>
      <c r="Y163" s="220"/>
      <c r="Z163" s="207" t="str">
        <f t="shared" si="15"/>
        <v/>
      </c>
      <c r="AA163" s="200"/>
    </row>
    <row r="164" spans="2:27">
      <c r="B164" s="199">
        <v>8</v>
      </c>
      <c r="C164" s="1154"/>
      <c r="D164" s="1154"/>
      <c r="E164" s="1155"/>
      <c r="F164" s="1156"/>
      <c r="G164" s="220"/>
      <c r="H164" s="207" t="str">
        <f t="shared" si="16"/>
        <v/>
      </c>
      <c r="I164" s="200"/>
      <c r="K164" s="199">
        <v>8</v>
      </c>
      <c r="L164" s="1154"/>
      <c r="M164" s="1154"/>
      <c r="N164" s="1155"/>
      <c r="O164" s="1156"/>
      <c r="P164" s="220"/>
      <c r="Q164" s="210" t="str">
        <f t="shared" ref="Q164:Q186" si="18">IF(AND(ISBLANK(L164),ISBLANK(N164),ISBLANK(P164)),"",(IF(OR(ISBLANK(L164),ISBLANK(N164),ISBLANK(P164)),"Enter Info",(N164*P164))))</f>
        <v/>
      </c>
      <c r="R164" s="200"/>
      <c r="T164" s="199">
        <v>8</v>
      </c>
      <c r="U164" s="1154"/>
      <c r="V164" s="1154"/>
      <c r="W164" s="1155"/>
      <c r="X164" s="1156"/>
      <c r="Y164" s="220"/>
      <c r="Z164" s="207" t="str">
        <f t="shared" si="15"/>
        <v/>
      </c>
      <c r="AA164" s="200"/>
    </row>
    <row r="165" spans="2:27">
      <c r="B165" s="199">
        <v>9</v>
      </c>
      <c r="C165" s="1154"/>
      <c r="D165" s="1154"/>
      <c r="E165" s="1155"/>
      <c r="F165" s="1156"/>
      <c r="G165" s="220"/>
      <c r="H165" s="207" t="str">
        <f t="shared" si="16"/>
        <v/>
      </c>
      <c r="I165" s="200"/>
      <c r="K165" s="199">
        <v>9</v>
      </c>
      <c r="L165" s="1154"/>
      <c r="M165" s="1154"/>
      <c r="N165" s="1155"/>
      <c r="O165" s="1156"/>
      <c r="P165" s="220"/>
      <c r="Q165" s="210" t="str">
        <f t="shared" si="18"/>
        <v/>
      </c>
      <c r="R165" s="200"/>
      <c r="T165" s="199">
        <v>9</v>
      </c>
      <c r="U165" s="1154"/>
      <c r="V165" s="1154"/>
      <c r="W165" s="1155"/>
      <c r="X165" s="1156"/>
      <c r="Y165" s="220"/>
      <c r="Z165" s="207" t="str">
        <f t="shared" si="15"/>
        <v/>
      </c>
      <c r="AA165" s="200"/>
    </row>
    <row r="166" spans="2:27">
      <c r="B166" s="199">
        <v>10</v>
      </c>
      <c r="C166" s="1154"/>
      <c r="D166" s="1154"/>
      <c r="E166" s="1155"/>
      <c r="F166" s="1156"/>
      <c r="G166" s="220"/>
      <c r="H166" s="207" t="str">
        <f t="shared" si="16"/>
        <v/>
      </c>
      <c r="I166" s="200"/>
      <c r="K166" s="199">
        <v>10</v>
      </c>
      <c r="L166" s="1154"/>
      <c r="M166" s="1154"/>
      <c r="N166" s="1155"/>
      <c r="O166" s="1156"/>
      <c r="P166" s="220"/>
      <c r="Q166" s="210" t="str">
        <f t="shared" si="18"/>
        <v/>
      </c>
      <c r="R166" s="200"/>
      <c r="T166" s="199">
        <v>10</v>
      </c>
      <c r="U166" s="1154"/>
      <c r="V166" s="1154"/>
      <c r="W166" s="1155"/>
      <c r="X166" s="1156"/>
      <c r="Y166" s="220"/>
      <c r="Z166" s="207" t="str">
        <f t="shared" si="15"/>
        <v/>
      </c>
      <c r="AA166" s="200"/>
    </row>
    <row r="167" spans="2:27">
      <c r="B167" s="199">
        <v>11</v>
      </c>
      <c r="C167" s="1154"/>
      <c r="D167" s="1154"/>
      <c r="E167" s="1155"/>
      <c r="F167" s="1156"/>
      <c r="G167" s="220"/>
      <c r="H167" s="207" t="str">
        <f t="shared" si="16"/>
        <v/>
      </c>
      <c r="I167" s="200"/>
      <c r="K167" s="199">
        <v>11</v>
      </c>
      <c r="L167" s="1154"/>
      <c r="M167" s="1154"/>
      <c r="N167" s="1155"/>
      <c r="O167" s="1156"/>
      <c r="P167" s="220"/>
      <c r="Q167" s="210" t="str">
        <f t="shared" si="18"/>
        <v/>
      </c>
      <c r="R167" s="200"/>
      <c r="T167" s="199">
        <v>11</v>
      </c>
      <c r="U167" s="1154"/>
      <c r="V167" s="1154"/>
      <c r="W167" s="1155"/>
      <c r="X167" s="1156"/>
      <c r="Y167" s="220"/>
      <c r="Z167" s="207" t="str">
        <f t="shared" si="15"/>
        <v/>
      </c>
      <c r="AA167" s="200"/>
    </row>
    <row r="168" spans="2:27">
      <c r="B168" s="199">
        <v>12</v>
      </c>
      <c r="C168" s="1154"/>
      <c r="D168" s="1154"/>
      <c r="E168" s="1155"/>
      <c r="F168" s="1156"/>
      <c r="G168" s="220"/>
      <c r="H168" s="207" t="str">
        <f t="shared" si="16"/>
        <v/>
      </c>
      <c r="I168" s="200"/>
      <c r="K168" s="199">
        <v>12</v>
      </c>
      <c r="L168" s="1154"/>
      <c r="M168" s="1154"/>
      <c r="N168" s="1155"/>
      <c r="O168" s="1156"/>
      <c r="P168" s="220"/>
      <c r="Q168" s="210" t="str">
        <f t="shared" si="18"/>
        <v/>
      </c>
      <c r="R168" s="200"/>
      <c r="T168" s="199">
        <v>12</v>
      </c>
      <c r="U168" s="1154"/>
      <c r="V168" s="1154"/>
      <c r="W168" s="1155"/>
      <c r="X168" s="1156"/>
      <c r="Y168" s="220"/>
      <c r="Z168" s="207" t="str">
        <f t="shared" si="15"/>
        <v/>
      </c>
      <c r="AA168" s="200"/>
    </row>
    <row r="169" spans="2:27">
      <c r="B169" s="199">
        <v>13</v>
      </c>
      <c r="C169" s="1154"/>
      <c r="D169" s="1154"/>
      <c r="E169" s="1155"/>
      <c r="F169" s="1156"/>
      <c r="G169" s="220"/>
      <c r="H169" s="207" t="str">
        <f t="shared" si="16"/>
        <v/>
      </c>
      <c r="I169" s="200"/>
      <c r="K169" s="199">
        <v>13</v>
      </c>
      <c r="L169" s="1154"/>
      <c r="M169" s="1154"/>
      <c r="N169" s="1155"/>
      <c r="O169" s="1156"/>
      <c r="P169" s="220"/>
      <c r="Q169" s="210" t="str">
        <f t="shared" si="18"/>
        <v/>
      </c>
      <c r="R169" s="200"/>
      <c r="T169" s="199">
        <v>13</v>
      </c>
      <c r="U169" s="1154"/>
      <c r="V169" s="1154"/>
      <c r="W169" s="1155"/>
      <c r="X169" s="1156"/>
      <c r="Y169" s="220"/>
      <c r="Z169" s="207" t="str">
        <f t="shared" si="15"/>
        <v/>
      </c>
      <c r="AA169" s="200"/>
    </row>
    <row r="170" spans="2:27">
      <c r="B170" s="199">
        <v>14</v>
      </c>
      <c r="C170" s="1154"/>
      <c r="D170" s="1154"/>
      <c r="E170" s="1155"/>
      <c r="F170" s="1156"/>
      <c r="G170" s="220"/>
      <c r="H170" s="207" t="str">
        <f t="shared" si="16"/>
        <v/>
      </c>
      <c r="I170" s="200"/>
      <c r="K170" s="199">
        <v>14</v>
      </c>
      <c r="L170" s="1154"/>
      <c r="M170" s="1154"/>
      <c r="N170" s="1155"/>
      <c r="O170" s="1156"/>
      <c r="P170" s="220"/>
      <c r="Q170" s="210" t="str">
        <f t="shared" si="18"/>
        <v/>
      </c>
      <c r="R170" s="200"/>
      <c r="T170" s="199">
        <v>14</v>
      </c>
      <c r="U170" s="1154"/>
      <c r="V170" s="1154"/>
      <c r="W170" s="1155"/>
      <c r="X170" s="1156"/>
      <c r="Y170" s="220"/>
      <c r="Z170" s="207" t="str">
        <f t="shared" si="15"/>
        <v/>
      </c>
      <c r="AA170" s="200"/>
    </row>
    <row r="171" spans="2:27">
      <c r="B171" s="199">
        <v>15</v>
      </c>
      <c r="C171" s="1154"/>
      <c r="D171" s="1154"/>
      <c r="E171" s="1155"/>
      <c r="F171" s="1156"/>
      <c r="G171" s="220"/>
      <c r="H171" s="207" t="str">
        <f t="shared" si="16"/>
        <v/>
      </c>
      <c r="I171" s="200"/>
      <c r="K171" s="199">
        <v>15</v>
      </c>
      <c r="L171" s="1154"/>
      <c r="M171" s="1154"/>
      <c r="N171" s="1155"/>
      <c r="O171" s="1156"/>
      <c r="P171" s="220"/>
      <c r="Q171" s="210" t="str">
        <f t="shared" si="18"/>
        <v/>
      </c>
      <c r="R171" s="200"/>
      <c r="T171" s="199">
        <v>15</v>
      </c>
      <c r="U171" s="1154"/>
      <c r="V171" s="1154"/>
      <c r="W171" s="1155"/>
      <c r="X171" s="1156"/>
      <c r="Y171" s="220"/>
      <c r="Z171" s="207" t="str">
        <f t="shared" si="15"/>
        <v/>
      </c>
      <c r="AA171" s="200"/>
    </row>
    <row r="172" spans="2:27">
      <c r="B172" s="199">
        <v>16</v>
      </c>
      <c r="C172" s="1154"/>
      <c r="D172" s="1154"/>
      <c r="E172" s="1155"/>
      <c r="F172" s="1156"/>
      <c r="G172" s="220"/>
      <c r="H172" s="207" t="str">
        <f t="shared" si="16"/>
        <v/>
      </c>
      <c r="I172" s="200"/>
      <c r="K172" s="199">
        <v>16</v>
      </c>
      <c r="L172" s="1154"/>
      <c r="M172" s="1154"/>
      <c r="N172" s="1155"/>
      <c r="O172" s="1156"/>
      <c r="P172" s="220"/>
      <c r="Q172" s="210" t="str">
        <f t="shared" si="18"/>
        <v/>
      </c>
      <c r="R172" s="200"/>
      <c r="T172" s="199">
        <v>16</v>
      </c>
      <c r="U172" s="1154"/>
      <c r="V172" s="1154"/>
      <c r="W172" s="1155"/>
      <c r="X172" s="1156"/>
      <c r="Y172" s="220"/>
      <c r="Z172" s="207" t="str">
        <f t="shared" si="15"/>
        <v/>
      </c>
      <c r="AA172" s="200"/>
    </row>
    <row r="173" spans="2:27">
      <c r="B173" s="199">
        <v>17</v>
      </c>
      <c r="C173" s="1154"/>
      <c r="D173" s="1154"/>
      <c r="E173" s="1155"/>
      <c r="F173" s="1156"/>
      <c r="G173" s="220"/>
      <c r="H173" s="207" t="str">
        <f t="shared" si="16"/>
        <v/>
      </c>
      <c r="I173" s="200"/>
      <c r="K173" s="199">
        <v>17</v>
      </c>
      <c r="L173" s="1154"/>
      <c r="M173" s="1154"/>
      <c r="N173" s="1155"/>
      <c r="O173" s="1156"/>
      <c r="P173" s="220"/>
      <c r="Q173" s="210" t="str">
        <f t="shared" si="18"/>
        <v/>
      </c>
      <c r="R173" s="200"/>
      <c r="T173" s="199">
        <v>17</v>
      </c>
      <c r="U173" s="1154"/>
      <c r="V173" s="1154"/>
      <c r="W173" s="1155"/>
      <c r="X173" s="1156"/>
      <c r="Y173" s="220"/>
      <c r="Z173" s="207" t="str">
        <f t="shared" si="15"/>
        <v/>
      </c>
      <c r="AA173" s="200"/>
    </row>
    <row r="174" spans="2:27">
      <c r="B174" s="199">
        <v>18</v>
      </c>
      <c r="C174" s="1154"/>
      <c r="D174" s="1154"/>
      <c r="E174" s="1155"/>
      <c r="F174" s="1156"/>
      <c r="G174" s="220"/>
      <c r="H174" s="207" t="str">
        <f t="shared" si="16"/>
        <v/>
      </c>
      <c r="I174" s="200"/>
      <c r="K174" s="199">
        <v>18</v>
      </c>
      <c r="L174" s="1154"/>
      <c r="M174" s="1154"/>
      <c r="N174" s="1155"/>
      <c r="O174" s="1156"/>
      <c r="P174" s="220"/>
      <c r="Q174" s="210" t="str">
        <f t="shared" si="18"/>
        <v/>
      </c>
      <c r="R174" s="200"/>
      <c r="T174" s="199">
        <v>18</v>
      </c>
      <c r="U174" s="1154"/>
      <c r="V174" s="1154"/>
      <c r="W174" s="1155"/>
      <c r="X174" s="1156"/>
      <c r="Y174" s="220"/>
      <c r="Z174" s="207" t="str">
        <f t="shared" si="15"/>
        <v/>
      </c>
      <c r="AA174" s="200"/>
    </row>
    <row r="175" spans="2:27">
      <c r="B175" s="199">
        <v>19</v>
      </c>
      <c r="C175" s="1154"/>
      <c r="D175" s="1154"/>
      <c r="E175" s="1155"/>
      <c r="F175" s="1156"/>
      <c r="G175" s="220"/>
      <c r="H175" s="207" t="str">
        <f t="shared" si="16"/>
        <v/>
      </c>
      <c r="I175" s="200"/>
      <c r="K175" s="199">
        <v>19</v>
      </c>
      <c r="L175" s="1154"/>
      <c r="M175" s="1154"/>
      <c r="N175" s="1155"/>
      <c r="O175" s="1156"/>
      <c r="P175" s="220"/>
      <c r="Q175" s="210" t="str">
        <f t="shared" si="18"/>
        <v/>
      </c>
      <c r="R175" s="200"/>
      <c r="T175" s="199">
        <v>19</v>
      </c>
      <c r="U175" s="1154"/>
      <c r="V175" s="1154"/>
      <c r="W175" s="1155"/>
      <c r="X175" s="1156"/>
      <c r="Y175" s="220"/>
      <c r="Z175" s="207" t="str">
        <f t="shared" si="15"/>
        <v/>
      </c>
      <c r="AA175" s="200"/>
    </row>
    <row r="176" spans="2:27">
      <c r="B176" s="199">
        <v>20</v>
      </c>
      <c r="C176" s="1154"/>
      <c r="D176" s="1154"/>
      <c r="E176" s="1155"/>
      <c r="F176" s="1156"/>
      <c r="G176" s="220"/>
      <c r="H176" s="207" t="str">
        <f t="shared" si="16"/>
        <v/>
      </c>
      <c r="I176" s="200"/>
      <c r="K176" s="199">
        <v>20</v>
      </c>
      <c r="L176" s="1154"/>
      <c r="M176" s="1154"/>
      <c r="N176" s="1155"/>
      <c r="O176" s="1156"/>
      <c r="P176" s="220"/>
      <c r="Q176" s="210" t="str">
        <f t="shared" si="18"/>
        <v/>
      </c>
      <c r="R176" s="200"/>
      <c r="T176" s="199">
        <v>20</v>
      </c>
      <c r="U176" s="1154"/>
      <c r="V176" s="1154"/>
      <c r="W176" s="1155"/>
      <c r="X176" s="1156"/>
      <c r="Y176" s="220"/>
      <c r="Z176" s="207" t="str">
        <f t="shared" si="15"/>
        <v/>
      </c>
      <c r="AA176" s="200"/>
    </row>
    <row r="177" spans="2:27">
      <c r="B177" s="199">
        <v>21</v>
      </c>
      <c r="C177" s="1154"/>
      <c r="D177" s="1154"/>
      <c r="E177" s="1155"/>
      <c r="F177" s="1156"/>
      <c r="G177" s="220"/>
      <c r="H177" s="207" t="str">
        <f t="shared" si="16"/>
        <v/>
      </c>
      <c r="I177" s="200"/>
      <c r="K177" s="199">
        <v>21</v>
      </c>
      <c r="L177" s="1154"/>
      <c r="M177" s="1154"/>
      <c r="N177" s="1155"/>
      <c r="O177" s="1156"/>
      <c r="P177" s="220"/>
      <c r="Q177" s="210" t="str">
        <f t="shared" si="18"/>
        <v/>
      </c>
      <c r="R177" s="200"/>
      <c r="T177" s="199">
        <v>21</v>
      </c>
      <c r="U177" s="1154"/>
      <c r="V177" s="1154"/>
      <c r="W177" s="1155"/>
      <c r="X177" s="1156"/>
      <c r="Y177" s="220"/>
      <c r="Z177" s="207" t="str">
        <f t="shared" si="15"/>
        <v/>
      </c>
      <c r="AA177" s="200"/>
    </row>
    <row r="178" spans="2:27">
      <c r="B178" s="199">
        <v>22</v>
      </c>
      <c r="C178" s="1154"/>
      <c r="D178" s="1154"/>
      <c r="E178" s="1155"/>
      <c r="F178" s="1156"/>
      <c r="G178" s="220"/>
      <c r="H178" s="207" t="str">
        <f t="shared" si="16"/>
        <v/>
      </c>
      <c r="I178" s="200"/>
      <c r="K178" s="199">
        <v>22</v>
      </c>
      <c r="L178" s="1154"/>
      <c r="M178" s="1154"/>
      <c r="N178" s="1155"/>
      <c r="O178" s="1156"/>
      <c r="P178" s="220"/>
      <c r="Q178" s="210" t="str">
        <f t="shared" si="18"/>
        <v/>
      </c>
      <c r="R178" s="200"/>
      <c r="T178" s="199">
        <v>22</v>
      </c>
      <c r="U178" s="1154"/>
      <c r="V178" s="1154"/>
      <c r="W178" s="1155"/>
      <c r="X178" s="1156"/>
      <c r="Y178" s="220"/>
      <c r="Z178" s="207" t="str">
        <f t="shared" si="15"/>
        <v/>
      </c>
      <c r="AA178" s="200"/>
    </row>
    <row r="179" spans="2:27">
      <c r="B179" s="199">
        <v>23</v>
      </c>
      <c r="C179" s="1154"/>
      <c r="D179" s="1154"/>
      <c r="E179" s="1155"/>
      <c r="F179" s="1156"/>
      <c r="G179" s="220"/>
      <c r="H179" s="207" t="str">
        <f t="shared" si="16"/>
        <v/>
      </c>
      <c r="I179" s="200"/>
      <c r="K179" s="199">
        <v>23</v>
      </c>
      <c r="L179" s="1154"/>
      <c r="M179" s="1154"/>
      <c r="N179" s="1155"/>
      <c r="O179" s="1156"/>
      <c r="P179" s="220"/>
      <c r="Q179" s="210" t="str">
        <f t="shared" si="18"/>
        <v/>
      </c>
      <c r="R179" s="200"/>
      <c r="T179" s="199">
        <v>23</v>
      </c>
      <c r="U179" s="1154"/>
      <c r="V179" s="1154"/>
      <c r="W179" s="1155"/>
      <c r="X179" s="1156"/>
      <c r="Y179" s="220"/>
      <c r="Z179" s="207" t="str">
        <f t="shared" si="15"/>
        <v/>
      </c>
      <c r="AA179" s="200"/>
    </row>
    <row r="180" spans="2:27">
      <c r="B180" s="199">
        <v>24</v>
      </c>
      <c r="C180" s="1154"/>
      <c r="D180" s="1154"/>
      <c r="E180" s="1155"/>
      <c r="F180" s="1156"/>
      <c r="G180" s="220"/>
      <c r="H180" s="207" t="str">
        <f t="shared" si="16"/>
        <v/>
      </c>
      <c r="I180" s="200"/>
      <c r="K180" s="199">
        <v>24</v>
      </c>
      <c r="L180" s="1154"/>
      <c r="M180" s="1154"/>
      <c r="N180" s="1155"/>
      <c r="O180" s="1156"/>
      <c r="P180" s="220"/>
      <c r="Q180" s="210" t="str">
        <f t="shared" si="18"/>
        <v/>
      </c>
      <c r="R180" s="200"/>
      <c r="T180" s="199">
        <v>24</v>
      </c>
      <c r="U180" s="1154"/>
      <c r="V180" s="1154"/>
      <c r="W180" s="1155"/>
      <c r="X180" s="1156"/>
      <c r="Y180" s="220"/>
      <c r="Z180" s="207" t="str">
        <f t="shared" si="15"/>
        <v/>
      </c>
      <c r="AA180" s="200"/>
    </row>
    <row r="181" spans="2:27">
      <c r="B181" s="199">
        <v>25</v>
      </c>
      <c r="C181" s="1154"/>
      <c r="D181" s="1154"/>
      <c r="E181" s="1155"/>
      <c r="F181" s="1156"/>
      <c r="G181" s="220"/>
      <c r="H181" s="207" t="str">
        <f t="shared" si="16"/>
        <v/>
      </c>
      <c r="I181" s="200"/>
      <c r="K181" s="199">
        <v>25</v>
      </c>
      <c r="L181" s="1154"/>
      <c r="M181" s="1154"/>
      <c r="N181" s="1155"/>
      <c r="O181" s="1156"/>
      <c r="P181" s="220"/>
      <c r="Q181" s="210" t="str">
        <f t="shared" si="18"/>
        <v/>
      </c>
      <c r="R181" s="200"/>
      <c r="T181" s="199">
        <v>25</v>
      </c>
      <c r="U181" s="1154"/>
      <c r="V181" s="1154"/>
      <c r="W181" s="1155"/>
      <c r="X181" s="1156"/>
      <c r="Y181" s="220"/>
      <c r="Z181" s="207" t="str">
        <f t="shared" si="15"/>
        <v/>
      </c>
      <c r="AA181" s="200"/>
    </row>
    <row r="182" spans="2:27">
      <c r="B182" s="199">
        <v>26</v>
      </c>
      <c r="C182" s="1154"/>
      <c r="D182" s="1154"/>
      <c r="E182" s="1155"/>
      <c r="F182" s="1156"/>
      <c r="G182" s="220"/>
      <c r="H182" s="207" t="str">
        <f t="shared" si="16"/>
        <v/>
      </c>
      <c r="I182" s="200"/>
      <c r="K182" s="199">
        <v>26</v>
      </c>
      <c r="L182" s="1154"/>
      <c r="M182" s="1154"/>
      <c r="N182" s="1155"/>
      <c r="O182" s="1156"/>
      <c r="P182" s="220"/>
      <c r="Q182" s="210" t="str">
        <f t="shared" si="18"/>
        <v/>
      </c>
      <c r="R182" s="200"/>
      <c r="T182" s="199">
        <v>26</v>
      </c>
      <c r="U182" s="1154"/>
      <c r="V182" s="1154"/>
      <c r="W182" s="1155"/>
      <c r="X182" s="1156"/>
      <c r="Y182" s="220"/>
      <c r="Z182" s="207" t="str">
        <f t="shared" si="15"/>
        <v/>
      </c>
      <c r="AA182" s="200"/>
    </row>
    <row r="183" spans="2:27">
      <c r="B183" s="199">
        <v>27</v>
      </c>
      <c r="C183" s="1154"/>
      <c r="D183" s="1154"/>
      <c r="E183" s="1155"/>
      <c r="F183" s="1156"/>
      <c r="G183" s="220"/>
      <c r="H183" s="207" t="str">
        <f t="shared" si="16"/>
        <v/>
      </c>
      <c r="I183" s="200"/>
      <c r="K183" s="199">
        <v>27</v>
      </c>
      <c r="L183" s="1154"/>
      <c r="M183" s="1154"/>
      <c r="N183" s="1155"/>
      <c r="O183" s="1156"/>
      <c r="P183" s="220"/>
      <c r="Q183" s="210" t="str">
        <f t="shared" si="18"/>
        <v/>
      </c>
      <c r="R183" s="200"/>
      <c r="T183" s="199">
        <v>27</v>
      </c>
      <c r="U183" s="1154"/>
      <c r="V183" s="1154"/>
      <c r="W183" s="1155"/>
      <c r="X183" s="1156"/>
      <c r="Y183" s="220"/>
      <c r="Z183" s="207" t="str">
        <f t="shared" si="15"/>
        <v/>
      </c>
      <c r="AA183" s="200"/>
    </row>
    <row r="184" spans="2:27">
      <c r="B184" s="199">
        <v>28</v>
      </c>
      <c r="C184" s="1154"/>
      <c r="D184" s="1154"/>
      <c r="E184" s="1155"/>
      <c r="F184" s="1156"/>
      <c r="G184" s="220"/>
      <c r="H184" s="207" t="str">
        <f t="shared" si="16"/>
        <v/>
      </c>
      <c r="I184" s="200"/>
      <c r="K184" s="199">
        <v>28</v>
      </c>
      <c r="L184" s="1154"/>
      <c r="M184" s="1154"/>
      <c r="N184" s="1155"/>
      <c r="O184" s="1156"/>
      <c r="P184" s="220"/>
      <c r="Q184" s="210" t="str">
        <f t="shared" si="18"/>
        <v/>
      </c>
      <c r="R184" s="200"/>
      <c r="T184" s="199">
        <v>28</v>
      </c>
      <c r="U184" s="1154"/>
      <c r="V184" s="1154"/>
      <c r="W184" s="1155"/>
      <c r="X184" s="1156"/>
      <c r="Y184" s="220"/>
      <c r="Z184" s="207" t="str">
        <f t="shared" si="15"/>
        <v/>
      </c>
      <c r="AA184" s="200"/>
    </row>
    <row r="185" spans="2:27">
      <c r="B185" s="199">
        <v>29</v>
      </c>
      <c r="C185" s="1154"/>
      <c r="D185" s="1154"/>
      <c r="E185" s="1155"/>
      <c r="F185" s="1156"/>
      <c r="G185" s="220"/>
      <c r="H185" s="207" t="str">
        <f t="shared" si="16"/>
        <v/>
      </c>
      <c r="I185" s="200"/>
      <c r="K185" s="199">
        <v>29</v>
      </c>
      <c r="L185" s="1154"/>
      <c r="M185" s="1154"/>
      <c r="N185" s="1155"/>
      <c r="O185" s="1156"/>
      <c r="P185" s="220"/>
      <c r="Q185" s="210" t="str">
        <f t="shared" si="18"/>
        <v/>
      </c>
      <c r="R185" s="200"/>
      <c r="T185" s="199">
        <v>29</v>
      </c>
      <c r="U185" s="1154"/>
      <c r="V185" s="1154"/>
      <c r="W185" s="1155"/>
      <c r="X185" s="1156"/>
      <c r="Y185" s="220"/>
      <c r="Z185" s="207" t="str">
        <f t="shared" si="15"/>
        <v/>
      </c>
      <c r="AA185" s="200"/>
    </row>
    <row r="186" spans="2:27">
      <c r="B186" s="199">
        <v>30</v>
      </c>
      <c r="C186" s="1154"/>
      <c r="D186" s="1154"/>
      <c r="E186" s="1155"/>
      <c r="F186" s="1156"/>
      <c r="G186" s="220"/>
      <c r="H186" s="207" t="str">
        <f t="shared" si="16"/>
        <v/>
      </c>
      <c r="I186" s="200"/>
      <c r="K186" s="199">
        <v>30</v>
      </c>
      <c r="L186" s="1154"/>
      <c r="M186" s="1154"/>
      <c r="N186" s="1155"/>
      <c r="O186" s="1156"/>
      <c r="P186" s="220"/>
      <c r="Q186" s="210" t="str">
        <f t="shared" si="18"/>
        <v/>
      </c>
      <c r="R186" s="200"/>
      <c r="T186" s="199">
        <v>30</v>
      </c>
      <c r="U186" s="1154"/>
      <c r="V186" s="1154"/>
      <c r="W186" s="1155"/>
      <c r="X186" s="1156"/>
      <c r="Y186" s="220"/>
      <c r="Z186" s="207" t="str">
        <f t="shared" si="15"/>
        <v/>
      </c>
      <c r="AA186" s="200"/>
    </row>
    <row r="187" spans="2:27">
      <c r="B187" s="199"/>
      <c r="C187" s="194"/>
      <c r="D187" s="194"/>
      <c r="E187" s="194"/>
      <c r="F187" s="194"/>
      <c r="G187" s="194" t="s">
        <v>1040</v>
      </c>
      <c r="H187" s="208">
        <f>SUM(H157:H186)</f>
        <v>0</v>
      </c>
      <c r="I187" s="200"/>
      <c r="K187" s="199"/>
      <c r="L187" s="194"/>
      <c r="M187" s="194"/>
      <c r="N187" s="194"/>
      <c r="O187" s="194"/>
      <c r="P187" s="194" t="s">
        <v>1040</v>
      </c>
      <c r="Q187" s="211">
        <f>SUM(Q157:Q186)</f>
        <v>0</v>
      </c>
      <c r="R187" s="200"/>
      <c r="T187" s="199"/>
      <c r="U187" s="194"/>
      <c r="V187" s="194"/>
      <c r="W187" s="194"/>
      <c r="X187" s="194"/>
      <c r="Y187" s="194" t="s">
        <v>1040</v>
      </c>
      <c r="Z187" s="208">
        <f>SUM(Z157:Z186)</f>
        <v>0</v>
      </c>
      <c r="AA187" s="200"/>
    </row>
    <row r="188" spans="2:27">
      <c r="B188" s="201"/>
      <c r="C188" s="202"/>
      <c r="D188" s="202"/>
      <c r="E188" s="202"/>
      <c r="F188" s="202"/>
      <c r="G188" s="202"/>
      <c r="H188" s="213"/>
      <c r="I188" s="204"/>
      <c r="K188" s="201"/>
      <c r="L188" s="202"/>
      <c r="M188" s="202"/>
      <c r="N188" s="202"/>
      <c r="O188" s="202"/>
      <c r="P188" s="202"/>
      <c r="Q188" s="203"/>
      <c r="R188" s="204"/>
      <c r="T188" s="201"/>
      <c r="U188" s="202"/>
      <c r="V188" s="202"/>
      <c r="W188" s="202"/>
      <c r="X188" s="202"/>
      <c r="Y188" s="202"/>
      <c r="Z188" s="203"/>
      <c r="AA188" s="204"/>
    </row>
    <row r="190" spans="2:27" ht="15">
      <c r="B190" s="215"/>
      <c r="C190" s="216"/>
      <c r="D190" s="216"/>
      <c r="E190" s="216"/>
      <c r="F190" s="216"/>
      <c r="G190" s="216"/>
      <c r="H190" s="216"/>
      <c r="I190" s="217"/>
      <c r="J190" s="218"/>
      <c r="K190" s="215"/>
      <c r="L190" s="216"/>
      <c r="M190" s="216"/>
      <c r="N190" s="216"/>
      <c r="O190" s="216"/>
      <c r="P190" s="216"/>
      <c r="Q190" s="216"/>
      <c r="R190" s="217"/>
      <c r="S190" s="214"/>
      <c r="T190" s="215"/>
      <c r="U190" s="216"/>
      <c r="V190" s="216"/>
      <c r="W190" s="216"/>
      <c r="X190" s="216"/>
      <c r="Y190" s="216"/>
      <c r="Z190" s="216"/>
      <c r="AA190" s="209"/>
    </row>
    <row r="191" spans="2:27" ht="15">
      <c r="B191" s="196"/>
      <c r="C191" s="361" t="s">
        <v>2564</v>
      </c>
      <c r="D191" s="1159"/>
      <c r="E191" s="1159"/>
      <c r="F191" s="1159"/>
      <c r="G191" s="1159"/>
      <c r="H191" s="1159"/>
      <c r="I191" s="198"/>
      <c r="J191"/>
      <c r="K191" s="196"/>
      <c r="L191" s="361" t="s">
        <v>2565</v>
      </c>
      <c r="M191" s="1159"/>
      <c r="N191" s="1159"/>
      <c r="O191" s="1159"/>
      <c r="P191" s="1159"/>
      <c r="Q191" s="1159"/>
      <c r="R191" s="198"/>
      <c r="T191" s="196"/>
      <c r="U191" s="361" t="s">
        <v>2566</v>
      </c>
      <c r="V191" s="1159"/>
      <c r="W191" s="1159"/>
      <c r="X191" s="1159"/>
      <c r="Y191" s="1159"/>
      <c r="Z191" s="1159"/>
      <c r="AA191" s="198"/>
    </row>
    <row r="192" spans="2:27" ht="15">
      <c r="B192" s="196"/>
      <c r="C192" s="195"/>
      <c r="D192" s="195"/>
      <c r="E192" s="195"/>
      <c r="F192" s="195"/>
      <c r="G192" s="195"/>
      <c r="H192" s="197"/>
      <c r="I192" s="198"/>
      <c r="J192"/>
      <c r="K192" s="196"/>
      <c r="L192" s="195"/>
      <c r="M192" s="195"/>
      <c r="N192" s="195"/>
      <c r="O192" s="195"/>
      <c r="P192" s="195"/>
      <c r="Q192" s="197"/>
      <c r="R192" s="198"/>
      <c r="T192" s="196"/>
      <c r="U192" s="195"/>
      <c r="V192" s="195"/>
      <c r="W192" s="195"/>
      <c r="X192" s="195"/>
      <c r="Y192" s="195"/>
      <c r="Z192" s="197"/>
      <c r="AA192" s="198"/>
    </row>
    <row r="193" spans="2:27">
      <c r="B193" s="199"/>
      <c r="C193" s="205" t="s">
        <v>1217</v>
      </c>
      <c r="D193" s="206"/>
      <c r="E193" s="1158" t="s">
        <v>91</v>
      </c>
      <c r="F193" s="1158"/>
      <c r="G193" s="205" t="s">
        <v>1216</v>
      </c>
      <c r="H193" s="205" t="s">
        <v>1040</v>
      </c>
      <c r="I193" s="200"/>
      <c r="K193" s="199"/>
      <c r="L193" s="205" t="s">
        <v>1217</v>
      </c>
      <c r="M193" s="206"/>
      <c r="N193" s="1158" t="s">
        <v>91</v>
      </c>
      <c r="O193" s="1158"/>
      <c r="P193" s="205" t="s">
        <v>1216</v>
      </c>
      <c r="Q193" s="205" t="s">
        <v>1040</v>
      </c>
      <c r="R193" s="200"/>
      <c r="T193" s="199"/>
      <c r="U193" s="205" t="s">
        <v>1217</v>
      </c>
      <c r="V193" s="206"/>
      <c r="W193" s="1158" t="s">
        <v>91</v>
      </c>
      <c r="X193" s="1158"/>
      <c r="Y193" s="205" t="s">
        <v>1216</v>
      </c>
      <c r="Z193" s="205" t="s">
        <v>1040</v>
      </c>
      <c r="AA193" s="200"/>
    </row>
    <row r="194" spans="2:27">
      <c r="B194" s="199">
        <v>1</v>
      </c>
      <c r="C194" s="1157"/>
      <c r="D194" s="1157"/>
      <c r="E194" s="1155"/>
      <c r="F194" s="1156"/>
      <c r="G194" s="219"/>
      <c r="H194" s="207" t="str">
        <f>IF(AND(ISBLANK(C194),ISBLANK(E194),ISBLANK(G194)),"",(IF(OR(ISBLANK(C194),ISBLANK(E194),ISBLANK(G194)),"Enter Info",(E194*G194))))</f>
        <v/>
      </c>
      <c r="I194" s="200"/>
      <c r="K194" s="199">
        <v>1</v>
      </c>
      <c r="L194" s="1157"/>
      <c r="M194" s="1157"/>
      <c r="N194" s="1155"/>
      <c r="O194" s="1156"/>
      <c r="P194" s="219"/>
      <c r="Q194" s="210" t="str">
        <f>IF(AND(ISBLANK(L194),ISBLANK(N194),ISBLANK(P194)),"",(IF(OR(ISBLANK(L194),ISBLANK(N194),ISBLANK(P194)),"Enter Info",(N194*P194))))</f>
        <v/>
      </c>
      <c r="R194" s="200"/>
      <c r="T194" s="199">
        <v>1</v>
      </c>
      <c r="U194" s="1157"/>
      <c r="V194" s="1157"/>
      <c r="W194" s="1155"/>
      <c r="X194" s="1156"/>
      <c r="Y194" s="219"/>
      <c r="Z194" s="207" t="str">
        <f t="shared" ref="Z194:Z223" si="19">IF(AND(ISBLANK(U194),ISBLANK(W194),ISBLANK(Y194)),"",(IF(OR(ISBLANK(U194),ISBLANK(W194),ISBLANK(Y194)),"Enter Info",(W194*Y194))))</f>
        <v/>
      </c>
      <c r="AA194" s="200"/>
    </row>
    <row r="195" spans="2:27">
      <c r="B195" s="199">
        <v>2</v>
      </c>
      <c r="C195" s="1154"/>
      <c r="D195" s="1154"/>
      <c r="E195" s="1155"/>
      <c r="F195" s="1156"/>
      <c r="G195" s="220"/>
      <c r="H195" s="207" t="str">
        <f t="shared" ref="H195:H223" si="20">IF(AND(ISBLANK(C195),ISBLANK(E195),ISBLANK(G195)),"",(IF(OR(ISBLANK(C195),ISBLANK(E195),ISBLANK(G195)),"Enter Info",(E195*G195))))</f>
        <v/>
      </c>
      <c r="I195" s="200"/>
      <c r="K195" s="199">
        <v>2</v>
      </c>
      <c r="L195" s="1154"/>
      <c r="M195" s="1154"/>
      <c r="N195" s="1155"/>
      <c r="O195" s="1156"/>
      <c r="P195" s="220"/>
      <c r="Q195" s="210" t="str">
        <f>IF(AND(ISBLANK(L195),ISBLANK(N195),ISBLANK(P195)),"",(IF(OR(ISBLANK(L195),ISBLANK(N195),ISBLANK(P195)),"Enter Info",(N195*P195))))</f>
        <v/>
      </c>
      <c r="R195" s="200"/>
      <c r="T195" s="199">
        <v>2</v>
      </c>
      <c r="U195" s="1154"/>
      <c r="V195" s="1154"/>
      <c r="W195" s="1155"/>
      <c r="X195" s="1156"/>
      <c r="Y195" s="220"/>
      <c r="Z195" s="207" t="str">
        <f t="shared" si="19"/>
        <v/>
      </c>
      <c r="AA195" s="200"/>
    </row>
    <row r="196" spans="2:27">
      <c r="B196" s="199">
        <v>3</v>
      </c>
      <c r="C196" s="1154"/>
      <c r="D196" s="1154"/>
      <c r="E196" s="1160"/>
      <c r="F196" s="1161"/>
      <c r="G196" s="220"/>
      <c r="H196" s="207" t="str">
        <f t="shared" si="20"/>
        <v/>
      </c>
      <c r="I196" s="200"/>
      <c r="K196" s="199">
        <v>3</v>
      </c>
      <c r="L196" s="1154"/>
      <c r="M196" s="1154"/>
      <c r="N196" s="1160"/>
      <c r="O196" s="1161"/>
      <c r="P196" s="220"/>
      <c r="Q196" s="210" t="str">
        <f t="shared" ref="Q196:Q199" si="21">IF(AND(ISBLANK(L196),ISBLANK(N196),ISBLANK(P196)),"",(IF(OR(ISBLANK(L196),ISBLANK(N196),ISBLANK(P196)),"Enter Info",(N196*P196))))</f>
        <v/>
      </c>
      <c r="R196" s="200"/>
      <c r="T196" s="199">
        <v>3</v>
      </c>
      <c r="U196" s="1154"/>
      <c r="V196" s="1154"/>
      <c r="W196" s="1160"/>
      <c r="X196" s="1161"/>
      <c r="Y196" s="220"/>
      <c r="Z196" s="207" t="str">
        <f t="shared" si="19"/>
        <v/>
      </c>
      <c r="AA196" s="200"/>
    </row>
    <row r="197" spans="2:27">
      <c r="B197" s="199">
        <v>4</v>
      </c>
      <c r="C197" s="1154"/>
      <c r="D197" s="1154"/>
      <c r="E197" s="1155"/>
      <c r="F197" s="1156"/>
      <c r="G197" s="220"/>
      <c r="H197" s="207" t="str">
        <f t="shared" si="20"/>
        <v/>
      </c>
      <c r="I197" s="200"/>
      <c r="K197" s="199">
        <v>4</v>
      </c>
      <c r="L197" s="1154"/>
      <c r="M197" s="1154"/>
      <c r="N197" s="1155"/>
      <c r="O197" s="1156"/>
      <c r="P197" s="220"/>
      <c r="Q197" s="210" t="str">
        <f t="shared" si="21"/>
        <v/>
      </c>
      <c r="R197" s="200"/>
      <c r="T197" s="199">
        <v>4</v>
      </c>
      <c r="U197" s="1154"/>
      <c r="V197" s="1154"/>
      <c r="W197" s="1155"/>
      <c r="X197" s="1156"/>
      <c r="Y197" s="220"/>
      <c r="Z197" s="207" t="str">
        <f t="shared" si="19"/>
        <v/>
      </c>
      <c r="AA197" s="200"/>
    </row>
    <row r="198" spans="2:27">
      <c r="B198" s="199">
        <v>5</v>
      </c>
      <c r="C198" s="1154"/>
      <c r="D198" s="1154"/>
      <c r="E198" s="1155"/>
      <c r="F198" s="1156"/>
      <c r="G198" s="220"/>
      <c r="H198" s="207" t="str">
        <f t="shared" si="20"/>
        <v/>
      </c>
      <c r="I198" s="200"/>
      <c r="K198" s="199">
        <v>5</v>
      </c>
      <c r="L198" s="1154"/>
      <c r="M198" s="1154"/>
      <c r="N198" s="1155"/>
      <c r="O198" s="1156"/>
      <c r="P198" s="220"/>
      <c r="Q198" s="210" t="str">
        <f t="shared" si="21"/>
        <v/>
      </c>
      <c r="R198" s="200"/>
      <c r="T198" s="199">
        <v>5</v>
      </c>
      <c r="U198" s="1154"/>
      <c r="V198" s="1154"/>
      <c r="W198" s="1155"/>
      <c r="X198" s="1156"/>
      <c r="Y198" s="220"/>
      <c r="Z198" s="207" t="str">
        <f t="shared" si="19"/>
        <v/>
      </c>
      <c r="AA198" s="200"/>
    </row>
    <row r="199" spans="2:27">
      <c r="B199" s="199">
        <v>6</v>
      </c>
      <c r="C199" s="1154"/>
      <c r="D199" s="1154"/>
      <c r="E199" s="1155"/>
      <c r="F199" s="1156"/>
      <c r="G199" s="220"/>
      <c r="H199" s="207" t="str">
        <f t="shared" si="20"/>
        <v/>
      </c>
      <c r="I199" s="200"/>
      <c r="K199" s="199">
        <v>6</v>
      </c>
      <c r="L199" s="1154"/>
      <c r="M199" s="1154"/>
      <c r="N199" s="1155"/>
      <c r="O199" s="1156"/>
      <c r="P199" s="220"/>
      <c r="Q199" s="210" t="str">
        <f t="shared" si="21"/>
        <v/>
      </c>
      <c r="R199" s="200"/>
      <c r="T199" s="199">
        <v>6</v>
      </c>
      <c r="U199" s="1154"/>
      <c r="V199" s="1154"/>
      <c r="W199" s="1155"/>
      <c r="X199" s="1156"/>
      <c r="Y199" s="220"/>
      <c r="Z199" s="207" t="str">
        <f t="shared" si="19"/>
        <v/>
      </c>
      <c r="AA199" s="200"/>
    </row>
    <row r="200" spans="2:27">
      <c r="B200" s="199">
        <v>7</v>
      </c>
      <c r="C200" s="1154"/>
      <c r="D200" s="1154"/>
      <c r="E200" s="1155"/>
      <c r="F200" s="1156"/>
      <c r="G200" s="220"/>
      <c r="H200" s="207" t="str">
        <f t="shared" si="20"/>
        <v/>
      </c>
      <c r="I200" s="200"/>
      <c r="K200" s="199">
        <v>7</v>
      </c>
      <c r="L200" s="1162"/>
      <c r="M200" s="1163"/>
      <c r="N200" s="1155"/>
      <c r="O200" s="1156"/>
      <c r="P200" s="220"/>
      <c r="Q200" s="210" t="str">
        <f>IF(AND(ISBLANK(L200),ISBLANK(N200),ISBLANK(P200)),"",(IF(OR(ISBLANK(L200),ISBLANK(N200),ISBLANK(P200)),"Enter Info",(N200*P200))))</f>
        <v/>
      </c>
      <c r="R200" s="200"/>
      <c r="T200" s="199">
        <v>7</v>
      </c>
      <c r="U200" s="1154"/>
      <c r="V200" s="1154"/>
      <c r="W200" s="1155"/>
      <c r="X200" s="1156"/>
      <c r="Y200" s="220"/>
      <c r="Z200" s="207" t="str">
        <f t="shared" si="19"/>
        <v/>
      </c>
      <c r="AA200" s="200"/>
    </row>
    <row r="201" spans="2:27">
      <c r="B201" s="199">
        <v>8</v>
      </c>
      <c r="C201" s="1154"/>
      <c r="D201" s="1154"/>
      <c r="E201" s="1155"/>
      <c r="F201" s="1156"/>
      <c r="G201" s="220"/>
      <c r="H201" s="207" t="str">
        <f t="shared" si="20"/>
        <v/>
      </c>
      <c r="I201" s="200"/>
      <c r="K201" s="199">
        <v>8</v>
      </c>
      <c r="L201" s="1154"/>
      <c r="M201" s="1154"/>
      <c r="N201" s="1155"/>
      <c r="O201" s="1156"/>
      <c r="P201" s="220"/>
      <c r="Q201" s="210" t="str">
        <f t="shared" ref="Q201:Q223" si="22">IF(AND(ISBLANK(L201),ISBLANK(N201),ISBLANK(P201)),"",(IF(OR(ISBLANK(L201),ISBLANK(N201),ISBLANK(P201)),"Enter Info",(N201*P201))))</f>
        <v/>
      </c>
      <c r="R201" s="200"/>
      <c r="T201" s="199">
        <v>8</v>
      </c>
      <c r="U201" s="1154"/>
      <c r="V201" s="1154"/>
      <c r="W201" s="1155"/>
      <c r="X201" s="1156"/>
      <c r="Y201" s="220"/>
      <c r="Z201" s="207" t="str">
        <f t="shared" si="19"/>
        <v/>
      </c>
      <c r="AA201" s="200"/>
    </row>
    <row r="202" spans="2:27">
      <c r="B202" s="199">
        <v>9</v>
      </c>
      <c r="C202" s="1154"/>
      <c r="D202" s="1154"/>
      <c r="E202" s="1155"/>
      <c r="F202" s="1156"/>
      <c r="G202" s="220"/>
      <c r="H202" s="207" t="str">
        <f t="shared" si="20"/>
        <v/>
      </c>
      <c r="I202" s="200"/>
      <c r="K202" s="199">
        <v>9</v>
      </c>
      <c r="L202" s="1154"/>
      <c r="M202" s="1154"/>
      <c r="N202" s="1155"/>
      <c r="O202" s="1156"/>
      <c r="P202" s="220"/>
      <c r="Q202" s="210" t="str">
        <f t="shared" si="22"/>
        <v/>
      </c>
      <c r="R202" s="200"/>
      <c r="T202" s="199">
        <v>9</v>
      </c>
      <c r="U202" s="1154"/>
      <c r="V202" s="1154"/>
      <c r="W202" s="1155"/>
      <c r="X202" s="1156"/>
      <c r="Y202" s="220"/>
      <c r="Z202" s="207" t="str">
        <f t="shared" si="19"/>
        <v/>
      </c>
      <c r="AA202" s="200"/>
    </row>
    <row r="203" spans="2:27">
      <c r="B203" s="199">
        <v>10</v>
      </c>
      <c r="C203" s="1154"/>
      <c r="D203" s="1154"/>
      <c r="E203" s="1155"/>
      <c r="F203" s="1156"/>
      <c r="G203" s="220"/>
      <c r="H203" s="207" t="str">
        <f t="shared" si="20"/>
        <v/>
      </c>
      <c r="I203" s="200"/>
      <c r="K203" s="199">
        <v>10</v>
      </c>
      <c r="L203" s="1154"/>
      <c r="M203" s="1154"/>
      <c r="N203" s="1155"/>
      <c r="O203" s="1156"/>
      <c r="P203" s="220"/>
      <c r="Q203" s="210" t="str">
        <f t="shared" si="22"/>
        <v/>
      </c>
      <c r="R203" s="200"/>
      <c r="T203" s="199">
        <v>10</v>
      </c>
      <c r="U203" s="1154"/>
      <c r="V203" s="1154"/>
      <c r="W203" s="1155"/>
      <c r="X203" s="1156"/>
      <c r="Y203" s="220"/>
      <c r="Z203" s="207" t="str">
        <f t="shared" si="19"/>
        <v/>
      </c>
      <c r="AA203" s="200"/>
    </row>
    <row r="204" spans="2:27">
      <c r="B204" s="199">
        <v>11</v>
      </c>
      <c r="C204" s="1154"/>
      <c r="D204" s="1154"/>
      <c r="E204" s="1155"/>
      <c r="F204" s="1156"/>
      <c r="G204" s="220"/>
      <c r="H204" s="207" t="str">
        <f t="shared" si="20"/>
        <v/>
      </c>
      <c r="I204" s="200"/>
      <c r="K204" s="199">
        <v>11</v>
      </c>
      <c r="L204" s="1154"/>
      <c r="M204" s="1154"/>
      <c r="N204" s="1155"/>
      <c r="O204" s="1156"/>
      <c r="P204" s="220"/>
      <c r="Q204" s="210" t="str">
        <f t="shared" si="22"/>
        <v/>
      </c>
      <c r="R204" s="200"/>
      <c r="T204" s="199">
        <v>11</v>
      </c>
      <c r="U204" s="1154"/>
      <c r="V204" s="1154"/>
      <c r="W204" s="1155"/>
      <c r="X204" s="1156"/>
      <c r="Y204" s="220"/>
      <c r="Z204" s="207" t="str">
        <f t="shared" si="19"/>
        <v/>
      </c>
      <c r="AA204" s="200"/>
    </row>
    <row r="205" spans="2:27">
      <c r="B205" s="199">
        <v>12</v>
      </c>
      <c r="C205" s="1154"/>
      <c r="D205" s="1154"/>
      <c r="E205" s="1155"/>
      <c r="F205" s="1156"/>
      <c r="G205" s="220"/>
      <c r="H205" s="207" t="str">
        <f t="shared" si="20"/>
        <v/>
      </c>
      <c r="I205" s="200"/>
      <c r="K205" s="199">
        <v>12</v>
      </c>
      <c r="L205" s="1154"/>
      <c r="M205" s="1154"/>
      <c r="N205" s="1155"/>
      <c r="O205" s="1156"/>
      <c r="P205" s="220"/>
      <c r="Q205" s="210" t="str">
        <f t="shared" si="22"/>
        <v/>
      </c>
      <c r="R205" s="200"/>
      <c r="T205" s="199">
        <v>12</v>
      </c>
      <c r="U205" s="1154"/>
      <c r="V205" s="1154"/>
      <c r="W205" s="1155"/>
      <c r="X205" s="1156"/>
      <c r="Y205" s="220"/>
      <c r="Z205" s="207" t="str">
        <f t="shared" si="19"/>
        <v/>
      </c>
      <c r="AA205" s="200"/>
    </row>
    <row r="206" spans="2:27">
      <c r="B206" s="199">
        <v>13</v>
      </c>
      <c r="C206" s="1154"/>
      <c r="D206" s="1154"/>
      <c r="E206" s="1155"/>
      <c r="F206" s="1156"/>
      <c r="G206" s="220"/>
      <c r="H206" s="207" t="str">
        <f t="shared" si="20"/>
        <v/>
      </c>
      <c r="I206" s="200"/>
      <c r="K206" s="199">
        <v>13</v>
      </c>
      <c r="L206" s="1154"/>
      <c r="M206" s="1154"/>
      <c r="N206" s="1155"/>
      <c r="O206" s="1156"/>
      <c r="P206" s="220"/>
      <c r="Q206" s="210" t="str">
        <f t="shared" si="22"/>
        <v/>
      </c>
      <c r="R206" s="200"/>
      <c r="T206" s="199">
        <v>13</v>
      </c>
      <c r="U206" s="1154"/>
      <c r="V206" s="1154"/>
      <c r="W206" s="1155"/>
      <c r="X206" s="1156"/>
      <c r="Y206" s="220"/>
      <c r="Z206" s="207" t="str">
        <f t="shared" si="19"/>
        <v/>
      </c>
      <c r="AA206" s="200"/>
    </row>
    <row r="207" spans="2:27">
      <c r="B207" s="199">
        <v>14</v>
      </c>
      <c r="C207" s="1154"/>
      <c r="D207" s="1154"/>
      <c r="E207" s="1155"/>
      <c r="F207" s="1156"/>
      <c r="G207" s="220"/>
      <c r="H207" s="207" t="str">
        <f t="shared" si="20"/>
        <v/>
      </c>
      <c r="I207" s="200"/>
      <c r="K207" s="199">
        <v>14</v>
      </c>
      <c r="L207" s="1154"/>
      <c r="M207" s="1154"/>
      <c r="N207" s="1155"/>
      <c r="O207" s="1156"/>
      <c r="P207" s="220"/>
      <c r="Q207" s="210" t="str">
        <f t="shared" si="22"/>
        <v/>
      </c>
      <c r="R207" s="200"/>
      <c r="T207" s="199">
        <v>14</v>
      </c>
      <c r="U207" s="1154"/>
      <c r="V207" s="1154"/>
      <c r="W207" s="1155"/>
      <c r="X207" s="1156"/>
      <c r="Y207" s="220"/>
      <c r="Z207" s="207" t="str">
        <f t="shared" si="19"/>
        <v/>
      </c>
      <c r="AA207" s="200"/>
    </row>
    <row r="208" spans="2:27">
      <c r="B208" s="199">
        <v>15</v>
      </c>
      <c r="C208" s="1154"/>
      <c r="D208" s="1154"/>
      <c r="E208" s="1155"/>
      <c r="F208" s="1156"/>
      <c r="G208" s="220"/>
      <c r="H208" s="207" t="str">
        <f t="shared" si="20"/>
        <v/>
      </c>
      <c r="I208" s="200"/>
      <c r="K208" s="199">
        <v>15</v>
      </c>
      <c r="L208" s="1154"/>
      <c r="M208" s="1154"/>
      <c r="N208" s="1155"/>
      <c r="O208" s="1156"/>
      <c r="P208" s="220"/>
      <c r="Q208" s="210" t="str">
        <f t="shared" si="22"/>
        <v/>
      </c>
      <c r="R208" s="200"/>
      <c r="T208" s="199">
        <v>15</v>
      </c>
      <c r="U208" s="1154"/>
      <c r="V208" s="1154"/>
      <c r="W208" s="1155"/>
      <c r="X208" s="1156"/>
      <c r="Y208" s="220"/>
      <c r="Z208" s="207" t="str">
        <f t="shared" si="19"/>
        <v/>
      </c>
      <c r="AA208" s="200"/>
    </row>
    <row r="209" spans="2:27">
      <c r="B209" s="199">
        <v>16</v>
      </c>
      <c r="C209" s="1154"/>
      <c r="D209" s="1154"/>
      <c r="E209" s="1155"/>
      <c r="F209" s="1156"/>
      <c r="G209" s="220"/>
      <c r="H209" s="207" t="str">
        <f t="shared" si="20"/>
        <v/>
      </c>
      <c r="I209" s="200"/>
      <c r="K209" s="199">
        <v>16</v>
      </c>
      <c r="L209" s="1154"/>
      <c r="M209" s="1154"/>
      <c r="N209" s="1155"/>
      <c r="O209" s="1156"/>
      <c r="P209" s="220"/>
      <c r="Q209" s="210" t="str">
        <f t="shared" si="22"/>
        <v/>
      </c>
      <c r="R209" s="200"/>
      <c r="T209" s="199">
        <v>16</v>
      </c>
      <c r="U209" s="1154"/>
      <c r="V209" s="1154"/>
      <c r="W209" s="1155"/>
      <c r="X209" s="1156"/>
      <c r="Y209" s="220"/>
      <c r="Z209" s="207" t="str">
        <f t="shared" si="19"/>
        <v/>
      </c>
      <c r="AA209" s="200"/>
    </row>
    <row r="210" spans="2:27">
      <c r="B210" s="199">
        <v>17</v>
      </c>
      <c r="C210" s="1154"/>
      <c r="D210" s="1154"/>
      <c r="E210" s="1155"/>
      <c r="F210" s="1156"/>
      <c r="G210" s="220"/>
      <c r="H210" s="207" t="str">
        <f t="shared" si="20"/>
        <v/>
      </c>
      <c r="I210" s="200"/>
      <c r="K210" s="199">
        <v>17</v>
      </c>
      <c r="L210" s="1154"/>
      <c r="M210" s="1154"/>
      <c r="N210" s="1155"/>
      <c r="O210" s="1156"/>
      <c r="P210" s="220"/>
      <c r="Q210" s="210" t="str">
        <f t="shared" si="22"/>
        <v/>
      </c>
      <c r="R210" s="200"/>
      <c r="T210" s="199">
        <v>17</v>
      </c>
      <c r="U210" s="1154"/>
      <c r="V210" s="1154"/>
      <c r="W210" s="1155"/>
      <c r="X210" s="1156"/>
      <c r="Y210" s="220"/>
      <c r="Z210" s="207" t="str">
        <f t="shared" si="19"/>
        <v/>
      </c>
      <c r="AA210" s="200"/>
    </row>
    <row r="211" spans="2:27">
      <c r="B211" s="199">
        <v>18</v>
      </c>
      <c r="C211" s="1154"/>
      <c r="D211" s="1154"/>
      <c r="E211" s="1155"/>
      <c r="F211" s="1156"/>
      <c r="G211" s="220"/>
      <c r="H211" s="207" t="str">
        <f t="shared" si="20"/>
        <v/>
      </c>
      <c r="I211" s="200"/>
      <c r="K211" s="199">
        <v>18</v>
      </c>
      <c r="L211" s="1154"/>
      <c r="M211" s="1154"/>
      <c r="N211" s="1155"/>
      <c r="O211" s="1156"/>
      <c r="P211" s="220"/>
      <c r="Q211" s="210" t="str">
        <f t="shared" si="22"/>
        <v/>
      </c>
      <c r="R211" s="200"/>
      <c r="T211" s="199">
        <v>18</v>
      </c>
      <c r="U211" s="1154"/>
      <c r="V211" s="1154"/>
      <c r="W211" s="1155"/>
      <c r="X211" s="1156"/>
      <c r="Y211" s="220"/>
      <c r="Z211" s="207" t="str">
        <f t="shared" si="19"/>
        <v/>
      </c>
      <c r="AA211" s="200"/>
    </row>
    <row r="212" spans="2:27">
      <c r="B212" s="199">
        <v>19</v>
      </c>
      <c r="C212" s="1154"/>
      <c r="D212" s="1154"/>
      <c r="E212" s="1155"/>
      <c r="F212" s="1156"/>
      <c r="G212" s="220"/>
      <c r="H212" s="207" t="str">
        <f t="shared" si="20"/>
        <v/>
      </c>
      <c r="I212" s="200"/>
      <c r="K212" s="199">
        <v>19</v>
      </c>
      <c r="L212" s="1154"/>
      <c r="M212" s="1154"/>
      <c r="N212" s="1155"/>
      <c r="O212" s="1156"/>
      <c r="P212" s="220"/>
      <c r="Q212" s="210" t="str">
        <f t="shared" si="22"/>
        <v/>
      </c>
      <c r="R212" s="200"/>
      <c r="T212" s="199">
        <v>19</v>
      </c>
      <c r="U212" s="1154"/>
      <c r="V212" s="1154"/>
      <c r="W212" s="1155"/>
      <c r="X212" s="1156"/>
      <c r="Y212" s="220"/>
      <c r="Z212" s="207" t="str">
        <f t="shared" si="19"/>
        <v/>
      </c>
      <c r="AA212" s="200"/>
    </row>
    <row r="213" spans="2:27">
      <c r="B213" s="199">
        <v>20</v>
      </c>
      <c r="C213" s="1154"/>
      <c r="D213" s="1154"/>
      <c r="E213" s="1155"/>
      <c r="F213" s="1156"/>
      <c r="G213" s="220"/>
      <c r="H213" s="207" t="str">
        <f t="shared" si="20"/>
        <v/>
      </c>
      <c r="I213" s="200"/>
      <c r="K213" s="199">
        <v>20</v>
      </c>
      <c r="L213" s="1154"/>
      <c r="M213" s="1154"/>
      <c r="N213" s="1155"/>
      <c r="O213" s="1156"/>
      <c r="P213" s="220"/>
      <c r="Q213" s="210" t="str">
        <f t="shared" si="22"/>
        <v/>
      </c>
      <c r="R213" s="200"/>
      <c r="T213" s="199">
        <v>20</v>
      </c>
      <c r="U213" s="1154"/>
      <c r="V213" s="1154"/>
      <c r="W213" s="1155"/>
      <c r="X213" s="1156"/>
      <c r="Y213" s="220"/>
      <c r="Z213" s="207" t="str">
        <f t="shared" si="19"/>
        <v/>
      </c>
      <c r="AA213" s="200"/>
    </row>
    <row r="214" spans="2:27">
      <c r="B214" s="199">
        <v>21</v>
      </c>
      <c r="C214" s="1154"/>
      <c r="D214" s="1154"/>
      <c r="E214" s="1155"/>
      <c r="F214" s="1156"/>
      <c r="G214" s="220"/>
      <c r="H214" s="207" t="str">
        <f t="shared" si="20"/>
        <v/>
      </c>
      <c r="I214" s="200"/>
      <c r="K214" s="199">
        <v>21</v>
      </c>
      <c r="L214" s="1154"/>
      <c r="M214" s="1154"/>
      <c r="N214" s="1155"/>
      <c r="O214" s="1156"/>
      <c r="P214" s="220"/>
      <c r="Q214" s="210" t="str">
        <f t="shared" si="22"/>
        <v/>
      </c>
      <c r="R214" s="200"/>
      <c r="T214" s="199">
        <v>21</v>
      </c>
      <c r="U214" s="1154"/>
      <c r="V214" s="1154"/>
      <c r="W214" s="1155"/>
      <c r="X214" s="1156"/>
      <c r="Y214" s="220"/>
      <c r="Z214" s="207" t="str">
        <f t="shared" si="19"/>
        <v/>
      </c>
      <c r="AA214" s="200"/>
    </row>
    <row r="215" spans="2:27">
      <c r="B215" s="199">
        <v>22</v>
      </c>
      <c r="C215" s="1154"/>
      <c r="D215" s="1154"/>
      <c r="E215" s="1155"/>
      <c r="F215" s="1156"/>
      <c r="G215" s="220"/>
      <c r="H215" s="207" t="str">
        <f t="shared" si="20"/>
        <v/>
      </c>
      <c r="I215" s="200"/>
      <c r="K215" s="199">
        <v>22</v>
      </c>
      <c r="L215" s="1154"/>
      <c r="M215" s="1154"/>
      <c r="N215" s="1155"/>
      <c r="O215" s="1156"/>
      <c r="P215" s="220"/>
      <c r="Q215" s="210" t="str">
        <f t="shared" si="22"/>
        <v/>
      </c>
      <c r="R215" s="200"/>
      <c r="T215" s="199">
        <v>22</v>
      </c>
      <c r="U215" s="1154"/>
      <c r="V215" s="1154"/>
      <c r="W215" s="1155"/>
      <c r="X215" s="1156"/>
      <c r="Y215" s="220"/>
      <c r="Z215" s="207" t="str">
        <f t="shared" si="19"/>
        <v/>
      </c>
      <c r="AA215" s="200"/>
    </row>
    <row r="216" spans="2:27">
      <c r="B216" s="199">
        <v>23</v>
      </c>
      <c r="C216" s="1154"/>
      <c r="D216" s="1154"/>
      <c r="E216" s="1155"/>
      <c r="F216" s="1156"/>
      <c r="G216" s="220"/>
      <c r="H216" s="207" t="str">
        <f t="shared" si="20"/>
        <v/>
      </c>
      <c r="I216" s="200"/>
      <c r="K216" s="199">
        <v>23</v>
      </c>
      <c r="L216" s="1154"/>
      <c r="M216" s="1154"/>
      <c r="N216" s="1155"/>
      <c r="O216" s="1156"/>
      <c r="P216" s="220"/>
      <c r="Q216" s="210" t="str">
        <f t="shared" si="22"/>
        <v/>
      </c>
      <c r="R216" s="200"/>
      <c r="T216" s="199">
        <v>23</v>
      </c>
      <c r="U216" s="1154"/>
      <c r="V216" s="1154"/>
      <c r="W216" s="1155"/>
      <c r="X216" s="1156"/>
      <c r="Y216" s="220"/>
      <c r="Z216" s="207" t="str">
        <f t="shared" si="19"/>
        <v/>
      </c>
      <c r="AA216" s="200"/>
    </row>
    <row r="217" spans="2:27">
      <c r="B217" s="199">
        <v>24</v>
      </c>
      <c r="C217" s="1154"/>
      <c r="D217" s="1154"/>
      <c r="E217" s="1155"/>
      <c r="F217" s="1156"/>
      <c r="G217" s="220"/>
      <c r="H217" s="207" t="str">
        <f t="shared" si="20"/>
        <v/>
      </c>
      <c r="I217" s="200"/>
      <c r="K217" s="199">
        <v>24</v>
      </c>
      <c r="L217" s="1154"/>
      <c r="M217" s="1154"/>
      <c r="N217" s="1155"/>
      <c r="O217" s="1156"/>
      <c r="P217" s="220"/>
      <c r="Q217" s="210" t="str">
        <f t="shared" si="22"/>
        <v/>
      </c>
      <c r="R217" s="200"/>
      <c r="T217" s="199">
        <v>24</v>
      </c>
      <c r="U217" s="1154"/>
      <c r="V217" s="1154"/>
      <c r="W217" s="1155"/>
      <c r="X217" s="1156"/>
      <c r="Y217" s="220"/>
      <c r="Z217" s="207" t="str">
        <f t="shared" si="19"/>
        <v/>
      </c>
      <c r="AA217" s="200"/>
    </row>
    <row r="218" spans="2:27">
      <c r="B218" s="199">
        <v>25</v>
      </c>
      <c r="C218" s="1154"/>
      <c r="D218" s="1154"/>
      <c r="E218" s="1155"/>
      <c r="F218" s="1156"/>
      <c r="G218" s="220"/>
      <c r="H218" s="207" t="str">
        <f t="shared" si="20"/>
        <v/>
      </c>
      <c r="I218" s="200"/>
      <c r="K218" s="199">
        <v>25</v>
      </c>
      <c r="L218" s="1154"/>
      <c r="M218" s="1154"/>
      <c r="N218" s="1155"/>
      <c r="O218" s="1156"/>
      <c r="P218" s="220"/>
      <c r="Q218" s="210" t="str">
        <f t="shared" si="22"/>
        <v/>
      </c>
      <c r="R218" s="200"/>
      <c r="T218" s="199">
        <v>25</v>
      </c>
      <c r="U218" s="1154"/>
      <c r="V218" s="1154"/>
      <c r="W218" s="1155"/>
      <c r="X218" s="1156"/>
      <c r="Y218" s="220"/>
      <c r="Z218" s="207" t="str">
        <f t="shared" si="19"/>
        <v/>
      </c>
      <c r="AA218" s="200"/>
    </row>
    <row r="219" spans="2:27">
      <c r="B219" s="199">
        <v>26</v>
      </c>
      <c r="C219" s="1154"/>
      <c r="D219" s="1154"/>
      <c r="E219" s="1155"/>
      <c r="F219" s="1156"/>
      <c r="G219" s="220"/>
      <c r="H219" s="207" t="str">
        <f t="shared" si="20"/>
        <v/>
      </c>
      <c r="I219" s="200"/>
      <c r="K219" s="199">
        <v>26</v>
      </c>
      <c r="L219" s="1154"/>
      <c r="M219" s="1154"/>
      <c r="N219" s="1155"/>
      <c r="O219" s="1156"/>
      <c r="P219" s="220"/>
      <c r="Q219" s="210" t="str">
        <f t="shared" si="22"/>
        <v/>
      </c>
      <c r="R219" s="200"/>
      <c r="T219" s="199">
        <v>26</v>
      </c>
      <c r="U219" s="1154"/>
      <c r="V219" s="1154"/>
      <c r="W219" s="1155"/>
      <c r="X219" s="1156"/>
      <c r="Y219" s="220"/>
      <c r="Z219" s="207" t="str">
        <f t="shared" si="19"/>
        <v/>
      </c>
      <c r="AA219" s="200"/>
    </row>
    <row r="220" spans="2:27">
      <c r="B220" s="199">
        <v>27</v>
      </c>
      <c r="C220" s="1154"/>
      <c r="D220" s="1154"/>
      <c r="E220" s="1155"/>
      <c r="F220" s="1156"/>
      <c r="G220" s="220"/>
      <c r="H220" s="207" t="str">
        <f t="shared" si="20"/>
        <v/>
      </c>
      <c r="I220" s="200"/>
      <c r="K220" s="199">
        <v>27</v>
      </c>
      <c r="L220" s="1154"/>
      <c r="M220" s="1154"/>
      <c r="N220" s="1155"/>
      <c r="O220" s="1156"/>
      <c r="P220" s="220"/>
      <c r="Q220" s="210" t="str">
        <f t="shared" si="22"/>
        <v/>
      </c>
      <c r="R220" s="200"/>
      <c r="T220" s="199">
        <v>27</v>
      </c>
      <c r="U220" s="1154"/>
      <c r="V220" s="1154"/>
      <c r="W220" s="1155"/>
      <c r="X220" s="1156"/>
      <c r="Y220" s="220"/>
      <c r="Z220" s="207" t="str">
        <f t="shared" si="19"/>
        <v/>
      </c>
      <c r="AA220" s="200"/>
    </row>
    <row r="221" spans="2:27">
      <c r="B221" s="199">
        <v>28</v>
      </c>
      <c r="C221" s="1154"/>
      <c r="D221" s="1154"/>
      <c r="E221" s="1155"/>
      <c r="F221" s="1156"/>
      <c r="G221" s="220"/>
      <c r="H221" s="207" t="str">
        <f t="shared" si="20"/>
        <v/>
      </c>
      <c r="I221" s="200"/>
      <c r="K221" s="199">
        <v>28</v>
      </c>
      <c r="L221" s="1154"/>
      <c r="M221" s="1154"/>
      <c r="N221" s="1155"/>
      <c r="O221" s="1156"/>
      <c r="P221" s="220"/>
      <c r="Q221" s="210" t="str">
        <f t="shared" si="22"/>
        <v/>
      </c>
      <c r="R221" s="200"/>
      <c r="T221" s="199">
        <v>28</v>
      </c>
      <c r="U221" s="1154"/>
      <c r="V221" s="1154"/>
      <c r="W221" s="1155"/>
      <c r="X221" s="1156"/>
      <c r="Y221" s="220"/>
      <c r="Z221" s="207" t="str">
        <f t="shared" si="19"/>
        <v/>
      </c>
      <c r="AA221" s="200"/>
    </row>
    <row r="222" spans="2:27">
      <c r="B222" s="199">
        <v>29</v>
      </c>
      <c r="C222" s="1154"/>
      <c r="D222" s="1154"/>
      <c r="E222" s="1155"/>
      <c r="F222" s="1156"/>
      <c r="G222" s="220"/>
      <c r="H222" s="207" t="str">
        <f t="shared" si="20"/>
        <v/>
      </c>
      <c r="I222" s="200"/>
      <c r="K222" s="199">
        <v>29</v>
      </c>
      <c r="L222" s="1154"/>
      <c r="M222" s="1154"/>
      <c r="N222" s="1155"/>
      <c r="O222" s="1156"/>
      <c r="P222" s="220"/>
      <c r="Q222" s="210" t="str">
        <f t="shared" si="22"/>
        <v/>
      </c>
      <c r="R222" s="200"/>
      <c r="T222" s="199">
        <v>29</v>
      </c>
      <c r="U222" s="1154"/>
      <c r="V222" s="1154"/>
      <c r="W222" s="1155"/>
      <c r="X222" s="1156"/>
      <c r="Y222" s="220"/>
      <c r="Z222" s="207" t="str">
        <f t="shared" si="19"/>
        <v/>
      </c>
      <c r="AA222" s="200"/>
    </row>
    <row r="223" spans="2:27">
      <c r="B223" s="199">
        <v>30</v>
      </c>
      <c r="C223" s="1154"/>
      <c r="D223" s="1154"/>
      <c r="E223" s="1155"/>
      <c r="F223" s="1156"/>
      <c r="G223" s="220"/>
      <c r="H223" s="207" t="str">
        <f t="shared" si="20"/>
        <v/>
      </c>
      <c r="I223" s="200"/>
      <c r="K223" s="199">
        <v>30</v>
      </c>
      <c r="L223" s="1154"/>
      <c r="M223" s="1154"/>
      <c r="N223" s="1155"/>
      <c r="O223" s="1156"/>
      <c r="P223" s="220"/>
      <c r="Q223" s="210" t="str">
        <f t="shared" si="22"/>
        <v/>
      </c>
      <c r="R223" s="200"/>
      <c r="T223" s="199">
        <v>30</v>
      </c>
      <c r="U223" s="1154"/>
      <c r="V223" s="1154"/>
      <c r="W223" s="1155"/>
      <c r="X223" s="1156"/>
      <c r="Y223" s="220"/>
      <c r="Z223" s="207" t="str">
        <f t="shared" si="19"/>
        <v/>
      </c>
      <c r="AA223" s="200"/>
    </row>
    <row r="224" spans="2:27">
      <c r="B224" s="199"/>
      <c r="C224" s="194"/>
      <c r="D224" s="194"/>
      <c r="E224" s="194"/>
      <c r="F224" s="194"/>
      <c r="G224" s="194" t="s">
        <v>1040</v>
      </c>
      <c r="H224" s="208">
        <f>SUM(H194:H223)</f>
        <v>0</v>
      </c>
      <c r="I224" s="200"/>
      <c r="K224" s="199"/>
      <c r="L224" s="194"/>
      <c r="M224" s="194"/>
      <c r="N224" s="194"/>
      <c r="O224" s="194"/>
      <c r="P224" s="194" t="s">
        <v>1040</v>
      </c>
      <c r="Q224" s="211">
        <f>SUM(Q194:Q223)</f>
        <v>0</v>
      </c>
      <c r="R224" s="200"/>
      <c r="T224" s="199"/>
      <c r="U224" s="194"/>
      <c r="V224" s="194"/>
      <c r="W224" s="194"/>
      <c r="X224" s="194"/>
      <c r="Y224" s="194" t="s">
        <v>1040</v>
      </c>
      <c r="Z224" s="208">
        <f>SUM(Z194:Z223)</f>
        <v>0</v>
      </c>
      <c r="AA224" s="200"/>
    </row>
    <row r="225" spans="2:27">
      <c r="B225" s="201"/>
      <c r="C225" s="202"/>
      <c r="D225" s="202"/>
      <c r="E225" s="202"/>
      <c r="F225" s="202"/>
      <c r="G225" s="202"/>
      <c r="H225" s="213"/>
      <c r="I225" s="204"/>
      <c r="K225" s="201"/>
      <c r="L225" s="202"/>
      <c r="M225" s="202"/>
      <c r="N225" s="202"/>
      <c r="O225" s="202"/>
      <c r="P225" s="202"/>
      <c r="Q225" s="203"/>
      <c r="R225" s="204"/>
      <c r="T225" s="201"/>
      <c r="U225" s="202"/>
      <c r="V225" s="202"/>
      <c r="W225" s="202"/>
      <c r="X225" s="202"/>
      <c r="Y225" s="202"/>
      <c r="Z225" s="203"/>
      <c r="AA225" s="204"/>
    </row>
    <row r="227" spans="2:27" ht="15">
      <c r="B227" s="215"/>
      <c r="C227" s="216"/>
      <c r="D227" s="216"/>
      <c r="E227" s="216"/>
      <c r="F227" s="216"/>
      <c r="G227" s="216"/>
      <c r="H227" s="216"/>
      <c r="I227" s="217"/>
      <c r="J227" s="218"/>
      <c r="K227" s="215"/>
      <c r="L227" s="216"/>
      <c r="M227" s="216"/>
      <c r="N227" s="216"/>
      <c r="O227" s="216"/>
      <c r="P227" s="216"/>
      <c r="Q227" s="216"/>
      <c r="R227" s="217"/>
    </row>
    <row r="228" spans="2:27" ht="15">
      <c r="B228" s="196"/>
      <c r="C228" s="361" t="s">
        <v>2567</v>
      </c>
      <c r="D228" s="1159"/>
      <c r="E228" s="1159"/>
      <c r="F228" s="1159"/>
      <c r="G228" s="1159"/>
      <c r="H228" s="1159"/>
      <c r="I228" s="198"/>
      <c r="J228"/>
      <c r="K228" s="196"/>
      <c r="L228" s="361" t="s">
        <v>2568</v>
      </c>
      <c r="M228" s="1159"/>
      <c r="N228" s="1159"/>
      <c r="O228" s="1159"/>
      <c r="P228" s="1159"/>
      <c r="Q228" s="1159"/>
      <c r="R228" s="198"/>
    </row>
    <row r="229" spans="2:27" ht="15">
      <c r="B229" s="196"/>
      <c r="C229" s="195"/>
      <c r="D229" s="195"/>
      <c r="E229" s="195"/>
      <c r="F229" s="195"/>
      <c r="G229" s="195"/>
      <c r="H229" s="197"/>
      <c r="I229" s="198"/>
      <c r="J229"/>
      <c r="K229" s="196"/>
      <c r="L229" s="195"/>
      <c r="M229" s="195"/>
      <c r="N229" s="195"/>
      <c r="O229" s="195"/>
      <c r="P229" s="195"/>
      <c r="Q229" s="197"/>
      <c r="R229" s="198"/>
    </row>
    <row r="230" spans="2:27">
      <c r="B230" s="199"/>
      <c r="C230" s="205" t="s">
        <v>1217</v>
      </c>
      <c r="D230" s="206"/>
      <c r="E230" s="1158" t="s">
        <v>91</v>
      </c>
      <c r="F230" s="1158"/>
      <c r="G230" s="205" t="s">
        <v>1216</v>
      </c>
      <c r="H230" s="205" t="s">
        <v>1040</v>
      </c>
      <c r="I230" s="200"/>
      <c r="K230" s="199"/>
      <c r="L230" s="205" t="s">
        <v>1217</v>
      </c>
      <c r="M230" s="206"/>
      <c r="N230" s="1158" t="s">
        <v>91</v>
      </c>
      <c r="O230" s="1158"/>
      <c r="P230" s="205" t="s">
        <v>1216</v>
      </c>
      <c r="Q230" s="205" t="s">
        <v>1040</v>
      </c>
      <c r="R230" s="200"/>
    </row>
    <row r="231" spans="2:27">
      <c r="B231" s="199">
        <v>1</v>
      </c>
      <c r="C231" s="1157"/>
      <c r="D231" s="1157"/>
      <c r="E231" s="1155"/>
      <c r="F231" s="1156"/>
      <c r="G231" s="219"/>
      <c r="H231" s="207" t="str">
        <f>IF(AND(ISBLANK(C231),ISBLANK(E231),ISBLANK(G231)),"",(IF(OR(ISBLANK(C231),ISBLANK(E231),ISBLANK(G231)),"Enter Info",(E231*G231))))</f>
        <v/>
      </c>
      <c r="I231" s="200"/>
      <c r="K231" s="199">
        <v>1</v>
      </c>
      <c r="L231" s="1157"/>
      <c r="M231" s="1157"/>
      <c r="N231" s="1155"/>
      <c r="O231" s="1156"/>
      <c r="P231" s="219"/>
      <c r="Q231" s="210" t="str">
        <f>IF(AND(ISBLANK(L231),ISBLANK(N231),ISBLANK(P231)),"",(IF(OR(ISBLANK(L231),ISBLANK(N231),ISBLANK(P231)),"Enter Info",(N231*P231))))</f>
        <v/>
      </c>
      <c r="R231" s="200"/>
    </row>
    <row r="232" spans="2:27">
      <c r="B232" s="199">
        <v>2</v>
      </c>
      <c r="C232" s="1154"/>
      <c r="D232" s="1154"/>
      <c r="E232" s="1155"/>
      <c r="F232" s="1156"/>
      <c r="G232" s="220"/>
      <c r="H232" s="207" t="str">
        <f t="shared" ref="H232:H260" si="23">IF(AND(ISBLANK(C232),ISBLANK(E232),ISBLANK(G232)),"",(IF(OR(ISBLANK(C232),ISBLANK(E232),ISBLANK(G232)),"Enter Info",(E232*G232))))</f>
        <v/>
      </c>
      <c r="I232" s="200"/>
      <c r="K232" s="199">
        <v>2</v>
      </c>
      <c r="L232" s="1154"/>
      <c r="M232" s="1154"/>
      <c r="N232" s="1155"/>
      <c r="O232" s="1156"/>
      <c r="P232" s="220"/>
      <c r="Q232" s="210" t="str">
        <f>IF(AND(ISBLANK(L232),ISBLANK(N232),ISBLANK(P232)),"",(IF(OR(ISBLANK(L232),ISBLANK(N232),ISBLANK(P232)),"Enter Info",(N232*P232))))</f>
        <v/>
      </c>
      <c r="R232" s="200"/>
    </row>
    <row r="233" spans="2:27">
      <c r="B233" s="199">
        <v>3</v>
      </c>
      <c r="C233" s="1154"/>
      <c r="D233" s="1154"/>
      <c r="E233" s="1160"/>
      <c r="F233" s="1161"/>
      <c r="G233" s="220"/>
      <c r="H233" s="207" t="str">
        <f t="shared" si="23"/>
        <v/>
      </c>
      <c r="I233" s="200"/>
      <c r="K233" s="199">
        <v>3</v>
      </c>
      <c r="L233" s="1154"/>
      <c r="M233" s="1154"/>
      <c r="N233" s="1160"/>
      <c r="O233" s="1161"/>
      <c r="P233" s="220"/>
      <c r="Q233" s="210" t="str">
        <f t="shared" ref="Q233:Q236" si="24">IF(AND(ISBLANK(L233),ISBLANK(N233),ISBLANK(P233)),"",(IF(OR(ISBLANK(L233),ISBLANK(N233),ISBLANK(P233)),"Enter Info",(N233*P233))))</f>
        <v/>
      </c>
      <c r="R233" s="200"/>
    </row>
    <row r="234" spans="2:27">
      <c r="B234" s="199">
        <v>4</v>
      </c>
      <c r="C234" s="1154"/>
      <c r="D234" s="1154"/>
      <c r="E234" s="1155"/>
      <c r="F234" s="1156"/>
      <c r="G234" s="220"/>
      <c r="H234" s="207" t="str">
        <f t="shared" si="23"/>
        <v/>
      </c>
      <c r="I234" s="200"/>
      <c r="K234" s="199">
        <v>4</v>
      </c>
      <c r="L234" s="1154"/>
      <c r="M234" s="1154"/>
      <c r="N234" s="1155"/>
      <c r="O234" s="1156"/>
      <c r="P234" s="220"/>
      <c r="Q234" s="210" t="str">
        <f t="shared" si="24"/>
        <v/>
      </c>
      <c r="R234" s="200"/>
    </row>
    <row r="235" spans="2:27">
      <c r="B235" s="199">
        <v>5</v>
      </c>
      <c r="C235" s="1154"/>
      <c r="D235" s="1154"/>
      <c r="E235" s="1155"/>
      <c r="F235" s="1156"/>
      <c r="G235" s="220"/>
      <c r="H235" s="207" t="str">
        <f t="shared" si="23"/>
        <v/>
      </c>
      <c r="I235" s="200"/>
      <c r="K235" s="199">
        <v>5</v>
      </c>
      <c r="L235" s="1154"/>
      <c r="M235" s="1154"/>
      <c r="N235" s="1155"/>
      <c r="O235" s="1156"/>
      <c r="P235" s="220"/>
      <c r="Q235" s="210" t="str">
        <f t="shared" si="24"/>
        <v/>
      </c>
      <c r="R235" s="200"/>
    </row>
    <row r="236" spans="2:27">
      <c r="B236" s="199">
        <v>6</v>
      </c>
      <c r="C236" s="1154"/>
      <c r="D236" s="1154"/>
      <c r="E236" s="1155"/>
      <c r="F236" s="1156"/>
      <c r="G236" s="220"/>
      <c r="H236" s="207" t="str">
        <f t="shared" si="23"/>
        <v/>
      </c>
      <c r="I236" s="200"/>
      <c r="K236" s="199">
        <v>6</v>
      </c>
      <c r="L236" s="1154"/>
      <c r="M236" s="1154"/>
      <c r="N236" s="1155"/>
      <c r="O236" s="1156"/>
      <c r="P236" s="220"/>
      <c r="Q236" s="210" t="str">
        <f t="shared" si="24"/>
        <v/>
      </c>
      <c r="R236" s="200"/>
    </row>
    <row r="237" spans="2:27">
      <c r="B237" s="199">
        <v>7</v>
      </c>
      <c r="C237" s="1154"/>
      <c r="D237" s="1154"/>
      <c r="E237" s="1155"/>
      <c r="F237" s="1156"/>
      <c r="G237" s="220"/>
      <c r="H237" s="207" t="str">
        <f t="shared" si="23"/>
        <v/>
      </c>
      <c r="I237" s="200"/>
      <c r="K237" s="199">
        <v>7</v>
      </c>
      <c r="L237" s="1162"/>
      <c r="M237" s="1163"/>
      <c r="N237" s="1155"/>
      <c r="O237" s="1156"/>
      <c r="P237" s="220"/>
      <c r="Q237" s="210" t="str">
        <f>IF(AND(ISBLANK(L237),ISBLANK(N237),ISBLANK(P237)),"",(IF(OR(ISBLANK(L237),ISBLANK(N237),ISBLANK(P237)),"Enter Info",(N237*P237))))</f>
        <v/>
      </c>
      <c r="R237" s="200"/>
    </row>
    <row r="238" spans="2:27">
      <c r="B238" s="199">
        <v>8</v>
      </c>
      <c r="C238" s="1154"/>
      <c r="D238" s="1154"/>
      <c r="E238" s="1155"/>
      <c r="F238" s="1156"/>
      <c r="G238" s="220"/>
      <c r="H238" s="207" t="str">
        <f t="shared" si="23"/>
        <v/>
      </c>
      <c r="I238" s="200"/>
      <c r="K238" s="199">
        <v>8</v>
      </c>
      <c r="L238" s="1154"/>
      <c r="M238" s="1154"/>
      <c r="N238" s="1155"/>
      <c r="O238" s="1156"/>
      <c r="P238" s="220"/>
      <c r="Q238" s="210" t="str">
        <f t="shared" ref="Q238:Q260" si="25">IF(AND(ISBLANK(L238),ISBLANK(N238),ISBLANK(P238)),"",(IF(OR(ISBLANK(L238),ISBLANK(N238),ISBLANK(P238)),"Enter Info",(N238*P238))))</f>
        <v/>
      </c>
      <c r="R238" s="200"/>
    </row>
    <row r="239" spans="2:27">
      <c r="B239" s="199">
        <v>9</v>
      </c>
      <c r="C239" s="1154"/>
      <c r="D239" s="1154"/>
      <c r="E239" s="1155"/>
      <c r="F239" s="1156"/>
      <c r="G239" s="220"/>
      <c r="H239" s="207" t="str">
        <f t="shared" si="23"/>
        <v/>
      </c>
      <c r="I239" s="200"/>
      <c r="K239" s="199">
        <v>9</v>
      </c>
      <c r="L239" s="1154"/>
      <c r="M239" s="1154"/>
      <c r="N239" s="1155"/>
      <c r="O239" s="1156"/>
      <c r="P239" s="220"/>
      <c r="Q239" s="210" t="str">
        <f t="shared" si="25"/>
        <v/>
      </c>
      <c r="R239" s="200"/>
    </row>
    <row r="240" spans="2:27">
      <c r="B240" s="199">
        <v>10</v>
      </c>
      <c r="C240" s="1154"/>
      <c r="D240" s="1154"/>
      <c r="E240" s="1155"/>
      <c r="F240" s="1156"/>
      <c r="G240" s="220"/>
      <c r="H240" s="207" t="str">
        <f t="shared" si="23"/>
        <v/>
      </c>
      <c r="I240" s="200"/>
      <c r="K240" s="199">
        <v>10</v>
      </c>
      <c r="L240" s="1154"/>
      <c r="M240" s="1154"/>
      <c r="N240" s="1155"/>
      <c r="O240" s="1156"/>
      <c r="P240" s="220"/>
      <c r="Q240" s="210" t="str">
        <f t="shared" si="25"/>
        <v/>
      </c>
      <c r="R240" s="200"/>
    </row>
    <row r="241" spans="2:18">
      <c r="B241" s="199">
        <v>11</v>
      </c>
      <c r="C241" s="1154"/>
      <c r="D241" s="1154"/>
      <c r="E241" s="1155"/>
      <c r="F241" s="1156"/>
      <c r="G241" s="220"/>
      <c r="H241" s="207" t="str">
        <f t="shared" si="23"/>
        <v/>
      </c>
      <c r="I241" s="200"/>
      <c r="K241" s="199">
        <v>11</v>
      </c>
      <c r="L241" s="1154"/>
      <c r="M241" s="1154"/>
      <c r="N241" s="1155"/>
      <c r="O241" s="1156"/>
      <c r="P241" s="220"/>
      <c r="Q241" s="210" t="str">
        <f t="shared" si="25"/>
        <v/>
      </c>
      <c r="R241" s="200"/>
    </row>
    <row r="242" spans="2:18">
      <c r="B242" s="199">
        <v>12</v>
      </c>
      <c r="C242" s="1154"/>
      <c r="D242" s="1154"/>
      <c r="E242" s="1155"/>
      <c r="F242" s="1156"/>
      <c r="G242" s="220"/>
      <c r="H242" s="207" t="str">
        <f t="shared" si="23"/>
        <v/>
      </c>
      <c r="I242" s="200"/>
      <c r="K242" s="199">
        <v>12</v>
      </c>
      <c r="L242" s="1154"/>
      <c r="M242" s="1154"/>
      <c r="N242" s="1155"/>
      <c r="O242" s="1156"/>
      <c r="P242" s="220"/>
      <c r="Q242" s="210" t="str">
        <f t="shared" si="25"/>
        <v/>
      </c>
      <c r="R242" s="200"/>
    </row>
    <row r="243" spans="2:18">
      <c r="B243" s="199">
        <v>13</v>
      </c>
      <c r="C243" s="1154"/>
      <c r="D243" s="1154"/>
      <c r="E243" s="1155"/>
      <c r="F243" s="1156"/>
      <c r="G243" s="220"/>
      <c r="H243" s="207" t="str">
        <f t="shared" si="23"/>
        <v/>
      </c>
      <c r="I243" s="200"/>
      <c r="K243" s="199">
        <v>13</v>
      </c>
      <c r="L243" s="1154"/>
      <c r="M243" s="1154"/>
      <c r="N243" s="1155"/>
      <c r="O243" s="1156"/>
      <c r="P243" s="220"/>
      <c r="Q243" s="210" t="str">
        <f t="shared" si="25"/>
        <v/>
      </c>
      <c r="R243" s="200"/>
    </row>
    <row r="244" spans="2:18">
      <c r="B244" s="199">
        <v>14</v>
      </c>
      <c r="C244" s="1154"/>
      <c r="D244" s="1154"/>
      <c r="E244" s="1155"/>
      <c r="F244" s="1156"/>
      <c r="G244" s="220"/>
      <c r="H244" s="207" t="str">
        <f t="shared" si="23"/>
        <v/>
      </c>
      <c r="I244" s="200"/>
      <c r="K244" s="199">
        <v>14</v>
      </c>
      <c r="L244" s="1154"/>
      <c r="M244" s="1154"/>
      <c r="N244" s="1155"/>
      <c r="O244" s="1156"/>
      <c r="P244" s="220"/>
      <c r="Q244" s="210" t="str">
        <f t="shared" si="25"/>
        <v/>
      </c>
      <c r="R244" s="200"/>
    </row>
    <row r="245" spans="2:18">
      <c r="B245" s="199">
        <v>15</v>
      </c>
      <c r="C245" s="1154"/>
      <c r="D245" s="1154"/>
      <c r="E245" s="1155"/>
      <c r="F245" s="1156"/>
      <c r="G245" s="220"/>
      <c r="H245" s="207" t="str">
        <f t="shared" si="23"/>
        <v/>
      </c>
      <c r="I245" s="200"/>
      <c r="K245" s="199">
        <v>15</v>
      </c>
      <c r="L245" s="1154"/>
      <c r="M245" s="1154"/>
      <c r="N245" s="1155"/>
      <c r="O245" s="1156"/>
      <c r="P245" s="220"/>
      <c r="Q245" s="210" t="str">
        <f t="shared" si="25"/>
        <v/>
      </c>
      <c r="R245" s="200"/>
    </row>
    <row r="246" spans="2:18">
      <c r="B246" s="199">
        <v>16</v>
      </c>
      <c r="C246" s="1154"/>
      <c r="D246" s="1154"/>
      <c r="E246" s="1155"/>
      <c r="F246" s="1156"/>
      <c r="G246" s="220"/>
      <c r="H246" s="207" t="str">
        <f t="shared" si="23"/>
        <v/>
      </c>
      <c r="I246" s="200"/>
      <c r="K246" s="199">
        <v>16</v>
      </c>
      <c r="L246" s="1154"/>
      <c r="M246" s="1154"/>
      <c r="N246" s="1155"/>
      <c r="O246" s="1156"/>
      <c r="P246" s="220"/>
      <c r="Q246" s="210" t="str">
        <f t="shared" si="25"/>
        <v/>
      </c>
      <c r="R246" s="200"/>
    </row>
    <row r="247" spans="2:18">
      <c r="B247" s="199">
        <v>17</v>
      </c>
      <c r="C247" s="1154"/>
      <c r="D247" s="1154"/>
      <c r="E247" s="1155"/>
      <c r="F247" s="1156"/>
      <c r="G247" s="220"/>
      <c r="H247" s="207" t="str">
        <f t="shared" si="23"/>
        <v/>
      </c>
      <c r="I247" s="200"/>
      <c r="K247" s="199">
        <v>17</v>
      </c>
      <c r="L247" s="1154"/>
      <c r="M247" s="1154"/>
      <c r="N247" s="1155"/>
      <c r="O247" s="1156"/>
      <c r="P247" s="220"/>
      <c r="Q247" s="210" t="str">
        <f t="shared" si="25"/>
        <v/>
      </c>
      <c r="R247" s="200"/>
    </row>
    <row r="248" spans="2:18">
      <c r="B248" s="199">
        <v>18</v>
      </c>
      <c r="C248" s="1154"/>
      <c r="D248" s="1154"/>
      <c r="E248" s="1155"/>
      <c r="F248" s="1156"/>
      <c r="G248" s="220"/>
      <c r="H248" s="207" t="str">
        <f t="shared" si="23"/>
        <v/>
      </c>
      <c r="I248" s="200"/>
      <c r="K248" s="199">
        <v>18</v>
      </c>
      <c r="L248" s="1154"/>
      <c r="M248" s="1154"/>
      <c r="N248" s="1155"/>
      <c r="O248" s="1156"/>
      <c r="P248" s="220"/>
      <c r="Q248" s="210" t="str">
        <f t="shared" si="25"/>
        <v/>
      </c>
      <c r="R248" s="200"/>
    </row>
    <row r="249" spans="2:18">
      <c r="B249" s="199">
        <v>19</v>
      </c>
      <c r="C249" s="1154"/>
      <c r="D249" s="1154"/>
      <c r="E249" s="1155"/>
      <c r="F249" s="1156"/>
      <c r="G249" s="220"/>
      <c r="H249" s="207" t="str">
        <f t="shared" si="23"/>
        <v/>
      </c>
      <c r="I249" s="200"/>
      <c r="K249" s="199">
        <v>19</v>
      </c>
      <c r="L249" s="1154"/>
      <c r="M249" s="1154"/>
      <c r="N249" s="1155"/>
      <c r="O249" s="1156"/>
      <c r="P249" s="220"/>
      <c r="Q249" s="210" t="str">
        <f t="shared" si="25"/>
        <v/>
      </c>
      <c r="R249" s="200"/>
    </row>
    <row r="250" spans="2:18">
      <c r="B250" s="199">
        <v>20</v>
      </c>
      <c r="C250" s="1154"/>
      <c r="D250" s="1154"/>
      <c r="E250" s="1155"/>
      <c r="F250" s="1156"/>
      <c r="G250" s="220"/>
      <c r="H250" s="207" t="str">
        <f t="shared" si="23"/>
        <v/>
      </c>
      <c r="I250" s="200"/>
      <c r="K250" s="199">
        <v>20</v>
      </c>
      <c r="L250" s="1154"/>
      <c r="M250" s="1154"/>
      <c r="N250" s="1155"/>
      <c r="O250" s="1156"/>
      <c r="P250" s="220"/>
      <c r="Q250" s="210" t="str">
        <f t="shared" si="25"/>
        <v/>
      </c>
      <c r="R250" s="200"/>
    </row>
    <row r="251" spans="2:18">
      <c r="B251" s="199">
        <v>21</v>
      </c>
      <c r="C251" s="1154"/>
      <c r="D251" s="1154"/>
      <c r="E251" s="1155"/>
      <c r="F251" s="1156"/>
      <c r="G251" s="220"/>
      <c r="H251" s="207" t="str">
        <f t="shared" si="23"/>
        <v/>
      </c>
      <c r="I251" s="200"/>
      <c r="K251" s="199">
        <v>21</v>
      </c>
      <c r="L251" s="1154"/>
      <c r="M251" s="1154"/>
      <c r="N251" s="1155"/>
      <c r="O251" s="1156"/>
      <c r="P251" s="220"/>
      <c r="Q251" s="210" t="str">
        <f t="shared" si="25"/>
        <v/>
      </c>
      <c r="R251" s="200"/>
    </row>
    <row r="252" spans="2:18">
      <c r="B252" s="199">
        <v>22</v>
      </c>
      <c r="C252" s="1154"/>
      <c r="D252" s="1154"/>
      <c r="E252" s="1155"/>
      <c r="F252" s="1156"/>
      <c r="G252" s="220"/>
      <c r="H252" s="207" t="str">
        <f t="shared" si="23"/>
        <v/>
      </c>
      <c r="I252" s="200"/>
      <c r="K252" s="199">
        <v>22</v>
      </c>
      <c r="L252" s="1154"/>
      <c r="M252" s="1154"/>
      <c r="N252" s="1155"/>
      <c r="O252" s="1156"/>
      <c r="P252" s="220"/>
      <c r="Q252" s="210" t="str">
        <f t="shared" si="25"/>
        <v/>
      </c>
      <c r="R252" s="200"/>
    </row>
    <row r="253" spans="2:18">
      <c r="B253" s="199">
        <v>23</v>
      </c>
      <c r="C253" s="1154"/>
      <c r="D253" s="1154"/>
      <c r="E253" s="1155"/>
      <c r="F253" s="1156"/>
      <c r="G253" s="220"/>
      <c r="H253" s="207" t="str">
        <f t="shared" si="23"/>
        <v/>
      </c>
      <c r="I253" s="200"/>
      <c r="K253" s="199">
        <v>23</v>
      </c>
      <c r="L253" s="1154"/>
      <c r="M253" s="1154"/>
      <c r="N253" s="1155"/>
      <c r="O253" s="1156"/>
      <c r="P253" s="220"/>
      <c r="Q253" s="210" t="str">
        <f t="shared" si="25"/>
        <v/>
      </c>
      <c r="R253" s="200"/>
    </row>
    <row r="254" spans="2:18">
      <c r="B254" s="199">
        <v>24</v>
      </c>
      <c r="C254" s="1154"/>
      <c r="D254" s="1154"/>
      <c r="E254" s="1155"/>
      <c r="F254" s="1156"/>
      <c r="G254" s="220"/>
      <c r="H254" s="207" t="str">
        <f t="shared" si="23"/>
        <v/>
      </c>
      <c r="I254" s="200"/>
      <c r="K254" s="199">
        <v>24</v>
      </c>
      <c r="L254" s="1154"/>
      <c r="M254" s="1154"/>
      <c r="N254" s="1155"/>
      <c r="O254" s="1156"/>
      <c r="P254" s="220"/>
      <c r="Q254" s="210" t="str">
        <f t="shared" si="25"/>
        <v/>
      </c>
      <c r="R254" s="200"/>
    </row>
    <row r="255" spans="2:18">
      <c r="B255" s="199">
        <v>25</v>
      </c>
      <c r="C255" s="1154"/>
      <c r="D255" s="1154"/>
      <c r="E255" s="1155"/>
      <c r="F255" s="1156"/>
      <c r="G255" s="220"/>
      <c r="H255" s="207" t="str">
        <f t="shared" si="23"/>
        <v/>
      </c>
      <c r="I255" s="200"/>
      <c r="K255" s="199">
        <v>25</v>
      </c>
      <c r="L255" s="1154"/>
      <c r="M255" s="1154"/>
      <c r="N255" s="1155"/>
      <c r="O255" s="1156"/>
      <c r="P255" s="220"/>
      <c r="Q255" s="210" t="str">
        <f t="shared" si="25"/>
        <v/>
      </c>
      <c r="R255" s="200"/>
    </row>
    <row r="256" spans="2:18">
      <c r="B256" s="199">
        <v>26</v>
      </c>
      <c r="C256" s="1154"/>
      <c r="D256" s="1154"/>
      <c r="E256" s="1155"/>
      <c r="F256" s="1156"/>
      <c r="G256" s="220"/>
      <c r="H256" s="207" t="str">
        <f t="shared" si="23"/>
        <v/>
      </c>
      <c r="I256" s="200"/>
      <c r="K256" s="199">
        <v>26</v>
      </c>
      <c r="L256" s="1154"/>
      <c r="M256" s="1154"/>
      <c r="N256" s="1155"/>
      <c r="O256" s="1156"/>
      <c r="P256" s="220"/>
      <c r="Q256" s="210" t="str">
        <f t="shared" si="25"/>
        <v/>
      </c>
      <c r="R256" s="200"/>
    </row>
    <row r="257" spans="2:18">
      <c r="B257" s="199">
        <v>27</v>
      </c>
      <c r="C257" s="1154"/>
      <c r="D257" s="1154"/>
      <c r="E257" s="1155"/>
      <c r="F257" s="1156"/>
      <c r="G257" s="220"/>
      <c r="H257" s="207" t="str">
        <f t="shared" si="23"/>
        <v/>
      </c>
      <c r="I257" s="200"/>
      <c r="K257" s="199">
        <v>27</v>
      </c>
      <c r="L257" s="1154"/>
      <c r="M257" s="1154"/>
      <c r="N257" s="1155"/>
      <c r="O257" s="1156"/>
      <c r="P257" s="220"/>
      <c r="Q257" s="210" t="str">
        <f t="shared" si="25"/>
        <v/>
      </c>
      <c r="R257" s="200"/>
    </row>
    <row r="258" spans="2:18">
      <c r="B258" s="199">
        <v>28</v>
      </c>
      <c r="C258" s="1154"/>
      <c r="D258" s="1154"/>
      <c r="E258" s="1155"/>
      <c r="F258" s="1156"/>
      <c r="G258" s="220"/>
      <c r="H258" s="207" t="str">
        <f t="shared" si="23"/>
        <v/>
      </c>
      <c r="I258" s="200"/>
      <c r="K258" s="199">
        <v>28</v>
      </c>
      <c r="L258" s="1154"/>
      <c r="M258" s="1154"/>
      <c r="N258" s="1155"/>
      <c r="O258" s="1156"/>
      <c r="P258" s="220"/>
      <c r="Q258" s="210" t="str">
        <f t="shared" si="25"/>
        <v/>
      </c>
      <c r="R258" s="200"/>
    </row>
    <row r="259" spans="2:18">
      <c r="B259" s="199">
        <v>29</v>
      </c>
      <c r="C259" s="1154"/>
      <c r="D259" s="1154"/>
      <c r="E259" s="1155"/>
      <c r="F259" s="1156"/>
      <c r="G259" s="220"/>
      <c r="H259" s="207" t="str">
        <f t="shared" si="23"/>
        <v/>
      </c>
      <c r="I259" s="200"/>
      <c r="K259" s="199">
        <v>29</v>
      </c>
      <c r="L259" s="1154"/>
      <c r="M259" s="1154"/>
      <c r="N259" s="1155"/>
      <c r="O259" s="1156"/>
      <c r="P259" s="220"/>
      <c r="Q259" s="210" t="str">
        <f t="shared" si="25"/>
        <v/>
      </c>
      <c r="R259" s="200"/>
    </row>
    <row r="260" spans="2:18">
      <c r="B260" s="199">
        <v>30</v>
      </c>
      <c r="C260" s="1154"/>
      <c r="D260" s="1154"/>
      <c r="E260" s="1155"/>
      <c r="F260" s="1156"/>
      <c r="G260" s="220"/>
      <c r="H260" s="207" t="str">
        <f t="shared" si="23"/>
        <v/>
      </c>
      <c r="I260" s="200"/>
      <c r="K260" s="199">
        <v>30</v>
      </c>
      <c r="L260" s="1154"/>
      <c r="M260" s="1154"/>
      <c r="N260" s="1155"/>
      <c r="O260" s="1156"/>
      <c r="P260" s="220"/>
      <c r="Q260" s="210" t="str">
        <f t="shared" si="25"/>
        <v/>
      </c>
      <c r="R260" s="200"/>
    </row>
    <row r="261" spans="2:18">
      <c r="B261" s="199"/>
      <c r="C261" s="194"/>
      <c r="D261" s="194"/>
      <c r="E261" s="194"/>
      <c r="F261" s="194"/>
      <c r="G261" s="194" t="s">
        <v>1040</v>
      </c>
      <c r="H261" s="208">
        <f>SUM(H231:H260)</f>
        <v>0</v>
      </c>
      <c r="I261" s="200"/>
      <c r="K261" s="199"/>
      <c r="L261" s="194"/>
      <c r="M261" s="194"/>
      <c r="N261" s="194"/>
      <c r="O261" s="194"/>
      <c r="P261" s="194" t="s">
        <v>1040</v>
      </c>
      <c r="Q261" s="211">
        <f>SUM(Q231:Q260)</f>
        <v>0</v>
      </c>
      <c r="R261" s="200"/>
    </row>
    <row r="262" spans="2:18">
      <c r="B262" s="201"/>
      <c r="C262" s="202"/>
      <c r="D262" s="202"/>
      <c r="E262" s="202"/>
      <c r="F262" s="202"/>
      <c r="G262" s="202"/>
      <c r="H262" s="213"/>
      <c r="I262" s="204"/>
      <c r="K262" s="201"/>
      <c r="L262" s="202"/>
      <c r="M262" s="202"/>
      <c r="N262" s="202"/>
      <c r="O262" s="202"/>
      <c r="P262" s="202"/>
      <c r="Q262" s="203"/>
      <c r="R262" s="204"/>
    </row>
  </sheetData>
  <sheetProtection algorithmName="SHA-512" hashValue="qNDcvjLpVILCVmxXC7JLamEa/4/xmg5pM8IZcIRwLx9oLnjuCQri+hPyrJT/mniiOCwXy5u7WUS2lzpMMeaN0g==" saltValue="5MG3HejIHnzZAf16874OWQ==" spinCount="100000" sheet="1" objects="1" scenarios="1" selectLockedCells="1"/>
  <mergeCells count="1245">
    <mergeCell ref="C258:D258"/>
    <mergeCell ref="E258:F258"/>
    <mergeCell ref="L258:M258"/>
    <mergeCell ref="N258:O258"/>
    <mergeCell ref="C259:D259"/>
    <mergeCell ref="E259:F259"/>
    <mergeCell ref="L259:M259"/>
    <mergeCell ref="N259:O259"/>
    <mergeCell ref="C260:D260"/>
    <mergeCell ref="E260:F260"/>
    <mergeCell ref="L260:M260"/>
    <mergeCell ref="N260:O260"/>
    <mergeCell ref="C255:D255"/>
    <mergeCell ref="E255:F255"/>
    <mergeCell ref="L255:M255"/>
    <mergeCell ref="N255:O255"/>
    <mergeCell ref="C256:D256"/>
    <mergeCell ref="E256:F256"/>
    <mergeCell ref="L256:M256"/>
    <mergeCell ref="N256:O256"/>
    <mergeCell ref="C257:D257"/>
    <mergeCell ref="E257:F257"/>
    <mergeCell ref="L257:M257"/>
    <mergeCell ref="N257:O257"/>
    <mergeCell ref="C252:D252"/>
    <mergeCell ref="E252:F252"/>
    <mergeCell ref="L252:M252"/>
    <mergeCell ref="N252:O252"/>
    <mergeCell ref="C253:D253"/>
    <mergeCell ref="E253:F253"/>
    <mergeCell ref="L253:M253"/>
    <mergeCell ref="N253:O253"/>
    <mergeCell ref="C254:D254"/>
    <mergeCell ref="E254:F254"/>
    <mergeCell ref="L254:M254"/>
    <mergeCell ref="N254:O254"/>
    <mergeCell ref="C249:D249"/>
    <mergeCell ref="E249:F249"/>
    <mergeCell ref="L249:M249"/>
    <mergeCell ref="N249:O249"/>
    <mergeCell ref="C250:D250"/>
    <mergeCell ref="E250:F250"/>
    <mergeCell ref="L250:M250"/>
    <mergeCell ref="N250:O250"/>
    <mergeCell ref="C251:D251"/>
    <mergeCell ref="E251:F251"/>
    <mergeCell ref="L251:M251"/>
    <mergeCell ref="N251:O251"/>
    <mergeCell ref="C246:D246"/>
    <mergeCell ref="E246:F246"/>
    <mergeCell ref="L246:M246"/>
    <mergeCell ref="N246:O246"/>
    <mergeCell ref="C247:D247"/>
    <mergeCell ref="E247:F247"/>
    <mergeCell ref="L247:M247"/>
    <mergeCell ref="N247:O247"/>
    <mergeCell ref="C248:D248"/>
    <mergeCell ref="E248:F248"/>
    <mergeCell ref="L248:M248"/>
    <mergeCell ref="N248:O248"/>
    <mergeCell ref="C243:D243"/>
    <mergeCell ref="E243:F243"/>
    <mergeCell ref="L243:M243"/>
    <mergeCell ref="N243:O243"/>
    <mergeCell ref="C244:D244"/>
    <mergeCell ref="E244:F244"/>
    <mergeCell ref="L244:M244"/>
    <mergeCell ref="N244:O244"/>
    <mergeCell ref="C245:D245"/>
    <mergeCell ref="E245:F245"/>
    <mergeCell ref="L245:M245"/>
    <mergeCell ref="N245:O245"/>
    <mergeCell ref="C240:D240"/>
    <mergeCell ref="E240:F240"/>
    <mergeCell ref="L240:M240"/>
    <mergeCell ref="N240:O240"/>
    <mergeCell ref="C241:D241"/>
    <mergeCell ref="E241:F241"/>
    <mergeCell ref="L241:M241"/>
    <mergeCell ref="N241:O241"/>
    <mergeCell ref="C242:D242"/>
    <mergeCell ref="E242:F242"/>
    <mergeCell ref="L242:M242"/>
    <mergeCell ref="N242:O242"/>
    <mergeCell ref="C237:D237"/>
    <mergeCell ref="E237:F237"/>
    <mergeCell ref="L237:M237"/>
    <mergeCell ref="N237:O237"/>
    <mergeCell ref="C238:D238"/>
    <mergeCell ref="E238:F238"/>
    <mergeCell ref="L238:M238"/>
    <mergeCell ref="N238:O238"/>
    <mergeCell ref="C239:D239"/>
    <mergeCell ref="E239:F239"/>
    <mergeCell ref="L239:M239"/>
    <mergeCell ref="N239:O239"/>
    <mergeCell ref="C234:D234"/>
    <mergeCell ref="E234:F234"/>
    <mergeCell ref="L234:M234"/>
    <mergeCell ref="N234:O234"/>
    <mergeCell ref="C235:D235"/>
    <mergeCell ref="E235:F235"/>
    <mergeCell ref="L235:M235"/>
    <mergeCell ref="N235:O235"/>
    <mergeCell ref="C236:D236"/>
    <mergeCell ref="E236:F236"/>
    <mergeCell ref="L236:M236"/>
    <mergeCell ref="N236:O236"/>
    <mergeCell ref="C231:D231"/>
    <mergeCell ref="E231:F231"/>
    <mergeCell ref="L231:M231"/>
    <mergeCell ref="N231:O231"/>
    <mergeCell ref="C232:D232"/>
    <mergeCell ref="E232:F232"/>
    <mergeCell ref="L232:M232"/>
    <mergeCell ref="N232:O232"/>
    <mergeCell ref="C233:D233"/>
    <mergeCell ref="E233:F233"/>
    <mergeCell ref="L233:M233"/>
    <mergeCell ref="N233:O233"/>
    <mergeCell ref="C223:D223"/>
    <mergeCell ref="E223:F223"/>
    <mergeCell ref="L223:M223"/>
    <mergeCell ref="N223:O223"/>
    <mergeCell ref="U223:V223"/>
    <mergeCell ref="W223:X223"/>
    <mergeCell ref="D228:H228"/>
    <mergeCell ref="M228:Q228"/>
    <mergeCell ref="E230:F230"/>
    <mergeCell ref="N230:O230"/>
    <mergeCell ref="C221:D221"/>
    <mergeCell ref="E221:F221"/>
    <mergeCell ref="L221:M221"/>
    <mergeCell ref="N221:O221"/>
    <mergeCell ref="U221:V221"/>
    <mergeCell ref="W221:X221"/>
    <mergeCell ref="C222:D222"/>
    <mergeCell ref="E222:F222"/>
    <mergeCell ref="L222:M222"/>
    <mergeCell ref="N222:O222"/>
    <mergeCell ref="U222:V222"/>
    <mergeCell ref="W222:X222"/>
    <mergeCell ref="C219:D219"/>
    <mergeCell ref="E219:F219"/>
    <mergeCell ref="L219:M219"/>
    <mergeCell ref="N219:O219"/>
    <mergeCell ref="U219:V219"/>
    <mergeCell ref="W219:X219"/>
    <mergeCell ref="C220:D220"/>
    <mergeCell ref="E220:F220"/>
    <mergeCell ref="L220:M220"/>
    <mergeCell ref="N220:O220"/>
    <mergeCell ref="U220:V220"/>
    <mergeCell ref="W220:X220"/>
    <mergeCell ref="C217:D217"/>
    <mergeCell ref="E217:F217"/>
    <mergeCell ref="L217:M217"/>
    <mergeCell ref="N217:O217"/>
    <mergeCell ref="U217:V217"/>
    <mergeCell ref="W217:X217"/>
    <mergeCell ref="C218:D218"/>
    <mergeCell ref="E218:F218"/>
    <mergeCell ref="L218:M218"/>
    <mergeCell ref="N218:O218"/>
    <mergeCell ref="U218:V218"/>
    <mergeCell ref="W218:X218"/>
    <mergeCell ref="C215:D215"/>
    <mergeCell ref="E215:F215"/>
    <mergeCell ref="L215:M215"/>
    <mergeCell ref="N215:O215"/>
    <mergeCell ref="U215:V215"/>
    <mergeCell ref="W215:X215"/>
    <mergeCell ref="C216:D216"/>
    <mergeCell ref="E216:F216"/>
    <mergeCell ref="L216:M216"/>
    <mergeCell ref="N216:O216"/>
    <mergeCell ref="U216:V216"/>
    <mergeCell ref="W216:X216"/>
    <mergeCell ref="C213:D213"/>
    <mergeCell ref="E213:F213"/>
    <mergeCell ref="L213:M213"/>
    <mergeCell ref="N213:O213"/>
    <mergeCell ref="U213:V213"/>
    <mergeCell ref="W213:X213"/>
    <mergeCell ref="C214:D214"/>
    <mergeCell ref="E214:F214"/>
    <mergeCell ref="L214:M214"/>
    <mergeCell ref="N214:O214"/>
    <mergeCell ref="U214:V214"/>
    <mergeCell ref="W214:X214"/>
    <mergeCell ref="C211:D211"/>
    <mergeCell ref="E211:F211"/>
    <mergeCell ref="L211:M211"/>
    <mergeCell ref="N211:O211"/>
    <mergeCell ref="U211:V211"/>
    <mergeCell ref="W211:X211"/>
    <mergeCell ref="C212:D212"/>
    <mergeCell ref="E212:F212"/>
    <mergeCell ref="L212:M212"/>
    <mergeCell ref="N212:O212"/>
    <mergeCell ref="U212:V212"/>
    <mergeCell ref="W212:X212"/>
    <mergeCell ref="C209:D209"/>
    <mergeCell ref="E209:F209"/>
    <mergeCell ref="L209:M209"/>
    <mergeCell ref="N209:O209"/>
    <mergeCell ref="U209:V209"/>
    <mergeCell ref="W209:X209"/>
    <mergeCell ref="C210:D210"/>
    <mergeCell ref="E210:F210"/>
    <mergeCell ref="L210:M210"/>
    <mergeCell ref="N210:O210"/>
    <mergeCell ref="U210:V210"/>
    <mergeCell ref="W210:X210"/>
    <mergeCell ref="C207:D207"/>
    <mergeCell ref="E207:F207"/>
    <mergeCell ref="L207:M207"/>
    <mergeCell ref="N207:O207"/>
    <mergeCell ref="U207:V207"/>
    <mergeCell ref="W207:X207"/>
    <mergeCell ref="C208:D208"/>
    <mergeCell ref="E208:F208"/>
    <mergeCell ref="L208:M208"/>
    <mergeCell ref="N208:O208"/>
    <mergeCell ref="U208:V208"/>
    <mergeCell ref="W208:X208"/>
    <mergeCell ref="C205:D205"/>
    <mergeCell ref="E205:F205"/>
    <mergeCell ref="L205:M205"/>
    <mergeCell ref="N205:O205"/>
    <mergeCell ref="U205:V205"/>
    <mergeCell ref="W205:X205"/>
    <mergeCell ref="C206:D206"/>
    <mergeCell ref="E206:F206"/>
    <mergeCell ref="L206:M206"/>
    <mergeCell ref="N206:O206"/>
    <mergeCell ref="U206:V206"/>
    <mergeCell ref="W206:X206"/>
    <mergeCell ref="C203:D203"/>
    <mergeCell ref="E203:F203"/>
    <mergeCell ref="L203:M203"/>
    <mergeCell ref="N203:O203"/>
    <mergeCell ref="U203:V203"/>
    <mergeCell ref="W203:X203"/>
    <mergeCell ref="C204:D204"/>
    <mergeCell ref="E204:F204"/>
    <mergeCell ref="L204:M204"/>
    <mergeCell ref="N204:O204"/>
    <mergeCell ref="U204:V204"/>
    <mergeCell ref="W204:X204"/>
    <mergeCell ref="C201:D201"/>
    <mergeCell ref="E201:F201"/>
    <mergeCell ref="L201:M201"/>
    <mergeCell ref="N201:O201"/>
    <mergeCell ref="U201:V201"/>
    <mergeCell ref="W201:X201"/>
    <mergeCell ref="C202:D202"/>
    <mergeCell ref="E202:F202"/>
    <mergeCell ref="L202:M202"/>
    <mergeCell ref="N202:O202"/>
    <mergeCell ref="U202:V202"/>
    <mergeCell ref="W202:X202"/>
    <mergeCell ref="C199:D199"/>
    <mergeCell ref="E199:F199"/>
    <mergeCell ref="L199:M199"/>
    <mergeCell ref="N199:O199"/>
    <mergeCell ref="U199:V199"/>
    <mergeCell ref="W199:X199"/>
    <mergeCell ref="C200:D200"/>
    <mergeCell ref="E200:F200"/>
    <mergeCell ref="L200:M200"/>
    <mergeCell ref="N200:O200"/>
    <mergeCell ref="U200:V200"/>
    <mergeCell ref="W200:X200"/>
    <mergeCell ref="C197:D197"/>
    <mergeCell ref="E197:F197"/>
    <mergeCell ref="L197:M197"/>
    <mergeCell ref="N197:O197"/>
    <mergeCell ref="U197:V197"/>
    <mergeCell ref="W197:X197"/>
    <mergeCell ref="C198:D198"/>
    <mergeCell ref="E198:F198"/>
    <mergeCell ref="L198:M198"/>
    <mergeCell ref="N198:O198"/>
    <mergeCell ref="U198:V198"/>
    <mergeCell ref="W198:X198"/>
    <mergeCell ref="C195:D195"/>
    <mergeCell ref="E195:F195"/>
    <mergeCell ref="L195:M195"/>
    <mergeCell ref="N195:O195"/>
    <mergeCell ref="U195:V195"/>
    <mergeCell ref="W195:X195"/>
    <mergeCell ref="C196:D196"/>
    <mergeCell ref="E196:F196"/>
    <mergeCell ref="L196:M196"/>
    <mergeCell ref="N196:O196"/>
    <mergeCell ref="U196:V196"/>
    <mergeCell ref="W196:X196"/>
    <mergeCell ref="E193:F193"/>
    <mergeCell ref="N193:O193"/>
    <mergeCell ref="W193:X193"/>
    <mergeCell ref="C194:D194"/>
    <mergeCell ref="E194:F194"/>
    <mergeCell ref="L194:M194"/>
    <mergeCell ref="N194:O194"/>
    <mergeCell ref="U194:V194"/>
    <mergeCell ref="W194:X194"/>
    <mergeCell ref="C186:D186"/>
    <mergeCell ref="E186:F186"/>
    <mergeCell ref="L186:M186"/>
    <mergeCell ref="N186:O186"/>
    <mergeCell ref="U186:V186"/>
    <mergeCell ref="W186:X186"/>
    <mergeCell ref="D191:H191"/>
    <mergeCell ref="M191:Q191"/>
    <mergeCell ref="V191:Z191"/>
    <mergeCell ref="C184:D184"/>
    <mergeCell ref="E184:F184"/>
    <mergeCell ref="L184:M184"/>
    <mergeCell ref="N184:O184"/>
    <mergeCell ref="U184:V184"/>
    <mergeCell ref="W184:X184"/>
    <mergeCell ref="C185:D185"/>
    <mergeCell ref="E185:F185"/>
    <mergeCell ref="L185:M185"/>
    <mergeCell ref="N185:O185"/>
    <mergeCell ref="U185:V185"/>
    <mergeCell ref="W185:X185"/>
    <mergeCell ref="C182:D182"/>
    <mergeCell ref="E182:F182"/>
    <mergeCell ref="L182:M182"/>
    <mergeCell ref="N182:O182"/>
    <mergeCell ref="U182:V182"/>
    <mergeCell ref="W182:X182"/>
    <mergeCell ref="C183:D183"/>
    <mergeCell ref="E183:F183"/>
    <mergeCell ref="L183:M183"/>
    <mergeCell ref="N183:O183"/>
    <mergeCell ref="U183:V183"/>
    <mergeCell ref="W183:X183"/>
    <mergeCell ref="C180:D180"/>
    <mergeCell ref="E180:F180"/>
    <mergeCell ref="L180:M180"/>
    <mergeCell ref="N180:O180"/>
    <mergeCell ref="U180:V180"/>
    <mergeCell ref="W180:X180"/>
    <mergeCell ref="C181:D181"/>
    <mergeCell ref="E181:F181"/>
    <mergeCell ref="L181:M181"/>
    <mergeCell ref="N181:O181"/>
    <mergeCell ref="U181:V181"/>
    <mergeCell ref="W181:X181"/>
    <mergeCell ref="C178:D178"/>
    <mergeCell ref="E178:F178"/>
    <mergeCell ref="L178:M178"/>
    <mergeCell ref="N178:O178"/>
    <mergeCell ref="U178:V178"/>
    <mergeCell ref="W178:X178"/>
    <mergeCell ref="C179:D179"/>
    <mergeCell ref="E179:F179"/>
    <mergeCell ref="L179:M179"/>
    <mergeCell ref="N179:O179"/>
    <mergeCell ref="U179:V179"/>
    <mergeCell ref="W179:X179"/>
    <mergeCell ref="C176:D176"/>
    <mergeCell ref="E176:F176"/>
    <mergeCell ref="L176:M176"/>
    <mergeCell ref="N176:O176"/>
    <mergeCell ref="U176:V176"/>
    <mergeCell ref="W176:X176"/>
    <mergeCell ref="C177:D177"/>
    <mergeCell ref="E177:F177"/>
    <mergeCell ref="L177:M177"/>
    <mergeCell ref="N177:O177"/>
    <mergeCell ref="U177:V177"/>
    <mergeCell ref="W177:X177"/>
    <mergeCell ref="C174:D174"/>
    <mergeCell ref="E174:F174"/>
    <mergeCell ref="L174:M174"/>
    <mergeCell ref="N174:O174"/>
    <mergeCell ref="U174:V174"/>
    <mergeCell ref="W174:X174"/>
    <mergeCell ref="C175:D175"/>
    <mergeCell ref="E175:F175"/>
    <mergeCell ref="L175:M175"/>
    <mergeCell ref="N175:O175"/>
    <mergeCell ref="U175:V175"/>
    <mergeCell ref="W175:X175"/>
    <mergeCell ref="C172:D172"/>
    <mergeCell ref="E172:F172"/>
    <mergeCell ref="L172:M172"/>
    <mergeCell ref="N172:O172"/>
    <mergeCell ref="U172:V172"/>
    <mergeCell ref="W172:X172"/>
    <mergeCell ref="C173:D173"/>
    <mergeCell ref="E173:F173"/>
    <mergeCell ref="L173:M173"/>
    <mergeCell ref="N173:O173"/>
    <mergeCell ref="U173:V173"/>
    <mergeCell ref="W173:X173"/>
    <mergeCell ref="C170:D170"/>
    <mergeCell ref="E170:F170"/>
    <mergeCell ref="L170:M170"/>
    <mergeCell ref="N170:O170"/>
    <mergeCell ref="U170:V170"/>
    <mergeCell ref="W170:X170"/>
    <mergeCell ref="C171:D171"/>
    <mergeCell ref="E171:F171"/>
    <mergeCell ref="L171:M171"/>
    <mergeCell ref="N171:O171"/>
    <mergeCell ref="U171:V171"/>
    <mergeCell ref="W171:X171"/>
    <mergeCell ref="C168:D168"/>
    <mergeCell ref="E168:F168"/>
    <mergeCell ref="L168:M168"/>
    <mergeCell ref="N168:O168"/>
    <mergeCell ref="U168:V168"/>
    <mergeCell ref="W168:X168"/>
    <mergeCell ref="C169:D169"/>
    <mergeCell ref="E169:F169"/>
    <mergeCell ref="L169:M169"/>
    <mergeCell ref="N169:O169"/>
    <mergeCell ref="U169:V169"/>
    <mergeCell ref="W169:X169"/>
    <mergeCell ref="C166:D166"/>
    <mergeCell ref="E166:F166"/>
    <mergeCell ref="L166:M166"/>
    <mergeCell ref="N166:O166"/>
    <mergeCell ref="U166:V166"/>
    <mergeCell ref="W166:X166"/>
    <mergeCell ref="C167:D167"/>
    <mergeCell ref="E167:F167"/>
    <mergeCell ref="L167:M167"/>
    <mergeCell ref="N167:O167"/>
    <mergeCell ref="U167:V167"/>
    <mergeCell ref="W167:X167"/>
    <mergeCell ref="C164:D164"/>
    <mergeCell ref="E164:F164"/>
    <mergeCell ref="L164:M164"/>
    <mergeCell ref="N164:O164"/>
    <mergeCell ref="U164:V164"/>
    <mergeCell ref="W164:X164"/>
    <mergeCell ref="C165:D165"/>
    <mergeCell ref="E165:F165"/>
    <mergeCell ref="L165:M165"/>
    <mergeCell ref="N165:O165"/>
    <mergeCell ref="U165:V165"/>
    <mergeCell ref="W165:X165"/>
    <mergeCell ref="C162:D162"/>
    <mergeCell ref="E162:F162"/>
    <mergeCell ref="L162:M162"/>
    <mergeCell ref="N162:O162"/>
    <mergeCell ref="U162:V162"/>
    <mergeCell ref="W162:X162"/>
    <mergeCell ref="C163:D163"/>
    <mergeCell ref="E163:F163"/>
    <mergeCell ref="L163:M163"/>
    <mergeCell ref="N163:O163"/>
    <mergeCell ref="U163:V163"/>
    <mergeCell ref="W163:X163"/>
    <mergeCell ref="C160:D160"/>
    <mergeCell ref="E160:F160"/>
    <mergeCell ref="L160:M160"/>
    <mergeCell ref="N160:O160"/>
    <mergeCell ref="U160:V160"/>
    <mergeCell ref="W160:X160"/>
    <mergeCell ref="C161:D161"/>
    <mergeCell ref="E161:F161"/>
    <mergeCell ref="L161:M161"/>
    <mergeCell ref="N161:O161"/>
    <mergeCell ref="U161:V161"/>
    <mergeCell ref="W161:X161"/>
    <mergeCell ref="C158:D158"/>
    <mergeCell ref="E158:F158"/>
    <mergeCell ref="L158:M158"/>
    <mergeCell ref="N158:O158"/>
    <mergeCell ref="U158:V158"/>
    <mergeCell ref="W158:X158"/>
    <mergeCell ref="C159:D159"/>
    <mergeCell ref="E159:F159"/>
    <mergeCell ref="L159:M159"/>
    <mergeCell ref="N159:O159"/>
    <mergeCell ref="U159:V159"/>
    <mergeCell ref="W159:X159"/>
    <mergeCell ref="E156:F156"/>
    <mergeCell ref="N156:O156"/>
    <mergeCell ref="W156:X156"/>
    <mergeCell ref="C157:D157"/>
    <mergeCell ref="E157:F157"/>
    <mergeCell ref="L157:M157"/>
    <mergeCell ref="N157:O157"/>
    <mergeCell ref="U157:V157"/>
    <mergeCell ref="W157:X157"/>
    <mergeCell ref="C149:D149"/>
    <mergeCell ref="E149:F149"/>
    <mergeCell ref="L149:M149"/>
    <mergeCell ref="N149:O149"/>
    <mergeCell ref="U149:V149"/>
    <mergeCell ref="W149:X149"/>
    <mergeCell ref="D154:H154"/>
    <mergeCell ref="M154:Q154"/>
    <mergeCell ref="V154:Z154"/>
    <mergeCell ref="C147:D147"/>
    <mergeCell ref="E147:F147"/>
    <mergeCell ref="L147:M147"/>
    <mergeCell ref="N147:O147"/>
    <mergeCell ref="U147:V147"/>
    <mergeCell ref="W147:X147"/>
    <mergeCell ref="C148:D148"/>
    <mergeCell ref="E148:F148"/>
    <mergeCell ref="L148:M148"/>
    <mergeCell ref="N148:O148"/>
    <mergeCell ref="U148:V148"/>
    <mergeCell ref="W148:X148"/>
    <mergeCell ref="C145:D145"/>
    <mergeCell ref="E145:F145"/>
    <mergeCell ref="L145:M145"/>
    <mergeCell ref="N145:O145"/>
    <mergeCell ref="U145:V145"/>
    <mergeCell ref="W145:X145"/>
    <mergeCell ref="C146:D146"/>
    <mergeCell ref="E146:F146"/>
    <mergeCell ref="L146:M146"/>
    <mergeCell ref="N146:O146"/>
    <mergeCell ref="U146:V146"/>
    <mergeCell ref="W146:X146"/>
    <mergeCell ref="C143:D143"/>
    <mergeCell ref="E143:F143"/>
    <mergeCell ref="L143:M143"/>
    <mergeCell ref="N143:O143"/>
    <mergeCell ref="U143:V143"/>
    <mergeCell ref="W143:X143"/>
    <mergeCell ref="C144:D144"/>
    <mergeCell ref="E144:F144"/>
    <mergeCell ref="L144:M144"/>
    <mergeCell ref="N144:O144"/>
    <mergeCell ref="U144:V144"/>
    <mergeCell ref="W144:X144"/>
    <mergeCell ref="C141:D141"/>
    <mergeCell ref="E141:F141"/>
    <mergeCell ref="L141:M141"/>
    <mergeCell ref="N141:O141"/>
    <mergeCell ref="U141:V141"/>
    <mergeCell ref="W141:X141"/>
    <mergeCell ref="C142:D142"/>
    <mergeCell ref="E142:F142"/>
    <mergeCell ref="L142:M142"/>
    <mergeCell ref="N142:O142"/>
    <mergeCell ref="U142:V142"/>
    <mergeCell ref="W142:X142"/>
    <mergeCell ref="C139:D139"/>
    <mergeCell ref="E139:F139"/>
    <mergeCell ref="L139:M139"/>
    <mergeCell ref="N139:O139"/>
    <mergeCell ref="U139:V139"/>
    <mergeCell ref="W139:X139"/>
    <mergeCell ref="C140:D140"/>
    <mergeCell ref="E140:F140"/>
    <mergeCell ref="L140:M140"/>
    <mergeCell ref="N140:O140"/>
    <mergeCell ref="U140:V140"/>
    <mergeCell ref="W140:X140"/>
    <mergeCell ref="C137:D137"/>
    <mergeCell ref="E137:F137"/>
    <mergeCell ref="L137:M137"/>
    <mergeCell ref="N137:O137"/>
    <mergeCell ref="U137:V137"/>
    <mergeCell ref="W137:X137"/>
    <mergeCell ref="C138:D138"/>
    <mergeCell ref="E138:F138"/>
    <mergeCell ref="L138:M138"/>
    <mergeCell ref="N138:O138"/>
    <mergeCell ref="U138:V138"/>
    <mergeCell ref="W138:X138"/>
    <mergeCell ref="C135:D135"/>
    <mergeCell ref="E135:F135"/>
    <mergeCell ref="L135:M135"/>
    <mergeCell ref="N135:O135"/>
    <mergeCell ref="U135:V135"/>
    <mergeCell ref="W135:X135"/>
    <mergeCell ref="C136:D136"/>
    <mergeCell ref="E136:F136"/>
    <mergeCell ref="L136:M136"/>
    <mergeCell ref="N136:O136"/>
    <mergeCell ref="U136:V136"/>
    <mergeCell ref="W136:X136"/>
    <mergeCell ref="C133:D133"/>
    <mergeCell ref="E133:F133"/>
    <mergeCell ref="L133:M133"/>
    <mergeCell ref="N133:O133"/>
    <mergeCell ref="U133:V133"/>
    <mergeCell ref="W133:X133"/>
    <mergeCell ref="C134:D134"/>
    <mergeCell ref="E134:F134"/>
    <mergeCell ref="L134:M134"/>
    <mergeCell ref="N134:O134"/>
    <mergeCell ref="U134:V134"/>
    <mergeCell ref="W134:X134"/>
    <mergeCell ref="C131:D131"/>
    <mergeCell ref="E131:F131"/>
    <mergeCell ref="L131:M131"/>
    <mergeCell ref="N131:O131"/>
    <mergeCell ref="U131:V131"/>
    <mergeCell ref="W131:X131"/>
    <mergeCell ref="C132:D132"/>
    <mergeCell ref="E132:F132"/>
    <mergeCell ref="L132:M132"/>
    <mergeCell ref="N132:O132"/>
    <mergeCell ref="U132:V132"/>
    <mergeCell ref="W132:X132"/>
    <mergeCell ref="C129:D129"/>
    <mergeCell ref="E129:F129"/>
    <mergeCell ref="L129:M129"/>
    <mergeCell ref="N129:O129"/>
    <mergeCell ref="U129:V129"/>
    <mergeCell ref="W129:X129"/>
    <mergeCell ref="C130:D130"/>
    <mergeCell ref="E130:F130"/>
    <mergeCell ref="L130:M130"/>
    <mergeCell ref="N130:O130"/>
    <mergeCell ref="U130:V130"/>
    <mergeCell ref="W130:X130"/>
    <mergeCell ref="C127:D127"/>
    <mergeCell ref="E127:F127"/>
    <mergeCell ref="L127:M127"/>
    <mergeCell ref="N127:O127"/>
    <mergeCell ref="U127:V127"/>
    <mergeCell ref="W127:X127"/>
    <mergeCell ref="C128:D128"/>
    <mergeCell ref="E128:F128"/>
    <mergeCell ref="L128:M128"/>
    <mergeCell ref="N128:O128"/>
    <mergeCell ref="U128:V128"/>
    <mergeCell ref="W128:X128"/>
    <mergeCell ref="C125:D125"/>
    <mergeCell ref="E125:F125"/>
    <mergeCell ref="L125:M125"/>
    <mergeCell ref="N125:O125"/>
    <mergeCell ref="U125:V125"/>
    <mergeCell ref="W125:X125"/>
    <mergeCell ref="C126:D126"/>
    <mergeCell ref="E126:F126"/>
    <mergeCell ref="L126:M126"/>
    <mergeCell ref="N126:O126"/>
    <mergeCell ref="U126:V126"/>
    <mergeCell ref="W126:X126"/>
    <mergeCell ref="C123:D123"/>
    <mergeCell ref="E123:F123"/>
    <mergeCell ref="L123:M123"/>
    <mergeCell ref="N123:O123"/>
    <mergeCell ref="U123:V123"/>
    <mergeCell ref="W123:X123"/>
    <mergeCell ref="C124:D124"/>
    <mergeCell ref="E124:F124"/>
    <mergeCell ref="L124:M124"/>
    <mergeCell ref="N124:O124"/>
    <mergeCell ref="U124:V124"/>
    <mergeCell ref="W124:X124"/>
    <mergeCell ref="C121:D121"/>
    <mergeCell ref="E121:F121"/>
    <mergeCell ref="L121:M121"/>
    <mergeCell ref="N121:O121"/>
    <mergeCell ref="U121:V121"/>
    <mergeCell ref="W121:X121"/>
    <mergeCell ref="C122:D122"/>
    <mergeCell ref="E122:F122"/>
    <mergeCell ref="L122:M122"/>
    <mergeCell ref="N122:O122"/>
    <mergeCell ref="U122:V122"/>
    <mergeCell ref="W122:X122"/>
    <mergeCell ref="E119:F119"/>
    <mergeCell ref="N119:O119"/>
    <mergeCell ref="W119:X119"/>
    <mergeCell ref="C120:D120"/>
    <mergeCell ref="E120:F120"/>
    <mergeCell ref="L120:M120"/>
    <mergeCell ref="N120:O120"/>
    <mergeCell ref="U120:V120"/>
    <mergeCell ref="W120:X120"/>
    <mergeCell ref="C112:D112"/>
    <mergeCell ref="E112:F112"/>
    <mergeCell ref="L112:M112"/>
    <mergeCell ref="N112:O112"/>
    <mergeCell ref="U112:V112"/>
    <mergeCell ref="W112:X112"/>
    <mergeCell ref="D117:H117"/>
    <mergeCell ref="M117:Q117"/>
    <mergeCell ref="V117:Z117"/>
    <mergeCell ref="C110:D110"/>
    <mergeCell ref="E110:F110"/>
    <mergeCell ref="L110:M110"/>
    <mergeCell ref="N110:O110"/>
    <mergeCell ref="U110:V110"/>
    <mergeCell ref="W110:X110"/>
    <mergeCell ref="C111:D111"/>
    <mergeCell ref="E111:F111"/>
    <mergeCell ref="L111:M111"/>
    <mergeCell ref="N111:O111"/>
    <mergeCell ref="U111:V111"/>
    <mergeCell ref="W111:X111"/>
    <mergeCell ref="C108:D108"/>
    <mergeCell ref="E108:F108"/>
    <mergeCell ref="L108:M108"/>
    <mergeCell ref="N108:O108"/>
    <mergeCell ref="U108:V108"/>
    <mergeCell ref="W108:X108"/>
    <mergeCell ref="C109:D109"/>
    <mergeCell ref="E109:F109"/>
    <mergeCell ref="L109:M109"/>
    <mergeCell ref="N109:O109"/>
    <mergeCell ref="U109:V109"/>
    <mergeCell ref="W109:X109"/>
    <mergeCell ref="C106:D106"/>
    <mergeCell ref="E106:F106"/>
    <mergeCell ref="L106:M106"/>
    <mergeCell ref="N106:O106"/>
    <mergeCell ref="U106:V106"/>
    <mergeCell ref="W106:X106"/>
    <mergeCell ref="C107:D107"/>
    <mergeCell ref="E107:F107"/>
    <mergeCell ref="L107:M107"/>
    <mergeCell ref="N107:O107"/>
    <mergeCell ref="U107:V107"/>
    <mergeCell ref="W107:X107"/>
    <mergeCell ref="C104:D104"/>
    <mergeCell ref="E104:F104"/>
    <mergeCell ref="L104:M104"/>
    <mergeCell ref="N104:O104"/>
    <mergeCell ref="U104:V104"/>
    <mergeCell ref="W104:X104"/>
    <mergeCell ref="C105:D105"/>
    <mergeCell ref="E105:F105"/>
    <mergeCell ref="L105:M105"/>
    <mergeCell ref="N105:O105"/>
    <mergeCell ref="U105:V105"/>
    <mergeCell ref="W105:X105"/>
    <mergeCell ref="C102:D102"/>
    <mergeCell ref="E102:F102"/>
    <mergeCell ref="L102:M102"/>
    <mergeCell ref="N102:O102"/>
    <mergeCell ref="U102:V102"/>
    <mergeCell ref="W102:X102"/>
    <mergeCell ref="C103:D103"/>
    <mergeCell ref="E103:F103"/>
    <mergeCell ref="L103:M103"/>
    <mergeCell ref="N103:O103"/>
    <mergeCell ref="U103:V103"/>
    <mergeCell ref="W103:X103"/>
    <mergeCell ref="C100:D100"/>
    <mergeCell ref="E100:F100"/>
    <mergeCell ref="L100:M100"/>
    <mergeCell ref="N100:O100"/>
    <mergeCell ref="U100:V100"/>
    <mergeCell ref="W100:X100"/>
    <mergeCell ref="C101:D101"/>
    <mergeCell ref="E101:F101"/>
    <mergeCell ref="L101:M101"/>
    <mergeCell ref="N101:O101"/>
    <mergeCell ref="U101:V101"/>
    <mergeCell ref="W101:X101"/>
    <mergeCell ref="C98:D98"/>
    <mergeCell ref="E98:F98"/>
    <mergeCell ref="L98:M98"/>
    <mergeCell ref="N98:O98"/>
    <mergeCell ref="U98:V98"/>
    <mergeCell ref="W98:X98"/>
    <mergeCell ref="C99:D99"/>
    <mergeCell ref="E99:F99"/>
    <mergeCell ref="L99:M99"/>
    <mergeCell ref="N99:O99"/>
    <mergeCell ref="U99:V99"/>
    <mergeCell ref="W99:X99"/>
    <mergeCell ref="C96:D96"/>
    <mergeCell ref="E96:F96"/>
    <mergeCell ref="L96:M96"/>
    <mergeCell ref="N96:O96"/>
    <mergeCell ref="U96:V96"/>
    <mergeCell ref="W96:X96"/>
    <mergeCell ref="C97:D97"/>
    <mergeCell ref="E97:F97"/>
    <mergeCell ref="L97:M97"/>
    <mergeCell ref="N97:O97"/>
    <mergeCell ref="U97:V97"/>
    <mergeCell ref="W97:X97"/>
    <mergeCell ref="C94:D94"/>
    <mergeCell ref="E94:F94"/>
    <mergeCell ref="L94:M94"/>
    <mergeCell ref="N94:O94"/>
    <mergeCell ref="U94:V94"/>
    <mergeCell ref="W94:X94"/>
    <mergeCell ref="C95:D95"/>
    <mergeCell ref="E95:F95"/>
    <mergeCell ref="L95:M95"/>
    <mergeCell ref="N95:O95"/>
    <mergeCell ref="U95:V95"/>
    <mergeCell ref="W95:X95"/>
    <mergeCell ref="C92:D92"/>
    <mergeCell ref="E92:F92"/>
    <mergeCell ref="L92:M92"/>
    <mergeCell ref="N92:O92"/>
    <mergeCell ref="U92:V92"/>
    <mergeCell ref="W92:X92"/>
    <mergeCell ref="C93:D93"/>
    <mergeCell ref="E93:F93"/>
    <mergeCell ref="L93:M93"/>
    <mergeCell ref="N93:O93"/>
    <mergeCell ref="U93:V93"/>
    <mergeCell ref="W93:X93"/>
    <mergeCell ref="C90:D90"/>
    <mergeCell ref="E90:F90"/>
    <mergeCell ref="L90:M90"/>
    <mergeCell ref="N90:O90"/>
    <mergeCell ref="U90:V90"/>
    <mergeCell ref="W90:X90"/>
    <mergeCell ref="C91:D91"/>
    <mergeCell ref="E91:F91"/>
    <mergeCell ref="L91:M91"/>
    <mergeCell ref="N91:O91"/>
    <mergeCell ref="U91:V91"/>
    <mergeCell ref="W91:X91"/>
    <mergeCell ref="C88:D88"/>
    <mergeCell ref="E88:F88"/>
    <mergeCell ref="L88:M88"/>
    <mergeCell ref="N88:O88"/>
    <mergeCell ref="U88:V88"/>
    <mergeCell ref="W88:X88"/>
    <mergeCell ref="C89:D89"/>
    <mergeCell ref="E89:F89"/>
    <mergeCell ref="L89:M89"/>
    <mergeCell ref="N89:O89"/>
    <mergeCell ref="U89:V89"/>
    <mergeCell ref="W89:X89"/>
    <mergeCell ref="C86:D86"/>
    <mergeCell ref="E86:F86"/>
    <mergeCell ref="L86:M86"/>
    <mergeCell ref="N86:O86"/>
    <mergeCell ref="U86:V86"/>
    <mergeCell ref="W86:X86"/>
    <mergeCell ref="C87:D87"/>
    <mergeCell ref="E87:F87"/>
    <mergeCell ref="L87:M87"/>
    <mergeCell ref="N87:O87"/>
    <mergeCell ref="U87:V87"/>
    <mergeCell ref="W87:X87"/>
    <mergeCell ref="C84:D84"/>
    <mergeCell ref="E84:F84"/>
    <mergeCell ref="L84:M84"/>
    <mergeCell ref="N84:O84"/>
    <mergeCell ref="U84:V84"/>
    <mergeCell ref="W84:X84"/>
    <mergeCell ref="C85:D85"/>
    <mergeCell ref="E85:F85"/>
    <mergeCell ref="L85:M85"/>
    <mergeCell ref="N85:O85"/>
    <mergeCell ref="U85:V85"/>
    <mergeCell ref="W85:X85"/>
    <mergeCell ref="C2:D2"/>
    <mergeCell ref="C3:D3"/>
    <mergeCell ref="D80:H80"/>
    <mergeCell ref="M80:Q80"/>
    <mergeCell ref="V80:Z80"/>
    <mergeCell ref="E82:F82"/>
    <mergeCell ref="N82:O82"/>
    <mergeCell ref="W82:X82"/>
    <mergeCell ref="C83:D83"/>
    <mergeCell ref="E83:F83"/>
    <mergeCell ref="L83:M83"/>
    <mergeCell ref="N83:O83"/>
    <mergeCell ref="U83:V83"/>
    <mergeCell ref="W83:X83"/>
    <mergeCell ref="F3:V3"/>
    <mergeCell ref="F1:V2"/>
    <mergeCell ref="X2:Y3"/>
    <mergeCell ref="C75:D75"/>
    <mergeCell ref="E75:F75"/>
    <mergeCell ref="L75:M75"/>
    <mergeCell ref="N75:O75"/>
    <mergeCell ref="U75:V75"/>
    <mergeCell ref="W75:X75"/>
    <mergeCell ref="C73:D73"/>
    <mergeCell ref="E73:F73"/>
    <mergeCell ref="L73:M73"/>
    <mergeCell ref="N73:O73"/>
    <mergeCell ref="U73:V73"/>
    <mergeCell ref="W73:X73"/>
    <mergeCell ref="C74:D74"/>
    <mergeCell ref="E74:F74"/>
    <mergeCell ref="L74:M74"/>
    <mergeCell ref="N74:O74"/>
    <mergeCell ref="U74:V74"/>
    <mergeCell ref="W74:X74"/>
    <mergeCell ref="C71:D71"/>
    <mergeCell ref="E71:F71"/>
    <mergeCell ref="L71:M71"/>
    <mergeCell ref="N71:O71"/>
    <mergeCell ref="U71:V71"/>
    <mergeCell ref="W71:X71"/>
    <mergeCell ref="C72:D72"/>
    <mergeCell ref="E72:F72"/>
    <mergeCell ref="L72:M72"/>
    <mergeCell ref="N72:O72"/>
    <mergeCell ref="U72:V72"/>
    <mergeCell ref="W72:X72"/>
    <mergeCell ref="C69:D69"/>
    <mergeCell ref="E69:F69"/>
    <mergeCell ref="L69:M69"/>
    <mergeCell ref="N69:O69"/>
    <mergeCell ref="U69:V69"/>
    <mergeCell ref="W69:X69"/>
    <mergeCell ref="C70:D70"/>
    <mergeCell ref="E70:F70"/>
    <mergeCell ref="L70:M70"/>
    <mergeCell ref="N70:O70"/>
    <mergeCell ref="U70:V70"/>
    <mergeCell ref="W70:X70"/>
    <mergeCell ref="C67:D67"/>
    <mergeCell ref="E67:F67"/>
    <mergeCell ref="L67:M67"/>
    <mergeCell ref="N67:O67"/>
    <mergeCell ref="U67:V67"/>
    <mergeCell ref="W67:X67"/>
    <mergeCell ref="C68:D68"/>
    <mergeCell ref="E68:F68"/>
    <mergeCell ref="L68:M68"/>
    <mergeCell ref="N68:O68"/>
    <mergeCell ref="U68:V68"/>
    <mergeCell ref="W68:X68"/>
    <mergeCell ref="C65:D65"/>
    <mergeCell ref="E65:F65"/>
    <mergeCell ref="L65:M65"/>
    <mergeCell ref="N65:O65"/>
    <mergeCell ref="U65:V65"/>
    <mergeCell ref="W65:X65"/>
    <mergeCell ref="C66:D66"/>
    <mergeCell ref="E66:F66"/>
    <mergeCell ref="L66:M66"/>
    <mergeCell ref="N66:O66"/>
    <mergeCell ref="U66:V66"/>
    <mergeCell ref="W66:X66"/>
    <mergeCell ref="C63:D63"/>
    <mergeCell ref="E63:F63"/>
    <mergeCell ref="L63:M63"/>
    <mergeCell ref="N63:O63"/>
    <mergeCell ref="U63:V63"/>
    <mergeCell ref="W63:X63"/>
    <mergeCell ref="C64:D64"/>
    <mergeCell ref="E64:F64"/>
    <mergeCell ref="L64:M64"/>
    <mergeCell ref="N64:O64"/>
    <mergeCell ref="U64:V64"/>
    <mergeCell ref="W64:X64"/>
    <mergeCell ref="C61:D61"/>
    <mergeCell ref="E61:F61"/>
    <mergeCell ref="L61:M61"/>
    <mergeCell ref="N61:O61"/>
    <mergeCell ref="U61:V61"/>
    <mergeCell ref="W61:X61"/>
    <mergeCell ref="C62:D62"/>
    <mergeCell ref="E62:F62"/>
    <mergeCell ref="L62:M62"/>
    <mergeCell ref="N62:O62"/>
    <mergeCell ref="U62:V62"/>
    <mergeCell ref="W62:X62"/>
    <mergeCell ref="C59:D59"/>
    <mergeCell ref="E59:F59"/>
    <mergeCell ref="L59:M59"/>
    <mergeCell ref="N59:O59"/>
    <mergeCell ref="U59:V59"/>
    <mergeCell ref="W59:X59"/>
    <mergeCell ref="C60:D60"/>
    <mergeCell ref="E60:F60"/>
    <mergeCell ref="L60:M60"/>
    <mergeCell ref="N60:O60"/>
    <mergeCell ref="U60:V60"/>
    <mergeCell ref="W60:X60"/>
    <mergeCell ref="C57:D57"/>
    <mergeCell ref="E57:F57"/>
    <mergeCell ref="L57:M57"/>
    <mergeCell ref="N57:O57"/>
    <mergeCell ref="U57:V57"/>
    <mergeCell ref="W57:X57"/>
    <mergeCell ref="C58:D58"/>
    <mergeCell ref="E58:F58"/>
    <mergeCell ref="L58:M58"/>
    <mergeCell ref="N58:O58"/>
    <mergeCell ref="U58:V58"/>
    <mergeCell ref="W58:X58"/>
    <mergeCell ref="C55:D55"/>
    <mergeCell ref="E55:F55"/>
    <mergeCell ref="L55:M55"/>
    <mergeCell ref="N55:O55"/>
    <mergeCell ref="U55:V55"/>
    <mergeCell ref="W55:X55"/>
    <mergeCell ref="C56:D56"/>
    <mergeCell ref="E56:F56"/>
    <mergeCell ref="L56:M56"/>
    <mergeCell ref="N56:O56"/>
    <mergeCell ref="U56:V56"/>
    <mergeCell ref="W56:X56"/>
    <mergeCell ref="C53:D53"/>
    <mergeCell ref="E53:F53"/>
    <mergeCell ref="L53:M53"/>
    <mergeCell ref="N53:O53"/>
    <mergeCell ref="U53:V53"/>
    <mergeCell ref="W53:X53"/>
    <mergeCell ref="C54:D54"/>
    <mergeCell ref="E54:F54"/>
    <mergeCell ref="L54:M54"/>
    <mergeCell ref="N54:O54"/>
    <mergeCell ref="U54:V54"/>
    <mergeCell ref="W54:X54"/>
    <mergeCell ref="C51:D51"/>
    <mergeCell ref="E51:F51"/>
    <mergeCell ref="L51:M51"/>
    <mergeCell ref="N51:O51"/>
    <mergeCell ref="U51:V51"/>
    <mergeCell ref="W51:X51"/>
    <mergeCell ref="C52:D52"/>
    <mergeCell ref="E52:F52"/>
    <mergeCell ref="L52:M52"/>
    <mergeCell ref="N52:O52"/>
    <mergeCell ref="U52:V52"/>
    <mergeCell ref="W52:X52"/>
    <mergeCell ref="C49:D49"/>
    <mergeCell ref="E49:F49"/>
    <mergeCell ref="L49:M49"/>
    <mergeCell ref="N49:O49"/>
    <mergeCell ref="U49:V49"/>
    <mergeCell ref="W49:X49"/>
    <mergeCell ref="C50:D50"/>
    <mergeCell ref="E50:F50"/>
    <mergeCell ref="L50:M50"/>
    <mergeCell ref="N50:O50"/>
    <mergeCell ref="U50:V50"/>
    <mergeCell ref="W50:X50"/>
    <mergeCell ref="C47:D47"/>
    <mergeCell ref="E47:F47"/>
    <mergeCell ref="L47:M47"/>
    <mergeCell ref="N47:O47"/>
    <mergeCell ref="U47:V47"/>
    <mergeCell ref="W47:X47"/>
    <mergeCell ref="C48:D48"/>
    <mergeCell ref="E48:F48"/>
    <mergeCell ref="L48:M48"/>
    <mergeCell ref="N48:O48"/>
    <mergeCell ref="U48:V48"/>
    <mergeCell ref="W48:X48"/>
    <mergeCell ref="D43:H43"/>
    <mergeCell ref="M43:Q43"/>
    <mergeCell ref="V43:Z43"/>
    <mergeCell ref="E45:F45"/>
    <mergeCell ref="N45:O45"/>
    <mergeCell ref="W45:X45"/>
    <mergeCell ref="C46:D46"/>
    <mergeCell ref="E46:F46"/>
    <mergeCell ref="L46:M46"/>
    <mergeCell ref="N46:O46"/>
    <mergeCell ref="U46:V46"/>
    <mergeCell ref="W46:X46"/>
    <mergeCell ref="N24:O24"/>
    <mergeCell ref="N13:O13"/>
    <mergeCell ref="N14:O14"/>
    <mergeCell ref="N15:O15"/>
    <mergeCell ref="N16:O16"/>
    <mergeCell ref="N17:O17"/>
    <mergeCell ref="N18:O18"/>
    <mergeCell ref="N37:O37"/>
    <mergeCell ref="N38:O38"/>
    <mergeCell ref="N31:O31"/>
    <mergeCell ref="N32:O32"/>
    <mergeCell ref="N33:O33"/>
    <mergeCell ref="N34:O34"/>
    <mergeCell ref="N35:O35"/>
    <mergeCell ref="N36:O36"/>
    <mergeCell ref="N25:O25"/>
    <mergeCell ref="N26:O26"/>
    <mergeCell ref="N27:O27"/>
    <mergeCell ref="N28:O28"/>
    <mergeCell ref="N29:O29"/>
    <mergeCell ref="E38:F38"/>
    <mergeCell ref="D6:H6"/>
    <mergeCell ref="E29:F29"/>
    <mergeCell ref="E30:F30"/>
    <mergeCell ref="E31:F31"/>
    <mergeCell ref="E32:F32"/>
    <mergeCell ref="E33:F33"/>
    <mergeCell ref="E34:F34"/>
    <mergeCell ref="E23:F23"/>
    <mergeCell ref="E24:F24"/>
    <mergeCell ref="E25:F25"/>
    <mergeCell ref="E26:F26"/>
    <mergeCell ref="E27:F27"/>
    <mergeCell ref="E28:F28"/>
    <mergeCell ref="E17:F17"/>
    <mergeCell ref="E18:F18"/>
    <mergeCell ref="E19:F19"/>
    <mergeCell ref="E20:F20"/>
    <mergeCell ref="E21:F21"/>
    <mergeCell ref="E22:F22"/>
    <mergeCell ref="E11:F11"/>
    <mergeCell ref="E12:F12"/>
    <mergeCell ref="E13:F13"/>
    <mergeCell ref="E14:F14"/>
    <mergeCell ref="E15:F15"/>
    <mergeCell ref="C18:D18"/>
    <mergeCell ref="C19:D19"/>
    <mergeCell ref="C20:D20"/>
    <mergeCell ref="C21:D21"/>
    <mergeCell ref="C22:D22"/>
    <mergeCell ref="C23:D23"/>
    <mergeCell ref="C12:D12"/>
    <mergeCell ref="L34:M34"/>
    <mergeCell ref="L28:M28"/>
    <mergeCell ref="L29:M29"/>
    <mergeCell ref="L30:M30"/>
    <mergeCell ref="L31:M31"/>
    <mergeCell ref="L32:M32"/>
    <mergeCell ref="L33:M33"/>
    <mergeCell ref="L22:M22"/>
    <mergeCell ref="L23:M23"/>
    <mergeCell ref="L24:M24"/>
    <mergeCell ref="L25:M25"/>
    <mergeCell ref="L26:M26"/>
    <mergeCell ref="L27:M27"/>
    <mergeCell ref="L16:M16"/>
    <mergeCell ref="L17:M17"/>
    <mergeCell ref="L18:M18"/>
    <mergeCell ref="N30:O30"/>
    <mergeCell ref="N19:O19"/>
    <mergeCell ref="N20:O20"/>
    <mergeCell ref="N21:O21"/>
    <mergeCell ref="N22:O22"/>
    <mergeCell ref="N23:O23"/>
    <mergeCell ref="L35:M35"/>
    <mergeCell ref="L36:M36"/>
    <mergeCell ref="C37:D37"/>
    <mergeCell ref="C38:D38"/>
    <mergeCell ref="L37:M37"/>
    <mergeCell ref="L38:M38"/>
    <mergeCell ref="E35:F35"/>
    <mergeCell ref="E36:F36"/>
    <mergeCell ref="E37:F37"/>
    <mergeCell ref="L19:M19"/>
    <mergeCell ref="L20:M20"/>
    <mergeCell ref="L21:M21"/>
    <mergeCell ref="C36:D36"/>
    <mergeCell ref="L9:M9"/>
    <mergeCell ref="L10:M10"/>
    <mergeCell ref="L11:M11"/>
    <mergeCell ref="L12:M12"/>
    <mergeCell ref="L13:M13"/>
    <mergeCell ref="L14:M14"/>
    <mergeCell ref="L15:M15"/>
    <mergeCell ref="C30:D30"/>
    <mergeCell ref="C31:D31"/>
    <mergeCell ref="C32:D32"/>
    <mergeCell ref="C33:D33"/>
    <mergeCell ref="C34:D34"/>
    <mergeCell ref="C35:D35"/>
    <mergeCell ref="C24:D24"/>
    <mergeCell ref="C25:D25"/>
    <mergeCell ref="C26:D26"/>
    <mergeCell ref="C27:D27"/>
    <mergeCell ref="C28:D28"/>
    <mergeCell ref="C29:D29"/>
    <mergeCell ref="C13:D13"/>
    <mergeCell ref="C14:D14"/>
    <mergeCell ref="C15:D15"/>
    <mergeCell ref="C16:D16"/>
    <mergeCell ref="C17:D17"/>
    <mergeCell ref="C9:D9"/>
    <mergeCell ref="C10:D10"/>
    <mergeCell ref="C11:D11"/>
    <mergeCell ref="E8:F8"/>
    <mergeCell ref="E9:F9"/>
    <mergeCell ref="E10:F10"/>
    <mergeCell ref="E16:F16"/>
    <mergeCell ref="V6:Z6"/>
    <mergeCell ref="W8:X8"/>
    <mergeCell ref="M6:Q6"/>
    <mergeCell ref="N8:O8"/>
    <mergeCell ref="N9:O9"/>
    <mergeCell ref="N10:O10"/>
    <mergeCell ref="N11:O11"/>
    <mergeCell ref="U9:V9"/>
    <mergeCell ref="W9:X9"/>
    <mergeCell ref="U10:V10"/>
    <mergeCell ref="W10:X10"/>
    <mergeCell ref="U11:V11"/>
    <mergeCell ref="W11:X11"/>
    <mergeCell ref="U12:V12"/>
    <mergeCell ref="W12:X12"/>
    <mergeCell ref="U13:V13"/>
    <mergeCell ref="W13:X13"/>
    <mergeCell ref="N12:O12"/>
    <mergeCell ref="U14:V14"/>
    <mergeCell ref="W14:X14"/>
    <mergeCell ref="U15:V15"/>
    <mergeCell ref="W15:X15"/>
    <mergeCell ref="U16:V16"/>
    <mergeCell ref="W16:X16"/>
    <mergeCell ref="U17:V17"/>
    <mergeCell ref="W17:X17"/>
    <mergeCell ref="U18:V18"/>
    <mergeCell ref="W18:X18"/>
    <mergeCell ref="U19:V19"/>
    <mergeCell ref="W19:X19"/>
    <mergeCell ref="U20:V20"/>
    <mergeCell ref="W20:X20"/>
    <mergeCell ref="U21:V21"/>
    <mergeCell ref="W21:X21"/>
    <mergeCell ref="U22:V22"/>
    <mergeCell ref="W22:X22"/>
    <mergeCell ref="U37:V37"/>
    <mergeCell ref="W37:X37"/>
    <mergeCell ref="U38:V38"/>
    <mergeCell ref="W38:X38"/>
    <mergeCell ref="U32:V32"/>
    <mergeCell ref="W32:X32"/>
    <mergeCell ref="U33:V33"/>
    <mergeCell ref="W33:X33"/>
    <mergeCell ref="U34:V34"/>
    <mergeCell ref="W34:X34"/>
    <mergeCell ref="U35:V35"/>
    <mergeCell ref="W35:X35"/>
    <mergeCell ref="U36:V36"/>
    <mergeCell ref="W36:X36"/>
    <mergeCell ref="U23:V23"/>
    <mergeCell ref="W23:X23"/>
    <mergeCell ref="U24:V24"/>
    <mergeCell ref="W24:X24"/>
    <mergeCell ref="U25:V25"/>
    <mergeCell ref="W25:X25"/>
    <mergeCell ref="U26:V26"/>
    <mergeCell ref="W26:X26"/>
    <mergeCell ref="U27:V27"/>
    <mergeCell ref="W27:X27"/>
    <mergeCell ref="U28:V28"/>
    <mergeCell ref="W28:X28"/>
    <mergeCell ref="U29:V29"/>
    <mergeCell ref="W29:X29"/>
    <mergeCell ref="U30:V30"/>
    <mergeCell ref="W30:X30"/>
    <mergeCell ref="U31:V31"/>
    <mergeCell ref="W31:X31"/>
  </mergeCells>
  <dataValidations xWindow="359" yWindow="286" count="4">
    <dataValidation type="list" allowBlank="1" showInputMessage="1" showErrorMessage="1" sqref="V43:Z43 V80:Z80 V117:Z117 V154:Z154 V191:Z191 D6:H6 M6:Q6 V6:Z6 D43:H43 M43:Q43 D80:H80 M80:Q80 D117:H117 M117:Q117 D154:H154 M154:Q154 D191:H191 M191:Q191 D228:H228 M228:Q228" xr:uid="{00000000-0002-0000-1E00-000000000000}">
      <formula1>INDIRECT($C$3)</formula1>
    </dataValidation>
    <dataValidation type="whole" allowBlank="1" showInputMessage="1" showErrorMessage="1" sqref="E9:F38 N9:O38 W9:X38 E46:F75 N46:O75 W46:X75 E83:F112 N83:O112 W83:X112 E120:F149 N120:O149 W120:X149 E157:F186 N157:O186 W157:X186 E194:F223 N194:O223 W194:X223 E231:F260 N231:O260" xr:uid="{00000000-0002-0000-1E00-000001000000}">
      <formula1>1</formula1>
      <formula2>9999</formula2>
    </dataValidation>
    <dataValidation type="decimal" allowBlank="1" showInputMessage="1" showErrorMessage="1" sqref="G9:G38 P9:P38 Y9:Y38 G46:G75 P46:P75 Y46:Y75 G83:G112 P83:P112 Y83:Y112 G120:G149 P120:P149 Y120:Y149 G157:G186 P157:P186 Y157:Y186 G194:G223 P194:P223 Y194:Y223 G231:G260 P231:P260" xr:uid="{00000000-0002-0000-1E00-000002000000}">
      <formula1>1</formula1>
      <formula2>1000000</formula2>
    </dataValidation>
    <dataValidation type="list" allowBlank="1" showInputMessage="1" showErrorMessage="1" sqref="C3" xr:uid="{F8D578D7-5073-4FC5-9448-074AC8C1B507}">
      <formula1>LPDMethod</formula1>
    </dataValidation>
  </dataValidations>
  <printOptions horizontalCentered="1" verticalCentered="1"/>
  <pageMargins left="0.25" right="0.25" top="0.75" bottom="0.75" header="0.3" footer="0.3"/>
  <pageSetup scale="47"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tabColor theme="9"/>
  </sheetPr>
  <dimension ref="A1:V183"/>
  <sheetViews>
    <sheetView topLeftCell="A15" zoomScale="96" zoomScaleNormal="96" workbookViewId="0">
      <pane xSplit="2" topLeftCell="C1" activePane="topRight" state="frozen"/>
      <selection activeCell="G38" sqref="G38"/>
      <selection pane="topRight" activeCell="C169" sqref="C169"/>
    </sheetView>
  </sheetViews>
  <sheetFormatPr defaultRowHeight="15"/>
  <cols>
    <col min="1" max="1" width="24.140625" customWidth="1"/>
    <col min="2" max="2" width="29.85546875" customWidth="1"/>
    <col min="5" max="5" width="40.7109375" customWidth="1"/>
    <col min="6" max="10" width="15.7109375" customWidth="1"/>
    <col min="11" max="11" width="11.28515625" bestFit="1" customWidth="1"/>
  </cols>
  <sheetData>
    <row r="1" spans="1:22" ht="15.75" thickBot="1">
      <c r="A1" s="7" t="s">
        <v>67</v>
      </c>
      <c r="B1" s="1" t="str">
        <f>VERSION</f>
        <v>Custom Prescriptive Application v3.7.1</v>
      </c>
      <c r="E1" s="37" t="s">
        <v>247</v>
      </c>
      <c r="F1" s="31">
        <f ca="1">IF(EXPIRATION&lt;&gt;"","---",IF(F48=0,0,F48))</f>
        <v>0</v>
      </c>
    </row>
    <row r="2" spans="1:22" ht="15.75" thickTop="1">
      <c r="A2" s="7" t="s">
        <v>0</v>
      </c>
      <c r="B2" s="1" t="s">
        <v>1060</v>
      </c>
      <c r="E2" s="37" t="s">
        <v>473</v>
      </c>
      <c r="F2" s="31">
        <f ca="1">IF(EXPIRATION&lt;&gt;"","---",IF(H48=0,0,H48))</f>
        <v>0</v>
      </c>
      <c r="P2" s="649" t="e">
        <f ca="1">HYPERLINK("mailto:IMenergyefficiency@LMBPS.com?subject=" &amp;"IM Custom Application Submittal" &amp;"-"&amp;PICO1 &amp;"-"&amp;MONTH(TODAY())&amp;"/"&amp;DAY(TODAY()) &amp;"/"&amp;YEAR(TODAY())&amp; "&amp;body=" &amp;"Please attach Custom Incentive Application with relevent information including new equipment specification, calculations, etc in this email","Draft E-mail")</f>
        <v>#NAME?</v>
      </c>
      <c r="Q2" s="650"/>
      <c r="R2" s="650"/>
      <c r="S2" s="650"/>
      <c r="T2" s="650"/>
      <c r="U2" s="650"/>
      <c r="V2" s="651"/>
    </row>
    <row r="3" spans="1:22">
      <c r="A3" s="7" t="s">
        <v>1</v>
      </c>
      <c r="B3" s="1" t="s">
        <v>943</v>
      </c>
      <c r="E3" s="37" t="s">
        <v>248</v>
      </c>
      <c r="F3" s="31" t="str">
        <f ca="1">IF(EXPIRATION&lt;&gt;"","---",IF(J48=0,"---",J48))</f>
        <v>---</v>
      </c>
      <c r="P3" s="652"/>
      <c r="Q3" s="653"/>
      <c r="R3" s="653"/>
      <c r="S3" s="653"/>
      <c r="T3" s="653"/>
      <c r="U3" s="653"/>
      <c r="V3" s="654"/>
    </row>
    <row r="4" spans="1:22" ht="15.75" thickBot="1">
      <c r="E4" s="37" t="s">
        <v>472</v>
      </c>
      <c r="F4" s="31" t="str">
        <f ca="1">IF(EXPIRATION&lt;&gt;"",PROJSTATEXP,IF(J48=0,PROJSTATMEASURE,IF(ENGSIGN&lt;&gt;"",PROJSTATREVIEW, IF(INCENTOTAL&gt;=500000,PROJSTATCAP,IF(AND(SUM(J44:J45)&gt;0,SUM(J44:J45)&lt;10000,SUM(J46:J47)=0),PROJSTATSTANDARD,IF(INCENTOTAL&gt;10000, PROJSTATINSPECT, PROJSTATPREAPPROVE))))))</f>
        <v>Enter Measures</v>
      </c>
      <c r="P4" s="655"/>
      <c r="Q4" s="656"/>
      <c r="R4" s="656"/>
      <c r="S4" s="656"/>
      <c r="T4" s="656"/>
      <c r="U4" s="656"/>
      <c r="V4" s="657"/>
    </row>
    <row r="5" spans="1:22" ht="15.75" thickTop="1">
      <c r="E5" s="37" t="s">
        <v>481</v>
      </c>
      <c r="F5" s="36">
        <f ca="1">SUM(A74,A81,A134,A154,A173,A181)/SUM(D74,D81,D134,D154,D173,D181)</f>
        <v>2.8985507246376812E-2</v>
      </c>
    </row>
    <row r="6" spans="1:22">
      <c r="A6" s="2" t="s">
        <v>2</v>
      </c>
      <c r="B6" s="3" t="s">
        <v>3</v>
      </c>
    </row>
    <row r="7" spans="1:22">
      <c r="A7" s="4" t="s">
        <v>36</v>
      </c>
      <c r="B7" s="180" t="s">
        <v>71</v>
      </c>
    </row>
    <row r="8" spans="1:22">
      <c r="A8" s="5" t="s">
        <v>4</v>
      </c>
      <c r="B8" s="180" t="s">
        <v>582</v>
      </c>
    </row>
    <row r="9" spans="1:22">
      <c r="A9" s="5" t="s">
        <v>5</v>
      </c>
      <c r="B9" s="180" t="s">
        <v>1059</v>
      </c>
    </row>
    <row r="10" spans="1:22">
      <c r="A10" s="5" t="s">
        <v>6</v>
      </c>
      <c r="B10" s="180" t="s">
        <v>809</v>
      </c>
    </row>
    <row r="11" spans="1:22">
      <c r="A11" s="5" t="s">
        <v>7</v>
      </c>
      <c r="B11" s="180" t="s">
        <v>945</v>
      </c>
    </row>
    <row r="12" spans="1:22">
      <c r="A12" s="5" t="s">
        <v>8</v>
      </c>
      <c r="B12" s="180" t="s">
        <v>769</v>
      </c>
    </row>
    <row r="13" spans="1:22">
      <c r="A13" s="5" t="s">
        <v>9</v>
      </c>
      <c r="B13" s="180"/>
    </row>
    <row r="14" spans="1:22">
      <c r="A14" s="5" t="s">
        <v>10</v>
      </c>
      <c r="B14" s="180"/>
    </row>
    <row r="15" spans="1:22">
      <c r="A15" s="6" t="s">
        <v>11</v>
      </c>
      <c r="B15" s="180"/>
    </row>
    <row r="16" spans="1:22">
      <c r="A16" s="4" t="s">
        <v>37</v>
      </c>
      <c r="B16" s="180" t="s">
        <v>72</v>
      </c>
    </row>
    <row r="17" spans="1:16">
      <c r="A17" s="5" t="s">
        <v>12</v>
      </c>
      <c r="B17" s="180" t="s">
        <v>73</v>
      </c>
    </row>
    <row r="18" spans="1:16">
      <c r="A18" s="5" t="s">
        <v>13</v>
      </c>
      <c r="B18" s="180" t="s">
        <v>77</v>
      </c>
    </row>
    <row r="19" spans="1:16">
      <c r="A19" s="5" t="s">
        <v>14</v>
      </c>
      <c r="B19" s="180" t="s">
        <v>851</v>
      </c>
    </row>
    <row r="20" spans="1:16">
      <c r="A20" s="5" t="s">
        <v>15</v>
      </c>
      <c r="B20" s="180" t="s">
        <v>74</v>
      </c>
    </row>
    <row r="21" spans="1:16">
      <c r="A21" s="5" t="s">
        <v>16</v>
      </c>
      <c r="B21" s="180"/>
    </row>
    <row r="22" spans="1:16">
      <c r="A22" s="5" t="s">
        <v>17</v>
      </c>
      <c r="B22" s="180"/>
    </row>
    <row r="23" spans="1:16">
      <c r="A23" s="5" t="s">
        <v>18</v>
      </c>
      <c r="B23" s="180"/>
    </row>
    <row r="24" spans="1:16">
      <c r="A24" s="6" t="s">
        <v>19</v>
      </c>
      <c r="B24" s="180"/>
    </row>
    <row r="25" spans="1:16">
      <c r="A25" s="4" t="s">
        <v>62</v>
      </c>
      <c r="B25" s="180" t="s">
        <v>946</v>
      </c>
      <c r="E25" s="34" t="str">
        <f>MAIN3</f>
        <v>PRESCRIPTIVE MEASURES INPUT</v>
      </c>
      <c r="F25" s="34" t="s">
        <v>239</v>
      </c>
      <c r="G25" s="34" t="s">
        <v>240</v>
      </c>
      <c r="H25" s="34" t="s">
        <v>470</v>
      </c>
      <c r="I25" s="34" t="s">
        <v>241</v>
      </c>
      <c r="J25" s="34" t="s">
        <v>136</v>
      </c>
      <c r="P25" s="34" t="s">
        <v>1624</v>
      </c>
    </row>
    <row r="26" spans="1:16">
      <c r="A26" s="5" t="s">
        <v>20</v>
      </c>
      <c r="B26" s="180" t="s">
        <v>155</v>
      </c>
      <c r="E26" s="41" t="str">
        <f>B26</f>
        <v>Lighting</v>
      </c>
      <c r="F26" s="32">
        <f ca="1">'M03-S01'!Z12</f>
        <v>0</v>
      </c>
      <c r="G26" s="32">
        <f ca="1">'M03-S01'!AV200</f>
        <v>0</v>
      </c>
      <c r="H26" s="32"/>
      <c r="I26" s="32">
        <f ca="1">'M03-S01'!V12</f>
        <v>0</v>
      </c>
      <c r="J26" s="32">
        <f ca="1">'M03-S01'!R12</f>
        <v>0</v>
      </c>
      <c r="P26" s="32">
        <f ca="1">'M03-S01'!AF12</f>
        <v>0</v>
      </c>
    </row>
    <row r="27" spans="1:16">
      <c r="A27" s="5" t="s">
        <v>21</v>
      </c>
      <c r="B27" s="180" t="s">
        <v>1191</v>
      </c>
      <c r="E27" s="41" t="str">
        <f t="shared" ref="E27:E33" si="0">B27</f>
        <v>Lighting Controls</v>
      </c>
      <c r="F27" s="32">
        <f ca="1">'M03-S02'!Z12</f>
        <v>0</v>
      </c>
      <c r="G27" s="32">
        <f ca="1">'M03-S02'!AV200</f>
        <v>0</v>
      </c>
      <c r="H27" s="32"/>
      <c r="I27" s="32">
        <f ca="1">'M03-S02'!V12</f>
        <v>0</v>
      </c>
      <c r="J27" s="32">
        <f>'M03-S02'!R12</f>
        <v>0</v>
      </c>
      <c r="P27" s="32">
        <f ca="1">'M03-S02'!AF12</f>
        <v>0</v>
      </c>
    </row>
    <row r="28" spans="1:16">
      <c r="A28" s="5" t="s">
        <v>22</v>
      </c>
      <c r="B28" s="180" t="s">
        <v>1974</v>
      </c>
      <c r="E28" s="41" t="str">
        <f t="shared" si="0"/>
        <v>HVAC (Electric)</v>
      </c>
      <c r="F28" s="32">
        <f ca="1">'M03-S03'!Z12</f>
        <v>0</v>
      </c>
      <c r="G28" s="32">
        <f>'M03-S03'!AV200</f>
        <v>0</v>
      </c>
      <c r="H28" s="32"/>
      <c r="I28" s="32">
        <f>'M03-S03'!V12</f>
        <v>0</v>
      </c>
      <c r="J28" s="32">
        <f>'M03-S03'!R12</f>
        <v>0</v>
      </c>
      <c r="P28" s="32">
        <f ca="1">'M03-S03'!AF12</f>
        <v>0</v>
      </c>
    </row>
    <row r="29" spans="1:16">
      <c r="A29" s="5" t="s">
        <v>23</v>
      </c>
      <c r="B29" s="180" t="s">
        <v>162</v>
      </c>
      <c r="E29" s="41" t="str">
        <f t="shared" si="0"/>
        <v>Refrigeration</v>
      </c>
      <c r="F29" s="32">
        <f ca="1">'M03-S04'!Z12</f>
        <v>0</v>
      </c>
      <c r="G29" s="32">
        <f>'M03-S04'!AV200</f>
        <v>0</v>
      </c>
      <c r="H29" s="32"/>
      <c r="I29" s="32">
        <f>'M03-S04'!V12</f>
        <v>0</v>
      </c>
      <c r="J29" s="32">
        <f>'M03-S04'!R12</f>
        <v>0</v>
      </c>
      <c r="P29" s="32">
        <f ca="1">'M03-S04'!AF12</f>
        <v>0</v>
      </c>
    </row>
    <row r="30" spans="1:16">
      <c r="A30" s="5" t="s">
        <v>24</v>
      </c>
      <c r="B30" s="180" t="s">
        <v>2380</v>
      </c>
      <c r="E30" s="41" t="str">
        <f t="shared" si="0"/>
        <v>Commercial Cooking (Elec/Gas)</v>
      </c>
      <c r="F30" s="32">
        <f ca="1">'M03-S05'!Z12</f>
        <v>0</v>
      </c>
      <c r="G30" s="32">
        <f>'M03-S05'!AV200</f>
        <v>0</v>
      </c>
      <c r="H30" s="32">
        <f ca="1">'M03-S05'!AE12</f>
        <v>0</v>
      </c>
      <c r="I30" s="32">
        <f>'M03-S05'!V12</f>
        <v>0</v>
      </c>
      <c r="J30" s="32">
        <f>'M03-S05'!R12</f>
        <v>0</v>
      </c>
      <c r="P30" s="32">
        <f ca="1">'M03-S05'!AJ12</f>
        <v>0</v>
      </c>
    </row>
    <row r="31" spans="1:16" ht="30">
      <c r="A31" s="5" t="s">
        <v>25</v>
      </c>
      <c r="B31" s="193" t="s">
        <v>1227</v>
      </c>
      <c r="E31" s="41" t="str">
        <f t="shared" si="0"/>
        <v>HVAC 
(Gas)</v>
      </c>
      <c r="F31" s="32"/>
      <c r="G31" s="32"/>
      <c r="H31" s="32">
        <f ca="1">'M03-S06'!Z12</f>
        <v>0</v>
      </c>
      <c r="I31" s="32">
        <f>'M03-S06'!V12</f>
        <v>0</v>
      </c>
      <c r="J31" s="32">
        <f ca="1">'M03-S06'!R12</f>
        <v>0</v>
      </c>
      <c r="P31" s="32"/>
    </row>
    <row r="32" spans="1:16">
      <c r="A32" s="5" t="s">
        <v>26</v>
      </c>
      <c r="B32" s="180" t="s">
        <v>1192</v>
      </c>
      <c r="E32" s="41" t="str">
        <f t="shared" si="0"/>
        <v>Water Heating / Others (Gas)</v>
      </c>
      <c r="F32" s="32"/>
      <c r="G32" s="32"/>
      <c r="H32" s="32">
        <f ca="1">'M03-S07'!Z12</f>
        <v>0</v>
      </c>
      <c r="I32" s="32">
        <f>'M03-S07'!V12</f>
        <v>0</v>
      </c>
      <c r="J32" s="32">
        <f>'M03-S07'!R12</f>
        <v>0</v>
      </c>
      <c r="P32" s="32"/>
    </row>
    <row r="33" spans="1:16">
      <c r="A33" s="5" t="s">
        <v>27</v>
      </c>
      <c r="B33" s="180" t="s">
        <v>1973</v>
      </c>
      <c r="E33" s="41" t="str">
        <f t="shared" si="0"/>
        <v>Misc / Compressed Air / VFDs</v>
      </c>
      <c r="F33" s="32">
        <f>'M03-S08'!Z12</f>
        <v>0</v>
      </c>
      <c r="G33" s="32">
        <f>'M03-S08'!AW200</f>
        <v>0</v>
      </c>
      <c r="H33" s="32"/>
      <c r="I33" s="32">
        <f>'M03-S08'!V12</f>
        <v>0</v>
      </c>
      <c r="J33" s="32">
        <f>'M03-S08'!R12</f>
        <v>0</v>
      </c>
      <c r="P33" s="32">
        <f ca="1">'M03-S08'!AF12</f>
        <v>0</v>
      </c>
    </row>
    <row r="34" spans="1:16">
      <c r="A34" s="6" t="s">
        <v>1705</v>
      </c>
      <c r="B34" s="180" t="s">
        <v>1718</v>
      </c>
      <c r="E34" s="41" t="str">
        <f t="shared" ref="E34:E43" si="1">B34</f>
        <v>Agriculture (Elec/Gas)</v>
      </c>
      <c r="F34" s="32">
        <f ca="1">'M03-S09'!Z12</f>
        <v>0</v>
      </c>
      <c r="G34" s="32">
        <f>'M03-S09'!AV200</f>
        <v>0</v>
      </c>
      <c r="H34" s="32">
        <f ca="1">'M03-S09'!AE12</f>
        <v>0</v>
      </c>
      <c r="I34" s="32">
        <f>'M03-S09'!V12</f>
        <v>0</v>
      </c>
      <c r="J34" s="32">
        <f>'M03-S09'!R12</f>
        <v>0</v>
      </c>
      <c r="P34" s="32">
        <f ca="1">'M03-S09'!AJ12</f>
        <v>0</v>
      </c>
    </row>
    <row r="35" spans="1:16">
      <c r="A35" s="4" t="s">
        <v>63</v>
      </c>
      <c r="B35" s="180" t="s">
        <v>580</v>
      </c>
      <c r="E35" s="34" t="str">
        <f t="shared" si="1"/>
        <v>CUSTOM MEASURES INPUT</v>
      </c>
      <c r="F35" s="34" t="s">
        <v>239</v>
      </c>
      <c r="G35" s="34" t="s">
        <v>240</v>
      </c>
      <c r="H35" s="34" t="s">
        <v>470</v>
      </c>
      <c r="I35" s="34" t="s">
        <v>241</v>
      </c>
      <c r="J35" s="34" t="s">
        <v>136</v>
      </c>
      <c r="P35" s="34" t="s">
        <v>1624</v>
      </c>
    </row>
    <row r="36" spans="1:16">
      <c r="A36" s="5" t="s">
        <v>28</v>
      </c>
      <c r="B36" s="180" t="s">
        <v>1160</v>
      </c>
      <c r="E36" s="41" t="str">
        <f t="shared" si="1"/>
        <v>Custom Lighting</v>
      </c>
      <c r="F36" s="32">
        <f ca="1">'M04-S01'!Z12</f>
        <v>0</v>
      </c>
      <c r="G36" s="32">
        <f ca="1">'M04-S01'!AV200</f>
        <v>0</v>
      </c>
      <c r="H36" s="32"/>
      <c r="I36" s="32">
        <f ca="1">'M04-S01'!V12</f>
        <v>0</v>
      </c>
      <c r="J36" s="32">
        <f>'M04-S01'!R12</f>
        <v>0</v>
      </c>
      <c r="P36" s="32">
        <f ca="1">'M04-S01'!AF12</f>
        <v>0</v>
      </c>
    </row>
    <row r="37" spans="1:16">
      <c r="A37" s="5" t="s">
        <v>29</v>
      </c>
      <c r="B37" s="180" t="s">
        <v>998</v>
      </c>
      <c r="E37" s="41" t="str">
        <f t="shared" si="1"/>
        <v>New Construction Lighting</v>
      </c>
      <c r="F37" s="32">
        <f ca="1">'M04-S02'!Z12</f>
        <v>0</v>
      </c>
      <c r="G37" s="32">
        <f ca="1">'M04-S02'!AV200</f>
        <v>0</v>
      </c>
      <c r="H37" s="32"/>
      <c r="I37" s="32">
        <f ca="1">'M04-S02'!V12</f>
        <v>0</v>
      </c>
      <c r="J37" s="32">
        <f>'M04-S02'!R12</f>
        <v>0</v>
      </c>
      <c r="P37" s="32"/>
    </row>
    <row r="38" spans="1:16" ht="45">
      <c r="A38" s="5" t="s">
        <v>30</v>
      </c>
      <c r="B38" s="193" t="s">
        <v>1207</v>
      </c>
      <c r="E38" s="41" t="str">
        <f t="shared" si="1"/>
        <v>Custom / RCx / New Construction
 Non-Lighting (Electric)</v>
      </c>
      <c r="F38" s="32">
        <f ca="1">'M04-S03'!Z12</f>
        <v>0</v>
      </c>
      <c r="G38" s="32">
        <f ca="1">'M04-S03'!AX200</f>
        <v>0</v>
      </c>
      <c r="H38" s="32"/>
      <c r="I38" s="32">
        <f ca="1">'M04-S03'!V12</f>
        <v>0</v>
      </c>
      <c r="J38" s="32">
        <f>'M04-S03'!R12</f>
        <v>0</v>
      </c>
      <c r="P38" s="32">
        <f>'M04-S03'!F12+'M04-S03'!K12</f>
        <v>0</v>
      </c>
    </row>
    <row r="39" spans="1:16" ht="45">
      <c r="A39" s="5" t="s">
        <v>31</v>
      </c>
      <c r="B39" s="193" t="s">
        <v>1208</v>
      </c>
      <c r="E39" s="41" t="str">
        <f t="shared" si="1"/>
        <v>Custom / RCx / New Construction
 (Gas)</v>
      </c>
      <c r="F39" s="32"/>
      <c r="G39" s="32"/>
      <c r="H39" s="32">
        <f ca="1">'M04-S04'!Z12</f>
        <v>0</v>
      </c>
      <c r="I39" s="32">
        <f ca="1">'M04-S04'!V12</f>
        <v>0</v>
      </c>
      <c r="J39" s="32">
        <f>'M04-S04'!R12</f>
        <v>0</v>
      </c>
      <c r="P39" s="32"/>
    </row>
    <row r="40" spans="1:16">
      <c r="A40" s="5" t="s">
        <v>32</v>
      </c>
      <c r="B40" s="180"/>
      <c r="E40" s="41">
        <f t="shared" si="1"/>
        <v>0</v>
      </c>
      <c r="F40" s="32"/>
      <c r="G40" s="32"/>
      <c r="H40" s="32"/>
      <c r="I40" s="32"/>
      <c r="J40" s="32"/>
      <c r="P40" s="32"/>
    </row>
    <row r="41" spans="1:16">
      <c r="A41" s="5" t="s">
        <v>33</v>
      </c>
      <c r="B41" s="180"/>
      <c r="E41" s="41">
        <f t="shared" si="1"/>
        <v>0</v>
      </c>
      <c r="F41" s="32"/>
      <c r="G41" s="32"/>
      <c r="H41" s="32"/>
      <c r="I41" s="32"/>
      <c r="J41" s="32"/>
      <c r="P41" s="32"/>
    </row>
    <row r="42" spans="1:16">
      <c r="A42" s="5" t="s">
        <v>34</v>
      </c>
      <c r="B42" s="180"/>
      <c r="E42" s="41">
        <f t="shared" si="1"/>
        <v>0</v>
      </c>
      <c r="F42" s="32"/>
      <c r="G42" s="32"/>
      <c r="H42" s="32"/>
      <c r="I42" s="32"/>
      <c r="J42" s="32"/>
      <c r="P42" s="32"/>
    </row>
    <row r="43" spans="1:16">
      <c r="A43" s="6" t="s">
        <v>35</v>
      </c>
      <c r="B43" s="180"/>
      <c r="E43" s="41">
        <f t="shared" si="1"/>
        <v>0</v>
      </c>
      <c r="F43" s="32"/>
      <c r="G43" s="32"/>
      <c r="H43" s="32"/>
      <c r="I43" s="32"/>
      <c r="J43" s="32"/>
      <c r="K43" s="35" t="s">
        <v>219</v>
      </c>
      <c r="L43" s="35" t="s">
        <v>581</v>
      </c>
      <c r="P43" s="32"/>
    </row>
    <row r="44" spans="1:16">
      <c r="A44" s="4" t="s">
        <v>64</v>
      </c>
      <c r="B44" s="180" t="s">
        <v>796</v>
      </c>
      <c r="E44" s="35" t="s">
        <v>243</v>
      </c>
      <c r="F44" s="33">
        <f ca="1">SUM(F26:F34)</f>
        <v>0</v>
      </c>
      <c r="G44" s="33">
        <f ca="1">SUM(G26:G34)</f>
        <v>0</v>
      </c>
      <c r="H44" s="33"/>
      <c r="I44" s="33">
        <f ca="1">SUM(I26:I29,I33)+'M03-S09'!AU200+'M03-S05'!AU200</f>
        <v>0</v>
      </c>
      <c r="J44" s="33">
        <f ca="1">SUM(J26:J29,J33)+'M03-S09'!AZ200+'M03-S05'!AZ200</f>
        <v>0</v>
      </c>
      <c r="K44" s="366" t="str">
        <f ca="1">IFERROR(ROUND(((1+ELOSS)*((KWHTOTALPRESE*INDEX(ELECCB[NPV AEC $/kWh],MATCH(15,ELECCB[Year Number],0)))+(KWTOTALPRESE*INDEX(ELECCB[NPV ACC+T&amp;D $/kW],MATCH(10,ELECCB[Year Number],0))))/COSTTOTALPRESE),2),"NA")</f>
        <v>NA</v>
      </c>
      <c r="L44" s="33" t="str">
        <f ca="1">IFERROR(ROUND(COSTTOTALPRESE/M02S02F35/KWHTOTALPRESE,2),"NA")</f>
        <v>NA</v>
      </c>
      <c r="P44" s="33">
        <f ca="1">SUM(P26:P30,P33)</f>
        <v>0</v>
      </c>
    </row>
    <row r="45" spans="1:16">
      <c r="A45" s="5" t="s">
        <v>38</v>
      </c>
      <c r="B45" s="180" t="s">
        <v>75</v>
      </c>
      <c r="E45" s="35" t="s">
        <v>242</v>
      </c>
      <c r="F45" s="33"/>
      <c r="G45" s="33"/>
      <c r="H45" s="33">
        <f ca="1">SUM(H26:H34)</f>
        <v>0</v>
      </c>
      <c r="I45" s="33">
        <f>SUM(I31:I32)+'M03-S09'!AX200+'M03-S05'!AX200</f>
        <v>0</v>
      </c>
      <c r="J45" s="33">
        <f ca="1">SUM(J31:J32)+'M03-S09'!BA200+'M03-S05'!BA200</f>
        <v>0</v>
      </c>
      <c r="K45" s="366" t="str">
        <f ca="1">IFERROR(ROUND(((1+GLOSS)*((THERMTOTALPRESG*INDEX(GASCB[NPV GAEC $/therm],MATCH(10,GASCB[Year Number],1))))/COSTTOTALPRESG),2),"NA")</f>
        <v>NA</v>
      </c>
      <c r="L45" s="33" t="str">
        <f ca="1">IFERROR(ROUND(COSTTOTALPRESG/M02S02F36/THERMTOTALPRESG,2),"NA")</f>
        <v>NA</v>
      </c>
      <c r="P45" s="33">
        <f>SUM(P31:P32)</f>
        <v>0</v>
      </c>
    </row>
    <row r="46" spans="1:16">
      <c r="A46" s="5" t="s">
        <v>39</v>
      </c>
      <c r="B46" s="180" t="s">
        <v>124</v>
      </c>
      <c r="E46" s="35" t="s">
        <v>244</v>
      </c>
      <c r="F46" s="33">
        <f ca="1">SUM(F36:F43)</f>
        <v>0</v>
      </c>
      <c r="G46" s="33">
        <f ca="1">SUM(G36:G43)</f>
        <v>0</v>
      </c>
      <c r="H46" s="33"/>
      <c r="I46" s="33">
        <f ca="1">SUM(I36:I38)</f>
        <v>0</v>
      </c>
      <c r="J46" s="33">
        <f>SUM(J36:J38)</f>
        <v>0</v>
      </c>
      <c r="K46" s="366" t="str">
        <f ca="1">IFERROR(ROUND(((1+ELOSS)*((KWHTOTALCUSE*INDEX(ELECCB[NPV AEC $/kWh],MATCH(15,ELECCB[Year Number],0)))+(KWTOTALCUSE*INDEX(ELECCB[NPV ACC+T&amp;D $/kW],MATCH(10,ELECCB[Year Number],0))))/COSTTOTALCUSE),2),"NA")</f>
        <v>NA</v>
      </c>
      <c r="L46" s="33" t="str">
        <f ca="1">IFERROR(ROUND(COSTTOTALCUSE/M02S02F35/KWHTOTALCUSE,2),"NA")</f>
        <v>NA</v>
      </c>
      <c r="P46" s="33">
        <f ca="1">SUM(P36:P38)</f>
        <v>0</v>
      </c>
    </row>
    <row r="47" spans="1:16">
      <c r="A47" s="5" t="s">
        <v>40</v>
      </c>
      <c r="B47" s="180"/>
      <c r="E47" s="35" t="s">
        <v>245</v>
      </c>
      <c r="F47" s="33"/>
      <c r="G47" s="33"/>
      <c r="H47" s="33">
        <f ca="1">SUM(H36:H43)</f>
        <v>0</v>
      </c>
      <c r="I47" s="33">
        <f ca="1">SUM(I39)</f>
        <v>0</v>
      </c>
      <c r="J47" s="33">
        <f>SUM(J39)</f>
        <v>0</v>
      </c>
      <c r="K47" s="366" t="str">
        <f ca="1">IFERROR(ROUND(((1+GLOSS)*((THERMTOTALCUSG*INDEX(GASCB[NPV GAEC $/therm],MATCH(10,GASCB[Year Number],1))))/COSTTOTALCUSG),2),"NA")</f>
        <v>NA</v>
      </c>
      <c r="L47" s="33" t="str">
        <f ca="1">IFERROR(ROUND(COSTTOTALCUSG/M02S02F36/THERMTOTALCUSG,2),"NA")</f>
        <v>NA</v>
      </c>
      <c r="P47" s="33">
        <f>SUM(P39)</f>
        <v>0</v>
      </c>
    </row>
    <row r="48" spans="1:16">
      <c r="A48" s="5" t="s">
        <v>41</v>
      </c>
      <c r="B48" s="180" t="s">
        <v>121</v>
      </c>
      <c r="E48" s="35" t="s">
        <v>246</v>
      </c>
      <c r="F48" s="33">
        <f ca="1">SUM(F26:F34,F36:F43)</f>
        <v>0</v>
      </c>
      <c r="G48" s="33">
        <f ca="1">SUM(G26:G34,G36:G43)</f>
        <v>0</v>
      </c>
      <c r="H48" s="33">
        <f ca="1">SUM(H26:H34,H36:H43)</f>
        <v>0</v>
      </c>
      <c r="I48" s="33">
        <f ca="1">SUM(I26:I34,I36:I43)</f>
        <v>0</v>
      </c>
      <c r="J48" s="33">
        <f ca="1">SUM(J26:J34,J36:J43)+P48</f>
        <v>0</v>
      </c>
      <c r="K48" s="366" t="str">
        <f ca="1">IFERROR(ROUND((((1+ELOSS)*((KWHTOTAL*INDEX(ELECCB[NPV AEC $/kWh],MATCH(15,ELECCB[Year Number],0)))+(KWTOTAL*INDEX(ELECCB[NPV ACC+T&amp;D $/kW],MATCH(10,ELECCB[Year Number],0))))+((1+GLOSS)*((THERMTOTAL*INDEX(GASCB[NPV GAEC $/therm],MATCH(10,GASCB[Year Number],1))))))/COSTTOTAL),2),"NA")</f>
        <v>NA</v>
      </c>
      <c r="L48" s="366" t="str">
        <f ca="1">IFERROR(COSTTOTAL/((KWHTOTAL*M02S02F35)+(THERMTOTAL*M02S02F36)),"NA")</f>
        <v>NA</v>
      </c>
      <c r="P48" s="33">
        <f ca="1">SUM(P26:P34,P36:P43)</f>
        <v>0</v>
      </c>
    </row>
    <row r="49" spans="1:2">
      <c r="A49" s="5" t="s">
        <v>42</v>
      </c>
      <c r="B49" s="180" t="s">
        <v>122</v>
      </c>
    </row>
    <row r="50" spans="1:2">
      <c r="A50" s="5" t="s">
        <v>43</v>
      </c>
      <c r="B50" s="180" t="s">
        <v>235</v>
      </c>
    </row>
    <row r="51" spans="1:2">
      <c r="A51" s="5" t="s">
        <v>44</v>
      </c>
      <c r="B51" s="180" t="s">
        <v>868</v>
      </c>
    </row>
    <row r="52" spans="1:2">
      <c r="A52" s="6" t="s">
        <v>45</v>
      </c>
      <c r="B52" s="180"/>
    </row>
    <row r="53" spans="1:2">
      <c r="A53" s="4" t="s">
        <v>65</v>
      </c>
      <c r="B53" s="180"/>
    </row>
    <row r="54" spans="1:2">
      <c r="A54" s="5" t="s">
        <v>46</v>
      </c>
      <c r="B54" s="180"/>
    </row>
    <row r="55" spans="1:2">
      <c r="A55" s="5" t="s">
        <v>47</v>
      </c>
      <c r="B55" s="180"/>
    </row>
    <row r="56" spans="1:2">
      <c r="A56" s="5" t="s">
        <v>48</v>
      </c>
      <c r="B56" s="180"/>
    </row>
    <row r="57" spans="1:2">
      <c r="A57" s="5" t="s">
        <v>49</v>
      </c>
      <c r="B57" s="180"/>
    </row>
    <row r="58" spans="1:2">
      <c r="A58" s="5" t="s">
        <v>50</v>
      </c>
      <c r="B58" s="180"/>
    </row>
    <row r="59" spans="1:2">
      <c r="A59" s="5" t="s">
        <v>51</v>
      </c>
      <c r="B59" s="180"/>
    </row>
    <row r="60" spans="1:2">
      <c r="A60" s="5" t="s">
        <v>52</v>
      </c>
      <c r="B60" s="180"/>
    </row>
    <row r="61" spans="1:2">
      <c r="A61" s="6" t="s">
        <v>53</v>
      </c>
      <c r="B61" s="180"/>
    </row>
    <row r="62" spans="1:2">
      <c r="A62" s="4" t="s">
        <v>66</v>
      </c>
      <c r="B62" s="180"/>
    </row>
    <row r="63" spans="1:2">
      <c r="A63" s="5" t="s">
        <v>54</v>
      </c>
      <c r="B63" s="180"/>
    </row>
    <row r="64" spans="1:2">
      <c r="A64" s="5" t="s">
        <v>55</v>
      </c>
      <c r="B64" s="180"/>
    </row>
    <row r="65" spans="1:5">
      <c r="A65" s="5" t="s">
        <v>56</v>
      </c>
      <c r="B65" s="180"/>
    </row>
    <row r="66" spans="1:5">
      <c r="A66" s="5" t="s">
        <v>57</v>
      </c>
      <c r="B66" s="180"/>
    </row>
    <row r="67" spans="1:5">
      <c r="A67" s="5" t="s">
        <v>58</v>
      </c>
      <c r="B67" s="180"/>
    </row>
    <row r="68" spans="1:5">
      <c r="A68" s="5" t="s">
        <v>59</v>
      </c>
      <c r="B68" s="180"/>
    </row>
    <row r="69" spans="1:5">
      <c r="A69" s="5" t="s">
        <v>60</v>
      </c>
      <c r="B69" s="180"/>
    </row>
    <row r="70" spans="1:5">
      <c r="A70" s="6" t="s">
        <v>61</v>
      </c>
      <c r="B70" s="180"/>
    </row>
    <row r="73" spans="1:5">
      <c r="C73" t="s">
        <v>137</v>
      </c>
      <c r="D73" t="s">
        <v>475</v>
      </c>
    </row>
    <row r="74" spans="1:5">
      <c r="A74">
        <f ca="1">SUM(D75:D79)</f>
        <v>0</v>
      </c>
      <c r="B74" t="str">
        <f>M2S1</f>
        <v>Terms &amp; Conditions</v>
      </c>
      <c r="C74">
        <f ca="1">COUNT(C75:C79)</f>
        <v>5</v>
      </c>
      <c r="D74">
        <f ca="1">COUNT(D75:D79)</f>
        <v>5</v>
      </c>
    </row>
    <row r="75" spans="1:5">
      <c r="A75" t="s">
        <v>482</v>
      </c>
      <c r="B75" t="str">
        <f ca="1">OFFSET(INDIRECT(A75),-1,0)</f>
        <v>Electronic Signature (Account Owner or Authorized Representative)*</v>
      </c>
      <c r="C75">
        <f t="shared" ref="C75:D78" ca="1" si="2">IF(INDIRECT($A75)="",0,1)</f>
        <v>0</v>
      </c>
      <c r="D75">
        <f t="shared" ca="1" si="2"/>
        <v>0</v>
      </c>
      <c r="E75">
        <f ca="1">INDIRECT(A75)</f>
        <v>0</v>
      </c>
    </row>
    <row r="76" spans="1:5">
      <c r="A76" t="s">
        <v>483</v>
      </c>
      <c r="B76" t="str">
        <f ca="1">OFFSET(INDIRECT(A76),-1,0)</f>
        <v>Signatory Title*</v>
      </c>
      <c r="C76">
        <f t="shared" ca="1" si="2"/>
        <v>0</v>
      </c>
      <c r="D76">
        <f t="shared" ca="1" si="2"/>
        <v>0</v>
      </c>
      <c r="E76">
        <f ca="1">INDIRECT(A76)</f>
        <v>0</v>
      </c>
    </row>
    <row r="77" spans="1:5">
      <c r="A77" t="s">
        <v>1319</v>
      </c>
      <c r="B77" t="str">
        <f ca="1">OFFSET(INDIRECT(A77),-1,0)</f>
        <v>Date Signed*</v>
      </c>
      <c r="C77">
        <f t="shared" ca="1" si="2"/>
        <v>0</v>
      </c>
      <c r="D77">
        <f t="shared" ca="1" si="2"/>
        <v>0</v>
      </c>
      <c r="E77">
        <f ca="1">INDIRECT(A77)</f>
        <v>0</v>
      </c>
    </row>
    <row r="78" spans="1:5">
      <c r="A78" t="s">
        <v>2131</v>
      </c>
      <c r="B78" t="str">
        <f ca="1">OFFSET(INDIRECT(A78),-1,0)</f>
        <v>Have you Installed or Purchased Equipment*</v>
      </c>
      <c r="C78">
        <f t="shared" ca="1" si="2"/>
        <v>0</v>
      </c>
      <c r="D78">
        <f t="shared" ca="1" si="2"/>
        <v>0</v>
      </c>
      <c r="E78">
        <f t="shared" ref="E78" ca="1" si="3">INDIRECT(A78)</f>
        <v>0</v>
      </c>
    </row>
    <row r="79" spans="1:5">
      <c r="A79" t="s">
        <v>2132</v>
      </c>
      <c r="B79" t="str">
        <f ca="1">OFFSET(INDIRECT(A79),-1,0)</f>
        <v>Estimated Completion Date* (MM/DD/YYYY)</v>
      </c>
      <c r="C79">
        <f ca="1">IF(M05S02F06="YES",1,IF(INDIRECT($A79)="",0,1))</f>
        <v>0</v>
      </c>
      <c r="D79">
        <f ca="1">IF(M05S02F06="YES",1,IF(INDIRECT($A79)="",0,1))</f>
        <v>0</v>
      </c>
      <c r="E79">
        <f ca="1">IF(M05S02F06="Yes",1,INDIRECT(A79))</f>
        <v>0</v>
      </c>
    </row>
    <row r="80" spans="1:5">
      <c r="C80" t="s">
        <v>137</v>
      </c>
      <c r="D80" t="s">
        <v>475</v>
      </c>
    </row>
    <row r="81" spans="1:5">
      <c r="A81">
        <f ca="1">SUM(D82:D125)</f>
        <v>2</v>
      </c>
      <c r="B81" t="str">
        <f>M2S2</f>
        <v>Company and Site Information</v>
      </c>
      <c r="C81">
        <f ca="1">COUNT(C82:C130)</f>
        <v>49</v>
      </c>
      <c r="D81">
        <f ca="1">COUNT(D82:D126)</f>
        <v>36</v>
      </c>
    </row>
    <row r="82" spans="1:5">
      <c r="A82" t="s">
        <v>238</v>
      </c>
      <c r="B82" t="str">
        <f ca="1">OFFSET(INDIRECT(A82),-1,0)</f>
        <v>Legal Company Name*</v>
      </c>
      <c r="C82">
        <f t="shared" ref="C82:D86" ca="1" si="4">IF(INDIRECT($A82)="",0,1)</f>
        <v>0</v>
      </c>
      <c r="D82">
        <f t="shared" ca="1" si="4"/>
        <v>0</v>
      </c>
      <c r="E82">
        <f t="shared" ref="E82:E124" ca="1" si="5">INDIRECT(A82)</f>
        <v>0</v>
      </c>
    </row>
    <row r="83" spans="1:5">
      <c r="A83" t="s">
        <v>251</v>
      </c>
      <c r="B83" t="str">
        <f t="shared" ref="B83:B158" ca="1" si="6">OFFSET(INDIRECT(A83),-1,0)</f>
        <v>First Name*</v>
      </c>
      <c r="C83">
        <f t="shared" ca="1" si="4"/>
        <v>0</v>
      </c>
      <c r="D83">
        <f t="shared" ca="1" si="4"/>
        <v>0</v>
      </c>
      <c r="E83">
        <f t="shared" ca="1" si="5"/>
        <v>0</v>
      </c>
    </row>
    <row r="84" spans="1:5">
      <c r="A84" t="s">
        <v>252</v>
      </c>
      <c r="B84" t="str">
        <f t="shared" ca="1" si="6"/>
        <v>Last Name*</v>
      </c>
      <c r="C84">
        <f t="shared" ca="1" si="4"/>
        <v>0</v>
      </c>
      <c r="D84">
        <f t="shared" ca="1" si="4"/>
        <v>0</v>
      </c>
      <c r="E84">
        <f t="shared" ca="1" si="5"/>
        <v>0</v>
      </c>
    </row>
    <row r="85" spans="1:5">
      <c r="A85" t="s">
        <v>253</v>
      </c>
      <c r="B85" t="str">
        <f t="shared" ca="1" si="6"/>
        <v>Title*</v>
      </c>
      <c r="C85">
        <f t="shared" ca="1" si="4"/>
        <v>0</v>
      </c>
      <c r="D85">
        <f t="shared" ca="1" si="4"/>
        <v>0</v>
      </c>
      <c r="E85">
        <f t="shared" ca="1" si="5"/>
        <v>0</v>
      </c>
    </row>
    <row r="86" spans="1:5">
      <c r="A86" t="s">
        <v>254</v>
      </c>
      <c r="B86" t="str">
        <f t="shared" ca="1" si="6"/>
        <v>Primary Phone*</v>
      </c>
      <c r="C86">
        <f t="shared" ca="1" si="4"/>
        <v>0</v>
      </c>
      <c r="D86">
        <f t="shared" ca="1" si="4"/>
        <v>0</v>
      </c>
      <c r="E86">
        <f t="shared" ca="1" si="5"/>
        <v>0</v>
      </c>
    </row>
    <row r="87" spans="1:5">
      <c r="A87" t="s">
        <v>255</v>
      </c>
      <c r="B87" t="str">
        <f t="shared" ca="1" si="6"/>
        <v>Secondary Phone</v>
      </c>
      <c r="C87">
        <f t="shared" ref="C87:D126" ca="1" si="7">IF(INDIRECT($A87)="",0,1)</f>
        <v>0</v>
      </c>
      <c r="E87">
        <f t="shared" ca="1" si="5"/>
        <v>0</v>
      </c>
    </row>
    <row r="88" spans="1:5">
      <c r="A88" t="s">
        <v>256</v>
      </c>
      <c r="B88" t="str">
        <f t="shared" ca="1" si="6"/>
        <v>Email*</v>
      </c>
      <c r="C88">
        <f t="shared" ca="1" si="7"/>
        <v>0</v>
      </c>
      <c r="D88">
        <f t="shared" ref="D88:D101" ca="1" si="8">IF(INDIRECT($A88)="",0,1)</f>
        <v>0</v>
      </c>
      <c r="E88">
        <f t="shared" ca="1" si="5"/>
        <v>0</v>
      </c>
    </row>
    <row r="89" spans="1:5">
      <c r="A89" t="s">
        <v>257</v>
      </c>
      <c r="B89" t="str">
        <f t="shared" ca="1" si="6"/>
        <v>Company Address*</v>
      </c>
      <c r="C89">
        <f t="shared" ca="1" si="7"/>
        <v>0</v>
      </c>
      <c r="D89">
        <f t="shared" ca="1" si="8"/>
        <v>0</v>
      </c>
      <c r="E89">
        <f t="shared" ca="1" si="5"/>
        <v>0</v>
      </c>
    </row>
    <row r="90" spans="1:5">
      <c r="A90" t="s">
        <v>258</v>
      </c>
      <c r="B90" t="str">
        <f t="shared" ca="1" si="6"/>
        <v>City*</v>
      </c>
      <c r="C90">
        <f t="shared" ca="1" si="7"/>
        <v>0</v>
      </c>
      <c r="D90">
        <f t="shared" ca="1" si="8"/>
        <v>0</v>
      </c>
      <c r="E90">
        <f t="shared" ca="1" si="5"/>
        <v>0</v>
      </c>
    </row>
    <row r="91" spans="1:5">
      <c r="A91" t="s">
        <v>259</v>
      </c>
      <c r="B91" t="str">
        <f t="shared" ca="1" si="6"/>
        <v>State*</v>
      </c>
      <c r="C91">
        <f t="shared" ca="1" si="7"/>
        <v>0</v>
      </c>
      <c r="D91">
        <f t="shared" ca="1" si="8"/>
        <v>0</v>
      </c>
      <c r="E91">
        <f t="shared" ca="1" si="5"/>
        <v>0</v>
      </c>
    </row>
    <row r="92" spans="1:5">
      <c r="A92" t="s">
        <v>260</v>
      </c>
      <c r="B92" t="str">
        <f t="shared" ca="1" si="6"/>
        <v>Zip Code*</v>
      </c>
      <c r="C92">
        <f t="shared" ca="1" si="7"/>
        <v>0</v>
      </c>
      <c r="D92">
        <f t="shared" ca="1" si="8"/>
        <v>0</v>
      </c>
      <c r="E92">
        <f t="shared" ca="1" si="5"/>
        <v>0</v>
      </c>
    </row>
    <row r="93" spans="1:5">
      <c r="A93" s="181" t="s">
        <v>1193</v>
      </c>
      <c r="B93" t="str">
        <f ca="1">OFFSET(INDIRECT(A93),-2,0)</f>
        <v>How did you hear about this program?*</v>
      </c>
      <c r="C93">
        <f t="shared" ca="1" si="7"/>
        <v>0</v>
      </c>
      <c r="D93">
        <f t="shared" ca="1" si="8"/>
        <v>0</v>
      </c>
      <c r="E93">
        <f ca="1">INDIRECT(A93)</f>
        <v>0</v>
      </c>
    </row>
    <row r="94" spans="1:5">
      <c r="A94" t="s">
        <v>261</v>
      </c>
      <c r="B94" t="str">
        <f t="shared" ca="1" si="6"/>
        <v>Project Type*</v>
      </c>
      <c r="C94">
        <f t="shared" ca="1" si="7"/>
        <v>0</v>
      </c>
      <c r="D94">
        <f t="shared" ca="1" si="8"/>
        <v>0</v>
      </c>
      <c r="E94">
        <f t="shared" ca="1" si="5"/>
        <v>0</v>
      </c>
    </row>
    <row r="95" spans="1:5">
      <c r="A95" t="s">
        <v>262</v>
      </c>
      <c r="B95" t="str">
        <f t="shared" ca="1" si="6"/>
        <v>Project ID*</v>
      </c>
      <c r="C95">
        <f t="shared" ca="1" si="7"/>
        <v>0</v>
      </c>
      <c r="D95">
        <f t="shared" ca="1" si="8"/>
        <v>0</v>
      </c>
      <c r="E95">
        <f t="shared" ca="1" si="5"/>
        <v>0</v>
      </c>
    </row>
    <row r="96" spans="1:5">
      <c r="A96" t="s">
        <v>263</v>
      </c>
      <c r="B96" t="str">
        <f ca="1">OFFSET(INDIRECT(A96),0,-9)</f>
        <v>Is Site Contact same as Company Contact?*</v>
      </c>
      <c r="C96">
        <f t="shared" ca="1" si="7"/>
        <v>0</v>
      </c>
      <c r="D96">
        <f t="shared" ca="1" si="8"/>
        <v>0</v>
      </c>
      <c r="E96">
        <f t="shared" ca="1" si="5"/>
        <v>0</v>
      </c>
    </row>
    <row r="97" spans="1:5">
      <c r="A97" t="s">
        <v>264</v>
      </c>
      <c r="B97" t="str">
        <f ca="1">OFFSET(INDIRECT(A97),0,-10)</f>
        <v>Is Site Location same as Company Location?*</v>
      </c>
      <c r="C97">
        <f t="shared" ca="1" si="7"/>
        <v>0</v>
      </c>
      <c r="D97">
        <f t="shared" ca="1" si="8"/>
        <v>0</v>
      </c>
      <c r="E97">
        <f t="shared" ca="1" si="5"/>
        <v>0</v>
      </c>
    </row>
    <row r="98" spans="1:5">
      <c r="A98" t="s">
        <v>265</v>
      </c>
      <c r="B98" t="str">
        <f t="shared" ca="1" si="6"/>
        <v>First Name*</v>
      </c>
      <c r="C98">
        <f t="shared" ca="1" si="7"/>
        <v>0</v>
      </c>
      <c r="D98">
        <f t="shared" ca="1" si="8"/>
        <v>0</v>
      </c>
      <c r="E98" t="str">
        <f t="shared" ca="1" si="5"/>
        <v/>
      </c>
    </row>
    <row r="99" spans="1:5">
      <c r="A99" t="s">
        <v>266</v>
      </c>
      <c r="B99" t="str">
        <f t="shared" ca="1" si="6"/>
        <v>Last Name*</v>
      </c>
      <c r="C99">
        <f t="shared" ca="1" si="7"/>
        <v>0</v>
      </c>
      <c r="D99">
        <f t="shared" ca="1" si="8"/>
        <v>0</v>
      </c>
      <c r="E99" t="str">
        <f t="shared" ca="1" si="5"/>
        <v/>
      </c>
    </row>
    <row r="100" spans="1:5">
      <c r="A100" t="s">
        <v>267</v>
      </c>
      <c r="B100" t="str">
        <f t="shared" ca="1" si="6"/>
        <v>Title*</v>
      </c>
      <c r="C100">
        <f t="shared" ca="1" si="7"/>
        <v>0</v>
      </c>
      <c r="D100">
        <f t="shared" ca="1" si="8"/>
        <v>0</v>
      </c>
      <c r="E100" t="str">
        <f t="shared" ca="1" si="5"/>
        <v/>
      </c>
    </row>
    <row r="101" spans="1:5">
      <c r="A101" t="s">
        <v>268</v>
      </c>
      <c r="B101" t="str">
        <f t="shared" ca="1" si="6"/>
        <v>Primary Phone*</v>
      </c>
      <c r="C101">
        <f t="shared" ca="1" si="7"/>
        <v>0</v>
      </c>
      <c r="D101">
        <f t="shared" ca="1" si="8"/>
        <v>0</v>
      </c>
      <c r="E101" t="str">
        <f t="shared" ca="1" si="5"/>
        <v/>
      </c>
    </row>
    <row r="102" spans="1:5">
      <c r="A102" t="s">
        <v>269</v>
      </c>
      <c r="B102" t="str">
        <f t="shared" ca="1" si="6"/>
        <v>Secondary Phone</v>
      </c>
      <c r="C102">
        <f t="shared" ca="1" si="7"/>
        <v>0</v>
      </c>
      <c r="E102" t="str">
        <f t="shared" ca="1" si="5"/>
        <v/>
      </c>
    </row>
    <row r="103" spans="1:5">
      <c r="A103" t="s">
        <v>270</v>
      </c>
      <c r="B103" t="str">
        <f t="shared" ca="1" si="6"/>
        <v>Email*</v>
      </c>
      <c r="C103">
        <f t="shared" ca="1" si="7"/>
        <v>0</v>
      </c>
      <c r="D103">
        <f ca="1">IF(INDIRECT($A103)="",0,1)</f>
        <v>0</v>
      </c>
      <c r="E103" t="str">
        <f t="shared" ca="1" si="5"/>
        <v/>
      </c>
    </row>
    <row r="104" spans="1:5">
      <c r="A104" t="s">
        <v>271</v>
      </c>
      <c r="B104" t="str">
        <f t="shared" ca="1" si="6"/>
        <v>Site Address*</v>
      </c>
      <c r="C104">
        <f t="shared" ca="1" si="7"/>
        <v>0</v>
      </c>
      <c r="D104">
        <f ca="1">IF(INDIRECT($A104)="",0,1)</f>
        <v>0</v>
      </c>
      <c r="E104" t="str">
        <f t="shared" ca="1" si="5"/>
        <v/>
      </c>
    </row>
    <row r="105" spans="1:5">
      <c r="A105" t="s">
        <v>272</v>
      </c>
      <c r="B105" t="str">
        <f t="shared" ca="1" si="6"/>
        <v>City*</v>
      </c>
      <c r="C105">
        <f t="shared" ca="1" si="7"/>
        <v>0</v>
      </c>
      <c r="D105">
        <f ca="1">IF(INDIRECT($A105)="",0,1)</f>
        <v>0</v>
      </c>
      <c r="E105" t="str">
        <f t="shared" ca="1" si="5"/>
        <v/>
      </c>
    </row>
    <row r="106" spans="1:5">
      <c r="A106" t="s">
        <v>273</v>
      </c>
      <c r="B106" t="str">
        <f t="shared" ca="1" si="6"/>
        <v>State*</v>
      </c>
      <c r="C106">
        <f t="shared" ca="1" si="7"/>
        <v>1</v>
      </c>
      <c r="E106" t="str">
        <f t="shared" ca="1" si="5"/>
        <v>IN</v>
      </c>
    </row>
    <row r="107" spans="1:5">
      <c r="A107" t="s">
        <v>274</v>
      </c>
      <c r="B107" t="str">
        <f t="shared" ca="1" si="6"/>
        <v>Zip Code*</v>
      </c>
      <c r="C107">
        <f t="shared" ca="1" si="7"/>
        <v>0</v>
      </c>
      <c r="D107">
        <f ca="1">IF(INDIRECT($A107)="",0,1)</f>
        <v>0</v>
      </c>
      <c r="E107" t="str">
        <f t="shared" ca="1" si="5"/>
        <v/>
      </c>
    </row>
    <row r="108" spans="1:5">
      <c r="A108" t="s">
        <v>275</v>
      </c>
      <c r="B108" t="str">
        <f t="shared" ca="1" si="6"/>
        <v>Space Type*</v>
      </c>
      <c r="C108">
        <f t="shared" ca="1" si="7"/>
        <v>0</v>
      </c>
      <c r="D108">
        <f ca="1">IF(INDIRECT($A108)="",0,1)</f>
        <v>0</v>
      </c>
      <c r="E108">
        <f t="shared" ca="1" si="5"/>
        <v>0</v>
      </c>
    </row>
    <row r="109" spans="1:5">
      <c r="A109" t="s">
        <v>276</v>
      </c>
      <c r="B109" t="str">
        <f t="shared" ca="1" si="6"/>
        <v>Building Ownership*</v>
      </c>
      <c r="C109">
        <f t="shared" ca="1" si="7"/>
        <v>0</v>
      </c>
      <c r="D109">
        <f ca="1">IF(INDIRECT($A109)="",0,1)</f>
        <v>0</v>
      </c>
      <c r="E109">
        <f t="shared" ca="1" si="5"/>
        <v>0</v>
      </c>
    </row>
    <row r="110" spans="1:5">
      <c r="A110" t="s">
        <v>277</v>
      </c>
      <c r="B110" t="str">
        <f t="shared" ca="1" si="6"/>
        <v>Annual Operating Hours*</v>
      </c>
      <c r="C110">
        <f t="shared" ca="1" si="7"/>
        <v>0</v>
      </c>
      <c r="D110">
        <f ca="1">IF(INDIRECT($A110)="",0,1)</f>
        <v>0</v>
      </c>
      <c r="E110">
        <f t="shared" ca="1" si="5"/>
        <v>0</v>
      </c>
    </row>
    <row r="111" spans="1:5">
      <c r="A111" t="s">
        <v>278</v>
      </c>
      <c r="B111" t="str">
        <f t="shared" ca="1" si="6"/>
        <v>Year Built</v>
      </c>
      <c r="C111">
        <f t="shared" ca="1" si="7"/>
        <v>0</v>
      </c>
      <c r="E111">
        <f t="shared" ca="1" si="5"/>
        <v>0</v>
      </c>
    </row>
    <row r="112" spans="1:5">
      <c r="A112" t="s">
        <v>279</v>
      </c>
      <c r="B112" t="str">
        <f t="shared" ca="1" si="6"/>
        <v>Square Footage</v>
      </c>
      <c r="C112">
        <f t="shared" ca="1" si="7"/>
        <v>0</v>
      </c>
      <c r="E112">
        <f t="shared" ca="1" si="5"/>
        <v>0</v>
      </c>
    </row>
    <row r="113" spans="1:5">
      <c r="A113" t="s">
        <v>280</v>
      </c>
      <c r="B113" t="str">
        <f t="shared" ca="1" si="6"/>
        <v># of Floors</v>
      </c>
      <c r="C113">
        <f t="shared" ca="1" si="7"/>
        <v>0</v>
      </c>
      <c r="E113">
        <f t="shared" ca="1" si="5"/>
        <v>0</v>
      </c>
    </row>
    <row r="114" spans="1:5">
      <c r="A114" t="s">
        <v>281</v>
      </c>
      <c r="B114" t="str">
        <f t="shared" ca="1" si="6"/>
        <v>Space Conditioning Type*</v>
      </c>
      <c r="C114">
        <f t="shared" ca="1" si="7"/>
        <v>0</v>
      </c>
      <c r="D114">
        <f ca="1">IF(INDIRECT($A114)="",0,1)</f>
        <v>0</v>
      </c>
      <c r="E114">
        <f t="shared" ca="1" si="5"/>
        <v>0</v>
      </c>
    </row>
    <row r="115" spans="1:5">
      <c r="A115" t="s">
        <v>282</v>
      </c>
      <c r="B115" t="str">
        <f t="shared" ca="1" si="6"/>
        <v>Water Heating Type*</v>
      </c>
      <c r="C115">
        <f t="shared" ca="1" si="7"/>
        <v>0</v>
      </c>
      <c r="D115">
        <f ca="1">IF(INDIRECT($A115)="",0,1)</f>
        <v>0</v>
      </c>
      <c r="E115">
        <f t="shared" ca="1" si="5"/>
        <v>0</v>
      </c>
    </row>
    <row r="116" spans="1:5">
      <c r="A116" t="s">
        <v>283</v>
      </c>
      <c r="B116" t="str">
        <f t="shared" ca="1" si="6"/>
        <v>Site Name*</v>
      </c>
      <c r="C116">
        <f t="shared" ca="1" si="7"/>
        <v>0</v>
      </c>
      <c r="D116">
        <f ca="1">IF(INDIRECT($A116)="",0,1)</f>
        <v>0</v>
      </c>
      <c r="E116" t="str">
        <f t="shared" ca="1" si="5"/>
        <v/>
      </c>
    </row>
    <row r="117" spans="1:5">
      <c r="A117" t="s">
        <v>284</v>
      </c>
      <c r="B117" t="str">
        <f t="shared" ca="1" si="6"/>
        <v>Gas Utility Rate* ($/Therm)</v>
      </c>
      <c r="C117">
        <f t="shared" ca="1" si="7"/>
        <v>1</v>
      </c>
      <c r="D117">
        <f ca="1">IF(INDIRECT($A117)="",0,IF(INDIRECT($A117)=0.752,"",1))</f>
        <v>1</v>
      </c>
      <c r="E117">
        <f t="shared" ca="1" si="5"/>
        <v>0.86829999999999996</v>
      </c>
    </row>
    <row r="118" spans="1:5">
      <c r="A118" t="s">
        <v>1198</v>
      </c>
      <c r="B118" t="str">
        <f ca="1">OFFSET(INDIRECT(A118),-1,0)</f>
        <v>Electric Utility Rate* ($/kWh)</v>
      </c>
      <c r="C118">
        <f t="shared" ca="1" si="7"/>
        <v>1</v>
      </c>
      <c r="D118">
        <f ca="1">IF(INDIRECT($A118)="",0,IF(INDIRECT($A118)=0.105,"",1))</f>
        <v>1</v>
      </c>
      <c r="E118">
        <f ca="1">INDIRECT(A118)</f>
        <v>0.10199999999999999</v>
      </c>
    </row>
    <row r="119" spans="1:5">
      <c r="A119" t="s">
        <v>1703</v>
      </c>
      <c r="B119" t="str">
        <f ca="1">OFFSET(INDIRECT(A119),-1,0)</f>
        <v>Account Type*</v>
      </c>
      <c r="C119">
        <f t="shared" ca="1" si="7"/>
        <v>0</v>
      </c>
      <c r="D119">
        <f ca="1">IF(INDIRECT($A119)="",0,1)</f>
        <v>0</v>
      </c>
      <c r="E119">
        <f ca="1">INDIRECT(A119)</f>
        <v>0</v>
      </c>
    </row>
    <row r="120" spans="1:5">
      <c r="A120" t="s">
        <v>285</v>
      </c>
      <c r="B120" t="str">
        <f t="shared" ca="1" si="6"/>
        <v>Account Number 1*</v>
      </c>
      <c r="C120">
        <f t="shared" ca="1" si="7"/>
        <v>0</v>
      </c>
      <c r="D120">
        <f ca="1">IF(OR(INDIRECT(A120)&lt;&gt;"",INDIRECT(A121)&lt;&gt;""),1,0)</f>
        <v>0</v>
      </c>
      <c r="E120">
        <f t="shared" ca="1" si="5"/>
        <v>0</v>
      </c>
    </row>
    <row r="121" spans="1:5">
      <c r="A121" t="s">
        <v>286</v>
      </c>
      <c r="B121" t="str">
        <f t="shared" ca="1" si="6"/>
        <v>Account Number 2</v>
      </c>
      <c r="C121">
        <f t="shared" ca="1" si="7"/>
        <v>0</v>
      </c>
      <c r="E121">
        <f t="shared" ca="1" si="5"/>
        <v>0</v>
      </c>
    </row>
    <row r="122" spans="1:5">
      <c r="A122" t="s">
        <v>287</v>
      </c>
      <c r="B122" t="str">
        <f t="shared" ca="1" si="6"/>
        <v>Meter Number 1*</v>
      </c>
      <c r="C122">
        <f t="shared" ca="1" si="7"/>
        <v>0</v>
      </c>
      <c r="D122">
        <f ca="1">IF(OR(INDIRECT($A122)&lt;&gt;"",INDIRECT($A123)&lt;&gt;""),1,0)</f>
        <v>0</v>
      </c>
      <c r="E122">
        <f t="shared" ca="1" si="5"/>
        <v>0</v>
      </c>
    </row>
    <row r="123" spans="1:5">
      <c r="A123" t="s">
        <v>288</v>
      </c>
      <c r="B123" t="str">
        <f t="shared" ca="1" si="6"/>
        <v>Meter Number 2</v>
      </c>
      <c r="C123">
        <f t="shared" ca="1" si="7"/>
        <v>0</v>
      </c>
      <c r="E123">
        <f t="shared" ca="1" si="5"/>
        <v>0</v>
      </c>
    </row>
    <row r="124" spans="1:5">
      <c r="A124" t="s">
        <v>289</v>
      </c>
      <c r="B124" t="str">
        <f t="shared" ca="1" si="6"/>
        <v>Project Description*</v>
      </c>
      <c r="C124">
        <f t="shared" ca="1" si="7"/>
        <v>0</v>
      </c>
      <c r="D124">
        <f ca="1">IF(INDIRECT($A124)="",0,1)</f>
        <v>0</v>
      </c>
      <c r="E124">
        <f t="shared" ca="1" si="5"/>
        <v>0</v>
      </c>
    </row>
    <row r="125" spans="1:5">
      <c r="A125" t="s">
        <v>2076</v>
      </c>
      <c r="B125" t="str">
        <f t="shared" ref="B125:B130" ca="1" si="9">OFFSET(INDIRECT(A125),-1,0)</f>
        <v>Diverse Business Type*</v>
      </c>
      <c r="C125">
        <f t="shared" ca="1" si="7"/>
        <v>0</v>
      </c>
      <c r="D125">
        <f t="shared" ca="1" si="7"/>
        <v>0</v>
      </c>
      <c r="E125">
        <f t="shared" ref="E125:E130" ca="1" si="10">INDIRECT(A125)</f>
        <v>0</v>
      </c>
    </row>
    <row r="126" spans="1:5">
      <c r="A126" t="s">
        <v>2356</v>
      </c>
      <c r="B126" t="str">
        <f t="shared" ca="1" si="9"/>
        <v>Building Type*</v>
      </c>
      <c r="C126">
        <f t="shared" ca="1" si="7"/>
        <v>0</v>
      </c>
      <c r="E126">
        <f t="shared" ca="1" si="10"/>
        <v>0</v>
      </c>
    </row>
    <row r="127" spans="1:5">
      <c r="A127" t="s">
        <v>2077</v>
      </c>
      <c r="B127" t="str">
        <f t="shared" ca="1" si="9"/>
        <v>Issued Organization Type</v>
      </c>
      <c r="C127">
        <f t="shared" ref="C127:C130" ca="1" si="11">IF(INDIRECT($A127)="",0,1)</f>
        <v>0</v>
      </c>
      <c r="D127">
        <f ca="1">IF(M02S02F47="Not Applicable",1,IF(INDIRECT($A127)="",0,1))</f>
        <v>0</v>
      </c>
      <c r="E127">
        <f t="shared" ca="1" si="10"/>
        <v>0</v>
      </c>
    </row>
    <row r="128" spans="1:5">
      <c r="A128" t="s">
        <v>2078</v>
      </c>
      <c r="B128" t="str">
        <f t="shared" ca="1" si="9"/>
        <v>Certificate Number</v>
      </c>
      <c r="C128">
        <f t="shared" ca="1" si="11"/>
        <v>0</v>
      </c>
      <c r="D128">
        <f ca="1">IF(M02S02F47="Not Applicable",1,IF(INDIRECT($A128)="",0,1))</f>
        <v>0</v>
      </c>
      <c r="E128">
        <f t="shared" ca="1" si="10"/>
        <v>0</v>
      </c>
    </row>
    <row r="129" spans="1:5">
      <c r="A129" t="s">
        <v>2079</v>
      </c>
      <c r="B129" t="str">
        <f t="shared" ca="1" si="9"/>
        <v>Certificate Issued Date</v>
      </c>
      <c r="C129">
        <f t="shared" ca="1" si="11"/>
        <v>0</v>
      </c>
      <c r="D129">
        <f ca="1">IF(M02S02F47="Not Applicable",1,IF(INDIRECT($A129)="",0,1))</f>
        <v>0</v>
      </c>
      <c r="E129">
        <f t="shared" ca="1" si="10"/>
        <v>0</v>
      </c>
    </row>
    <row r="130" spans="1:5">
      <c r="A130" t="s">
        <v>2080</v>
      </c>
      <c r="B130" t="str">
        <f t="shared" ca="1" si="9"/>
        <v>Certificate Expiration Date</v>
      </c>
      <c r="C130">
        <f t="shared" ca="1" si="11"/>
        <v>0</v>
      </c>
      <c r="D130">
        <f ca="1">IF(M02S02F47="Not Applicable",1,IF(INDIRECT($A130)="",0,1))</f>
        <v>0</v>
      </c>
      <c r="E130">
        <f t="shared" ca="1" si="10"/>
        <v>0</v>
      </c>
    </row>
    <row r="133" spans="1:5">
      <c r="C133" t="s">
        <v>137</v>
      </c>
      <c r="D133" t="s">
        <v>475</v>
      </c>
    </row>
    <row r="134" spans="1:5">
      <c r="A134">
        <f ca="1">SUM(D135:D147)</f>
        <v>0</v>
      </c>
      <c r="B134" t="str">
        <f>M2S3</f>
        <v>Trade Ally / Vendor Information</v>
      </c>
      <c r="C134">
        <f ca="1">COUNT(C135:C151)</f>
        <v>17</v>
      </c>
      <c r="D134">
        <f ca="1">COUNT(D135:D147)</f>
        <v>12</v>
      </c>
    </row>
    <row r="135" spans="1:5">
      <c r="A135" t="s">
        <v>250</v>
      </c>
      <c r="B135" t="str">
        <f t="shared" ca="1" si="6"/>
        <v>Is there a Trade Ally or vendor for this project?</v>
      </c>
      <c r="C135">
        <f ca="1">IF(INDIRECT($A135)="",0,1)</f>
        <v>0</v>
      </c>
      <c r="D135">
        <f ca="1">IF(INDIRECT($A135)="",0,1)</f>
        <v>0</v>
      </c>
      <c r="E135">
        <f t="shared" ref="E135:E146" ca="1" si="12">INDIRECT(A135)</f>
        <v>0</v>
      </c>
    </row>
    <row r="136" spans="1:5">
      <c r="A136" t="s">
        <v>290</v>
      </c>
      <c r="B136" t="str">
        <f t="shared" ca="1" si="6"/>
        <v>Trade Ally / Vendor Company*</v>
      </c>
      <c r="C136">
        <f t="shared" ref="C136:C151" ca="1" si="13">IF(INDIRECT($A136)="",0,1)</f>
        <v>0</v>
      </c>
      <c r="D136">
        <f ca="1">IF(M02S03F01="No",1,IF(INDIRECT($A136)="",0,1))</f>
        <v>0</v>
      </c>
      <c r="E136">
        <f t="shared" ca="1" si="12"/>
        <v>0</v>
      </c>
    </row>
    <row r="137" spans="1:5">
      <c r="A137" t="s">
        <v>291</v>
      </c>
      <c r="B137" t="str">
        <f t="shared" ca="1" si="6"/>
        <v>First Name*</v>
      </c>
      <c r="C137">
        <f t="shared" ca="1" si="13"/>
        <v>0</v>
      </c>
      <c r="D137">
        <f ca="1">IF(M02S03F01="No",1,IF(INDIRECT($A137)="",0,1))</f>
        <v>0</v>
      </c>
      <c r="E137">
        <f t="shared" ca="1" si="12"/>
        <v>0</v>
      </c>
    </row>
    <row r="138" spans="1:5">
      <c r="A138" t="s">
        <v>292</v>
      </c>
      <c r="B138" t="str">
        <f t="shared" ca="1" si="6"/>
        <v>Last Name*</v>
      </c>
      <c r="C138">
        <f t="shared" ca="1" si="13"/>
        <v>0</v>
      </c>
      <c r="D138">
        <f ca="1">IF(M02S03F01="No",1,IF(INDIRECT($A138)="",0,1))</f>
        <v>0</v>
      </c>
      <c r="E138">
        <f t="shared" ca="1" si="12"/>
        <v>0</v>
      </c>
    </row>
    <row r="139" spans="1:5">
      <c r="A139" t="s">
        <v>293</v>
      </c>
      <c r="B139" t="str">
        <f t="shared" ca="1" si="6"/>
        <v>Title*</v>
      </c>
      <c r="C139">
        <f t="shared" ca="1" si="13"/>
        <v>0</v>
      </c>
      <c r="D139">
        <f ca="1">IF(M02S03F01="No",1,IF(INDIRECT($A139)="",0,1))</f>
        <v>0</v>
      </c>
      <c r="E139">
        <f t="shared" ca="1" si="12"/>
        <v>0</v>
      </c>
    </row>
    <row r="140" spans="1:5">
      <c r="A140" t="s">
        <v>294</v>
      </c>
      <c r="B140" t="str">
        <f t="shared" ca="1" si="6"/>
        <v>Primary Phone*</v>
      </c>
      <c r="C140">
        <f t="shared" ca="1" si="13"/>
        <v>0</v>
      </c>
      <c r="D140">
        <f ca="1">IF(M02S03F01="No",1,IF(INDIRECT($A140)="",0,1))</f>
        <v>0</v>
      </c>
      <c r="E140">
        <f t="shared" ca="1" si="12"/>
        <v>0</v>
      </c>
    </row>
    <row r="141" spans="1:5">
      <c r="A141" t="s">
        <v>295</v>
      </c>
      <c r="B141" t="str">
        <f t="shared" ca="1" si="6"/>
        <v>Secondary Phone</v>
      </c>
      <c r="C141">
        <f t="shared" ca="1" si="13"/>
        <v>0</v>
      </c>
      <c r="E141">
        <f t="shared" ca="1" si="12"/>
        <v>0</v>
      </c>
    </row>
    <row r="142" spans="1:5">
      <c r="A142" t="s">
        <v>296</v>
      </c>
      <c r="B142" t="str">
        <f t="shared" ca="1" si="6"/>
        <v>Email*</v>
      </c>
      <c r="C142">
        <f t="shared" ca="1" si="13"/>
        <v>0</v>
      </c>
      <c r="D142">
        <f t="shared" ref="D142:D147" ca="1" si="14">IF(M02S03F01="No",1,IF(INDIRECT($A142)="",0,1))</f>
        <v>0</v>
      </c>
      <c r="E142">
        <f t="shared" ca="1" si="12"/>
        <v>0</v>
      </c>
    </row>
    <row r="143" spans="1:5">
      <c r="A143" t="s">
        <v>297</v>
      </c>
      <c r="B143" t="str">
        <f t="shared" ca="1" si="6"/>
        <v>Mailing Address*</v>
      </c>
      <c r="C143">
        <f t="shared" ca="1" si="13"/>
        <v>0</v>
      </c>
      <c r="D143">
        <f t="shared" ca="1" si="14"/>
        <v>0</v>
      </c>
      <c r="E143">
        <f t="shared" ca="1" si="12"/>
        <v>0</v>
      </c>
    </row>
    <row r="144" spans="1:5">
      <c r="A144" t="s">
        <v>298</v>
      </c>
      <c r="B144" t="str">
        <f t="shared" ca="1" si="6"/>
        <v>City*</v>
      </c>
      <c r="C144">
        <f t="shared" ca="1" si="13"/>
        <v>0</v>
      </c>
      <c r="D144">
        <f t="shared" ca="1" si="14"/>
        <v>0</v>
      </c>
      <c r="E144">
        <f t="shared" ca="1" si="12"/>
        <v>0</v>
      </c>
    </row>
    <row r="145" spans="1:5">
      <c r="A145" t="s">
        <v>299</v>
      </c>
      <c r="B145" t="str">
        <f t="shared" ca="1" si="6"/>
        <v>State*</v>
      </c>
      <c r="C145">
        <f t="shared" ca="1" si="13"/>
        <v>0</v>
      </c>
      <c r="D145">
        <f t="shared" ca="1" si="14"/>
        <v>0</v>
      </c>
      <c r="E145">
        <f t="shared" ca="1" si="12"/>
        <v>0</v>
      </c>
    </row>
    <row r="146" spans="1:5">
      <c r="A146" t="s">
        <v>300</v>
      </c>
      <c r="B146" t="str">
        <f t="shared" ca="1" si="6"/>
        <v>Zip Code*</v>
      </c>
      <c r="C146">
        <f t="shared" ca="1" si="13"/>
        <v>0</v>
      </c>
      <c r="D146">
        <f t="shared" ca="1" si="14"/>
        <v>0</v>
      </c>
      <c r="E146">
        <f t="shared" ca="1" si="12"/>
        <v>0</v>
      </c>
    </row>
    <row r="147" spans="1:5">
      <c r="A147" t="s">
        <v>2082</v>
      </c>
      <c r="B147" t="str">
        <f t="shared" ref="B147:B151" ca="1" si="15">OFFSET(INDIRECT(A147),-1,0)</f>
        <v>Diverse Business Type*</v>
      </c>
      <c r="C147">
        <f t="shared" ca="1" si="13"/>
        <v>0</v>
      </c>
      <c r="D147">
        <f t="shared" ca="1" si="14"/>
        <v>0</v>
      </c>
      <c r="E147">
        <f t="shared" ref="E147:E151" ca="1" si="16">INDIRECT(A147)</f>
        <v>0</v>
      </c>
    </row>
    <row r="148" spans="1:5">
      <c r="A148" t="s">
        <v>2083</v>
      </c>
      <c r="B148" t="str">
        <f t="shared" ca="1" si="15"/>
        <v>Issued Organization Type</v>
      </c>
      <c r="C148">
        <f t="shared" ca="1" si="13"/>
        <v>0</v>
      </c>
      <c r="D148">
        <f ca="1">IF(M02S03F01="No",1,IF(M02S03F13="Not Applicable",1,IF(INDIRECT($A148)="",0,1)))</f>
        <v>0</v>
      </c>
      <c r="E148">
        <f t="shared" ca="1" si="16"/>
        <v>0</v>
      </c>
    </row>
    <row r="149" spans="1:5">
      <c r="A149" t="s">
        <v>2084</v>
      </c>
      <c r="B149" t="str">
        <f t="shared" ca="1" si="15"/>
        <v>Certificate Number</v>
      </c>
      <c r="C149">
        <f t="shared" ca="1" si="13"/>
        <v>0</v>
      </c>
      <c r="D149">
        <f ca="1">IF(M02S03F01="No",1,IF(M02S03F13="Not Applicable",1,IF(INDIRECT($A149)="",0,1)))</f>
        <v>0</v>
      </c>
      <c r="E149">
        <f t="shared" ca="1" si="16"/>
        <v>0</v>
      </c>
    </row>
    <row r="150" spans="1:5">
      <c r="A150" t="s">
        <v>2085</v>
      </c>
      <c r="B150" t="str">
        <f t="shared" ca="1" si="15"/>
        <v>Certificate Issued Date</v>
      </c>
      <c r="C150">
        <f t="shared" ca="1" si="13"/>
        <v>0</v>
      </c>
      <c r="D150">
        <f ca="1">IF(M02S03F01="No",1,IF(M02S03F13="Not Applicable",1,IF(INDIRECT($A150)="",0,1)))</f>
        <v>0</v>
      </c>
      <c r="E150">
        <f t="shared" ca="1" si="16"/>
        <v>0</v>
      </c>
    </row>
    <row r="151" spans="1:5">
      <c r="A151" t="s">
        <v>2086</v>
      </c>
      <c r="B151" t="str">
        <f t="shared" ca="1" si="15"/>
        <v>Certificate Expiration Date</v>
      </c>
      <c r="C151">
        <f t="shared" ca="1" si="13"/>
        <v>0</v>
      </c>
      <c r="D151">
        <f ca="1">IF(M02S03F01="No",1,IF(M02S03F13="Not Applicable",1,IF(INDIRECT($A151)="",0,1)))</f>
        <v>0</v>
      </c>
      <c r="E151">
        <f t="shared" ca="1" si="16"/>
        <v>0</v>
      </c>
    </row>
    <row r="153" spans="1:5">
      <c r="C153" t="s">
        <v>137</v>
      </c>
      <c r="D153" t="s">
        <v>475</v>
      </c>
    </row>
    <row r="154" spans="1:5">
      <c r="A154">
        <f ca="1">SUM(D155:D169)</f>
        <v>0</v>
      </c>
      <c r="B154" t="str">
        <f>M2S4</f>
        <v>Payment Information</v>
      </c>
      <c r="C154">
        <f ca="1">COUNT(C155:C169)</f>
        <v>14</v>
      </c>
      <c r="D154">
        <f ca="1">COUNT(D155:D169)</f>
        <v>15</v>
      </c>
    </row>
    <row r="155" spans="1:5">
      <c r="A155" t="s">
        <v>301</v>
      </c>
      <c r="B155" t="str">
        <f ca="1">OFFSET(INDIRECT(A155),0,-7)</f>
        <v>Payment Type*</v>
      </c>
      <c r="C155">
        <f t="shared" ref="C155:D160" ca="1" si="17">IF(INDIRECT($A155)="",0,1)</f>
        <v>0</v>
      </c>
      <c r="D155">
        <f t="shared" ca="1" si="17"/>
        <v>0</v>
      </c>
      <c r="E155">
        <f t="shared" ref="E155:E168" ca="1" si="18">INDIRECT(A155)</f>
        <v>0</v>
      </c>
    </row>
    <row r="156" spans="1:5">
      <c r="A156" t="s">
        <v>302</v>
      </c>
      <c r="B156" t="str">
        <f t="shared" ca="1" si="6"/>
        <v>Payee Company Name*</v>
      </c>
      <c r="C156">
        <f t="shared" ca="1" si="17"/>
        <v>0</v>
      </c>
      <c r="D156">
        <f t="shared" ca="1" si="17"/>
        <v>0</v>
      </c>
      <c r="E156" t="str">
        <f t="shared" ca="1" si="18"/>
        <v/>
      </c>
    </row>
    <row r="157" spans="1:5">
      <c r="A157" t="s">
        <v>303</v>
      </c>
      <c r="B157" t="str">
        <f t="shared" ca="1" si="6"/>
        <v>Payee First Name*</v>
      </c>
      <c r="C157">
        <f t="shared" ca="1" si="17"/>
        <v>0</v>
      </c>
      <c r="D157">
        <f t="shared" ca="1" si="17"/>
        <v>0</v>
      </c>
      <c r="E157" t="str">
        <f t="shared" ca="1" si="18"/>
        <v/>
      </c>
    </row>
    <row r="158" spans="1:5">
      <c r="A158" t="s">
        <v>304</v>
      </c>
      <c r="B158" t="str">
        <f t="shared" ca="1" si="6"/>
        <v>Payee Last Name*</v>
      </c>
      <c r="C158">
        <f t="shared" ca="1" si="17"/>
        <v>0</v>
      </c>
      <c r="D158">
        <f t="shared" ca="1" si="17"/>
        <v>0</v>
      </c>
      <c r="E158" t="str">
        <f t="shared" ca="1" si="18"/>
        <v/>
      </c>
    </row>
    <row r="159" spans="1:5">
      <c r="A159" t="s">
        <v>305</v>
      </c>
      <c r="B159" t="str">
        <f t="shared" ref="B159:B167" ca="1" si="19">OFFSET(INDIRECT(A159),-1,0)</f>
        <v>Phone Number*</v>
      </c>
      <c r="C159">
        <f t="shared" ca="1" si="17"/>
        <v>0</v>
      </c>
      <c r="D159">
        <f t="shared" ca="1" si="17"/>
        <v>0</v>
      </c>
      <c r="E159" t="str">
        <f t="shared" ca="1" si="18"/>
        <v/>
      </c>
    </row>
    <row r="160" spans="1:5">
      <c r="A160" t="s">
        <v>306</v>
      </c>
      <c r="B160" t="str">
        <f t="shared" ca="1" si="19"/>
        <v>Email*</v>
      </c>
      <c r="C160">
        <f t="shared" ca="1" si="17"/>
        <v>0</v>
      </c>
      <c r="D160">
        <f t="shared" ca="1" si="17"/>
        <v>0</v>
      </c>
      <c r="E160" t="str">
        <f t="shared" ca="1" si="18"/>
        <v/>
      </c>
    </row>
    <row r="161" spans="1:5">
      <c r="A161" t="s">
        <v>895</v>
      </c>
      <c r="B161">
        <f t="shared" ca="1" si="19"/>
        <v>0</v>
      </c>
      <c r="C161">
        <f t="shared" ref="C161:C168" ca="1" si="20">IF(INDIRECT($A161)="",0,1)</f>
        <v>0</v>
      </c>
      <c r="D161">
        <f ca="1">IF(M02S04F01="",0,IF(M02S04F01&lt;&gt;"Site (Bill Credit)",1,IF(INDIRECT($A161)="",0,1)))</f>
        <v>0</v>
      </c>
      <c r="E161">
        <f t="shared" ca="1" si="18"/>
        <v>0</v>
      </c>
    </row>
    <row r="162" spans="1:5">
      <c r="A162" t="s">
        <v>307</v>
      </c>
      <c r="B162" t="str">
        <f t="shared" ca="1" si="19"/>
        <v>Mailing Address*</v>
      </c>
      <c r="C162">
        <f t="shared" ca="1" si="20"/>
        <v>0</v>
      </c>
      <c r="D162">
        <f t="shared" ref="D162:D168" ca="1" si="21">IF(INDIRECT($A162)="",0,1)</f>
        <v>0</v>
      </c>
      <c r="E162" t="str">
        <f t="shared" ca="1" si="18"/>
        <v/>
      </c>
    </row>
    <row r="163" spans="1:5">
      <c r="A163" t="s">
        <v>308</v>
      </c>
      <c r="B163" t="str">
        <f t="shared" ca="1" si="19"/>
        <v>City*</v>
      </c>
      <c r="C163">
        <f t="shared" ca="1" si="20"/>
        <v>0</v>
      </c>
      <c r="D163">
        <f t="shared" ca="1" si="21"/>
        <v>0</v>
      </c>
      <c r="E163" t="str">
        <f t="shared" ca="1" si="18"/>
        <v/>
      </c>
    </row>
    <row r="164" spans="1:5">
      <c r="A164" t="s">
        <v>309</v>
      </c>
      <c r="B164" t="str">
        <f t="shared" ca="1" si="19"/>
        <v>State*</v>
      </c>
      <c r="C164">
        <f t="shared" ca="1" si="20"/>
        <v>0</v>
      </c>
      <c r="D164">
        <f t="shared" ca="1" si="21"/>
        <v>0</v>
      </c>
      <c r="E164" t="str">
        <f t="shared" ca="1" si="18"/>
        <v/>
      </c>
    </row>
    <row r="165" spans="1:5">
      <c r="A165" t="s">
        <v>310</v>
      </c>
      <c r="B165" t="str">
        <f t="shared" ca="1" si="19"/>
        <v>Zip Code*</v>
      </c>
      <c r="C165">
        <f t="shared" ca="1" si="20"/>
        <v>0</v>
      </c>
      <c r="D165">
        <f t="shared" ca="1" si="21"/>
        <v>0</v>
      </c>
      <c r="E165" t="str">
        <f t="shared" ca="1" si="18"/>
        <v/>
      </c>
    </row>
    <row r="166" spans="1:5">
      <c r="A166" t="s">
        <v>311</v>
      </c>
      <c r="B166" t="str">
        <f t="shared" ca="1" si="19"/>
        <v>Tax Entity*</v>
      </c>
      <c r="C166">
        <f t="shared" ca="1" si="20"/>
        <v>0</v>
      </c>
      <c r="D166">
        <f t="shared" ca="1" si="21"/>
        <v>0</v>
      </c>
      <c r="E166">
        <f t="shared" ca="1" si="18"/>
        <v>0</v>
      </c>
    </row>
    <row r="167" spans="1:5">
      <c r="A167" t="s">
        <v>312</v>
      </c>
      <c r="B167" t="str">
        <f t="shared" ca="1" si="19"/>
        <v>Federal Tax ID Number*</v>
      </c>
      <c r="C167">
        <f t="shared" ca="1" si="20"/>
        <v>0</v>
      </c>
      <c r="D167">
        <f t="shared" ca="1" si="21"/>
        <v>0</v>
      </c>
      <c r="E167">
        <f t="shared" ca="1" si="18"/>
        <v>0</v>
      </c>
    </row>
    <row r="168" spans="1:5">
      <c r="A168" t="s">
        <v>449</v>
      </c>
      <c r="B168" t="str">
        <f ca="1">OFFSET(INDIRECT(A167),-1,0)</f>
        <v>Federal Tax ID Number*</v>
      </c>
      <c r="C168">
        <f t="shared" ca="1" si="20"/>
        <v>0</v>
      </c>
      <c r="D168">
        <f t="shared" ca="1" si="21"/>
        <v>0</v>
      </c>
      <c r="E168">
        <f t="shared" ca="1" si="18"/>
        <v>0</v>
      </c>
    </row>
    <row r="169" spans="1:5">
      <c r="A169" t="s">
        <v>484</v>
      </c>
      <c r="B169" t="s">
        <v>485</v>
      </c>
      <c r="C169" s="30" t="b">
        <v>0</v>
      </c>
      <c r="D169">
        <f>IF(C169=FALSE,0,1)</f>
        <v>0</v>
      </c>
    </row>
    <row r="172" spans="1:5">
      <c r="C172" t="s">
        <v>137</v>
      </c>
      <c r="D172" t="s">
        <v>475</v>
      </c>
    </row>
    <row r="173" spans="1:5">
      <c r="A173">
        <f ca="1">IF(SUM(D174:D177)&gt;= 1,1,0)</f>
        <v>0</v>
      </c>
      <c r="B173" t="s">
        <v>476</v>
      </c>
      <c r="C173">
        <f ca="1">COUNT(C174:C177)</f>
        <v>4</v>
      </c>
      <c r="D173">
        <v>1</v>
      </c>
    </row>
    <row r="174" spans="1:5">
      <c r="A174" t="s">
        <v>477</v>
      </c>
      <c r="B174" t="s">
        <v>243</v>
      </c>
      <c r="C174">
        <f ca="1">IF(INCENTOTALPRESE&gt;0,1,0)</f>
        <v>0</v>
      </c>
      <c r="D174">
        <f ca="1">IF(INCENTOTALPRESE&gt;0,1,0)</f>
        <v>0</v>
      </c>
    </row>
    <row r="175" spans="1:5">
      <c r="A175" t="s">
        <v>478</v>
      </c>
      <c r="B175" t="s">
        <v>242</v>
      </c>
      <c r="C175">
        <f ca="1">IF(INCENTOTALPRESG&gt;0,1,0)</f>
        <v>0</v>
      </c>
      <c r="D175">
        <f ca="1">IF(INCENTOTALPRESG&gt;0,1,0)</f>
        <v>0</v>
      </c>
    </row>
    <row r="176" spans="1:5">
      <c r="A176" t="s">
        <v>479</v>
      </c>
      <c r="B176" t="s">
        <v>244</v>
      </c>
      <c r="C176">
        <f>IF(INCENTOTALCUSE&gt;0,1,0)</f>
        <v>0</v>
      </c>
      <c r="D176">
        <f>IF(INCENTOTALCUSE&gt;0,1,0)</f>
        <v>0</v>
      </c>
    </row>
    <row r="177" spans="1:5">
      <c r="A177" t="s">
        <v>480</v>
      </c>
      <c r="B177" t="s">
        <v>245</v>
      </c>
      <c r="C177">
        <f>IF(INCENTOTALCUSG&gt;0,1,0)</f>
        <v>0</v>
      </c>
      <c r="D177">
        <f>IF(INCENTOTALCUSG&gt;0,1,0)</f>
        <v>0</v>
      </c>
    </row>
    <row r="180" spans="1:5">
      <c r="C180" t="s">
        <v>137</v>
      </c>
      <c r="D180" t="s">
        <v>475</v>
      </c>
    </row>
    <row r="181" spans="1:5">
      <c r="A181">
        <f ca="1">IF(AND(SUM(J44:J45)&gt;0,SUM(J44:J45)&lt;10000,SUM(J46:J47)=0),SUM(D182:D183),0)</f>
        <v>0</v>
      </c>
      <c r="B181" t="str">
        <f>M5S2</f>
        <v>Submit Application</v>
      </c>
      <c r="C181">
        <f ca="1">COUNT(C182:C183)</f>
        <v>2</v>
      </c>
      <c r="D181">
        <f ca="1">IF(AND(SUM(J44:J45)&gt;0,SUM(J44:J45)&lt;10000,SUM(J46:J47)=0),COUNT(D182:D183),0)</f>
        <v>0</v>
      </c>
    </row>
    <row r="182" spans="1:5">
      <c r="A182" t="s">
        <v>1320</v>
      </c>
      <c r="B182" t="str">
        <f ca="1">OFFSET(INDIRECT(A182),-1,0)</f>
        <v>Installed Date*</v>
      </c>
      <c r="C182">
        <f ca="1">IF(INDIRECT($A182)="",0,1)</f>
        <v>0</v>
      </c>
      <c r="D182">
        <f ca="1">IF(INDIRECT($A182)="",0,1)</f>
        <v>0</v>
      </c>
      <c r="E182">
        <f ca="1">INDIRECT(A182)</f>
        <v>0</v>
      </c>
    </row>
    <row r="183" spans="1:5">
      <c r="A183" t="s">
        <v>1321</v>
      </c>
      <c r="B183" t="str">
        <f ca="1">OFFSET(INDIRECT(A183),-1,0)</f>
        <v>Invoice Date*</v>
      </c>
      <c r="C183">
        <f ca="1">IF(INDIRECT($A183)="",0,1)</f>
        <v>0</v>
      </c>
      <c r="D183">
        <f ca="1">IF(INDIRECT($A183)="",0,1)</f>
        <v>0</v>
      </c>
      <c r="E183">
        <f ca="1">INDIRECT(A183)</f>
        <v>0</v>
      </c>
    </row>
  </sheetData>
  <sheetProtection algorithmName="SHA-512" hashValue="n1zvCJVnz5jJCRyjigPCJX+U65F/nZoP68IT21D3d8Eam+tag5MYHvRf8tIr/F4VaWjBMPjVnZhM87D5LMMeKw==" saltValue="kKJC5rQ/bW0ZUP7VDjkEyQ==" spinCount="100000" sheet="1" objects="1" scenarios="1" selectLockedCells="1"/>
  <mergeCells count="1">
    <mergeCell ref="P2:V4"/>
  </mergeCells>
  <phoneticPr fontId="150" type="noConversion"/>
  <conditionalFormatting sqref="B7:B70">
    <cfRule type="containsBlanks" dxfId="310" priority="2">
      <formula>LEN(TRIM(B7))=0</formula>
    </cfRule>
  </conditionalFormatting>
  <conditionalFormatting sqref="F26:J34">
    <cfRule type="containsBlanks" dxfId="309" priority="1">
      <formula>LEN(TRIM(F26))=0</formula>
    </cfRule>
  </conditionalFormatting>
  <conditionalFormatting sqref="F36:J48">
    <cfRule type="containsBlanks" dxfId="308" priority="15">
      <formula>LEN(TRIM(F36))=0</formula>
    </cfRule>
  </conditionalFormatting>
  <conditionalFormatting sqref="K48:L48">
    <cfRule type="containsBlanks" dxfId="307" priority="13">
      <formula>LEN(TRIM(K48))=0</formula>
    </cfRule>
  </conditionalFormatting>
  <conditionalFormatting sqref="P26:P34">
    <cfRule type="containsBlanks" dxfId="306" priority="6">
      <formula>LEN(TRIM(P26))=0</formula>
    </cfRule>
  </conditionalFormatting>
  <conditionalFormatting sqref="P36:P48">
    <cfRule type="containsBlanks" dxfId="305" priority="4">
      <formula>LEN(TRIM(P36))=0</formula>
    </cfRule>
  </conditionalFormatting>
  <hyperlinks>
    <hyperlink ref="E26" location="'M03-S01'!A1" display="'M03-S01'!A1" xr:uid="{00000000-0004-0000-0300-000000000000}"/>
    <hyperlink ref="E27" location="'M03-S02'!A1" display="'M03-S02'!A1" xr:uid="{00000000-0004-0000-0300-000001000000}"/>
    <hyperlink ref="E28" location="'M03-S03'!A1" display="'M03-S03'!A1" xr:uid="{00000000-0004-0000-0300-000002000000}"/>
    <hyperlink ref="E29" location="'M03-S04'!A1" display="'M03-S04'!A1" xr:uid="{00000000-0004-0000-0300-000003000000}"/>
    <hyperlink ref="E30" location="'M03-S05'!A1" display="'M03-S05'!A1" xr:uid="{00000000-0004-0000-0300-000004000000}"/>
    <hyperlink ref="E31" location="'M03-S06'!A1" display="'M03-S06'!A1" xr:uid="{00000000-0004-0000-0300-000005000000}"/>
    <hyperlink ref="E32" location="'M03-S07'!A1" display="'M03-S07'!A1" xr:uid="{00000000-0004-0000-0300-000006000000}"/>
    <hyperlink ref="E33" location="'M03-S08'!A1" display="'M03-S08'!A1" xr:uid="{00000000-0004-0000-0300-000007000000}"/>
    <hyperlink ref="E36" location="'M04-S01'!A1" display="'M04-S01'!A1" xr:uid="{00000000-0004-0000-0300-000008000000}"/>
    <hyperlink ref="E37" location="'M04-S02'!A1" display="'M04-S02'!A1" xr:uid="{00000000-0004-0000-0300-000009000000}"/>
    <hyperlink ref="E38" location="'M04-S03'!A1" display="'M04-S03'!A1" xr:uid="{00000000-0004-0000-0300-00000A000000}"/>
    <hyperlink ref="E39" location="'M04-S04'!A1" display="'M04-S04'!A1" xr:uid="{00000000-0004-0000-0300-00000B000000}"/>
    <hyperlink ref="E40" location="'M04-S05'!A1" display="'M04-S05'!A1" xr:uid="{00000000-0004-0000-0300-00000C000000}"/>
    <hyperlink ref="E41" location="'M04-S06'!A1" display="'M04-S06'!A1" xr:uid="{00000000-0004-0000-0300-00000D000000}"/>
    <hyperlink ref="E42" location="'M04-S07'!A1" display="'M04-S07'!A1" xr:uid="{00000000-0004-0000-0300-00000E000000}"/>
    <hyperlink ref="E43" location="'M04-S08'!A1" display="'M04-S08'!A1" xr:uid="{00000000-0004-0000-0300-00000F000000}"/>
  </hyperlinks>
  <pageMargins left="0.7" right="0.7" top="0.75" bottom="0.75" header="0.3" footer="0.3"/>
  <pageSetup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3">
    <pageSetUpPr fitToPage="1"/>
  </sheetPr>
  <dimension ref="A1:BS203"/>
  <sheetViews>
    <sheetView showGridLines="0" showRowColHeaders="0" zoomScale="85" zoomScaleNormal="85" workbookViewId="0">
      <selection activeCell="C16" sqref="C16:E17"/>
    </sheetView>
  </sheetViews>
  <sheetFormatPr defaultColWidth="0" defaultRowHeight="0" customHeight="1" zeroHeight="1"/>
  <cols>
    <col min="1" max="44" width="4.7109375" customWidth="1"/>
    <col min="45" max="45" width="4.7109375" style="59" customWidth="1"/>
    <col min="46" max="46" width="4.7109375" style="59" hidden="1" customWidth="1"/>
    <col min="47" max="71" width="9.140625" style="59" hidden="1" customWidth="1"/>
    <col min="72" max="16384" width="9.140625" hidden="1"/>
  </cols>
  <sheetData>
    <row r="1" spans="2:61" ht="15.95" customHeight="1">
      <c r="AH1" s="686" t="s">
        <v>471</v>
      </c>
      <c r="AI1" s="686"/>
      <c r="AJ1" s="686"/>
      <c r="AK1" s="686"/>
      <c r="AL1" s="687" t="s">
        <v>736</v>
      </c>
      <c r="AM1" s="687"/>
      <c r="AN1" s="687"/>
      <c r="AO1" s="687"/>
      <c r="AP1" s="687"/>
      <c r="AQ1" s="683" t="s">
        <v>474</v>
      </c>
      <c r="AR1" s="683"/>
    </row>
    <row r="2" spans="2:61" ht="15.95" customHeight="1">
      <c r="AH2" s="688" t="str">
        <f ca="1">INCENSTATUS</f>
        <v>---</v>
      </c>
      <c r="AI2" s="689"/>
      <c r="AJ2" s="689"/>
      <c r="AK2" s="689"/>
      <c r="AL2" s="690" t="str">
        <f ca="1">PROJSTATUS</f>
        <v>Enter Measures</v>
      </c>
      <c r="AM2" s="690"/>
      <c r="AN2" s="690"/>
      <c r="AO2" s="690"/>
      <c r="AP2" s="690"/>
      <c r="AQ2" s="684">
        <f ca="1">PROGRESSSTATUS</f>
        <v>2.8985507246376812E-2</v>
      </c>
      <c r="AR2" s="685"/>
    </row>
    <row r="3" spans="2:61" ht="15.95" customHeight="1">
      <c r="AH3" s="680"/>
      <c r="AI3" s="681"/>
      <c r="AJ3" s="681"/>
      <c r="AK3" s="681"/>
      <c r="AL3" s="673"/>
      <c r="AM3" s="673"/>
      <c r="AN3" s="673"/>
      <c r="AO3" s="673"/>
      <c r="AP3" s="673"/>
      <c r="AQ3" s="667"/>
      <c r="AR3" s="668"/>
    </row>
    <row r="4" spans="2:61" ht="15.95" customHeight="1">
      <c r="AR4" s="171"/>
    </row>
    <row r="5" spans="2:61" ht="15.95" customHeight="1"/>
    <row r="6" spans="2:61" ht="15.95" customHeight="1">
      <c r="AU6" s="59" t="s">
        <v>907</v>
      </c>
      <c r="AW6" s="59">
        <f>PROJID</f>
        <v>0</v>
      </c>
      <c r="AZ6"/>
    </row>
    <row r="7" spans="2:61" ht="15.95" customHeight="1">
      <c r="AU7" s="87"/>
      <c r="AV7" s="87"/>
      <c r="AW7" s="87" t="s">
        <v>866</v>
      </c>
      <c r="AX7" s="87" t="s">
        <v>231</v>
      </c>
      <c r="AY7" s="87" t="s">
        <v>892</v>
      </c>
      <c r="AZ7"/>
    </row>
    <row r="8" spans="2:61" ht="15.95" customHeight="1">
      <c r="AU8" s="87" t="s">
        <v>219</v>
      </c>
      <c r="AV8" s="87"/>
      <c r="AW8" s="87" t="str">
        <f ca="1">CBPRESE</f>
        <v>NA</v>
      </c>
      <c r="AX8" s="87" t="str">
        <f ca="1">CBCUSE</f>
        <v>NA</v>
      </c>
      <c r="AY8" s="87" t="str">
        <f ca="1">CBALL</f>
        <v>NA</v>
      </c>
      <c r="AZ8"/>
    </row>
    <row r="9" spans="2:61" ht="15.95" customHeight="1">
      <c r="B9" s="59"/>
      <c r="C9" s="59"/>
      <c r="D9" s="59"/>
      <c r="E9" s="59"/>
      <c r="F9" s="59"/>
      <c r="G9" s="59"/>
      <c r="H9" s="59"/>
      <c r="I9" s="59"/>
      <c r="J9" s="59"/>
      <c r="K9" s="59"/>
      <c r="L9" s="59"/>
      <c r="M9" s="59"/>
      <c r="N9" s="735" t="str">
        <f>CONCATENATE(M4S3," ","Summary")</f>
        <v>Custom / RCx / New Construction
 Non-Lighting (Electric) Summary</v>
      </c>
      <c r="O9" s="735"/>
      <c r="P9" s="735"/>
      <c r="Q9" s="735"/>
      <c r="R9" s="735"/>
      <c r="S9" s="735"/>
      <c r="T9" s="735"/>
      <c r="U9" s="735"/>
      <c r="V9" s="735"/>
      <c r="W9" s="735"/>
      <c r="X9" s="735"/>
      <c r="Y9" s="735"/>
      <c r="Z9" s="735"/>
      <c r="AA9" s="735"/>
      <c r="AB9" s="735"/>
      <c r="AC9" s="735"/>
      <c r="AD9" s="735"/>
      <c r="AE9" s="735"/>
      <c r="AF9" s="735"/>
      <c r="AG9" s="735"/>
      <c r="AH9" s="59"/>
      <c r="AI9" s="59"/>
      <c r="AJ9" s="59"/>
      <c r="AK9" s="59"/>
      <c r="AL9" s="59"/>
      <c r="AM9" s="59"/>
      <c r="AN9" s="59"/>
      <c r="AO9" s="59"/>
      <c r="AP9" s="59"/>
      <c r="AQ9" s="59"/>
      <c r="AR9" s="59"/>
      <c r="AU9" s="87"/>
      <c r="AV9" s="87"/>
      <c r="AW9" s="87"/>
      <c r="AX9" s="87"/>
      <c r="AY9" s="87"/>
      <c r="AZ9"/>
    </row>
    <row r="10" spans="2:61" ht="15.95" customHeight="1">
      <c r="B10" s="59"/>
      <c r="C10" s="59"/>
      <c r="D10" s="59"/>
      <c r="E10" s="59"/>
      <c r="N10" s="735"/>
      <c r="O10" s="735"/>
      <c r="P10" s="735"/>
      <c r="Q10" s="735"/>
      <c r="R10" s="735"/>
      <c r="S10" s="735"/>
      <c r="T10" s="735"/>
      <c r="U10" s="735"/>
      <c r="V10" s="735"/>
      <c r="W10" s="735"/>
      <c r="X10" s="735"/>
      <c r="Y10" s="735"/>
      <c r="Z10" s="735"/>
      <c r="AA10" s="735"/>
      <c r="AB10" s="735"/>
      <c r="AC10" s="735"/>
      <c r="AD10" s="735"/>
      <c r="AE10" s="735"/>
      <c r="AF10" s="735"/>
      <c r="AG10" s="735"/>
      <c r="AH10" s="59"/>
      <c r="AI10" s="59"/>
      <c r="AJ10" s="59"/>
      <c r="AK10" s="59"/>
      <c r="AL10" s="59"/>
      <c r="AM10" s="59"/>
      <c r="AN10" s="59"/>
      <c r="AO10" s="59"/>
      <c r="AP10" s="59"/>
      <c r="AQ10" s="59"/>
      <c r="AR10" s="59"/>
      <c r="AU10" s="87" t="s">
        <v>581</v>
      </c>
      <c r="AV10" s="87"/>
      <c r="AW10" s="87" t="str">
        <f ca="1">PAYPRESE</f>
        <v>NA</v>
      </c>
      <c r="AX10" s="87" t="str">
        <f ca="1">PAYCUSE</f>
        <v>NA</v>
      </c>
      <c r="AY10" s="367" t="str">
        <f ca="1">PAYALL</f>
        <v>NA</v>
      </c>
      <c r="AZ10"/>
    </row>
    <row r="11" spans="2:61" ht="15.95" customHeight="1">
      <c r="B11" s="59"/>
      <c r="C11" s="59"/>
      <c r="D11" s="59"/>
      <c r="E11" s="59"/>
      <c r="F11" s="901" t="s">
        <v>1626</v>
      </c>
      <c r="G11" s="901"/>
      <c r="H11" s="901"/>
      <c r="I11" s="901"/>
      <c r="J11" s="576"/>
      <c r="K11" s="1209" t="s">
        <v>1627</v>
      </c>
      <c r="L11" s="1209"/>
      <c r="M11" s="1209"/>
      <c r="N11" s="1209"/>
      <c r="Q11" s="59"/>
      <c r="R11" s="836" t="s">
        <v>68</v>
      </c>
      <c r="S11" s="836"/>
      <c r="T11" s="836"/>
      <c r="U11" s="836"/>
      <c r="V11" s="836" t="s">
        <v>69</v>
      </c>
      <c r="W11" s="836"/>
      <c r="X11" s="836"/>
      <c r="Y11" s="836"/>
      <c r="Z11" s="836" t="s">
        <v>70</v>
      </c>
      <c r="AA11" s="836"/>
      <c r="AB11" s="836"/>
      <c r="AC11" s="836"/>
      <c r="AE11" s="1200" t="s">
        <v>1403</v>
      </c>
      <c r="AF11" s="1200"/>
      <c r="AG11" s="1200"/>
      <c r="AH11" s="1200"/>
      <c r="AI11" s="1200"/>
      <c r="AJ11" s="1200"/>
      <c r="AK11" s="1200"/>
      <c r="AL11" s="1200"/>
      <c r="AM11" s="1200"/>
      <c r="AN11" s="1200"/>
      <c r="AO11" s="59"/>
      <c r="AP11" s="59"/>
      <c r="AQ11" s="59"/>
      <c r="AR11" s="59"/>
      <c r="AU11" s="88"/>
      <c r="AV11" s="88"/>
      <c r="AZ11"/>
    </row>
    <row r="12" spans="2:61" ht="15.95" customHeight="1">
      <c r="B12" s="59"/>
      <c r="C12" s="66"/>
      <c r="D12" s="59"/>
      <c r="E12" s="59"/>
      <c r="F12" s="902">
        <f>IFERROR(IF(AN112="",0,AN112),0)</f>
        <v>0</v>
      </c>
      <c r="G12" s="902"/>
      <c r="H12" s="902"/>
      <c r="I12" s="902"/>
      <c r="J12" s="576"/>
      <c r="K12" s="902">
        <f>IFERROR(IF(AN114="",0,AN114),0)</f>
        <v>0</v>
      </c>
      <c r="L12" s="902"/>
      <c r="M12" s="902"/>
      <c r="N12" s="902"/>
      <c r="Q12" s="59"/>
      <c r="R12" s="880">
        <f>SUM(AN16:AQ111)</f>
        <v>0</v>
      </c>
      <c r="S12" s="880"/>
      <c r="T12" s="880"/>
      <c r="U12" s="880"/>
      <c r="V12" s="880">
        <f ca="1">SUMIF(AN16:AQ198,"&gt;0",AH16:AJ198)</f>
        <v>0</v>
      </c>
      <c r="W12" s="880"/>
      <c r="X12" s="880"/>
      <c r="Y12" s="880"/>
      <c r="Z12" s="881">
        <f ca="1">SUMIF(AN16:AQ111,"&gt;0",AK16:AM111)</f>
        <v>0</v>
      </c>
      <c r="AA12" s="881"/>
      <c r="AB12" s="881"/>
      <c r="AC12" s="881"/>
      <c r="AD12" s="394"/>
      <c r="AE12" s="1200"/>
      <c r="AF12" s="1200"/>
      <c r="AG12" s="1200"/>
      <c r="AH12" s="1200"/>
      <c r="AI12" s="1200"/>
      <c r="AJ12" s="1200"/>
      <c r="AK12" s="1200"/>
      <c r="AL12" s="1200"/>
      <c r="AM12" s="1200"/>
      <c r="AN12" s="1200"/>
      <c r="AO12" s="59"/>
      <c r="AP12" s="59"/>
      <c r="AQ12" s="59"/>
      <c r="AR12" s="59"/>
    </row>
    <row r="13" spans="2:61" ht="15.95" customHeight="1">
      <c r="B13" s="59"/>
      <c r="C13" s="66"/>
      <c r="D13" s="59"/>
      <c r="E13" s="59"/>
      <c r="F13" s="902"/>
      <c r="G13" s="902"/>
      <c r="H13" s="902"/>
      <c r="I13" s="902"/>
      <c r="J13" s="577"/>
      <c r="K13" s="902"/>
      <c r="L13" s="902"/>
      <c r="M13" s="902"/>
      <c r="N13" s="902"/>
      <c r="O13" s="82"/>
      <c r="P13" s="82"/>
      <c r="Q13" s="59"/>
      <c r="R13" s="880"/>
      <c r="S13" s="880"/>
      <c r="T13" s="880"/>
      <c r="U13" s="880"/>
      <c r="V13" s="880"/>
      <c r="W13" s="880"/>
      <c r="X13" s="880"/>
      <c r="Y13" s="880"/>
      <c r="Z13" s="881"/>
      <c r="AA13" s="881"/>
      <c r="AB13" s="881"/>
      <c r="AC13" s="881"/>
      <c r="AD13" s="388"/>
      <c r="AE13" s="1200"/>
      <c r="AF13" s="1200"/>
      <c r="AG13" s="1200"/>
      <c r="AH13" s="1200"/>
      <c r="AI13" s="1200"/>
      <c r="AJ13" s="1200"/>
      <c r="AK13" s="1200"/>
      <c r="AL13" s="1200"/>
      <c r="AM13" s="1200"/>
      <c r="AN13" s="1200"/>
      <c r="AO13" s="59"/>
      <c r="AP13" s="59"/>
      <c r="AQ13" s="59"/>
      <c r="AR13" s="59"/>
    </row>
    <row r="14" spans="2:61" ht="15.95" customHeight="1">
      <c r="B14" s="59"/>
      <c r="C14" s="809" t="s">
        <v>808</v>
      </c>
      <c r="D14" s="809"/>
      <c r="E14" s="809"/>
      <c r="F14" s="809" t="s">
        <v>737</v>
      </c>
      <c r="G14" s="809"/>
      <c r="H14" s="809"/>
      <c r="I14" s="809"/>
      <c r="J14" s="809"/>
      <c r="K14" s="809"/>
      <c r="L14" s="809" t="s">
        <v>734</v>
      </c>
      <c r="M14" s="809"/>
      <c r="N14" s="809"/>
      <c r="O14" s="809"/>
      <c r="P14" s="809" t="s">
        <v>91</v>
      </c>
      <c r="Q14" s="809"/>
      <c r="R14" s="809" t="s">
        <v>112</v>
      </c>
      <c r="S14" s="809"/>
      <c r="T14" s="809" t="s">
        <v>233</v>
      </c>
      <c r="U14" s="809"/>
      <c r="V14" s="809"/>
      <c r="W14" s="809"/>
      <c r="X14" s="809" t="s">
        <v>91</v>
      </c>
      <c r="Y14" s="809"/>
      <c r="Z14" s="809" t="s">
        <v>112</v>
      </c>
      <c r="AA14" s="809"/>
      <c r="AB14" s="809" t="s">
        <v>1386</v>
      </c>
      <c r="AC14" s="809"/>
      <c r="AD14" s="1197" t="s">
        <v>196</v>
      </c>
      <c r="AE14" s="1197"/>
      <c r="AF14" s="1197"/>
      <c r="AG14" s="1197"/>
      <c r="AH14" s="809" t="s">
        <v>109</v>
      </c>
      <c r="AI14" s="809"/>
      <c r="AJ14" s="809"/>
      <c r="AK14" s="809" t="s">
        <v>116</v>
      </c>
      <c r="AL14" s="809"/>
      <c r="AM14" s="809"/>
      <c r="AN14" s="809" t="s">
        <v>108</v>
      </c>
      <c r="AO14" s="809"/>
      <c r="AP14" s="809"/>
      <c r="AQ14" s="809"/>
      <c r="AR14" s="59"/>
      <c r="AU14" s="809" t="s">
        <v>100</v>
      </c>
      <c r="AV14" s="809" t="s">
        <v>219</v>
      </c>
      <c r="AW14" s="387"/>
      <c r="AX14" s="809" t="s">
        <v>1384</v>
      </c>
      <c r="AY14" s="809" t="s">
        <v>1360</v>
      </c>
      <c r="AZ14" s="809" t="s">
        <v>1359</v>
      </c>
      <c r="BA14" s="809" t="s">
        <v>1361</v>
      </c>
      <c r="BB14" s="809" t="s">
        <v>149</v>
      </c>
      <c r="BC14" s="809" t="s">
        <v>581</v>
      </c>
      <c r="BD14" s="809" t="s">
        <v>141</v>
      </c>
      <c r="BE14" s="809" t="s">
        <v>489</v>
      </c>
      <c r="BF14" s="809" t="s">
        <v>1600</v>
      </c>
      <c r="BG14" s="809" t="s">
        <v>2389</v>
      </c>
      <c r="BH14" s="809" t="s">
        <v>2016</v>
      </c>
      <c r="BI14" s="809"/>
    </row>
    <row r="15" spans="2:61" ht="15.95" customHeight="1" thickBot="1">
      <c r="B15" s="59"/>
      <c r="C15" s="810"/>
      <c r="D15" s="810"/>
      <c r="E15" s="810"/>
      <c r="F15" s="810"/>
      <c r="G15" s="810"/>
      <c r="H15" s="810"/>
      <c r="I15" s="810"/>
      <c r="J15" s="810"/>
      <c r="K15" s="810"/>
      <c r="L15" s="810"/>
      <c r="M15" s="810"/>
      <c r="N15" s="810"/>
      <c r="O15" s="810"/>
      <c r="P15" s="810"/>
      <c r="Q15" s="810"/>
      <c r="R15" s="810"/>
      <c r="S15" s="810"/>
      <c r="T15" s="810"/>
      <c r="U15" s="810"/>
      <c r="V15" s="810"/>
      <c r="W15" s="810"/>
      <c r="X15" s="810"/>
      <c r="Y15" s="810"/>
      <c r="Z15" s="810"/>
      <c r="AA15" s="810"/>
      <c r="AB15" s="810"/>
      <c r="AC15" s="810"/>
      <c r="AD15" s="810" t="s">
        <v>110</v>
      </c>
      <c r="AE15" s="810"/>
      <c r="AF15" s="810" t="s">
        <v>111</v>
      </c>
      <c r="AG15" s="810"/>
      <c r="AH15" s="810"/>
      <c r="AI15" s="810"/>
      <c r="AJ15" s="810"/>
      <c r="AK15" s="810"/>
      <c r="AL15" s="810"/>
      <c r="AM15" s="810"/>
      <c r="AN15" s="810"/>
      <c r="AO15" s="810"/>
      <c r="AP15" s="810"/>
      <c r="AQ15" s="810"/>
      <c r="AR15" s="59"/>
      <c r="AU15" s="810"/>
      <c r="AV15" s="810"/>
      <c r="AW15" s="389" t="s">
        <v>1385</v>
      </c>
      <c r="AX15" s="810"/>
      <c r="AY15" s="810"/>
      <c r="AZ15" s="810"/>
      <c r="BA15" s="810"/>
      <c r="BB15" s="810"/>
      <c r="BC15" s="810"/>
      <c r="BD15" s="810"/>
      <c r="BE15" s="810"/>
      <c r="BF15" s="810"/>
      <c r="BG15" s="810"/>
      <c r="BH15" s="810"/>
      <c r="BI15" s="810"/>
    </row>
    <row r="16" spans="2:61" ht="15.95" customHeight="1">
      <c r="B16" s="835">
        <v>1</v>
      </c>
      <c r="C16" s="1093"/>
      <c r="D16" s="1093"/>
      <c r="E16" s="1093"/>
      <c r="F16" s="1093"/>
      <c r="G16" s="1093"/>
      <c r="H16" s="1093"/>
      <c r="I16" s="1093"/>
      <c r="J16" s="1093"/>
      <c r="K16" s="1093"/>
      <c r="L16" s="1189" t="str">
        <f t="shared" ref="L16" si="0">IFERROR(IF(F16="RCx - Study","No Study",""),"")</f>
        <v/>
      </c>
      <c r="M16" s="1176"/>
      <c r="N16" s="1176"/>
      <c r="O16" s="1177"/>
      <c r="P16" s="967" t="str">
        <f t="shared" ref="P16" si="1">IFERROR(IF(F16="RCx - Study",1,""),"")</f>
        <v/>
      </c>
      <c r="Q16" s="968"/>
      <c r="R16" s="1181" t="str">
        <f t="shared" ref="R16" si="2">IFERROR(IF(F16="RCx - Study",0,""),"")</f>
        <v/>
      </c>
      <c r="S16" s="1182"/>
      <c r="T16" s="1175" t="str">
        <f t="shared" ref="T16" si="3">IFERROR(IF(F16="RCx - Study","Study Completed",""),"")</f>
        <v/>
      </c>
      <c r="U16" s="1176"/>
      <c r="V16" s="1176"/>
      <c r="W16" s="1177"/>
      <c r="X16" s="1173" t="str">
        <f t="shared" ref="X16" si="4">IFERROR(IF(F16="RCx - Study",1,""),"")</f>
        <v/>
      </c>
      <c r="Y16" s="1173"/>
      <c r="Z16" s="1169" t="str">
        <f t="shared" ref="Z16" si="5">IFERROR(IF(F16="RCx - Study",0,""),"")</f>
        <v/>
      </c>
      <c r="AA16" s="1169"/>
      <c r="AB16" s="1173" t="str">
        <f t="shared" ref="AB16" si="6">IF(C16="New Construction","Incremental","")</f>
        <v/>
      </c>
      <c r="AC16" s="1173"/>
      <c r="AD16" s="874"/>
      <c r="AE16" s="1097"/>
      <c r="AF16" s="892" t="str">
        <f t="shared" ref="AF16" si="7">IF(AB16="Incremental",0,"")</f>
        <v/>
      </c>
      <c r="AG16" s="1171"/>
      <c r="AH16" s="870" t="str">
        <f>IF(OR(C16="",F16="",L16="",P16="",R16="",T16="",X16="",Z16="",AD16="",AF16=""),"",ROUND(AD16+AF16,2))</f>
        <v/>
      </c>
      <c r="AI16" s="1102"/>
      <c r="AJ16" s="1102"/>
      <c r="AK16" s="1111" t="str">
        <f>IF(OR(C16="",F16="",F16="",L16="",P16="",R16="",T16="",X16="",Z16="",AB16="",AD16="",AF16=""),"",IF(F16="RCx - Study",0,IF((P16*R16)-(X16*Z16)&lt;=0,0,ROUND((P16*R16)-(X16*Z16),2))))</f>
        <v/>
      </c>
      <c r="AL16" s="1111"/>
      <c r="AM16" s="1111"/>
      <c r="AN16" s="1138" t="str">
        <f>IF(OR(C16="",F16="",F16="",L16="",P16="",R16="",T16="",X16="",Z16="",AB16="",AD16="",AF16=""),"",IF(BE16&lt;&gt;"",BE16,IF(C16="Custom",AY16,IF(C16="New Construction",AZ16,IF(C16="RCx",BA16)))))</f>
        <v/>
      </c>
      <c r="AO16" s="1138"/>
      <c r="AP16" s="1138"/>
      <c r="AQ16" s="1138"/>
      <c r="AR16" s="59"/>
      <c r="AU16" s="1109" t="str">
        <f>IF(F16="","",INDEX(CUSTNONLIGHTEUNIT,MATCH(F16,PROGRAMECAT[Category 1],0)))</f>
        <v/>
      </c>
      <c r="AV16" s="1109" t="str">
        <f>IF(OR(C16="",F16="",L16="",P16="",R16="",T16="",X16="",Z16="",AB16="",AD16="",AF16=""),"",IF(F16="RCx - Study",1,((1+ELOSS)*((AK16*INDEX(ELECCB[NPV AEC $/kWh],MATCH(BB16,ELECCB[Year Number],1)))+(AX16*INDEX(ELECCB[NPV ACC+T&amp;D $/kW],MATCH(BB16,ELECCB[Year Number],1)))))/AH16))</f>
        <v/>
      </c>
      <c r="AW16" s="1196"/>
      <c r="AX16" s="1195" t="str">
        <f>IF(OR(C16="",F16="",L16="",P16="",R16="",T16="",X16="",Z16="",AB16="",AD16="",AF16=""),"",ROUND(AW16*(INDEX(PROGRAMECAT[Lighting Coincidence Factor],MATCH(F16,PROGRAMECAT[Category 1],0))),3))</f>
        <v/>
      </c>
      <c r="AY16" s="1188" t="str">
        <f>IF(OR(C16="",F16="",F16="",L16="",P16="",R16="",T16="",X16="",Z16="",AB16="",AD16="",AF16=""),"",IF(AB16="Total",ROUND(MIN(AH16*0.75,AK16*INDEX(INCRATE[Electric],MATCH("CMNONLIGHT",INCRATE[Incentive Type]))),2),IF(AB16="Incremental",ROUND(MIN(AH16,AK16*INDEX(INCRATE[Electric],MATCH("CMNONLIGHT",INCRATE[Incentive Type]))),2))))</f>
        <v/>
      </c>
      <c r="AZ16" s="1188" t="str">
        <f>IF(OR(C16="",F16="",F16="",L16="",P16="",R16="",T16="",X16="",Z16="",AB16="",AD16="",AF16=""),"",IF(AB16="Total",ROUND(MIN(AH16*0.75,AK16*INDEX(INCRATE[Electric],MATCH("NCNONLIGHT",INCRATE[Incentive Type]))),2),IF(AB16="Incremental",ROUND(MIN(AH16,AK16*INDEX(INCRATE[Electric],MATCH("NCNONLIGHT",INCRATE[Incentive Type]))),2))))</f>
        <v/>
      </c>
      <c r="BA16" s="1188" t="str">
        <f>IF(OR(C16="",F16="",F16="",L16="",P16="",R16="",T16="",X16="",Z16="",AB16="",AD16="",AF16=""),"",IF(F16="RCx - Study",MIN(AH16,SUM($AK$16:$AM$35)*INDEX(INCRATE[Electric],MATCH("RCxStudy",INCRATE[Incentive Type]))),
IF(AB16="Total",ROUND(MIN(AH16*1,AK16*INDEX(INCRATE[Electric],MATCH("RCX",INCRATE[Incentive Type]))),2),IF(AB16="Incremental",ROUND(MIN(AH16,AK16*INDEX(INCRATE[Electric],MATCH("RCX",INCRATE[Incentive Type]))),2)))))</f>
        <v/>
      </c>
      <c r="BB16" s="1103" t="str">
        <f>IF(F16="","",INDEX(PROGRAMECAT[EUL],MATCH(F16,PROGRAMECAT[Category 1],0)))</f>
        <v/>
      </c>
      <c r="BC16" s="1103" t="str">
        <f>IFERROR(IF(F16="RCx - Study",1,AH16/M02S02F35/AK16),"")</f>
        <v/>
      </c>
      <c r="BD16" s="1198" t="str">
        <f>IF(OR(C16="",F16="",L16="",P16="",R16="",T16="",X16="",Z16="",AB16="",AD16="",AF16=""),"",IF(ISNUMBER(AN16),INDEX(PROGRAMECAT[Measure Number],MATCH(F16,PROGRAMECAT[Category 1],0)),IF(AK16=0,"","000001")))</f>
        <v/>
      </c>
      <c r="BE16" s="1103" t="str" cm="1">
        <f t="array" ref="BE16">IFERROR(IF(F16="RCx - Study","",_xlfn.SINGLE(IF((P16*R16)-(X16*Z16)&lt;=0,MEASURESAV,IF(M02S02F35="",MEASURERATE,IF(AND(OR(F16="Others (Incremental)",F16="Others"),M05S07F03=""),MEASURESUBMIT, IF(AND(OR(ISNUMBER(SEARCH({"Custom","New Construction"},C16))),BC16&lt;1),MEASUREPAY,IF(AV16&lt;1,MEASURECB,""))))))),MEASURESUBMIT)</f>
        <v>Submit for Review</v>
      </c>
      <c r="BF16" s="1198" t="str">
        <f>IF(OR(C16="",F16="",L16="",P16="",R16="",T16="",X16="",Z16="",AB16="",AD16="",AF16=""),"",IF(AB16="Incremental",AH16,""))</f>
        <v/>
      </c>
      <c r="BG16" s="1198" t="str">
        <f>IF(OR(C16="",F16="",L16="",P16="",R16="",T16="",X16="",Z16="",AB16="",AD16="",AF16=""),"",IF(OR(C16="RCx",C16="Custom"),"Custom",IF(C16="New Construction","New Construction")))</f>
        <v/>
      </c>
      <c r="BH16" s="1064" t="str">
        <f ca="1">IF(OR(C16="",F16="",F16="",L16="",P16="",R16="",T16="",X16="",Z16="",AB16="",AD16="",AF16=""),"",IF('M01-S01'!$V$82&lt;TODAY(),0,IF(M02S02F46="Gas Only",0,IF(C16="New Construction",0,IF(OR(AK16="",AK16&lt;0,AH16&lt;=AN16),0,MIN(AH16-AN16,ROUND(AN16*0.2,2)))))))</f>
        <v/>
      </c>
      <c r="BI16" s="1064"/>
    </row>
    <row r="17" spans="2:61" ht="15.95" customHeight="1">
      <c r="B17" s="835"/>
      <c r="C17" s="1094"/>
      <c r="D17" s="1094"/>
      <c r="E17" s="1094"/>
      <c r="F17" s="1094"/>
      <c r="G17" s="1094"/>
      <c r="H17" s="1094"/>
      <c r="I17" s="1094"/>
      <c r="J17" s="1094"/>
      <c r="K17" s="1094"/>
      <c r="L17" s="1190"/>
      <c r="M17" s="1179"/>
      <c r="N17" s="1179"/>
      <c r="O17" s="1180"/>
      <c r="P17" s="969"/>
      <c r="Q17" s="970"/>
      <c r="R17" s="1183"/>
      <c r="S17" s="1184"/>
      <c r="T17" s="1178"/>
      <c r="U17" s="1179"/>
      <c r="V17" s="1179"/>
      <c r="W17" s="1180"/>
      <c r="X17" s="1174"/>
      <c r="Y17" s="1174"/>
      <c r="Z17" s="1170"/>
      <c r="AA17" s="1170"/>
      <c r="AB17" s="1174"/>
      <c r="AC17" s="1174"/>
      <c r="AD17" s="875"/>
      <c r="AE17" s="1098"/>
      <c r="AF17" s="861"/>
      <c r="AG17" s="1172"/>
      <c r="AH17" s="1136"/>
      <c r="AI17" s="1137"/>
      <c r="AJ17" s="1137"/>
      <c r="AK17" s="1149"/>
      <c r="AL17" s="1149"/>
      <c r="AM17" s="1149"/>
      <c r="AN17" s="1139"/>
      <c r="AO17" s="1139"/>
      <c r="AP17" s="1139"/>
      <c r="AQ17" s="1139"/>
      <c r="AR17" s="59"/>
      <c r="AU17" s="1108"/>
      <c r="AV17" s="1108"/>
      <c r="AW17" s="1194"/>
      <c r="AX17" s="1075"/>
      <c r="AY17" s="1104"/>
      <c r="AZ17" s="1104"/>
      <c r="BA17" s="1104"/>
      <c r="BB17" s="1104"/>
      <c r="BC17" s="1104"/>
      <c r="BD17" s="1192"/>
      <c r="BE17" s="1104"/>
      <c r="BF17" s="1192"/>
      <c r="BG17" s="1192"/>
      <c r="BH17" s="1002"/>
      <c r="BI17" s="1002"/>
    </row>
    <row r="18" spans="2:61" ht="15.95" customHeight="1">
      <c r="B18" s="834">
        <v>2</v>
      </c>
      <c r="C18" s="1093"/>
      <c r="D18" s="1093"/>
      <c r="E18" s="1093"/>
      <c r="F18" s="1093"/>
      <c r="G18" s="1093"/>
      <c r="H18" s="1093"/>
      <c r="I18" s="1093"/>
      <c r="J18" s="1093"/>
      <c r="K18" s="1093"/>
      <c r="L18" s="1189" t="str">
        <f t="shared" ref="L18" si="8">IFERROR(IF(F18="RCx - Study","No Study",""),"")</f>
        <v/>
      </c>
      <c r="M18" s="1176"/>
      <c r="N18" s="1176"/>
      <c r="O18" s="1177"/>
      <c r="P18" s="967" t="str">
        <f t="shared" ref="P18" si="9">IFERROR(IF(F18="RCx - Study",1,""),"")</f>
        <v/>
      </c>
      <c r="Q18" s="968"/>
      <c r="R18" s="1181" t="str">
        <f t="shared" ref="R18" si="10">IFERROR(IF(F18="RCx - Study",0,""),"")</f>
        <v/>
      </c>
      <c r="S18" s="1182"/>
      <c r="T18" s="1175" t="str">
        <f t="shared" ref="T18" si="11">IFERROR(IF(F18="RCx - Study","Study Completed",""),"")</f>
        <v/>
      </c>
      <c r="U18" s="1176"/>
      <c r="V18" s="1176"/>
      <c r="W18" s="1177"/>
      <c r="X18" s="1173" t="str">
        <f t="shared" ref="X18" si="12">IFERROR(IF(F18="RCx - Study",1,""),"")</f>
        <v/>
      </c>
      <c r="Y18" s="1173"/>
      <c r="Z18" s="1169" t="str">
        <f t="shared" ref="Z18" si="13">IFERROR(IF(F18="RCx - Study",0,""),"")</f>
        <v/>
      </c>
      <c r="AA18" s="1169"/>
      <c r="AB18" s="1173" t="str">
        <f t="shared" ref="AB18" si="14">IF(C18="New Construction","Incremental","")</f>
        <v/>
      </c>
      <c r="AC18" s="1173"/>
      <c r="AD18" s="874"/>
      <c r="AE18" s="1097"/>
      <c r="AF18" s="892" t="str">
        <f t="shared" ref="AF18" si="15">IF(AB18="Incremental",0,"")</f>
        <v/>
      </c>
      <c r="AG18" s="1171"/>
      <c r="AH18" s="870" t="str">
        <f>IF(OR(C18="",F18="",L18="",P18="",R18="",T18="",X18="",Z18="",AD18="",AF18=""),"",ROUND(AD18+AF18,2))</f>
        <v/>
      </c>
      <c r="AI18" s="1102"/>
      <c r="AJ18" s="1102"/>
      <c r="AK18" s="910" t="str">
        <f t="shared" ref="AK18" si="16">IF(OR(C18="",F18="",F18="",L18="",P18="",R18="",T18="",X18="",Z18="",AB18="",AD18="",AF18=""),"",IF(F18="RCx - Study",0,IF((P18*R18)-(X18*Z18)&lt;=0,0,ROUND((P18*R18)-(X18*Z18),2))))</f>
        <v/>
      </c>
      <c r="AL18" s="911"/>
      <c r="AM18" s="975"/>
      <c r="AN18" s="1138" t="str">
        <f>IF(OR(C18="",F18="",F18="",L18="",P18="",R18="",T18="",X18="",Z18="",AB18="",AD18="",AF18=""),"",IF(BE18&lt;&gt;"",BE18,IF(C18="Custom",AY18,IF(C18="New Construction",AZ18,IF(C18="RCx",BA18)))))</f>
        <v/>
      </c>
      <c r="AO18" s="1138"/>
      <c r="AP18" s="1138"/>
      <c r="AQ18" s="1138"/>
      <c r="AR18" s="59"/>
      <c r="AU18" s="1107" t="str">
        <f>IF(F18="","",INDEX(CUSTNONLIGHTEUNIT,MATCH(F18,PROGRAMECAT[Category 1],0)))</f>
        <v/>
      </c>
      <c r="AV18" s="1107" t="str">
        <f>IF(OR(C18="",F18="",L18="",P18="",R18="",T18="",X18="",Z18="",AB18="",AD18="",AF18=""),"",IF(F18="RCx - Study",1,((1+ELOSS)*((AK18*INDEX(ELECCB[NPV AEC $/kWh],MATCH(BB18,ELECCB[Year Number],1)))+(AX18*INDEX(ELECCB[NPV ACC+T&amp;D $/kW],MATCH(BB18,ELECCB[Year Number],1)))))/AH18))</f>
        <v/>
      </c>
      <c r="AW18" s="1193"/>
      <c r="AX18" s="1074" t="str">
        <f>IF(OR(C18="",F18="",L18="",P18="",R18="",T18="",X18="",Z18="",AB18="",AD18="",AF18=""),"",ROUND(AW18*(INDEX(PROGRAMECAT[Lighting Coincidence Factor],MATCH(F18,PROGRAMECAT[Category 1],0))),3))</f>
        <v/>
      </c>
      <c r="AY18" s="1188" t="str">
        <f>IF(OR(C18="",F18="",F18="",L18="",P18="",R18="",T18="",X18="",Z18="",AB18="",AD18="",AF18=""),"",IF(AB18="Total",ROUND(MIN(AH18*0.75,AK18*INDEX(INCRATE[Electric],MATCH("CMNONLIGHT",INCRATE[Incentive Type]))),2),IF(AB18="Incremental",ROUND(MIN(AH18,AK18*INDEX(INCRATE[Electric],MATCH("CMNONLIGHT",INCRATE[Incentive Type]))),2))))</f>
        <v/>
      </c>
      <c r="AZ18" s="1188" t="str">
        <f>IF(OR(C18="",F18="",F18="",L18="",P18="",R18="",T18="",X18="",Z18="",AB18="",AD18="",AF18=""),"",IF(AB18="Total",ROUND(MIN(AH18*0.75,AK18*INDEX(INCRATE[Electric],MATCH("NCNONLIGHT",INCRATE[Incentive Type]))),2),IF(AB18="Incremental",ROUND(MIN(AH18,AK18*INDEX(INCRATE[Electric],MATCH("NCNONLIGHT",INCRATE[Incentive Type]))),2))))</f>
        <v/>
      </c>
      <c r="BA18" s="1188" t="str">
        <f>IF(OR(C18="",F18="",F18="",L18="",P18="",R18="",T18="",X18="",Z18="",AB18="",AD18="",AF18=""),"",IF(F18="RCx - Study",MIN(AH18,SUM($AK$16:$AM$35)*INDEX(INCRATE[Electric],MATCH("RCxStudy",INCRATE[Incentive Type]))),
IF(AB18="Total",ROUND(MIN(AH18*1,AK18*INDEX(INCRATE[Electric],MATCH("RCX",INCRATE[Incentive Type]))),2),IF(AB18="Incremental",ROUND(MIN(AH18,AK18*INDEX(INCRATE[Electric],MATCH("RCX",INCRATE[Incentive Type]))),2)))))</f>
        <v/>
      </c>
      <c r="BB18" s="1188" t="str">
        <f>IF(F18="","",INDEX(PROGRAMECAT[EUL],MATCH(F18,PROGRAMECAT[Category 1],0)))</f>
        <v/>
      </c>
      <c r="BC18" s="1188" t="str">
        <f>IFERROR(IF(F18="RCx - Study",1,AH18/M02S02F35/AK18),"")</f>
        <v/>
      </c>
      <c r="BD18" s="1191" t="str">
        <f>IF(OR(C18="",F18="",L18="",P18="",R18="",T18="",X18="",Z18="",AB18="",AD18="",AF18=""),"",IF(ISNUMBER(AN18),INDEX(PROGRAMECAT[Measure Number],MATCH(F18,PROGRAMECAT[Category 1],0)),IF(AK18=0,"","000001")))</f>
        <v/>
      </c>
      <c r="BE18" s="1188" t="str" cm="1">
        <f t="array" ref="BE18">IFERROR(IF(F18="RCx - Study","",_xlfn.SINGLE(IF((P18*R18)-(X18*Z18)&lt;=0,MEASURESAV,IF(M02S02F35="",MEASURERATE,IF(AND(OR(F18="Others (Incremental)",F18="Others"),M05S07F03=""),MEASURESUBMIT, IF(AND(OR(ISNUMBER(SEARCH({"Custom","New Construction"},C18))),BC18&lt;1),MEASUREPAY,IF(AV18&lt;1,MEASURECB,""))))))),MEASURESUBMIT)</f>
        <v>Submit for Review</v>
      </c>
      <c r="BF18" s="1198" t="str">
        <f t="shared" ref="BF18" si="17">IF(OR(C18="",F18="",L18="",P18="",R18="",T18="",X18="",Z18="",AB18="",AD18="",AF18=""),"",IF(AB18="Incremental",AH18,""))</f>
        <v/>
      </c>
      <c r="BG18" s="1198"/>
      <c r="BH18" s="1001" t="str">
        <f ca="1">IF(OR(C18="",F18="",F18="",L18="",P18="",R18="",T18="",X18="",Z18="",AB18="",AD18="",AF18=""),"",IF('M01-S01'!$V$82&lt;TODAY(),0,IF(M02S02F46="Gas Only",0,IF(C18="New Construction",0,IF(OR(AK18="",AK18&lt;0,AH18&lt;=AN18),0,MIN(AH18-AN18,ROUND(AN18*0.2,2)))))))</f>
        <v/>
      </c>
      <c r="BI18" s="1064"/>
    </row>
    <row r="19" spans="2:61" ht="15.95" customHeight="1">
      <c r="B19" s="834"/>
      <c r="C19" s="1094"/>
      <c r="D19" s="1094"/>
      <c r="E19" s="1094"/>
      <c r="F19" s="1094"/>
      <c r="G19" s="1094"/>
      <c r="H19" s="1094"/>
      <c r="I19" s="1094"/>
      <c r="J19" s="1094"/>
      <c r="K19" s="1094"/>
      <c r="L19" s="1190"/>
      <c r="M19" s="1179"/>
      <c r="N19" s="1179"/>
      <c r="O19" s="1180"/>
      <c r="P19" s="969"/>
      <c r="Q19" s="970"/>
      <c r="R19" s="1183"/>
      <c r="S19" s="1184"/>
      <c r="T19" s="1178"/>
      <c r="U19" s="1179"/>
      <c r="V19" s="1179"/>
      <c r="W19" s="1180"/>
      <c r="X19" s="1174"/>
      <c r="Y19" s="1174"/>
      <c r="Z19" s="1170"/>
      <c r="AA19" s="1170"/>
      <c r="AB19" s="1174"/>
      <c r="AC19" s="1174"/>
      <c r="AD19" s="875"/>
      <c r="AE19" s="1098"/>
      <c r="AF19" s="861"/>
      <c r="AG19" s="1172"/>
      <c r="AH19" s="1136"/>
      <c r="AI19" s="1137"/>
      <c r="AJ19" s="1137"/>
      <c r="AK19" s="912"/>
      <c r="AL19" s="913"/>
      <c r="AM19" s="942"/>
      <c r="AN19" s="1139"/>
      <c r="AO19" s="1139"/>
      <c r="AP19" s="1139"/>
      <c r="AQ19" s="1139"/>
      <c r="AR19" s="59"/>
      <c r="AU19" s="1108"/>
      <c r="AV19" s="1108"/>
      <c r="AW19" s="1194"/>
      <c r="AX19" s="1075"/>
      <c r="AY19" s="1104"/>
      <c r="AZ19" s="1104"/>
      <c r="BA19" s="1104"/>
      <c r="BB19" s="1104"/>
      <c r="BC19" s="1104"/>
      <c r="BD19" s="1192"/>
      <c r="BE19" s="1104"/>
      <c r="BF19" s="1192"/>
      <c r="BG19" s="1192"/>
      <c r="BH19" s="1002"/>
      <c r="BI19" s="1002"/>
    </row>
    <row r="20" spans="2:61" ht="15.95" customHeight="1">
      <c r="B20" s="834">
        <v>3</v>
      </c>
      <c r="C20" s="1093"/>
      <c r="D20" s="1093"/>
      <c r="E20" s="1093"/>
      <c r="F20" s="1093"/>
      <c r="G20" s="1093"/>
      <c r="H20" s="1093"/>
      <c r="I20" s="1093"/>
      <c r="J20" s="1093"/>
      <c r="K20" s="1093"/>
      <c r="L20" s="1189" t="str">
        <f t="shared" ref="L20" si="18">IFERROR(IF(F20="RCx - Study","No Study",""),"")</f>
        <v/>
      </c>
      <c r="M20" s="1176"/>
      <c r="N20" s="1176"/>
      <c r="O20" s="1177"/>
      <c r="P20" s="967" t="str">
        <f t="shared" ref="P20" si="19">IFERROR(IF(F20="RCx - Study",1,""),"")</f>
        <v/>
      </c>
      <c r="Q20" s="968"/>
      <c r="R20" s="1181" t="str">
        <f t="shared" ref="R20" si="20">IFERROR(IF(F20="RCx - Study",0,""),"")</f>
        <v/>
      </c>
      <c r="S20" s="1182"/>
      <c r="T20" s="1175" t="str">
        <f t="shared" ref="T20" si="21">IFERROR(IF(F20="RCx - Study","Study Completed",""),"")</f>
        <v/>
      </c>
      <c r="U20" s="1176"/>
      <c r="V20" s="1176"/>
      <c r="W20" s="1177"/>
      <c r="X20" s="1173" t="str">
        <f t="shared" ref="X20" si="22">IFERROR(IF(F20="RCx - Study",1,""),"")</f>
        <v/>
      </c>
      <c r="Y20" s="1173"/>
      <c r="Z20" s="1169" t="str">
        <f t="shared" ref="Z20" si="23">IFERROR(IF(F20="RCx - Study",0,""),"")</f>
        <v/>
      </c>
      <c r="AA20" s="1169"/>
      <c r="AB20" s="1173" t="str">
        <f t="shared" ref="AB20" si="24">IF(C20="New Construction","Incremental","")</f>
        <v/>
      </c>
      <c r="AC20" s="1173"/>
      <c r="AD20" s="874"/>
      <c r="AE20" s="1097"/>
      <c r="AF20" s="892" t="str">
        <f t="shared" ref="AF20" si="25">IF(AB20="Incremental",0,"")</f>
        <v/>
      </c>
      <c r="AG20" s="1171"/>
      <c r="AH20" s="870" t="str">
        <f>IF(OR(C20="",F20="",L20="",P20="",R20="",T20="",X20="",Z20="",AD20="",AF20=""),"",ROUND(AD20+AF20,2))</f>
        <v/>
      </c>
      <c r="AI20" s="1102"/>
      <c r="AJ20" s="1102"/>
      <c r="AK20" s="910" t="str">
        <f t="shared" ref="AK20" si="26">IF(OR(C20="",F20="",F20="",L20="",P20="",R20="",T20="",X20="",Z20="",AB20="",AD20="",AF20=""),"",IF(F20="RCx - Study",0,IF((P20*R20)-(X20*Z20)&lt;=0,0,ROUND((P20*R20)-(X20*Z20),2))))</f>
        <v/>
      </c>
      <c r="AL20" s="911"/>
      <c r="AM20" s="975"/>
      <c r="AN20" s="1138" t="str">
        <f>IF(OR(C20="",F20="",F20="",L20="",P20="",R20="",T20="",X20="",Z20="",AB20="",AD20="",AF20=""),"",IF(BE20&lt;&gt;"",BE20,IF(C20="Custom",AY20,IF(C20="New Construction",AZ20,IF(C20="RCx",BA20)))))</f>
        <v/>
      </c>
      <c r="AO20" s="1138"/>
      <c r="AP20" s="1138"/>
      <c r="AQ20" s="1138"/>
      <c r="AR20" s="59"/>
      <c r="AU20" s="1107" t="str">
        <f>IF(F20="","",INDEX(CUSTNONLIGHTEUNIT,MATCH(F20,PROGRAMECAT[Category 1],0)))</f>
        <v/>
      </c>
      <c r="AV20" s="1107" t="str">
        <f>IF(OR(C20="",F20="",L20="",P20="",R20="",T20="",X20="",Z20="",AB20="",AD20="",AF20=""),"",IF(F20="RCx - Study",1,((1+ELOSS)*((AK20*INDEX(ELECCB[NPV AEC $/kWh],MATCH(BB20,ELECCB[Year Number],1)))+(AX20*INDEX(ELECCB[NPV ACC+T&amp;D $/kW],MATCH(BB20,ELECCB[Year Number],1)))))/AH20))</f>
        <v/>
      </c>
      <c r="AW20" s="1193"/>
      <c r="AX20" s="1074" t="str">
        <f>IF(OR(C20="",F20="",L20="",P20="",R20="",T20="",X20="",Z20="",AB20="",AD20="",AF20=""),"",ROUND(AW20*(INDEX(PROGRAMECAT[Lighting Coincidence Factor],MATCH(F20,PROGRAMECAT[Category 1],0))),3))</f>
        <v/>
      </c>
      <c r="AY20" s="1188" t="str">
        <f>IF(OR(C20="",F20="",F20="",L20="",P20="",R20="",T20="",X20="",Z20="",AB20="",AD20="",AF20=""),"",IF(AB20="Total",ROUND(MIN(AH20*0.75,AK20*INDEX(INCRATE[Electric],MATCH("CMNONLIGHT",INCRATE[Incentive Type]))),2),IF(AB20="Incremental",ROUND(MIN(AH20,AK20*INDEX(INCRATE[Electric],MATCH("CMNONLIGHT",INCRATE[Incentive Type]))),2))))</f>
        <v/>
      </c>
      <c r="AZ20" s="1188" t="str">
        <f>IF(OR(C20="",F20="",F20="",L20="",P20="",R20="",T20="",X20="",Z20="",AB20="",AD20="",AF20=""),"",IF(AB20="Total",ROUND(MIN(AH20*0.75,AK20*INDEX(INCRATE[Electric],MATCH("NCNONLIGHT",INCRATE[Incentive Type]))),2),IF(AB20="Incremental",ROUND(MIN(AH20,AK20*INDEX(INCRATE[Electric],MATCH("NCNONLIGHT",INCRATE[Incentive Type]))),2))))</f>
        <v/>
      </c>
      <c r="BA20" s="1188" t="str">
        <f>IF(OR(C20="",F20="",F20="",L20="",P20="",R20="",T20="",X20="",Z20="",AB20="",AD20="",AF20=""),"",IF(F20="RCx - Study",MIN(AH20,SUM($AK$16:$AM$35)*INDEX(INCRATE[Electric],MATCH("RCxStudy",INCRATE[Incentive Type]))),
IF(AB20="Total",ROUND(MIN(AH20*1,AK20*INDEX(INCRATE[Electric],MATCH("RCX",INCRATE[Incentive Type]))),2),IF(AB20="Incremental",ROUND(MIN(AH20,AK20*INDEX(INCRATE[Electric],MATCH("RCX",INCRATE[Incentive Type]))),2)))))</f>
        <v/>
      </c>
      <c r="BB20" s="1188" t="str">
        <f>IF(F20="","",INDEX(PROGRAMECAT[EUL],MATCH(F20,PROGRAMECAT[Category 1],0)))</f>
        <v/>
      </c>
      <c r="BC20" s="1188" t="str">
        <f>IFERROR(IF(F20="RCx - Study",1,AH20/M02S02F35/AK20),"")</f>
        <v/>
      </c>
      <c r="BD20" s="1191" t="str">
        <f>IF(OR(C20="",F20="",L20="",P20="",R20="",T20="",X20="",Z20="",AB20="",AD20="",AF20=""),"",IF(ISNUMBER(AN20),INDEX(PROGRAMECAT[Measure Number],MATCH(F20,PROGRAMECAT[Category 1],0)),IF(AK20=0,"","000001")))</f>
        <v/>
      </c>
      <c r="BE20" s="1188" t="str" cm="1">
        <f t="array" ref="BE20">IFERROR(IF(F20="RCx - Study","",_xlfn.SINGLE(IF((P20*R20)-(X20*Z20)&lt;=0,MEASURESAV,IF(M02S02F35="",MEASURERATE,IF(AND(OR(F20="Others (Incremental)",F20="Others"),M05S07F03=""),MEASURESUBMIT, IF(AND(OR(ISNUMBER(SEARCH({"Custom","New Construction"},C20))),BC20&lt;1),MEASUREPAY,IF(AV20&lt;1,MEASURECB,""))))))),MEASURESUBMIT)</f>
        <v>Submit for Review</v>
      </c>
      <c r="BF20" s="1198" t="str">
        <f t="shared" ref="BF20" si="27">IF(OR(C20="",F20="",L20="",P20="",R20="",T20="",X20="",Z20="",AB20="",AD20="",AF20=""),"",IF(AB20="Incremental",AH20,""))</f>
        <v/>
      </c>
      <c r="BG20" s="1198"/>
      <c r="BH20" s="1001" t="str">
        <f ca="1">IF(OR(C20="",F20="",F20="",L20="",P20="",R20="",T20="",X20="",Z20="",AB20="",AD20="",AF20=""),"",IF('M01-S01'!$V$82&lt;TODAY(),0,IF(M02S02F46="Gas Only",0,IF(C20="New Construction",0,IF(OR(AK20="",AK20&lt;0,AH20&lt;=AN20),0,MIN(AH20-AN20,ROUND(AN20*0.2,2)))))))</f>
        <v/>
      </c>
      <c r="BI20" s="1064"/>
    </row>
    <row r="21" spans="2:61" ht="15.95" customHeight="1">
      <c r="B21" s="834"/>
      <c r="C21" s="1094"/>
      <c r="D21" s="1094"/>
      <c r="E21" s="1094"/>
      <c r="F21" s="1094"/>
      <c r="G21" s="1094"/>
      <c r="H21" s="1094"/>
      <c r="I21" s="1094"/>
      <c r="J21" s="1094"/>
      <c r="K21" s="1094"/>
      <c r="L21" s="1190"/>
      <c r="M21" s="1179"/>
      <c r="N21" s="1179"/>
      <c r="O21" s="1180"/>
      <c r="P21" s="969"/>
      <c r="Q21" s="970"/>
      <c r="R21" s="1183"/>
      <c r="S21" s="1184"/>
      <c r="T21" s="1178"/>
      <c r="U21" s="1179"/>
      <c r="V21" s="1179"/>
      <c r="W21" s="1180"/>
      <c r="X21" s="1174"/>
      <c r="Y21" s="1174"/>
      <c r="Z21" s="1170"/>
      <c r="AA21" s="1170"/>
      <c r="AB21" s="1174"/>
      <c r="AC21" s="1174"/>
      <c r="AD21" s="875"/>
      <c r="AE21" s="1098"/>
      <c r="AF21" s="861"/>
      <c r="AG21" s="1172"/>
      <c r="AH21" s="1136"/>
      <c r="AI21" s="1137"/>
      <c r="AJ21" s="1137"/>
      <c r="AK21" s="912"/>
      <c r="AL21" s="913"/>
      <c r="AM21" s="942"/>
      <c r="AN21" s="1139"/>
      <c r="AO21" s="1139"/>
      <c r="AP21" s="1139"/>
      <c r="AQ21" s="1139"/>
      <c r="AR21" s="59"/>
      <c r="AU21" s="1108"/>
      <c r="AV21" s="1108"/>
      <c r="AW21" s="1194"/>
      <c r="AX21" s="1075"/>
      <c r="AY21" s="1104"/>
      <c r="AZ21" s="1104"/>
      <c r="BA21" s="1104"/>
      <c r="BB21" s="1104"/>
      <c r="BC21" s="1104"/>
      <c r="BD21" s="1192"/>
      <c r="BE21" s="1104"/>
      <c r="BF21" s="1192"/>
      <c r="BG21" s="1192"/>
      <c r="BH21" s="1002"/>
      <c r="BI21" s="1002"/>
    </row>
    <row r="22" spans="2:61" ht="15.95" customHeight="1">
      <c r="B22" s="834">
        <v>4</v>
      </c>
      <c r="C22" s="1093"/>
      <c r="D22" s="1093"/>
      <c r="E22" s="1093"/>
      <c r="F22" s="1093"/>
      <c r="G22" s="1093"/>
      <c r="H22" s="1093"/>
      <c r="I22" s="1093"/>
      <c r="J22" s="1093"/>
      <c r="K22" s="1093"/>
      <c r="L22" s="1189" t="str">
        <f t="shared" ref="L22" si="28">IFERROR(IF(F22="RCx - Study","No Study",""),"")</f>
        <v/>
      </c>
      <c r="M22" s="1176"/>
      <c r="N22" s="1176"/>
      <c r="O22" s="1177"/>
      <c r="P22" s="967" t="str">
        <f t="shared" ref="P22" si="29">IFERROR(IF(F22="RCx - Study",1,""),"")</f>
        <v/>
      </c>
      <c r="Q22" s="968"/>
      <c r="R22" s="1181" t="str">
        <f t="shared" ref="R22" si="30">IFERROR(IF(F22="RCx - Study",0,""),"")</f>
        <v/>
      </c>
      <c r="S22" s="1182"/>
      <c r="T22" s="1175" t="str">
        <f t="shared" ref="T22" si="31">IFERROR(IF(F22="RCx - Study","Study Completed",""),"")</f>
        <v/>
      </c>
      <c r="U22" s="1176"/>
      <c r="V22" s="1176"/>
      <c r="W22" s="1177"/>
      <c r="X22" s="1173" t="str">
        <f t="shared" ref="X22" si="32">IFERROR(IF(F22="RCx - Study",1,""),"")</f>
        <v/>
      </c>
      <c r="Y22" s="1173"/>
      <c r="Z22" s="1169" t="str">
        <f t="shared" ref="Z22" si="33">IFERROR(IF(F22="RCx - Study",0,""),"")</f>
        <v/>
      </c>
      <c r="AA22" s="1169"/>
      <c r="AB22" s="1173" t="str">
        <f t="shared" ref="AB22" si="34">IF(C22="New Construction","Incremental","")</f>
        <v/>
      </c>
      <c r="AC22" s="1173"/>
      <c r="AD22" s="874"/>
      <c r="AE22" s="1097"/>
      <c r="AF22" s="892" t="str">
        <f t="shared" ref="AF22" si="35">IF(AB22="Incremental",0,"")</f>
        <v/>
      </c>
      <c r="AG22" s="1171"/>
      <c r="AH22" s="870" t="str">
        <f>IF(OR(C22="",F22="",L22="",P22="",R22="",T22="",X22="",Z22="",AD22="",AF22=""),"",ROUND(AD22+AF22,2))</f>
        <v/>
      </c>
      <c r="AI22" s="1102"/>
      <c r="AJ22" s="1102"/>
      <c r="AK22" s="910" t="str">
        <f t="shared" ref="AK22" si="36">IF(OR(C22="",F22="",F22="",L22="",P22="",R22="",T22="",X22="",Z22="",AB22="",AD22="",AF22=""),"",IF(F22="RCx - Study",0,IF((P22*R22)-(X22*Z22)&lt;=0,0,ROUND((P22*R22)-(X22*Z22),2))))</f>
        <v/>
      </c>
      <c r="AL22" s="911"/>
      <c r="AM22" s="975"/>
      <c r="AN22" s="1138" t="str">
        <f>IF(OR(C22="",F22="",F22="",L22="",P22="",R22="",T22="",X22="",Z22="",AB22="",AD22="",AF22=""),"",IF(BE22&lt;&gt;"",BE22,IF(C22="Custom",AY22,IF(C22="New Construction",AZ22,IF(C22="RCx",BA22)))))</f>
        <v/>
      </c>
      <c r="AO22" s="1138"/>
      <c r="AP22" s="1138"/>
      <c r="AQ22" s="1138"/>
      <c r="AR22" s="59"/>
      <c r="AU22" s="1107" t="str">
        <f>IF(F22="","",INDEX(CUSTNONLIGHTEUNIT,MATCH(F22,PROGRAMECAT[Category 1],0)))</f>
        <v/>
      </c>
      <c r="AV22" s="1107" t="str">
        <f>IF(OR(C22="",F22="",L22="",P22="",R22="",T22="",X22="",Z22="",AB22="",AD22="",AF22=""),"",IF(F22="RCx - Study",1,((1+ELOSS)*((AK22*INDEX(ELECCB[NPV AEC $/kWh],MATCH(BB22,ELECCB[Year Number],1)))+(AX22*INDEX(ELECCB[NPV ACC+T&amp;D $/kW],MATCH(BB22,ELECCB[Year Number],1)))))/AH22))</f>
        <v/>
      </c>
      <c r="AW22" s="1193"/>
      <c r="AX22" s="1074" t="str">
        <f>IF(OR(C22="",F22="",L22="",P22="",R22="",T22="",X22="",Z22="",AB22="",AD22="",AF22=""),"",ROUND(AW22*(INDEX(PROGRAMECAT[Lighting Coincidence Factor],MATCH(F22,PROGRAMECAT[Category 1],0))),3))</f>
        <v/>
      </c>
      <c r="AY22" s="1188" t="str">
        <f>IF(OR(C22="",F22="",F22="",L22="",P22="",R22="",T22="",X22="",Z22="",AB22="",AD22="",AF22=""),"",IF(AB22="Total",ROUND(MIN(AH22*0.75,AK22*INDEX(INCRATE[Electric],MATCH("CMNONLIGHT",INCRATE[Incentive Type]))),2),IF(AB22="Incremental",ROUND(MIN(AH22,AK22*INDEX(INCRATE[Electric],MATCH("CMNONLIGHT",INCRATE[Incentive Type]))),2))))</f>
        <v/>
      </c>
      <c r="AZ22" s="1188" t="str">
        <f>IF(OR(C22="",F22="",F22="",L22="",P22="",R22="",T22="",X22="",Z22="",AB22="",AD22="",AF22=""),"",IF(AB22="Total",ROUND(MIN(AH22*0.75,AK22*INDEX(INCRATE[Electric],MATCH("NCNONLIGHT",INCRATE[Incentive Type]))),2),IF(AB22="Incremental",ROUND(MIN(AH22,AK22*INDEX(INCRATE[Electric],MATCH("NCNONLIGHT",INCRATE[Incentive Type]))),2))))</f>
        <v/>
      </c>
      <c r="BA22" s="1188" t="str">
        <f>IF(OR(C22="",F22="",F22="",L22="",P22="",R22="",T22="",X22="",Z22="",AB22="",AD22="",AF22=""),"",IF(F22="RCx - Study",MIN(AH22,SUM($AK$16:$AM$35)*INDEX(INCRATE[Electric],MATCH("RCxStudy",INCRATE[Incentive Type]))),
IF(AB22="Total",ROUND(MIN(AH22*1,AK22*INDEX(INCRATE[Electric],MATCH("RCX",INCRATE[Incentive Type]))),2),IF(AB22="Incremental",ROUND(MIN(AH22,AK22*INDEX(INCRATE[Electric],MATCH("RCX",INCRATE[Incentive Type]))),2)))))</f>
        <v/>
      </c>
      <c r="BB22" s="1188" t="str">
        <f>IF(F22="","",INDEX(PROGRAMECAT[EUL],MATCH(F22,PROGRAMECAT[Category 1],0)))</f>
        <v/>
      </c>
      <c r="BC22" s="1188" t="str">
        <f>IFERROR(IF(F22="RCx - Study",1,AH22/M02S02F35/AK22),"")</f>
        <v/>
      </c>
      <c r="BD22" s="1191" t="str">
        <f>IF(OR(C22="",F22="",L22="",P22="",R22="",T22="",X22="",Z22="",AB22="",AD22="",AF22=""),"",IF(ISNUMBER(AN22),INDEX(PROGRAMECAT[Measure Number],MATCH(F22,PROGRAMECAT[Category 1],0)),IF(AK22=0,"","000001")))</f>
        <v/>
      </c>
      <c r="BE22" s="1188" t="str" cm="1">
        <f t="array" ref="BE22">IFERROR(IF(F22="RCx - Study","",_xlfn.SINGLE(IF((P22*R22)-(X22*Z22)&lt;=0,MEASURESAV,IF(M02S02F35="",MEASURERATE,IF(AND(OR(F22="Others (Incremental)",F22="Others"),M05S07F03=""),MEASURESUBMIT, IF(AND(OR(ISNUMBER(SEARCH({"Custom","New Construction"},C22))),BC22&lt;1),MEASUREPAY,IF(AV22&lt;1,MEASURECB,""))))))),MEASURESUBMIT)</f>
        <v>Submit for Review</v>
      </c>
      <c r="BF22" s="1198" t="str">
        <f t="shared" ref="BF22" si="37">IF(OR(C22="",F22="",L22="",P22="",R22="",T22="",X22="",Z22="",AB22="",AD22="",AF22=""),"",IF(AB22="Incremental",AH22,""))</f>
        <v/>
      </c>
      <c r="BG22" s="1198"/>
      <c r="BH22" s="1001" t="str">
        <f ca="1">IF(OR(C22="",F22="",F22="",L22="",P22="",R22="",T22="",X22="",Z22="",AB22="",AD22="",AF22=""),"",IF('M01-S01'!$V$82&lt;TODAY(),0,IF(M02S02F46="Gas Only",0,IF(C22="New Construction",0,IF(OR(AK22="",AK22&lt;0,AH22&lt;=AN22),0,MIN(AH22-AN22,ROUND(AN22*0.2,2)))))))</f>
        <v/>
      </c>
      <c r="BI22" s="1064"/>
    </row>
    <row r="23" spans="2:61" ht="15.95" customHeight="1">
      <c r="B23" s="834"/>
      <c r="C23" s="1094"/>
      <c r="D23" s="1094"/>
      <c r="E23" s="1094"/>
      <c r="F23" s="1094"/>
      <c r="G23" s="1094"/>
      <c r="H23" s="1094"/>
      <c r="I23" s="1094"/>
      <c r="J23" s="1094"/>
      <c r="K23" s="1094"/>
      <c r="L23" s="1190"/>
      <c r="M23" s="1179"/>
      <c r="N23" s="1179"/>
      <c r="O23" s="1180"/>
      <c r="P23" s="969"/>
      <c r="Q23" s="970"/>
      <c r="R23" s="1183"/>
      <c r="S23" s="1184"/>
      <c r="T23" s="1178"/>
      <c r="U23" s="1179"/>
      <c r="V23" s="1179"/>
      <c r="W23" s="1180"/>
      <c r="X23" s="1174"/>
      <c r="Y23" s="1174"/>
      <c r="Z23" s="1170"/>
      <c r="AA23" s="1170"/>
      <c r="AB23" s="1174"/>
      <c r="AC23" s="1174"/>
      <c r="AD23" s="875"/>
      <c r="AE23" s="1098"/>
      <c r="AF23" s="861"/>
      <c r="AG23" s="1172"/>
      <c r="AH23" s="1136"/>
      <c r="AI23" s="1137"/>
      <c r="AJ23" s="1137"/>
      <c r="AK23" s="912"/>
      <c r="AL23" s="913"/>
      <c r="AM23" s="942"/>
      <c r="AN23" s="1139"/>
      <c r="AO23" s="1139"/>
      <c r="AP23" s="1139"/>
      <c r="AQ23" s="1139"/>
      <c r="AR23" s="59"/>
      <c r="AU23" s="1108"/>
      <c r="AV23" s="1108"/>
      <c r="AW23" s="1194"/>
      <c r="AX23" s="1075"/>
      <c r="AY23" s="1104"/>
      <c r="AZ23" s="1104"/>
      <c r="BA23" s="1104"/>
      <c r="BB23" s="1104"/>
      <c r="BC23" s="1104"/>
      <c r="BD23" s="1192"/>
      <c r="BE23" s="1104"/>
      <c r="BF23" s="1192"/>
      <c r="BG23" s="1192"/>
      <c r="BH23" s="1002"/>
      <c r="BI23" s="1002"/>
    </row>
    <row r="24" spans="2:61" ht="15.95" customHeight="1">
      <c r="B24" s="834">
        <v>5</v>
      </c>
      <c r="C24" s="1093"/>
      <c r="D24" s="1093"/>
      <c r="E24" s="1093"/>
      <c r="F24" s="1093"/>
      <c r="G24" s="1093"/>
      <c r="H24" s="1093"/>
      <c r="I24" s="1093"/>
      <c r="J24" s="1093"/>
      <c r="K24" s="1093"/>
      <c r="L24" s="1189" t="str">
        <f t="shared" ref="L24" si="38">IFERROR(IF(F24="RCx - Study","No Study",""),"")</f>
        <v/>
      </c>
      <c r="M24" s="1176"/>
      <c r="N24" s="1176"/>
      <c r="O24" s="1177"/>
      <c r="P24" s="967" t="str">
        <f t="shared" ref="P24" si="39">IFERROR(IF(F24="RCx - Study",1,""),"")</f>
        <v/>
      </c>
      <c r="Q24" s="968"/>
      <c r="R24" s="1181" t="str">
        <f t="shared" ref="R24" si="40">IFERROR(IF(F24="RCx - Study",0,""),"")</f>
        <v/>
      </c>
      <c r="S24" s="1182"/>
      <c r="T24" s="1175" t="str">
        <f t="shared" ref="T24" si="41">IFERROR(IF(F24="RCx - Study","Study Completed",""),"")</f>
        <v/>
      </c>
      <c r="U24" s="1176"/>
      <c r="V24" s="1176"/>
      <c r="W24" s="1177"/>
      <c r="X24" s="1173" t="str">
        <f t="shared" ref="X24" si="42">IFERROR(IF(F24="RCx - Study",1,""),"")</f>
        <v/>
      </c>
      <c r="Y24" s="1173"/>
      <c r="Z24" s="1169" t="str">
        <f t="shared" ref="Z24" si="43">IFERROR(IF(F24="RCx - Study",0,""),"")</f>
        <v/>
      </c>
      <c r="AA24" s="1169"/>
      <c r="AB24" s="1173" t="str">
        <f t="shared" ref="AB24" si="44">IF(C24="New Construction","Incremental","")</f>
        <v/>
      </c>
      <c r="AC24" s="1173"/>
      <c r="AD24" s="874"/>
      <c r="AE24" s="1097"/>
      <c r="AF24" s="892" t="str">
        <f t="shared" ref="AF24" si="45">IF(AB24="Incremental",0,"")</f>
        <v/>
      </c>
      <c r="AG24" s="1171"/>
      <c r="AH24" s="870" t="str">
        <f>IF(OR(C24="",F24="",L24="",P24="",R24="",T24="",X24="",Z24="",AD24="",AF24=""),"",ROUND(AD24+AF24,2))</f>
        <v/>
      </c>
      <c r="AI24" s="1102"/>
      <c r="AJ24" s="1102"/>
      <c r="AK24" s="910" t="str">
        <f t="shared" ref="AK24" si="46">IF(OR(C24="",F24="",F24="",L24="",P24="",R24="",T24="",X24="",Z24="",AB24="",AD24="",AF24=""),"",IF(F24="RCx - Study",0,IF((P24*R24)-(X24*Z24)&lt;=0,0,ROUND((P24*R24)-(X24*Z24),2))))</f>
        <v/>
      </c>
      <c r="AL24" s="911"/>
      <c r="AM24" s="975"/>
      <c r="AN24" s="1138" t="str">
        <f>IF(OR(C24="",F24="",F24="",L24="",P24="",R24="",T24="",X24="",Z24="",AB24="",AD24="",AF24=""),"",IF(BE24&lt;&gt;"",BE24,IF(C24="Custom",AY24,IF(C24="New Construction",AZ24,IF(C24="RCx",BA24)))))</f>
        <v/>
      </c>
      <c r="AO24" s="1138"/>
      <c r="AP24" s="1138"/>
      <c r="AQ24" s="1138"/>
      <c r="AR24" s="59"/>
      <c r="AU24" s="1107" t="str">
        <f>IF(F24="","",INDEX(CUSTNONLIGHTEUNIT,MATCH(F24,PROGRAMECAT[Category 1],0)))</f>
        <v/>
      </c>
      <c r="AV24" s="1107" t="str">
        <f>IF(OR(C24="",F24="",L24="",P24="",R24="",T24="",X24="",Z24="",AB24="",AD24="",AF24=""),"",IF(F24="RCx - Study",1,((1+ELOSS)*((AK24*INDEX(ELECCB[NPV AEC $/kWh],MATCH(BB24,ELECCB[Year Number],1)))+(AX24*INDEX(ELECCB[NPV ACC+T&amp;D $/kW],MATCH(BB24,ELECCB[Year Number],1)))))/AH24))</f>
        <v/>
      </c>
      <c r="AW24" s="1193"/>
      <c r="AX24" s="1074" t="str">
        <f>IF(OR(C24="",F24="",L24="",P24="",R24="",T24="",X24="",Z24="",AB24="",AD24="",AF24=""),"",ROUND(AW24*(INDEX(PROGRAMECAT[Lighting Coincidence Factor],MATCH(F24,PROGRAMECAT[Category 1],0))),3))</f>
        <v/>
      </c>
      <c r="AY24" s="1188" t="str">
        <f>IF(OR(C24="",F24="",F24="",L24="",P24="",R24="",T24="",X24="",Z24="",AB24="",AD24="",AF24=""),"",IF(AB24="Total",ROUND(MIN(AH24*0.75,AK24*INDEX(INCRATE[Electric],MATCH("CMNONLIGHT",INCRATE[Incentive Type]))),2),IF(AB24="Incremental",ROUND(MIN(AH24,AK24*INDEX(INCRATE[Electric],MATCH("CMNONLIGHT",INCRATE[Incentive Type]))),2))))</f>
        <v/>
      </c>
      <c r="AZ24" s="1188" t="str">
        <f>IF(OR(C24="",F24="",F24="",L24="",P24="",R24="",T24="",X24="",Z24="",AB24="",AD24="",AF24=""),"",IF(AB24="Total",ROUND(MIN(AH24*0.75,AK24*INDEX(INCRATE[Electric],MATCH("NCNONLIGHT",INCRATE[Incentive Type]))),2),IF(AB24="Incremental",ROUND(MIN(AH24,AK24*INDEX(INCRATE[Electric],MATCH("NCNONLIGHT",INCRATE[Incentive Type]))),2))))</f>
        <v/>
      </c>
      <c r="BA24" s="1188" t="str">
        <f>IF(OR(C24="",F24="",F24="",L24="",P24="",R24="",T24="",X24="",Z24="",AB24="",AD24="",AF24=""),"",IF(F24="RCx - Study",MIN(AH24,SUM($AK$16:$AM$35)*INDEX(INCRATE[Electric],MATCH("RCxStudy",INCRATE[Incentive Type]))),
IF(AB24="Total",ROUND(MIN(AH24*1,AK24*INDEX(INCRATE[Electric],MATCH("RCX",INCRATE[Incentive Type]))),2),IF(AB24="Incremental",ROUND(MIN(AH24,AK24*INDEX(INCRATE[Electric],MATCH("RCX",INCRATE[Incentive Type]))),2)))))</f>
        <v/>
      </c>
      <c r="BB24" s="1188" t="str">
        <f>IF(F24="","",INDEX(PROGRAMECAT[EUL],MATCH(F24,PROGRAMECAT[Category 1],0)))</f>
        <v/>
      </c>
      <c r="BC24" s="1188" t="str">
        <f>IFERROR(IF(F24="RCx - Study",1,AH24/M02S02F35/AK24),"")</f>
        <v/>
      </c>
      <c r="BD24" s="1191" t="str">
        <f>IF(OR(C24="",F24="",L24="",P24="",R24="",T24="",X24="",Z24="",AB24="",AD24="",AF24=""),"",IF(ISNUMBER(AN24),INDEX(PROGRAMECAT[Measure Number],MATCH(F24,PROGRAMECAT[Category 1],0)),IF(AK24=0,"","000001")))</f>
        <v/>
      </c>
      <c r="BE24" s="1188" t="str" cm="1">
        <f t="array" ref="BE24">IFERROR(IF(F24="RCx - Study","",_xlfn.SINGLE(IF((P24*R24)-(X24*Z24)&lt;=0,MEASURESAV,IF(M02S02F35="",MEASURERATE,IF(AND(OR(F24="Others (Incremental)",F24="Others"),M05S07F03=""),MEASURESUBMIT, IF(AND(OR(ISNUMBER(SEARCH({"Custom","New Construction"},C24))),BC24&lt;1),MEASUREPAY,IF(AV24&lt;1,MEASURECB,""))))))),MEASURESUBMIT)</f>
        <v>Submit for Review</v>
      </c>
      <c r="BF24" s="1198" t="str">
        <f t="shared" ref="BF24" si="47">IF(OR(C24="",F24="",L24="",P24="",R24="",T24="",X24="",Z24="",AB24="",AD24="",AF24=""),"",IF(AB24="Incremental",AH24,""))</f>
        <v/>
      </c>
      <c r="BG24" s="1198"/>
      <c r="BH24" s="1001" t="str">
        <f ca="1">IF(OR(C24="",F24="",F24="",L24="",P24="",R24="",T24="",X24="",Z24="",AB24="",AD24="",AF24=""),"",IF('M01-S01'!$V$82&lt;TODAY(),0,IF(M02S02F46="Gas Only",0,IF(C24="New Construction",0,IF(OR(AK24="",AK24&lt;0,AH24&lt;=AN24),0,MIN(AH24-AN24,ROUND(AN24*0.2,2)))))))</f>
        <v/>
      </c>
      <c r="BI24" s="1064"/>
    </row>
    <row r="25" spans="2:61" ht="15.95" customHeight="1">
      <c r="B25" s="834"/>
      <c r="C25" s="1094"/>
      <c r="D25" s="1094"/>
      <c r="E25" s="1094"/>
      <c r="F25" s="1094"/>
      <c r="G25" s="1094"/>
      <c r="H25" s="1094"/>
      <c r="I25" s="1094"/>
      <c r="J25" s="1094"/>
      <c r="K25" s="1094"/>
      <c r="L25" s="1190"/>
      <c r="M25" s="1179"/>
      <c r="N25" s="1179"/>
      <c r="O25" s="1180"/>
      <c r="P25" s="969"/>
      <c r="Q25" s="970"/>
      <c r="R25" s="1183"/>
      <c r="S25" s="1184"/>
      <c r="T25" s="1178"/>
      <c r="U25" s="1179"/>
      <c r="V25" s="1179"/>
      <c r="W25" s="1180"/>
      <c r="X25" s="1174"/>
      <c r="Y25" s="1174"/>
      <c r="Z25" s="1170"/>
      <c r="AA25" s="1170"/>
      <c r="AB25" s="1174"/>
      <c r="AC25" s="1174"/>
      <c r="AD25" s="875"/>
      <c r="AE25" s="1098"/>
      <c r="AF25" s="861"/>
      <c r="AG25" s="1172"/>
      <c r="AH25" s="1136"/>
      <c r="AI25" s="1137"/>
      <c r="AJ25" s="1137"/>
      <c r="AK25" s="912"/>
      <c r="AL25" s="913"/>
      <c r="AM25" s="942"/>
      <c r="AN25" s="1139"/>
      <c r="AO25" s="1139"/>
      <c r="AP25" s="1139"/>
      <c r="AQ25" s="1139"/>
      <c r="AR25" s="59"/>
      <c r="AU25" s="1108"/>
      <c r="AV25" s="1108"/>
      <c r="AW25" s="1194"/>
      <c r="AX25" s="1075"/>
      <c r="AY25" s="1104"/>
      <c r="AZ25" s="1104"/>
      <c r="BA25" s="1104"/>
      <c r="BB25" s="1104"/>
      <c r="BC25" s="1104"/>
      <c r="BD25" s="1192"/>
      <c r="BE25" s="1104"/>
      <c r="BF25" s="1192"/>
      <c r="BG25" s="1192"/>
      <c r="BH25" s="1002"/>
      <c r="BI25" s="1002"/>
    </row>
    <row r="26" spans="2:61" ht="15.95" customHeight="1">
      <c r="B26" s="834">
        <v>6</v>
      </c>
      <c r="C26" s="1093"/>
      <c r="D26" s="1093"/>
      <c r="E26" s="1093"/>
      <c r="F26" s="1093"/>
      <c r="G26" s="1093"/>
      <c r="H26" s="1093"/>
      <c r="I26" s="1093"/>
      <c r="J26" s="1093"/>
      <c r="K26" s="1093"/>
      <c r="L26" s="1189" t="str">
        <f t="shared" ref="L26" si="48">IFERROR(IF(F26="RCx - Study","No Study",""),"")</f>
        <v/>
      </c>
      <c r="M26" s="1176"/>
      <c r="N26" s="1176"/>
      <c r="O26" s="1177"/>
      <c r="P26" s="967" t="str">
        <f t="shared" ref="P26" si="49">IFERROR(IF(F26="RCx - Study",1,""),"")</f>
        <v/>
      </c>
      <c r="Q26" s="968"/>
      <c r="R26" s="1181" t="str">
        <f t="shared" ref="R26" si="50">IFERROR(IF(F26="RCx - Study",0,""),"")</f>
        <v/>
      </c>
      <c r="S26" s="1182"/>
      <c r="T26" s="1175" t="str">
        <f t="shared" ref="T26" si="51">IFERROR(IF(F26="RCx - Study","Study Completed",""),"")</f>
        <v/>
      </c>
      <c r="U26" s="1176"/>
      <c r="V26" s="1176"/>
      <c r="W26" s="1177"/>
      <c r="X26" s="1173" t="str">
        <f t="shared" ref="X26" si="52">IFERROR(IF(F26="RCx - Study",1,""),"")</f>
        <v/>
      </c>
      <c r="Y26" s="1173"/>
      <c r="Z26" s="1169" t="str">
        <f t="shared" ref="Z26" si="53">IFERROR(IF(F26="RCx - Study",0,""),"")</f>
        <v/>
      </c>
      <c r="AA26" s="1169"/>
      <c r="AB26" s="1173" t="str">
        <f t="shared" ref="AB26" si="54">IF(C26="New Construction","Incremental","")</f>
        <v/>
      </c>
      <c r="AC26" s="1173"/>
      <c r="AD26" s="874"/>
      <c r="AE26" s="1097"/>
      <c r="AF26" s="892" t="str">
        <f t="shared" ref="AF26" si="55">IF(AB26="Incremental",0,"")</f>
        <v/>
      </c>
      <c r="AG26" s="1171"/>
      <c r="AH26" s="870" t="str">
        <f>IF(OR(C26="",F26="",L26="",P26="",R26="",T26="",X26="",Z26="",AD26="",AF26=""),"",ROUND(AD26+AF26,2))</f>
        <v/>
      </c>
      <c r="AI26" s="1102"/>
      <c r="AJ26" s="1102"/>
      <c r="AK26" s="910" t="str">
        <f t="shared" ref="AK26" si="56">IF(OR(C26="",F26="",F26="",L26="",P26="",R26="",T26="",X26="",Z26="",AB26="",AD26="",AF26=""),"",IF(F26="RCx - Study",0,IF((P26*R26)-(X26*Z26)&lt;=0,0,ROUND((P26*R26)-(X26*Z26),2))))</f>
        <v/>
      </c>
      <c r="AL26" s="911"/>
      <c r="AM26" s="975"/>
      <c r="AN26" s="1138" t="str">
        <f>IF(OR(C26="",F26="",F26="",L26="",P26="",R26="",T26="",X26="",Z26="",AB26="",AD26="",AF26=""),"",IF(BE26&lt;&gt;"",BE26,IF(C26="Custom",AY26,IF(C26="New Construction",AZ26,IF(C26="RCx",BA26)))))</f>
        <v/>
      </c>
      <c r="AO26" s="1138"/>
      <c r="AP26" s="1138"/>
      <c r="AQ26" s="1138"/>
      <c r="AR26" s="59"/>
      <c r="AU26" s="1107" t="str">
        <f>IF(F26="","",INDEX(CUSTNONLIGHTEUNIT,MATCH(F26,PROGRAMECAT[Category 1],0)))</f>
        <v/>
      </c>
      <c r="AV26" s="1107" t="str">
        <f>IF(OR(C26="",F26="",L26="",P26="",R26="",T26="",X26="",Z26="",AB26="",AD26="",AF26=""),"",IF(F26="RCx - Study",1,((1+ELOSS)*((AK26*INDEX(ELECCB[NPV AEC $/kWh],MATCH(BB26,ELECCB[Year Number],1)))+(AX26*INDEX(ELECCB[NPV ACC+T&amp;D $/kW],MATCH(BB26,ELECCB[Year Number],1)))))/AH26))</f>
        <v/>
      </c>
      <c r="AW26" s="1193"/>
      <c r="AX26" s="1074" t="str">
        <f>IF(OR(C26="",F26="",L26="",P26="",R26="",T26="",X26="",Z26="",AB26="",AD26="",AF26=""),"",ROUND(AW26*(INDEX(PROGRAMECAT[Lighting Coincidence Factor],MATCH(F26,PROGRAMECAT[Category 1],0))),3))</f>
        <v/>
      </c>
      <c r="AY26" s="1188" t="str">
        <f>IF(OR(C26="",F26="",F26="",L26="",P26="",R26="",T26="",X26="",Z26="",AB26="",AD26="",AF26=""),"",IF(AB26="Total",ROUND(MIN(AH26*0.75,AK26*INDEX(INCRATE[Electric],MATCH("CMNONLIGHT",INCRATE[Incentive Type]))),2),IF(AB26="Incremental",ROUND(MIN(AH26,AK26*INDEX(INCRATE[Electric],MATCH("CMNONLIGHT",INCRATE[Incentive Type]))),2))))</f>
        <v/>
      </c>
      <c r="AZ26" s="1188" t="str">
        <f>IF(OR(C26="",F26="",F26="",L26="",P26="",R26="",T26="",X26="",Z26="",AB26="",AD26="",AF26=""),"",IF(AB26="Total",ROUND(MIN(AH26*0.75,AK26*INDEX(INCRATE[Electric],MATCH("NCNONLIGHT",INCRATE[Incentive Type]))),2),IF(AB26="Incremental",ROUND(MIN(AH26,AK26*INDEX(INCRATE[Electric],MATCH("NCNONLIGHT",INCRATE[Incentive Type]))),2))))</f>
        <v/>
      </c>
      <c r="BA26" s="1188" t="str">
        <f>IF(OR(C26="",F26="",F26="",L26="",P26="",R26="",T26="",X26="",Z26="",AB26="",AD26="",AF26=""),"",IF(F26="RCx - Study",MIN(AH26,SUM($AK$16:$AM$35)*INDEX(INCRATE[Electric],MATCH("RCxStudy",INCRATE[Incentive Type]))),
IF(AB26="Total",ROUND(MIN(AH26*1,AK26*INDEX(INCRATE[Electric],MATCH("RCX",INCRATE[Incentive Type]))),2),IF(AB26="Incremental",ROUND(MIN(AH26,AK26*INDEX(INCRATE[Electric],MATCH("RCX",INCRATE[Incentive Type]))),2)))))</f>
        <v/>
      </c>
      <c r="BB26" s="1188" t="str">
        <f>IF(F26="","",INDEX(PROGRAMECAT[EUL],MATCH(F26,PROGRAMECAT[Category 1],0)))</f>
        <v/>
      </c>
      <c r="BC26" s="1188" t="str">
        <f>IFERROR(IF(F26="RCx - Study",1,AH26/M02S02F35/AK26),"")</f>
        <v/>
      </c>
      <c r="BD26" s="1191" t="str">
        <f>IF(OR(C26="",F26="",L26="",P26="",R26="",T26="",X26="",Z26="",AB26="",AD26="",AF26=""),"",IF(ISNUMBER(AN26),INDEX(PROGRAMECAT[Measure Number],MATCH(F26,PROGRAMECAT[Category 1],0)),IF(AK26=0,"","000001")))</f>
        <v/>
      </c>
      <c r="BE26" s="1188" t="str" cm="1">
        <f t="array" ref="BE26">IFERROR(IF(F26="RCx - Study","",_xlfn.SINGLE(IF((P26*R26)-(X26*Z26)&lt;=0,MEASURESAV,IF(M02S02F35="",MEASURERATE,IF(AND(OR(F26="Others (Incremental)",F26="Others"),M05S07F03=""),MEASURESUBMIT, IF(AND(OR(ISNUMBER(SEARCH({"Custom","New Construction"},C26))),BC26&lt;1),MEASUREPAY,IF(AV26&lt;1,MEASURECB,""))))))),MEASURESUBMIT)</f>
        <v>Submit for Review</v>
      </c>
      <c r="BF26" s="1198" t="str">
        <f t="shared" ref="BF26" si="57">IF(OR(C26="",F26="",L26="",P26="",R26="",T26="",X26="",Z26="",AB26="",AD26="",AF26=""),"",IF(AB26="Incremental",AH26,""))</f>
        <v/>
      </c>
      <c r="BG26" s="1198"/>
      <c r="BH26" s="1001" t="str">
        <f ca="1">IF(OR(C26="",F26="",F26="",L26="",P26="",R26="",T26="",X26="",Z26="",AB26="",AD26="",AF26=""),"",IF('M01-S01'!$V$82&lt;TODAY(),0,IF(M02S02F46="Gas Only",0,IF(C26="New Construction",0,IF(OR(AK26="",AK26&lt;0,AH26&lt;=AN26),0,MIN(AH26-AN26,ROUND(AN26*0.2,2)))))))</f>
        <v/>
      </c>
      <c r="BI26" s="1064"/>
    </row>
    <row r="27" spans="2:61" ht="15.95" customHeight="1">
      <c r="B27" s="834"/>
      <c r="C27" s="1094"/>
      <c r="D27" s="1094"/>
      <c r="E27" s="1094"/>
      <c r="F27" s="1094"/>
      <c r="G27" s="1094"/>
      <c r="H27" s="1094"/>
      <c r="I27" s="1094"/>
      <c r="J27" s="1094"/>
      <c r="K27" s="1094"/>
      <c r="L27" s="1190"/>
      <c r="M27" s="1179"/>
      <c r="N27" s="1179"/>
      <c r="O27" s="1180"/>
      <c r="P27" s="969"/>
      <c r="Q27" s="970"/>
      <c r="R27" s="1183"/>
      <c r="S27" s="1184"/>
      <c r="T27" s="1178"/>
      <c r="U27" s="1179"/>
      <c r="V27" s="1179"/>
      <c r="W27" s="1180"/>
      <c r="X27" s="1174"/>
      <c r="Y27" s="1174"/>
      <c r="Z27" s="1170"/>
      <c r="AA27" s="1170"/>
      <c r="AB27" s="1174"/>
      <c r="AC27" s="1174"/>
      <c r="AD27" s="875"/>
      <c r="AE27" s="1098"/>
      <c r="AF27" s="861"/>
      <c r="AG27" s="1172"/>
      <c r="AH27" s="1136"/>
      <c r="AI27" s="1137"/>
      <c r="AJ27" s="1137"/>
      <c r="AK27" s="912"/>
      <c r="AL27" s="913"/>
      <c r="AM27" s="942"/>
      <c r="AN27" s="1139"/>
      <c r="AO27" s="1139"/>
      <c r="AP27" s="1139"/>
      <c r="AQ27" s="1139"/>
      <c r="AR27" s="59"/>
      <c r="AU27" s="1108"/>
      <c r="AV27" s="1108"/>
      <c r="AW27" s="1194"/>
      <c r="AX27" s="1075"/>
      <c r="AY27" s="1104"/>
      <c r="AZ27" s="1104"/>
      <c r="BA27" s="1104"/>
      <c r="BB27" s="1104"/>
      <c r="BC27" s="1104"/>
      <c r="BD27" s="1192"/>
      <c r="BE27" s="1104"/>
      <c r="BF27" s="1192"/>
      <c r="BG27" s="1192"/>
      <c r="BH27" s="1002"/>
      <c r="BI27" s="1002"/>
    </row>
    <row r="28" spans="2:61" ht="15.95" customHeight="1">
      <c r="B28" s="834">
        <v>7</v>
      </c>
      <c r="C28" s="1093"/>
      <c r="D28" s="1093"/>
      <c r="E28" s="1093"/>
      <c r="F28" s="1093"/>
      <c r="G28" s="1093"/>
      <c r="H28" s="1093"/>
      <c r="I28" s="1093"/>
      <c r="J28" s="1093"/>
      <c r="K28" s="1093"/>
      <c r="L28" s="1189" t="str">
        <f t="shared" ref="L28" si="58">IFERROR(IF(F28="RCx - Study","No Study",""),"")</f>
        <v/>
      </c>
      <c r="M28" s="1176"/>
      <c r="N28" s="1176"/>
      <c r="O28" s="1177"/>
      <c r="P28" s="967" t="str">
        <f t="shared" ref="P28" si="59">IFERROR(IF(F28="RCx - Study",1,""),"")</f>
        <v/>
      </c>
      <c r="Q28" s="968"/>
      <c r="R28" s="1181" t="str">
        <f t="shared" ref="R28" si="60">IFERROR(IF(F28="RCx - Study",0,""),"")</f>
        <v/>
      </c>
      <c r="S28" s="1182"/>
      <c r="T28" s="1175" t="str">
        <f t="shared" ref="T28" si="61">IFERROR(IF(F28="RCx - Study","Study Completed",""),"")</f>
        <v/>
      </c>
      <c r="U28" s="1176"/>
      <c r="V28" s="1176"/>
      <c r="W28" s="1177"/>
      <c r="X28" s="1173" t="str">
        <f t="shared" ref="X28" si="62">IFERROR(IF(F28="RCx - Study",1,""),"")</f>
        <v/>
      </c>
      <c r="Y28" s="1173"/>
      <c r="Z28" s="1169" t="str">
        <f t="shared" ref="Z28" si="63">IFERROR(IF(F28="RCx - Study",0,""),"")</f>
        <v/>
      </c>
      <c r="AA28" s="1169"/>
      <c r="AB28" s="1173" t="str">
        <f t="shared" ref="AB28" si="64">IF(C28="New Construction","Incremental","")</f>
        <v/>
      </c>
      <c r="AC28" s="1173"/>
      <c r="AD28" s="874"/>
      <c r="AE28" s="1097"/>
      <c r="AF28" s="892" t="str">
        <f t="shared" ref="AF28" si="65">IF(AB28="Incremental",0,"")</f>
        <v/>
      </c>
      <c r="AG28" s="1171"/>
      <c r="AH28" s="870" t="str">
        <f>IF(OR(C28="",F28="",L28="",P28="",R28="",T28="",X28="",Z28="",AD28="",AF28=""),"",ROUND(AD28+AF28,2))</f>
        <v/>
      </c>
      <c r="AI28" s="1102"/>
      <c r="AJ28" s="1102"/>
      <c r="AK28" s="910" t="str">
        <f t="shared" ref="AK28" si="66">IF(OR(C28="",F28="",F28="",L28="",P28="",R28="",T28="",X28="",Z28="",AB28="",AD28="",AF28=""),"",IF(F28="RCx - Study",0,IF((P28*R28)-(X28*Z28)&lt;=0,0,ROUND((P28*R28)-(X28*Z28),2))))</f>
        <v/>
      </c>
      <c r="AL28" s="911"/>
      <c r="AM28" s="975"/>
      <c r="AN28" s="1138" t="str">
        <f>IF(OR(C28="",F28="",F28="",L28="",P28="",R28="",T28="",X28="",Z28="",AB28="",AD28="",AF28=""),"",IF(BE28&lt;&gt;"",BE28,IF(C28="Custom",AY28,IF(C28="New Construction",AZ28,IF(C28="RCx",BA28)))))</f>
        <v/>
      </c>
      <c r="AO28" s="1138"/>
      <c r="AP28" s="1138"/>
      <c r="AQ28" s="1138"/>
      <c r="AR28" s="59"/>
      <c r="AU28" s="1107" t="str">
        <f>IF(F28="","",INDEX(CUSTNONLIGHTEUNIT,MATCH(F28,PROGRAMECAT[Category 1],0)))</f>
        <v/>
      </c>
      <c r="AV28" s="1107" t="str">
        <f>IF(OR(C28="",F28="",L28="",P28="",R28="",T28="",X28="",Z28="",AB28="",AD28="",AF28=""),"",IF(F28="RCx - Study",1,((1+ELOSS)*((AK28*INDEX(ELECCB[NPV AEC $/kWh],MATCH(BB28,ELECCB[Year Number],1)))+(AX28*INDEX(ELECCB[NPV ACC+T&amp;D $/kW],MATCH(BB28,ELECCB[Year Number],1)))))/AH28))</f>
        <v/>
      </c>
      <c r="AW28" s="1193"/>
      <c r="AX28" s="1074" t="str">
        <f>IF(OR(C28="",F28="",L28="",P28="",R28="",T28="",X28="",Z28="",AB28="",AD28="",AF28=""),"",ROUND(AW28*(INDEX(PROGRAMECAT[Lighting Coincidence Factor],MATCH(F28,PROGRAMECAT[Category 1],0))),3))</f>
        <v/>
      </c>
      <c r="AY28" s="1188" t="str">
        <f>IF(OR(C28="",F28="",F28="",L28="",P28="",R28="",T28="",X28="",Z28="",AB28="",AD28="",AF28=""),"",IF(AB28="Total",ROUND(MIN(AH28*0.75,AK28*INDEX(INCRATE[Electric],MATCH("CMNONLIGHT",INCRATE[Incentive Type]))),2),IF(AB28="Incremental",ROUND(MIN(AH28,AK28*INDEX(INCRATE[Electric],MATCH("CMNONLIGHT",INCRATE[Incentive Type]))),2))))</f>
        <v/>
      </c>
      <c r="AZ28" s="1188" t="str">
        <f>IF(OR(C28="",F28="",F28="",L28="",P28="",R28="",T28="",X28="",Z28="",AB28="",AD28="",AF28=""),"",IF(AB28="Total",ROUND(MIN(AH28*0.75,AK28*INDEX(INCRATE[Electric],MATCH("NCNONLIGHT",INCRATE[Incentive Type]))),2),IF(AB28="Incremental",ROUND(MIN(AH28,AK28*INDEX(INCRATE[Electric],MATCH("NCNONLIGHT",INCRATE[Incentive Type]))),2))))</f>
        <v/>
      </c>
      <c r="BA28" s="1188" t="str">
        <f>IF(OR(C28="",F28="",F28="",L28="",P28="",R28="",T28="",X28="",Z28="",AB28="",AD28="",AF28=""),"",IF(F28="RCx - Study",MIN(AH28,SUM($AK$16:$AM$35)*INDEX(INCRATE[Electric],MATCH("RCxStudy",INCRATE[Incentive Type]))),
IF(AB28="Total",ROUND(MIN(AH28*1,AK28*INDEX(INCRATE[Electric],MATCH("RCX",INCRATE[Incentive Type]))),2),IF(AB28="Incremental",ROUND(MIN(AH28,AK28*INDEX(INCRATE[Electric],MATCH("RCX",INCRATE[Incentive Type]))),2)))))</f>
        <v/>
      </c>
      <c r="BB28" s="1188" t="str">
        <f>IF(F28="","",INDEX(PROGRAMECAT[EUL],MATCH(F28,PROGRAMECAT[Category 1],0)))</f>
        <v/>
      </c>
      <c r="BC28" s="1188" t="str">
        <f>IFERROR(IF(F28="RCx - Study",1,AH28/M02S02F35/AK28),"")</f>
        <v/>
      </c>
      <c r="BD28" s="1191" t="str">
        <f>IF(OR(C28="",F28="",L28="",P28="",R28="",T28="",X28="",Z28="",AB28="",AD28="",AF28=""),"",IF(ISNUMBER(AN28),INDEX(PROGRAMECAT[Measure Number],MATCH(F28,PROGRAMECAT[Category 1],0)),IF(AK28=0,"","000001")))</f>
        <v/>
      </c>
      <c r="BE28" s="1188" t="str" cm="1">
        <f t="array" ref="BE28">IFERROR(IF(F28="RCx - Study","",_xlfn.SINGLE(IF((P28*R28)-(X28*Z28)&lt;=0,MEASURESAV,IF(M02S02F35="",MEASURERATE,IF(AND(OR(F28="Others (Incremental)",F28="Others"),M05S07F03=""),MEASURESUBMIT, IF(AND(OR(ISNUMBER(SEARCH({"Custom","New Construction"},C28))),BC28&lt;1),MEASUREPAY,IF(AV28&lt;1,MEASURECB,""))))))),MEASURESUBMIT)</f>
        <v>Submit for Review</v>
      </c>
      <c r="BF28" s="1198" t="str">
        <f t="shared" ref="BF28" si="67">IF(OR(C28="",F28="",L28="",P28="",R28="",T28="",X28="",Z28="",AB28="",AD28="",AF28=""),"",IF(AB28="Incremental",AH28,""))</f>
        <v/>
      </c>
      <c r="BG28" s="1198"/>
      <c r="BH28" s="1001" t="str">
        <f ca="1">IF(OR(C28="",F28="",F28="",L28="",P28="",R28="",T28="",X28="",Z28="",AB28="",AD28="",AF28=""),"",IF('M01-S01'!$V$82&lt;TODAY(),0,IF(M02S02F46="Gas Only",0,IF(C28="New Construction",0,IF(OR(AK28="",AK28&lt;0,AH28&lt;=AN28),0,MIN(AH28-AN28,ROUND(AN28*0.2,2)))))))</f>
        <v/>
      </c>
      <c r="BI28" s="1064"/>
    </row>
    <row r="29" spans="2:61" ht="15.95" customHeight="1">
      <c r="B29" s="834"/>
      <c r="C29" s="1094"/>
      <c r="D29" s="1094"/>
      <c r="E29" s="1094"/>
      <c r="F29" s="1094"/>
      <c r="G29" s="1094"/>
      <c r="H29" s="1094"/>
      <c r="I29" s="1094"/>
      <c r="J29" s="1094"/>
      <c r="K29" s="1094"/>
      <c r="L29" s="1190"/>
      <c r="M29" s="1179"/>
      <c r="N29" s="1179"/>
      <c r="O29" s="1180"/>
      <c r="P29" s="969"/>
      <c r="Q29" s="970"/>
      <c r="R29" s="1183"/>
      <c r="S29" s="1184"/>
      <c r="T29" s="1178"/>
      <c r="U29" s="1179"/>
      <c r="V29" s="1179"/>
      <c r="W29" s="1180"/>
      <c r="X29" s="1174"/>
      <c r="Y29" s="1174"/>
      <c r="Z29" s="1170"/>
      <c r="AA29" s="1170"/>
      <c r="AB29" s="1174"/>
      <c r="AC29" s="1174"/>
      <c r="AD29" s="875"/>
      <c r="AE29" s="1098"/>
      <c r="AF29" s="861"/>
      <c r="AG29" s="1172"/>
      <c r="AH29" s="1136"/>
      <c r="AI29" s="1137"/>
      <c r="AJ29" s="1137"/>
      <c r="AK29" s="912"/>
      <c r="AL29" s="913"/>
      <c r="AM29" s="942"/>
      <c r="AN29" s="1139"/>
      <c r="AO29" s="1139"/>
      <c r="AP29" s="1139"/>
      <c r="AQ29" s="1139"/>
      <c r="AR29" s="59"/>
      <c r="AU29" s="1108"/>
      <c r="AV29" s="1108"/>
      <c r="AW29" s="1194"/>
      <c r="AX29" s="1075"/>
      <c r="AY29" s="1104"/>
      <c r="AZ29" s="1104"/>
      <c r="BA29" s="1104"/>
      <c r="BB29" s="1104"/>
      <c r="BC29" s="1104"/>
      <c r="BD29" s="1192"/>
      <c r="BE29" s="1104"/>
      <c r="BF29" s="1192"/>
      <c r="BG29" s="1192"/>
      <c r="BH29" s="1002"/>
      <c r="BI29" s="1002"/>
    </row>
    <row r="30" spans="2:61" ht="15.95" customHeight="1">
      <c r="B30" s="834">
        <v>8</v>
      </c>
      <c r="C30" s="1093"/>
      <c r="D30" s="1093"/>
      <c r="E30" s="1093"/>
      <c r="F30" s="1093"/>
      <c r="G30" s="1093"/>
      <c r="H30" s="1093"/>
      <c r="I30" s="1093"/>
      <c r="J30" s="1093"/>
      <c r="K30" s="1093"/>
      <c r="L30" s="1189" t="str">
        <f t="shared" ref="L30" si="68">IFERROR(IF(F30="RCx - Study","No Study",""),"")</f>
        <v/>
      </c>
      <c r="M30" s="1176"/>
      <c r="N30" s="1176"/>
      <c r="O30" s="1177"/>
      <c r="P30" s="967" t="str">
        <f t="shared" ref="P30" si="69">IFERROR(IF(F30="RCx - Study",1,""),"")</f>
        <v/>
      </c>
      <c r="Q30" s="968"/>
      <c r="R30" s="1181" t="str">
        <f t="shared" ref="R30" si="70">IFERROR(IF(F30="RCx - Study",0,""),"")</f>
        <v/>
      </c>
      <c r="S30" s="1182"/>
      <c r="T30" s="1175" t="str">
        <f t="shared" ref="T30" si="71">IFERROR(IF(F30="RCx - Study","Study Completed",""),"")</f>
        <v/>
      </c>
      <c r="U30" s="1176"/>
      <c r="V30" s="1176"/>
      <c r="W30" s="1177"/>
      <c r="X30" s="1173" t="str">
        <f t="shared" ref="X30" si="72">IFERROR(IF(F30="RCx - Study",1,""),"")</f>
        <v/>
      </c>
      <c r="Y30" s="1173"/>
      <c r="Z30" s="1169" t="str">
        <f t="shared" ref="Z30" si="73">IFERROR(IF(F30="RCx - Study",0,""),"")</f>
        <v/>
      </c>
      <c r="AA30" s="1169"/>
      <c r="AB30" s="1173" t="str">
        <f t="shared" ref="AB30" si="74">IF(C30="New Construction","Incremental","")</f>
        <v/>
      </c>
      <c r="AC30" s="1173"/>
      <c r="AD30" s="874"/>
      <c r="AE30" s="1097"/>
      <c r="AF30" s="892" t="str">
        <f t="shared" ref="AF30" si="75">IF(AB30="Incremental",0,"")</f>
        <v/>
      </c>
      <c r="AG30" s="1171"/>
      <c r="AH30" s="870" t="str">
        <f>IF(OR(C30="",F30="",L30="",P30="",R30="",T30="",X30="",Z30="",AD30="",AF30=""),"",ROUND(AD30+AF30,2))</f>
        <v/>
      </c>
      <c r="AI30" s="1102"/>
      <c r="AJ30" s="1102"/>
      <c r="AK30" s="910" t="str">
        <f t="shared" ref="AK30" si="76">IF(OR(C30="",F30="",F30="",L30="",P30="",R30="",T30="",X30="",Z30="",AB30="",AD30="",AF30=""),"",IF(F30="RCx - Study",0,IF((P30*R30)-(X30*Z30)&lt;=0,0,ROUND((P30*R30)-(X30*Z30),2))))</f>
        <v/>
      </c>
      <c r="AL30" s="911"/>
      <c r="AM30" s="975"/>
      <c r="AN30" s="1138" t="str">
        <f>IF(OR(C30="",F30="",F30="",L30="",P30="",R30="",T30="",X30="",Z30="",AB30="",AD30="",AF30=""),"",IF(BE30&lt;&gt;"",BE30,IF(C30="Custom",AY30,IF(C30="New Construction",AZ30,IF(C30="RCx",BA30)))))</f>
        <v/>
      </c>
      <c r="AO30" s="1138"/>
      <c r="AP30" s="1138"/>
      <c r="AQ30" s="1138"/>
      <c r="AR30" s="59"/>
      <c r="AU30" s="1107" t="str">
        <f>IF(F30="","",INDEX(CUSTNONLIGHTEUNIT,MATCH(F30,PROGRAMECAT[Category 1],0)))</f>
        <v/>
      </c>
      <c r="AV30" s="1107" t="str">
        <f>IF(OR(C30="",F30="",L30="",P30="",R30="",T30="",X30="",Z30="",AB30="",AD30="",AF30=""),"",IF(F30="RCx - Study",1,((1+ELOSS)*((AK30*INDEX(ELECCB[NPV AEC $/kWh],MATCH(BB30,ELECCB[Year Number],1)))+(AX30*INDEX(ELECCB[NPV ACC+T&amp;D $/kW],MATCH(BB30,ELECCB[Year Number],1)))))/AH30))</f>
        <v/>
      </c>
      <c r="AW30" s="1193"/>
      <c r="AX30" s="1074" t="str">
        <f>IF(OR(C30="",F30="",L30="",P30="",R30="",T30="",X30="",Z30="",AB30="",AD30="",AF30=""),"",ROUND(AW30*(INDEX(PROGRAMECAT[Lighting Coincidence Factor],MATCH(F30,PROGRAMECAT[Category 1],0))),3))</f>
        <v/>
      </c>
      <c r="AY30" s="1188" t="str">
        <f>IF(OR(C30="",F30="",F30="",L30="",P30="",R30="",T30="",X30="",Z30="",AB30="",AD30="",AF30=""),"",IF(AB30="Total",ROUND(MIN(AH30*0.75,AK30*INDEX(INCRATE[Electric],MATCH("CMNONLIGHT",INCRATE[Incentive Type]))),2),IF(AB30="Incremental",ROUND(MIN(AH30,AK30*INDEX(INCRATE[Electric],MATCH("CMNONLIGHT",INCRATE[Incentive Type]))),2))))</f>
        <v/>
      </c>
      <c r="AZ30" s="1188" t="str">
        <f>IF(OR(C30="",F30="",F30="",L30="",P30="",R30="",T30="",X30="",Z30="",AB30="",AD30="",AF30=""),"",IF(AB30="Total",ROUND(MIN(AH30*0.75,AK30*INDEX(INCRATE[Electric],MATCH("NCNONLIGHT",INCRATE[Incentive Type]))),2),IF(AB30="Incremental",ROUND(MIN(AH30,AK30*INDEX(INCRATE[Electric],MATCH("NCNONLIGHT",INCRATE[Incentive Type]))),2))))</f>
        <v/>
      </c>
      <c r="BA30" s="1188" t="str">
        <f>IF(OR(C30="",F30="",F30="",L30="",P30="",R30="",T30="",X30="",Z30="",AB30="",AD30="",AF30=""),"",IF(F30="RCx - Study",MIN(AH30,SUM($AK$16:$AM$35)*INDEX(INCRATE[Electric],MATCH("RCxStudy",INCRATE[Incentive Type]))),
IF(AB30="Total",ROUND(MIN(AH30*1,AK30*INDEX(INCRATE[Electric],MATCH("RCX",INCRATE[Incentive Type]))),2),IF(AB30="Incremental",ROUND(MIN(AH30,AK30*INDEX(INCRATE[Electric],MATCH("RCX",INCRATE[Incentive Type]))),2)))))</f>
        <v/>
      </c>
      <c r="BB30" s="1188" t="str">
        <f>IF(F30="","",INDEX(PROGRAMECAT[EUL],MATCH(F30,PROGRAMECAT[Category 1],0)))</f>
        <v/>
      </c>
      <c r="BC30" s="1188" t="str">
        <f>IFERROR(IF(F30="RCx - Study",1,AH30/M02S02F35/AK30),"")</f>
        <v/>
      </c>
      <c r="BD30" s="1191" t="str">
        <f>IF(OR(C30="",F30="",L30="",P30="",R30="",T30="",X30="",Z30="",AB30="",AD30="",AF30=""),"",IF(ISNUMBER(AN30),INDEX(PROGRAMECAT[Measure Number],MATCH(F30,PROGRAMECAT[Category 1],0)),IF(AK30=0,"","000001")))</f>
        <v/>
      </c>
      <c r="BE30" s="1188" t="str" cm="1">
        <f t="array" ref="BE30">IFERROR(IF(F30="RCx - Study","",_xlfn.SINGLE(IF((P30*R30)-(X30*Z30)&lt;=0,MEASURESAV,IF(M02S02F35="",MEASURERATE,IF(AND(OR(F30="Others (Incremental)",F30="Others"),M05S07F03=""),MEASURESUBMIT, IF(AND(OR(ISNUMBER(SEARCH({"Custom","New Construction"},C30))),BC30&lt;1),MEASUREPAY,IF(AV30&lt;1,MEASURECB,""))))))),MEASURESUBMIT)</f>
        <v>Submit for Review</v>
      </c>
      <c r="BF30" s="1198" t="str">
        <f t="shared" ref="BF30" si="77">IF(OR(C30="",F30="",L30="",P30="",R30="",T30="",X30="",Z30="",AB30="",AD30="",AF30=""),"",IF(AB30="Incremental",AH30,""))</f>
        <v/>
      </c>
      <c r="BG30" s="1198"/>
      <c r="BH30" s="1001" t="str">
        <f ca="1">IF(OR(C30="",F30="",F30="",L30="",P30="",R30="",T30="",X30="",Z30="",AB30="",AD30="",AF30=""),"",IF('M01-S01'!$V$82&lt;TODAY(),0,IF(M02S02F46="Gas Only",0,IF(C30="New Construction",0,IF(OR(AK30="",AK30&lt;0,AH30&lt;=AN30),0,MIN(AH30-AN30,ROUND(AN30*0.2,2)))))))</f>
        <v/>
      </c>
      <c r="BI30" s="1064"/>
    </row>
    <row r="31" spans="2:61" ht="15.95" customHeight="1">
      <c r="B31" s="834"/>
      <c r="C31" s="1094"/>
      <c r="D31" s="1094"/>
      <c r="E31" s="1094"/>
      <c r="F31" s="1094"/>
      <c r="G31" s="1094"/>
      <c r="H31" s="1094"/>
      <c r="I31" s="1094"/>
      <c r="J31" s="1094"/>
      <c r="K31" s="1094"/>
      <c r="L31" s="1190"/>
      <c r="M31" s="1179"/>
      <c r="N31" s="1179"/>
      <c r="O31" s="1180"/>
      <c r="P31" s="969"/>
      <c r="Q31" s="970"/>
      <c r="R31" s="1183"/>
      <c r="S31" s="1184"/>
      <c r="T31" s="1178"/>
      <c r="U31" s="1179"/>
      <c r="V31" s="1179"/>
      <c r="W31" s="1180"/>
      <c r="X31" s="1174"/>
      <c r="Y31" s="1174"/>
      <c r="Z31" s="1170"/>
      <c r="AA31" s="1170"/>
      <c r="AB31" s="1174"/>
      <c r="AC31" s="1174"/>
      <c r="AD31" s="875"/>
      <c r="AE31" s="1098"/>
      <c r="AF31" s="861"/>
      <c r="AG31" s="1172"/>
      <c r="AH31" s="1136"/>
      <c r="AI31" s="1137"/>
      <c r="AJ31" s="1137"/>
      <c r="AK31" s="912"/>
      <c r="AL31" s="913"/>
      <c r="AM31" s="942"/>
      <c r="AN31" s="1139"/>
      <c r="AO31" s="1139"/>
      <c r="AP31" s="1139"/>
      <c r="AQ31" s="1139"/>
      <c r="AR31" s="59"/>
      <c r="AU31" s="1108"/>
      <c r="AV31" s="1108"/>
      <c r="AW31" s="1194"/>
      <c r="AX31" s="1075"/>
      <c r="AY31" s="1104"/>
      <c r="AZ31" s="1104"/>
      <c r="BA31" s="1104"/>
      <c r="BB31" s="1104"/>
      <c r="BC31" s="1104"/>
      <c r="BD31" s="1192"/>
      <c r="BE31" s="1104"/>
      <c r="BF31" s="1192"/>
      <c r="BG31" s="1192"/>
      <c r="BH31" s="1002"/>
      <c r="BI31" s="1002"/>
    </row>
    <row r="32" spans="2:61" ht="15.95" customHeight="1">
      <c r="B32" s="834">
        <v>9</v>
      </c>
      <c r="C32" s="1093"/>
      <c r="D32" s="1093"/>
      <c r="E32" s="1093"/>
      <c r="F32" s="1093"/>
      <c r="G32" s="1093"/>
      <c r="H32" s="1093"/>
      <c r="I32" s="1093"/>
      <c r="J32" s="1093"/>
      <c r="K32" s="1093"/>
      <c r="L32" s="1189" t="str">
        <f t="shared" ref="L32" si="78">IFERROR(IF(F32="RCx - Study","No Study",""),"")</f>
        <v/>
      </c>
      <c r="M32" s="1176"/>
      <c r="N32" s="1176"/>
      <c r="O32" s="1177"/>
      <c r="P32" s="967" t="str">
        <f t="shared" ref="P32" si="79">IFERROR(IF(F32="RCx - Study",1,""),"")</f>
        <v/>
      </c>
      <c r="Q32" s="968"/>
      <c r="R32" s="1181" t="str">
        <f t="shared" ref="R32" si="80">IFERROR(IF(F32="RCx - Study",0,""),"")</f>
        <v/>
      </c>
      <c r="S32" s="1182"/>
      <c r="T32" s="1175" t="str">
        <f t="shared" ref="T32" si="81">IFERROR(IF(F32="RCx - Study","Study Completed",""),"")</f>
        <v/>
      </c>
      <c r="U32" s="1176"/>
      <c r="V32" s="1176"/>
      <c r="W32" s="1177"/>
      <c r="X32" s="1173" t="str">
        <f t="shared" ref="X32" si="82">IFERROR(IF(F32="RCx - Study",1,""),"")</f>
        <v/>
      </c>
      <c r="Y32" s="1173"/>
      <c r="Z32" s="1169" t="str">
        <f t="shared" ref="Z32" si="83">IFERROR(IF(F32="RCx - Study",0,""),"")</f>
        <v/>
      </c>
      <c r="AA32" s="1169"/>
      <c r="AB32" s="1173" t="str">
        <f t="shared" ref="AB32" si="84">IF(C32="New Construction","Incremental","")</f>
        <v/>
      </c>
      <c r="AC32" s="1173"/>
      <c r="AD32" s="874"/>
      <c r="AE32" s="1097"/>
      <c r="AF32" s="892" t="str">
        <f t="shared" ref="AF32" si="85">IF(AB32="Incremental",0,"")</f>
        <v/>
      </c>
      <c r="AG32" s="1171"/>
      <c r="AH32" s="870" t="str">
        <f>IF(OR(C32="",F32="",L32="",P32="",R32="",T32="",X32="",Z32="",AD32="",AF32=""),"",ROUND(AD32+AF32,2))</f>
        <v/>
      </c>
      <c r="AI32" s="1102"/>
      <c r="AJ32" s="1102"/>
      <c r="AK32" s="910" t="str">
        <f t="shared" ref="AK32" si="86">IF(OR(C32="",F32="",F32="",L32="",P32="",R32="",T32="",X32="",Z32="",AB32="",AD32="",AF32=""),"",IF(F32="RCx - Study",0,IF((P32*R32)-(X32*Z32)&lt;=0,0,ROUND((P32*R32)-(X32*Z32),2))))</f>
        <v/>
      </c>
      <c r="AL32" s="911"/>
      <c r="AM32" s="975"/>
      <c r="AN32" s="1138" t="str">
        <f>IF(OR(C32="",F32="",F32="",L32="",P32="",R32="",T32="",X32="",Z32="",AB32="",AD32="",AF32=""),"",IF(BE32&lt;&gt;"",BE32,IF(C32="Custom",AY32,IF(C32="New Construction",AZ32,IF(C32="RCx",BA32)))))</f>
        <v/>
      </c>
      <c r="AO32" s="1138"/>
      <c r="AP32" s="1138"/>
      <c r="AQ32" s="1138"/>
      <c r="AR32" s="59"/>
      <c r="AU32" s="1107" t="str">
        <f>IF(F32="","",INDEX(CUSTNONLIGHTEUNIT,MATCH(F32,PROGRAMECAT[Category 1],0)))</f>
        <v/>
      </c>
      <c r="AV32" s="1107" t="str">
        <f>IF(OR(C32="",F32="",L32="",P32="",R32="",T32="",X32="",Z32="",AB32="",AD32="",AF32=""),"",IF(F32="RCx - Study",1,((1+ELOSS)*((AK32*INDEX(ELECCB[NPV AEC $/kWh],MATCH(BB32,ELECCB[Year Number],1)))+(AX32*INDEX(ELECCB[NPV ACC+T&amp;D $/kW],MATCH(BB32,ELECCB[Year Number],1)))))/AH32))</f>
        <v/>
      </c>
      <c r="AW32" s="1193"/>
      <c r="AX32" s="1074" t="str">
        <f>IF(OR(C32="",F32="",L32="",P32="",R32="",T32="",X32="",Z32="",AB32="",AD32="",AF32=""),"",ROUND(AW32*(INDEX(PROGRAMECAT[Lighting Coincidence Factor],MATCH(F32,PROGRAMECAT[Category 1],0))),3))</f>
        <v/>
      </c>
      <c r="AY32" s="1188" t="str">
        <f>IF(OR(C32="",F32="",F32="",L32="",P32="",R32="",T32="",X32="",Z32="",AB32="",AD32="",AF32=""),"",IF(AB32="Total",ROUND(MIN(AH32*0.75,AK32*INDEX(INCRATE[Electric],MATCH("CMNONLIGHT",INCRATE[Incentive Type]))),2),IF(AB32="Incremental",ROUND(MIN(AH32,AK32*INDEX(INCRATE[Electric],MATCH("CMNONLIGHT",INCRATE[Incentive Type]))),2))))</f>
        <v/>
      </c>
      <c r="AZ32" s="1188" t="str">
        <f>IF(OR(C32="",F32="",F32="",L32="",P32="",R32="",T32="",X32="",Z32="",AB32="",AD32="",AF32=""),"",IF(AB32="Total",ROUND(MIN(AH32*0.75,AK32*INDEX(INCRATE[Electric],MATCH("NCNONLIGHT",INCRATE[Incentive Type]))),2),IF(AB32="Incremental",ROUND(MIN(AH32,AK32*INDEX(INCRATE[Electric],MATCH("NCNONLIGHT",INCRATE[Incentive Type]))),2))))</f>
        <v/>
      </c>
      <c r="BA32" s="1188" t="str">
        <f>IF(OR(C32="",F32="",F32="",L32="",P32="",R32="",T32="",X32="",Z32="",AB32="",AD32="",AF32=""),"",IF(F32="RCx - Study",MIN(AH32,SUM($AK$16:$AM$35)*INDEX(INCRATE[Electric],MATCH("RCxStudy",INCRATE[Incentive Type]))),
IF(AB32="Total",ROUND(MIN(AH32*1,AK32*INDEX(INCRATE[Electric],MATCH("RCX",INCRATE[Incentive Type]))),2),IF(AB32="Incremental",ROUND(MIN(AH32,AK32*INDEX(INCRATE[Electric],MATCH("RCX",INCRATE[Incentive Type]))),2)))))</f>
        <v/>
      </c>
      <c r="BB32" s="1188" t="str">
        <f>IF(F32="","",INDEX(PROGRAMECAT[EUL],MATCH(F32,PROGRAMECAT[Category 1],0)))</f>
        <v/>
      </c>
      <c r="BC32" s="1188" t="str">
        <f>IFERROR(IF(F32="RCx - Study",1,AH32/M02S02F35/AK32),"")</f>
        <v/>
      </c>
      <c r="BD32" s="1191" t="str">
        <f>IF(OR(C32="",F32="",L32="",P32="",R32="",T32="",X32="",Z32="",AB32="",AD32="",AF32=""),"",IF(ISNUMBER(AN32),INDEX(PROGRAMECAT[Measure Number],MATCH(F32,PROGRAMECAT[Category 1],0)),IF(AK32=0,"","000001")))</f>
        <v/>
      </c>
      <c r="BE32" s="1188" t="str" cm="1">
        <f t="array" ref="BE32">IFERROR(IF(F32="RCx - Study","",_xlfn.SINGLE(IF((P32*R32)-(X32*Z32)&lt;=0,MEASURESAV,IF(M02S02F35="",MEASURERATE,IF(AND(OR(F32="Others (Incremental)",F32="Others"),M05S07F03=""),MEASURESUBMIT, IF(AND(OR(ISNUMBER(SEARCH({"Custom","New Construction"},C32))),BC32&lt;1),MEASUREPAY,IF(AV32&lt;1,MEASURECB,""))))))),MEASURESUBMIT)</f>
        <v>Submit for Review</v>
      </c>
      <c r="BF32" s="1198" t="str">
        <f t="shared" ref="BF32" si="87">IF(OR(C32="",F32="",L32="",P32="",R32="",T32="",X32="",Z32="",AB32="",AD32="",AF32=""),"",IF(AB32="Incremental",AH32,""))</f>
        <v/>
      </c>
      <c r="BG32" s="1198"/>
      <c r="BH32" s="1001" t="str">
        <f ca="1">IF(OR(C32="",F32="",F32="",L32="",P32="",R32="",T32="",X32="",Z32="",AB32="",AD32="",AF32=""),"",IF('M01-S01'!$V$82&lt;TODAY(),0,IF(M02S02F46="Gas Only",0,IF(C32="New Construction",0,IF(OR(AK32="",AK32&lt;0,AH32&lt;=AN32),0,MIN(AH32-AN32,ROUND(AN32*0.2,2)))))))</f>
        <v/>
      </c>
      <c r="BI32" s="1064"/>
    </row>
    <row r="33" spans="2:61" ht="15.95" customHeight="1">
      <c r="B33" s="834"/>
      <c r="C33" s="1094"/>
      <c r="D33" s="1094"/>
      <c r="E33" s="1094"/>
      <c r="F33" s="1094"/>
      <c r="G33" s="1094"/>
      <c r="H33" s="1094"/>
      <c r="I33" s="1094"/>
      <c r="J33" s="1094"/>
      <c r="K33" s="1094"/>
      <c r="L33" s="1190"/>
      <c r="M33" s="1179"/>
      <c r="N33" s="1179"/>
      <c r="O33" s="1180"/>
      <c r="P33" s="969"/>
      <c r="Q33" s="970"/>
      <c r="R33" s="1183"/>
      <c r="S33" s="1184"/>
      <c r="T33" s="1178"/>
      <c r="U33" s="1179"/>
      <c r="V33" s="1179"/>
      <c r="W33" s="1180"/>
      <c r="X33" s="1174"/>
      <c r="Y33" s="1174"/>
      <c r="Z33" s="1170"/>
      <c r="AA33" s="1170"/>
      <c r="AB33" s="1174"/>
      <c r="AC33" s="1174"/>
      <c r="AD33" s="875"/>
      <c r="AE33" s="1098"/>
      <c r="AF33" s="861"/>
      <c r="AG33" s="1172"/>
      <c r="AH33" s="1136"/>
      <c r="AI33" s="1137"/>
      <c r="AJ33" s="1137"/>
      <c r="AK33" s="912"/>
      <c r="AL33" s="913"/>
      <c r="AM33" s="942"/>
      <c r="AN33" s="1139"/>
      <c r="AO33" s="1139"/>
      <c r="AP33" s="1139"/>
      <c r="AQ33" s="1139"/>
      <c r="AR33" s="59"/>
      <c r="AU33" s="1108"/>
      <c r="AV33" s="1108"/>
      <c r="AW33" s="1194"/>
      <c r="AX33" s="1075"/>
      <c r="AY33" s="1104"/>
      <c r="AZ33" s="1104"/>
      <c r="BA33" s="1104"/>
      <c r="BB33" s="1104"/>
      <c r="BC33" s="1104"/>
      <c r="BD33" s="1192"/>
      <c r="BE33" s="1104"/>
      <c r="BF33" s="1192"/>
      <c r="BG33" s="1192"/>
      <c r="BH33" s="1002"/>
      <c r="BI33" s="1002"/>
    </row>
    <row r="34" spans="2:61" ht="15.95" customHeight="1">
      <c r="B34" s="834">
        <v>10</v>
      </c>
      <c r="C34" s="1093"/>
      <c r="D34" s="1093"/>
      <c r="E34" s="1093"/>
      <c r="F34" s="1093"/>
      <c r="G34" s="1093"/>
      <c r="H34" s="1093"/>
      <c r="I34" s="1093"/>
      <c r="J34" s="1093"/>
      <c r="K34" s="1093"/>
      <c r="L34" s="1189" t="str">
        <f t="shared" ref="L34" si="88">IFERROR(IF(F34="RCx - Study","No Study",""),"")</f>
        <v/>
      </c>
      <c r="M34" s="1176"/>
      <c r="N34" s="1176"/>
      <c r="O34" s="1177"/>
      <c r="P34" s="967" t="str">
        <f t="shared" ref="P34" si="89">IFERROR(IF(F34="RCx - Study",1,""),"")</f>
        <v/>
      </c>
      <c r="Q34" s="968"/>
      <c r="R34" s="1181" t="str">
        <f t="shared" ref="R34" si="90">IFERROR(IF(F34="RCx - Study",0,""),"")</f>
        <v/>
      </c>
      <c r="S34" s="1182"/>
      <c r="T34" s="1175" t="str">
        <f t="shared" ref="T34" si="91">IFERROR(IF(F34="RCx - Study","Study Completed",""),"")</f>
        <v/>
      </c>
      <c r="U34" s="1176"/>
      <c r="V34" s="1176"/>
      <c r="W34" s="1177"/>
      <c r="X34" s="1173" t="str">
        <f t="shared" ref="X34" si="92">IFERROR(IF(F34="RCx - Study",1,""),"")</f>
        <v/>
      </c>
      <c r="Y34" s="1173"/>
      <c r="Z34" s="1169" t="str">
        <f t="shared" ref="Z34" si="93">IFERROR(IF(F34="RCx - Study",0,""),"")</f>
        <v/>
      </c>
      <c r="AA34" s="1169"/>
      <c r="AB34" s="1173" t="str">
        <f t="shared" ref="AB34" si="94">IF(C34="New Construction","Incremental","")</f>
        <v/>
      </c>
      <c r="AC34" s="1173"/>
      <c r="AD34" s="874"/>
      <c r="AE34" s="1097"/>
      <c r="AF34" s="892" t="str">
        <f t="shared" ref="AF34" si="95">IF(AB34="Incremental",0,"")</f>
        <v/>
      </c>
      <c r="AG34" s="1171"/>
      <c r="AH34" s="870" t="str">
        <f t="shared" ref="AH34" si="96">IF(OR(C34="",F34="",L34="",P34="",R34="",T34="",X34="",Z34="",AD34="",AF34=""),"",ROUND(AD34+AF34,2))</f>
        <v/>
      </c>
      <c r="AI34" s="1102"/>
      <c r="AJ34" s="1102"/>
      <c r="AK34" s="910" t="str">
        <f t="shared" ref="AK34" si="97">IF(OR(C34="",F34="",F34="",L34="",P34="",R34="",T34="",X34="",Z34="",AB34="",AD34="",AF34=""),"",IF(F34="RCx - Study",0,IF((P34*R34)-(X34*Z34)&lt;=0,0,ROUND((P34*R34)-(X34*Z34),2))))</f>
        <v/>
      </c>
      <c r="AL34" s="911"/>
      <c r="AM34" s="975"/>
      <c r="AN34" s="1138" t="str">
        <f t="shared" ref="AN34" si="98">IF(OR(C34="",F34="",F34="",L34="",P34="",R34="",T34="",X34="",Z34="",AB34="",AD34="",AF34=""),"",IF(BE34&lt;&gt;"",BE34,IF(C34="Custom",AY34,IF(C34="New Construction",AZ34,IF(C34="RCx",BA34)))))</f>
        <v/>
      </c>
      <c r="AO34" s="1138"/>
      <c r="AP34" s="1138"/>
      <c r="AQ34" s="1138"/>
      <c r="AR34" s="59"/>
      <c r="AU34" s="1107" t="str">
        <f>IF(F34="","",INDEX(CUSTNONLIGHTEUNIT,MATCH(F34,PROGRAMECAT[Category 1],0)))</f>
        <v/>
      </c>
      <c r="AV34" s="1107" t="str">
        <f>IF(OR(C34="",F34="",L34="",P34="",R34="",T34="",X34="",Z34="",AB34="",AD34="",AF34=""),"",IF(F34="RCx - Study",1,((1+ELOSS)*((AK34*INDEX(ELECCB[NPV AEC $/kWh],MATCH(BB34,ELECCB[Year Number],1)))+(AX34*INDEX(ELECCB[NPV ACC+T&amp;D $/kW],MATCH(BB34,ELECCB[Year Number],1)))))/AH34))</f>
        <v/>
      </c>
      <c r="AW34" s="1193"/>
      <c r="AX34" s="1074" t="str">
        <f>IF(OR(C34="",F34="",L34="",P34="",R34="",T34="",X34="",Z34="",AB34="",AD34="",AF34=""),"",ROUND(AW34*(INDEX(PROGRAMECAT[Lighting Coincidence Factor],MATCH(F34,PROGRAMECAT[Category 1],0))),3))</f>
        <v/>
      </c>
      <c r="AY34" s="1188" t="str">
        <f>IF(OR(C34="",F34="",F34="",L34="",P34="",R34="",T34="",X34="",Z34="",AB34="",AD34="",AF34=""),"",IF(AB34="Total",ROUND(MIN(AH34*0.75,AK34*INDEX(INCRATE[Electric],MATCH("CMNONLIGHT",INCRATE[Incentive Type]))),2),IF(AB34="Incremental",ROUND(MIN(AH34,AK34*INDEX(INCRATE[Electric],MATCH("CMNONLIGHT",INCRATE[Incentive Type]))),2))))</f>
        <v/>
      </c>
      <c r="AZ34" s="1188" t="str">
        <f>IF(OR(C34="",F34="",F34="",L34="",P34="",R34="",T34="",X34="",Z34="",AB34="",AD34="",AF34=""),"",IF(AB34="Total",ROUND(MIN(AH34*0.75,AK34*INDEX(INCRATE[Electric],MATCH("NCNONLIGHT",INCRATE[Incentive Type]))),2),IF(AB34="Incremental",ROUND(MIN(AH34,AK34*INDEX(INCRATE[Electric],MATCH("NCNONLIGHT",INCRATE[Incentive Type]))),2))))</f>
        <v/>
      </c>
      <c r="BA34" s="1188" t="str">
        <f>IF(OR(C34="",F34="",F34="",L34="",P34="",R34="",T34="",X34="",Z34="",AB34="",AD34="",AF34=""),"",IF(F34="RCx - Study",MIN(AH34,SUM($AK$16:$AM$35)*INDEX(INCRATE[Electric],MATCH("RCxStudy",INCRATE[Incentive Type]))),
IF(AB34="Total",ROUND(MIN(AH34*1,AK34*INDEX(INCRATE[Electric],MATCH("RCX",INCRATE[Incentive Type]))),2),IF(AB34="Incremental",ROUND(MIN(AH34,AK34*INDEX(INCRATE[Electric],MATCH("RCX",INCRATE[Incentive Type]))),2)))))</f>
        <v/>
      </c>
      <c r="BB34" s="1188" t="str">
        <f>IF(F34="","",INDEX(PROGRAMECAT[EUL],MATCH(F34,PROGRAMECAT[Category 1],0)))</f>
        <v/>
      </c>
      <c r="BC34" s="1188" t="str">
        <f>IFERROR(IF(F34="RCx - Study",1,AH34/M02S02F35/AK34),"")</f>
        <v/>
      </c>
      <c r="BD34" s="1191" t="str">
        <f>IF(OR(C34="",F34="",L34="",P34="",R34="",T34="",X34="",Z34="",AB34="",AD34="",AF34=""),"",IF(ISNUMBER(AN34),INDEX(PROGRAMECAT[Measure Number],MATCH(F34,PROGRAMECAT[Category 1],0)),IF(AK34=0,"","000001")))</f>
        <v/>
      </c>
      <c r="BE34" s="1188" t="str" cm="1">
        <f t="array" ref="BE34">IFERROR(IF(F34="RCx - Study","",_xlfn.SINGLE(IF((P34*R34)-(X34*Z34)&lt;=0,MEASURESAV,IF(M02S02F35="",MEASURERATE,IF(AND(OR(F34="Others (Incremental)",F34="Others"),M05S07F03=""),MEASURESUBMIT, IF(AND(OR(ISNUMBER(SEARCH({"Custom","New Construction"},C34))),BC34&lt;1),MEASUREPAY,IF(AV34&lt;1,MEASURECB,""))))))),MEASURESUBMIT)</f>
        <v>Submit for Review</v>
      </c>
      <c r="BF34" s="1198" t="str">
        <f t="shared" ref="BF34" si="99">IF(OR(C34="",F34="",L34="",P34="",R34="",T34="",X34="",Z34="",AB34="",AD34="",AF34=""),"",IF(AB34="Incremental",AH34,""))</f>
        <v/>
      </c>
      <c r="BG34" s="1198"/>
      <c r="BH34" s="1001" t="str">
        <f ca="1">IF(OR(C34="",F34="",F34="",L34="",P34="",R34="",T34="",X34="",Z34="",AB34="",AD34="",AF34=""),"",IF('M01-S01'!$V$82&lt;TODAY(),0,IF(M02S02F46="Gas Only",0,IF(C34="New Construction",0,IF(OR(AK34="",AK34&lt;0,AH34&lt;=AN34),0,MIN(AH34-AN34,ROUND(AN34*0.2,2)))))))</f>
        <v/>
      </c>
      <c r="BI34" s="1064"/>
    </row>
    <row r="35" spans="2:61" ht="15.75" customHeight="1">
      <c r="B35" s="834"/>
      <c r="C35" s="1094"/>
      <c r="D35" s="1094"/>
      <c r="E35" s="1094"/>
      <c r="F35" s="1094"/>
      <c r="G35" s="1094"/>
      <c r="H35" s="1094"/>
      <c r="I35" s="1094"/>
      <c r="J35" s="1094"/>
      <c r="K35" s="1094"/>
      <c r="L35" s="1190"/>
      <c r="M35" s="1179"/>
      <c r="N35" s="1179"/>
      <c r="O35" s="1180"/>
      <c r="P35" s="969"/>
      <c r="Q35" s="970"/>
      <c r="R35" s="1183"/>
      <c r="S35" s="1184"/>
      <c r="T35" s="1178"/>
      <c r="U35" s="1179"/>
      <c r="V35" s="1179"/>
      <c r="W35" s="1180"/>
      <c r="X35" s="1174"/>
      <c r="Y35" s="1174"/>
      <c r="Z35" s="1170"/>
      <c r="AA35" s="1170"/>
      <c r="AB35" s="1174"/>
      <c r="AC35" s="1174"/>
      <c r="AD35" s="875"/>
      <c r="AE35" s="1098"/>
      <c r="AF35" s="861"/>
      <c r="AG35" s="1172"/>
      <c r="AH35" s="1136"/>
      <c r="AI35" s="1137"/>
      <c r="AJ35" s="1137"/>
      <c r="AK35" s="912"/>
      <c r="AL35" s="913"/>
      <c r="AM35" s="942"/>
      <c r="AN35" s="1139"/>
      <c r="AO35" s="1139"/>
      <c r="AP35" s="1139"/>
      <c r="AQ35" s="1139"/>
      <c r="AR35" s="59"/>
      <c r="AU35" s="1108"/>
      <c r="AV35" s="1108"/>
      <c r="AW35" s="1194"/>
      <c r="AX35" s="1075"/>
      <c r="AY35" s="1104"/>
      <c r="AZ35" s="1104"/>
      <c r="BA35" s="1104"/>
      <c r="BB35" s="1104"/>
      <c r="BC35" s="1104"/>
      <c r="BD35" s="1192"/>
      <c r="BE35" s="1104"/>
      <c r="BF35" s="1192"/>
      <c r="BG35" s="1192"/>
      <c r="BH35" s="1002"/>
      <c r="BI35" s="1002"/>
    </row>
    <row r="36" spans="2:61" ht="15.95" hidden="1" customHeight="1">
      <c r="B36" s="929">
        <v>11</v>
      </c>
      <c r="C36" s="1093"/>
      <c r="D36" s="1093"/>
      <c r="E36" s="1093"/>
      <c r="F36" s="1093"/>
      <c r="G36" s="1093"/>
      <c r="H36" s="1093"/>
      <c r="I36" s="1093"/>
      <c r="J36" s="1093"/>
      <c r="K36" s="1093"/>
      <c r="L36" s="871"/>
      <c r="M36" s="872"/>
      <c r="N36" s="872"/>
      <c r="O36" s="873"/>
      <c r="P36" s="851"/>
      <c r="Q36" s="852"/>
      <c r="R36" s="1114"/>
      <c r="S36" s="1205"/>
      <c r="T36" s="1185"/>
      <c r="U36" s="872"/>
      <c r="V36" s="872"/>
      <c r="W36" s="873"/>
      <c r="X36" s="1083"/>
      <c r="Y36" s="1083"/>
      <c r="Z36" s="1186"/>
      <c r="AA36" s="1186"/>
      <c r="AB36" s="1173" t="str">
        <f t="shared" ref="AB36" si="100">IF(C36="New Construction","Incremental","")</f>
        <v/>
      </c>
      <c r="AC36" s="1173"/>
      <c r="AD36" s="874"/>
      <c r="AE36" s="1097"/>
      <c r="AF36" s="1201" t="str">
        <f t="shared" ref="AF36" si="101">IF(AB36="Incremental",0,"")</f>
        <v/>
      </c>
      <c r="AG36" s="1202"/>
      <c r="AH36" s="870" t="str">
        <f t="shared" ref="AH36" si="102">IF(OR(C36="",F36="",L36="",P36="",R36="",T36="",X36="",Z36="",AD36="",AF36=""),"",ROUND(AD36+AF36,2))</f>
        <v/>
      </c>
      <c r="AI36" s="1102"/>
      <c r="AJ36" s="1102"/>
      <c r="AK36" s="1111" t="str">
        <f t="shared" ref="AK36" si="103">IF(OR(C36="",F36="",F36="",L36="",P36="",R36="",T36="",X36="",Z36="",AB36="",AD36="",AF36=""),"",IF((P36*R36)-(X36*Z36)&lt;=0,0,ROUND((P36*R36)-(X36*Z36),2)))</f>
        <v/>
      </c>
      <c r="AL36" s="1111"/>
      <c r="AM36" s="1111"/>
      <c r="AN36" s="1138" t="str">
        <f t="shared" ref="AN36" si="104">IF(OR(C36="",F36="",F36="",L36="",P36="",R36="",T36="",X36="",Z36="",AB36="",AD36="",AF36=""),"",IF(BE36&lt;&gt;"",BE36,IF(C36="Custom",AY36,IF(C36="New Construction",AZ36,IF(C36="RCx",BA36)))))</f>
        <v/>
      </c>
      <c r="AO36" s="1138"/>
      <c r="AP36" s="1138"/>
      <c r="AQ36" s="1138"/>
      <c r="AR36" s="59"/>
      <c r="AU36" s="1109" t="str">
        <f>IF(F36="","",INDEX(CUSTNONLIGHTEUNIT,MATCH(F36,PROGRAMECAT[Category 1],0)))</f>
        <v/>
      </c>
      <c r="AV36" s="1109" t="str">
        <f>IF(OR(C36="",F36="",L36="",P36="",R36="",T36="",X36="",Z36="",AB36="",AD36="",AF36=""),"",((1+ELOSS)*((AK36*INDEX(ELECCB[NPV AEC $/kWh],MATCH(BB36,ELECCB[Year Number],1)))+(AX36*INDEX(ELECCB[NPV ACC+T&amp;D $/kW],MATCH(BB36,ELECCB[Year Number],1)))))/AH36)</f>
        <v/>
      </c>
      <c r="AW36" s="1193"/>
      <c r="AX36" s="1195" t="str">
        <f>IF(OR(C36="",F36="",L36="",P36="",R36="",T36="",X36="",Z36="",AB36="",AD36="",AF36=""),"",ROUND(AW36*(INDEX(PROGRAMECAT[Lighting Coincidence Factor],MATCH(F36,PROGRAMECAT[Category 1],0))),3))</f>
        <v/>
      </c>
      <c r="AY36" s="1188" t="str">
        <f>IF(OR(C36="",F36="",F36="",L36="",P36="",R36="",T36="",X36="",Z36="",AB36="",AD36="",AF36=""),"",IF(AB36="Total",ROUND(MIN(AH36*0.75,AK36*INDEX(INCRATE[Electric],MATCH("CMNONLIGHT",INCRATE[Incentive Type]))),2),IF(AB36="Incremental",ROUND(MIN(AH36,AK36*INDEX(INCRATE[Electric],MATCH("CMNONLIGHT",INCRATE[Incentive Type]))),2))))</f>
        <v/>
      </c>
      <c r="AZ36" s="1188" t="str">
        <f>IF(OR(C36="",F36="",F36="",L36="",P36="",R36="",T36="",X36="",Z36="",AB36="",AD36="",AF36=""),"",IF(AB36="Total",ROUND(MIN(AH36*0.75,AK36*INDEX(INCRATE[Electric],MATCH("NCNONLIGHT",INCRATE[Incentive Type]))),2),IF(AB36="Incremental",ROUND(MIN(AH36,AK36*INDEX(INCRATE[Electric],MATCH("NCNONLIGHT",INCRATE[Incentive Type]))),2))))</f>
        <v/>
      </c>
      <c r="BA36" s="1188" t="str">
        <f>IF(OR(C36="",F36="",F36="",L36="",P36="",R36="",T36="",X36="",Z36="",AB36="",AD36="",AF36=""),"",IF(AB36="Total",ROUND(MIN(AH36*0.75,AK36*INDEX(INCRATE[Electric],MATCH("RCX",INCRATE[Incentive Type]))),2),IF(AB36="Incremental",ROUND(MIN(AH36,AK36*INDEX(INCRATE[Electric],MATCH("RCX",INCRATE[Incentive Type]))),2))))</f>
        <v/>
      </c>
      <c r="BB36" s="1103" t="str">
        <f>IF(F36="","",INDEX(PROGRAMECAT[EUL],MATCH(F36,PROGRAMECAT[Category 1],0)))</f>
        <v/>
      </c>
      <c r="BC36" s="1103" t="str">
        <f>IFERROR(AH36/M02S02F35/AK36,"")</f>
        <v/>
      </c>
      <c r="BD36" s="1198" t="str">
        <f>IF(OR(C36="",F36="",L36="",P36="",R36="",T36="",X36="",Z36="",AB36="",AD36="",AF36=""),"",IF(ISNUMBER(AN36),INDEX(PROGRAMECAT[Measure Number],MATCH(F36,PROGRAMECAT[Category 1],0)),IF(AK36=0,"","000001")))</f>
        <v/>
      </c>
      <c r="BE36" s="1103" t="str">
        <f>IFERROR(IF((P36*R36)-(X36*Z36)&lt;=0,MEASURESAV,IF(M02S02F35="",MEASURERATE,IF(OR(F36="Others (Incremental)",F36="Others"),MEASURESUBMIT, IF(BC36&lt;1,MEASUREPAY,IF(AV36&lt;1,MEASURECB,""))))),MEASURESUBMIT)</f>
        <v>Submit for Review</v>
      </c>
      <c r="BH36" s="1001" t="str">
        <f ca="1">IF(OR(C36="",F36="",F36="",L36="",P36="",R36="",T36="",X36="",Z36="",AB36="",AD36="",AF36=""),"",IF('M01-S01'!$V$82&lt;TODAY(),0,IF(M02S02F46="Gas Only",0,IF(OR(AK36="",AK36&lt;0,AH36&lt;=AN36),0,MIN(AH36-AN36,ROUND(IF(OR(ISNUMBER(SEARCH("Compressed Air",F36)),ISNUMBER(SEARCH("T8",F36)),ISNUMBER(SEARCH("T5",F36)),ISNUMBER(SEARCH("MH",F36)),ISNUMBER(SEARCH("HPS",F36)),ISNUMBER(SEARCH("MV",F36))),AN36*0.2),2))))))</f>
        <v/>
      </c>
    </row>
    <row r="37" spans="2:61" ht="15.95" hidden="1" customHeight="1">
      <c r="B37" s="929"/>
      <c r="C37" s="1094"/>
      <c r="D37" s="1094"/>
      <c r="E37" s="1094"/>
      <c r="F37" s="1094"/>
      <c r="G37" s="1094"/>
      <c r="H37" s="1094"/>
      <c r="I37" s="1094"/>
      <c r="J37" s="1094"/>
      <c r="K37" s="1094"/>
      <c r="L37" s="840"/>
      <c r="M37" s="841"/>
      <c r="N37" s="841"/>
      <c r="O37" s="842"/>
      <c r="P37" s="853"/>
      <c r="Q37" s="854"/>
      <c r="R37" s="1116"/>
      <c r="S37" s="1206"/>
      <c r="T37" s="848"/>
      <c r="U37" s="841"/>
      <c r="V37" s="841"/>
      <c r="W37" s="842"/>
      <c r="X37" s="1084"/>
      <c r="Y37" s="1084"/>
      <c r="Z37" s="1187"/>
      <c r="AA37" s="1187"/>
      <c r="AB37" s="1174"/>
      <c r="AC37" s="1174"/>
      <c r="AD37" s="875"/>
      <c r="AE37" s="1098"/>
      <c r="AF37" s="1203"/>
      <c r="AG37" s="1204"/>
      <c r="AH37" s="1136"/>
      <c r="AI37" s="1137"/>
      <c r="AJ37" s="1137"/>
      <c r="AK37" s="1149"/>
      <c r="AL37" s="1149"/>
      <c r="AM37" s="1149"/>
      <c r="AN37" s="1139"/>
      <c r="AO37" s="1139"/>
      <c r="AP37" s="1139"/>
      <c r="AQ37" s="1139"/>
      <c r="AR37" s="59"/>
      <c r="AU37" s="1108"/>
      <c r="AV37" s="1108"/>
      <c r="AW37" s="1194"/>
      <c r="AX37" s="1075"/>
      <c r="AY37" s="1104"/>
      <c r="AZ37" s="1104"/>
      <c r="BA37" s="1104"/>
      <c r="BB37" s="1104"/>
      <c r="BC37" s="1104"/>
      <c r="BD37" s="1192"/>
      <c r="BE37" s="1104"/>
      <c r="BH37" s="1002"/>
    </row>
    <row r="38" spans="2:61" ht="15.95" hidden="1" customHeight="1">
      <c r="B38" s="929">
        <v>12</v>
      </c>
      <c r="C38" s="1093"/>
      <c r="D38" s="1093"/>
      <c r="E38" s="1093"/>
      <c r="F38" s="1093"/>
      <c r="G38" s="1093"/>
      <c r="H38" s="1093"/>
      <c r="I38" s="1093"/>
      <c r="J38" s="1093"/>
      <c r="K38" s="1093"/>
      <c r="L38" s="871"/>
      <c r="M38" s="872"/>
      <c r="N38" s="872"/>
      <c r="O38" s="873"/>
      <c r="P38" s="851"/>
      <c r="Q38" s="852"/>
      <c r="R38" s="1114"/>
      <c r="S38" s="1205"/>
      <c r="T38" s="1185"/>
      <c r="U38" s="872"/>
      <c r="V38" s="872"/>
      <c r="W38" s="873"/>
      <c r="X38" s="1083"/>
      <c r="Y38" s="1083"/>
      <c r="Z38" s="1186"/>
      <c r="AA38" s="1186"/>
      <c r="AB38" s="1173" t="str">
        <f t="shared" ref="AB38" si="105">IF(C38="New Construction","Incremental","")</f>
        <v/>
      </c>
      <c r="AC38" s="1173"/>
      <c r="AD38" s="874"/>
      <c r="AE38" s="1097"/>
      <c r="AF38" s="1201" t="str">
        <f t="shared" ref="AF38" si="106">IF(AB38="Incremental",0,"")</f>
        <v/>
      </c>
      <c r="AG38" s="1202"/>
      <c r="AH38" s="870" t="str">
        <f t="shared" ref="AH38" si="107">IF(OR(C38="",F38="",L38="",P38="",R38="",T38="",X38="",Z38="",AD38="",AF38=""),"",ROUND(AD38+AF38,2))</f>
        <v/>
      </c>
      <c r="AI38" s="1102"/>
      <c r="AJ38" s="1102"/>
      <c r="AK38" s="1111" t="str">
        <f t="shared" ref="AK38" si="108">IF(OR(C38="",F38="",F38="",L38="",P38="",R38="",T38="",X38="",Z38="",AB38="",AD38="",AF38=""),"",IF((P38*R38)-(X38*Z38)&lt;=0,0,ROUND((P38*R38)-(X38*Z38),2)))</f>
        <v/>
      </c>
      <c r="AL38" s="1111"/>
      <c r="AM38" s="1111"/>
      <c r="AN38" s="1138" t="str">
        <f t="shared" ref="AN38" si="109">IF(OR(C38="",F38="",F38="",L38="",P38="",R38="",T38="",X38="",Z38="",AB38="",AD38="",AF38=""),"",IF(BE38&lt;&gt;"",BE38,IF(C38="Custom",AY38,IF(C38="New Construction",AZ38,IF(C38="RCx",BA38)))))</f>
        <v/>
      </c>
      <c r="AO38" s="1138"/>
      <c r="AP38" s="1138"/>
      <c r="AQ38" s="1138"/>
      <c r="AR38" s="59"/>
      <c r="AU38" s="1109" t="str">
        <f>IF(F38="","",INDEX(CUSTNONLIGHTEUNIT,MATCH(F38,PROGRAMECAT[Category 1],0)))</f>
        <v/>
      </c>
      <c r="AV38" s="1109" t="str">
        <f>IF(OR(C38="",F38="",L38="",P38="",R38="",T38="",X38="",Z38="",AB38="",AD38="",AF38=""),"",((1+ELOSS)*((AK38*INDEX(ELECCB[NPV AEC $/kWh],MATCH(BB38,ELECCB[Year Number],1)))+(AX38*INDEX(ELECCB[NPV ACC+T&amp;D $/kW],MATCH(BB38,ELECCB[Year Number],1)))))/AH38)</f>
        <v/>
      </c>
      <c r="AW38" s="1193"/>
      <c r="AX38" s="1195" t="str">
        <f>IF(OR(C38="",F38="",L38="",P38="",R38="",T38="",X38="",Z38="",AB38="",AD38="",AF38=""),"",ROUND(AW38*(INDEX(PROGRAMECAT[Lighting Coincidence Factor],MATCH(F38,PROGRAMECAT[Category 1],0))),3))</f>
        <v/>
      </c>
      <c r="AY38" s="1188" t="str">
        <f>IF(OR(C38="",F38="",F38="",L38="",P38="",R38="",T38="",X38="",Z38="",AB38="",AD38="",AF38=""),"",IF(AB38="Total",ROUND(MIN(AH38*0.75,AK38*INDEX(INCRATE[Electric],MATCH("CMNONLIGHT",INCRATE[Incentive Type]))),2),IF(AB38="Incremental",ROUND(MIN(AH38,AK38*INDEX(INCRATE[Electric],MATCH("CMNONLIGHT",INCRATE[Incentive Type]))),2))))</f>
        <v/>
      </c>
      <c r="AZ38" s="1188" t="str">
        <f>IF(OR(C38="",F38="",F38="",L38="",P38="",R38="",T38="",X38="",Z38="",AB38="",AD38="",AF38=""),"",IF(AB38="Total",ROUND(MIN(AH38*0.75,AK38*INDEX(INCRATE[Electric],MATCH("NCNONLIGHT",INCRATE[Incentive Type]))),2),IF(AB38="Incremental",ROUND(MIN(AH38,AK38*INDEX(INCRATE[Electric],MATCH("NCNONLIGHT",INCRATE[Incentive Type]))),2))))</f>
        <v/>
      </c>
      <c r="BA38" s="1188" t="str">
        <f>IF(OR(C38="",F38="",F38="",L38="",P38="",R38="",T38="",X38="",Z38="",AB38="",AD38="",AF38=""),"",IF(AB38="Total",ROUND(MIN(AH38*0.75,AK38*INDEX(INCRATE[Electric],MATCH("RCX",INCRATE[Incentive Type]))),2),IF(AB38="Incremental",ROUND(MIN(AH38,AK38*INDEX(INCRATE[Electric],MATCH("RCX",INCRATE[Incentive Type]))),2))))</f>
        <v/>
      </c>
      <c r="BB38" s="1103" t="str">
        <f>IF(F38="","",INDEX(PROGRAMECAT[EUL],MATCH(F38,PROGRAMECAT[Category 1],0)))</f>
        <v/>
      </c>
      <c r="BC38" s="1103" t="str">
        <f>IFERROR(AH38/M02S02F35/AK38,"")</f>
        <v/>
      </c>
      <c r="BD38" s="1198" t="str">
        <f>IF(OR(C38="",F38="",L38="",P38="",R38="",T38="",X38="",Z38="",AB38="",AD38="",AF38=""),"",IF(ISNUMBER(AN38),INDEX(PROGRAMECAT[Measure Number],MATCH(F38,PROGRAMECAT[Category 1],0)),IF(AK38=0,"","000001")))</f>
        <v/>
      </c>
      <c r="BE38" s="1103" t="str">
        <f>IFERROR(IF((P38*R38)-(X38*Z38)&lt;=0,MEASURESAV,IF(M02S02F35="",MEASURERATE,IF(OR(F38="Others (Incremental)",F38="Others"),MEASURESUBMIT, IF(BC38&lt;1,MEASUREPAY,IF(AV38&lt;1,MEASURECB,""))))),MEASURESUBMIT)</f>
        <v>Submit for Review</v>
      </c>
      <c r="BH38" s="1001" t="str">
        <f ca="1">IF(OR(C38="",F38="",F38="",L38="",P38="",R38="",T38="",X38="",Z38="",AB38="",AD38="",AF38=""),"",IF('M01-S01'!$V$82&lt;TODAY(),0,IF(M02S02F46="Gas Only",0,IF(OR(AK38="",AK38&lt;0,AH38&lt;=AN38),0,MIN(AH38-AN38,ROUND(IF(OR(ISNUMBER(SEARCH("Compressed Air",F38)),ISNUMBER(SEARCH("T8",F38)),ISNUMBER(SEARCH("T5",F38)),ISNUMBER(SEARCH("MH",F38)),ISNUMBER(SEARCH("HPS",F38)),ISNUMBER(SEARCH("MV",F38))),AN38*0.2),2))))))</f>
        <v/>
      </c>
    </row>
    <row r="39" spans="2:61" ht="15.95" hidden="1" customHeight="1">
      <c r="B39" s="929"/>
      <c r="C39" s="1094"/>
      <c r="D39" s="1094"/>
      <c r="E39" s="1094"/>
      <c r="F39" s="1094"/>
      <c r="G39" s="1094"/>
      <c r="H39" s="1094"/>
      <c r="I39" s="1094"/>
      <c r="J39" s="1094"/>
      <c r="K39" s="1094"/>
      <c r="L39" s="840"/>
      <c r="M39" s="841"/>
      <c r="N39" s="841"/>
      <c r="O39" s="842"/>
      <c r="P39" s="853"/>
      <c r="Q39" s="854"/>
      <c r="R39" s="1116"/>
      <c r="S39" s="1206"/>
      <c r="T39" s="848"/>
      <c r="U39" s="841"/>
      <c r="V39" s="841"/>
      <c r="W39" s="842"/>
      <c r="X39" s="1084"/>
      <c r="Y39" s="1084"/>
      <c r="Z39" s="1187"/>
      <c r="AA39" s="1187"/>
      <c r="AB39" s="1174"/>
      <c r="AC39" s="1174"/>
      <c r="AD39" s="875"/>
      <c r="AE39" s="1098"/>
      <c r="AF39" s="1203"/>
      <c r="AG39" s="1204"/>
      <c r="AH39" s="1136"/>
      <c r="AI39" s="1137"/>
      <c r="AJ39" s="1137"/>
      <c r="AK39" s="1149"/>
      <c r="AL39" s="1149"/>
      <c r="AM39" s="1149"/>
      <c r="AN39" s="1139"/>
      <c r="AO39" s="1139"/>
      <c r="AP39" s="1139"/>
      <c r="AQ39" s="1139"/>
      <c r="AR39" s="59"/>
      <c r="AU39" s="1108"/>
      <c r="AV39" s="1108"/>
      <c r="AW39" s="1194"/>
      <c r="AX39" s="1075"/>
      <c r="AY39" s="1104"/>
      <c r="AZ39" s="1104"/>
      <c r="BA39" s="1104"/>
      <c r="BB39" s="1104"/>
      <c r="BC39" s="1104"/>
      <c r="BD39" s="1192"/>
      <c r="BE39" s="1104"/>
      <c r="BH39" s="1002"/>
    </row>
    <row r="40" spans="2:61" ht="15.95" hidden="1" customHeight="1">
      <c r="B40" s="929">
        <v>13</v>
      </c>
      <c r="C40" s="1093"/>
      <c r="D40" s="1093"/>
      <c r="E40" s="1093"/>
      <c r="F40" s="1093"/>
      <c r="G40" s="1093"/>
      <c r="H40" s="1093"/>
      <c r="I40" s="1093"/>
      <c r="J40" s="1093"/>
      <c r="K40" s="1093"/>
      <c r="L40" s="871"/>
      <c r="M40" s="872"/>
      <c r="N40" s="872"/>
      <c r="O40" s="873"/>
      <c r="P40" s="851"/>
      <c r="Q40" s="852"/>
      <c r="R40" s="1114"/>
      <c r="S40" s="1205"/>
      <c r="T40" s="1185"/>
      <c r="U40" s="872"/>
      <c r="V40" s="872"/>
      <c r="W40" s="873"/>
      <c r="X40" s="1083"/>
      <c r="Y40" s="1083"/>
      <c r="Z40" s="1186"/>
      <c r="AA40" s="1186"/>
      <c r="AB40" s="1173" t="str">
        <f t="shared" ref="AB40" si="110">IF(C40="New Construction","Incremental","")</f>
        <v/>
      </c>
      <c r="AC40" s="1173"/>
      <c r="AD40" s="874"/>
      <c r="AE40" s="1097"/>
      <c r="AF40" s="1201" t="str">
        <f t="shared" ref="AF40" si="111">IF(AB40="Incremental",0,"")</f>
        <v/>
      </c>
      <c r="AG40" s="1202"/>
      <c r="AH40" s="870" t="str">
        <f t="shared" ref="AH40" si="112">IF(OR(C40="",F40="",L40="",P40="",R40="",T40="",X40="",Z40="",AD40="",AF40=""),"",ROUND(AD40+AF40,2))</f>
        <v/>
      </c>
      <c r="AI40" s="1102"/>
      <c r="AJ40" s="1102"/>
      <c r="AK40" s="1111" t="str">
        <f t="shared" ref="AK40" si="113">IF(OR(C40="",F40="",F40="",L40="",P40="",R40="",T40="",X40="",Z40="",AB40="",AD40="",AF40=""),"",IF((P40*R40)-(X40*Z40)&lt;=0,0,ROUND((P40*R40)-(X40*Z40),2)))</f>
        <v/>
      </c>
      <c r="AL40" s="1111"/>
      <c r="AM40" s="1111"/>
      <c r="AN40" s="1138" t="str">
        <f t="shared" ref="AN40" si="114">IF(OR(C40="",F40="",F40="",L40="",P40="",R40="",T40="",X40="",Z40="",AB40="",AD40="",AF40=""),"",IF(BE40&lt;&gt;"",BE40,IF(C40="Custom",AY40,IF(C40="New Construction",AZ40,IF(C40="RCx",BA40)))))</f>
        <v/>
      </c>
      <c r="AO40" s="1138"/>
      <c r="AP40" s="1138"/>
      <c r="AQ40" s="1138"/>
      <c r="AR40" s="59"/>
      <c r="AU40" s="1109" t="str">
        <f>IF(F40="","",INDEX(CUSTNONLIGHTEUNIT,MATCH(F40,PROGRAMECAT[Category 1],0)))</f>
        <v/>
      </c>
      <c r="AV40" s="1109" t="str">
        <f>IF(OR(C40="",F40="",L40="",P40="",R40="",T40="",X40="",Z40="",AB40="",AD40="",AF40=""),"",((1+ELOSS)*((AK40*INDEX(ELECCB[NPV AEC $/kWh],MATCH(BB40,ELECCB[Year Number],1)))+(AX40*INDEX(ELECCB[NPV ACC+T&amp;D $/kW],MATCH(BB40,ELECCB[Year Number],1)))))/AH40)</f>
        <v/>
      </c>
      <c r="AW40" s="1193"/>
      <c r="AX40" s="1195" t="str">
        <f>IF(OR(C40="",F40="",L40="",P40="",R40="",T40="",X40="",Z40="",AB40="",AD40="",AF40=""),"",ROUND(AW40*(INDEX(PROGRAMECAT[Lighting Coincidence Factor],MATCH(F40,PROGRAMECAT[Category 1],0))),3))</f>
        <v/>
      </c>
      <c r="AY40" s="1188" t="str">
        <f>IF(OR(C40="",F40="",F40="",L40="",P40="",R40="",T40="",X40="",Z40="",AB40="",AD40="",AF40=""),"",IF(AB40="Total",ROUND(MIN(AH40*0.75,AK40*INDEX(INCRATE[Electric],MATCH("CMNONLIGHT",INCRATE[Incentive Type]))),2),IF(AB40="Incremental",ROUND(MIN(AH40,AK40*INDEX(INCRATE[Electric],MATCH("CMNONLIGHT",INCRATE[Incentive Type]))),2))))</f>
        <v/>
      </c>
      <c r="AZ40" s="1188" t="str">
        <f>IF(OR(C40="",F40="",F40="",L40="",P40="",R40="",T40="",X40="",Z40="",AB40="",AD40="",AF40=""),"",IF(AB40="Total",ROUND(MIN(AH40*0.75,AK40*INDEX(INCRATE[Electric],MATCH("NCNONLIGHT",INCRATE[Incentive Type]))),2),IF(AB40="Incremental",ROUND(MIN(AH40,AK40*INDEX(INCRATE[Electric],MATCH("NCNONLIGHT",INCRATE[Incentive Type]))),2))))</f>
        <v/>
      </c>
      <c r="BA40" s="1188" t="str">
        <f>IF(OR(C40="",F40="",F40="",L40="",P40="",R40="",T40="",X40="",Z40="",AB40="",AD40="",AF40=""),"",IF(AB40="Total",ROUND(MIN(AH40*0.75,AK40*INDEX(INCRATE[Electric],MATCH("RCX",INCRATE[Incentive Type]))),2),IF(AB40="Incremental",ROUND(MIN(AH40,AK40*INDEX(INCRATE[Electric],MATCH("RCX",INCRATE[Incentive Type]))),2))))</f>
        <v/>
      </c>
      <c r="BB40" s="1103" t="str">
        <f>IF(F40="","",INDEX(PROGRAMECAT[EUL],MATCH(F40,PROGRAMECAT[Category 1],0)))</f>
        <v/>
      </c>
      <c r="BC40" s="1103" t="str">
        <f>IFERROR(AH40/M02S02F35/AK40,"")</f>
        <v/>
      </c>
      <c r="BD40" s="1198" t="str">
        <f>IF(OR(C40="",F40="",L40="",P40="",R40="",T40="",X40="",Z40="",AB40="",AD40="",AF40=""),"",IF(ISNUMBER(AN40),INDEX(PROGRAMECAT[Measure Number],MATCH(F40,PROGRAMECAT[Category 1],0)),IF(AK40=0,"","000001")))</f>
        <v/>
      </c>
      <c r="BE40" s="1103" t="str">
        <f>IFERROR(IF((P40*R40)-(X40*Z40)&lt;=0,MEASURESAV,IF(M02S02F35="",MEASURERATE,IF(OR(F40="Others (Incremental)",F40="Others"),MEASURESUBMIT, IF(BC40&lt;1,MEASUREPAY,IF(AV40&lt;1,MEASURECB,""))))),MEASURESUBMIT)</f>
        <v>Submit for Review</v>
      </c>
      <c r="BH40" s="1001" t="str">
        <f ca="1">IF(OR(C40="",F40="",F40="",L40="",P40="",R40="",T40="",X40="",Z40="",AB40="",AD40="",AF40=""),"",IF('M01-S01'!$V$82&lt;TODAY(),0,IF(M02S02F46="Gas Only",0,IF(OR(AK40="",AK40&lt;0,AH40&lt;=AN40),0,MIN(AH40-AN40,ROUND(IF(OR(ISNUMBER(SEARCH("Compressed Air",F40)),ISNUMBER(SEARCH("T8",F40)),ISNUMBER(SEARCH("T5",F40)),ISNUMBER(SEARCH("MH",F40)),ISNUMBER(SEARCH("HPS",F40)),ISNUMBER(SEARCH("MV",F40))),AN40*0.2),2))))))</f>
        <v/>
      </c>
    </row>
    <row r="41" spans="2:61" ht="15.95" hidden="1" customHeight="1">
      <c r="B41" s="929"/>
      <c r="C41" s="1094"/>
      <c r="D41" s="1094"/>
      <c r="E41" s="1094"/>
      <c r="F41" s="1094"/>
      <c r="G41" s="1094"/>
      <c r="H41" s="1094"/>
      <c r="I41" s="1094"/>
      <c r="J41" s="1094"/>
      <c r="K41" s="1094"/>
      <c r="L41" s="840"/>
      <c r="M41" s="841"/>
      <c r="N41" s="841"/>
      <c r="O41" s="842"/>
      <c r="P41" s="853"/>
      <c r="Q41" s="854"/>
      <c r="R41" s="1116"/>
      <c r="S41" s="1206"/>
      <c r="T41" s="848"/>
      <c r="U41" s="841"/>
      <c r="V41" s="841"/>
      <c r="W41" s="842"/>
      <c r="X41" s="1084"/>
      <c r="Y41" s="1084"/>
      <c r="Z41" s="1187"/>
      <c r="AA41" s="1187"/>
      <c r="AB41" s="1174"/>
      <c r="AC41" s="1174"/>
      <c r="AD41" s="875"/>
      <c r="AE41" s="1098"/>
      <c r="AF41" s="1203"/>
      <c r="AG41" s="1204"/>
      <c r="AH41" s="1136"/>
      <c r="AI41" s="1137"/>
      <c r="AJ41" s="1137"/>
      <c r="AK41" s="1149"/>
      <c r="AL41" s="1149"/>
      <c r="AM41" s="1149"/>
      <c r="AN41" s="1139"/>
      <c r="AO41" s="1139"/>
      <c r="AP41" s="1139"/>
      <c r="AQ41" s="1139"/>
      <c r="AR41" s="59"/>
      <c r="AU41" s="1108"/>
      <c r="AV41" s="1108"/>
      <c r="AW41" s="1194"/>
      <c r="AX41" s="1075"/>
      <c r="AY41" s="1104"/>
      <c r="AZ41" s="1104"/>
      <c r="BA41" s="1104"/>
      <c r="BB41" s="1104"/>
      <c r="BC41" s="1104"/>
      <c r="BD41" s="1192"/>
      <c r="BE41" s="1104"/>
      <c r="BH41" s="1002"/>
    </row>
    <row r="42" spans="2:61" ht="15.95" hidden="1" customHeight="1">
      <c r="B42" s="929">
        <v>14</v>
      </c>
      <c r="C42" s="1093"/>
      <c r="D42" s="1093"/>
      <c r="E42" s="1093"/>
      <c r="F42" s="1093"/>
      <c r="G42" s="1093"/>
      <c r="H42" s="1093"/>
      <c r="I42" s="1093"/>
      <c r="J42" s="1093"/>
      <c r="K42" s="1093"/>
      <c r="L42" s="871"/>
      <c r="M42" s="872"/>
      <c r="N42" s="872"/>
      <c r="O42" s="873"/>
      <c r="P42" s="851"/>
      <c r="Q42" s="852"/>
      <c r="R42" s="1114"/>
      <c r="S42" s="1205"/>
      <c r="T42" s="1185"/>
      <c r="U42" s="872"/>
      <c r="V42" s="872"/>
      <c r="W42" s="873"/>
      <c r="X42" s="1083"/>
      <c r="Y42" s="1083"/>
      <c r="Z42" s="1186"/>
      <c r="AA42" s="1186"/>
      <c r="AB42" s="1173" t="str">
        <f t="shared" ref="AB42" si="115">IF(C42="New Construction","Incremental","")</f>
        <v/>
      </c>
      <c r="AC42" s="1173"/>
      <c r="AD42" s="874"/>
      <c r="AE42" s="1097"/>
      <c r="AF42" s="1201" t="str">
        <f t="shared" ref="AF42" si="116">IF(AB42="Incremental",0,"")</f>
        <v/>
      </c>
      <c r="AG42" s="1202"/>
      <c r="AH42" s="870" t="str">
        <f t="shared" ref="AH42" si="117">IF(OR(C42="",F42="",L42="",P42="",R42="",T42="",X42="",Z42="",AD42="",AF42=""),"",ROUND(AD42+AF42,2))</f>
        <v/>
      </c>
      <c r="AI42" s="1102"/>
      <c r="AJ42" s="1102"/>
      <c r="AK42" s="1111" t="str">
        <f t="shared" ref="AK42" si="118">IF(OR(C42="",F42="",F42="",L42="",P42="",R42="",T42="",X42="",Z42="",AB42="",AD42="",AF42=""),"",IF((P42*R42)-(X42*Z42)&lt;=0,0,ROUND((P42*R42)-(X42*Z42),2)))</f>
        <v/>
      </c>
      <c r="AL42" s="1111"/>
      <c r="AM42" s="1111"/>
      <c r="AN42" s="1138" t="str">
        <f t="shared" ref="AN42" si="119">IF(OR(C42="",F42="",F42="",L42="",P42="",R42="",T42="",X42="",Z42="",AB42="",AD42="",AF42=""),"",IF(BE42&lt;&gt;"",BE42,IF(C42="Custom",AY42,IF(C42="New Construction",AZ42,IF(C42="RCx",BA42)))))</f>
        <v/>
      </c>
      <c r="AO42" s="1138"/>
      <c r="AP42" s="1138"/>
      <c r="AQ42" s="1138"/>
      <c r="AR42" s="59"/>
      <c r="AU42" s="1109" t="str">
        <f>IF(F42="","",INDEX(CUSTNONLIGHTEUNIT,MATCH(F42,PROGRAMECAT[Category 1],0)))</f>
        <v/>
      </c>
      <c r="AV42" s="1109" t="str">
        <f>IF(OR(C42="",F42="",L42="",P42="",R42="",T42="",X42="",Z42="",AB42="",AD42="",AF42=""),"",((1+ELOSS)*((AK42*INDEX(ELECCB[NPV AEC $/kWh],MATCH(BB42,ELECCB[Year Number],1)))+(AX42*INDEX(ELECCB[NPV ACC+T&amp;D $/kW],MATCH(BB42,ELECCB[Year Number],1)))))/AH42)</f>
        <v/>
      </c>
      <c r="AW42" s="1193"/>
      <c r="AX42" s="1195" t="str">
        <f>IF(OR(C42="",F42="",L42="",P42="",R42="",T42="",X42="",Z42="",AB42="",AD42="",AF42=""),"",ROUND(AW42*(INDEX(PROGRAMECAT[Lighting Coincidence Factor],MATCH(F42,PROGRAMECAT[Category 1],0))),3))</f>
        <v/>
      </c>
      <c r="AY42" s="1188" t="str">
        <f>IF(OR(C42="",F42="",F42="",L42="",P42="",R42="",T42="",X42="",Z42="",AB42="",AD42="",AF42=""),"",IF(AB42="Total",ROUND(MIN(AH42*0.75,AK42*INDEX(INCRATE[Electric],MATCH("CMNONLIGHT",INCRATE[Incentive Type]))),2),IF(AB42="Incremental",ROUND(MIN(AH42,AK42*INDEX(INCRATE[Electric],MATCH("CMNONLIGHT",INCRATE[Incentive Type]))),2))))</f>
        <v/>
      </c>
      <c r="AZ42" s="1188" t="str">
        <f>IF(OR(C42="",F42="",F42="",L42="",P42="",R42="",T42="",X42="",Z42="",AB42="",AD42="",AF42=""),"",IF(AB42="Total",ROUND(MIN(AH42*0.75,AK42*INDEX(INCRATE[Electric],MATCH("NCNONLIGHT",INCRATE[Incentive Type]))),2),IF(AB42="Incremental",ROUND(MIN(AH42,AK42*INDEX(INCRATE[Electric],MATCH("NCNONLIGHT",INCRATE[Incentive Type]))),2))))</f>
        <v/>
      </c>
      <c r="BA42" s="1188" t="str">
        <f>IF(OR(C42="",F42="",F42="",L42="",P42="",R42="",T42="",X42="",Z42="",AB42="",AD42="",AF42=""),"",IF(AB42="Total",ROUND(MIN(AH42*0.75,AK42*INDEX(INCRATE[Electric],MATCH("RCX",INCRATE[Incentive Type]))),2),IF(AB42="Incremental",ROUND(MIN(AH42,AK42*INDEX(INCRATE[Electric],MATCH("RCX",INCRATE[Incentive Type]))),2))))</f>
        <v/>
      </c>
      <c r="BB42" s="1103" t="str">
        <f>IF(F42="","",INDEX(PROGRAMECAT[EUL],MATCH(F42,PROGRAMECAT[Category 1],0)))</f>
        <v/>
      </c>
      <c r="BC42" s="1103" t="str">
        <f>IFERROR(AH42/M02S02F35/AK42,"")</f>
        <v/>
      </c>
      <c r="BD42" s="1198" t="str">
        <f>IF(OR(C42="",F42="",L42="",P42="",R42="",T42="",X42="",Z42="",AB42="",AD42="",AF42=""),"",IF(ISNUMBER(AN42),INDEX(PROGRAMECAT[Measure Number],MATCH(F42,PROGRAMECAT[Category 1],0)),IF(AK42=0,"","000001")))</f>
        <v/>
      </c>
      <c r="BE42" s="1103" t="str">
        <f>IFERROR(IF((P42*R42)-(X42*Z42)&lt;=0,MEASURESAV,IF(M02S02F35="",MEASURERATE,IF(OR(F42="Others (Incremental)",F42="Others"),MEASURESUBMIT, IF(BC42&lt;1,MEASUREPAY,IF(AV42&lt;1,MEASURECB,""))))),MEASURESUBMIT)</f>
        <v>Submit for Review</v>
      </c>
      <c r="BH42" s="1001" t="str">
        <f ca="1">IF(OR(C42="",F42="",F42="",L42="",P42="",R42="",T42="",X42="",Z42="",AB42="",AD42="",AF42=""),"",IF('M01-S01'!$V$82&lt;TODAY(),0,IF(M02S02F46="Gas Only",0,IF(OR(AK42="",AK42&lt;0,AH42&lt;=AN42),0,MIN(AH42-AN42,ROUND(IF(OR(ISNUMBER(SEARCH("Compressed Air",F42)),ISNUMBER(SEARCH("T8",F42)),ISNUMBER(SEARCH("T5",F42)),ISNUMBER(SEARCH("MH",F42)),ISNUMBER(SEARCH("HPS",F42)),ISNUMBER(SEARCH("MV",F42))),AN42*0.2),2))))))</f>
        <v/>
      </c>
    </row>
    <row r="43" spans="2:61" ht="15.95" hidden="1" customHeight="1">
      <c r="B43" s="929"/>
      <c r="C43" s="1094"/>
      <c r="D43" s="1094"/>
      <c r="E43" s="1094"/>
      <c r="F43" s="1094"/>
      <c r="G43" s="1094"/>
      <c r="H43" s="1094"/>
      <c r="I43" s="1094"/>
      <c r="J43" s="1094"/>
      <c r="K43" s="1094"/>
      <c r="L43" s="840"/>
      <c r="M43" s="841"/>
      <c r="N43" s="841"/>
      <c r="O43" s="842"/>
      <c r="P43" s="853"/>
      <c r="Q43" s="854"/>
      <c r="R43" s="1116"/>
      <c r="S43" s="1206"/>
      <c r="T43" s="848"/>
      <c r="U43" s="841"/>
      <c r="V43" s="841"/>
      <c r="W43" s="842"/>
      <c r="X43" s="1084"/>
      <c r="Y43" s="1084"/>
      <c r="Z43" s="1187"/>
      <c r="AA43" s="1187"/>
      <c r="AB43" s="1174"/>
      <c r="AC43" s="1174"/>
      <c r="AD43" s="875"/>
      <c r="AE43" s="1098"/>
      <c r="AF43" s="1203"/>
      <c r="AG43" s="1204"/>
      <c r="AH43" s="1136"/>
      <c r="AI43" s="1137"/>
      <c r="AJ43" s="1137"/>
      <c r="AK43" s="1149"/>
      <c r="AL43" s="1149"/>
      <c r="AM43" s="1149"/>
      <c r="AN43" s="1139"/>
      <c r="AO43" s="1139"/>
      <c r="AP43" s="1139"/>
      <c r="AQ43" s="1139"/>
      <c r="AR43" s="59"/>
      <c r="AU43" s="1108"/>
      <c r="AV43" s="1108"/>
      <c r="AW43" s="1194"/>
      <c r="AX43" s="1075"/>
      <c r="AY43" s="1104"/>
      <c r="AZ43" s="1104"/>
      <c r="BA43" s="1104"/>
      <c r="BB43" s="1104"/>
      <c r="BC43" s="1104"/>
      <c r="BD43" s="1192"/>
      <c r="BE43" s="1104"/>
      <c r="BH43" s="1002"/>
    </row>
    <row r="44" spans="2:61" ht="15.95" hidden="1" customHeight="1">
      <c r="B44" s="929">
        <v>15</v>
      </c>
      <c r="C44" s="1093"/>
      <c r="D44" s="1093"/>
      <c r="E44" s="1093"/>
      <c r="F44" s="1093"/>
      <c r="G44" s="1093"/>
      <c r="H44" s="1093"/>
      <c r="I44" s="1093"/>
      <c r="J44" s="1093"/>
      <c r="K44" s="1093"/>
      <c r="L44" s="871"/>
      <c r="M44" s="872"/>
      <c r="N44" s="872"/>
      <c r="O44" s="873"/>
      <c r="P44" s="851"/>
      <c r="Q44" s="852"/>
      <c r="R44" s="1114"/>
      <c r="S44" s="1205"/>
      <c r="T44" s="1185"/>
      <c r="U44" s="872"/>
      <c r="V44" s="872"/>
      <c r="W44" s="873"/>
      <c r="X44" s="1083"/>
      <c r="Y44" s="1083"/>
      <c r="Z44" s="1186"/>
      <c r="AA44" s="1186"/>
      <c r="AB44" s="1173" t="str">
        <f t="shared" ref="AB44" si="120">IF(C44="New Construction","Incremental","")</f>
        <v/>
      </c>
      <c r="AC44" s="1173"/>
      <c r="AD44" s="874"/>
      <c r="AE44" s="1097"/>
      <c r="AF44" s="1201" t="str">
        <f t="shared" ref="AF44" si="121">IF(AB44="Incremental",0,"")</f>
        <v/>
      </c>
      <c r="AG44" s="1202"/>
      <c r="AH44" s="870" t="str">
        <f t="shared" ref="AH44" si="122">IF(OR(C44="",F44="",L44="",P44="",R44="",T44="",X44="",Z44="",AD44="",AF44=""),"",ROUND(AD44+AF44,2))</f>
        <v/>
      </c>
      <c r="AI44" s="1102"/>
      <c r="AJ44" s="1102"/>
      <c r="AK44" s="1111" t="str">
        <f t="shared" ref="AK44" si="123">IF(OR(C44="",F44="",F44="",L44="",P44="",R44="",T44="",X44="",Z44="",AB44="",AD44="",AF44=""),"",IF((P44*R44)-(X44*Z44)&lt;=0,0,ROUND((P44*R44)-(X44*Z44),2)))</f>
        <v/>
      </c>
      <c r="AL44" s="1111"/>
      <c r="AM44" s="1111"/>
      <c r="AN44" s="1138" t="str">
        <f t="shared" ref="AN44" si="124">IF(OR(C44="",F44="",F44="",L44="",P44="",R44="",T44="",X44="",Z44="",AB44="",AD44="",AF44=""),"",IF(BE44&lt;&gt;"",BE44,IF(C44="Custom",AY44,IF(C44="New Construction",AZ44,IF(C44="RCx",BA44)))))</f>
        <v/>
      </c>
      <c r="AO44" s="1138"/>
      <c r="AP44" s="1138"/>
      <c r="AQ44" s="1138"/>
      <c r="AR44" s="59"/>
      <c r="AU44" s="1109" t="str">
        <f>IF(F44="","",INDEX(CUSTNONLIGHTEUNIT,MATCH(F44,PROGRAMECAT[Category 1],0)))</f>
        <v/>
      </c>
      <c r="AV44" s="1109" t="str">
        <f>IF(OR(C44="",F44="",L44="",P44="",R44="",T44="",X44="",Z44="",AB44="",AD44="",AF44=""),"",((1+ELOSS)*((AK44*INDEX(ELECCB[NPV AEC $/kWh],MATCH(BB44,ELECCB[Year Number],1)))+(AX44*INDEX(ELECCB[NPV ACC+T&amp;D $/kW],MATCH(BB44,ELECCB[Year Number],1)))))/AH44)</f>
        <v/>
      </c>
      <c r="AW44" s="1193"/>
      <c r="AX44" s="1195" t="str">
        <f>IF(OR(C44="",F44="",L44="",P44="",R44="",T44="",X44="",Z44="",AB44="",AD44="",AF44=""),"",ROUND(AW44*(INDEX(PROGRAMECAT[Lighting Coincidence Factor],MATCH(F44,PROGRAMECAT[Category 1],0))),3))</f>
        <v/>
      </c>
      <c r="AY44" s="1188" t="str">
        <f>IF(OR(C44="",F44="",F44="",L44="",P44="",R44="",T44="",X44="",Z44="",AB44="",AD44="",AF44=""),"",IF(AB44="Total",ROUND(MIN(AH44*0.75,AK44*INDEX(INCRATE[Electric],MATCH("CMNONLIGHT",INCRATE[Incentive Type]))),2),IF(AB44="Incremental",ROUND(MIN(AH44,AK44*INDEX(INCRATE[Electric],MATCH("CMNONLIGHT",INCRATE[Incentive Type]))),2))))</f>
        <v/>
      </c>
      <c r="AZ44" s="1188" t="str">
        <f>IF(OR(C44="",F44="",F44="",L44="",P44="",R44="",T44="",X44="",Z44="",AB44="",AD44="",AF44=""),"",IF(AB44="Total",ROUND(MIN(AH44*0.75,AK44*INDEX(INCRATE[Electric],MATCH("NCNONLIGHT",INCRATE[Incentive Type]))),2),IF(AB44="Incremental",ROUND(MIN(AH44,AK44*INDEX(INCRATE[Electric],MATCH("NCNONLIGHT",INCRATE[Incentive Type]))),2))))</f>
        <v/>
      </c>
      <c r="BA44" s="1188" t="str">
        <f>IF(OR(C44="",F44="",F44="",L44="",P44="",R44="",T44="",X44="",Z44="",AB44="",AD44="",AF44=""),"",IF(AB44="Total",ROUND(MIN(AH44*0.75,AK44*INDEX(INCRATE[Electric],MATCH("RCX",INCRATE[Incentive Type]))),2),IF(AB44="Incremental",ROUND(MIN(AH44,AK44*INDEX(INCRATE[Electric],MATCH("RCX",INCRATE[Incentive Type]))),2))))</f>
        <v/>
      </c>
      <c r="BB44" s="1103" t="str">
        <f>IF(F44="","",INDEX(PROGRAMECAT[EUL],MATCH(F44,PROGRAMECAT[Category 1],0)))</f>
        <v/>
      </c>
      <c r="BC44" s="1103" t="str">
        <f>IFERROR(AH44/M02S02F35/AK44,"")</f>
        <v/>
      </c>
      <c r="BD44" s="1198" t="str">
        <f>IF(OR(C44="",F44="",L44="",P44="",R44="",T44="",X44="",Z44="",AB44="",AD44="",AF44=""),"",IF(ISNUMBER(AN44),INDEX(PROGRAMECAT[Measure Number],MATCH(F44,PROGRAMECAT[Category 1],0)),IF(AK44=0,"","000001")))</f>
        <v/>
      </c>
      <c r="BE44" s="1103" t="str">
        <f>IFERROR(IF((P44*R44)-(X44*Z44)&lt;=0,MEASURESAV,IF(M02S02F35="",MEASURERATE,IF(OR(F44="Others (Incremental)",F44="Others"),MEASURESUBMIT, IF(BC44&lt;1,MEASUREPAY,IF(AV44&lt;1,MEASURECB,""))))),MEASURESUBMIT)</f>
        <v>Submit for Review</v>
      </c>
      <c r="BH44" s="1001" t="str">
        <f ca="1">IF(OR(C44="",F44="",F44="",L44="",P44="",R44="",T44="",X44="",Z44="",AB44="",AD44="",AF44=""),"",IF('M01-S01'!$V$82&lt;TODAY(),0,IF(M02S02F46="Gas Only",0,IF(OR(AK44="",AK44&lt;0,AH44&lt;=AN44),0,MIN(AH44-AN44,ROUND(IF(OR(ISNUMBER(SEARCH("Compressed Air",F44)),ISNUMBER(SEARCH("T8",F44)),ISNUMBER(SEARCH("T5",F44)),ISNUMBER(SEARCH("MH",F44)),ISNUMBER(SEARCH("HPS",F44)),ISNUMBER(SEARCH("MV",F44))),AN44*0.2),2))))))</f>
        <v/>
      </c>
    </row>
    <row r="45" spans="2:61" ht="15.95" hidden="1" customHeight="1">
      <c r="B45" s="929"/>
      <c r="C45" s="1094"/>
      <c r="D45" s="1094"/>
      <c r="E45" s="1094"/>
      <c r="F45" s="1094"/>
      <c r="G45" s="1094"/>
      <c r="H45" s="1094"/>
      <c r="I45" s="1094"/>
      <c r="J45" s="1094"/>
      <c r="K45" s="1094"/>
      <c r="L45" s="840"/>
      <c r="M45" s="841"/>
      <c r="N45" s="841"/>
      <c r="O45" s="842"/>
      <c r="P45" s="853"/>
      <c r="Q45" s="854"/>
      <c r="R45" s="1116"/>
      <c r="S45" s="1206"/>
      <c r="T45" s="848"/>
      <c r="U45" s="841"/>
      <c r="V45" s="841"/>
      <c r="W45" s="842"/>
      <c r="X45" s="1084"/>
      <c r="Y45" s="1084"/>
      <c r="Z45" s="1187"/>
      <c r="AA45" s="1187"/>
      <c r="AB45" s="1174"/>
      <c r="AC45" s="1174"/>
      <c r="AD45" s="875"/>
      <c r="AE45" s="1098"/>
      <c r="AF45" s="1203"/>
      <c r="AG45" s="1204"/>
      <c r="AH45" s="1136"/>
      <c r="AI45" s="1137"/>
      <c r="AJ45" s="1137"/>
      <c r="AK45" s="1149"/>
      <c r="AL45" s="1149"/>
      <c r="AM45" s="1149"/>
      <c r="AN45" s="1139"/>
      <c r="AO45" s="1139"/>
      <c r="AP45" s="1139"/>
      <c r="AQ45" s="1139"/>
      <c r="AR45" s="59"/>
      <c r="AU45" s="1108"/>
      <c r="AV45" s="1108"/>
      <c r="AW45" s="1194"/>
      <c r="AX45" s="1075"/>
      <c r="AY45" s="1104"/>
      <c r="AZ45" s="1104"/>
      <c r="BA45" s="1104"/>
      <c r="BB45" s="1104"/>
      <c r="BC45" s="1104"/>
      <c r="BD45" s="1192"/>
      <c r="BE45" s="1104"/>
      <c r="BH45" s="1002"/>
    </row>
    <row r="46" spans="2:61" ht="15.95" hidden="1" customHeight="1">
      <c r="B46" s="929">
        <v>16</v>
      </c>
      <c r="C46" s="1093"/>
      <c r="D46" s="1093"/>
      <c r="E46" s="1093"/>
      <c r="F46" s="1093"/>
      <c r="G46" s="1093"/>
      <c r="H46" s="1093"/>
      <c r="I46" s="1093"/>
      <c r="J46" s="1093"/>
      <c r="K46" s="1093"/>
      <c r="L46" s="871"/>
      <c r="M46" s="872"/>
      <c r="N46" s="872"/>
      <c r="O46" s="873"/>
      <c r="P46" s="851"/>
      <c r="Q46" s="852"/>
      <c r="R46" s="1114"/>
      <c r="S46" s="1205"/>
      <c r="T46" s="1185"/>
      <c r="U46" s="872"/>
      <c r="V46" s="872"/>
      <c r="W46" s="873"/>
      <c r="X46" s="1083"/>
      <c r="Y46" s="1083"/>
      <c r="Z46" s="1186"/>
      <c r="AA46" s="1186"/>
      <c r="AB46" s="1173" t="str">
        <f t="shared" ref="AB46" si="125">IF(C46="New Construction","Incremental","")</f>
        <v/>
      </c>
      <c r="AC46" s="1173"/>
      <c r="AD46" s="874"/>
      <c r="AE46" s="1097"/>
      <c r="AF46" s="1201" t="str">
        <f t="shared" ref="AF46" si="126">IF(AB46="Incremental",0,"")</f>
        <v/>
      </c>
      <c r="AG46" s="1202"/>
      <c r="AH46" s="870" t="str">
        <f t="shared" ref="AH46" si="127">IF(OR(C46="",F46="",L46="",P46="",R46="",T46="",X46="",Z46="",AD46="",AF46=""),"",ROUND(AD46+AF46,2))</f>
        <v/>
      </c>
      <c r="AI46" s="1102"/>
      <c r="AJ46" s="1102"/>
      <c r="AK46" s="1111" t="str">
        <f t="shared" ref="AK46" si="128">IF(OR(C46="",F46="",F46="",L46="",P46="",R46="",T46="",X46="",Z46="",AB46="",AD46="",AF46=""),"",IF((P46*R46)-(X46*Z46)&lt;=0,0,ROUND((P46*R46)-(X46*Z46),2)))</f>
        <v/>
      </c>
      <c r="AL46" s="1111"/>
      <c r="AM46" s="1111"/>
      <c r="AN46" s="1138" t="str">
        <f t="shared" ref="AN46" si="129">IF(OR(C46="",F46="",F46="",L46="",P46="",R46="",T46="",X46="",Z46="",AB46="",AD46="",AF46=""),"",IF(BE46&lt;&gt;"",BE46,IF(C46="Custom",AY46,IF(C46="New Construction",AZ46,IF(C46="RCx",BA46)))))</f>
        <v/>
      </c>
      <c r="AO46" s="1138"/>
      <c r="AP46" s="1138"/>
      <c r="AQ46" s="1138"/>
      <c r="AR46" s="59"/>
      <c r="AU46" s="1109" t="str">
        <f>IF(F46="","",INDEX(CUSTNONLIGHTEUNIT,MATCH(F46,PROGRAMECAT[Category 1],0)))</f>
        <v/>
      </c>
      <c r="AV46" s="1109" t="str">
        <f>IF(OR(C46="",F46="",L46="",P46="",R46="",T46="",X46="",Z46="",AB46="",AD46="",AF46=""),"",((1+ELOSS)*((AK46*INDEX(ELECCB[NPV AEC $/kWh],MATCH(BB46,ELECCB[Year Number],1)))+(AX46*INDEX(ELECCB[NPV ACC+T&amp;D $/kW],MATCH(BB46,ELECCB[Year Number],1)))))/AH46)</f>
        <v/>
      </c>
      <c r="AW46" s="1193"/>
      <c r="AX46" s="1195" t="str">
        <f>IF(OR(C46="",F46="",L46="",P46="",R46="",T46="",X46="",Z46="",AB46="",AD46="",AF46=""),"",ROUND(AW46*(INDEX(PROGRAMECAT[Lighting Coincidence Factor],MATCH(F46,PROGRAMECAT[Category 1],0))),3))</f>
        <v/>
      </c>
      <c r="AY46" s="1188" t="str">
        <f>IF(OR(C46="",F46="",F46="",L46="",P46="",R46="",T46="",X46="",Z46="",AB46="",AD46="",AF46=""),"",IF(AB46="Total",ROUND(MIN(AH46*0.75,AK46*INDEX(INCRATE[Electric],MATCH("CMNONLIGHT",INCRATE[Incentive Type]))),2),IF(AB46="Incremental",ROUND(MIN(AH46,AK46*INDEX(INCRATE[Electric],MATCH("CMNONLIGHT",INCRATE[Incentive Type]))),2))))</f>
        <v/>
      </c>
      <c r="AZ46" s="1188" t="str">
        <f>IF(OR(C46="",F46="",F46="",L46="",P46="",R46="",T46="",X46="",Z46="",AB46="",AD46="",AF46=""),"",IF(AB46="Total",ROUND(MIN(AH46*0.75,AK46*INDEX(INCRATE[Electric],MATCH("NCNONLIGHT",INCRATE[Incentive Type]))),2),IF(AB46="Incremental",ROUND(MIN(AH46,AK46*INDEX(INCRATE[Electric],MATCH("NCNONLIGHT",INCRATE[Incentive Type]))),2))))</f>
        <v/>
      </c>
      <c r="BA46" s="1188" t="str">
        <f>IF(OR(C46="",F46="",F46="",L46="",P46="",R46="",T46="",X46="",Z46="",AB46="",AD46="",AF46=""),"",IF(AB46="Total",ROUND(MIN(AH46*0.75,AK46*INDEX(INCRATE[Electric],MATCH("RCX",INCRATE[Incentive Type]))),2),IF(AB46="Incremental",ROUND(MIN(AH46,AK46*INDEX(INCRATE[Electric],MATCH("RCX",INCRATE[Incentive Type]))),2))))</f>
        <v/>
      </c>
      <c r="BB46" s="1103" t="str">
        <f>IF(F46="","",INDEX(PROGRAMECAT[EUL],MATCH(F46,PROGRAMECAT[Category 1],0)))</f>
        <v/>
      </c>
      <c r="BC46" s="1103" t="str">
        <f>IFERROR(AH46/M02S02F35/AK46,"")</f>
        <v/>
      </c>
      <c r="BD46" s="1198" t="str">
        <f>IF(OR(C46="",F46="",L46="",P46="",R46="",T46="",X46="",Z46="",AB46="",AD46="",AF46=""),"",IF(ISNUMBER(AN46),INDEX(PROGRAMECAT[Measure Number],MATCH(F46,PROGRAMECAT[Category 1],0)),IF(AK46=0,"","000001")))</f>
        <v/>
      </c>
      <c r="BE46" s="1103" t="str">
        <f>IFERROR(IF((P46*R46)-(X46*Z46)&lt;=0,MEASURESAV,IF(M02S02F35="",MEASURERATE,IF(OR(F46="Others (Incremental)",F46="Others"),MEASURESUBMIT, IF(BC46&lt;1,MEASUREPAY,IF(AV46&lt;1,MEASURECB,""))))),MEASURESUBMIT)</f>
        <v>Submit for Review</v>
      </c>
      <c r="BH46" s="1001" t="str">
        <f ca="1">IF(OR(C46="",F46="",F46="",L46="",P46="",R46="",T46="",X46="",Z46="",AB46="",AD46="",AF46=""),"",IF('M01-S01'!$V$82&lt;TODAY(),0,IF(M02S02F46="Gas Only",0,IF(OR(AK46="",AK46&lt;0,AH46&lt;=AN46),0,MIN(AH46-AN46,ROUND(IF(OR(ISNUMBER(SEARCH("Compressed Air",F46)),ISNUMBER(SEARCH("T8",F46)),ISNUMBER(SEARCH("T5",F46)),ISNUMBER(SEARCH("MH",F46)),ISNUMBER(SEARCH("HPS",F46)),ISNUMBER(SEARCH("MV",F46))),AN46*0.2),2))))))</f>
        <v/>
      </c>
    </row>
    <row r="47" spans="2:61" ht="15.95" hidden="1" customHeight="1">
      <c r="B47" s="929"/>
      <c r="C47" s="1094"/>
      <c r="D47" s="1094"/>
      <c r="E47" s="1094"/>
      <c r="F47" s="1094"/>
      <c r="G47" s="1094"/>
      <c r="H47" s="1094"/>
      <c r="I47" s="1094"/>
      <c r="J47" s="1094"/>
      <c r="K47" s="1094"/>
      <c r="L47" s="840"/>
      <c r="M47" s="841"/>
      <c r="N47" s="841"/>
      <c r="O47" s="842"/>
      <c r="P47" s="853"/>
      <c r="Q47" s="854"/>
      <c r="R47" s="1116"/>
      <c r="S47" s="1206"/>
      <c r="T47" s="848"/>
      <c r="U47" s="841"/>
      <c r="V47" s="841"/>
      <c r="W47" s="842"/>
      <c r="X47" s="1084"/>
      <c r="Y47" s="1084"/>
      <c r="Z47" s="1187"/>
      <c r="AA47" s="1187"/>
      <c r="AB47" s="1174"/>
      <c r="AC47" s="1174"/>
      <c r="AD47" s="875"/>
      <c r="AE47" s="1098"/>
      <c r="AF47" s="1203"/>
      <c r="AG47" s="1204"/>
      <c r="AH47" s="1136"/>
      <c r="AI47" s="1137"/>
      <c r="AJ47" s="1137"/>
      <c r="AK47" s="1149"/>
      <c r="AL47" s="1149"/>
      <c r="AM47" s="1149"/>
      <c r="AN47" s="1139"/>
      <c r="AO47" s="1139"/>
      <c r="AP47" s="1139"/>
      <c r="AQ47" s="1139"/>
      <c r="AR47" s="59"/>
      <c r="AU47" s="1108"/>
      <c r="AV47" s="1108"/>
      <c r="AW47" s="1194"/>
      <c r="AX47" s="1075"/>
      <c r="AY47" s="1104"/>
      <c r="AZ47" s="1104"/>
      <c r="BA47" s="1104"/>
      <c r="BB47" s="1104"/>
      <c r="BC47" s="1104"/>
      <c r="BD47" s="1192"/>
      <c r="BE47" s="1104"/>
      <c r="BH47" s="1002"/>
    </row>
    <row r="48" spans="2:61" ht="15.95" hidden="1" customHeight="1">
      <c r="B48" s="929">
        <v>17</v>
      </c>
      <c r="C48" s="1093"/>
      <c r="D48" s="1093"/>
      <c r="E48" s="1093"/>
      <c r="F48" s="1093"/>
      <c r="G48" s="1093"/>
      <c r="H48" s="1093"/>
      <c r="I48" s="1093"/>
      <c r="J48" s="1093"/>
      <c r="K48" s="1093"/>
      <c r="L48" s="871"/>
      <c r="M48" s="872"/>
      <c r="N48" s="872"/>
      <c r="O48" s="873"/>
      <c r="P48" s="851"/>
      <c r="Q48" s="852"/>
      <c r="R48" s="1114"/>
      <c r="S48" s="1205"/>
      <c r="T48" s="1185"/>
      <c r="U48" s="872"/>
      <c r="V48" s="872"/>
      <c r="W48" s="873"/>
      <c r="X48" s="1083"/>
      <c r="Y48" s="1083"/>
      <c r="Z48" s="1186"/>
      <c r="AA48" s="1186"/>
      <c r="AB48" s="1173" t="str">
        <f t="shared" ref="AB48" si="130">IF(C48="New Construction","Incremental","")</f>
        <v/>
      </c>
      <c r="AC48" s="1173"/>
      <c r="AD48" s="874"/>
      <c r="AE48" s="1097"/>
      <c r="AF48" s="1201" t="str">
        <f t="shared" ref="AF48" si="131">IF(AB48="Incremental",0,"")</f>
        <v/>
      </c>
      <c r="AG48" s="1202"/>
      <c r="AH48" s="870" t="str">
        <f t="shared" ref="AH48" si="132">IF(OR(C48="",F48="",L48="",P48="",R48="",T48="",X48="",Z48="",AD48="",AF48=""),"",ROUND(AD48+AF48,2))</f>
        <v/>
      </c>
      <c r="AI48" s="1102"/>
      <c r="AJ48" s="1102"/>
      <c r="AK48" s="1111" t="str">
        <f t="shared" ref="AK48" si="133">IF(OR(C48="",F48="",F48="",L48="",P48="",R48="",T48="",X48="",Z48="",AB48="",AD48="",AF48=""),"",IF((P48*R48)-(X48*Z48)&lt;=0,0,ROUND((P48*R48)-(X48*Z48),2)))</f>
        <v/>
      </c>
      <c r="AL48" s="1111"/>
      <c r="AM48" s="1111"/>
      <c r="AN48" s="1138" t="str">
        <f t="shared" ref="AN48" si="134">IF(OR(C48="",F48="",F48="",L48="",P48="",R48="",T48="",X48="",Z48="",AB48="",AD48="",AF48=""),"",IF(BE48&lt;&gt;"",BE48,IF(C48="Custom",AY48,IF(C48="New Construction",AZ48,IF(C48="RCx",BA48)))))</f>
        <v/>
      </c>
      <c r="AO48" s="1138"/>
      <c r="AP48" s="1138"/>
      <c r="AQ48" s="1138"/>
      <c r="AR48" s="59"/>
      <c r="AU48" s="1109" t="str">
        <f>IF(F48="","",INDEX(CUSTNONLIGHTEUNIT,MATCH(F48,PROGRAMECAT[Category 1],0)))</f>
        <v/>
      </c>
      <c r="AV48" s="1109" t="str">
        <f>IF(OR(C48="",F48="",L48="",P48="",R48="",T48="",X48="",Z48="",AB48="",AD48="",AF48=""),"",((1+ELOSS)*((AK48*INDEX(ELECCB[NPV AEC $/kWh],MATCH(BB48,ELECCB[Year Number],1)))+(AX48*INDEX(ELECCB[NPV ACC+T&amp;D $/kW],MATCH(BB48,ELECCB[Year Number],1)))))/AH48)</f>
        <v/>
      </c>
      <c r="AW48" s="1193"/>
      <c r="AX48" s="1195" t="str">
        <f>IF(OR(C48="",F48="",L48="",P48="",R48="",T48="",X48="",Z48="",AB48="",AD48="",AF48=""),"",ROUND(AW48*(INDEX(PROGRAMECAT[Lighting Coincidence Factor],MATCH(F48,PROGRAMECAT[Category 1],0))),3))</f>
        <v/>
      </c>
      <c r="AY48" s="1188" t="str">
        <f>IF(OR(C48="",F48="",F48="",L48="",P48="",R48="",T48="",X48="",Z48="",AB48="",AD48="",AF48=""),"",IF(AB48="Total",ROUND(MIN(AH48*0.75,AK48*INDEX(INCRATE[Electric],MATCH("CMNONLIGHT",INCRATE[Incentive Type]))),2),IF(AB48="Incremental",ROUND(MIN(AH48,AK48*INDEX(INCRATE[Electric],MATCH("CMNONLIGHT",INCRATE[Incentive Type]))),2))))</f>
        <v/>
      </c>
      <c r="AZ48" s="1188" t="str">
        <f>IF(OR(C48="",F48="",F48="",L48="",P48="",R48="",T48="",X48="",Z48="",AB48="",AD48="",AF48=""),"",IF(AB48="Total",ROUND(MIN(AH48*0.75,AK48*INDEX(INCRATE[Electric],MATCH("NCNONLIGHT",INCRATE[Incentive Type]))),2),IF(AB48="Incremental",ROUND(MIN(AH48,AK48*INDEX(INCRATE[Electric],MATCH("NCNONLIGHT",INCRATE[Incentive Type]))),2))))</f>
        <v/>
      </c>
      <c r="BA48" s="1188" t="str">
        <f>IF(OR(C48="",F48="",F48="",L48="",P48="",R48="",T48="",X48="",Z48="",AB48="",AD48="",AF48=""),"",IF(AB48="Total",ROUND(MIN(AH48*0.75,AK48*INDEX(INCRATE[Electric],MATCH("RCX",INCRATE[Incentive Type]))),2),IF(AB48="Incremental",ROUND(MIN(AH48,AK48*INDEX(INCRATE[Electric],MATCH("RCX",INCRATE[Incentive Type]))),2))))</f>
        <v/>
      </c>
      <c r="BB48" s="1103" t="str">
        <f>IF(F48="","",INDEX(PROGRAMECAT[EUL],MATCH(F48,PROGRAMECAT[Category 1],0)))</f>
        <v/>
      </c>
      <c r="BC48" s="1103" t="str">
        <f>IFERROR(AH48/M02S02F35/AK48,"")</f>
        <v/>
      </c>
      <c r="BD48" s="1198" t="str">
        <f>IF(OR(C48="",F48="",L48="",P48="",R48="",T48="",X48="",Z48="",AB48="",AD48="",AF48=""),"",IF(ISNUMBER(AN48),INDEX(PROGRAMECAT[Measure Number],MATCH(F48,PROGRAMECAT[Category 1],0)),IF(AK48=0,"","000001")))</f>
        <v/>
      </c>
      <c r="BE48" s="1103" t="str">
        <f>IFERROR(IF((P48*R48)-(X48*Z48)&lt;=0,MEASURESAV,IF(M02S02F35="",MEASURERATE,IF(OR(F48="Others (Incremental)",F48="Others"),MEASURESUBMIT, IF(BC48&lt;1,MEASUREPAY,IF(AV48&lt;1,MEASURECB,""))))),MEASURESUBMIT)</f>
        <v>Submit for Review</v>
      </c>
      <c r="BH48" s="1001" t="str">
        <f ca="1">IF(OR(C48="",F48="",F48="",L48="",P48="",R48="",T48="",X48="",Z48="",AB48="",AD48="",AF48=""),"",IF('M01-S01'!$V$82&lt;TODAY(),0,IF(M02S02F46="Gas Only",0,IF(OR(AK48="",AK48&lt;0,AH48&lt;=AN48),0,MIN(AH48-AN48,ROUND(IF(OR(ISNUMBER(SEARCH("Compressed Air",F48)),ISNUMBER(SEARCH("T8",F48)),ISNUMBER(SEARCH("T5",F48)),ISNUMBER(SEARCH("MH",F48)),ISNUMBER(SEARCH("HPS",F48)),ISNUMBER(SEARCH("MV",F48))),AN48*0.2),2))))))</f>
        <v/>
      </c>
    </row>
    <row r="49" spans="2:60" ht="15.95" hidden="1" customHeight="1">
      <c r="B49" s="929"/>
      <c r="C49" s="1094"/>
      <c r="D49" s="1094"/>
      <c r="E49" s="1094"/>
      <c r="F49" s="1094"/>
      <c r="G49" s="1094"/>
      <c r="H49" s="1094"/>
      <c r="I49" s="1094"/>
      <c r="J49" s="1094"/>
      <c r="K49" s="1094"/>
      <c r="L49" s="840"/>
      <c r="M49" s="841"/>
      <c r="N49" s="841"/>
      <c r="O49" s="842"/>
      <c r="P49" s="853"/>
      <c r="Q49" s="854"/>
      <c r="R49" s="1116"/>
      <c r="S49" s="1206"/>
      <c r="T49" s="848"/>
      <c r="U49" s="841"/>
      <c r="V49" s="841"/>
      <c r="W49" s="842"/>
      <c r="X49" s="1084"/>
      <c r="Y49" s="1084"/>
      <c r="Z49" s="1187"/>
      <c r="AA49" s="1187"/>
      <c r="AB49" s="1174"/>
      <c r="AC49" s="1174"/>
      <c r="AD49" s="875"/>
      <c r="AE49" s="1098"/>
      <c r="AF49" s="1203"/>
      <c r="AG49" s="1204"/>
      <c r="AH49" s="1136"/>
      <c r="AI49" s="1137"/>
      <c r="AJ49" s="1137"/>
      <c r="AK49" s="1149"/>
      <c r="AL49" s="1149"/>
      <c r="AM49" s="1149"/>
      <c r="AN49" s="1139"/>
      <c r="AO49" s="1139"/>
      <c r="AP49" s="1139"/>
      <c r="AQ49" s="1139"/>
      <c r="AR49" s="59"/>
      <c r="AU49" s="1108"/>
      <c r="AV49" s="1108"/>
      <c r="AW49" s="1194"/>
      <c r="AX49" s="1075"/>
      <c r="AY49" s="1104"/>
      <c r="AZ49" s="1104"/>
      <c r="BA49" s="1104"/>
      <c r="BB49" s="1104"/>
      <c r="BC49" s="1104"/>
      <c r="BD49" s="1192"/>
      <c r="BE49" s="1104"/>
      <c r="BH49" s="1002"/>
    </row>
    <row r="50" spans="2:60" ht="15.95" hidden="1" customHeight="1">
      <c r="B50" s="929">
        <v>18</v>
      </c>
      <c r="C50" s="1093"/>
      <c r="D50" s="1093"/>
      <c r="E50" s="1093"/>
      <c r="F50" s="1093"/>
      <c r="G50" s="1093"/>
      <c r="H50" s="1093"/>
      <c r="I50" s="1093"/>
      <c r="J50" s="1093"/>
      <c r="K50" s="1093"/>
      <c r="L50" s="871"/>
      <c r="M50" s="872"/>
      <c r="N50" s="872"/>
      <c r="O50" s="873"/>
      <c r="P50" s="851"/>
      <c r="Q50" s="852"/>
      <c r="R50" s="1114"/>
      <c r="S50" s="1205"/>
      <c r="T50" s="1185"/>
      <c r="U50" s="872"/>
      <c r="V50" s="872"/>
      <c r="W50" s="873"/>
      <c r="X50" s="1083"/>
      <c r="Y50" s="1083"/>
      <c r="Z50" s="1186"/>
      <c r="AA50" s="1186"/>
      <c r="AB50" s="1173" t="str">
        <f t="shared" ref="AB50" si="135">IF(C50="New Construction","Incremental","")</f>
        <v/>
      </c>
      <c r="AC50" s="1173"/>
      <c r="AD50" s="874"/>
      <c r="AE50" s="1097"/>
      <c r="AF50" s="1201" t="str">
        <f t="shared" ref="AF50" si="136">IF(AB50="Incremental",0,"")</f>
        <v/>
      </c>
      <c r="AG50" s="1202"/>
      <c r="AH50" s="870" t="str">
        <f t="shared" ref="AH50" si="137">IF(OR(C50="",F50="",L50="",P50="",R50="",T50="",X50="",Z50="",AD50="",AF50=""),"",ROUND(AD50+AF50,2))</f>
        <v/>
      </c>
      <c r="AI50" s="1102"/>
      <c r="AJ50" s="1102"/>
      <c r="AK50" s="1111" t="str">
        <f t="shared" ref="AK50" si="138">IF(OR(C50="",F50="",F50="",L50="",P50="",R50="",T50="",X50="",Z50="",AB50="",AD50="",AF50=""),"",IF((P50*R50)-(X50*Z50)&lt;=0,0,ROUND((P50*R50)-(X50*Z50),2)))</f>
        <v/>
      </c>
      <c r="AL50" s="1111"/>
      <c r="AM50" s="1111"/>
      <c r="AN50" s="1138" t="str">
        <f t="shared" ref="AN50" si="139">IF(OR(C50="",F50="",F50="",L50="",P50="",R50="",T50="",X50="",Z50="",AB50="",AD50="",AF50=""),"",IF(BE50&lt;&gt;"",BE50,IF(C50="Custom",AY50,IF(C50="New Construction",AZ50,IF(C50="RCx",BA50)))))</f>
        <v/>
      </c>
      <c r="AO50" s="1138"/>
      <c r="AP50" s="1138"/>
      <c r="AQ50" s="1138"/>
      <c r="AR50" s="59"/>
      <c r="AU50" s="1109" t="str">
        <f>IF(F50="","",INDEX(CUSTNONLIGHTEUNIT,MATCH(F50,PROGRAMECAT[Category 1],0)))</f>
        <v/>
      </c>
      <c r="AV50" s="1109" t="str">
        <f>IF(OR(C50="",F50="",L50="",P50="",R50="",T50="",X50="",Z50="",AB50="",AD50="",AF50=""),"",((1+ELOSS)*((AK50*INDEX(ELECCB[NPV AEC $/kWh],MATCH(BB50,ELECCB[Year Number],1)))+(AX50*INDEX(ELECCB[NPV ACC+T&amp;D $/kW],MATCH(BB50,ELECCB[Year Number],1)))))/AH50)</f>
        <v/>
      </c>
      <c r="AW50" s="1193"/>
      <c r="AX50" s="1195" t="str">
        <f>IF(OR(C50="",F50="",L50="",P50="",R50="",T50="",X50="",Z50="",AB50="",AD50="",AF50=""),"",ROUND(AW50*(INDEX(PROGRAMECAT[Lighting Coincidence Factor],MATCH(F50,PROGRAMECAT[Category 1],0))),3))</f>
        <v/>
      </c>
      <c r="AY50" s="1188" t="str">
        <f>IF(OR(C50="",F50="",F50="",L50="",P50="",R50="",T50="",X50="",Z50="",AB50="",AD50="",AF50=""),"",IF(AB50="Total",ROUND(MIN(AH50*0.75,AK50*INDEX(INCRATE[Electric],MATCH("CMNONLIGHT",INCRATE[Incentive Type]))),2),IF(AB50="Incremental",ROUND(MIN(AH50,AK50*INDEX(INCRATE[Electric],MATCH("CMNONLIGHT",INCRATE[Incentive Type]))),2))))</f>
        <v/>
      </c>
      <c r="AZ50" s="1188" t="str">
        <f>IF(OR(C50="",F50="",F50="",L50="",P50="",R50="",T50="",X50="",Z50="",AB50="",AD50="",AF50=""),"",IF(AB50="Total",ROUND(MIN(AH50*0.75,AK50*INDEX(INCRATE[Electric],MATCH("NCNONLIGHT",INCRATE[Incentive Type]))),2),IF(AB50="Incremental",ROUND(MIN(AH50,AK50*INDEX(INCRATE[Electric],MATCH("NCNONLIGHT",INCRATE[Incentive Type]))),2))))</f>
        <v/>
      </c>
      <c r="BA50" s="1188" t="str">
        <f>IF(OR(C50="",F50="",F50="",L50="",P50="",R50="",T50="",X50="",Z50="",AB50="",AD50="",AF50=""),"",IF(AB50="Total",ROUND(MIN(AH50*0.75,AK50*INDEX(INCRATE[Electric],MATCH("RCX",INCRATE[Incentive Type]))),2),IF(AB50="Incremental",ROUND(MIN(AH50,AK50*INDEX(INCRATE[Electric],MATCH("RCX",INCRATE[Incentive Type]))),2))))</f>
        <v/>
      </c>
      <c r="BB50" s="1103" t="str">
        <f>IF(F50="","",INDEX(PROGRAMECAT[EUL],MATCH(F50,PROGRAMECAT[Category 1],0)))</f>
        <v/>
      </c>
      <c r="BC50" s="1103" t="str">
        <f>IFERROR(AH50/M02S02F35/AK50,"")</f>
        <v/>
      </c>
      <c r="BD50" s="1198" t="str">
        <f>IF(OR(C50="",F50="",L50="",P50="",R50="",T50="",X50="",Z50="",AB50="",AD50="",AF50=""),"",IF(ISNUMBER(AN50),INDEX(PROGRAMECAT[Measure Number],MATCH(F50,PROGRAMECAT[Category 1],0)),IF(AK50=0,"","000001")))</f>
        <v/>
      </c>
      <c r="BE50" s="1103" t="str">
        <f>IFERROR(IF((P50*R50)-(X50*Z50)&lt;=0,MEASURESAV,IF(M02S02F35="",MEASURERATE,IF(OR(F50="Others (Incremental)",F50="Others"),MEASURESUBMIT, IF(BC50&lt;1,MEASUREPAY,IF(AV50&lt;1,MEASURECB,""))))),MEASURESUBMIT)</f>
        <v>Submit for Review</v>
      </c>
      <c r="BH50" s="1001" t="str">
        <f ca="1">IF(OR(C50="",F50="",F50="",L50="",P50="",R50="",T50="",X50="",Z50="",AB50="",AD50="",AF50=""),"",IF('M01-S01'!$V$82&lt;TODAY(),0,IF(M02S02F46="Gas Only",0,IF(OR(AK50="",AK50&lt;0,AH50&lt;=AN50),0,MIN(AH50-AN50,ROUND(IF(OR(ISNUMBER(SEARCH("Compressed Air",F50)),ISNUMBER(SEARCH("T8",F50)),ISNUMBER(SEARCH("T5",F50)),ISNUMBER(SEARCH("MH",F50)),ISNUMBER(SEARCH("HPS",F50)),ISNUMBER(SEARCH("MV",F50))),AN50*0.2),2))))))</f>
        <v/>
      </c>
    </row>
    <row r="51" spans="2:60" ht="15.95" hidden="1" customHeight="1">
      <c r="B51" s="929"/>
      <c r="C51" s="1094"/>
      <c r="D51" s="1094"/>
      <c r="E51" s="1094"/>
      <c r="F51" s="1094"/>
      <c r="G51" s="1094"/>
      <c r="H51" s="1094"/>
      <c r="I51" s="1094"/>
      <c r="J51" s="1094"/>
      <c r="K51" s="1094"/>
      <c r="L51" s="840"/>
      <c r="M51" s="841"/>
      <c r="N51" s="841"/>
      <c r="O51" s="842"/>
      <c r="P51" s="853"/>
      <c r="Q51" s="854"/>
      <c r="R51" s="1116"/>
      <c r="S51" s="1206"/>
      <c r="T51" s="848"/>
      <c r="U51" s="841"/>
      <c r="V51" s="841"/>
      <c r="W51" s="842"/>
      <c r="X51" s="1084"/>
      <c r="Y51" s="1084"/>
      <c r="Z51" s="1187"/>
      <c r="AA51" s="1187"/>
      <c r="AB51" s="1174"/>
      <c r="AC51" s="1174"/>
      <c r="AD51" s="875"/>
      <c r="AE51" s="1098"/>
      <c r="AF51" s="1203"/>
      <c r="AG51" s="1204"/>
      <c r="AH51" s="1136"/>
      <c r="AI51" s="1137"/>
      <c r="AJ51" s="1137"/>
      <c r="AK51" s="1149"/>
      <c r="AL51" s="1149"/>
      <c r="AM51" s="1149"/>
      <c r="AN51" s="1139"/>
      <c r="AO51" s="1139"/>
      <c r="AP51" s="1139"/>
      <c r="AQ51" s="1139"/>
      <c r="AR51" s="59"/>
      <c r="AU51" s="1108"/>
      <c r="AV51" s="1108"/>
      <c r="AW51" s="1194"/>
      <c r="AX51" s="1075"/>
      <c r="AY51" s="1104"/>
      <c r="AZ51" s="1104"/>
      <c r="BA51" s="1104"/>
      <c r="BB51" s="1104"/>
      <c r="BC51" s="1104"/>
      <c r="BD51" s="1192"/>
      <c r="BE51" s="1104"/>
      <c r="BH51" s="1002"/>
    </row>
    <row r="52" spans="2:60" ht="15.95" hidden="1" customHeight="1">
      <c r="B52" s="929">
        <v>19</v>
      </c>
      <c r="C52" s="1093"/>
      <c r="D52" s="1093"/>
      <c r="E52" s="1093"/>
      <c r="F52" s="1093"/>
      <c r="G52" s="1093"/>
      <c r="H52" s="1093"/>
      <c r="I52" s="1093"/>
      <c r="J52" s="1093"/>
      <c r="K52" s="1093"/>
      <c r="L52" s="871"/>
      <c r="M52" s="872"/>
      <c r="N52" s="872"/>
      <c r="O52" s="873"/>
      <c r="P52" s="851"/>
      <c r="Q52" s="852"/>
      <c r="R52" s="1114"/>
      <c r="S52" s="1205"/>
      <c r="T52" s="1185"/>
      <c r="U52" s="872"/>
      <c r="V52" s="872"/>
      <c r="W52" s="873"/>
      <c r="X52" s="1083"/>
      <c r="Y52" s="1083"/>
      <c r="Z52" s="1186"/>
      <c r="AA52" s="1186"/>
      <c r="AB52" s="1173" t="str">
        <f t="shared" ref="AB52" si="140">IF(C52="New Construction","Incremental","")</f>
        <v/>
      </c>
      <c r="AC52" s="1173"/>
      <c r="AD52" s="874"/>
      <c r="AE52" s="1097"/>
      <c r="AF52" s="1201" t="str">
        <f t="shared" ref="AF52" si="141">IF(AB52="Incremental",0,"")</f>
        <v/>
      </c>
      <c r="AG52" s="1202"/>
      <c r="AH52" s="870" t="str">
        <f t="shared" ref="AH52" si="142">IF(OR(C52="",F52="",L52="",P52="",R52="",T52="",X52="",Z52="",AD52="",AF52=""),"",ROUND(AD52+AF52,2))</f>
        <v/>
      </c>
      <c r="AI52" s="1102"/>
      <c r="AJ52" s="1102"/>
      <c r="AK52" s="1111" t="str">
        <f t="shared" ref="AK52" si="143">IF(OR(C52="",F52="",F52="",L52="",P52="",R52="",T52="",X52="",Z52="",AB52="",AD52="",AF52=""),"",IF((P52*R52)-(X52*Z52)&lt;=0,0,ROUND((P52*R52)-(X52*Z52),2)))</f>
        <v/>
      </c>
      <c r="AL52" s="1111"/>
      <c r="AM52" s="1111"/>
      <c r="AN52" s="1138" t="str">
        <f t="shared" ref="AN52" si="144">IF(OR(C52="",F52="",F52="",L52="",P52="",R52="",T52="",X52="",Z52="",AB52="",AD52="",AF52=""),"",IF(BE52&lt;&gt;"",BE52,IF(C52="Custom",AY52,IF(C52="New Construction",AZ52,IF(C52="RCx",BA52)))))</f>
        <v/>
      </c>
      <c r="AO52" s="1138"/>
      <c r="AP52" s="1138"/>
      <c r="AQ52" s="1138"/>
      <c r="AR52" s="59"/>
      <c r="AU52" s="1109" t="str">
        <f>IF(F52="","",INDEX(CUSTNONLIGHTEUNIT,MATCH(F52,PROGRAMECAT[Category 1],0)))</f>
        <v/>
      </c>
      <c r="AV52" s="1109" t="str">
        <f>IF(OR(C52="",F52="",L52="",P52="",R52="",T52="",X52="",Z52="",AB52="",AD52="",AF52=""),"",((1+ELOSS)*((AK52*INDEX(ELECCB[NPV AEC $/kWh],MATCH(BB52,ELECCB[Year Number],1)))+(AX52*INDEX(ELECCB[NPV ACC+T&amp;D $/kW],MATCH(BB52,ELECCB[Year Number],1)))))/AH52)</f>
        <v/>
      </c>
      <c r="AW52" s="1193"/>
      <c r="AX52" s="1195" t="str">
        <f>IF(OR(C52="",F52="",L52="",P52="",R52="",T52="",X52="",Z52="",AB52="",AD52="",AF52=""),"",ROUND(AW52*(INDEX(PROGRAMECAT[Lighting Coincidence Factor],MATCH(F52,PROGRAMECAT[Category 1],0))),3))</f>
        <v/>
      </c>
      <c r="AY52" s="1188" t="str">
        <f>IF(OR(C52="",F52="",F52="",L52="",P52="",R52="",T52="",X52="",Z52="",AB52="",AD52="",AF52=""),"",IF(AB52="Total",ROUND(MIN(AH52*0.75,AK52*INDEX(INCRATE[Electric],MATCH("CMNONLIGHT",INCRATE[Incentive Type]))),2),IF(AB52="Incremental",ROUND(MIN(AH52,AK52*INDEX(INCRATE[Electric],MATCH("CMNONLIGHT",INCRATE[Incentive Type]))),2))))</f>
        <v/>
      </c>
      <c r="AZ52" s="1188" t="str">
        <f>IF(OR(C52="",F52="",F52="",L52="",P52="",R52="",T52="",X52="",Z52="",AB52="",AD52="",AF52=""),"",IF(AB52="Total",ROUND(MIN(AH52*0.75,AK52*INDEX(INCRATE[Electric],MATCH("NCNONLIGHT",INCRATE[Incentive Type]))),2),IF(AB52="Incremental",ROUND(MIN(AH52,AK52*INDEX(INCRATE[Electric],MATCH("NCNONLIGHT",INCRATE[Incentive Type]))),2))))</f>
        <v/>
      </c>
      <c r="BA52" s="1188" t="str">
        <f>IF(OR(C52="",F52="",F52="",L52="",P52="",R52="",T52="",X52="",Z52="",AB52="",AD52="",AF52=""),"",IF(AB52="Total",ROUND(MIN(AH52*0.75,AK52*INDEX(INCRATE[Electric],MATCH("RCX",INCRATE[Incentive Type]))),2),IF(AB52="Incremental",ROUND(MIN(AH52,AK52*INDEX(INCRATE[Electric],MATCH("RCX",INCRATE[Incentive Type]))),2))))</f>
        <v/>
      </c>
      <c r="BB52" s="1103" t="str">
        <f>IF(F52="","",INDEX(PROGRAMECAT[EUL],MATCH(F52,PROGRAMECAT[Category 1],0)))</f>
        <v/>
      </c>
      <c r="BC52" s="1103" t="str">
        <f>IFERROR(AH52/M02S02F35/AK52,"")</f>
        <v/>
      </c>
      <c r="BD52" s="1198" t="str">
        <f>IF(OR(C52="",F52="",L52="",P52="",R52="",T52="",X52="",Z52="",AB52="",AD52="",AF52=""),"",IF(ISNUMBER(AN52),INDEX(PROGRAMECAT[Measure Number],MATCH(F52,PROGRAMECAT[Category 1],0)),IF(AK52=0,"","000001")))</f>
        <v/>
      </c>
      <c r="BE52" s="1103" t="str">
        <f>IFERROR(IF((P52*R52)-(X52*Z52)&lt;=0,MEASURESAV,IF(M02S02F35="",MEASURERATE,IF(OR(F52="Others (Incremental)",F52="Others"),MEASURESUBMIT, IF(BC52&lt;1,MEASUREPAY,IF(AV52&lt;1,MEASURECB,""))))),MEASURESUBMIT)</f>
        <v>Submit for Review</v>
      </c>
      <c r="BH52" s="1001" t="str">
        <f ca="1">IF(OR(C52="",F52="",F52="",L52="",P52="",R52="",T52="",X52="",Z52="",AB52="",AD52="",AF52=""),"",IF('M01-S01'!$V$82&lt;TODAY(),0,IF(M02S02F46="Gas Only",0,IF(OR(AK52="",AK52&lt;0,AH52&lt;=AN52),0,MIN(AH52-AN52,ROUND(IF(OR(ISNUMBER(SEARCH("Compressed Air",F52)),ISNUMBER(SEARCH("T8",F52)),ISNUMBER(SEARCH("T5",F52)),ISNUMBER(SEARCH("MH",F52)),ISNUMBER(SEARCH("HPS",F52)),ISNUMBER(SEARCH("MV",F52))),AN52*0.2),2))))))</f>
        <v/>
      </c>
    </row>
    <row r="53" spans="2:60" ht="15.95" hidden="1" customHeight="1">
      <c r="B53" s="929"/>
      <c r="C53" s="1094"/>
      <c r="D53" s="1094"/>
      <c r="E53" s="1094"/>
      <c r="F53" s="1094"/>
      <c r="G53" s="1094"/>
      <c r="H53" s="1094"/>
      <c r="I53" s="1094"/>
      <c r="J53" s="1094"/>
      <c r="K53" s="1094"/>
      <c r="L53" s="840"/>
      <c r="M53" s="841"/>
      <c r="N53" s="841"/>
      <c r="O53" s="842"/>
      <c r="P53" s="853"/>
      <c r="Q53" s="854"/>
      <c r="R53" s="1116"/>
      <c r="S53" s="1206"/>
      <c r="T53" s="848"/>
      <c r="U53" s="841"/>
      <c r="V53" s="841"/>
      <c r="W53" s="842"/>
      <c r="X53" s="1084"/>
      <c r="Y53" s="1084"/>
      <c r="Z53" s="1187"/>
      <c r="AA53" s="1187"/>
      <c r="AB53" s="1174"/>
      <c r="AC53" s="1174"/>
      <c r="AD53" s="875"/>
      <c r="AE53" s="1098"/>
      <c r="AF53" s="1203"/>
      <c r="AG53" s="1204"/>
      <c r="AH53" s="1136"/>
      <c r="AI53" s="1137"/>
      <c r="AJ53" s="1137"/>
      <c r="AK53" s="1149"/>
      <c r="AL53" s="1149"/>
      <c r="AM53" s="1149"/>
      <c r="AN53" s="1139"/>
      <c r="AO53" s="1139"/>
      <c r="AP53" s="1139"/>
      <c r="AQ53" s="1139"/>
      <c r="AR53" s="59"/>
      <c r="AU53" s="1108"/>
      <c r="AV53" s="1108"/>
      <c r="AW53" s="1194"/>
      <c r="AX53" s="1075"/>
      <c r="AY53" s="1104"/>
      <c r="AZ53" s="1104"/>
      <c r="BA53" s="1104"/>
      <c r="BB53" s="1104"/>
      <c r="BC53" s="1104"/>
      <c r="BD53" s="1192"/>
      <c r="BE53" s="1104"/>
      <c r="BH53" s="1002"/>
    </row>
    <row r="54" spans="2:60" ht="15.95" hidden="1" customHeight="1">
      <c r="B54" s="929">
        <v>20</v>
      </c>
      <c r="C54" s="1093"/>
      <c r="D54" s="1093"/>
      <c r="E54" s="1093"/>
      <c r="F54" s="1093"/>
      <c r="G54" s="1093"/>
      <c r="H54" s="1093"/>
      <c r="I54" s="1093"/>
      <c r="J54" s="1093"/>
      <c r="K54" s="1093"/>
      <c r="L54" s="871"/>
      <c r="M54" s="872"/>
      <c r="N54" s="872"/>
      <c r="O54" s="873"/>
      <c r="P54" s="851"/>
      <c r="Q54" s="852"/>
      <c r="R54" s="1114"/>
      <c r="S54" s="1205"/>
      <c r="T54" s="1185"/>
      <c r="U54" s="872"/>
      <c r="V54" s="872"/>
      <c r="W54" s="873"/>
      <c r="X54" s="1083"/>
      <c r="Y54" s="1083"/>
      <c r="Z54" s="1186"/>
      <c r="AA54" s="1186"/>
      <c r="AB54" s="1173" t="str">
        <f t="shared" ref="AB54" si="145">IF(C54="New Construction","Incremental","")</f>
        <v/>
      </c>
      <c r="AC54" s="1173"/>
      <c r="AD54" s="874"/>
      <c r="AE54" s="1097"/>
      <c r="AF54" s="1201" t="str">
        <f t="shared" ref="AF54" si="146">IF(AB54="Incremental",0,"")</f>
        <v/>
      </c>
      <c r="AG54" s="1202"/>
      <c r="AH54" s="870" t="str">
        <f t="shared" ref="AH54" si="147">IF(OR(C54="",F54="",L54="",P54="",R54="",T54="",X54="",Z54="",AD54="",AF54=""),"",ROUND(AD54+AF54,2))</f>
        <v/>
      </c>
      <c r="AI54" s="1102"/>
      <c r="AJ54" s="1102"/>
      <c r="AK54" s="1111" t="str">
        <f t="shared" ref="AK54" si="148">IF(OR(C54="",F54="",F54="",L54="",P54="",R54="",T54="",X54="",Z54="",AB54="",AD54="",AF54=""),"",IF((P54*R54)-(X54*Z54)&lt;=0,0,ROUND((P54*R54)-(X54*Z54),2)))</f>
        <v/>
      </c>
      <c r="AL54" s="1111"/>
      <c r="AM54" s="1111"/>
      <c r="AN54" s="1138" t="str">
        <f t="shared" ref="AN54" si="149">IF(OR(C54="",F54="",F54="",L54="",P54="",R54="",T54="",X54="",Z54="",AB54="",AD54="",AF54=""),"",IF(BE54&lt;&gt;"",BE54,IF(C54="Custom",AY54,IF(C54="New Construction",AZ54,IF(C54="RCx",BA54)))))</f>
        <v/>
      </c>
      <c r="AO54" s="1138"/>
      <c r="AP54" s="1138"/>
      <c r="AQ54" s="1138"/>
      <c r="AR54" s="59"/>
      <c r="AU54" s="1109" t="str">
        <f>IF(F54="","",INDEX(CUSTNONLIGHTEUNIT,MATCH(F54,PROGRAMECAT[Category 1],0)))</f>
        <v/>
      </c>
      <c r="AV54" s="1109" t="str">
        <f>IF(OR(C54="",F54="",L54="",P54="",R54="",T54="",X54="",Z54="",AB54="",AD54="",AF54=""),"",((1+ELOSS)*((AK54*INDEX(ELECCB[NPV AEC $/kWh],MATCH(BB54,ELECCB[Year Number],1)))+(AX54*INDEX(ELECCB[NPV ACC+T&amp;D $/kW],MATCH(BB54,ELECCB[Year Number],1)))))/AH54)</f>
        <v/>
      </c>
      <c r="AW54" s="1193"/>
      <c r="AX54" s="1195" t="str">
        <f>IF(OR(C54="",F54="",L54="",P54="",R54="",T54="",X54="",Z54="",AB54="",AD54="",AF54=""),"",ROUND(AW54*(INDEX(PROGRAMECAT[Lighting Coincidence Factor],MATCH(F54,PROGRAMECAT[Category 1],0))),3))</f>
        <v/>
      </c>
      <c r="AY54" s="1188" t="str">
        <f>IF(OR(C54="",F54="",F54="",L54="",P54="",R54="",T54="",X54="",Z54="",AB54="",AD54="",AF54=""),"",IF(AB54="Total",ROUND(MIN(AH54*0.75,AK54*INDEX(INCRATE[Electric],MATCH("CMNONLIGHT",INCRATE[Incentive Type]))),2),IF(AB54="Incremental",ROUND(MIN(AH54,AK54*INDEX(INCRATE[Electric],MATCH("CMNONLIGHT",INCRATE[Incentive Type]))),2))))</f>
        <v/>
      </c>
      <c r="AZ54" s="1188" t="str">
        <f>IF(OR(C54="",F54="",F54="",L54="",P54="",R54="",T54="",X54="",Z54="",AB54="",AD54="",AF54=""),"",IF(AB54="Total",ROUND(MIN(AH54*0.75,AK54*INDEX(INCRATE[Electric],MATCH("NCNONLIGHT",INCRATE[Incentive Type]))),2),IF(AB54="Incremental",ROUND(MIN(AH54,AK54*INDEX(INCRATE[Electric],MATCH("NCNONLIGHT",INCRATE[Incentive Type]))),2))))</f>
        <v/>
      </c>
      <c r="BA54" s="1188" t="str">
        <f>IF(OR(C54="",F54="",F54="",L54="",P54="",R54="",T54="",X54="",Z54="",AB54="",AD54="",AF54=""),"",IF(AB54="Total",ROUND(MIN(AH54*0.75,AK54*INDEX(INCRATE[Electric],MATCH("RCX",INCRATE[Incentive Type]))),2),IF(AB54="Incremental",ROUND(MIN(AH54,AK54*INDEX(INCRATE[Electric],MATCH("RCX",INCRATE[Incentive Type]))),2))))</f>
        <v/>
      </c>
      <c r="BB54" s="1103" t="str">
        <f>IF(F54="","",INDEX(PROGRAMECAT[EUL],MATCH(F54,PROGRAMECAT[Category 1],0)))</f>
        <v/>
      </c>
      <c r="BC54" s="1103" t="str">
        <f>IFERROR(AH54/M02S02F35/AK54,"")</f>
        <v/>
      </c>
      <c r="BD54" s="1198" t="str">
        <f>IF(OR(C54="",F54="",L54="",P54="",R54="",T54="",X54="",Z54="",AB54="",AD54="",AF54=""),"",IF(ISNUMBER(AN54),INDEX(PROGRAMECAT[Measure Number],MATCH(F54,PROGRAMECAT[Category 1],0)),IF(AK54=0,"","000001")))</f>
        <v/>
      </c>
      <c r="BE54" s="1103" t="str">
        <f>IFERROR(IF((P54*R54)-(X54*Z54)&lt;=0,MEASURESAV,IF(M02S02F35="",MEASURERATE,IF(OR(F54="Others (Incremental)",F54="Others"),MEASURESUBMIT, IF(BC54&lt;1,MEASUREPAY,IF(AV54&lt;1,MEASURECB,""))))),MEASURESUBMIT)</f>
        <v>Submit for Review</v>
      </c>
      <c r="BH54" s="1001" t="str">
        <f ca="1">IF(OR(C54="",F54="",F54="",L54="",P54="",R54="",T54="",X54="",Z54="",AB54="",AD54="",AF54=""),"",IF('M01-S01'!$V$82&lt;TODAY(),0,IF(M02S02F46="Gas Only",0,IF(OR(AK54="",AK54&lt;0,AH54&lt;=AN54),0,MIN(AH54-AN54,ROUND(IF(OR(ISNUMBER(SEARCH("Compressed Air",F54)),ISNUMBER(SEARCH("T8",F54)),ISNUMBER(SEARCH("T5",F54)),ISNUMBER(SEARCH("MH",F54)),ISNUMBER(SEARCH("HPS",F54)),ISNUMBER(SEARCH("MV",F54))),AN54*0.2),2))))))</f>
        <v/>
      </c>
    </row>
    <row r="55" spans="2:60" ht="15.95" hidden="1" customHeight="1">
      <c r="B55" s="929"/>
      <c r="C55" s="1094"/>
      <c r="D55" s="1094"/>
      <c r="E55" s="1094"/>
      <c r="F55" s="1094"/>
      <c r="G55" s="1094"/>
      <c r="H55" s="1094"/>
      <c r="I55" s="1094"/>
      <c r="J55" s="1094"/>
      <c r="K55" s="1094"/>
      <c r="L55" s="840"/>
      <c r="M55" s="841"/>
      <c r="N55" s="841"/>
      <c r="O55" s="842"/>
      <c r="P55" s="853"/>
      <c r="Q55" s="854"/>
      <c r="R55" s="1116"/>
      <c r="S55" s="1206"/>
      <c r="T55" s="848"/>
      <c r="U55" s="841"/>
      <c r="V55" s="841"/>
      <c r="W55" s="842"/>
      <c r="X55" s="1084"/>
      <c r="Y55" s="1084"/>
      <c r="Z55" s="1187"/>
      <c r="AA55" s="1187"/>
      <c r="AB55" s="1174"/>
      <c r="AC55" s="1174"/>
      <c r="AD55" s="875"/>
      <c r="AE55" s="1098"/>
      <c r="AF55" s="1203"/>
      <c r="AG55" s="1204"/>
      <c r="AH55" s="1136"/>
      <c r="AI55" s="1137"/>
      <c r="AJ55" s="1137"/>
      <c r="AK55" s="1149"/>
      <c r="AL55" s="1149"/>
      <c r="AM55" s="1149"/>
      <c r="AN55" s="1139"/>
      <c r="AO55" s="1139"/>
      <c r="AP55" s="1139"/>
      <c r="AQ55" s="1139"/>
      <c r="AR55" s="59"/>
      <c r="AU55" s="1108"/>
      <c r="AV55" s="1108"/>
      <c r="AW55" s="1194"/>
      <c r="AX55" s="1075"/>
      <c r="AY55" s="1104"/>
      <c r="AZ55" s="1104"/>
      <c r="BA55" s="1104"/>
      <c r="BB55" s="1104"/>
      <c r="BC55" s="1104"/>
      <c r="BD55" s="1192"/>
      <c r="BE55" s="1104"/>
      <c r="BH55" s="1002"/>
    </row>
    <row r="56" spans="2:60" ht="15.95" hidden="1" customHeight="1">
      <c r="B56" s="929">
        <v>21</v>
      </c>
      <c r="C56" s="1093"/>
      <c r="D56" s="1093"/>
      <c r="E56" s="1093"/>
      <c r="F56" s="1093"/>
      <c r="G56" s="1093"/>
      <c r="H56" s="1093"/>
      <c r="I56" s="1093"/>
      <c r="J56" s="1093"/>
      <c r="K56" s="1093"/>
      <c r="L56" s="871"/>
      <c r="M56" s="872"/>
      <c r="N56" s="872"/>
      <c r="O56" s="873"/>
      <c r="P56" s="851"/>
      <c r="Q56" s="852"/>
      <c r="R56" s="1114"/>
      <c r="S56" s="1205"/>
      <c r="T56" s="1185"/>
      <c r="U56" s="872"/>
      <c r="V56" s="872"/>
      <c r="W56" s="873"/>
      <c r="X56" s="1083"/>
      <c r="Y56" s="1083"/>
      <c r="Z56" s="1186"/>
      <c r="AA56" s="1186"/>
      <c r="AB56" s="1173" t="str">
        <f t="shared" ref="AB56" si="150">IF(C56="New Construction","Incremental","")</f>
        <v/>
      </c>
      <c r="AC56" s="1173"/>
      <c r="AD56" s="874"/>
      <c r="AE56" s="1097"/>
      <c r="AF56" s="1201" t="str">
        <f t="shared" ref="AF56" si="151">IF(AB56="Incremental",0,"")</f>
        <v/>
      </c>
      <c r="AG56" s="1202"/>
      <c r="AH56" s="870" t="str">
        <f t="shared" ref="AH56" si="152">IF(OR(C56="",F56="",L56="",P56="",R56="",T56="",X56="",Z56="",AD56="",AF56=""),"",ROUND(AD56+AF56,2))</f>
        <v/>
      </c>
      <c r="AI56" s="1102"/>
      <c r="AJ56" s="1102"/>
      <c r="AK56" s="1111" t="str">
        <f t="shared" ref="AK56" si="153">IF(OR(C56="",F56="",F56="",L56="",P56="",R56="",T56="",X56="",Z56="",AB56="",AD56="",AF56=""),"",IF((P56*R56)-(X56*Z56)&lt;=0,0,ROUND((P56*R56)-(X56*Z56),2)))</f>
        <v/>
      </c>
      <c r="AL56" s="1111"/>
      <c r="AM56" s="1111"/>
      <c r="AN56" s="1138" t="str">
        <f t="shared" ref="AN56" si="154">IF(OR(C56="",F56="",F56="",L56="",P56="",R56="",T56="",X56="",Z56="",AB56="",AD56="",AF56=""),"",IF(BE56&lt;&gt;"",BE56,IF(C56="Custom",AY56,IF(C56="New Construction",AZ56,IF(C56="RCx",BA56)))))</f>
        <v/>
      </c>
      <c r="AO56" s="1138"/>
      <c r="AP56" s="1138"/>
      <c r="AQ56" s="1138"/>
      <c r="AR56" s="59"/>
      <c r="AU56" s="1109" t="str">
        <f>IF(F56="","",INDEX(CUSTNONLIGHTEUNIT,MATCH(F56,PROGRAMECAT[Category 1],0)))</f>
        <v/>
      </c>
      <c r="AV56" s="1109" t="str">
        <f>IF(OR(C56="",F56="",L56="",P56="",R56="",T56="",X56="",Z56="",AB56="",AD56="",AF56=""),"",((1+ELOSS)*((AK56*INDEX(ELECCB[NPV AEC $/kWh],MATCH(BB56,ELECCB[Year Number],1)))+(AX56*INDEX(ELECCB[NPV ACC+T&amp;D $/kW],MATCH(BB56,ELECCB[Year Number],1)))))/AH56)</f>
        <v/>
      </c>
      <c r="AW56" s="1193"/>
      <c r="AX56" s="1195" t="str">
        <f>IF(OR(C56="",F56="",L56="",P56="",R56="",T56="",X56="",Z56="",AB56="",AD56="",AF56=""),"",ROUND(AW56*(INDEX(PROGRAMECAT[Lighting Coincidence Factor],MATCH(F56,PROGRAMECAT[Category 1],0))),3))</f>
        <v/>
      </c>
      <c r="AY56" s="1188" t="str">
        <f>IF(OR(C56="",F56="",F56="",L56="",P56="",R56="",T56="",X56="",Z56="",AB56="",AD56="",AF56=""),"",IF(AB56="Total",ROUND(MIN(AH56*0.75,AK56*INDEX(INCRATE[Electric],MATCH("CMNONLIGHT",INCRATE[Incentive Type]))),2),IF(AB56="Incremental",ROUND(MIN(AH56,AK56*INDEX(INCRATE[Electric],MATCH("CMNONLIGHT",INCRATE[Incentive Type]))),2))))</f>
        <v/>
      </c>
      <c r="AZ56" s="1188" t="str">
        <f>IF(OR(C56="",F56="",F56="",L56="",P56="",R56="",T56="",X56="",Z56="",AB56="",AD56="",AF56=""),"",IF(AB56="Total",ROUND(MIN(AH56*0.75,AK56*INDEX(INCRATE[Electric],MATCH("NCNONLIGHT",INCRATE[Incentive Type]))),2),IF(AB56="Incremental",ROUND(MIN(AH56,AK56*INDEX(INCRATE[Electric],MATCH("NCNONLIGHT",INCRATE[Incentive Type]))),2))))</f>
        <v/>
      </c>
      <c r="BA56" s="1188" t="str">
        <f>IF(OR(C56="",F56="",F56="",L56="",P56="",R56="",T56="",X56="",Z56="",AB56="",AD56="",AF56=""),"",IF(AB56="Total",ROUND(MIN(AH56*0.75,AK56*INDEX(INCRATE[Electric],MATCH("RCX",INCRATE[Incentive Type]))),2),IF(AB56="Incremental",ROUND(MIN(AH56,AK56*INDEX(INCRATE[Electric],MATCH("RCX",INCRATE[Incentive Type]))),2))))</f>
        <v/>
      </c>
      <c r="BB56" s="1103" t="str">
        <f>IF(F56="","",INDEX(PROGRAMECAT[EUL],MATCH(F56,PROGRAMECAT[Category 1],0)))</f>
        <v/>
      </c>
      <c r="BC56" s="1103" t="str">
        <f>IFERROR(AH56/M02S02F35/AK56,"")</f>
        <v/>
      </c>
      <c r="BD56" s="1198" t="str">
        <f>IF(OR(C56="",F56="",L56="",P56="",R56="",T56="",X56="",Z56="",AB56="",AD56="",AF56=""),"",IF(ISNUMBER(AN56),INDEX(PROGRAMECAT[Measure Number],MATCH(F56,PROGRAMECAT[Category 1],0)),IF(AK56=0,"","000001")))</f>
        <v/>
      </c>
      <c r="BE56" s="1103" t="str">
        <f>IFERROR(IF((P56*R56)-(X56*Z56)&lt;=0,MEASURESAV,IF(M02S02F35="",MEASURERATE,IF(OR(F56="Others (Incremental)",F56="Others"),MEASURESUBMIT, IF(BC56&lt;1,MEASUREPAY,IF(AV56&lt;1,MEASURECB,""))))),MEASURESUBMIT)</f>
        <v>Submit for Review</v>
      </c>
      <c r="BH56" s="1001" t="str">
        <f ca="1">IF(OR(C56="",F56="",F56="",L56="",P56="",R56="",T56="",X56="",Z56="",AB56="",AD56="",AF56=""),"",IF('M01-S01'!$V$82&lt;TODAY(),0,IF(M02S02F46="Gas Only",0,IF(OR(AK56="",AK56&lt;0,AH56&lt;=AN56),0,MIN(AH56-AN56,ROUND(IF(OR(ISNUMBER(SEARCH("Compressed Air",F56)),ISNUMBER(SEARCH("T8",F56)),ISNUMBER(SEARCH("T5",F56)),ISNUMBER(SEARCH("MH",F56)),ISNUMBER(SEARCH("HPS",F56)),ISNUMBER(SEARCH("MV",F56))),AN56*0.2),2))))))</f>
        <v/>
      </c>
    </row>
    <row r="57" spans="2:60" ht="15.95" hidden="1" customHeight="1">
      <c r="B57" s="929"/>
      <c r="C57" s="1094"/>
      <c r="D57" s="1094"/>
      <c r="E57" s="1094"/>
      <c r="F57" s="1094"/>
      <c r="G57" s="1094"/>
      <c r="H57" s="1094"/>
      <c r="I57" s="1094"/>
      <c r="J57" s="1094"/>
      <c r="K57" s="1094"/>
      <c r="L57" s="840"/>
      <c r="M57" s="841"/>
      <c r="N57" s="841"/>
      <c r="O57" s="842"/>
      <c r="P57" s="853"/>
      <c r="Q57" s="854"/>
      <c r="R57" s="1116"/>
      <c r="S57" s="1206"/>
      <c r="T57" s="848"/>
      <c r="U57" s="841"/>
      <c r="V57" s="841"/>
      <c r="W57" s="842"/>
      <c r="X57" s="1084"/>
      <c r="Y57" s="1084"/>
      <c r="Z57" s="1187"/>
      <c r="AA57" s="1187"/>
      <c r="AB57" s="1174"/>
      <c r="AC57" s="1174"/>
      <c r="AD57" s="875"/>
      <c r="AE57" s="1098"/>
      <c r="AF57" s="1203"/>
      <c r="AG57" s="1204"/>
      <c r="AH57" s="1136"/>
      <c r="AI57" s="1137"/>
      <c r="AJ57" s="1137"/>
      <c r="AK57" s="1149"/>
      <c r="AL57" s="1149"/>
      <c r="AM57" s="1149"/>
      <c r="AN57" s="1139"/>
      <c r="AO57" s="1139"/>
      <c r="AP57" s="1139"/>
      <c r="AQ57" s="1139"/>
      <c r="AR57" s="59"/>
      <c r="AU57" s="1108"/>
      <c r="AV57" s="1108"/>
      <c r="AW57" s="1194"/>
      <c r="AX57" s="1075"/>
      <c r="AY57" s="1104"/>
      <c r="AZ57" s="1104"/>
      <c r="BA57" s="1104"/>
      <c r="BB57" s="1104"/>
      <c r="BC57" s="1104"/>
      <c r="BD57" s="1192"/>
      <c r="BE57" s="1104"/>
      <c r="BH57" s="1002"/>
    </row>
    <row r="58" spans="2:60" ht="15.95" hidden="1" customHeight="1">
      <c r="B58" s="929">
        <v>22</v>
      </c>
      <c r="C58" s="1093"/>
      <c r="D58" s="1093"/>
      <c r="E58" s="1093"/>
      <c r="F58" s="1093"/>
      <c r="G58" s="1093"/>
      <c r="H58" s="1093"/>
      <c r="I58" s="1093"/>
      <c r="J58" s="1093"/>
      <c r="K58" s="1093"/>
      <c r="L58" s="871"/>
      <c r="M58" s="872"/>
      <c r="N58" s="872"/>
      <c r="O58" s="873"/>
      <c r="P58" s="851"/>
      <c r="Q58" s="852"/>
      <c r="R58" s="1114"/>
      <c r="S58" s="1205"/>
      <c r="T58" s="1185"/>
      <c r="U58" s="872"/>
      <c r="V58" s="872"/>
      <c r="W58" s="873"/>
      <c r="X58" s="1083"/>
      <c r="Y58" s="1083"/>
      <c r="Z58" s="1186"/>
      <c r="AA58" s="1186"/>
      <c r="AB58" s="1173" t="str">
        <f t="shared" ref="AB58" si="155">IF(C58="New Construction","Incremental","")</f>
        <v/>
      </c>
      <c r="AC58" s="1173"/>
      <c r="AD58" s="874"/>
      <c r="AE58" s="1097"/>
      <c r="AF58" s="1201" t="str">
        <f t="shared" ref="AF58" si="156">IF(AB58="Incremental",0,"")</f>
        <v/>
      </c>
      <c r="AG58" s="1202"/>
      <c r="AH58" s="870" t="str">
        <f t="shared" ref="AH58" si="157">IF(OR(C58="",F58="",L58="",P58="",R58="",T58="",X58="",Z58="",AD58="",AF58=""),"",ROUND(AD58+AF58,2))</f>
        <v/>
      </c>
      <c r="AI58" s="1102"/>
      <c r="AJ58" s="1102"/>
      <c r="AK58" s="1111" t="str">
        <f t="shared" ref="AK58" si="158">IF(OR(C58="",F58="",F58="",L58="",P58="",R58="",T58="",X58="",Z58="",AB58="",AD58="",AF58=""),"",IF((P58*R58)-(X58*Z58)&lt;=0,0,ROUND((P58*R58)-(X58*Z58),2)))</f>
        <v/>
      </c>
      <c r="AL58" s="1111"/>
      <c r="AM58" s="1111"/>
      <c r="AN58" s="1138" t="str">
        <f t="shared" ref="AN58" si="159">IF(OR(C58="",F58="",F58="",L58="",P58="",R58="",T58="",X58="",Z58="",AB58="",AD58="",AF58=""),"",IF(BE58&lt;&gt;"",BE58,IF(C58="Custom",AY58,IF(C58="New Construction",AZ58,IF(C58="RCx",BA58)))))</f>
        <v/>
      </c>
      <c r="AO58" s="1138"/>
      <c r="AP58" s="1138"/>
      <c r="AQ58" s="1138"/>
      <c r="AR58" s="59"/>
      <c r="AU58" s="1109" t="str">
        <f>IF(F58="","",INDEX(CUSTNONLIGHTEUNIT,MATCH(F58,PROGRAMECAT[Category 1],0)))</f>
        <v/>
      </c>
      <c r="AV58" s="1109" t="str">
        <f>IF(OR(C58="",F58="",L58="",P58="",R58="",T58="",X58="",Z58="",AB58="",AD58="",AF58=""),"",((1+ELOSS)*((AK58*INDEX(ELECCB[NPV AEC $/kWh],MATCH(BB58,ELECCB[Year Number],1)))+(AX58*INDEX(ELECCB[NPV ACC+T&amp;D $/kW],MATCH(BB58,ELECCB[Year Number],1)))))/AH58)</f>
        <v/>
      </c>
      <c r="AW58" s="1193"/>
      <c r="AX58" s="1195" t="str">
        <f>IF(OR(C58="",F58="",L58="",P58="",R58="",T58="",X58="",Z58="",AB58="",AD58="",AF58=""),"",ROUND(AW58*(INDEX(PROGRAMECAT[Lighting Coincidence Factor],MATCH(F58,PROGRAMECAT[Category 1],0))),3))</f>
        <v/>
      </c>
      <c r="AY58" s="1188" t="str">
        <f>IF(OR(C58="",F58="",F58="",L58="",P58="",R58="",T58="",X58="",Z58="",AB58="",AD58="",AF58=""),"",IF(AB58="Total",ROUND(MIN(AH58*0.75,AK58*INDEX(INCRATE[Electric],MATCH("CMNONLIGHT",INCRATE[Incentive Type]))),2),IF(AB58="Incremental",ROUND(MIN(AH58,AK58*INDEX(INCRATE[Electric],MATCH("CMNONLIGHT",INCRATE[Incentive Type]))),2))))</f>
        <v/>
      </c>
      <c r="AZ58" s="1188" t="str">
        <f>IF(OR(C58="",F58="",F58="",L58="",P58="",R58="",T58="",X58="",Z58="",AB58="",AD58="",AF58=""),"",IF(AB58="Total",ROUND(MIN(AH58*0.75,AK58*INDEX(INCRATE[Electric],MATCH("NCNONLIGHT",INCRATE[Incentive Type]))),2),IF(AB58="Incremental",ROUND(MIN(AH58,AK58*INDEX(INCRATE[Electric],MATCH("NCNONLIGHT",INCRATE[Incentive Type]))),2))))</f>
        <v/>
      </c>
      <c r="BA58" s="1188" t="str">
        <f>IF(OR(C58="",F58="",F58="",L58="",P58="",R58="",T58="",X58="",Z58="",AB58="",AD58="",AF58=""),"",IF(AB58="Total",ROUND(MIN(AH58*0.75,AK58*INDEX(INCRATE[Electric],MATCH("RCX",INCRATE[Incentive Type]))),2),IF(AB58="Incremental",ROUND(MIN(AH58,AK58*INDEX(INCRATE[Electric],MATCH("RCX",INCRATE[Incentive Type]))),2))))</f>
        <v/>
      </c>
      <c r="BB58" s="1103" t="str">
        <f>IF(F58="","",INDEX(PROGRAMECAT[EUL],MATCH(F58,PROGRAMECAT[Category 1],0)))</f>
        <v/>
      </c>
      <c r="BC58" s="1103" t="str">
        <f>IFERROR(AH58/M02S02F35/AK58,"")</f>
        <v/>
      </c>
      <c r="BD58" s="1198" t="str">
        <f>IF(OR(C58="",F58="",L58="",P58="",R58="",T58="",X58="",Z58="",AB58="",AD58="",AF58=""),"",IF(ISNUMBER(AN58),INDEX(PROGRAMECAT[Measure Number],MATCH(F58,PROGRAMECAT[Category 1],0)),IF(AK58=0,"","000001")))</f>
        <v/>
      </c>
      <c r="BE58" s="1103" t="str">
        <f>IFERROR(IF((P58*R58)-(X58*Z58)&lt;=0,MEASURESAV,IF(M02S02F35="",MEASURERATE,IF(OR(F58="Others (Incremental)",F58="Others"),MEASURESUBMIT, IF(BC58&lt;1,MEASUREPAY,IF(AV58&lt;1,MEASURECB,""))))),MEASURESUBMIT)</f>
        <v>Submit for Review</v>
      </c>
      <c r="BH58" s="1001" t="str">
        <f ca="1">IF(OR(C58="",F58="",F58="",L58="",P58="",R58="",T58="",X58="",Z58="",AB58="",AD58="",AF58=""),"",IF('M01-S01'!$V$82&lt;TODAY(),0,IF(M02S02F46="Gas Only",0,IF(OR(AK58="",AK58&lt;0,AH58&lt;=AN58),0,MIN(AH58-AN58,ROUND(IF(OR(ISNUMBER(SEARCH("Compressed Air",F58)),ISNUMBER(SEARCH("T8",F58)),ISNUMBER(SEARCH("T5",F58)),ISNUMBER(SEARCH("MH",F58)),ISNUMBER(SEARCH("HPS",F58)),ISNUMBER(SEARCH("MV",F58))),AN58*0.2),2))))))</f>
        <v/>
      </c>
    </row>
    <row r="59" spans="2:60" ht="15.95" hidden="1" customHeight="1">
      <c r="B59" s="929"/>
      <c r="C59" s="1094"/>
      <c r="D59" s="1094"/>
      <c r="E59" s="1094"/>
      <c r="F59" s="1094"/>
      <c r="G59" s="1094"/>
      <c r="H59" s="1094"/>
      <c r="I59" s="1094"/>
      <c r="J59" s="1094"/>
      <c r="K59" s="1094"/>
      <c r="L59" s="840"/>
      <c r="M59" s="841"/>
      <c r="N59" s="841"/>
      <c r="O59" s="842"/>
      <c r="P59" s="853"/>
      <c r="Q59" s="854"/>
      <c r="R59" s="1116"/>
      <c r="S59" s="1206"/>
      <c r="T59" s="848"/>
      <c r="U59" s="841"/>
      <c r="V59" s="841"/>
      <c r="W59" s="842"/>
      <c r="X59" s="1084"/>
      <c r="Y59" s="1084"/>
      <c r="Z59" s="1187"/>
      <c r="AA59" s="1187"/>
      <c r="AB59" s="1174"/>
      <c r="AC59" s="1174"/>
      <c r="AD59" s="875"/>
      <c r="AE59" s="1098"/>
      <c r="AF59" s="1203"/>
      <c r="AG59" s="1204"/>
      <c r="AH59" s="1136"/>
      <c r="AI59" s="1137"/>
      <c r="AJ59" s="1137"/>
      <c r="AK59" s="1149"/>
      <c r="AL59" s="1149"/>
      <c r="AM59" s="1149"/>
      <c r="AN59" s="1139"/>
      <c r="AO59" s="1139"/>
      <c r="AP59" s="1139"/>
      <c r="AQ59" s="1139"/>
      <c r="AR59" s="59"/>
      <c r="AU59" s="1108"/>
      <c r="AV59" s="1108"/>
      <c r="AW59" s="1194"/>
      <c r="AX59" s="1075"/>
      <c r="AY59" s="1104"/>
      <c r="AZ59" s="1104"/>
      <c r="BA59" s="1104"/>
      <c r="BB59" s="1104"/>
      <c r="BC59" s="1104"/>
      <c r="BD59" s="1192"/>
      <c r="BE59" s="1104"/>
      <c r="BH59" s="1002"/>
    </row>
    <row r="60" spans="2:60" ht="15.95" hidden="1" customHeight="1">
      <c r="B60" s="929">
        <v>23</v>
      </c>
      <c r="C60" s="1093"/>
      <c r="D60" s="1093"/>
      <c r="E60" s="1093"/>
      <c r="F60" s="1093"/>
      <c r="G60" s="1093"/>
      <c r="H60" s="1093"/>
      <c r="I60" s="1093"/>
      <c r="J60" s="1093"/>
      <c r="K60" s="1093"/>
      <c r="L60" s="871"/>
      <c r="M60" s="872"/>
      <c r="N60" s="872"/>
      <c r="O60" s="873"/>
      <c r="P60" s="851"/>
      <c r="Q60" s="852"/>
      <c r="R60" s="1114"/>
      <c r="S60" s="1205"/>
      <c r="T60" s="1185"/>
      <c r="U60" s="872"/>
      <c r="V60" s="872"/>
      <c r="W60" s="873"/>
      <c r="X60" s="1083"/>
      <c r="Y60" s="1083"/>
      <c r="Z60" s="1186"/>
      <c r="AA60" s="1186"/>
      <c r="AB60" s="1173" t="str">
        <f t="shared" ref="AB60" si="160">IF(C60="New Construction","Incremental","")</f>
        <v/>
      </c>
      <c r="AC60" s="1173"/>
      <c r="AD60" s="874"/>
      <c r="AE60" s="1097"/>
      <c r="AF60" s="1201" t="str">
        <f t="shared" ref="AF60" si="161">IF(AB60="Incremental",0,"")</f>
        <v/>
      </c>
      <c r="AG60" s="1202"/>
      <c r="AH60" s="870" t="str">
        <f t="shared" ref="AH60" si="162">IF(OR(C60="",F60="",L60="",P60="",R60="",T60="",X60="",Z60="",AD60="",AF60=""),"",ROUND(AD60+AF60,2))</f>
        <v/>
      </c>
      <c r="AI60" s="1102"/>
      <c r="AJ60" s="1102"/>
      <c r="AK60" s="1111" t="str">
        <f t="shared" ref="AK60" si="163">IF(OR(C60="",F60="",F60="",L60="",P60="",R60="",T60="",X60="",Z60="",AB60="",AD60="",AF60=""),"",IF((P60*R60)-(X60*Z60)&lt;=0,0,ROUND((P60*R60)-(X60*Z60),2)))</f>
        <v/>
      </c>
      <c r="AL60" s="1111"/>
      <c r="AM60" s="1111"/>
      <c r="AN60" s="1138" t="str">
        <f t="shared" ref="AN60" si="164">IF(OR(C60="",F60="",F60="",L60="",P60="",R60="",T60="",X60="",Z60="",AB60="",AD60="",AF60=""),"",IF(BE60&lt;&gt;"",BE60,IF(C60="Custom",AY60,IF(C60="New Construction",AZ60,IF(C60="RCx",BA60)))))</f>
        <v/>
      </c>
      <c r="AO60" s="1138"/>
      <c r="AP60" s="1138"/>
      <c r="AQ60" s="1138"/>
      <c r="AR60" s="59"/>
      <c r="AU60" s="1109" t="str">
        <f>IF(F60="","",INDEX(CUSTNONLIGHTEUNIT,MATCH(F60,PROGRAMECAT[Category 1],0)))</f>
        <v/>
      </c>
      <c r="AV60" s="1109" t="str">
        <f>IF(OR(C60="",F60="",L60="",P60="",R60="",T60="",X60="",Z60="",AB60="",AD60="",AF60=""),"",((1+ELOSS)*((AK60*INDEX(ELECCB[NPV AEC $/kWh],MATCH(BB60,ELECCB[Year Number],1)))+(AX60*INDEX(ELECCB[NPV ACC+T&amp;D $/kW],MATCH(BB60,ELECCB[Year Number],1)))))/AH60)</f>
        <v/>
      </c>
      <c r="AW60" s="1193"/>
      <c r="AX60" s="1195" t="str">
        <f>IF(OR(C60="",F60="",L60="",P60="",R60="",T60="",X60="",Z60="",AB60="",AD60="",AF60=""),"",ROUND(AW60*(INDEX(PROGRAMECAT[Lighting Coincidence Factor],MATCH(F60,PROGRAMECAT[Category 1],0))),3))</f>
        <v/>
      </c>
      <c r="AY60" s="1188" t="str">
        <f>IF(OR(C60="",F60="",F60="",L60="",P60="",R60="",T60="",X60="",Z60="",AB60="",AD60="",AF60=""),"",IF(AB60="Total",ROUND(MIN(AH60*0.75,AK60*INDEX(INCRATE[Electric],MATCH("CMNONLIGHT",INCRATE[Incentive Type]))),2),IF(AB60="Incremental",ROUND(MIN(AH60,AK60*INDEX(INCRATE[Electric],MATCH("CMNONLIGHT",INCRATE[Incentive Type]))),2))))</f>
        <v/>
      </c>
      <c r="AZ60" s="1188" t="str">
        <f>IF(OR(C60="",F60="",F60="",L60="",P60="",R60="",T60="",X60="",Z60="",AB60="",AD60="",AF60=""),"",IF(AB60="Total",ROUND(MIN(AH60*0.75,AK60*INDEX(INCRATE[Electric],MATCH("NCNONLIGHT",INCRATE[Incentive Type]))),2),IF(AB60="Incremental",ROUND(MIN(AH60,AK60*INDEX(INCRATE[Electric],MATCH("NCNONLIGHT",INCRATE[Incentive Type]))),2))))</f>
        <v/>
      </c>
      <c r="BA60" s="1188" t="str">
        <f>IF(OR(C60="",F60="",F60="",L60="",P60="",R60="",T60="",X60="",Z60="",AB60="",AD60="",AF60=""),"",IF(AB60="Total",ROUND(MIN(AH60*0.75,AK60*INDEX(INCRATE[Electric],MATCH("RCX",INCRATE[Incentive Type]))),2),IF(AB60="Incremental",ROUND(MIN(AH60,AK60*INDEX(INCRATE[Electric],MATCH("RCX",INCRATE[Incentive Type]))),2))))</f>
        <v/>
      </c>
      <c r="BB60" s="1103" t="str">
        <f>IF(F60="","",INDEX(PROGRAMECAT[EUL],MATCH(F60,PROGRAMECAT[Category 1],0)))</f>
        <v/>
      </c>
      <c r="BC60" s="1103" t="str">
        <f>IFERROR(AH60/M02S02F35/AK60,"")</f>
        <v/>
      </c>
      <c r="BD60" s="1198" t="str">
        <f>IF(OR(C60="",F60="",L60="",P60="",R60="",T60="",X60="",Z60="",AB60="",AD60="",AF60=""),"",IF(ISNUMBER(AN60),INDEX(PROGRAMECAT[Measure Number],MATCH(F60,PROGRAMECAT[Category 1],0)),IF(AK60=0,"","000001")))</f>
        <v/>
      </c>
      <c r="BE60" s="1103" t="str">
        <f>IFERROR(IF((P60*R60)-(X60*Z60)&lt;=0,MEASURESAV,IF(M02S02F35="",MEASURERATE,IF(OR(F60="Others (Incremental)",F60="Others"),MEASURESUBMIT, IF(BC60&lt;1,MEASUREPAY,IF(AV60&lt;1,MEASURECB,""))))),MEASURESUBMIT)</f>
        <v>Submit for Review</v>
      </c>
      <c r="BH60" s="1001" t="str">
        <f ca="1">IF(OR(C60="",F60="",F60="",L60="",P60="",R60="",T60="",X60="",Z60="",AB60="",AD60="",AF60=""),"",IF('M01-S01'!$V$82&lt;TODAY(),0,IF(M02S02F46="Gas Only",0,IF(OR(AK60="",AK60&lt;0,AH60&lt;=AN60),0,MIN(AH60-AN60,ROUND(IF(OR(ISNUMBER(SEARCH("Compressed Air",F60)),ISNUMBER(SEARCH("T8",F60)),ISNUMBER(SEARCH("T5",F60)),ISNUMBER(SEARCH("MH",F60)),ISNUMBER(SEARCH("HPS",F60)),ISNUMBER(SEARCH("MV",F60))),AN60*0.2),2))))))</f>
        <v/>
      </c>
    </row>
    <row r="61" spans="2:60" ht="15.95" hidden="1" customHeight="1">
      <c r="B61" s="929"/>
      <c r="C61" s="1094"/>
      <c r="D61" s="1094"/>
      <c r="E61" s="1094"/>
      <c r="F61" s="1094"/>
      <c r="G61" s="1094"/>
      <c r="H61" s="1094"/>
      <c r="I61" s="1094"/>
      <c r="J61" s="1094"/>
      <c r="K61" s="1094"/>
      <c r="L61" s="840"/>
      <c r="M61" s="841"/>
      <c r="N61" s="841"/>
      <c r="O61" s="842"/>
      <c r="P61" s="853"/>
      <c r="Q61" s="854"/>
      <c r="R61" s="1116"/>
      <c r="S61" s="1206"/>
      <c r="T61" s="848"/>
      <c r="U61" s="841"/>
      <c r="V61" s="841"/>
      <c r="W61" s="842"/>
      <c r="X61" s="1084"/>
      <c r="Y61" s="1084"/>
      <c r="Z61" s="1187"/>
      <c r="AA61" s="1187"/>
      <c r="AB61" s="1174"/>
      <c r="AC61" s="1174"/>
      <c r="AD61" s="875"/>
      <c r="AE61" s="1098"/>
      <c r="AF61" s="1203"/>
      <c r="AG61" s="1204"/>
      <c r="AH61" s="1136"/>
      <c r="AI61" s="1137"/>
      <c r="AJ61" s="1137"/>
      <c r="AK61" s="1149"/>
      <c r="AL61" s="1149"/>
      <c r="AM61" s="1149"/>
      <c r="AN61" s="1139"/>
      <c r="AO61" s="1139"/>
      <c r="AP61" s="1139"/>
      <c r="AQ61" s="1139"/>
      <c r="AR61" s="59"/>
      <c r="AU61" s="1108"/>
      <c r="AV61" s="1108"/>
      <c r="AW61" s="1194"/>
      <c r="AX61" s="1075"/>
      <c r="AY61" s="1104"/>
      <c r="AZ61" s="1104"/>
      <c r="BA61" s="1104"/>
      <c r="BB61" s="1104"/>
      <c r="BC61" s="1104"/>
      <c r="BD61" s="1192"/>
      <c r="BE61" s="1104"/>
      <c r="BH61" s="1002"/>
    </row>
    <row r="62" spans="2:60" ht="15.95" hidden="1" customHeight="1">
      <c r="B62" s="929">
        <v>24</v>
      </c>
      <c r="C62" s="1093"/>
      <c r="D62" s="1093"/>
      <c r="E62" s="1093"/>
      <c r="F62" s="1093"/>
      <c r="G62" s="1093"/>
      <c r="H62" s="1093"/>
      <c r="I62" s="1093"/>
      <c r="J62" s="1093"/>
      <c r="K62" s="1093"/>
      <c r="L62" s="871"/>
      <c r="M62" s="872"/>
      <c r="N62" s="872"/>
      <c r="O62" s="873"/>
      <c r="P62" s="851"/>
      <c r="Q62" s="852"/>
      <c r="R62" s="1114"/>
      <c r="S62" s="1205"/>
      <c r="T62" s="1185"/>
      <c r="U62" s="872"/>
      <c r="V62" s="872"/>
      <c r="W62" s="873"/>
      <c r="X62" s="1083"/>
      <c r="Y62" s="1083"/>
      <c r="Z62" s="1186"/>
      <c r="AA62" s="1186"/>
      <c r="AB62" s="1173" t="str">
        <f t="shared" ref="AB62" si="165">IF(C62="New Construction","Incremental","")</f>
        <v/>
      </c>
      <c r="AC62" s="1173"/>
      <c r="AD62" s="874"/>
      <c r="AE62" s="1097"/>
      <c r="AF62" s="1201" t="str">
        <f t="shared" ref="AF62" si="166">IF(AB62="Incremental",0,"")</f>
        <v/>
      </c>
      <c r="AG62" s="1202"/>
      <c r="AH62" s="870" t="str">
        <f t="shared" ref="AH62" si="167">IF(OR(C62="",F62="",L62="",P62="",R62="",T62="",X62="",Z62="",AD62="",AF62=""),"",ROUND(AD62+AF62,2))</f>
        <v/>
      </c>
      <c r="AI62" s="1102"/>
      <c r="AJ62" s="1102"/>
      <c r="AK62" s="1111" t="str">
        <f t="shared" ref="AK62" si="168">IF(OR(C62="",F62="",F62="",L62="",P62="",R62="",T62="",X62="",Z62="",AB62="",AD62="",AF62=""),"",IF((P62*R62)-(X62*Z62)&lt;=0,0,ROUND((P62*R62)-(X62*Z62),2)))</f>
        <v/>
      </c>
      <c r="AL62" s="1111"/>
      <c r="AM62" s="1111"/>
      <c r="AN62" s="1138" t="str">
        <f t="shared" ref="AN62" si="169">IF(OR(C62="",F62="",F62="",L62="",P62="",R62="",T62="",X62="",Z62="",AB62="",AD62="",AF62=""),"",IF(BE62&lt;&gt;"",BE62,IF(C62="Custom",AY62,IF(C62="New Construction",AZ62,IF(C62="RCx",BA62)))))</f>
        <v/>
      </c>
      <c r="AO62" s="1138"/>
      <c r="AP62" s="1138"/>
      <c r="AQ62" s="1138"/>
      <c r="AR62" s="59"/>
      <c r="AU62" s="1109" t="str">
        <f>IF(F62="","",INDEX(CUSTNONLIGHTEUNIT,MATCH(F62,PROGRAMECAT[Category 1],0)))</f>
        <v/>
      </c>
      <c r="AV62" s="1109" t="str">
        <f>IF(OR(C62="",F62="",L62="",P62="",R62="",T62="",X62="",Z62="",AB62="",AD62="",AF62=""),"",((1+ELOSS)*((AK62*INDEX(ELECCB[NPV AEC $/kWh],MATCH(BB62,ELECCB[Year Number],1)))+(AX62*INDEX(ELECCB[NPV ACC+T&amp;D $/kW],MATCH(BB62,ELECCB[Year Number],1)))))/AH62)</f>
        <v/>
      </c>
      <c r="AW62" s="1193"/>
      <c r="AX62" s="1195" t="str">
        <f>IF(OR(C62="",F62="",L62="",P62="",R62="",T62="",X62="",Z62="",AB62="",AD62="",AF62=""),"",ROUND(AW62*(INDEX(PROGRAMECAT[Lighting Coincidence Factor],MATCH(F62,PROGRAMECAT[Category 1],0))),3))</f>
        <v/>
      </c>
      <c r="AY62" s="1188" t="str">
        <f>IF(OR(C62="",F62="",F62="",L62="",P62="",R62="",T62="",X62="",Z62="",AB62="",AD62="",AF62=""),"",IF(AB62="Total",ROUND(MIN(AH62*0.75,AK62*INDEX(INCRATE[Electric],MATCH("CMNONLIGHT",INCRATE[Incentive Type]))),2),IF(AB62="Incremental",ROUND(MIN(AH62,AK62*INDEX(INCRATE[Electric],MATCH("CMNONLIGHT",INCRATE[Incentive Type]))),2))))</f>
        <v/>
      </c>
      <c r="AZ62" s="1188" t="str">
        <f>IF(OR(C62="",F62="",F62="",L62="",P62="",R62="",T62="",X62="",Z62="",AB62="",AD62="",AF62=""),"",IF(AB62="Total",ROUND(MIN(AH62*0.75,AK62*INDEX(INCRATE[Electric],MATCH("NCNONLIGHT",INCRATE[Incentive Type]))),2),IF(AB62="Incremental",ROUND(MIN(AH62,AK62*INDEX(INCRATE[Electric],MATCH("NCNONLIGHT",INCRATE[Incentive Type]))),2))))</f>
        <v/>
      </c>
      <c r="BA62" s="1188" t="str">
        <f>IF(OR(C62="",F62="",F62="",L62="",P62="",R62="",T62="",X62="",Z62="",AB62="",AD62="",AF62=""),"",IF(AB62="Total",ROUND(MIN(AH62*0.75,AK62*INDEX(INCRATE[Electric],MATCH("RCX",INCRATE[Incentive Type]))),2),IF(AB62="Incremental",ROUND(MIN(AH62,AK62*INDEX(INCRATE[Electric],MATCH("RCX",INCRATE[Incentive Type]))),2))))</f>
        <v/>
      </c>
      <c r="BB62" s="1103" t="str">
        <f>IF(F62="","",INDEX(PROGRAMECAT[EUL],MATCH(F62,PROGRAMECAT[Category 1],0)))</f>
        <v/>
      </c>
      <c r="BC62" s="1103" t="str">
        <f>IFERROR(AH62/M02S02F35/AK62,"")</f>
        <v/>
      </c>
      <c r="BD62" s="1198" t="str">
        <f>IF(OR(C62="",F62="",L62="",P62="",R62="",T62="",X62="",Z62="",AB62="",AD62="",AF62=""),"",IF(ISNUMBER(AN62),INDEX(PROGRAMECAT[Measure Number],MATCH(F62,PROGRAMECAT[Category 1],0)),IF(AK62=0,"","000001")))</f>
        <v/>
      </c>
      <c r="BE62" s="1103" t="str">
        <f>IFERROR(IF((P62*R62)-(X62*Z62)&lt;=0,MEASURESAV,IF(M02S02F35="",MEASURERATE,IF(OR(F62="Others (Incremental)",F62="Others"),MEASURESUBMIT, IF(BC62&lt;1,MEASUREPAY,IF(AV62&lt;1,MEASURECB,""))))),MEASURESUBMIT)</f>
        <v>Submit for Review</v>
      </c>
      <c r="BH62" s="1001" t="str">
        <f ca="1">IF(OR(C62="",F62="",F62="",L62="",P62="",R62="",T62="",X62="",Z62="",AB62="",AD62="",AF62=""),"",IF('M01-S01'!$V$82&lt;TODAY(),0,IF(M02S02F46="Gas Only",0,IF(OR(AK62="",AK62&lt;0,AH62&lt;=AN62),0,MIN(AH62-AN62,ROUND(IF(OR(ISNUMBER(SEARCH("Compressed Air",F62)),ISNUMBER(SEARCH("T8",F62)),ISNUMBER(SEARCH("T5",F62)),ISNUMBER(SEARCH("MH",F62)),ISNUMBER(SEARCH("HPS",F62)),ISNUMBER(SEARCH("MV",F62))),AN62*0.2),2))))))</f>
        <v/>
      </c>
    </row>
    <row r="63" spans="2:60" ht="15.95" hidden="1" customHeight="1">
      <c r="B63" s="929"/>
      <c r="C63" s="1094"/>
      <c r="D63" s="1094"/>
      <c r="E63" s="1094"/>
      <c r="F63" s="1094"/>
      <c r="G63" s="1094"/>
      <c r="H63" s="1094"/>
      <c r="I63" s="1094"/>
      <c r="J63" s="1094"/>
      <c r="K63" s="1094"/>
      <c r="L63" s="840"/>
      <c r="M63" s="841"/>
      <c r="N63" s="841"/>
      <c r="O63" s="842"/>
      <c r="P63" s="853"/>
      <c r="Q63" s="854"/>
      <c r="R63" s="1116"/>
      <c r="S63" s="1206"/>
      <c r="T63" s="848"/>
      <c r="U63" s="841"/>
      <c r="V63" s="841"/>
      <c r="W63" s="842"/>
      <c r="X63" s="1084"/>
      <c r="Y63" s="1084"/>
      <c r="Z63" s="1187"/>
      <c r="AA63" s="1187"/>
      <c r="AB63" s="1174"/>
      <c r="AC63" s="1174"/>
      <c r="AD63" s="875"/>
      <c r="AE63" s="1098"/>
      <c r="AF63" s="1203"/>
      <c r="AG63" s="1204"/>
      <c r="AH63" s="1136"/>
      <c r="AI63" s="1137"/>
      <c r="AJ63" s="1137"/>
      <c r="AK63" s="1149"/>
      <c r="AL63" s="1149"/>
      <c r="AM63" s="1149"/>
      <c r="AN63" s="1139"/>
      <c r="AO63" s="1139"/>
      <c r="AP63" s="1139"/>
      <c r="AQ63" s="1139"/>
      <c r="AR63" s="59"/>
      <c r="AU63" s="1108"/>
      <c r="AV63" s="1108"/>
      <c r="AW63" s="1194"/>
      <c r="AX63" s="1075"/>
      <c r="AY63" s="1104"/>
      <c r="AZ63" s="1104"/>
      <c r="BA63" s="1104"/>
      <c r="BB63" s="1104"/>
      <c r="BC63" s="1104"/>
      <c r="BD63" s="1192"/>
      <c r="BE63" s="1104"/>
      <c r="BH63" s="1002"/>
    </row>
    <row r="64" spans="2:60" ht="15.95" hidden="1" customHeight="1">
      <c r="B64" s="929">
        <v>25</v>
      </c>
      <c r="C64" s="1093"/>
      <c r="D64" s="1093"/>
      <c r="E64" s="1093"/>
      <c r="F64" s="1093"/>
      <c r="G64" s="1093"/>
      <c r="H64" s="1093"/>
      <c r="I64" s="1093"/>
      <c r="J64" s="1093"/>
      <c r="K64" s="1093"/>
      <c r="L64" s="871"/>
      <c r="M64" s="872"/>
      <c r="N64" s="872"/>
      <c r="O64" s="873"/>
      <c r="P64" s="851"/>
      <c r="Q64" s="852"/>
      <c r="R64" s="1114"/>
      <c r="S64" s="1205"/>
      <c r="T64" s="1185"/>
      <c r="U64" s="872"/>
      <c r="V64" s="872"/>
      <c r="W64" s="873"/>
      <c r="X64" s="1083"/>
      <c r="Y64" s="1083"/>
      <c r="Z64" s="1186"/>
      <c r="AA64" s="1186"/>
      <c r="AB64" s="1173" t="str">
        <f t="shared" ref="AB64" si="170">IF(C64="New Construction","Incremental","")</f>
        <v/>
      </c>
      <c r="AC64" s="1173"/>
      <c r="AD64" s="874"/>
      <c r="AE64" s="1097"/>
      <c r="AF64" s="1201" t="str">
        <f t="shared" ref="AF64" si="171">IF(AB64="Incremental",0,"")</f>
        <v/>
      </c>
      <c r="AG64" s="1202"/>
      <c r="AH64" s="870" t="str">
        <f t="shared" ref="AH64" si="172">IF(OR(C64="",F64="",L64="",P64="",R64="",T64="",X64="",Z64="",AD64="",AF64=""),"",ROUND(AD64+AF64,2))</f>
        <v/>
      </c>
      <c r="AI64" s="1102"/>
      <c r="AJ64" s="1102"/>
      <c r="AK64" s="1111" t="str">
        <f t="shared" ref="AK64" si="173">IF(OR(C64="",F64="",F64="",L64="",P64="",R64="",T64="",X64="",Z64="",AB64="",AD64="",AF64=""),"",IF((P64*R64)-(X64*Z64)&lt;=0,0,ROUND((P64*R64)-(X64*Z64),2)))</f>
        <v/>
      </c>
      <c r="AL64" s="1111"/>
      <c r="AM64" s="1111"/>
      <c r="AN64" s="1138" t="str">
        <f t="shared" ref="AN64" si="174">IF(OR(C64="",F64="",F64="",L64="",P64="",R64="",T64="",X64="",Z64="",AB64="",AD64="",AF64=""),"",IF(BE64&lt;&gt;"",BE64,IF(C64="Custom",AY64,IF(C64="New Construction",AZ64,IF(C64="RCx",BA64)))))</f>
        <v/>
      </c>
      <c r="AO64" s="1138"/>
      <c r="AP64" s="1138"/>
      <c r="AQ64" s="1138"/>
      <c r="AR64" s="59"/>
      <c r="AU64" s="1109" t="str">
        <f>IF(F64="","",INDEX(CUSTNONLIGHTEUNIT,MATCH(F64,PROGRAMECAT[Category 1],0)))</f>
        <v/>
      </c>
      <c r="AV64" s="1109" t="str">
        <f>IF(OR(C64="",F64="",L64="",P64="",R64="",T64="",X64="",Z64="",AB64="",AD64="",AF64=""),"",((1+ELOSS)*((AK64*INDEX(ELECCB[NPV AEC $/kWh],MATCH(BB64,ELECCB[Year Number],1)))+(AX64*INDEX(ELECCB[NPV ACC+T&amp;D $/kW],MATCH(BB64,ELECCB[Year Number],1)))))/AH64)</f>
        <v/>
      </c>
      <c r="AW64" s="1193"/>
      <c r="AX64" s="1195" t="str">
        <f>IF(OR(C64="",F64="",L64="",P64="",R64="",T64="",X64="",Z64="",AB64="",AD64="",AF64=""),"",ROUND(AW64*(INDEX(PROGRAMECAT[Lighting Coincidence Factor],MATCH(F64,PROGRAMECAT[Category 1],0))),3))</f>
        <v/>
      </c>
      <c r="AY64" s="1188" t="str">
        <f>IF(OR(C64="",F64="",F64="",L64="",P64="",R64="",T64="",X64="",Z64="",AB64="",AD64="",AF64=""),"",IF(AB64="Total",ROUND(MIN(AH64*0.75,AK64*INDEX(INCRATE[Electric],MATCH("CMNONLIGHT",INCRATE[Incentive Type]))),2),IF(AB64="Incremental",ROUND(MIN(AH64,AK64*INDEX(INCRATE[Electric],MATCH("CMNONLIGHT",INCRATE[Incentive Type]))),2))))</f>
        <v/>
      </c>
      <c r="AZ64" s="1188" t="str">
        <f>IF(OR(C64="",F64="",F64="",L64="",P64="",R64="",T64="",X64="",Z64="",AB64="",AD64="",AF64=""),"",IF(AB64="Total",ROUND(MIN(AH64*0.75,AK64*INDEX(INCRATE[Electric],MATCH("NCNONLIGHT",INCRATE[Incentive Type]))),2),IF(AB64="Incremental",ROUND(MIN(AH64,AK64*INDEX(INCRATE[Electric],MATCH("NCNONLIGHT",INCRATE[Incentive Type]))),2))))</f>
        <v/>
      </c>
      <c r="BA64" s="1188" t="str">
        <f>IF(OR(C64="",F64="",F64="",L64="",P64="",R64="",T64="",X64="",Z64="",AB64="",AD64="",AF64=""),"",IF(AB64="Total",ROUND(MIN(AH64*0.75,AK64*INDEX(INCRATE[Electric],MATCH("RCX",INCRATE[Incentive Type]))),2),IF(AB64="Incremental",ROUND(MIN(AH64,AK64*INDEX(INCRATE[Electric],MATCH("RCX",INCRATE[Incentive Type]))),2))))</f>
        <v/>
      </c>
      <c r="BB64" s="1103" t="str">
        <f>IF(F64="","",INDEX(PROGRAMECAT[EUL],MATCH(F64,PROGRAMECAT[Category 1],0)))</f>
        <v/>
      </c>
      <c r="BC64" s="1103" t="str">
        <f>IFERROR(AH64/M02S02F35/AK64,"")</f>
        <v/>
      </c>
      <c r="BD64" s="1198" t="str">
        <f>IF(OR(C64="",F64="",L64="",P64="",R64="",T64="",X64="",Z64="",AB64="",AD64="",AF64=""),"",IF(ISNUMBER(AN64),INDEX(PROGRAMECAT[Measure Number],MATCH(F64,PROGRAMECAT[Category 1],0)),IF(AK64=0,"","000001")))</f>
        <v/>
      </c>
      <c r="BE64" s="1103" t="str">
        <f>IFERROR(IF((P64*R64)-(X64*Z64)&lt;=0,MEASURESAV,IF(M02S02F35="",MEASURERATE,IF(OR(F64="Others (Incremental)",F64="Others"),MEASURESUBMIT, IF(BC64&lt;1,MEASUREPAY,IF(AV64&lt;1,MEASURECB,""))))),MEASURESUBMIT)</f>
        <v>Submit for Review</v>
      </c>
      <c r="BH64" s="1001" t="str">
        <f ca="1">IF(OR(C64="",F64="",F64="",L64="",P64="",R64="",T64="",X64="",Z64="",AB64="",AD64="",AF64=""),"",IF('M01-S01'!$V$82&lt;TODAY(),0,IF(M02S02F46="Gas Only",0,IF(OR(AK64="",AK64&lt;0,AH64&lt;=AN64),0,MIN(AH64-AN64,ROUND(IF(OR(ISNUMBER(SEARCH("Compressed Air",F64)),ISNUMBER(SEARCH("T8",F64)),ISNUMBER(SEARCH("T5",F64)),ISNUMBER(SEARCH("MH",F64)),ISNUMBER(SEARCH("HPS",F64)),ISNUMBER(SEARCH("MV",F64))),AN64*0.2),2))))))</f>
        <v/>
      </c>
    </row>
    <row r="65" spans="2:60" ht="15.95" hidden="1" customHeight="1">
      <c r="B65" s="929"/>
      <c r="C65" s="1094"/>
      <c r="D65" s="1094"/>
      <c r="E65" s="1094"/>
      <c r="F65" s="1094"/>
      <c r="G65" s="1094"/>
      <c r="H65" s="1094"/>
      <c r="I65" s="1094"/>
      <c r="J65" s="1094"/>
      <c r="K65" s="1094"/>
      <c r="L65" s="840"/>
      <c r="M65" s="841"/>
      <c r="N65" s="841"/>
      <c r="O65" s="842"/>
      <c r="P65" s="853"/>
      <c r="Q65" s="854"/>
      <c r="R65" s="1116"/>
      <c r="S65" s="1206"/>
      <c r="T65" s="848"/>
      <c r="U65" s="841"/>
      <c r="V65" s="841"/>
      <c r="W65" s="842"/>
      <c r="X65" s="1084"/>
      <c r="Y65" s="1084"/>
      <c r="Z65" s="1187"/>
      <c r="AA65" s="1187"/>
      <c r="AB65" s="1174"/>
      <c r="AC65" s="1174"/>
      <c r="AD65" s="875"/>
      <c r="AE65" s="1098"/>
      <c r="AF65" s="1203"/>
      <c r="AG65" s="1204"/>
      <c r="AH65" s="1136"/>
      <c r="AI65" s="1137"/>
      <c r="AJ65" s="1137"/>
      <c r="AK65" s="1149"/>
      <c r="AL65" s="1149"/>
      <c r="AM65" s="1149"/>
      <c r="AN65" s="1139"/>
      <c r="AO65" s="1139"/>
      <c r="AP65" s="1139"/>
      <c r="AQ65" s="1139"/>
      <c r="AR65" s="59"/>
      <c r="AU65" s="1108"/>
      <c r="AV65" s="1108"/>
      <c r="AW65" s="1194"/>
      <c r="AX65" s="1075"/>
      <c r="AY65" s="1104"/>
      <c r="AZ65" s="1104"/>
      <c r="BA65" s="1104"/>
      <c r="BB65" s="1104"/>
      <c r="BC65" s="1104"/>
      <c r="BD65" s="1192"/>
      <c r="BE65" s="1104"/>
      <c r="BH65" s="1002"/>
    </row>
    <row r="66" spans="2:60" ht="15.95" hidden="1" customHeight="1">
      <c r="B66" s="929">
        <v>26</v>
      </c>
      <c r="C66" s="1093"/>
      <c r="D66" s="1093"/>
      <c r="E66" s="1093"/>
      <c r="F66" s="1093"/>
      <c r="G66" s="1093"/>
      <c r="H66" s="1093"/>
      <c r="I66" s="1093"/>
      <c r="J66" s="1093"/>
      <c r="K66" s="1093"/>
      <c r="L66" s="871"/>
      <c r="M66" s="872"/>
      <c r="N66" s="872"/>
      <c r="O66" s="873"/>
      <c r="P66" s="851"/>
      <c r="Q66" s="852"/>
      <c r="R66" s="1114"/>
      <c r="S66" s="1205"/>
      <c r="T66" s="1185"/>
      <c r="U66" s="872"/>
      <c r="V66" s="872"/>
      <c r="W66" s="873"/>
      <c r="X66" s="1083"/>
      <c r="Y66" s="1083"/>
      <c r="Z66" s="1186"/>
      <c r="AA66" s="1186"/>
      <c r="AB66" s="1173" t="str">
        <f t="shared" ref="AB66" si="175">IF(C66="New Construction","Incremental","")</f>
        <v/>
      </c>
      <c r="AC66" s="1173"/>
      <c r="AD66" s="874"/>
      <c r="AE66" s="1097"/>
      <c r="AF66" s="1201" t="str">
        <f t="shared" ref="AF66" si="176">IF(AB66="Incremental",0,"")</f>
        <v/>
      </c>
      <c r="AG66" s="1202"/>
      <c r="AH66" s="870" t="str">
        <f t="shared" ref="AH66" si="177">IF(OR(C66="",F66="",L66="",P66="",R66="",T66="",X66="",Z66="",AD66="",AF66=""),"",ROUND(AD66+AF66,2))</f>
        <v/>
      </c>
      <c r="AI66" s="1102"/>
      <c r="AJ66" s="1102"/>
      <c r="AK66" s="1111" t="str">
        <f t="shared" ref="AK66" si="178">IF(OR(C66="",F66="",F66="",L66="",P66="",R66="",T66="",X66="",Z66="",AB66="",AD66="",AF66=""),"",IF((P66*R66)-(X66*Z66)&lt;=0,0,ROUND((P66*R66)-(X66*Z66),2)))</f>
        <v/>
      </c>
      <c r="AL66" s="1111"/>
      <c r="AM66" s="1111"/>
      <c r="AN66" s="1138" t="str">
        <f t="shared" ref="AN66" si="179">IF(OR(C66="",F66="",F66="",L66="",P66="",R66="",T66="",X66="",Z66="",AB66="",AD66="",AF66=""),"",IF(BE66&lt;&gt;"",BE66,IF(C66="Custom",AY66,IF(C66="New Construction",AZ66,IF(C66="RCx",BA66)))))</f>
        <v/>
      </c>
      <c r="AO66" s="1138"/>
      <c r="AP66" s="1138"/>
      <c r="AQ66" s="1138"/>
      <c r="AR66" s="59"/>
      <c r="AU66" s="1109" t="str">
        <f>IF(F66="","",INDEX(CUSTNONLIGHTEUNIT,MATCH(F66,PROGRAMECAT[Category 1],0)))</f>
        <v/>
      </c>
      <c r="AV66" s="1109" t="str">
        <f>IF(OR(C66="",F66="",L66="",P66="",R66="",T66="",X66="",Z66="",AB66="",AD66="",AF66=""),"",((1+ELOSS)*((AK66*INDEX(ELECCB[NPV AEC $/kWh],MATCH(BB66,ELECCB[Year Number],1)))+(AX66*INDEX(ELECCB[NPV ACC+T&amp;D $/kW],MATCH(BB66,ELECCB[Year Number],1)))))/AH66)</f>
        <v/>
      </c>
      <c r="AW66" s="1193"/>
      <c r="AX66" s="1195" t="str">
        <f>IF(OR(C66="",F66="",L66="",P66="",R66="",T66="",X66="",Z66="",AB66="",AD66="",AF66=""),"",ROUND(AW66*(INDEX(PROGRAMECAT[Lighting Coincidence Factor],MATCH(F66,PROGRAMECAT[Category 1],0))),3))</f>
        <v/>
      </c>
      <c r="AY66" s="1188" t="str">
        <f>IF(OR(C66="",F66="",F66="",L66="",P66="",R66="",T66="",X66="",Z66="",AB66="",AD66="",AF66=""),"",IF(AB66="Total",ROUND(MIN(AH66*0.75,AK66*INDEX(INCRATE[Electric],MATCH("CMNONLIGHT",INCRATE[Incentive Type]))),2),IF(AB66="Incremental",ROUND(MIN(AH66,AK66*INDEX(INCRATE[Electric],MATCH("CMNONLIGHT",INCRATE[Incentive Type]))),2))))</f>
        <v/>
      </c>
      <c r="AZ66" s="1188" t="str">
        <f>IF(OR(C66="",F66="",F66="",L66="",P66="",R66="",T66="",X66="",Z66="",AB66="",AD66="",AF66=""),"",IF(AB66="Total",ROUND(MIN(AH66*0.75,AK66*INDEX(INCRATE[Electric],MATCH("NCNONLIGHT",INCRATE[Incentive Type]))),2),IF(AB66="Incremental",ROUND(MIN(AH66,AK66*INDEX(INCRATE[Electric],MATCH("NCNONLIGHT",INCRATE[Incentive Type]))),2))))</f>
        <v/>
      </c>
      <c r="BA66" s="1188" t="str">
        <f>IF(OR(C66="",F66="",F66="",L66="",P66="",R66="",T66="",X66="",Z66="",AB66="",AD66="",AF66=""),"",IF(AB66="Total",ROUND(MIN(AH66*0.75,AK66*INDEX(INCRATE[Electric],MATCH("RCX",INCRATE[Incentive Type]))),2),IF(AB66="Incremental",ROUND(MIN(AH66,AK66*INDEX(INCRATE[Electric],MATCH("RCX",INCRATE[Incentive Type]))),2))))</f>
        <v/>
      </c>
      <c r="BB66" s="1103" t="str">
        <f>IF(F66="","",INDEX(PROGRAMECAT[EUL],MATCH(F66,PROGRAMECAT[Category 1],0)))</f>
        <v/>
      </c>
      <c r="BC66" s="1103" t="str">
        <f>IFERROR(AH66/M02S02F35/AK66,"")</f>
        <v/>
      </c>
      <c r="BD66" s="1198" t="str">
        <f>IF(OR(C66="",F66="",L66="",P66="",R66="",T66="",X66="",Z66="",AB66="",AD66="",AF66=""),"",IF(ISNUMBER(AN66),INDEX(PROGRAMECAT[Measure Number],MATCH(F66,PROGRAMECAT[Category 1],0)),IF(AK66=0,"","000001")))</f>
        <v/>
      </c>
      <c r="BE66" s="1103" t="str">
        <f>IFERROR(IF((P66*R66)-(X66*Z66)&lt;=0,MEASURESAV,IF(M02S02F35="",MEASURERATE,IF(OR(F66="Others (Incremental)",F66="Others"),MEASURESUBMIT, IF(BC66&lt;1,MEASUREPAY,IF(AV66&lt;1,MEASURECB,""))))),MEASURESUBMIT)</f>
        <v>Submit for Review</v>
      </c>
      <c r="BH66" s="1001" t="str">
        <f ca="1">IF(OR(C66="",F66="",F66="",L66="",P66="",R66="",T66="",X66="",Z66="",AB66="",AD66="",AF66=""),"",IF('M01-S01'!$V$82&lt;TODAY(),0,IF(M02S02F46="Gas Only",0,IF(OR(AK66="",AK66&lt;0,AH66&lt;=AN66),0,MIN(AH66-AN66,ROUND(IF(OR(ISNUMBER(SEARCH("Compressed Air",F66)),ISNUMBER(SEARCH("T8",F66)),ISNUMBER(SEARCH("T5",F66)),ISNUMBER(SEARCH("MH",F66)),ISNUMBER(SEARCH("HPS",F66)),ISNUMBER(SEARCH("MV",F66))),AN66*0.2),2))))))</f>
        <v/>
      </c>
    </row>
    <row r="67" spans="2:60" ht="15.95" hidden="1" customHeight="1">
      <c r="B67" s="929"/>
      <c r="C67" s="1094"/>
      <c r="D67" s="1094"/>
      <c r="E67" s="1094"/>
      <c r="F67" s="1094"/>
      <c r="G67" s="1094"/>
      <c r="H67" s="1094"/>
      <c r="I67" s="1094"/>
      <c r="J67" s="1094"/>
      <c r="K67" s="1094"/>
      <c r="L67" s="840"/>
      <c r="M67" s="841"/>
      <c r="N67" s="841"/>
      <c r="O67" s="842"/>
      <c r="P67" s="853"/>
      <c r="Q67" s="854"/>
      <c r="R67" s="1116"/>
      <c r="S67" s="1206"/>
      <c r="T67" s="848"/>
      <c r="U67" s="841"/>
      <c r="V67" s="841"/>
      <c r="W67" s="842"/>
      <c r="X67" s="1084"/>
      <c r="Y67" s="1084"/>
      <c r="Z67" s="1187"/>
      <c r="AA67" s="1187"/>
      <c r="AB67" s="1174"/>
      <c r="AC67" s="1174"/>
      <c r="AD67" s="875"/>
      <c r="AE67" s="1098"/>
      <c r="AF67" s="1203"/>
      <c r="AG67" s="1204"/>
      <c r="AH67" s="1136"/>
      <c r="AI67" s="1137"/>
      <c r="AJ67" s="1137"/>
      <c r="AK67" s="1149"/>
      <c r="AL67" s="1149"/>
      <c r="AM67" s="1149"/>
      <c r="AN67" s="1139"/>
      <c r="AO67" s="1139"/>
      <c r="AP67" s="1139"/>
      <c r="AQ67" s="1139"/>
      <c r="AR67" s="59"/>
      <c r="AU67" s="1108"/>
      <c r="AV67" s="1108"/>
      <c r="AW67" s="1194"/>
      <c r="AX67" s="1075"/>
      <c r="AY67" s="1104"/>
      <c r="AZ67" s="1104"/>
      <c r="BA67" s="1104"/>
      <c r="BB67" s="1104"/>
      <c r="BC67" s="1104"/>
      <c r="BD67" s="1192"/>
      <c r="BE67" s="1104"/>
      <c r="BH67" s="1002"/>
    </row>
    <row r="68" spans="2:60" ht="15.95" hidden="1" customHeight="1">
      <c r="B68" s="929">
        <v>27</v>
      </c>
      <c r="C68" s="1093"/>
      <c r="D68" s="1093"/>
      <c r="E68" s="1093"/>
      <c r="F68" s="1093"/>
      <c r="G68" s="1093"/>
      <c r="H68" s="1093"/>
      <c r="I68" s="1093"/>
      <c r="J68" s="1093"/>
      <c r="K68" s="1093"/>
      <c r="L68" s="871"/>
      <c r="M68" s="872"/>
      <c r="N68" s="872"/>
      <c r="O68" s="873"/>
      <c r="P68" s="851"/>
      <c r="Q68" s="852"/>
      <c r="R68" s="1114"/>
      <c r="S68" s="1205"/>
      <c r="T68" s="1185"/>
      <c r="U68" s="872"/>
      <c r="V68" s="872"/>
      <c r="W68" s="873"/>
      <c r="X68" s="1083"/>
      <c r="Y68" s="1083"/>
      <c r="Z68" s="1186"/>
      <c r="AA68" s="1186"/>
      <c r="AB68" s="1173" t="str">
        <f t="shared" ref="AB68" si="180">IF(C68="New Construction","Incremental","")</f>
        <v/>
      </c>
      <c r="AC68" s="1173"/>
      <c r="AD68" s="874"/>
      <c r="AE68" s="1097"/>
      <c r="AF68" s="1201" t="str">
        <f t="shared" ref="AF68" si="181">IF(AB68="Incremental",0,"")</f>
        <v/>
      </c>
      <c r="AG68" s="1202"/>
      <c r="AH68" s="870" t="str">
        <f t="shared" ref="AH68" si="182">IF(OR(C68="",F68="",L68="",P68="",R68="",T68="",X68="",Z68="",AD68="",AF68=""),"",ROUND(AD68+AF68,2))</f>
        <v/>
      </c>
      <c r="AI68" s="1102"/>
      <c r="AJ68" s="1102"/>
      <c r="AK68" s="1111" t="str">
        <f t="shared" ref="AK68" si="183">IF(OR(C68="",F68="",F68="",L68="",P68="",R68="",T68="",X68="",Z68="",AB68="",AD68="",AF68=""),"",IF((P68*R68)-(X68*Z68)&lt;=0,0,ROUND((P68*R68)-(X68*Z68),2)))</f>
        <v/>
      </c>
      <c r="AL68" s="1111"/>
      <c r="AM68" s="1111"/>
      <c r="AN68" s="1138" t="str">
        <f t="shared" ref="AN68" si="184">IF(OR(C68="",F68="",F68="",L68="",P68="",R68="",T68="",X68="",Z68="",AB68="",AD68="",AF68=""),"",IF(BE68&lt;&gt;"",BE68,IF(C68="Custom",AY68,IF(C68="New Construction",AZ68,IF(C68="RCx",BA68)))))</f>
        <v/>
      </c>
      <c r="AO68" s="1138"/>
      <c r="AP68" s="1138"/>
      <c r="AQ68" s="1138"/>
      <c r="AR68" s="59"/>
      <c r="AU68" s="1109" t="str">
        <f>IF(F68="","",INDEX(CUSTNONLIGHTEUNIT,MATCH(F68,PROGRAMECAT[Category 1],0)))</f>
        <v/>
      </c>
      <c r="AV68" s="1109" t="str">
        <f>IF(OR(C68="",F68="",L68="",P68="",R68="",T68="",X68="",Z68="",AB68="",AD68="",AF68=""),"",((1+ELOSS)*((AK68*INDEX(ELECCB[NPV AEC $/kWh],MATCH(BB68,ELECCB[Year Number],1)))+(AX68*INDEX(ELECCB[NPV ACC+T&amp;D $/kW],MATCH(BB68,ELECCB[Year Number],1)))))/AH68)</f>
        <v/>
      </c>
      <c r="AW68" s="1193"/>
      <c r="AX68" s="1195" t="str">
        <f>IF(OR(C68="",F68="",L68="",P68="",R68="",T68="",X68="",Z68="",AB68="",AD68="",AF68=""),"",ROUND(AW68*(INDEX(PROGRAMECAT[Lighting Coincidence Factor],MATCH(F68,PROGRAMECAT[Category 1],0))),3))</f>
        <v/>
      </c>
      <c r="AY68" s="1188" t="str">
        <f>IF(OR(C68="",F68="",F68="",L68="",P68="",R68="",T68="",X68="",Z68="",AB68="",AD68="",AF68=""),"",IF(AB68="Total",ROUND(MIN(AH68*0.75,AK68*INDEX(INCRATE[Electric],MATCH("CMNONLIGHT",INCRATE[Incentive Type]))),2),IF(AB68="Incremental",ROUND(MIN(AH68,AK68*INDEX(INCRATE[Electric],MATCH("CMNONLIGHT",INCRATE[Incentive Type]))),2))))</f>
        <v/>
      </c>
      <c r="AZ68" s="1188" t="str">
        <f>IF(OR(C68="",F68="",F68="",L68="",P68="",R68="",T68="",X68="",Z68="",AB68="",AD68="",AF68=""),"",IF(AB68="Total",ROUND(MIN(AH68*0.75,AK68*INDEX(INCRATE[Electric],MATCH("NCNONLIGHT",INCRATE[Incentive Type]))),2),IF(AB68="Incremental",ROUND(MIN(AH68,AK68*INDEX(INCRATE[Electric],MATCH("NCNONLIGHT",INCRATE[Incentive Type]))),2))))</f>
        <v/>
      </c>
      <c r="BA68" s="1188" t="str">
        <f>IF(OR(C68="",F68="",F68="",L68="",P68="",R68="",T68="",X68="",Z68="",AB68="",AD68="",AF68=""),"",IF(AB68="Total",ROUND(MIN(AH68*0.75,AK68*INDEX(INCRATE[Electric],MATCH("RCX",INCRATE[Incentive Type]))),2),IF(AB68="Incremental",ROUND(MIN(AH68,AK68*INDEX(INCRATE[Electric],MATCH("RCX",INCRATE[Incentive Type]))),2))))</f>
        <v/>
      </c>
      <c r="BB68" s="1103" t="str">
        <f>IF(F68="","",INDEX(PROGRAMECAT[EUL],MATCH(F68,PROGRAMECAT[Category 1],0)))</f>
        <v/>
      </c>
      <c r="BC68" s="1103" t="str">
        <f>IFERROR(AH68/M02S02F35/AK68,"")</f>
        <v/>
      </c>
      <c r="BD68" s="1198" t="str">
        <f>IF(OR(C68="",F68="",L68="",P68="",R68="",T68="",X68="",Z68="",AB68="",AD68="",AF68=""),"",IF(ISNUMBER(AN68),INDEX(PROGRAMECAT[Measure Number],MATCH(F68,PROGRAMECAT[Category 1],0)),IF(AK68=0,"","000001")))</f>
        <v/>
      </c>
      <c r="BE68" s="1103" t="str">
        <f>IFERROR(IF((P68*R68)-(X68*Z68)&lt;=0,MEASURESAV,IF(M02S02F35="",MEASURERATE,IF(OR(F68="Others (Incremental)",F68="Others"),MEASURESUBMIT, IF(BC68&lt;1,MEASUREPAY,IF(AV68&lt;1,MEASURECB,""))))),MEASURESUBMIT)</f>
        <v>Submit for Review</v>
      </c>
      <c r="BH68" s="1001" t="str">
        <f ca="1">IF(OR(C68="",F68="",F68="",L68="",P68="",R68="",T68="",X68="",Z68="",AB68="",AD68="",AF68=""),"",IF('M01-S01'!$V$82&lt;TODAY(),0,IF(M02S02F46="Gas Only",0,IF(OR(AK68="",AK68&lt;0,AH68&lt;=AN68),0,MIN(AH68-AN68,ROUND(IF(OR(ISNUMBER(SEARCH("Compressed Air",F68)),ISNUMBER(SEARCH("T8",F68)),ISNUMBER(SEARCH("T5",F68)),ISNUMBER(SEARCH("MH",F68)),ISNUMBER(SEARCH("HPS",F68)),ISNUMBER(SEARCH("MV",F68))),AN68*0.2),2))))))</f>
        <v/>
      </c>
    </row>
    <row r="69" spans="2:60" ht="15.95" hidden="1" customHeight="1">
      <c r="B69" s="929"/>
      <c r="C69" s="1094"/>
      <c r="D69" s="1094"/>
      <c r="E69" s="1094"/>
      <c r="F69" s="1094"/>
      <c r="G69" s="1094"/>
      <c r="H69" s="1094"/>
      <c r="I69" s="1094"/>
      <c r="J69" s="1094"/>
      <c r="K69" s="1094"/>
      <c r="L69" s="840"/>
      <c r="M69" s="841"/>
      <c r="N69" s="841"/>
      <c r="O69" s="842"/>
      <c r="P69" s="853"/>
      <c r="Q69" s="854"/>
      <c r="R69" s="1116"/>
      <c r="S69" s="1206"/>
      <c r="T69" s="848"/>
      <c r="U69" s="841"/>
      <c r="V69" s="841"/>
      <c r="W69" s="842"/>
      <c r="X69" s="1084"/>
      <c r="Y69" s="1084"/>
      <c r="Z69" s="1187"/>
      <c r="AA69" s="1187"/>
      <c r="AB69" s="1174"/>
      <c r="AC69" s="1174"/>
      <c r="AD69" s="875"/>
      <c r="AE69" s="1098"/>
      <c r="AF69" s="1203"/>
      <c r="AG69" s="1204"/>
      <c r="AH69" s="1136"/>
      <c r="AI69" s="1137"/>
      <c r="AJ69" s="1137"/>
      <c r="AK69" s="1149"/>
      <c r="AL69" s="1149"/>
      <c r="AM69" s="1149"/>
      <c r="AN69" s="1139"/>
      <c r="AO69" s="1139"/>
      <c r="AP69" s="1139"/>
      <c r="AQ69" s="1139"/>
      <c r="AR69" s="59"/>
      <c r="AU69" s="1108"/>
      <c r="AV69" s="1108"/>
      <c r="AW69" s="1194"/>
      <c r="AX69" s="1075"/>
      <c r="AY69" s="1104"/>
      <c r="AZ69" s="1104"/>
      <c r="BA69" s="1104"/>
      <c r="BB69" s="1104"/>
      <c r="BC69" s="1104"/>
      <c r="BD69" s="1192"/>
      <c r="BE69" s="1104"/>
      <c r="BH69" s="1002"/>
    </row>
    <row r="70" spans="2:60" ht="15.95" hidden="1" customHeight="1">
      <c r="B70" s="929">
        <v>28</v>
      </c>
      <c r="C70" s="1093"/>
      <c r="D70" s="1093"/>
      <c r="E70" s="1093"/>
      <c r="F70" s="1093"/>
      <c r="G70" s="1093"/>
      <c r="H70" s="1093"/>
      <c r="I70" s="1093"/>
      <c r="J70" s="1093"/>
      <c r="K70" s="1093"/>
      <c r="L70" s="871"/>
      <c r="M70" s="872"/>
      <c r="N70" s="872"/>
      <c r="O70" s="873"/>
      <c r="P70" s="851"/>
      <c r="Q70" s="852"/>
      <c r="R70" s="1114"/>
      <c r="S70" s="1205"/>
      <c r="T70" s="1185"/>
      <c r="U70" s="872"/>
      <c r="V70" s="872"/>
      <c r="W70" s="873"/>
      <c r="X70" s="1083"/>
      <c r="Y70" s="1083"/>
      <c r="Z70" s="1186"/>
      <c r="AA70" s="1186"/>
      <c r="AB70" s="1173" t="str">
        <f t="shared" ref="AB70" si="185">IF(C70="New Construction","Incremental","")</f>
        <v/>
      </c>
      <c r="AC70" s="1173"/>
      <c r="AD70" s="874"/>
      <c r="AE70" s="1097"/>
      <c r="AF70" s="1201" t="str">
        <f t="shared" ref="AF70" si="186">IF(AB70="Incremental",0,"")</f>
        <v/>
      </c>
      <c r="AG70" s="1202"/>
      <c r="AH70" s="870" t="str">
        <f t="shared" ref="AH70" si="187">IF(OR(C70="",F70="",L70="",P70="",R70="",T70="",X70="",Z70="",AD70="",AF70=""),"",ROUND(AD70+AF70,2))</f>
        <v/>
      </c>
      <c r="AI70" s="1102"/>
      <c r="AJ70" s="1102"/>
      <c r="AK70" s="1111" t="str">
        <f t="shared" ref="AK70" si="188">IF(OR(C70="",F70="",F70="",L70="",P70="",R70="",T70="",X70="",Z70="",AB70="",AD70="",AF70=""),"",IF((P70*R70)-(X70*Z70)&lt;=0,0,ROUND((P70*R70)-(X70*Z70),2)))</f>
        <v/>
      </c>
      <c r="AL70" s="1111"/>
      <c r="AM70" s="1111"/>
      <c r="AN70" s="1138" t="str">
        <f t="shared" ref="AN70" si="189">IF(OR(C70="",F70="",F70="",L70="",P70="",R70="",T70="",X70="",Z70="",AB70="",AD70="",AF70=""),"",IF(BE70&lt;&gt;"",BE70,IF(C70="Custom",AY70,IF(C70="New Construction",AZ70,IF(C70="RCx",BA70)))))</f>
        <v/>
      </c>
      <c r="AO70" s="1138"/>
      <c r="AP70" s="1138"/>
      <c r="AQ70" s="1138"/>
      <c r="AR70" s="59"/>
      <c r="AU70" s="1109" t="str">
        <f>IF(F70="","",INDEX(CUSTNONLIGHTEUNIT,MATCH(F70,PROGRAMECAT[Category 1],0)))</f>
        <v/>
      </c>
      <c r="AV70" s="1109" t="str">
        <f>IF(OR(C70="",F70="",L70="",P70="",R70="",T70="",X70="",Z70="",AB70="",AD70="",AF70=""),"",((1+ELOSS)*((AK70*INDEX(ELECCB[NPV AEC $/kWh],MATCH(BB70,ELECCB[Year Number],1)))+(AX70*INDEX(ELECCB[NPV ACC+T&amp;D $/kW],MATCH(BB70,ELECCB[Year Number],1)))))/AH70)</f>
        <v/>
      </c>
      <c r="AW70" s="1193"/>
      <c r="AX70" s="1195" t="str">
        <f>IF(OR(C70="",F70="",L70="",P70="",R70="",T70="",X70="",Z70="",AB70="",AD70="",AF70=""),"",ROUND(AW70*(INDEX(PROGRAMECAT[Lighting Coincidence Factor],MATCH(F70,PROGRAMECAT[Category 1],0))),3))</f>
        <v/>
      </c>
      <c r="AY70" s="1188" t="str">
        <f>IF(OR(C70="",F70="",F70="",L70="",P70="",R70="",T70="",X70="",Z70="",AB70="",AD70="",AF70=""),"",IF(AB70="Total",ROUND(MIN(AH70*0.75,AK70*INDEX(INCRATE[Electric],MATCH("CMNONLIGHT",INCRATE[Incentive Type]))),2),IF(AB70="Incremental",ROUND(MIN(AH70,AK70*INDEX(INCRATE[Electric],MATCH("CMNONLIGHT",INCRATE[Incentive Type]))),2))))</f>
        <v/>
      </c>
      <c r="AZ70" s="1188" t="str">
        <f>IF(OR(C70="",F70="",F70="",L70="",P70="",R70="",T70="",X70="",Z70="",AB70="",AD70="",AF70=""),"",IF(AB70="Total",ROUND(MIN(AH70*0.75,AK70*INDEX(INCRATE[Electric],MATCH("NCNONLIGHT",INCRATE[Incentive Type]))),2),IF(AB70="Incremental",ROUND(MIN(AH70,AK70*INDEX(INCRATE[Electric],MATCH("NCNONLIGHT",INCRATE[Incentive Type]))),2))))</f>
        <v/>
      </c>
      <c r="BA70" s="1188" t="str">
        <f>IF(OR(C70="",F70="",F70="",L70="",P70="",R70="",T70="",X70="",Z70="",AB70="",AD70="",AF70=""),"",IF(AB70="Total",ROUND(MIN(AH70*0.75,AK70*INDEX(INCRATE[Electric],MATCH("RCX",INCRATE[Incentive Type]))),2),IF(AB70="Incremental",ROUND(MIN(AH70,AK70*INDEX(INCRATE[Electric],MATCH("RCX",INCRATE[Incentive Type]))),2))))</f>
        <v/>
      </c>
      <c r="BB70" s="1103" t="str">
        <f>IF(F70="","",INDEX(PROGRAMECAT[EUL],MATCH(F70,PROGRAMECAT[Category 1],0)))</f>
        <v/>
      </c>
      <c r="BC70" s="1103" t="str">
        <f>IFERROR(AH70/M02S02F35/AK70,"")</f>
        <v/>
      </c>
      <c r="BD70" s="1198" t="str">
        <f>IF(OR(C70="",F70="",L70="",P70="",R70="",T70="",X70="",Z70="",AB70="",AD70="",AF70=""),"",IF(ISNUMBER(AN70),INDEX(PROGRAMECAT[Measure Number],MATCH(F70,PROGRAMECAT[Category 1],0)),IF(AK70=0,"","000001")))</f>
        <v/>
      </c>
      <c r="BE70" s="1103" t="str">
        <f>IFERROR(IF((P70*R70)-(X70*Z70)&lt;=0,MEASURESAV,IF(M02S02F35="",MEASURERATE,IF(OR(F70="Others (Incremental)",F70="Others"),MEASURESUBMIT, IF(BC70&lt;1,MEASUREPAY,IF(AV70&lt;1,MEASURECB,""))))),MEASURESUBMIT)</f>
        <v>Submit for Review</v>
      </c>
      <c r="BH70" s="1001" t="str">
        <f ca="1">IF(OR(C70="",F70="",F70="",L70="",P70="",R70="",T70="",X70="",Z70="",AB70="",AD70="",AF70=""),"",IF('M01-S01'!$V$82&lt;TODAY(),0,IF(M02S02F46="Gas Only",0,IF(OR(AK70="",AK70&lt;0,AH70&lt;=AN70),0,MIN(AH70-AN70,ROUND(IF(OR(ISNUMBER(SEARCH("Compressed Air",F70)),ISNUMBER(SEARCH("T8",F70)),ISNUMBER(SEARCH("T5",F70)),ISNUMBER(SEARCH("MH",F70)),ISNUMBER(SEARCH("HPS",F70)),ISNUMBER(SEARCH("MV",F70))),AN70*0.2),2))))))</f>
        <v/>
      </c>
    </row>
    <row r="71" spans="2:60" ht="15.95" hidden="1" customHeight="1">
      <c r="B71" s="929"/>
      <c r="C71" s="1094"/>
      <c r="D71" s="1094"/>
      <c r="E71" s="1094"/>
      <c r="F71" s="1094"/>
      <c r="G71" s="1094"/>
      <c r="H71" s="1094"/>
      <c r="I71" s="1094"/>
      <c r="J71" s="1094"/>
      <c r="K71" s="1094"/>
      <c r="L71" s="840"/>
      <c r="M71" s="841"/>
      <c r="N71" s="841"/>
      <c r="O71" s="842"/>
      <c r="P71" s="853"/>
      <c r="Q71" s="854"/>
      <c r="R71" s="1116"/>
      <c r="S71" s="1206"/>
      <c r="T71" s="848"/>
      <c r="U71" s="841"/>
      <c r="V71" s="841"/>
      <c r="W71" s="842"/>
      <c r="X71" s="1084"/>
      <c r="Y71" s="1084"/>
      <c r="Z71" s="1187"/>
      <c r="AA71" s="1187"/>
      <c r="AB71" s="1174"/>
      <c r="AC71" s="1174"/>
      <c r="AD71" s="875"/>
      <c r="AE71" s="1098"/>
      <c r="AF71" s="1203"/>
      <c r="AG71" s="1204"/>
      <c r="AH71" s="1136"/>
      <c r="AI71" s="1137"/>
      <c r="AJ71" s="1137"/>
      <c r="AK71" s="1149"/>
      <c r="AL71" s="1149"/>
      <c r="AM71" s="1149"/>
      <c r="AN71" s="1139"/>
      <c r="AO71" s="1139"/>
      <c r="AP71" s="1139"/>
      <c r="AQ71" s="1139"/>
      <c r="AR71" s="59"/>
      <c r="AU71" s="1108"/>
      <c r="AV71" s="1108"/>
      <c r="AW71" s="1194"/>
      <c r="AX71" s="1075"/>
      <c r="AY71" s="1104"/>
      <c r="AZ71" s="1104"/>
      <c r="BA71" s="1104"/>
      <c r="BB71" s="1104"/>
      <c r="BC71" s="1104"/>
      <c r="BD71" s="1192"/>
      <c r="BE71" s="1104"/>
      <c r="BH71" s="1002"/>
    </row>
    <row r="72" spans="2:60" ht="15.95" hidden="1" customHeight="1">
      <c r="B72" s="929">
        <v>29</v>
      </c>
      <c r="C72" s="1093"/>
      <c r="D72" s="1093"/>
      <c r="E72" s="1093"/>
      <c r="F72" s="1093"/>
      <c r="G72" s="1093"/>
      <c r="H72" s="1093"/>
      <c r="I72" s="1093"/>
      <c r="J72" s="1093"/>
      <c r="K72" s="1093"/>
      <c r="L72" s="871"/>
      <c r="M72" s="872"/>
      <c r="N72" s="872"/>
      <c r="O72" s="873"/>
      <c r="P72" s="851"/>
      <c r="Q72" s="852"/>
      <c r="R72" s="1114"/>
      <c r="S72" s="1205"/>
      <c r="T72" s="1185"/>
      <c r="U72" s="872"/>
      <c r="V72" s="872"/>
      <c r="W72" s="873"/>
      <c r="X72" s="1083"/>
      <c r="Y72" s="1083"/>
      <c r="Z72" s="1186"/>
      <c r="AA72" s="1186"/>
      <c r="AB72" s="1173" t="str">
        <f t="shared" ref="AB72" si="190">IF(C72="New Construction","Incremental","")</f>
        <v/>
      </c>
      <c r="AC72" s="1173"/>
      <c r="AD72" s="874"/>
      <c r="AE72" s="1097"/>
      <c r="AF72" s="1201" t="str">
        <f t="shared" ref="AF72" si="191">IF(AB72="Incremental",0,"")</f>
        <v/>
      </c>
      <c r="AG72" s="1202"/>
      <c r="AH72" s="870" t="str">
        <f t="shared" ref="AH72" si="192">IF(OR(C72="",F72="",L72="",P72="",R72="",T72="",X72="",Z72="",AD72="",AF72=""),"",ROUND(AD72+AF72,2))</f>
        <v/>
      </c>
      <c r="AI72" s="1102"/>
      <c r="AJ72" s="1102"/>
      <c r="AK72" s="1111" t="str">
        <f t="shared" ref="AK72" si="193">IF(OR(C72="",F72="",F72="",L72="",P72="",R72="",T72="",X72="",Z72="",AB72="",AD72="",AF72=""),"",IF((P72*R72)-(X72*Z72)&lt;=0,0,ROUND((P72*R72)-(X72*Z72),2)))</f>
        <v/>
      </c>
      <c r="AL72" s="1111"/>
      <c r="AM72" s="1111"/>
      <c r="AN72" s="1138" t="str">
        <f t="shared" ref="AN72" si="194">IF(OR(C72="",F72="",F72="",L72="",P72="",R72="",T72="",X72="",Z72="",AB72="",AD72="",AF72=""),"",IF(BE72&lt;&gt;"",BE72,IF(C72="Custom",AY72,IF(C72="New Construction",AZ72,IF(C72="RCx",BA72)))))</f>
        <v/>
      </c>
      <c r="AO72" s="1138"/>
      <c r="AP72" s="1138"/>
      <c r="AQ72" s="1138"/>
      <c r="AR72" s="59"/>
      <c r="AU72" s="1109" t="str">
        <f>IF(F72="","",INDEX(CUSTNONLIGHTEUNIT,MATCH(F72,PROGRAMECAT[Category 1],0)))</f>
        <v/>
      </c>
      <c r="AV72" s="1109" t="str">
        <f>IF(OR(C72="",F72="",L72="",P72="",R72="",T72="",X72="",Z72="",AB72="",AD72="",AF72=""),"",((1+ELOSS)*((AK72*INDEX(ELECCB[NPV AEC $/kWh],MATCH(BB72,ELECCB[Year Number],1)))+(AX72*INDEX(ELECCB[NPV ACC+T&amp;D $/kW],MATCH(BB72,ELECCB[Year Number],1)))))/AH72)</f>
        <v/>
      </c>
      <c r="AW72" s="1193"/>
      <c r="AX72" s="1195" t="str">
        <f>IF(OR(C72="",F72="",L72="",P72="",R72="",T72="",X72="",Z72="",AB72="",AD72="",AF72=""),"",ROUND(AW72*(INDEX(PROGRAMECAT[Lighting Coincidence Factor],MATCH(F72,PROGRAMECAT[Category 1],0))),3))</f>
        <v/>
      </c>
      <c r="AY72" s="1188" t="str">
        <f>IF(OR(C72="",F72="",F72="",L72="",P72="",R72="",T72="",X72="",Z72="",AB72="",AD72="",AF72=""),"",IF(AB72="Total",ROUND(MIN(AH72*0.75,AK72*INDEX(INCRATE[Electric],MATCH("CMNONLIGHT",INCRATE[Incentive Type]))),2),IF(AB72="Incremental",ROUND(MIN(AH72,AK72*INDEX(INCRATE[Electric],MATCH("CMNONLIGHT",INCRATE[Incentive Type]))),2))))</f>
        <v/>
      </c>
      <c r="AZ72" s="1188" t="str">
        <f>IF(OR(C72="",F72="",F72="",L72="",P72="",R72="",T72="",X72="",Z72="",AB72="",AD72="",AF72=""),"",IF(AB72="Total",ROUND(MIN(AH72*0.75,AK72*INDEX(INCRATE[Electric],MATCH("NCNONLIGHT",INCRATE[Incentive Type]))),2),IF(AB72="Incremental",ROUND(MIN(AH72,AK72*INDEX(INCRATE[Electric],MATCH("NCNONLIGHT",INCRATE[Incentive Type]))),2))))</f>
        <v/>
      </c>
      <c r="BA72" s="1188" t="str">
        <f>IF(OR(C72="",F72="",F72="",L72="",P72="",R72="",T72="",X72="",Z72="",AB72="",AD72="",AF72=""),"",IF(AB72="Total",ROUND(MIN(AH72*0.75,AK72*INDEX(INCRATE[Electric],MATCH("RCX",INCRATE[Incentive Type]))),2),IF(AB72="Incremental",ROUND(MIN(AH72,AK72*INDEX(INCRATE[Electric],MATCH("RCX",INCRATE[Incentive Type]))),2))))</f>
        <v/>
      </c>
      <c r="BB72" s="1103" t="str">
        <f>IF(F72="","",INDEX(PROGRAMECAT[EUL],MATCH(F72,PROGRAMECAT[Category 1],0)))</f>
        <v/>
      </c>
      <c r="BC72" s="1103" t="str">
        <f>IFERROR(AH72/M02S02F35/AK72,"")</f>
        <v/>
      </c>
      <c r="BD72" s="1198" t="str">
        <f>IF(OR(C72="",F72="",L72="",P72="",R72="",T72="",X72="",Z72="",AB72="",AD72="",AF72=""),"",IF(ISNUMBER(AN72),INDEX(PROGRAMECAT[Measure Number],MATCH(F72,PROGRAMECAT[Category 1],0)),IF(AK72=0,"","000001")))</f>
        <v/>
      </c>
      <c r="BE72" s="1103" t="str">
        <f>IFERROR(IF((P72*R72)-(X72*Z72)&lt;=0,MEASURESAV,IF(M02S02F35="",MEASURERATE,IF(OR(F72="Others (Incremental)",F72="Others"),MEASURESUBMIT, IF(BC72&lt;1,MEASUREPAY,IF(AV72&lt;1,MEASURECB,""))))),MEASURESUBMIT)</f>
        <v>Submit for Review</v>
      </c>
      <c r="BH72" s="1001" t="str">
        <f ca="1">IF(OR(C72="",F72="",F72="",L72="",P72="",R72="",T72="",X72="",Z72="",AB72="",AD72="",AF72=""),"",IF('M01-S01'!$V$82&lt;TODAY(),0,IF(M02S02F46="Gas Only",0,IF(OR(AK72="",AK72&lt;0,AH72&lt;=AN72),0,MIN(AH72-AN72,ROUND(IF(OR(ISNUMBER(SEARCH("Compressed Air",F72)),ISNUMBER(SEARCH("T8",F72)),ISNUMBER(SEARCH("T5",F72)),ISNUMBER(SEARCH("MH",F72)),ISNUMBER(SEARCH("HPS",F72)),ISNUMBER(SEARCH("MV",F72))),AN72*0.2),2))))))</f>
        <v/>
      </c>
    </row>
    <row r="73" spans="2:60" ht="15.95" hidden="1" customHeight="1">
      <c r="B73" s="929"/>
      <c r="C73" s="1094"/>
      <c r="D73" s="1094"/>
      <c r="E73" s="1094"/>
      <c r="F73" s="1094"/>
      <c r="G73" s="1094"/>
      <c r="H73" s="1094"/>
      <c r="I73" s="1094"/>
      <c r="J73" s="1094"/>
      <c r="K73" s="1094"/>
      <c r="L73" s="840"/>
      <c r="M73" s="841"/>
      <c r="N73" s="841"/>
      <c r="O73" s="842"/>
      <c r="P73" s="853"/>
      <c r="Q73" s="854"/>
      <c r="R73" s="1116"/>
      <c r="S73" s="1206"/>
      <c r="T73" s="848"/>
      <c r="U73" s="841"/>
      <c r="V73" s="841"/>
      <c r="W73" s="842"/>
      <c r="X73" s="1084"/>
      <c r="Y73" s="1084"/>
      <c r="Z73" s="1187"/>
      <c r="AA73" s="1187"/>
      <c r="AB73" s="1174"/>
      <c r="AC73" s="1174"/>
      <c r="AD73" s="875"/>
      <c r="AE73" s="1098"/>
      <c r="AF73" s="1203"/>
      <c r="AG73" s="1204"/>
      <c r="AH73" s="1136"/>
      <c r="AI73" s="1137"/>
      <c r="AJ73" s="1137"/>
      <c r="AK73" s="1149"/>
      <c r="AL73" s="1149"/>
      <c r="AM73" s="1149"/>
      <c r="AN73" s="1139"/>
      <c r="AO73" s="1139"/>
      <c r="AP73" s="1139"/>
      <c r="AQ73" s="1139"/>
      <c r="AR73" s="59"/>
      <c r="AU73" s="1108"/>
      <c r="AV73" s="1108"/>
      <c r="AW73" s="1194"/>
      <c r="AX73" s="1075"/>
      <c r="AY73" s="1104"/>
      <c r="AZ73" s="1104"/>
      <c r="BA73" s="1104"/>
      <c r="BB73" s="1104"/>
      <c r="BC73" s="1104"/>
      <c r="BD73" s="1192"/>
      <c r="BE73" s="1104"/>
      <c r="BH73" s="1002"/>
    </row>
    <row r="74" spans="2:60" ht="15.95" hidden="1" customHeight="1">
      <c r="B74" s="929">
        <v>30</v>
      </c>
      <c r="C74" s="1093"/>
      <c r="D74" s="1093"/>
      <c r="E74" s="1093"/>
      <c r="F74" s="1093"/>
      <c r="G74" s="1093"/>
      <c r="H74" s="1093"/>
      <c r="I74" s="1093"/>
      <c r="J74" s="1093"/>
      <c r="K74" s="1093"/>
      <c r="L74" s="871"/>
      <c r="M74" s="872"/>
      <c r="N74" s="872"/>
      <c r="O74" s="873"/>
      <c r="P74" s="851"/>
      <c r="Q74" s="852"/>
      <c r="R74" s="1114"/>
      <c r="S74" s="1205"/>
      <c r="T74" s="1185"/>
      <c r="U74" s="872"/>
      <c r="V74" s="872"/>
      <c r="W74" s="873"/>
      <c r="X74" s="1083"/>
      <c r="Y74" s="1083"/>
      <c r="Z74" s="1186"/>
      <c r="AA74" s="1186"/>
      <c r="AB74" s="1173" t="str">
        <f t="shared" ref="AB74" si="195">IF(C74="New Construction","Incremental","")</f>
        <v/>
      </c>
      <c r="AC74" s="1173"/>
      <c r="AD74" s="874"/>
      <c r="AE74" s="1097"/>
      <c r="AF74" s="1201" t="str">
        <f t="shared" ref="AF74" si="196">IF(AB74="Incremental",0,"")</f>
        <v/>
      </c>
      <c r="AG74" s="1202"/>
      <c r="AH74" s="870" t="str">
        <f t="shared" ref="AH74" si="197">IF(OR(C74="",F74="",L74="",P74="",R74="",T74="",X74="",Z74="",AD74="",AF74=""),"",ROUND(AD74+AF74,2))</f>
        <v/>
      </c>
      <c r="AI74" s="1102"/>
      <c r="AJ74" s="1102"/>
      <c r="AK74" s="1111" t="str">
        <f t="shared" ref="AK74" si="198">IF(OR(C74="",F74="",F74="",L74="",P74="",R74="",T74="",X74="",Z74="",AB74="",AD74="",AF74=""),"",IF((P74*R74)-(X74*Z74)&lt;=0,0,ROUND((P74*R74)-(X74*Z74),2)))</f>
        <v/>
      </c>
      <c r="AL74" s="1111"/>
      <c r="AM74" s="1111"/>
      <c r="AN74" s="1138" t="str">
        <f t="shared" ref="AN74" si="199">IF(OR(C74="",F74="",F74="",L74="",P74="",R74="",T74="",X74="",Z74="",AB74="",AD74="",AF74=""),"",IF(BE74&lt;&gt;"",BE74,IF(C74="Custom",AY74,IF(C74="New Construction",AZ74,IF(C74="RCx",BA74)))))</f>
        <v/>
      </c>
      <c r="AO74" s="1138"/>
      <c r="AP74" s="1138"/>
      <c r="AQ74" s="1138"/>
      <c r="AR74" s="59"/>
      <c r="AU74" s="1109" t="str">
        <f>IF(F74="","",INDEX(CUSTNONLIGHTEUNIT,MATCH(F74,PROGRAMECAT[Category 1],0)))</f>
        <v/>
      </c>
      <c r="AV74" s="1109" t="str">
        <f>IF(OR(C74="",F74="",L74="",P74="",R74="",T74="",X74="",Z74="",AB74="",AD74="",AF74=""),"",((1+ELOSS)*((AK74*INDEX(ELECCB[NPV AEC $/kWh],MATCH(BB74,ELECCB[Year Number],1)))+(AX74*INDEX(ELECCB[NPV ACC+T&amp;D $/kW],MATCH(BB74,ELECCB[Year Number],1)))))/AH74)</f>
        <v/>
      </c>
      <c r="AW74" s="1193"/>
      <c r="AX74" s="1195" t="str">
        <f>IF(OR(C74="",F74="",L74="",P74="",R74="",T74="",X74="",Z74="",AB74="",AD74="",AF74=""),"",ROUND(AW74*(INDEX(PROGRAMECAT[Lighting Coincidence Factor],MATCH(F74,PROGRAMECAT[Category 1],0))),3))</f>
        <v/>
      </c>
      <c r="AY74" s="1188" t="str">
        <f>IF(OR(C74="",F74="",F74="",L74="",P74="",R74="",T74="",X74="",Z74="",AB74="",AD74="",AF74=""),"",IF(AB74="Total",ROUND(MIN(AH74*0.75,AK74*INDEX(INCRATE[Electric],MATCH("CMNONLIGHT",INCRATE[Incentive Type]))),2),IF(AB74="Incremental",ROUND(MIN(AH74,AK74*INDEX(INCRATE[Electric],MATCH("CMNONLIGHT",INCRATE[Incentive Type]))),2))))</f>
        <v/>
      </c>
      <c r="AZ74" s="1188" t="str">
        <f>IF(OR(C74="",F74="",F74="",L74="",P74="",R74="",T74="",X74="",Z74="",AB74="",AD74="",AF74=""),"",IF(AB74="Total",ROUND(MIN(AH74*0.75,AK74*INDEX(INCRATE[Electric],MATCH("NCNONLIGHT",INCRATE[Incentive Type]))),2),IF(AB74="Incremental",ROUND(MIN(AH74,AK74*INDEX(INCRATE[Electric],MATCH("NCNONLIGHT",INCRATE[Incentive Type]))),2))))</f>
        <v/>
      </c>
      <c r="BA74" s="1188" t="str">
        <f>IF(OR(C74="",F74="",F74="",L74="",P74="",R74="",T74="",X74="",Z74="",AB74="",AD74="",AF74=""),"",IF(AB74="Total",ROUND(MIN(AH74*0.75,AK74*INDEX(INCRATE[Electric],MATCH("RCX",INCRATE[Incentive Type]))),2),IF(AB74="Incremental",ROUND(MIN(AH74,AK74*INDEX(INCRATE[Electric],MATCH("RCX",INCRATE[Incentive Type]))),2))))</f>
        <v/>
      </c>
      <c r="BB74" s="1103" t="str">
        <f>IF(F74="","",INDEX(PROGRAMECAT[EUL],MATCH(F74,PROGRAMECAT[Category 1],0)))</f>
        <v/>
      </c>
      <c r="BC74" s="1103" t="str">
        <f>IFERROR(AH74/M02S02F35/AK74,"")</f>
        <v/>
      </c>
      <c r="BD74" s="1198" t="str">
        <f>IF(OR(C74="",F74="",L74="",P74="",R74="",T74="",X74="",Z74="",AB74="",AD74="",AF74=""),"",IF(ISNUMBER(AN74),INDEX(PROGRAMECAT[Measure Number],MATCH(F74,PROGRAMECAT[Category 1],0)),IF(AK74=0,"","000001")))</f>
        <v/>
      </c>
      <c r="BE74" s="1103" t="str">
        <f>IFERROR(IF((P74*R74)-(X74*Z74)&lt;=0,MEASURESAV,IF(M02S02F35="",MEASURERATE,IF(OR(F74="Others (Incremental)",F74="Others"),MEASURESUBMIT, IF(BC74&lt;1,MEASUREPAY,IF(AV74&lt;1,MEASURECB,""))))),MEASURESUBMIT)</f>
        <v>Submit for Review</v>
      </c>
      <c r="BH74" s="1001" t="str">
        <f ca="1">IF(OR(C74="",F74="",F74="",L74="",P74="",R74="",T74="",X74="",Z74="",AB74="",AD74="",AF74=""),"",IF('M01-S01'!$V$82&lt;TODAY(),0,IF(M02S02F46="Gas Only",0,IF(OR(AK74="",AK74&lt;0,AH74&lt;=AN74),0,MIN(AH74-AN74,ROUND(IF(OR(ISNUMBER(SEARCH("Compressed Air",F74)),ISNUMBER(SEARCH("T8",F74)),ISNUMBER(SEARCH("T5",F74)),ISNUMBER(SEARCH("MH",F74)),ISNUMBER(SEARCH("HPS",F74)),ISNUMBER(SEARCH("MV",F74))),AN74*0.2),2))))))</f>
        <v/>
      </c>
    </row>
    <row r="75" spans="2:60" ht="15.95" hidden="1" customHeight="1">
      <c r="B75" s="929"/>
      <c r="C75" s="1094"/>
      <c r="D75" s="1094"/>
      <c r="E75" s="1094"/>
      <c r="F75" s="1094"/>
      <c r="G75" s="1094"/>
      <c r="H75" s="1094"/>
      <c r="I75" s="1094"/>
      <c r="J75" s="1094"/>
      <c r="K75" s="1094"/>
      <c r="L75" s="840"/>
      <c r="M75" s="841"/>
      <c r="N75" s="841"/>
      <c r="O75" s="842"/>
      <c r="P75" s="853"/>
      <c r="Q75" s="854"/>
      <c r="R75" s="1116"/>
      <c r="S75" s="1206"/>
      <c r="T75" s="848"/>
      <c r="U75" s="841"/>
      <c r="V75" s="841"/>
      <c r="W75" s="842"/>
      <c r="X75" s="1084"/>
      <c r="Y75" s="1084"/>
      <c r="Z75" s="1187"/>
      <c r="AA75" s="1187"/>
      <c r="AB75" s="1174"/>
      <c r="AC75" s="1174"/>
      <c r="AD75" s="875"/>
      <c r="AE75" s="1098"/>
      <c r="AF75" s="1203"/>
      <c r="AG75" s="1204"/>
      <c r="AH75" s="1136"/>
      <c r="AI75" s="1137"/>
      <c r="AJ75" s="1137"/>
      <c r="AK75" s="1149"/>
      <c r="AL75" s="1149"/>
      <c r="AM75" s="1149"/>
      <c r="AN75" s="1139"/>
      <c r="AO75" s="1139"/>
      <c r="AP75" s="1139"/>
      <c r="AQ75" s="1139"/>
      <c r="AR75" s="59"/>
      <c r="AU75" s="1108"/>
      <c r="AV75" s="1108"/>
      <c r="AW75" s="1194"/>
      <c r="AX75" s="1075"/>
      <c r="AY75" s="1104"/>
      <c r="AZ75" s="1104"/>
      <c r="BA75" s="1104"/>
      <c r="BB75" s="1104"/>
      <c r="BC75" s="1104"/>
      <c r="BD75" s="1192"/>
      <c r="BE75" s="1104"/>
      <c r="BH75" s="1002"/>
    </row>
    <row r="76" spans="2:60" ht="15.95" hidden="1" customHeight="1">
      <c r="B76" s="929">
        <v>31</v>
      </c>
      <c r="C76" s="1093"/>
      <c r="D76" s="1093"/>
      <c r="E76" s="1093"/>
      <c r="F76" s="1093"/>
      <c r="G76" s="1093"/>
      <c r="H76" s="1093"/>
      <c r="I76" s="1093"/>
      <c r="J76" s="1093"/>
      <c r="K76" s="1093"/>
      <c r="L76" s="871"/>
      <c r="M76" s="872"/>
      <c r="N76" s="872"/>
      <c r="O76" s="873"/>
      <c r="P76" s="851"/>
      <c r="Q76" s="852"/>
      <c r="R76" s="1114"/>
      <c r="S76" s="1205"/>
      <c r="T76" s="1185"/>
      <c r="U76" s="872"/>
      <c r="V76" s="872"/>
      <c r="W76" s="873"/>
      <c r="X76" s="1083"/>
      <c r="Y76" s="1083"/>
      <c r="Z76" s="1186"/>
      <c r="AA76" s="1186"/>
      <c r="AB76" s="1173" t="str">
        <f t="shared" ref="AB76" si="200">IF(C76="New Construction","Incremental","")</f>
        <v/>
      </c>
      <c r="AC76" s="1173"/>
      <c r="AD76" s="874"/>
      <c r="AE76" s="1097"/>
      <c r="AF76" s="1201" t="str">
        <f t="shared" ref="AF76" si="201">IF(AB76="Incremental",0,"")</f>
        <v/>
      </c>
      <c r="AG76" s="1202"/>
      <c r="AH76" s="870" t="str">
        <f t="shared" ref="AH76" si="202">IF(OR(C76="",F76="",L76="",P76="",R76="",T76="",X76="",Z76="",AD76="",AF76=""),"",ROUND(AD76+AF76,2))</f>
        <v/>
      </c>
      <c r="AI76" s="1102"/>
      <c r="AJ76" s="1102"/>
      <c r="AK76" s="1111" t="str">
        <f t="shared" ref="AK76" si="203">IF(OR(C76="",F76="",F76="",L76="",P76="",R76="",T76="",X76="",Z76="",AB76="",AD76="",AF76=""),"",IF((P76*R76)-(X76*Z76)&lt;=0,0,ROUND((P76*R76)-(X76*Z76),2)))</f>
        <v/>
      </c>
      <c r="AL76" s="1111"/>
      <c r="AM76" s="1111"/>
      <c r="AN76" s="1138" t="str">
        <f t="shared" ref="AN76" si="204">IF(OR(C76="",F76="",F76="",L76="",P76="",R76="",T76="",X76="",Z76="",AB76="",AD76="",AF76=""),"",IF(BE76&lt;&gt;"",BE76,IF(C76="Custom",AY76,IF(C76="New Construction",AZ76,IF(C76="RCx",BA76)))))</f>
        <v/>
      </c>
      <c r="AO76" s="1138"/>
      <c r="AP76" s="1138"/>
      <c r="AQ76" s="1138"/>
      <c r="AR76" s="59"/>
      <c r="AU76" s="1109" t="str">
        <f>IF(F76="","",INDEX(CUSTNONLIGHTEUNIT,MATCH(F76,PROGRAMECAT[Category 1],0)))</f>
        <v/>
      </c>
      <c r="AV76" s="1109" t="str">
        <f>IF(OR(C76="",F76="",L76="",P76="",R76="",T76="",X76="",Z76="",AB76="",AD76="",AF76=""),"",((1+ELOSS)*((AK76*INDEX(ELECCB[NPV AEC $/kWh],MATCH(BB76,ELECCB[Year Number],1)))+(AX76*INDEX(ELECCB[NPV ACC+T&amp;D $/kW],MATCH(BB76,ELECCB[Year Number],1)))))/AH76)</f>
        <v/>
      </c>
      <c r="AW76" s="1193"/>
      <c r="AX76" s="1195" t="str">
        <f>IF(OR(C76="",F76="",L76="",P76="",R76="",T76="",X76="",Z76="",AB76="",AD76="",AF76=""),"",ROUND(AW76*(INDEX(PROGRAMECAT[Lighting Coincidence Factor],MATCH(F76,PROGRAMECAT[Category 1],0))),3))</f>
        <v/>
      </c>
      <c r="AY76" s="1188" t="str">
        <f>IF(OR(C76="",F76="",F76="",L76="",P76="",R76="",T76="",X76="",Z76="",AB76="",AD76="",AF76=""),"",IF(AB76="Total",ROUND(MIN(AH76*0.75,AK76*INDEX(INCRATE[Electric],MATCH("CMNONLIGHT",INCRATE[Incentive Type]))),2),IF(AB76="Incremental",ROUND(MIN(AH76,AK76*INDEX(INCRATE[Electric],MATCH("CMNONLIGHT",INCRATE[Incentive Type]))),2))))</f>
        <v/>
      </c>
      <c r="AZ76" s="1188" t="str">
        <f>IF(OR(C76="",F76="",F76="",L76="",P76="",R76="",T76="",X76="",Z76="",AB76="",AD76="",AF76=""),"",IF(AB76="Total",ROUND(MIN(AH76*0.75,AK76*INDEX(INCRATE[Electric],MATCH("NCNONLIGHT",INCRATE[Incentive Type]))),2),IF(AB76="Incremental",ROUND(MIN(AH76,AK76*INDEX(INCRATE[Electric],MATCH("NCNONLIGHT",INCRATE[Incentive Type]))),2))))</f>
        <v/>
      </c>
      <c r="BA76" s="1188" t="str">
        <f>IF(OR(C76="",F76="",F76="",L76="",P76="",R76="",T76="",X76="",Z76="",AB76="",AD76="",AF76=""),"",IF(AB76="Total",ROUND(MIN(AH76*0.75,AK76*INDEX(INCRATE[Electric],MATCH("RCX",INCRATE[Incentive Type]))),2),IF(AB76="Incremental",ROUND(MIN(AH76,AK76*INDEX(INCRATE[Electric],MATCH("RCX",INCRATE[Incentive Type]))),2))))</f>
        <v/>
      </c>
      <c r="BB76" s="1103" t="str">
        <f>IF(F76="","",INDEX(PROGRAMECAT[EUL],MATCH(F76,PROGRAMECAT[Category 1],0)))</f>
        <v/>
      </c>
      <c r="BC76" s="1103" t="str">
        <f>IFERROR(AH76/M02S02F35/AK76,"")</f>
        <v/>
      </c>
      <c r="BD76" s="1198" t="str">
        <f>IF(OR(C76="",F76="",L76="",P76="",R76="",T76="",X76="",Z76="",AB76="",AD76="",AF76=""),"",IF(ISNUMBER(AN76),INDEX(PROGRAMECAT[Measure Number],MATCH(F76,PROGRAMECAT[Category 1],0)),IF(AK76=0,"","000001")))</f>
        <v/>
      </c>
      <c r="BE76" s="1103" t="str">
        <f>IFERROR(IF((P76*R76)-(X76*Z76)&lt;=0,MEASURESAV,IF(M02S02F35="",MEASURERATE,IF(OR(F76="Others (Incremental)",F76="Others"),MEASURESUBMIT, IF(BC76&lt;1,MEASUREPAY,IF(AV76&lt;1,MEASURECB,""))))),MEASURESUBMIT)</f>
        <v>Submit for Review</v>
      </c>
      <c r="BH76" s="1001" t="str">
        <f ca="1">IF(OR(C76="",F76="",F76="",L76="",P76="",R76="",T76="",X76="",Z76="",AB76="",AD76="",AF76=""),"",IF('M01-S01'!$V$82&lt;TODAY(),0,IF(M02S02F46="Gas Only",0,IF(OR(AK76="",AK76&lt;0,AH76&lt;=AN76),0,MIN(AH76-AN76,ROUND(IF(OR(ISNUMBER(SEARCH("Compressed Air",F76)),ISNUMBER(SEARCH("T8",F76)),ISNUMBER(SEARCH("T5",F76)),ISNUMBER(SEARCH("MH",F76)),ISNUMBER(SEARCH("HPS",F76)),ISNUMBER(SEARCH("MV",F76))),AN76*0.2),2))))))</f>
        <v/>
      </c>
    </row>
    <row r="77" spans="2:60" ht="15.95" hidden="1" customHeight="1">
      <c r="B77" s="929"/>
      <c r="C77" s="1094"/>
      <c r="D77" s="1094"/>
      <c r="E77" s="1094"/>
      <c r="F77" s="1094"/>
      <c r="G77" s="1094"/>
      <c r="H77" s="1094"/>
      <c r="I77" s="1094"/>
      <c r="J77" s="1094"/>
      <c r="K77" s="1094"/>
      <c r="L77" s="840"/>
      <c r="M77" s="841"/>
      <c r="N77" s="841"/>
      <c r="O77" s="842"/>
      <c r="P77" s="853"/>
      <c r="Q77" s="854"/>
      <c r="R77" s="1116"/>
      <c r="S77" s="1206"/>
      <c r="T77" s="848"/>
      <c r="U77" s="841"/>
      <c r="V77" s="841"/>
      <c r="W77" s="842"/>
      <c r="X77" s="1084"/>
      <c r="Y77" s="1084"/>
      <c r="Z77" s="1187"/>
      <c r="AA77" s="1187"/>
      <c r="AB77" s="1174"/>
      <c r="AC77" s="1174"/>
      <c r="AD77" s="875"/>
      <c r="AE77" s="1098"/>
      <c r="AF77" s="1203"/>
      <c r="AG77" s="1204"/>
      <c r="AH77" s="1136"/>
      <c r="AI77" s="1137"/>
      <c r="AJ77" s="1137"/>
      <c r="AK77" s="1149"/>
      <c r="AL77" s="1149"/>
      <c r="AM77" s="1149"/>
      <c r="AN77" s="1139"/>
      <c r="AO77" s="1139"/>
      <c r="AP77" s="1139"/>
      <c r="AQ77" s="1139"/>
      <c r="AR77" s="59"/>
      <c r="AU77" s="1108"/>
      <c r="AV77" s="1108"/>
      <c r="AW77" s="1194"/>
      <c r="AX77" s="1075"/>
      <c r="AY77" s="1104"/>
      <c r="AZ77" s="1104"/>
      <c r="BA77" s="1104"/>
      <c r="BB77" s="1104"/>
      <c r="BC77" s="1104"/>
      <c r="BD77" s="1192"/>
      <c r="BE77" s="1104"/>
      <c r="BH77" s="1002"/>
    </row>
    <row r="78" spans="2:60" ht="15.95" hidden="1" customHeight="1">
      <c r="B78" s="929">
        <v>32</v>
      </c>
      <c r="C78" s="1093"/>
      <c r="D78" s="1093"/>
      <c r="E78" s="1093"/>
      <c r="F78" s="1093"/>
      <c r="G78" s="1093"/>
      <c r="H78" s="1093"/>
      <c r="I78" s="1093"/>
      <c r="J78" s="1093"/>
      <c r="K78" s="1093"/>
      <c r="L78" s="871"/>
      <c r="M78" s="872"/>
      <c r="N78" s="872"/>
      <c r="O78" s="873"/>
      <c r="P78" s="851"/>
      <c r="Q78" s="852"/>
      <c r="R78" s="1114"/>
      <c r="S78" s="1205"/>
      <c r="T78" s="1185"/>
      <c r="U78" s="872"/>
      <c r="V78" s="872"/>
      <c r="W78" s="873"/>
      <c r="X78" s="1083"/>
      <c r="Y78" s="1083"/>
      <c r="Z78" s="1186"/>
      <c r="AA78" s="1186"/>
      <c r="AB78" s="1173" t="str">
        <f t="shared" ref="AB78" si="205">IF(C78="New Construction","Incremental","")</f>
        <v/>
      </c>
      <c r="AC78" s="1173"/>
      <c r="AD78" s="874"/>
      <c r="AE78" s="1097"/>
      <c r="AF78" s="1201" t="str">
        <f t="shared" ref="AF78" si="206">IF(AB78="Incremental",0,"")</f>
        <v/>
      </c>
      <c r="AG78" s="1202"/>
      <c r="AH78" s="870" t="str">
        <f t="shared" ref="AH78" si="207">IF(OR(C78="",F78="",L78="",P78="",R78="",T78="",X78="",Z78="",AD78="",AF78=""),"",ROUND(AD78+AF78,2))</f>
        <v/>
      </c>
      <c r="AI78" s="1102"/>
      <c r="AJ78" s="1102"/>
      <c r="AK78" s="1111" t="str">
        <f t="shared" ref="AK78" si="208">IF(OR(C78="",F78="",F78="",L78="",P78="",R78="",T78="",X78="",Z78="",AB78="",AD78="",AF78=""),"",IF((P78*R78)-(X78*Z78)&lt;=0,0,ROUND((P78*R78)-(X78*Z78),2)))</f>
        <v/>
      </c>
      <c r="AL78" s="1111"/>
      <c r="AM78" s="1111"/>
      <c r="AN78" s="1138" t="str">
        <f t="shared" ref="AN78" si="209">IF(OR(C78="",F78="",F78="",L78="",P78="",R78="",T78="",X78="",Z78="",AB78="",AD78="",AF78=""),"",IF(BE78&lt;&gt;"",BE78,IF(C78="Custom",AY78,IF(C78="New Construction",AZ78,IF(C78="RCx",BA78)))))</f>
        <v/>
      </c>
      <c r="AO78" s="1138"/>
      <c r="AP78" s="1138"/>
      <c r="AQ78" s="1138"/>
      <c r="AR78" s="59"/>
      <c r="AU78" s="1109" t="str">
        <f>IF(F78="","",INDEX(CUSTNONLIGHTEUNIT,MATCH(F78,PROGRAMECAT[Category 1],0)))</f>
        <v/>
      </c>
      <c r="AV78" s="1109" t="str">
        <f>IF(OR(C78="",F78="",L78="",P78="",R78="",T78="",X78="",Z78="",AB78="",AD78="",AF78=""),"",((1+ELOSS)*((AK78*INDEX(ELECCB[NPV AEC $/kWh],MATCH(BB78,ELECCB[Year Number],1)))+(AX78*INDEX(ELECCB[NPV ACC+T&amp;D $/kW],MATCH(BB78,ELECCB[Year Number],1)))))/AH78)</f>
        <v/>
      </c>
      <c r="AW78" s="1193"/>
      <c r="AX78" s="1195" t="str">
        <f>IF(OR(C78="",F78="",L78="",P78="",R78="",T78="",X78="",Z78="",AB78="",AD78="",AF78=""),"",ROUND(AW78*(INDEX(PROGRAMECAT[Lighting Coincidence Factor],MATCH(F78,PROGRAMECAT[Category 1],0))),3))</f>
        <v/>
      </c>
      <c r="AY78" s="1188" t="str">
        <f>IF(OR(C78="",F78="",F78="",L78="",P78="",R78="",T78="",X78="",Z78="",AB78="",AD78="",AF78=""),"",IF(AB78="Total",ROUND(MIN(AH78*0.75,AK78*INDEX(INCRATE[Electric],MATCH("CMNONLIGHT",INCRATE[Incentive Type]))),2),IF(AB78="Incremental",ROUND(MIN(AH78,AK78*INDEX(INCRATE[Electric],MATCH("CMNONLIGHT",INCRATE[Incentive Type]))),2))))</f>
        <v/>
      </c>
      <c r="AZ78" s="1188" t="str">
        <f>IF(OR(C78="",F78="",F78="",L78="",P78="",R78="",T78="",X78="",Z78="",AB78="",AD78="",AF78=""),"",IF(AB78="Total",ROUND(MIN(AH78*0.75,AK78*INDEX(INCRATE[Electric],MATCH("NCNONLIGHT",INCRATE[Incentive Type]))),2),IF(AB78="Incremental",ROUND(MIN(AH78,AK78*INDEX(INCRATE[Electric],MATCH("NCNONLIGHT",INCRATE[Incentive Type]))),2))))</f>
        <v/>
      </c>
      <c r="BA78" s="1188" t="str">
        <f>IF(OR(C78="",F78="",F78="",L78="",P78="",R78="",T78="",X78="",Z78="",AB78="",AD78="",AF78=""),"",IF(AB78="Total",ROUND(MIN(AH78*0.75,AK78*INDEX(INCRATE[Electric],MATCH("RCX",INCRATE[Incentive Type]))),2),IF(AB78="Incremental",ROUND(MIN(AH78,AK78*INDEX(INCRATE[Electric],MATCH("RCX",INCRATE[Incentive Type]))),2))))</f>
        <v/>
      </c>
      <c r="BB78" s="1103" t="str">
        <f>IF(F78="","",INDEX(PROGRAMECAT[EUL],MATCH(F78,PROGRAMECAT[Category 1],0)))</f>
        <v/>
      </c>
      <c r="BC78" s="1103" t="str">
        <f>IFERROR(AH78/M02S02F35/AK78,"")</f>
        <v/>
      </c>
      <c r="BD78" s="1198" t="str">
        <f>IF(OR(C78="",F78="",L78="",P78="",R78="",T78="",X78="",Z78="",AB78="",AD78="",AF78=""),"",IF(ISNUMBER(AN78),INDEX(PROGRAMECAT[Measure Number],MATCH(F78,PROGRAMECAT[Category 1],0)),IF(AK78=0,"","000001")))</f>
        <v/>
      </c>
      <c r="BE78" s="1103" t="str">
        <f>IFERROR(IF((P78*R78)-(X78*Z78)&lt;=0,MEASURESAV,IF(M02S02F35="",MEASURERATE,IF(OR(F78="Others (Incremental)",F78="Others"),MEASURESUBMIT, IF(BC78&lt;1,MEASUREPAY,IF(AV78&lt;1,MEASURECB,""))))),MEASURESUBMIT)</f>
        <v>Submit for Review</v>
      </c>
      <c r="BH78" s="1001" t="str">
        <f ca="1">IF(OR(C78="",F78="",F78="",L78="",P78="",R78="",T78="",X78="",Z78="",AB78="",AD78="",AF78=""),"",IF('M01-S01'!$V$82&lt;TODAY(),0,IF(M02S02F46="Gas Only",0,IF(OR(AK78="",AK78&lt;0,AH78&lt;=AN78),0,MIN(AH78-AN78,ROUND(IF(OR(ISNUMBER(SEARCH("Compressed Air",F78)),ISNUMBER(SEARCH("T8",F78)),ISNUMBER(SEARCH("T5",F78)),ISNUMBER(SEARCH("MH",F78)),ISNUMBER(SEARCH("HPS",F78)),ISNUMBER(SEARCH("MV",F78))),AN78*0.2),2))))))</f>
        <v/>
      </c>
    </row>
    <row r="79" spans="2:60" ht="15.95" hidden="1" customHeight="1">
      <c r="B79" s="929"/>
      <c r="C79" s="1094"/>
      <c r="D79" s="1094"/>
      <c r="E79" s="1094"/>
      <c r="F79" s="1094"/>
      <c r="G79" s="1094"/>
      <c r="H79" s="1094"/>
      <c r="I79" s="1094"/>
      <c r="J79" s="1094"/>
      <c r="K79" s="1094"/>
      <c r="L79" s="840"/>
      <c r="M79" s="841"/>
      <c r="N79" s="841"/>
      <c r="O79" s="842"/>
      <c r="P79" s="853"/>
      <c r="Q79" s="854"/>
      <c r="R79" s="1116"/>
      <c r="S79" s="1206"/>
      <c r="T79" s="848"/>
      <c r="U79" s="841"/>
      <c r="V79" s="841"/>
      <c r="W79" s="842"/>
      <c r="X79" s="1084"/>
      <c r="Y79" s="1084"/>
      <c r="Z79" s="1187"/>
      <c r="AA79" s="1187"/>
      <c r="AB79" s="1174"/>
      <c r="AC79" s="1174"/>
      <c r="AD79" s="875"/>
      <c r="AE79" s="1098"/>
      <c r="AF79" s="1203"/>
      <c r="AG79" s="1204"/>
      <c r="AH79" s="1136"/>
      <c r="AI79" s="1137"/>
      <c r="AJ79" s="1137"/>
      <c r="AK79" s="1149"/>
      <c r="AL79" s="1149"/>
      <c r="AM79" s="1149"/>
      <c r="AN79" s="1139"/>
      <c r="AO79" s="1139"/>
      <c r="AP79" s="1139"/>
      <c r="AQ79" s="1139"/>
      <c r="AR79" s="59"/>
      <c r="AU79" s="1108"/>
      <c r="AV79" s="1108"/>
      <c r="AW79" s="1194"/>
      <c r="AX79" s="1075"/>
      <c r="AY79" s="1104"/>
      <c r="AZ79" s="1104"/>
      <c r="BA79" s="1104"/>
      <c r="BB79" s="1104"/>
      <c r="BC79" s="1104"/>
      <c r="BD79" s="1192"/>
      <c r="BE79" s="1104"/>
      <c r="BH79" s="1002"/>
    </row>
    <row r="80" spans="2:60" ht="15.95" hidden="1" customHeight="1">
      <c r="B80" s="929">
        <v>33</v>
      </c>
      <c r="C80" s="1093"/>
      <c r="D80" s="1093"/>
      <c r="E80" s="1093"/>
      <c r="F80" s="1093"/>
      <c r="G80" s="1093"/>
      <c r="H80" s="1093"/>
      <c r="I80" s="1093"/>
      <c r="J80" s="1093"/>
      <c r="K80" s="1093"/>
      <c r="L80" s="871"/>
      <c r="M80" s="872"/>
      <c r="N80" s="872"/>
      <c r="O80" s="873"/>
      <c r="P80" s="851"/>
      <c r="Q80" s="852"/>
      <c r="R80" s="1114"/>
      <c r="S80" s="1205"/>
      <c r="T80" s="1185"/>
      <c r="U80" s="872"/>
      <c r="V80" s="872"/>
      <c r="W80" s="873"/>
      <c r="X80" s="1083"/>
      <c r="Y80" s="1083"/>
      <c r="Z80" s="1186"/>
      <c r="AA80" s="1186"/>
      <c r="AB80" s="1173" t="str">
        <f t="shared" ref="AB80" si="210">IF(C80="New Construction","Incremental","")</f>
        <v/>
      </c>
      <c r="AC80" s="1173"/>
      <c r="AD80" s="874"/>
      <c r="AE80" s="1097"/>
      <c r="AF80" s="1201" t="str">
        <f t="shared" ref="AF80" si="211">IF(AB80="Incremental",0,"")</f>
        <v/>
      </c>
      <c r="AG80" s="1202"/>
      <c r="AH80" s="870" t="str">
        <f t="shared" ref="AH80" si="212">IF(OR(C80="",F80="",L80="",P80="",R80="",T80="",X80="",Z80="",AD80="",AF80=""),"",ROUND(AD80+AF80,2))</f>
        <v/>
      </c>
      <c r="AI80" s="1102"/>
      <c r="AJ80" s="1102"/>
      <c r="AK80" s="1111" t="str">
        <f t="shared" ref="AK80" si="213">IF(OR(C80="",F80="",F80="",L80="",P80="",R80="",T80="",X80="",Z80="",AB80="",AD80="",AF80=""),"",IF((P80*R80)-(X80*Z80)&lt;=0,0,ROUND((P80*R80)-(X80*Z80),2)))</f>
        <v/>
      </c>
      <c r="AL80" s="1111"/>
      <c r="AM80" s="1111"/>
      <c r="AN80" s="1138" t="str">
        <f t="shared" ref="AN80" si="214">IF(OR(C80="",F80="",F80="",L80="",P80="",R80="",T80="",X80="",Z80="",AB80="",AD80="",AF80=""),"",IF(BE80&lt;&gt;"",BE80,IF(C80="Custom",AY80,IF(C80="New Construction",AZ80,IF(C80="RCx",BA80)))))</f>
        <v/>
      </c>
      <c r="AO80" s="1138"/>
      <c r="AP80" s="1138"/>
      <c r="AQ80" s="1138"/>
      <c r="AR80" s="59"/>
      <c r="AU80" s="1109" t="str">
        <f>IF(F80="","",INDEX(CUSTNONLIGHTEUNIT,MATCH(F80,PROGRAMECAT[Category 1],0)))</f>
        <v/>
      </c>
      <c r="AV80" s="1109" t="str">
        <f>IF(OR(C80="",F80="",L80="",P80="",R80="",T80="",X80="",Z80="",AB80="",AD80="",AF80=""),"",((1+ELOSS)*((AK80*INDEX(ELECCB[NPV AEC $/kWh],MATCH(BB80,ELECCB[Year Number],1)))+(AX80*INDEX(ELECCB[NPV ACC+T&amp;D $/kW],MATCH(BB80,ELECCB[Year Number],1)))))/AH80)</f>
        <v/>
      </c>
      <c r="AW80" s="1193"/>
      <c r="AX80" s="1195" t="str">
        <f>IF(OR(C80="",F80="",L80="",P80="",R80="",T80="",X80="",Z80="",AB80="",AD80="",AF80=""),"",ROUND(AW80*(INDEX(PROGRAMECAT[Lighting Coincidence Factor],MATCH(F80,PROGRAMECAT[Category 1],0))),3))</f>
        <v/>
      </c>
      <c r="AY80" s="1188" t="str">
        <f>IF(OR(C80="",F80="",F80="",L80="",P80="",R80="",T80="",X80="",Z80="",AB80="",AD80="",AF80=""),"",IF(AB80="Total",ROUND(MIN(AH80*0.75,AK80*INDEX(INCRATE[Electric],MATCH("CMNONLIGHT",INCRATE[Incentive Type]))),2),IF(AB80="Incremental",ROUND(MIN(AH80,AK80*INDEX(INCRATE[Electric],MATCH("CMNONLIGHT",INCRATE[Incentive Type]))),2))))</f>
        <v/>
      </c>
      <c r="AZ80" s="1188" t="str">
        <f>IF(OR(C80="",F80="",F80="",L80="",P80="",R80="",T80="",X80="",Z80="",AB80="",AD80="",AF80=""),"",IF(AB80="Total",ROUND(MIN(AH80*0.75,AK80*INDEX(INCRATE[Electric],MATCH("NCNONLIGHT",INCRATE[Incentive Type]))),2),IF(AB80="Incremental",ROUND(MIN(AH80,AK80*INDEX(INCRATE[Electric],MATCH("NCNONLIGHT",INCRATE[Incentive Type]))),2))))</f>
        <v/>
      </c>
      <c r="BA80" s="1188" t="str">
        <f>IF(OR(C80="",F80="",F80="",L80="",P80="",R80="",T80="",X80="",Z80="",AB80="",AD80="",AF80=""),"",IF(AB80="Total",ROUND(MIN(AH80*0.75,AK80*INDEX(INCRATE[Electric],MATCH("RCX",INCRATE[Incentive Type]))),2),IF(AB80="Incremental",ROUND(MIN(AH80,AK80*INDEX(INCRATE[Electric],MATCH("RCX",INCRATE[Incentive Type]))),2))))</f>
        <v/>
      </c>
      <c r="BB80" s="1103" t="str">
        <f>IF(F80="","",INDEX(PROGRAMECAT[EUL],MATCH(F80,PROGRAMECAT[Category 1],0)))</f>
        <v/>
      </c>
      <c r="BC80" s="1103" t="str">
        <f>IFERROR(AH80/M02S02F35/AK80,"")</f>
        <v/>
      </c>
      <c r="BD80" s="1198" t="str">
        <f>IF(OR(C80="",F80="",L80="",P80="",R80="",T80="",X80="",Z80="",AB80="",AD80="",AF80=""),"",IF(ISNUMBER(AN80),INDEX(PROGRAMECAT[Measure Number],MATCH(F80,PROGRAMECAT[Category 1],0)),IF(AK80=0,"","000001")))</f>
        <v/>
      </c>
      <c r="BE80" s="1103" t="str">
        <f>IFERROR(IF((P80*R80)-(X80*Z80)&lt;=0,MEASURESAV,IF(M02S02F35="",MEASURERATE,IF(OR(F80="Others (Incremental)",F80="Others"),MEASURESUBMIT, IF(BC80&lt;1,MEASUREPAY,IF(AV80&lt;1,MEASURECB,""))))),MEASURESUBMIT)</f>
        <v>Submit for Review</v>
      </c>
      <c r="BH80" s="1001" t="str">
        <f ca="1">IF(OR(C80="",F80="",F80="",L80="",P80="",R80="",T80="",X80="",Z80="",AB80="",AD80="",AF80=""),"",IF('M01-S01'!$V$82&lt;TODAY(),0,IF(M02S02F46="Gas Only",0,IF(OR(AK80="",AK80&lt;0,AH80&lt;=AN80),0,MIN(AH80-AN80,ROUND(IF(OR(ISNUMBER(SEARCH("Compressed Air",F80)),ISNUMBER(SEARCH("T8",F80)),ISNUMBER(SEARCH("T5",F80)),ISNUMBER(SEARCH("MH",F80)),ISNUMBER(SEARCH("HPS",F80)),ISNUMBER(SEARCH("MV",F80))),AN80*0.2),2))))))</f>
        <v/>
      </c>
    </row>
    <row r="81" spans="2:60" ht="15.95" hidden="1" customHeight="1">
      <c r="B81" s="929"/>
      <c r="C81" s="1094"/>
      <c r="D81" s="1094"/>
      <c r="E81" s="1094"/>
      <c r="F81" s="1094"/>
      <c r="G81" s="1094"/>
      <c r="H81" s="1094"/>
      <c r="I81" s="1094"/>
      <c r="J81" s="1094"/>
      <c r="K81" s="1094"/>
      <c r="L81" s="840"/>
      <c r="M81" s="841"/>
      <c r="N81" s="841"/>
      <c r="O81" s="842"/>
      <c r="P81" s="853"/>
      <c r="Q81" s="854"/>
      <c r="R81" s="1116"/>
      <c r="S81" s="1206"/>
      <c r="T81" s="848"/>
      <c r="U81" s="841"/>
      <c r="V81" s="841"/>
      <c r="W81" s="842"/>
      <c r="X81" s="1084"/>
      <c r="Y81" s="1084"/>
      <c r="Z81" s="1187"/>
      <c r="AA81" s="1187"/>
      <c r="AB81" s="1174"/>
      <c r="AC81" s="1174"/>
      <c r="AD81" s="875"/>
      <c r="AE81" s="1098"/>
      <c r="AF81" s="1203"/>
      <c r="AG81" s="1204"/>
      <c r="AH81" s="1136"/>
      <c r="AI81" s="1137"/>
      <c r="AJ81" s="1137"/>
      <c r="AK81" s="1149"/>
      <c r="AL81" s="1149"/>
      <c r="AM81" s="1149"/>
      <c r="AN81" s="1139"/>
      <c r="AO81" s="1139"/>
      <c r="AP81" s="1139"/>
      <c r="AQ81" s="1139"/>
      <c r="AR81" s="59"/>
      <c r="AU81" s="1108"/>
      <c r="AV81" s="1108"/>
      <c r="AW81" s="1194"/>
      <c r="AX81" s="1075"/>
      <c r="AY81" s="1104"/>
      <c r="AZ81" s="1104"/>
      <c r="BA81" s="1104"/>
      <c r="BB81" s="1104"/>
      <c r="BC81" s="1104"/>
      <c r="BD81" s="1192"/>
      <c r="BE81" s="1104"/>
      <c r="BH81" s="1002"/>
    </row>
    <row r="82" spans="2:60" ht="15.95" hidden="1" customHeight="1">
      <c r="B82" s="929">
        <v>34</v>
      </c>
      <c r="C82" s="1093"/>
      <c r="D82" s="1093"/>
      <c r="E82" s="1093"/>
      <c r="F82" s="1093"/>
      <c r="G82" s="1093"/>
      <c r="H82" s="1093"/>
      <c r="I82" s="1093"/>
      <c r="J82" s="1093"/>
      <c r="K82" s="1093"/>
      <c r="L82" s="871"/>
      <c r="M82" s="872"/>
      <c r="N82" s="872"/>
      <c r="O82" s="873"/>
      <c r="P82" s="851"/>
      <c r="Q82" s="852"/>
      <c r="R82" s="1114"/>
      <c r="S82" s="1205"/>
      <c r="T82" s="1185"/>
      <c r="U82" s="872"/>
      <c r="V82" s="872"/>
      <c r="W82" s="873"/>
      <c r="X82" s="1083"/>
      <c r="Y82" s="1083"/>
      <c r="Z82" s="1186"/>
      <c r="AA82" s="1186"/>
      <c r="AB82" s="1173" t="str">
        <f t="shared" ref="AB82" si="215">IF(C82="New Construction","Incremental","")</f>
        <v/>
      </c>
      <c r="AC82" s="1173"/>
      <c r="AD82" s="874"/>
      <c r="AE82" s="1097"/>
      <c r="AF82" s="1201" t="str">
        <f t="shared" ref="AF82" si="216">IF(AB82="Incremental",0,"")</f>
        <v/>
      </c>
      <c r="AG82" s="1202"/>
      <c r="AH82" s="870" t="str">
        <f t="shared" ref="AH82" si="217">IF(OR(C82="",F82="",L82="",P82="",R82="",T82="",X82="",Z82="",AD82="",AF82=""),"",ROUND(AD82+AF82,2))</f>
        <v/>
      </c>
      <c r="AI82" s="1102"/>
      <c r="AJ82" s="1102"/>
      <c r="AK82" s="1111" t="str">
        <f t="shared" ref="AK82" si="218">IF(OR(C82="",F82="",F82="",L82="",P82="",R82="",T82="",X82="",Z82="",AB82="",AD82="",AF82=""),"",IF((P82*R82)-(X82*Z82)&lt;=0,0,ROUND((P82*R82)-(X82*Z82),2)))</f>
        <v/>
      </c>
      <c r="AL82" s="1111"/>
      <c r="AM82" s="1111"/>
      <c r="AN82" s="1138" t="str">
        <f t="shared" ref="AN82" si="219">IF(OR(C82="",F82="",F82="",L82="",P82="",R82="",T82="",X82="",Z82="",AB82="",AD82="",AF82=""),"",IF(BE82&lt;&gt;"",BE82,IF(C82="Custom",AY82,IF(C82="New Construction",AZ82,IF(C82="RCx",BA82)))))</f>
        <v/>
      </c>
      <c r="AO82" s="1138"/>
      <c r="AP82" s="1138"/>
      <c r="AQ82" s="1138"/>
      <c r="AR82" s="59"/>
      <c r="AU82" s="1109" t="str">
        <f>IF(F82="","",INDEX(CUSTNONLIGHTEUNIT,MATCH(F82,PROGRAMECAT[Category 1],0)))</f>
        <v/>
      </c>
      <c r="AV82" s="1109" t="str">
        <f>IF(OR(C82="",F82="",L82="",P82="",R82="",T82="",X82="",Z82="",AB82="",AD82="",AF82=""),"",((1+ELOSS)*((AK82*INDEX(ELECCB[NPV AEC $/kWh],MATCH(BB82,ELECCB[Year Number],1)))+(AX82*INDEX(ELECCB[NPV ACC+T&amp;D $/kW],MATCH(BB82,ELECCB[Year Number],1)))))/AH82)</f>
        <v/>
      </c>
      <c r="AW82" s="1193"/>
      <c r="AX82" s="1195" t="str">
        <f>IF(OR(C82="",F82="",L82="",P82="",R82="",T82="",X82="",Z82="",AB82="",AD82="",AF82=""),"",ROUND(AW82*(INDEX(PROGRAMECAT[Lighting Coincidence Factor],MATCH(F82,PROGRAMECAT[Category 1],0))),3))</f>
        <v/>
      </c>
      <c r="AY82" s="1188" t="str">
        <f>IF(OR(C82="",F82="",F82="",L82="",P82="",R82="",T82="",X82="",Z82="",AB82="",AD82="",AF82=""),"",IF(AB82="Total",ROUND(MIN(AH82*0.75,AK82*INDEX(INCRATE[Electric],MATCH("CMNONLIGHT",INCRATE[Incentive Type]))),2),IF(AB82="Incremental",ROUND(MIN(AH82,AK82*INDEX(INCRATE[Electric],MATCH("CMNONLIGHT",INCRATE[Incentive Type]))),2))))</f>
        <v/>
      </c>
      <c r="AZ82" s="1188" t="str">
        <f>IF(OR(C82="",F82="",F82="",L82="",P82="",R82="",T82="",X82="",Z82="",AB82="",AD82="",AF82=""),"",IF(AB82="Total",ROUND(MIN(AH82*0.75,AK82*INDEX(INCRATE[Electric],MATCH("NCNONLIGHT",INCRATE[Incentive Type]))),2),IF(AB82="Incremental",ROUND(MIN(AH82,AK82*INDEX(INCRATE[Electric],MATCH("NCNONLIGHT",INCRATE[Incentive Type]))),2))))</f>
        <v/>
      </c>
      <c r="BA82" s="1188" t="str">
        <f>IF(OR(C82="",F82="",F82="",L82="",P82="",R82="",T82="",X82="",Z82="",AB82="",AD82="",AF82=""),"",IF(AB82="Total",ROUND(MIN(AH82*0.75,AK82*INDEX(INCRATE[Electric],MATCH("RCX",INCRATE[Incentive Type]))),2),IF(AB82="Incremental",ROUND(MIN(AH82,AK82*INDEX(INCRATE[Electric],MATCH("RCX",INCRATE[Incentive Type]))),2))))</f>
        <v/>
      </c>
      <c r="BB82" s="1103" t="str">
        <f>IF(F82="","",INDEX(PROGRAMECAT[EUL],MATCH(F82,PROGRAMECAT[Category 1],0)))</f>
        <v/>
      </c>
      <c r="BC82" s="1103" t="str">
        <f>IFERROR(AH82/M02S02F35/AK82,"")</f>
        <v/>
      </c>
      <c r="BD82" s="1198" t="str">
        <f>IF(OR(C82="",F82="",L82="",P82="",R82="",T82="",X82="",Z82="",AB82="",AD82="",AF82=""),"",IF(ISNUMBER(AN82),INDEX(PROGRAMECAT[Measure Number],MATCH(F82,PROGRAMECAT[Category 1],0)),IF(AK82=0,"","000001")))</f>
        <v/>
      </c>
      <c r="BE82" s="1103" t="str">
        <f>IFERROR(IF((P82*R82)-(X82*Z82)&lt;=0,MEASURESAV,IF(M02S02F35="",MEASURERATE,IF(OR(F82="Others (Incremental)",F82="Others"),MEASURESUBMIT, IF(BC82&lt;1,MEASUREPAY,IF(AV82&lt;1,MEASURECB,""))))),MEASURESUBMIT)</f>
        <v>Submit for Review</v>
      </c>
      <c r="BH82" s="1001" t="str">
        <f ca="1">IF(OR(C82="",F82="",F82="",L82="",P82="",R82="",T82="",X82="",Z82="",AB82="",AD82="",AF82=""),"",IF('M01-S01'!$V$82&lt;TODAY(),0,IF(M02S02F46="Gas Only",0,IF(OR(AK82="",AK82&lt;0,AH82&lt;=AN82),0,MIN(AH82-AN82,ROUND(IF(OR(ISNUMBER(SEARCH("Compressed Air",F82)),ISNUMBER(SEARCH("T8",F82)),ISNUMBER(SEARCH("T5",F82)),ISNUMBER(SEARCH("MH",F82)),ISNUMBER(SEARCH("HPS",F82)),ISNUMBER(SEARCH("MV",F82))),AN82*0.2),2))))))</f>
        <v/>
      </c>
    </row>
    <row r="83" spans="2:60" ht="15.95" hidden="1" customHeight="1">
      <c r="B83" s="929"/>
      <c r="C83" s="1094"/>
      <c r="D83" s="1094"/>
      <c r="E83" s="1094"/>
      <c r="F83" s="1094"/>
      <c r="G83" s="1094"/>
      <c r="H83" s="1094"/>
      <c r="I83" s="1094"/>
      <c r="J83" s="1094"/>
      <c r="K83" s="1094"/>
      <c r="L83" s="840"/>
      <c r="M83" s="841"/>
      <c r="N83" s="841"/>
      <c r="O83" s="842"/>
      <c r="P83" s="853"/>
      <c r="Q83" s="854"/>
      <c r="R83" s="1116"/>
      <c r="S83" s="1206"/>
      <c r="T83" s="848"/>
      <c r="U83" s="841"/>
      <c r="V83" s="841"/>
      <c r="W83" s="842"/>
      <c r="X83" s="1084"/>
      <c r="Y83" s="1084"/>
      <c r="Z83" s="1187"/>
      <c r="AA83" s="1187"/>
      <c r="AB83" s="1174"/>
      <c r="AC83" s="1174"/>
      <c r="AD83" s="875"/>
      <c r="AE83" s="1098"/>
      <c r="AF83" s="1203"/>
      <c r="AG83" s="1204"/>
      <c r="AH83" s="1136"/>
      <c r="AI83" s="1137"/>
      <c r="AJ83" s="1137"/>
      <c r="AK83" s="1149"/>
      <c r="AL83" s="1149"/>
      <c r="AM83" s="1149"/>
      <c r="AN83" s="1139"/>
      <c r="AO83" s="1139"/>
      <c r="AP83" s="1139"/>
      <c r="AQ83" s="1139"/>
      <c r="AR83" s="59"/>
      <c r="AU83" s="1108"/>
      <c r="AV83" s="1108"/>
      <c r="AW83" s="1194"/>
      <c r="AX83" s="1075"/>
      <c r="AY83" s="1104"/>
      <c r="AZ83" s="1104"/>
      <c r="BA83" s="1104"/>
      <c r="BB83" s="1104"/>
      <c r="BC83" s="1104"/>
      <c r="BD83" s="1192"/>
      <c r="BE83" s="1104"/>
      <c r="BH83" s="1002"/>
    </row>
    <row r="84" spans="2:60" ht="15.95" hidden="1" customHeight="1">
      <c r="B84" s="929">
        <v>35</v>
      </c>
      <c r="C84" s="1093"/>
      <c r="D84" s="1093"/>
      <c r="E84" s="1093"/>
      <c r="F84" s="1093"/>
      <c r="G84" s="1093"/>
      <c r="H84" s="1093"/>
      <c r="I84" s="1093"/>
      <c r="J84" s="1093"/>
      <c r="K84" s="1093"/>
      <c r="L84" s="871"/>
      <c r="M84" s="872"/>
      <c r="N84" s="872"/>
      <c r="O84" s="873"/>
      <c r="P84" s="851"/>
      <c r="Q84" s="852"/>
      <c r="R84" s="1114"/>
      <c r="S84" s="1205"/>
      <c r="T84" s="1185"/>
      <c r="U84" s="872"/>
      <c r="V84" s="872"/>
      <c r="W84" s="873"/>
      <c r="X84" s="1083"/>
      <c r="Y84" s="1083"/>
      <c r="Z84" s="1186"/>
      <c r="AA84" s="1186"/>
      <c r="AB84" s="1173" t="str">
        <f t="shared" ref="AB84" si="220">IF(C84="New Construction","Incremental","")</f>
        <v/>
      </c>
      <c r="AC84" s="1173"/>
      <c r="AD84" s="874"/>
      <c r="AE84" s="1097"/>
      <c r="AF84" s="1201" t="str">
        <f t="shared" ref="AF84" si="221">IF(AB84="Incremental",0,"")</f>
        <v/>
      </c>
      <c r="AG84" s="1202"/>
      <c r="AH84" s="870" t="str">
        <f t="shared" ref="AH84" si="222">IF(OR(C84="",F84="",L84="",P84="",R84="",T84="",X84="",Z84="",AD84="",AF84=""),"",ROUND(AD84+AF84,2))</f>
        <v/>
      </c>
      <c r="AI84" s="1102"/>
      <c r="AJ84" s="1102"/>
      <c r="AK84" s="1111" t="str">
        <f t="shared" ref="AK84" si="223">IF(OR(C84="",F84="",F84="",L84="",P84="",R84="",T84="",X84="",Z84="",AB84="",AD84="",AF84=""),"",IF((P84*R84)-(X84*Z84)&lt;=0,0,ROUND((P84*R84)-(X84*Z84),2)))</f>
        <v/>
      </c>
      <c r="AL84" s="1111"/>
      <c r="AM84" s="1111"/>
      <c r="AN84" s="1138" t="str">
        <f t="shared" ref="AN84" si="224">IF(OR(C84="",F84="",F84="",L84="",P84="",R84="",T84="",X84="",Z84="",AB84="",AD84="",AF84=""),"",IF(BE84&lt;&gt;"",BE84,IF(C84="Custom",AY84,IF(C84="New Construction",AZ84,IF(C84="RCx",BA84)))))</f>
        <v/>
      </c>
      <c r="AO84" s="1138"/>
      <c r="AP84" s="1138"/>
      <c r="AQ84" s="1138"/>
      <c r="AR84" s="59"/>
      <c r="AU84" s="1109" t="str">
        <f>IF(F84="","",INDEX(CUSTNONLIGHTEUNIT,MATCH(F84,PROGRAMECAT[Category 1],0)))</f>
        <v/>
      </c>
      <c r="AV84" s="1109" t="str">
        <f>IF(OR(C84="",F84="",L84="",P84="",R84="",T84="",X84="",Z84="",AB84="",AD84="",AF84=""),"",((1+ELOSS)*((AK84*INDEX(ELECCB[NPV AEC $/kWh],MATCH(BB84,ELECCB[Year Number],1)))+(AX84*INDEX(ELECCB[NPV ACC+T&amp;D $/kW],MATCH(BB84,ELECCB[Year Number],1)))))/AH84)</f>
        <v/>
      </c>
      <c r="AW84" s="1193"/>
      <c r="AX84" s="1195" t="str">
        <f>IF(OR(C84="",F84="",L84="",P84="",R84="",T84="",X84="",Z84="",AB84="",AD84="",AF84=""),"",ROUND(AW84*(INDEX(PROGRAMECAT[Lighting Coincidence Factor],MATCH(F84,PROGRAMECAT[Category 1],0))),3))</f>
        <v/>
      </c>
      <c r="AY84" s="1188" t="str">
        <f>IF(OR(C84="",F84="",F84="",L84="",P84="",R84="",T84="",X84="",Z84="",AB84="",AD84="",AF84=""),"",IF(AB84="Total",ROUND(MIN(AH84*0.75,AK84*INDEX(INCRATE[Electric],MATCH("CMNONLIGHT",INCRATE[Incentive Type]))),2),IF(AB84="Incremental",ROUND(MIN(AH84,AK84*INDEX(INCRATE[Electric],MATCH("CMNONLIGHT",INCRATE[Incentive Type]))),2))))</f>
        <v/>
      </c>
      <c r="AZ84" s="1188" t="str">
        <f>IF(OR(C84="",F84="",F84="",L84="",P84="",R84="",T84="",X84="",Z84="",AB84="",AD84="",AF84=""),"",IF(AB84="Total",ROUND(MIN(AH84*0.75,AK84*INDEX(INCRATE[Electric],MATCH("NCNONLIGHT",INCRATE[Incentive Type]))),2),IF(AB84="Incremental",ROUND(MIN(AH84,AK84*INDEX(INCRATE[Electric],MATCH("NCNONLIGHT",INCRATE[Incentive Type]))),2))))</f>
        <v/>
      </c>
      <c r="BA84" s="1188" t="str">
        <f>IF(OR(C84="",F84="",F84="",L84="",P84="",R84="",T84="",X84="",Z84="",AB84="",AD84="",AF84=""),"",IF(AB84="Total",ROUND(MIN(AH84*0.75,AK84*INDEX(INCRATE[Electric],MATCH("RCX",INCRATE[Incentive Type]))),2),IF(AB84="Incremental",ROUND(MIN(AH84,AK84*INDEX(INCRATE[Electric],MATCH("RCX",INCRATE[Incentive Type]))),2))))</f>
        <v/>
      </c>
      <c r="BB84" s="1103" t="str">
        <f>IF(F84="","",INDEX(PROGRAMECAT[EUL],MATCH(F84,PROGRAMECAT[Category 1],0)))</f>
        <v/>
      </c>
      <c r="BC84" s="1103" t="str">
        <f>IFERROR(AH84/M02S02F35/AK84,"")</f>
        <v/>
      </c>
      <c r="BD84" s="1198" t="str">
        <f>IF(OR(C84="",F84="",L84="",P84="",R84="",T84="",X84="",Z84="",AB84="",AD84="",AF84=""),"",IF(ISNUMBER(AN84),INDEX(PROGRAMECAT[Measure Number],MATCH(F84,PROGRAMECAT[Category 1],0)),IF(AK84=0,"","000001")))</f>
        <v/>
      </c>
      <c r="BE84" s="1103" t="str">
        <f>IFERROR(IF((P84*R84)-(X84*Z84)&lt;=0,MEASURESAV,IF(M02S02F35="",MEASURERATE,IF(OR(F84="Others (Incremental)",F84="Others"),MEASURESUBMIT, IF(BC84&lt;1,MEASUREPAY,IF(AV84&lt;1,MEASURECB,""))))),MEASURESUBMIT)</f>
        <v>Submit for Review</v>
      </c>
      <c r="BH84" s="1001" t="str">
        <f ca="1">IF(OR(C84="",F84="",F84="",L84="",P84="",R84="",T84="",X84="",Z84="",AB84="",AD84="",AF84=""),"",IF('M01-S01'!$V$82&lt;TODAY(),0,IF(M02S02F46="Gas Only",0,IF(OR(AK84="",AK84&lt;0,AH84&lt;=AN84),0,MIN(AH84-AN84,ROUND(IF(OR(ISNUMBER(SEARCH("Compressed Air",F84)),ISNUMBER(SEARCH("T8",F84)),ISNUMBER(SEARCH("T5",F84)),ISNUMBER(SEARCH("MH",F84)),ISNUMBER(SEARCH("HPS",F84)),ISNUMBER(SEARCH("MV",F84))),AN84*0.2),2))))))</f>
        <v/>
      </c>
    </row>
    <row r="85" spans="2:60" ht="15.95" hidden="1" customHeight="1">
      <c r="B85" s="929"/>
      <c r="C85" s="1094"/>
      <c r="D85" s="1094"/>
      <c r="E85" s="1094"/>
      <c r="F85" s="1094"/>
      <c r="G85" s="1094"/>
      <c r="H85" s="1094"/>
      <c r="I85" s="1094"/>
      <c r="J85" s="1094"/>
      <c r="K85" s="1094"/>
      <c r="L85" s="840"/>
      <c r="M85" s="841"/>
      <c r="N85" s="841"/>
      <c r="O85" s="842"/>
      <c r="P85" s="853"/>
      <c r="Q85" s="854"/>
      <c r="R85" s="1116"/>
      <c r="S85" s="1206"/>
      <c r="T85" s="848"/>
      <c r="U85" s="841"/>
      <c r="V85" s="841"/>
      <c r="W85" s="842"/>
      <c r="X85" s="1084"/>
      <c r="Y85" s="1084"/>
      <c r="Z85" s="1187"/>
      <c r="AA85" s="1187"/>
      <c r="AB85" s="1174"/>
      <c r="AC85" s="1174"/>
      <c r="AD85" s="875"/>
      <c r="AE85" s="1098"/>
      <c r="AF85" s="1203"/>
      <c r="AG85" s="1204"/>
      <c r="AH85" s="1136"/>
      <c r="AI85" s="1137"/>
      <c r="AJ85" s="1137"/>
      <c r="AK85" s="1149"/>
      <c r="AL85" s="1149"/>
      <c r="AM85" s="1149"/>
      <c r="AN85" s="1139"/>
      <c r="AO85" s="1139"/>
      <c r="AP85" s="1139"/>
      <c r="AQ85" s="1139"/>
      <c r="AR85" s="59"/>
      <c r="AU85" s="1108"/>
      <c r="AV85" s="1108"/>
      <c r="AW85" s="1194"/>
      <c r="AX85" s="1075"/>
      <c r="AY85" s="1104"/>
      <c r="AZ85" s="1104"/>
      <c r="BA85" s="1104"/>
      <c r="BB85" s="1104"/>
      <c r="BC85" s="1104"/>
      <c r="BD85" s="1192"/>
      <c r="BE85" s="1104"/>
      <c r="BH85" s="1002"/>
    </row>
    <row r="86" spans="2:60" ht="15.95" hidden="1" customHeight="1">
      <c r="B86" s="929">
        <v>36</v>
      </c>
      <c r="C86" s="1093"/>
      <c r="D86" s="1093"/>
      <c r="E86" s="1093"/>
      <c r="F86" s="1093"/>
      <c r="G86" s="1093"/>
      <c r="H86" s="1093"/>
      <c r="I86" s="1093"/>
      <c r="J86" s="1093"/>
      <c r="K86" s="1093"/>
      <c r="L86" s="871"/>
      <c r="M86" s="872"/>
      <c r="N86" s="872"/>
      <c r="O86" s="873"/>
      <c r="P86" s="851"/>
      <c r="Q86" s="852"/>
      <c r="R86" s="1114"/>
      <c r="S86" s="1205"/>
      <c r="T86" s="1185"/>
      <c r="U86" s="872"/>
      <c r="V86" s="872"/>
      <c r="W86" s="873"/>
      <c r="X86" s="1083"/>
      <c r="Y86" s="1083"/>
      <c r="Z86" s="1186"/>
      <c r="AA86" s="1186"/>
      <c r="AB86" s="1173" t="str">
        <f t="shared" ref="AB86" si="225">IF(C86="New Construction","Incremental","")</f>
        <v/>
      </c>
      <c r="AC86" s="1173"/>
      <c r="AD86" s="874"/>
      <c r="AE86" s="1097"/>
      <c r="AF86" s="1201" t="str">
        <f t="shared" ref="AF86" si="226">IF(AB86="Incremental",0,"")</f>
        <v/>
      </c>
      <c r="AG86" s="1202"/>
      <c r="AH86" s="870" t="str">
        <f t="shared" ref="AH86" si="227">IF(OR(C86="",F86="",L86="",P86="",R86="",T86="",X86="",Z86="",AD86="",AF86=""),"",ROUND(AD86+AF86,2))</f>
        <v/>
      </c>
      <c r="AI86" s="1102"/>
      <c r="AJ86" s="1102"/>
      <c r="AK86" s="1111" t="str">
        <f t="shared" ref="AK86" si="228">IF(OR(C86="",F86="",F86="",L86="",P86="",R86="",T86="",X86="",Z86="",AB86="",AD86="",AF86=""),"",IF((P86*R86)-(X86*Z86)&lt;=0,0,ROUND((P86*R86)-(X86*Z86),2)))</f>
        <v/>
      </c>
      <c r="AL86" s="1111"/>
      <c r="AM86" s="1111"/>
      <c r="AN86" s="1138" t="str">
        <f t="shared" ref="AN86" si="229">IF(OR(C86="",F86="",F86="",L86="",P86="",R86="",T86="",X86="",Z86="",AB86="",AD86="",AF86=""),"",IF(BE86&lt;&gt;"",BE86,IF(C86="Custom",AY86,IF(C86="New Construction",AZ86,IF(C86="RCx",BA86)))))</f>
        <v/>
      </c>
      <c r="AO86" s="1138"/>
      <c r="AP86" s="1138"/>
      <c r="AQ86" s="1138"/>
      <c r="AR86" s="59"/>
      <c r="AU86" s="1109" t="str">
        <f>IF(F86="","",INDEX(CUSTNONLIGHTEUNIT,MATCH(F86,PROGRAMECAT[Category 1],0)))</f>
        <v/>
      </c>
      <c r="AV86" s="1109" t="str">
        <f>IF(OR(C86="",F86="",L86="",P86="",R86="",T86="",X86="",Z86="",AB86="",AD86="",AF86=""),"",((1+ELOSS)*((AK86*INDEX(ELECCB[NPV AEC $/kWh],MATCH(BB86,ELECCB[Year Number],1)))+(AX86*INDEX(ELECCB[NPV ACC+T&amp;D $/kW],MATCH(BB86,ELECCB[Year Number],1)))))/AH86)</f>
        <v/>
      </c>
      <c r="AW86" s="1193"/>
      <c r="AX86" s="1195" t="str">
        <f>IF(OR(C86="",F86="",L86="",P86="",R86="",T86="",X86="",Z86="",AB86="",AD86="",AF86=""),"",ROUND(AW86*(INDEX(PROGRAMECAT[Lighting Coincidence Factor],MATCH(F86,PROGRAMECAT[Category 1],0))),3))</f>
        <v/>
      </c>
      <c r="AY86" s="1188" t="str">
        <f>IF(OR(C86="",F86="",F86="",L86="",P86="",R86="",T86="",X86="",Z86="",AB86="",AD86="",AF86=""),"",IF(AB86="Total",ROUND(MIN(AH86*0.75,AK86*INDEX(INCRATE[Electric],MATCH("CMNONLIGHT",INCRATE[Incentive Type]))),2),IF(AB86="Incremental",ROUND(MIN(AH86,AK86*INDEX(INCRATE[Electric],MATCH("CMNONLIGHT",INCRATE[Incentive Type]))),2))))</f>
        <v/>
      </c>
      <c r="AZ86" s="1188" t="str">
        <f>IF(OR(C86="",F86="",F86="",L86="",P86="",R86="",T86="",X86="",Z86="",AB86="",AD86="",AF86=""),"",IF(AB86="Total",ROUND(MIN(AH86*0.75,AK86*INDEX(INCRATE[Electric],MATCH("NCNONLIGHT",INCRATE[Incentive Type]))),2),IF(AB86="Incremental",ROUND(MIN(AH86,AK86*INDEX(INCRATE[Electric],MATCH("NCNONLIGHT",INCRATE[Incentive Type]))),2))))</f>
        <v/>
      </c>
      <c r="BA86" s="1188" t="str">
        <f>IF(OR(C86="",F86="",F86="",L86="",P86="",R86="",T86="",X86="",Z86="",AB86="",AD86="",AF86=""),"",IF(AB86="Total",ROUND(MIN(AH86*0.75,AK86*INDEX(INCRATE[Electric],MATCH("RCX",INCRATE[Incentive Type]))),2),IF(AB86="Incremental",ROUND(MIN(AH86,AK86*INDEX(INCRATE[Electric],MATCH("RCX",INCRATE[Incentive Type]))),2))))</f>
        <v/>
      </c>
      <c r="BB86" s="1103" t="str">
        <f>IF(F86="","",INDEX(PROGRAMECAT[EUL],MATCH(F86,PROGRAMECAT[Category 1],0)))</f>
        <v/>
      </c>
      <c r="BC86" s="1103" t="str">
        <f>IFERROR(AH86/M02S02F35/AK86,"")</f>
        <v/>
      </c>
      <c r="BD86" s="1198" t="str">
        <f>IF(OR(C86="",F86="",L86="",P86="",R86="",T86="",X86="",Z86="",AB86="",AD86="",AF86=""),"",IF(ISNUMBER(AN86),INDEX(PROGRAMECAT[Measure Number],MATCH(F86,PROGRAMECAT[Category 1],0)),IF(AK86=0,"","000001")))</f>
        <v/>
      </c>
      <c r="BE86" s="1103" t="str">
        <f>IFERROR(IF((P86*R86)-(X86*Z86)&lt;=0,MEASURESAV,IF(M02S02F35="",MEASURERATE,IF(OR(F86="Others (Incremental)",F86="Others"),MEASURESUBMIT, IF(BC86&lt;1,MEASUREPAY,IF(AV86&lt;1,MEASURECB,""))))),MEASURESUBMIT)</f>
        <v>Submit for Review</v>
      </c>
      <c r="BH86" s="1001" t="str">
        <f ca="1">IF(OR(C86="",F86="",F86="",L86="",P86="",R86="",T86="",X86="",Z86="",AB86="",AD86="",AF86=""),"",IF('M01-S01'!$V$82&lt;TODAY(),0,IF(M02S02F46="Gas Only",0,IF(OR(AK86="",AK86&lt;0,AH86&lt;=AN86),0,MIN(AH86-AN86,ROUND(IF(OR(ISNUMBER(SEARCH("Compressed Air",F86)),ISNUMBER(SEARCH("T8",F86)),ISNUMBER(SEARCH("T5",F86)),ISNUMBER(SEARCH("MH",F86)),ISNUMBER(SEARCH("HPS",F86)),ISNUMBER(SEARCH("MV",F86))),AN86*0.2),2))))))</f>
        <v/>
      </c>
    </row>
    <row r="87" spans="2:60" ht="15.95" hidden="1" customHeight="1">
      <c r="B87" s="929"/>
      <c r="C87" s="1094"/>
      <c r="D87" s="1094"/>
      <c r="E87" s="1094"/>
      <c r="F87" s="1094"/>
      <c r="G87" s="1094"/>
      <c r="H87" s="1094"/>
      <c r="I87" s="1094"/>
      <c r="J87" s="1094"/>
      <c r="K87" s="1094"/>
      <c r="L87" s="840"/>
      <c r="M87" s="841"/>
      <c r="N87" s="841"/>
      <c r="O87" s="842"/>
      <c r="P87" s="853"/>
      <c r="Q87" s="854"/>
      <c r="R87" s="1116"/>
      <c r="S87" s="1206"/>
      <c r="T87" s="848"/>
      <c r="U87" s="841"/>
      <c r="V87" s="841"/>
      <c r="W87" s="842"/>
      <c r="X87" s="1084"/>
      <c r="Y87" s="1084"/>
      <c r="Z87" s="1187"/>
      <c r="AA87" s="1187"/>
      <c r="AB87" s="1174"/>
      <c r="AC87" s="1174"/>
      <c r="AD87" s="875"/>
      <c r="AE87" s="1098"/>
      <c r="AF87" s="1203"/>
      <c r="AG87" s="1204"/>
      <c r="AH87" s="1136"/>
      <c r="AI87" s="1137"/>
      <c r="AJ87" s="1137"/>
      <c r="AK87" s="1149"/>
      <c r="AL87" s="1149"/>
      <c r="AM87" s="1149"/>
      <c r="AN87" s="1139"/>
      <c r="AO87" s="1139"/>
      <c r="AP87" s="1139"/>
      <c r="AQ87" s="1139"/>
      <c r="AR87" s="59"/>
      <c r="AU87" s="1108"/>
      <c r="AV87" s="1108"/>
      <c r="AW87" s="1194"/>
      <c r="AX87" s="1075"/>
      <c r="AY87" s="1104"/>
      <c r="AZ87" s="1104"/>
      <c r="BA87" s="1104"/>
      <c r="BB87" s="1104"/>
      <c r="BC87" s="1104"/>
      <c r="BD87" s="1192"/>
      <c r="BE87" s="1104"/>
      <c r="BH87" s="1002"/>
    </row>
    <row r="88" spans="2:60" ht="15.95" hidden="1" customHeight="1">
      <c r="B88" s="929">
        <v>37</v>
      </c>
      <c r="C88" s="1093"/>
      <c r="D88" s="1093"/>
      <c r="E88" s="1093"/>
      <c r="F88" s="1093"/>
      <c r="G88" s="1093"/>
      <c r="H88" s="1093"/>
      <c r="I88" s="1093"/>
      <c r="J88" s="1093"/>
      <c r="K88" s="1093"/>
      <c r="L88" s="871"/>
      <c r="M88" s="872"/>
      <c r="N88" s="872"/>
      <c r="O88" s="873"/>
      <c r="P88" s="851"/>
      <c r="Q88" s="852"/>
      <c r="R88" s="1114"/>
      <c r="S88" s="1205"/>
      <c r="T88" s="1185"/>
      <c r="U88" s="872"/>
      <c r="V88" s="872"/>
      <c r="W88" s="873"/>
      <c r="X88" s="1083"/>
      <c r="Y88" s="1083"/>
      <c r="Z88" s="1186"/>
      <c r="AA88" s="1186"/>
      <c r="AB88" s="1173" t="str">
        <f t="shared" ref="AB88" si="230">IF(C88="New Construction","Incremental","")</f>
        <v/>
      </c>
      <c r="AC88" s="1173"/>
      <c r="AD88" s="874"/>
      <c r="AE88" s="1097"/>
      <c r="AF88" s="1201" t="str">
        <f t="shared" ref="AF88" si="231">IF(AB88="Incremental",0,"")</f>
        <v/>
      </c>
      <c r="AG88" s="1202"/>
      <c r="AH88" s="870" t="str">
        <f t="shared" ref="AH88" si="232">IF(OR(C88="",F88="",L88="",P88="",R88="",T88="",X88="",Z88="",AD88="",AF88=""),"",ROUND(AD88+AF88,2))</f>
        <v/>
      </c>
      <c r="AI88" s="1102"/>
      <c r="AJ88" s="1102"/>
      <c r="AK88" s="1111" t="str">
        <f t="shared" ref="AK88" si="233">IF(OR(C88="",F88="",F88="",L88="",P88="",R88="",T88="",X88="",Z88="",AB88="",AD88="",AF88=""),"",IF((P88*R88)-(X88*Z88)&lt;=0,0,ROUND((P88*R88)-(X88*Z88),2)))</f>
        <v/>
      </c>
      <c r="AL88" s="1111"/>
      <c r="AM88" s="1111"/>
      <c r="AN88" s="1138" t="str">
        <f t="shared" ref="AN88" si="234">IF(OR(C88="",F88="",F88="",L88="",P88="",R88="",T88="",X88="",Z88="",AB88="",AD88="",AF88=""),"",IF(BE88&lt;&gt;"",BE88,IF(C88="Custom",AY88,IF(C88="New Construction",AZ88,IF(C88="RCx",BA88)))))</f>
        <v/>
      </c>
      <c r="AO88" s="1138"/>
      <c r="AP88" s="1138"/>
      <c r="AQ88" s="1138"/>
      <c r="AR88" s="59"/>
      <c r="AU88" s="1109" t="str">
        <f>IF(F88="","",INDEX(CUSTNONLIGHTEUNIT,MATCH(F88,PROGRAMECAT[Category 1],0)))</f>
        <v/>
      </c>
      <c r="AV88" s="1109" t="str">
        <f>IF(OR(C88="",F88="",L88="",P88="",R88="",T88="",X88="",Z88="",AB88="",AD88="",AF88=""),"",((1+ELOSS)*((AK88*INDEX(ELECCB[NPV AEC $/kWh],MATCH(BB88,ELECCB[Year Number],1)))+(AX88*INDEX(ELECCB[NPV ACC+T&amp;D $/kW],MATCH(BB88,ELECCB[Year Number],1)))))/AH88)</f>
        <v/>
      </c>
      <c r="AW88" s="1193"/>
      <c r="AX88" s="1195" t="str">
        <f>IF(OR(C88="",F88="",L88="",P88="",R88="",T88="",X88="",Z88="",AB88="",AD88="",AF88=""),"",ROUND(AW88*(INDEX(PROGRAMECAT[Lighting Coincidence Factor],MATCH(F88,PROGRAMECAT[Category 1],0))),3))</f>
        <v/>
      </c>
      <c r="AY88" s="1188" t="str">
        <f>IF(OR(C88="",F88="",F88="",L88="",P88="",R88="",T88="",X88="",Z88="",AB88="",AD88="",AF88=""),"",IF(AB88="Total",ROUND(MIN(AH88*0.75,AK88*INDEX(INCRATE[Electric],MATCH("CMNONLIGHT",INCRATE[Incentive Type]))),2),IF(AB88="Incremental",ROUND(MIN(AH88,AK88*INDEX(INCRATE[Electric],MATCH("CMNONLIGHT",INCRATE[Incentive Type]))),2))))</f>
        <v/>
      </c>
      <c r="AZ88" s="1188" t="str">
        <f>IF(OR(C88="",F88="",F88="",L88="",P88="",R88="",T88="",X88="",Z88="",AB88="",AD88="",AF88=""),"",IF(AB88="Total",ROUND(MIN(AH88*0.75,AK88*INDEX(INCRATE[Electric],MATCH("NCNONLIGHT",INCRATE[Incentive Type]))),2),IF(AB88="Incremental",ROUND(MIN(AH88,AK88*INDEX(INCRATE[Electric],MATCH("NCNONLIGHT",INCRATE[Incentive Type]))),2))))</f>
        <v/>
      </c>
      <c r="BA88" s="1188" t="str">
        <f>IF(OR(C88="",F88="",F88="",L88="",P88="",R88="",T88="",X88="",Z88="",AB88="",AD88="",AF88=""),"",IF(AB88="Total",ROUND(MIN(AH88*0.75,AK88*INDEX(INCRATE[Electric],MATCH("RCX",INCRATE[Incentive Type]))),2),IF(AB88="Incremental",ROUND(MIN(AH88,AK88*INDEX(INCRATE[Electric],MATCH("RCX",INCRATE[Incentive Type]))),2))))</f>
        <v/>
      </c>
      <c r="BB88" s="1103" t="str">
        <f>IF(F88="","",INDEX(PROGRAMECAT[EUL],MATCH(F88,PROGRAMECAT[Category 1],0)))</f>
        <v/>
      </c>
      <c r="BC88" s="1103" t="str">
        <f>IFERROR(AH88/M02S02F35/AK88,"")</f>
        <v/>
      </c>
      <c r="BD88" s="1198" t="str">
        <f>IF(OR(C88="",F88="",L88="",P88="",R88="",T88="",X88="",Z88="",AB88="",AD88="",AF88=""),"",IF(ISNUMBER(AN88),INDEX(PROGRAMECAT[Measure Number],MATCH(F88,PROGRAMECAT[Category 1],0)),IF(AK88=0,"","000001")))</f>
        <v/>
      </c>
      <c r="BE88" s="1103" t="str">
        <f>IFERROR(IF((P88*R88)-(X88*Z88)&lt;=0,MEASURESAV,IF(M02S02F35="",MEASURERATE,IF(OR(F88="Others (Incremental)",F88="Others"),MEASURESUBMIT, IF(BC88&lt;1,MEASUREPAY,IF(AV88&lt;1,MEASURECB,""))))),MEASURESUBMIT)</f>
        <v>Submit for Review</v>
      </c>
      <c r="BH88" s="1001" t="str">
        <f ca="1">IF(OR(C88="",F88="",F88="",L88="",P88="",R88="",T88="",X88="",Z88="",AB88="",AD88="",AF88=""),"",IF('M01-S01'!$V$82&lt;TODAY(),0,IF(M02S02F46="Gas Only",0,IF(OR(AK88="",AK88&lt;0,AH88&lt;=AN88),0,MIN(AH88-AN88,ROUND(IF(OR(ISNUMBER(SEARCH("Compressed Air",F88)),ISNUMBER(SEARCH("T8",F88)),ISNUMBER(SEARCH("T5",F88)),ISNUMBER(SEARCH("MH",F88)),ISNUMBER(SEARCH("HPS",F88)),ISNUMBER(SEARCH("MV",F88))),AN88*0.2),2))))))</f>
        <v/>
      </c>
    </row>
    <row r="89" spans="2:60" ht="15.95" hidden="1" customHeight="1">
      <c r="B89" s="929"/>
      <c r="C89" s="1094"/>
      <c r="D89" s="1094"/>
      <c r="E89" s="1094"/>
      <c r="F89" s="1094"/>
      <c r="G89" s="1094"/>
      <c r="H89" s="1094"/>
      <c r="I89" s="1094"/>
      <c r="J89" s="1094"/>
      <c r="K89" s="1094"/>
      <c r="L89" s="840"/>
      <c r="M89" s="841"/>
      <c r="N89" s="841"/>
      <c r="O89" s="842"/>
      <c r="P89" s="853"/>
      <c r="Q89" s="854"/>
      <c r="R89" s="1116"/>
      <c r="S89" s="1206"/>
      <c r="T89" s="848"/>
      <c r="U89" s="841"/>
      <c r="V89" s="841"/>
      <c r="W89" s="842"/>
      <c r="X89" s="1084"/>
      <c r="Y89" s="1084"/>
      <c r="Z89" s="1187"/>
      <c r="AA89" s="1187"/>
      <c r="AB89" s="1174"/>
      <c r="AC89" s="1174"/>
      <c r="AD89" s="875"/>
      <c r="AE89" s="1098"/>
      <c r="AF89" s="1203"/>
      <c r="AG89" s="1204"/>
      <c r="AH89" s="1136"/>
      <c r="AI89" s="1137"/>
      <c r="AJ89" s="1137"/>
      <c r="AK89" s="1149"/>
      <c r="AL89" s="1149"/>
      <c r="AM89" s="1149"/>
      <c r="AN89" s="1139"/>
      <c r="AO89" s="1139"/>
      <c r="AP89" s="1139"/>
      <c r="AQ89" s="1139"/>
      <c r="AR89" s="59"/>
      <c r="AU89" s="1108"/>
      <c r="AV89" s="1108"/>
      <c r="AW89" s="1194"/>
      <c r="AX89" s="1075"/>
      <c r="AY89" s="1104"/>
      <c r="AZ89" s="1104"/>
      <c r="BA89" s="1104"/>
      <c r="BB89" s="1104"/>
      <c r="BC89" s="1104"/>
      <c r="BD89" s="1192"/>
      <c r="BE89" s="1104"/>
      <c r="BH89" s="1002"/>
    </row>
    <row r="90" spans="2:60" ht="15.95" hidden="1" customHeight="1">
      <c r="B90" s="929">
        <v>38</v>
      </c>
      <c r="C90" s="1093"/>
      <c r="D90" s="1093"/>
      <c r="E90" s="1093"/>
      <c r="F90" s="1093"/>
      <c r="G90" s="1093"/>
      <c r="H90" s="1093"/>
      <c r="I90" s="1093"/>
      <c r="J90" s="1093"/>
      <c r="K90" s="1093"/>
      <c r="L90" s="871"/>
      <c r="M90" s="872"/>
      <c r="N90" s="872"/>
      <c r="O90" s="873"/>
      <c r="P90" s="851"/>
      <c r="Q90" s="852"/>
      <c r="R90" s="1114"/>
      <c r="S90" s="1205"/>
      <c r="T90" s="1185"/>
      <c r="U90" s="872"/>
      <c r="V90" s="872"/>
      <c r="W90" s="873"/>
      <c r="X90" s="1083"/>
      <c r="Y90" s="1083"/>
      <c r="Z90" s="1186"/>
      <c r="AA90" s="1186"/>
      <c r="AB90" s="1173" t="str">
        <f t="shared" ref="AB90" si="235">IF(C90="New Construction","Incremental","")</f>
        <v/>
      </c>
      <c r="AC90" s="1173"/>
      <c r="AD90" s="874"/>
      <c r="AE90" s="1097"/>
      <c r="AF90" s="1201" t="str">
        <f t="shared" ref="AF90" si="236">IF(AB90="Incremental",0,"")</f>
        <v/>
      </c>
      <c r="AG90" s="1202"/>
      <c r="AH90" s="870" t="str">
        <f t="shared" ref="AH90" si="237">IF(OR(C90="",F90="",L90="",P90="",R90="",T90="",X90="",Z90="",AD90="",AF90=""),"",ROUND(AD90+AF90,2))</f>
        <v/>
      </c>
      <c r="AI90" s="1102"/>
      <c r="AJ90" s="1102"/>
      <c r="AK90" s="1111" t="str">
        <f t="shared" ref="AK90" si="238">IF(OR(C90="",F90="",F90="",L90="",P90="",R90="",T90="",X90="",Z90="",AB90="",AD90="",AF90=""),"",IF((P90*R90)-(X90*Z90)&lt;=0,0,ROUND((P90*R90)-(X90*Z90),2)))</f>
        <v/>
      </c>
      <c r="AL90" s="1111"/>
      <c r="AM90" s="1111"/>
      <c r="AN90" s="1138" t="str">
        <f t="shared" ref="AN90" si="239">IF(OR(C90="",F90="",F90="",L90="",P90="",R90="",T90="",X90="",Z90="",AB90="",AD90="",AF90=""),"",IF(BE90&lt;&gt;"",BE90,IF(C90="Custom",AY90,IF(C90="New Construction",AZ90,IF(C90="RCx",BA90)))))</f>
        <v/>
      </c>
      <c r="AO90" s="1138"/>
      <c r="AP90" s="1138"/>
      <c r="AQ90" s="1138"/>
      <c r="AR90" s="59"/>
      <c r="AU90" s="1109" t="str">
        <f>IF(F90="","",INDEX(CUSTNONLIGHTEUNIT,MATCH(F90,PROGRAMECAT[Category 1],0)))</f>
        <v/>
      </c>
      <c r="AV90" s="1109" t="str">
        <f>IF(OR(C90="",F90="",L90="",P90="",R90="",T90="",X90="",Z90="",AB90="",AD90="",AF90=""),"",((1+ELOSS)*((AK90*INDEX(ELECCB[NPV AEC $/kWh],MATCH(BB90,ELECCB[Year Number],1)))+(AX90*INDEX(ELECCB[NPV ACC+T&amp;D $/kW],MATCH(BB90,ELECCB[Year Number],1)))))/AH90)</f>
        <v/>
      </c>
      <c r="AW90" s="1193"/>
      <c r="AX90" s="1195" t="str">
        <f>IF(OR(C90="",F90="",L90="",P90="",R90="",T90="",X90="",Z90="",AB90="",AD90="",AF90=""),"",ROUND(AW90*(INDEX(PROGRAMECAT[Lighting Coincidence Factor],MATCH(F90,PROGRAMECAT[Category 1],0))),3))</f>
        <v/>
      </c>
      <c r="AY90" s="1188" t="str">
        <f>IF(OR(C90="",F90="",F90="",L90="",P90="",R90="",T90="",X90="",Z90="",AB90="",AD90="",AF90=""),"",IF(AB90="Total",ROUND(MIN(AH90*0.75,AK90*INDEX(INCRATE[Electric],MATCH("CMNONLIGHT",INCRATE[Incentive Type]))),2),IF(AB90="Incremental",ROUND(MIN(AH90,AK90*INDEX(INCRATE[Electric],MATCH("CMNONLIGHT",INCRATE[Incentive Type]))),2))))</f>
        <v/>
      </c>
      <c r="AZ90" s="1188" t="str">
        <f>IF(OR(C90="",F90="",F90="",L90="",P90="",R90="",T90="",X90="",Z90="",AB90="",AD90="",AF90=""),"",IF(AB90="Total",ROUND(MIN(AH90*0.75,AK90*INDEX(INCRATE[Electric],MATCH("NCNONLIGHT",INCRATE[Incentive Type]))),2),IF(AB90="Incremental",ROUND(MIN(AH90,AK90*INDEX(INCRATE[Electric],MATCH("NCNONLIGHT",INCRATE[Incentive Type]))),2))))</f>
        <v/>
      </c>
      <c r="BA90" s="1188" t="str">
        <f>IF(OR(C90="",F90="",F90="",L90="",P90="",R90="",T90="",X90="",Z90="",AB90="",AD90="",AF90=""),"",IF(AB90="Total",ROUND(MIN(AH90*0.75,AK90*INDEX(INCRATE[Electric],MATCH("RCX",INCRATE[Incentive Type]))),2),IF(AB90="Incremental",ROUND(MIN(AH90,AK90*INDEX(INCRATE[Electric],MATCH("RCX",INCRATE[Incentive Type]))),2))))</f>
        <v/>
      </c>
      <c r="BB90" s="1103" t="str">
        <f>IF(F90="","",INDEX(PROGRAMECAT[EUL],MATCH(F90,PROGRAMECAT[Category 1],0)))</f>
        <v/>
      </c>
      <c r="BC90" s="1103" t="str">
        <f>IFERROR(AH90/M02S02F35/AK90,"")</f>
        <v/>
      </c>
      <c r="BD90" s="1198" t="str">
        <f>IF(OR(C90="",F90="",L90="",P90="",R90="",T90="",X90="",Z90="",AB90="",AD90="",AF90=""),"",IF(ISNUMBER(AN90),INDEX(PROGRAMECAT[Measure Number],MATCH(F90,PROGRAMECAT[Category 1],0)),IF(AK90=0,"","000001")))</f>
        <v/>
      </c>
      <c r="BE90" s="1103" t="str">
        <f>IFERROR(IF((P90*R90)-(X90*Z90)&lt;=0,MEASURESAV,IF(M02S02F35="",MEASURERATE,IF(OR(F90="Others (Incremental)",F90="Others"),MEASURESUBMIT, IF(BC90&lt;1,MEASUREPAY,IF(AV90&lt;1,MEASURECB,""))))),MEASURESUBMIT)</f>
        <v>Submit for Review</v>
      </c>
      <c r="BH90" s="1001" t="str">
        <f ca="1">IF(OR(C90="",F90="",F90="",L90="",P90="",R90="",T90="",X90="",Z90="",AB90="",AD90="",AF90=""),"",IF('M01-S01'!$V$82&lt;TODAY(),0,IF(M02S02F46="Gas Only",0,IF(OR(AK90="",AK90&lt;0,AH90&lt;=AN90),0,MIN(AH90-AN90,ROUND(IF(OR(ISNUMBER(SEARCH("Compressed Air",F90)),ISNUMBER(SEARCH("T8",F90)),ISNUMBER(SEARCH("T5",F90)),ISNUMBER(SEARCH("MH",F90)),ISNUMBER(SEARCH("HPS",F90)),ISNUMBER(SEARCH("MV",F90))),AN90*0.2),2))))))</f>
        <v/>
      </c>
    </row>
    <row r="91" spans="2:60" ht="15.95" hidden="1" customHeight="1">
      <c r="B91" s="929"/>
      <c r="C91" s="1094"/>
      <c r="D91" s="1094"/>
      <c r="E91" s="1094"/>
      <c r="F91" s="1094"/>
      <c r="G91" s="1094"/>
      <c r="H91" s="1094"/>
      <c r="I91" s="1094"/>
      <c r="J91" s="1094"/>
      <c r="K91" s="1094"/>
      <c r="L91" s="840"/>
      <c r="M91" s="841"/>
      <c r="N91" s="841"/>
      <c r="O91" s="842"/>
      <c r="P91" s="853"/>
      <c r="Q91" s="854"/>
      <c r="R91" s="1116"/>
      <c r="S91" s="1206"/>
      <c r="T91" s="848"/>
      <c r="U91" s="841"/>
      <c r="V91" s="841"/>
      <c r="W91" s="842"/>
      <c r="X91" s="1084"/>
      <c r="Y91" s="1084"/>
      <c r="Z91" s="1187"/>
      <c r="AA91" s="1187"/>
      <c r="AB91" s="1174"/>
      <c r="AC91" s="1174"/>
      <c r="AD91" s="875"/>
      <c r="AE91" s="1098"/>
      <c r="AF91" s="1203"/>
      <c r="AG91" s="1204"/>
      <c r="AH91" s="1136"/>
      <c r="AI91" s="1137"/>
      <c r="AJ91" s="1137"/>
      <c r="AK91" s="1149"/>
      <c r="AL91" s="1149"/>
      <c r="AM91" s="1149"/>
      <c r="AN91" s="1139"/>
      <c r="AO91" s="1139"/>
      <c r="AP91" s="1139"/>
      <c r="AQ91" s="1139"/>
      <c r="AR91" s="59"/>
      <c r="AU91" s="1108"/>
      <c r="AV91" s="1108"/>
      <c r="AW91" s="1194"/>
      <c r="AX91" s="1075"/>
      <c r="AY91" s="1104"/>
      <c r="AZ91" s="1104"/>
      <c r="BA91" s="1104"/>
      <c r="BB91" s="1104"/>
      <c r="BC91" s="1104"/>
      <c r="BD91" s="1192"/>
      <c r="BE91" s="1104"/>
      <c r="BH91" s="1002"/>
    </row>
    <row r="92" spans="2:60" ht="15.95" hidden="1" customHeight="1">
      <c r="B92" s="929">
        <v>39</v>
      </c>
      <c r="C92" s="1093"/>
      <c r="D92" s="1093"/>
      <c r="E92" s="1093"/>
      <c r="F92" s="1093"/>
      <c r="G92" s="1093"/>
      <c r="H92" s="1093"/>
      <c r="I92" s="1093"/>
      <c r="J92" s="1093"/>
      <c r="K92" s="1093"/>
      <c r="L92" s="871"/>
      <c r="M92" s="872"/>
      <c r="N92" s="872"/>
      <c r="O92" s="873"/>
      <c r="P92" s="851"/>
      <c r="Q92" s="852"/>
      <c r="R92" s="1114"/>
      <c r="S92" s="1205"/>
      <c r="T92" s="1185"/>
      <c r="U92" s="872"/>
      <c r="V92" s="872"/>
      <c r="W92" s="873"/>
      <c r="X92" s="1083"/>
      <c r="Y92" s="1083"/>
      <c r="Z92" s="1186"/>
      <c r="AA92" s="1186"/>
      <c r="AB92" s="1173" t="str">
        <f t="shared" ref="AB92" si="240">IF(C92="New Construction","Incremental","")</f>
        <v/>
      </c>
      <c r="AC92" s="1173"/>
      <c r="AD92" s="874"/>
      <c r="AE92" s="1097"/>
      <c r="AF92" s="1201" t="str">
        <f t="shared" ref="AF92" si="241">IF(AB92="Incremental",0,"")</f>
        <v/>
      </c>
      <c r="AG92" s="1202"/>
      <c r="AH92" s="870" t="str">
        <f t="shared" ref="AH92" si="242">IF(OR(C92="",F92="",L92="",P92="",R92="",T92="",X92="",Z92="",AD92="",AF92=""),"",ROUND(AD92+AF92,2))</f>
        <v/>
      </c>
      <c r="AI92" s="1102"/>
      <c r="AJ92" s="1102"/>
      <c r="AK92" s="1111" t="str">
        <f t="shared" ref="AK92" si="243">IF(OR(C92="",F92="",F92="",L92="",P92="",R92="",T92="",X92="",Z92="",AB92="",AD92="",AF92=""),"",IF((P92*R92)-(X92*Z92)&lt;=0,0,ROUND((P92*R92)-(X92*Z92),2)))</f>
        <v/>
      </c>
      <c r="AL92" s="1111"/>
      <c r="AM92" s="1111"/>
      <c r="AN92" s="1138" t="str">
        <f t="shared" ref="AN92" si="244">IF(OR(C92="",F92="",F92="",L92="",P92="",R92="",T92="",X92="",Z92="",AB92="",AD92="",AF92=""),"",IF(BE92&lt;&gt;"",BE92,IF(C92="Custom",AY92,IF(C92="New Construction",AZ92,IF(C92="RCx",BA92)))))</f>
        <v/>
      </c>
      <c r="AO92" s="1138"/>
      <c r="AP92" s="1138"/>
      <c r="AQ92" s="1138"/>
      <c r="AR92" s="59"/>
      <c r="AU92" s="1109" t="str">
        <f>IF(F92="","",INDEX(CUSTNONLIGHTEUNIT,MATCH(F92,PROGRAMECAT[Category 1],0)))</f>
        <v/>
      </c>
      <c r="AV92" s="1109" t="str">
        <f>IF(OR(C92="",F92="",L92="",P92="",R92="",T92="",X92="",Z92="",AB92="",AD92="",AF92=""),"",((1+ELOSS)*((AK92*INDEX(ELECCB[NPV AEC $/kWh],MATCH(BB92,ELECCB[Year Number],1)))+(AX92*INDEX(ELECCB[NPV ACC+T&amp;D $/kW],MATCH(BB92,ELECCB[Year Number],1)))))/AH92)</f>
        <v/>
      </c>
      <c r="AW92" s="1193"/>
      <c r="AX92" s="1195" t="str">
        <f>IF(OR(C92="",F92="",L92="",P92="",R92="",T92="",X92="",Z92="",AB92="",AD92="",AF92=""),"",ROUND(AW92*(INDEX(PROGRAMECAT[Lighting Coincidence Factor],MATCH(F92,PROGRAMECAT[Category 1],0))),3))</f>
        <v/>
      </c>
      <c r="AY92" s="1188" t="str">
        <f>IF(OR(C92="",F92="",F92="",L92="",P92="",R92="",T92="",X92="",Z92="",AB92="",AD92="",AF92=""),"",IF(AB92="Total",ROUND(MIN(AH92*0.75,AK92*INDEX(INCRATE[Electric],MATCH("CMNONLIGHT",INCRATE[Incentive Type]))),2),IF(AB92="Incremental",ROUND(MIN(AH92,AK92*INDEX(INCRATE[Electric],MATCH("CMNONLIGHT",INCRATE[Incentive Type]))),2))))</f>
        <v/>
      </c>
      <c r="AZ92" s="1188" t="str">
        <f>IF(OR(C92="",F92="",F92="",L92="",P92="",R92="",T92="",X92="",Z92="",AB92="",AD92="",AF92=""),"",IF(AB92="Total",ROUND(MIN(AH92*0.75,AK92*INDEX(INCRATE[Electric],MATCH("NCNONLIGHT",INCRATE[Incentive Type]))),2),IF(AB92="Incremental",ROUND(MIN(AH92,AK92*INDEX(INCRATE[Electric],MATCH("NCNONLIGHT",INCRATE[Incentive Type]))),2))))</f>
        <v/>
      </c>
      <c r="BA92" s="1188" t="str">
        <f>IF(OR(C92="",F92="",F92="",L92="",P92="",R92="",T92="",X92="",Z92="",AB92="",AD92="",AF92=""),"",IF(AB92="Total",ROUND(MIN(AH92*0.75,AK92*INDEX(INCRATE[Electric],MATCH("RCX",INCRATE[Incentive Type]))),2),IF(AB92="Incremental",ROUND(MIN(AH92,AK92*INDEX(INCRATE[Electric],MATCH("RCX",INCRATE[Incentive Type]))),2))))</f>
        <v/>
      </c>
      <c r="BB92" s="1103" t="str">
        <f>IF(F92="","",INDEX(PROGRAMECAT[EUL],MATCH(F92,PROGRAMECAT[Category 1],0)))</f>
        <v/>
      </c>
      <c r="BC92" s="1103" t="str">
        <f>IFERROR(AH92/M02S02F35/AK92,"")</f>
        <v/>
      </c>
      <c r="BD92" s="1198" t="str">
        <f>IF(OR(C92="",F92="",L92="",P92="",R92="",T92="",X92="",Z92="",AB92="",AD92="",AF92=""),"",IF(ISNUMBER(AN92),INDEX(PROGRAMECAT[Measure Number],MATCH(F92,PROGRAMECAT[Category 1],0)),IF(AK92=0,"","000001")))</f>
        <v/>
      </c>
      <c r="BE92" s="1103" t="str">
        <f>IFERROR(IF((P92*R92)-(X92*Z92)&lt;=0,MEASURESAV,IF(M02S02F35="",MEASURERATE,IF(OR(F92="Others (Incremental)",F92="Others"),MEASURESUBMIT, IF(BC92&lt;1,MEASUREPAY,IF(AV92&lt;1,MEASURECB,""))))),MEASURESUBMIT)</f>
        <v>Submit for Review</v>
      </c>
      <c r="BH92" s="1001" t="str">
        <f ca="1">IF(OR(C92="",F92="",F92="",L92="",P92="",R92="",T92="",X92="",Z92="",AB92="",AD92="",AF92=""),"",IF('M01-S01'!$V$82&lt;TODAY(),0,IF(M02S02F46="Gas Only",0,IF(OR(AK92="",AK92&lt;0,AH92&lt;=AN92),0,MIN(AH92-AN92,ROUND(IF(OR(ISNUMBER(SEARCH("Compressed Air",F92)),ISNUMBER(SEARCH("T8",F92)),ISNUMBER(SEARCH("T5",F92)),ISNUMBER(SEARCH("MH",F92)),ISNUMBER(SEARCH("HPS",F92)),ISNUMBER(SEARCH("MV",F92))),AN92*0.2),2))))))</f>
        <v/>
      </c>
    </row>
    <row r="93" spans="2:60" ht="15.95" hidden="1" customHeight="1">
      <c r="B93" s="929"/>
      <c r="C93" s="1094"/>
      <c r="D93" s="1094"/>
      <c r="E93" s="1094"/>
      <c r="F93" s="1094"/>
      <c r="G93" s="1094"/>
      <c r="H93" s="1094"/>
      <c r="I93" s="1094"/>
      <c r="J93" s="1094"/>
      <c r="K93" s="1094"/>
      <c r="L93" s="840"/>
      <c r="M93" s="841"/>
      <c r="N93" s="841"/>
      <c r="O93" s="842"/>
      <c r="P93" s="853"/>
      <c r="Q93" s="854"/>
      <c r="R93" s="1116"/>
      <c r="S93" s="1206"/>
      <c r="T93" s="848"/>
      <c r="U93" s="841"/>
      <c r="V93" s="841"/>
      <c r="W93" s="842"/>
      <c r="X93" s="1084"/>
      <c r="Y93" s="1084"/>
      <c r="Z93" s="1187"/>
      <c r="AA93" s="1187"/>
      <c r="AB93" s="1174"/>
      <c r="AC93" s="1174"/>
      <c r="AD93" s="875"/>
      <c r="AE93" s="1098"/>
      <c r="AF93" s="1203"/>
      <c r="AG93" s="1204"/>
      <c r="AH93" s="1136"/>
      <c r="AI93" s="1137"/>
      <c r="AJ93" s="1137"/>
      <c r="AK93" s="1149"/>
      <c r="AL93" s="1149"/>
      <c r="AM93" s="1149"/>
      <c r="AN93" s="1139"/>
      <c r="AO93" s="1139"/>
      <c r="AP93" s="1139"/>
      <c r="AQ93" s="1139"/>
      <c r="AR93" s="59"/>
      <c r="AU93" s="1108"/>
      <c r="AV93" s="1108"/>
      <c r="AW93" s="1194"/>
      <c r="AX93" s="1075"/>
      <c r="AY93" s="1104"/>
      <c r="AZ93" s="1104"/>
      <c r="BA93" s="1104"/>
      <c r="BB93" s="1104"/>
      <c r="BC93" s="1104"/>
      <c r="BD93" s="1192"/>
      <c r="BE93" s="1104"/>
      <c r="BH93" s="1002"/>
    </row>
    <row r="94" spans="2:60" ht="15.95" hidden="1" customHeight="1">
      <c r="B94" s="929">
        <v>40</v>
      </c>
      <c r="C94" s="1093"/>
      <c r="D94" s="1093"/>
      <c r="E94" s="1093"/>
      <c r="F94" s="1093"/>
      <c r="G94" s="1093"/>
      <c r="H94" s="1093"/>
      <c r="I94" s="1093"/>
      <c r="J94" s="1093"/>
      <c r="K94" s="1093"/>
      <c r="L94" s="871"/>
      <c r="M94" s="872"/>
      <c r="N94" s="872"/>
      <c r="O94" s="873"/>
      <c r="P94" s="851"/>
      <c r="Q94" s="852"/>
      <c r="R94" s="1114"/>
      <c r="S94" s="1205"/>
      <c r="T94" s="1185"/>
      <c r="U94" s="872"/>
      <c r="V94" s="872"/>
      <c r="W94" s="873"/>
      <c r="X94" s="1083"/>
      <c r="Y94" s="1083"/>
      <c r="Z94" s="1186"/>
      <c r="AA94" s="1186"/>
      <c r="AB94" s="1173" t="str">
        <f t="shared" ref="AB94" si="245">IF(C94="New Construction","Incremental","")</f>
        <v/>
      </c>
      <c r="AC94" s="1173"/>
      <c r="AD94" s="874"/>
      <c r="AE94" s="1097"/>
      <c r="AF94" s="1201" t="str">
        <f t="shared" ref="AF94" si="246">IF(AB94="Incremental",0,"")</f>
        <v/>
      </c>
      <c r="AG94" s="1202"/>
      <c r="AH94" s="870" t="str">
        <f t="shared" ref="AH94" si="247">IF(OR(C94="",F94="",L94="",P94="",R94="",T94="",X94="",Z94="",AD94="",AF94=""),"",ROUND(AD94+AF94,2))</f>
        <v/>
      </c>
      <c r="AI94" s="1102"/>
      <c r="AJ94" s="1102"/>
      <c r="AK94" s="1111" t="str">
        <f t="shared" ref="AK94" si="248">IF(OR(C94="",F94="",F94="",L94="",P94="",R94="",T94="",X94="",Z94="",AB94="",AD94="",AF94=""),"",IF((P94*R94)-(X94*Z94)&lt;=0,0,ROUND((P94*R94)-(X94*Z94),2)))</f>
        <v/>
      </c>
      <c r="AL94" s="1111"/>
      <c r="AM94" s="1111"/>
      <c r="AN94" s="1138" t="str">
        <f t="shared" ref="AN94" si="249">IF(OR(C94="",F94="",F94="",L94="",P94="",R94="",T94="",X94="",Z94="",AB94="",AD94="",AF94=""),"",IF(BE94&lt;&gt;"",BE94,IF(C94="Custom",AY94,IF(C94="New Construction",AZ94,IF(C94="RCx",BA94)))))</f>
        <v/>
      </c>
      <c r="AO94" s="1138"/>
      <c r="AP94" s="1138"/>
      <c r="AQ94" s="1138"/>
      <c r="AR94" s="59"/>
      <c r="AU94" s="1109" t="str">
        <f>IF(F94="","",INDEX(CUSTNONLIGHTEUNIT,MATCH(F94,PROGRAMECAT[Category 1],0)))</f>
        <v/>
      </c>
      <c r="AV94" s="1109" t="str">
        <f>IF(OR(C94="",F94="",L94="",P94="",R94="",T94="",X94="",Z94="",AB94="",AD94="",AF94=""),"",((1+ELOSS)*((AK94*INDEX(ELECCB[NPV AEC $/kWh],MATCH(BB94,ELECCB[Year Number],1)))+(AX94*INDEX(ELECCB[NPV ACC+T&amp;D $/kW],MATCH(BB94,ELECCB[Year Number],1)))))/AH94)</f>
        <v/>
      </c>
      <c r="AW94" s="1193"/>
      <c r="AX94" s="1195" t="str">
        <f>IF(OR(C94="",F94="",L94="",P94="",R94="",T94="",X94="",Z94="",AB94="",AD94="",AF94=""),"",ROUND(AW94*(INDEX(PROGRAMECAT[Lighting Coincidence Factor],MATCH(F94,PROGRAMECAT[Category 1],0))),3))</f>
        <v/>
      </c>
      <c r="AY94" s="1188" t="str">
        <f>IF(OR(C94="",F94="",F94="",L94="",P94="",R94="",T94="",X94="",Z94="",AB94="",AD94="",AF94=""),"",IF(AB94="Total",ROUND(MIN(AH94*0.75,AK94*INDEX(INCRATE[Electric],MATCH("CMNONLIGHT",INCRATE[Incentive Type]))),2),IF(AB94="Incremental",ROUND(MIN(AH94,AK94*INDEX(INCRATE[Electric],MATCH("CMNONLIGHT",INCRATE[Incentive Type]))),2))))</f>
        <v/>
      </c>
      <c r="AZ94" s="1188" t="str">
        <f>IF(OR(C94="",F94="",F94="",L94="",P94="",R94="",T94="",X94="",Z94="",AB94="",AD94="",AF94=""),"",IF(AB94="Total",ROUND(MIN(AH94*0.75,AK94*INDEX(INCRATE[Electric],MATCH("NCNONLIGHT",INCRATE[Incentive Type]))),2),IF(AB94="Incremental",ROUND(MIN(AH94,AK94*INDEX(INCRATE[Electric],MATCH("NCNONLIGHT",INCRATE[Incentive Type]))),2))))</f>
        <v/>
      </c>
      <c r="BA94" s="1188" t="str">
        <f>IF(OR(C94="",F94="",F94="",L94="",P94="",R94="",T94="",X94="",Z94="",AB94="",AD94="",AF94=""),"",IF(AB94="Total",ROUND(MIN(AH94*0.75,AK94*INDEX(INCRATE[Electric],MATCH("RCX",INCRATE[Incentive Type]))),2),IF(AB94="Incremental",ROUND(MIN(AH94,AK94*INDEX(INCRATE[Electric],MATCH("RCX",INCRATE[Incentive Type]))),2))))</f>
        <v/>
      </c>
      <c r="BB94" s="1103" t="str">
        <f>IF(F94="","",INDEX(PROGRAMECAT[EUL],MATCH(F94,PROGRAMECAT[Category 1],0)))</f>
        <v/>
      </c>
      <c r="BC94" s="1103" t="str">
        <f>IFERROR(AH94/M02S02F35/AK94,"")</f>
        <v/>
      </c>
      <c r="BD94" s="1198" t="str">
        <f>IF(OR(C94="",F94="",L94="",P94="",R94="",T94="",X94="",Z94="",AB94="",AD94="",AF94=""),"",IF(ISNUMBER(AN94),INDEX(PROGRAMECAT[Measure Number],MATCH(F94,PROGRAMECAT[Category 1],0)),IF(AK94=0,"","000001")))</f>
        <v/>
      </c>
      <c r="BE94" s="1103" t="str">
        <f>IFERROR(IF((P94*R94)-(X94*Z94)&lt;=0,MEASURESAV,IF(M02S02F35="",MEASURERATE,IF(OR(F94="Others (Incremental)",F94="Others"),MEASURESUBMIT, IF(BC94&lt;1,MEASUREPAY,IF(AV94&lt;1,MEASURECB,""))))),MEASURESUBMIT)</f>
        <v>Submit for Review</v>
      </c>
      <c r="BH94" s="1001" t="str">
        <f ca="1">IF(OR(C94="",F94="",F94="",L94="",P94="",R94="",T94="",X94="",Z94="",AB94="",AD94="",AF94=""),"",IF('M01-S01'!$V$82&lt;TODAY(),0,IF(M02S02F46="Gas Only",0,IF(OR(AK94="",AK94&lt;0,AH94&lt;=AN94),0,MIN(AH94-AN94,ROUND(IF(OR(ISNUMBER(SEARCH("Compressed Air",F94)),ISNUMBER(SEARCH("T8",F94)),ISNUMBER(SEARCH("T5",F94)),ISNUMBER(SEARCH("MH",F94)),ISNUMBER(SEARCH("HPS",F94)),ISNUMBER(SEARCH("MV",F94))),AN94*0.2),2))))))</f>
        <v/>
      </c>
    </row>
    <row r="95" spans="2:60" ht="15.95" hidden="1" customHeight="1">
      <c r="B95" s="929"/>
      <c r="C95" s="1094"/>
      <c r="D95" s="1094"/>
      <c r="E95" s="1094"/>
      <c r="F95" s="1094"/>
      <c r="G95" s="1094"/>
      <c r="H95" s="1094"/>
      <c r="I95" s="1094"/>
      <c r="J95" s="1094"/>
      <c r="K95" s="1094"/>
      <c r="L95" s="840"/>
      <c r="M95" s="841"/>
      <c r="N95" s="841"/>
      <c r="O95" s="842"/>
      <c r="P95" s="853"/>
      <c r="Q95" s="854"/>
      <c r="R95" s="1116"/>
      <c r="S95" s="1206"/>
      <c r="T95" s="848"/>
      <c r="U95" s="841"/>
      <c r="V95" s="841"/>
      <c r="W95" s="842"/>
      <c r="X95" s="1084"/>
      <c r="Y95" s="1084"/>
      <c r="Z95" s="1187"/>
      <c r="AA95" s="1187"/>
      <c r="AB95" s="1174"/>
      <c r="AC95" s="1174"/>
      <c r="AD95" s="875"/>
      <c r="AE95" s="1098"/>
      <c r="AF95" s="1203"/>
      <c r="AG95" s="1204"/>
      <c r="AH95" s="1136"/>
      <c r="AI95" s="1137"/>
      <c r="AJ95" s="1137"/>
      <c r="AK95" s="1149"/>
      <c r="AL95" s="1149"/>
      <c r="AM95" s="1149"/>
      <c r="AN95" s="1139"/>
      <c r="AO95" s="1139"/>
      <c r="AP95" s="1139"/>
      <c r="AQ95" s="1139"/>
      <c r="AR95" s="59"/>
      <c r="AU95" s="1108"/>
      <c r="AV95" s="1108"/>
      <c r="AW95" s="1194"/>
      <c r="AX95" s="1075"/>
      <c r="AY95" s="1104"/>
      <c r="AZ95" s="1104"/>
      <c r="BA95" s="1104"/>
      <c r="BB95" s="1104"/>
      <c r="BC95" s="1104"/>
      <c r="BD95" s="1192"/>
      <c r="BE95" s="1104"/>
      <c r="BH95" s="1002"/>
    </row>
    <row r="96" spans="2:60" ht="15.95" hidden="1" customHeight="1">
      <c r="B96" s="929">
        <v>41</v>
      </c>
      <c r="C96" s="1093"/>
      <c r="D96" s="1093"/>
      <c r="E96" s="1093"/>
      <c r="F96" s="1093"/>
      <c r="G96" s="1093"/>
      <c r="H96" s="1093"/>
      <c r="I96" s="1093"/>
      <c r="J96" s="1093"/>
      <c r="K96" s="1093"/>
      <c r="L96" s="871"/>
      <c r="M96" s="872"/>
      <c r="N96" s="872"/>
      <c r="O96" s="873"/>
      <c r="P96" s="851"/>
      <c r="Q96" s="852"/>
      <c r="R96" s="1114"/>
      <c r="S96" s="1205"/>
      <c r="T96" s="1185"/>
      <c r="U96" s="872"/>
      <c r="V96" s="872"/>
      <c r="W96" s="873"/>
      <c r="X96" s="1083"/>
      <c r="Y96" s="1083"/>
      <c r="Z96" s="1186"/>
      <c r="AA96" s="1186"/>
      <c r="AB96" s="1173" t="str">
        <f t="shared" ref="AB96" si="250">IF(C96="New Construction","Incremental","")</f>
        <v/>
      </c>
      <c r="AC96" s="1173"/>
      <c r="AD96" s="874"/>
      <c r="AE96" s="1097"/>
      <c r="AF96" s="1201" t="str">
        <f t="shared" ref="AF96" si="251">IF(AB96="Incremental",0,"")</f>
        <v/>
      </c>
      <c r="AG96" s="1202"/>
      <c r="AH96" s="870" t="str">
        <f t="shared" ref="AH96" si="252">IF(OR(C96="",F96="",L96="",P96="",R96="",T96="",X96="",Z96="",AD96="",AF96=""),"",ROUND(AD96+AF96,2))</f>
        <v/>
      </c>
      <c r="AI96" s="1102"/>
      <c r="AJ96" s="1102"/>
      <c r="AK96" s="1111" t="str">
        <f t="shared" ref="AK96" si="253">IF(OR(C96="",F96="",F96="",L96="",P96="",R96="",T96="",X96="",Z96="",AB96="",AD96="",AF96=""),"",IF((P96*R96)-(X96*Z96)&lt;=0,0,ROUND((P96*R96)-(X96*Z96),2)))</f>
        <v/>
      </c>
      <c r="AL96" s="1111"/>
      <c r="AM96" s="1111"/>
      <c r="AN96" s="1138" t="str">
        <f t="shared" ref="AN96" si="254">IF(OR(C96="",F96="",F96="",L96="",P96="",R96="",T96="",X96="",Z96="",AB96="",AD96="",AF96=""),"",IF(BE96&lt;&gt;"",BE96,IF(C96="Custom",AY96,IF(C96="New Construction",AZ96,IF(C96="RCx",BA96)))))</f>
        <v/>
      </c>
      <c r="AO96" s="1138"/>
      <c r="AP96" s="1138"/>
      <c r="AQ96" s="1138"/>
      <c r="AR96" s="59"/>
      <c r="AU96" s="1109" t="str">
        <f>IF(F96="","",INDEX(CUSTNONLIGHTEUNIT,MATCH(F96,PROGRAMECAT[Category 1],0)))</f>
        <v/>
      </c>
      <c r="AV96" s="1109" t="str">
        <f>IF(OR(C96="",F96="",L96="",P96="",R96="",T96="",X96="",Z96="",AB96="",AD96="",AF96=""),"",((1+ELOSS)*((AK96*INDEX(ELECCB[NPV AEC $/kWh],MATCH(BB96,ELECCB[Year Number],1)))+(AX96*INDEX(ELECCB[NPV ACC+T&amp;D $/kW],MATCH(BB96,ELECCB[Year Number],1)))))/AH96)</f>
        <v/>
      </c>
      <c r="AW96" s="1193"/>
      <c r="AX96" s="1195" t="str">
        <f>IF(OR(C96="",F96="",L96="",P96="",R96="",T96="",X96="",Z96="",AB96="",AD96="",AF96=""),"",ROUND(AW96*(INDEX(PROGRAMECAT[Lighting Coincidence Factor],MATCH(F96,PROGRAMECAT[Category 1],0))),3))</f>
        <v/>
      </c>
      <c r="AY96" s="1188" t="str">
        <f>IF(OR(C96="",F96="",F96="",L96="",P96="",R96="",T96="",X96="",Z96="",AB96="",AD96="",AF96=""),"",IF(AB96="Total",ROUND(MIN(AH96*0.75,AK96*INDEX(INCRATE[Electric],MATCH("CMNONLIGHT",INCRATE[Incentive Type]))),2),IF(AB96="Incremental",ROUND(MIN(AH96,AK96*INDEX(INCRATE[Electric],MATCH("CMNONLIGHT",INCRATE[Incentive Type]))),2))))</f>
        <v/>
      </c>
      <c r="AZ96" s="1188" t="str">
        <f>IF(OR(C96="",F96="",F96="",L96="",P96="",R96="",T96="",X96="",Z96="",AB96="",AD96="",AF96=""),"",IF(AB96="Total",ROUND(MIN(AH96*0.75,AK96*INDEX(INCRATE[Electric],MATCH("NCNONLIGHT",INCRATE[Incentive Type]))),2),IF(AB96="Incremental",ROUND(MIN(AH96,AK96*INDEX(INCRATE[Electric],MATCH("NCNONLIGHT",INCRATE[Incentive Type]))),2))))</f>
        <v/>
      </c>
      <c r="BA96" s="1188" t="str">
        <f>IF(OR(C96="",F96="",F96="",L96="",P96="",R96="",T96="",X96="",Z96="",AB96="",AD96="",AF96=""),"",IF(AB96="Total",ROUND(MIN(AH96*0.75,AK96*INDEX(INCRATE[Electric],MATCH("RCX",INCRATE[Incentive Type]))),2),IF(AB96="Incremental",ROUND(MIN(AH96,AK96*INDEX(INCRATE[Electric],MATCH("RCX",INCRATE[Incentive Type]))),2))))</f>
        <v/>
      </c>
      <c r="BB96" s="1103" t="str">
        <f>IF(F96="","",INDEX(PROGRAMECAT[EUL],MATCH(F96,PROGRAMECAT[Category 1],0)))</f>
        <v/>
      </c>
      <c r="BC96" s="1103" t="str">
        <f>IFERROR(AH96/M02S02F35/AK96,"")</f>
        <v/>
      </c>
      <c r="BD96" s="1198" t="str">
        <f>IF(OR(C96="",F96="",L96="",P96="",R96="",T96="",X96="",Z96="",AB96="",AD96="",AF96=""),"",IF(ISNUMBER(AN96),INDEX(PROGRAMECAT[Measure Number],MATCH(F96,PROGRAMECAT[Category 1],0)),IF(AK96=0,"","000001")))</f>
        <v/>
      </c>
      <c r="BE96" s="1103" t="str">
        <f>IFERROR(IF((P96*R96)-(X96*Z96)&lt;=0,MEASURESAV,IF(M02S02F35="",MEASURERATE,IF(OR(F96="Others (Incremental)",F96="Others"),MEASURESUBMIT, IF(BC96&lt;1,MEASUREPAY,IF(AV96&lt;1,MEASURECB,""))))),MEASURESUBMIT)</f>
        <v>Submit for Review</v>
      </c>
      <c r="BH96" s="1001" t="str">
        <f ca="1">IF(OR(C96="",F96="",F96="",L96="",P96="",R96="",T96="",X96="",Z96="",AB96="",AD96="",AF96=""),"",IF('M01-S01'!$V$82&lt;TODAY(),0,IF(M02S02F46="Gas Only",0,IF(OR(AK96="",AK96&lt;0,AH96&lt;=AN96),0,MIN(AH96-AN96,ROUND(IF(OR(ISNUMBER(SEARCH("Compressed Air",F96)),ISNUMBER(SEARCH("T8",F96)),ISNUMBER(SEARCH("T5",F96)),ISNUMBER(SEARCH("MH",F96)),ISNUMBER(SEARCH("HPS",F96)),ISNUMBER(SEARCH("MV",F96))),AN96*0.2),2))))))</f>
        <v/>
      </c>
    </row>
    <row r="97" spans="2:60" ht="15.95" hidden="1" customHeight="1">
      <c r="B97" s="929"/>
      <c r="C97" s="1094"/>
      <c r="D97" s="1094"/>
      <c r="E97" s="1094"/>
      <c r="F97" s="1094"/>
      <c r="G97" s="1094"/>
      <c r="H97" s="1094"/>
      <c r="I97" s="1094"/>
      <c r="J97" s="1094"/>
      <c r="K97" s="1094"/>
      <c r="L97" s="840"/>
      <c r="M97" s="841"/>
      <c r="N97" s="841"/>
      <c r="O97" s="842"/>
      <c r="P97" s="853"/>
      <c r="Q97" s="854"/>
      <c r="R97" s="1116"/>
      <c r="S97" s="1206"/>
      <c r="T97" s="848"/>
      <c r="U97" s="841"/>
      <c r="V97" s="841"/>
      <c r="W97" s="842"/>
      <c r="X97" s="1084"/>
      <c r="Y97" s="1084"/>
      <c r="Z97" s="1187"/>
      <c r="AA97" s="1187"/>
      <c r="AB97" s="1174"/>
      <c r="AC97" s="1174"/>
      <c r="AD97" s="875"/>
      <c r="AE97" s="1098"/>
      <c r="AF97" s="1203"/>
      <c r="AG97" s="1204"/>
      <c r="AH97" s="1136"/>
      <c r="AI97" s="1137"/>
      <c r="AJ97" s="1137"/>
      <c r="AK97" s="1149"/>
      <c r="AL97" s="1149"/>
      <c r="AM97" s="1149"/>
      <c r="AN97" s="1139"/>
      <c r="AO97" s="1139"/>
      <c r="AP97" s="1139"/>
      <c r="AQ97" s="1139"/>
      <c r="AR97" s="59"/>
      <c r="AU97" s="1108"/>
      <c r="AV97" s="1108"/>
      <c r="AW97" s="1194"/>
      <c r="AX97" s="1075"/>
      <c r="AY97" s="1104"/>
      <c r="AZ97" s="1104"/>
      <c r="BA97" s="1104"/>
      <c r="BB97" s="1104"/>
      <c r="BC97" s="1104"/>
      <c r="BD97" s="1192"/>
      <c r="BE97" s="1104"/>
      <c r="BH97" s="1002"/>
    </row>
    <row r="98" spans="2:60" ht="15.95" hidden="1" customHeight="1">
      <c r="B98" s="929">
        <v>42</v>
      </c>
      <c r="C98" s="1093"/>
      <c r="D98" s="1093"/>
      <c r="E98" s="1093"/>
      <c r="F98" s="1093"/>
      <c r="G98" s="1093"/>
      <c r="H98" s="1093"/>
      <c r="I98" s="1093"/>
      <c r="J98" s="1093"/>
      <c r="K98" s="1093"/>
      <c r="L98" s="871"/>
      <c r="M98" s="872"/>
      <c r="N98" s="872"/>
      <c r="O98" s="873"/>
      <c r="P98" s="851"/>
      <c r="Q98" s="852"/>
      <c r="R98" s="1114"/>
      <c r="S98" s="1205"/>
      <c r="T98" s="1185"/>
      <c r="U98" s="872"/>
      <c r="V98" s="872"/>
      <c r="W98" s="873"/>
      <c r="X98" s="1083"/>
      <c r="Y98" s="1083"/>
      <c r="Z98" s="1186"/>
      <c r="AA98" s="1186"/>
      <c r="AB98" s="1173" t="str">
        <f t="shared" ref="AB98" si="255">IF(C98="New Construction","Incremental","")</f>
        <v/>
      </c>
      <c r="AC98" s="1173"/>
      <c r="AD98" s="874"/>
      <c r="AE98" s="1097"/>
      <c r="AF98" s="1201" t="str">
        <f t="shared" ref="AF98" si="256">IF(AB98="Incremental",0,"")</f>
        <v/>
      </c>
      <c r="AG98" s="1202"/>
      <c r="AH98" s="870" t="str">
        <f t="shared" ref="AH98" si="257">IF(OR(C98="",F98="",L98="",P98="",R98="",T98="",X98="",Z98="",AD98="",AF98=""),"",ROUND(AD98+AF98,2))</f>
        <v/>
      </c>
      <c r="AI98" s="1102"/>
      <c r="AJ98" s="1102"/>
      <c r="AK98" s="1111" t="str">
        <f t="shared" ref="AK98" si="258">IF(OR(C98="",F98="",F98="",L98="",P98="",R98="",T98="",X98="",Z98="",AB98="",AD98="",AF98=""),"",IF((P98*R98)-(X98*Z98)&lt;=0,0,ROUND((P98*R98)-(X98*Z98),2)))</f>
        <v/>
      </c>
      <c r="AL98" s="1111"/>
      <c r="AM98" s="1111"/>
      <c r="AN98" s="1138" t="str">
        <f t="shared" ref="AN98" si="259">IF(OR(C98="",F98="",F98="",L98="",P98="",R98="",T98="",X98="",Z98="",AB98="",AD98="",AF98=""),"",IF(BE98&lt;&gt;"",BE98,IF(C98="Custom",AY98,IF(C98="New Construction",AZ98,IF(C98="RCx",BA98)))))</f>
        <v/>
      </c>
      <c r="AO98" s="1138"/>
      <c r="AP98" s="1138"/>
      <c r="AQ98" s="1138"/>
      <c r="AR98" s="59"/>
      <c r="AU98" s="1109" t="str">
        <f>IF(F98="","",INDEX(CUSTNONLIGHTEUNIT,MATCH(F98,PROGRAMECAT[Category 1],0)))</f>
        <v/>
      </c>
      <c r="AV98" s="1109" t="str">
        <f>IF(OR(C98="",F98="",L98="",P98="",R98="",T98="",X98="",Z98="",AB98="",AD98="",AF98=""),"",((1+ELOSS)*((AK98*INDEX(ELECCB[NPV AEC $/kWh],MATCH(BB98,ELECCB[Year Number],1)))+(AX98*INDEX(ELECCB[NPV ACC+T&amp;D $/kW],MATCH(BB98,ELECCB[Year Number],1)))))/AH98)</f>
        <v/>
      </c>
      <c r="AW98" s="1193"/>
      <c r="AX98" s="1195" t="str">
        <f>IF(OR(C98="",F98="",L98="",P98="",R98="",T98="",X98="",Z98="",AB98="",AD98="",AF98=""),"",ROUND(AW98*(INDEX(PROGRAMECAT[Lighting Coincidence Factor],MATCH(F98,PROGRAMECAT[Category 1],0))),3))</f>
        <v/>
      </c>
      <c r="AY98" s="1188" t="str">
        <f>IF(OR(C98="",F98="",F98="",L98="",P98="",R98="",T98="",X98="",Z98="",AB98="",AD98="",AF98=""),"",IF(AB98="Total",ROUND(MIN(AH98*0.75,AK98*INDEX(INCRATE[Electric],MATCH("CMNONLIGHT",INCRATE[Incentive Type]))),2),IF(AB98="Incremental",ROUND(MIN(AH98,AK98*INDEX(INCRATE[Electric],MATCH("CMNONLIGHT",INCRATE[Incentive Type]))),2))))</f>
        <v/>
      </c>
      <c r="AZ98" s="1188" t="str">
        <f>IF(OR(C98="",F98="",F98="",L98="",P98="",R98="",T98="",X98="",Z98="",AB98="",AD98="",AF98=""),"",IF(AB98="Total",ROUND(MIN(AH98*0.75,AK98*INDEX(INCRATE[Electric],MATCH("NCNONLIGHT",INCRATE[Incentive Type]))),2),IF(AB98="Incremental",ROUND(MIN(AH98,AK98*INDEX(INCRATE[Electric],MATCH("NCNONLIGHT",INCRATE[Incentive Type]))),2))))</f>
        <v/>
      </c>
      <c r="BA98" s="1188" t="str">
        <f>IF(OR(C98="",F98="",F98="",L98="",P98="",R98="",T98="",X98="",Z98="",AB98="",AD98="",AF98=""),"",IF(AB98="Total",ROUND(MIN(AH98*0.75,AK98*INDEX(INCRATE[Electric],MATCH("RCX",INCRATE[Incentive Type]))),2),IF(AB98="Incremental",ROUND(MIN(AH98,AK98*INDEX(INCRATE[Electric],MATCH("RCX",INCRATE[Incentive Type]))),2))))</f>
        <v/>
      </c>
      <c r="BB98" s="1103" t="str">
        <f>IF(F98="","",INDEX(PROGRAMECAT[EUL],MATCH(F98,PROGRAMECAT[Category 1],0)))</f>
        <v/>
      </c>
      <c r="BC98" s="1103" t="str">
        <f>IFERROR(AH98/M02S02F35/AK98,"")</f>
        <v/>
      </c>
      <c r="BD98" s="1198" t="str">
        <f>IF(OR(C98="",F98="",L98="",P98="",R98="",T98="",X98="",Z98="",AB98="",AD98="",AF98=""),"",IF(ISNUMBER(AN98),INDEX(PROGRAMECAT[Measure Number],MATCH(F98,PROGRAMECAT[Category 1],0)),IF(AK98=0,"","000001")))</f>
        <v/>
      </c>
      <c r="BE98" s="1103" t="str">
        <f>IFERROR(IF((P98*R98)-(X98*Z98)&lt;=0,MEASURESAV,IF(M02S02F35="",MEASURERATE,IF(OR(F98="Others (Incremental)",F98="Others"),MEASURESUBMIT, IF(BC98&lt;1,MEASUREPAY,IF(AV98&lt;1,MEASURECB,""))))),MEASURESUBMIT)</f>
        <v>Submit for Review</v>
      </c>
      <c r="BH98" s="1001" t="str">
        <f ca="1">IF(OR(C98="",F98="",F98="",L98="",P98="",R98="",T98="",X98="",Z98="",AB98="",AD98="",AF98=""),"",IF('M01-S01'!$V$82&lt;TODAY(),0,IF(M02S02F46="Gas Only",0,IF(OR(AK98="",AK98&lt;0,AH98&lt;=AN98),0,MIN(AH98-AN98,ROUND(IF(OR(ISNUMBER(SEARCH("Compressed Air",F98)),ISNUMBER(SEARCH("T8",F98)),ISNUMBER(SEARCH("T5",F98)),ISNUMBER(SEARCH("MH",F98)),ISNUMBER(SEARCH("HPS",F98)),ISNUMBER(SEARCH("MV",F98))),AN98*0.2),2))))))</f>
        <v/>
      </c>
    </row>
    <row r="99" spans="2:60" ht="15.95" hidden="1" customHeight="1">
      <c r="B99" s="929"/>
      <c r="C99" s="1094"/>
      <c r="D99" s="1094"/>
      <c r="E99" s="1094"/>
      <c r="F99" s="1094"/>
      <c r="G99" s="1094"/>
      <c r="H99" s="1094"/>
      <c r="I99" s="1094"/>
      <c r="J99" s="1094"/>
      <c r="K99" s="1094"/>
      <c r="L99" s="840"/>
      <c r="M99" s="841"/>
      <c r="N99" s="841"/>
      <c r="O99" s="842"/>
      <c r="P99" s="853"/>
      <c r="Q99" s="854"/>
      <c r="R99" s="1116"/>
      <c r="S99" s="1206"/>
      <c r="T99" s="848"/>
      <c r="U99" s="841"/>
      <c r="V99" s="841"/>
      <c r="W99" s="842"/>
      <c r="X99" s="1084"/>
      <c r="Y99" s="1084"/>
      <c r="Z99" s="1187"/>
      <c r="AA99" s="1187"/>
      <c r="AB99" s="1174"/>
      <c r="AC99" s="1174"/>
      <c r="AD99" s="875"/>
      <c r="AE99" s="1098"/>
      <c r="AF99" s="1203"/>
      <c r="AG99" s="1204"/>
      <c r="AH99" s="1136"/>
      <c r="AI99" s="1137"/>
      <c r="AJ99" s="1137"/>
      <c r="AK99" s="1149"/>
      <c r="AL99" s="1149"/>
      <c r="AM99" s="1149"/>
      <c r="AN99" s="1139"/>
      <c r="AO99" s="1139"/>
      <c r="AP99" s="1139"/>
      <c r="AQ99" s="1139"/>
      <c r="AR99" s="59"/>
      <c r="AU99" s="1108"/>
      <c r="AV99" s="1108"/>
      <c r="AW99" s="1194"/>
      <c r="AX99" s="1075"/>
      <c r="AY99" s="1104"/>
      <c r="AZ99" s="1104"/>
      <c r="BA99" s="1104"/>
      <c r="BB99" s="1104"/>
      <c r="BC99" s="1104"/>
      <c r="BD99" s="1192"/>
      <c r="BE99" s="1104"/>
      <c r="BH99" s="1002"/>
    </row>
    <row r="100" spans="2:60" ht="15.95" hidden="1" customHeight="1">
      <c r="B100" s="929">
        <v>43</v>
      </c>
      <c r="C100" s="1093"/>
      <c r="D100" s="1093"/>
      <c r="E100" s="1093"/>
      <c r="F100" s="1093"/>
      <c r="G100" s="1093"/>
      <c r="H100" s="1093"/>
      <c r="I100" s="1093"/>
      <c r="J100" s="1093"/>
      <c r="K100" s="1093"/>
      <c r="L100" s="871"/>
      <c r="M100" s="872"/>
      <c r="N100" s="872"/>
      <c r="O100" s="873"/>
      <c r="P100" s="851"/>
      <c r="Q100" s="852"/>
      <c r="R100" s="1114"/>
      <c r="S100" s="1205"/>
      <c r="T100" s="1185"/>
      <c r="U100" s="872"/>
      <c r="V100" s="872"/>
      <c r="W100" s="873"/>
      <c r="X100" s="1083"/>
      <c r="Y100" s="1083"/>
      <c r="Z100" s="1186"/>
      <c r="AA100" s="1186"/>
      <c r="AB100" s="1173" t="str">
        <f t="shared" ref="AB100" si="260">IF(C100="New Construction","Incremental","")</f>
        <v/>
      </c>
      <c r="AC100" s="1173"/>
      <c r="AD100" s="874"/>
      <c r="AE100" s="1097"/>
      <c r="AF100" s="1201" t="str">
        <f t="shared" ref="AF100" si="261">IF(AB100="Incremental",0,"")</f>
        <v/>
      </c>
      <c r="AG100" s="1202"/>
      <c r="AH100" s="870" t="str">
        <f t="shared" ref="AH100" si="262">IF(OR(C100="",F100="",L100="",P100="",R100="",T100="",X100="",Z100="",AD100="",AF100=""),"",ROUND(AD100+AF100,2))</f>
        <v/>
      </c>
      <c r="AI100" s="1102"/>
      <c r="AJ100" s="1102"/>
      <c r="AK100" s="1111" t="str">
        <f t="shared" ref="AK100" si="263">IF(OR(C100="",F100="",F100="",L100="",P100="",R100="",T100="",X100="",Z100="",AB100="",AD100="",AF100=""),"",IF((P100*R100)-(X100*Z100)&lt;=0,0,ROUND((P100*R100)-(X100*Z100),2)))</f>
        <v/>
      </c>
      <c r="AL100" s="1111"/>
      <c r="AM100" s="1111"/>
      <c r="AN100" s="1138" t="str">
        <f t="shared" ref="AN100" si="264">IF(OR(C100="",F100="",F100="",L100="",P100="",R100="",T100="",X100="",Z100="",AB100="",AD100="",AF100=""),"",IF(BE100&lt;&gt;"",BE100,IF(C100="Custom",AY100,IF(C100="New Construction",AZ100,IF(C100="RCx",BA100)))))</f>
        <v/>
      </c>
      <c r="AO100" s="1138"/>
      <c r="AP100" s="1138"/>
      <c r="AQ100" s="1138"/>
      <c r="AR100" s="59"/>
      <c r="AU100" s="1109" t="str">
        <f>IF(F100="","",INDEX(CUSTNONLIGHTEUNIT,MATCH(F100,PROGRAMECAT[Category 1],0)))</f>
        <v/>
      </c>
      <c r="AV100" s="1109" t="str">
        <f>IF(OR(C100="",F100="",L100="",P100="",R100="",T100="",X100="",Z100="",AB100="",AD100="",AF100=""),"",((1+ELOSS)*((AK100*INDEX(ELECCB[NPV AEC $/kWh],MATCH(BB100,ELECCB[Year Number],1)))+(AX100*INDEX(ELECCB[NPV ACC+T&amp;D $/kW],MATCH(BB100,ELECCB[Year Number],1)))))/AH100)</f>
        <v/>
      </c>
      <c r="AW100" s="1193"/>
      <c r="AX100" s="1195" t="str">
        <f>IF(OR(C100="",F100="",L100="",P100="",R100="",T100="",X100="",Z100="",AB100="",AD100="",AF100=""),"",ROUND(AW100*(INDEX(PROGRAMECAT[Lighting Coincidence Factor],MATCH(F100,PROGRAMECAT[Category 1],0))),3))</f>
        <v/>
      </c>
      <c r="AY100" s="1188" t="str">
        <f>IF(OR(C100="",F100="",F100="",L100="",P100="",R100="",T100="",X100="",Z100="",AB100="",AD100="",AF100=""),"",IF(AB100="Total",ROUND(MIN(AH100*0.75,AK100*INDEX(INCRATE[Electric],MATCH("CMNONLIGHT",INCRATE[Incentive Type]))),2),IF(AB100="Incremental",ROUND(MIN(AH100,AK100*INDEX(INCRATE[Electric],MATCH("CMNONLIGHT",INCRATE[Incentive Type]))),2))))</f>
        <v/>
      </c>
      <c r="AZ100" s="1188" t="str">
        <f>IF(OR(C100="",F100="",F100="",L100="",P100="",R100="",T100="",X100="",Z100="",AB100="",AD100="",AF100=""),"",IF(AB100="Total",ROUND(MIN(AH100*0.75,AK100*INDEX(INCRATE[Electric],MATCH("NCNONLIGHT",INCRATE[Incentive Type]))),2),IF(AB100="Incremental",ROUND(MIN(AH100,AK100*INDEX(INCRATE[Electric],MATCH("NCNONLIGHT",INCRATE[Incentive Type]))),2))))</f>
        <v/>
      </c>
      <c r="BA100" s="1188" t="str">
        <f>IF(OR(C100="",F100="",F100="",L100="",P100="",R100="",T100="",X100="",Z100="",AB100="",AD100="",AF100=""),"",IF(AB100="Total",ROUND(MIN(AH100*0.75,AK100*INDEX(INCRATE[Electric],MATCH("RCX",INCRATE[Incentive Type]))),2),IF(AB100="Incremental",ROUND(MIN(AH100,AK100*INDEX(INCRATE[Electric],MATCH("RCX",INCRATE[Incentive Type]))),2))))</f>
        <v/>
      </c>
      <c r="BB100" s="1103" t="str">
        <f>IF(F100="","",INDEX(PROGRAMECAT[EUL],MATCH(F100,PROGRAMECAT[Category 1],0)))</f>
        <v/>
      </c>
      <c r="BC100" s="1103" t="str">
        <f>IFERROR(AH100/M02S02F35/AK100,"")</f>
        <v/>
      </c>
      <c r="BD100" s="1198" t="str">
        <f>IF(OR(C100="",F100="",L100="",P100="",R100="",T100="",X100="",Z100="",AB100="",AD100="",AF100=""),"",IF(ISNUMBER(AN100),INDEX(PROGRAMECAT[Measure Number],MATCH(F100,PROGRAMECAT[Category 1],0)),IF(AK100=0,"","000001")))</f>
        <v/>
      </c>
      <c r="BE100" s="1103" t="str">
        <f>IFERROR(IF((P100*R100)-(X100*Z100)&lt;=0,MEASURESAV,IF(M02S02F35="",MEASURERATE,IF(OR(F100="Others (Incremental)",F100="Others"),MEASURESUBMIT, IF(BC100&lt;1,MEASUREPAY,IF(AV100&lt;1,MEASURECB,""))))),MEASURESUBMIT)</f>
        <v>Submit for Review</v>
      </c>
      <c r="BH100" s="1001" t="str">
        <f ca="1">IF(OR(C100="",F100="",F100="",L100="",P100="",R100="",T100="",X100="",Z100="",AB100="",AD100="",AF100=""),"",IF('M01-S01'!$V$82&lt;TODAY(),0,IF(M02S02F46="Gas Only",0,IF(OR(AK100="",AK100&lt;0,AH100&lt;=AN100),0,MIN(AH100-AN100,ROUND(IF(OR(ISNUMBER(SEARCH("Compressed Air",F100)),ISNUMBER(SEARCH("T8",F100)),ISNUMBER(SEARCH("T5",F100)),ISNUMBER(SEARCH("MH",F100)),ISNUMBER(SEARCH("HPS",F100)),ISNUMBER(SEARCH("MV",F100))),AN100*0.2),2))))))</f>
        <v/>
      </c>
    </row>
    <row r="101" spans="2:60" ht="15.95" hidden="1" customHeight="1">
      <c r="B101" s="929"/>
      <c r="C101" s="1094"/>
      <c r="D101" s="1094"/>
      <c r="E101" s="1094"/>
      <c r="F101" s="1094"/>
      <c r="G101" s="1094"/>
      <c r="H101" s="1094"/>
      <c r="I101" s="1094"/>
      <c r="J101" s="1094"/>
      <c r="K101" s="1094"/>
      <c r="L101" s="840"/>
      <c r="M101" s="841"/>
      <c r="N101" s="841"/>
      <c r="O101" s="842"/>
      <c r="P101" s="853"/>
      <c r="Q101" s="854"/>
      <c r="R101" s="1116"/>
      <c r="S101" s="1206"/>
      <c r="T101" s="848"/>
      <c r="U101" s="841"/>
      <c r="V101" s="841"/>
      <c r="W101" s="842"/>
      <c r="X101" s="1084"/>
      <c r="Y101" s="1084"/>
      <c r="Z101" s="1187"/>
      <c r="AA101" s="1187"/>
      <c r="AB101" s="1174"/>
      <c r="AC101" s="1174"/>
      <c r="AD101" s="875"/>
      <c r="AE101" s="1098"/>
      <c r="AF101" s="1203"/>
      <c r="AG101" s="1204"/>
      <c r="AH101" s="1136"/>
      <c r="AI101" s="1137"/>
      <c r="AJ101" s="1137"/>
      <c r="AK101" s="1149"/>
      <c r="AL101" s="1149"/>
      <c r="AM101" s="1149"/>
      <c r="AN101" s="1139"/>
      <c r="AO101" s="1139"/>
      <c r="AP101" s="1139"/>
      <c r="AQ101" s="1139"/>
      <c r="AR101" s="59"/>
      <c r="AU101" s="1108"/>
      <c r="AV101" s="1108"/>
      <c r="AW101" s="1194"/>
      <c r="AX101" s="1075"/>
      <c r="AY101" s="1104"/>
      <c r="AZ101" s="1104"/>
      <c r="BA101" s="1104"/>
      <c r="BB101" s="1104"/>
      <c r="BC101" s="1104"/>
      <c r="BD101" s="1192"/>
      <c r="BE101" s="1104"/>
      <c r="BH101" s="1002"/>
    </row>
    <row r="102" spans="2:60" ht="15.95" hidden="1" customHeight="1">
      <c r="B102" s="929">
        <v>44</v>
      </c>
      <c r="C102" s="1093"/>
      <c r="D102" s="1093"/>
      <c r="E102" s="1093"/>
      <c r="F102" s="1093"/>
      <c r="G102" s="1093"/>
      <c r="H102" s="1093"/>
      <c r="I102" s="1093"/>
      <c r="J102" s="1093"/>
      <c r="K102" s="1093"/>
      <c r="L102" s="871"/>
      <c r="M102" s="872"/>
      <c r="N102" s="872"/>
      <c r="O102" s="873"/>
      <c r="P102" s="851"/>
      <c r="Q102" s="852"/>
      <c r="R102" s="1114"/>
      <c r="S102" s="1205"/>
      <c r="T102" s="1185"/>
      <c r="U102" s="872"/>
      <c r="V102" s="872"/>
      <c r="W102" s="873"/>
      <c r="X102" s="1083"/>
      <c r="Y102" s="1083"/>
      <c r="Z102" s="1186"/>
      <c r="AA102" s="1186"/>
      <c r="AB102" s="1173" t="str">
        <f t="shared" ref="AB102" si="265">IF(C102="New Construction","Incremental","")</f>
        <v/>
      </c>
      <c r="AC102" s="1173"/>
      <c r="AD102" s="874"/>
      <c r="AE102" s="1097"/>
      <c r="AF102" s="1201" t="str">
        <f t="shared" ref="AF102" si="266">IF(AB102="Incremental",0,"")</f>
        <v/>
      </c>
      <c r="AG102" s="1202"/>
      <c r="AH102" s="870" t="str">
        <f t="shared" ref="AH102" si="267">IF(OR(C102="",F102="",L102="",P102="",R102="",T102="",X102="",Z102="",AD102="",AF102=""),"",ROUND(AD102+AF102,2))</f>
        <v/>
      </c>
      <c r="AI102" s="1102"/>
      <c r="AJ102" s="1102"/>
      <c r="AK102" s="1111" t="str">
        <f t="shared" ref="AK102" si="268">IF(OR(C102="",F102="",F102="",L102="",P102="",R102="",T102="",X102="",Z102="",AB102="",AD102="",AF102=""),"",IF((P102*R102)-(X102*Z102)&lt;=0,0,ROUND((P102*R102)-(X102*Z102),2)))</f>
        <v/>
      </c>
      <c r="AL102" s="1111"/>
      <c r="AM102" s="1111"/>
      <c r="AN102" s="1138" t="str">
        <f t="shared" ref="AN102" si="269">IF(OR(C102="",F102="",F102="",L102="",P102="",R102="",T102="",X102="",Z102="",AB102="",AD102="",AF102=""),"",IF(BE102&lt;&gt;"",BE102,IF(C102="Custom",AY102,IF(C102="New Construction",AZ102,IF(C102="RCx",BA102)))))</f>
        <v/>
      </c>
      <c r="AO102" s="1138"/>
      <c r="AP102" s="1138"/>
      <c r="AQ102" s="1138"/>
      <c r="AR102" s="59"/>
      <c r="AU102" s="1109" t="str">
        <f>IF(F102="","",INDEX(CUSTNONLIGHTEUNIT,MATCH(F102,PROGRAMECAT[Category 1],0)))</f>
        <v/>
      </c>
      <c r="AV102" s="1109" t="str">
        <f>IF(OR(C102="",F102="",L102="",P102="",R102="",T102="",X102="",Z102="",AB102="",AD102="",AF102=""),"",((1+ELOSS)*((AK102*INDEX(ELECCB[NPV AEC $/kWh],MATCH(BB102,ELECCB[Year Number],1)))+(AX102*INDEX(ELECCB[NPV ACC+T&amp;D $/kW],MATCH(BB102,ELECCB[Year Number],1)))))/AH102)</f>
        <v/>
      </c>
      <c r="AW102" s="1193"/>
      <c r="AX102" s="1195" t="str">
        <f>IF(OR(C102="",F102="",L102="",P102="",R102="",T102="",X102="",Z102="",AB102="",AD102="",AF102=""),"",ROUND(AW102*(INDEX(PROGRAMECAT[Lighting Coincidence Factor],MATCH(F102,PROGRAMECAT[Category 1],0))),3))</f>
        <v/>
      </c>
      <c r="AY102" s="1188" t="str">
        <f>IF(OR(C102="",F102="",F102="",L102="",P102="",R102="",T102="",X102="",Z102="",AB102="",AD102="",AF102=""),"",IF(AB102="Total",ROUND(MIN(AH102*0.75,AK102*INDEX(INCRATE[Electric],MATCH("CMNONLIGHT",INCRATE[Incentive Type]))),2),IF(AB102="Incremental",ROUND(MIN(AH102,AK102*INDEX(INCRATE[Electric],MATCH("CMNONLIGHT",INCRATE[Incentive Type]))),2))))</f>
        <v/>
      </c>
      <c r="AZ102" s="1188" t="str">
        <f>IF(OR(C102="",F102="",F102="",L102="",P102="",R102="",T102="",X102="",Z102="",AB102="",AD102="",AF102=""),"",IF(AB102="Total",ROUND(MIN(AH102*0.75,AK102*INDEX(INCRATE[Electric],MATCH("NCNONLIGHT",INCRATE[Incentive Type]))),2),IF(AB102="Incremental",ROUND(MIN(AH102,AK102*INDEX(INCRATE[Electric],MATCH("NCNONLIGHT",INCRATE[Incentive Type]))),2))))</f>
        <v/>
      </c>
      <c r="BA102" s="1188" t="str">
        <f>IF(OR(C102="",F102="",F102="",L102="",P102="",R102="",T102="",X102="",Z102="",AB102="",AD102="",AF102=""),"",IF(AB102="Total",ROUND(MIN(AH102*0.75,AK102*INDEX(INCRATE[Electric],MATCH("RCX",INCRATE[Incentive Type]))),2),IF(AB102="Incremental",ROUND(MIN(AH102,AK102*INDEX(INCRATE[Electric],MATCH("RCX",INCRATE[Incentive Type]))),2))))</f>
        <v/>
      </c>
      <c r="BB102" s="1103" t="str">
        <f>IF(F102="","",INDEX(PROGRAMECAT[EUL],MATCH(F102,PROGRAMECAT[Category 1],0)))</f>
        <v/>
      </c>
      <c r="BC102" s="1103" t="str">
        <f>IFERROR(AH102/M02S02F35/AK102,"")</f>
        <v/>
      </c>
      <c r="BD102" s="1198" t="str">
        <f>IF(OR(C102="",F102="",L102="",P102="",R102="",T102="",X102="",Z102="",AB102="",AD102="",AF102=""),"",IF(ISNUMBER(AN102),INDEX(PROGRAMECAT[Measure Number],MATCH(F102,PROGRAMECAT[Category 1],0)),IF(AK102=0,"","000001")))</f>
        <v/>
      </c>
      <c r="BE102" s="1103" t="str">
        <f>IFERROR(IF((P102*R102)-(X102*Z102)&lt;=0,MEASURESAV,IF(M02S02F35="",MEASURERATE,IF(OR(F102="Others (Incremental)",F102="Others"),MEASURESUBMIT, IF(BC102&lt;1,MEASUREPAY,IF(AV102&lt;1,MEASURECB,""))))),MEASURESUBMIT)</f>
        <v>Submit for Review</v>
      </c>
      <c r="BH102" s="1001" t="str">
        <f ca="1">IF(OR(C102="",F102="",F102="",L102="",P102="",R102="",T102="",X102="",Z102="",AB102="",AD102="",AF102=""),"",IF('M01-S01'!$V$82&lt;TODAY(),0,IF(M02S02F46="Gas Only",0,IF(OR(AK102="",AK102&lt;0,AH102&lt;=AN102),0,MIN(AH102-AN102,ROUND(IF(OR(ISNUMBER(SEARCH("Compressed Air",F102)),ISNUMBER(SEARCH("T8",F102)),ISNUMBER(SEARCH("T5",F102)),ISNUMBER(SEARCH("MH",F102)),ISNUMBER(SEARCH("HPS",F102)),ISNUMBER(SEARCH("MV",F102))),AN102*0.2),2))))))</f>
        <v/>
      </c>
    </row>
    <row r="103" spans="2:60" ht="15.95" hidden="1" customHeight="1">
      <c r="B103" s="929"/>
      <c r="C103" s="1094"/>
      <c r="D103" s="1094"/>
      <c r="E103" s="1094"/>
      <c r="F103" s="1094"/>
      <c r="G103" s="1094"/>
      <c r="H103" s="1094"/>
      <c r="I103" s="1094"/>
      <c r="J103" s="1094"/>
      <c r="K103" s="1094"/>
      <c r="L103" s="840"/>
      <c r="M103" s="841"/>
      <c r="N103" s="841"/>
      <c r="O103" s="842"/>
      <c r="P103" s="853"/>
      <c r="Q103" s="854"/>
      <c r="R103" s="1116"/>
      <c r="S103" s="1206"/>
      <c r="T103" s="848"/>
      <c r="U103" s="841"/>
      <c r="V103" s="841"/>
      <c r="W103" s="842"/>
      <c r="X103" s="1084"/>
      <c r="Y103" s="1084"/>
      <c r="Z103" s="1187"/>
      <c r="AA103" s="1187"/>
      <c r="AB103" s="1174"/>
      <c r="AC103" s="1174"/>
      <c r="AD103" s="875"/>
      <c r="AE103" s="1098"/>
      <c r="AF103" s="1203"/>
      <c r="AG103" s="1204"/>
      <c r="AH103" s="1136"/>
      <c r="AI103" s="1137"/>
      <c r="AJ103" s="1137"/>
      <c r="AK103" s="1149"/>
      <c r="AL103" s="1149"/>
      <c r="AM103" s="1149"/>
      <c r="AN103" s="1139"/>
      <c r="AO103" s="1139"/>
      <c r="AP103" s="1139"/>
      <c r="AQ103" s="1139"/>
      <c r="AR103" s="59"/>
      <c r="AU103" s="1108"/>
      <c r="AV103" s="1108"/>
      <c r="AW103" s="1194"/>
      <c r="AX103" s="1075"/>
      <c r="AY103" s="1104"/>
      <c r="AZ103" s="1104"/>
      <c r="BA103" s="1104"/>
      <c r="BB103" s="1104"/>
      <c r="BC103" s="1104"/>
      <c r="BD103" s="1192"/>
      <c r="BE103" s="1104"/>
      <c r="BH103" s="1002"/>
    </row>
    <row r="104" spans="2:60" ht="15.95" hidden="1" customHeight="1">
      <c r="B104" s="929">
        <v>45</v>
      </c>
      <c r="C104" s="1093"/>
      <c r="D104" s="1093"/>
      <c r="E104" s="1093"/>
      <c r="F104" s="1093"/>
      <c r="G104" s="1093"/>
      <c r="H104" s="1093"/>
      <c r="I104" s="1093"/>
      <c r="J104" s="1093"/>
      <c r="K104" s="1093"/>
      <c r="L104" s="871"/>
      <c r="M104" s="872"/>
      <c r="N104" s="872"/>
      <c r="O104" s="873"/>
      <c r="P104" s="851"/>
      <c r="Q104" s="852"/>
      <c r="R104" s="1114"/>
      <c r="S104" s="1205"/>
      <c r="T104" s="1185"/>
      <c r="U104" s="872"/>
      <c r="V104" s="872"/>
      <c r="W104" s="873"/>
      <c r="X104" s="1083"/>
      <c r="Y104" s="1083"/>
      <c r="Z104" s="1186"/>
      <c r="AA104" s="1186"/>
      <c r="AB104" s="1173" t="str">
        <f t="shared" ref="AB104" si="270">IF(C104="New Construction","Incremental","")</f>
        <v/>
      </c>
      <c r="AC104" s="1173"/>
      <c r="AD104" s="874"/>
      <c r="AE104" s="1097"/>
      <c r="AF104" s="1201" t="str">
        <f t="shared" ref="AF104" si="271">IF(AB104="Incremental",0,"")</f>
        <v/>
      </c>
      <c r="AG104" s="1202"/>
      <c r="AH104" s="870" t="str">
        <f t="shared" ref="AH104" si="272">IF(OR(C104="",F104="",L104="",P104="",R104="",T104="",X104="",Z104="",AD104="",AF104=""),"",ROUND(AD104+AF104,2))</f>
        <v/>
      </c>
      <c r="AI104" s="1102"/>
      <c r="AJ104" s="1102"/>
      <c r="AK104" s="1111" t="str">
        <f t="shared" ref="AK104" si="273">IF(OR(C104="",F104="",F104="",L104="",P104="",R104="",T104="",X104="",Z104="",AB104="",AD104="",AF104=""),"",IF((P104*R104)-(X104*Z104)&lt;=0,0,ROUND((P104*R104)-(X104*Z104),2)))</f>
        <v/>
      </c>
      <c r="AL104" s="1111"/>
      <c r="AM104" s="1111"/>
      <c r="AN104" s="1138" t="str">
        <f t="shared" ref="AN104" si="274">IF(OR(C104="",F104="",F104="",L104="",P104="",R104="",T104="",X104="",Z104="",AB104="",AD104="",AF104=""),"",IF(BE104&lt;&gt;"",BE104,IF(C104="Custom",AY104,IF(C104="New Construction",AZ104,IF(C104="RCx",BA104)))))</f>
        <v/>
      </c>
      <c r="AO104" s="1138"/>
      <c r="AP104" s="1138"/>
      <c r="AQ104" s="1138"/>
      <c r="AR104" s="59"/>
      <c r="AU104" s="1109" t="str">
        <f>IF(F104="","",INDEX(CUSTNONLIGHTEUNIT,MATCH(F104,PROGRAMECAT[Category 1],0)))</f>
        <v/>
      </c>
      <c r="AV104" s="1109" t="str">
        <f>IF(OR(C104="",F104="",L104="",P104="",R104="",T104="",X104="",Z104="",AB104="",AD104="",AF104=""),"",((1+ELOSS)*((AK104*INDEX(ELECCB[NPV AEC $/kWh],MATCH(BB104,ELECCB[Year Number],1)))+(AX104*INDEX(ELECCB[NPV ACC+T&amp;D $/kW],MATCH(BB104,ELECCB[Year Number],1)))))/AH104)</f>
        <v/>
      </c>
      <c r="AW104" s="1193"/>
      <c r="AX104" s="1195" t="str">
        <f>IF(OR(C104="",F104="",L104="",P104="",R104="",T104="",X104="",Z104="",AB104="",AD104="",AF104=""),"",ROUND(AW104*(INDEX(PROGRAMECAT[Lighting Coincidence Factor],MATCH(F104,PROGRAMECAT[Category 1],0))),3))</f>
        <v/>
      </c>
      <c r="AY104" s="1188" t="str">
        <f>IF(OR(C104="",F104="",F104="",L104="",P104="",R104="",T104="",X104="",Z104="",AB104="",AD104="",AF104=""),"",IF(AB104="Total",ROUND(MIN(AH104*0.75,AK104*INDEX(INCRATE[Electric],MATCH("CMNONLIGHT",INCRATE[Incentive Type]))),2),IF(AB104="Incremental",ROUND(MIN(AH104,AK104*INDEX(INCRATE[Electric],MATCH("CMNONLIGHT",INCRATE[Incentive Type]))),2))))</f>
        <v/>
      </c>
      <c r="AZ104" s="1188" t="str">
        <f>IF(OR(C104="",F104="",F104="",L104="",P104="",R104="",T104="",X104="",Z104="",AB104="",AD104="",AF104=""),"",IF(AB104="Total",ROUND(MIN(AH104*0.75,AK104*INDEX(INCRATE[Electric],MATCH("NCNONLIGHT",INCRATE[Incentive Type]))),2),IF(AB104="Incremental",ROUND(MIN(AH104,AK104*INDEX(INCRATE[Electric],MATCH("NCNONLIGHT",INCRATE[Incentive Type]))),2))))</f>
        <v/>
      </c>
      <c r="BA104" s="1188" t="str">
        <f>IF(OR(C104="",F104="",F104="",L104="",P104="",R104="",T104="",X104="",Z104="",AB104="",AD104="",AF104=""),"",IF(AB104="Total",ROUND(MIN(AH104*0.75,AK104*INDEX(INCRATE[Electric],MATCH("RCX",INCRATE[Incentive Type]))),2),IF(AB104="Incremental",ROUND(MIN(AH104,AK104*INDEX(INCRATE[Electric],MATCH("RCX",INCRATE[Incentive Type]))),2))))</f>
        <v/>
      </c>
      <c r="BB104" s="1103" t="str">
        <f>IF(F104="","",INDEX(PROGRAMECAT[EUL],MATCH(F104,PROGRAMECAT[Category 1],0)))</f>
        <v/>
      </c>
      <c r="BC104" s="1103" t="str">
        <f>IFERROR(AH104/M02S02F35/AK104,"")</f>
        <v/>
      </c>
      <c r="BD104" s="1198" t="str">
        <f>IF(OR(C104="",F104="",L104="",P104="",R104="",T104="",X104="",Z104="",AB104="",AD104="",AF104=""),"",IF(ISNUMBER(AN104),INDEX(PROGRAMECAT[Measure Number],MATCH(F104,PROGRAMECAT[Category 1],0)),IF(AK104=0,"","000001")))</f>
        <v/>
      </c>
      <c r="BE104" s="1103" t="str">
        <f>IFERROR(IF((P104*R104)-(X104*Z104)&lt;=0,MEASURESAV,IF(M02S02F35="",MEASURERATE,IF(OR(F104="Others (Incremental)",F104="Others"),MEASURESUBMIT, IF(BC104&lt;1,MEASUREPAY,IF(AV104&lt;1,MEASURECB,""))))),MEASURESUBMIT)</f>
        <v>Submit for Review</v>
      </c>
      <c r="BH104" s="1001" t="str">
        <f ca="1">IF(OR(C104="",F104="",F104="",L104="",P104="",R104="",T104="",X104="",Z104="",AB104="",AD104="",AF104=""),"",IF('M01-S01'!$V$82&lt;TODAY(),0,IF(M02S02F46="Gas Only",0,IF(OR(AK104="",AK104&lt;0,AH104&lt;=AN104),0,MIN(AH104-AN104,ROUND(IF(OR(ISNUMBER(SEARCH("Compressed Air",F104)),ISNUMBER(SEARCH("T8",F104)),ISNUMBER(SEARCH("T5",F104)),ISNUMBER(SEARCH("MH",F104)),ISNUMBER(SEARCH("HPS",F104)),ISNUMBER(SEARCH("MV",F104))),AN104*0.2),2))))))</f>
        <v/>
      </c>
    </row>
    <row r="105" spans="2:60" ht="15.95" hidden="1" customHeight="1">
      <c r="B105" s="929"/>
      <c r="C105" s="1094"/>
      <c r="D105" s="1094"/>
      <c r="E105" s="1094"/>
      <c r="F105" s="1094"/>
      <c r="G105" s="1094"/>
      <c r="H105" s="1094"/>
      <c r="I105" s="1094"/>
      <c r="J105" s="1094"/>
      <c r="K105" s="1094"/>
      <c r="L105" s="840"/>
      <c r="M105" s="841"/>
      <c r="N105" s="841"/>
      <c r="O105" s="842"/>
      <c r="P105" s="853"/>
      <c r="Q105" s="854"/>
      <c r="R105" s="1116"/>
      <c r="S105" s="1206"/>
      <c r="T105" s="848"/>
      <c r="U105" s="841"/>
      <c r="V105" s="841"/>
      <c r="W105" s="842"/>
      <c r="X105" s="1084"/>
      <c r="Y105" s="1084"/>
      <c r="Z105" s="1187"/>
      <c r="AA105" s="1187"/>
      <c r="AB105" s="1174"/>
      <c r="AC105" s="1174"/>
      <c r="AD105" s="875"/>
      <c r="AE105" s="1098"/>
      <c r="AF105" s="1203"/>
      <c r="AG105" s="1204"/>
      <c r="AH105" s="1136"/>
      <c r="AI105" s="1137"/>
      <c r="AJ105" s="1137"/>
      <c r="AK105" s="1149"/>
      <c r="AL105" s="1149"/>
      <c r="AM105" s="1149"/>
      <c r="AN105" s="1139"/>
      <c r="AO105" s="1139"/>
      <c r="AP105" s="1139"/>
      <c r="AQ105" s="1139"/>
      <c r="AR105" s="59"/>
      <c r="AU105" s="1108"/>
      <c r="AV105" s="1108"/>
      <c r="AW105" s="1194"/>
      <c r="AX105" s="1075"/>
      <c r="AY105" s="1104"/>
      <c r="AZ105" s="1104"/>
      <c r="BA105" s="1104"/>
      <c r="BB105" s="1104"/>
      <c r="BC105" s="1104"/>
      <c r="BD105" s="1192"/>
      <c r="BE105" s="1104"/>
      <c r="BH105" s="1002"/>
    </row>
    <row r="106" spans="2:60" ht="15.95" hidden="1" customHeight="1">
      <c r="B106" s="929">
        <v>46</v>
      </c>
      <c r="C106" s="1093"/>
      <c r="D106" s="1093"/>
      <c r="E106" s="1093"/>
      <c r="F106" s="1093"/>
      <c r="G106" s="1093"/>
      <c r="H106" s="1093"/>
      <c r="I106" s="1093"/>
      <c r="J106" s="1093"/>
      <c r="K106" s="1093"/>
      <c r="L106" s="871"/>
      <c r="M106" s="872"/>
      <c r="N106" s="872"/>
      <c r="O106" s="873"/>
      <c r="P106" s="851"/>
      <c r="Q106" s="852"/>
      <c r="R106" s="1114"/>
      <c r="S106" s="1205"/>
      <c r="T106" s="1185"/>
      <c r="U106" s="872"/>
      <c r="V106" s="872"/>
      <c r="W106" s="873"/>
      <c r="X106" s="1083"/>
      <c r="Y106" s="1083"/>
      <c r="Z106" s="1186"/>
      <c r="AA106" s="1186"/>
      <c r="AB106" s="1173" t="str">
        <f t="shared" ref="AB106" si="275">IF(C106="New Construction","Incremental","")</f>
        <v/>
      </c>
      <c r="AC106" s="1173"/>
      <c r="AD106" s="874"/>
      <c r="AE106" s="1097"/>
      <c r="AF106" s="1201" t="str">
        <f t="shared" ref="AF106" si="276">IF(AB106="Incremental",0,"")</f>
        <v/>
      </c>
      <c r="AG106" s="1202"/>
      <c r="AH106" s="870" t="str">
        <f t="shared" ref="AH106" si="277">IF(OR(C106="",F106="",L106="",P106="",R106="",T106="",X106="",Z106="",AD106="",AF106=""),"",ROUND(AD106+AF106,2))</f>
        <v/>
      </c>
      <c r="AI106" s="1102"/>
      <c r="AJ106" s="1102"/>
      <c r="AK106" s="1111" t="str">
        <f t="shared" ref="AK106" si="278">IF(OR(C106="",F106="",F106="",L106="",P106="",R106="",T106="",X106="",Z106="",AB106="",AD106="",AF106=""),"",IF((P106*R106)-(X106*Z106)&lt;=0,0,ROUND((P106*R106)-(X106*Z106),2)))</f>
        <v/>
      </c>
      <c r="AL106" s="1111"/>
      <c r="AM106" s="1111"/>
      <c r="AN106" s="1138" t="str">
        <f t="shared" ref="AN106" si="279">IF(OR(C106="",F106="",F106="",L106="",P106="",R106="",T106="",X106="",Z106="",AB106="",AD106="",AF106=""),"",IF(BE106&lt;&gt;"",BE106,IF(C106="Custom",AY106,IF(C106="New Construction",AZ106,IF(C106="RCx",BA106)))))</f>
        <v/>
      </c>
      <c r="AO106" s="1138"/>
      <c r="AP106" s="1138"/>
      <c r="AQ106" s="1138"/>
      <c r="AR106" s="59"/>
      <c r="AU106" s="1109" t="str">
        <f>IF(F106="","",INDEX(CUSTNONLIGHTEUNIT,MATCH(F106,PROGRAMECAT[Category 1],0)))</f>
        <v/>
      </c>
      <c r="AV106" s="1109" t="str">
        <f>IF(OR(C106="",F106="",L106="",P106="",R106="",T106="",X106="",Z106="",AB106="",AD106="",AF106=""),"",((1+ELOSS)*((AK106*INDEX(ELECCB[NPV AEC $/kWh],MATCH(BB106,ELECCB[Year Number],1)))+(AX106*INDEX(ELECCB[NPV ACC+T&amp;D $/kW],MATCH(BB106,ELECCB[Year Number],1)))))/AH106)</f>
        <v/>
      </c>
      <c r="AW106" s="1193"/>
      <c r="AX106" s="1195" t="str">
        <f>IF(OR(C106="",F106="",L106="",P106="",R106="",T106="",X106="",Z106="",AB106="",AD106="",AF106=""),"",ROUND(AW106*(INDEX(PROGRAMECAT[Lighting Coincidence Factor],MATCH(F106,PROGRAMECAT[Category 1],0))),3))</f>
        <v/>
      </c>
      <c r="AY106" s="1188" t="str">
        <f>IF(OR(C106="",F106="",F106="",L106="",P106="",R106="",T106="",X106="",Z106="",AB106="",AD106="",AF106=""),"",IF(AB106="Total",ROUND(MIN(AH106*0.75,AK106*INDEX(INCRATE[Electric],MATCH("CMNONLIGHT",INCRATE[Incentive Type]))),2),IF(AB106="Incremental",ROUND(MIN(AH106,AK106*INDEX(INCRATE[Electric],MATCH("CMNONLIGHT",INCRATE[Incentive Type]))),2))))</f>
        <v/>
      </c>
      <c r="AZ106" s="1188" t="str">
        <f>IF(OR(C106="",F106="",F106="",L106="",P106="",R106="",T106="",X106="",Z106="",AB106="",AD106="",AF106=""),"",IF(AB106="Total",ROUND(MIN(AH106*0.75,AK106*INDEX(INCRATE[Electric],MATCH("NCNONLIGHT",INCRATE[Incentive Type]))),2),IF(AB106="Incremental",ROUND(MIN(AH106,AK106*INDEX(INCRATE[Electric],MATCH("NCNONLIGHT",INCRATE[Incentive Type]))),2))))</f>
        <v/>
      </c>
      <c r="BA106" s="1188" t="str">
        <f>IF(OR(C106="",F106="",F106="",L106="",P106="",R106="",T106="",X106="",Z106="",AB106="",AD106="",AF106=""),"",IF(AB106="Total",ROUND(MIN(AH106*0.75,AK106*INDEX(INCRATE[Electric],MATCH("RCX",INCRATE[Incentive Type]))),2),IF(AB106="Incremental",ROUND(MIN(AH106,AK106*INDEX(INCRATE[Electric],MATCH("RCX",INCRATE[Incentive Type]))),2))))</f>
        <v/>
      </c>
      <c r="BB106" s="1103" t="str">
        <f>IF(F106="","",INDEX(PROGRAMECAT[EUL],MATCH(F106,PROGRAMECAT[Category 1],0)))</f>
        <v/>
      </c>
      <c r="BC106" s="1103" t="str">
        <f>IFERROR(AH106/M02S02F35/AK106,"")</f>
        <v/>
      </c>
      <c r="BD106" s="1198" t="str">
        <f>IF(OR(C106="",F106="",L106="",P106="",R106="",T106="",X106="",Z106="",AB106="",AD106="",AF106=""),"",IF(ISNUMBER(AN106),INDEX(PROGRAMECAT[Measure Number],MATCH(F106,PROGRAMECAT[Category 1],0)),IF(AK106=0,"","000001")))</f>
        <v/>
      </c>
      <c r="BE106" s="1103" t="str">
        <f>IFERROR(IF((P106*R106)-(X106*Z106)&lt;=0,MEASURESAV,IF(M02S02F35="",MEASURERATE,IF(OR(F106="Others (Incremental)",F106="Others"),MEASURESUBMIT, IF(BC106&lt;1,MEASUREPAY,IF(AV106&lt;1,MEASURECB,""))))),MEASURESUBMIT)</f>
        <v>Submit for Review</v>
      </c>
      <c r="BH106" s="1001" t="str">
        <f ca="1">IF(OR(C106="",F106="",F106="",L106="",P106="",R106="",T106="",X106="",Z106="",AB106="",AD106="",AF106=""),"",IF('M01-S01'!$V$82&lt;TODAY(),0,IF(M02S02F46="Gas Only",0,IF(OR(AK106="",AK106&lt;0,AH106&lt;=AN106),0,MIN(AH106-AN106,ROUND(IF(OR(ISNUMBER(SEARCH("Compressed Air",F106)),ISNUMBER(SEARCH("T8",F106)),ISNUMBER(SEARCH("T5",F106)),ISNUMBER(SEARCH("MH",F106)),ISNUMBER(SEARCH("HPS",F106)),ISNUMBER(SEARCH("MV",F106))),AN106*0.2),2))))))</f>
        <v/>
      </c>
    </row>
    <row r="107" spans="2:60" ht="15.95" hidden="1" customHeight="1">
      <c r="B107" s="929"/>
      <c r="C107" s="1094"/>
      <c r="D107" s="1094"/>
      <c r="E107" s="1094"/>
      <c r="F107" s="1094"/>
      <c r="G107" s="1094"/>
      <c r="H107" s="1094"/>
      <c r="I107" s="1094"/>
      <c r="J107" s="1094"/>
      <c r="K107" s="1094"/>
      <c r="L107" s="840"/>
      <c r="M107" s="841"/>
      <c r="N107" s="841"/>
      <c r="O107" s="842"/>
      <c r="P107" s="853"/>
      <c r="Q107" s="854"/>
      <c r="R107" s="1116"/>
      <c r="S107" s="1206"/>
      <c r="T107" s="848"/>
      <c r="U107" s="841"/>
      <c r="V107" s="841"/>
      <c r="W107" s="842"/>
      <c r="X107" s="1084"/>
      <c r="Y107" s="1084"/>
      <c r="Z107" s="1187"/>
      <c r="AA107" s="1187"/>
      <c r="AB107" s="1174"/>
      <c r="AC107" s="1174"/>
      <c r="AD107" s="875"/>
      <c r="AE107" s="1098"/>
      <c r="AF107" s="1203"/>
      <c r="AG107" s="1204"/>
      <c r="AH107" s="1136"/>
      <c r="AI107" s="1137"/>
      <c r="AJ107" s="1137"/>
      <c r="AK107" s="1149"/>
      <c r="AL107" s="1149"/>
      <c r="AM107" s="1149"/>
      <c r="AN107" s="1139"/>
      <c r="AO107" s="1139"/>
      <c r="AP107" s="1139"/>
      <c r="AQ107" s="1139"/>
      <c r="AR107" s="59"/>
      <c r="AU107" s="1108"/>
      <c r="AV107" s="1108"/>
      <c r="AW107" s="1194"/>
      <c r="AX107" s="1075"/>
      <c r="AY107" s="1104"/>
      <c r="AZ107" s="1104"/>
      <c r="BA107" s="1104"/>
      <c r="BB107" s="1104"/>
      <c r="BC107" s="1104"/>
      <c r="BD107" s="1192"/>
      <c r="BE107" s="1104"/>
      <c r="BH107" s="1002"/>
    </row>
    <row r="108" spans="2:60" ht="15.95" hidden="1" customHeight="1">
      <c r="B108" s="929">
        <v>47</v>
      </c>
      <c r="C108" s="1093"/>
      <c r="D108" s="1093"/>
      <c r="E108" s="1093"/>
      <c r="F108" s="1093"/>
      <c r="G108" s="1093"/>
      <c r="H108" s="1093"/>
      <c r="I108" s="1093"/>
      <c r="J108" s="1093"/>
      <c r="K108" s="1093"/>
      <c r="L108" s="871"/>
      <c r="M108" s="872"/>
      <c r="N108" s="872"/>
      <c r="O108" s="873"/>
      <c r="P108" s="851"/>
      <c r="Q108" s="852"/>
      <c r="R108" s="1114"/>
      <c r="S108" s="1205"/>
      <c r="T108" s="1185"/>
      <c r="U108" s="872"/>
      <c r="V108" s="872"/>
      <c r="W108" s="873"/>
      <c r="X108" s="1083"/>
      <c r="Y108" s="1083"/>
      <c r="Z108" s="1186"/>
      <c r="AA108" s="1186"/>
      <c r="AB108" s="1173" t="str">
        <f t="shared" ref="AB108" si="280">IF(C108="New Construction","Incremental","")</f>
        <v/>
      </c>
      <c r="AC108" s="1173"/>
      <c r="AD108" s="874"/>
      <c r="AE108" s="1097"/>
      <c r="AF108" s="1201" t="str">
        <f t="shared" ref="AF108" si="281">IF(AB108="Incremental",0,"")</f>
        <v/>
      </c>
      <c r="AG108" s="1202"/>
      <c r="AH108" s="870" t="str">
        <f t="shared" ref="AH108" si="282">IF(OR(C108="",F108="",L108="",P108="",R108="",T108="",X108="",Z108="",AD108="",AF108=""),"",ROUND(AD108+AF108,2))</f>
        <v/>
      </c>
      <c r="AI108" s="1102"/>
      <c r="AJ108" s="1102"/>
      <c r="AK108" s="1111" t="str">
        <f t="shared" ref="AK108" si="283">IF(OR(C108="",F108="",F108="",L108="",P108="",R108="",T108="",X108="",Z108="",AB108="",AD108="",AF108=""),"",IF((P108*R108)-(X108*Z108)&lt;=0,0,ROUND((P108*R108)-(X108*Z108),2)))</f>
        <v/>
      </c>
      <c r="AL108" s="1111"/>
      <c r="AM108" s="1111"/>
      <c r="AN108" s="1138" t="str">
        <f t="shared" ref="AN108" si="284">IF(OR(C108="",F108="",F108="",L108="",P108="",R108="",T108="",X108="",Z108="",AB108="",AD108="",AF108=""),"",IF(BE108&lt;&gt;"",BE108,IF(C108="Custom",AY108,IF(C108="New Construction",AZ108,IF(C108="RCx",BA108)))))</f>
        <v/>
      </c>
      <c r="AO108" s="1138"/>
      <c r="AP108" s="1138"/>
      <c r="AQ108" s="1138"/>
      <c r="AR108" s="59"/>
      <c r="AU108" s="1109" t="str">
        <f>IF(F108="","",INDEX(CUSTNONLIGHTEUNIT,MATCH(F108,PROGRAMECAT[Category 1],0)))</f>
        <v/>
      </c>
      <c r="AV108" s="1109" t="str">
        <f>IF(OR(C108="",F108="",L108="",P108="",R108="",T108="",X108="",Z108="",AB108="",AD108="",AF108=""),"",((1+ELOSS)*((AK108*INDEX(ELECCB[NPV AEC $/kWh],MATCH(BB108,ELECCB[Year Number],1)))+(AX108*INDEX(ELECCB[NPV ACC+T&amp;D $/kW],MATCH(BB108,ELECCB[Year Number],1)))))/AH108)</f>
        <v/>
      </c>
      <c r="AW108" s="1193"/>
      <c r="AX108" s="1195" t="str">
        <f>IF(OR(C108="",F108="",L108="",P108="",R108="",T108="",X108="",Z108="",AB108="",AD108="",AF108=""),"",ROUND(AW108*(INDEX(PROGRAMECAT[Lighting Coincidence Factor],MATCH(F108,PROGRAMECAT[Category 1],0))),3))</f>
        <v/>
      </c>
      <c r="AY108" s="1188" t="str">
        <f>IF(OR(C108="",F108="",F108="",L108="",P108="",R108="",T108="",X108="",Z108="",AB108="",AD108="",AF108=""),"",IF(AB108="Total",ROUND(MIN(AH108*0.75,AK108*INDEX(INCRATE[Electric],MATCH("CMNONLIGHT",INCRATE[Incentive Type]))),2),IF(AB108="Incremental",ROUND(MIN(AH108,AK108*INDEX(INCRATE[Electric],MATCH("CMNONLIGHT",INCRATE[Incentive Type]))),2))))</f>
        <v/>
      </c>
      <c r="AZ108" s="1188" t="str">
        <f>IF(OR(C108="",F108="",F108="",L108="",P108="",R108="",T108="",X108="",Z108="",AB108="",AD108="",AF108=""),"",IF(AB108="Total",ROUND(MIN(AH108*0.75,AK108*INDEX(INCRATE[Electric],MATCH("NCNONLIGHT",INCRATE[Incentive Type]))),2),IF(AB108="Incremental",ROUND(MIN(AH108,AK108*INDEX(INCRATE[Electric],MATCH("NCNONLIGHT",INCRATE[Incentive Type]))),2))))</f>
        <v/>
      </c>
      <c r="BA108" s="1188" t="str">
        <f>IF(OR(C108="",F108="",F108="",L108="",P108="",R108="",T108="",X108="",Z108="",AB108="",AD108="",AF108=""),"",IF(AB108="Total",ROUND(MIN(AH108*0.75,AK108*INDEX(INCRATE[Electric],MATCH("RCX",INCRATE[Incentive Type]))),2),IF(AB108="Incremental",ROUND(MIN(AH108,AK108*INDEX(INCRATE[Electric],MATCH("RCX",INCRATE[Incentive Type]))),2))))</f>
        <v/>
      </c>
      <c r="BB108" s="1103" t="str">
        <f>IF(F108="","",INDEX(PROGRAMECAT[EUL],MATCH(F108,PROGRAMECAT[Category 1],0)))</f>
        <v/>
      </c>
      <c r="BC108" s="1103" t="str">
        <f>IFERROR(AH108/M02S02F35/AK108,"")</f>
        <v/>
      </c>
      <c r="BD108" s="1198" t="str">
        <f>IF(OR(C108="",F108="",L108="",P108="",R108="",T108="",X108="",Z108="",AB108="",AD108="",AF108=""),"",IF(ISNUMBER(AN108),INDEX(PROGRAMECAT[Measure Number],MATCH(F108,PROGRAMECAT[Category 1],0)),IF(AK108=0,"","000001")))</f>
        <v/>
      </c>
      <c r="BE108" s="1103" t="str">
        <f>IFERROR(IF((P108*R108)-(X108*Z108)&lt;=0,MEASURESAV,IF(M02S02F35="",MEASURERATE,IF(OR(F108="Others (Incremental)",F108="Others"),MEASURESUBMIT, IF(BC108&lt;1,MEASUREPAY,IF(AV108&lt;1,MEASURECB,""))))),MEASURESUBMIT)</f>
        <v>Submit for Review</v>
      </c>
      <c r="BH108" s="1001" t="str">
        <f ca="1">IF(OR(C108="",F108="",F108="",L108="",P108="",R108="",T108="",X108="",Z108="",AB108="",AD108="",AF108=""),"",IF('M01-S01'!$V$82&lt;TODAY(),0,IF(M02S02F46="Gas Only",0,IF(OR(AK108="",AK108&lt;0,AH108&lt;=AN108),0,MIN(AH108-AN108,ROUND(IF(OR(ISNUMBER(SEARCH("Compressed Air",F108)),ISNUMBER(SEARCH("T8",F108)),ISNUMBER(SEARCH("T5",F108)),ISNUMBER(SEARCH("MH",F108)),ISNUMBER(SEARCH("HPS",F108)),ISNUMBER(SEARCH("MV",F108))),AN108*0.2),2))))))</f>
        <v/>
      </c>
    </row>
    <row r="109" spans="2:60" ht="15.95" hidden="1" customHeight="1">
      <c r="B109" s="929"/>
      <c r="C109" s="1094"/>
      <c r="D109" s="1094"/>
      <c r="E109" s="1094"/>
      <c r="F109" s="1094"/>
      <c r="G109" s="1094"/>
      <c r="H109" s="1094"/>
      <c r="I109" s="1094"/>
      <c r="J109" s="1094"/>
      <c r="K109" s="1094"/>
      <c r="L109" s="840"/>
      <c r="M109" s="841"/>
      <c r="N109" s="841"/>
      <c r="O109" s="842"/>
      <c r="P109" s="853"/>
      <c r="Q109" s="854"/>
      <c r="R109" s="1116"/>
      <c r="S109" s="1206"/>
      <c r="T109" s="848"/>
      <c r="U109" s="841"/>
      <c r="V109" s="841"/>
      <c r="W109" s="842"/>
      <c r="X109" s="1084"/>
      <c r="Y109" s="1084"/>
      <c r="Z109" s="1187"/>
      <c r="AA109" s="1187"/>
      <c r="AB109" s="1174"/>
      <c r="AC109" s="1174"/>
      <c r="AD109" s="875"/>
      <c r="AE109" s="1098"/>
      <c r="AF109" s="1203"/>
      <c r="AG109" s="1204"/>
      <c r="AH109" s="1136"/>
      <c r="AI109" s="1137"/>
      <c r="AJ109" s="1137"/>
      <c r="AK109" s="1149"/>
      <c r="AL109" s="1149"/>
      <c r="AM109" s="1149"/>
      <c r="AN109" s="1139"/>
      <c r="AO109" s="1139"/>
      <c r="AP109" s="1139"/>
      <c r="AQ109" s="1139"/>
      <c r="AR109" s="59"/>
      <c r="AU109" s="1108"/>
      <c r="AV109" s="1108"/>
      <c r="AW109" s="1194"/>
      <c r="AX109" s="1075"/>
      <c r="AY109" s="1104"/>
      <c r="AZ109" s="1104"/>
      <c r="BA109" s="1104"/>
      <c r="BB109" s="1104"/>
      <c r="BC109" s="1104"/>
      <c r="BD109" s="1192"/>
      <c r="BE109" s="1104"/>
      <c r="BH109" s="1002"/>
    </row>
    <row r="110" spans="2:60" ht="15.95" hidden="1" customHeight="1">
      <c r="B110" s="929">
        <v>48</v>
      </c>
      <c r="C110" s="1093"/>
      <c r="D110" s="1093"/>
      <c r="E110" s="1093"/>
      <c r="F110" s="1093"/>
      <c r="G110" s="1093"/>
      <c r="H110" s="1093"/>
      <c r="I110" s="1093"/>
      <c r="J110" s="1093"/>
      <c r="K110" s="1093"/>
      <c r="L110" s="871"/>
      <c r="M110" s="872"/>
      <c r="N110" s="872"/>
      <c r="O110" s="873"/>
      <c r="P110" s="851"/>
      <c r="Q110" s="852"/>
      <c r="R110" s="1114"/>
      <c r="S110" s="1205"/>
      <c r="T110" s="1185"/>
      <c r="U110" s="872"/>
      <c r="V110" s="872"/>
      <c r="W110" s="873"/>
      <c r="X110" s="1083"/>
      <c r="Y110" s="1083"/>
      <c r="Z110" s="1186"/>
      <c r="AA110" s="1186"/>
      <c r="AB110" s="1173"/>
      <c r="AC110" s="1173"/>
      <c r="AD110" s="874"/>
      <c r="AE110" s="1097"/>
      <c r="AF110" s="1201"/>
      <c r="AG110" s="1202"/>
      <c r="AH110" s="870" t="str">
        <f t="shared" ref="AH110" si="285">IF(OR(C110="",F110="",L110="",P110="",R110="",T110="",X110="",Z110="",AD110="",AF110=""),"",ROUND(AD110+AF110,2))</f>
        <v/>
      </c>
      <c r="AI110" s="1102"/>
      <c r="AJ110" s="1102"/>
      <c r="AK110" s="1111" t="str">
        <f t="shared" ref="AK110" si="286">IF(OR(C110="",F110="",F110="",L110="",P110="",R110="",T110="",X110="",Z110="",AB110="",AD110="",AF110=""),"",IF((P110*R110)-(X110*Z110)&lt;=0,0,ROUND((P110*R110)-(X110*Z110),2)))</f>
        <v/>
      </c>
      <c r="AL110" s="1111"/>
      <c r="AM110" s="1111"/>
      <c r="AN110" s="1138" t="str">
        <f t="shared" ref="AN110" si="287">IF(OR(C110="",F110="",F110="",L110="",P110="",R110="",T110="",X110="",Z110="",AB110="",AD110="",AF110=""),"",IF(BE110&lt;&gt;"",BE110,IF(C110="Custom",AY110,IF(C110="New Construction",AZ110,IF(C110="RCx",BA110)))))</f>
        <v/>
      </c>
      <c r="AO110" s="1138"/>
      <c r="AP110" s="1138"/>
      <c r="AQ110" s="1138"/>
      <c r="AR110" s="59"/>
      <c r="AU110" s="1109" t="str">
        <f>IF(F110="","",INDEX(CUSTNONLIGHTEUNIT,MATCH(F110,PROGRAMECAT[Category 1],0)))</f>
        <v/>
      </c>
      <c r="AV110" s="1109" t="str">
        <f>IF(OR(C110="",F110="",L110="",P110="",R110="",T110="",X110="",Z110="",AB110="",AD110="",AF110=""),"",((1+ELOSS)*((AK110*INDEX(ELECCB[NPV AEC $/kWh],MATCH(BB110,ELECCB[Year Number],1)))+(AX110*INDEX(ELECCB[NPV ACC+T&amp;D $/kW],MATCH(BB110,ELECCB[Year Number],1)))))/AH110)</f>
        <v/>
      </c>
      <c r="AW110" s="1193"/>
      <c r="AX110" s="1195" t="str">
        <f>IF(OR(C110="",F110="",L110="",P110="",R110="",T110="",X110="",Z110="",AB110="",AD110="",AF110=""),"",ROUND(AW110*(INDEX(PROGRAMECAT[Lighting Coincidence Factor],MATCH(F110,PROGRAMECAT[Category 1],0))),3))</f>
        <v/>
      </c>
      <c r="AY110" s="1188" t="str">
        <f>IFERROR(IF(SUM(AK16:AM35)=0,"",SUMIF(C16:E35,"*Custom*",BH16:BH35)+SUMIF(C16:E35,"*RCx*",BH16:BH35)),"")</f>
        <v/>
      </c>
      <c r="AZ110" s="1188"/>
      <c r="BA110" s="1188"/>
      <c r="BB110" s="1103" t="str">
        <f>IF(F110="","",INDEX(PROGRAMECAT[EUL],MATCH(F110,PROGRAMECAT[Category 1],0)))</f>
        <v/>
      </c>
      <c r="BC110" s="1103" t="str">
        <f>IFERROR(AH110/M02S02F35/AK110,"")</f>
        <v/>
      </c>
      <c r="BD110" s="1198" t="str">
        <f>IF(OR(C110="",F110="",L110="",P110="",R110="",T110="",X110="",Z110="",AB110="",AD110="",AF110=""),"",IF(ISNUMBER(AN110),INDEX(PROGRAMECAT[Measure Number],MATCH(F110,PROGRAMECAT[Category 1],0)),IF(AK110=0,"","000001")))</f>
        <v/>
      </c>
      <c r="BE110" s="1103" t="str">
        <f>IFERROR(IF((P110*R110)-(X110*Z110)&lt;=0,MEASURESAV,IF(M02S02F35="",MEASURERATE,IF(OR(F110="Others (Incremental)",F110="Others"),MEASURESUBMIT, IF(BC110&lt;1,MEASUREPAY,IF(AV110&lt;1,MEASURECB,""))))),MEASURESUBMIT)</f>
        <v>Submit for Review</v>
      </c>
    </row>
    <row r="111" spans="2:60" ht="15.95" hidden="1" customHeight="1">
      <c r="B111" s="929"/>
      <c r="C111" s="1094"/>
      <c r="D111" s="1094"/>
      <c r="E111" s="1094"/>
      <c r="F111" s="1094"/>
      <c r="G111" s="1094"/>
      <c r="H111" s="1094"/>
      <c r="I111" s="1094"/>
      <c r="J111" s="1094"/>
      <c r="K111" s="1094"/>
      <c r="L111" s="840"/>
      <c r="M111" s="841"/>
      <c r="N111" s="841"/>
      <c r="O111" s="842"/>
      <c r="P111" s="853"/>
      <c r="Q111" s="854"/>
      <c r="R111" s="1116"/>
      <c r="S111" s="1206"/>
      <c r="T111" s="848"/>
      <c r="U111" s="841"/>
      <c r="V111" s="841"/>
      <c r="W111" s="842"/>
      <c r="X111" s="1084"/>
      <c r="Y111" s="1084"/>
      <c r="Z111" s="1187"/>
      <c r="AA111" s="1187"/>
      <c r="AB111" s="1174"/>
      <c r="AC111" s="1174"/>
      <c r="AD111" s="875"/>
      <c r="AE111" s="1098"/>
      <c r="AF111" s="1203"/>
      <c r="AG111" s="1204"/>
      <c r="AH111" s="1136"/>
      <c r="AI111" s="1137"/>
      <c r="AJ111" s="1137"/>
      <c r="AK111" s="1149"/>
      <c r="AL111" s="1149"/>
      <c r="AM111" s="1149"/>
      <c r="AN111" s="1139"/>
      <c r="AO111" s="1139"/>
      <c r="AP111" s="1139"/>
      <c r="AQ111" s="1139"/>
      <c r="AR111" s="59"/>
      <c r="AU111" s="1108"/>
      <c r="AV111" s="1108"/>
      <c r="AW111" s="1194"/>
      <c r="AX111" s="1075"/>
      <c r="AY111" s="1104"/>
      <c r="AZ111" s="1104"/>
      <c r="BA111" s="1104"/>
      <c r="BB111" s="1104"/>
      <c r="BC111" s="1104"/>
      <c r="BD111" s="1192"/>
      <c r="BE111" s="1104"/>
    </row>
    <row r="112" spans="2:60" ht="15.95" hidden="1" customHeight="1">
      <c r="B112" s="929">
        <v>49</v>
      </c>
      <c r="C112" s="1093" t="str">
        <f>IF(AY110&lt;=0,"",IF(AY110="","",INDEX(PMEBONUS[],4,3)))</f>
        <v/>
      </c>
      <c r="D112" s="1093"/>
      <c r="E112" s="1093"/>
      <c r="F112" s="1093">
        <f>IF(C112="",0,C112)</f>
        <v>0</v>
      </c>
      <c r="G112" s="1093"/>
      <c r="H112" s="1093"/>
      <c r="I112" s="1093"/>
      <c r="J112" s="1093"/>
      <c r="K112" s="1093"/>
      <c r="L112" s="871">
        <f>IF(OR(T112="",T112=0),0,_xlfn.XLOOKUP(T112,PMEBONUS[Eff Desc 1],PMEBONUS[Base Desc 1]))</f>
        <v>0</v>
      </c>
      <c r="M112" s="872"/>
      <c r="N112" s="872"/>
      <c r="O112" s="873"/>
      <c r="P112" s="851" t="str">
        <f>IF(OR(F112="",F112=0),"",1)</f>
        <v/>
      </c>
      <c r="Q112" s="852"/>
      <c r="R112" s="1114"/>
      <c r="S112" s="1205"/>
      <c r="T112" s="1185">
        <f>IF(C112="",0,C112)</f>
        <v>0</v>
      </c>
      <c r="U112" s="872"/>
      <c r="V112" s="872"/>
      <c r="W112" s="873"/>
      <c r="X112" s="1083" t="str">
        <f>IF(OR(F112="",F112=0),"",1)</f>
        <v/>
      </c>
      <c r="Y112" s="1083"/>
      <c r="Z112" s="1186"/>
      <c r="AA112" s="1186"/>
      <c r="AB112" s="1173" t="str">
        <f t="shared" ref="AB112" si="288">IF(C112="New Construction","Incremental","")</f>
        <v/>
      </c>
      <c r="AC112" s="1173"/>
      <c r="AD112" s="874"/>
      <c r="AE112" s="1097"/>
      <c r="AF112" s="1201" t="str">
        <f t="shared" ref="AF112" si="289">IF(AB112="Incremental",0,"")</f>
        <v/>
      </c>
      <c r="AG112" s="1202"/>
      <c r="AH112" s="870" t="str">
        <f t="shared" ref="AH112" si="290">IF(OR(C112="",F112="",L112="",P112="",R112="",T112="",X112="",Z112="",AD112="",AF112=""),"",ROUND(AD112+AF112,2))</f>
        <v/>
      </c>
      <c r="AI112" s="1102"/>
      <c r="AJ112" s="1102"/>
      <c r="AK112" s="1111" t="str">
        <f t="shared" ref="AK112" si="291">IF(OR(C112="",F112="",F112="",L112="",P112="",R112="",T112="",X112="",Z112="",AB112="",AD112="",AF112=""),"",IF((P112*R112)-(X112*Z112)&lt;=0,0,ROUND((P112*R112)-(X112*Z112),2)))</f>
        <v/>
      </c>
      <c r="AL112" s="1111"/>
      <c r="AM112" s="1111"/>
      <c r="AN112" s="1138" t="str">
        <f>IF(AY112="","",AY112)</f>
        <v/>
      </c>
      <c r="AO112" s="1138"/>
      <c r="AP112" s="1138"/>
      <c r="AQ112" s="1138"/>
      <c r="AR112" s="59"/>
      <c r="AU112" s="1109"/>
      <c r="AV112" s="1109" t="str">
        <f>IF(OR(C112="",F112="",L112="",P112="",R112="",T112="",X112="",Z112="",AB112="",AD112="",AF112=""),"",((1+ELOSS)*((AK112*INDEX(ELECCB[NPV AEC $/kWh],MATCH(BB112,ELECCB[Year Number],1)))+(AX112*INDEX(ELECCB[NPV ACC+T&amp;D $/kW],MATCH(BB112,ELECCB[Year Number],1)))))/AH112)</f>
        <v/>
      </c>
      <c r="AW112" s="1193"/>
      <c r="AX112" s="1195" t="str">
        <f>IF(OR(C112="",F112="",L112="",P112="",R112="",T112="",X112="",Z112="",AB112="",AD112="",AF112=""),"",ROUND(AW112*(INDEX(PROGRAMECAT[Lighting Coincidence Factor],MATCH(F112,PROGRAMECAT[Category 1],0))),3))</f>
        <v/>
      </c>
      <c r="AY112" s="1188" t="str">
        <f>AY110</f>
        <v/>
      </c>
      <c r="AZ112" s="1188"/>
      <c r="BA112" s="1188"/>
      <c r="BB112" s="1103"/>
      <c r="BC112" s="1103"/>
      <c r="BD112" s="1207" t="str">
        <f>IF(C112="","",INDEX(PMEBONUS[Measure '#],MATCH(C112,PMEBONUS[Equipment Description],0)))</f>
        <v/>
      </c>
      <c r="BE112" s="1103" t="str">
        <f>IFERROR(IF((P112*R112)-(X112*Z112)&lt;=0,MEASURESAV,IF(M02S02F35="",MEASURERATE,IF(OR(F112="Others (Incremental)",F112="Others"),MEASURESUBMIT, IF(BC112&lt;1,MEASUREPAY,IF(AV112&lt;1,MEASURECB,""))))),MEASURESUBMIT)</f>
        <v>Submit for Review</v>
      </c>
      <c r="BF112" s="1188"/>
      <c r="BG112" s="1188"/>
      <c r="BH112" s="1188"/>
    </row>
    <row r="113" spans="2:60" ht="15.95" hidden="1" customHeight="1">
      <c r="B113" s="929"/>
      <c r="C113" s="1094"/>
      <c r="D113" s="1094"/>
      <c r="E113" s="1094"/>
      <c r="F113" s="1094"/>
      <c r="G113" s="1094"/>
      <c r="H113" s="1094"/>
      <c r="I113" s="1094"/>
      <c r="J113" s="1094"/>
      <c r="K113" s="1094"/>
      <c r="L113" s="840"/>
      <c r="M113" s="841"/>
      <c r="N113" s="841"/>
      <c r="O113" s="842"/>
      <c r="P113" s="853"/>
      <c r="Q113" s="854"/>
      <c r="R113" s="1116"/>
      <c r="S113" s="1206"/>
      <c r="T113" s="848"/>
      <c r="U113" s="841"/>
      <c r="V113" s="841"/>
      <c r="W113" s="842"/>
      <c r="X113" s="1084"/>
      <c r="Y113" s="1084"/>
      <c r="Z113" s="1187"/>
      <c r="AA113" s="1187"/>
      <c r="AB113" s="1174"/>
      <c r="AC113" s="1174"/>
      <c r="AD113" s="875"/>
      <c r="AE113" s="1098"/>
      <c r="AF113" s="1203"/>
      <c r="AG113" s="1204"/>
      <c r="AH113" s="1136"/>
      <c r="AI113" s="1137"/>
      <c r="AJ113" s="1137"/>
      <c r="AK113" s="1149"/>
      <c r="AL113" s="1149"/>
      <c r="AM113" s="1149"/>
      <c r="AN113" s="1139"/>
      <c r="AO113" s="1139"/>
      <c r="AP113" s="1139"/>
      <c r="AQ113" s="1139"/>
      <c r="AR113" s="59"/>
      <c r="AU113" s="1108"/>
      <c r="AV113" s="1108"/>
      <c r="AW113" s="1194"/>
      <c r="AX113" s="1075"/>
      <c r="AY113" s="1104"/>
      <c r="AZ113" s="1104"/>
      <c r="BA113" s="1104"/>
      <c r="BB113" s="1104"/>
      <c r="BC113" s="1104"/>
      <c r="BD113" s="1208"/>
      <c r="BE113" s="1104"/>
      <c r="BF113" s="1104"/>
      <c r="BG113" s="1104"/>
      <c r="BH113" s="1104"/>
    </row>
    <row r="114" spans="2:60" ht="15.95" hidden="1" customHeight="1">
      <c r="B114" s="929">
        <v>50</v>
      </c>
      <c r="C114" s="1093" t="str">
        <f>IF(AZ110&lt;=0,"",IF(AZ110="","",INDEX(PMEBONUS[],7,3)))</f>
        <v/>
      </c>
      <c r="D114" s="1093"/>
      <c r="E114" s="1093"/>
      <c r="F114" s="1093">
        <f>IF(C114="",0,C114)</f>
        <v>0</v>
      </c>
      <c r="G114" s="1093"/>
      <c r="H114" s="1093"/>
      <c r="I114" s="1093"/>
      <c r="J114" s="1093"/>
      <c r="K114" s="1093"/>
      <c r="L114" s="871">
        <f>IF(OR(T114="",T114=0),0,_xlfn.XLOOKUP(T114,PMEBONUS[Eff Desc 1],PMEBONUS[Base Desc 1]))</f>
        <v>0</v>
      </c>
      <c r="M114" s="872"/>
      <c r="N114" s="872"/>
      <c r="O114" s="873"/>
      <c r="P114" s="851" t="str">
        <f>IF(OR(F114="",F114=0),"",1)</f>
        <v/>
      </c>
      <c r="Q114" s="852"/>
      <c r="R114" s="1114"/>
      <c r="S114" s="1205"/>
      <c r="T114" s="1185">
        <f>IF(C114="",0,C114)</f>
        <v>0</v>
      </c>
      <c r="U114" s="872"/>
      <c r="V114" s="872"/>
      <c r="W114" s="873"/>
      <c r="X114" s="1083" t="str">
        <f>IF(OR(F114="",F114=0),"",1)</f>
        <v/>
      </c>
      <c r="Y114" s="1083"/>
      <c r="Z114" s="1186"/>
      <c r="AA114" s="1186"/>
      <c r="AB114" s="1173" t="str">
        <f t="shared" ref="AB114" si="292">IF(C114="New Construction","Incremental","")</f>
        <v/>
      </c>
      <c r="AC114" s="1173"/>
      <c r="AD114" s="874"/>
      <c r="AE114" s="1097"/>
      <c r="AF114" s="1201" t="str">
        <f t="shared" ref="AF114" si="293">IF(AB114="Incremental",0,"")</f>
        <v/>
      </c>
      <c r="AG114" s="1202"/>
      <c r="AH114" s="870" t="str">
        <f t="shared" ref="AH114" si="294">IF(OR(C114="",F114="",L114="",P114="",R114="",T114="",X114="",Z114="",AD114="",AF114=""),"",ROUND(AD114+AF114,2))</f>
        <v/>
      </c>
      <c r="AI114" s="1102"/>
      <c r="AJ114" s="1102"/>
      <c r="AK114" s="1111" t="str">
        <f t="shared" ref="AK114" si="295">IF(OR(C114="",F114="",F114="",L114="",P114="",R114="",T114="",X114="",Z114="",AB114="",AD114="",AF114=""),"",IF((P114*R114)-(X114*Z114)&lt;=0,0,ROUND((P114*R114)-(X114*Z114),2)))</f>
        <v/>
      </c>
      <c r="AL114" s="1111"/>
      <c r="AM114" s="1111"/>
      <c r="AN114" s="1138">
        <f>IF(AZ114="","",AZ114)</f>
        <v>0</v>
      </c>
      <c r="AO114" s="1138"/>
      <c r="AP114" s="1138"/>
      <c r="AQ114" s="1138"/>
      <c r="AR114" s="59"/>
      <c r="AU114" s="1109"/>
      <c r="AV114" s="1109" t="str">
        <f>IF(OR(C114="",F114="",L114="",P114="",R114="",T114="",X114="",Z114="",AB114="",AD114="",AF114=""),"",((1+ELOSS)*((AK114*INDEX(ELECCB[NPV AEC $/kWh],MATCH(BB114,ELECCB[Year Number],1)))+(AX114*INDEX(ELECCB[NPV ACC+T&amp;D $/kW],MATCH(BB114,ELECCB[Year Number],1)))))/AH114)</f>
        <v/>
      </c>
      <c r="AW114" s="1193"/>
      <c r="AX114" s="1195" t="str">
        <f>IF(OR(C114="",F114="",L114="",P114="",R114="",T114="",X114="",Z114="",AB114="",AD114="",AF114=""),"",ROUND(AW114*(INDEX(PROGRAMECAT[Lighting Coincidence Factor],MATCH(F114,PROGRAMECAT[Category 1],0))),3))</f>
        <v/>
      </c>
      <c r="AY114" s="1188" t="str">
        <f>IF(OR(C114="",F114="",F114="",L114="",P114="",R114="",T114="",X114="",Z114="",AB114="",AD114="",AF114=""),"",IF(AB114="Total",ROUND(MIN(AH114*0.75,AK114*INDEX(INCRATE[Electric],MATCH("CMNONLIGHT",INCRATE[Incentive Type]))),2),IF(AB114="Incremental",ROUND(MIN(AH114,AK114*INDEX(INCRATE[Electric],MATCH("CMNONLIGHT",INCRATE[Incentive Type]))),2))))</f>
        <v/>
      </c>
      <c r="AZ114" s="1188">
        <f>AZ110</f>
        <v>0</v>
      </c>
      <c r="BA114" s="1188"/>
      <c r="BB114" s="1103"/>
      <c r="BC114" s="1103"/>
      <c r="BD114" s="1207" t="str">
        <f>IF(C114="","",INDEX(PMEBONUS[Measure '#],MATCH(C114,PMEBONUS[Equipment Description],0)))</f>
        <v/>
      </c>
      <c r="BE114" s="1103" t="str">
        <f>IFERROR(IF((P114*R114)-(X114*Z114)&lt;=0,MEASURESAV,IF(M02S02F35="",MEASURERATE,IF(OR(F114="Others (Incremental)",F114="Others"),MEASURESUBMIT, IF(BC114&lt;1,MEASUREPAY,IF(AV114&lt;1,MEASURECB,""))))),MEASURESUBMIT)</f>
        <v>Submit for Review</v>
      </c>
      <c r="BF114" s="1188"/>
      <c r="BG114" s="1188"/>
      <c r="BH114" s="1188"/>
    </row>
    <row r="115" spans="2:60" ht="15.95" hidden="1" customHeight="1">
      <c r="B115" s="929"/>
      <c r="C115" s="1094"/>
      <c r="D115" s="1094"/>
      <c r="E115" s="1094"/>
      <c r="F115" s="1094"/>
      <c r="G115" s="1094"/>
      <c r="H115" s="1094"/>
      <c r="I115" s="1094"/>
      <c r="J115" s="1094"/>
      <c r="K115" s="1094"/>
      <c r="L115" s="840"/>
      <c r="M115" s="841"/>
      <c r="N115" s="841"/>
      <c r="O115" s="842"/>
      <c r="P115" s="853"/>
      <c r="Q115" s="854"/>
      <c r="R115" s="1116"/>
      <c r="S115" s="1206"/>
      <c r="T115" s="848"/>
      <c r="U115" s="841"/>
      <c r="V115" s="841"/>
      <c r="W115" s="842"/>
      <c r="X115" s="1084"/>
      <c r="Y115" s="1084"/>
      <c r="Z115" s="1187"/>
      <c r="AA115" s="1187"/>
      <c r="AB115" s="1174"/>
      <c r="AC115" s="1174"/>
      <c r="AD115" s="875"/>
      <c r="AE115" s="1098"/>
      <c r="AF115" s="1203"/>
      <c r="AG115" s="1204"/>
      <c r="AH115" s="1136"/>
      <c r="AI115" s="1137"/>
      <c r="AJ115" s="1137"/>
      <c r="AK115" s="1149"/>
      <c r="AL115" s="1149"/>
      <c r="AM115" s="1149"/>
      <c r="AN115" s="1139"/>
      <c r="AO115" s="1139"/>
      <c r="AP115" s="1139"/>
      <c r="AQ115" s="1139"/>
      <c r="AR115" s="59"/>
      <c r="AU115" s="1108"/>
      <c r="AV115" s="1108"/>
      <c r="AW115" s="1194"/>
      <c r="AX115" s="1075"/>
      <c r="AY115" s="1104"/>
      <c r="AZ115" s="1104"/>
      <c r="BA115" s="1104"/>
      <c r="BB115" s="1104"/>
      <c r="BC115" s="1104"/>
      <c r="BD115" s="1208"/>
      <c r="BE115" s="1104"/>
      <c r="BF115" s="1104"/>
      <c r="BG115" s="1104"/>
      <c r="BH115" s="1104"/>
    </row>
    <row r="116" spans="2:60" ht="15.95" hidden="1" customHeight="1">
      <c r="B116" s="929">
        <v>51</v>
      </c>
      <c r="C116" s="8"/>
      <c r="D116" s="8"/>
      <c r="E116" s="8"/>
      <c r="F116" s="8"/>
      <c r="G116" s="8"/>
      <c r="H116" s="8"/>
      <c r="I116" s="8"/>
      <c r="J116" s="8"/>
      <c r="K116" s="8"/>
      <c r="L116" s="8"/>
      <c r="M116" s="8"/>
      <c r="N116" s="8"/>
      <c r="O116" s="8"/>
      <c r="P116" s="8"/>
      <c r="Q116" s="8"/>
      <c r="R116" s="8"/>
      <c r="S116" s="8"/>
      <c r="T116" s="8"/>
      <c r="U116" s="8"/>
      <c r="V116" s="8"/>
      <c r="W116" s="8"/>
      <c r="X116" s="8"/>
      <c r="Y116" s="8"/>
      <c r="Z116" s="8"/>
      <c r="AA116" s="8"/>
      <c r="AB116" s="8"/>
      <c r="AC116" s="8"/>
      <c r="AD116" s="8"/>
      <c r="AE116" s="8"/>
      <c r="AF116" s="8"/>
      <c r="AG116" s="8"/>
      <c r="AH116" s="8"/>
      <c r="AI116" s="8"/>
      <c r="AJ116" s="8"/>
      <c r="AK116" s="8"/>
      <c r="AL116" s="8"/>
      <c r="AM116" s="8"/>
      <c r="AN116" s="8"/>
      <c r="AO116" s="8"/>
      <c r="AP116" s="8"/>
      <c r="AQ116" s="8"/>
    </row>
    <row r="117" spans="2:60" ht="15.95" hidden="1" customHeight="1">
      <c r="B117" s="929"/>
      <c r="C117" s="8"/>
      <c r="D117" s="8"/>
      <c r="E117" s="8"/>
      <c r="F117" s="8"/>
      <c r="G117" s="8"/>
      <c r="H117" s="8"/>
      <c r="I117" s="8"/>
      <c r="J117" s="8"/>
      <c r="K117" s="8"/>
      <c r="L117" s="8"/>
      <c r="M117" s="8"/>
      <c r="N117" s="8"/>
      <c r="O117" s="8"/>
      <c r="P117" s="8"/>
      <c r="Q117" s="8"/>
      <c r="R117" s="8"/>
      <c r="S117" s="8"/>
      <c r="T117" s="8"/>
      <c r="U117" s="8"/>
      <c r="V117" s="8"/>
      <c r="W117" s="8"/>
      <c r="X117" s="8"/>
      <c r="Y117" s="8"/>
      <c r="Z117" s="8"/>
      <c r="AA117" s="8"/>
      <c r="AB117" s="8"/>
      <c r="AC117" s="8"/>
      <c r="AD117" s="8"/>
      <c r="AE117" s="8"/>
      <c r="AF117" s="8"/>
      <c r="AG117" s="8"/>
      <c r="AH117" s="8"/>
      <c r="AI117" s="8"/>
      <c r="AJ117" s="8"/>
      <c r="AK117" s="8"/>
      <c r="AL117" s="8"/>
      <c r="AM117" s="8"/>
      <c r="AN117" s="8"/>
      <c r="AO117" s="8"/>
      <c r="AP117" s="8"/>
      <c r="AQ117" s="8"/>
    </row>
    <row r="118" spans="2:60" ht="15.95" hidden="1" customHeight="1">
      <c r="B118" s="929">
        <v>52</v>
      </c>
      <c r="C118" s="8"/>
      <c r="D118" s="8"/>
      <c r="E118" s="8"/>
      <c r="F118" s="8"/>
      <c r="G118" s="8"/>
      <c r="H118" s="8"/>
      <c r="I118" s="8"/>
      <c r="J118" s="8"/>
      <c r="K118" s="8"/>
      <c r="L118" s="8"/>
      <c r="M118" s="8"/>
      <c r="N118" s="8"/>
      <c r="O118" s="8"/>
      <c r="P118" s="8"/>
      <c r="Q118" s="8"/>
      <c r="R118" s="8"/>
      <c r="S118" s="8"/>
      <c r="T118" s="8"/>
      <c r="U118" s="8"/>
      <c r="V118" s="8"/>
      <c r="W118" s="8"/>
      <c r="X118" s="8"/>
      <c r="Y118" s="8"/>
      <c r="Z118" s="8"/>
      <c r="AA118" s="8"/>
      <c r="AB118" s="8"/>
      <c r="AC118" s="8"/>
      <c r="AD118" s="8"/>
      <c r="AE118" s="8"/>
      <c r="AF118" s="8"/>
      <c r="AG118" s="8"/>
      <c r="AH118" s="8"/>
      <c r="AI118" s="8"/>
      <c r="AJ118" s="8"/>
      <c r="AK118" s="8"/>
      <c r="AL118" s="8"/>
      <c r="AM118" s="8"/>
      <c r="AN118" s="8"/>
      <c r="AO118" s="8"/>
      <c r="AP118" s="8"/>
      <c r="AQ118" s="8"/>
    </row>
    <row r="119" spans="2:60" ht="15.95" hidden="1" customHeight="1">
      <c r="B119" s="929"/>
      <c r="C119" s="8"/>
      <c r="D119" s="8"/>
      <c r="E119" s="8"/>
      <c r="F119" s="8"/>
      <c r="G119" s="8"/>
      <c r="H119" s="8"/>
      <c r="I119" s="8"/>
      <c r="J119" s="8"/>
      <c r="K119" s="8"/>
      <c r="L119" s="8"/>
      <c r="M119" s="8"/>
      <c r="N119" s="8"/>
      <c r="O119" s="8"/>
      <c r="P119" s="8"/>
      <c r="Q119" s="8"/>
      <c r="R119" s="8"/>
      <c r="S119" s="8"/>
      <c r="T119" s="8"/>
      <c r="U119" s="8"/>
      <c r="V119" s="8"/>
      <c r="W119" s="8"/>
      <c r="X119" s="8"/>
      <c r="Y119" s="8"/>
      <c r="Z119" s="8"/>
      <c r="AA119" s="8"/>
      <c r="AB119" s="8"/>
      <c r="AC119" s="8"/>
      <c r="AD119" s="8"/>
      <c r="AE119" s="8"/>
      <c r="AF119" s="8"/>
      <c r="AG119" s="8"/>
      <c r="AH119" s="8"/>
      <c r="AI119" s="8"/>
      <c r="AJ119" s="8"/>
      <c r="AK119" s="8"/>
      <c r="AL119" s="8"/>
      <c r="AM119" s="8"/>
      <c r="AN119" s="8"/>
      <c r="AO119" s="8"/>
      <c r="AP119" s="8"/>
      <c r="AQ119" s="8"/>
    </row>
    <row r="120" spans="2:60" ht="15.95" hidden="1" customHeight="1">
      <c r="B120" s="929">
        <v>53</v>
      </c>
      <c r="C120" s="8"/>
      <c r="D120" s="8"/>
      <c r="E120" s="8"/>
      <c r="F120" s="8"/>
      <c r="G120" s="8"/>
      <c r="H120" s="8"/>
      <c r="I120" s="8"/>
      <c r="J120" s="8"/>
      <c r="K120" s="8"/>
      <c r="L120" s="8"/>
      <c r="M120" s="8"/>
      <c r="N120" s="8"/>
      <c r="O120" s="8"/>
      <c r="P120" s="8"/>
      <c r="Q120" s="8"/>
      <c r="R120" s="8"/>
      <c r="S120" s="8"/>
      <c r="T120" s="8"/>
      <c r="U120" s="8"/>
      <c r="V120" s="8"/>
      <c r="W120" s="8"/>
      <c r="X120" s="8"/>
      <c r="Y120" s="8"/>
      <c r="Z120" s="8"/>
      <c r="AA120" s="8"/>
      <c r="AB120" s="8"/>
      <c r="AC120" s="8"/>
      <c r="AD120" s="8"/>
      <c r="AE120" s="8"/>
      <c r="AF120" s="8"/>
      <c r="AG120" s="8"/>
      <c r="AH120" s="8"/>
      <c r="AI120" s="8"/>
      <c r="AJ120" s="8"/>
      <c r="AK120" s="8"/>
      <c r="AL120" s="8"/>
      <c r="AM120" s="8"/>
      <c r="AN120" s="8"/>
      <c r="AO120" s="8"/>
      <c r="AP120" s="8"/>
      <c r="AQ120" s="8"/>
    </row>
    <row r="121" spans="2:60" ht="15.95" hidden="1" customHeight="1">
      <c r="B121" s="929"/>
      <c r="C121" s="8"/>
      <c r="D121" s="8"/>
      <c r="E121" s="8"/>
      <c r="F121" s="8"/>
      <c r="G121" s="8"/>
      <c r="H121" s="8"/>
      <c r="I121" s="8"/>
      <c r="J121" s="8"/>
      <c r="K121" s="8"/>
      <c r="L121" s="8"/>
      <c r="M121" s="8"/>
      <c r="N121" s="8"/>
      <c r="O121" s="8"/>
      <c r="P121" s="8"/>
      <c r="Q121" s="8"/>
      <c r="R121" s="8"/>
      <c r="S121" s="8"/>
      <c r="T121" s="8"/>
      <c r="U121" s="8"/>
      <c r="V121" s="8"/>
      <c r="W121" s="8"/>
      <c r="X121" s="8"/>
      <c r="Y121" s="8"/>
      <c r="Z121" s="8"/>
      <c r="AA121" s="8"/>
      <c r="AB121" s="8"/>
      <c r="AC121" s="8"/>
      <c r="AD121" s="8"/>
      <c r="AE121" s="8"/>
      <c r="AF121" s="8"/>
      <c r="AG121" s="8"/>
      <c r="AH121" s="8"/>
      <c r="AI121" s="8"/>
      <c r="AJ121" s="8"/>
      <c r="AK121" s="8"/>
      <c r="AL121" s="8"/>
      <c r="AM121" s="8"/>
      <c r="AN121" s="8"/>
      <c r="AO121" s="8"/>
      <c r="AP121" s="8"/>
      <c r="AQ121" s="8"/>
    </row>
    <row r="122" spans="2:60" ht="15.95" hidden="1" customHeight="1">
      <c r="B122" s="929">
        <v>54</v>
      </c>
      <c r="C122" s="8"/>
      <c r="D122" s="8"/>
      <c r="E122" s="8"/>
      <c r="F122" s="8"/>
      <c r="G122" s="8"/>
      <c r="H122" s="8"/>
      <c r="I122" s="8"/>
      <c r="J122" s="8"/>
      <c r="K122" s="8"/>
      <c r="L122" s="8"/>
      <c r="M122" s="8"/>
      <c r="N122" s="8"/>
      <c r="O122" s="8"/>
      <c r="P122" s="8"/>
      <c r="Q122" s="8"/>
      <c r="R122" s="8"/>
      <c r="S122" s="8"/>
      <c r="T122" s="8"/>
      <c r="U122" s="8"/>
      <c r="V122" s="8"/>
      <c r="W122" s="8"/>
      <c r="X122" s="8"/>
      <c r="Y122" s="8"/>
      <c r="Z122" s="8"/>
      <c r="AA122" s="8"/>
      <c r="AB122" s="8"/>
      <c r="AC122" s="8"/>
      <c r="AD122" s="8"/>
      <c r="AE122" s="8"/>
      <c r="AF122" s="8"/>
      <c r="AG122" s="8"/>
      <c r="AH122" s="8"/>
      <c r="AI122" s="8"/>
      <c r="AJ122" s="8"/>
      <c r="AK122" s="8"/>
      <c r="AL122" s="8"/>
      <c r="AM122" s="8"/>
      <c r="AN122" s="8"/>
      <c r="AO122" s="8"/>
      <c r="AP122" s="8"/>
      <c r="AQ122" s="8"/>
    </row>
    <row r="123" spans="2:60" ht="15.95" hidden="1" customHeight="1">
      <c r="B123" s="929"/>
      <c r="C123" s="8"/>
      <c r="D123" s="8"/>
      <c r="E123" s="8"/>
      <c r="F123" s="8"/>
      <c r="G123" s="8"/>
      <c r="H123" s="8"/>
      <c r="I123" s="8"/>
      <c r="J123" s="8"/>
      <c r="K123" s="8"/>
      <c r="L123" s="8"/>
      <c r="M123" s="8"/>
      <c r="N123" s="8"/>
      <c r="O123" s="8"/>
      <c r="P123" s="8"/>
      <c r="Q123" s="8"/>
      <c r="R123" s="8"/>
      <c r="S123" s="8"/>
      <c r="T123" s="8"/>
      <c r="U123" s="8"/>
      <c r="V123" s="8"/>
      <c r="W123" s="8"/>
      <c r="X123" s="8"/>
      <c r="Y123" s="8"/>
      <c r="Z123" s="8"/>
      <c r="AA123" s="8"/>
      <c r="AB123" s="8"/>
      <c r="AC123" s="8"/>
      <c r="AD123" s="8"/>
      <c r="AE123" s="8"/>
      <c r="AF123" s="8"/>
      <c r="AG123" s="8"/>
      <c r="AH123" s="8"/>
      <c r="AI123" s="8"/>
      <c r="AJ123" s="8"/>
      <c r="AK123" s="8"/>
      <c r="AL123" s="8"/>
      <c r="AM123" s="8"/>
      <c r="AN123" s="8"/>
      <c r="AO123" s="8"/>
      <c r="AP123" s="8"/>
      <c r="AQ123" s="8"/>
    </row>
    <row r="124" spans="2:60" ht="15.95" hidden="1" customHeight="1">
      <c r="B124" s="929">
        <v>55</v>
      </c>
      <c r="C124" s="8"/>
      <c r="D124" s="8"/>
      <c r="E124" s="8"/>
      <c r="F124" s="8"/>
      <c r="G124" s="8"/>
      <c r="H124" s="8"/>
      <c r="I124" s="8"/>
      <c r="J124" s="8"/>
      <c r="K124" s="8"/>
      <c r="L124" s="8"/>
      <c r="M124" s="8"/>
      <c r="N124" s="8"/>
      <c r="O124" s="8"/>
      <c r="P124" s="8"/>
      <c r="Q124" s="8"/>
      <c r="R124" s="8"/>
      <c r="S124" s="8"/>
      <c r="T124" s="8"/>
      <c r="U124" s="8"/>
      <c r="V124" s="8"/>
      <c r="W124" s="8"/>
      <c r="X124" s="8"/>
      <c r="Y124" s="8"/>
      <c r="Z124" s="8"/>
      <c r="AA124" s="8"/>
      <c r="AB124" s="8"/>
      <c r="AC124" s="8"/>
      <c r="AD124" s="8"/>
      <c r="AE124" s="8"/>
      <c r="AF124" s="8"/>
      <c r="AG124" s="8"/>
      <c r="AH124" s="8"/>
      <c r="AI124" s="8"/>
      <c r="AJ124" s="8"/>
      <c r="AK124" s="8"/>
      <c r="AL124" s="8"/>
      <c r="AM124" s="8"/>
      <c r="AN124" s="8"/>
      <c r="AO124" s="8"/>
      <c r="AP124" s="8"/>
      <c r="AQ124" s="8"/>
    </row>
    <row r="125" spans="2:60" ht="15.95" hidden="1" customHeight="1">
      <c r="B125" s="929"/>
      <c r="C125" s="8"/>
      <c r="D125" s="8"/>
      <c r="E125" s="8"/>
      <c r="F125" s="8"/>
      <c r="G125" s="8"/>
      <c r="H125" s="8"/>
      <c r="I125" s="8"/>
      <c r="J125" s="8"/>
      <c r="K125" s="8"/>
      <c r="L125" s="8"/>
      <c r="M125" s="8"/>
      <c r="N125" s="8"/>
      <c r="O125" s="8"/>
      <c r="P125" s="8"/>
      <c r="Q125" s="8"/>
      <c r="R125" s="8"/>
      <c r="S125" s="8"/>
      <c r="T125" s="8"/>
      <c r="U125" s="8"/>
      <c r="V125" s="8"/>
      <c r="W125" s="8"/>
      <c r="X125" s="8"/>
      <c r="Y125" s="8"/>
      <c r="Z125" s="8"/>
      <c r="AA125" s="8"/>
      <c r="AB125" s="8"/>
      <c r="AC125" s="8"/>
      <c r="AD125" s="8"/>
      <c r="AE125" s="8"/>
      <c r="AF125" s="8"/>
      <c r="AG125" s="8"/>
      <c r="AH125" s="8"/>
      <c r="AI125" s="8"/>
      <c r="AJ125" s="8"/>
      <c r="AK125" s="8"/>
      <c r="AL125" s="8"/>
      <c r="AM125" s="8"/>
      <c r="AN125" s="8"/>
      <c r="AO125" s="8"/>
      <c r="AP125" s="8"/>
      <c r="AQ125" s="8"/>
    </row>
    <row r="126" spans="2:60" ht="15.95" hidden="1" customHeight="1">
      <c r="B126" s="929">
        <v>56</v>
      </c>
      <c r="C126" s="8"/>
      <c r="D126" s="8"/>
      <c r="E126" s="8"/>
      <c r="F126" s="8"/>
      <c r="G126" s="8"/>
      <c r="H126" s="8"/>
      <c r="I126" s="8"/>
      <c r="J126" s="8"/>
      <c r="K126" s="8"/>
      <c r="L126" s="8"/>
      <c r="M126" s="8"/>
      <c r="N126" s="8"/>
      <c r="O126" s="8"/>
      <c r="P126" s="8"/>
      <c r="Q126" s="8"/>
      <c r="R126" s="8"/>
      <c r="S126" s="8"/>
      <c r="T126" s="8"/>
      <c r="U126" s="8"/>
      <c r="V126" s="8"/>
      <c r="W126" s="8"/>
      <c r="X126" s="8"/>
      <c r="Y126" s="8"/>
      <c r="Z126" s="8"/>
      <c r="AA126" s="8"/>
      <c r="AB126" s="8"/>
      <c r="AC126" s="8"/>
      <c r="AD126" s="8"/>
      <c r="AE126" s="8"/>
      <c r="AF126" s="8"/>
      <c r="AG126" s="8"/>
      <c r="AH126" s="8"/>
      <c r="AI126" s="8"/>
      <c r="AJ126" s="8"/>
      <c r="AK126" s="8"/>
      <c r="AL126" s="8"/>
      <c r="AM126" s="8"/>
      <c r="AN126" s="8"/>
      <c r="AO126" s="8"/>
      <c r="AP126" s="8"/>
      <c r="AQ126" s="8"/>
    </row>
    <row r="127" spans="2:60" ht="15.95" hidden="1" customHeight="1">
      <c r="B127" s="929"/>
      <c r="C127" s="8"/>
      <c r="D127" s="8"/>
      <c r="E127" s="8"/>
      <c r="F127" s="8"/>
      <c r="G127" s="8"/>
      <c r="H127" s="8"/>
      <c r="I127" s="8"/>
      <c r="J127" s="8"/>
      <c r="K127" s="8"/>
      <c r="L127" s="8"/>
      <c r="M127" s="8"/>
      <c r="N127" s="8"/>
      <c r="O127" s="8"/>
      <c r="P127" s="8"/>
      <c r="Q127" s="8"/>
      <c r="R127" s="8"/>
      <c r="S127" s="8"/>
      <c r="T127" s="8"/>
      <c r="U127" s="8"/>
      <c r="V127" s="8"/>
      <c r="W127" s="8"/>
      <c r="X127" s="8"/>
      <c r="Y127" s="8"/>
      <c r="Z127" s="8"/>
      <c r="AA127" s="8"/>
      <c r="AB127" s="8"/>
      <c r="AC127" s="8"/>
      <c r="AD127" s="8"/>
      <c r="AE127" s="8"/>
      <c r="AF127" s="8"/>
      <c r="AG127" s="8"/>
      <c r="AH127" s="8"/>
      <c r="AI127" s="8"/>
      <c r="AJ127" s="8"/>
      <c r="AK127" s="8"/>
      <c r="AL127" s="8"/>
      <c r="AM127" s="8"/>
      <c r="AN127" s="8"/>
      <c r="AO127" s="8"/>
      <c r="AP127" s="8"/>
      <c r="AQ127" s="8"/>
    </row>
    <row r="128" spans="2:60" ht="15.95" hidden="1" customHeight="1">
      <c r="B128" s="929">
        <v>57</v>
      </c>
      <c r="C128" s="8"/>
      <c r="D128" s="8"/>
      <c r="E128" s="8"/>
      <c r="F128" s="8"/>
      <c r="G128" s="8"/>
      <c r="H128" s="8"/>
      <c r="I128" s="8"/>
      <c r="J128" s="8"/>
      <c r="K128" s="8"/>
      <c r="L128" s="8"/>
      <c r="M128" s="8"/>
      <c r="N128" s="8"/>
      <c r="O128" s="8"/>
      <c r="P128" s="8"/>
      <c r="Q128" s="8"/>
      <c r="R128" s="8"/>
      <c r="S128" s="8"/>
      <c r="T128" s="8"/>
      <c r="U128" s="8"/>
      <c r="V128" s="8"/>
      <c r="W128" s="8"/>
      <c r="X128" s="8"/>
      <c r="Y128" s="8"/>
      <c r="Z128" s="8"/>
      <c r="AA128" s="8"/>
      <c r="AB128" s="8"/>
      <c r="AC128" s="8"/>
      <c r="AD128" s="8"/>
      <c r="AE128" s="8"/>
      <c r="AF128" s="8"/>
      <c r="AG128" s="8"/>
      <c r="AH128" s="8"/>
      <c r="AI128" s="8"/>
      <c r="AJ128" s="8"/>
      <c r="AK128" s="8"/>
      <c r="AL128" s="8"/>
      <c r="AM128" s="8"/>
      <c r="AN128" s="8"/>
      <c r="AO128" s="8"/>
      <c r="AP128" s="8"/>
      <c r="AQ128" s="8"/>
    </row>
    <row r="129" spans="2:43" ht="15.95" hidden="1" customHeight="1">
      <c r="B129" s="929"/>
      <c r="C129" s="8"/>
      <c r="D129" s="8"/>
      <c r="E129" s="8"/>
      <c r="F129" s="8"/>
      <c r="G129" s="8"/>
      <c r="H129" s="8"/>
      <c r="I129" s="8"/>
      <c r="J129" s="8"/>
      <c r="K129" s="8"/>
      <c r="L129" s="8"/>
      <c r="M129" s="8"/>
      <c r="N129" s="8"/>
      <c r="O129" s="8"/>
      <c r="P129" s="8"/>
      <c r="Q129" s="8"/>
      <c r="R129" s="8"/>
      <c r="S129" s="8"/>
      <c r="T129" s="8"/>
      <c r="U129" s="8"/>
      <c r="V129" s="8"/>
      <c r="W129" s="8"/>
      <c r="X129" s="8"/>
      <c r="Y129" s="8"/>
      <c r="Z129" s="8"/>
      <c r="AA129" s="8"/>
      <c r="AB129" s="8"/>
      <c r="AC129" s="8"/>
      <c r="AD129" s="8"/>
      <c r="AE129" s="8"/>
      <c r="AF129" s="8"/>
      <c r="AG129" s="8"/>
      <c r="AH129" s="8"/>
      <c r="AI129" s="8"/>
      <c r="AJ129" s="8"/>
      <c r="AK129" s="8"/>
      <c r="AL129" s="8"/>
      <c r="AM129" s="8"/>
      <c r="AN129" s="8"/>
      <c r="AO129" s="8"/>
      <c r="AP129" s="8"/>
      <c r="AQ129" s="8"/>
    </row>
    <row r="130" spans="2:43" ht="15.95" hidden="1" customHeight="1">
      <c r="B130" s="929">
        <v>58</v>
      </c>
      <c r="C130" s="8"/>
      <c r="D130" s="8"/>
      <c r="E130" s="8"/>
      <c r="F130" s="8"/>
      <c r="G130" s="8"/>
      <c r="H130" s="8"/>
      <c r="I130" s="8"/>
      <c r="J130" s="8"/>
      <c r="K130" s="8"/>
      <c r="L130" s="8"/>
      <c r="M130" s="8"/>
      <c r="N130" s="8"/>
      <c r="O130" s="8"/>
      <c r="P130" s="8"/>
      <c r="Q130" s="8"/>
      <c r="R130" s="8"/>
      <c r="S130" s="8"/>
      <c r="T130" s="8"/>
      <c r="U130" s="8"/>
      <c r="V130" s="8"/>
      <c r="W130" s="8"/>
      <c r="X130" s="8"/>
      <c r="Y130" s="8"/>
      <c r="Z130" s="8"/>
      <c r="AA130" s="8"/>
      <c r="AB130" s="8"/>
      <c r="AC130" s="8"/>
      <c r="AD130" s="8"/>
      <c r="AE130" s="8"/>
      <c r="AF130" s="8"/>
      <c r="AG130" s="8"/>
      <c r="AH130" s="8"/>
      <c r="AI130" s="8"/>
      <c r="AJ130" s="8"/>
      <c r="AK130" s="8"/>
      <c r="AL130" s="8"/>
      <c r="AM130" s="8"/>
      <c r="AN130" s="8"/>
      <c r="AO130" s="8"/>
      <c r="AP130" s="8"/>
      <c r="AQ130" s="8"/>
    </row>
    <row r="131" spans="2:43" ht="15.95" hidden="1" customHeight="1">
      <c r="B131" s="929"/>
      <c r="C131" s="8"/>
      <c r="D131" s="8"/>
      <c r="E131" s="8"/>
      <c r="F131" s="8"/>
      <c r="G131" s="8"/>
      <c r="H131" s="8"/>
      <c r="I131" s="8"/>
      <c r="J131" s="8"/>
      <c r="K131" s="8"/>
      <c r="L131" s="8"/>
      <c r="M131" s="8"/>
      <c r="N131" s="8"/>
      <c r="O131" s="8"/>
      <c r="P131" s="8"/>
      <c r="Q131" s="8"/>
      <c r="R131" s="8"/>
      <c r="S131" s="8"/>
      <c r="T131" s="8"/>
      <c r="U131" s="8"/>
      <c r="V131" s="8"/>
      <c r="W131" s="8"/>
      <c r="X131" s="8"/>
      <c r="Y131" s="8"/>
      <c r="Z131" s="8"/>
      <c r="AA131" s="8"/>
      <c r="AB131" s="8"/>
      <c r="AC131" s="8"/>
      <c r="AD131" s="8"/>
      <c r="AE131" s="8"/>
      <c r="AF131" s="8"/>
      <c r="AG131" s="8"/>
      <c r="AH131" s="8"/>
      <c r="AI131" s="8"/>
      <c r="AJ131" s="8"/>
      <c r="AK131" s="8"/>
      <c r="AL131" s="8"/>
      <c r="AM131" s="8"/>
      <c r="AN131" s="8"/>
      <c r="AO131" s="8"/>
      <c r="AP131" s="8"/>
      <c r="AQ131" s="8"/>
    </row>
    <row r="132" spans="2:43" ht="15.95" hidden="1" customHeight="1">
      <c r="B132" s="929">
        <v>59</v>
      </c>
      <c r="C132" s="8"/>
      <c r="D132" s="8"/>
      <c r="E132" s="8"/>
      <c r="F132" s="8"/>
      <c r="G132" s="8"/>
      <c r="H132" s="8"/>
      <c r="I132" s="8"/>
      <c r="J132" s="8"/>
      <c r="K132" s="8"/>
      <c r="L132" s="8"/>
      <c r="M132" s="8"/>
      <c r="N132" s="8"/>
      <c r="O132" s="8"/>
      <c r="P132" s="8"/>
      <c r="Q132" s="8"/>
      <c r="R132" s="8"/>
      <c r="S132" s="8"/>
      <c r="T132" s="8"/>
      <c r="U132" s="8"/>
      <c r="V132" s="8"/>
      <c r="W132" s="8"/>
      <c r="X132" s="8"/>
      <c r="Y132" s="8"/>
      <c r="Z132" s="8"/>
      <c r="AA132" s="8"/>
      <c r="AB132" s="8"/>
      <c r="AC132" s="8"/>
      <c r="AD132" s="8"/>
      <c r="AE132" s="8"/>
      <c r="AF132" s="8"/>
      <c r="AG132" s="8"/>
      <c r="AH132" s="8"/>
      <c r="AI132" s="8"/>
      <c r="AJ132" s="8"/>
      <c r="AK132" s="8"/>
      <c r="AL132" s="8"/>
      <c r="AM132" s="8"/>
      <c r="AN132" s="8"/>
      <c r="AO132" s="8"/>
      <c r="AP132" s="8"/>
      <c r="AQ132" s="8"/>
    </row>
    <row r="133" spans="2:43" ht="15.95" hidden="1" customHeight="1">
      <c r="B133" s="929"/>
      <c r="C133" s="8"/>
      <c r="D133" s="8"/>
      <c r="E133" s="8"/>
      <c r="F133" s="8"/>
      <c r="G133" s="8"/>
      <c r="H133" s="8"/>
      <c r="I133" s="8"/>
      <c r="J133" s="8"/>
      <c r="K133" s="8"/>
      <c r="L133" s="8"/>
      <c r="M133" s="8"/>
      <c r="N133" s="8"/>
      <c r="O133" s="8"/>
      <c r="P133" s="8"/>
      <c r="Q133" s="8"/>
      <c r="R133" s="8"/>
      <c r="S133" s="8"/>
      <c r="T133" s="8"/>
      <c r="U133" s="8"/>
      <c r="V133" s="8"/>
      <c r="W133" s="8"/>
      <c r="X133" s="8"/>
      <c r="Y133" s="8"/>
      <c r="Z133" s="8"/>
      <c r="AA133" s="8"/>
      <c r="AB133" s="8"/>
      <c r="AC133" s="8"/>
      <c r="AD133" s="8"/>
      <c r="AE133" s="8"/>
      <c r="AF133" s="8"/>
      <c r="AG133" s="8"/>
      <c r="AH133" s="8"/>
      <c r="AI133" s="8"/>
      <c r="AJ133" s="8"/>
      <c r="AK133" s="8"/>
      <c r="AL133" s="8"/>
      <c r="AM133" s="8"/>
      <c r="AN133" s="8"/>
      <c r="AO133" s="8"/>
      <c r="AP133" s="8"/>
      <c r="AQ133" s="8"/>
    </row>
    <row r="134" spans="2:43" ht="15.95" hidden="1" customHeight="1">
      <c r="B134" s="929">
        <v>60</v>
      </c>
      <c r="C134" s="8"/>
      <c r="D134" s="8"/>
      <c r="E134" s="8"/>
      <c r="F134" s="8"/>
      <c r="G134" s="8"/>
      <c r="H134" s="8"/>
      <c r="I134" s="8"/>
      <c r="J134" s="8"/>
      <c r="K134" s="8"/>
      <c r="L134" s="8"/>
      <c r="M134" s="8"/>
      <c r="N134" s="8"/>
      <c r="O134" s="8"/>
      <c r="P134" s="8"/>
      <c r="Q134" s="8"/>
      <c r="R134" s="8"/>
      <c r="S134" s="8"/>
      <c r="T134" s="8"/>
      <c r="U134" s="8"/>
      <c r="V134" s="8"/>
      <c r="W134" s="8"/>
      <c r="X134" s="8"/>
      <c r="Y134" s="8"/>
      <c r="Z134" s="8"/>
      <c r="AA134" s="8"/>
      <c r="AB134" s="8"/>
      <c r="AC134" s="8"/>
      <c r="AD134" s="8"/>
      <c r="AE134" s="8"/>
      <c r="AF134" s="8"/>
      <c r="AG134" s="8"/>
      <c r="AH134" s="8"/>
      <c r="AI134" s="8"/>
      <c r="AJ134" s="8"/>
      <c r="AK134" s="8"/>
      <c r="AL134" s="8"/>
      <c r="AM134" s="8"/>
      <c r="AN134" s="8"/>
      <c r="AO134" s="8"/>
      <c r="AP134" s="8"/>
      <c r="AQ134" s="8"/>
    </row>
    <row r="135" spans="2:43" ht="15.95" hidden="1" customHeight="1">
      <c r="B135" s="929"/>
      <c r="C135" s="8"/>
      <c r="D135" s="8"/>
      <c r="E135" s="8"/>
      <c r="F135" s="8"/>
      <c r="G135" s="8"/>
      <c r="H135" s="8"/>
      <c r="I135" s="8"/>
      <c r="J135" s="8"/>
      <c r="K135" s="8"/>
      <c r="L135" s="8"/>
      <c r="M135" s="8"/>
      <c r="N135" s="8"/>
      <c r="O135" s="8"/>
      <c r="P135" s="8"/>
      <c r="Q135" s="8"/>
      <c r="R135" s="8"/>
      <c r="S135" s="8"/>
      <c r="T135" s="8"/>
      <c r="U135" s="8"/>
      <c r="V135" s="8"/>
      <c r="W135" s="8"/>
      <c r="X135" s="8"/>
      <c r="Y135" s="8"/>
      <c r="Z135" s="8"/>
      <c r="AA135" s="8"/>
      <c r="AB135" s="8"/>
      <c r="AC135" s="8"/>
      <c r="AD135" s="8"/>
      <c r="AE135" s="8"/>
      <c r="AF135" s="8"/>
      <c r="AG135" s="8"/>
      <c r="AH135" s="8"/>
      <c r="AI135" s="8"/>
      <c r="AJ135" s="8"/>
      <c r="AK135" s="8"/>
      <c r="AL135" s="8"/>
      <c r="AM135" s="8"/>
      <c r="AN135" s="8"/>
      <c r="AO135" s="8"/>
      <c r="AP135" s="8"/>
      <c r="AQ135" s="8"/>
    </row>
    <row r="136" spans="2:43" ht="15.95" hidden="1" customHeight="1">
      <c r="B136" s="929">
        <v>61</v>
      </c>
      <c r="C136" s="8"/>
      <c r="D136" s="8"/>
      <c r="E136" s="8"/>
      <c r="F136" s="8"/>
      <c r="G136" s="8"/>
      <c r="H136" s="8"/>
      <c r="I136" s="8"/>
      <c r="J136" s="8"/>
      <c r="K136" s="8"/>
      <c r="L136" s="8"/>
      <c r="M136" s="8"/>
      <c r="N136" s="8"/>
      <c r="O136" s="8"/>
      <c r="P136" s="8"/>
      <c r="Q136" s="8"/>
      <c r="R136" s="8"/>
      <c r="S136" s="8"/>
      <c r="T136" s="8"/>
      <c r="U136" s="8"/>
      <c r="V136" s="8"/>
      <c r="W136" s="8"/>
      <c r="X136" s="8"/>
      <c r="Y136" s="8"/>
      <c r="Z136" s="8"/>
      <c r="AA136" s="8"/>
      <c r="AB136" s="8"/>
      <c r="AC136" s="8"/>
      <c r="AD136" s="8"/>
      <c r="AE136" s="8"/>
      <c r="AF136" s="8"/>
      <c r="AG136" s="8"/>
      <c r="AH136" s="8"/>
      <c r="AI136" s="8"/>
      <c r="AJ136" s="8"/>
      <c r="AK136" s="8"/>
      <c r="AL136" s="8"/>
      <c r="AM136" s="8"/>
      <c r="AN136" s="8"/>
      <c r="AO136" s="8"/>
      <c r="AP136" s="8"/>
      <c r="AQ136" s="8"/>
    </row>
    <row r="137" spans="2:43" ht="15.95" hidden="1" customHeight="1">
      <c r="B137" s="929"/>
      <c r="C137" s="8"/>
      <c r="D137" s="8"/>
      <c r="E137" s="8"/>
      <c r="F137" s="8"/>
      <c r="G137" s="8"/>
      <c r="H137" s="8"/>
      <c r="I137" s="8"/>
      <c r="J137" s="8"/>
      <c r="K137" s="8"/>
      <c r="L137" s="8"/>
      <c r="M137" s="8"/>
      <c r="N137" s="8"/>
      <c r="O137" s="8"/>
      <c r="P137" s="8"/>
      <c r="Q137" s="8"/>
      <c r="R137" s="8"/>
      <c r="S137" s="8"/>
      <c r="T137" s="8"/>
      <c r="U137" s="8"/>
      <c r="V137" s="8"/>
      <c r="W137" s="8"/>
      <c r="X137" s="8"/>
      <c r="Y137" s="8"/>
      <c r="Z137" s="8"/>
      <c r="AA137" s="8"/>
      <c r="AB137" s="8"/>
      <c r="AC137" s="8"/>
      <c r="AD137" s="8"/>
      <c r="AE137" s="8"/>
      <c r="AF137" s="8"/>
      <c r="AG137" s="8"/>
      <c r="AH137" s="8"/>
      <c r="AI137" s="8"/>
      <c r="AJ137" s="8"/>
      <c r="AK137" s="8"/>
      <c r="AL137" s="8"/>
      <c r="AM137" s="8"/>
      <c r="AN137" s="8"/>
      <c r="AO137" s="8"/>
      <c r="AP137" s="8"/>
      <c r="AQ137" s="8"/>
    </row>
    <row r="138" spans="2:43" ht="15.95" hidden="1" customHeight="1">
      <c r="B138" s="929">
        <v>62</v>
      </c>
      <c r="C138" s="8"/>
      <c r="D138" s="8"/>
      <c r="E138" s="8"/>
      <c r="F138" s="8"/>
      <c r="G138" s="8"/>
      <c r="H138" s="8"/>
      <c r="I138" s="8"/>
      <c r="J138" s="8"/>
      <c r="K138" s="8"/>
      <c r="L138" s="8"/>
      <c r="M138" s="8"/>
      <c r="N138" s="8"/>
      <c r="O138" s="8"/>
      <c r="P138" s="8"/>
      <c r="Q138" s="8"/>
      <c r="R138" s="8"/>
      <c r="S138" s="8"/>
      <c r="T138" s="8"/>
      <c r="U138" s="8"/>
      <c r="V138" s="8"/>
      <c r="W138" s="8"/>
      <c r="X138" s="8"/>
      <c r="Y138" s="8"/>
      <c r="Z138" s="8"/>
      <c r="AA138" s="8"/>
      <c r="AB138" s="8"/>
      <c r="AC138" s="8"/>
      <c r="AD138" s="8"/>
      <c r="AE138" s="8"/>
      <c r="AF138" s="8"/>
      <c r="AG138" s="8"/>
      <c r="AH138" s="8"/>
      <c r="AI138" s="8"/>
      <c r="AJ138" s="8"/>
      <c r="AK138" s="8"/>
      <c r="AL138" s="8"/>
      <c r="AM138" s="8"/>
      <c r="AN138" s="8"/>
      <c r="AO138" s="8"/>
      <c r="AP138" s="8"/>
      <c r="AQ138" s="8"/>
    </row>
    <row r="139" spans="2:43" ht="15.95" hidden="1" customHeight="1">
      <c r="B139" s="929"/>
      <c r="C139" s="8"/>
      <c r="D139" s="8"/>
      <c r="E139" s="8"/>
      <c r="F139" s="8"/>
      <c r="G139" s="8"/>
      <c r="H139" s="8"/>
      <c r="I139" s="8"/>
      <c r="J139" s="8"/>
      <c r="K139" s="8"/>
      <c r="L139" s="8"/>
      <c r="M139" s="8"/>
      <c r="N139" s="8"/>
      <c r="O139" s="8"/>
      <c r="P139" s="8"/>
      <c r="Q139" s="8"/>
      <c r="R139" s="8"/>
      <c r="S139" s="8"/>
      <c r="T139" s="8"/>
      <c r="U139" s="8"/>
      <c r="V139" s="8"/>
      <c r="W139" s="8"/>
      <c r="X139" s="8"/>
      <c r="Y139" s="8"/>
      <c r="Z139" s="8"/>
      <c r="AA139" s="8"/>
      <c r="AB139" s="8"/>
      <c r="AC139" s="8"/>
      <c r="AD139" s="8"/>
      <c r="AE139" s="8"/>
      <c r="AF139" s="8"/>
      <c r="AG139" s="8"/>
      <c r="AH139" s="8"/>
      <c r="AI139" s="8"/>
      <c r="AJ139" s="8"/>
      <c r="AK139" s="8"/>
      <c r="AL139" s="8"/>
      <c r="AM139" s="8"/>
      <c r="AN139" s="8"/>
      <c r="AO139" s="8"/>
      <c r="AP139" s="8"/>
      <c r="AQ139" s="8"/>
    </row>
    <row r="140" spans="2:43" ht="15.95" hidden="1" customHeight="1">
      <c r="B140" s="929">
        <v>63</v>
      </c>
      <c r="C140" s="8"/>
      <c r="D140" s="8"/>
      <c r="E140" s="8"/>
      <c r="F140" s="8"/>
      <c r="G140" s="8"/>
      <c r="H140" s="8"/>
      <c r="I140" s="8"/>
      <c r="J140" s="8"/>
      <c r="K140" s="8"/>
      <c r="L140" s="8"/>
      <c r="M140" s="8"/>
      <c r="N140" s="8"/>
      <c r="O140" s="8"/>
      <c r="P140" s="8"/>
      <c r="Q140" s="8"/>
      <c r="R140" s="8"/>
      <c r="S140" s="8"/>
      <c r="T140" s="8"/>
      <c r="U140" s="8"/>
      <c r="V140" s="8"/>
      <c r="W140" s="8"/>
      <c r="X140" s="8"/>
      <c r="Y140" s="8"/>
      <c r="Z140" s="8"/>
      <c r="AA140" s="8"/>
      <c r="AB140" s="8"/>
      <c r="AC140" s="8"/>
      <c r="AD140" s="8"/>
      <c r="AE140" s="8"/>
      <c r="AF140" s="8"/>
      <c r="AG140" s="8"/>
      <c r="AH140" s="8"/>
      <c r="AI140" s="8"/>
      <c r="AJ140" s="8"/>
      <c r="AK140" s="8"/>
      <c r="AL140" s="8"/>
      <c r="AM140" s="8"/>
      <c r="AN140" s="8"/>
      <c r="AO140" s="8"/>
      <c r="AP140" s="8"/>
      <c r="AQ140" s="8"/>
    </row>
    <row r="141" spans="2:43" ht="15.95" hidden="1" customHeight="1">
      <c r="B141" s="929"/>
      <c r="C141" s="8"/>
      <c r="D141" s="8"/>
      <c r="E141" s="8"/>
      <c r="F141" s="8"/>
      <c r="G141" s="8"/>
      <c r="H141" s="8"/>
      <c r="I141" s="8"/>
      <c r="J141" s="8"/>
      <c r="K141" s="8"/>
      <c r="L141" s="8"/>
      <c r="M141" s="8"/>
      <c r="N141" s="8"/>
      <c r="O141" s="8"/>
      <c r="P141" s="8"/>
      <c r="Q141" s="8"/>
      <c r="R141" s="8"/>
      <c r="S141" s="8"/>
      <c r="T141" s="8"/>
      <c r="U141" s="8"/>
      <c r="V141" s="8"/>
      <c r="W141" s="8"/>
      <c r="X141" s="8"/>
      <c r="Y141" s="8"/>
      <c r="Z141" s="8"/>
      <c r="AA141" s="8"/>
      <c r="AB141" s="8"/>
      <c r="AC141" s="8"/>
      <c r="AD141" s="8"/>
      <c r="AE141" s="8"/>
      <c r="AF141" s="8"/>
      <c r="AG141" s="8"/>
      <c r="AH141" s="8"/>
      <c r="AI141" s="8"/>
      <c r="AJ141" s="8"/>
      <c r="AK141" s="8"/>
      <c r="AL141" s="8"/>
      <c r="AM141" s="8"/>
      <c r="AN141" s="8"/>
      <c r="AO141" s="8"/>
      <c r="AP141" s="8"/>
      <c r="AQ141" s="8"/>
    </row>
    <row r="142" spans="2:43" ht="15.95" hidden="1" customHeight="1">
      <c r="B142" s="929">
        <v>64</v>
      </c>
      <c r="C142" s="8"/>
      <c r="D142" s="8"/>
      <c r="E142" s="8"/>
      <c r="F142" s="8"/>
      <c r="G142" s="8"/>
      <c r="H142" s="8"/>
      <c r="I142" s="8"/>
      <c r="J142" s="8"/>
      <c r="K142" s="8"/>
      <c r="L142" s="8"/>
      <c r="M142" s="8"/>
      <c r="N142" s="8"/>
      <c r="O142" s="8"/>
      <c r="P142" s="8"/>
      <c r="Q142" s="8"/>
      <c r="R142" s="8"/>
      <c r="S142" s="8"/>
      <c r="T142" s="8"/>
      <c r="U142" s="8"/>
      <c r="V142" s="8"/>
      <c r="W142" s="8"/>
      <c r="X142" s="8"/>
      <c r="Y142" s="8"/>
      <c r="Z142" s="8"/>
      <c r="AA142" s="8"/>
      <c r="AB142" s="8"/>
      <c r="AC142" s="8"/>
      <c r="AD142" s="8"/>
      <c r="AE142" s="8"/>
      <c r="AF142" s="8"/>
      <c r="AG142" s="8"/>
      <c r="AH142" s="8"/>
      <c r="AI142" s="8"/>
      <c r="AJ142" s="8"/>
      <c r="AK142" s="8"/>
      <c r="AL142" s="8"/>
      <c r="AM142" s="8"/>
      <c r="AN142" s="8"/>
      <c r="AO142" s="8"/>
      <c r="AP142" s="8"/>
      <c r="AQ142" s="8"/>
    </row>
    <row r="143" spans="2:43" ht="15.95" hidden="1" customHeight="1">
      <c r="B143" s="929"/>
      <c r="C143" s="8"/>
      <c r="D143" s="8"/>
      <c r="E143" s="8"/>
      <c r="F143" s="8"/>
      <c r="G143" s="8"/>
      <c r="H143" s="8"/>
      <c r="I143" s="8"/>
      <c r="J143" s="8"/>
      <c r="K143" s="8"/>
      <c r="L143" s="8"/>
      <c r="M143" s="8"/>
      <c r="N143" s="8"/>
      <c r="O143" s="8"/>
      <c r="P143" s="8"/>
      <c r="Q143" s="8"/>
      <c r="R143" s="8"/>
      <c r="S143" s="8"/>
      <c r="T143" s="8"/>
      <c r="U143" s="8"/>
      <c r="V143" s="8"/>
      <c r="W143" s="8"/>
      <c r="X143" s="8"/>
      <c r="Y143" s="8"/>
      <c r="Z143" s="8"/>
      <c r="AA143" s="8"/>
      <c r="AB143" s="8"/>
      <c r="AC143" s="8"/>
      <c r="AD143" s="8"/>
      <c r="AE143" s="8"/>
      <c r="AF143" s="8"/>
      <c r="AG143" s="8"/>
      <c r="AH143" s="8"/>
      <c r="AI143" s="8"/>
      <c r="AJ143" s="8"/>
      <c r="AK143" s="8"/>
      <c r="AL143" s="8"/>
      <c r="AM143" s="8"/>
      <c r="AN143" s="8"/>
      <c r="AO143" s="8"/>
      <c r="AP143" s="8"/>
      <c r="AQ143" s="8"/>
    </row>
    <row r="144" spans="2:43" ht="15.95" hidden="1" customHeight="1">
      <c r="B144" s="929">
        <v>65</v>
      </c>
      <c r="C144" s="8"/>
      <c r="D144" s="8"/>
      <c r="E144" s="8"/>
      <c r="F144" s="8"/>
      <c r="G144" s="8"/>
      <c r="H144" s="8"/>
      <c r="I144" s="8"/>
      <c r="J144" s="8"/>
      <c r="K144" s="8"/>
      <c r="L144" s="8"/>
      <c r="M144" s="8"/>
      <c r="N144" s="8"/>
      <c r="O144" s="8"/>
      <c r="P144" s="8"/>
      <c r="Q144" s="8"/>
      <c r="R144" s="8"/>
      <c r="S144" s="8"/>
      <c r="T144" s="8"/>
      <c r="U144" s="8"/>
      <c r="V144" s="8"/>
      <c r="W144" s="8"/>
      <c r="X144" s="8"/>
      <c r="Y144" s="8"/>
      <c r="Z144" s="8"/>
      <c r="AA144" s="8"/>
      <c r="AB144" s="8"/>
      <c r="AC144" s="8"/>
      <c r="AD144" s="8"/>
      <c r="AE144" s="8"/>
      <c r="AF144" s="8"/>
      <c r="AG144" s="8"/>
      <c r="AH144" s="8"/>
      <c r="AI144" s="8"/>
      <c r="AJ144" s="8"/>
      <c r="AK144" s="8"/>
      <c r="AL144" s="8"/>
      <c r="AM144" s="8"/>
      <c r="AN144" s="8"/>
      <c r="AO144" s="8"/>
      <c r="AP144" s="8"/>
      <c r="AQ144" s="8"/>
    </row>
    <row r="145" spans="2:43" ht="15.95" hidden="1" customHeight="1">
      <c r="B145" s="929"/>
      <c r="C145" s="8"/>
      <c r="D145" s="8"/>
      <c r="E145" s="8"/>
      <c r="F145" s="8"/>
      <c r="G145" s="8"/>
      <c r="H145" s="8"/>
      <c r="I145" s="8"/>
      <c r="J145" s="8"/>
      <c r="K145" s="8"/>
      <c r="L145" s="8"/>
      <c r="M145" s="8"/>
      <c r="N145" s="8"/>
      <c r="O145" s="8"/>
      <c r="P145" s="8"/>
      <c r="Q145" s="8"/>
      <c r="R145" s="8"/>
      <c r="S145" s="8"/>
      <c r="T145" s="8"/>
      <c r="U145" s="8"/>
      <c r="V145" s="8"/>
      <c r="W145" s="8"/>
      <c r="X145" s="8"/>
      <c r="Y145" s="8"/>
      <c r="Z145" s="8"/>
      <c r="AA145" s="8"/>
      <c r="AB145" s="8"/>
      <c r="AC145" s="8"/>
      <c r="AD145" s="8"/>
      <c r="AE145" s="8"/>
      <c r="AF145" s="8"/>
      <c r="AG145" s="8"/>
      <c r="AH145" s="8"/>
      <c r="AI145" s="8"/>
      <c r="AJ145" s="8"/>
      <c r="AK145" s="8"/>
      <c r="AL145" s="8"/>
      <c r="AM145" s="8"/>
      <c r="AN145" s="8"/>
      <c r="AO145" s="8"/>
      <c r="AP145" s="8"/>
      <c r="AQ145" s="8"/>
    </row>
    <row r="146" spans="2:43" ht="15.95" hidden="1" customHeight="1">
      <c r="B146" s="929">
        <v>66</v>
      </c>
      <c r="C146" s="8"/>
      <c r="D146" s="8"/>
      <c r="E146" s="8"/>
      <c r="F146" s="8"/>
      <c r="G146" s="8"/>
      <c r="H146" s="8"/>
      <c r="I146" s="8"/>
      <c r="J146" s="8"/>
      <c r="K146" s="8"/>
      <c r="L146" s="8"/>
      <c r="M146" s="8"/>
      <c r="N146" s="8"/>
      <c r="O146" s="8"/>
      <c r="P146" s="8"/>
      <c r="Q146" s="8"/>
      <c r="R146" s="8"/>
      <c r="S146" s="8"/>
      <c r="T146" s="8"/>
      <c r="U146" s="8"/>
      <c r="V146" s="8"/>
      <c r="W146" s="8"/>
      <c r="X146" s="8"/>
      <c r="Y146" s="8"/>
      <c r="Z146" s="8"/>
      <c r="AA146" s="8"/>
      <c r="AB146" s="8"/>
      <c r="AC146" s="8"/>
      <c r="AD146" s="8"/>
      <c r="AE146" s="8"/>
      <c r="AF146" s="8"/>
      <c r="AG146" s="8"/>
      <c r="AH146" s="8"/>
      <c r="AI146" s="8"/>
      <c r="AJ146" s="8"/>
      <c r="AK146" s="8"/>
      <c r="AL146" s="8"/>
      <c r="AM146" s="8"/>
      <c r="AN146" s="8"/>
      <c r="AO146" s="8"/>
      <c r="AP146" s="8"/>
      <c r="AQ146" s="8"/>
    </row>
    <row r="147" spans="2:43" ht="15.95" hidden="1" customHeight="1">
      <c r="B147" s="929"/>
      <c r="C147" s="8"/>
      <c r="D147" s="8"/>
      <c r="E147" s="8"/>
      <c r="F147" s="8"/>
      <c r="G147" s="8"/>
      <c r="H147" s="8"/>
      <c r="I147" s="8"/>
      <c r="J147" s="8"/>
      <c r="K147" s="8"/>
      <c r="L147" s="8"/>
      <c r="M147" s="8"/>
      <c r="N147" s="8"/>
      <c r="O147" s="8"/>
      <c r="P147" s="8"/>
      <c r="Q147" s="8"/>
      <c r="R147" s="8"/>
      <c r="S147" s="8"/>
      <c r="T147" s="8"/>
      <c r="U147" s="8"/>
      <c r="V147" s="8"/>
      <c r="W147" s="8"/>
      <c r="X147" s="8"/>
      <c r="Y147" s="8"/>
      <c r="Z147" s="8"/>
      <c r="AA147" s="8"/>
      <c r="AB147" s="8"/>
      <c r="AC147" s="8"/>
      <c r="AD147" s="8"/>
      <c r="AE147" s="8"/>
      <c r="AF147" s="8"/>
      <c r="AG147" s="8"/>
      <c r="AH147" s="8"/>
      <c r="AI147" s="8"/>
      <c r="AJ147" s="8"/>
      <c r="AK147" s="8"/>
      <c r="AL147" s="8"/>
      <c r="AM147" s="8"/>
      <c r="AN147" s="8"/>
      <c r="AO147" s="8"/>
      <c r="AP147" s="8"/>
      <c r="AQ147" s="8"/>
    </row>
    <row r="148" spans="2:43" ht="15.95" hidden="1" customHeight="1">
      <c r="B148" s="929">
        <v>67</v>
      </c>
      <c r="C148" s="8"/>
      <c r="D148" s="8"/>
      <c r="E148" s="8"/>
      <c r="F148" s="8"/>
      <c r="G148" s="8"/>
      <c r="H148" s="8"/>
      <c r="I148" s="8"/>
      <c r="J148" s="8"/>
      <c r="K148" s="8"/>
      <c r="L148" s="8"/>
      <c r="M148" s="8"/>
      <c r="N148" s="8"/>
      <c r="O148" s="8"/>
      <c r="P148" s="8"/>
      <c r="Q148" s="8"/>
      <c r="R148" s="8"/>
      <c r="S148" s="8"/>
      <c r="T148" s="8"/>
      <c r="U148" s="8"/>
      <c r="V148" s="8"/>
      <c r="W148" s="8"/>
      <c r="X148" s="8"/>
      <c r="Y148" s="8"/>
      <c r="Z148" s="8"/>
      <c r="AA148" s="8"/>
      <c r="AB148" s="8"/>
      <c r="AC148" s="8"/>
      <c r="AD148" s="8"/>
      <c r="AE148" s="8"/>
      <c r="AF148" s="8"/>
      <c r="AG148" s="8"/>
      <c r="AH148" s="8"/>
      <c r="AI148" s="8"/>
      <c r="AJ148" s="8"/>
      <c r="AK148" s="8"/>
      <c r="AL148" s="8"/>
      <c r="AM148" s="8"/>
      <c r="AN148" s="8"/>
      <c r="AO148" s="8"/>
      <c r="AP148" s="8"/>
      <c r="AQ148" s="8"/>
    </row>
    <row r="149" spans="2:43" ht="15.95" hidden="1" customHeight="1">
      <c r="B149" s="929"/>
      <c r="C149" s="8"/>
      <c r="D149" s="8"/>
      <c r="E149" s="8"/>
      <c r="F149" s="8"/>
      <c r="G149" s="8"/>
      <c r="H149" s="8"/>
      <c r="I149" s="8"/>
      <c r="J149" s="8"/>
      <c r="K149" s="8"/>
      <c r="L149" s="8"/>
      <c r="M149" s="8"/>
      <c r="N149" s="8"/>
      <c r="O149" s="8"/>
      <c r="P149" s="8"/>
      <c r="Q149" s="8"/>
      <c r="R149" s="8"/>
      <c r="S149" s="8"/>
      <c r="T149" s="8"/>
      <c r="U149" s="8"/>
      <c r="V149" s="8"/>
      <c r="W149" s="8"/>
      <c r="X149" s="8"/>
      <c r="Y149" s="8"/>
      <c r="Z149" s="8"/>
      <c r="AA149" s="8"/>
      <c r="AB149" s="8"/>
      <c r="AC149" s="8"/>
      <c r="AD149" s="8"/>
      <c r="AE149" s="8"/>
      <c r="AF149" s="8"/>
      <c r="AG149" s="8"/>
      <c r="AH149" s="8"/>
      <c r="AI149" s="8"/>
      <c r="AJ149" s="8"/>
      <c r="AK149" s="8"/>
      <c r="AL149" s="8"/>
      <c r="AM149" s="8"/>
      <c r="AN149" s="8"/>
      <c r="AO149" s="8"/>
      <c r="AP149" s="8"/>
      <c r="AQ149" s="8"/>
    </row>
    <row r="150" spans="2:43" ht="15.95" hidden="1" customHeight="1">
      <c r="B150" s="929">
        <v>68</v>
      </c>
      <c r="C150" s="8"/>
      <c r="D150" s="8"/>
      <c r="E150" s="8"/>
      <c r="F150" s="8"/>
      <c r="G150" s="8"/>
      <c r="H150" s="8"/>
      <c r="I150" s="8"/>
      <c r="J150" s="8"/>
      <c r="K150" s="8"/>
      <c r="L150" s="8"/>
      <c r="M150" s="8"/>
      <c r="N150" s="8"/>
      <c r="O150" s="8"/>
      <c r="P150" s="8"/>
      <c r="Q150" s="8"/>
      <c r="R150" s="8"/>
      <c r="S150" s="8"/>
      <c r="T150" s="8"/>
      <c r="U150" s="8"/>
      <c r="V150" s="8"/>
      <c r="W150" s="8"/>
      <c r="X150" s="8"/>
      <c r="Y150" s="8"/>
      <c r="Z150" s="8"/>
      <c r="AA150" s="8"/>
      <c r="AB150" s="8"/>
      <c r="AC150" s="8"/>
      <c r="AD150" s="8"/>
      <c r="AE150" s="8"/>
      <c r="AF150" s="8"/>
      <c r="AG150" s="8"/>
      <c r="AH150" s="8"/>
      <c r="AI150" s="8"/>
      <c r="AJ150" s="8"/>
      <c r="AK150" s="8"/>
      <c r="AL150" s="8"/>
      <c r="AM150" s="8"/>
      <c r="AN150" s="8"/>
      <c r="AO150" s="8"/>
      <c r="AP150" s="8"/>
      <c r="AQ150" s="8"/>
    </row>
    <row r="151" spans="2:43" ht="15.95" hidden="1" customHeight="1">
      <c r="B151" s="929"/>
      <c r="C151" s="8"/>
      <c r="D151" s="8"/>
      <c r="E151" s="8"/>
      <c r="F151" s="8"/>
      <c r="G151" s="8"/>
      <c r="H151" s="8"/>
      <c r="I151" s="8"/>
      <c r="J151" s="8"/>
      <c r="K151" s="8"/>
      <c r="L151" s="8"/>
      <c r="M151" s="8"/>
      <c r="N151" s="8"/>
      <c r="O151" s="8"/>
      <c r="P151" s="8"/>
      <c r="Q151" s="8"/>
      <c r="R151" s="8"/>
      <c r="S151" s="8"/>
      <c r="T151" s="8"/>
      <c r="U151" s="8"/>
      <c r="V151" s="8"/>
      <c r="W151" s="8"/>
      <c r="X151" s="8"/>
      <c r="Y151" s="8"/>
      <c r="Z151" s="8"/>
      <c r="AA151" s="8"/>
      <c r="AB151" s="8"/>
      <c r="AC151" s="8"/>
      <c r="AD151" s="8"/>
      <c r="AE151" s="8"/>
      <c r="AF151" s="8"/>
      <c r="AG151" s="8"/>
      <c r="AH151" s="8"/>
      <c r="AI151" s="8"/>
      <c r="AJ151" s="8"/>
      <c r="AK151" s="8"/>
      <c r="AL151" s="8"/>
      <c r="AM151" s="8"/>
      <c r="AN151" s="8"/>
      <c r="AO151" s="8"/>
      <c r="AP151" s="8"/>
      <c r="AQ151" s="8"/>
    </row>
    <row r="152" spans="2:43" ht="15.95" hidden="1" customHeight="1">
      <c r="B152" s="929">
        <v>69</v>
      </c>
      <c r="C152" s="8"/>
      <c r="D152" s="8"/>
      <c r="E152" s="8"/>
      <c r="F152" s="8"/>
      <c r="G152" s="8"/>
      <c r="H152" s="8"/>
      <c r="I152" s="8"/>
      <c r="J152" s="8"/>
      <c r="K152" s="8"/>
      <c r="L152" s="8"/>
      <c r="M152" s="8"/>
      <c r="N152" s="8"/>
      <c r="O152" s="8"/>
      <c r="P152" s="8"/>
      <c r="Q152" s="8"/>
      <c r="R152" s="8"/>
      <c r="S152" s="8"/>
      <c r="T152" s="8"/>
      <c r="U152" s="8"/>
      <c r="V152" s="8"/>
      <c r="W152" s="8"/>
      <c r="X152" s="8"/>
      <c r="Y152" s="8"/>
      <c r="Z152" s="8"/>
      <c r="AA152" s="8"/>
      <c r="AB152" s="8"/>
      <c r="AC152" s="8"/>
      <c r="AD152" s="8"/>
      <c r="AE152" s="8"/>
      <c r="AF152" s="8"/>
      <c r="AG152" s="8"/>
      <c r="AH152" s="8"/>
      <c r="AI152" s="8"/>
      <c r="AJ152" s="8"/>
      <c r="AK152" s="8"/>
      <c r="AL152" s="8"/>
      <c r="AM152" s="8"/>
      <c r="AN152" s="8"/>
      <c r="AO152" s="8"/>
      <c r="AP152" s="8"/>
      <c r="AQ152" s="8"/>
    </row>
    <row r="153" spans="2:43" ht="15.95" hidden="1" customHeight="1">
      <c r="B153" s="929"/>
      <c r="C153" s="8"/>
      <c r="D153" s="8"/>
      <c r="E153" s="8"/>
      <c r="F153" s="8"/>
      <c r="G153" s="8"/>
      <c r="H153" s="8"/>
      <c r="I153" s="8"/>
      <c r="J153" s="8"/>
      <c r="K153" s="8"/>
      <c r="L153" s="8"/>
      <c r="M153" s="8"/>
      <c r="N153" s="8"/>
      <c r="O153" s="8"/>
      <c r="P153" s="8"/>
      <c r="Q153" s="8"/>
      <c r="R153" s="8"/>
      <c r="S153" s="8"/>
      <c r="T153" s="8"/>
      <c r="U153" s="8"/>
      <c r="V153" s="8"/>
      <c r="W153" s="8"/>
      <c r="X153" s="8"/>
      <c r="Y153" s="8"/>
      <c r="Z153" s="8"/>
      <c r="AA153" s="8"/>
      <c r="AB153" s="8"/>
      <c r="AC153" s="8"/>
      <c r="AD153" s="8"/>
      <c r="AE153" s="8"/>
      <c r="AF153" s="8"/>
      <c r="AG153" s="8"/>
      <c r="AH153" s="8"/>
      <c r="AI153" s="8"/>
      <c r="AJ153" s="8"/>
      <c r="AK153" s="8"/>
      <c r="AL153" s="8"/>
      <c r="AM153" s="8"/>
      <c r="AN153" s="8"/>
      <c r="AO153" s="8"/>
      <c r="AP153" s="8"/>
      <c r="AQ153" s="8"/>
    </row>
    <row r="154" spans="2:43" ht="15.95" hidden="1" customHeight="1">
      <c r="B154" s="929">
        <v>70</v>
      </c>
      <c r="C154" s="8"/>
      <c r="D154" s="8"/>
      <c r="E154" s="8"/>
      <c r="F154" s="8"/>
      <c r="G154" s="8"/>
      <c r="H154" s="8"/>
      <c r="I154" s="8"/>
      <c r="J154" s="8"/>
      <c r="K154" s="8"/>
      <c r="L154" s="8"/>
      <c r="M154" s="8"/>
      <c r="N154" s="8"/>
      <c r="O154" s="8"/>
      <c r="P154" s="8"/>
      <c r="Q154" s="8"/>
      <c r="R154" s="8"/>
      <c r="S154" s="8"/>
      <c r="T154" s="8"/>
      <c r="U154" s="8"/>
      <c r="V154" s="8"/>
      <c r="W154" s="8"/>
      <c r="X154" s="8"/>
      <c r="Y154" s="8"/>
      <c r="Z154" s="8"/>
      <c r="AA154" s="8"/>
      <c r="AB154" s="8"/>
      <c r="AC154" s="8"/>
      <c r="AD154" s="8"/>
      <c r="AE154" s="8"/>
      <c r="AF154" s="8"/>
      <c r="AG154" s="8"/>
      <c r="AH154" s="8"/>
      <c r="AI154" s="8"/>
      <c r="AJ154" s="8"/>
      <c r="AK154" s="8"/>
      <c r="AL154" s="8"/>
      <c r="AM154" s="8"/>
      <c r="AN154" s="8"/>
      <c r="AO154" s="8"/>
      <c r="AP154" s="8"/>
      <c r="AQ154" s="8"/>
    </row>
    <row r="155" spans="2:43" ht="15.95" hidden="1" customHeight="1">
      <c r="B155" s="929"/>
      <c r="C155" s="8"/>
      <c r="D155" s="8"/>
      <c r="E155" s="8"/>
      <c r="F155" s="8"/>
      <c r="G155" s="8"/>
      <c r="H155" s="8"/>
      <c r="I155" s="8"/>
      <c r="J155" s="8"/>
      <c r="K155" s="8"/>
      <c r="L155" s="8"/>
      <c r="M155" s="8"/>
      <c r="N155" s="8"/>
      <c r="O155" s="8"/>
      <c r="P155" s="8"/>
      <c r="Q155" s="8"/>
      <c r="R155" s="8"/>
      <c r="S155" s="8"/>
      <c r="T155" s="8"/>
      <c r="U155" s="8"/>
      <c r="V155" s="8"/>
      <c r="W155" s="8"/>
      <c r="X155" s="8"/>
      <c r="Y155" s="8"/>
      <c r="Z155" s="8"/>
      <c r="AA155" s="8"/>
      <c r="AB155" s="8"/>
      <c r="AC155" s="8"/>
      <c r="AD155" s="8"/>
      <c r="AE155" s="8"/>
      <c r="AF155" s="8"/>
      <c r="AG155" s="8"/>
      <c r="AH155" s="8"/>
      <c r="AI155" s="8"/>
      <c r="AJ155" s="8"/>
      <c r="AK155" s="8"/>
      <c r="AL155" s="8"/>
      <c r="AM155" s="8"/>
      <c r="AN155" s="8"/>
      <c r="AO155" s="8"/>
      <c r="AP155" s="8"/>
      <c r="AQ155" s="8"/>
    </row>
    <row r="156" spans="2:43" ht="15.95" hidden="1" customHeight="1">
      <c r="B156" s="929">
        <v>71</v>
      </c>
      <c r="C156" s="8"/>
      <c r="D156" s="8"/>
      <c r="E156" s="8"/>
      <c r="F156" s="8"/>
      <c r="G156" s="8"/>
      <c r="H156" s="8"/>
      <c r="I156" s="8"/>
      <c r="J156" s="8"/>
      <c r="K156" s="8"/>
      <c r="L156" s="8"/>
      <c r="M156" s="8"/>
      <c r="N156" s="8"/>
      <c r="O156" s="8"/>
      <c r="P156" s="8"/>
      <c r="Q156" s="8"/>
      <c r="R156" s="8"/>
      <c r="S156" s="8"/>
      <c r="T156" s="8"/>
      <c r="U156" s="8"/>
      <c r="V156" s="8"/>
      <c r="W156" s="8"/>
      <c r="X156" s="8"/>
      <c r="Y156" s="8"/>
      <c r="Z156" s="8"/>
      <c r="AA156" s="8"/>
      <c r="AB156" s="8"/>
      <c r="AC156" s="8"/>
      <c r="AD156" s="8"/>
      <c r="AE156" s="8"/>
      <c r="AF156" s="8"/>
      <c r="AG156" s="8"/>
      <c r="AH156" s="8"/>
      <c r="AI156" s="8"/>
      <c r="AJ156" s="8"/>
      <c r="AK156" s="8"/>
      <c r="AL156" s="8"/>
      <c r="AM156" s="8"/>
      <c r="AN156" s="8"/>
      <c r="AO156" s="8"/>
      <c r="AP156" s="8"/>
      <c r="AQ156" s="8"/>
    </row>
    <row r="157" spans="2:43" ht="15.95" hidden="1" customHeight="1">
      <c r="B157" s="929"/>
      <c r="C157" s="8"/>
      <c r="D157" s="8"/>
      <c r="E157" s="8"/>
      <c r="F157" s="8"/>
      <c r="G157" s="8"/>
      <c r="H157" s="8"/>
      <c r="I157" s="8"/>
      <c r="J157" s="8"/>
      <c r="K157" s="8"/>
      <c r="L157" s="8"/>
      <c r="M157" s="8"/>
      <c r="N157" s="8"/>
      <c r="O157" s="8"/>
      <c r="P157" s="8"/>
      <c r="Q157" s="8"/>
      <c r="R157" s="8"/>
      <c r="S157" s="8"/>
      <c r="T157" s="8"/>
      <c r="U157" s="8"/>
      <c r="V157" s="8"/>
      <c r="W157" s="8"/>
      <c r="X157" s="8"/>
      <c r="Y157" s="8"/>
      <c r="Z157" s="8"/>
      <c r="AA157" s="8"/>
      <c r="AB157" s="8"/>
      <c r="AC157" s="8"/>
      <c r="AD157" s="8"/>
      <c r="AE157" s="8"/>
      <c r="AF157" s="8"/>
      <c r="AG157" s="8"/>
      <c r="AH157" s="8"/>
      <c r="AI157" s="8"/>
      <c r="AJ157" s="8"/>
      <c r="AK157" s="8"/>
      <c r="AL157" s="8"/>
      <c r="AM157" s="8"/>
      <c r="AN157" s="8"/>
      <c r="AO157" s="8"/>
      <c r="AP157" s="8"/>
      <c r="AQ157" s="8"/>
    </row>
    <row r="158" spans="2:43" ht="15.95" hidden="1" customHeight="1">
      <c r="B158" s="929">
        <v>72</v>
      </c>
      <c r="C158" s="8"/>
      <c r="D158" s="8"/>
      <c r="E158" s="8"/>
      <c r="F158" s="8"/>
      <c r="G158" s="8"/>
      <c r="H158" s="8"/>
      <c r="I158" s="8"/>
      <c r="J158" s="8"/>
      <c r="K158" s="8"/>
      <c r="L158" s="8"/>
      <c r="M158" s="8"/>
      <c r="N158" s="8"/>
      <c r="O158" s="8"/>
      <c r="P158" s="8"/>
      <c r="Q158" s="8"/>
      <c r="R158" s="8"/>
      <c r="S158" s="8"/>
      <c r="T158" s="8"/>
      <c r="U158" s="8"/>
      <c r="V158" s="8"/>
      <c r="W158" s="8"/>
      <c r="X158" s="8"/>
      <c r="Y158" s="8"/>
      <c r="Z158" s="8"/>
      <c r="AA158" s="8"/>
      <c r="AB158" s="8"/>
      <c r="AC158" s="8"/>
      <c r="AD158" s="8"/>
      <c r="AE158" s="8"/>
      <c r="AF158" s="8"/>
      <c r="AG158" s="8"/>
      <c r="AH158" s="8"/>
      <c r="AI158" s="8"/>
      <c r="AJ158" s="8"/>
      <c r="AK158" s="8"/>
      <c r="AL158" s="8"/>
      <c r="AM158" s="8"/>
      <c r="AN158" s="8"/>
      <c r="AO158" s="8"/>
      <c r="AP158" s="8"/>
      <c r="AQ158" s="8"/>
    </row>
    <row r="159" spans="2:43" ht="15.95" hidden="1" customHeight="1">
      <c r="B159" s="929"/>
      <c r="C159" s="8"/>
      <c r="D159" s="8"/>
      <c r="E159" s="8"/>
      <c r="F159" s="8"/>
      <c r="G159" s="8"/>
      <c r="H159" s="8"/>
      <c r="I159" s="8"/>
      <c r="J159" s="8"/>
      <c r="K159" s="8"/>
      <c r="L159" s="8"/>
      <c r="M159" s="8"/>
      <c r="N159" s="8"/>
      <c r="O159" s="8"/>
      <c r="P159" s="8"/>
      <c r="Q159" s="8"/>
      <c r="R159" s="8"/>
      <c r="S159" s="8"/>
      <c r="T159" s="8"/>
      <c r="U159" s="8"/>
      <c r="V159" s="8"/>
      <c r="W159" s="8"/>
      <c r="X159" s="8"/>
      <c r="Y159" s="8"/>
      <c r="Z159" s="8"/>
      <c r="AA159" s="8"/>
      <c r="AB159" s="8"/>
      <c r="AC159" s="8"/>
      <c r="AD159" s="8"/>
      <c r="AE159" s="8"/>
      <c r="AF159" s="8"/>
      <c r="AG159" s="8"/>
      <c r="AH159" s="8"/>
      <c r="AI159" s="8"/>
      <c r="AJ159" s="8"/>
      <c r="AK159" s="8"/>
      <c r="AL159" s="8"/>
      <c r="AM159" s="8"/>
      <c r="AN159" s="8"/>
      <c r="AO159" s="8"/>
      <c r="AP159" s="8"/>
      <c r="AQ159" s="8"/>
    </row>
    <row r="160" spans="2:43" ht="15.95" hidden="1" customHeight="1">
      <c r="B160" s="929">
        <v>73</v>
      </c>
      <c r="C160" s="8"/>
      <c r="D160" s="8"/>
      <c r="E160" s="8"/>
      <c r="F160" s="8"/>
      <c r="G160" s="8"/>
      <c r="H160" s="8"/>
      <c r="I160" s="8"/>
      <c r="J160" s="8"/>
      <c r="K160" s="8"/>
      <c r="L160" s="8"/>
      <c r="M160" s="8"/>
      <c r="N160" s="8"/>
      <c r="O160" s="8"/>
      <c r="P160" s="8"/>
      <c r="Q160" s="8"/>
      <c r="R160" s="8"/>
      <c r="S160" s="8"/>
      <c r="T160" s="8"/>
      <c r="U160" s="8"/>
      <c r="V160" s="8"/>
      <c r="W160" s="8"/>
      <c r="X160" s="8"/>
      <c r="Y160" s="8"/>
      <c r="Z160" s="8"/>
      <c r="AA160" s="8"/>
      <c r="AB160" s="8"/>
      <c r="AC160" s="8"/>
      <c r="AD160" s="8"/>
      <c r="AE160" s="8"/>
      <c r="AF160" s="8"/>
      <c r="AG160" s="8"/>
      <c r="AH160" s="8"/>
      <c r="AI160" s="8"/>
      <c r="AJ160" s="8"/>
      <c r="AK160" s="8"/>
      <c r="AL160" s="8"/>
      <c r="AM160" s="8"/>
      <c r="AN160" s="8"/>
      <c r="AO160" s="8"/>
      <c r="AP160" s="8"/>
      <c r="AQ160" s="8"/>
    </row>
    <row r="161" spans="2:43" ht="15.95" hidden="1" customHeight="1">
      <c r="B161" s="929"/>
      <c r="C161" s="8"/>
      <c r="D161" s="8"/>
      <c r="E161" s="8"/>
      <c r="F161" s="8"/>
      <c r="G161" s="8"/>
      <c r="H161" s="8"/>
      <c r="I161" s="8"/>
      <c r="J161" s="8"/>
      <c r="K161" s="8"/>
      <c r="L161" s="8"/>
      <c r="M161" s="8"/>
      <c r="N161" s="8"/>
      <c r="O161" s="8"/>
      <c r="P161" s="8"/>
      <c r="Q161" s="8"/>
      <c r="R161" s="8"/>
      <c r="S161" s="8"/>
      <c r="T161" s="8"/>
      <c r="U161" s="8"/>
      <c r="V161" s="8"/>
      <c r="W161" s="8"/>
      <c r="X161" s="8"/>
      <c r="Y161" s="8"/>
      <c r="Z161" s="8"/>
      <c r="AA161" s="8"/>
      <c r="AB161" s="8"/>
      <c r="AC161" s="8"/>
      <c r="AD161" s="8"/>
      <c r="AE161" s="8"/>
      <c r="AF161" s="8"/>
      <c r="AG161" s="8"/>
      <c r="AH161" s="8"/>
      <c r="AI161" s="8"/>
      <c r="AJ161" s="8"/>
      <c r="AK161" s="8"/>
      <c r="AL161" s="8"/>
      <c r="AM161" s="8"/>
      <c r="AN161" s="8"/>
      <c r="AO161" s="8"/>
      <c r="AP161" s="8"/>
      <c r="AQ161" s="8"/>
    </row>
    <row r="162" spans="2:43" ht="15.95" hidden="1" customHeight="1">
      <c r="B162" s="929">
        <v>74</v>
      </c>
      <c r="C162" s="8"/>
      <c r="D162" s="8"/>
      <c r="E162" s="8"/>
      <c r="F162" s="8"/>
      <c r="G162" s="8"/>
      <c r="H162" s="8"/>
      <c r="I162" s="8"/>
      <c r="J162" s="8"/>
      <c r="K162" s="8"/>
      <c r="L162" s="8"/>
      <c r="M162" s="8"/>
      <c r="N162" s="8"/>
      <c r="O162" s="8"/>
      <c r="P162" s="8"/>
      <c r="Q162" s="8"/>
      <c r="R162" s="8"/>
      <c r="S162" s="8"/>
      <c r="T162" s="8"/>
      <c r="U162" s="8"/>
      <c r="V162" s="8"/>
      <c r="W162" s="8"/>
      <c r="X162" s="8"/>
      <c r="Y162" s="8"/>
      <c r="Z162" s="8"/>
      <c r="AA162" s="8"/>
      <c r="AB162" s="8"/>
      <c r="AC162" s="8"/>
      <c r="AD162" s="8"/>
      <c r="AE162" s="8"/>
      <c r="AF162" s="8"/>
      <c r="AG162" s="8"/>
      <c r="AH162" s="8"/>
      <c r="AI162" s="8"/>
      <c r="AJ162" s="8"/>
      <c r="AK162" s="8"/>
      <c r="AL162" s="8"/>
      <c r="AM162" s="8"/>
      <c r="AN162" s="8"/>
      <c r="AO162" s="8"/>
      <c r="AP162" s="8"/>
      <c r="AQ162" s="8"/>
    </row>
    <row r="163" spans="2:43" ht="15.95" hidden="1" customHeight="1">
      <c r="B163" s="929"/>
      <c r="C163" s="8"/>
      <c r="D163" s="8"/>
      <c r="E163" s="8"/>
      <c r="F163" s="8"/>
      <c r="G163" s="8"/>
      <c r="H163" s="8"/>
      <c r="I163" s="8"/>
      <c r="J163" s="8"/>
      <c r="K163" s="8"/>
      <c r="L163" s="8"/>
      <c r="M163" s="8"/>
      <c r="N163" s="8"/>
      <c r="O163" s="8"/>
      <c r="P163" s="8"/>
      <c r="Q163" s="8"/>
      <c r="R163" s="8"/>
      <c r="S163" s="8"/>
      <c r="T163" s="8"/>
      <c r="U163" s="8"/>
      <c r="V163" s="8"/>
      <c r="W163" s="8"/>
      <c r="X163" s="8"/>
      <c r="Y163" s="8"/>
      <c r="Z163" s="8"/>
      <c r="AA163" s="8"/>
      <c r="AB163" s="8"/>
      <c r="AC163" s="8"/>
      <c r="AD163" s="8"/>
      <c r="AE163" s="8"/>
      <c r="AF163" s="8"/>
      <c r="AG163" s="8"/>
      <c r="AH163" s="8"/>
      <c r="AI163" s="8"/>
      <c r="AJ163" s="8"/>
      <c r="AK163" s="8"/>
      <c r="AL163" s="8"/>
      <c r="AM163" s="8"/>
      <c r="AN163" s="8"/>
      <c r="AO163" s="8"/>
      <c r="AP163" s="8"/>
      <c r="AQ163" s="8"/>
    </row>
    <row r="164" spans="2:43" ht="15.95" hidden="1" customHeight="1">
      <c r="B164" s="929">
        <v>75</v>
      </c>
      <c r="C164" s="8"/>
      <c r="D164" s="8"/>
      <c r="E164" s="8"/>
      <c r="F164" s="8"/>
      <c r="G164" s="8"/>
      <c r="H164" s="8"/>
      <c r="I164" s="8"/>
      <c r="J164" s="8"/>
      <c r="K164" s="8"/>
      <c r="L164" s="8"/>
      <c r="M164" s="8"/>
      <c r="N164" s="8"/>
      <c r="O164" s="8"/>
      <c r="P164" s="8"/>
      <c r="Q164" s="8"/>
      <c r="R164" s="8"/>
      <c r="S164" s="8"/>
      <c r="T164" s="8"/>
      <c r="U164" s="8"/>
      <c r="V164" s="8"/>
      <c r="W164" s="8"/>
      <c r="X164" s="8"/>
      <c r="Y164" s="8"/>
      <c r="Z164" s="8"/>
      <c r="AA164" s="8"/>
      <c r="AB164" s="8"/>
      <c r="AC164" s="8"/>
      <c r="AD164" s="8"/>
      <c r="AE164" s="8"/>
      <c r="AF164" s="8"/>
      <c r="AG164" s="8"/>
      <c r="AH164" s="8"/>
      <c r="AI164" s="8"/>
      <c r="AJ164" s="8"/>
      <c r="AK164" s="8"/>
      <c r="AL164" s="8"/>
      <c r="AM164" s="8"/>
      <c r="AN164" s="8"/>
      <c r="AO164" s="8"/>
      <c r="AP164" s="8"/>
      <c r="AQ164" s="8"/>
    </row>
    <row r="165" spans="2:43" ht="15.95" hidden="1" customHeight="1">
      <c r="B165" s="929"/>
      <c r="C165" s="8"/>
      <c r="D165" s="8"/>
      <c r="E165" s="8"/>
      <c r="F165" s="8"/>
      <c r="G165" s="8"/>
      <c r="H165" s="8"/>
      <c r="I165" s="8"/>
      <c r="J165" s="8"/>
      <c r="K165" s="8"/>
      <c r="L165" s="8"/>
      <c r="M165" s="8"/>
      <c r="N165" s="8"/>
      <c r="O165" s="8"/>
      <c r="P165" s="8"/>
      <c r="Q165" s="8"/>
      <c r="R165" s="8"/>
      <c r="S165" s="8"/>
      <c r="T165" s="8"/>
      <c r="U165" s="8"/>
      <c r="V165" s="8"/>
      <c r="W165" s="8"/>
      <c r="X165" s="8"/>
      <c r="Y165" s="8"/>
      <c r="Z165" s="8"/>
      <c r="AA165" s="8"/>
      <c r="AB165" s="8"/>
      <c r="AC165" s="8"/>
      <c r="AD165" s="8"/>
      <c r="AE165" s="8"/>
      <c r="AF165" s="8"/>
      <c r="AG165" s="8"/>
      <c r="AH165" s="8"/>
      <c r="AI165" s="8"/>
      <c r="AJ165" s="8"/>
      <c r="AK165" s="8"/>
      <c r="AL165" s="8"/>
      <c r="AM165" s="8"/>
      <c r="AN165" s="8"/>
      <c r="AO165" s="8"/>
      <c r="AP165" s="8"/>
      <c r="AQ165" s="8"/>
    </row>
    <row r="166" spans="2:43" ht="15.95" hidden="1" customHeight="1">
      <c r="B166" s="929">
        <v>76</v>
      </c>
      <c r="C166" s="8"/>
      <c r="D166" s="8"/>
      <c r="E166" s="8"/>
      <c r="F166" s="8"/>
      <c r="G166" s="8"/>
      <c r="H166" s="8"/>
      <c r="I166" s="8"/>
      <c r="J166" s="8"/>
      <c r="K166" s="8"/>
      <c r="L166" s="8"/>
      <c r="M166" s="8"/>
      <c r="N166" s="8"/>
      <c r="O166" s="8"/>
      <c r="P166" s="8"/>
      <c r="Q166" s="8"/>
      <c r="R166" s="8"/>
      <c r="S166" s="8"/>
      <c r="T166" s="8"/>
      <c r="U166" s="8"/>
      <c r="V166" s="8"/>
      <c r="W166" s="8"/>
      <c r="X166" s="8"/>
      <c r="Y166" s="8"/>
      <c r="Z166" s="8"/>
      <c r="AA166" s="8"/>
      <c r="AB166" s="8"/>
      <c r="AC166" s="8"/>
      <c r="AD166" s="8"/>
      <c r="AE166" s="8"/>
      <c r="AF166" s="8"/>
      <c r="AG166" s="8"/>
      <c r="AH166" s="8"/>
      <c r="AI166" s="8"/>
      <c r="AJ166" s="8"/>
      <c r="AK166" s="8"/>
      <c r="AL166" s="8"/>
      <c r="AM166" s="8"/>
      <c r="AN166" s="8"/>
      <c r="AO166" s="8"/>
      <c r="AP166" s="8"/>
      <c r="AQ166" s="8"/>
    </row>
    <row r="167" spans="2:43" ht="15.95" hidden="1" customHeight="1">
      <c r="B167" s="929"/>
      <c r="C167" s="8"/>
      <c r="D167" s="8"/>
      <c r="E167" s="8"/>
      <c r="F167" s="8"/>
      <c r="G167" s="8"/>
      <c r="H167" s="8"/>
      <c r="I167" s="8"/>
      <c r="J167" s="8"/>
      <c r="K167" s="8"/>
      <c r="L167" s="8"/>
      <c r="M167" s="8"/>
      <c r="N167" s="8"/>
      <c r="O167" s="8"/>
      <c r="P167" s="8"/>
      <c r="Q167" s="8"/>
      <c r="R167" s="8"/>
      <c r="S167" s="8"/>
      <c r="T167" s="8"/>
      <c r="U167" s="8"/>
      <c r="V167" s="8"/>
      <c r="W167" s="8"/>
      <c r="X167" s="8"/>
      <c r="Y167" s="8"/>
      <c r="Z167" s="8"/>
      <c r="AA167" s="8"/>
      <c r="AB167" s="8"/>
      <c r="AC167" s="8"/>
      <c r="AD167" s="8"/>
      <c r="AE167" s="8"/>
      <c r="AF167" s="8"/>
      <c r="AG167" s="8"/>
      <c r="AH167" s="8"/>
      <c r="AI167" s="8"/>
      <c r="AJ167" s="8"/>
      <c r="AK167" s="8"/>
      <c r="AL167" s="8"/>
      <c r="AM167" s="8"/>
      <c r="AN167" s="8"/>
      <c r="AO167" s="8"/>
      <c r="AP167" s="8"/>
      <c r="AQ167" s="8"/>
    </row>
    <row r="168" spans="2:43" ht="15.95" hidden="1" customHeight="1">
      <c r="B168" s="929">
        <v>77</v>
      </c>
      <c r="C168" s="8"/>
      <c r="D168" s="8"/>
      <c r="E168" s="8"/>
      <c r="F168" s="8"/>
      <c r="G168" s="8"/>
      <c r="H168" s="8"/>
      <c r="I168" s="8"/>
      <c r="J168" s="8"/>
      <c r="K168" s="8"/>
      <c r="L168" s="8"/>
      <c r="M168" s="8"/>
      <c r="N168" s="8"/>
      <c r="O168" s="8"/>
      <c r="P168" s="8"/>
      <c r="Q168" s="8"/>
      <c r="R168" s="8"/>
      <c r="S168" s="8"/>
      <c r="T168" s="8"/>
      <c r="U168" s="8"/>
      <c r="V168" s="8"/>
      <c r="W168" s="8"/>
      <c r="X168" s="8"/>
      <c r="Y168" s="8"/>
      <c r="Z168" s="8"/>
      <c r="AA168" s="8"/>
      <c r="AB168" s="8"/>
      <c r="AC168" s="8"/>
      <c r="AD168" s="8"/>
      <c r="AE168" s="8"/>
      <c r="AF168" s="8"/>
      <c r="AG168" s="8"/>
      <c r="AH168" s="8"/>
      <c r="AI168" s="8"/>
      <c r="AJ168" s="8"/>
      <c r="AK168" s="8"/>
      <c r="AL168" s="8"/>
      <c r="AM168" s="8"/>
      <c r="AN168" s="8"/>
      <c r="AO168" s="8"/>
      <c r="AP168" s="8"/>
      <c r="AQ168" s="8"/>
    </row>
    <row r="169" spans="2:43" ht="15.95" hidden="1" customHeight="1">
      <c r="B169" s="929"/>
      <c r="C169" s="8"/>
      <c r="D169" s="8"/>
      <c r="E169" s="8"/>
      <c r="F169" s="8"/>
      <c r="G169" s="8"/>
      <c r="H169" s="8"/>
      <c r="I169" s="8"/>
      <c r="J169" s="8"/>
      <c r="K169" s="8"/>
      <c r="L169" s="8"/>
      <c r="M169" s="8"/>
      <c r="N169" s="8"/>
      <c r="O169" s="8"/>
      <c r="P169" s="8"/>
      <c r="Q169" s="8"/>
      <c r="R169" s="8"/>
      <c r="S169" s="8"/>
      <c r="T169" s="8"/>
      <c r="U169" s="8"/>
      <c r="V169" s="8"/>
      <c r="W169" s="8"/>
      <c r="X169" s="8"/>
      <c r="Y169" s="8"/>
      <c r="Z169" s="8"/>
      <c r="AA169" s="8"/>
      <c r="AB169" s="8"/>
      <c r="AC169" s="8"/>
      <c r="AD169" s="8"/>
      <c r="AE169" s="8"/>
      <c r="AF169" s="8"/>
      <c r="AG169" s="8"/>
      <c r="AH169" s="8"/>
      <c r="AI169" s="8"/>
      <c r="AJ169" s="8"/>
      <c r="AK169" s="8"/>
      <c r="AL169" s="8"/>
      <c r="AM169" s="8"/>
      <c r="AN169" s="8"/>
      <c r="AO169" s="8"/>
      <c r="AP169" s="8"/>
      <c r="AQ169" s="8"/>
    </row>
    <row r="170" spans="2:43" ht="15.95" hidden="1" customHeight="1">
      <c r="B170" s="929">
        <v>78</v>
      </c>
      <c r="C170" s="8"/>
      <c r="D170" s="8"/>
      <c r="E170" s="8"/>
      <c r="F170" s="8"/>
      <c r="G170" s="8"/>
      <c r="H170" s="8"/>
      <c r="I170" s="8"/>
      <c r="J170" s="8"/>
      <c r="K170" s="8"/>
      <c r="L170" s="8"/>
      <c r="M170" s="8"/>
      <c r="N170" s="8"/>
      <c r="O170" s="8"/>
      <c r="P170" s="8"/>
      <c r="Q170" s="8"/>
      <c r="R170" s="8"/>
      <c r="S170" s="8"/>
      <c r="T170" s="8"/>
      <c r="U170" s="8"/>
      <c r="V170" s="8"/>
      <c r="W170" s="8"/>
      <c r="X170" s="8"/>
      <c r="Y170" s="8"/>
      <c r="Z170" s="8"/>
      <c r="AA170" s="8"/>
      <c r="AB170" s="8"/>
      <c r="AC170" s="8"/>
      <c r="AD170" s="8"/>
      <c r="AE170" s="8"/>
      <c r="AF170" s="8"/>
      <c r="AG170" s="8"/>
      <c r="AH170" s="8"/>
      <c r="AI170" s="8"/>
      <c r="AJ170" s="8"/>
      <c r="AK170" s="8"/>
      <c r="AL170" s="8"/>
      <c r="AM170" s="8"/>
      <c r="AN170" s="8"/>
      <c r="AO170" s="8"/>
      <c r="AP170" s="8"/>
      <c r="AQ170" s="8"/>
    </row>
    <row r="171" spans="2:43" ht="15.95" hidden="1" customHeight="1">
      <c r="B171" s="929"/>
      <c r="C171" s="8"/>
      <c r="D171" s="8"/>
      <c r="E171" s="8"/>
      <c r="F171" s="8"/>
      <c r="G171" s="8"/>
      <c r="H171" s="8"/>
      <c r="I171" s="8"/>
      <c r="J171" s="8"/>
      <c r="K171" s="8"/>
      <c r="L171" s="8"/>
      <c r="M171" s="8"/>
      <c r="N171" s="8"/>
      <c r="O171" s="8"/>
      <c r="P171" s="8"/>
      <c r="Q171" s="8"/>
      <c r="R171" s="8"/>
      <c r="S171" s="8"/>
      <c r="T171" s="8"/>
      <c r="U171" s="8"/>
      <c r="V171" s="8"/>
      <c r="W171" s="8"/>
      <c r="X171" s="8"/>
      <c r="Y171" s="8"/>
      <c r="Z171" s="8"/>
      <c r="AA171" s="8"/>
      <c r="AB171" s="8"/>
      <c r="AC171" s="8"/>
      <c r="AD171" s="8"/>
      <c r="AE171" s="8"/>
      <c r="AF171" s="8"/>
      <c r="AG171" s="8"/>
      <c r="AH171" s="8"/>
      <c r="AI171" s="8"/>
      <c r="AJ171" s="8"/>
      <c r="AK171" s="8"/>
      <c r="AL171" s="8"/>
      <c r="AM171" s="8"/>
      <c r="AN171" s="8"/>
      <c r="AO171" s="8"/>
      <c r="AP171" s="8"/>
      <c r="AQ171" s="8"/>
    </row>
    <row r="172" spans="2:43" ht="15.95" hidden="1" customHeight="1">
      <c r="B172" s="929">
        <v>79</v>
      </c>
      <c r="C172" s="8"/>
      <c r="D172" s="8"/>
      <c r="E172" s="8"/>
      <c r="F172" s="8"/>
      <c r="G172" s="8"/>
      <c r="H172" s="8"/>
      <c r="I172" s="8"/>
      <c r="J172" s="8"/>
      <c r="K172" s="8"/>
      <c r="L172" s="8"/>
      <c r="M172" s="8"/>
      <c r="N172" s="8"/>
      <c r="O172" s="8"/>
      <c r="P172" s="8"/>
      <c r="Q172" s="8"/>
      <c r="R172" s="8"/>
      <c r="S172" s="8"/>
      <c r="T172" s="8"/>
      <c r="U172" s="8"/>
      <c r="V172" s="8"/>
      <c r="W172" s="8"/>
      <c r="X172" s="8"/>
      <c r="Y172" s="8"/>
      <c r="Z172" s="8"/>
      <c r="AA172" s="8"/>
      <c r="AB172" s="8"/>
      <c r="AC172" s="8"/>
      <c r="AD172" s="8"/>
      <c r="AE172" s="8"/>
      <c r="AF172" s="8"/>
      <c r="AG172" s="8"/>
      <c r="AH172" s="8"/>
      <c r="AI172" s="8"/>
      <c r="AJ172" s="8"/>
      <c r="AK172" s="8"/>
      <c r="AL172" s="8"/>
      <c r="AM172" s="8"/>
      <c r="AN172" s="8"/>
      <c r="AO172" s="8"/>
      <c r="AP172" s="8"/>
      <c r="AQ172" s="8"/>
    </row>
    <row r="173" spans="2:43" ht="15.95" hidden="1" customHeight="1">
      <c r="B173" s="929"/>
      <c r="C173" s="8"/>
      <c r="D173" s="8"/>
      <c r="E173" s="8"/>
      <c r="F173" s="8"/>
      <c r="G173" s="8"/>
      <c r="H173" s="8"/>
      <c r="I173" s="8"/>
      <c r="J173" s="8"/>
      <c r="K173" s="8"/>
      <c r="L173" s="8"/>
      <c r="M173" s="8"/>
      <c r="N173" s="8"/>
      <c r="O173" s="8"/>
      <c r="P173" s="8"/>
      <c r="Q173" s="8"/>
      <c r="R173" s="8"/>
      <c r="S173" s="8"/>
      <c r="T173" s="8"/>
      <c r="U173" s="8"/>
      <c r="V173" s="8"/>
      <c r="W173" s="8"/>
      <c r="X173" s="8"/>
      <c r="Y173" s="8"/>
      <c r="Z173" s="8"/>
      <c r="AA173" s="8"/>
      <c r="AB173" s="8"/>
      <c r="AC173" s="8"/>
      <c r="AD173" s="8"/>
      <c r="AE173" s="8"/>
      <c r="AF173" s="8"/>
      <c r="AG173" s="8"/>
      <c r="AH173" s="8"/>
      <c r="AI173" s="8"/>
      <c r="AJ173" s="8"/>
      <c r="AK173" s="8"/>
      <c r="AL173" s="8"/>
      <c r="AM173" s="8"/>
      <c r="AN173" s="8"/>
      <c r="AO173" s="8"/>
      <c r="AP173" s="8"/>
      <c r="AQ173" s="8"/>
    </row>
    <row r="174" spans="2:43" ht="15.95" hidden="1" customHeight="1">
      <c r="B174" s="929">
        <v>80</v>
      </c>
      <c r="C174" s="8"/>
      <c r="D174" s="8"/>
      <c r="E174" s="8"/>
      <c r="F174" s="8"/>
      <c r="G174" s="8"/>
      <c r="H174" s="8"/>
      <c r="I174" s="8"/>
      <c r="J174" s="8"/>
      <c r="K174" s="8"/>
      <c r="L174" s="8"/>
      <c r="M174" s="8"/>
      <c r="N174" s="8"/>
      <c r="O174" s="8"/>
      <c r="P174" s="8"/>
      <c r="Q174" s="8"/>
      <c r="R174" s="8"/>
      <c r="S174" s="8"/>
      <c r="T174" s="8"/>
      <c r="U174" s="8"/>
      <c r="V174" s="8"/>
      <c r="W174" s="8"/>
      <c r="X174" s="8"/>
      <c r="Y174" s="8"/>
      <c r="Z174" s="8"/>
      <c r="AA174" s="8"/>
      <c r="AB174" s="8"/>
      <c r="AC174" s="8"/>
      <c r="AD174" s="8"/>
      <c r="AE174" s="8"/>
      <c r="AF174" s="8"/>
      <c r="AG174" s="8"/>
      <c r="AH174" s="8"/>
      <c r="AI174" s="8"/>
      <c r="AJ174" s="8"/>
      <c r="AK174" s="8"/>
      <c r="AL174" s="8"/>
      <c r="AM174" s="8"/>
      <c r="AN174" s="8"/>
      <c r="AO174" s="8"/>
      <c r="AP174" s="8"/>
      <c r="AQ174" s="8"/>
    </row>
    <row r="175" spans="2:43" ht="15.95" hidden="1" customHeight="1">
      <c r="B175" s="929"/>
      <c r="C175" s="8"/>
      <c r="D175" s="8"/>
      <c r="E175" s="8"/>
      <c r="F175" s="8"/>
      <c r="G175" s="8"/>
      <c r="H175" s="8"/>
      <c r="I175" s="8"/>
      <c r="J175" s="8"/>
      <c r="K175" s="8"/>
      <c r="L175" s="8"/>
      <c r="M175" s="8"/>
      <c r="N175" s="8"/>
      <c r="O175" s="8"/>
      <c r="P175" s="8"/>
      <c r="Q175" s="8"/>
      <c r="R175" s="8"/>
      <c r="S175" s="8"/>
      <c r="T175" s="8"/>
      <c r="U175" s="8"/>
      <c r="V175" s="8"/>
      <c r="W175" s="8"/>
      <c r="X175" s="8"/>
      <c r="Y175" s="8"/>
      <c r="Z175" s="8"/>
      <c r="AA175" s="8"/>
      <c r="AB175" s="8"/>
      <c r="AC175" s="8"/>
      <c r="AD175" s="8"/>
      <c r="AE175" s="8"/>
      <c r="AF175" s="8"/>
      <c r="AG175" s="8"/>
      <c r="AH175" s="8"/>
      <c r="AI175" s="8"/>
      <c r="AJ175" s="8"/>
      <c r="AK175" s="8"/>
      <c r="AL175" s="8"/>
      <c r="AM175" s="8"/>
      <c r="AN175" s="8"/>
      <c r="AO175" s="8"/>
      <c r="AP175" s="8"/>
      <c r="AQ175" s="8"/>
    </row>
    <row r="176" spans="2:43" ht="15.95" hidden="1" customHeight="1">
      <c r="B176" s="929">
        <v>81</v>
      </c>
      <c r="C176" s="8"/>
      <c r="D176" s="8"/>
      <c r="E176" s="8"/>
      <c r="F176" s="8"/>
      <c r="G176" s="8"/>
      <c r="H176" s="8"/>
      <c r="I176" s="8"/>
      <c r="J176" s="8"/>
      <c r="K176" s="8"/>
      <c r="L176" s="8"/>
      <c r="M176" s="8"/>
      <c r="N176" s="8"/>
      <c r="O176" s="8"/>
      <c r="P176" s="8"/>
      <c r="Q176" s="8"/>
      <c r="R176" s="8"/>
      <c r="S176" s="8"/>
      <c r="T176" s="8"/>
      <c r="U176" s="8"/>
      <c r="V176" s="8"/>
      <c r="W176" s="8"/>
      <c r="X176" s="8"/>
      <c r="Y176" s="8"/>
      <c r="Z176" s="8"/>
      <c r="AA176" s="8"/>
      <c r="AB176" s="8"/>
      <c r="AC176" s="8"/>
      <c r="AD176" s="8"/>
      <c r="AE176" s="8"/>
      <c r="AF176" s="8"/>
      <c r="AG176" s="8"/>
      <c r="AH176" s="8"/>
      <c r="AI176" s="8"/>
      <c r="AJ176" s="8"/>
      <c r="AK176" s="8"/>
      <c r="AL176" s="8"/>
      <c r="AM176" s="8"/>
      <c r="AN176" s="8"/>
      <c r="AO176" s="8"/>
      <c r="AP176" s="8"/>
      <c r="AQ176" s="8"/>
    </row>
    <row r="177" spans="2:43" ht="15.95" hidden="1" customHeight="1">
      <c r="B177" s="929"/>
      <c r="C177" s="8"/>
      <c r="D177" s="8"/>
      <c r="E177" s="8"/>
      <c r="F177" s="8"/>
      <c r="G177" s="8"/>
      <c r="H177" s="8"/>
      <c r="I177" s="8"/>
      <c r="J177" s="8"/>
      <c r="K177" s="8"/>
      <c r="L177" s="8"/>
      <c r="M177" s="8"/>
      <c r="N177" s="8"/>
      <c r="O177" s="8"/>
      <c r="P177" s="8"/>
      <c r="Q177" s="8"/>
      <c r="R177" s="8"/>
      <c r="S177" s="8"/>
      <c r="T177" s="8"/>
      <c r="U177" s="8"/>
      <c r="V177" s="8"/>
      <c r="W177" s="8"/>
      <c r="X177" s="8"/>
      <c r="Y177" s="8"/>
      <c r="Z177" s="8"/>
      <c r="AA177" s="8"/>
      <c r="AB177" s="8"/>
      <c r="AC177" s="8"/>
      <c r="AD177" s="8"/>
      <c r="AE177" s="8"/>
      <c r="AF177" s="8"/>
      <c r="AG177" s="8"/>
      <c r="AH177" s="8"/>
      <c r="AI177" s="8"/>
      <c r="AJ177" s="8"/>
      <c r="AK177" s="8"/>
      <c r="AL177" s="8"/>
      <c r="AM177" s="8"/>
      <c r="AN177" s="8"/>
      <c r="AO177" s="8"/>
      <c r="AP177" s="8"/>
      <c r="AQ177" s="8"/>
    </row>
    <row r="178" spans="2:43" ht="15.95" hidden="1" customHeight="1">
      <c r="B178" s="929">
        <v>82</v>
      </c>
      <c r="C178" s="8"/>
      <c r="D178" s="8"/>
      <c r="E178" s="8"/>
      <c r="F178" s="8"/>
      <c r="G178" s="8"/>
      <c r="H178" s="8"/>
      <c r="I178" s="8"/>
      <c r="J178" s="8"/>
      <c r="K178" s="8"/>
      <c r="L178" s="8"/>
      <c r="M178" s="8"/>
      <c r="N178" s="8"/>
      <c r="O178" s="8"/>
      <c r="P178" s="8"/>
      <c r="Q178" s="8"/>
      <c r="R178" s="8"/>
      <c r="S178" s="8"/>
      <c r="T178" s="8"/>
      <c r="U178" s="8"/>
      <c r="V178" s="8"/>
      <c r="W178" s="8"/>
      <c r="X178" s="8"/>
      <c r="Y178" s="8"/>
      <c r="Z178" s="8"/>
      <c r="AA178" s="8"/>
      <c r="AB178" s="8"/>
      <c r="AC178" s="8"/>
      <c r="AD178" s="8"/>
      <c r="AE178" s="8"/>
      <c r="AF178" s="8"/>
      <c r="AG178" s="8"/>
      <c r="AH178" s="8"/>
      <c r="AI178" s="8"/>
      <c r="AJ178" s="8"/>
      <c r="AK178" s="8"/>
      <c r="AL178" s="8"/>
      <c r="AM178" s="8"/>
      <c r="AN178" s="8"/>
      <c r="AO178" s="8"/>
      <c r="AP178" s="8"/>
      <c r="AQ178" s="8"/>
    </row>
    <row r="179" spans="2:43" ht="15.95" hidden="1" customHeight="1">
      <c r="B179" s="929"/>
      <c r="C179" s="8"/>
      <c r="D179" s="8"/>
      <c r="E179" s="8"/>
      <c r="F179" s="8"/>
      <c r="G179" s="8"/>
      <c r="H179" s="8"/>
      <c r="I179" s="8"/>
      <c r="J179" s="8"/>
      <c r="K179" s="8"/>
      <c r="L179" s="8"/>
      <c r="M179" s="8"/>
      <c r="N179" s="8"/>
      <c r="O179" s="8"/>
      <c r="P179" s="8"/>
      <c r="Q179" s="8"/>
      <c r="R179" s="8"/>
      <c r="S179" s="8"/>
      <c r="T179" s="8"/>
      <c r="U179" s="8"/>
      <c r="V179" s="8"/>
      <c r="W179" s="8"/>
      <c r="X179" s="8"/>
      <c r="Y179" s="8"/>
      <c r="Z179" s="8"/>
      <c r="AA179" s="8"/>
      <c r="AB179" s="8"/>
      <c r="AC179" s="8"/>
      <c r="AD179" s="8"/>
      <c r="AE179" s="8"/>
      <c r="AF179" s="8"/>
      <c r="AG179" s="8"/>
      <c r="AH179" s="8"/>
      <c r="AI179" s="8"/>
      <c r="AJ179" s="8"/>
      <c r="AK179" s="8"/>
      <c r="AL179" s="8"/>
      <c r="AM179" s="8"/>
      <c r="AN179" s="8"/>
      <c r="AO179" s="8"/>
      <c r="AP179" s="8"/>
      <c r="AQ179" s="8"/>
    </row>
    <row r="180" spans="2:43" ht="15.95" hidden="1" customHeight="1">
      <c r="B180" s="929">
        <v>83</v>
      </c>
      <c r="C180" s="8"/>
      <c r="D180" s="8"/>
      <c r="E180" s="8"/>
      <c r="F180" s="8"/>
      <c r="G180" s="8"/>
      <c r="H180" s="8"/>
      <c r="I180" s="8"/>
      <c r="J180" s="8"/>
      <c r="K180" s="8"/>
      <c r="L180" s="8"/>
      <c r="M180" s="8"/>
      <c r="N180" s="8"/>
      <c r="O180" s="8"/>
      <c r="P180" s="8"/>
      <c r="Q180" s="8"/>
      <c r="R180" s="8"/>
      <c r="S180" s="8"/>
      <c r="T180" s="8"/>
      <c r="U180" s="8"/>
      <c r="V180" s="8"/>
      <c r="W180" s="8"/>
      <c r="X180" s="8"/>
      <c r="Y180" s="8"/>
      <c r="Z180" s="8"/>
      <c r="AA180" s="8"/>
      <c r="AB180" s="8"/>
      <c r="AC180" s="8"/>
      <c r="AD180" s="8"/>
      <c r="AE180" s="8"/>
      <c r="AF180" s="8"/>
      <c r="AG180" s="8"/>
      <c r="AH180" s="8"/>
      <c r="AI180" s="8"/>
      <c r="AJ180" s="8"/>
      <c r="AK180" s="8"/>
      <c r="AL180" s="8"/>
      <c r="AM180" s="8"/>
      <c r="AN180" s="8"/>
      <c r="AO180" s="8"/>
      <c r="AP180" s="8"/>
      <c r="AQ180" s="8"/>
    </row>
    <row r="181" spans="2:43" ht="15.95" hidden="1" customHeight="1">
      <c r="B181" s="929"/>
      <c r="C181" s="8"/>
      <c r="D181" s="8"/>
      <c r="E181" s="8"/>
      <c r="F181" s="8"/>
      <c r="G181" s="8"/>
      <c r="H181" s="8"/>
      <c r="I181" s="8"/>
      <c r="J181" s="8"/>
      <c r="K181" s="8"/>
      <c r="L181" s="8"/>
      <c r="M181" s="8"/>
      <c r="N181" s="8"/>
      <c r="O181" s="8"/>
      <c r="P181" s="8"/>
      <c r="Q181" s="8"/>
      <c r="R181" s="8"/>
      <c r="S181" s="8"/>
      <c r="T181" s="8"/>
      <c r="U181" s="8"/>
      <c r="V181" s="8"/>
      <c r="W181" s="8"/>
      <c r="X181" s="8"/>
      <c r="Y181" s="8"/>
      <c r="Z181" s="8"/>
      <c r="AA181" s="8"/>
      <c r="AB181" s="8"/>
      <c r="AC181" s="8"/>
      <c r="AD181" s="8"/>
      <c r="AE181" s="8"/>
      <c r="AF181" s="8"/>
      <c r="AG181" s="8"/>
      <c r="AH181" s="8"/>
      <c r="AI181" s="8"/>
      <c r="AJ181" s="8"/>
      <c r="AK181" s="8"/>
      <c r="AL181" s="8"/>
      <c r="AM181" s="8"/>
      <c r="AN181" s="8"/>
      <c r="AO181" s="8"/>
      <c r="AP181" s="8"/>
      <c r="AQ181" s="8"/>
    </row>
    <row r="182" spans="2:43" ht="15.95" hidden="1" customHeight="1">
      <c r="B182" s="929">
        <v>84</v>
      </c>
      <c r="C182" s="8"/>
      <c r="D182" s="8"/>
      <c r="E182" s="8"/>
      <c r="F182" s="8"/>
      <c r="G182" s="8"/>
      <c r="H182" s="8"/>
      <c r="I182" s="8"/>
      <c r="J182" s="8"/>
      <c r="K182" s="8"/>
      <c r="L182" s="8"/>
      <c r="M182" s="8"/>
      <c r="N182" s="8"/>
      <c r="O182" s="8"/>
      <c r="P182" s="8"/>
      <c r="Q182" s="8"/>
      <c r="R182" s="8"/>
      <c r="S182" s="8"/>
      <c r="T182" s="8"/>
      <c r="U182" s="8"/>
      <c r="V182" s="8"/>
      <c r="W182" s="8"/>
      <c r="X182" s="8"/>
      <c r="Y182" s="8"/>
      <c r="Z182" s="8"/>
      <c r="AA182" s="8"/>
      <c r="AB182" s="8"/>
      <c r="AC182" s="8"/>
      <c r="AD182" s="8"/>
      <c r="AE182" s="8"/>
      <c r="AF182" s="8"/>
      <c r="AG182" s="8"/>
      <c r="AH182" s="8"/>
      <c r="AI182" s="8"/>
      <c r="AJ182" s="8"/>
      <c r="AK182" s="8"/>
      <c r="AL182" s="8"/>
      <c r="AM182" s="8"/>
      <c r="AN182" s="8"/>
      <c r="AO182" s="8"/>
      <c r="AP182" s="8"/>
      <c r="AQ182" s="8"/>
    </row>
    <row r="183" spans="2:43" ht="15.95" hidden="1" customHeight="1">
      <c r="B183" s="929"/>
      <c r="C183" s="8"/>
      <c r="D183" s="8"/>
      <c r="E183" s="8"/>
      <c r="F183" s="8"/>
      <c r="G183" s="8"/>
      <c r="H183" s="8"/>
      <c r="I183" s="8"/>
      <c r="J183" s="8"/>
      <c r="K183" s="8"/>
      <c r="L183" s="8"/>
      <c r="M183" s="8"/>
      <c r="N183" s="8"/>
      <c r="O183" s="8"/>
      <c r="P183" s="8"/>
      <c r="Q183" s="8"/>
      <c r="R183" s="8"/>
      <c r="S183" s="8"/>
      <c r="T183" s="8"/>
      <c r="U183" s="8"/>
      <c r="V183" s="8"/>
      <c r="W183" s="8"/>
      <c r="X183" s="8"/>
      <c r="Y183" s="8"/>
      <c r="Z183" s="8"/>
      <c r="AA183" s="8"/>
      <c r="AB183" s="8"/>
      <c r="AC183" s="8"/>
      <c r="AD183" s="8"/>
      <c r="AE183" s="8"/>
      <c r="AF183" s="8"/>
      <c r="AG183" s="8"/>
      <c r="AH183" s="8"/>
      <c r="AI183" s="8"/>
      <c r="AJ183" s="8"/>
      <c r="AK183" s="8"/>
      <c r="AL183" s="8"/>
      <c r="AM183" s="8"/>
      <c r="AN183" s="8"/>
      <c r="AO183" s="8"/>
      <c r="AP183" s="8"/>
      <c r="AQ183" s="8"/>
    </row>
    <row r="184" spans="2:43" ht="15.95" hidden="1" customHeight="1">
      <c r="B184" s="929">
        <v>85</v>
      </c>
      <c r="C184" s="8"/>
      <c r="D184" s="8"/>
      <c r="E184" s="8"/>
      <c r="F184" s="8"/>
      <c r="G184" s="8"/>
      <c r="H184" s="8"/>
      <c r="I184" s="8"/>
      <c r="J184" s="8"/>
      <c r="K184" s="8"/>
      <c r="L184" s="8"/>
      <c r="M184" s="8"/>
      <c r="N184" s="8"/>
      <c r="O184" s="8"/>
      <c r="P184" s="8"/>
      <c r="Q184" s="8"/>
      <c r="R184" s="8"/>
      <c r="S184" s="8"/>
      <c r="T184" s="8"/>
      <c r="U184" s="8"/>
      <c r="V184" s="8"/>
      <c r="W184" s="8"/>
      <c r="X184" s="8"/>
      <c r="Y184" s="8"/>
      <c r="Z184" s="8"/>
      <c r="AA184" s="8"/>
      <c r="AB184" s="8"/>
      <c r="AC184" s="8"/>
      <c r="AD184" s="8"/>
      <c r="AE184" s="8"/>
      <c r="AF184" s="8"/>
      <c r="AG184" s="8"/>
      <c r="AH184" s="8"/>
      <c r="AI184" s="8"/>
      <c r="AJ184" s="8"/>
      <c r="AK184" s="8"/>
      <c r="AL184" s="8"/>
      <c r="AM184" s="8"/>
      <c r="AN184" s="8"/>
      <c r="AO184" s="8"/>
      <c r="AP184" s="8"/>
      <c r="AQ184" s="8"/>
    </row>
    <row r="185" spans="2:43" ht="15.95" hidden="1" customHeight="1">
      <c r="B185" s="929"/>
      <c r="C185" s="8"/>
      <c r="D185" s="8"/>
      <c r="E185" s="8"/>
      <c r="F185" s="8"/>
      <c r="G185" s="8"/>
      <c r="H185" s="8"/>
      <c r="I185" s="8"/>
      <c r="J185" s="8"/>
      <c r="K185" s="8"/>
      <c r="L185" s="8"/>
      <c r="M185" s="8"/>
      <c r="N185" s="8"/>
      <c r="O185" s="8"/>
      <c r="P185" s="8"/>
      <c r="Q185" s="8"/>
      <c r="R185" s="8"/>
      <c r="S185" s="8"/>
      <c r="T185" s="8"/>
      <c r="U185" s="8"/>
      <c r="V185" s="8"/>
      <c r="W185" s="8"/>
      <c r="X185" s="8"/>
      <c r="Y185" s="8"/>
      <c r="Z185" s="8"/>
      <c r="AA185" s="8"/>
      <c r="AB185" s="8"/>
      <c r="AC185" s="8"/>
      <c r="AD185" s="8"/>
      <c r="AE185" s="8"/>
      <c r="AF185" s="8"/>
      <c r="AG185" s="8"/>
      <c r="AH185" s="8"/>
      <c r="AI185" s="8"/>
      <c r="AJ185" s="8"/>
      <c r="AK185" s="8"/>
      <c r="AL185" s="8"/>
      <c r="AM185" s="8"/>
      <c r="AN185" s="8"/>
      <c r="AO185" s="8"/>
      <c r="AP185" s="8"/>
      <c r="AQ185" s="8"/>
    </row>
    <row r="186" spans="2:43" ht="15.95" hidden="1" customHeight="1">
      <c r="B186" s="929">
        <v>86</v>
      </c>
      <c r="C186" s="8"/>
      <c r="D186" s="8"/>
      <c r="E186" s="8"/>
      <c r="F186" s="8"/>
      <c r="G186" s="8"/>
      <c r="H186" s="8"/>
      <c r="I186" s="8"/>
      <c r="J186" s="8"/>
      <c r="K186" s="8"/>
      <c r="L186" s="8"/>
      <c r="M186" s="8"/>
      <c r="N186" s="8"/>
      <c r="O186" s="8"/>
      <c r="P186" s="8"/>
      <c r="Q186" s="8"/>
      <c r="R186" s="8"/>
      <c r="S186" s="8"/>
      <c r="T186" s="8"/>
      <c r="U186" s="8"/>
      <c r="V186" s="8"/>
      <c r="W186" s="8"/>
      <c r="X186" s="8"/>
      <c r="Y186" s="8"/>
      <c r="Z186" s="8"/>
      <c r="AA186" s="8"/>
      <c r="AB186" s="8"/>
      <c r="AC186" s="8"/>
      <c r="AD186" s="8"/>
      <c r="AE186" s="8"/>
      <c r="AF186" s="8"/>
      <c r="AG186" s="8"/>
      <c r="AH186" s="8"/>
      <c r="AI186" s="8"/>
      <c r="AJ186" s="8"/>
      <c r="AK186" s="8"/>
      <c r="AL186" s="8"/>
      <c r="AM186" s="8"/>
      <c r="AN186" s="8"/>
      <c r="AO186" s="8"/>
      <c r="AP186" s="8"/>
      <c r="AQ186" s="8"/>
    </row>
    <row r="187" spans="2:43" ht="15.95" hidden="1" customHeight="1">
      <c r="B187" s="929"/>
      <c r="C187" s="8"/>
      <c r="D187" s="8"/>
      <c r="E187" s="8"/>
      <c r="F187" s="8"/>
      <c r="G187" s="8"/>
      <c r="H187" s="8"/>
      <c r="I187" s="8"/>
      <c r="J187" s="8"/>
      <c r="K187" s="8"/>
      <c r="L187" s="8"/>
      <c r="M187" s="8"/>
      <c r="N187" s="8"/>
      <c r="O187" s="8"/>
      <c r="P187" s="8"/>
      <c r="Q187" s="8"/>
      <c r="R187" s="8"/>
      <c r="S187" s="8"/>
      <c r="T187" s="8"/>
      <c r="U187" s="8"/>
      <c r="V187" s="8"/>
      <c r="W187" s="8"/>
      <c r="X187" s="8"/>
      <c r="Y187" s="8"/>
      <c r="Z187" s="8"/>
      <c r="AA187" s="8"/>
      <c r="AB187" s="8"/>
      <c r="AC187" s="8"/>
      <c r="AD187" s="8"/>
      <c r="AE187" s="8"/>
      <c r="AF187" s="8"/>
      <c r="AG187" s="8"/>
      <c r="AH187" s="8"/>
      <c r="AI187" s="8"/>
      <c r="AJ187" s="8"/>
      <c r="AK187" s="8"/>
      <c r="AL187" s="8"/>
      <c r="AM187" s="8"/>
      <c r="AN187" s="8"/>
      <c r="AO187" s="8"/>
      <c r="AP187" s="8"/>
      <c r="AQ187" s="8"/>
    </row>
    <row r="188" spans="2:43" ht="15.95" hidden="1" customHeight="1">
      <c r="B188" s="929">
        <v>87</v>
      </c>
      <c r="C188" s="8"/>
      <c r="D188" s="8"/>
      <c r="E188" s="8"/>
      <c r="F188" s="8"/>
      <c r="G188" s="8"/>
      <c r="H188" s="8"/>
      <c r="I188" s="8"/>
      <c r="J188" s="8"/>
      <c r="K188" s="8"/>
      <c r="L188" s="8"/>
      <c r="M188" s="8"/>
      <c r="N188" s="8"/>
      <c r="O188" s="8"/>
      <c r="P188" s="8"/>
      <c r="Q188" s="8"/>
      <c r="R188" s="8"/>
      <c r="S188" s="8"/>
      <c r="T188" s="8"/>
      <c r="U188" s="8"/>
      <c r="V188" s="8"/>
      <c r="W188" s="8"/>
      <c r="X188" s="8"/>
      <c r="Y188" s="8"/>
      <c r="Z188" s="8"/>
      <c r="AA188" s="8"/>
      <c r="AB188" s="8"/>
      <c r="AC188" s="8"/>
      <c r="AD188" s="8"/>
      <c r="AE188" s="8"/>
      <c r="AF188" s="8"/>
      <c r="AG188" s="8"/>
      <c r="AH188" s="8"/>
      <c r="AI188" s="8"/>
      <c r="AJ188" s="8"/>
      <c r="AK188" s="8"/>
      <c r="AL188" s="8"/>
      <c r="AM188" s="8"/>
      <c r="AN188" s="8"/>
      <c r="AO188" s="8"/>
      <c r="AP188" s="8"/>
      <c r="AQ188" s="8"/>
    </row>
    <row r="189" spans="2:43" ht="15.95" hidden="1" customHeight="1">
      <c r="B189" s="929"/>
      <c r="C189" s="8"/>
      <c r="D189" s="8"/>
      <c r="E189" s="8"/>
      <c r="F189" s="8"/>
      <c r="G189" s="8"/>
      <c r="H189" s="8"/>
      <c r="I189" s="8"/>
      <c r="J189" s="8"/>
      <c r="K189" s="8"/>
      <c r="L189" s="8"/>
      <c r="M189" s="8"/>
      <c r="N189" s="8"/>
      <c r="O189" s="8"/>
      <c r="P189" s="8"/>
      <c r="Q189" s="8"/>
      <c r="R189" s="8"/>
      <c r="S189" s="8"/>
      <c r="T189" s="8"/>
      <c r="U189" s="8"/>
      <c r="V189" s="8"/>
      <c r="W189" s="8"/>
      <c r="X189" s="8"/>
      <c r="Y189" s="8"/>
      <c r="Z189" s="8"/>
      <c r="AA189" s="8"/>
      <c r="AB189" s="8"/>
      <c r="AC189" s="8"/>
      <c r="AD189" s="8"/>
      <c r="AE189" s="8"/>
      <c r="AF189" s="8"/>
      <c r="AG189" s="8"/>
      <c r="AH189" s="8"/>
      <c r="AI189" s="8"/>
      <c r="AJ189" s="8"/>
      <c r="AK189" s="8"/>
      <c r="AL189" s="8"/>
      <c r="AM189" s="8"/>
      <c r="AN189" s="8"/>
      <c r="AO189" s="8"/>
      <c r="AP189" s="8"/>
      <c r="AQ189" s="8"/>
    </row>
    <row r="190" spans="2:43" ht="15.95" hidden="1" customHeight="1">
      <c r="B190" s="929">
        <v>88</v>
      </c>
      <c r="C190" s="8"/>
      <c r="D190" s="8"/>
      <c r="E190" s="8"/>
      <c r="F190" s="8"/>
      <c r="G190" s="8"/>
      <c r="H190" s="8"/>
      <c r="I190" s="8"/>
      <c r="J190" s="8"/>
      <c r="K190" s="8"/>
      <c r="L190" s="8"/>
      <c r="M190" s="8"/>
      <c r="N190" s="8"/>
      <c r="O190" s="8"/>
      <c r="P190" s="8"/>
      <c r="Q190" s="8"/>
      <c r="R190" s="8"/>
      <c r="S190" s="8"/>
      <c r="T190" s="8"/>
      <c r="U190" s="8"/>
      <c r="V190" s="8"/>
      <c r="W190" s="8"/>
      <c r="X190" s="8"/>
      <c r="Y190" s="8"/>
      <c r="Z190" s="8"/>
      <c r="AA190" s="8"/>
      <c r="AB190" s="8"/>
      <c r="AC190" s="8"/>
      <c r="AD190" s="8"/>
      <c r="AE190" s="8"/>
      <c r="AF190" s="8"/>
      <c r="AG190" s="8"/>
      <c r="AH190" s="8"/>
      <c r="AI190" s="8"/>
      <c r="AJ190" s="8"/>
      <c r="AK190" s="8"/>
      <c r="AL190" s="8"/>
      <c r="AM190" s="8"/>
      <c r="AN190" s="8"/>
      <c r="AO190" s="8"/>
      <c r="AP190" s="8"/>
      <c r="AQ190" s="8"/>
    </row>
    <row r="191" spans="2:43" ht="15.95" hidden="1" customHeight="1">
      <c r="B191" s="929"/>
      <c r="C191" s="8"/>
      <c r="D191" s="8"/>
      <c r="E191" s="8"/>
      <c r="F191" s="8"/>
      <c r="G191" s="8"/>
      <c r="H191" s="8"/>
      <c r="I191" s="8"/>
      <c r="J191" s="8"/>
      <c r="K191" s="8"/>
      <c r="L191" s="8"/>
      <c r="M191" s="8"/>
      <c r="N191" s="8"/>
      <c r="O191" s="8"/>
      <c r="P191" s="8"/>
      <c r="Q191" s="8"/>
      <c r="R191" s="8"/>
      <c r="S191" s="8"/>
      <c r="T191" s="8"/>
      <c r="U191" s="8"/>
      <c r="V191" s="8"/>
      <c r="W191" s="8"/>
      <c r="X191" s="8"/>
      <c r="Y191" s="8"/>
      <c r="Z191" s="8"/>
      <c r="AA191" s="8"/>
      <c r="AB191" s="8"/>
      <c r="AC191" s="8"/>
      <c r="AD191" s="8"/>
      <c r="AE191" s="8"/>
      <c r="AF191" s="8"/>
      <c r="AG191" s="8"/>
      <c r="AH191" s="8"/>
      <c r="AI191" s="8"/>
      <c r="AJ191" s="8"/>
      <c r="AK191" s="8"/>
      <c r="AL191" s="8"/>
      <c r="AM191" s="8"/>
      <c r="AN191" s="8"/>
      <c r="AO191" s="8"/>
      <c r="AP191" s="8"/>
      <c r="AQ191" s="8"/>
    </row>
    <row r="192" spans="2:43" ht="15.95" hidden="1" customHeight="1">
      <c r="B192" s="929">
        <v>89</v>
      </c>
      <c r="C192" s="8"/>
      <c r="D192" s="8"/>
      <c r="E192" s="8"/>
      <c r="F192" s="8"/>
      <c r="G192" s="8"/>
      <c r="H192" s="8"/>
      <c r="I192" s="8"/>
      <c r="J192" s="8"/>
      <c r="K192" s="8"/>
      <c r="L192" s="8"/>
      <c r="M192" s="8"/>
      <c r="N192" s="8"/>
      <c r="O192" s="8"/>
      <c r="P192" s="8"/>
      <c r="Q192" s="8"/>
      <c r="R192" s="8"/>
      <c r="S192" s="8"/>
      <c r="T192" s="8"/>
      <c r="U192" s="8"/>
      <c r="V192" s="8"/>
      <c r="W192" s="8"/>
      <c r="X192" s="8"/>
      <c r="Y192" s="8"/>
      <c r="Z192" s="8"/>
      <c r="AA192" s="8"/>
      <c r="AB192" s="8"/>
      <c r="AC192" s="8"/>
      <c r="AD192" s="8"/>
      <c r="AE192" s="8"/>
      <c r="AF192" s="8"/>
      <c r="AG192" s="8"/>
      <c r="AH192" s="8"/>
      <c r="AI192" s="8"/>
      <c r="AJ192" s="8"/>
      <c r="AK192" s="8"/>
      <c r="AL192" s="8"/>
      <c r="AM192" s="8"/>
      <c r="AN192" s="8"/>
      <c r="AO192" s="8"/>
      <c r="AP192" s="8"/>
      <c r="AQ192" s="8"/>
    </row>
    <row r="193" spans="2:50" ht="15.95" hidden="1" customHeight="1">
      <c r="B193" s="929"/>
      <c r="C193" s="8"/>
      <c r="D193" s="8"/>
      <c r="E193" s="8"/>
      <c r="F193" s="8"/>
      <c r="G193" s="8"/>
      <c r="H193" s="8"/>
      <c r="I193" s="8"/>
      <c r="J193" s="8"/>
      <c r="K193" s="8"/>
      <c r="L193" s="8"/>
      <c r="M193" s="8"/>
      <c r="N193" s="8"/>
      <c r="O193" s="8"/>
      <c r="P193" s="8"/>
      <c r="Q193" s="8"/>
      <c r="R193" s="8"/>
      <c r="S193" s="8"/>
      <c r="T193" s="8"/>
      <c r="U193" s="8"/>
      <c r="V193" s="8"/>
      <c r="W193" s="8"/>
      <c r="X193" s="8"/>
      <c r="Y193" s="8"/>
      <c r="Z193" s="8"/>
      <c r="AA193" s="8"/>
      <c r="AB193" s="8"/>
      <c r="AC193" s="8"/>
      <c r="AD193" s="8"/>
      <c r="AE193" s="8"/>
      <c r="AF193" s="8"/>
      <c r="AG193" s="8"/>
      <c r="AH193" s="8"/>
      <c r="AI193" s="8"/>
      <c r="AJ193" s="8"/>
      <c r="AK193" s="8"/>
      <c r="AL193" s="8"/>
      <c r="AM193" s="8"/>
      <c r="AN193" s="8"/>
      <c r="AO193" s="8"/>
      <c r="AP193" s="8"/>
      <c r="AQ193" s="8"/>
    </row>
    <row r="194" spans="2:50" ht="15.95" hidden="1" customHeight="1">
      <c r="B194" s="929">
        <v>90</v>
      </c>
      <c r="C194" s="8"/>
      <c r="D194" s="8"/>
      <c r="E194" s="8"/>
      <c r="F194" s="8"/>
      <c r="G194" s="8"/>
      <c r="H194" s="8"/>
      <c r="I194" s="8"/>
      <c r="J194" s="8"/>
      <c r="K194" s="8"/>
      <c r="L194" s="8"/>
      <c r="M194" s="8"/>
      <c r="N194" s="8"/>
      <c r="O194" s="8"/>
      <c r="P194" s="8"/>
      <c r="Q194" s="8"/>
      <c r="R194" s="8"/>
      <c r="S194" s="8"/>
      <c r="T194" s="8"/>
      <c r="U194" s="8"/>
      <c r="V194" s="8"/>
      <c r="W194" s="8"/>
      <c r="X194" s="8"/>
      <c r="Y194" s="8"/>
      <c r="Z194" s="8"/>
      <c r="AA194" s="8"/>
      <c r="AB194" s="8"/>
      <c r="AC194" s="8"/>
      <c r="AD194" s="8"/>
      <c r="AE194" s="8"/>
      <c r="AF194" s="8"/>
      <c r="AG194" s="8"/>
      <c r="AH194" s="8"/>
      <c r="AI194" s="8"/>
      <c r="AJ194" s="8"/>
      <c r="AK194" s="8"/>
      <c r="AL194" s="8"/>
      <c r="AM194" s="8"/>
      <c r="AN194" s="8"/>
      <c r="AO194" s="8"/>
      <c r="AP194" s="8"/>
      <c r="AQ194" s="8"/>
    </row>
    <row r="195" spans="2:50" ht="15.95" hidden="1" customHeight="1">
      <c r="B195" s="929"/>
      <c r="C195" s="8"/>
      <c r="D195" s="8"/>
      <c r="E195" s="8"/>
      <c r="F195" s="8"/>
      <c r="G195" s="8"/>
      <c r="H195" s="8"/>
      <c r="I195" s="8"/>
      <c r="J195" s="8"/>
      <c r="K195" s="8"/>
      <c r="L195" s="8"/>
      <c r="M195" s="8"/>
      <c r="N195" s="8"/>
      <c r="O195" s="8"/>
      <c r="P195" s="8"/>
      <c r="Q195" s="8"/>
      <c r="R195" s="8"/>
      <c r="S195" s="8"/>
      <c r="T195" s="8"/>
      <c r="U195" s="8"/>
      <c r="V195" s="8"/>
      <c r="W195" s="8"/>
      <c r="X195" s="8"/>
      <c r="Y195" s="8"/>
      <c r="Z195" s="8"/>
      <c r="AA195" s="8"/>
      <c r="AB195" s="8"/>
      <c r="AC195" s="8"/>
      <c r="AD195" s="8"/>
      <c r="AE195" s="8"/>
      <c r="AF195" s="8"/>
      <c r="AG195" s="8"/>
      <c r="AH195" s="8"/>
      <c r="AI195" s="8"/>
      <c r="AJ195" s="8"/>
      <c r="AK195" s="8"/>
      <c r="AL195" s="8"/>
      <c r="AM195" s="8"/>
      <c r="AN195" s="8"/>
      <c r="AO195" s="8"/>
      <c r="AP195" s="8"/>
      <c r="AQ195" s="8"/>
    </row>
    <row r="196" spans="2:50" ht="15.95" hidden="1" customHeight="1">
      <c r="B196" s="929">
        <v>91</v>
      </c>
      <c r="C196" s="8"/>
      <c r="D196" s="8"/>
      <c r="E196" s="8"/>
      <c r="F196" s="8"/>
      <c r="G196" s="8"/>
      <c r="H196" s="8"/>
      <c r="I196" s="8"/>
      <c r="J196" s="8"/>
      <c r="K196" s="8"/>
      <c r="L196" s="8"/>
      <c r="M196" s="8"/>
      <c r="N196" s="8"/>
      <c r="O196" s="8"/>
      <c r="P196" s="8"/>
      <c r="Q196" s="8"/>
      <c r="R196" s="8"/>
      <c r="S196" s="8"/>
      <c r="T196" s="8"/>
      <c r="U196" s="8"/>
      <c r="V196" s="8"/>
      <c r="W196" s="8"/>
      <c r="X196" s="8"/>
      <c r="Y196" s="8"/>
      <c r="Z196" s="8"/>
      <c r="AA196" s="8"/>
      <c r="AB196" s="8"/>
      <c r="AC196" s="8"/>
      <c r="AD196" s="8"/>
      <c r="AE196" s="8"/>
      <c r="AF196" s="8"/>
      <c r="AG196" s="8"/>
      <c r="AH196" s="8"/>
      <c r="AI196" s="8"/>
      <c r="AJ196" s="8"/>
      <c r="AK196" s="8"/>
      <c r="AL196" s="8"/>
      <c r="AM196" s="8"/>
      <c r="AN196" s="8"/>
      <c r="AO196" s="8"/>
      <c r="AP196" s="8"/>
      <c r="AQ196" s="8"/>
    </row>
    <row r="197" spans="2:50" ht="15.95" hidden="1" customHeight="1">
      <c r="B197" s="929"/>
      <c r="C197" s="8"/>
      <c r="D197" s="8"/>
      <c r="E197" s="8"/>
      <c r="F197" s="8"/>
      <c r="G197" s="8"/>
      <c r="H197" s="8"/>
      <c r="I197" s="8"/>
      <c r="J197" s="8"/>
      <c r="K197" s="8"/>
      <c r="L197" s="8"/>
      <c r="M197" s="8"/>
      <c r="N197" s="8"/>
      <c r="O197" s="8"/>
      <c r="P197" s="8"/>
      <c r="Q197" s="8"/>
      <c r="R197" s="8"/>
      <c r="S197" s="8"/>
      <c r="T197" s="8"/>
      <c r="U197" s="8"/>
      <c r="V197" s="8"/>
      <c r="W197" s="8"/>
      <c r="X197" s="8"/>
      <c r="Y197" s="8"/>
      <c r="Z197" s="8"/>
      <c r="AA197" s="8"/>
      <c r="AB197" s="8"/>
      <c r="AC197" s="8"/>
      <c r="AD197" s="8"/>
      <c r="AE197" s="8"/>
      <c r="AF197" s="8"/>
      <c r="AG197" s="8"/>
      <c r="AH197" s="8"/>
      <c r="AI197" s="8"/>
      <c r="AJ197" s="8"/>
      <c r="AK197" s="8"/>
      <c r="AL197" s="8"/>
      <c r="AM197" s="8"/>
      <c r="AN197" s="8"/>
      <c r="AO197" s="8"/>
      <c r="AP197" s="8"/>
      <c r="AQ197" s="8"/>
    </row>
    <row r="198" spans="2:50" ht="15.95" hidden="1" customHeight="1">
      <c r="B198" s="567">
        <v>92</v>
      </c>
      <c r="C198" s="8"/>
      <c r="D198" s="8"/>
      <c r="E198" s="8"/>
      <c r="F198" s="8"/>
      <c r="G198" s="8"/>
      <c r="H198" s="8"/>
      <c r="I198" s="8"/>
      <c r="J198" s="8"/>
      <c r="K198" s="8"/>
      <c r="L198" s="8"/>
      <c r="M198" s="8"/>
      <c r="N198" s="8"/>
      <c r="O198" s="8"/>
      <c r="P198" s="8"/>
      <c r="Q198" s="8"/>
      <c r="R198" s="8"/>
      <c r="S198" s="8"/>
      <c r="T198" s="8"/>
      <c r="U198" s="8"/>
      <c r="V198" s="8"/>
      <c r="W198" s="8"/>
      <c r="X198" s="8"/>
      <c r="Y198" s="8"/>
      <c r="Z198" s="8"/>
      <c r="AA198" s="8"/>
      <c r="AB198" s="8"/>
      <c r="AC198" s="8"/>
      <c r="AD198" s="8"/>
      <c r="AE198" s="8"/>
      <c r="AF198" s="8"/>
      <c r="AG198" s="8"/>
      <c r="AH198" s="8"/>
      <c r="AI198" s="8"/>
      <c r="AJ198" s="8"/>
      <c r="AK198" s="8"/>
      <c r="AL198" s="8"/>
      <c r="AM198" s="8"/>
      <c r="AN198" s="8"/>
      <c r="AO198" s="8"/>
      <c r="AP198" s="8"/>
      <c r="AQ198" s="8"/>
    </row>
    <row r="199" spans="2:50" ht="15.95" customHeight="1">
      <c r="B199" s="1199" t="s">
        <v>2106</v>
      </c>
      <c r="C199" s="1199"/>
      <c r="D199" s="1199"/>
      <c r="E199" s="1199"/>
      <c r="F199" s="1199"/>
      <c r="G199" s="1199"/>
      <c r="H199" s="1199"/>
      <c r="I199" s="1199"/>
      <c r="J199" s="1199"/>
      <c r="K199" s="1199"/>
      <c r="L199" s="1199"/>
      <c r="M199" s="1199"/>
      <c r="N199" s="1199"/>
      <c r="O199" s="1199"/>
      <c r="P199" s="1199"/>
      <c r="Q199" s="1199"/>
      <c r="R199" s="1199"/>
      <c r="S199" s="1199"/>
      <c r="T199" s="1199"/>
      <c r="U199" s="1199"/>
      <c r="V199" s="1199"/>
      <c r="W199" s="1199"/>
      <c r="X199" s="1199"/>
      <c r="Y199" s="1199"/>
      <c r="Z199" s="1199"/>
      <c r="AA199" s="1199"/>
      <c r="AB199" s="1199"/>
      <c r="AC199" s="1199"/>
      <c r="AD199" s="1199"/>
      <c r="AE199" s="1199"/>
      <c r="AF199" s="1199"/>
      <c r="AG199" s="1199"/>
      <c r="AH199" s="1199"/>
      <c r="AI199" s="1199"/>
      <c r="AJ199" s="1199"/>
      <c r="AK199" s="1199"/>
      <c r="AL199" s="1199"/>
      <c r="AM199" s="1199"/>
      <c r="AN199" s="1199"/>
      <c r="AO199" s="1199"/>
      <c r="AP199" s="1199"/>
      <c r="AQ199" s="1199"/>
      <c r="AR199" s="1199"/>
    </row>
    <row r="200" spans="2:50" ht="15.95" customHeight="1">
      <c r="B200" s="272" t="str">
        <f>FOOT1</f>
        <v>NIPSCO Energy Efficiency Program</v>
      </c>
      <c r="C200" s="272"/>
      <c r="D200" s="272"/>
      <c r="E200" s="272"/>
      <c r="F200" s="272"/>
      <c r="G200" s="272"/>
      <c r="H200" s="272"/>
      <c r="I200" s="272"/>
      <c r="J200" s="272"/>
      <c r="K200" s="272"/>
      <c r="L200" s="272"/>
      <c r="M200" s="661" t="str">
        <f>FOOT4</f>
        <v>NIPSCO’s energy efficiency programs are administered by TRC, a third‐party implementation specialist that helps homes and businesses save energy.</v>
      </c>
      <c r="N200" s="661"/>
      <c r="O200" s="661"/>
      <c r="P200" s="661"/>
      <c r="Q200" s="661"/>
      <c r="R200" s="661"/>
      <c r="S200" s="661"/>
      <c r="T200" s="661"/>
      <c r="U200" s="661"/>
      <c r="V200" s="661"/>
      <c r="W200" s="661"/>
      <c r="X200" s="661"/>
      <c r="Y200" s="661"/>
      <c r="Z200" s="661"/>
      <c r="AA200" s="661"/>
      <c r="AB200" s="661"/>
      <c r="AC200" s="661"/>
      <c r="AD200" s="661"/>
      <c r="AE200" s="661"/>
      <c r="AF200" s="661"/>
      <c r="AG200" s="661"/>
      <c r="AH200" s="272"/>
      <c r="AI200" s="272"/>
      <c r="AJ200" s="272"/>
      <c r="AK200" s="272"/>
      <c r="AL200" s="272"/>
      <c r="AM200" s="272"/>
      <c r="AN200" s="272"/>
      <c r="AO200" s="272"/>
      <c r="AP200" s="272"/>
      <c r="AQ200" s="272"/>
      <c r="AR200" s="273" t="str">
        <f>FOOTDISCLAIM</f>
        <v/>
      </c>
      <c r="AX200" s="1148">
        <f ca="1">SUMIF(AN16:AQ199,"&gt;0",AX16:AX199)</f>
        <v>0</v>
      </c>
    </row>
    <row r="201" spans="2:50" ht="15.95" customHeight="1">
      <c r="B201" s="272" t="str">
        <f>FOOT2</f>
        <v>Toll-Free 800-299-2501</v>
      </c>
      <c r="C201" s="272"/>
      <c r="D201" s="272"/>
      <c r="E201" s="272"/>
      <c r="F201" s="272"/>
      <c r="G201" s="272"/>
      <c r="H201" s="272"/>
      <c r="I201" s="272"/>
      <c r="J201" s="272"/>
      <c r="K201" s="272"/>
      <c r="L201" s="272"/>
      <c r="M201" s="661"/>
      <c r="N201" s="661"/>
      <c r="O201" s="661"/>
      <c r="P201" s="661"/>
      <c r="Q201" s="661"/>
      <c r="R201" s="661"/>
      <c r="S201" s="661"/>
      <c r="T201" s="661"/>
      <c r="U201" s="661"/>
      <c r="V201" s="661"/>
      <c r="W201" s="661"/>
      <c r="X201" s="661"/>
      <c r="Y201" s="661"/>
      <c r="Z201" s="661"/>
      <c r="AA201" s="661"/>
      <c r="AB201" s="661"/>
      <c r="AC201" s="661"/>
      <c r="AD201" s="661"/>
      <c r="AE201" s="661"/>
      <c r="AF201" s="661"/>
      <c r="AG201" s="661"/>
      <c r="AH201" s="272"/>
      <c r="AI201" s="272"/>
      <c r="AJ201" s="272"/>
      <c r="AK201" s="272"/>
      <c r="AL201" s="272"/>
      <c r="AM201" s="272"/>
      <c r="AN201" s="272"/>
      <c r="AO201" s="272"/>
      <c r="AP201" s="272"/>
      <c r="AQ201" s="272"/>
      <c r="AR201" s="273" t="str">
        <f>FOOT5</f>
        <v/>
      </c>
      <c r="AX201" s="1148"/>
    </row>
    <row r="202" spans="2:50" ht="15.95" customHeight="1">
      <c r="B202" s="281" t="s">
        <v>1547</v>
      </c>
      <c r="C202" s="272"/>
      <c r="D202" s="272"/>
      <c r="E202" s="272"/>
      <c r="F202" s="272"/>
      <c r="G202" s="272"/>
      <c r="H202" s="272"/>
      <c r="I202" s="272"/>
      <c r="J202" s="272"/>
      <c r="K202" s="272"/>
      <c r="L202" s="272"/>
      <c r="M202" s="274"/>
      <c r="N202" s="272"/>
      <c r="O202" s="272"/>
      <c r="P202" s="274"/>
      <c r="Q202" s="274"/>
      <c r="R202" s="274"/>
      <c r="S202" s="274"/>
      <c r="T202" s="274"/>
      <c r="U202" s="274"/>
      <c r="V202" s="274"/>
      <c r="W202" s="275" t="str">
        <f>VERSION</f>
        <v>Custom Prescriptive Application v3.7.1</v>
      </c>
      <c r="X202" s="274"/>
      <c r="Y202" s="274"/>
      <c r="Z202" s="274"/>
      <c r="AA202" s="274"/>
      <c r="AB202" s="274"/>
      <c r="AC202" s="274"/>
      <c r="AD202" s="274"/>
      <c r="AE202" s="272"/>
      <c r="AF202" s="272"/>
      <c r="AG202" s="272"/>
      <c r="AH202" s="272"/>
      <c r="AI202" s="272"/>
      <c r="AJ202" s="272"/>
      <c r="AK202" s="272"/>
      <c r="AL202" s="272"/>
      <c r="AM202" s="272"/>
      <c r="AN202" s="272"/>
      <c r="AO202" s="272"/>
      <c r="AP202" s="272"/>
      <c r="AQ202" s="272"/>
      <c r="AR202" s="273" t="str">
        <f>FOOT6</f>
        <v>Product of TRC</v>
      </c>
    </row>
    <row r="203" spans="2:50" ht="15"/>
  </sheetData>
  <sheetProtection algorithmName="SHA-512" hashValue="GLIkrp/kz3ONc1wl1MnrcFrCdhVTkr4bmWS4vIxTUAVqtwZBk5cN0N/HRDl2s3uMYMcOWvGIVKlAO3nrTVhvsQ==" saltValue="HJ/EfDxEL5lK3e/tOOqDcg==" spinCount="100000" sheet="1" objects="1" scenarios="1" selectLockedCells="1"/>
  <mergeCells count="1474">
    <mergeCell ref="BG16:BG17"/>
    <mergeCell ref="BG18:BG19"/>
    <mergeCell ref="BG20:BG21"/>
    <mergeCell ref="BG22:BG23"/>
    <mergeCell ref="BG24:BG25"/>
    <mergeCell ref="BG26:BG27"/>
    <mergeCell ref="BG28:BG29"/>
    <mergeCell ref="BG30:BG31"/>
    <mergeCell ref="BG32:BG33"/>
    <mergeCell ref="BG34:BG35"/>
    <mergeCell ref="BF14:BF15"/>
    <mergeCell ref="BF16:BF17"/>
    <mergeCell ref="BF18:BF19"/>
    <mergeCell ref="BF20:BF21"/>
    <mergeCell ref="BF22:BF23"/>
    <mergeCell ref="BF24:BF25"/>
    <mergeCell ref="BF26:BF27"/>
    <mergeCell ref="BF28:BF29"/>
    <mergeCell ref="BF30:BF31"/>
    <mergeCell ref="BF32:BF33"/>
    <mergeCell ref="BF34:BF35"/>
    <mergeCell ref="BG14:BG15"/>
    <mergeCell ref="BH82:BH83"/>
    <mergeCell ref="BH84:BH85"/>
    <mergeCell ref="BH86:BH87"/>
    <mergeCell ref="BH88:BH89"/>
    <mergeCell ref="BH90:BH91"/>
    <mergeCell ref="BH92:BH93"/>
    <mergeCell ref="BH20:BH21"/>
    <mergeCell ref="BH22:BH23"/>
    <mergeCell ref="BH24:BH25"/>
    <mergeCell ref="BH26:BH27"/>
    <mergeCell ref="BH28:BH29"/>
    <mergeCell ref="BH30:BH31"/>
    <mergeCell ref="BH32:BH33"/>
    <mergeCell ref="BH34:BH35"/>
    <mergeCell ref="BH36:BH37"/>
    <mergeCell ref="BH38:BH39"/>
    <mergeCell ref="BH40:BH41"/>
    <mergeCell ref="BH42:BH43"/>
    <mergeCell ref="BH44:BH45"/>
    <mergeCell ref="BH46:BH47"/>
    <mergeCell ref="BH94:BH95"/>
    <mergeCell ref="BH96:BH97"/>
    <mergeCell ref="BH98:BH99"/>
    <mergeCell ref="BH100:BH101"/>
    <mergeCell ref="BH102:BH103"/>
    <mergeCell ref="BH104:BH105"/>
    <mergeCell ref="BH106:BH107"/>
    <mergeCell ref="BH108:BH109"/>
    <mergeCell ref="F11:I11"/>
    <mergeCell ref="K11:N11"/>
    <mergeCell ref="F12:I13"/>
    <mergeCell ref="K12:N13"/>
    <mergeCell ref="BH48:BH49"/>
    <mergeCell ref="BH50:BH51"/>
    <mergeCell ref="BH52:BH53"/>
    <mergeCell ref="BH54:BH55"/>
    <mergeCell ref="BH56:BH57"/>
    <mergeCell ref="BH58:BH59"/>
    <mergeCell ref="BH60:BH61"/>
    <mergeCell ref="BH62:BH63"/>
    <mergeCell ref="BH64:BH65"/>
    <mergeCell ref="BH66:BH67"/>
    <mergeCell ref="BH68:BH69"/>
    <mergeCell ref="BH70:BH71"/>
    <mergeCell ref="BH72:BH73"/>
    <mergeCell ref="BH74:BH75"/>
    <mergeCell ref="BH76:BH77"/>
    <mergeCell ref="BH78:BH79"/>
    <mergeCell ref="BH80:BH81"/>
    <mergeCell ref="BH14:BH15"/>
    <mergeCell ref="BH16:BH17"/>
    <mergeCell ref="BH18:BH19"/>
    <mergeCell ref="BF114:BF115"/>
    <mergeCell ref="BG114:BG115"/>
    <mergeCell ref="BH114:BH115"/>
    <mergeCell ref="BF112:BF113"/>
    <mergeCell ref="BG112:BG113"/>
    <mergeCell ref="BH112:BH113"/>
    <mergeCell ref="AY114:AY115"/>
    <mergeCell ref="AZ114:AZ115"/>
    <mergeCell ref="BA114:BA115"/>
    <mergeCell ref="BB114:BB115"/>
    <mergeCell ref="BC114:BC115"/>
    <mergeCell ref="BD114:BD115"/>
    <mergeCell ref="BE114:BE115"/>
    <mergeCell ref="AD114:AE115"/>
    <mergeCell ref="AF114:AG115"/>
    <mergeCell ref="AH114:AJ115"/>
    <mergeCell ref="AK114:AM115"/>
    <mergeCell ref="AN114:AQ115"/>
    <mergeCell ref="AU114:AU115"/>
    <mergeCell ref="AV114:AV115"/>
    <mergeCell ref="AW114:AW115"/>
    <mergeCell ref="AX114:AX115"/>
    <mergeCell ref="C114:E115"/>
    <mergeCell ref="F114:K115"/>
    <mergeCell ref="L114:O115"/>
    <mergeCell ref="P114:Q115"/>
    <mergeCell ref="R114:S115"/>
    <mergeCell ref="T114:W115"/>
    <mergeCell ref="X114:Y115"/>
    <mergeCell ref="Z114:AA115"/>
    <mergeCell ref="AB114:AC115"/>
    <mergeCell ref="C112:E113"/>
    <mergeCell ref="F112:K113"/>
    <mergeCell ref="L112:O113"/>
    <mergeCell ref="P112:Q113"/>
    <mergeCell ref="R112:S113"/>
    <mergeCell ref="T112:W113"/>
    <mergeCell ref="X112:Y113"/>
    <mergeCell ref="Z112:AA113"/>
    <mergeCell ref="AB112:AC113"/>
    <mergeCell ref="C110:E111"/>
    <mergeCell ref="F110:K111"/>
    <mergeCell ref="L110:O111"/>
    <mergeCell ref="P110:Q111"/>
    <mergeCell ref="R110:S111"/>
    <mergeCell ref="T110:W111"/>
    <mergeCell ref="X110:Y111"/>
    <mergeCell ref="Z110:AA111"/>
    <mergeCell ref="AB110:AC111"/>
    <mergeCell ref="AW110:AW111"/>
    <mergeCell ref="AZ106:AZ107"/>
    <mergeCell ref="BA106:BA107"/>
    <mergeCell ref="BB106:BB107"/>
    <mergeCell ref="BC106:BC107"/>
    <mergeCell ref="BD106:BD107"/>
    <mergeCell ref="BC112:BC113"/>
    <mergeCell ref="BD112:BD113"/>
    <mergeCell ref="BC110:BC111"/>
    <mergeCell ref="BD110:BD111"/>
    <mergeCell ref="C108:E109"/>
    <mergeCell ref="F108:K109"/>
    <mergeCell ref="L108:O109"/>
    <mergeCell ref="P108:Q109"/>
    <mergeCell ref="R108:S109"/>
    <mergeCell ref="T108:W109"/>
    <mergeCell ref="AD110:AE111"/>
    <mergeCell ref="AD112:AE113"/>
    <mergeCell ref="AF112:AG113"/>
    <mergeCell ref="AH112:AJ113"/>
    <mergeCell ref="AK112:AM113"/>
    <mergeCell ref="AN112:AQ113"/>
    <mergeCell ref="AU112:AU113"/>
    <mergeCell ref="BE106:BE107"/>
    <mergeCell ref="AW112:AW113"/>
    <mergeCell ref="AX112:AX113"/>
    <mergeCell ref="AY112:AY113"/>
    <mergeCell ref="AZ112:AZ113"/>
    <mergeCell ref="BA112:BA113"/>
    <mergeCell ref="BB112:BB113"/>
    <mergeCell ref="AX110:AX111"/>
    <mergeCell ref="AY110:AY111"/>
    <mergeCell ref="AZ110:AZ111"/>
    <mergeCell ref="BA110:BA111"/>
    <mergeCell ref="BB110:BB111"/>
    <mergeCell ref="AD108:AE109"/>
    <mergeCell ref="AF108:AG109"/>
    <mergeCell ref="AH108:AJ109"/>
    <mergeCell ref="AK108:AM109"/>
    <mergeCell ref="AN108:AQ109"/>
    <mergeCell ref="BE112:BE113"/>
    <mergeCell ref="BE110:BE111"/>
    <mergeCell ref="AV112:AV113"/>
    <mergeCell ref="AF110:AG111"/>
    <mergeCell ref="AH110:AJ111"/>
    <mergeCell ref="AK110:AM111"/>
    <mergeCell ref="AN110:AQ111"/>
    <mergeCell ref="AU110:AU111"/>
    <mergeCell ref="AV110:AV111"/>
    <mergeCell ref="BD104:BD105"/>
    <mergeCell ref="BE104:BE105"/>
    <mergeCell ref="AZ108:AZ109"/>
    <mergeCell ref="BA108:BA109"/>
    <mergeCell ref="BB108:BB109"/>
    <mergeCell ref="BC108:BC109"/>
    <mergeCell ref="BD108:BD109"/>
    <mergeCell ref="BE108:BE109"/>
    <mergeCell ref="AY108:AY109"/>
    <mergeCell ref="C106:E107"/>
    <mergeCell ref="F106:K107"/>
    <mergeCell ref="L106:O107"/>
    <mergeCell ref="P106:Q107"/>
    <mergeCell ref="R106:S107"/>
    <mergeCell ref="T106:W107"/>
    <mergeCell ref="X106:Y107"/>
    <mergeCell ref="Z106:AA107"/>
    <mergeCell ref="AB106:AC107"/>
    <mergeCell ref="AD106:AE107"/>
    <mergeCell ref="AF106:AG107"/>
    <mergeCell ref="AH106:AJ107"/>
    <mergeCell ref="AK106:AM107"/>
    <mergeCell ref="AN106:AQ107"/>
    <mergeCell ref="AU106:AU107"/>
    <mergeCell ref="AV106:AV107"/>
    <mergeCell ref="X108:Y109"/>
    <mergeCell ref="AU108:AU109"/>
    <mergeCell ref="AV108:AV109"/>
    <mergeCell ref="AW108:AW109"/>
    <mergeCell ref="AX108:AX109"/>
    <mergeCell ref="Z108:AA109"/>
    <mergeCell ref="AB108:AC109"/>
    <mergeCell ref="P102:Q103"/>
    <mergeCell ref="R102:S103"/>
    <mergeCell ref="T102:W103"/>
    <mergeCell ref="X102:Y103"/>
    <mergeCell ref="Z102:AA103"/>
    <mergeCell ref="AB102:AC103"/>
    <mergeCell ref="AW106:AW107"/>
    <mergeCell ref="AX106:AX107"/>
    <mergeCell ref="AY106:AY107"/>
    <mergeCell ref="AZ102:AZ103"/>
    <mergeCell ref="BA102:BA103"/>
    <mergeCell ref="BB102:BB103"/>
    <mergeCell ref="BC102:BC103"/>
    <mergeCell ref="AX104:AX105"/>
    <mergeCell ref="AY104:AY105"/>
    <mergeCell ref="AZ104:AZ105"/>
    <mergeCell ref="BA104:BA105"/>
    <mergeCell ref="BB104:BB105"/>
    <mergeCell ref="BC104:BC105"/>
    <mergeCell ref="BD102:BD103"/>
    <mergeCell ref="BE102:BE103"/>
    <mergeCell ref="C104:E105"/>
    <mergeCell ref="F104:K105"/>
    <mergeCell ref="L104:O105"/>
    <mergeCell ref="P104:Q105"/>
    <mergeCell ref="R104:S105"/>
    <mergeCell ref="T104:W105"/>
    <mergeCell ref="X104:Y105"/>
    <mergeCell ref="Z104:AA105"/>
    <mergeCell ref="AB104:AC105"/>
    <mergeCell ref="AD104:AE105"/>
    <mergeCell ref="AF104:AG105"/>
    <mergeCell ref="AH104:AJ105"/>
    <mergeCell ref="AK104:AM105"/>
    <mergeCell ref="AN104:AQ105"/>
    <mergeCell ref="AU104:AU105"/>
    <mergeCell ref="AV104:AV105"/>
    <mergeCell ref="AW104:AW105"/>
    <mergeCell ref="AD102:AE103"/>
    <mergeCell ref="AF102:AG103"/>
    <mergeCell ref="AH102:AJ103"/>
    <mergeCell ref="AK102:AM103"/>
    <mergeCell ref="AN102:AQ103"/>
    <mergeCell ref="AU102:AU103"/>
    <mergeCell ref="AV102:AV103"/>
    <mergeCell ref="AW102:AW103"/>
    <mergeCell ref="AX102:AX103"/>
    <mergeCell ref="AY102:AY103"/>
    <mergeCell ref="C102:E103"/>
    <mergeCell ref="F102:K103"/>
    <mergeCell ref="L102:O103"/>
    <mergeCell ref="Z96:AA97"/>
    <mergeCell ref="AB96:AC97"/>
    <mergeCell ref="AW100:AW101"/>
    <mergeCell ref="AX100:AX101"/>
    <mergeCell ref="AY100:AY101"/>
    <mergeCell ref="AZ100:AZ101"/>
    <mergeCell ref="BA100:BA101"/>
    <mergeCell ref="BB100:BB101"/>
    <mergeCell ref="BC100:BC101"/>
    <mergeCell ref="BD100:BD101"/>
    <mergeCell ref="BE100:BE101"/>
    <mergeCell ref="AX98:AX99"/>
    <mergeCell ref="AY98:AY99"/>
    <mergeCell ref="AZ98:AZ99"/>
    <mergeCell ref="BA98:BA99"/>
    <mergeCell ref="BB98:BB99"/>
    <mergeCell ref="BC98:BC99"/>
    <mergeCell ref="BD98:BD99"/>
    <mergeCell ref="BE98:BE99"/>
    <mergeCell ref="AD96:AE97"/>
    <mergeCell ref="AF96:AG97"/>
    <mergeCell ref="AH96:AJ97"/>
    <mergeCell ref="AK96:AM97"/>
    <mergeCell ref="AN96:AQ97"/>
    <mergeCell ref="AU96:AU97"/>
    <mergeCell ref="AV96:AV97"/>
    <mergeCell ref="AW96:AW97"/>
    <mergeCell ref="AX96:AX97"/>
    <mergeCell ref="AD98:AE99"/>
    <mergeCell ref="AF98:AG99"/>
    <mergeCell ref="AH98:AJ99"/>
    <mergeCell ref="AK98:AM99"/>
    <mergeCell ref="C100:E101"/>
    <mergeCell ref="F100:K101"/>
    <mergeCell ref="L100:O101"/>
    <mergeCell ref="P100:Q101"/>
    <mergeCell ref="R100:S101"/>
    <mergeCell ref="T100:W101"/>
    <mergeCell ref="X100:Y101"/>
    <mergeCell ref="Z100:AA101"/>
    <mergeCell ref="AB100:AC101"/>
    <mergeCell ref="AD100:AE101"/>
    <mergeCell ref="AF100:AG101"/>
    <mergeCell ref="AH100:AJ101"/>
    <mergeCell ref="AK100:AM101"/>
    <mergeCell ref="AN100:AQ101"/>
    <mergeCell ref="AU100:AU101"/>
    <mergeCell ref="AV100:AV101"/>
    <mergeCell ref="C96:E97"/>
    <mergeCell ref="F96:K97"/>
    <mergeCell ref="L96:O97"/>
    <mergeCell ref="P96:Q97"/>
    <mergeCell ref="R96:S97"/>
    <mergeCell ref="T96:W97"/>
    <mergeCell ref="X96:Y97"/>
    <mergeCell ref="C98:E99"/>
    <mergeCell ref="F98:K99"/>
    <mergeCell ref="L98:O99"/>
    <mergeCell ref="P98:Q99"/>
    <mergeCell ref="R98:S99"/>
    <mergeCell ref="T98:W99"/>
    <mergeCell ref="X98:Y99"/>
    <mergeCell ref="Z98:AA99"/>
    <mergeCell ref="AB98:AC99"/>
    <mergeCell ref="AN98:AQ99"/>
    <mergeCell ref="AU98:AU99"/>
    <mergeCell ref="AV98:AV99"/>
    <mergeCell ref="AW98:AW99"/>
    <mergeCell ref="AZ94:AZ95"/>
    <mergeCell ref="BA94:BA95"/>
    <mergeCell ref="BB94:BB95"/>
    <mergeCell ref="BC94:BC95"/>
    <mergeCell ref="BD94:BD95"/>
    <mergeCell ref="BE94:BE95"/>
    <mergeCell ref="AX92:AX93"/>
    <mergeCell ref="AY92:AY93"/>
    <mergeCell ref="AZ92:AZ93"/>
    <mergeCell ref="BA92:BA93"/>
    <mergeCell ref="BB92:BB93"/>
    <mergeCell ref="BC92:BC93"/>
    <mergeCell ref="BD92:BD93"/>
    <mergeCell ref="BE92:BE93"/>
    <mergeCell ref="AZ96:AZ97"/>
    <mergeCell ref="BA96:BA97"/>
    <mergeCell ref="BB96:BB97"/>
    <mergeCell ref="BC96:BC97"/>
    <mergeCell ref="BD96:BD97"/>
    <mergeCell ref="BE96:BE97"/>
    <mergeCell ref="AY96:AY97"/>
    <mergeCell ref="C94:E95"/>
    <mergeCell ref="F94:K95"/>
    <mergeCell ref="L94:O95"/>
    <mergeCell ref="P94:Q95"/>
    <mergeCell ref="R94:S95"/>
    <mergeCell ref="T94:W95"/>
    <mergeCell ref="X94:Y95"/>
    <mergeCell ref="Z94:AA95"/>
    <mergeCell ref="AB94:AC95"/>
    <mergeCell ref="AD94:AE95"/>
    <mergeCell ref="AF94:AG95"/>
    <mergeCell ref="AH94:AJ95"/>
    <mergeCell ref="AK94:AM95"/>
    <mergeCell ref="AN94:AQ95"/>
    <mergeCell ref="AU94:AU95"/>
    <mergeCell ref="AV94:AV95"/>
    <mergeCell ref="AY90:AY91"/>
    <mergeCell ref="C90:E91"/>
    <mergeCell ref="F90:K91"/>
    <mergeCell ref="L90:O91"/>
    <mergeCell ref="P90:Q91"/>
    <mergeCell ref="R90:S91"/>
    <mergeCell ref="T90:W91"/>
    <mergeCell ref="X90:Y91"/>
    <mergeCell ref="Z90:AA91"/>
    <mergeCell ref="AB90:AC91"/>
    <mergeCell ref="AW94:AW95"/>
    <mergeCell ref="AX94:AX95"/>
    <mergeCell ref="AY94:AY95"/>
    <mergeCell ref="AZ90:AZ91"/>
    <mergeCell ref="BA90:BA91"/>
    <mergeCell ref="BB90:BB91"/>
    <mergeCell ref="BC90:BC91"/>
    <mergeCell ref="BD90:BD91"/>
    <mergeCell ref="BE90:BE91"/>
    <mergeCell ref="C92:E93"/>
    <mergeCell ref="F92:K93"/>
    <mergeCell ref="L92:O93"/>
    <mergeCell ref="P92:Q93"/>
    <mergeCell ref="R92:S93"/>
    <mergeCell ref="T92:W93"/>
    <mergeCell ref="X92:Y93"/>
    <mergeCell ref="Z92:AA93"/>
    <mergeCell ref="AB92:AC93"/>
    <mergeCell ref="AD92:AE93"/>
    <mergeCell ref="AF92:AG93"/>
    <mergeCell ref="AH92:AJ93"/>
    <mergeCell ref="AK92:AM93"/>
    <mergeCell ref="AN92:AQ93"/>
    <mergeCell ref="AU92:AU93"/>
    <mergeCell ref="AV92:AV93"/>
    <mergeCell ref="AW92:AW93"/>
    <mergeCell ref="AD90:AE91"/>
    <mergeCell ref="AF90:AG91"/>
    <mergeCell ref="AH90:AJ91"/>
    <mergeCell ref="AK90:AM91"/>
    <mergeCell ref="AN90:AQ91"/>
    <mergeCell ref="AU90:AU91"/>
    <mergeCell ref="AV90:AV91"/>
    <mergeCell ref="AW90:AW91"/>
    <mergeCell ref="AX90:AX91"/>
    <mergeCell ref="Z84:AA85"/>
    <mergeCell ref="AB84:AC85"/>
    <mergeCell ref="AW88:AW89"/>
    <mergeCell ref="AX88:AX89"/>
    <mergeCell ref="AY88:AY89"/>
    <mergeCell ref="AZ88:AZ89"/>
    <mergeCell ref="BA88:BA89"/>
    <mergeCell ref="BB88:BB89"/>
    <mergeCell ref="BC88:BC89"/>
    <mergeCell ref="BD88:BD89"/>
    <mergeCell ref="BE88:BE89"/>
    <mergeCell ref="AX86:AX87"/>
    <mergeCell ref="AY86:AY87"/>
    <mergeCell ref="AZ86:AZ87"/>
    <mergeCell ref="BA86:BA87"/>
    <mergeCell ref="BB86:BB87"/>
    <mergeCell ref="BC86:BC87"/>
    <mergeCell ref="BD86:BD87"/>
    <mergeCell ref="BE86:BE87"/>
    <mergeCell ref="AD84:AE85"/>
    <mergeCell ref="AF84:AG85"/>
    <mergeCell ref="AH84:AJ85"/>
    <mergeCell ref="AK84:AM85"/>
    <mergeCell ref="AN84:AQ85"/>
    <mergeCell ref="AU84:AU85"/>
    <mergeCell ref="AV84:AV85"/>
    <mergeCell ref="AW84:AW85"/>
    <mergeCell ref="AX84:AX85"/>
    <mergeCell ref="AD86:AE87"/>
    <mergeCell ref="AF86:AG87"/>
    <mergeCell ref="AH86:AJ87"/>
    <mergeCell ref="AK86:AM87"/>
    <mergeCell ref="C88:E89"/>
    <mergeCell ref="F88:K89"/>
    <mergeCell ref="L88:O89"/>
    <mergeCell ref="P88:Q89"/>
    <mergeCell ref="R88:S89"/>
    <mergeCell ref="T88:W89"/>
    <mergeCell ref="X88:Y89"/>
    <mergeCell ref="Z88:AA89"/>
    <mergeCell ref="AB88:AC89"/>
    <mergeCell ref="AD88:AE89"/>
    <mergeCell ref="AF88:AG89"/>
    <mergeCell ref="AH88:AJ89"/>
    <mergeCell ref="AK88:AM89"/>
    <mergeCell ref="AN88:AQ89"/>
    <mergeCell ref="AU88:AU89"/>
    <mergeCell ref="AV88:AV89"/>
    <mergeCell ref="C84:E85"/>
    <mergeCell ref="F84:K85"/>
    <mergeCell ref="L84:O85"/>
    <mergeCell ref="P84:Q85"/>
    <mergeCell ref="R84:S85"/>
    <mergeCell ref="T84:W85"/>
    <mergeCell ref="X84:Y85"/>
    <mergeCell ref="C86:E87"/>
    <mergeCell ref="F86:K87"/>
    <mergeCell ref="L86:O87"/>
    <mergeCell ref="P86:Q87"/>
    <mergeCell ref="R86:S87"/>
    <mergeCell ref="T86:W87"/>
    <mergeCell ref="X86:Y87"/>
    <mergeCell ref="Z86:AA87"/>
    <mergeCell ref="AB86:AC87"/>
    <mergeCell ref="AN86:AQ87"/>
    <mergeCell ref="AU86:AU87"/>
    <mergeCell ref="AV86:AV87"/>
    <mergeCell ref="AW86:AW87"/>
    <mergeCell ref="AZ82:AZ83"/>
    <mergeCell ref="BA82:BA83"/>
    <mergeCell ref="BB82:BB83"/>
    <mergeCell ref="BC82:BC83"/>
    <mergeCell ref="BD82:BD83"/>
    <mergeCell ref="BE82:BE83"/>
    <mergeCell ref="AX80:AX81"/>
    <mergeCell ref="AY80:AY81"/>
    <mergeCell ref="AZ80:AZ81"/>
    <mergeCell ref="BA80:BA81"/>
    <mergeCell ref="BB80:BB81"/>
    <mergeCell ref="BC80:BC81"/>
    <mergeCell ref="BD80:BD81"/>
    <mergeCell ref="BE80:BE81"/>
    <mergeCell ref="AZ84:AZ85"/>
    <mergeCell ref="BA84:BA85"/>
    <mergeCell ref="BB84:BB85"/>
    <mergeCell ref="BC84:BC85"/>
    <mergeCell ref="BD84:BD85"/>
    <mergeCell ref="BE84:BE85"/>
    <mergeCell ref="AY84:AY85"/>
    <mergeCell ref="F82:K83"/>
    <mergeCell ref="L82:O83"/>
    <mergeCell ref="P82:Q83"/>
    <mergeCell ref="R82:S83"/>
    <mergeCell ref="T82:W83"/>
    <mergeCell ref="X82:Y83"/>
    <mergeCell ref="Z82:AA83"/>
    <mergeCell ref="AB82:AC83"/>
    <mergeCell ref="AD82:AE83"/>
    <mergeCell ref="AF82:AG83"/>
    <mergeCell ref="AH82:AJ83"/>
    <mergeCell ref="AK82:AM83"/>
    <mergeCell ref="AN82:AQ83"/>
    <mergeCell ref="AU82:AU83"/>
    <mergeCell ref="AV82:AV83"/>
    <mergeCell ref="AY78:AY79"/>
    <mergeCell ref="C78:E79"/>
    <mergeCell ref="F78:K79"/>
    <mergeCell ref="L78:O79"/>
    <mergeCell ref="P78:Q79"/>
    <mergeCell ref="R78:S79"/>
    <mergeCell ref="T78:W79"/>
    <mergeCell ref="X78:Y79"/>
    <mergeCell ref="Z78:AA79"/>
    <mergeCell ref="AB78:AC79"/>
    <mergeCell ref="AW82:AW83"/>
    <mergeCell ref="AX82:AX83"/>
    <mergeCell ref="AY82:AY83"/>
    <mergeCell ref="F80:K81"/>
    <mergeCell ref="L80:O81"/>
    <mergeCell ref="P80:Q81"/>
    <mergeCell ref="R80:S81"/>
    <mergeCell ref="T80:W81"/>
    <mergeCell ref="X80:Y81"/>
    <mergeCell ref="Z80:AA81"/>
    <mergeCell ref="AB80:AC81"/>
    <mergeCell ref="AD80:AE81"/>
    <mergeCell ref="AF80:AG81"/>
    <mergeCell ref="AH80:AJ81"/>
    <mergeCell ref="AK80:AM81"/>
    <mergeCell ref="AN80:AQ81"/>
    <mergeCell ref="AU80:AU81"/>
    <mergeCell ref="AV80:AV81"/>
    <mergeCell ref="AW80:AW81"/>
    <mergeCell ref="AD78:AE79"/>
    <mergeCell ref="AF78:AG79"/>
    <mergeCell ref="AH78:AJ79"/>
    <mergeCell ref="AK78:AM79"/>
    <mergeCell ref="AN78:AQ79"/>
    <mergeCell ref="AU78:AU79"/>
    <mergeCell ref="AV78:AV79"/>
    <mergeCell ref="AW78:AW79"/>
    <mergeCell ref="AZ76:AZ77"/>
    <mergeCell ref="BA76:BA77"/>
    <mergeCell ref="BB76:BB77"/>
    <mergeCell ref="BC76:BC77"/>
    <mergeCell ref="BD76:BD77"/>
    <mergeCell ref="BE76:BE77"/>
    <mergeCell ref="AX74:AX75"/>
    <mergeCell ref="AY74:AY75"/>
    <mergeCell ref="AZ74:AZ75"/>
    <mergeCell ref="BA74:BA75"/>
    <mergeCell ref="BB74:BB75"/>
    <mergeCell ref="BC74:BC75"/>
    <mergeCell ref="BD74:BD75"/>
    <mergeCell ref="BE74:BE75"/>
    <mergeCell ref="AZ78:AZ79"/>
    <mergeCell ref="BA78:BA79"/>
    <mergeCell ref="BB78:BB79"/>
    <mergeCell ref="BC78:BC79"/>
    <mergeCell ref="BD78:BD79"/>
    <mergeCell ref="BE78:BE79"/>
    <mergeCell ref="AX78:AX79"/>
    <mergeCell ref="F76:K77"/>
    <mergeCell ref="L76:O77"/>
    <mergeCell ref="P76:Q77"/>
    <mergeCell ref="R76:S77"/>
    <mergeCell ref="T76:W77"/>
    <mergeCell ref="X76:Y77"/>
    <mergeCell ref="Z76:AA77"/>
    <mergeCell ref="AB76:AC77"/>
    <mergeCell ref="AD76:AE77"/>
    <mergeCell ref="AF76:AG77"/>
    <mergeCell ref="AH76:AJ77"/>
    <mergeCell ref="AK76:AM77"/>
    <mergeCell ref="AN76:AQ77"/>
    <mergeCell ref="AU76:AU77"/>
    <mergeCell ref="AV76:AV77"/>
    <mergeCell ref="AY72:AY73"/>
    <mergeCell ref="C72:E73"/>
    <mergeCell ref="F72:K73"/>
    <mergeCell ref="L72:O73"/>
    <mergeCell ref="P72:Q73"/>
    <mergeCell ref="R72:S73"/>
    <mergeCell ref="T72:W73"/>
    <mergeCell ref="X72:Y73"/>
    <mergeCell ref="Z72:AA73"/>
    <mergeCell ref="AB72:AC73"/>
    <mergeCell ref="AW76:AW77"/>
    <mergeCell ref="AX76:AX77"/>
    <mergeCell ref="AY76:AY77"/>
    <mergeCell ref="F74:K75"/>
    <mergeCell ref="L74:O75"/>
    <mergeCell ref="P74:Q75"/>
    <mergeCell ref="R74:S75"/>
    <mergeCell ref="T74:W75"/>
    <mergeCell ref="X74:Y75"/>
    <mergeCell ref="Z74:AA75"/>
    <mergeCell ref="AB74:AC75"/>
    <mergeCell ref="AD74:AE75"/>
    <mergeCell ref="AF74:AG75"/>
    <mergeCell ref="AH74:AJ75"/>
    <mergeCell ref="AK74:AM75"/>
    <mergeCell ref="AN74:AQ75"/>
    <mergeCell ref="AU74:AU75"/>
    <mergeCell ref="AV74:AV75"/>
    <mergeCell ref="AW74:AW75"/>
    <mergeCell ref="AD72:AE73"/>
    <mergeCell ref="AF72:AG73"/>
    <mergeCell ref="AH72:AJ73"/>
    <mergeCell ref="AK72:AM73"/>
    <mergeCell ref="AN72:AQ73"/>
    <mergeCell ref="AU72:AU73"/>
    <mergeCell ref="AV72:AV73"/>
    <mergeCell ref="AW72:AW73"/>
    <mergeCell ref="AZ70:AZ71"/>
    <mergeCell ref="BA70:BA71"/>
    <mergeCell ref="BB70:BB71"/>
    <mergeCell ref="BC70:BC71"/>
    <mergeCell ref="BD70:BD71"/>
    <mergeCell ref="BE70:BE71"/>
    <mergeCell ref="AX68:AX69"/>
    <mergeCell ref="AY68:AY69"/>
    <mergeCell ref="AZ68:AZ69"/>
    <mergeCell ref="BA68:BA69"/>
    <mergeCell ref="BB68:BB69"/>
    <mergeCell ref="BC68:BC69"/>
    <mergeCell ref="BD68:BD69"/>
    <mergeCell ref="BE68:BE69"/>
    <mergeCell ref="AZ72:AZ73"/>
    <mergeCell ref="BA72:BA73"/>
    <mergeCell ref="BB72:BB73"/>
    <mergeCell ref="BC72:BC73"/>
    <mergeCell ref="BD72:BD73"/>
    <mergeCell ref="BE72:BE73"/>
    <mergeCell ref="AX72:AX73"/>
    <mergeCell ref="F70:K71"/>
    <mergeCell ref="L70:O71"/>
    <mergeCell ref="P70:Q71"/>
    <mergeCell ref="R70:S71"/>
    <mergeCell ref="T70:W71"/>
    <mergeCell ref="X70:Y71"/>
    <mergeCell ref="Z70:AA71"/>
    <mergeCell ref="AB70:AC71"/>
    <mergeCell ref="AD70:AE71"/>
    <mergeCell ref="AF70:AG71"/>
    <mergeCell ref="AH70:AJ71"/>
    <mergeCell ref="AK70:AM71"/>
    <mergeCell ref="AN70:AQ71"/>
    <mergeCell ref="AU70:AU71"/>
    <mergeCell ref="AV70:AV71"/>
    <mergeCell ref="AY66:AY67"/>
    <mergeCell ref="C66:E67"/>
    <mergeCell ref="F66:K67"/>
    <mergeCell ref="L66:O67"/>
    <mergeCell ref="P66:Q67"/>
    <mergeCell ref="R66:S67"/>
    <mergeCell ref="T66:W67"/>
    <mergeCell ref="X66:Y67"/>
    <mergeCell ref="Z66:AA67"/>
    <mergeCell ref="AB66:AC67"/>
    <mergeCell ref="AW70:AW71"/>
    <mergeCell ref="AX70:AX71"/>
    <mergeCell ref="AY70:AY71"/>
    <mergeCell ref="F68:K69"/>
    <mergeCell ref="L68:O69"/>
    <mergeCell ref="P68:Q69"/>
    <mergeCell ref="R68:S69"/>
    <mergeCell ref="T68:W69"/>
    <mergeCell ref="X68:Y69"/>
    <mergeCell ref="Z68:AA69"/>
    <mergeCell ref="AB68:AC69"/>
    <mergeCell ref="AD68:AE69"/>
    <mergeCell ref="AF68:AG69"/>
    <mergeCell ref="AH68:AJ69"/>
    <mergeCell ref="AK68:AM69"/>
    <mergeCell ref="AN68:AQ69"/>
    <mergeCell ref="AU68:AU69"/>
    <mergeCell ref="AV68:AV69"/>
    <mergeCell ref="AW68:AW69"/>
    <mergeCell ref="AD66:AE67"/>
    <mergeCell ref="AF66:AG67"/>
    <mergeCell ref="AH66:AJ67"/>
    <mergeCell ref="AK66:AM67"/>
    <mergeCell ref="AN66:AQ67"/>
    <mergeCell ref="AU66:AU67"/>
    <mergeCell ref="AV66:AV67"/>
    <mergeCell ref="AW66:AW67"/>
    <mergeCell ref="AZ64:AZ65"/>
    <mergeCell ref="BA64:BA65"/>
    <mergeCell ref="BB64:BB65"/>
    <mergeCell ref="BC64:BC65"/>
    <mergeCell ref="BD64:BD65"/>
    <mergeCell ref="BE64:BE65"/>
    <mergeCell ref="AX62:AX63"/>
    <mergeCell ref="AY62:AY63"/>
    <mergeCell ref="AZ62:AZ63"/>
    <mergeCell ref="BA62:BA63"/>
    <mergeCell ref="BB62:BB63"/>
    <mergeCell ref="BC62:BC63"/>
    <mergeCell ref="BD62:BD63"/>
    <mergeCell ref="BE62:BE63"/>
    <mergeCell ref="AZ66:AZ67"/>
    <mergeCell ref="BA66:BA67"/>
    <mergeCell ref="BB66:BB67"/>
    <mergeCell ref="BC66:BC67"/>
    <mergeCell ref="BD66:BD67"/>
    <mergeCell ref="BE66:BE67"/>
    <mergeCell ref="AX66:AX67"/>
    <mergeCell ref="F64:K65"/>
    <mergeCell ref="L64:O65"/>
    <mergeCell ref="P64:Q65"/>
    <mergeCell ref="R64:S65"/>
    <mergeCell ref="T64:W65"/>
    <mergeCell ref="X64:Y65"/>
    <mergeCell ref="Z64:AA65"/>
    <mergeCell ref="AB64:AC65"/>
    <mergeCell ref="AD64:AE65"/>
    <mergeCell ref="AF64:AG65"/>
    <mergeCell ref="AH64:AJ65"/>
    <mergeCell ref="AK64:AM65"/>
    <mergeCell ref="AN64:AQ65"/>
    <mergeCell ref="AU64:AU65"/>
    <mergeCell ref="AV64:AV65"/>
    <mergeCell ref="AY60:AY61"/>
    <mergeCell ref="C60:E61"/>
    <mergeCell ref="F60:K61"/>
    <mergeCell ref="L60:O61"/>
    <mergeCell ref="P60:Q61"/>
    <mergeCell ref="R60:S61"/>
    <mergeCell ref="T60:W61"/>
    <mergeCell ref="X60:Y61"/>
    <mergeCell ref="Z60:AA61"/>
    <mergeCell ref="AB60:AC61"/>
    <mergeCell ref="AW64:AW65"/>
    <mergeCell ref="AX64:AX65"/>
    <mergeCell ref="AY64:AY65"/>
    <mergeCell ref="F62:K63"/>
    <mergeCell ref="L62:O63"/>
    <mergeCell ref="P62:Q63"/>
    <mergeCell ref="R62:S63"/>
    <mergeCell ref="T62:W63"/>
    <mergeCell ref="X62:Y63"/>
    <mergeCell ref="Z62:AA63"/>
    <mergeCell ref="AB62:AC63"/>
    <mergeCell ref="AD62:AE63"/>
    <mergeCell ref="AF62:AG63"/>
    <mergeCell ref="AH62:AJ63"/>
    <mergeCell ref="AK62:AM63"/>
    <mergeCell ref="AN62:AQ63"/>
    <mergeCell ref="AU62:AU63"/>
    <mergeCell ref="AV62:AV63"/>
    <mergeCell ref="AW62:AW63"/>
    <mergeCell ref="AD60:AE61"/>
    <mergeCell ref="AF60:AG61"/>
    <mergeCell ref="AH60:AJ61"/>
    <mergeCell ref="AK60:AM61"/>
    <mergeCell ref="AN60:AQ61"/>
    <mergeCell ref="AU60:AU61"/>
    <mergeCell ref="AV60:AV61"/>
    <mergeCell ref="AW60:AW61"/>
    <mergeCell ref="AZ58:AZ59"/>
    <mergeCell ref="BA58:BA59"/>
    <mergeCell ref="BB58:BB59"/>
    <mergeCell ref="BC58:BC59"/>
    <mergeCell ref="BD58:BD59"/>
    <mergeCell ref="BE58:BE59"/>
    <mergeCell ref="AX56:AX57"/>
    <mergeCell ref="AY56:AY57"/>
    <mergeCell ref="AZ56:AZ57"/>
    <mergeCell ref="BA56:BA57"/>
    <mergeCell ref="BB56:BB57"/>
    <mergeCell ref="BC56:BC57"/>
    <mergeCell ref="BD56:BD57"/>
    <mergeCell ref="BE56:BE57"/>
    <mergeCell ref="AZ60:AZ61"/>
    <mergeCell ref="BA60:BA61"/>
    <mergeCell ref="BB60:BB61"/>
    <mergeCell ref="BC60:BC61"/>
    <mergeCell ref="BD60:BD61"/>
    <mergeCell ref="BE60:BE61"/>
    <mergeCell ref="AX60:AX61"/>
    <mergeCell ref="F58:K59"/>
    <mergeCell ref="L58:O59"/>
    <mergeCell ref="P58:Q59"/>
    <mergeCell ref="R58:S59"/>
    <mergeCell ref="T58:W59"/>
    <mergeCell ref="X58:Y59"/>
    <mergeCell ref="Z58:AA59"/>
    <mergeCell ref="AB58:AC59"/>
    <mergeCell ref="AD58:AE59"/>
    <mergeCell ref="AF58:AG59"/>
    <mergeCell ref="AH58:AJ59"/>
    <mergeCell ref="AK58:AM59"/>
    <mergeCell ref="AN58:AQ59"/>
    <mergeCell ref="AU58:AU59"/>
    <mergeCell ref="AV58:AV59"/>
    <mergeCell ref="AY54:AY55"/>
    <mergeCell ref="C54:E55"/>
    <mergeCell ref="F54:K55"/>
    <mergeCell ref="L54:O55"/>
    <mergeCell ref="P54:Q55"/>
    <mergeCell ref="R54:S55"/>
    <mergeCell ref="T54:W55"/>
    <mergeCell ref="X54:Y55"/>
    <mergeCell ref="Z54:AA55"/>
    <mergeCell ref="AB54:AC55"/>
    <mergeCell ref="AW58:AW59"/>
    <mergeCell ref="AX58:AX59"/>
    <mergeCell ref="AY58:AY59"/>
    <mergeCell ref="F56:K57"/>
    <mergeCell ref="L56:O57"/>
    <mergeCell ref="P56:Q57"/>
    <mergeCell ref="R56:S57"/>
    <mergeCell ref="T56:W57"/>
    <mergeCell ref="X56:Y57"/>
    <mergeCell ref="Z56:AA57"/>
    <mergeCell ref="AB56:AC57"/>
    <mergeCell ref="AD56:AE57"/>
    <mergeCell ref="AF56:AG57"/>
    <mergeCell ref="AH56:AJ57"/>
    <mergeCell ref="AK56:AM57"/>
    <mergeCell ref="AN56:AQ57"/>
    <mergeCell ref="AU56:AU57"/>
    <mergeCell ref="AV56:AV57"/>
    <mergeCell ref="AW56:AW57"/>
    <mergeCell ref="AD54:AE55"/>
    <mergeCell ref="AF54:AG55"/>
    <mergeCell ref="AH54:AJ55"/>
    <mergeCell ref="AK54:AM55"/>
    <mergeCell ref="AN54:AQ55"/>
    <mergeCell ref="AU54:AU55"/>
    <mergeCell ref="AV54:AV55"/>
    <mergeCell ref="AW54:AW55"/>
    <mergeCell ref="AZ52:AZ53"/>
    <mergeCell ref="BA52:BA53"/>
    <mergeCell ref="BB52:BB53"/>
    <mergeCell ref="BC52:BC53"/>
    <mergeCell ref="BD52:BD53"/>
    <mergeCell ref="BE52:BE53"/>
    <mergeCell ref="AX50:AX51"/>
    <mergeCell ref="AY50:AY51"/>
    <mergeCell ref="AZ50:AZ51"/>
    <mergeCell ref="BA50:BA51"/>
    <mergeCell ref="BB50:BB51"/>
    <mergeCell ref="BC50:BC51"/>
    <mergeCell ref="BD50:BD51"/>
    <mergeCell ref="BE50:BE51"/>
    <mergeCell ref="AZ54:AZ55"/>
    <mergeCell ref="BA54:BA55"/>
    <mergeCell ref="BB54:BB55"/>
    <mergeCell ref="BC54:BC55"/>
    <mergeCell ref="BD54:BD55"/>
    <mergeCell ref="BE54:BE55"/>
    <mergeCell ref="AX54:AX55"/>
    <mergeCell ref="F52:K53"/>
    <mergeCell ref="L52:O53"/>
    <mergeCell ref="P52:Q53"/>
    <mergeCell ref="R52:S53"/>
    <mergeCell ref="T52:W53"/>
    <mergeCell ref="X52:Y53"/>
    <mergeCell ref="Z52:AA53"/>
    <mergeCell ref="AB52:AC53"/>
    <mergeCell ref="AD52:AE53"/>
    <mergeCell ref="AF52:AG53"/>
    <mergeCell ref="AH52:AJ53"/>
    <mergeCell ref="AK52:AM53"/>
    <mergeCell ref="AN52:AQ53"/>
    <mergeCell ref="AU52:AU53"/>
    <mergeCell ref="AV52:AV53"/>
    <mergeCell ref="AY48:AY49"/>
    <mergeCell ref="C48:E49"/>
    <mergeCell ref="F48:K49"/>
    <mergeCell ref="L48:O49"/>
    <mergeCell ref="P48:Q49"/>
    <mergeCell ref="R48:S49"/>
    <mergeCell ref="T48:W49"/>
    <mergeCell ref="X48:Y49"/>
    <mergeCell ref="Z48:AA49"/>
    <mergeCell ref="AB48:AC49"/>
    <mergeCell ref="AW52:AW53"/>
    <mergeCell ref="AX52:AX53"/>
    <mergeCell ref="AY52:AY53"/>
    <mergeCell ref="F50:K51"/>
    <mergeCell ref="L50:O51"/>
    <mergeCell ref="P50:Q51"/>
    <mergeCell ref="R50:S51"/>
    <mergeCell ref="BB44:BB45"/>
    <mergeCell ref="BC44:BC45"/>
    <mergeCell ref="BD44:BD45"/>
    <mergeCell ref="BE44:BE45"/>
    <mergeCell ref="AZ48:AZ49"/>
    <mergeCell ref="BA48:BA49"/>
    <mergeCell ref="BB48:BB49"/>
    <mergeCell ref="BC48:BC49"/>
    <mergeCell ref="BD48:BD49"/>
    <mergeCell ref="BE48:BE49"/>
    <mergeCell ref="AX48:AX49"/>
    <mergeCell ref="T50:W51"/>
    <mergeCell ref="X50:Y51"/>
    <mergeCell ref="Z50:AA51"/>
    <mergeCell ref="AB50:AC51"/>
    <mergeCell ref="AD50:AE51"/>
    <mergeCell ref="AF50:AG51"/>
    <mergeCell ref="AH50:AJ51"/>
    <mergeCell ref="AK50:AM51"/>
    <mergeCell ref="AN50:AQ51"/>
    <mergeCell ref="AU50:AU51"/>
    <mergeCell ref="AV50:AV51"/>
    <mergeCell ref="AW50:AW51"/>
    <mergeCell ref="AD48:AE49"/>
    <mergeCell ref="AF48:AG49"/>
    <mergeCell ref="AH48:AJ49"/>
    <mergeCell ref="AK48:AM49"/>
    <mergeCell ref="AN48:AQ49"/>
    <mergeCell ref="AU48:AU49"/>
    <mergeCell ref="AV48:AV49"/>
    <mergeCell ref="AW48:AW49"/>
    <mergeCell ref="C42:E43"/>
    <mergeCell ref="F42:K43"/>
    <mergeCell ref="L42:O43"/>
    <mergeCell ref="P42:Q43"/>
    <mergeCell ref="R42:S43"/>
    <mergeCell ref="T42:W43"/>
    <mergeCell ref="X42:Y43"/>
    <mergeCell ref="Z42:AA43"/>
    <mergeCell ref="AB42:AC43"/>
    <mergeCell ref="AW46:AW47"/>
    <mergeCell ref="AX46:AX47"/>
    <mergeCell ref="AY46:AY47"/>
    <mergeCell ref="F44:K45"/>
    <mergeCell ref="L44:O45"/>
    <mergeCell ref="P44:Q45"/>
    <mergeCell ref="R44:S45"/>
    <mergeCell ref="AZ46:AZ47"/>
    <mergeCell ref="AF44:AG45"/>
    <mergeCell ref="AH44:AJ45"/>
    <mergeCell ref="AK44:AM45"/>
    <mergeCell ref="AN44:AQ45"/>
    <mergeCell ref="AU44:AU45"/>
    <mergeCell ref="AV44:AV45"/>
    <mergeCell ref="AW44:AW45"/>
    <mergeCell ref="AD42:AE43"/>
    <mergeCell ref="AF42:AG43"/>
    <mergeCell ref="AH42:AJ43"/>
    <mergeCell ref="AK42:AM43"/>
    <mergeCell ref="AN42:AQ43"/>
    <mergeCell ref="AU42:AU43"/>
    <mergeCell ref="AV42:AV43"/>
    <mergeCell ref="AW42:AW43"/>
    <mergeCell ref="AZ42:AZ43"/>
    <mergeCell ref="BA42:BA43"/>
    <mergeCell ref="BB42:BB43"/>
    <mergeCell ref="BC42:BC43"/>
    <mergeCell ref="BD42:BD43"/>
    <mergeCell ref="BE42:BE43"/>
    <mergeCell ref="AX42:AX43"/>
    <mergeCell ref="AY42:AY43"/>
    <mergeCell ref="F46:K47"/>
    <mergeCell ref="L46:O47"/>
    <mergeCell ref="P46:Q47"/>
    <mergeCell ref="R46:S47"/>
    <mergeCell ref="T46:W47"/>
    <mergeCell ref="X46:Y47"/>
    <mergeCell ref="Z46:AA47"/>
    <mergeCell ref="AB46:AC47"/>
    <mergeCell ref="AD46:AE47"/>
    <mergeCell ref="AF46:AG47"/>
    <mergeCell ref="AH46:AJ47"/>
    <mergeCell ref="AK46:AM47"/>
    <mergeCell ref="AN46:AQ47"/>
    <mergeCell ref="AU46:AU47"/>
    <mergeCell ref="AV46:AV47"/>
    <mergeCell ref="BA46:BA47"/>
    <mergeCell ref="BB46:BB47"/>
    <mergeCell ref="BC46:BC47"/>
    <mergeCell ref="BD46:BD47"/>
    <mergeCell ref="BE46:BE47"/>
    <mergeCell ref="AX44:AX45"/>
    <mergeCell ref="AY44:AY45"/>
    <mergeCell ref="AZ44:AZ45"/>
    <mergeCell ref="BA44:BA45"/>
    <mergeCell ref="AW40:AW41"/>
    <mergeCell ref="AX40:AX41"/>
    <mergeCell ref="AY40:AY41"/>
    <mergeCell ref="P40:Q41"/>
    <mergeCell ref="R40:S41"/>
    <mergeCell ref="T40:W41"/>
    <mergeCell ref="X40:Y41"/>
    <mergeCell ref="F40:K41"/>
    <mergeCell ref="L40:O41"/>
    <mergeCell ref="BB40:BB41"/>
    <mergeCell ref="BC40:BC41"/>
    <mergeCell ref="BD40:BD41"/>
    <mergeCell ref="BE40:BE41"/>
    <mergeCell ref="AX38:AX39"/>
    <mergeCell ref="AY38:AY39"/>
    <mergeCell ref="AZ38:AZ39"/>
    <mergeCell ref="BA38:BA39"/>
    <mergeCell ref="BB38:BB39"/>
    <mergeCell ref="BC38:BC39"/>
    <mergeCell ref="BD38:BD39"/>
    <mergeCell ref="BE38:BE39"/>
    <mergeCell ref="AZ40:AZ41"/>
    <mergeCell ref="BA40:BA41"/>
    <mergeCell ref="AK40:AM41"/>
    <mergeCell ref="AN40:AQ41"/>
    <mergeCell ref="AU40:AU41"/>
    <mergeCell ref="AV40:AV41"/>
    <mergeCell ref="AF36:AG37"/>
    <mergeCell ref="AH36:AJ37"/>
    <mergeCell ref="AK36:AM37"/>
    <mergeCell ref="AN36:AQ37"/>
    <mergeCell ref="AU36:AU37"/>
    <mergeCell ref="AV36:AV37"/>
    <mergeCell ref="AW36:AW37"/>
    <mergeCell ref="AX36:AX37"/>
    <mergeCell ref="AY36:AY37"/>
    <mergeCell ref="C36:E37"/>
    <mergeCell ref="F36:K37"/>
    <mergeCell ref="L36:O37"/>
    <mergeCell ref="P36:Q37"/>
    <mergeCell ref="R36:S37"/>
    <mergeCell ref="T36:W37"/>
    <mergeCell ref="X36:Y37"/>
    <mergeCell ref="Z36:AA37"/>
    <mergeCell ref="AB36:AC37"/>
    <mergeCell ref="B138:B139"/>
    <mergeCell ref="B140:B141"/>
    <mergeCell ref="B142:B143"/>
    <mergeCell ref="Z40:AA41"/>
    <mergeCell ref="AB40:AC41"/>
    <mergeCell ref="AD40:AE41"/>
    <mergeCell ref="AF40:AG41"/>
    <mergeCell ref="AH40:AJ41"/>
    <mergeCell ref="AZ36:AZ37"/>
    <mergeCell ref="BA36:BA37"/>
    <mergeCell ref="BB36:BB37"/>
    <mergeCell ref="BC36:BC37"/>
    <mergeCell ref="BD36:BD37"/>
    <mergeCell ref="BE36:BE37"/>
    <mergeCell ref="C38:E39"/>
    <mergeCell ref="F38:K39"/>
    <mergeCell ref="L38:O39"/>
    <mergeCell ref="P38:Q39"/>
    <mergeCell ref="R38:S39"/>
    <mergeCell ref="T38:W39"/>
    <mergeCell ref="X38:Y39"/>
    <mergeCell ref="Z38:AA39"/>
    <mergeCell ref="AB38:AC39"/>
    <mergeCell ref="AD38:AE39"/>
    <mergeCell ref="AF38:AG39"/>
    <mergeCell ref="AH38:AJ39"/>
    <mergeCell ref="AK38:AM39"/>
    <mergeCell ref="AN38:AQ39"/>
    <mergeCell ref="AU38:AU39"/>
    <mergeCell ref="AV38:AV39"/>
    <mergeCell ref="AW38:AW39"/>
    <mergeCell ref="AD36:AE37"/>
    <mergeCell ref="AV34:AV35"/>
    <mergeCell ref="AX32:AX33"/>
    <mergeCell ref="AY32:AY33"/>
    <mergeCell ref="AW34:AW35"/>
    <mergeCell ref="B136:B137"/>
    <mergeCell ref="B114:B115"/>
    <mergeCell ref="B116:B117"/>
    <mergeCell ref="B118:B119"/>
    <mergeCell ref="B120:B121"/>
    <mergeCell ref="AU20:AU21"/>
    <mergeCell ref="AU22:AU23"/>
    <mergeCell ref="AU24:AU25"/>
    <mergeCell ref="AU26:AU27"/>
    <mergeCell ref="AU28:AU29"/>
    <mergeCell ref="AU30:AU31"/>
    <mergeCell ref="AX200:AX201"/>
    <mergeCell ref="AE11:AN13"/>
    <mergeCell ref="B62:B63"/>
    <mergeCell ref="B64:B65"/>
    <mergeCell ref="B44:B45"/>
    <mergeCell ref="B46:B47"/>
    <mergeCell ref="P32:Q33"/>
    <mergeCell ref="P34:Q35"/>
    <mergeCell ref="R32:S33"/>
    <mergeCell ref="R34:S35"/>
    <mergeCell ref="T32:W33"/>
    <mergeCell ref="T34:W35"/>
    <mergeCell ref="L32:O33"/>
    <mergeCell ref="L34:O35"/>
    <mergeCell ref="AX34:AX35"/>
    <mergeCell ref="B180:B181"/>
    <mergeCell ref="B182:B183"/>
    <mergeCell ref="AW28:AW29"/>
    <mergeCell ref="AW30:AW31"/>
    <mergeCell ref="AW32:AW33"/>
    <mergeCell ref="AZ28:AZ29"/>
    <mergeCell ref="BA28:BA29"/>
    <mergeCell ref="BB30:BB31"/>
    <mergeCell ref="BB32:BB33"/>
    <mergeCell ref="AV30:AV31"/>
    <mergeCell ref="AZ30:AZ31"/>
    <mergeCell ref="B144:B145"/>
    <mergeCell ref="B146:B147"/>
    <mergeCell ref="B148:B149"/>
    <mergeCell ref="AY34:AY35"/>
    <mergeCell ref="BC34:BC35"/>
    <mergeCell ref="F32:K33"/>
    <mergeCell ref="F34:K35"/>
    <mergeCell ref="Z34:AA35"/>
    <mergeCell ref="AB34:AC35"/>
    <mergeCell ref="AD34:AE35"/>
    <mergeCell ref="AF34:AG35"/>
    <mergeCell ref="AH34:AJ35"/>
    <mergeCell ref="X32:Y33"/>
    <mergeCell ref="X34:Y35"/>
    <mergeCell ref="Z32:AA33"/>
    <mergeCell ref="AN34:AQ35"/>
    <mergeCell ref="AK34:AM35"/>
    <mergeCell ref="AB32:AC33"/>
    <mergeCell ref="AD32:AE33"/>
    <mergeCell ref="AF32:AG33"/>
    <mergeCell ref="AH32:AJ33"/>
    <mergeCell ref="AN32:AQ33"/>
    <mergeCell ref="AK32:AM33"/>
    <mergeCell ref="B150:B151"/>
    <mergeCell ref="B152:B153"/>
    <mergeCell ref="B154:B155"/>
    <mergeCell ref="B156:B157"/>
    <mergeCell ref="B158:B159"/>
    <mergeCell ref="B162:B163"/>
    <mergeCell ref="B164:B165"/>
    <mergeCell ref="B166:B167"/>
    <mergeCell ref="B168:B169"/>
    <mergeCell ref="B170:B171"/>
    <mergeCell ref="B172:B173"/>
    <mergeCell ref="B174:B175"/>
    <mergeCell ref="B176:B177"/>
    <mergeCell ref="B178:B179"/>
    <mergeCell ref="M200:AG201"/>
    <mergeCell ref="B186:B187"/>
    <mergeCell ref="B188:B189"/>
    <mergeCell ref="B190:B191"/>
    <mergeCell ref="B192:B193"/>
    <mergeCell ref="B194:B195"/>
    <mergeCell ref="B196:B197"/>
    <mergeCell ref="B184:B185"/>
    <mergeCell ref="B199:AR199"/>
    <mergeCell ref="B160:B161"/>
    <mergeCell ref="B134:B135"/>
    <mergeCell ref="B112:B113"/>
    <mergeCell ref="B100:B101"/>
    <mergeCell ref="B102:B103"/>
    <mergeCell ref="B104:B105"/>
    <mergeCell ref="B106:B107"/>
    <mergeCell ref="B108:B109"/>
    <mergeCell ref="B110:B111"/>
    <mergeCell ref="B36:B37"/>
    <mergeCell ref="B38:B39"/>
    <mergeCell ref="B40:B41"/>
    <mergeCell ref="B42:B43"/>
    <mergeCell ref="B48:B49"/>
    <mergeCell ref="B50:B51"/>
    <mergeCell ref="B52:B53"/>
    <mergeCell ref="B54:B55"/>
    <mergeCell ref="B56:B57"/>
    <mergeCell ref="B58:B59"/>
    <mergeCell ref="B60:B61"/>
    <mergeCell ref="B84:B85"/>
    <mergeCell ref="B86:B87"/>
    <mergeCell ref="B88:B89"/>
    <mergeCell ref="B90:B91"/>
    <mergeCell ref="B92:B93"/>
    <mergeCell ref="B94:B95"/>
    <mergeCell ref="C18:E19"/>
    <mergeCell ref="C20:E21"/>
    <mergeCell ref="C22:E23"/>
    <mergeCell ref="C24:E25"/>
    <mergeCell ref="C26:E27"/>
    <mergeCell ref="B18:B19"/>
    <mergeCell ref="B20:B21"/>
    <mergeCell ref="B22:B23"/>
    <mergeCell ref="B24:B25"/>
    <mergeCell ref="B26:B27"/>
    <mergeCell ref="B28:B29"/>
    <mergeCell ref="B122:B123"/>
    <mergeCell ref="B124:B125"/>
    <mergeCell ref="B126:B127"/>
    <mergeCell ref="B128:B129"/>
    <mergeCell ref="B130:B131"/>
    <mergeCell ref="B132:B133"/>
    <mergeCell ref="C40:E41"/>
    <mergeCell ref="C44:E45"/>
    <mergeCell ref="C46:E47"/>
    <mergeCell ref="C50:E51"/>
    <mergeCell ref="C52:E53"/>
    <mergeCell ref="C56:E57"/>
    <mergeCell ref="C58:E59"/>
    <mergeCell ref="C62:E63"/>
    <mergeCell ref="C64:E65"/>
    <mergeCell ref="C68:E69"/>
    <mergeCell ref="C70:E71"/>
    <mergeCell ref="C74:E75"/>
    <mergeCell ref="C76:E77"/>
    <mergeCell ref="C80:E81"/>
    <mergeCell ref="C82:E83"/>
    <mergeCell ref="F16:K17"/>
    <mergeCell ref="X16:Y17"/>
    <mergeCell ref="Z16:AA17"/>
    <mergeCell ref="L18:O19"/>
    <mergeCell ref="P18:Q19"/>
    <mergeCell ref="R18:S19"/>
    <mergeCell ref="F22:K23"/>
    <mergeCell ref="Z22:AA23"/>
    <mergeCell ref="T18:W19"/>
    <mergeCell ref="AB18:AC19"/>
    <mergeCell ref="AB22:AC23"/>
    <mergeCell ref="AD22:AE23"/>
    <mergeCell ref="F20:K21"/>
    <mergeCell ref="P20:Q21"/>
    <mergeCell ref="P22:Q23"/>
    <mergeCell ref="R20:S21"/>
    <mergeCell ref="R22:S23"/>
    <mergeCell ref="L20:O21"/>
    <mergeCell ref="L22:O23"/>
    <mergeCell ref="BE14:BE15"/>
    <mergeCell ref="BC16:BC17"/>
    <mergeCell ref="BE16:BE17"/>
    <mergeCell ref="BC18:BC19"/>
    <mergeCell ref="AH14:AJ15"/>
    <mergeCell ref="AF16:AG17"/>
    <mergeCell ref="AH16:AJ17"/>
    <mergeCell ref="AD14:AG14"/>
    <mergeCell ref="AD15:AE15"/>
    <mergeCell ref="BE18:BE19"/>
    <mergeCell ref="AF15:AG15"/>
    <mergeCell ref="BA14:BA15"/>
    <mergeCell ref="BB16:BB17"/>
    <mergeCell ref="BB18:BB19"/>
    <mergeCell ref="AN14:AQ15"/>
    <mergeCell ref="AK14:AM15"/>
    <mergeCell ref="BD16:BD17"/>
    <mergeCell ref="BD14:BD15"/>
    <mergeCell ref="AV16:AV17"/>
    <mergeCell ref="AU14:AU15"/>
    <mergeCell ref="AU16:AU17"/>
    <mergeCell ref="AU18:AU19"/>
    <mergeCell ref="BD18:BD19"/>
    <mergeCell ref="AV14:AV15"/>
    <mergeCell ref="AX14:AX15"/>
    <mergeCell ref="AY14:AY15"/>
    <mergeCell ref="AZ14:AZ15"/>
    <mergeCell ref="AD16:AE17"/>
    <mergeCell ref="BC20:BC21"/>
    <mergeCell ref="BB14:BB15"/>
    <mergeCell ref="AQ1:AR1"/>
    <mergeCell ref="AQ2:AR3"/>
    <mergeCell ref="AH1:AK1"/>
    <mergeCell ref="AL1:AP1"/>
    <mergeCell ref="AH2:AK3"/>
    <mergeCell ref="AL2:AP3"/>
    <mergeCell ref="BD22:BD23"/>
    <mergeCell ref="BD20:BD21"/>
    <mergeCell ref="AX16:AX17"/>
    <mergeCell ref="AY16:AY17"/>
    <mergeCell ref="AZ16:AZ17"/>
    <mergeCell ref="BA16:BA17"/>
    <mergeCell ref="AV18:AV19"/>
    <mergeCell ref="AX18:AX19"/>
    <mergeCell ref="AY18:AY19"/>
    <mergeCell ref="AZ18:AZ19"/>
    <mergeCell ref="BA18:BA19"/>
    <mergeCell ref="AV20:AV21"/>
    <mergeCell ref="AX20:AX21"/>
    <mergeCell ref="AN16:AQ17"/>
    <mergeCell ref="AK20:AM21"/>
    <mergeCell ref="AW20:AW21"/>
    <mergeCell ref="AW22:AW23"/>
    <mergeCell ref="BC14:BC15"/>
    <mergeCell ref="AH18:AJ19"/>
    <mergeCell ref="AN18:AQ19"/>
    <mergeCell ref="AK18:AM19"/>
    <mergeCell ref="BA20:BA21"/>
    <mergeCell ref="AW16:AW17"/>
    <mergeCell ref="AW18:AW19"/>
    <mergeCell ref="BE20:BE21"/>
    <mergeCell ref="BC22:BC23"/>
    <mergeCell ref="BE22:BE23"/>
    <mergeCell ref="AX30:AX31"/>
    <mergeCell ref="AY30:AY31"/>
    <mergeCell ref="AV26:AV27"/>
    <mergeCell ref="AX26:AX27"/>
    <mergeCell ref="F26:K27"/>
    <mergeCell ref="F24:K25"/>
    <mergeCell ref="AU32:AU33"/>
    <mergeCell ref="AU34:AU35"/>
    <mergeCell ref="AD26:AE27"/>
    <mergeCell ref="AF26:AG27"/>
    <mergeCell ref="X28:Y29"/>
    <mergeCell ref="T30:W31"/>
    <mergeCell ref="T28:W29"/>
    <mergeCell ref="C14:E15"/>
    <mergeCell ref="C16:E17"/>
    <mergeCell ref="L14:O15"/>
    <mergeCell ref="L16:O17"/>
    <mergeCell ref="P14:Q15"/>
    <mergeCell ref="P16:Q17"/>
    <mergeCell ref="F14:K15"/>
    <mergeCell ref="R16:S17"/>
    <mergeCell ref="R14:S15"/>
    <mergeCell ref="T14:W15"/>
    <mergeCell ref="X14:Y15"/>
    <mergeCell ref="Z14:AA15"/>
    <mergeCell ref="AB14:AC15"/>
    <mergeCell ref="AB16:AC17"/>
    <mergeCell ref="P24:Q25"/>
    <mergeCell ref="P26:Q27"/>
    <mergeCell ref="BC24:BC25"/>
    <mergeCell ref="BE24:BE25"/>
    <mergeCell ref="BC26:BC27"/>
    <mergeCell ref="BE26:BE27"/>
    <mergeCell ref="BC28:BC29"/>
    <mergeCell ref="BE28:BE29"/>
    <mergeCell ref="BC30:BC31"/>
    <mergeCell ref="BE30:BE31"/>
    <mergeCell ref="BC32:BC33"/>
    <mergeCell ref="BE32:BE33"/>
    <mergeCell ref="BD32:BD33"/>
    <mergeCell ref="BD24:BD25"/>
    <mergeCell ref="BD28:BD29"/>
    <mergeCell ref="BD34:BD35"/>
    <mergeCell ref="BD30:BD31"/>
    <mergeCell ref="BD26:BD27"/>
    <mergeCell ref="AF22:AG23"/>
    <mergeCell ref="AV22:AV23"/>
    <mergeCell ref="AX22:AX23"/>
    <mergeCell ref="AY22:AY23"/>
    <mergeCell ref="AZ22:AZ23"/>
    <mergeCell ref="BA22:BA23"/>
    <mergeCell ref="BB22:BB23"/>
    <mergeCell ref="BB24:BB25"/>
    <mergeCell ref="BB26:BB27"/>
    <mergeCell ref="BB28:BB29"/>
    <mergeCell ref="BA32:BA33"/>
    <mergeCell ref="BA30:BA31"/>
    <mergeCell ref="AV32:AV33"/>
    <mergeCell ref="AZ32:AZ33"/>
    <mergeCell ref="AW24:AW25"/>
    <mergeCell ref="AW26:AW27"/>
    <mergeCell ref="L28:O29"/>
    <mergeCell ref="L30:O31"/>
    <mergeCell ref="B16:B17"/>
    <mergeCell ref="BB34:BB35"/>
    <mergeCell ref="AN28:AQ29"/>
    <mergeCell ref="AK28:AM29"/>
    <mergeCell ref="AN24:AQ25"/>
    <mergeCell ref="AK24:AM25"/>
    <mergeCell ref="AZ34:AZ35"/>
    <mergeCell ref="BA34:BA35"/>
    <mergeCell ref="AV24:AV25"/>
    <mergeCell ref="AX24:AX25"/>
    <mergeCell ref="AY24:AY25"/>
    <mergeCell ref="AZ24:AZ25"/>
    <mergeCell ref="BA24:BA25"/>
    <mergeCell ref="AY26:AY27"/>
    <mergeCell ref="AZ26:AZ27"/>
    <mergeCell ref="BA26:BA27"/>
    <mergeCell ref="AV28:AV29"/>
    <mergeCell ref="AX28:AX29"/>
    <mergeCell ref="AY28:AY29"/>
    <mergeCell ref="AY20:AY21"/>
    <mergeCell ref="AZ20:AZ21"/>
    <mergeCell ref="BB20:BB21"/>
    <mergeCell ref="F18:K19"/>
    <mergeCell ref="F28:K29"/>
    <mergeCell ref="R24:S25"/>
    <mergeCell ref="R26:S27"/>
    <mergeCell ref="L24:O25"/>
    <mergeCell ref="L26:O27"/>
    <mergeCell ref="X24:Y25"/>
    <mergeCell ref="X26:Y27"/>
    <mergeCell ref="F30:K31"/>
    <mergeCell ref="Z30:AA31"/>
    <mergeCell ref="AB30:AC31"/>
    <mergeCell ref="AD30:AE31"/>
    <mergeCell ref="AF30:AG31"/>
    <mergeCell ref="X22:Y23"/>
    <mergeCell ref="AB26:AC27"/>
    <mergeCell ref="X18:Y19"/>
    <mergeCell ref="Z18:AA19"/>
    <mergeCell ref="AD18:AE19"/>
    <mergeCell ref="AF18:AG19"/>
    <mergeCell ref="Z24:AA25"/>
    <mergeCell ref="AB24:AC25"/>
    <mergeCell ref="AD24:AE25"/>
    <mergeCell ref="B96:B97"/>
    <mergeCell ref="B98:B99"/>
    <mergeCell ref="B66:B67"/>
    <mergeCell ref="B68:B69"/>
    <mergeCell ref="B70:B71"/>
    <mergeCell ref="B72:B73"/>
    <mergeCell ref="B74:B75"/>
    <mergeCell ref="B78:B79"/>
    <mergeCell ref="B80:B81"/>
    <mergeCell ref="B82:B83"/>
    <mergeCell ref="B76:B77"/>
    <mergeCell ref="B30:B31"/>
    <mergeCell ref="B32:B33"/>
    <mergeCell ref="B34:B35"/>
    <mergeCell ref="C28:E29"/>
    <mergeCell ref="C30:E31"/>
    <mergeCell ref="C32:E33"/>
    <mergeCell ref="C34:E35"/>
    <mergeCell ref="P30:Q31"/>
    <mergeCell ref="R28:S29"/>
    <mergeCell ref="R30:S31"/>
    <mergeCell ref="X30:Y31"/>
    <mergeCell ref="T44:W45"/>
    <mergeCell ref="X44:Y45"/>
    <mergeCell ref="Z44:AA45"/>
    <mergeCell ref="AB44:AC45"/>
    <mergeCell ref="AD44:AE45"/>
    <mergeCell ref="BI14:BI15"/>
    <mergeCell ref="BI16:BI17"/>
    <mergeCell ref="BI18:BI19"/>
    <mergeCell ref="BI20:BI21"/>
    <mergeCell ref="BI22:BI23"/>
    <mergeCell ref="BI24:BI25"/>
    <mergeCell ref="BI26:BI27"/>
    <mergeCell ref="BI28:BI29"/>
    <mergeCell ref="BI30:BI31"/>
    <mergeCell ref="BI32:BI33"/>
    <mergeCell ref="BI34:BI35"/>
    <mergeCell ref="T24:W25"/>
    <mergeCell ref="T26:W27"/>
    <mergeCell ref="AH30:AJ31"/>
    <mergeCell ref="AN30:AQ31"/>
    <mergeCell ref="AK30:AM31"/>
    <mergeCell ref="Z28:AA29"/>
    <mergeCell ref="AB28:AC29"/>
    <mergeCell ref="AD28:AE29"/>
    <mergeCell ref="AF28:AG29"/>
    <mergeCell ref="AH28:AJ29"/>
    <mergeCell ref="P28:Q29"/>
    <mergeCell ref="BE34:BE35"/>
    <mergeCell ref="N9:AG10"/>
    <mergeCell ref="Z26:AA27"/>
    <mergeCell ref="AH26:AJ27"/>
    <mergeCell ref="AN26:AQ27"/>
    <mergeCell ref="AK26:AM27"/>
    <mergeCell ref="AF24:AG25"/>
    <mergeCell ref="AH24:AJ25"/>
    <mergeCell ref="AH22:AJ23"/>
    <mergeCell ref="AN22:AQ23"/>
    <mergeCell ref="AK22:AM23"/>
    <mergeCell ref="Z20:AA21"/>
    <mergeCell ref="AB20:AC21"/>
    <mergeCell ref="AD20:AE21"/>
    <mergeCell ref="AF20:AG21"/>
    <mergeCell ref="AH20:AJ21"/>
    <mergeCell ref="AN20:AQ21"/>
    <mergeCell ref="R11:U11"/>
    <mergeCell ref="V11:Y11"/>
    <mergeCell ref="Z11:AC11"/>
    <mergeCell ref="X20:Y21"/>
    <mergeCell ref="AK16:AM17"/>
    <mergeCell ref="R12:U13"/>
    <mergeCell ref="V12:Y13"/>
    <mergeCell ref="Z12:AC13"/>
    <mergeCell ref="T16:W17"/>
    <mergeCell ref="T20:W21"/>
    <mergeCell ref="T22:W23"/>
  </mergeCells>
  <conditionalFormatting sqref="L16:AG115">
    <cfRule type="expression" dxfId="109" priority="6">
      <formula>AND($F16&lt;&gt;"",L16="")</formula>
    </cfRule>
  </conditionalFormatting>
  <conditionalFormatting sqref="AE11">
    <cfRule type="expression" dxfId="108" priority="30">
      <formula>IF(OR($AN$16="Not Cost Effective Submit for Review",$AN$18="Not Cost Effective Submit for Review",$AN$20="Not Cost Effective Submit for Review",$AN$22="Not Cost Effective Submit for Review",$AN$24="Not Cost Effective Submit for Review",$AN$26="Not Cost Effective Submit for Review",$AN$28="Not Cost Effective Submit for Review",$AN$30="Not Cost Effective Submit for Review",$AN$32="Not Cost Effective Submit for Review",$AN$34="Not Cost Effective Submit for Review"),TRUE,FALSE)</formula>
    </cfRule>
  </conditionalFormatting>
  <conditionalFormatting sqref="AH2 AL2">
    <cfRule type="expression" dxfId="107" priority="52">
      <formula>PROJSTATUS=PROJSTATELI</formula>
    </cfRule>
    <cfRule type="expression" dxfId="106" priority="53">
      <formula>PROJSTATUS=PROJSTATREVIEW</formula>
    </cfRule>
    <cfRule type="expression" dxfId="105" priority="57">
      <formula>PROJSTATUS=PROJSTATPREAPPROVE</formula>
    </cfRule>
    <cfRule type="expression" dxfId="104" priority="58">
      <formula>PROJSTATUS=PROJSTATSTANDARD</formula>
    </cfRule>
    <cfRule type="expression" dxfId="103" priority="59">
      <formula>PROJSTATUS=PROJSTATEXP</formula>
    </cfRule>
  </conditionalFormatting>
  <conditionalFormatting sqref="AN16 AN18 AN20 AN22 AN24 AN26 AN28 AN30 AN32 AN34 AN36 AN38 AN40 AN42 AN44 AN46 AN48 AN50 AN52 AN54 AN56 AN58 AN60 AN62 AN64 AN66 AN68 AN70 AN72 AN74 AN76 AN78 AN80 AN82 AN84 AN86 AN88 AN90 AN92 AN94 AN96 AN98 AN100 AN102 AN104 AN106 AN108">
    <cfRule type="expression" dxfId="102" priority="48">
      <formula>ISNUMBER(AN16)=FALSE</formula>
    </cfRule>
  </conditionalFormatting>
  <conditionalFormatting sqref="AN110 AN112 AN114">
    <cfRule type="expression" dxfId="101" priority="11">
      <formula>ISNUMBER(AN110)=FALSE</formula>
    </cfRule>
  </conditionalFormatting>
  <conditionalFormatting sqref="AQ2:AR3">
    <cfRule type="cellIs" dxfId="100" priority="54" operator="equal">
      <formula>1</formula>
    </cfRule>
    <cfRule type="cellIs" dxfId="99" priority="55" operator="between">
      <formula>0.51</formula>
      <formula>0.99</formula>
    </cfRule>
    <cfRule type="cellIs" dxfId="98" priority="56" operator="lessThanOrEqual">
      <formula>0.5</formula>
    </cfRule>
  </conditionalFormatting>
  <conditionalFormatting sqref="AW16:AW115">
    <cfRule type="expression" dxfId="97" priority="12">
      <formula>IF(OR(C16="",F16="",F16="",L16="",P16="",R16="",T16="",X16="",Z16="",AB16="",AD16="",AF16=""),FALSE,IF($AW16="",TRUE,FALSE))</formula>
    </cfRule>
  </conditionalFormatting>
  <conditionalFormatting sqref="AY16:AY111 AY114:AY115">
    <cfRule type="expression" dxfId="96" priority="10">
      <formula>C16="Custom"</formula>
    </cfRule>
  </conditionalFormatting>
  <conditionalFormatting sqref="AY112:AY113">
    <cfRule type="expression" dxfId="95" priority="3">
      <formula>B112="New Construction"</formula>
    </cfRule>
  </conditionalFormatting>
  <conditionalFormatting sqref="AZ16:AZ109">
    <cfRule type="expression" dxfId="94" priority="40">
      <formula>C16="New Construction"</formula>
    </cfRule>
  </conditionalFormatting>
  <conditionalFormatting sqref="AZ114:AZ115">
    <cfRule type="expression" dxfId="93" priority="9">
      <formula>C114="New Construction"</formula>
    </cfRule>
  </conditionalFormatting>
  <conditionalFormatting sqref="AZ110:BA113">
    <cfRule type="expression" dxfId="92" priority="4">
      <formula>D110="Custom"</formula>
    </cfRule>
  </conditionalFormatting>
  <conditionalFormatting sqref="BA16:BA109">
    <cfRule type="expression" dxfId="91" priority="39">
      <formula>C16="RCx"</formula>
    </cfRule>
  </conditionalFormatting>
  <conditionalFormatting sqref="BA114:BA115">
    <cfRule type="expression" dxfId="90" priority="8">
      <formula>C114="RCx"</formula>
    </cfRule>
  </conditionalFormatting>
  <conditionalFormatting sqref="BF112:BH115">
    <cfRule type="expression" dxfId="89" priority="1">
      <formula>I112="New Construction"</formula>
    </cfRule>
  </conditionalFormatting>
  <dataValidations xWindow="919" yWindow="563" count="9">
    <dataValidation type="decimal" allowBlank="1" showInputMessage="1" showErrorMessage="1" error="Please enter a numerical value" prompt="This is the TOTAL Labor Cost of the measure, NOT a per unit basis._x000a__x000a_For installation of new equipment, this is the incremental labor cost. This may equal zero if the installation costs would be the same for both the baseline and efficient equipment. " sqref="AF16:AG115" xr:uid="{00000000-0002-0000-1F00-000000000000}">
      <formula1>0</formula1>
      <formula2>999999999</formula2>
    </dataValidation>
    <dataValidation type="decimal" allowBlank="1" showInputMessage="1" showErrorMessage="1" error="Please enter a numerical value" prompt="This is the TOTAL Material Cost of the measure, NOT a per unit basis._x000a__x000a_For installation of new equipment, this is the incremental material cost (total cost difference between purchasing the baseline equipment and the equipment being installed)." sqref="AD16:AE35" xr:uid="{00000000-0002-0000-1F00-000001000000}">
      <formula1>0</formula1>
      <formula2>999999999</formula2>
    </dataValidation>
    <dataValidation type="list" allowBlank="1" showInputMessage="1" showErrorMessage="1" prompt="Select the measure type that is closest to the selections in this list. If not listed, select &quot;Other&quot;." sqref="F16:K111" xr:uid="{00000000-0002-0000-1F00-000002000000}">
      <formula1>PROGRAMECAT1</formula1>
    </dataValidation>
    <dataValidation type="decimal" allowBlank="1" showInputMessage="1" showErrorMessage="1" error="Please enter a numerical value" sqref="P34 P16 P18 P20 P32 P30 P24 P26 P28 P22 X16:Y35" xr:uid="{00000000-0002-0000-1F00-000003000000}">
      <formula1>0</formula1>
      <formula2>999999</formula2>
    </dataValidation>
    <dataValidation type="decimal" allowBlank="1" showInputMessage="1" showErrorMessage="1" prompt="Enter the annual kWh usage per unit of the new equipment." sqref="Z16:AA35" xr:uid="{00000000-0002-0000-1F00-000004000000}">
      <formula1>0</formula1>
      <formula2>999999999</formula2>
    </dataValidation>
    <dataValidation type="decimal" allowBlank="1" showInputMessage="1" showErrorMessage="1" prompt="Enter the annual kWh usage per unit of the existing equipment." sqref="R16:S35" xr:uid="{00000000-0002-0000-1F00-000005000000}">
      <formula1>0</formula1>
      <formula2>999999999</formula2>
    </dataValidation>
    <dataValidation allowBlank="1" showInputMessage="1" showErrorMessage="1" prompt="Enter equipment description and/or name plate details of the existing equipment being replaced._x000a__x000a_For new replacements, enter the code-minimum equipment or control strategy that could be installed in lieu of the more efficient option." sqref="L16:O35" xr:uid="{00000000-0002-0000-1F00-000006000000}"/>
    <dataValidation type="list" allowBlank="1" showInputMessage="1" showErrorMessage="1" prompt="Select the project type using the dropdown._x000a__x000a_If you want to change this field, delete the data in the &quot;Measure Type&quot; field first." sqref="C16:E111" xr:uid="{00000000-0002-0000-1F00-000007000000}">
      <formula1>IF(ISBLANK(F16),NONPRESCPROGRAM,"")</formula1>
    </dataValidation>
    <dataValidation type="list" allowBlank="1" showInputMessage="1" showErrorMessage="1" promptTitle="Incremental:" prompt="Choose incremental cost for new construction or if base equipment is past its useful life. To determine baseline usage and incremental material cost, use equipment that would be purchased if efficient equipment was not being pursued." sqref="AB16:AC115" xr:uid="{00000000-0002-0000-1F00-000008000000}">
      <formula1>"Total,Incremental"</formula1>
    </dataValidation>
  </dataValidations>
  <hyperlinks>
    <hyperlink ref="B202" r:id="rId1" xr:uid="{94B17D16-DFD6-48AA-A5D2-236AB61F7F3D}"/>
  </hyperlinks>
  <pageMargins left="0.25" right="0.25" top="0.25" bottom="0.25" header="0.25" footer="0.25"/>
  <pageSetup scale="45" fitToHeight="0" orientation="landscape" r:id="rId2"/>
  <drawing r:id="rId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6">
    <pageSetUpPr fitToPage="1"/>
  </sheetPr>
  <dimension ref="A1:BZ203"/>
  <sheetViews>
    <sheetView showGridLines="0" showRowColHeaders="0" zoomScale="85" zoomScaleNormal="85" workbookViewId="0">
      <selection activeCell="C16" sqref="C16:E17"/>
    </sheetView>
  </sheetViews>
  <sheetFormatPr defaultColWidth="0" defaultRowHeight="0" customHeight="1" zeroHeight="1"/>
  <cols>
    <col min="1" max="44" width="4.7109375" customWidth="1"/>
    <col min="45" max="45" width="4.7109375" style="59" customWidth="1"/>
    <col min="46" max="46" width="4.7109375" style="59" hidden="1" customWidth="1"/>
    <col min="47" max="78" width="9.140625" style="59" hidden="1" customWidth="1"/>
    <col min="79" max="16384" width="9.140625" hidden="1"/>
  </cols>
  <sheetData>
    <row r="1" spans="2:58" ht="15.95" customHeight="1">
      <c r="AH1" s="1079" t="s">
        <v>471</v>
      </c>
      <c r="AI1" s="1079"/>
      <c r="AJ1" s="1079"/>
      <c r="AK1" s="1079"/>
      <c r="AL1" s="1080" t="s">
        <v>736</v>
      </c>
      <c r="AM1" s="1080"/>
      <c r="AN1" s="1080"/>
      <c r="AO1" s="1080"/>
      <c r="AP1" s="1080"/>
      <c r="AQ1" s="1078" t="s">
        <v>474</v>
      </c>
      <c r="AR1" s="1078"/>
    </row>
    <row r="2" spans="2:58" ht="15.95" customHeight="1">
      <c r="AH2" s="688" t="str">
        <f ca="1">INCENSTATUS</f>
        <v>---</v>
      </c>
      <c r="AI2" s="689"/>
      <c r="AJ2" s="689"/>
      <c r="AK2" s="689"/>
      <c r="AL2" s="690" t="str">
        <f ca="1">PROJSTATUS</f>
        <v>Enter Measures</v>
      </c>
      <c r="AM2" s="690"/>
      <c r="AN2" s="690"/>
      <c r="AO2" s="690"/>
      <c r="AP2" s="690"/>
      <c r="AQ2" s="684">
        <f ca="1">PROGRESSSTATUS</f>
        <v>2.8985507246376812E-2</v>
      </c>
      <c r="AR2" s="685"/>
    </row>
    <row r="3" spans="2:58" ht="15.95" customHeight="1">
      <c r="AH3" s="680"/>
      <c r="AI3" s="681"/>
      <c r="AJ3" s="681"/>
      <c r="AK3" s="681"/>
      <c r="AL3" s="673"/>
      <c r="AM3" s="673"/>
      <c r="AN3" s="673"/>
      <c r="AO3" s="673"/>
      <c r="AP3" s="673"/>
      <c r="AQ3" s="667"/>
      <c r="AR3" s="668"/>
    </row>
    <row r="4" spans="2:58" ht="15.95" customHeight="1"/>
    <row r="5" spans="2:58" ht="15.95" customHeight="1"/>
    <row r="6" spans="2:58" ht="15.95" customHeight="1">
      <c r="AU6" s="59" t="s">
        <v>907</v>
      </c>
      <c r="AV6" s="59">
        <f>PROJID</f>
        <v>0</v>
      </c>
      <c r="AY6"/>
    </row>
    <row r="7" spans="2:58" ht="15.95" customHeight="1">
      <c r="AU7" s="87"/>
      <c r="AV7" s="87" t="s">
        <v>866</v>
      </c>
      <c r="AW7" s="87" t="s">
        <v>231</v>
      </c>
      <c r="AX7" s="87" t="s">
        <v>892</v>
      </c>
      <c r="AY7"/>
    </row>
    <row r="8" spans="2:58" ht="15.95" customHeight="1">
      <c r="AU8" s="87" t="s">
        <v>219</v>
      </c>
      <c r="AV8" s="87" t="str">
        <f ca="1">CBPRESE</f>
        <v>NA</v>
      </c>
      <c r="AW8" s="87" t="str">
        <f ca="1">CBCUSE</f>
        <v>NA</v>
      </c>
      <c r="AX8" s="87" t="str">
        <f ca="1">CBALL</f>
        <v>NA</v>
      </c>
      <c r="AY8"/>
    </row>
    <row r="9" spans="2:58" ht="15.95" customHeight="1">
      <c r="B9" s="59"/>
      <c r="C9" s="59"/>
      <c r="D9" s="59"/>
      <c r="E9" s="59"/>
      <c r="F9" s="59"/>
      <c r="G9" s="59"/>
      <c r="H9" s="59"/>
      <c r="I9" s="59"/>
      <c r="J9" s="59"/>
      <c r="K9" s="59"/>
      <c r="L9" s="59"/>
      <c r="M9" s="59"/>
      <c r="N9" s="59"/>
      <c r="O9" s="735" t="str">
        <f>CONCATENATE(M4S4," ","Summary")</f>
        <v>Custom / RCx / New Construction
 (Gas) Summary</v>
      </c>
      <c r="P9" s="735"/>
      <c r="Q9" s="735"/>
      <c r="R9" s="735"/>
      <c r="S9" s="735"/>
      <c r="T9" s="735"/>
      <c r="U9" s="735"/>
      <c r="V9" s="735"/>
      <c r="W9" s="735"/>
      <c r="X9" s="735"/>
      <c r="Y9" s="735"/>
      <c r="Z9" s="735"/>
      <c r="AA9" s="735"/>
      <c r="AB9" s="735"/>
      <c r="AC9" s="735"/>
      <c r="AD9" s="735"/>
      <c r="AE9" s="735"/>
      <c r="AG9" s="173"/>
      <c r="AH9" s="173"/>
      <c r="AI9" s="59"/>
      <c r="AJ9" s="59"/>
      <c r="AK9" s="59"/>
      <c r="AL9" s="59"/>
      <c r="AM9" s="59"/>
      <c r="AN9" s="59"/>
      <c r="AO9" s="59"/>
      <c r="AP9" s="59"/>
      <c r="AQ9" s="59"/>
      <c r="AR9" s="59"/>
      <c r="AU9" s="87"/>
      <c r="AV9" s="87"/>
      <c r="AW9" s="87"/>
      <c r="AX9" s="87"/>
      <c r="AY9"/>
    </row>
    <row r="10" spans="2:58" ht="15.95" customHeight="1">
      <c r="B10" s="59"/>
      <c r="C10" s="59"/>
      <c r="D10" s="59"/>
      <c r="E10" s="59"/>
      <c r="F10" s="59"/>
      <c r="G10" s="59"/>
      <c r="H10" s="59"/>
      <c r="I10" s="59"/>
      <c r="J10" s="59"/>
      <c r="K10" s="59"/>
      <c r="L10" s="59"/>
      <c r="M10" s="59"/>
      <c r="N10" s="59"/>
      <c r="O10" s="735"/>
      <c r="P10" s="735"/>
      <c r="Q10" s="735"/>
      <c r="R10" s="735"/>
      <c r="S10" s="735"/>
      <c r="T10" s="735"/>
      <c r="U10" s="735"/>
      <c r="V10" s="735"/>
      <c r="W10" s="735"/>
      <c r="X10" s="735"/>
      <c r="Y10" s="735"/>
      <c r="Z10" s="735"/>
      <c r="AA10" s="735"/>
      <c r="AB10" s="735"/>
      <c r="AC10" s="735"/>
      <c r="AD10" s="735"/>
      <c r="AE10" s="735"/>
      <c r="AG10" s="173"/>
      <c r="AH10" s="173"/>
      <c r="AI10" s="59"/>
      <c r="AJ10" s="59"/>
      <c r="AK10" s="59"/>
      <c r="AL10" s="59"/>
      <c r="AM10" s="59"/>
      <c r="AN10" s="59"/>
      <c r="AO10" s="59"/>
      <c r="AP10" s="59"/>
      <c r="AQ10" s="59"/>
      <c r="AR10" s="59"/>
      <c r="AU10" s="87" t="s">
        <v>581</v>
      </c>
      <c r="AV10" s="87" t="str">
        <f ca="1">PAYPRESE</f>
        <v>NA</v>
      </c>
      <c r="AW10" s="87" t="str">
        <f ca="1">PAYCUSE</f>
        <v>NA</v>
      </c>
      <c r="AX10" s="367" t="str">
        <f ca="1">PAYALL</f>
        <v>NA</v>
      </c>
      <c r="AY10"/>
    </row>
    <row r="11" spans="2:58" ht="15.95" customHeight="1">
      <c r="B11" s="59"/>
      <c r="C11" s="59"/>
      <c r="D11" s="59"/>
      <c r="E11" s="59"/>
      <c r="F11" s="59"/>
      <c r="G11" s="59"/>
      <c r="H11" s="59"/>
      <c r="I11" s="59"/>
      <c r="J11" s="59"/>
      <c r="K11" s="59"/>
      <c r="L11" s="59"/>
      <c r="M11" s="59"/>
      <c r="N11" s="59"/>
      <c r="O11" s="59"/>
      <c r="P11" s="59"/>
      <c r="Q11" s="59"/>
      <c r="R11" s="836" t="s">
        <v>68</v>
      </c>
      <c r="S11" s="836"/>
      <c r="T11" s="836"/>
      <c r="U11" s="836"/>
      <c r="V11" s="836" t="s">
        <v>69</v>
      </c>
      <c r="W11" s="836"/>
      <c r="X11" s="836"/>
      <c r="Y11" s="836"/>
      <c r="Z11" s="836" t="s">
        <v>198</v>
      </c>
      <c r="AA11" s="836"/>
      <c r="AB11" s="836"/>
      <c r="AC11" s="836"/>
      <c r="AD11" s="59"/>
      <c r="AE11" s="1200" t="s">
        <v>1403</v>
      </c>
      <c r="AF11" s="1200"/>
      <c r="AG11" s="1200"/>
      <c r="AH11" s="1200"/>
      <c r="AI11" s="1200"/>
      <c r="AJ11" s="1200"/>
      <c r="AK11" s="1200"/>
      <c r="AL11" s="1200"/>
      <c r="AM11" s="1200"/>
      <c r="AN11" s="1200"/>
      <c r="AO11" s="59"/>
      <c r="AP11" s="59"/>
      <c r="AQ11" s="59"/>
      <c r="AR11" s="59"/>
      <c r="AU11" s="88"/>
      <c r="AY11"/>
    </row>
    <row r="12" spans="2:58" ht="15.95" customHeight="1">
      <c r="B12" s="59"/>
      <c r="C12" s="59"/>
      <c r="D12" s="59"/>
      <c r="E12" s="59"/>
      <c r="F12" s="59"/>
      <c r="G12" s="59"/>
      <c r="H12" s="59"/>
      <c r="I12" s="59"/>
      <c r="J12" s="59"/>
      <c r="K12" s="59"/>
      <c r="L12" s="59"/>
      <c r="M12" s="59"/>
      <c r="N12" s="59"/>
      <c r="O12" s="59"/>
      <c r="P12" s="59"/>
      <c r="Q12" s="59"/>
      <c r="R12" s="880">
        <f>SUM(AN16:AQ199)</f>
        <v>0</v>
      </c>
      <c r="S12" s="880"/>
      <c r="T12" s="880"/>
      <c r="U12" s="880"/>
      <c r="V12" s="880">
        <f ca="1">SUMIF(AN16:AQ198,"&gt;0",AH16:AJ198)</f>
        <v>0</v>
      </c>
      <c r="W12" s="880"/>
      <c r="X12" s="880"/>
      <c r="Y12" s="880"/>
      <c r="Z12" s="1003">
        <f ca="1">SUMIF(AN16:AQ198,"&gt;0",AK16:AM198)</f>
        <v>0</v>
      </c>
      <c r="AA12" s="1003"/>
      <c r="AB12" s="1003"/>
      <c r="AC12" s="1003"/>
      <c r="AD12" s="59"/>
      <c r="AE12" s="1200"/>
      <c r="AF12" s="1200"/>
      <c r="AG12" s="1200"/>
      <c r="AH12" s="1200"/>
      <c r="AI12" s="1200"/>
      <c r="AJ12" s="1200"/>
      <c r="AK12" s="1200"/>
      <c r="AL12" s="1200"/>
      <c r="AM12" s="1200"/>
      <c r="AN12" s="1200"/>
      <c r="AO12" s="59"/>
      <c r="AP12" s="59"/>
      <c r="AQ12" s="59"/>
      <c r="AR12" s="59"/>
    </row>
    <row r="13" spans="2:58" ht="15.95" customHeight="1">
      <c r="B13" s="59"/>
      <c r="C13" s="59"/>
      <c r="D13" s="59"/>
      <c r="E13" s="59"/>
      <c r="F13" s="59"/>
      <c r="G13" s="59"/>
      <c r="H13" s="59"/>
      <c r="I13" s="59"/>
      <c r="J13" s="59"/>
      <c r="K13" s="59"/>
      <c r="L13" s="59"/>
      <c r="M13" s="59"/>
      <c r="N13" s="59"/>
      <c r="O13" s="59"/>
      <c r="P13" s="59"/>
      <c r="Q13" s="59"/>
      <c r="R13" s="880"/>
      <c r="S13" s="880"/>
      <c r="T13" s="880"/>
      <c r="U13" s="880"/>
      <c r="V13" s="880"/>
      <c r="W13" s="880"/>
      <c r="X13" s="880"/>
      <c r="Y13" s="880"/>
      <c r="Z13" s="1003"/>
      <c r="AA13" s="1003"/>
      <c r="AB13" s="1003"/>
      <c r="AC13" s="1003"/>
      <c r="AD13" s="388"/>
      <c r="AE13" s="1200"/>
      <c r="AF13" s="1200"/>
      <c r="AG13" s="1200"/>
      <c r="AH13" s="1200"/>
      <c r="AI13" s="1200"/>
      <c r="AJ13" s="1200"/>
      <c r="AK13" s="1200"/>
      <c r="AL13" s="1200"/>
      <c r="AM13" s="1200"/>
      <c r="AN13" s="1200"/>
      <c r="AO13" s="59"/>
      <c r="AP13" s="59"/>
      <c r="AQ13" s="59"/>
      <c r="AR13" s="59"/>
    </row>
    <row r="14" spans="2:58" ht="15.95" customHeight="1">
      <c r="B14" s="59"/>
      <c r="C14" s="809" t="s">
        <v>808</v>
      </c>
      <c r="D14" s="809"/>
      <c r="E14" s="809"/>
      <c r="F14" s="809" t="s">
        <v>737</v>
      </c>
      <c r="G14" s="809"/>
      <c r="H14" s="809"/>
      <c r="I14" s="809"/>
      <c r="J14" s="809"/>
      <c r="K14" s="809"/>
      <c r="L14" s="809" t="s">
        <v>734</v>
      </c>
      <c r="M14" s="809"/>
      <c r="N14" s="809"/>
      <c r="O14" s="809"/>
      <c r="P14" s="809" t="s">
        <v>91</v>
      </c>
      <c r="Q14" s="809"/>
      <c r="R14" s="1147" t="s">
        <v>1387</v>
      </c>
      <c r="S14" s="1147"/>
      <c r="T14" s="1147" t="s">
        <v>233</v>
      </c>
      <c r="U14" s="1147"/>
      <c r="V14" s="1147"/>
      <c r="W14" s="1147"/>
      <c r="X14" s="1147" t="s">
        <v>91</v>
      </c>
      <c r="Y14" s="1147"/>
      <c r="Z14" s="1147" t="s">
        <v>1387</v>
      </c>
      <c r="AA14" s="1147"/>
      <c r="AB14" s="809" t="s">
        <v>1386</v>
      </c>
      <c r="AC14" s="809"/>
      <c r="AD14" s="1197" t="s">
        <v>196</v>
      </c>
      <c r="AE14" s="1197"/>
      <c r="AF14" s="1197"/>
      <c r="AG14" s="1197"/>
      <c r="AH14" s="809" t="s">
        <v>109</v>
      </c>
      <c r="AI14" s="809"/>
      <c r="AJ14" s="809"/>
      <c r="AK14" s="809" t="s">
        <v>1159</v>
      </c>
      <c r="AL14" s="809"/>
      <c r="AM14" s="809"/>
      <c r="AN14" s="809" t="s">
        <v>108</v>
      </c>
      <c r="AO14" s="809"/>
      <c r="AP14" s="809"/>
      <c r="AQ14" s="809"/>
      <c r="AR14" s="59"/>
      <c r="AU14" s="809" t="s">
        <v>100</v>
      </c>
      <c r="AV14" s="809" t="s">
        <v>219</v>
      </c>
      <c r="AW14" s="809"/>
      <c r="AX14" s="809" t="s">
        <v>1360</v>
      </c>
      <c r="AY14" s="809" t="s">
        <v>1359</v>
      </c>
      <c r="AZ14" s="809" t="s">
        <v>1361</v>
      </c>
      <c r="BA14" s="809" t="s">
        <v>149</v>
      </c>
      <c r="BB14" s="809" t="s">
        <v>581</v>
      </c>
      <c r="BC14" s="809" t="s">
        <v>141</v>
      </c>
      <c r="BD14" s="809" t="s">
        <v>2389</v>
      </c>
      <c r="BE14" s="809" t="s">
        <v>489</v>
      </c>
      <c r="BF14" s="809" t="s">
        <v>1600</v>
      </c>
    </row>
    <row r="15" spans="2:58" ht="15.95" customHeight="1" thickBot="1">
      <c r="B15" s="59"/>
      <c r="C15" s="810"/>
      <c r="D15" s="810"/>
      <c r="E15" s="810"/>
      <c r="F15" s="810"/>
      <c r="G15" s="810"/>
      <c r="H15" s="810"/>
      <c r="I15" s="810"/>
      <c r="J15" s="810"/>
      <c r="K15" s="810"/>
      <c r="L15" s="810"/>
      <c r="M15" s="810"/>
      <c r="N15" s="810"/>
      <c r="O15" s="810"/>
      <c r="P15" s="810"/>
      <c r="Q15" s="810"/>
      <c r="R15" s="810"/>
      <c r="S15" s="810"/>
      <c r="T15" s="810"/>
      <c r="U15" s="810"/>
      <c r="V15" s="810"/>
      <c r="W15" s="810"/>
      <c r="X15" s="810"/>
      <c r="Y15" s="810"/>
      <c r="Z15" s="809"/>
      <c r="AA15" s="809"/>
      <c r="AB15" s="810"/>
      <c r="AC15" s="810"/>
      <c r="AD15" s="810" t="s">
        <v>110</v>
      </c>
      <c r="AE15" s="810"/>
      <c r="AF15" s="810" t="s">
        <v>111</v>
      </c>
      <c r="AG15" s="810"/>
      <c r="AH15" s="810"/>
      <c r="AI15" s="810"/>
      <c r="AJ15" s="810"/>
      <c r="AK15" s="810"/>
      <c r="AL15" s="810"/>
      <c r="AM15" s="810"/>
      <c r="AN15" s="810"/>
      <c r="AO15" s="810"/>
      <c r="AP15" s="810"/>
      <c r="AQ15" s="810"/>
      <c r="AR15" s="59"/>
      <c r="AU15" s="810"/>
      <c r="AV15" s="810"/>
      <c r="AW15" s="810"/>
      <c r="AX15" s="810"/>
      <c r="AY15" s="810"/>
      <c r="AZ15" s="810"/>
      <c r="BA15" s="810"/>
      <c r="BB15" s="810"/>
      <c r="BC15" s="810"/>
      <c r="BD15" s="810"/>
      <c r="BE15" s="810"/>
      <c r="BF15" s="810"/>
    </row>
    <row r="16" spans="2:58" ht="15.95" customHeight="1">
      <c r="B16" s="835">
        <v>1</v>
      </c>
      <c r="C16" s="1211"/>
      <c r="D16" s="1211"/>
      <c r="E16" s="1211"/>
      <c r="F16" s="1093"/>
      <c r="G16" s="1093"/>
      <c r="H16" s="1093"/>
      <c r="I16" s="1093"/>
      <c r="J16" s="1093"/>
      <c r="K16" s="1093"/>
      <c r="L16" s="871"/>
      <c r="M16" s="872"/>
      <c r="N16" s="872"/>
      <c r="O16" s="873"/>
      <c r="P16" s="851"/>
      <c r="Q16" s="852"/>
      <c r="R16" s="1215"/>
      <c r="S16" s="1216"/>
      <c r="T16" s="1227"/>
      <c r="U16" s="1227"/>
      <c r="V16" s="1227"/>
      <c r="W16" s="1227"/>
      <c r="X16" s="1213"/>
      <c r="Y16" s="1214"/>
      <c r="Z16" s="1215"/>
      <c r="AA16" s="1216"/>
      <c r="AB16" s="1173" t="str">
        <f t="shared" ref="AB16" si="0">IF(C16="New Construction","Incremental","")</f>
        <v/>
      </c>
      <c r="AC16" s="1173"/>
      <c r="AD16" s="874"/>
      <c r="AE16" s="1097"/>
      <c r="AF16" s="1201" t="str">
        <f t="shared" ref="AF16" si="1">IF(AB16="Incremental",0,"")</f>
        <v/>
      </c>
      <c r="AG16" s="1202"/>
      <c r="AH16" s="870" t="str">
        <f>IF(OR(C16="",F16="",L16="",P16="",R16="",T16="",X16="",Z16="",AD16="",AF16=""),"",ROUND(AD16+AF16,2))</f>
        <v/>
      </c>
      <c r="AI16" s="1102"/>
      <c r="AJ16" s="1102"/>
      <c r="AK16" s="1217" t="str">
        <f>IF(OR(C16="",F16="",F16="",L16="",P16="",R16="",T16="",X16="",Z16="",AD16="",AF16=""),"",IF((P16*R16)-(X16*Z16)&lt;=0,0,ROUND((P16*R16)-(X16*Z16),2)))</f>
        <v/>
      </c>
      <c r="AL16" s="1217"/>
      <c r="AM16" s="1217"/>
      <c r="AN16" s="1138" t="str">
        <f>IF(OR(C16="",F16="",F16="",L16="",P16="",R16="",T16="",X16="",Z16="",AD16="",AF16=""),"",IF(BE16&lt;&gt;"",BE16,IF(C16="Custom",AX16,IF(C16="New Construction",AY16,IF(C16="RCx",AZ16)))))</f>
        <v/>
      </c>
      <c r="AO16" s="1138"/>
      <c r="AP16" s="1138"/>
      <c r="AQ16" s="1138"/>
      <c r="AR16" s="59"/>
      <c r="AU16" s="1109" t="str">
        <f>IF(F16="","",INDEX(CUSTNONLIGHTGUNIT,MATCH(F16,PROGRAMGCAT[Category 1],0)))</f>
        <v/>
      </c>
      <c r="AV16" s="1109" t="str">
        <f>IF(OR(C16="",F16="",L16="",P16="",R16="",T16="",X16="",Z16="",AD16="",AF16=""),"",((1+GLOSS)*((AK16*INDEX(GASCB[NPV GAEC $/therm],MATCH(BA16,GASCB[Year Number],1))))/AH16))</f>
        <v/>
      </c>
      <c r="AW16" s="1210"/>
      <c r="AX16" s="1188" t="str">
        <f>IF(OR(C16="",F16="",L16="",P16="",R16="",T16="",X16="",Z16="",AB16="",AD16="",AF16=""),"",IF(AB16="Total",ROUND(MIN(AH16*0.75,AK16*INDEX(INCRATE[Gas],MATCH("CMNONLIGHT",INCRATE[Incentive Type]))),2),IF(AB16="Incremental",ROUND(MIN(AH16,AK16*INDEX(INCRATE[Gas],MATCH("CMNONLIGHT",INCRATE[Incentive Type]))),2))))</f>
        <v/>
      </c>
      <c r="AY16" s="1188" t="str">
        <f>IF(OR(C16="",F16="",L16="",P16="",R16="",T16="",X16="",Z16="",AB16="",AD16="",AF16=""),"",IF(AB16="Total",ROUND(MIN(AH16*0.75,AK16*INDEX(INCRATE[Gas],MATCH("NCNONLIGHT",INCRATE[Incentive Type]))),2),IF(AB16="Incremental",ROUND(MIN(AH16,AK16*INDEX(INCRATE[Gas],MATCH("NCNONLIGHT",INCRATE[Incentive Type]))),2))))</f>
        <v/>
      </c>
      <c r="AZ16" s="1188" t="str">
        <f>IF(OR(C16="",F16="",L16="",P16="",R16="",T16="",X16="",Z16="",AB16="",AD16="",AF16=""),"",IF(AB16="Total",ROUND(MIN(AH16*0.75,AK16*INDEX(INCRATE[Gas],MATCH("RCX",INCRATE[Incentive Type]))),2),IF(AB16="Incremental",ROUND(MIN(AH16,AK16*INDEX(INCRATE[Gas],MATCH("RCX",INCRATE[Incentive Type]))),2))))</f>
        <v/>
      </c>
      <c r="BA16" s="1103" t="str">
        <f>IF(F16="","",INDEX(PROGRAMGCAT[EUL],MATCH(F16,PROGRAMGCAT[Category 1],0)))</f>
        <v/>
      </c>
      <c r="BB16" s="1103" t="str">
        <f>IFERROR(AH16/M02S02F36/AK16,"")</f>
        <v/>
      </c>
      <c r="BC16" s="1198" t="str">
        <f>IF(OR(C16="",F16="",L16="",P16="",R16="",T16="",X16="",Z16="",AD16="",AF16=""),"",IF(ISNUMBER(AN16),INDEX(PROGRAMGCAT[Measure Number],MATCH(F16,PROGRAMGCAT[Category 1],0)),IF(AK16=0,"","000001")))</f>
        <v/>
      </c>
      <c r="BD16" s="1198" t="str">
        <f>IF(OR(C16="",F16="",L16="",P16="",R16="",T16="",X16="",Z16="",AD16="",AF16=""),"",IF(OR(C16="RCx",C16="Custom"),"Custom",IF(C16="New Construction","New Construction")))</f>
        <v/>
      </c>
      <c r="BE16" s="1103" t="str" cm="1">
        <f t="array" ref="BE16">IFERROR(_xlfn.SINGLE(IF((P16*R16)-(X16*Z16)&lt;=0,MEASURESAV,IF(M02S02F36="",MEASURERATE,IF(AND(OR(F16="Others (Incremental)",F16="Others"),M05S07F03=""),MEASURESUBMIT, IF(AND(OR(ISNUMBER(SEARCH({"Custom","New Construction"},C16))),BB16&lt;1),MEASUREPAY,IF(AV16&lt;1,MEASURECB,"")))))),MEASURESUBMIT)</f>
        <v>Submit for Review</v>
      </c>
      <c r="BF16" s="1198" t="str">
        <f>IF(OR(C16="",F16="",L16="",P16="",R16="",T16="",X16="",Z16="",AB16="",AD16="",AF16=""),"",IF(AB16="Incremental",AH16,""))</f>
        <v/>
      </c>
    </row>
    <row r="17" spans="2:58" ht="15.95" customHeight="1">
      <c r="B17" s="835"/>
      <c r="C17" s="1212"/>
      <c r="D17" s="1212"/>
      <c r="E17" s="1212"/>
      <c r="F17" s="1094"/>
      <c r="G17" s="1094"/>
      <c r="H17" s="1094"/>
      <c r="I17" s="1094"/>
      <c r="J17" s="1094"/>
      <c r="K17" s="1094"/>
      <c r="L17" s="840"/>
      <c r="M17" s="841"/>
      <c r="N17" s="841"/>
      <c r="O17" s="842"/>
      <c r="P17" s="853"/>
      <c r="Q17" s="854"/>
      <c r="R17" s="1116"/>
      <c r="S17" s="1117"/>
      <c r="T17" s="1226"/>
      <c r="U17" s="1226"/>
      <c r="V17" s="1226"/>
      <c r="W17" s="1226"/>
      <c r="X17" s="853"/>
      <c r="Y17" s="854"/>
      <c r="Z17" s="1116"/>
      <c r="AA17" s="1117"/>
      <c r="AB17" s="1174"/>
      <c r="AC17" s="1174"/>
      <c r="AD17" s="875"/>
      <c r="AE17" s="1098"/>
      <c r="AF17" s="1203"/>
      <c r="AG17" s="1204"/>
      <c r="AH17" s="1136"/>
      <c r="AI17" s="1137"/>
      <c r="AJ17" s="1137"/>
      <c r="AK17" s="1218"/>
      <c r="AL17" s="1218"/>
      <c r="AM17" s="1218"/>
      <c r="AN17" s="1139"/>
      <c r="AO17" s="1139"/>
      <c r="AP17" s="1139"/>
      <c r="AQ17" s="1139"/>
      <c r="AR17" s="59"/>
      <c r="AU17" s="1108"/>
      <c r="AV17" s="1108"/>
      <c r="AW17" s="1104"/>
      <c r="AX17" s="1104"/>
      <c r="AY17" s="1104"/>
      <c r="AZ17" s="1104"/>
      <c r="BA17" s="1104"/>
      <c r="BB17" s="1104"/>
      <c r="BC17" s="1192"/>
      <c r="BD17" s="1192"/>
      <c r="BE17" s="1104"/>
      <c r="BF17" s="1192"/>
    </row>
    <row r="18" spans="2:58" ht="15.95" customHeight="1">
      <c r="B18" s="834">
        <v>2</v>
      </c>
      <c r="C18" s="1211"/>
      <c r="D18" s="1211"/>
      <c r="E18" s="1211"/>
      <c r="F18" s="1093"/>
      <c r="G18" s="1093"/>
      <c r="H18" s="1093"/>
      <c r="I18" s="1093"/>
      <c r="J18" s="1093"/>
      <c r="K18" s="1093"/>
      <c r="L18" s="871"/>
      <c r="M18" s="872"/>
      <c r="N18" s="872"/>
      <c r="O18" s="873"/>
      <c r="P18" s="851"/>
      <c r="Q18" s="852"/>
      <c r="R18" s="1114"/>
      <c r="S18" s="1115"/>
      <c r="T18" s="1225"/>
      <c r="U18" s="1225"/>
      <c r="V18" s="1225"/>
      <c r="W18" s="1225"/>
      <c r="X18" s="876"/>
      <c r="Y18" s="877"/>
      <c r="Z18" s="1114"/>
      <c r="AA18" s="1115"/>
      <c r="AB18" s="1173" t="str">
        <f t="shared" ref="AB18" si="2">IF(C18="New Construction","Incremental","")</f>
        <v/>
      </c>
      <c r="AC18" s="1173"/>
      <c r="AD18" s="874"/>
      <c r="AE18" s="1097"/>
      <c r="AF18" s="1201" t="str">
        <f t="shared" ref="AF18" si="3">IF(AB18="Incremental",0,"")</f>
        <v/>
      </c>
      <c r="AG18" s="1202"/>
      <c r="AH18" s="870" t="str">
        <f t="shared" ref="AH18" si="4">IF(OR(C18="",F18="",L18="",P18="",R18="",T18="",X18="",Z18="",AD18="",AF18=""),"",ROUND(AD18+AF18,2))</f>
        <v/>
      </c>
      <c r="AI18" s="1102"/>
      <c r="AJ18" s="1102"/>
      <c r="AK18" s="1004" t="str">
        <f t="shared" ref="AK18" si="5">IF(OR(C18="",F18="",F18="",L18="",P18="",R18="",T18="",X18="",Z18="",AD18="",AF18=""),"",IF((P18*R18)-(X18*Z18)&lt;=0,0,ROUND((P18*R18)-(X18*Z18),2)))</f>
        <v/>
      </c>
      <c r="AL18" s="1005"/>
      <c r="AM18" s="1006"/>
      <c r="AN18" s="1138" t="str">
        <f>IF(OR(C18="",F18="",F18="",L18="",P18="",R18="",T18="",X18="",Z18="",AD18="",AF18=""),"",IF(BE18&lt;&gt;"",BE18,IF(C18="Custom",AX18,IF(C18="New Construction",AY18,IF(C18="RCx",AZ18)))))</f>
        <v/>
      </c>
      <c r="AO18" s="1138"/>
      <c r="AP18" s="1138"/>
      <c r="AQ18" s="1138"/>
      <c r="AR18" s="59"/>
      <c r="AU18" s="1109" t="str">
        <f>IF(F18="","",INDEX(CUSTNONLIGHTGUNIT,MATCH(F18,PROGRAMGCAT[Category 1],0)))</f>
        <v/>
      </c>
      <c r="AV18" s="1109" t="str">
        <f>IF(OR(C18="",F18="",L18="",P18="",R18="",T18="",X18="",Z18="",AD18="",AF18=""),"",((1+GLOSS)*((AK18*INDEX(GASCB[NPV GAEC $/therm],MATCH(BA18,GASCB[Year Number],1))))/AH18))</f>
        <v/>
      </c>
      <c r="AW18" s="1103"/>
      <c r="AX18" s="1188" t="str">
        <f>IF(OR(C18="",F18="",L18="",P18="",R18="",T18="",X18="",Z18="",AB18="",AD18="",AF18=""),"",IF(AB18="Total",ROUND(MIN(AH18*0.75,AK18*INDEX(INCRATE[Gas],MATCH("CMNONLIGHT",INCRATE[Incentive Type]))),2),IF(AB18="Incremental",ROUND(MIN(AH18,AK18*INDEX(INCRATE[Gas],MATCH("CMNONLIGHT",INCRATE[Incentive Type]))),2))))</f>
        <v/>
      </c>
      <c r="AY18" s="1188" t="str">
        <f>IF(OR(C18="",F18="",L18="",P18="",R18="",T18="",X18="",Z18="",AB18="",AD18="",AF18=""),"",IF(AB18="Total",ROUND(MIN(AH18*0.75,AK18*INDEX(INCRATE[Gas],MATCH("NCNONLIGHT",INCRATE[Incentive Type]))),2),IF(AB18="Incremental",ROUND(MIN(AH18,AK18*INDEX(INCRATE[Gas],MATCH("NCNONLIGHT",INCRATE[Incentive Type]))),2))))</f>
        <v/>
      </c>
      <c r="AZ18" s="1188" t="str">
        <f>IF(OR(C18="",F18="",L18="",P18="",R18="",T18="",X18="",Z18="",AB18="",AD18="",AF18=""),"",IF(AB18="Total",ROUND(MIN(AH18*0.75,AK18*INDEX(INCRATE[Gas],MATCH("RCX",INCRATE[Incentive Type]))),2),IF(AB18="Incremental",ROUND(MIN(AH18,AK18*INDEX(INCRATE[Gas],MATCH("RCX",INCRATE[Incentive Type]))),2))))</f>
        <v/>
      </c>
      <c r="BA18" s="1103" t="str">
        <f>IF(F18="","",INDEX(PROGRAMGCAT[EUL],MATCH(F18,PROGRAMGCAT[Category 1],0)))</f>
        <v/>
      </c>
      <c r="BB18" s="1103" t="str">
        <f>IFERROR(AH18/M02S02F36/AK18,"")</f>
        <v/>
      </c>
      <c r="BC18" s="1198" t="str">
        <f>IF(OR(C18="",F18="",L18="",P18="",R18="",T18="",X18="",Z18="",AD18="",AF18=""),"",IF(ISNUMBER(AN18),INDEX(PROGRAMGCAT[Measure Number],MATCH(F18,PROGRAMGCAT[Category 1],0)),IF(AK18=0,"","000001")))</f>
        <v/>
      </c>
      <c r="BD18" s="1198"/>
      <c r="BE18" s="1103" t="str" cm="1">
        <f t="array" ref="BE18">IFERROR(_xlfn.SINGLE(IF((P18*R18)-(X18*Z18)&lt;=0,MEASURESAV,IF(M02S02F36="",MEASURERATE,IF(AND(OR(F18="Others (Incremental)",F18="Others"),M05S07F03=""),MEASURESUBMIT, IF(AND(OR(ISNUMBER(SEARCH({"Custom","New Construction"},C18))),BB18&lt;1),MEASUREPAY,IF(AV18&lt;1,MEASURECB,"")))))),MEASURESUBMIT)</f>
        <v>Submit for Review</v>
      </c>
      <c r="BF18" s="1198" t="str">
        <f t="shared" ref="BF18" si="6">IF(OR(C18="",F18="",L18="",P18="",R18="",T18="",X18="",Z18="",AB18="",AD18="",AF18=""),"",IF(AB18="Incremental",AH18,""))</f>
        <v/>
      </c>
    </row>
    <row r="19" spans="2:58" ht="15.95" customHeight="1">
      <c r="B19" s="834"/>
      <c r="C19" s="1212"/>
      <c r="D19" s="1212"/>
      <c r="E19" s="1212"/>
      <c r="F19" s="1094"/>
      <c r="G19" s="1094"/>
      <c r="H19" s="1094"/>
      <c r="I19" s="1094"/>
      <c r="J19" s="1094"/>
      <c r="K19" s="1094"/>
      <c r="L19" s="840"/>
      <c r="M19" s="841"/>
      <c r="N19" s="841"/>
      <c r="O19" s="842"/>
      <c r="P19" s="853"/>
      <c r="Q19" s="854"/>
      <c r="R19" s="1116"/>
      <c r="S19" s="1117"/>
      <c r="T19" s="1226"/>
      <c r="U19" s="1226"/>
      <c r="V19" s="1226"/>
      <c r="W19" s="1226"/>
      <c r="X19" s="853"/>
      <c r="Y19" s="854"/>
      <c r="Z19" s="1116"/>
      <c r="AA19" s="1117"/>
      <c r="AB19" s="1174"/>
      <c r="AC19" s="1174"/>
      <c r="AD19" s="875"/>
      <c r="AE19" s="1098"/>
      <c r="AF19" s="1203"/>
      <c r="AG19" s="1204"/>
      <c r="AH19" s="1136"/>
      <c r="AI19" s="1137"/>
      <c r="AJ19" s="1137"/>
      <c r="AK19" s="1007"/>
      <c r="AL19" s="1008"/>
      <c r="AM19" s="1009"/>
      <c r="AN19" s="1139"/>
      <c r="AO19" s="1139"/>
      <c r="AP19" s="1139"/>
      <c r="AQ19" s="1139"/>
      <c r="AR19" s="59"/>
      <c r="AU19" s="1108"/>
      <c r="AV19" s="1108"/>
      <c r="AW19" s="1104"/>
      <c r="AX19" s="1104"/>
      <c r="AY19" s="1104"/>
      <c r="AZ19" s="1104"/>
      <c r="BA19" s="1104"/>
      <c r="BB19" s="1104"/>
      <c r="BC19" s="1192"/>
      <c r="BD19" s="1192"/>
      <c r="BE19" s="1104"/>
      <c r="BF19" s="1192"/>
    </row>
    <row r="20" spans="2:58" ht="15.95" customHeight="1">
      <c r="B20" s="834">
        <v>3</v>
      </c>
      <c r="C20" s="1219"/>
      <c r="D20" s="1220"/>
      <c r="E20" s="1221"/>
      <c r="F20" s="871"/>
      <c r="G20" s="872"/>
      <c r="H20" s="872"/>
      <c r="I20" s="872"/>
      <c r="J20" s="872"/>
      <c r="K20" s="873"/>
      <c r="L20" s="871"/>
      <c r="M20" s="872"/>
      <c r="N20" s="872"/>
      <c r="O20" s="873"/>
      <c r="P20" s="876"/>
      <c r="Q20" s="877"/>
      <c r="R20" s="1114"/>
      <c r="S20" s="1115"/>
      <c r="T20" s="1114"/>
      <c r="U20" s="1225"/>
      <c r="V20" s="1225"/>
      <c r="W20" s="1115"/>
      <c r="X20" s="876"/>
      <c r="Y20" s="877"/>
      <c r="Z20" s="1114"/>
      <c r="AA20" s="1115"/>
      <c r="AB20" s="1173" t="str">
        <f t="shared" ref="AB20" si="7">IF(C20="New Construction","Incremental","")</f>
        <v/>
      </c>
      <c r="AC20" s="1173"/>
      <c r="AD20" s="874"/>
      <c r="AE20" s="1097"/>
      <c r="AF20" s="1201" t="str">
        <f t="shared" ref="AF20" si="8">IF(AB20="Incremental",0,"")</f>
        <v/>
      </c>
      <c r="AG20" s="1202"/>
      <c r="AH20" s="870" t="str">
        <f t="shared" ref="AH20" si="9">IF(OR(C20="",F20="",L20="",P20="",R20="",T20="",X20="",Z20="",AD20="",AF20=""),"",ROUND(AD20+AF20,2))</f>
        <v/>
      </c>
      <c r="AI20" s="1102"/>
      <c r="AJ20" s="1102"/>
      <c r="AK20" s="1004" t="str">
        <f t="shared" ref="AK20" si="10">IF(OR(C20="",F20="",F20="",L20="",P20="",R20="",T20="",X20="",Z20="",AD20="",AF20=""),"",IF((P20*R20)-(X20*Z20)&lt;=0,0,ROUND((P20*R20)-(X20*Z20),2)))</f>
        <v/>
      </c>
      <c r="AL20" s="1005"/>
      <c r="AM20" s="1006"/>
      <c r="AN20" s="1138" t="str">
        <f>IF(OR(C20="",F20="",F20="",L20="",P20="",R20="",T20="",X20="",Z20="",AD20="",AF20=""),"",IF(BE20&lt;&gt;"",BE20,IF(C20="Custom",AX20,IF(C20="New Construction",AY20,IF(C20="RCx",AZ20)))))</f>
        <v/>
      </c>
      <c r="AO20" s="1138"/>
      <c r="AP20" s="1138"/>
      <c r="AQ20" s="1138"/>
      <c r="AR20" s="59"/>
      <c r="AU20" s="1109" t="str">
        <f>IF(F20="","",INDEX(CUSTNONLIGHTGUNIT,MATCH(F20,PROGRAMGCAT[Category 1],0)))</f>
        <v/>
      </c>
      <c r="AV20" s="1109" t="str">
        <f>IF(OR(C20="",F20="",L20="",P20="",R20="",T20="",X20="",Z20="",AD20="",AF20=""),"",((1+GLOSS)*((AK20*INDEX(GASCB[NPV GAEC $/therm],MATCH(BA20,GASCB[Year Number],1))))/AH20))</f>
        <v/>
      </c>
      <c r="AW20" s="1103"/>
      <c r="AX20" s="1188" t="str">
        <f>IF(OR(C20="",F20="",L20="",P20="",R20="",T20="",X20="",Z20="",AB20="",AD20="",AF20=""),"",IF(AB20="Total",ROUND(MIN(AH20*0.75,AK20*INDEX(INCRATE[Gas],MATCH("CMNONLIGHT",INCRATE[Incentive Type]))),2),IF(AB20="Incremental",ROUND(MIN(AH20,AK20*INDEX(INCRATE[Gas],MATCH("CMNONLIGHT",INCRATE[Incentive Type]))),2))))</f>
        <v/>
      </c>
      <c r="AY20" s="1188" t="str">
        <f>IF(OR(C20="",F20="",L20="",P20="",R20="",T20="",X20="",Z20="",AB20="",AD20="",AF20=""),"",IF(AB20="Total",ROUND(MIN(AH20*0.75,AK20*INDEX(INCRATE[Gas],MATCH("NCNONLIGHT",INCRATE[Incentive Type]))),2),IF(AB20="Incremental",ROUND(MIN(AH20,AK20*INDEX(INCRATE[Gas],MATCH("NCNONLIGHT",INCRATE[Incentive Type]))),2))))</f>
        <v/>
      </c>
      <c r="AZ20" s="1188" t="str">
        <f>IF(OR(C20="",F20="",L20="",P20="",R20="",T20="",X20="",Z20="",AB20="",AD20="",AF20=""),"",IF(AB20="Total",ROUND(MIN(AH20*0.75,AK20*INDEX(INCRATE[Gas],MATCH("RCX",INCRATE[Incentive Type]))),2),IF(AB20="Incremental",ROUND(MIN(AH20,AK20*INDEX(INCRATE[Gas],MATCH("RCX",INCRATE[Incentive Type]))),2))))</f>
        <v/>
      </c>
      <c r="BA20" s="1103" t="str">
        <f>IF(F20="","",INDEX(PROGRAMGCAT[EUL],MATCH(F20,PROGRAMGCAT[Category 1],0)))</f>
        <v/>
      </c>
      <c r="BB20" s="1103" t="str">
        <f>IFERROR(AH20/M02S02F36/AK20,"")</f>
        <v/>
      </c>
      <c r="BC20" s="1198" t="str">
        <f>IF(OR(C20="",F20="",L20="",P20="",R20="",T20="",X20="",Z20="",AD20="",AF20=""),"",IF(ISNUMBER(AN20),INDEX(PROGRAMGCAT[Measure Number],MATCH(F20,PROGRAMGCAT[Category 1],0)),IF(AK20=0,"","000001")))</f>
        <v/>
      </c>
      <c r="BD20" s="1198"/>
      <c r="BE20" s="1103" t="str" cm="1">
        <f t="array" ref="BE20">IFERROR(_xlfn.SINGLE(IF((P20*R20)-(X20*Z20)&lt;=0,MEASURESAV,IF(M02S02F36="",MEASURERATE,IF(AND(OR(F20="Others (Incremental)",F20="Others"),M05S07F03=""),MEASURESUBMIT, IF(AND(OR(ISNUMBER(SEARCH({"Custom","New Construction"},C20))),BB20&lt;1),MEASUREPAY,IF(AV20&lt;1,MEASURECB,"")))))),MEASURESUBMIT)</f>
        <v>Submit for Review</v>
      </c>
      <c r="BF20" s="1198" t="str">
        <f t="shared" ref="BF20" si="11">IF(OR(C20="",F20="",L20="",P20="",R20="",T20="",X20="",Z20="",AB20="",AD20="",AF20=""),"",IF(AB20="Incremental",AH20,""))</f>
        <v/>
      </c>
    </row>
    <row r="21" spans="2:58" ht="15.95" customHeight="1">
      <c r="B21" s="834"/>
      <c r="C21" s="1222"/>
      <c r="D21" s="1223"/>
      <c r="E21" s="1224"/>
      <c r="F21" s="840"/>
      <c r="G21" s="841"/>
      <c r="H21" s="841"/>
      <c r="I21" s="841"/>
      <c r="J21" s="841"/>
      <c r="K21" s="842"/>
      <c r="L21" s="840"/>
      <c r="M21" s="841"/>
      <c r="N21" s="841"/>
      <c r="O21" s="842"/>
      <c r="P21" s="853"/>
      <c r="Q21" s="854"/>
      <c r="R21" s="1116"/>
      <c r="S21" s="1117"/>
      <c r="T21" s="1116"/>
      <c r="U21" s="1226"/>
      <c r="V21" s="1226"/>
      <c r="W21" s="1117"/>
      <c r="X21" s="853"/>
      <c r="Y21" s="854"/>
      <c r="Z21" s="1116"/>
      <c r="AA21" s="1117"/>
      <c r="AB21" s="1174"/>
      <c r="AC21" s="1174"/>
      <c r="AD21" s="875"/>
      <c r="AE21" s="1098"/>
      <c r="AF21" s="1203"/>
      <c r="AG21" s="1204"/>
      <c r="AH21" s="1136"/>
      <c r="AI21" s="1137"/>
      <c r="AJ21" s="1137"/>
      <c r="AK21" s="1007"/>
      <c r="AL21" s="1008"/>
      <c r="AM21" s="1009"/>
      <c r="AN21" s="1139"/>
      <c r="AO21" s="1139"/>
      <c r="AP21" s="1139"/>
      <c r="AQ21" s="1139"/>
      <c r="AR21" s="59"/>
      <c r="AU21" s="1108"/>
      <c r="AV21" s="1108"/>
      <c r="AW21" s="1104"/>
      <c r="AX21" s="1104"/>
      <c r="AY21" s="1104"/>
      <c r="AZ21" s="1104"/>
      <c r="BA21" s="1104"/>
      <c r="BB21" s="1104"/>
      <c r="BC21" s="1192"/>
      <c r="BD21" s="1192"/>
      <c r="BE21" s="1104"/>
      <c r="BF21" s="1192"/>
    </row>
    <row r="22" spans="2:58" ht="15.95" customHeight="1">
      <c r="B22" s="834">
        <v>4</v>
      </c>
      <c r="C22" s="1211"/>
      <c r="D22" s="1211"/>
      <c r="E22" s="1211"/>
      <c r="F22" s="1093"/>
      <c r="G22" s="1093"/>
      <c r="H22" s="1093"/>
      <c r="I22" s="1093"/>
      <c r="J22" s="1093"/>
      <c r="K22" s="1093"/>
      <c r="L22" s="871"/>
      <c r="M22" s="872"/>
      <c r="N22" s="872"/>
      <c r="O22" s="873"/>
      <c r="P22" s="851"/>
      <c r="Q22" s="852"/>
      <c r="R22" s="1114"/>
      <c r="S22" s="1115"/>
      <c r="T22" s="1225"/>
      <c r="U22" s="1225"/>
      <c r="V22" s="1225"/>
      <c r="W22" s="1225"/>
      <c r="X22" s="876"/>
      <c r="Y22" s="877"/>
      <c r="Z22" s="1114"/>
      <c r="AA22" s="1115"/>
      <c r="AB22" s="1173" t="str">
        <f t="shared" ref="AB22" si="12">IF(C22="New Construction","Incremental","")</f>
        <v/>
      </c>
      <c r="AC22" s="1173"/>
      <c r="AD22" s="874"/>
      <c r="AE22" s="1097"/>
      <c r="AF22" s="1201" t="str">
        <f t="shared" ref="AF22" si="13">IF(AB22="Incremental",0,"")</f>
        <v/>
      </c>
      <c r="AG22" s="1202"/>
      <c r="AH22" s="870" t="str">
        <f t="shared" ref="AH22" si="14">IF(OR(C22="",F22="",L22="",P22="",R22="",T22="",X22="",Z22="",AD22="",AF22=""),"",ROUND(AD22+AF22,2))</f>
        <v/>
      </c>
      <c r="AI22" s="1102"/>
      <c r="AJ22" s="1102"/>
      <c r="AK22" s="1004" t="str">
        <f t="shared" ref="AK22" si="15">IF(OR(C22="",F22="",F22="",L22="",P22="",R22="",T22="",X22="",Z22="",AD22="",AF22=""),"",IF((P22*R22)-(X22*Z22)&lt;=0,0,ROUND((P22*R22)-(X22*Z22),2)))</f>
        <v/>
      </c>
      <c r="AL22" s="1005"/>
      <c r="AM22" s="1006"/>
      <c r="AN22" s="1138" t="str">
        <f>IF(OR(C22="",F22="",F22="",L22="",P22="",R22="",T22="",X22="",Z22="",AD22="",AF22=""),"",IF(BE22&lt;&gt;"",BE22,IF(C22="Custom",AX22,IF(C22="New Construction",AY22,IF(C22="RCx",AZ22)))))</f>
        <v/>
      </c>
      <c r="AO22" s="1138"/>
      <c r="AP22" s="1138"/>
      <c r="AQ22" s="1138"/>
      <c r="AR22" s="59"/>
      <c r="AU22" s="1109" t="str">
        <f>IF(F22="","",INDEX(CUSTNONLIGHTGUNIT,MATCH(F22,PROGRAMGCAT[Category 1],0)))</f>
        <v/>
      </c>
      <c r="AV22" s="1109" t="str">
        <f>IF(OR(C22="",F22="",L22="",P22="",R22="",T22="",X22="",Z22="",AD22="",AF22=""),"",((1+GLOSS)*((AK22*INDEX(GASCB[NPV GAEC $/therm],MATCH(BA22,GASCB[Year Number],1))))/AH22))</f>
        <v/>
      </c>
      <c r="AW22" s="1103"/>
      <c r="AX22" s="1188" t="str">
        <f>IF(OR(C22="",F22="",L22="",P22="",R22="",T22="",X22="",Z22="",AB22="",AD22="",AF22=""),"",IF(AB22="Total",ROUND(MIN(AH22*0.75,AK22*INDEX(INCRATE[Gas],MATCH("CMNONLIGHT",INCRATE[Incentive Type]))),2),IF(AB22="Incremental",ROUND(MIN(AH22,AK22*INDEX(INCRATE[Gas],MATCH("CMNONLIGHT",INCRATE[Incentive Type]))),2))))</f>
        <v/>
      </c>
      <c r="AY22" s="1188" t="str">
        <f>IF(OR(C22="",F22="",L22="",P22="",R22="",T22="",X22="",Z22="",AB22="",AD22="",AF22=""),"",IF(AB22="Total",ROUND(MIN(AH22*0.75,AK22*INDEX(INCRATE[Gas],MATCH("NCNONLIGHT",INCRATE[Incentive Type]))),2),IF(AB22="Incremental",ROUND(MIN(AH22,AK22*INDEX(INCRATE[Gas],MATCH("NCNONLIGHT",INCRATE[Incentive Type]))),2))))</f>
        <v/>
      </c>
      <c r="AZ22" s="1188" t="str">
        <f>IF(OR(C22="",F22="",L22="",P22="",R22="",T22="",X22="",Z22="",AB22="",AD22="",AF22=""),"",IF(AB22="Total",ROUND(MIN(AH22*0.75,AK22*INDEX(INCRATE[Gas],MATCH("RCX",INCRATE[Incentive Type]))),2),IF(AB22="Incremental",ROUND(MIN(AH22,AK22*INDEX(INCRATE[Gas],MATCH("RCX",INCRATE[Incentive Type]))),2))))</f>
        <v/>
      </c>
      <c r="BA22" s="1103" t="str">
        <f>IF(F22="","",INDEX(PROGRAMGCAT[EUL],MATCH(F22,PROGRAMGCAT[Category 1],0)))</f>
        <v/>
      </c>
      <c r="BB22" s="1103" t="str">
        <f>IFERROR(AH22/M02S02F36/AK22,"")</f>
        <v/>
      </c>
      <c r="BC22" s="1198" t="str">
        <f>IF(OR(C22="",F22="",L22="",P22="",R22="",T22="",X22="",Z22="",AD22="",AF22=""),"",IF(ISNUMBER(AN22),INDEX(PROGRAMGCAT[Measure Number],MATCH(F22,PROGRAMGCAT[Category 1],0)),IF(AK22=0,"","000001")))</f>
        <v/>
      </c>
      <c r="BD22" s="1198"/>
      <c r="BE22" s="1103" t="str" cm="1">
        <f t="array" ref="BE22">IFERROR(_xlfn.SINGLE(IF((P22*R22)-(X22*Z22)&lt;=0,MEASURESAV,IF(M02S02F36="",MEASURERATE,IF(AND(OR(F22="Others (Incremental)",F22="Others"),M05S07F03=""),MEASURESUBMIT, IF(AND(OR(ISNUMBER(SEARCH({"Custom","New Construction"},C22))),BB22&lt;1),MEASUREPAY,IF(AV22&lt;1,MEASURECB,"")))))),MEASURESUBMIT)</f>
        <v>Submit for Review</v>
      </c>
      <c r="BF22" s="1198" t="str">
        <f t="shared" ref="BF22" si="16">IF(OR(C22="",F22="",L22="",P22="",R22="",T22="",X22="",Z22="",AB22="",AD22="",AF22=""),"",IF(AB22="Incremental",AH22,""))</f>
        <v/>
      </c>
    </row>
    <row r="23" spans="2:58" ht="15.95" customHeight="1">
      <c r="B23" s="834"/>
      <c r="C23" s="1212"/>
      <c r="D23" s="1212"/>
      <c r="E23" s="1212"/>
      <c r="F23" s="1094"/>
      <c r="G23" s="1094"/>
      <c r="H23" s="1094"/>
      <c r="I23" s="1094"/>
      <c r="J23" s="1094"/>
      <c r="K23" s="1094"/>
      <c r="L23" s="840"/>
      <c r="M23" s="841"/>
      <c r="N23" s="841"/>
      <c r="O23" s="842"/>
      <c r="P23" s="853"/>
      <c r="Q23" s="854"/>
      <c r="R23" s="1116"/>
      <c r="S23" s="1117"/>
      <c r="T23" s="1226"/>
      <c r="U23" s="1226"/>
      <c r="V23" s="1226"/>
      <c r="W23" s="1226"/>
      <c r="X23" s="853"/>
      <c r="Y23" s="854"/>
      <c r="Z23" s="1116"/>
      <c r="AA23" s="1117"/>
      <c r="AB23" s="1174"/>
      <c r="AC23" s="1174"/>
      <c r="AD23" s="875"/>
      <c r="AE23" s="1098"/>
      <c r="AF23" s="1203"/>
      <c r="AG23" s="1204"/>
      <c r="AH23" s="1136"/>
      <c r="AI23" s="1137"/>
      <c r="AJ23" s="1137"/>
      <c r="AK23" s="1007"/>
      <c r="AL23" s="1008"/>
      <c r="AM23" s="1009"/>
      <c r="AN23" s="1139"/>
      <c r="AO23" s="1139"/>
      <c r="AP23" s="1139"/>
      <c r="AQ23" s="1139"/>
      <c r="AR23" s="59"/>
      <c r="AU23" s="1108"/>
      <c r="AV23" s="1108"/>
      <c r="AW23" s="1104"/>
      <c r="AX23" s="1104"/>
      <c r="AY23" s="1104"/>
      <c r="AZ23" s="1104"/>
      <c r="BA23" s="1104"/>
      <c r="BB23" s="1104"/>
      <c r="BC23" s="1192"/>
      <c r="BD23" s="1192"/>
      <c r="BE23" s="1104"/>
      <c r="BF23" s="1192"/>
    </row>
    <row r="24" spans="2:58" ht="15.95" customHeight="1">
      <c r="B24" s="834">
        <v>5</v>
      </c>
      <c r="C24" s="1211"/>
      <c r="D24" s="1211"/>
      <c r="E24" s="1211"/>
      <c r="F24" s="1093"/>
      <c r="G24" s="1093"/>
      <c r="H24" s="1093"/>
      <c r="I24" s="1093"/>
      <c r="J24" s="1093"/>
      <c r="K24" s="1093"/>
      <c r="L24" s="871"/>
      <c r="M24" s="872"/>
      <c r="N24" s="872"/>
      <c r="O24" s="873"/>
      <c r="P24" s="851"/>
      <c r="Q24" s="852"/>
      <c r="R24" s="1114"/>
      <c r="S24" s="1115"/>
      <c r="T24" s="1225"/>
      <c r="U24" s="1225"/>
      <c r="V24" s="1225"/>
      <c r="W24" s="1225"/>
      <c r="X24" s="876"/>
      <c r="Y24" s="877"/>
      <c r="Z24" s="1114"/>
      <c r="AA24" s="1115"/>
      <c r="AB24" s="1173" t="str">
        <f t="shared" ref="AB24" si="17">IF(C24="New Construction","Incremental","")</f>
        <v/>
      </c>
      <c r="AC24" s="1173"/>
      <c r="AD24" s="874"/>
      <c r="AE24" s="1097"/>
      <c r="AF24" s="1201" t="str">
        <f t="shared" ref="AF24" si="18">IF(AB24="Incremental",0,"")</f>
        <v/>
      </c>
      <c r="AG24" s="1202"/>
      <c r="AH24" s="870" t="str">
        <f t="shared" ref="AH24" si="19">IF(OR(C24="",F24="",L24="",P24="",R24="",T24="",X24="",Z24="",AD24="",AF24=""),"",ROUND(AD24+AF24,2))</f>
        <v/>
      </c>
      <c r="AI24" s="1102"/>
      <c r="AJ24" s="1102"/>
      <c r="AK24" s="1004" t="str">
        <f t="shared" ref="AK24" si="20">IF(OR(C24="",F24="",F24="",L24="",P24="",R24="",T24="",X24="",Z24="",AD24="",AF24=""),"",IF((P24*R24)-(X24*Z24)&lt;=0,0,ROUND((P24*R24)-(X24*Z24),2)))</f>
        <v/>
      </c>
      <c r="AL24" s="1005"/>
      <c r="AM24" s="1006"/>
      <c r="AN24" s="1138" t="str">
        <f>IF(OR(C24="",F24="",F24="",L24="",P24="",R24="",T24="",X24="",Z24="",AD24="",AF24=""),"",IF(BE24&lt;&gt;"",BE24,IF(C24="Custom",AX24,IF(C24="New Construction",AY24,IF(C24="RCx",AZ24)))))</f>
        <v/>
      </c>
      <c r="AO24" s="1138"/>
      <c r="AP24" s="1138"/>
      <c r="AQ24" s="1138"/>
      <c r="AR24" s="59"/>
      <c r="AU24" s="1109" t="str">
        <f>IF(F24="","",INDEX(CUSTNONLIGHTGUNIT,MATCH(F24,PROGRAMGCAT[Category 1],0)))</f>
        <v/>
      </c>
      <c r="AV24" s="1109" t="str">
        <f>IF(OR(C24="",F24="",L24="",P24="",R24="",T24="",X24="",Z24="",AD24="",AF24=""),"",((1+GLOSS)*((AK24*INDEX(GASCB[NPV GAEC $/therm],MATCH(BA24,GASCB[Year Number],1))))/AH24))</f>
        <v/>
      </c>
      <c r="AW24" s="1103"/>
      <c r="AX24" s="1188" t="str">
        <f>IF(OR(C24="",F24="",L24="",P24="",R24="",T24="",X24="",Z24="",AB24="",AD24="",AF24=""),"",IF(AB24="Total",ROUND(MIN(AH24*0.75,AK24*INDEX(INCRATE[Gas],MATCH("CMNONLIGHT",INCRATE[Incentive Type]))),2),IF(AB24="Incremental",ROUND(MIN(AH24,AK24*INDEX(INCRATE[Gas],MATCH("CMNONLIGHT",INCRATE[Incentive Type]))),2))))</f>
        <v/>
      </c>
      <c r="AY24" s="1188" t="str">
        <f>IF(OR(C24="",F24="",L24="",P24="",R24="",T24="",X24="",Z24="",AB24="",AD24="",AF24=""),"",IF(AB24="Total",ROUND(MIN(AH24*0.75,AK24*INDEX(INCRATE[Gas],MATCH("NCNONLIGHT",INCRATE[Incentive Type]))),2),IF(AB24="Incremental",ROUND(MIN(AH24,AK24*INDEX(INCRATE[Gas],MATCH("NCNONLIGHT",INCRATE[Incentive Type]))),2))))</f>
        <v/>
      </c>
      <c r="AZ24" s="1188" t="str">
        <f>IF(OR(C24="",F24="",L24="",P24="",R24="",T24="",X24="",Z24="",AB24="",AD24="",AF24=""),"",IF(AB24="Total",ROUND(MIN(AH24*0.75,AK24*INDEX(INCRATE[Gas],MATCH("RCX",INCRATE[Incentive Type]))),2),IF(AB24="Incremental",ROUND(MIN(AH24,AK24*INDEX(INCRATE[Gas],MATCH("RCX",INCRATE[Incentive Type]))),2))))</f>
        <v/>
      </c>
      <c r="BA24" s="1103" t="str">
        <f>IF(F24="","",INDEX(PROGRAMGCAT[EUL],MATCH(F24,PROGRAMGCAT[Category 1],0)))</f>
        <v/>
      </c>
      <c r="BB24" s="1103" t="str">
        <f>IFERROR(AH24/M02S02F36/AK24,"")</f>
        <v/>
      </c>
      <c r="BC24" s="1198" t="str">
        <f>IF(OR(C24="",F24="",L24="",P24="",R24="",T24="",X24="",Z24="",AD24="",AF24=""),"",IF(ISNUMBER(AN24),INDEX(PROGRAMGCAT[Measure Number],MATCH(F24,PROGRAMGCAT[Category 1],0)),IF(AK24=0,"","000001")))</f>
        <v/>
      </c>
      <c r="BD24" s="1198"/>
      <c r="BE24" s="1103" t="str" cm="1">
        <f t="array" ref="BE24">IFERROR(_xlfn.SINGLE(IF((P24*R24)-(X24*Z24)&lt;=0,MEASURESAV,IF(M02S02F36="",MEASURERATE,IF(AND(OR(F24="Others (Incremental)",F24="Others"),M05S07F03=""),MEASURESUBMIT, IF(AND(OR(ISNUMBER(SEARCH({"Custom","New Construction"},C24))),BB24&lt;1),MEASUREPAY,IF(AV24&lt;1,MEASURECB,"")))))),MEASURESUBMIT)</f>
        <v>Submit for Review</v>
      </c>
      <c r="BF24" s="1198" t="str">
        <f t="shared" ref="BF24" si="21">IF(OR(C24="",F24="",L24="",P24="",R24="",T24="",X24="",Z24="",AB24="",AD24="",AF24=""),"",IF(AB24="Incremental",AH24,""))</f>
        <v/>
      </c>
    </row>
    <row r="25" spans="2:58" ht="15.95" customHeight="1">
      <c r="B25" s="834"/>
      <c r="C25" s="1212"/>
      <c r="D25" s="1212"/>
      <c r="E25" s="1212"/>
      <c r="F25" s="1094"/>
      <c r="G25" s="1094"/>
      <c r="H25" s="1094"/>
      <c r="I25" s="1094"/>
      <c r="J25" s="1094"/>
      <c r="K25" s="1094"/>
      <c r="L25" s="840"/>
      <c r="M25" s="841"/>
      <c r="N25" s="841"/>
      <c r="O25" s="842"/>
      <c r="P25" s="853"/>
      <c r="Q25" s="854"/>
      <c r="R25" s="1116"/>
      <c r="S25" s="1117"/>
      <c r="T25" s="1226"/>
      <c r="U25" s="1226"/>
      <c r="V25" s="1226"/>
      <c r="W25" s="1226"/>
      <c r="X25" s="853"/>
      <c r="Y25" s="854"/>
      <c r="Z25" s="1116"/>
      <c r="AA25" s="1117"/>
      <c r="AB25" s="1174"/>
      <c r="AC25" s="1174"/>
      <c r="AD25" s="875"/>
      <c r="AE25" s="1098"/>
      <c r="AF25" s="1203"/>
      <c r="AG25" s="1204"/>
      <c r="AH25" s="1136"/>
      <c r="AI25" s="1137"/>
      <c r="AJ25" s="1137"/>
      <c r="AK25" s="1007"/>
      <c r="AL25" s="1008"/>
      <c r="AM25" s="1009"/>
      <c r="AN25" s="1139"/>
      <c r="AO25" s="1139"/>
      <c r="AP25" s="1139"/>
      <c r="AQ25" s="1139"/>
      <c r="AR25" s="59"/>
      <c r="AU25" s="1108"/>
      <c r="AV25" s="1108"/>
      <c r="AW25" s="1104"/>
      <c r="AX25" s="1104"/>
      <c r="AY25" s="1104"/>
      <c r="AZ25" s="1104"/>
      <c r="BA25" s="1104"/>
      <c r="BB25" s="1104"/>
      <c r="BC25" s="1192"/>
      <c r="BD25" s="1192"/>
      <c r="BE25" s="1104"/>
      <c r="BF25" s="1192"/>
    </row>
    <row r="26" spans="2:58" ht="15.95" customHeight="1">
      <c r="B26" s="834">
        <v>6</v>
      </c>
      <c r="C26" s="1211"/>
      <c r="D26" s="1211"/>
      <c r="E26" s="1211"/>
      <c r="F26" s="1093"/>
      <c r="G26" s="1093"/>
      <c r="H26" s="1093"/>
      <c r="I26" s="1093"/>
      <c r="J26" s="1093"/>
      <c r="K26" s="1093"/>
      <c r="L26" s="871"/>
      <c r="M26" s="872"/>
      <c r="N26" s="872"/>
      <c r="O26" s="873"/>
      <c r="P26" s="851"/>
      <c r="Q26" s="852"/>
      <c r="R26" s="1114"/>
      <c r="S26" s="1115"/>
      <c r="T26" s="1225"/>
      <c r="U26" s="1225"/>
      <c r="V26" s="1225"/>
      <c r="W26" s="1225"/>
      <c r="X26" s="876"/>
      <c r="Y26" s="877"/>
      <c r="Z26" s="1114"/>
      <c r="AA26" s="1115"/>
      <c r="AB26" s="1173" t="str">
        <f t="shared" ref="AB26" si="22">IF(C26="New Construction","Incremental","")</f>
        <v/>
      </c>
      <c r="AC26" s="1173"/>
      <c r="AD26" s="874"/>
      <c r="AE26" s="1097"/>
      <c r="AF26" s="1201" t="str">
        <f t="shared" ref="AF26" si="23">IF(AB26="Incremental",0,"")</f>
        <v/>
      </c>
      <c r="AG26" s="1202"/>
      <c r="AH26" s="870" t="str">
        <f t="shared" ref="AH26" si="24">IF(OR(C26="",F26="",L26="",P26="",R26="",T26="",X26="",Z26="",AD26="",AF26=""),"",ROUND(AD26+AF26,2))</f>
        <v/>
      </c>
      <c r="AI26" s="1102"/>
      <c r="AJ26" s="1102"/>
      <c r="AK26" s="1004" t="str">
        <f t="shared" ref="AK26" si="25">IF(OR(C26="",F26="",F26="",L26="",P26="",R26="",T26="",X26="",Z26="",AD26="",AF26=""),"",IF((P26*R26)-(X26*Z26)&lt;=0,0,ROUND((P26*R26)-(X26*Z26),2)))</f>
        <v/>
      </c>
      <c r="AL26" s="1005"/>
      <c r="AM26" s="1006"/>
      <c r="AN26" s="1138" t="str">
        <f>IF(OR(C26="",F26="",F26="",L26="",P26="",R26="",T26="",X26="",Z26="",AD26="",AF26=""),"",IF(BE26&lt;&gt;"",BE26,IF(C26="Custom",AX26,IF(C26="New Construction",AY26,IF(C26="RCx",AZ26)))))</f>
        <v/>
      </c>
      <c r="AO26" s="1138"/>
      <c r="AP26" s="1138"/>
      <c r="AQ26" s="1138"/>
      <c r="AR26" s="59"/>
      <c r="AU26" s="1109" t="str">
        <f>IF(F26="","",INDEX(CUSTNONLIGHTGUNIT,MATCH(F26,PROGRAMGCAT[Category 1],0)))</f>
        <v/>
      </c>
      <c r="AV26" s="1109" t="str">
        <f>IF(OR(C26="",F26="",L26="",P26="",R26="",T26="",X26="",Z26="",AD26="",AF26=""),"",((1+GLOSS)*((AK26*INDEX(GASCB[NPV GAEC $/therm],MATCH(BA26,GASCB[Year Number],1))))/AH26))</f>
        <v/>
      </c>
      <c r="AW26" s="1103"/>
      <c r="AX26" s="1188" t="str">
        <f>IF(OR(C26="",F26="",L26="",P26="",R26="",T26="",X26="",Z26="",AB26="",AD26="",AF26=""),"",IF(AB26="Total",ROUND(MIN(AH26*0.75,AK26*INDEX(INCRATE[Gas],MATCH("CMNONLIGHT",INCRATE[Incentive Type]))),2),IF(AB26="Incremental",ROUND(MIN(AH26,AK26*INDEX(INCRATE[Gas],MATCH("CMNONLIGHT",INCRATE[Incentive Type]))),2))))</f>
        <v/>
      </c>
      <c r="AY26" s="1188" t="str">
        <f>IF(OR(C26="",F26="",L26="",P26="",R26="",T26="",X26="",Z26="",AB26="",AD26="",AF26=""),"",IF(AB26="Total",ROUND(MIN(AH26*0.75,AK26*INDEX(INCRATE[Gas],MATCH("NCNONLIGHT",INCRATE[Incentive Type]))),2),IF(AB26="Incremental",ROUND(MIN(AH26,AK26*INDEX(INCRATE[Gas],MATCH("NCNONLIGHT",INCRATE[Incentive Type]))),2))))</f>
        <v/>
      </c>
      <c r="AZ26" s="1188" t="str">
        <f>IF(OR(C26="",F26="",L26="",P26="",R26="",T26="",X26="",Z26="",AB26="",AD26="",AF26=""),"",IF(AB26="Total",ROUND(MIN(AH26*0.75,AK26*INDEX(INCRATE[Gas],MATCH("RCX",INCRATE[Incentive Type]))),2),IF(AB26="Incremental",ROUND(MIN(AH26,AK26*INDEX(INCRATE[Gas],MATCH("RCX",INCRATE[Incentive Type]))),2))))</f>
        <v/>
      </c>
      <c r="BA26" s="1103" t="str">
        <f>IF(F26="","",INDEX(PROGRAMGCAT[EUL],MATCH(F26,PROGRAMGCAT[Category 1],0)))</f>
        <v/>
      </c>
      <c r="BB26" s="1103" t="str">
        <f>IFERROR(AH26/M02S02F36/AK26,"")</f>
        <v/>
      </c>
      <c r="BC26" s="1198" t="str">
        <f>IF(OR(C26="",F26="",L26="",P26="",R26="",T26="",X26="",Z26="",AD26="",AF26=""),"",IF(ISNUMBER(AN26),INDEX(PROGRAMGCAT[Measure Number],MATCH(F26,PROGRAMGCAT[Category 1],0)),IF(AK26=0,"","000001")))</f>
        <v/>
      </c>
      <c r="BD26" s="1198"/>
      <c r="BE26" s="1103" t="str" cm="1">
        <f t="array" ref="BE26">IFERROR(_xlfn.SINGLE(IF((P26*R26)-(X26*Z26)&lt;=0,MEASURESAV,IF(M02S02F36="",MEASURERATE,IF(AND(OR(F26="Others (Incremental)",F26="Others"),M05S07F03=""),MEASURESUBMIT, IF(AND(OR(ISNUMBER(SEARCH({"Custom","New Construction"},C26))),BB26&lt;1),MEASUREPAY,IF(AV26&lt;1,MEASURECB,"")))))),MEASURESUBMIT)</f>
        <v>Submit for Review</v>
      </c>
      <c r="BF26" s="1198" t="str">
        <f t="shared" ref="BF26" si="26">IF(OR(C26="",F26="",L26="",P26="",R26="",T26="",X26="",Z26="",AB26="",AD26="",AF26=""),"",IF(AB26="Incremental",AH26,""))</f>
        <v/>
      </c>
    </row>
    <row r="27" spans="2:58" ht="15.95" customHeight="1">
      <c r="B27" s="834"/>
      <c r="C27" s="1212"/>
      <c r="D27" s="1212"/>
      <c r="E27" s="1212"/>
      <c r="F27" s="1094"/>
      <c r="G27" s="1094"/>
      <c r="H27" s="1094"/>
      <c r="I27" s="1094"/>
      <c r="J27" s="1094"/>
      <c r="K27" s="1094"/>
      <c r="L27" s="840"/>
      <c r="M27" s="841"/>
      <c r="N27" s="841"/>
      <c r="O27" s="842"/>
      <c r="P27" s="853"/>
      <c r="Q27" s="854"/>
      <c r="R27" s="1116"/>
      <c r="S27" s="1117"/>
      <c r="T27" s="1226"/>
      <c r="U27" s="1226"/>
      <c r="V27" s="1226"/>
      <c r="W27" s="1226"/>
      <c r="X27" s="853"/>
      <c r="Y27" s="854"/>
      <c r="Z27" s="1116"/>
      <c r="AA27" s="1117"/>
      <c r="AB27" s="1174"/>
      <c r="AC27" s="1174"/>
      <c r="AD27" s="875"/>
      <c r="AE27" s="1098"/>
      <c r="AF27" s="1203"/>
      <c r="AG27" s="1204"/>
      <c r="AH27" s="1136"/>
      <c r="AI27" s="1137"/>
      <c r="AJ27" s="1137"/>
      <c r="AK27" s="1007"/>
      <c r="AL27" s="1008"/>
      <c r="AM27" s="1009"/>
      <c r="AN27" s="1139"/>
      <c r="AO27" s="1139"/>
      <c r="AP27" s="1139"/>
      <c r="AQ27" s="1139"/>
      <c r="AR27" s="59"/>
      <c r="AU27" s="1108"/>
      <c r="AV27" s="1108"/>
      <c r="AW27" s="1104"/>
      <c r="AX27" s="1104"/>
      <c r="AY27" s="1104"/>
      <c r="AZ27" s="1104"/>
      <c r="BA27" s="1104"/>
      <c r="BB27" s="1104"/>
      <c r="BC27" s="1192"/>
      <c r="BD27" s="1192"/>
      <c r="BE27" s="1104"/>
      <c r="BF27" s="1192"/>
    </row>
    <row r="28" spans="2:58" ht="15.95" customHeight="1">
      <c r="B28" s="834">
        <v>7</v>
      </c>
      <c r="C28" s="1211"/>
      <c r="D28" s="1211"/>
      <c r="E28" s="1211"/>
      <c r="F28" s="1093"/>
      <c r="G28" s="1093"/>
      <c r="H28" s="1093"/>
      <c r="I28" s="1093"/>
      <c r="J28" s="1093"/>
      <c r="K28" s="1093"/>
      <c r="L28" s="871"/>
      <c r="M28" s="872"/>
      <c r="N28" s="872"/>
      <c r="O28" s="873"/>
      <c r="P28" s="851"/>
      <c r="Q28" s="852"/>
      <c r="R28" s="1114"/>
      <c r="S28" s="1115"/>
      <c r="T28" s="1225"/>
      <c r="U28" s="1225"/>
      <c r="V28" s="1225"/>
      <c r="W28" s="1225"/>
      <c r="X28" s="876"/>
      <c r="Y28" s="877"/>
      <c r="Z28" s="1114"/>
      <c r="AA28" s="1115"/>
      <c r="AB28" s="1173" t="str">
        <f t="shared" ref="AB28" si="27">IF(C28="New Construction","Incremental","")</f>
        <v/>
      </c>
      <c r="AC28" s="1173"/>
      <c r="AD28" s="874"/>
      <c r="AE28" s="1097"/>
      <c r="AF28" s="1201" t="str">
        <f t="shared" ref="AF28" si="28">IF(AB28="Incremental",0,"")</f>
        <v/>
      </c>
      <c r="AG28" s="1202"/>
      <c r="AH28" s="870" t="str">
        <f t="shared" ref="AH28" si="29">IF(OR(C28="",F28="",L28="",P28="",R28="",T28="",X28="",Z28="",AD28="",AF28=""),"",ROUND(AD28+AF28,2))</f>
        <v/>
      </c>
      <c r="AI28" s="1102"/>
      <c r="AJ28" s="1102"/>
      <c r="AK28" s="1004" t="str">
        <f t="shared" ref="AK28" si="30">IF(OR(C28="",F28="",F28="",L28="",P28="",R28="",T28="",X28="",Z28="",AD28="",AF28=""),"",IF((P28*R28)-(X28*Z28)&lt;=0,0,ROUND((P28*R28)-(X28*Z28),2)))</f>
        <v/>
      </c>
      <c r="AL28" s="1005"/>
      <c r="AM28" s="1006"/>
      <c r="AN28" s="1138" t="str">
        <f>IF(OR(C28="",F28="",F28="",L28="",P28="",R28="",T28="",X28="",Z28="",AD28="",AF28=""),"",IF(BE28&lt;&gt;"",BE28,IF(C28="Custom",AX28,IF(C28="New Construction",AY28,IF(C28="RCx",AZ28)))))</f>
        <v/>
      </c>
      <c r="AO28" s="1138"/>
      <c r="AP28" s="1138"/>
      <c r="AQ28" s="1138"/>
      <c r="AR28" s="59"/>
      <c r="AU28" s="1109" t="str">
        <f>IF(F28="","",INDEX(CUSTNONLIGHTGUNIT,MATCH(F28,PROGRAMGCAT[Category 1],0)))</f>
        <v/>
      </c>
      <c r="AV28" s="1109" t="str">
        <f>IF(OR(C28="",F28="",L28="",P28="",R28="",T28="",X28="",Z28="",AD28="",AF28=""),"",((1+GLOSS)*((AK28*INDEX(GASCB[NPV GAEC $/therm],MATCH(BA28,GASCB[Year Number],1))))/AH28))</f>
        <v/>
      </c>
      <c r="AW28" s="1103"/>
      <c r="AX28" s="1188" t="str">
        <f>IF(OR(C28="",F28="",L28="",P28="",R28="",T28="",X28="",Z28="",AB28="",AD28="",AF28=""),"",IF(AB28="Total",ROUND(MIN(AH28*0.75,AK28*INDEX(INCRATE[Gas],MATCH("CMNONLIGHT",INCRATE[Incentive Type]))),2),IF(AB28="Incremental",ROUND(MIN(AH28,AK28*INDEX(INCRATE[Gas],MATCH("CMNONLIGHT",INCRATE[Incentive Type]))),2))))</f>
        <v/>
      </c>
      <c r="AY28" s="1188" t="str">
        <f>IF(OR(C28="",F28="",L28="",P28="",R28="",T28="",X28="",Z28="",AB28="",AD28="",AF28=""),"",IF(AB28="Total",ROUND(MIN(AH28*0.75,AK28*INDEX(INCRATE[Gas],MATCH("NCNONLIGHT",INCRATE[Incentive Type]))),2),IF(AB28="Incremental",ROUND(MIN(AH28,AK28*INDEX(INCRATE[Gas],MATCH("NCNONLIGHT",INCRATE[Incentive Type]))),2))))</f>
        <v/>
      </c>
      <c r="AZ28" s="1188" t="str">
        <f>IF(OR(C28="",F28="",L28="",P28="",R28="",T28="",X28="",Z28="",AB28="",AD28="",AF28=""),"",IF(AB28="Total",ROUND(MIN(AH28*0.75,AK28*INDEX(INCRATE[Gas],MATCH("RCX",INCRATE[Incentive Type]))),2),IF(AB28="Incremental",ROUND(MIN(AH28,AK28*INDEX(INCRATE[Gas],MATCH("RCX",INCRATE[Incentive Type]))),2))))</f>
        <v/>
      </c>
      <c r="BA28" s="1103" t="str">
        <f>IF(F28="","",INDEX(PROGRAMGCAT[EUL],MATCH(F28,PROGRAMGCAT[Category 1],0)))</f>
        <v/>
      </c>
      <c r="BB28" s="1103" t="str">
        <f>IFERROR(AH28/M02S02F36/AK28,"")</f>
        <v/>
      </c>
      <c r="BC28" s="1198" t="str">
        <f>IF(OR(C28="",F28="",L28="",P28="",R28="",T28="",X28="",Z28="",AD28="",AF28=""),"",IF(ISNUMBER(AN28),INDEX(PROGRAMGCAT[Measure Number],MATCH(F28,PROGRAMGCAT[Category 1],0)),IF(AK28=0,"","000001")))</f>
        <v/>
      </c>
      <c r="BD28" s="1198"/>
      <c r="BE28" s="1103" t="str" cm="1">
        <f t="array" ref="BE28">IFERROR(_xlfn.SINGLE(IF((P28*R28)-(X28*Z28)&lt;=0,MEASURESAV,IF(M02S02F36="",MEASURERATE,IF(AND(OR(F28="Others (Incremental)",F28="Others"),M05S07F03=""),MEASURESUBMIT, IF(AND(OR(ISNUMBER(SEARCH({"Custom","New Construction"},C28))),BB28&lt;1),MEASUREPAY,IF(AV28&lt;1,MEASURECB,"")))))),MEASURESUBMIT)</f>
        <v>Submit for Review</v>
      </c>
      <c r="BF28" s="1198" t="str">
        <f t="shared" ref="BF28" si="31">IF(OR(C28="",F28="",L28="",P28="",R28="",T28="",X28="",Z28="",AB28="",AD28="",AF28=""),"",IF(AB28="Incremental",AH28,""))</f>
        <v/>
      </c>
    </row>
    <row r="29" spans="2:58" ht="15.95" customHeight="1">
      <c r="B29" s="834"/>
      <c r="C29" s="1212"/>
      <c r="D29" s="1212"/>
      <c r="E29" s="1212"/>
      <c r="F29" s="1094"/>
      <c r="G29" s="1094"/>
      <c r="H29" s="1094"/>
      <c r="I29" s="1094"/>
      <c r="J29" s="1094"/>
      <c r="K29" s="1094"/>
      <c r="L29" s="840"/>
      <c r="M29" s="841"/>
      <c r="N29" s="841"/>
      <c r="O29" s="842"/>
      <c r="P29" s="853"/>
      <c r="Q29" s="854"/>
      <c r="R29" s="1116"/>
      <c r="S29" s="1117"/>
      <c r="T29" s="1226"/>
      <c r="U29" s="1226"/>
      <c r="V29" s="1226"/>
      <c r="W29" s="1226"/>
      <c r="X29" s="853"/>
      <c r="Y29" s="854"/>
      <c r="Z29" s="1116"/>
      <c r="AA29" s="1117"/>
      <c r="AB29" s="1174"/>
      <c r="AC29" s="1174"/>
      <c r="AD29" s="875"/>
      <c r="AE29" s="1098"/>
      <c r="AF29" s="1203"/>
      <c r="AG29" s="1204"/>
      <c r="AH29" s="1136"/>
      <c r="AI29" s="1137"/>
      <c r="AJ29" s="1137"/>
      <c r="AK29" s="1007"/>
      <c r="AL29" s="1008"/>
      <c r="AM29" s="1009"/>
      <c r="AN29" s="1139"/>
      <c r="AO29" s="1139"/>
      <c r="AP29" s="1139"/>
      <c r="AQ29" s="1139"/>
      <c r="AR29" s="59"/>
      <c r="AU29" s="1108"/>
      <c r="AV29" s="1108"/>
      <c r="AW29" s="1104"/>
      <c r="AX29" s="1104"/>
      <c r="AY29" s="1104"/>
      <c r="AZ29" s="1104"/>
      <c r="BA29" s="1104"/>
      <c r="BB29" s="1104"/>
      <c r="BC29" s="1192"/>
      <c r="BD29" s="1192"/>
      <c r="BE29" s="1104"/>
      <c r="BF29" s="1192"/>
    </row>
    <row r="30" spans="2:58" ht="15.95" customHeight="1">
      <c r="B30" s="834">
        <v>8</v>
      </c>
      <c r="C30" s="1211"/>
      <c r="D30" s="1211"/>
      <c r="E30" s="1211"/>
      <c r="F30" s="1093"/>
      <c r="G30" s="1093"/>
      <c r="H30" s="1093"/>
      <c r="I30" s="1093"/>
      <c r="J30" s="1093"/>
      <c r="K30" s="1093"/>
      <c r="L30" s="871"/>
      <c r="M30" s="872"/>
      <c r="N30" s="872"/>
      <c r="O30" s="873"/>
      <c r="P30" s="851"/>
      <c r="Q30" s="852"/>
      <c r="R30" s="1114"/>
      <c r="S30" s="1115"/>
      <c r="T30" s="1225"/>
      <c r="U30" s="1225"/>
      <c r="V30" s="1225"/>
      <c r="W30" s="1225"/>
      <c r="X30" s="876"/>
      <c r="Y30" s="877"/>
      <c r="Z30" s="1114"/>
      <c r="AA30" s="1115"/>
      <c r="AB30" s="1173" t="str">
        <f t="shared" ref="AB30" si="32">IF(C30="New Construction","Incremental","")</f>
        <v/>
      </c>
      <c r="AC30" s="1173"/>
      <c r="AD30" s="874"/>
      <c r="AE30" s="1097"/>
      <c r="AF30" s="1201" t="str">
        <f t="shared" ref="AF30" si="33">IF(AB30="Incremental",0,"")</f>
        <v/>
      </c>
      <c r="AG30" s="1202"/>
      <c r="AH30" s="870" t="str">
        <f t="shared" ref="AH30" si="34">IF(OR(C30="",F30="",L30="",P30="",R30="",T30="",X30="",Z30="",AD30="",AF30=""),"",ROUND(AD30+AF30,2))</f>
        <v/>
      </c>
      <c r="AI30" s="1102"/>
      <c r="AJ30" s="1102"/>
      <c r="AK30" s="1004" t="str">
        <f t="shared" ref="AK30" si="35">IF(OR(C30="",F30="",F30="",L30="",P30="",R30="",T30="",X30="",Z30="",AD30="",AF30=""),"",IF((P30*R30)-(X30*Z30)&lt;=0,0,ROUND((P30*R30)-(X30*Z30),2)))</f>
        <v/>
      </c>
      <c r="AL30" s="1005"/>
      <c r="AM30" s="1006"/>
      <c r="AN30" s="1138" t="str">
        <f>IF(OR(C30="",F30="",F30="",L30="",P30="",R30="",T30="",X30="",Z30="",AD30="",AF30=""),"",IF(BE30&lt;&gt;"",BE30,IF(C30="Custom",AX30,IF(C30="New Construction",AY30,IF(C30="RCx",AZ30)))))</f>
        <v/>
      </c>
      <c r="AO30" s="1138"/>
      <c r="AP30" s="1138"/>
      <c r="AQ30" s="1138"/>
      <c r="AR30" s="59"/>
      <c r="AU30" s="1109" t="str">
        <f>IF(F30="","",INDEX(CUSTNONLIGHTGUNIT,MATCH(F30,PROGRAMGCAT[Category 1],0)))</f>
        <v/>
      </c>
      <c r="AV30" s="1109" t="str">
        <f>IF(OR(C30="",F30="",L30="",P30="",R30="",T30="",X30="",Z30="",AD30="",AF30=""),"",((1+GLOSS)*((AK30*INDEX(GASCB[NPV GAEC $/therm],MATCH(BA30,GASCB[Year Number],1))))/AH30))</f>
        <v/>
      </c>
      <c r="AW30" s="1103"/>
      <c r="AX30" s="1188" t="str">
        <f>IF(OR(C30="",F30="",L30="",P30="",R30="",T30="",X30="",Z30="",AB30="",AD30="",AF30=""),"",IF(AB30="Total",ROUND(MIN(AH30*0.75,AK30*INDEX(INCRATE[Gas],MATCH("CMNONLIGHT",INCRATE[Incentive Type]))),2),IF(AB30="Incremental",ROUND(MIN(AH30,AK30*INDEX(INCRATE[Gas],MATCH("CMNONLIGHT",INCRATE[Incentive Type]))),2))))</f>
        <v/>
      </c>
      <c r="AY30" s="1188" t="str">
        <f>IF(OR(C30="",F30="",L30="",P30="",R30="",T30="",X30="",Z30="",AB30="",AD30="",AF30=""),"",IF(AB30="Total",ROUND(MIN(AH30*0.75,AK30*INDEX(INCRATE[Gas],MATCH("NCNONLIGHT",INCRATE[Incentive Type]))),2),IF(AB30="Incremental",ROUND(MIN(AH30,AK30*INDEX(INCRATE[Gas],MATCH("NCNONLIGHT",INCRATE[Incentive Type]))),2))))</f>
        <v/>
      </c>
      <c r="AZ30" s="1188" t="str">
        <f>IF(OR(C30="",F30="",L30="",P30="",R30="",T30="",X30="",Z30="",AB30="",AD30="",AF30=""),"",IF(AB30="Total",ROUND(MIN(AH30*0.75,AK30*INDEX(INCRATE[Gas],MATCH("RCX",INCRATE[Incentive Type]))),2),IF(AB30="Incremental",ROUND(MIN(AH30,AK30*INDEX(INCRATE[Gas],MATCH("RCX",INCRATE[Incentive Type]))),2))))</f>
        <v/>
      </c>
      <c r="BA30" s="1103" t="str">
        <f>IF(F30="","",INDEX(PROGRAMGCAT[EUL],MATCH(F30,PROGRAMGCAT[Category 1],0)))</f>
        <v/>
      </c>
      <c r="BB30" s="1103" t="str">
        <f>IFERROR(AH30/M02S02F36/AK30,"")</f>
        <v/>
      </c>
      <c r="BC30" s="1198" t="str">
        <f>IF(OR(C30="",F30="",L30="",P30="",R30="",T30="",X30="",Z30="",AD30="",AF30=""),"",IF(ISNUMBER(AN30),INDEX(PROGRAMGCAT[Measure Number],MATCH(F30,PROGRAMGCAT[Category 1],0)),IF(AK30=0,"","000001")))</f>
        <v/>
      </c>
      <c r="BD30" s="1198"/>
      <c r="BE30" s="1103" t="str" cm="1">
        <f t="array" ref="BE30">IFERROR(_xlfn.SINGLE(IF((P30*R30)-(X30*Z30)&lt;=0,MEASURESAV,IF(M02S02F36="",MEASURERATE,IF(AND(OR(F30="Others (Incremental)",F30="Others"),M05S07F03=""),MEASURESUBMIT, IF(AND(OR(ISNUMBER(SEARCH({"Custom","New Construction"},C30))),BB30&lt;1),MEASUREPAY,IF(AV30&lt;1,MEASURECB,"")))))),MEASURESUBMIT)</f>
        <v>Submit for Review</v>
      </c>
      <c r="BF30" s="1198" t="str">
        <f t="shared" ref="BF30" si="36">IF(OR(C30="",F30="",L30="",P30="",R30="",T30="",X30="",Z30="",AB30="",AD30="",AF30=""),"",IF(AB30="Incremental",AH30,""))</f>
        <v/>
      </c>
    </row>
    <row r="31" spans="2:58" ht="15.95" customHeight="1">
      <c r="B31" s="834"/>
      <c r="C31" s="1212"/>
      <c r="D31" s="1212"/>
      <c r="E31" s="1212"/>
      <c r="F31" s="1094"/>
      <c r="G31" s="1094"/>
      <c r="H31" s="1094"/>
      <c r="I31" s="1094"/>
      <c r="J31" s="1094"/>
      <c r="K31" s="1094"/>
      <c r="L31" s="840"/>
      <c r="M31" s="841"/>
      <c r="N31" s="841"/>
      <c r="O31" s="842"/>
      <c r="P31" s="853"/>
      <c r="Q31" s="854"/>
      <c r="R31" s="1116"/>
      <c r="S31" s="1117"/>
      <c r="T31" s="1226"/>
      <c r="U31" s="1226"/>
      <c r="V31" s="1226"/>
      <c r="W31" s="1226"/>
      <c r="X31" s="853"/>
      <c r="Y31" s="854"/>
      <c r="Z31" s="1116"/>
      <c r="AA31" s="1117"/>
      <c r="AB31" s="1174"/>
      <c r="AC31" s="1174"/>
      <c r="AD31" s="875"/>
      <c r="AE31" s="1098"/>
      <c r="AF31" s="1203"/>
      <c r="AG31" s="1204"/>
      <c r="AH31" s="1136"/>
      <c r="AI31" s="1137"/>
      <c r="AJ31" s="1137"/>
      <c r="AK31" s="1007"/>
      <c r="AL31" s="1008"/>
      <c r="AM31" s="1009"/>
      <c r="AN31" s="1139"/>
      <c r="AO31" s="1139"/>
      <c r="AP31" s="1139"/>
      <c r="AQ31" s="1139"/>
      <c r="AR31" s="59"/>
      <c r="AU31" s="1108"/>
      <c r="AV31" s="1108"/>
      <c r="AW31" s="1104"/>
      <c r="AX31" s="1104"/>
      <c r="AY31" s="1104"/>
      <c r="AZ31" s="1104"/>
      <c r="BA31" s="1104"/>
      <c r="BB31" s="1104"/>
      <c r="BC31" s="1192"/>
      <c r="BD31" s="1192"/>
      <c r="BE31" s="1104"/>
      <c r="BF31" s="1192"/>
    </row>
    <row r="32" spans="2:58" ht="15.95" customHeight="1">
      <c r="B32" s="834">
        <v>9</v>
      </c>
      <c r="C32" s="1211"/>
      <c r="D32" s="1211"/>
      <c r="E32" s="1211"/>
      <c r="F32" s="1093"/>
      <c r="G32" s="1093"/>
      <c r="H32" s="1093"/>
      <c r="I32" s="1093"/>
      <c r="J32" s="1093"/>
      <c r="K32" s="1093"/>
      <c r="L32" s="871"/>
      <c r="M32" s="872"/>
      <c r="N32" s="872"/>
      <c r="O32" s="873"/>
      <c r="P32" s="851"/>
      <c r="Q32" s="852"/>
      <c r="R32" s="1114"/>
      <c r="S32" s="1115"/>
      <c r="T32" s="1225"/>
      <c r="U32" s="1225"/>
      <c r="V32" s="1225"/>
      <c r="W32" s="1225"/>
      <c r="X32" s="876"/>
      <c r="Y32" s="877"/>
      <c r="Z32" s="1114"/>
      <c r="AA32" s="1115"/>
      <c r="AB32" s="1173" t="str">
        <f t="shared" ref="AB32" si="37">IF(C32="New Construction","Incremental","")</f>
        <v/>
      </c>
      <c r="AC32" s="1173"/>
      <c r="AD32" s="874"/>
      <c r="AE32" s="1097"/>
      <c r="AF32" s="1201" t="str">
        <f t="shared" ref="AF32" si="38">IF(AB32="Incremental",0,"")</f>
        <v/>
      </c>
      <c r="AG32" s="1202"/>
      <c r="AH32" s="870" t="str">
        <f t="shared" ref="AH32" si="39">IF(OR(C32="",F32="",L32="",P32="",R32="",T32="",X32="",Z32="",AD32="",AF32=""),"",ROUND(AD32+AF32,2))</f>
        <v/>
      </c>
      <c r="AI32" s="1102"/>
      <c r="AJ32" s="1102"/>
      <c r="AK32" s="1004" t="str">
        <f t="shared" ref="AK32" si="40">IF(OR(C32="",F32="",F32="",L32="",P32="",R32="",T32="",X32="",Z32="",AD32="",AF32=""),"",IF((P32*R32)-(X32*Z32)&lt;=0,0,ROUND((P32*R32)-(X32*Z32),2)))</f>
        <v/>
      </c>
      <c r="AL32" s="1005"/>
      <c r="AM32" s="1006"/>
      <c r="AN32" s="1138" t="str">
        <f>IF(OR(C32="",F32="",F32="",L32="",P32="",R32="",T32="",X32="",Z32="",AD32="",AF32=""),"",IF(BE32&lt;&gt;"",BE32,IF(C32="Custom",AX32,IF(C32="New Construction",AY32,IF(C32="RCx",AZ32)))))</f>
        <v/>
      </c>
      <c r="AO32" s="1138"/>
      <c r="AP32" s="1138"/>
      <c r="AQ32" s="1138"/>
      <c r="AR32" s="59"/>
      <c r="AU32" s="1109" t="str">
        <f>IF(F32="","",INDEX(CUSTNONLIGHTGUNIT,MATCH(F32,PROGRAMGCAT[Category 1],0)))</f>
        <v/>
      </c>
      <c r="AV32" s="1109" t="str">
        <f>IF(OR(C32="",F32="",L32="",P32="",R32="",T32="",X32="",Z32="",AD32="",AF32=""),"",((1+GLOSS)*((AK32*INDEX(GASCB[NPV GAEC $/therm],MATCH(BA32,GASCB[Year Number],1))))/AH32))</f>
        <v/>
      </c>
      <c r="AW32" s="1103"/>
      <c r="AX32" s="1188" t="str">
        <f>IF(OR(C32="",F32="",L32="",P32="",R32="",T32="",X32="",Z32="",AB32="",AD32="",AF32=""),"",IF(AB32="Total",ROUND(MIN(AH32*0.75,AK32*INDEX(INCRATE[Gas],MATCH("CMNONLIGHT",INCRATE[Incentive Type]))),2),IF(AB32="Incremental",ROUND(MIN(AH32,AK32*INDEX(INCRATE[Gas],MATCH("CMNONLIGHT",INCRATE[Incentive Type]))),2))))</f>
        <v/>
      </c>
      <c r="AY32" s="1188" t="str">
        <f>IF(OR(C32="",F32="",L32="",P32="",R32="",T32="",X32="",Z32="",AB32="",AD32="",AF32=""),"",IF(AB32="Total",ROUND(MIN(AH32*0.75,AK32*INDEX(INCRATE[Gas],MATCH("NCNONLIGHT",INCRATE[Incentive Type]))),2),IF(AB32="Incremental",ROUND(MIN(AH32,AK32*INDEX(INCRATE[Gas],MATCH("NCNONLIGHT",INCRATE[Incentive Type]))),2))))</f>
        <v/>
      </c>
      <c r="AZ32" s="1188" t="str">
        <f>IF(OR(C32="",F32="",L32="",P32="",R32="",T32="",X32="",Z32="",AB32="",AD32="",AF32=""),"",IF(AB32="Total",ROUND(MIN(AH32*0.75,AK32*INDEX(INCRATE[Gas],MATCH("RCX",INCRATE[Incentive Type]))),2),IF(AB32="Incremental",ROUND(MIN(AH32,AK32*INDEX(INCRATE[Gas],MATCH("RCX",INCRATE[Incentive Type]))),2))))</f>
        <v/>
      </c>
      <c r="BA32" s="1103" t="str">
        <f>IF(F32="","",INDEX(PROGRAMGCAT[EUL],MATCH(F32,PROGRAMGCAT[Category 1],0)))</f>
        <v/>
      </c>
      <c r="BB32" s="1103" t="str">
        <f>IFERROR(AH32/M02S02F36/AK32,"")</f>
        <v/>
      </c>
      <c r="BC32" s="1198" t="str">
        <f>IF(OR(C32="",F32="",L32="",P32="",R32="",T32="",X32="",Z32="",AD32="",AF32=""),"",IF(ISNUMBER(AN32),INDEX(PROGRAMGCAT[Measure Number],MATCH(F32,PROGRAMGCAT[Category 1],0)),IF(AK32=0,"","000001")))</f>
        <v/>
      </c>
      <c r="BD32" s="1198"/>
      <c r="BE32" s="1103" t="str" cm="1">
        <f t="array" ref="BE32">IFERROR(_xlfn.SINGLE(IF((P32*R32)-(X32*Z32)&lt;=0,MEASURESAV,IF(M02S02F36="",MEASURERATE,IF(AND(OR(F32="Others (Incremental)",F32="Others"),M05S07F03=""),MEASURESUBMIT, IF(AND(OR(ISNUMBER(SEARCH({"Custom","New Construction"},C32))),BB32&lt;1),MEASUREPAY,IF(AV32&lt;1,MEASURECB,"")))))),MEASURESUBMIT)</f>
        <v>Submit for Review</v>
      </c>
      <c r="BF32" s="1198" t="str">
        <f t="shared" ref="BF32" si="41">IF(OR(C32="",F32="",L32="",P32="",R32="",T32="",X32="",Z32="",AB32="",AD32="",AF32=""),"",IF(AB32="Incremental",AH32,""))</f>
        <v/>
      </c>
    </row>
    <row r="33" spans="2:58" ht="15.95" customHeight="1">
      <c r="B33" s="834"/>
      <c r="C33" s="1212"/>
      <c r="D33" s="1212"/>
      <c r="E33" s="1212"/>
      <c r="F33" s="1094"/>
      <c r="G33" s="1094"/>
      <c r="H33" s="1094"/>
      <c r="I33" s="1094"/>
      <c r="J33" s="1094"/>
      <c r="K33" s="1094"/>
      <c r="L33" s="840"/>
      <c r="M33" s="841"/>
      <c r="N33" s="841"/>
      <c r="O33" s="842"/>
      <c r="P33" s="853"/>
      <c r="Q33" s="854"/>
      <c r="R33" s="1116"/>
      <c r="S33" s="1117"/>
      <c r="T33" s="1226"/>
      <c r="U33" s="1226"/>
      <c r="V33" s="1226"/>
      <c r="W33" s="1226"/>
      <c r="X33" s="853"/>
      <c r="Y33" s="854"/>
      <c r="Z33" s="1116"/>
      <c r="AA33" s="1117"/>
      <c r="AB33" s="1174"/>
      <c r="AC33" s="1174"/>
      <c r="AD33" s="875"/>
      <c r="AE33" s="1098"/>
      <c r="AF33" s="1203"/>
      <c r="AG33" s="1204"/>
      <c r="AH33" s="1136"/>
      <c r="AI33" s="1137"/>
      <c r="AJ33" s="1137"/>
      <c r="AK33" s="1007"/>
      <c r="AL33" s="1008"/>
      <c r="AM33" s="1009"/>
      <c r="AN33" s="1139"/>
      <c r="AO33" s="1139"/>
      <c r="AP33" s="1139"/>
      <c r="AQ33" s="1139"/>
      <c r="AR33" s="59"/>
      <c r="AU33" s="1108"/>
      <c r="AV33" s="1108"/>
      <c r="AW33" s="1104"/>
      <c r="AX33" s="1104"/>
      <c r="AY33" s="1104"/>
      <c r="AZ33" s="1104"/>
      <c r="BA33" s="1104"/>
      <c r="BB33" s="1104"/>
      <c r="BC33" s="1192"/>
      <c r="BD33" s="1192"/>
      <c r="BE33" s="1104"/>
      <c r="BF33" s="1192"/>
    </row>
    <row r="34" spans="2:58" ht="15.95" customHeight="1">
      <c r="B34" s="834">
        <v>10</v>
      </c>
      <c r="C34" s="1211"/>
      <c r="D34" s="1211"/>
      <c r="E34" s="1211"/>
      <c r="F34" s="1093"/>
      <c r="G34" s="1093"/>
      <c r="H34" s="1093"/>
      <c r="I34" s="1093"/>
      <c r="J34" s="1093"/>
      <c r="K34" s="1093"/>
      <c r="L34" s="871"/>
      <c r="M34" s="872"/>
      <c r="N34" s="872"/>
      <c r="O34" s="873"/>
      <c r="P34" s="851"/>
      <c r="Q34" s="852"/>
      <c r="R34" s="1114"/>
      <c r="S34" s="1115"/>
      <c r="T34" s="1225"/>
      <c r="U34" s="1225"/>
      <c r="V34" s="1225"/>
      <c r="W34" s="1225"/>
      <c r="X34" s="876"/>
      <c r="Y34" s="877"/>
      <c r="Z34" s="1114"/>
      <c r="AA34" s="1115"/>
      <c r="AB34" s="1173" t="str">
        <f t="shared" ref="AB34" si="42">IF(C34="New Construction","Incremental","")</f>
        <v/>
      </c>
      <c r="AC34" s="1173"/>
      <c r="AD34" s="874"/>
      <c r="AE34" s="1097"/>
      <c r="AF34" s="1201" t="str">
        <f t="shared" ref="AF34" si="43">IF(AB34="Incremental",0,"")</f>
        <v/>
      </c>
      <c r="AG34" s="1202"/>
      <c r="AH34" s="870" t="str">
        <f t="shared" ref="AH34" si="44">IF(OR(C34="",F34="",L34="",P34="",R34="",T34="",X34="",Z34="",AD34="",AF34=""),"",ROUND(AD34+AF34,2))</f>
        <v/>
      </c>
      <c r="AI34" s="1102"/>
      <c r="AJ34" s="1102"/>
      <c r="AK34" s="1004" t="str">
        <f t="shared" ref="AK34" si="45">IF(OR(C34="",F34="",F34="",L34="",P34="",R34="",T34="",X34="",Z34="",AD34="",AF34=""),"",IF((P34*R34)-(X34*Z34)&lt;=0,0,ROUND((P34*R34)-(X34*Z34),2)))</f>
        <v/>
      </c>
      <c r="AL34" s="1005"/>
      <c r="AM34" s="1006"/>
      <c r="AN34" s="1138" t="str">
        <f>IF(OR(C34="",F34="",F34="",L34="",P34="",R34="",T34="",X34="",Z34="",AD34="",AF34=""),"",IF(BE34&lt;&gt;"",BE34,IF(C34="Custom",AX34,IF(C34="New Construction",AY34,IF(C34="RCx",AZ34)))))</f>
        <v/>
      </c>
      <c r="AO34" s="1138"/>
      <c r="AP34" s="1138"/>
      <c r="AQ34" s="1138"/>
      <c r="AR34" s="59"/>
      <c r="AU34" s="1109" t="str">
        <f>IF(F34="","",INDEX(CUSTNONLIGHTGUNIT,MATCH(F34,PROGRAMGCAT[Category 1],0)))</f>
        <v/>
      </c>
      <c r="AV34" s="1109" t="str">
        <f>IF(OR(C34="",F34="",L34="",P34="",R34="",T34="",X34="",Z34="",AD34="",AF34=""),"",((1+GLOSS)*((AK34*INDEX(GASCB[NPV GAEC $/therm],MATCH(BA34,GASCB[Year Number],1))))/AH34))</f>
        <v/>
      </c>
      <c r="AW34" s="1103"/>
      <c r="AX34" s="1188" t="str">
        <f>IF(OR(C34="",F34="",L34="",P34="",R34="",T34="",X34="",Z34="",AB34="",AD34="",AF34=""),"",IF(AB34="Total",ROUND(MIN(AH34*0.75,AK34*INDEX(INCRATE[Gas],MATCH("CMNONLIGHT",INCRATE[Incentive Type]))),2),IF(AB34="Incremental",ROUND(MIN(AH34,AK34*INDEX(INCRATE[Gas],MATCH("CMNONLIGHT",INCRATE[Incentive Type]))),2))))</f>
        <v/>
      </c>
      <c r="AY34" s="1188" t="str">
        <f>IF(OR(C34="",F34="",L34="",P34="",R34="",T34="",X34="",Z34="",AB34="",AD34="",AF34=""),"",IF(AB34="Total",ROUND(MIN(AH34*0.75,AK34*INDEX(INCRATE[Gas],MATCH("NCNONLIGHT",INCRATE[Incentive Type]))),2),IF(AB34="Incremental",ROUND(MIN(AH34,AK34*INDEX(INCRATE[Gas],MATCH("NCNONLIGHT",INCRATE[Incentive Type]))),2))))</f>
        <v/>
      </c>
      <c r="AZ34" s="1188" t="str">
        <f>IF(OR(C34="",F34="",L34="",P34="",R34="",T34="",X34="",Z34="",AB34="",AD34="",AF34=""),"",IF(AB34="Total",ROUND(MIN(AH34*0.75,AK34*INDEX(INCRATE[Gas],MATCH("RCX",INCRATE[Incentive Type]))),2),IF(AB34="Incremental",ROUND(MIN(AH34,AK34*INDEX(INCRATE[Gas],MATCH("RCX",INCRATE[Incentive Type]))),2))))</f>
        <v/>
      </c>
      <c r="BA34" s="1103" t="str">
        <f>IF(F34="","",INDEX(PROGRAMGCAT[EUL],MATCH(F34,PROGRAMGCAT[Category 1],0)))</f>
        <v/>
      </c>
      <c r="BB34" s="1103" t="str">
        <f>IFERROR(AH34/M02S02F36/AK34,"")</f>
        <v/>
      </c>
      <c r="BC34" s="1198" t="str">
        <f>IF(OR(C34="",F34="",L34="",P34="",R34="",T34="",X34="",Z34="",AD34="",AF34=""),"",IF(ISNUMBER(AN34),INDEX(PROGRAMGCAT[Measure Number],MATCH(F34,PROGRAMGCAT[Category 1],0)),IF(AK34=0,"","000001")))</f>
        <v/>
      </c>
      <c r="BD34" s="1198"/>
      <c r="BE34" s="1103" t="str" cm="1">
        <f t="array" ref="BE34">IFERROR(_xlfn.SINGLE(IF((P34*R34)-(X34*Z34)&lt;=0,MEASURESAV,IF(M02S02F36="",MEASURERATE,IF(AND(OR(F34="Others (Incremental)",F34="Others"),M05S07F03=""),MEASURESUBMIT, IF(AND(OR(ISNUMBER(SEARCH({"Custom","New Construction"},C34))),BB34&lt;1),MEASUREPAY,IF(AV34&lt;1,MEASURECB,"")))))),MEASURESUBMIT)</f>
        <v>Submit for Review</v>
      </c>
      <c r="BF34" s="1198" t="str">
        <f t="shared" ref="BF34" si="46">IF(OR(C34="",F34="",L34="",P34="",R34="",T34="",X34="",Z34="",AB34="",AD34="",AF34=""),"",IF(AB34="Incremental",AH34,""))</f>
        <v/>
      </c>
    </row>
    <row r="35" spans="2:58" ht="15.95" customHeight="1">
      <c r="B35" s="834"/>
      <c r="C35" s="1212"/>
      <c r="D35" s="1212"/>
      <c r="E35" s="1212"/>
      <c r="F35" s="1094"/>
      <c r="G35" s="1094"/>
      <c r="H35" s="1094"/>
      <c r="I35" s="1094"/>
      <c r="J35" s="1094"/>
      <c r="K35" s="1094"/>
      <c r="L35" s="840"/>
      <c r="M35" s="841"/>
      <c r="N35" s="841"/>
      <c r="O35" s="842"/>
      <c r="P35" s="853"/>
      <c r="Q35" s="854"/>
      <c r="R35" s="1116"/>
      <c r="S35" s="1117"/>
      <c r="T35" s="1226"/>
      <c r="U35" s="1226"/>
      <c r="V35" s="1226"/>
      <c r="W35" s="1226"/>
      <c r="X35" s="853"/>
      <c r="Y35" s="854"/>
      <c r="Z35" s="1116"/>
      <c r="AA35" s="1117"/>
      <c r="AB35" s="1174"/>
      <c r="AC35" s="1174"/>
      <c r="AD35" s="875"/>
      <c r="AE35" s="1098"/>
      <c r="AF35" s="1203"/>
      <c r="AG35" s="1204"/>
      <c r="AH35" s="1136"/>
      <c r="AI35" s="1137"/>
      <c r="AJ35" s="1137"/>
      <c r="AK35" s="1007"/>
      <c r="AL35" s="1008"/>
      <c r="AM35" s="1009"/>
      <c r="AN35" s="1139"/>
      <c r="AO35" s="1139"/>
      <c r="AP35" s="1139"/>
      <c r="AQ35" s="1139"/>
      <c r="AR35" s="59"/>
      <c r="AU35" s="1108"/>
      <c r="AV35" s="1108"/>
      <c r="AW35" s="1104"/>
      <c r="AX35" s="1104"/>
      <c r="AY35" s="1104"/>
      <c r="AZ35" s="1104"/>
      <c r="BA35" s="1104"/>
      <c r="BB35" s="1104"/>
      <c r="BC35" s="1192"/>
      <c r="BD35" s="1192"/>
      <c r="BE35" s="1104"/>
      <c r="BF35" s="1192"/>
    </row>
    <row r="36" spans="2:58" ht="15.95" hidden="1" customHeight="1">
      <c r="B36" s="834">
        <v>11</v>
      </c>
      <c r="C36" s="1211"/>
      <c r="D36" s="1211"/>
      <c r="E36" s="1211"/>
      <c r="F36" s="1093"/>
      <c r="G36" s="1093"/>
      <c r="H36" s="1093"/>
      <c r="I36" s="1093"/>
      <c r="J36" s="1093"/>
      <c r="K36" s="1093"/>
      <c r="L36" s="871"/>
      <c r="M36" s="872"/>
      <c r="N36" s="872"/>
      <c r="O36" s="873"/>
      <c r="P36" s="851"/>
      <c r="Q36" s="852"/>
      <c r="R36" s="1114"/>
      <c r="S36" s="1115"/>
      <c r="T36" s="1225"/>
      <c r="U36" s="1225"/>
      <c r="V36" s="1225"/>
      <c r="W36" s="1225"/>
      <c r="X36" s="876"/>
      <c r="Y36" s="877"/>
      <c r="Z36" s="1114"/>
      <c r="AA36" s="1115"/>
      <c r="AB36" s="1173" t="str">
        <f t="shared" ref="AB36" si="47">IF(C36="New Construction","Incremental","")</f>
        <v/>
      </c>
      <c r="AC36" s="1173"/>
      <c r="AD36" s="874"/>
      <c r="AE36" s="1097"/>
      <c r="AF36" s="1201" t="str">
        <f t="shared" ref="AF36" si="48">IF(AB36="Incremental",0,"")</f>
        <v/>
      </c>
      <c r="AG36" s="1202"/>
      <c r="AH36" s="870" t="str">
        <f t="shared" ref="AH36" si="49">IF(OR(C36="",F36="",L36="",P36="",R36="",T36="",X36="",Z36="",AD36="",AF36=""),"",ROUND(AD36+AF36,2))</f>
        <v/>
      </c>
      <c r="AI36" s="1102"/>
      <c r="AJ36" s="1102"/>
      <c r="AK36" s="1217" t="str">
        <f t="shared" ref="AK36" si="50">IF(OR(C36="",F36="",F36="",L36="",P36="",R36="",T36="",X36="",Z36="",AD36="",AF36=""),"",IF((P36*R36)-(X36*Z36)&lt;=0,0,ROUND((P36*R36)-(X36*Z36),2)))</f>
        <v/>
      </c>
      <c r="AL36" s="1217"/>
      <c r="AM36" s="1217"/>
      <c r="AN36" s="1138" t="str">
        <f t="shared" ref="AN36" si="51">IF(OR(C36="",F36="",F36="",L36="",P36="",R36="",T36="",X36="",Z36="",AD36="",AF36=""),"",IF(BD36&lt;&gt;"",BD36,IF(C36="Custom",AX36,IF(C36="New Construction",AY36,IF(C36="RCx",AZ36)))))</f>
        <v/>
      </c>
      <c r="AO36" s="1138"/>
      <c r="AP36" s="1138"/>
      <c r="AQ36" s="1138"/>
      <c r="AR36" s="59"/>
      <c r="AU36" s="1109" t="str">
        <f>IF(F36="","",INDEX(CUSTNONLIGHTGUNIT,MATCH(F36,PROGRAMGCAT[Category 1],0)))</f>
        <v/>
      </c>
      <c r="AV36" s="1109" t="str">
        <f>IF(OR(C36="",F36="",L36="",P36="",R36="",T36="",X36="",Z36="",AD36="",AF36=""),"",((1+GLOSS)*((AK36*INDEX(GASCB[NPV GAEC $/therm],MATCH(BA36,GASCB[Year Number],1))))/AH36))</f>
        <v/>
      </c>
      <c r="AW36" s="1103"/>
      <c r="AX36" s="1188" t="str">
        <f>IF(OR(C36="",F36="",L36="",P36="",R36="",T36="",X36="",Z36="",AB36="",AD36="",AF36=""),"",IF(AB36="Total",ROUND(MIN(AH36*0.75,AK36*INDEX(INCRATE[Gas],MATCH("CMNONLIGHT",INCRATE[Incentive Type]))),2),IF(AB36="Incremental",ROUND(MIN(AH36,AK36*INDEX(INCRATE[Gas],MATCH("CMNONLIGHT",INCRATE[Incentive Type]))),2))))</f>
        <v/>
      </c>
      <c r="AY36" s="1188" t="str">
        <f>IF(OR(C36="",F36="",L36="",P36="",R36="",T36="",X36="",Z36="",AB36="",AD36="",AF36=""),"",IF(AB36="Total",ROUND(MIN(AH36*0.75,AK36*INDEX(INCRATE[Gas],MATCH("NCNONLIGHT",INCRATE[Incentive Type]))),2),IF(AB36="Incremental",ROUND(MIN(AH36,AK36*INDEX(INCRATE[Gas],MATCH("NCNONLIGHT",INCRATE[Incentive Type]))),2))))</f>
        <v/>
      </c>
      <c r="AZ36" s="1188" t="str">
        <f>IF(OR(C36="",F36="",L36="",P36="",R36="",T36="",X36="",Z36="",AB36="",AD36="",AF36=""),"",IF(AB36="Total",ROUND(MIN(AH36*0.75,AK36*INDEX(INCRATE[Gas],MATCH("RCX",INCRATE[Incentive Type]))),2),IF(AB36="Incremental",ROUND(MIN(AH36,AK36*INDEX(INCRATE[Gas],MATCH("RCX",INCRATE[Incentive Type]))),2))))</f>
        <v/>
      </c>
      <c r="BA36" s="1103" t="str">
        <f>IF(F36="","",INDEX(PROGRAMGCAT[EUL],MATCH(F36,PROGRAMGCAT[Category 1],0)))</f>
        <v/>
      </c>
      <c r="BB36" s="1103" t="str">
        <f>IFERROR(AH36/M02S02F36/AK36,"")</f>
        <v/>
      </c>
      <c r="BC36" s="1198" t="str">
        <f>IF(OR(C36="",F36="",L36="",P36="",R36="",T36="",X36="",Z36="",AD36="",AF36=""),"",IF(ISNUMBER(AN36),INDEX(PROGRAMGCAT[Measure Number],MATCH(F36,PROGRAMGCAT[Category 1],0)),IF(AK36=0,"","000001")))</f>
        <v/>
      </c>
      <c r="BD36" s="1103" t="str">
        <f>IFERROR(IF((P36*R36)-(X36*Z36)&lt;=0,MEASURESAV,IF(M02S02F36="",MEASURERATE,IF(OR(F36="Others (Incremental)",F36="Others"),MEASURESUBMIT, IF(BB36&lt;1,MEASUREPAY,IF(AV36&lt;1,MEASURECB,""))))),MEASURESUBMIT)</f>
        <v>Submit for Review</v>
      </c>
    </row>
    <row r="37" spans="2:58" ht="15.95" hidden="1" customHeight="1">
      <c r="B37" s="834"/>
      <c r="C37" s="1212"/>
      <c r="D37" s="1212"/>
      <c r="E37" s="1212"/>
      <c r="F37" s="1094"/>
      <c r="G37" s="1094"/>
      <c r="H37" s="1094"/>
      <c r="I37" s="1094"/>
      <c r="J37" s="1094"/>
      <c r="K37" s="1094"/>
      <c r="L37" s="840"/>
      <c r="M37" s="841"/>
      <c r="N37" s="841"/>
      <c r="O37" s="842"/>
      <c r="P37" s="853"/>
      <c r="Q37" s="854"/>
      <c r="R37" s="1116"/>
      <c r="S37" s="1117"/>
      <c r="T37" s="1226"/>
      <c r="U37" s="1226"/>
      <c r="V37" s="1226"/>
      <c r="W37" s="1226"/>
      <c r="X37" s="853"/>
      <c r="Y37" s="854"/>
      <c r="Z37" s="1116"/>
      <c r="AA37" s="1117"/>
      <c r="AB37" s="1174"/>
      <c r="AC37" s="1174"/>
      <c r="AD37" s="875"/>
      <c r="AE37" s="1098"/>
      <c r="AF37" s="1203"/>
      <c r="AG37" s="1204"/>
      <c r="AH37" s="1136"/>
      <c r="AI37" s="1137"/>
      <c r="AJ37" s="1137"/>
      <c r="AK37" s="1218"/>
      <c r="AL37" s="1218"/>
      <c r="AM37" s="1218"/>
      <c r="AN37" s="1139"/>
      <c r="AO37" s="1139"/>
      <c r="AP37" s="1139"/>
      <c r="AQ37" s="1139"/>
      <c r="AR37" s="59"/>
      <c r="AU37" s="1108"/>
      <c r="AV37" s="1108"/>
      <c r="AW37" s="1104"/>
      <c r="AX37" s="1104"/>
      <c r="AY37" s="1104"/>
      <c r="AZ37" s="1104"/>
      <c r="BA37" s="1104"/>
      <c r="BB37" s="1104"/>
      <c r="BC37" s="1192"/>
      <c r="BD37" s="1104"/>
    </row>
    <row r="38" spans="2:58" ht="15.95" hidden="1" customHeight="1">
      <c r="B38" s="834">
        <v>12</v>
      </c>
      <c r="C38" s="1211"/>
      <c r="D38" s="1211"/>
      <c r="E38" s="1211"/>
      <c r="F38" s="1093"/>
      <c r="G38" s="1093"/>
      <c r="H38" s="1093"/>
      <c r="I38" s="1093"/>
      <c r="J38" s="1093"/>
      <c r="K38" s="1093"/>
      <c r="L38" s="871"/>
      <c r="M38" s="872"/>
      <c r="N38" s="872"/>
      <c r="O38" s="873"/>
      <c r="P38" s="851"/>
      <c r="Q38" s="852"/>
      <c r="R38" s="1114"/>
      <c r="S38" s="1115"/>
      <c r="T38" s="1225"/>
      <c r="U38" s="1225"/>
      <c r="V38" s="1225"/>
      <c r="W38" s="1225"/>
      <c r="X38" s="876"/>
      <c r="Y38" s="877"/>
      <c r="Z38" s="1114"/>
      <c r="AA38" s="1115"/>
      <c r="AB38" s="1173" t="str">
        <f t="shared" ref="AB38" si="52">IF(C38="New Construction","Incremental","")</f>
        <v/>
      </c>
      <c r="AC38" s="1173"/>
      <c r="AD38" s="874"/>
      <c r="AE38" s="1097"/>
      <c r="AF38" s="1201" t="str">
        <f t="shared" ref="AF38" si="53">IF(AB38="Incremental",0,"")</f>
        <v/>
      </c>
      <c r="AG38" s="1202"/>
      <c r="AH38" s="870" t="str">
        <f t="shared" ref="AH38" si="54">IF(OR(C38="",F38="",L38="",P38="",R38="",T38="",X38="",Z38="",AD38="",AF38=""),"",ROUND(AD38+AF38,2))</f>
        <v/>
      </c>
      <c r="AI38" s="1102"/>
      <c r="AJ38" s="1102"/>
      <c r="AK38" s="1217" t="str">
        <f t="shared" ref="AK38" si="55">IF(OR(C38="",F38="",F38="",L38="",P38="",R38="",T38="",X38="",Z38="",AD38="",AF38=""),"",IF((P38*R38)-(X38*Z38)&lt;=0,0,ROUND((P38*R38)-(X38*Z38),2)))</f>
        <v/>
      </c>
      <c r="AL38" s="1217"/>
      <c r="AM38" s="1217"/>
      <c r="AN38" s="1138" t="str">
        <f t="shared" ref="AN38" si="56">IF(OR(C38="",F38="",F38="",L38="",P38="",R38="",T38="",X38="",Z38="",AD38="",AF38=""),"",IF(BD38&lt;&gt;"",BD38,IF(C38="Custom",AX38,IF(C38="New Construction",AY38,IF(C38="RCx",AZ38)))))</f>
        <v/>
      </c>
      <c r="AO38" s="1138"/>
      <c r="AP38" s="1138"/>
      <c r="AQ38" s="1138"/>
      <c r="AR38" s="59"/>
      <c r="AU38" s="1109" t="str">
        <f>IF(F38="","",INDEX(CUSTNONLIGHTGUNIT,MATCH(F38,PROGRAMGCAT[Category 1],0)))</f>
        <v/>
      </c>
      <c r="AV38" s="1109" t="str">
        <f>IF(OR(C38="",F38="",L38="",P38="",R38="",T38="",X38="",Z38="",AD38="",AF38=""),"",((1+GLOSS)*((AK38*INDEX(GASCB[NPV GAEC $/therm],MATCH(BA38,GASCB[Year Number],1))))/AH38))</f>
        <v/>
      </c>
      <c r="AW38" s="1103"/>
      <c r="AX38" s="1188" t="str">
        <f>IF(OR(C38="",F38="",L38="",P38="",R38="",T38="",X38="",Z38="",AB38="",AD38="",AF38=""),"",IF(AB38="Total",ROUND(MIN(AH38*0.75,AK38*INDEX(INCRATE[Gas],MATCH("CMNONLIGHT",INCRATE[Incentive Type]))),2),IF(AB38="Incremental",ROUND(MIN(AH38,AK38*INDEX(INCRATE[Gas],MATCH("CMNONLIGHT",INCRATE[Incentive Type]))),2))))</f>
        <v/>
      </c>
      <c r="AY38" s="1188" t="str">
        <f>IF(OR(C38="",F38="",L38="",P38="",R38="",T38="",X38="",Z38="",AB38="",AD38="",AF38=""),"",IF(AB38="Total",ROUND(MIN(AH38*0.75,AK38*INDEX(INCRATE[Gas],MATCH("NCNONLIGHT",INCRATE[Incentive Type]))),2),IF(AB38="Incremental",ROUND(MIN(AH38,AK38*INDEX(INCRATE[Gas],MATCH("NCNONLIGHT",INCRATE[Incentive Type]))),2))))</f>
        <v/>
      </c>
      <c r="AZ38" s="1188" t="str">
        <f>IF(OR(C38="",F38="",L38="",P38="",R38="",T38="",X38="",Z38="",AB38="",AD38="",AF38=""),"",IF(AB38="Total",ROUND(MIN(AH38*0.75,AK38*INDEX(INCRATE[Gas],MATCH("RCX",INCRATE[Incentive Type]))),2),IF(AB38="Incremental",ROUND(MIN(AH38,AK38*INDEX(INCRATE[Gas],MATCH("RCX",INCRATE[Incentive Type]))),2))))</f>
        <v/>
      </c>
      <c r="BA38" s="1103" t="str">
        <f>IF(F38="","",INDEX(PROGRAMGCAT[EUL],MATCH(F38,PROGRAMGCAT[Category 1],0)))</f>
        <v/>
      </c>
      <c r="BB38" s="1103" t="str">
        <f>IFERROR(AH38/M02S02F36/AK38,"")</f>
        <v/>
      </c>
      <c r="BC38" s="1198" t="str">
        <f>IF(OR(C38="",F38="",L38="",P38="",R38="",T38="",X38="",Z38="",AD38="",AF38=""),"",IF(ISNUMBER(AN38),INDEX(PROGRAMGCAT[Measure Number],MATCH(F38,PROGRAMGCAT[Category 1],0)),IF(AK38=0,"","000001")))</f>
        <v/>
      </c>
      <c r="BD38" s="1103" t="str">
        <f>IFERROR(IF((P38*R38)-(X38*Z38)&lt;=0,MEASURESAV,IF(M02S02F36="",MEASURERATE,IF(OR(F38="Others (Incremental)",F38="Others"),MEASURESUBMIT, IF(BB38&lt;1,MEASUREPAY,IF(AV38&lt;1,MEASURECB,""))))),MEASURESUBMIT)</f>
        <v>Submit for Review</v>
      </c>
    </row>
    <row r="39" spans="2:58" ht="15.95" hidden="1" customHeight="1">
      <c r="B39" s="834"/>
      <c r="C39" s="1212"/>
      <c r="D39" s="1212"/>
      <c r="E39" s="1212"/>
      <c r="F39" s="1094"/>
      <c r="G39" s="1094"/>
      <c r="H39" s="1094"/>
      <c r="I39" s="1094"/>
      <c r="J39" s="1094"/>
      <c r="K39" s="1094"/>
      <c r="L39" s="840"/>
      <c r="M39" s="841"/>
      <c r="N39" s="841"/>
      <c r="O39" s="842"/>
      <c r="P39" s="853"/>
      <c r="Q39" s="854"/>
      <c r="R39" s="1116"/>
      <c r="S39" s="1117"/>
      <c r="T39" s="1226"/>
      <c r="U39" s="1226"/>
      <c r="V39" s="1226"/>
      <c r="W39" s="1226"/>
      <c r="X39" s="853"/>
      <c r="Y39" s="854"/>
      <c r="Z39" s="1116"/>
      <c r="AA39" s="1117"/>
      <c r="AB39" s="1174"/>
      <c r="AC39" s="1174"/>
      <c r="AD39" s="875"/>
      <c r="AE39" s="1098"/>
      <c r="AF39" s="1203"/>
      <c r="AG39" s="1204"/>
      <c r="AH39" s="1136"/>
      <c r="AI39" s="1137"/>
      <c r="AJ39" s="1137"/>
      <c r="AK39" s="1218"/>
      <c r="AL39" s="1218"/>
      <c r="AM39" s="1218"/>
      <c r="AN39" s="1139"/>
      <c r="AO39" s="1139"/>
      <c r="AP39" s="1139"/>
      <c r="AQ39" s="1139"/>
      <c r="AR39" s="59"/>
      <c r="AU39" s="1108"/>
      <c r="AV39" s="1108"/>
      <c r="AW39" s="1104"/>
      <c r="AX39" s="1104"/>
      <c r="AY39" s="1104"/>
      <c r="AZ39" s="1104"/>
      <c r="BA39" s="1104"/>
      <c r="BB39" s="1104"/>
      <c r="BC39" s="1192"/>
      <c r="BD39" s="1104"/>
    </row>
    <row r="40" spans="2:58" ht="15.95" hidden="1" customHeight="1">
      <c r="B40" s="834">
        <v>13</v>
      </c>
      <c r="C40" s="1211"/>
      <c r="D40" s="1211"/>
      <c r="E40" s="1211"/>
      <c r="F40" s="1093"/>
      <c r="G40" s="1093"/>
      <c r="H40" s="1093"/>
      <c r="I40" s="1093"/>
      <c r="J40" s="1093"/>
      <c r="K40" s="1093"/>
      <c r="L40" s="871"/>
      <c r="M40" s="872"/>
      <c r="N40" s="872"/>
      <c r="O40" s="873"/>
      <c r="P40" s="851"/>
      <c r="Q40" s="852"/>
      <c r="R40" s="1114"/>
      <c r="S40" s="1115"/>
      <c r="T40" s="1225"/>
      <c r="U40" s="1225"/>
      <c r="V40" s="1225"/>
      <c r="W40" s="1225"/>
      <c r="X40" s="876"/>
      <c r="Y40" s="877"/>
      <c r="Z40" s="1114"/>
      <c r="AA40" s="1115"/>
      <c r="AB40" s="1173" t="str">
        <f t="shared" ref="AB40" si="57">IF(C40="New Construction","Incremental","")</f>
        <v/>
      </c>
      <c r="AC40" s="1173"/>
      <c r="AD40" s="874"/>
      <c r="AE40" s="1097"/>
      <c r="AF40" s="1201" t="str">
        <f t="shared" ref="AF40" si="58">IF(AB40="Incremental",0,"")</f>
        <v/>
      </c>
      <c r="AG40" s="1202"/>
      <c r="AH40" s="870" t="str">
        <f t="shared" ref="AH40" si="59">IF(OR(C40="",F40="",L40="",P40="",R40="",T40="",X40="",Z40="",AD40="",AF40=""),"",ROUND(AD40+AF40,2))</f>
        <v/>
      </c>
      <c r="AI40" s="1102"/>
      <c r="AJ40" s="1102"/>
      <c r="AK40" s="1217" t="str">
        <f t="shared" ref="AK40" si="60">IF(OR(C40="",F40="",F40="",L40="",P40="",R40="",T40="",X40="",Z40="",AD40="",AF40=""),"",IF((P40*R40)-(X40*Z40)&lt;=0,0,ROUND((P40*R40)-(X40*Z40),2)))</f>
        <v/>
      </c>
      <c r="AL40" s="1217"/>
      <c r="AM40" s="1217"/>
      <c r="AN40" s="1138" t="str">
        <f t="shared" ref="AN40" si="61">IF(OR(C40="",F40="",F40="",L40="",P40="",R40="",T40="",X40="",Z40="",AD40="",AF40=""),"",IF(BD40&lt;&gt;"",BD40,IF(C40="Custom",AX40,IF(C40="New Construction",AY40,IF(C40="RCx",AZ40)))))</f>
        <v/>
      </c>
      <c r="AO40" s="1138"/>
      <c r="AP40" s="1138"/>
      <c r="AQ40" s="1138"/>
      <c r="AR40" s="59"/>
      <c r="AU40" s="1109" t="str">
        <f>IF(F40="","",INDEX(CUSTNONLIGHTGUNIT,MATCH(F40,PROGRAMGCAT[Category 1],0)))</f>
        <v/>
      </c>
      <c r="AV40" s="1109" t="str">
        <f>IF(OR(C40="",F40="",L40="",P40="",R40="",T40="",X40="",Z40="",AD40="",AF40=""),"",((1+GLOSS)*((AK40*INDEX(GASCB[NPV GAEC $/therm],MATCH(BA40,GASCB[Year Number],1))))/AH40))</f>
        <v/>
      </c>
      <c r="AW40" s="1103"/>
      <c r="AX40" s="1188" t="str">
        <f>IF(OR(C40="",F40="",L40="",P40="",R40="",T40="",X40="",Z40="",AB40="",AD40="",AF40=""),"",IF(AB40="Total",ROUND(MIN(AH40*0.75,AK40*INDEX(INCRATE[Gas],MATCH("CMNONLIGHT",INCRATE[Incentive Type]))),2),IF(AB40="Incremental",ROUND(MIN(AH40,AK40*INDEX(INCRATE[Gas],MATCH("CMNONLIGHT",INCRATE[Incentive Type]))),2))))</f>
        <v/>
      </c>
      <c r="AY40" s="1188" t="str">
        <f>IF(OR(C40="",F40="",L40="",P40="",R40="",T40="",X40="",Z40="",AB40="",AD40="",AF40=""),"",IF(AB40="Total",ROUND(MIN(AH40*0.75,AK40*INDEX(INCRATE[Gas],MATCH("NCNONLIGHT",INCRATE[Incentive Type]))),2),IF(AB40="Incremental",ROUND(MIN(AH40,AK40*INDEX(INCRATE[Gas],MATCH("NCNONLIGHT",INCRATE[Incentive Type]))),2))))</f>
        <v/>
      </c>
      <c r="AZ40" s="1188" t="str">
        <f>IF(OR(C40="",F40="",L40="",P40="",R40="",T40="",X40="",Z40="",AB40="",AD40="",AF40=""),"",IF(AB40="Total",ROUND(MIN(AH40*0.75,AK40*INDEX(INCRATE[Gas],MATCH("RCX",INCRATE[Incentive Type]))),2),IF(AB40="Incremental",ROUND(MIN(AH40,AK40*INDEX(INCRATE[Gas],MATCH("RCX",INCRATE[Incentive Type]))),2))))</f>
        <v/>
      </c>
      <c r="BA40" s="1103" t="str">
        <f>IF(F40="","",INDEX(PROGRAMGCAT[EUL],MATCH(F40,PROGRAMGCAT[Category 1],0)))</f>
        <v/>
      </c>
      <c r="BB40" s="1103" t="str">
        <f>IFERROR(AH40/M02S02F36/AK40,"")</f>
        <v/>
      </c>
      <c r="BC40" s="1198" t="str">
        <f>IF(OR(C40="",F40="",L40="",P40="",R40="",T40="",X40="",Z40="",AD40="",AF40=""),"",IF(ISNUMBER(AN40),INDEX(PROGRAMGCAT[Measure Number],MATCH(F40,PROGRAMGCAT[Category 1],0)),IF(AK40=0,"","000001")))</f>
        <v/>
      </c>
      <c r="BD40" s="1103" t="str">
        <f>IFERROR(IF((P40*R40)-(X40*Z40)&lt;=0,MEASURESAV,IF(M02S02F36="",MEASURERATE,IF(OR(F40="Others (Incremental)",F40="Others"),MEASURESUBMIT, IF(BB40&lt;1,MEASUREPAY,IF(AV40&lt;1,MEASURECB,""))))),MEASURESUBMIT)</f>
        <v>Submit for Review</v>
      </c>
    </row>
    <row r="41" spans="2:58" ht="15.95" hidden="1" customHeight="1">
      <c r="B41" s="834"/>
      <c r="C41" s="1212"/>
      <c r="D41" s="1212"/>
      <c r="E41" s="1212"/>
      <c r="F41" s="1094"/>
      <c r="G41" s="1094"/>
      <c r="H41" s="1094"/>
      <c r="I41" s="1094"/>
      <c r="J41" s="1094"/>
      <c r="K41" s="1094"/>
      <c r="L41" s="840"/>
      <c r="M41" s="841"/>
      <c r="N41" s="841"/>
      <c r="O41" s="842"/>
      <c r="P41" s="853"/>
      <c r="Q41" s="854"/>
      <c r="R41" s="1116"/>
      <c r="S41" s="1117"/>
      <c r="T41" s="1226"/>
      <c r="U41" s="1226"/>
      <c r="V41" s="1226"/>
      <c r="W41" s="1226"/>
      <c r="X41" s="853"/>
      <c r="Y41" s="854"/>
      <c r="Z41" s="1116"/>
      <c r="AA41" s="1117"/>
      <c r="AB41" s="1174"/>
      <c r="AC41" s="1174"/>
      <c r="AD41" s="875"/>
      <c r="AE41" s="1098"/>
      <c r="AF41" s="1203"/>
      <c r="AG41" s="1204"/>
      <c r="AH41" s="1136"/>
      <c r="AI41" s="1137"/>
      <c r="AJ41" s="1137"/>
      <c r="AK41" s="1218"/>
      <c r="AL41" s="1218"/>
      <c r="AM41" s="1218"/>
      <c r="AN41" s="1139"/>
      <c r="AO41" s="1139"/>
      <c r="AP41" s="1139"/>
      <c r="AQ41" s="1139"/>
      <c r="AR41" s="59"/>
      <c r="AU41" s="1108"/>
      <c r="AV41" s="1108"/>
      <c r="AW41" s="1104"/>
      <c r="AX41" s="1104"/>
      <c r="AY41" s="1104"/>
      <c r="AZ41" s="1104"/>
      <c r="BA41" s="1104"/>
      <c r="BB41" s="1104"/>
      <c r="BC41" s="1192"/>
      <c r="BD41" s="1104"/>
    </row>
    <row r="42" spans="2:58" ht="15.95" hidden="1" customHeight="1">
      <c r="B42" s="834">
        <v>14</v>
      </c>
      <c r="C42" s="1211"/>
      <c r="D42" s="1211"/>
      <c r="E42" s="1211"/>
      <c r="F42" s="1093"/>
      <c r="G42" s="1093"/>
      <c r="H42" s="1093"/>
      <c r="I42" s="1093"/>
      <c r="J42" s="1093"/>
      <c r="K42" s="1093"/>
      <c r="L42" s="871"/>
      <c r="M42" s="872"/>
      <c r="N42" s="872"/>
      <c r="O42" s="873"/>
      <c r="P42" s="851"/>
      <c r="Q42" s="852"/>
      <c r="R42" s="1114"/>
      <c r="S42" s="1115"/>
      <c r="T42" s="1225"/>
      <c r="U42" s="1225"/>
      <c r="V42" s="1225"/>
      <c r="W42" s="1225"/>
      <c r="X42" s="876"/>
      <c r="Y42" s="877"/>
      <c r="Z42" s="1114"/>
      <c r="AA42" s="1115"/>
      <c r="AB42" s="1173" t="str">
        <f t="shared" ref="AB42" si="62">IF(C42="New Construction","Incremental","")</f>
        <v/>
      </c>
      <c r="AC42" s="1173"/>
      <c r="AD42" s="874"/>
      <c r="AE42" s="1097"/>
      <c r="AF42" s="1201" t="str">
        <f t="shared" ref="AF42" si="63">IF(AB42="Incremental",0,"")</f>
        <v/>
      </c>
      <c r="AG42" s="1202"/>
      <c r="AH42" s="870" t="str">
        <f t="shared" ref="AH42" si="64">IF(OR(C42="",F42="",L42="",P42="",R42="",T42="",X42="",Z42="",AD42="",AF42=""),"",ROUND(AD42+AF42,2))</f>
        <v/>
      </c>
      <c r="AI42" s="1102"/>
      <c r="AJ42" s="1102"/>
      <c r="AK42" s="1217" t="str">
        <f t="shared" ref="AK42" si="65">IF(OR(C42="",F42="",F42="",L42="",P42="",R42="",T42="",X42="",Z42="",AD42="",AF42=""),"",IF((P42*R42)-(X42*Z42)&lt;=0,0,ROUND((P42*R42)-(X42*Z42),2)))</f>
        <v/>
      </c>
      <c r="AL42" s="1217"/>
      <c r="AM42" s="1217"/>
      <c r="AN42" s="1138" t="str">
        <f t="shared" ref="AN42" si="66">IF(OR(C42="",F42="",F42="",L42="",P42="",R42="",T42="",X42="",Z42="",AD42="",AF42=""),"",IF(BD42&lt;&gt;"",BD42,IF(C42="Custom",AX42,IF(C42="New Construction",AY42,IF(C42="RCx",AZ42)))))</f>
        <v/>
      </c>
      <c r="AO42" s="1138"/>
      <c r="AP42" s="1138"/>
      <c r="AQ42" s="1138"/>
      <c r="AR42" s="59"/>
      <c r="AU42" s="1109" t="str">
        <f>IF(F42="","",INDEX(CUSTNONLIGHTGUNIT,MATCH(F42,PROGRAMGCAT[Category 1],0)))</f>
        <v/>
      </c>
      <c r="AV42" s="1109" t="str">
        <f>IF(OR(C42="",F42="",L42="",P42="",R42="",T42="",X42="",Z42="",AD42="",AF42=""),"",((1+GLOSS)*((AK42*INDEX(GASCB[NPV GAEC $/therm],MATCH(BA42,GASCB[Year Number],1))))/AH42))</f>
        <v/>
      </c>
      <c r="AW42" s="1103"/>
      <c r="AX42" s="1188" t="str">
        <f>IF(OR(C42="",F42="",L42="",P42="",R42="",T42="",X42="",Z42="",AB42="",AD42="",AF42=""),"",IF(AB42="Total",ROUND(MIN(AH42*0.75,AK42*INDEX(INCRATE[Gas],MATCH("CMNONLIGHT",INCRATE[Incentive Type]))),2),IF(AB42="Incremental",ROUND(MIN(AH42,AK42*INDEX(INCRATE[Gas],MATCH("CMNONLIGHT",INCRATE[Incentive Type]))),2))))</f>
        <v/>
      </c>
      <c r="AY42" s="1188" t="str">
        <f>IF(OR(C42="",F42="",L42="",P42="",R42="",T42="",X42="",Z42="",AB42="",AD42="",AF42=""),"",IF(AB42="Total",ROUND(MIN(AH42*0.75,AK42*INDEX(INCRATE[Gas],MATCH("NCNONLIGHT",INCRATE[Incentive Type]))),2),IF(AB42="Incremental",ROUND(MIN(AH42,AK42*INDEX(INCRATE[Gas],MATCH("NCNONLIGHT",INCRATE[Incentive Type]))),2))))</f>
        <v/>
      </c>
      <c r="AZ42" s="1188" t="str">
        <f>IF(OR(C42="",F42="",L42="",P42="",R42="",T42="",X42="",Z42="",AB42="",AD42="",AF42=""),"",IF(AB42="Total",ROUND(MIN(AH42*0.75,AK42*INDEX(INCRATE[Gas],MATCH("RCX",INCRATE[Incentive Type]))),2),IF(AB42="Incremental",ROUND(MIN(AH42,AK42*INDEX(INCRATE[Gas],MATCH("RCX",INCRATE[Incentive Type]))),2))))</f>
        <v/>
      </c>
      <c r="BA42" s="1103" t="str">
        <f>IF(F42="","",INDEX(PROGRAMGCAT[EUL],MATCH(F42,PROGRAMGCAT[Category 1],0)))</f>
        <v/>
      </c>
      <c r="BB42" s="1103" t="str">
        <f>IFERROR(AH42/M02S02F36/AK42,"")</f>
        <v/>
      </c>
      <c r="BC42" s="1198" t="str">
        <f>IF(OR(C42="",F42="",L42="",P42="",R42="",T42="",X42="",Z42="",AD42="",AF42=""),"",IF(ISNUMBER(AN42),INDEX(PROGRAMGCAT[Measure Number],MATCH(F42,PROGRAMGCAT[Category 1],0)),IF(AK42=0,"","000001")))</f>
        <v/>
      </c>
      <c r="BD42" s="1103" t="str">
        <f>IFERROR(IF((P42*R42)-(X42*Z42)&lt;=0,MEASURESAV,IF(M02S02F36="",MEASURERATE,IF(OR(F42="Others (Incremental)",F42="Others"),MEASURESUBMIT, IF(BB42&lt;1,MEASUREPAY,IF(AV42&lt;1,MEASURECB,""))))),MEASURESUBMIT)</f>
        <v>Submit for Review</v>
      </c>
    </row>
    <row r="43" spans="2:58" ht="15.95" hidden="1" customHeight="1">
      <c r="B43" s="834"/>
      <c r="C43" s="1212"/>
      <c r="D43" s="1212"/>
      <c r="E43" s="1212"/>
      <c r="F43" s="1094"/>
      <c r="G43" s="1094"/>
      <c r="H43" s="1094"/>
      <c r="I43" s="1094"/>
      <c r="J43" s="1094"/>
      <c r="K43" s="1094"/>
      <c r="L43" s="840"/>
      <c r="M43" s="841"/>
      <c r="N43" s="841"/>
      <c r="O43" s="842"/>
      <c r="P43" s="853"/>
      <c r="Q43" s="854"/>
      <c r="R43" s="1116"/>
      <c r="S43" s="1117"/>
      <c r="T43" s="1226"/>
      <c r="U43" s="1226"/>
      <c r="V43" s="1226"/>
      <c r="W43" s="1226"/>
      <c r="X43" s="853"/>
      <c r="Y43" s="854"/>
      <c r="Z43" s="1116"/>
      <c r="AA43" s="1117"/>
      <c r="AB43" s="1174"/>
      <c r="AC43" s="1174"/>
      <c r="AD43" s="875"/>
      <c r="AE43" s="1098"/>
      <c r="AF43" s="1203"/>
      <c r="AG43" s="1204"/>
      <c r="AH43" s="1136"/>
      <c r="AI43" s="1137"/>
      <c r="AJ43" s="1137"/>
      <c r="AK43" s="1218"/>
      <c r="AL43" s="1218"/>
      <c r="AM43" s="1218"/>
      <c r="AN43" s="1139"/>
      <c r="AO43" s="1139"/>
      <c r="AP43" s="1139"/>
      <c r="AQ43" s="1139"/>
      <c r="AR43" s="59"/>
      <c r="AU43" s="1108"/>
      <c r="AV43" s="1108"/>
      <c r="AW43" s="1104"/>
      <c r="AX43" s="1104"/>
      <c r="AY43" s="1104"/>
      <c r="AZ43" s="1104"/>
      <c r="BA43" s="1104"/>
      <c r="BB43" s="1104"/>
      <c r="BC43" s="1192"/>
      <c r="BD43" s="1104"/>
    </row>
    <row r="44" spans="2:58" ht="15.95" hidden="1" customHeight="1">
      <c r="B44" s="834">
        <v>15</v>
      </c>
      <c r="C44" s="1211"/>
      <c r="D44" s="1211"/>
      <c r="E44" s="1211"/>
      <c r="F44" s="1093"/>
      <c r="G44" s="1093"/>
      <c r="H44" s="1093"/>
      <c r="I44" s="1093"/>
      <c r="J44" s="1093"/>
      <c r="K44" s="1093"/>
      <c r="L44" s="871"/>
      <c r="M44" s="872"/>
      <c r="N44" s="872"/>
      <c r="O44" s="873"/>
      <c r="P44" s="851"/>
      <c r="Q44" s="852"/>
      <c r="R44" s="1114"/>
      <c r="S44" s="1115"/>
      <c r="T44" s="1225"/>
      <c r="U44" s="1225"/>
      <c r="V44" s="1225"/>
      <c r="W44" s="1225"/>
      <c r="X44" s="876"/>
      <c r="Y44" s="877"/>
      <c r="Z44" s="1114"/>
      <c r="AA44" s="1115"/>
      <c r="AB44" s="1173" t="str">
        <f t="shared" ref="AB44" si="67">IF(C44="New Construction","Incremental","")</f>
        <v/>
      </c>
      <c r="AC44" s="1173"/>
      <c r="AD44" s="874"/>
      <c r="AE44" s="1097"/>
      <c r="AF44" s="1201" t="str">
        <f t="shared" ref="AF44" si="68">IF(AB44="Incremental",0,"")</f>
        <v/>
      </c>
      <c r="AG44" s="1202"/>
      <c r="AH44" s="870" t="str">
        <f t="shared" ref="AH44" si="69">IF(OR(C44="",F44="",L44="",P44="",R44="",T44="",X44="",Z44="",AD44="",AF44=""),"",ROUND(AD44+AF44,2))</f>
        <v/>
      </c>
      <c r="AI44" s="1102"/>
      <c r="AJ44" s="1102"/>
      <c r="AK44" s="1217" t="str">
        <f t="shared" ref="AK44" si="70">IF(OR(C44="",F44="",F44="",L44="",P44="",R44="",T44="",X44="",Z44="",AD44="",AF44=""),"",IF((P44*R44)-(X44*Z44)&lt;=0,0,ROUND((P44*R44)-(X44*Z44),2)))</f>
        <v/>
      </c>
      <c r="AL44" s="1217"/>
      <c r="AM44" s="1217"/>
      <c r="AN44" s="1138" t="str">
        <f t="shared" ref="AN44" si="71">IF(OR(C44="",F44="",F44="",L44="",P44="",R44="",T44="",X44="",Z44="",AD44="",AF44=""),"",IF(BD44&lt;&gt;"",BD44,IF(C44="Custom",AX44,IF(C44="New Construction",AY44,IF(C44="RCx",AZ44)))))</f>
        <v/>
      </c>
      <c r="AO44" s="1138"/>
      <c r="AP44" s="1138"/>
      <c r="AQ44" s="1138"/>
      <c r="AR44" s="59"/>
      <c r="AU44" s="1109" t="str">
        <f>IF(F44="","",INDEX(CUSTNONLIGHTGUNIT,MATCH(F44,PROGRAMGCAT[Category 1],0)))</f>
        <v/>
      </c>
      <c r="AV44" s="1109" t="str">
        <f>IF(OR(C44="",F44="",L44="",P44="",R44="",T44="",X44="",Z44="",AD44="",AF44=""),"",((1+GLOSS)*((AK44*INDEX(GASCB[NPV GAEC $/therm],MATCH(BA44,GASCB[Year Number],1))))/AH44))</f>
        <v/>
      </c>
      <c r="AW44" s="1103"/>
      <c r="AX44" s="1188" t="str">
        <f>IF(OR(C44="",F44="",L44="",P44="",R44="",T44="",X44="",Z44="",AB44="",AD44="",AF44=""),"",IF(AB44="Total",ROUND(MIN(AH44*0.75,AK44*INDEX(INCRATE[Gas],MATCH("CMNONLIGHT",INCRATE[Incentive Type]))),2),IF(AB44="Incremental",ROUND(MIN(AH44,AK44*INDEX(INCRATE[Gas],MATCH("CMNONLIGHT",INCRATE[Incentive Type]))),2))))</f>
        <v/>
      </c>
      <c r="AY44" s="1188" t="str">
        <f>IF(OR(C44="",F44="",L44="",P44="",R44="",T44="",X44="",Z44="",AB44="",AD44="",AF44=""),"",IF(AB44="Total",ROUND(MIN(AH44*0.75,AK44*INDEX(INCRATE[Gas],MATCH("NCNONLIGHT",INCRATE[Incentive Type]))),2),IF(AB44="Incremental",ROUND(MIN(AH44,AK44*INDEX(INCRATE[Gas],MATCH("NCNONLIGHT",INCRATE[Incentive Type]))),2))))</f>
        <v/>
      </c>
      <c r="AZ44" s="1188" t="str">
        <f>IF(OR(C44="",F44="",L44="",P44="",R44="",T44="",X44="",Z44="",AB44="",AD44="",AF44=""),"",IF(AB44="Total",ROUND(MIN(AH44*0.75,AK44*INDEX(INCRATE[Gas],MATCH("RCX",INCRATE[Incentive Type]))),2),IF(AB44="Incremental",ROUND(MIN(AH44,AK44*INDEX(INCRATE[Gas],MATCH("RCX",INCRATE[Incentive Type]))),2))))</f>
        <v/>
      </c>
      <c r="BA44" s="1103" t="str">
        <f>IF(F44="","",INDEX(PROGRAMGCAT[EUL],MATCH(F44,PROGRAMGCAT[Category 1],0)))</f>
        <v/>
      </c>
      <c r="BB44" s="1103" t="str">
        <f>IFERROR(AH44/M02S02F36/AK44,"")</f>
        <v/>
      </c>
      <c r="BC44" s="1198" t="str">
        <f>IF(OR(C44="",F44="",L44="",P44="",R44="",T44="",X44="",Z44="",AD44="",AF44=""),"",IF(ISNUMBER(AN44),INDEX(PROGRAMGCAT[Measure Number],MATCH(F44,PROGRAMGCAT[Category 1],0)),IF(AK44=0,"","000001")))</f>
        <v/>
      </c>
      <c r="BD44" s="1103" t="str">
        <f>IFERROR(IF((P44*R44)-(X44*Z44)&lt;=0,MEASURESAV,IF(M02S02F36="",MEASURERATE,IF(OR(F44="Others (Incremental)",F44="Others"),MEASURESUBMIT, IF(BB44&lt;1,MEASUREPAY,IF(AV44&lt;1,MEASURECB,""))))),MEASURESUBMIT)</f>
        <v>Submit for Review</v>
      </c>
    </row>
    <row r="45" spans="2:58" ht="15.95" hidden="1" customHeight="1">
      <c r="B45" s="834"/>
      <c r="C45" s="1212"/>
      <c r="D45" s="1212"/>
      <c r="E45" s="1212"/>
      <c r="F45" s="1094"/>
      <c r="G45" s="1094"/>
      <c r="H45" s="1094"/>
      <c r="I45" s="1094"/>
      <c r="J45" s="1094"/>
      <c r="K45" s="1094"/>
      <c r="L45" s="840"/>
      <c r="M45" s="841"/>
      <c r="N45" s="841"/>
      <c r="O45" s="842"/>
      <c r="P45" s="853"/>
      <c r="Q45" s="854"/>
      <c r="R45" s="1116"/>
      <c r="S45" s="1117"/>
      <c r="T45" s="1226"/>
      <c r="U45" s="1226"/>
      <c r="V45" s="1226"/>
      <c r="W45" s="1226"/>
      <c r="X45" s="853"/>
      <c r="Y45" s="854"/>
      <c r="Z45" s="1116"/>
      <c r="AA45" s="1117"/>
      <c r="AB45" s="1174"/>
      <c r="AC45" s="1174"/>
      <c r="AD45" s="875"/>
      <c r="AE45" s="1098"/>
      <c r="AF45" s="1203"/>
      <c r="AG45" s="1204"/>
      <c r="AH45" s="1136"/>
      <c r="AI45" s="1137"/>
      <c r="AJ45" s="1137"/>
      <c r="AK45" s="1218"/>
      <c r="AL45" s="1218"/>
      <c r="AM45" s="1218"/>
      <c r="AN45" s="1139"/>
      <c r="AO45" s="1139"/>
      <c r="AP45" s="1139"/>
      <c r="AQ45" s="1139"/>
      <c r="AR45" s="59"/>
      <c r="AU45" s="1108"/>
      <c r="AV45" s="1108"/>
      <c r="AW45" s="1104"/>
      <c r="AX45" s="1104"/>
      <c r="AY45" s="1104"/>
      <c r="AZ45" s="1104"/>
      <c r="BA45" s="1104"/>
      <c r="BB45" s="1104"/>
      <c r="BC45" s="1192"/>
      <c r="BD45" s="1104"/>
    </row>
    <row r="46" spans="2:58" ht="15.95" hidden="1" customHeight="1">
      <c r="B46" s="834">
        <v>16</v>
      </c>
      <c r="C46" s="1211"/>
      <c r="D46" s="1211"/>
      <c r="E46" s="1211"/>
      <c r="F46" s="1093"/>
      <c r="G46" s="1093"/>
      <c r="H46" s="1093"/>
      <c r="I46" s="1093"/>
      <c r="J46" s="1093"/>
      <c r="K46" s="1093"/>
      <c r="L46" s="871"/>
      <c r="M46" s="872"/>
      <c r="N46" s="872"/>
      <c r="O46" s="873"/>
      <c r="P46" s="851"/>
      <c r="Q46" s="852"/>
      <c r="R46" s="1114"/>
      <c r="S46" s="1115"/>
      <c r="T46" s="1225"/>
      <c r="U46" s="1225"/>
      <c r="V46" s="1225"/>
      <c r="W46" s="1225"/>
      <c r="X46" s="876"/>
      <c r="Y46" s="877"/>
      <c r="Z46" s="1114"/>
      <c r="AA46" s="1115"/>
      <c r="AB46" s="1173" t="str">
        <f t="shared" ref="AB46" si="72">IF(C46="New Construction","Incremental","")</f>
        <v/>
      </c>
      <c r="AC46" s="1173"/>
      <c r="AD46" s="874"/>
      <c r="AE46" s="1097"/>
      <c r="AF46" s="1201" t="str">
        <f t="shared" ref="AF46" si="73">IF(AB46="Incremental",0,"")</f>
        <v/>
      </c>
      <c r="AG46" s="1202"/>
      <c r="AH46" s="870" t="str">
        <f t="shared" ref="AH46" si="74">IF(OR(C46="",F46="",L46="",P46="",R46="",T46="",X46="",Z46="",AD46="",AF46=""),"",ROUND(AD46+AF46,2))</f>
        <v/>
      </c>
      <c r="AI46" s="1102"/>
      <c r="AJ46" s="1102"/>
      <c r="AK46" s="1217" t="str">
        <f t="shared" ref="AK46" si="75">IF(OR(C46="",F46="",F46="",L46="",P46="",R46="",T46="",X46="",Z46="",AD46="",AF46=""),"",IF((P46*R46)-(X46*Z46)&lt;=0,0,ROUND((P46*R46)-(X46*Z46),2)))</f>
        <v/>
      </c>
      <c r="AL46" s="1217"/>
      <c r="AM46" s="1217"/>
      <c r="AN46" s="1138" t="str">
        <f t="shared" ref="AN46" si="76">IF(OR(C46="",F46="",F46="",L46="",P46="",R46="",T46="",X46="",Z46="",AD46="",AF46=""),"",IF(BD46&lt;&gt;"",BD46,IF(C46="Custom",AX46,IF(C46="New Construction",AY46,IF(C46="RCx",AZ46)))))</f>
        <v/>
      </c>
      <c r="AO46" s="1138"/>
      <c r="AP46" s="1138"/>
      <c r="AQ46" s="1138"/>
      <c r="AR46" s="59"/>
      <c r="AU46" s="1109" t="str">
        <f>IF(F46="","",INDEX(CUSTNONLIGHTGUNIT,MATCH(F46,PROGRAMGCAT[Category 1],0)))</f>
        <v/>
      </c>
      <c r="AV46" s="1109" t="str">
        <f>IF(OR(C46="",F46="",L46="",P46="",R46="",T46="",X46="",Z46="",AD46="",AF46=""),"",((1+GLOSS)*((AK46*INDEX(GASCB[NPV GAEC $/therm],MATCH(BA46,GASCB[Year Number],1))))/AH46))</f>
        <v/>
      </c>
      <c r="AW46" s="1103"/>
      <c r="AX46" s="1188" t="str">
        <f>IF(OR(C46="",F46="",L46="",P46="",R46="",T46="",X46="",Z46="",AB46="",AD46="",AF46=""),"",IF(AB46="Total",ROUND(MIN(AH46*0.75,AK46*INDEX(INCRATE[Gas],MATCH("CMNONLIGHT",INCRATE[Incentive Type]))),2),IF(AB46="Incremental",ROUND(MIN(AH46,AK46*INDEX(INCRATE[Gas],MATCH("CMNONLIGHT",INCRATE[Incentive Type]))),2))))</f>
        <v/>
      </c>
      <c r="AY46" s="1188" t="str">
        <f>IF(OR(C46="",F46="",L46="",P46="",R46="",T46="",X46="",Z46="",AB46="",AD46="",AF46=""),"",IF(AB46="Total",ROUND(MIN(AH46*0.75,AK46*INDEX(INCRATE[Gas],MATCH("NCNONLIGHT",INCRATE[Incentive Type]))),2),IF(AB46="Incremental",ROUND(MIN(AH46,AK46*INDEX(INCRATE[Gas],MATCH("NCNONLIGHT",INCRATE[Incentive Type]))),2))))</f>
        <v/>
      </c>
      <c r="AZ46" s="1188" t="str">
        <f>IF(OR(C46="",F46="",L46="",P46="",R46="",T46="",X46="",Z46="",AB46="",AD46="",AF46=""),"",IF(AB46="Total",ROUND(MIN(AH46*0.75,AK46*INDEX(INCRATE[Gas],MATCH("RCX",INCRATE[Incentive Type]))),2),IF(AB46="Incremental",ROUND(MIN(AH46,AK46*INDEX(INCRATE[Gas],MATCH("RCX",INCRATE[Incentive Type]))),2))))</f>
        <v/>
      </c>
      <c r="BA46" s="1103" t="str">
        <f>IF(F46="","",INDEX(PROGRAMGCAT[EUL],MATCH(F46,PROGRAMGCAT[Category 1],0)))</f>
        <v/>
      </c>
      <c r="BB46" s="1103" t="str">
        <f>IFERROR(AH46/M02S02F36/AK46,"")</f>
        <v/>
      </c>
      <c r="BC46" s="1198" t="str">
        <f>IF(OR(C46="",F46="",L46="",P46="",R46="",T46="",X46="",Z46="",AD46="",AF46=""),"",IF(ISNUMBER(AN46),INDEX(PROGRAMGCAT[Measure Number],MATCH(F46,PROGRAMGCAT[Category 1],0)),IF(AK46=0,"","000001")))</f>
        <v/>
      </c>
      <c r="BD46" s="1103" t="str">
        <f>IFERROR(IF((P46*R46)-(X46*Z46)&lt;=0,MEASURESAV,IF(M02S02F36="",MEASURERATE,IF(OR(F46="Others (Incremental)",F46="Others"),MEASURESUBMIT, IF(BB46&lt;1,MEASUREPAY,IF(AV46&lt;1,MEASURECB,""))))),MEASURESUBMIT)</f>
        <v>Submit for Review</v>
      </c>
    </row>
    <row r="47" spans="2:58" ht="15.95" hidden="1" customHeight="1">
      <c r="B47" s="834"/>
      <c r="C47" s="1212"/>
      <c r="D47" s="1212"/>
      <c r="E47" s="1212"/>
      <c r="F47" s="1094"/>
      <c r="G47" s="1094"/>
      <c r="H47" s="1094"/>
      <c r="I47" s="1094"/>
      <c r="J47" s="1094"/>
      <c r="K47" s="1094"/>
      <c r="L47" s="840"/>
      <c r="M47" s="841"/>
      <c r="N47" s="841"/>
      <c r="O47" s="842"/>
      <c r="P47" s="853"/>
      <c r="Q47" s="854"/>
      <c r="R47" s="1116"/>
      <c r="S47" s="1117"/>
      <c r="T47" s="1226"/>
      <c r="U47" s="1226"/>
      <c r="V47" s="1226"/>
      <c r="W47" s="1226"/>
      <c r="X47" s="853"/>
      <c r="Y47" s="854"/>
      <c r="Z47" s="1116"/>
      <c r="AA47" s="1117"/>
      <c r="AB47" s="1174"/>
      <c r="AC47" s="1174"/>
      <c r="AD47" s="875"/>
      <c r="AE47" s="1098"/>
      <c r="AF47" s="1203"/>
      <c r="AG47" s="1204"/>
      <c r="AH47" s="1136"/>
      <c r="AI47" s="1137"/>
      <c r="AJ47" s="1137"/>
      <c r="AK47" s="1218"/>
      <c r="AL47" s="1218"/>
      <c r="AM47" s="1218"/>
      <c r="AN47" s="1139"/>
      <c r="AO47" s="1139"/>
      <c r="AP47" s="1139"/>
      <c r="AQ47" s="1139"/>
      <c r="AR47" s="59"/>
      <c r="AU47" s="1108"/>
      <c r="AV47" s="1108"/>
      <c r="AW47" s="1104"/>
      <c r="AX47" s="1104"/>
      <c r="AY47" s="1104"/>
      <c r="AZ47" s="1104"/>
      <c r="BA47" s="1104"/>
      <c r="BB47" s="1104"/>
      <c r="BC47" s="1192"/>
      <c r="BD47" s="1104"/>
    </row>
    <row r="48" spans="2:58" ht="15.95" hidden="1" customHeight="1">
      <c r="B48" s="834">
        <v>17</v>
      </c>
      <c r="C48" s="1211"/>
      <c r="D48" s="1211"/>
      <c r="E48" s="1211"/>
      <c r="F48" s="1093"/>
      <c r="G48" s="1093"/>
      <c r="H48" s="1093"/>
      <c r="I48" s="1093"/>
      <c r="J48" s="1093"/>
      <c r="K48" s="1093"/>
      <c r="L48" s="871"/>
      <c r="M48" s="872"/>
      <c r="N48" s="872"/>
      <c r="O48" s="873"/>
      <c r="P48" s="851"/>
      <c r="Q48" s="852"/>
      <c r="R48" s="1114"/>
      <c r="S48" s="1115"/>
      <c r="T48" s="1225"/>
      <c r="U48" s="1225"/>
      <c r="V48" s="1225"/>
      <c r="W48" s="1225"/>
      <c r="X48" s="876"/>
      <c r="Y48" s="877"/>
      <c r="Z48" s="1114"/>
      <c r="AA48" s="1115"/>
      <c r="AB48" s="1173" t="str">
        <f t="shared" ref="AB48" si="77">IF(C48="New Construction","Incremental","")</f>
        <v/>
      </c>
      <c r="AC48" s="1173"/>
      <c r="AD48" s="874"/>
      <c r="AE48" s="1097"/>
      <c r="AF48" s="1201" t="str">
        <f t="shared" ref="AF48" si="78">IF(AB48="Incremental",0,"")</f>
        <v/>
      </c>
      <c r="AG48" s="1202"/>
      <c r="AH48" s="870" t="str">
        <f t="shared" ref="AH48" si="79">IF(OR(C48="",F48="",L48="",P48="",R48="",T48="",X48="",Z48="",AD48="",AF48=""),"",ROUND(AD48+AF48,2))</f>
        <v/>
      </c>
      <c r="AI48" s="1102"/>
      <c r="AJ48" s="1102"/>
      <c r="AK48" s="1217" t="str">
        <f t="shared" ref="AK48" si="80">IF(OR(C48="",F48="",F48="",L48="",P48="",R48="",T48="",X48="",Z48="",AD48="",AF48=""),"",IF((P48*R48)-(X48*Z48)&lt;=0,0,ROUND((P48*R48)-(X48*Z48),2)))</f>
        <v/>
      </c>
      <c r="AL48" s="1217"/>
      <c r="AM48" s="1217"/>
      <c r="AN48" s="1138" t="str">
        <f t="shared" ref="AN48" si="81">IF(OR(C48="",F48="",F48="",L48="",P48="",R48="",T48="",X48="",Z48="",AD48="",AF48=""),"",IF(BD48&lt;&gt;"",BD48,IF(C48="Custom",AX48,IF(C48="New Construction",AY48,IF(C48="RCx",AZ48)))))</f>
        <v/>
      </c>
      <c r="AO48" s="1138"/>
      <c r="AP48" s="1138"/>
      <c r="AQ48" s="1138"/>
      <c r="AR48" s="59"/>
      <c r="AU48" s="1109" t="str">
        <f>IF(F48="","",INDEX(CUSTNONLIGHTGUNIT,MATCH(F48,PROGRAMGCAT[Category 1],0)))</f>
        <v/>
      </c>
      <c r="AV48" s="1109" t="str">
        <f>IF(OR(C48="",F48="",L48="",P48="",R48="",T48="",X48="",Z48="",AD48="",AF48=""),"",((1+GLOSS)*((AK48*INDEX(GASCB[NPV GAEC $/therm],MATCH(BA48,GASCB[Year Number],1))))/AH48))</f>
        <v/>
      </c>
      <c r="AW48" s="1103"/>
      <c r="AX48" s="1188" t="str">
        <f>IF(OR(C48="",F48="",L48="",P48="",R48="",T48="",X48="",Z48="",AB48="",AD48="",AF48=""),"",IF(AB48="Total",ROUND(MIN(AH48*0.75,AK48*INDEX(INCRATE[Gas],MATCH("CMNONLIGHT",INCRATE[Incentive Type]))),2),IF(AB48="Incremental",ROUND(MIN(AH48,AK48*INDEX(INCRATE[Gas],MATCH("CMNONLIGHT",INCRATE[Incentive Type]))),2))))</f>
        <v/>
      </c>
      <c r="AY48" s="1188" t="str">
        <f>IF(OR(C48="",F48="",L48="",P48="",R48="",T48="",X48="",Z48="",AB48="",AD48="",AF48=""),"",IF(AB48="Total",ROUND(MIN(AH48*0.75,AK48*INDEX(INCRATE[Gas],MATCH("NCNONLIGHT",INCRATE[Incentive Type]))),2),IF(AB48="Incremental",ROUND(MIN(AH48,AK48*INDEX(INCRATE[Gas],MATCH("NCNONLIGHT",INCRATE[Incentive Type]))),2))))</f>
        <v/>
      </c>
      <c r="AZ48" s="1188" t="str">
        <f>IF(OR(C48="",F48="",L48="",P48="",R48="",T48="",X48="",Z48="",AB48="",AD48="",AF48=""),"",IF(AB48="Total",ROUND(MIN(AH48*0.75,AK48*INDEX(INCRATE[Gas],MATCH("RCX",INCRATE[Incentive Type]))),2),IF(AB48="Incremental",ROUND(MIN(AH48,AK48*INDEX(INCRATE[Gas],MATCH("RCX",INCRATE[Incentive Type]))),2))))</f>
        <v/>
      </c>
      <c r="BA48" s="1103" t="str">
        <f>IF(F48="","",INDEX(PROGRAMGCAT[EUL],MATCH(F48,PROGRAMGCAT[Category 1],0)))</f>
        <v/>
      </c>
      <c r="BB48" s="1103" t="str">
        <f>IFERROR(AH48/M02S02F36/AK48,"")</f>
        <v/>
      </c>
      <c r="BC48" s="1198" t="str">
        <f>IF(OR(C48="",F48="",L48="",P48="",R48="",T48="",X48="",Z48="",AD48="",AF48=""),"",IF(ISNUMBER(AN48),INDEX(PROGRAMGCAT[Measure Number],MATCH(F48,PROGRAMGCAT[Category 1],0)),IF(AK48=0,"","000001")))</f>
        <v/>
      </c>
      <c r="BD48" s="1103" t="str">
        <f>IFERROR(IF((P48*R48)-(X48*Z48)&lt;=0,MEASURESAV,IF(M02S02F36="",MEASURERATE,IF(OR(F48="Others (Incremental)",F48="Others"),MEASURESUBMIT, IF(BB48&lt;1,MEASUREPAY,IF(AV48&lt;1,MEASURECB,""))))),MEASURESUBMIT)</f>
        <v>Submit for Review</v>
      </c>
    </row>
    <row r="49" spans="2:56" ht="15.95" hidden="1" customHeight="1">
      <c r="B49" s="834"/>
      <c r="C49" s="1212"/>
      <c r="D49" s="1212"/>
      <c r="E49" s="1212"/>
      <c r="F49" s="1094"/>
      <c r="G49" s="1094"/>
      <c r="H49" s="1094"/>
      <c r="I49" s="1094"/>
      <c r="J49" s="1094"/>
      <c r="K49" s="1094"/>
      <c r="L49" s="840"/>
      <c r="M49" s="841"/>
      <c r="N49" s="841"/>
      <c r="O49" s="842"/>
      <c r="P49" s="853"/>
      <c r="Q49" s="854"/>
      <c r="R49" s="1116"/>
      <c r="S49" s="1117"/>
      <c r="T49" s="1226"/>
      <c r="U49" s="1226"/>
      <c r="V49" s="1226"/>
      <c r="W49" s="1226"/>
      <c r="X49" s="853"/>
      <c r="Y49" s="854"/>
      <c r="Z49" s="1116"/>
      <c r="AA49" s="1117"/>
      <c r="AB49" s="1174"/>
      <c r="AC49" s="1174"/>
      <c r="AD49" s="875"/>
      <c r="AE49" s="1098"/>
      <c r="AF49" s="1203"/>
      <c r="AG49" s="1204"/>
      <c r="AH49" s="1136"/>
      <c r="AI49" s="1137"/>
      <c r="AJ49" s="1137"/>
      <c r="AK49" s="1218"/>
      <c r="AL49" s="1218"/>
      <c r="AM49" s="1218"/>
      <c r="AN49" s="1139"/>
      <c r="AO49" s="1139"/>
      <c r="AP49" s="1139"/>
      <c r="AQ49" s="1139"/>
      <c r="AR49" s="59"/>
      <c r="AU49" s="1108"/>
      <c r="AV49" s="1108"/>
      <c r="AW49" s="1104"/>
      <c r="AX49" s="1104"/>
      <c r="AY49" s="1104"/>
      <c r="AZ49" s="1104"/>
      <c r="BA49" s="1104"/>
      <c r="BB49" s="1104"/>
      <c r="BC49" s="1192"/>
      <c r="BD49" s="1104"/>
    </row>
    <row r="50" spans="2:56" ht="15.95" hidden="1" customHeight="1">
      <c r="B50" s="834">
        <v>18</v>
      </c>
      <c r="C50" s="1211"/>
      <c r="D50" s="1211"/>
      <c r="E50" s="1211"/>
      <c r="F50" s="1093"/>
      <c r="G50" s="1093"/>
      <c r="H50" s="1093"/>
      <c r="I50" s="1093"/>
      <c r="J50" s="1093"/>
      <c r="K50" s="1093"/>
      <c r="L50" s="871"/>
      <c r="M50" s="872"/>
      <c r="N50" s="872"/>
      <c r="O50" s="873"/>
      <c r="P50" s="851"/>
      <c r="Q50" s="852"/>
      <c r="R50" s="1114"/>
      <c r="S50" s="1115"/>
      <c r="T50" s="1225"/>
      <c r="U50" s="1225"/>
      <c r="V50" s="1225"/>
      <c r="W50" s="1225"/>
      <c r="X50" s="876"/>
      <c r="Y50" s="877"/>
      <c r="Z50" s="1114"/>
      <c r="AA50" s="1115"/>
      <c r="AB50" s="1173" t="str">
        <f t="shared" ref="AB50" si="82">IF(C50="New Construction","Incremental","")</f>
        <v/>
      </c>
      <c r="AC50" s="1173"/>
      <c r="AD50" s="874"/>
      <c r="AE50" s="1097"/>
      <c r="AF50" s="1201" t="str">
        <f t="shared" ref="AF50" si="83">IF(AB50="Incremental",0,"")</f>
        <v/>
      </c>
      <c r="AG50" s="1202"/>
      <c r="AH50" s="870" t="str">
        <f t="shared" ref="AH50" si="84">IF(OR(C50="",F50="",L50="",P50="",R50="",T50="",X50="",Z50="",AD50="",AF50=""),"",ROUND(AD50+AF50,2))</f>
        <v/>
      </c>
      <c r="AI50" s="1102"/>
      <c r="AJ50" s="1102"/>
      <c r="AK50" s="1217" t="str">
        <f t="shared" ref="AK50" si="85">IF(OR(C50="",F50="",F50="",L50="",P50="",R50="",T50="",X50="",Z50="",AD50="",AF50=""),"",IF((P50*R50)-(X50*Z50)&lt;=0,0,ROUND((P50*R50)-(X50*Z50),2)))</f>
        <v/>
      </c>
      <c r="AL50" s="1217"/>
      <c r="AM50" s="1217"/>
      <c r="AN50" s="1138" t="str">
        <f t="shared" ref="AN50" si="86">IF(OR(C50="",F50="",F50="",L50="",P50="",R50="",T50="",X50="",Z50="",AD50="",AF50=""),"",IF(BD50&lt;&gt;"",BD50,IF(C50="Custom",AX50,IF(C50="New Construction",AY50,IF(C50="RCx",AZ50)))))</f>
        <v/>
      </c>
      <c r="AO50" s="1138"/>
      <c r="AP50" s="1138"/>
      <c r="AQ50" s="1138"/>
      <c r="AR50" s="59"/>
      <c r="AU50" s="1109" t="str">
        <f>IF(F50="","",INDEX(CUSTNONLIGHTGUNIT,MATCH(F50,PROGRAMGCAT[Category 1],0)))</f>
        <v/>
      </c>
      <c r="AV50" s="1109" t="str">
        <f>IF(OR(C50="",F50="",L50="",P50="",R50="",T50="",X50="",Z50="",AD50="",AF50=""),"",((1+GLOSS)*((AK50*INDEX(GASCB[NPV GAEC $/therm],MATCH(BA50,GASCB[Year Number],1))))/AH50))</f>
        <v/>
      </c>
      <c r="AW50" s="1103"/>
      <c r="AX50" s="1188" t="str">
        <f>IF(OR(C50="",F50="",L50="",P50="",R50="",T50="",X50="",Z50="",AB50="",AD50="",AF50=""),"",IF(AB50="Total",ROUND(MIN(AH50*0.75,AK50*INDEX(INCRATE[Gas],MATCH("CMNONLIGHT",INCRATE[Incentive Type]))),2),IF(AB50="Incremental",ROUND(MIN(AH50,AK50*INDEX(INCRATE[Gas],MATCH("CMNONLIGHT",INCRATE[Incentive Type]))),2))))</f>
        <v/>
      </c>
      <c r="AY50" s="1188" t="str">
        <f>IF(OR(C50="",F50="",L50="",P50="",R50="",T50="",X50="",Z50="",AB50="",AD50="",AF50=""),"",IF(AB50="Total",ROUND(MIN(AH50*0.75,AK50*INDEX(INCRATE[Gas],MATCH("NCNONLIGHT",INCRATE[Incentive Type]))),2),IF(AB50="Incremental",ROUND(MIN(AH50,AK50*INDEX(INCRATE[Gas],MATCH("NCNONLIGHT",INCRATE[Incentive Type]))),2))))</f>
        <v/>
      </c>
      <c r="AZ50" s="1188" t="str">
        <f>IF(OR(C50="",F50="",L50="",P50="",R50="",T50="",X50="",Z50="",AB50="",AD50="",AF50=""),"",IF(AB50="Total",ROUND(MIN(AH50*0.75,AK50*INDEX(INCRATE[Gas],MATCH("RCX",INCRATE[Incentive Type]))),2),IF(AB50="Incremental",ROUND(MIN(AH50,AK50*INDEX(INCRATE[Gas],MATCH("RCX",INCRATE[Incentive Type]))),2))))</f>
        <v/>
      </c>
      <c r="BA50" s="1103" t="str">
        <f>IF(F50="","",INDEX(PROGRAMGCAT[EUL],MATCH(F50,PROGRAMGCAT[Category 1],0)))</f>
        <v/>
      </c>
      <c r="BB50" s="1103" t="str">
        <f>IFERROR(AH50/M02S02F36/AK50,"")</f>
        <v/>
      </c>
      <c r="BC50" s="1198" t="str">
        <f>IF(OR(C50="",F50="",L50="",P50="",R50="",T50="",X50="",Z50="",AD50="",AF50=""),"",IF(ISNUMBER(AN50),INDEX(PROGRAMGCAT[Measure Number],MATCH(F50,PROGRAMGCAT[Category 1],0)),IF(AK50=0,"","000001")))</f>
        <v/>
      </c>
      <c r="BD50" s="1103" t="str">
        <f>IFERROR(IF((P50*R50)-(X50*Z50)&lt;=0,MEASURESAV,IF(M02S02F36="",MEASURERATE,IF(OR(F50="Others (Incremental)",F50="Others"),MEASURESUBMIT, IF(BB50&lt;1,MEASUREPAY,IF(AV50&lt;1,MEASURECB,""))))),MEASURESUBMIT)</f>
        <v>Submit for Review</v>
      </c>
    </row>
    <row r="51" spans="2:56" ht="15.95" hidden="1" customHeight="1">
      <c r="B51" s="834"/>
      <c r="C51" s="1212"/>
      <c r="D51" s="1212"/>
      <c r="E51" s="1212"/>
      <c r="F51" s="1094"/>
      <c r="G51" s="1094"/>
      <c r="H51" s="1094"/>
      <c r="I51" s="1094"/>
      <c r="J51" s="1094"/>
      <c r="K51" s="1094"/>
      <c r="L51" s="840"/>
      <c r="M51" s="841"/>
      <c r="N51" s="841"/>
      <c r="O51" s="842"/>
      <c r="P51" s="853"/>
      <c r="Q51" s="854"/>
      <c r="R51" s="1116"/>
      <c r="S51" s="1117"/>
      <c r="T51" s="1226"/>
      <c r="U51" s="1226"/>
      <c r="V51" s="1226"/>
      <c r="W51" s="1226"/>
      <c r="X51" s="853"/>
      <c r="Y51" s="854"/>
      <c r="Z51" s="1116"/>
      <c r="AA51" s="1117"/>
      <c r="AB51" s="1174"/>
      <c r="AC51" s="1174"/>
      <c r="AD51" s="875"/>
      <c r="AE51" s="1098"/>
      <c r="AF51" s="1203"/>
      <c r="AG51" s="1204"/>
      <c r="AH51" s="1136"/>
      <c r="AI51" s="1137"/>
      <c r="AJ51" s="1137"/>
      <c r="AK51" s="1218"/>
      <c r="AL51" s="1218"/>
      <c r="AM51" s="1218"/>
      <c r="AN51" s="1139"/>
      <c r="AO51" s="1139"/>
      <c r="AP51" s="1139"/>
      <c r="AQ51" s="1139"/>
      <c r="AR51" s="59"/>
      <c r="AU51" s="1108"/>
      <c r="AV51" s="1108"/>
      <c r="AW51" s="1104"/>
      <c r="AX51" s="1104"/>
      <c r="AY51" s="1104"/>
      <c r="AZ51" s="1104"/>
      <c r="BA51" s="1104"/>
      <c r="BB51" s="1104"/>
      <c r="BC51" s="1192"/>
      <c r="BD51" s="1104"/>
    </row>
    <row r="52" spans="2:56" ht="15.95" hidden="1" customHeight="1">
      <c r="B52" s="834">
        <v>19</v>
      </c>
      <c r="C52" s="1211"/>
      <c r="D52" s="1211"/>
      <c r="E52" s="1211"/>
      <c r="F52" s="1093"/>
      <c r="G52" s="1093"/>
      <c r="H52" s="1093"/>
      <c r="I52" s="1093"/>
      <c r="J52" s="1093"/>
      <c r="K52" s="1093"/>
      <c r="L52" s="871"/>
      <c r="M52" s="872"/>
      <c r="N52" s="872"/>
      <c r="O52" s="873"/>
      <c r="P52" s="851"/>
      <c r="Q52" s="852"/>
      <c r="R52" s="1114"/>
      <c r="S52" s="1115"/>
      <c r="T52" s="1225"/>
      <c r="U52" s="1225"/>
      <c r="V52" s="1225"/>
      <c r="W52" s="1225"/>
      <c r="X52" s="876"/>
      <c r="Y52" s="877"/>
      <c r="Z52" s="1114"/>
      <c r="AA52" s="1115"/>
      <c r="AB52" s="1173" t="str">
        <f t="shared" ref="AB52" si="87">IF(C52="New Construction","Incremental","")</f>
        <v/>
      </c>
      <c r="AC52" s="1173"/>
      <c r="AD52" s="874"/>
      <c r="AE52" s="1097"/>
      <c r="AF52" s="1201" t="str">
        <f t="shared" ref="AF52" si="88">IF(AB52="Incremental",0,"")</f>
        <v/>
      </c>
      <c r="AG52" s="1202"/>
      <c r="AH52" s="870" t="str">
        <f t="shared" ref="AH52" si="89">IF(OR(C52="",F52="",L52="",P52="",R52="",T52="",X52="",Z52="",AD52="",AF52=""),"",ROUND(AD52+AF52,2))</f>
        <v/>
      </c>
      <c r="AI52" s="1102"/>
      <c r="AJ52" s="1102"/>
      <c r="AK52" s="1217" t="str">
        <f t="shared" ref="AK52" si="90">IF(OR(C52="",F52="",F52="",L52="",P52="",R52="",T52="",X52="",Z52="",AD52="",AF52=""),"",IF((P52*R52)-(X52*Z52)&lt;=0,0,ROUND((P52*R52)-(X52*Z52),2)))</f>
        <v/>
      </c>
      <c r="AL52" s="1217"/>
      <c r="AM52" s="1217"/>
      <c r="AN52" s="1138" t="str">
        <f t="shared" ref="AN52" si="91">IF(OR(C52="",F52="",F52="",L52="",P52="",R52="",T52="",X52="",Z52="",AD52="",AF52=""),"",IF(BD52&lt;&gt;"",BD52,IF(C52="Custom",AX52,IF(C52="New Construction",AY52,IF(C52="RCx",AZ52)))))</f>
        <v/>
      </c>
      <c r="AO52" s="1138"/>
      <c r="AP52" s="1138"/>
      <c r="AQ52" s="1138"/>
      <c r="AR52" s="59"/>
      <c r="AU52" s="1109" t="str">
        <f>IF(F52="","",INDEX(CUSTNONLIGHTGUNIT,MATCH(F52,PROGRAMGCAT[Category 1],0)))</f>
        <v/>
      </c>
      <c r="AV52" s="1109" t="str">
        <f>IF(OR(C52="",F52="",L52="",P52="",R52="",T52="",X52="",Z52="",AD52="",AF52=""),"",((1+GLOSS)*((AK52*INDEX(GASCB[NPV GAEC $/therm],MATCH(BA52,GASCB[Year Number],1))))/AH52))</f>
        <v/>
      </c>
      <c r="AW52" s="1103"/>
      <c r="AX52" s="1188" t="str">
        <f>IF(OR(C52="",F52="",L52="",P52="",R52="",T52="",X52="",Z52="",AB52="",AD52="",AF52=""),"",IF(AB52="Total",ROUND(MIN(AH52*0.75,AK52*INDEX(INCRATE[Gas],MATCH("CMNONLIGHT",INCRATE[Incentive Type]))),2),IF(AB52="Incremental",ROUND(MIN(AH52,AK52*INDEX(INCRATE[Gas],MATCH("CMNONLIGHT",INCRATE[Incentive Type]))),2))))</f>
        <v/>
      </c>
      <c r="AY52" s="1188" t="str">
        <f>IF(OR(C52="",F52="",L52="",P52="",R52="",T52="",X52="",Z52="",AB52="",AD52="",AF52=""),"",IF(AB52="Total",ROUND(MIN(AH52*0.75,AK52*INDEX(INCRATE[Gas],MATCH("NCNONLIGHT",INCRATE[Incentive Type]))),2),IF(AB52="Incremental",ROUND(MIN(AH52,AK52*INDEX(INCRATE[Gas],MATCH("NCNONLIGHT",INCRATE[Incentive Type]))),2))))</f>
        <v/>
      </c>
      <c r="AZ52" s="1188" t="str">
        <f>IF(OR(C52="",F52="",L52="",P52="",R52="",T52="",X52="",Z52="",AB52="",AD52="",AF52=""),"",IF(AB52="Total",ROUND(MIN(AH52*0.75,AK52*INDEX(INCRATE[Gas],MATCH("RCX",INCRATE[Incentive Type]))),2),IF(AB52="Incremental",ROUND(MIN(AH52,AK52*INDEX(INCRATE[Gas],MATCH("RCX",INCRATE[Incentive Type]))),2))))</f>
        <v/>
      </c>
      <c r="BA52" s="1103" t="str">
        <f>IF(F52="","",INDEX(PROGRAMGCAT[EUL],MATCH(F52,PROGRAMGCAT[Category 1],0)))</f>
        <v/>
      </c>
      <c r="BB52" s="1103" t="str">
        <f>IFERROR(AH52/M02S02F36/AK52,"")</f>
        <v/>
      </c>
      <c r="BC52" s="1198" t="str">
        <f>IF(OR(C52="",F52="",L52="",P52="",R52="",T52="",X52="",Z52="",AD52="",AF52=""),"",IF(ISNUMBER(AN52),INDEX(PROGRAMGCAT[Measure Number],MATCH(F52,PROGRAMGCAT[Category 1],0)),IF(AK52=0,"","000001")))</f>
        <v/>
      </c>
      <c r="BD52" s="1103" t="str">
        <f>IFERROR(IF((P52*R52)-(X52*Z52)&lt;=0,MEASURESAV,IF(M02S02F36="",MEASURERATE,IF(OR(F52="Others (Incremental)",F52="Others"),MEASURESUBMIT, IF(BB52&lt;1,MEASUREPAY,IF(AV52&lt;1,MEASURECB,""))))),MEASURESUBMIT)</f>
        <v>Submit for Review</v>
      </c>
    </row>
    <row r="53" spans="2:56" ht="15.95" hidden="1" customHeight="1">
      <c r="B53" s="834"/>
      <c r="C53" s="1212"/>
      <c r="D53" s="1212"/>
      <c r="E53" s="1212"/>
      <c r="F53" s="1094"/>
      <c r="G53" s="1094"/>
      <c r="H53" s="1094"/>
      <c r="I53" s="1094"/>
      <c r="J53" s="1094"/>
      <c r="K53" s="1094"/>
      <c r="L53" s="840"/>
      <c r="M53" s="841"/>
      <c r="N53" s="841"/>
      <c r="O53" s="842"/>
      <c r="P53" s="853"/>
      <c r="Q53" s="854"/>
      <c r="R53" s="1116"/>
      <c r="S53" s="1117"/>
      <c r="T53" s="1226"/>
      <c r="U53" s="1226"/>
      <c r="V53" s="1226"/>
      <c r="W53" s="1226"/>
      <c r="X53" s="853"/>
      <c r="Y53" s="854"/>
      <c r="Z53" s="1116"/>
      <c r="AA53" s="1117"/>
      <c r="AB53" s="1174"/>
      <c r="AC53" s="1174"/>
      <c r="AD53" s="875"/>
      <c r="AE53" s="1098"/>
      <c r="AF53" s="1203"/>
      <c r="AG53" s="1204"/>
      <c r="AH53" s="1136"/>
      <c r="AI53" s="1137"/>
      <c r="AJ53" s="1137"/>
      <c r="AK53" s="1218"/>
      <c r="AL53" s="1218"/>
      <c r="AM53" s="1218"/>
      <c r="AN53" s="1139"/>
      <c r="AO53" s="1139"/>
      <c r="AP53" s="1139"/>
      <c r="AQ53" s="1139"/>
      <c r="AR53" s="59"/>
      <c r="AU53" s="1108"/>
      <c r="AV53" s="1108"/>
      <c r="AW53" s="1104"/>
      <c r="AX53" s="1104"/>
      <c r="AY53" s="1104"/>
      <c r="AZ53" s="1104"/>
      <c r="BA53" s="1104"/>
      <c r="BB53" s="1104"/>
      <c r="BC53" s="1192"/>
      <c r="BD53" s="1104"/>
    </row>
    <row r="54" spans="2:56" ht="15.95" hidden="1" customHeight="1">
      <c r="B54" s="834">
        <v>20</v>
      </c>
      <c r="C54" s="1211"/>
      <c r="D54" s="1211"/>
      <c r="E54" s="1211"/>
      <c r="F54" s="1093"/>
      <c r="G54" s="1093"/>
      <c r="H54" s="1093"/>
      <c r="I54" s="1093"/>
      <c r="J54" s="1093"/>
      <c r="K54" s="1093"/>
      <c r="L54" s="871"/>
      <c r="M54" s="872"/>
      <c r="N54" s="872"/>
      <c r="O54" s="873"/>
      <c r="P54" s="851"/>
      <c r="Q54" s="852"/>
      <c r="R54" s="1114"/>
      <c r="S54" s="1115"/>
      <c r="T54" s="1225"/>
      <c r="U54" s="1225"/>
      <c r="V54" s="1225"/>
      <c r="W54" s="1225"/>
      <c r="X54" s="876"/>
      <c r="Y54" s="877"/>
      <c r="Z54" s="1114"/>
      <c r="AA54" s="1115"/>
      <c r="AB54" s="1173" t="str">
        <f t="shared" ref="AB54" si="92">IF(C54="New Construction","Incremental","")</f>
        <v/>
      </c>
      <c r="AC54" s="1173"/>
      <c r="AD54" s="874"/>
      <c r="AE54" s="1097"/>
      <c r="AF54" s="1201" t="str">
        <f t="shared" ref="AF54" si="93">IF(AB54="Incremental",0,"")</f>
        <v/>
      </c>
      <c r="AG54" s="1202"/>
      <c r="AH54" s="870" t="str">
        <f t="shared" ref="AH54" si="94">IF(OR(C54="",F54="",L54="",P54="",R54="",T54="",X54="",Z54="",AD54="",AF54=""),"",ROUND(AD54+AF54,2))</f>
        <v/>
      </c>
      <c r="AI54" s="1102"/>
      <c r="AJ54" s="1102"/>
      <c r="AK54" s="1217" t="str">
        <f t="shared" ref="AK54" si="95">IF(OR(C54="",F54="",F54="",L54="",P54="",R54="",T54="",X54="",Z54="",AD54="",AF54=""),"",IF((P54*R54)-(X54*Z54)&lt;=0,0,ROUND((P54*R54)-(X54*Z54),2)))</f>
        <v/>
      </c>
      <c r="AL54" s="1217"/>
      <c r="AM54" s="1217"/>
      <c r="AN54" s="1138" t="str">
        <f t="shared" ref="AN54" si="96">IF(OR(C54="",F54="",F54="",L54="",P54="",R54="",T54="",X54="",Z54="",AD54="",AF54=""),"",IF(BD54&lt;&gt;"",BD54,IF(C54="Custom",AX54,IF(C54="New Construction",AY54,IF(C54="RCx",AZ54)))))</f>
        <v/>
      </c>
      <c r="AO54" s="1138"/>
      <c r="AP54" s="1138"/>
      <c r="AQ54" s="1138"/>
      <c r="AR54" s="59"/>
      <c r="AU54" s="1109" t="str">
        <f>IF(F54="","",INDEX(CUSTNONLIGHTGUNIT,MATCH(F54,PROGRAMGCAT[Category 1],0)))</f>
        <v/>
      </c>
      <c r="AV54" s="1109" t="str">
        <f>IF(OR(C54="",F54="",L54="",P54="",R54="",T54="",X54="",Z54="",AD54="",AF54=""),"",((1+GLOSS)*((AK54*INDEX(GASCB[NPV GAEC $/therm],MATCH(BA54,GASCB[Year Number],1))))/AH54))</f>
        <v/>
      </c>
      <c r="AW54" s="1103"/>
      <c r="AX54" s="1188" t="str">
        <f>IF(OR(C54="",F54="",L54="",P54="",R54="",T54="",X54="",Z54="",AB54="",AD54="",AF54=""),"",IF(AB54="Total",ROUND(MIN(AH54*0.75,AK54*INDEX(INCRATE[Gas],MATCH("CMNONLIGHT",INCRATE[Incentive Type]))),2),IF(AB54="Incremental",ROUND(MIN(AH54,AK54*INDEX(INCRATE[Gas],MATCH("CMNONLIGHT",INCRATE[Incentive Type]))),2))))</f>
        <v/>
      </c>
      <c r="AY54" s="1188" t="str">
        <f>IF(OR(C54="",F54="",L54="",P54="",R54="",T54="",X54="",Z54="",AB54="",AD54="",AF54=""),"",IF(AB54="Total",ROUND(MIN(AH54*0.75,AK54*INDEX(INCRATE[Gas],MATCH("NCNONLIGHT",INCRATE[Incentive Type]))),2),IF(AB54="Incremental",ROUND(MIN(AH54,AK54*INDEX(INCRATE[Gas],MATCH("NCNONLIGHT",INCRATE[Incentive Type]))),2))))</f>
        <v/>
      </c>
      <c r="AZ54" s="1188" t="str">
        <f>IF(OR(C54="",F54="",L54="",P54="",R54="",T54="",X54="",Z54="",AB54="",AD54="",AF54=""),"",IF(AB54="Total",ROUND(MIN(AH54*0.75,AK54*INDEX(INCRATE[Gas],MATCH("RCX",INCRATE[Incentive Type]))),2),IF(AB54="Incremental",ROUND(MIN(AH54,AK54*INDEX(INCRATE[Gas],MATCH("RCX",INCRATE[Incentive Type]))),2))))</f>
        <v/>
      </c>
      <c r="BA54" s="1103" t="str">
        <f>IF(F54="","",INDEX(PROGRAMGCAT[EUL],MATCH(F54,PROGRAMGCAT[Category 1],0)))</f>
        <v/>
      </c>
      <c r="BB54" s="1103" t="str">
        <f>IFERROR(AH54/M02S02F36/AK54,"")</f>
        <v/>
      </c>
      <c r="BC54" s="1198" t="str">
        <f>IF(OR(C54="",F54="",L54="",P54="",R54="",T54="",X54="",Z54="",AD54="",AF54=""),"",IF(ISNUMBER(AN54),INDEX(PROGRAMGCAT[Measure Number],MATCH(F54,PROGRAMGCAT[Category 1],0)),IF(AK54=0,"","000001")))</f>
        <v/>
      </c>
      <c r="BD54" s="1103" t="str">
        <f>IFERROR(IF((P54*R54)-(X54*Z54)&lt;=0,MEASURESAV,IF(M02S02F36="",MEASURERATE,IF(OR(F54="Others (Incremental)",F54="Others"),MEASURESUBMIT, IF(BB54&lt;1,MEASUREPAY,IF(AV54&lt;1,MEASURECB,""))))),MEASURESUBMIT)</f>
        <v>Submit for Review</v>
      </c>
    </row>
    <row r="55" spans="2:56" ht="15.95" hidden="1" customHeight="1">
      <c r="B55" s="834"/>
      <c r="C55" s="1212"/>
      <c r="D55" s="1212"/>
      <c r="E55" s="1212"/>
      <c r="F55" s="1094"/>
      <c r="G55" s="1094"/>
      <c r="H55" s="1094"/>
      <c r="I55" s="1094"/>
      <c r="J55" s="1094"/>
      <c r="K55" s="1094"/>
      <c r="L55" s="840"/>
      <c r="M55" s="841"/>
      <c r="N55" s="841"/>
      <c r="O55" s="842"/>
      <c r="P55" s="853"/>
      <c r="Q55" s="854"/>
      <c r="R55" s="1116"/>
      <c r="S55" s="1117"/>
      <c r="T55" s="1226"/>
      <c r="U55" s="1226"/>
      <c r="V55" s="1226"/>
      <c r="W55" s="1226"/>
      <c r="X55" s="853"/>
      <c r="Y55" s="854"/>
      <c r="Z55" s="1116"/>
      <c r="AA55" s="1117"/>
      <c r="AB55" s="1174"/>
      <c r="AC55" s="1174"/>
      <c r="AD55" s="875"/>
      <c r="AE55" s="1098"/>
      <c r="AF55" s="1203"/>
      <c r="AG55" s="1204"/>
      <c r="AH55" s="1136"/>
      <c r="AI55" s="1137"/>
      <c r="AJ55" s="1137"/>
      <c r="AK55" s="1218"/>
      <c r="AL55" s="1218"/>
      <c r="AM55" s="1218"/>
      <c r="AN55" s="1139"/>
      <c r="AO55" s="1139"/>
      <c r="AP55" s="1139"/>
      <c r="AQ55" s="1139"/>
      <c r="AR55" s="59"/>
      <c r="AU55" s="1108"/>
      <c r="AV55" s="1108"/>
      <c r="AW55" s="1104"/>
      <c r="AX55" s="1104"/>
      <c r="AY55" s="1104"/>
      <c r="AZ55" s="1104"/>
      <c r="BA55" s="1104"/>
      <c r="BB55" s="1104"/>
      <c r="BC55" s="1192"/>
      <c r="BD55" s="1104"/>
    </row>
    <row r="56" spans="2:56" ht="15.95" hidden="1" customHeight="1">
      <c r="B56" s="834">
        <v>21</v>
      </c>
      <c r="C56" s="1211"/>
      <c r="D56" s="1211"/>
      <c r="E56" s="1211"/>
      <c r="F56" s="1093"/>
      <c r="G56" s="1093"/>
      <c r="H56" s="1093"/>
      <c r="I56" s="1093"/>
      <c r="J56" s="1093"/>
      <c r="K56" s="1093"/>
      <c r="L56" s="871"/>
      <c r="M56" s="872"/>
      <c r="N56" s="872"/>
      <c r="O56" s="873"/>
      <c r="P56" s="851"/>
      <c r="Q56" s="852"/>
      <c r="R56" s="1114"/>
      <c r="S56" s="1115"/>
      <c r="T56" s="1225"/>
      <c r="U56" s="1225"/>
      <c r="V56" s="1225"/>
      <c r="W56" s="1225"/>
      <c r="X56" s="876"/>
      <c r="Y56" s="877"/>
      <c r="Z56" s="1114"/>
      <c r="AA56" s="1115"/>
      <c r="AB56" s="1173" t="str">
        <f t="shared" ref="AB56" si="97">IF(C56="New Construction","Incremental","")</f>
        <v/>
      </c>
      <c r="AC56" s="1173"/>
      <c r="AD56" s="874"/>
      <c r="AE56" s="1097"/>
      <c r="AF56" s="1201" t="str">
        <f t="shared" ref="AF56" si="98">IF(AB56="Incremental",0,"")</f>
        <v/>
      </c>
      <c r="AG56" s="1202"/>
      <c r="AH56" s="870" t="str">
        <f t="shared" ref="AH56" si="99">IF(OR(C56="",F56="",L56="",P56="",R56="",T56="",X56="",Z56="",AD56="",AF56=""),"",ROUND(AD56+AF56,2))</f>
        <v/>
      </c>
      <c r="AI56" s="1102"/>
      <c r="AJ56" s="1102"/>
      <c r="AK56" s="1217" t="str">
        <f t="shared" ref="AK56" si="100">IF(OR(C56="",F56="",F56="",L56="",P56="",R56="",T56="",X56="",Z56="",AD56="",AF56=""),"",IF((P56*R56)-(X56*Z56)&lt;=0,0,ROUND((P56*R56)-(X56*Z56),2)))</f>
        <v/>
      </c>
      <c r="AL56" s="1217"/>
      <c r="AM56" s="1217"/>
      <c r="AN56" s="1138" t="str">
        <f t="shared" ref="AN56" si="101">IF(OR(C56="",F56="",F56="",L56="",P56="",R56="",T56="",X56="",Z56="",AD56="",AF56=""),"",IF(BD56&lt;&gt;"",BD56,IF(C56="Custom",AX56,IF(C56="New Construction",AY56,IF(C56="RCx",AZ56)))))</f>
        <v/>
      </c>
      <c r="AO56" s="1138"/>
      <c r="AP56" s="1138"/>
      <c r="AQ56" s="1138"/>
      <c r="AR56" s="59"/>
      <c r="AU56" s="1109" t="str">
        <f>IF(F56="","",INDEX(CUSTNONLIGHTGUNIT,MATCH(F56,PROGRAMGCAT[Category 1],0)))</f>
        <v/>
      </c>
      <c r="AV56" s="1109" t="str">
        <f>IF(OR(C56="",F56="",L56="",P56="",R56="",T56="",X56="",Z56="",AD56="",AF56=""),"",((1+GLOSS)*((AK56*INDEX(GASCB[NPV GAEC $/therm],MATCH(BA56,GASCB[Year Number],1))))/AH56))</f>
        <v/>
      </c>
      <c r="AW56" s="1103"/>
      <c r="AX56" s="1188" t="str">
        <f>IF(OR(C56="",F56="",L56="",P56="",R56="",T56="",X56="",Z56="",AB56="",AD56="",AF56=""),"",IF(AB56="Total",ROUND(MIN(AH56*0.75,AK56*INDEX(INCRATE[Gas],MATCH("CMNONLIGHT",INCRATE[Incentive Type]))),2),IF(AB56="Incremental",ROUND(MIN(AH56,AK56*INDEX(INCRATE[Gas],MATCH("CMNONLIGHT",INCRATE[Incentive Type]))),2))))</f>
        <v/>
      </c>
      <c r="AY56" s="1188" t="str">
        <f>IF(OR(C56="",F56="",L56="",P56="",R56="",T56="",X56="",Z56="",AB56="",AD56="",AF56=""),"",IF(AB56="Total",ROUND(MIN(AH56*0.75,AK56*INDEX(INCRATE[Gas],MATCH("NCNONLIGHT",INCRATE[Incentive Type]))),2),IF(AB56="Incremental",ROUND(MIN(AH56,AK56*INDEX(INCRATE[Gas],MATCH("NCNONLIGHT",INCRATE[Incentive Type]))),2))))</f>
        <v/>
      </c>
      <c r="AZ56" s="1188" t="str">
        <f>IF(OR(C56="",F56="",L56="",P56="",R56="",T56="",X56="",Z56="",AB56="",AD56="",AF56=""),"",IF(AB56="Total",ROUND(MIN(AH56*0.75,AK56*INDEX(INCRATE[Gas],MATCH("RCX",INCRATE[Incentive Type]))),2),IF(AB56="Incremental",ROUND(MIN(AH56,AK56*INDEX(INCRATE[Gas],MATCH("RCX",INCRATE[Incentive Type]))),2))))</f>
        <v/>
      </c>
      <c r="BA56" s="1103" t="str">
        <f>IF(F56="","",INDEX(PROGRAMGCAT[EUL],MATCH(F56,PROGRAMGCAT[Category 1],0)))</f>
        <v/>
      </c>
      <c r="BB56" s="1103" t="str">
        <f>IFERROR(AH56/M02S02F36/AK56,"")</f>
        <v/>
      </c>
      <c r="BC56" s="1198" t="str">
        <f>IF(OR(C56="",F56="",L56="",P56="",R56="",T56="",X56="",Z56="",AD56="",AF56=""),"",IF(ISNUMBER(AN56),INDEX(PROGRAMGCAT[Measure Number],MATCH(F56,PROGRAMGCAT[Category 1],0)),IF(AK56=0,"","000001")))</f>
        <v/>
      </c>
      <c r="BD56" s="1103" t="str">
        <f>IFERROR(IF((P56*R56)-(X56*Z56)&lt;=0,MEASURESAV,IF(M02S02F36="",MEASURERATE,IF(OR(F56="Others (Incremental)",F56="Others"),MEASURESUBMIT, IF(BB56&lt;1,MEASUREPAY,IF(AV56&lt;1,MEASURECB,""))))),MEASURESUBMIT)</f>
        <v>Submit for Review</v>
      </c>
    </row>
    <row r="57" spans="2:56" ht="15.95" hidden="1" customHeight="1">
      <c r="B57" s="834"/>
      <c r="C57" s="1212"/>
      <c r="D57" s="1212"/>
      <c r="E57" s="1212"/>
      <c r="F57" s="1094"/>
      <c r="G57" s="1094"/>
      <c r="H57" s="1094"/>
      <c r="I57" s="1094"/>
      <c r="J57" s="1094"/>
      <c r="K57" s="1094"/>
      <c r="L57" s="840"/>
      <c r="M57" s="841"/>
      <c r="N57" s="841"/>
      <c r="O57" s="842"/>
      <c r="P57" s="853"/>
      <c r="Q57" s="854"/>
      <c r="R57" s="1116"/>
      <c r="S57" s="1117"/>
      <c r="T57" s="1226"/>
      <c r="U57" s="1226"/>
      <c r="V57" s="1226"/>
      <c r="W57" s="1226"/>
      <c r="X57" s="853"/>
      <c r="Y57" s="854"/>
      <c r="Z57" s="1116"/>
      <c r="AA57" s="1117"/>
      <c r="AB57" s="1174"/>
      <c r="AC57" s="1174"/>
      <c r="AD57" s="875"/>
      <c r="AE57" s="1098"/>
      <c r="AF57" s="1203"/>
      <c r="AG57" s="1204"/>
      <c r="AH57" s="1136"/>
      <c r="AI57" s="1137"/>
      <c r="AJ57" s="1137"/>
      <c r="AK57" s="1218"/>
      <c r="AL57" s="1218"/>
      <c r="AM57" s="1218"/>
      <c r="AN57" s="1139"/>
      <c r="AO57" s="1139"/>
      <c r="AP57" s="1139"/>
      <c r="AQ57" s="1139"/>
      <c r="AR57" s="59"/>
      <c r="AU57" s="1108"/>
      <c r="AV57" s="1108"/>
      <c r="AW57" s="1104"/>
      <c r="AX57" s="1104"/>
      <c r="AY57" s="1104"/>
      <c r="AZ57" s="1104"/>
      <c r="BA57" s="1104"/>
      <c r="BB57" s="1104"/>
      <c r="BC57" s="1192"/>
      <c r="BD57" s="1104"/>
    </row>
    <row r="58" spans="2:56" ht="15.95" hidden="1" customHeight="1">
      <c r="B58" s="834">
        <v>22</v>
      </c>
      <c r="C58" s="1211"/>
      <c r="D58" s="1211"/>
      <c r="E58" s="1211"/>
      <c r="F58" s="1093"/>
      <c r="G58" s="1093"/>
      <c r="H58" s="1093"/>
      <c r="I58" s="1093"/>
      <c r="J58" s="1093"/>
      <c r="K58" s="1093"/>
      <c r="L58" s="871"/>
      <c r="M58" s="872"/>
      <c r="N58" s="872"/>
      <c r="O58" s="873"/>
      <c r="P58" s="851"/>
      <c r="Q58" s="852"/>
      <c r="R58" s="1114"/>
      <c r="S58" s="1115"/>
      <c r="T58" s="1225"/>
      <c r="U58" s="1225"/>
      <c r="V58" s="1225"/>
      <c r="W58" s="1225"/>
      <c r="X58" s="876"/>
      <c r="Y58" s="877"/>
      <c r="Z58" s="1114"/>
      <c r="AA58" s="1115"/>
      <c r="AB58" s="1173" t="str">
        <f t="shared" ref="AB58" si="102">IF(C58="New Construction","Incremental","")</f>
        <v/>
      </c>
      <c r="AC58" s="1173"/>
      <c r="AD58" s="874"/>
      <c r="AE58" s="1097"/>
      <c r="AF58" s="1201" t="str">
        <f t="shared" ref="AF58" si="103">IF(AB58="Incremental",0,"")</f>
        <v/>
      </c>
      <c r="AG58" s="1202"/>
      <c r="AH58" s="870" t="str">
        <f t="shared" ref="AH58" si="104">IF(OR(C58="",F58="",L58="",P58="",R58="",T58="",X58="",Z58="",AD58="",AF58=""),"",ROUND(AD58+AF58,2))</f>
        <v/>
      </c>
      <c r="AI58" s="1102"/>
      <c r="AJ58" s="1102"/>
      <c r="AK58" s="1217" t="str">
        <f t="shared" ref="AK58" si="105">IF(OR(C58="",F58="",F58="",L58="",P58="",R58="",T58="",X58="",Z58="",AD58="",AF58=""),"",IF((P58*R58)-(X58*Z58)&lt;=0,0,ROUND((P58*R58)-(X58*Z58),2)))</f>
        <v/>
      </c>
      <c r="AL58" s="1217"/>
      <c r="AM58" s="1217"/>
      <c r="AN58" s="1138" t="str">
        <f t="shared" ref="AN58" si="106">IF(OR(C58="",F58="",F58="",L58="",P58="",R58="",T58="",X58="",Z58="",AD58="",AF58=""),"",IF(BD58&lt;&gt;"",BD58,IF(C58="Custom",AX58,IF(C58="New Construction",AY58,IF(C58="RCx",AZ58)))))</f>
        <v/>
      </c>
      <c r="AO58" s="1138"/>
      <c r="AP58" s="1138"/>
      <c r="AQ58" s="1138"/>
      <c r="AR58" s="59"/>
      <c r="AU58" s="1109" t="str">
        <f>IF(F58="","",INDEX(CUSTNONLIGHTGUNIT,MATCH(F58,PROGRAMGCAT[Category 1],0)))</f>
        <v/>
      </c>
      <c r="AV58" s="1109" t="str">
        <f>IF(OR(C58="",F58="",L58="",P58="",R58="",T58="",X58="",Z58="",AD58="",AF58=""),"",((1+GLOSS)*((AK58*INDEX(GASCB[NPV GAEC $/therm],MATCH(BA58,GASCB[Year Number],1))))/AH58))</f>
        <v/>
      </c>
      <c r="AW58" s="1103"/>
      <c r="AX58" s="1188" t="str">
        <f>IF(OR(C58="",F58="",L58="",P58="",R58="",T58="",X58="",Z58="",AB58="",AD58="",AF58=""),"",IF(AB58="Total",ROUND(MIN(AH58*0.75,AK58*INDEX(INCRATE[Gas],MATCH("CMNONLIGHT",INCRATE[Incentive Type]))),2),IF(AB58="Incremental",ROUND(MIN(AH58,AK58*INDEX(INCRATE[Gas],MATCH("CMNONLIGHT",INCRATE[Incentive Type]))),2))))</f>
        <v/>
      </c>
      <c r="AY58" s="1188" t="str">
        <f>IF(OR(C58="",F58="",L58="",P58="",R58="",T58="",X58="",Z58="",AB58="",AD58="",AF58=""),"",IF(AB58="Total",ROUND(MIN(AH58*0.75,AK58*INDEX(INCRATE[Gas],MATCH("NCNONLIGHT",INCRATE[Incentive Type]))),2),IF(AB58="Incremental",ROUND(MIN(AH58,AK58*INDEX(INCRATE[Gas],MATCH("NCNONLIGHT",INCRATE[Incentive Type]))),2))))</f>
        <v/>
      </c>
      <c r="AZ58" s="1188" t="str">
        <f>IF(OR(C58="",F58="",L58="",P58="",R58="",T58="",X58="",Z58="",AB58="",AD58="",AF58=""),"",IF(AB58="Total",ROUND(MIN(AH58*0.75,AK58*INDEX(INCRATE[Gas],MATCH("RCX",INCRATE[Incentive Type]))),2),IF(AB58="Incremental",ROUND(MIN(AH58,AK58*INDEX(INCRATE[Gas],MATCH("RCX",INCRATE[Incentive Type]))),2))))</f>
        <v/>
      </c>
      <c r="BA58" s="1103" t="str">
        <f>IF(F58="","",INDEX(PROGRAMGCAT[EUL],MATCH(F58,PROGRAMGCAT[Category 1],0)))</f>
        <v/>
      </c>
      <c r="BB58" s="1103" t="str">
        <f>IFERROR(AH58/M02S02F36/AK58,"")</f>
        <v/>
      </c>
      <c r="BC58" s="1198" t="str">
        <f>IF(OR(C58="",F58="",L58="",P58="",R58="",T58="",X58="",Z58="",AD58="",AF58=""),"",IF(ISNUMBER(AN58),INDEX(PROGRAMGCAT[Measure Number],MATCH(F58,PROGRAMGCAT[Category 1],0)),IF(AK58=0,"","000001")))</f>
        <v/>
      </c>
      <c r="BD58" s="1103" t="str">
        <f>IFERROR(IF((P58*R58)-(X58*Z58)&lt;=0,MEASURESAV,IF(M02S02F36="",MEASURERATE,IF(OR(F58="Others (Incremental)",F58="Others"),MEASURESUBMIT, IF(BB58&lt;1,MEASUREPAY,IF(AV58&lt;1,MEASURECB,""))))),MEASURESUBMIT)</f>
        <v>Submit for Review</v>
      </c>
    </row>
    <row r="59" spans="2:56" ht="15.95" hidden="1" customHeight="1">
      <c r="B59" s="834"/>
      <c r="C59" s="1212"/>
      <c r="D59" s="1212"/>
      <c r="E59" s="1212"/>
      <c r="F59" s="1094"/>
      <c r="G59" s="1094"/>
      <c r="H59" s="1094"/>
      <c r="I59" s="1094"/>
      <c r="J59" s="1094"/>
      <c r="K59" s="1094"/>
      <c r="L59" s="840"/>
      <c r="M59" s="841"/>
      <c r="N59" s="841"/>
      <c r="O59" s="842"/>
      <c r="P59" s="853"/>
      <c r="Q59" s="854"/>
      <c r="R59" s="1116"/>
      <c r="S59" s="1117"/>
      <c r="T59" s="1226"/>
      <c r="U59" s="1226"/>
      <c r="V59" s="1226"/>
      <c r="W59" s="1226"/>
      <c r="X59" s="853"/>
      <c r="Y59" s="854"/>
      <c r="Z59" s="1116"/>
      <c r="AA59" s="1117"/>
      <c r="AB59" s="1174"/>
      <c r="AC59" s="1174"/>
      <c r="AD59" s="875"/>
      <c r="AE59" s="1098"/>
      <c r="AF59" s="1203"/>
      <c r="AG59" s="1204"/>
      <c r="AH59" s="1136"/>
      <c r="AI59" s="1137"/>
      <c r="AJ59" s="1137"/>
      <c r="AK59" s="1218"/>
      <c r="AL59" s="1218"/>
      <c r="AM59" s="1218"/>
      <c r="AN59" s="1139"/>
      <c r="AO59" s="1139"/>
      <c r="AP59" s="1139"/>
      <c r="AQ59" s="1139"/>
      <c r="AR59" s="59"/>
      <c r="AU59" s="1108"/>
      <c r="AV59" s="1108"/>
      <c r="AW59" s="1104"/>
      <c r="AX59" s="1104"/>
      <c r="AY59" s="1104"/>
      <c r="AZ59" s="1104"/>
      <c r="BA59" s="1104"/>
      <c r="BB59" s="1104"/>
      <c r="BC59" s="1192"/>
      <c r="BD59" s="1104"/>
    </row>
    <row r="60" spans="2:56" ht="15.95" hidden="1" customHeight="1">
      <c r="B60" s="834">
        <v>23</v>
      </c>
      <c r="C60" s="1211"/>
      <c r="D60" s="1211"/>
      <c r="E60" s="1211"/>
      <c r="F60" s="1093"/>
      <c r="G60" s="1093"/>
      <c r="H60" s="1093"/>
      <c r="I60" s="1093"/>
      <c r="J60" s="1093"/>
      <c r="K60" s="1093"/>
      <c r="L60" s="871"/>
      <c r="M60" s="872"/>
      <c r="N60" s="872"/>
      <c r="O60" s="873"/>
      <c r="P60" s="851"/>
      <c r="Q60" s="852"/>
      <c r="R60" s="1114"/>
      <c r="S60" s="1115"/>
      <c r="T60" s="1225"/>
      <c r="U60" s="1225"/>
      <c r="V60" s="1225"/>
      <c r="W60" s="1225"/>
      <c r="X60" s="876"/>
      <c r="Y60" s="877"/>
      <c r="Z60" s="1114"/>
      <c r="AA60" s="1115"/>
      <c r="AB60" s="1173" t="str">
        <f t="shared" ref="AB60" si="107">IF(C60="New Construction","Incremental","")</f>
        <v/>
      </c>
      <c r="AC60" s="1173"/>
      <c r="AD60" s="874"/>
      <c r="AE60" s="1097"/>
      <c r="AF60" s="1201" t="str">
        <f t="shared" ref="AF60" si="108">IF(AB60="Incremental",0,"")</f>
        <v/>
      </c>
      <c r="AG60" s="1202"/>
      <c r="AH60" s="870" t="str">
        <f t="shared" ref="AH60" si="109">IF(OR(C60="",F60="",L60="",P60="",R60="",T60="",X60="",Z60="",AD60="",AF60=""),"",ROUND(AD60+AF60,2))</f>
        <v/>
      </c>
      <c r="AI60" s="1102"/>
      <c r="AJ60" s="1102"/>
      <c r="AK60" s="1217" t="str">
        <f t="shared" ref="AK60" si="110">IF(OR(C60="",F60="",F60="",L60="",P60="",R60="",T60="",X60="",Z60="",AD60="",AF60=""),"",IF((P60*R60)-(X60*Z60)&lt;=0,0,ROUND((P60*R60)-(X60*Z60),2)))</f>
        <v/>
      </c>
      <c r="AL60" s="1217"/>
      <c r="AM60" s="1217"/>
      <c r="AN60" s="1138" t="str">
        <f t="shared" ref="AN60" si="111">IF(OR(C60="",F60="",F60="",L60="",P60="",R60="",T60="",X60="",Z60="",AD60="",AF60=""),"",IF(BD60&lt;&gt;"",BD60,IF(C60="Custom",AX60,IF(C60="New Construction",AY60,IF(C60="RCx",AZ60)))))</f>
        <v/>
      </c>
      <c r="AO60" s="1138"/>
      <c r="AP60" s="1138"/>
      <c r="AQ60" s="1138"/>
      <c r="AR60" s="59"/>
      <c r="AU60" s="1109" t="str">
        <f>IF(F60="","",INDEX(CUSTNONLIGHTGUNIT,MATCH(F60,PROGRAMGCAT[Category 1],0)))</f>
        <v/>
      </c>
      <c r="AV60" s="1109" t="str">
        <f>IF(OR(C60="",F60="",L60="",P60="",R60="",T60="",X60="",Z60="",AD60="",AF60=""),"",((1+GLOSS)*((AK60*INDEX(GASCB[NPV GAEC $/therm],MATCH(BA60,GASCB[Year Number],1))))/AH60))</f>
        <v/>
      </c>
      <c r="AW60" s="1103"/>
      <c r="AX60" s="1188" t="str">
        <f>IF(OR(C60="",F60="",L60="",P60="",R60="",T60="",X60="",Z60="",AB60="",AD60="",AF60=""),"",IF(AB60="Total",ROUND(MIN(AH60*0.75,AK60*INDEX(INCRATE[Gas],MATCH("CMNONLIGHT",INCRATE[Incentive Type]))),2),IF(AB60="Incremental",ROUND(MIN(AH60,AK60*INDEX(INCRATE[Gas],MATCH("CMNONLIGHT",INCRATE[Incentive Type]))),2))))</f>
        <v/>
      </c>
      <c r="AY60" s="1188" t="str">
        <f>IF(OR(C60="",F60="",L60="",P60="",R60="",T60="",X60="",Z60="",AB60="",AD60="",AF60=""),"",IF(AB60="Total",ROUND(MIN(AH60*0.75,AK60*INDEX(INCRATE[Gas],MATCH("NCNONLIGHT",INCRATE[Incentive Type]))),2),IF(AB60="Incremental",ROUND(MIN(AH60,AK60*INDEX(INCRATE[Gas],MATCH("NCNONLIGHT",INCRATE[Incentive Type]))),2))))</f>
        <v/>
      </c>
      <c r="AZ60" s="1188" t="str">
        <f>IF(OR(C60="",F60="",L60="",P60="",R60="",T60="",X60="",Z60="",AB60="",AD60="",AF60=""),"",IF(AB60="Total",ROUND(MIN(AH60*0.75,AK60*INDEX(INCRATE[Gas],MATCH("RCX",INCRATE[Incentive Type]))),2),IF(AB60="Incremental",ROUND(MIN(AH60,AK60*INDEX(INCRATE[Gas],MATCH("RCX",INCRATE[Incentive Type]))),2))))</f>
        <v/>
      </c>
      <c r="BA60" s="1103" t="str">
        <f>IF(F60="","",INDEX(PROGRAMGCAT[EUL],MATCH(F60,PROGRAMGCAT[Category 1],0)))</f>
        <v/>
      </c>
      <c r="BB60" s="1103" t="str">
        <f>IFERROR(AH60/M02S02F36/AK60,"")</f>
        <v/>
      </c>
      <c r="BC60" s="1198" t="str">
        <f>IF(OR(C60="",F60="",L60="",P60="",R60="",T60="",X60="",Z60="",AD60="",AF60=""),"",IF(ISNUMBER(AN60),INDEX(PROGRAMGCAT[Measure Number],MATCH(F60,PROGRAMGCAT[Category 1],0)),IF(AK60=0,"","000001")))</f>
        <v/>
      </c>
      <c r="BD60" s="1103" t="str">
        <f>IFERROR(IF((P60*R60)-(X60*Z60)&lt;=0,MEASURESAV,IF(M02S02F36="",MEASURERATE,IF(OR(F60="Others (Incremental)",F60="Others"),MEASURESUBMIT, IF(BB60&lt;1,MEASUREPAY,IF(AV60&lt;1,MEASURECB,""))))),MEASURESUBMIT)</f>
        <v>Submit for Review</v>
      </c>
    </row>
    <row r="61" spans="2:56" ht="15.95" hidden="1" customHeight="1">
      <c r="B61" s="834"/>
      <c r="C61" s="1212"/>
      <c r="D61" s="1212"/>
      <c r="E61" s="1212"/>
      <c r="F61" s="1094"/>
      <c r="G61" s="1094"/>
      <c r="H61" s="1094"/>
      <c r="I61" s="1094"/>
      <c r="J61" s="1094"/>
      <c r="K61" s="1094"/>
      <c r="L61" s="840"/>
      <c r="M61" s="841"/>
      <c r="N61" s="841"/>
      <c r="O61" s="842"/>
      <c r="P61" s="853"/>
      <c r="Q61" s="854"/>
      <c r="R61" s="1116"/>
      <c r="S61" s="1117"/>
      <c r="T61" s="1226"/>
      <c r="U61" s="1226"/>
      <c r="V61" s="1226"/>
      <c r="W61" s="1226"/>
      <c r="X61" s="853"/>
      <c r="Y61" s="854"/>
      <c r="Z61" s="1116"/>
      <c r="AA61" s="1117"/>
      <c r="AB61" s="1174"/>
      <c r="AC61" s="1174"/>
      <c r="AD61" s="875"/>
      <c r="AE61" s="1098"/>
      <c r="AF61" s="1203"/>
      <c r="AG61" s="1204"/>
      <c r="AH61" s="1136"/>
      <c r="AI61" s="1137"/>
      <c r="AJ61" s="1137"/>
      <c r="AK61" s="1218"/>
      <c r="AL61" s="1218"/>
      <c r="AM61" s="1218"/>
      <c r="AN61" s="1139"/>
      <c r="AO61" s="1139"/>
      <c r="AP61" s="1139"/>
      <c r="AQ61" s="1139"/>
      <c r="AR61" s="59"/>
      <c r="AU61" s="1108"/>
      <c r="AV61" s="1108"/>
      <c r="AW61" s="1104"/>
      <c r="AX61" s="1104"/>
      <c r="AY61" s="1104"/>
      <c r="AZ61" s="1104"/>
      <c r="BA61" s="1104"/>
      <c r="BB61" s="1104"/>
      <c r="BC61" s="1192"/>
      <c r="BD61" s="1104"/>
    </row>
    <row r="62" spans="2:56" ht="15.95" hidden="1" customHeight="1">
      <c r="B62" s="834">
        <v>24</v>
      </c>
      <c r="C62" s="1211"/>
      <c r="D62" s="1211"/>
      <c r="E62" s="1211"/>
      <c r="F62" s="1093"/>
      <c r="G62" s="1093"/>
      <c r="H62" s="1093"/>
      <c r="I62" s="1093"/>
      <c r="J62" s="1093"/>
      <c r="K62" s="1093"/>
      <c r="L62" s="871"/>
      <c r="M62" s="872"/>
      <c r="N62" s="872"/>
      <c r="O62" s="873"/>
      <c r="P62" s="851"/>
      <c r="Q62" s="852"/>
      <c r="R62" s="1114"/>
      <c r="S62" s="1115"/>
      <c r="T62" s="1225"/>
      <c r="U62" s="1225"/>
      <c r="V62" s="1225"/>
      <c r="W62" s="1225"/>
      <c r="X62" s="876"/>
      <c r="Y62" s="877"/>
      <c r="Z62" s="1114"/>
      <c r="AA62" s="1115"/>
      <c r="AB62" s="1173" t="str">
        <f t="shared" ref="AB62" si="112">IF(C62="New Construction","Incremental","")</f>
        <v/>
      </c>
      <c r="AC62" s="1173"/>
      <c r="AD62" s="874"/>
      <c r="AE62" s="1097"/>
      <c r="AF62" s="1201" t="str">
        <f t="shared" ref="AF62" si="113">IF(AB62="Incremental",0,"")</f>
        <v/>
      </c>
      <c r="AG62" s="1202"/>
      <c r="AH62" s="870" t="str">
        <f t="shared" ref="AH62" si="114">IF(OR(C62="",F62="",L62="",P62="",R62="",T62="",X62="",Z62="",AD62="",AF62=""),"",ROUND(AD62+AF62,2))</f>
        <v/>
      </c>
      <c r="AI62" s="1102"/>
      <c r="AJ62" s="1102"/>
      <c r="AK62" s="1217" t="str">
        <f t="shared" ref="AK62" si="115">IF(OR(C62="",F62="",F62="",L62="",P62="",R62="",T62="",X62="",Z62="",AD62="",AF62=""),"",IF((P62*R62)-(X62*Z62)&lt;=0,0,ROUND((P62*R62)-(X62*Z62),2)))</f>
        <v/>
      </c>
      <c r="AL62" s="1217"/>
      <c r="AM62" s="1217"/>
      <c r="AN62" s="1138" t="str">
        <f t="shared" ref="AN62" si="116">IF(OR(C62="",F62="",F62="",L62="",P62="",R62="",T62="",X62="",Z62="",AD62="",AF62=""),"",IF(BD62&lt;&gt;"",BD62,IF(C62="Custom",AX62,IF(C62="New Construction",AY62,IF(C62="RCx",AZ62)))))</f>
        <v/>
      </c>
      <c r="AO62" s="1138"/>
      <c r="AP62" s="1138"/>
      <c r="AQ62" s="1138"/>
      <c r="AR62" s="59"/>
      <c r="AU62" s="1109" t="str">
        <f>IF(F62="","",INDEX(CUSTNONLIGHTGUNIT,MATCH(F62,PROGRAMGCAT[Category 1],0)))</f>
        <v/>
      </c>
      <c r="AV62" s="1109" t="str">
        <f>IF(OR(C62="",F62="",L62="",P62="",R62="",T62="",X62="",Z62="",AD62="",AF62=""),"",((1+GLOSS)*((AK62*INDEX(GASCB[NPV GAEC $/therm],MATCH(BA62,GASCB[Year Number],1))))/AH62))</f>
        <v/>
      </c>
      <c r="AW62" s="1103"/>
      <c r="AX62" s="1188" t="str">
        <f>IF(OR(C62="",F62="",L62="",P62="",R62="",T62="",X62="",Z62="",AB62="",AD62="",AF62=""),"",IF(AB62="Total",ROUND(MIN(AH62*0.75,AK62*INDEX(INCRATE[Gas],MATCH("CMNONLIGHT",INCRATE[Incentive Type]))),2),IF(AB62="Incremental",ROUND(MIN(AH62,AK62*INDEX(INCRATE[Gas],MATCH("CMNONLIGHT",INCRATE[Incentive Type]))),2))))</f>
        <v/>
      </c>
      <c r="AY62" s="1188" t="str">
        <f>IF(OR(C62="",F62="",L62="",P62="",R62="",T62="",X62="",Z62="",AB62="",AD62="",AF62=""),"",IF(AB62="Total",ROUND(MIN(AH62*0.75,AK62*INDEX(INCRATE[Gas],MATCH("NCNONLIGHT",INCRATE[Incentive Type]))),2),IF(AB62="Incremental",ROUND(MIN(AH62,AK62*INDEX(INCRATE[Gas],MATCH("NCNONLIGHT",INCRATE[Incentive Type]))),2))))</f>
        <v/>
      </c>
      <c r="AZ62" s="1188" t="str">
        <f>IF(OR(C62="",F62="",L62="",P62="",R62="",T62="",X62="",Z62="",AB62="",AD62="",AF62=""),"",IF(AB62="Total",ROUND(MIN(AH62*0.75,AK62*INDEX(INCRATE[Gas],MATCH("RCX",INCRATE[Incentive Type]))),2),IF(AB62="Incremental",ROUND(MIN(AH62,AK62*INDEX(INCRATE[Gas],MATCH("RCX",INCRATE[Incentive Type]))),2))))</f>
        <v/>
      </c>
      <c r="BA62" s="1103" t="str">
        <f>IF(F62="","",INDEX(PROGRAMGCAT[EUL],MATCH(F62,PROGRAMGCAT[Category 1],0)))</f>
        <v/>
      </c>
      <c r="BB62" s="1103" t="str">
        <f>IFERROR(AH62/M02S02F36/AK62,"")</f>
        <v/>
      </c>
      <c r="BC62" s="1198" t="str">
        <f>IF(OR(C62="",F62="",L62="",P62="",R62="",T62="",X62="",Z62="",AD62="",AF62=""),"",IF(ISNUMBER(AN62),INDEX(PROGRAMGCAT[Measure Number],MATCH(F62,PROGRAMGCAT[Category 1],0)),IF(AK62=0,"","000001")))</f>
        <v/>
      </c>
      <c r="BD62" s="1103" t="str">
        <f>IFERROR(IF((P62*R62)-(X62*Z62)&lt;=0,MEASURESAV,IF(M02S02F36="",MEASURERATE,IF(OR(F62="Others (Incremental)",F62="Others"),MEASURESUBMIT, IF(BB62&lt;1,MEASUREPAY,IF(AV62&lt;1,MEASURECB,""))))),MEASURESUBMIT)</f>
        <v>Submit for Review</v>
      </c>
    </row>
    <row r="63" spans="2:56" ht="15.95" hidden="1" customHeight="1">
      <c r="B63" s="834"/>
      <c r="C63" s="1212"/>
      <c r="D63" s="1212"/>
      <c r="E63" s="1212"/>
      <c r="F63" s="1094"/>
      <c r="G63" s="1094"/>
      <c r="H63" s="1094"/>
      <c r="I63" s="1094"/>
      <c r="J63" s="1094"/>
      <c r="K63" s="1094"/>
      <c r="L63" s="840"/>
      <c r="M63" s="841"/>
      <c r="N63" s="841"/>
      <c r="O63" s="842"/>
      <c r="P63" s="853"/>
      <c r="Q63" s="854"/>
      <c r="R63" s="1116"/>
      <c r="S63" s="1117"/>
      <c r="T63" s="1226"/>
      <c r="U63" s="1226"/>
      <c r="V63" s="1226"/>
      <c r="W63" s="1226"/>
      <c r="X63" s="853"/>
      <c r="Y63" s="854"/>
      <c r="Z63" s="1116"/>
      <c r="AA63" s="1117"/>
      <c r="AB63" s="1174"/>
      <c r="AC63" s="1174"/>
      <c r="AD63" s="875"/>
      <c r="AE63" s="1098"/>
      <c r="AF63" s="1203"/>
      <c r="AG63" s="1204"/>
      <c r="AH63" s="1136"/>
      <c r="AI63" s="1137"/>
      <c r="AJ63" s="1137"/>
      <c r="AK63" s="1218"/>
      <c r="AL63" s="1218"/>
      <c r="AM63" s="1218"/>
      <c r="AN63" s="1139"/>
      <c r="AO63" s="1139"/>
      <c r="AP63" s="1139"/>
      <c r="AQ63" s="1139"/>
      <c r="AR63" s="59"/>
      <c r="AU63" s="1108"/>
      <c r="AV63" s="1108"/>
      <c r="AW63" s="1104"/>
      <c r="AX63" s="1104"/>
      <c r="AY63" s="1104"/>
      <c r="AZ63" s="1104"/>
      <c r="BA63" s="1104"/>
      <c r="BB63" s="1104"/>
      <c r="BC63" s="1192"/>
      <c r="BD63" s="1104"/>
    </row>
    <row r="64" spans="2:56" ht="15.95" hidden="1" customHeight="1">
      <c r="B64" s="834">
        <v>25</v>
      </c>
      <c r="C64" s="1211"/>
      <c r="D64" s="1211"/>
      <c r="E64" s="1211"/>
      <c r="F64" s="1093"/>
      <c r="G64" s="1093"/>
      <c r="H64" s="1093"/>
      <c r="I64" s="1093"/>
      <c r="J64" s="1093"/>
      <c r="K64" s="1093"/>
      <c r="L64" s="871"/>
      <c r="M64" s="872"/>
      <c r="N64" s="872"/>
      <c r="O64" s="873"/>
      <c r="P64" s="851"/>
      <c r="Q64" s="852"/>
      <c r="R64" s="1114"/>
      <c r="S64" s="1115"/>
      <c r="T64" s="1225"/>
      <c r="U64" s="1225"/>
      <c r="V64" s="1225"/>
      <c r="W64" s="1225"/>
      <c r="X64" s="876"/>
      <c r="Y64" s="877"/>
      <c r="Z64" s="1114"/>
      <c r="AA64" s="1115"/>
      <c r="AB64" s="1173" t="str">
        <f t="shared" ref="AB64" si="117">IF(C64="New Construction","Incremental","")</f>
        <v/>
      </c>
      <c r="AC64" s="1173"/>
      <c r="AD64" s="874"/>
      <c r="AE64" s="1097"/>
      <c r="AF64" s="1201" t="str">
        <f t="shared" ref="AF64" si="118">IF(AB64="Incremental",0,"")</f>
        <v/>
      </c>
      <c r="AG64" s="1202"/>
      <c r="AH64" s="870" t="str">
        <f t="shared" ref="AH64" si="119">IF(OR(C64="",F64="",L64="",P64="",R64="",T64="",X64="",Z64="",AD64="",AF64=""),"",ROUND(AD64+AF64,2))</f>
        <v/>
      </c>
      <c r="AI64" s="1102"/>
      <c r="AJ64" s="1102"/>
      <c r="AK64" s="1217" t="str">
        <f t="shared" ref="AK64" si="120">IF(OR(C64="",F64="",F64="",L64="",P64="",R64="",T64="",X64="",Z64="",AD64="",AF64=""),"",IF((P64*R64)-(X64*Z64)&lt;=0,0,ROUND((P64*R64)-(X64*Z64),2)))</f>
        <v/>
      </c>
      <c r="AL64" s="1217"/>
      <c r="AM64" s="1217"/>
      <c r="AN64" s="1138" t="str">
        <f t="shared" ref="AN64" si="121">IF(OR(C64="",F64="",F64="",L64="",P64="",R64="",T64="",X64="",Z64="",AD64="",AF64=""),"",IF(BD64&lt;&gt;"",BD64,IF(C64="Custom",AX64,IF(C64="New Construction",AY64,IF(C64="RCx",AZ64)))))</f>
        <v/>
      </c>
      <c r="AO64" s="1138"/>
      <c r="AP64" s="1138"/>
      <c r="AQ64" s="1138"/>
      <c r="AR64" s="59"/>
      <c r="AU64" s="1109" t="str">
        <f>IF(F64="","",INDEX(CUSTNONLIGHTGUNIT,MATCH(F64,PROGRAMGCAT[Category 1],0)))</f>
        <v/>
      </c>
      <c r="AV64" s="1109" t="str">
        <f>IF(OR(C64="",F64="",L64="",P64="",R64="",T64="",X64="",Z64="",AD64="",AF64=""),"",((1+GLOSS)*((AK64*INDEX(GASCB[NPV GAEC $/therm],MATCH(BA64,GASCB[Year Number],1))))/AH64))</f>
        <v/>
      </c>
      <c r="AW64" s="1103"/>
      <c r="AX64" s="1188" t="str">
        <f>IF(OR(C64="",F64="",L64="",P64="",R64="",T64="",X64="",Z64="",AB64="",AD64="",AF64=""),"",IF(AB64="Total",ROUND(MIN(AH64*0.75,AK64*INDEX(INCRATE[Gas],MATCH("CMNONLIGHT",INCRATE[Incentive Type]))),2),IF(AB64="Incremental",ROUND(MIN(AH64,AK64*INDEX(INCRATE[Gas],MATCH("CMNONLIGHT",INCRATE[Incentive Type]))),2))))</f>
        <v/>
      </c>
      <c r="AY64" s="1188" t="str">
        <f>IF(OR(C64="",F64="",L64="",P64="",R64="",T64="",X64="",Z64="",AB64="",AD64="",AF64=""),"",IF(AB64="Total",ROUND(MIN(AH64*0.75,AK64*INDEX(INCRATE[Gas],MATCH("NCNONLIGHT",INCRATE[Incentive Type]))),2),IF(AB64="Incremental",ROUND(MIN(AH64,AK64*INDEX(INCRATE[Gas],MATCH("NCNONLIGHT",INCRATE[Incentive Type]))),2))))</f>
        <v/>
      </c>
      <c r="AZ64" s="1188" t="str">
        <f>IF(OR(C64="",F64="",L64="",P64="",R64="",T64="",X64="",Z64="",AB64="",AD64="",AF64=""),"",IF(AB64="Total",ROUND(MIN(AH64*0.75,AK64*INDEX(INCRATE[Gas],MATCH("RCX",INCRATE[Incentive Type]))),2),IF(AB64="Incremental",ROUND(MIN(AH64,AK64*INDEX(INCRATE[Gas],MATCH("RCX",INCRATE[Incentive Type]))),2))))</f>
        <v/>
      </c>
      <c r="BA64" s="1103" t="str">
        <f>IF(F64="","",INDEX(PROGRAMGCAT[EUL],MATCH(F64,PROGRAMGCAT[Category 1],0)))</f>
        <v/>
      </c>
      <c r="BB64" s="1103" t="str">
        <f>IFERROR(AH64/M02S02F36/AK64,"")</f>
        <v/>
      </c>
      <c r="BC64" s="1198" t="str">
        <f>IF(OR(C64="",F64="",L64="",P64="",R64="",T64="",X64="",Z64="",AD64="",AF64=""),"",IF(ISNUMBER(AN64),INDEX(PROGRAMGCAT[Measure Number],MATCH(F64,PROGRAMGCAT[Category 1],0)),IF(AK64=0,"","000001")))</f>
        <v/>
      </c>
      <c r="BD64" s="1103" t="str">
        <f>IFERROR(IF((P64*R64)-(X64*Z64)&lt;=0,MEASURESAV,IF(M02S02F36="",MEASURERATE,IF(OR(F64="Others (Incremental)",F64="Others"),MEASURESUBMIT, IF(BB64&lt;1,MEASUREPAY,IF(AV64&lt;1,MEASURECB,""))))),MEASURESUBMIT)</f>
        <v>Submit for Review</v>
      </c>
    </row>
    <row r="65" spans="2:56" ht="15.95" hidden="1" customHeight="1">
      <c r="B65" s="834"/>
      <c r="C65" s="1212"/>
      <c r="D65" s="1212"/>
      <c r="E65" s="1212"/>
      <c r="F65" s="1094"/>
      <c r="G65" s="1094"/>
      <c r="H65" s="1094"/>
      <c r="I65" s="1094"/>
      <c r="J65" s="1094"/>
      <c r="K65" s="1094"/>
      <c r="L65" s="840"/>
      <c r="M65" s="841"/>
      <c r="N65" s="841"/>
      <c r="O65" s="842"/>
      <c r="P65" s="853"/>
      <c r="Q65" s="854"/>
      <c r="R65" s="1116"/>
      <c r="S65" s="1117"/>
      <c r="T65" s="1226"/>
      <c r="U65" s="1226"/>
      <c r="V65" s="1226"/>
      <c r="W65" s="1226"/>
      <c r="X65" s="853"/>
      <c r="Y65" s="854"/>
      <c r="Z65" s="1116"/>
      <c r="AA65" s="1117"/>
      <c r="AB65" s="1174"/>
      <c r="AC65" s="1174"/>
      <c r="AD65" s="875"/>
      <c r="AE65" s="1098"/>
      <c r="AF65" s="1203"/>
      <c r="AG65" s="1204"/>
      <c r="AH65" s="1136"/>
      <c r="AI65" s="1137"/>
      <c r="AJ65" s="1137"/>
      <c r="AK65" s="1218"/>
      <c r="AL65" s="1218"/>
      <c r="AM65" s="1218"/>
      <c r="AN65" s="1139"/>
      <c r="AO65" s="1139"/>
      <c r="AP65" s="1139"/>
      <c r="AQ65" s="1139"/>
      <c r="AR65" s="59"/>
      <c r="AU65" s="1108"/>
      <c r="AV65" s="1108"/>
      <c r="AW65" s="1104"/>
      <c r="AX65" s="1104"/>
      <c r="AY65" s="1104"/>
      <c r="AZ65" s="1104"/>
      <c r="BA65" s="1104"/>
      <c r="BB65" s="1104"/>
      <c r="BC65" s="1192"/>
      <c r="BD65" s="1104"/>
    </row>
    <row r="66" spans="2:56" ht="15.95" hidden="1" customHeight="1">
      <c r="B66" s="834">
        <v>26</v>
      </c>
      <c r="C66" s="1211"/>
      <c r="D66" s="1211"/>
      <c r="E66" s="1211"/>
      <c r="F66" s="1093"/>
      <c r="G66" s="1093"/>
      <c r="H66" s="1093"/>
      <c r="I66" s="1093"/>
      <c r="J66" s="1093"/>
      <c r="K66" s="1093"/>
      <c r="L66" s="871"/>
      <c r="M66" s="872"/>
      <c r="N66" s="872"/>
      <c r="O66" s="873"/>
      <c r="P66" s="851"/>
      <c r="Q66" s="852"/>
      <c r="R66" s="1114"/>
      <c r="S66" s="1115"/>
      <c r="T66" s="1225"/>
      <c r="U66" s="1225"/>
      <c r="V66" s="1225"/>
      <c r="W66" s="1225"/>
      <c r="X66" s="876"/>
      <c r="Y66" s="877"/>
      <c r="Z66" s="1114"/>
      <c r="AA66" s="1115"/>
      <c r="AB66" s="1173" t="str">
        <f t="shared" ref="AB66" si="122">IF(C66="New Construction","Incremental","")</f>
        <v/>
      </c>
      <c r="AC66" s="1173"/>
      <c r="AD66" s="874"/>
      <c r="AE66" s="1097"/>
      <c r="AF66" s="1201" t="str">
        <f t="shared" ref="AF66" si="123">IF(AB66="Incremental",0,"")</f>
        <v/>
      </c>
      <c r="AG66" s="1202"/>
      <c r="AH66" s="870" t="str">
        <f t="shared" ref="AH66" si="124">IF(OR(C66="",F66="",L66="",P66="",R66="",T66="",X66="",Z66="",AD66="",AF66=""),"",ROUND(AD66+AF66,2))</f>
        <v/>
      </c>
      <c r="AI66" s="1102"/>
      <c r="AJ66" s="1102"/>
      <c r="AK66" s="1217" t="str">
        <f t="shared" ref="AK66" si="125">IF(OR(C66="",F66="",F66="",L66="",P66="",R66="",T66="",X66="",Z66="",AD66="",AF66=""),"",IF((P66*R66)-(X66*Z66)&lt;=0,0,ROUND((P66*R66)-(X66*Z66),2)))</f>
        <v/>
      </c>
      <c r="AL66" s="1217"/>
      <c r="AM66" s="1217"/>
      <c r="AN66" s="1138" t="str">
        <f t="shared" ref="AN66" si="126">IF(OR(C66="",F66="",F66="",L66="",P66="",R66="",T66="",X66="",Z66="",AD66="",AF66=""),"",IF(BD66&lt;&gt;"",BD66,IF(C66="Custom",AX66,IF(C66="New Construction",AY66,IF(C66="RCx",AZ66)))))</f>
        <v/>
      </c>
      <c r="AO66" s="1138"/>
      <c r="AP66" s="1138"/>
      <c r="AQ66" s="1138"/>
      <c r="AR66" s="59"/>
      <c r="AU66" s="1109" t="str">
        <f>IF(F66="","",INDEX(CUSTNONLIGHTGUNIT,MATCH(F66,PROGRAMGCAT[Category 1],0)))</f>
        <v/>
      </c>
      <c r="AV66" s="1109" t="str">
        <f>IF(OR(C66="",F66="",L66="",P66="",R66="",T66="",X66="",Z66="",AD66="",AF66=""),"",((1+GLOSS)*((AK66*INDEX(GASCB[NPV GAEC $/therm],MATCH(BA66,GASCB[Year Number],1))))/AH66))</f>
        <v/>
      </c>
      <c r="AW66" s="1103"/>
      <c r="AX66" s="1188" t="str">
        <f>IF(OR(C66="",F66="",L66="",P66="",R66="",T66="",X66="",Z66="",AB66="",AD66="",AF66=""),"",IF(AB66="Total",ROUND(MIN(AH66*0.75,AK66*INDEX(INCRATE[Gas],MATCH("CMNONLIGHT",INCRATE[Incentive Type]))),2),IF(AB66="Incremental",ROUND(MIN(AH66,AK66*INDEX(INCRATE[Gas],MATCH("CMNONLIGHT",INCRATE[Incentive Type]))),2))))</f>
        <v/>
      </c>
      <c r="AY66" s="1188" t="str">
        <f>IF(OR(C66="",F66="",L66="",P66="",R66="",T66="",X66="",Z66="",AB66="",AD66="",AF66=""),"",IF(AB66="Total",ROUND(MIN(AH66*0.75,AK66*INDEX(INCRATE[Gas],MATCH("NCNONLIGHT",INCRATE[Incentive Type]))),2),IF(AB66="Incremental",ROUND(MIN(AH66,AK66*INDEX(INCRATE[Gas],MATCH("NCNONLIGHT",INCRATE[Incentive Type]))),2))))</f>
        <v/>
      </c>
      <c r="AZ66" s="1188" t="str">
        <f>IF(OR(C66="",F66="",L66="",P66="",R66="",T66="",X66="",Z66="",AB66="",AD66="",AF66=""),"",IF(AB66="Total",ROUND(MIN(AH66*0.75,AK66*INDEX(INCRATE[Gas],MATCH("RCX",INCRATE[Incentive Type]))),2),IF(AB66="Incremental",ROUND(MIN(AH66,AK66*INDEX(INCRATE[Gas],MATCH("RCX",INCRATE[Incentive Type]))),2))))</f>
        <v/>
      </c>
      <c r="BA66" s="1103" t="str">
        <f>IF(F66="","",INDEX(PROGRAMGCAT[EUL],MATCH(F66,PROGRAMGCAT[Category 1],0)))</f>
        <v/>
      </c>
      <c r="BB66" s="1103" t="str">
        <f>IFERROR(AH66/M02S02F36/AK66,"")</f>
        <v/>
      </c>
      <c r="BC66" s="1198" t="str">
        <f>IF(OR(C66="",F66="",L66="",P66="",R66="",T66="",X66="",Z66="",AD66="",AF66=""),"",IF(ISNUMBER(AN66),INDEX(PROGRAMGCAT[Measure Number],MATCH(F66,PROGRAMGCAT[Category 1],0)),IF(AK66=0,"","000001")))</f>
        <v/>
      </c>
      <c r="BD66" s="1103" t="str">
        <f>IFERROR(IF((P66*R66)-(X66*Z66)&lt;=0,MEASURESAV,IF(M02S02F36="",MEASURERATE,IF(OR(F66="Others (Incremental)",F66="Others"),MEASURESUBMIT, IF(BB66&lt;1,MEASUREPAY,IF(AV66&lt;1,MEASURECB,""))))),MEASURESUBMIT)</f>
        <v>Submit for Review</v>
      </c>
    </row>
    <row r="67" spans="2:56" ht="15.95" hidden="1" customHeight="1">
      <c r="B67" s="834"/>
      <c r="C67" s="1212"/>
      <c r="D67" s="1212"/>
      <c r="E67" s="1212"/>
      <c r="F67" s="1094"/>
      <c r="G67" s="1094"/>
      <c r="H67" s="1094"/>
      <c r="I67" s="1094"/>
      <c r="J67" s="1094"/>
      <c r="K67" s="1094"/>
      <c r="L67" s="840"/>
      <c r="M67" s="841"/>
      <c r="N67" s="841"/>
      <c r="O67" s="842"/>
      <c r="P67" s="853"/>
      <c r="Q67" s="854"/>
      <c r="R67" s="1116"/>
      <c r="S67" s="1117"/>
      <c r="T67" s="1226"/>
      <c r="U67" s="1226"/>
      <c r="V67" s="1226"/>
      <c r="W67" s="1226"/>
      <c r="X67" s="853"/>
      <c r="Y67" s="854"/>
      <c r="Z67" s="1116"/>
      <c r="AA67" s="1117"/>
      <c r="AB67" s="1174"/>
      <c r="AC67" s="1174"/>
      <c r="AD67" s="875"/>
      <c r="AE67" s="1098"/>
      <c r="AF67" s="1203"/>
      <c r="AG67" s="1204"/>
      <c r="AH67" s="1136"/>
      <c r="AI67" s="1137"/>
      <c r="AJ67" s="1137"/>
      <c r="AK67" s="1218"/>
      <c r="AL67" s="1218"/>
      <c r="AM67" s="1218"/>
      <c r="AN67" s="1139"/>
      <c r="AO67" s="1139"/>
      <c r="AP67" s="1139"/>
      <c r="AQ67" s="1139"/>
      <c r="AR67" s="59"/>
      <c r="AU67" s="1108"/>
      <c r="AV67" s="1108"/>
      <c r="AW67" s="1104"/>
      <c r="AX67" s="1104"/>
      <c r="AY67" s="1104"/>
      <c r="AZ67" s="1104"/>
      <c r="BA67" s="1104"/>
      <c r="BB67" s="1104"/>
      <c r="BC67" s="1192"/>
      <c r="BD67" s="1104"/>
    </row>
    <row r="68" spans="2:56" ht="15.95" hidden="1" customHeight="1">
      <c r="B68" s="834">
        <v>27</v>
      </c>
      <c r="C68" s="1211"/>
      <c r="D68" s="1211"/>
      <c r="E68" s="1211"/>
      <c r="F68" s="1093"/>
      <c r="G68" s="1093"/>
      <c r="H68" s="1093"/>
      <c r="I68" s="1093"/>
      <c r="J68" s="1093"/>
      <c r="K68" s="1093"/>
      <c r="L68" s="871"/>
      <c r="M68" s="872"/>
      <c r="N68" s="872"/>
      <c r="O68" s="873"/>
      <c r="P68" s="851"/>
      <c r="Q68" s="852"/>
      <c r="R68" s="1114"/>
      <c r="S68" s="1115"/>
      <c r="T68" s="1225"/>
      <c r="U68" s="1225"/>
      <c r="V68" s="1225"/>
      <c r="W68" s="1225"/>
      <c r="X68" s="876"/>
      <c r="Y68" s="877"/>
      <c r="Z68" s="1114"/>
      <c r="AA68" s="1115"/>
      <c r="AB68" s="1173" t="str">
        <f t="shared" ref="AB68" si="127">IF(C68="New Construction","Incremental","")</f>
        <v/>
      </c>
      <c r="AC68" s="1173"/>
      <c r="AD68" s="874"/>
      <c r="AE68" s="1097"/>
      <c r="AF68" s="1201" t="str">
        <f t="shared" ref="AF68" si="128">IF(AB68="Incremental",0,"")</f>
        <v/>
      </c>
      <c r="AG68" s="1202"/>
      <c r="AH68" s="870" t="str">
        <f t="shared" ref="AH68" si="129">IF(OR(C68="",F68="",L68="",P68="",R68="",T68="",X68="",Z68="",AD68="",AF68=""),"",ROUND(AD68+AF68,2))</f>
        <v/>
      </c>
      <c r="AI68" s="1102"/>
      <c r="AJ68" s="1102"/>
      <c r="AK68" s="1217" t="str">
        <f t="shared" ref="AK68" si="130">IF(OR(C68="",F68="",F68="",L68="",P68="",R68="",T68="",X68="",Z68="",AD68="",AF68=""),"",IF((P68*R68)-(X68*Z68)&lt;=0,0,ROUND((P68*R68)-(X68*Z68),2)))</f>
        <v/>
      </c>
      <c r="AL68" s="1217"/>
      <c r="AM68" s="1217"/>
      <c r="AN68" s="1138" t="str">
        <f t="shared" ref="AN68" si="131">IF(OR(C68="",F68="",F68="",L68="",P68="",R68="",T68="",X68="",Z68="",AD68="",AF68=""),"",IF(BD68&lt;&gt;"",BD68,IF(C68="Custom",AX68,IF(C68="New Construction",AY68,IF(C68="RCx",AZ68)))))</f>
        <v/>
      </c>
      <c r="AO68" s="1138"/>
      <c r="AP68" s="1138"/>
      <c r="AQ68" s="1138"/>
      <c r="AR68" s="59"/>
      <c r="AU68" s="1109" t="str">
        <f>IF(F68="","",INDEX(CUSTNONLIGHTGUNIT,MATCH(F68,PROGRAMGCAT[Category 1],0)))</f>
        <v/>
      </c>
      <c r="AV68" s="1109" t="str">
        <f>IF(OR(C68="",F68="",L68="",P68="",R68="",T68="",X68="",Z68="",AD68="",AF68=""),"",((1+GLOSS)*((AK68*INDEX(GASCB[NPV GAEC $/therm],MATCH(BA68,GASCB[Year Number],1))))/AH68))</f>
        <v/>
      </c>
      <c r="AW68" s="1103"/>
      <c r="AX68" s="1188" t="str">
        <f>IF(OR(C68="",F68="",L68="",P68="",R68="",T68="",X68="",Z68="",AB68="",AD68="",AF68=""),"",IF(AB68="Total",ROUND(MIN(AH68*0.75,AK68*INDEX(INCRATE[Gas],MATCH("CMNONLIGHT",INCRATE[Incentive Type]))),2),IF(AB68="Incremental",ROUND(MIN(AH68,AK68*INDEX(INCRATE[Gas],MATCH("CMNONLIGHT",INCRATE[Incentive Type]))),2))))</f>
        <v/>
      </c>
      <c r="AY68" s="1188" t="str">
        <f>IF(OR(C68="",F68="",L68="",P68="",R68="",T68="",X68="",Z68="",AB68="",AD68="",AF68=""),"",IF(AB68="Total",ROUND(MIN(AH68*0.75,AK68*INDEX(INCRATE[Gas],MATCH("NCNONLIGHT",INCRATE[Incentive Type]))),2),IF(AB68="Incremental",ROUND(MIN(AH68,AK68*INDEX(INCRATE[Gas],MATCH("NCNONLIGHT",INCRATE[Incentive Type]))),2))))</f>
        <v/>
      </c>
      <c r="AZ68" s="1188" t="str">
        <f>IF(OR(C68="",F68="",L68="",P68="",R68="",T68="",X68="",Z68="",AB68="",AD68="",AF68=""),"",IF(AB68="Total",ROUND(MIN(AH68*0.75,AK68*INDEX(INCRATE[Gas],MATCH("RCX",INCRATE[Incentive Type]))),2),IF(AB68="Incremental",ROUND(MIN(AH68,AK68*INDEX(INCRATE[Gas],MATCH("RCX",INCRATE[Incentive Type]))),2))))</f>
        <v/>
      </c>
      <c r="BA68" s="1103" t="str">
        <f>IF(F68="","",INDEX(PROGRAMGCAT[EUL],MATCH(F68,PROGRAMGCAT[Category 1],0)))</f>
        <v/>
      </c>
      <c r="BB68" s="1103" t="str">
        <f>IFERROR(AH68/M02S02F36/AK68,"")</f>
        <v/>
      </c>
      <c r="BC68" s="1198" t="str">
        <f>IF(OR(C68="",F68="",L68="",P68="",R68="",T68="",X68="",Z68="",AD68="",AF68=""),"",IF(ISNUMBER(AN68),INDEX(PROGRAMGCAT[Measure Number],MATCH(F68,PROGRAMGCAT[Category 1],0)),IF(AK68=0,"","000001")))</f>
        <v/>
      </c>
      <c r="BD68" s="1103" t="str">
        <f>IFERROR(IF((P68*R68)-(X68*Z68)&lt;=0,MEASURESAV,IF(M02S02F36="",MEASURERATE,IF(OR(F68="Others (Incremental)",F68="Others"),MEASURESUBMIT, IF(BB68&lt;1,MEASUREPAY,IF(AV68&lt;1,MEASURECB,""))))),MEASURESUBMIT)</f>
        <v>Submit for Review</v>
      </c>
    </row>
    <row r="69" spans="2:56" ht="15.95" hidden="1" customHeight="1">
      <c r="B69" s="834"/>
      <c r="C69" s="1212"/>
      <c r="D69" s="1212"/>
      <c r="E69" s="1212"/>
      <c r="F69" s="1094"/>
      <c r="G69" s="1094"/>
      <c r="H69" s="1094"/>
      <c r="I69" s="1094"/>
      <c r="J69" s="1094"/>
      <c r="K69" s="1094"/>
      <c r="L69" s="840"/>
      <c r="M69" s="841"/>
      <c r="N69" s="841"/>
      <c r="O69" s="842"/>
      <c r="P69" s="853"/>
      <c r="Q69" s="854"/>
      <c r="R69" s="1116"/>
      <c r="S69" s="1117"/>
      <c r="T69" s="1226"/>
      <c r="U69" s="1226"/>
      <c r="V69" s="1226"/>
      <c r="W69" s="1226"/>
      <c r="X69" s="853"/>
      <c r="Y69" s="854"/>
      <c r="Z69" s="1116"/>
      <c r="AA69" s="1117"/>
      <c r="AB69" s="1174"/>
      <c r="AC69" s="1174"/>
      <c r="AD69" s="875"/>
      <c r="AE69" s="1098"/>
      <c r="AF69" s="1203"/>
      <c r="AG69" s="1204"/>
      <c r="AH69" s="1136"/>
      <c r="AI69" s="1137"/>
      <c r="AJ69" s="1137"/>
      <c r="AK69" s="1218"/>
      <c r="AL69" s="1218"/>
      <c r="AM69" s="1218"/>
      <c r="AN69" s="1139"/>
      <c r="AO69" s="1139"/>
      <c r="AP69" s="1139"/>
      <c r="AQ69" s="1139"/>
      <c r="AR69" s="59"/>
      <c r="AU69" s="1108"/>
      <c r="AV69" s="1108"/>
      <c r="AW69" s="1104"/>
      <c r="AX69" s="1104"/>
      <c r="AY69" s="1104"/>
      <c r="AZ69" s="1104"/>
      <c r="BA69" s="1104"/>
      <c r="BB69" s="1104"/>
      <c r="BC69" s="1192"/>
      <c r="BD69" s="1104"/>
    </row>
    <row r="70" spans="2:56" ht="15.95" hidden="1" customHeight="1">
      <c r="B70" s="834">
        <v>28</v>
      </c>
      <c r="C70" s="1211"/>
      <c r="D70" s="1211"/>
      <c r="E70" s="1211"/>
      <c r="F70" s="1093"/>
      <c r="G70" s="1093"/>
      <c r="H70" s="1093"/>
      <c r="I70" s="1093"/>
      <c r="J70" s="1093"/>
      <c r="K70" s="1093"/>
      <c r="L70" s="871"/>
      <c r="M70" s="872"/>
      <c r="N70" s="872"/>
      <c r="O70" s="873"/>
      <c r="P70" s="851"/>
      <c r="Q70" s="852"/>
      <c r="R70" s="1114"/>
      <c r="S70" s="1115"/>
      <c r="T70" s="1225"/>
      <c r="U70" s="1225"/>
      <c r="V70" s="1225"/>
      <c r="W70" s="1225"/>
      <c r="X70" s="876"/>
      <c r="Y70" s="877"/>
      <c r="Z70" s="1114"/>
      <c r="AA70" s="1115"/>
      <c r="AB70" s="1173" t="str">
        <f t="shared" ref="AB70" si="132">IF(C70="New Construction","Incremental","")</f>
        <v/>
      </c>
      <c r="AC70" s="1173"/>
      <c r="AD70" s="874"/>
      <c r="AE70" s="1097"/>
      <c r="AF70" s="1201" t="str">
        <f t="shared" ref="AF70" si="133">IF(AB70="Incremental",0,"")</f>
        <v/>
      </c>
      <c r="AG70" s="1202"/>
      <c r="AH70" s="870" t="str">
        <f t="shared" ref="AH70" si="134">IF(OR(C70="",F70="",L70="",P70="",R70="",T70="",X70="",Z70="",AD70="",AF70=""),"",ROUND(AD70+AF70,2))</f>
        <v/>
      </c>
      <c r="AI70" s="1102"/>
      <c r="AJ70" s="1102"/>
      <c r="AK70" s="1217" t="str">
        <f t="shared" ref="AK70" si="135">IF(OR(C70="",F70="",F70="",L70="",P70="",R70="",T70="",X70="",Z70="",AD70="",AF70=""),"",IF((P70*R70)-(X70*Z70)&lt;=0,0,ROUND((P70*R70)-(X70*Z70),2)))</f>
        <v/>
      </c>
      <c r="AL70" s="1217"/>
      <c r="AM70" s="1217"/>
      <c r="AN70" s="1138" t="str">
        <f t="shared" ref="AN70" si="136">IF(OR(C70="",F70="",F70="",L70="",P70="",R70="",T70="",X70="",Z70="",AD70="",AF70=""),"",IF(BD70&lt;&gt;"",BD70,IF(C70="Custom",AX70,IF(C70="New Construction",AY70,IF(C70="RCx",AZ70)))))</f>
        <v/>
      </c>
      <c r="AO70" s="1138"/>
      <c r="AP70" s="1138"/>
      <c r="AQ70" s="1138"/>
      <c r="AR70" s="59"/>
      <c r="AU70" s="1109" t="str">
        <f>IF(F70="","",INDEX(CUSTNONLIGHTGUNIT,MATCH(F70,PROGRAMGCAT[Category 1],0)))</f>
        <v/>
      </c>
      <c r="AV70" s="1109" t="str">
        <f>IF(OR(C70="",F70="",L70="",P70="",R70="",T70="",X70="",Z70="",AD70="",AF70=""),"",((1+GLOSS)*((AK70*INDEX(GASCB[NPV GAEC $/therm],MATCH(BA70,GASCB[Year Number],1))))/AH70))</f>
        <v/>
      </c>
      <c r="AW70" s="1103"/>
      <c r="AX70" s="1188" t="str">
        <f>IF(OR(C70="",F70="",L70="",P70="",R70="",T70="",X70="",Z70="",AB70="",AD70="",AF70=""),"",IF(AB70="Total",ROUND(MIN(AH70*0.75,AK70*INDEX(INCRATE[Gas],MATCH("CMNONLIGHT",INCRATE[Incentive Type]))),2),IF(AB70="Incremental",ROUND(MIN(AH70,AK70*INDEX(INCRATE[Gas],MATCH("CMNONLIGHT",INCRATE[Incentive Type]))),2))))</f>
        <v/>
      </c>
      <c r="AY70" s="1188" t="str">
        <f>IF(OR(C70="",F70="",L70="",P70="",R70="",T70="",X70="",Z70="",AB70="",AD70="",AF70=""),"",IF(AB70="Total",ROUND(MIN(AH70*0.75,AK70*INDEX(INCRATE[Gas],MATCH("NCNONLIGHT",INCRATE[Incentive Type]))),2),IF(AB70="Incremental",ROUND(MIN(AH70,AK70*INDEX(INCRATE[Gas],MATCH("NCNONLIGHT",INCRATE[Incentive Type]))),2))))</f>
        <v/>
      </c>
      <c r="AZ70" s="1188" t="str">
        <f>IF(OR(C70="",F70="",L70="",P70="",R70="",T70="",X70="",Z70="",AB70="",AD70="",AF70=""),"",IF(AB70="Total",ROUND(MIN(AH70*0.75,AK70*INDEX(INCRATE[Gas],MATCH("RCX",INCRATE[Incentive Type]))),2),IF(AB70="Incremental",ROUND(MIN(AH70,AK70*INDEX(INCRATE[Gas],MATCH("RCX",INCRATE[Incentive Type]))),2))))</f>
        <v/>
      </c>
      <c r="BA70" s="1103" t="str">
        <f>IF(F70="","",INDEX(PROGRAMGCAT[EUL],MATCH(F70,PROGRAMGCAT[Category 1],0)))</f>
        <v/>
      </c>
      <c r="BB70" s="1103" t="str">
        <f>IFERROR(AH70/M02S02F36/AK70,"")</f>
        <v/>
      </c>
      <c r="BC70" s="1198" t="str">
        <f>IF(OR(C70="",F70="",L70="",P70="",R70="",T70="",X70="",Z70="",AD70="",AF70=""),"",IF(ISNUMBER(AN70),INDEX(PROGRAMGCAT[Measure Number],MATCH(F70,PROGRAMGCAT[Category 1],0)),IF(AK70=0,"","000001")))</f>
        <v/>
      </c>
      <c r="BD70" s="1103" t="str">
        <f>IFERROR(IF((P70*R70)-(X70*Z70)&lt;=0,MEASURESAV,IF(M02S02F36="",MEASURERATE,IF(OR(F70="Others (Incremental)",F70="Others"),MEASURESUBMIT, IF(BB70&lt;1,MEASUREPAY,IF(AV70&lt;1,MEASURECB,""))))),MEASURESUBMIT)</f>
        <v>Submit for Review</v>
      </c>
    </row>
    <row r="71" spans="2:56" ht="15.95" hidden="1" customHeight="1">
      <c r="B71" s="834"/>
      <c r="C71" s="1212"/>
      <c r="D71" s="1212"/>
      <c r="E71" s="1212"/>
      <c r="F71" s="1094"/>
      <c r="G71" s="1094"/>
      <c r="H71" s="1094"/>
      <c r="I71" s="1094"/>
      <c r="J71" s="1094"/>
      <c r="K71" s="1094"/>
      <c r="L71" s="840"/>
      <c r="M71" s="841"/>
      <c r="N71" s="841"/>
      <c r="O71" s="842"/>
      <c r="P71" s="853"/>
      <c r="Q71" s="854"/>
      <c r="R71" s="1116"/>
      <c r="S71" s="1117"/>
      <c r="T71" s="1226"/>
      <c r="U71" s="1226"/>
      <c r="V71" s="1226"/>
      <c r="W71" s="1226"/>
      <c r="X71" s="853"/>
      <c r="Y71" s="854"/>
      <c r="Z71" s="1116"/>
      <c r="AA71" s="1117"/>
      <c r="AB71" s="1174"/>
      <c r="AC71" s="1174"/>
      <c r="AD71" s="875"/>
      <c r="AE71" s="1098"/>
      <c r="AF71" s="1203"/>
      <c r="AG71" s="1204"/>
      <c r="AH71" s="1136"/>
      <c r="AI71" s="1137"/>
      <c r="AJ71" s="1137"/>
      <c r="AK71" s="1218"/>
      <c r="AL71" s="1218"/>
      <c r="AM71" s="1218"/>
      <c r="AN71" s="1139"/>
      <c r="AO71" s="1139"/>
      <c r="AP71" s="1139"/>
      <c r="AQ71" s="1139"/>
      <c r="AR71" s="59"/>
      <c r="AU71" s="1108"/>
      <c r="AV71" s="1108"/>
      <c r="AW71" s="1104"/>
      <c r="AX71" s="1104"/>
      <c r="AY71" s="1104"/>
      <c r="AZ71" s="1104"/>
      <c r="BA71" s="1104"/>
      <c r="BB71" s="1104"/>
      <c r="BC71" s="1192"/>
      <c r="BD71" s="1104"/>
    </row>
    <row r="72" spans="2:56" ht="15.95" hidden="1" customHeight="1">
      <c r="B72" s="834">
        <v>29</v>
      </c>
      <c r="C72" s="1211"/>
      <c r="D72" s="1211"/>
      <c r="E72" s="1211"/>
      <c r="F72" s="1093"/>
      <c r="G72" s="1093"/>
      <c r="H72" s="1093"/>
      <c r="I72" s="1093"/>
      <c r="J72" s="1093"/>
      <c r="K72" s="1093"/>
      <c r="L72" s="871"/>
      <c r="M72" s="872"/>
      <c r="N72" s="872"/>
      <c r="O72" s="873"/>
      <c r="P72" s="851"/>
      <c r="Q72" s="852"/>
      <c r="R72" s="1114"/>
      <c r="S72" s="1115"/>
      <c r="T72" s="1225"/>
      <c r="U72" s="1225"/>
      <c r="V72" s="1225"/>
      <c r="W72" s="1225"/>
      <c r="X72" s="876"/>
      <c r="Y72" s="877"/>
      <c r="Z72" s="1114"/>
      <c r="AA72" s="1115"/>
      <c r="AB72" s="1173" t="str">
        <f t="shared" ref="AB72" si="137">IF(C72="New Construction","Incremental","")</f>
        <v/>
      </c>
      <c r="AC72" s="1173"/>
      <c r="AD72" s="874"/>
      <c r="AE72" s="1097"/>
      <c r="AF72" s="1201" t="str">
        <f t="shared" ref="AF72" si="138">IF(AB72="Incremental",0,"")</f>
        <v/>
      </c>
      <c r="AG72" s="1202"/>
      <c r="AH72" s="870" t="str">
        <f t="shared" ref="AH72" si="139">IF(OR(C72="",F72="",L72="",P72="",R72="",T72="",X72="",Z72="",AD72="",AF72=""),"",ROUND(AD72+AF72,2))</f>
        <v/>
      </c>
      <c r="AI72" s="1102"/>
      <c r="AJ72" s="1102"/>
      <c r="AK72" s="1217" t="str">
        <f t="shared" ref="AK72" si="140">IF(OR(C72="",F72="",F72="",L72="",P72="",R72="",T72="",X72="",Z72="",AD72="",AF72=""),"",IF((P72*R72)-(X72*Z72)&lt;=0,0,ROUND((P72*R72)-(X72*Z72),2)))</f>
        <v/>
      </c>
      <c r="AL72" s="1217"/>
      <c r="AM72" s="1217"/>
      <c r="AN72" s="1138" t="str">
        <f t="shared" ref="AN72" si="141">IF(OR(C72="",F72="",F72="",L72="",P72="",R72="",T72="",X72="",Z72="",AD72="",AF72=""),"",IF(BD72&lt;&gt;"",BD72,IF(C72="Custom",AX72,IF(C72="New Construction",AY72,IF(C72="RCx",AZ72)))))</f>
        <v/>
      </c>
      <c r="AO72" s="1138"/>
      <c r="AP72" s="1138"/>
      <c r="AQ72" s="1138"/>
      <c r="AR72" s="59"/>
      <c r="AU72" s="1109" t="str">
        <f>IF(F72="","",INDEX(CUSTNONLIGHTGUNIT,MATCH(F72,PROGRAMGCAT[Category 1],0)))</f>
        <v/>
      </c>
      <c r="AV72" s="1109" t="str">
        <f>IF(OR(C72="",F72="",L72="",P72="",R72="",T72="",X72="",Z72="",AD72="",AF72=""),"",((1+GLOSS)*((AK72*INDEX(GASCB[NPV GAEC $/therm],MATCH(BA72,GASCB[Year Number],1))))/AH72))</f>
        <v/>
      </c>
      <c r="AW72" s="1103"/>
      <c r="AX72" s="1188" t="str">
        <f>IF(OR(C72="",F72="",L72="",P72="",R72="",T72="",X72="",Z72="",AB72="",AD72="",AF72=""),"",IF(AB72="Total",ROUND(MIN(AH72*0.75,AK72*INDEX(INCRATE[Gas],MATCH("CMNONLIGHT",INCRATE[Incentive Type]))),2),IF(AB72="Incremental",ROUND(MIN(AH72,AK72*INDEX(INCRATE[Gas],MATCH("CMNONLIGHT",INCRATE[Incentive Type]))),2))))</f>
        <v/>
      </c>
      <c r="AY72" s="1188" t="str">
        <f>IF(OR(C72="",F72="",L72="",P72="",R72="",T72="",X72="",Z72="",AB72="",AD72="",AF72=""),"",IF(AB72="Total",ROUND(MIN(AH72*0.75,AK72*INDEX(INCRATE[Gas],MATCH("NCNONLIGHT",INCRATE[Incentive Type]))),2),IF(AB72="Incremental",ROUND(MIN(AH72,AK72*INDEX(INCRATE[Gas],MATCH("NCNONLIGHT",INCRATE[Incentive Type]))),2))))</f>
        <v/>
      </c>
      <c r="AZ72" s="1188" t="str">
        <f>IF(OR(C72="",F72="",L72="",P72="",R72="",T72="",X72="",Z72="",AB72="",AD72="",AF72=""),"",IF(AB72="Total",ROUND(MIN(AH72*0.75,AK72*INDEX(INCRATE[Gas],MATCH("RCX",INCRATE[Incentive Type]))),2),IF(AB72="Incremental",ROUND(MIN(AH72,AK72*INDEX(INCRATE[Gas],MATCH("RCX",INCRATE[Incentive Type]))),2))))</f>
        <v/>
      </c>
      <c r="BA72" s="1103" t="str">
        <f>IF(F72="","",INDEX(PROGRAMGCAT[EUL],MATCH(F72,PROGRAMGCAT[Category 1],0)))</f>
        <v/>
      </c>
      <c r="BB72" s="1103" t="str">
        <f>IFERROR(AH72/M02S02F36/AK72,"")</f>
        <v/>
      </c>
      <c r="BC72" s="1198" t="str">
        <f>IF(OR(C72="",F72="",L72="",P72="",R72="",T72="",X72="",Z72="",AD72="",AF72=""),"",IF(ISNUMBER(AN72),INDEX(PROGRAMGCAT[Measure Number],MATCH(F72,PROGRAMGCAT[Category 1],0)),IF(AK72=0,"","000001")))</f>
        <v/>
      </c>
      <c r="BD72" s="1103" t="str">
        <f>IFERROR(IF((P72*R72)-(X72*Z72)&lt;=0,MEASURESAV,IF(M02S02F36="",MEASURERATE,IF(OR(F72="Others (Incremental)",F72="Others"),MEASURESUBMIT, IF(BB72&lt;1,MEASUREPAY,IF(AV72&lt;1,MEASURECB,""))))),MEASURESUBMIT)</f>
        <v>Submit for Review</v>
      </c>
    </row>
    <row r="73" spans="2:56" ht="15.95" hidden="1" customHeight="1">
      <c r="B73" s="834"/>
      <c r="C73" s="1212"/>
      <c r="D73" s="1212"/>
      <c r="E73" s="1212"/>
      <c r="F73" s="1094"/>
      <c r="G73" s="1094"/>
      <c r="H73" s="1094"/>
      <c r="I73" s="1094"/>
      <c r="J73" s="1094"/>
      <c r="K73" s="1094"/>
      <c r="L73" s="840"/>
      <c r="M73" s="841"/>
      <c r="N73" s="841"/>
      <c r="O73" s="842"/>
      <c r="P73" s="853"/>
      <c r="Q73" s="854"/>
      <c r="R73" s="1116"/>
      <c r="S73" s="1117"/>
      <c r="T73" s="1226"/>
      <c r="U73" s="1226"/>
      <c r="V73" s="1226"/>
      <c r="W73" s="1226"/>
      <c r="X73" s="853"/>
      <c r="Y73" s="854"/>
      <c r="Z73" s="1116"/>
      <c r="AA73" s="1117"/>
      <c r="AB73" s="1174"/>
      <c r="AC73" s="1174"/>
      <c r="AD73" s="875"/>
      <c r="AE73" s="1098"/>
      <c r="AF73" s="1203"/>
      <c r="AG73" s="1204"/>
      <c r="AH73" s="1136"/>
      <c r="AI73" s="1137"/>
      <c r="AJ73" s="1137"/>
      <c r="AK73" s="1218"/>
      <c r="AL73" s="1218"/>
      <c r="AM73" s="1218"/>
      <c r="AN73" s="1139"/>
      <c r="AO73" s="1139"/>
      <c r="AP73" s="1139"/>
      <c r="AQ73" s="1139"/>
      <c r="AR73" s="59"/>
      <c r="AU73" s="1108"/>
      <c r="AV73" s="1108"/>
      <c r="AW73" s="1104"/>
      <c r="AX73" s="1104"/>
      <c r="AY73" s="1104"/>
      <c r="AZ73" s="1104"/>
      <c r="BA73" s="1104"/>
      <c r="BB73" s="1104"/>
      <c r="BC73" s="1192"/>
      <c r="BD73" s="1104"/>
    </row>
    <row r="74" spans="2:56" ht="15.95" hidden="1" customHeight="1">
      <c r="B74" s="834">
        <v>30</v>
      </c>
      <c r="C74" s="1211"/>
      <c r="D74" s="1211"/>
      <c r="E74" s="1211"/>
      <c r="F74" s="1093"/>
      <c r="G74" s="1093"/>
      <c r="H74" s="1093"/>
      <c r="I74" s="1093"/>
      <c r="J74" s="1093"/>
      <c r="K74" s="1093"/>
      <c r="L74" s="871"/>
      <c r="M74" s="872"/>
      <c r="N74" s="872"/>
      <c r="O74" s="873"/>
      <c r="P74" s="851"/>
      <c r="Q74" s="852"/>
      <c r="R74" s="1114"/>
      <c r="S74" s="1115"/>
      <c r="T74" s="1225"/>
      <c r="U74" s="1225"/>
      <c r="V74" s="1225"/>
      <c r="W74" s="1225"/>
      <c r="X74" s="876"/>
      <c r="Y74" s="877"/>
      <c r="Z74" s="1114"/>
      <c r="AA74" s="1115"/>
      <c r="AB74" s="1173" t="str">
        <f t="shared" ref="AB74" si="142">IF(C74="New Construction","Incremental","")</f>
        <v/>
      </c>
      <c r="AC74" s="1173"/>
      <c r="AD74" s="874"/>
      <c r="AE74" s="1097"/>
      <c r="AF74" s="1201" t="str">
        <f t="shared" ref="AF74" si="143">IF(AB74="Incremental",0,"")</f>
        <v/>
      </c>
      <c r="AG74" s="1202"/>
      <c r="AH74" s="870" t="str">
        <f t="shared" ref="AH74" si="144">IF(OR(C74="",F74="",L74="",P74="",R74="",T74="",X74="",Z74="",AD74="",AF74=""),"",ROUND(AD74+AF74,2))</f>
        <v/>
      </c>
      <c r="AI74" s="1102"/>
      <c r="AJ74" s="1102"/>
      <c r="AK74" s="1217" t="str">
        <f t="shared" ref="AK74" si="145">IF(OR(C74="",F74="",F74="",L74="",P74="",R74="",T74="",X74="",Z74="",AD74="",AF74=""),"",IF((P74*R74)-(X74*Z74)&lt;=0,0,ROUND((P74*R74)-(X74*Z74),2)))</f>
        <v/>
      </c>
      <c r="AL74" s="1217"/>
      <c r="AM74" s="1217"/>
      <c r="AN74" s="1138" t="str">
        <f t="shared" ref="AN74" si="146">IF(OR(C74="",F74="",F74="",L74="",P74="",R74="",T74="",X74="",Z74="",AD74="",AF74=""),"",IF(BD74&lt;&gt;"",BD74,IF(C74="Custom",AX74,IF(C74="New Construction",AY74,IF(C74="RCx",AZ74)))))</f>
        <v/>
      </c>
      <c r="AO74" s="1138"/>
      <c r="AP74" s="1138"/>
      <c r="AQ74" s="1138"/>
      <c r="AR74" s="59"/>
      <c r="AU74" s="1109" t="str">
        <f>IF(F74="","",INDEX(CUSTNONLIGHTGUNIT,MATCH(F74,PROGRAMGCAT[Category 1],0)))</f>
        <v/>
      </c>
      <c r="AV74" s="1109" t="str">
        <f>IF(OR(C74="",F74="",L74="",P74="",R74="",T74="",X74="",Z74="",AD74="",AF74=""),"",((1+GLOSS)*((AK74*INDEX(GASCB[NPV GAEC $/therm],MATCH(BA74,GASCB[Year Number],1))))/AH74))</f>
        <v/>
      </c>
      <c r="AW74" s="1103"/>
      <c r="AX74" s="1188" t="str">
        <f>IF(OR(C74="",F74="",L74="",P74="",R74="",T74="",X74="",Z74="",AB74="",AD74="",AF74=""),"",IF(AB74="Total",ROUND(MIN(AH74*0.75,AK74*INDEX(INCRATE[Gas],MATCH("CMNONLIGHT",INCRATE[Incentive Type]))),2),IF(AB74="Incremental",ROUND(MIN(AH74,AK74*INDEX(INCRATE[Gas],MATCH("CMNONLIGHT",INCRATE[Incentive Type]))),2))))</f>
        <v/>
      </c>
      <c r="AY74" s="1188" t="str">
        <f>IF(OR(C74="",F74="",L74="",P74="",R74="",T74="",X74="",Z74="",AB74="",AD74="",AF74=""),"",IF(AB74="Total",ROUND(MIN(AH74*0.75,AK74*INDEX(INCRATE[Gas],MATCH("NCNONLIGHT",INCRATE[Incentive Type]))),2),IF(AB74="Incremental",ROUND(MIN(AH74,AK74*INDEX(INCRATE[Gas],MATCH("NCNONLIGHT",INCRATE[Incentive Type]))),2))))</f>
        <v/>
      </c>
      <c r="AZ74" s="1188" t="str">
        <f>IF(OR(C74="",F74="",L74="",P74="",R74="",T74="",X74="",Z74="",AB74="",AD74="",AF74=""),"",IF(AB74="Total",ROUND(MIN(AH74*0.75,AK74*INDEX(INCRATE[Gas],MATCH("RCX",INCRATE[Incentive Type]))),2),IF(AB74="Incremental",ROUND(MIN(AH74,AK74*INDEX(INCRATE[Gas],MATCH("RCX",INCRATE[Incentive Type]))),2))))</f>
        <v/>
      </c>
      <c r="BA74" s="1103" t="str">
        <f>IF(F74="","",INDEX(PROGRAMGCAT[EUL],MATCH(F74,PROGRAMGCAT[Category 1],0)))</f>
        <v/>
      </c>
      <c r="BB74" s="1103" t="str">
        <f>IFERROR(AH74/M02S02F36/AK74,"")</f>
        <v/>
      </c>
      <c r="BC74" s="1198" t="str">
        <f>IF(OR(C74="",F74="",L74="",P74="",R74="",T74="",X74="",Z74="",AD74="",AF74=""),"",IF(ISNUMBER(AN74),INDEX(PROGRAMGCAT[Measure Number],MATCH(F74,PROGRAMGCAT[Category 1],0)),IF(AK74=0,"","000001")))</f>
        <v/>
      </c>
      <c r="BD74" s="1103" t="str">
        <f>IFERROR(IF((P74*R74)-(X74*Z74)&lt;=0,MEASURESAV,IF(M02S02F36="",MEASURERATE,IF(OR(F74="Others (Incremental)",F74="Others"),MEASURESUBMIT, IF(BB74&lt;1,MEASUREPAY,IF(AV74&lt;1,MEASURECB,""))))),MEASURESUBMIT)</f>
        <v>Submit for Review</v>
      </c>
    </row>
    <row r="75" spans="2:56" ht="15.95" hidden="1" customHeight="1">
      <c r="B75" s="834"/>
      <c r="C75" s="1212"/>
      <c r="D75" s="1212"/>
      <c r="E75" s="1212"/>
      <c r="F75" s="1094"/>
      <c r="G75" s="1094"/>
      <c r="H75" s="1094"/>
      <c r="I75" s="1094"/>
      <c r="J75" s="1094"/>
      <c r="K75" s="1094"/>
      <c r="L75" s="840"/>
      <c r="M75" s="841"/>
      <c r="N75" s="841"/>
      <c r="O75" s="842"/>
      <c r="P75" s="853"/>
      <c r="Q75" s="854"/>
      <c r="R75" s="1116"/>
      <c r="S75" s="1117"/>
      <c r="T75" s="1226"/>
      <c r="U75" s="1226"/>
      <c r="V75" s="1226"/>
      <c r="W75" s="1226"/>
      <c r="X75" s="853"/>
      <c r="Y75" s="854"/>
      <c r="Z75" s="1116"/>
      <c r="AA75" s="1117"/>
      <c r="AB75" s="1174"/>
      <c r="AC75" s="1174"/>
      <c r="AD75" s="875"/>
      <c r="AE75" s="1098"/>
      <c r="AF75" s="1203"/>
      <c r="AG75" s="1204"/>
      <c r="AH75" s="1136"/>
      <c r="AI75" s="1137"/>
      <c r="AJ75" s="1137"/>
      <c r="AK75" s="1218"/>
      <c r="AL75" s="1218"/>
      <c r="AM75" s="1218"/>
      <c r="AN75" s="1139"/>
      <c r="AO75" s="1139"/>
      <c r="AP75" s="1139"/>
      <c r="AQ75" s="1139"/>
      <c r="AR75" s="59"/>
      <c r="AU75" s="1108"/>
      <c r="AV75" s="1108"/>
      <c r="AW75" s="1104"/>
      <c r="AX75" s="1104"/>
      <c r="AY75" s="1104"/>
      <c r="AZ75" s="1104"/>
      <c r="BA75" s="1104"/>
      <c r="BB75" s="1104"/>
      <c r="BC75" s="1192"/>
      <c r="BD75" s="1104"/>
    </row>
    <row r="76" spans="2:56" ht="15.95" hidden="1" customHeight="1">
      <c r="B76" s="834">
        <v>31</v>
      </c>
      <c r="C76" s="1211"/>
      <c r="D76" s="1211"/>
      <c r="E76" s="1211"/>
      <c r="F76" s="1093"/>
      <c r="G76" s="1093"/>
      <c r="H76" s="1093"/>
      <c r="I76" s="1093"/>
      <c r="J76" s="1093"/>
      <c r="K76" s="1093"/>
      <c r="L76" s="871"/>
      <c r="M76" s="872"/>
      <c r="N76" s="872"/>
      <c r="O76" s="873"/>
      <c r="P76" s="851"/>
      <c r="Q76" s="852"/>
      <c r="R76" s="1114"/>
      <c r="S76" s="1115"/>
      <c r="T76" s="1225"/>
      <c r="U76" s="1225"/>
      <c r="V76" s="1225"/>
      <c r="W76" s="1225"/>
      <c r="X76" s="876"/>
      <c r="Y76" s="877"/>
      <c r="Z76" s="1114"/>
      <c r="AA76" s="1115"/>
      <c r="AB76" s="1173" t="str">
        <f t="shared" ref="AB76" si="147">IF(C76="New Construction","Incremental","")</f>
        <v/>
      </c>
      <c r="AC76" s="1173"/>
      <c r="AD76" s="874"/>
      <c r="AE76" s="1097"/>
      <c r="AF76" s="1201" t="str">
        <f t="shared" ref="AF76" si="148">IF(AB76="Incremental",0,"")</f>
        <v/>
      </c>
      <c r="AG76" s="1202"/>
      <c r="AH76" s="870" t="str">
        <f t="shared" ref="AH76" si="149">IF(OR(C76="",F76="",L76="",P76="",R76="",T76="",X76="",Z76="",AD76="",AF76=""),"",ROUND(AD76+AF76,2))</f>
        <v/>
      </c>
      <c r="AI76" s="1102"/>
      <c r="AJ76" s="1102"/>
      <c r="AK76" s="1217" t="str">
        <f t="shared" ref="AK76" si="150">IF(OR(C76="",F76="",F76="",L76="",P76="",R76="",T76="",X76="",Z76="",AD76="",AF76=""),"",IF((P76*R76)-(X76*Z76)&lt;=0,0,ROUND((P76*R76)-(X76*Z76),2)))</f>
        <v/>
      </c>
      <c r="AL76" s="1217"/>
      <c r="AM76" s="1217"/>
      <c r="AN76" s="1138" t="str">
        <f t="shared" ref="AN76" si="151">IF(OR(C76="",F76="",F76="",L76="",P76="",R76="",T76="",X76="",Z76="",AD76="",AF76=""),"",IF(BD76&lt;&gt;"",BD76,IF(C76="Custom",AX76,IF(C76="New Construction",AY76,IF(C76="RCx",AZ76)))))</f>
        <v/>
      </c>
      <c r="AO76" s="1138"/>
      <c r="AP76" s="1138"/>
      <c r="AQ76" s="1138"/>
      <c r="AR76" s="59"/>
      <c r="AU76" s="1109" t="str">
        <f>IF(F76="","",INDEX(CUSTNONLIGHTGUNIT,MATCH(F76,PROGRAMGCAT[Category 1],0)))</f>
        <v/>
      </c>
      <c r="AV76" s="1109" t="str">
        <f>IF(OR(C76="",F76="",L76="",P76="",R76="",T76="",X76="",Z76="",AD76="",AF76=""),"",((1+GLOSS)*((AK76*INDEX(GASCB[NPV GAEC $/therm],MATCH(BA76,GASCB[Year Number],1))))/AH76))</f>
        <v/>
      </c>
      <c r="AW76" s="1103"/>
      <c r="AX76" s="1188" t="str">
        <f>IF(OR(C76="",F76="",L76="",P76="",R76="",T76="",X76="",Z76="",AB76="",AD76="",AF76=""),"",IF(AB76="Total",ROUND(MIN(AH76*0.75,AK76*INDEX(INCRATE[Gas],MATCH("CMNONLIGHT",INCRATE[Incentive Type]))),2),IF(AB76="Incremental",ROUND(MIN(AH76,AK76*INDEX(INCRATE[Gas],MATCH("CMNONLIGHT",INCRATE[Incentive Type]))),2))))</f>
        <v/>
      </c>
      <c r="AY76" s="1188" t="str">
        <f>IF(OR(C76="",F76="",L76="",P76="",R76="",T76="",X76="",Z76="",AB76="",AD76="",AF76=""),"",IF(AB76="Total",ROUND(MIN(AH76*0.75,AK76*INDEX(INCRATE[Gas],MATCH("NCNONLIGHT",INCRATE[Incentive Type]))),2),IF(AB76="Incremental",ROUND(MIN(AH76,AK76*INDEX(INCRATE[Gas],MATCH("NCNONLIGHT",INCRATE[Incentive Type]))),2))))</f>
        <v/>
      </c>
      <c r="AZ76" s="1188" t="str">
        <f>IF(OR(C76="",F76="",L76="",P76="",R76="",T76="",X76="",Z76="",AB76="",AD76="",AF76=""),"",IF(AB76="Total",ROUND(MIN(AH76*0.75,AK76*INDEX(INCRATE[Gas],MATCH("RCX",INCRATE[Incentive Type]))),2),IF(AB76="Incremental",ROUND(MIN(AH76,AK76*INDEX(INCRATE[Gas],MATCH("RCX",INCRATE[Incentive Type]))),2))))</f>
        <v/>
      </c>
      <c r="BA76" s="1103" t="str">
        <f>IF(F76="","",INDEX(PROGRAMGCAT[EUL],MATCH(F76,PROGRAMGCAT[Category 1],0)))</f>
        <v/>
      </c>
      <c r="BB76" s="1103" t="str">
        <f>IFERROR(AH76/M02S02F36/AK76,"")</f>
        <v/>
      </c>
      <c r="BC76" s="1198" t="str">
        <f>IF(OR(C76="",F76="",L76="",P76="",R76="",T76="",X76="",Z76="",AD76="",AF76=""),"",IF(ISNUMBER(AN76),INDEX(PROGRAMGCAT[Measure Number],MATCH(F76,PROGRAMGCAT[Category 1],0)),IF(AK76=0,"","000001")))</f>
        <v/>
      </c>
      <c r="BD76" s="1103" t="str">
        <f>IFERROR(IF((P76*R76)-(X76*Z76)&lt;=0,MEASURESAV,IF(M02S02F36="",MEASURERATE,IF(OR(F76="Others (Incremental)",F76="Others"),MEASURESUBMIT, IF(BB76&lt;1,MEASUREPAY,IF(AV76&lt;1,MEASURECB,""))))),MEASURESUBMIT)</f>
        <v>Submit for Review</v>
      </c>
    </row>
    <row r="77" spans="2:56" ht="15.95" hidden="1" customHeight="1">
      <c r="B77" s="834"/>
      <c r="C77" s="1212"/>
      <c r="D77" s="1212"/>
      <c r="E77" s="1212"/>
      <c r="F77" s="1094"/>
      <c r="G77" s="1094"/>
      <c r="H77" s="1094"/>
      <c r="I77" s="1094"/>
      <c r="J77" s="1094"/>
      <c r="K77" s="1094"/>
      <c r="L77" s="840"/>
      <c r="M77" s="841"/>
      <c r="N77" s="841"/>
      <c r="O77" s="842"/>
      <c r="P77" s="853"/>
      <c r="Q77" s="854"/>
      <c r="R77" s="1116"/>
      <c r="S77" s="1117"/>
      <c r="T77" s="1226"/>
      <c r="U77" s="1226"/>
      <c r="V77" s="1226"/>
      <c r="W77" s="1226"/>
      <c r="X77" s="853"/>
      <c r="Y77" s="854"/>
      <c r="Z77" s="1116"/>
      <c r="AA77" s="1117"/>
      <c r="AB77" s="1174"/>
      <c r="AC77" s="1174"/>
      <c r="AD77" s="875"/>
      <c r="AE77" s="1098"/>
      <c r="AF77" s="1203"/>
      <c r="AG77" s="1204"/>
      <c r="AH77" s="1136"/>
      <c r="AI77" s="1137"/>
      <c r="AJ77" s="1137"/>
      <c r="AK77" s="1218"/>
      <c r="AL77" s="1218"/>
      <c r="AM77" s="1218"/>
      <c r="AN77" s="1139"/>
      <c r="AO77" s="1139"/>
      <c r="AP77" s="1139"/>
      <c r="AQ77" s="1139"/>
      <c r="AR77" s="59"/>
      <c r="AU77" s="1108"/>
      <c r="AV77" s="1108"/>
      <c r="AW77" s="1104"/>
      <c r="AX77" s="1104"/>
      <c r="AY77" s="1104"/>
      <c r="AZ77" s="1104"/>
      <c r="BA77" s="1104"/>
      <c r="BB77" s="1104"/>
      <c r="BC77" s="1192"/>
      <c r="BD77" s="1104"/>
    </row>
    <row r="78" spans="2:56" ht="15.95" hidden="1" customHeight="1">
      <c r="B78" s="834">
        <v>32</v>
      </c>
      <c r="C78" s="1211"/>
      <c r="D78" s="1211"/>
      <c r="E78" s="1211"/>
      <c r="F78" s="1093"/>
      <c r="G78" s="1093"/>
      <c r="H78" s="1093"/>
      <c r="I78" s="1093"/>
      <c r="J78" s="1093"/>
      <c r="K78" s="1093"/>
      <c r="L78" s="871"/>
      <c r="M78" s="872"/>
      <c r="N78" s="872"/>
      <c r="O78" s="873"/>
      <c r="P78" s="851"/>
      <c r="Q78" s="852"/>
      <c r="R78" s="1114"/>
      <c r="S78" s="1115"/>
      <c r="T78" s="1225"/>
      <c r="U78" s="1225"/>
      <c r="V78" s="1225"/>
      <c r="W78" s="1225"/>
      <c r="X78" s="876"/>
      <c r="Y78" s="877"/>
      <c r="Z78" s="1114"/>
      <c r="AA78" s="1115"/>
      <c r="AB78" s="1173" t="str">
        <f t="shared" ref="AB78" si="152">IF(C78="New Construction","Incremental","")</f>
        <v/>
      </c>
      <c r="AC78" s="1173"/>
      <c r="AD78" s="874"/>
      <c r="AE78" s="1097"/>
      <c r="AF78" s="1201" t="str">
        <f t="shared" ref="AF78" si="153">IF(AB78="Incremental",0,"")</f>
        <v/>
      </c>
      <c r="AG78" s="1202"/>
      <c r="AH78" s="870" t="str">
        <f t="shared" ref="AH78" si="154">IF(OR(C78="",F78="",L78="",P78="",R78="",T78="",X78="",Z78="",AD78="",AF78=""),"",ROUND(AD78+AF78,2))</f>
        <v/>
      </c>
      <c r="AI78" s="1102"/>
      <c r="AJ78" s="1102"/>
      <c r="AK78" s="1217" t="str">
        <f t="shared" ref="AK78" si="155">IF(OR(C78="",F78="",F78="",L78="",P78="",R78="",T78="",X78="",Z78="",AD78="",AF78=""),"",IF((P78*R78)-(X78*Z78)&lt;=0,0,ROUND((P78*R78)-(X78*Z78),2)))</f>
        <v/>
      </c>
      <c r="AL78" s="1217"/>
      <c r="AM78" s="1217"/>
      <c r="AN78" s="1138" t="str">
        <f t="shared" ref="AN78" si="156">IF(OR(C78="",F78="",F78="",L78="",P78="",R78="",T78="",X78="",Z78="",AD78="",AF78=""),"",IF(BD78&lt;&gt;"",BD78,IF(C78="Custom",AX78,IF(C78="New Construction",AY78,IF(C78="RCx",AZ78)))))</f>
        <v/>
      </c>
      <c r="AO78" s="1138"/>
      <c r="AP78" s="1138"/>
      <c r="AQ78" s="1138"/>
      <c r="AR78" s="59"/>
      <c r="AU78" s="1109" t="str">
        <f>IF(F78="","",INDEX(CUSTNONLIGHTGUNIT,MATCH(F78,PROGRAMGCAT[Category 1],0)))</f>
        <v/>
      </c>
      <c r="AV78" s="1109" t="str">
        <f>IF(OR(C78="",F78="",L78="",P78="",R78="",T78="",X78="",Z78="",AD78="",AF78=""),"",((1+GLOSS)*((AK78*INDEX(GASCB[NPV GAEC $/therm],MATCH(BA78,GASCB[Year Number],1))))/AH78))</f>
        <v/>
      </c>
      <c r="AW78" s="1103"/>
      <c r="AX78" s="1188" t="str">
        <f>IF(OR(C78="",F78="",L78="",P78="",R78="",T78="",X78="",Z78="",AB78="",AD78="",AF78=""),"",IF(AB78="Total",ROUND(MIN(AH78*0.75,AK78*INDEX(INCRATE[Gas],MATCH("CMNONLIGHT",INCRATE[Incentive Type]))),2),IF(AB78="Incremental",ROUND(MIN(AH78,AK78*INDEX(INCRATE[Gas],MATCH("CMNONLIGHT",INCRATE[Incentive Type]))),2))))</f>
        <v/>
      </c>
      <c r="AY78" s="1188" t="str">
        <f>IF(OR(C78="",F78="",L78="",P78="",R78="",T78="",X78="",Z78="",AB78="",AD78="",AF78=""),"",IF(AB78="Total",ROUND(MIN(AH78*0.75,AK78*INDEX(INCRATE[Gas],MATCH("NCNONLIGHT",INCRATE[Incentive Type]))),2),IF(AB78="Incremental",ROUND(MIN(AH78,AK78*INDEX(INCRATE[Gas],MATCH("NCNONLIGHT",INCRATE[Incentive Type]))),2))))</f>
        <v/>
      </c>
      <c r="AZ78" s="1188" t="str">
        <f>IF(OR(C78="",F78="",L78="",P78="",R78="",T78="",X78="",Z78="",AB78="",AD78="",AF78=""),"",IF(AB78="Total",ROUND(MIN(AH78*0.75,AK78*INDEX(INCRATE[Gas],MATCH("RCX",INCRATE[Incentive Type]))),2),IF(AB78="Incremental",ROUND(MIN(AH78,AK78*INDEX(INCRATE[Gas],MATCH("RCX",INCRATE[Incentive Type]))),2))))</f>
        <v/>
      </c>
      <c r="BA78" s="1103" t="str">
        <f>IF(F78="","",INDEX(PROGRAMGCAT[EUL],MATCH(F78,PROGRAMGCAT[Category 1],0)))</f>
        <v/>
      </c>
      <c r="BB78" s="1103" t="str">
        <f>IFERROR(AH78/M02S02F36/AK78,"")</f>
        <v/>
      </c>
      <c r="BC78" s="1198" t="str">
        <f>IF(OR(C78="",F78="",L78="",P78="",R78="",T78="",X78="",Z78="",AD78="",AF78=""),"",IF(ISNUMBER(AN78),INDEX(PROGRAMGCAT[Measure Number],MATCH(F78,PROGRAMGCAT[Category 1],0)),IF(AK78=0,"","000001")))</f>
        <v/>
      </c>
      <c r="BD78" s="1103" t="str">
        <f>IFERROR(IF((P78*R78)-(X78*Z78)&lt;=0,MEASURESAV,IF(M02S02F36="",MEASURERATE,IF(OR(F78="Others (Incremental)",F78="Others"),MEASURESUBMIT, IF(BB78&lt;1,MEASUREPAY,IF(AV78&lt;1,MEASURECB,""))))),MEASURESUBMIT)</f>
        <v>Submit for Review</v>
      </c>
    </row>
    <row r="79" spans="2:56" ht="15.95" hidden="1" customHeight="1">
      <c r="B79" s="834"/>
      <c r="C79" s="1212"/>
      <c r="D79" s="1212"/>
      <c r="E79" s="1212"/>
      <c r="F79" s="1094"/>
      <c r="G79" s="1094"/>
      <c r="H79" s="1094"/>
      <c r="I79" s="1094"/>
      <c r="J79" s="1094"/>
      <c r="K79" s="1094"/>
      <c r="L79" s="840"/>
      <c r="M79" s="841"/>
      <c r="N79" s="841"/>
      <c r="O79" s="842"/>
      <c r="P79" s="853"/>
      <c r="Q79" s="854"/>
      <c r="R79" s="1116"/>
      <c r="S79" s="1117"/>
      <c r="T79" s="1226"/>
      <c r="U79" s="1226"/>
      <c r="V79" s="1226"/>
      <c r="W79" s="1226"/>
      <c r="X79" s="853"/>
      <c r="Y79" s="854"/>
      <c r="Z79" s="1116"/>
      <c r="AA79" s="1117"/>
      <c r="AB79" s="1174"/>
      <c r="AC79" s="1174"/>
      <c r="AD79" s="875"/>
      <c r="AE79" s="1098"/>
      <c r="AF79" s="1203"/>
      <c r="AG79" s="1204"/>
      <c r="AH79" s="1136"/>
      <c r="AI79" s="1137"/>
      <c r="AJ79" s="1137"/>
      <c r="AK79" s="1218"/>
      <c r="AL79" s="1218"/>
      <c r="AM79" s="1218"/>
      <c r="AN79" s="1139"/>
      <c r="AO79" s="1139"/>
      <c r="AP79" s="1139"/>
      <c r="AQ79" s="1139"/>
      <c r="AR79" s="59"/>
      <c r="AU79" s="1108"/>
      <c r="AV79" s="1108"/>
      <c r="AW79" s="1104"/>
      <c r="AX79" s="1104"/>
      <c r="AY79" s="1104"/>
      <c r="AZ79" s="1104"/>
      <c r="BA79" s="1104"/>
      <c r="BB79" s="1104"/>
      <c r="BC79" s="1192"/>
      <c r="BD79" s="1104"/>
    </row>
    <row r="80" spans="2:56" ht="15.95" hidden="1" customHeight="1">
      <c r="B80" s="834">
        <v>33</v>
      </c>
      <c r="C80" s="1211"/>
      <c r="D80" s="1211"/>
      <c r="E80" s="1211"/>
      <c r="F80" s="1093"/>
      <c r="G80" s="1093"/>
      <c r="H80" s="1093"/>
      <c r="I80" s="1093"/>
      <c r="J80" s="1093"/>
      <c r="K80" s="1093"/>
      <c r="L80" s="871"/>
      <c r="M80" s="872"/>
      <c r="N80" s="872"/>
      <c r="O80" s="873"/>
      <c r="P80" s="851"/>
      <c r="Q80" s="852"/>
      <c r="R80" s="1114"/>
      <c r="S80" s="1115"/>
      <c r="T80" s="1225"/>
      <c r="U80" s="1225"/>
      <c r="V80" s="1225"/>
      <c r="W80" s="1225"/>
      <c r="X80" s="876"/>
      <c r="Y80" s="877"/>
      <c r="Z80" s="1114"/>
      <c r="AA80" s="1115"/>
      <c r="AB80" s="1173" t="str">
        <f t="shared" ref="AB80" si="157">IF(C80="New Construction","Incremental","")</f>
        <v/>
      </c>
      <c r="AC80" s="1173"/>
      <c r="AD80" s="874"/>
      <c r="AE80" s="1097"/>
      <c r="AF80" s="1201" t="str">
        <f t="shared" ref="AF80" si="158">IF(AB80="Incremental",0,"")</f>
        <v/>
      </c>
      <c r="AG80" s="1202"/>
      <c r="AH80" s="870" t="str">
        <f t="shared" ref="AH80" si="159">IF(OR(C80="",F80="",L80="",P80="",R80="",T80="",X80="",Z80="",AD80="",AF80=""),"",ROUND(AD80+AF80,2))</f>
        <v/>
      </c>
      <c r="AI80" s="1102"/>
      <c r="AJ80" s="1102"/>
      <c r="AK80" s="1217" t="str">
        <f t="shared" ref="AK80" si="160">IF(OR(C80="",F80="",F80="",L80="",P80="",R80="",T80="",X80="",Z80="",AD80="",AF80=""),"",IF((P80*R80)-(X80*Z80)&lt;=0,0,ROUND((P80*R80)-(X80*Z80),2)))</f>
        <v/>
      </c>
      <c r="AL80" s="1217"/>
      <c r="AM80" s="1217"/>
      <c r="AN80" s="1138" t="str">
        <f t="shared" ref="AN80" si="161">IF(OR(C80="",F80="",F80="",L80="",P80="",R80="",T80="",X80="",Z80="",AD80="",AF80=""),"",IF(BD80&lt;&gt;"",BD80,IF(C80="Custom",AX80,IF(C80="New Construction",AY80,IF(C80="RCx",AZ80)))))</f>
        <v/>
      </c>
      <c r="AO80" s="1138"/>
      <c r="AP80" s="1138"/>
      <c r="AQ80" s="1138"/>
      <c r="AR80" s="59"/>
      <c r="AU80" s="1109" t="str">
        <f>IF(F80="","",INDEX(CUSTNONLIGHTGUNIT,MATCH(F80,PROGRAMGCAT[Category 1],0)))</f>
        <v/>
      </c>
      <c r="AV80" s="1109" t="str">
        <f>IF(OR(C80="",F80="",L80="",P80="",R80="",T80="",X80="",Z80="",AD80="",AF80=""),"",((1+GLOSS)*((AK80*INDEX(GASCB[NPV GAEC $/therm],MATCH(BA80,GASCB[Year Number],1))))/AH80))</f>
        <v/>
      </c>
      <c r="AW80" s="1103"/>
      <c r="AX80" s="1188" t="str">
        <f>IF(OR(C80="",F80="",L80="",P80="",R80="",T80="",X80="",Z80="",AB80="",AD80="",AF80=""),"",IF(AB80="Total",ROUND(MIN(AH80*0.75,AK80*INDEX(INCRATE[Gas],MATCH("CMNONLIGHT",INCRATE[Incentive Type]))),2),IF(AB80="Incremental",ROUND(MIN(AH80,AK80*INDEX(INCRATE[Gas],MATCH("CMNONLIGHT",INCRATE[Incentive Type]))),2))))</f>
        <v/>
      </c>
      <c r="AY80" s="1188" t="str">
        <f>IF(OR(C80="",F80="",L80="",P80="",R80="",T80="",X80="",Z80="",AB80="",AD80="",AF80=""),"",IF(AB80="Total",ROUND(MIN(AH80*0.75,AK80*INDEX(INCRATE[Gas],MATCH("NCNONLIGHT",INCRATE[Incentive Type]))),2),IF(AB80="Incremental",ROUND(MIN(AH80,AK80*INDEX(INCRATE[Gas],MATCH("NCNONLIGHT",INCRATE[Incentive Type]))),2))))</f>
        <v/>
      </c>
      <c r="AZ80" s="1188" t="str">
        <f>IF(OR(C80="",F80="",L80="",P80="",R80="",T80="",X80="",Z80="",AB80="",AD80="",AF80=""),"",IF(AB80="Total",ROUND(MIN(AH80*0.75,AK80*INDEX(INCRATE[Gas],MATCH("RCX",INCRATE[Incentive Type]))),2),IF(AB80="Incremental",ROUND(MIN(AH80,AK80*INDEX(INCRATE[Gas],MATCH("RCX",INCRATE[Incentive Type]))),2))))</f>
        <v/>
      </c>
      <c r="BA80" s="1103" t="str">
        <f>IF(F80="","",INDEX(PROGRAMGCAT[EUL],MATCH(F80,PROGRAMGCAT[Category 1],0)))</f>
        <v/>
      </c>
      <c r="BB80" s="1103" t="str">
        <f>IFERROR(AH80/M02S02F36/AK80,"")</f>
        <v/>
      </c>
      <c r="BC80" s="1198" t="str">
        <f>IF(OR(C80="",F80="",L80="",P80="",R80="",T80="",X80="",Z80="",AD80="",AF80=""),"",IF(ISNUMBER(AN80),INDEX(PROGRAMGCAT[Measure Number],MATCH(F80,PROGRAMGCAT[Category 1],0)),IF(AK80=0,"","000001")))</f>
        <v/>
      </c>
      <c r="BD80" s="1103" t="str">
        <f>IFERROR(IF((P80*R80)-(X80*Z80)&lt;=0,MEASURESAV,IF(M02S02F36="",MEASURERATE,IF(OR(F80="Others (Incremental)",F80="Others"),MEASURESUBMIT, IF(BB80&lt;1,MEASUREPAY,IF(AV80&lt;1,MEASURECB,""))))),MEASURESUBMIT)</f>
        <v>Submit for Review</v>
      </c>
    </row>
    <row r="81" spans="2:56" ht="15.95" hidden="1" customHeight="1">
      <c r="B81" s="834"/>
      <c r="C81" s="1212"/>
      <c r="D81" s="1212"/>
      <c r="E81" s="1212"/>
      <c r="F81" s="1094"/>
      <c r="G81" s="1094"/>
      <c r="H81" s="1094"/>
      <c r="I81" s="1094"/>
      <c r="J81" s="1094"/>
      <c r="K81" s="1094"/>
      <c r="L81" s="840"/>
      <c r="M81" s="841"/>
      <c r="N81" s="841"/>
      <c r="O81" s="842"/>
      <c r="P81" s="853"/>
      <c r="Q81" s="854"/>
      <c r="R81" s="1116"/>
      <c r="S81" s="1117"/>
      <c r="T81" s="1226"/>
      <c r="U81" s="1226"/>
      <c r="V81" s="1226"/>
      <c r="W81" s="1226"/>
      <c r="X81" s="853"/>
      <c r="Y81" s="854"/>
      <c r="Z81" s="1116"/>
      <c r="AA81" s="1117"/>
      <c r="AB81" s="1174"/>
      <c r="AC81" s="1174"/>
      <c r="AD81" s="875"/>
      <c r="AE81" s="1098"/>
      <c r="AF81" s="1203"/>
      <c r="AG81" s="1204"/>
      <c r="AH81" s="1136"/>
      <c r="AI81" s="1137"/>
      <c r="AJ81" s="1137"/>
      <c r="AK81" s="1218"/>
      <c r="AL81" s="1218"/>
      <c r="AM81" s="1218"/>
      <c r="AN81" s="1139"/>
      <c r="AO81" s="1139"/>
      <c r="AP81" s="1139"/>
      <c r="AQ81" s="1139"/>
      <c r="AR81" s="59"/>
      <c r="AU81" s="1108"/>
      <c r="AV81" s="1108"/>
      <c r="AW81" s="1104"/>
      <c r="AX81" s="1104"/>
      <c r="AY81" s="1104"/>
      <c r="AZ81" s="1104"/>
      <c r="BA81" s="1104"/>
      <c r="BB81" s="1104"/>
      <c r="BC81" s="1192"/>
      <c r="BD81" s="1104"/>
    </row>
    <row r="82" spans="2:56" ht="15.95" hidden="1" customHeight="1">
      <c r="B82" s="834">
        <v>34</v>
      </c>
      <c r="C82" s="1211"/>
      <c r="D82" s="1211"/>
      <c r="E82" s="1211"/>
      <c r="F82" s="1093"/>
      <c r="G82" s="1093"/>
      <c r="H82" s="1093"/>
      <c r="I82" s="1093"/>
      <c r="J82" s="1093"/>
      <c r="K82" s="1093"/>
      <c r="L82" s="871"/>
      <c r="M82" s="872"/>
      <c r="N82" s="872"/>
      <c r="O82" s="873"/>
      <c r="P82" s="851"/>
      <c r="Q82" s="852"/>
      <c r="R82" s="1114"/>
      <c r="S82" s="1115"/>
      <c r="T82" s="1225"/>
      <c r="U82" s="1225"/>
      <c r="V82" s="1225"/>
      <c r="W82" s="1225"/>
      <c r="X82" s="876"/>
      <c r="Y82" s="877"/>
      <c r="Z82" s="1114"/>
      <c r="AA82" s="1115"/>
      <c r="AB82" s="1173" t="str">
        <f t="shared" ref="AB82" si="162">IF(C82="New Construction","Incremental","")</f>
        <v/>
      </c>
      <c r="AC82" s="1173"/>
      <c r="AD82" s="874"/>
      <c r="AE82" s="1097"/>
      <c r="AF82" s="1201" t="str">
        <f t="shared" ref="AF82" si="163">IF(AB82="Incremental",0,"")</f>
        <v/>
      </c>
      <c r="AG82" s="1202"/>
      <c r="AH82" s="870" t="str">
        <f t="shared" ref="AH82" si="164">IF(OR(C82="",F82="",L82="",P82="",R82="",T82="",X82="",Z82="",AD82="",AF82=""),"",ROUND(AD82+AF82,2))</f>
        <v/>
      </c>
      <c r="AI82" s="1102"/>
      <c r="AJ82" s="1102"/>
      <c r="AK82" s="1217" t="str">
        <f t="shared" ref="AK82" si="165">IF(OR(C82="",F82="",F82="",L82="",P82="",R82="",T82="",X82="",Z82="",AD82="",AF82=""),"",IF((P82*R82)-(X82*Z82)&lt;=0,0,ROUND((P82*R82)-(X82*Z82),2)))</f>
        <v/>
      </c>
      <c r="AL82" s="1217"/>
      <c r="AM82" s="1217"/>
      <c r="AN82" s="1138" t="str">
        <f t="shared" ref="AN82" si="166">IF(OR(C82="",F82="",F82="",L82="",P82="",R82="",T82="",X82="",Z82="",AD82="",AF82=""),"",IF(BD82&lt;&gt;"",BD82,IF(C82="Custom",AX82,IF(C82="New Construction",AY82,IF(C82="RCx",AZ82)))))</f>
        <v/>
      </c>
      <c r="AO82" s="1138"/>
      <c r="AP82" s="1138"/>
      <c r="AQ82" s="1138"/>
      <c r="AR82" s="59"/>
      <c r="AU82" s="1109" t="str">
        <f>IF(F82="","",INDEX(CUSTNONLIGHTGUNIT,MATCH(F82,PROGRAMGCAT[Category 1],0)))</f>
        <v/>
      </c>
      <c r="AV82" s="1109" t="str">
        <f>IF(OR(C82="",F82="",L82="",P82="",R82="",T82="",X82="",Z82="",AD82="",AF82=""),"",((1+GLOSS)*((AK82*INDEX(GASCB[NPV GAEC $/therm],MATCH(BA82,GASCB[Year Number],1))))/AH82))</f>
        <v/>
      </c>
      <c r="AW82" s="1103"/>
      <c r="AX82" s="1188" t="str">
        <f>IF(OR(C82="",F82="",L82="",P82="",R82="",T82="",X82="",Z82="",AB82="",AD82="",AF82=""),"",IF(AB82="Total",ROUND(MIN(AH82*0.75,AK82*INDEX(INCRATE[Gas],MATCH("CMNONLIGHT",INCRATE[Incentive Type]))),2),IF(AB82="Incremental",ROUND(MIN(AH82,AK82*INDEX(INCRATE[Gas],MATCH("CMNONLIGHT",INCRATE[Incentive Type]))),2))))</f>
        <v/>
      </c>
      <c r="AY82" s="1188" t="str">
        <f>IF(OR(C82="",F82="",L82="",P82="",R82="",T82="",X82="",Z82="",AB82="",AD82="",AF82=""),"",IF(AB82="Total",ROUND(MIN(AH82*0.75,AK82*INDEX(INCRATE[Gas],MATCH("NCNONLIGHT",INCRATE[Incentive Type]))),2),IF(AB82="Incremental",ROUND(MIN(AH82,AK82*INDEX(INCRATE[Gas],MATCH("NCNONLIGHT",INCRATE[Incentive Type]))),2))))</f>
        <v/>
      </c>
      <c r="AZ82" s="1188" t="str">
        <f>IF(OR(C82="",F82="",L82="",P82="",R82="",T82="",X82="",Z82="",AB82="",AD82="",AF82=""),"",IF(AB82="Total",ROUND(MIN(AH82*0.75,AK82*INDEX(INCRATE[Gas],MATCH("RCX",INCRATE[Incentive Type]))),2),IF(AB82="Incremental",ROUND(MIN(AH82,AK82*INDEX(INCRATE[Gas],MATCH("RCX",INCRATE[Incentive Type]))),2))))</f>
        <v/>
      </c>
      <c r="BA82" s="1103" t="str">
        <f>IF(F82="","",INDEX(PROGRAMGCAT[EUL],MATCH(F82,PROGRAMGCAT[Category 1],0)))</f>
        <v/>
      </c>
      <c r="BB82" s="1103" t="str">
        <f>IFERROR(AH82/M02S02F36/AK82,"")</f>
        <v/>
      </c>
      <c r="BC82" s="1198" t="str">
        <f>IF(OR(C82="",F82="",L82="",P82="",R82="",T82="",X82="",Z82="",AD82="",AF82=""),"",IF(ISNUMBER(AN82),INDEX(PROGRAMGCAT[Measure Number],MATCH(F82,PROGRAMGCAT[Category 1],0)),IF(AK82=0,"","000001")))</f>
        <v/>
      </c>
      <c r="BD82" s="1103" t="str">
        <f>IFERROR(IF((P82*R82)-(X82*Z82)&lt;=0,MEASURESAV,IF(M02S02F36="",MEASURERATE,IF(OR(F82="Others (Incremental)",F82="Others"),MEASURESUBMIT, IF(BB82&lt;1,MEASUREPAY,IF(AV82&lt;1,MEASURECB,""))))),MEASURESUBMIT)</f>
        <v>Submit for Review</v>
      </c>
    </row>
    <row r="83" spans="2:56" ht="15.95" hidden="1" customHeight="1">
      <c r="B83" s="834"/>
      <c r="C83" s="1212"/>
      <c r="D83" s="1212"/>
      <c r="E83" s="1212"/>
      <c r="F83" s="1094"/>
      <c r="G83" s="1094"/>
      <c r="H83" s="1094"/>
      <c r="I83" s="1094"/>
      <c r="J83" s="1094"/>
      <c r="K83" s="1094"/>
      <c r="L83" s="840"/>
      <c r="M83" s="841"/>
      <c r="N83" s="841"/>
      <c r="O83" s="842"/>
      <c r="P83" s="853"/>
      <c r="Q83" s="854"/>
      <c r="R83" s="1116"/>
      <c r="S83" s="1117"/>
      <c r="T83" s="1226"/>
      <c r="U83" s="1226"/>
      <c r="V83" s="1226"/>
      <c r="W83" s="1226"/>
      <c r="X83" s="853"/>
      <c r="Y83" s="854"/>
      <c r="Z83" s="1116"/>
      <c r="AA83" s="1117"/>
      <c r="AB83" s="1174"/>
      <c r="AC83" s="1174"/>
      <c r="AD83" s="875"/>
      <c r="AE83" s="1098"/>
      <c r="AF83" s="1203"/>
      <c r="AG83" s="1204"/>
      <c r="AH83" s="1136"/>
      <c r="AI83" s="1137"/>
      <c r="AJ83" s="1137"/>
      <c r="AK83" s="1218"/>
      <c r="AL83" s="1218"/>
      <c r="AM83" s="1218"/>
      <c r="AN83" s="1139"/>
      <c r="AO83" s="1139"/>
      <c r="AP83" s="1139"/>
      <c r="AQ83" s="1139"/>
      <c r="AR83" s="59"/>
      <c r="AU83" s="1108"/>
      <c r="AV83" s="1108"/>
      <c r="AW83" s="1104"/>
      <c r="AX83" s="1104"/>
      <c r="AY83" s="1104"/>
      <c r="AZ83" s="1104"/>
      <c r="BA83" s="1104"/>
      <c r="BB83" s="1104"/>
      <c r="BC83" s="1192"/>
      <c r="BD83" s="1104"/>
    </row>
    <row r="84" spans="2:56" ht="15.95" hidden="1" customHeight="1">
      <c r="B84" s="834">
        <v>35</v>
      </c>
      <c r="C84" s="1211"/>
      <c r="D84" s="1211"/>
      <c r="E84" s="1211"/>
      <c r="F84" s="1093"/>
      <c r="G84" s="1093"/>
      <c r="H84" s="1093"/>
      <c r="I84" s="1093"/>
      <c r="J84" s="1093"/>
      <c r="K84" s="1093"/>
      <c r="L84" s="871"/>
      <c r="M84" s="872"/>
      <c r="N84" s="872"/>
      <c r="O84" s="873"/>
      <c r="P84" s="851"/>
      <c r="Q84" s="852"/>
      <c r="R84" s="1114"/>
      <c r="S84" s="1115"/>
      <c r="T84" s="1225"/>
      <c r="U84" s="1225"/>
      <c r="V84" s="1225"/>
      <c r="W84" s="1225"/>
      <c r="X84" s="876"/>
      <c r="Y84" s="877"/>
      <c r="Z84" s="1114"/>
      <c r="AA84" s="1115"/>
      <c r="AB84" s="1173" t="str">
        <f t="shared" ref="AB84" si="167">IF(C84="New Construction","Incremental","")</f>
        <v/>
      </c>
      <c r="AC84" s="1173"/>
      <c r="AD84" s="874"/>
      <c r="AE84" s="1097"/>
      <c r="AF84" s="1201" t="str">
        <f t="shared" ref="AF84" si="168">IF(AB84="Incremental",0,"")</f>
        <v/>
      </c>
      <c r="AG84" s="1202"/>
      <c r="AH84" s="870" t="str">
        <f t="shared" ref="AH84" si="169">IF(OR(C84="",F84="",L84="",P84="",R84="",T84="",X84="",Z84="",AD84="",AF84=""),"",ROUND(AD84+AF84,2))</f>
        <v/>
      </c>
      <c r="AI84" s="1102"/>
      <c r="AJ84" s="1102"/>
      <c r="AK84" s="1217" t="str">
        <f t="shared" ref="AK84" si="170">IF(OR(C84="",F84="",F84="",L84="",P84="",R84="",T84="",X84="",Z84="",AD84="",AF84=""),"",IF((P84*R84)-(X84*Z84)&lt;=0,0,ROUND((P84*R84)-(X84*Z84),2)))</f>
        <v/>
      </c>
      <c r="AL84" s="1217"/>
      <c r="AM84" s="1217"/>
      <c r="AN84" s="1138" t="str">
        <f t="shared" ref="AN84" si="171">IF(OR(C84="",F84="",F84="",L84="",P84="",R84="",T84="",X84="",Z84="",AD84="",AF84=""),"",IF(BD84&lt;&gt;"",BD84,IF(C84="Custom",AX84,IF(C84="New Construction",AY84,IF(C84="RCx",AZ84)))))</f>
        <v/>
      </c>
      <c r="AO84" s="1138"/>
      <c r="AP84" s="1138"/>
      <c r="AQ84" s="1138"/>
      <c r="AR84" s="59"/>
      <c r="AU84" s="1109" t="str">
        <f>IF(F84="","",INDEX(CUSTNONLIGHTGUNIT,MATCH(F84,PROGRAMGCAT[Category 1],0)))</f>
        <v/>
      </c>
      <c r="AV84" s="1109" t="str">
        <f>IF(OR(C84="",F84="",L84="",P84="",R84="",T84="",X84="",Z84="",AD84="",AF84=""),"",((1+GLOSS)*((AK84*INDEX(GASCB[NPV GAEC $/therm],MATCH(BA84,GASCB[Year Number],1))))/AH84))</f>
        <v/>
      </c>
      <c r="AW84" s="1103"/>
      <c r="AX84" s="1188" t="str">
        <f>IF(OR(C84="",F84="",L84="",P84="",R84="",T84="",X84="",Z84="",AB84="",AD84="",AF84=""),"",IF(AB84="Total",ROUND(MIN(AH84*0.75,AK84*INDEX(INCRATE[Gas],MATCH("CMNONLIGHT",INCRATE[Incentive Type]))),2),IF(AB84="Incremental",ROUND(MIN(AH84,AK84*INDEX(INCRATE[Gas],MATCH("CMNONLIGHT",INCRATE[Incentive Type]))),2))))</f>
        <v/>
      </c>
      <c r="AY84" s="1188" t="str">
        <f>IF(OR(C84="",F84="",L84="",P84="",R84="",T84="",X84="",Z84="",AB84="",AD84="",AF84=""),"",IF(AB84="Total",ROUND(MIN(AH84*0.75,AK84*INDEX(INCRATE[Gas],MATCH("NCNONLIGHT",INCRATE[Incentive Type]))),2),IF(AB84="Incremental",ROUND(MIN(AH84,AK84*INDEX(INCRATE[Gas],MATCH("NCNONLIGHT",INCRATE[Incentive Type]))),2))))</f>
        <v/>
      </c>
      <c r="AZ84" s="1188" t="str">
        <f>IF(OR(C84="",F84="",L84="",P84="",R84="",T84="",X84="",Z84="",AB84="",AD84="",AF84=""),"",IF(AB84="Total",ROUND(MIN(AH84*0.75,AK84*INDEX(INCRATE[Gas],MATCH("RCX",INCRATE[Incentive Type]))),2),IF(AB84="Incremental",ROUND(MIN(AH84,AK84*INDEX(INCRATE[Gas],MATCH("RCX",INCRATE[Incentive Type]))),2))))</f>
        <v/>
      </c>
      <c r="BA84" s="1103" t="str">
        <f>IF(F84="","",INDEX(PROGRAMGCAT[EUL],MATCH(F84,PROGRAMGCAT[Category 1],0)))</f>
        <v/>
      </c>
      <c r="BB84" s="1103" t="str">
        <f>IFERROR(AH84/M02S02F36/AK84,"")</f>
        <v/>
      </c>
      <c r="BC84" s="1198" t="str">
        <f>IF(OR(C84="",F84="",L84="",P84="",R84="",T84="",X84="",Z84="",AD84="",AF84=""),"",IF(ISNUMBER(AN84),INDEX(PROGRAMGCAT[Measure Number],MATCH(F84,PROGRAMGCAT[Category 1],0)),IF(AK84=0,"","000001")))</f>
        <v/>
      </c>
      <c r="BD84" s="1103" t="str">
        <f>IFERROR(IF((P84*R84)-(X84*Z84)&lt;=0,MEASURESAV,IF(M02S02F36="",MEASURERATE,IF(OR(F84="Others (Incremental)",F84="Others"),MEASURESUBMIT, IF(BB84&lt;1,MEASUREPAY,IF(AV84&lt;1,MEASURECB,""))))),MEASURESUBMIT)</f>
        <v>Submit for Review</v>
      </c>
    </row>
    <row r="85" spans="2:56" ht="15.95" hidden="1" customHeight="1">
      <c r="B85" s="834"/>
      <c r="C85" s="1212"/>
      <c r="D85" s="1212"/>
      <c r="E85" s="1212"/>
      <c r="F85" s="1094"/>
      <c r="G85" s="1094"/>
      <c r="H85" s="1094"/>
      <c r="I85" s="1094"/>
      <c r="J85" s="1094"/>
      <c r="K85" s="1094"/>
      <c r="L85" s="840"/>
      <c r="M85" s="841"/>
      <c r="N85" s="841"/>
      <c r="O85" s="842"/>
      <c r="P85" s="853"/>
      <c r="Q85" s="854"/>
      <c r="R85" s="1116"/>
      <c r="S85" s="1117"/>
      <c r="T85" s="1226"/>
      <c r="U85" s="1226"/>
      <c r="V85" s="1226"/>
      <c r="W85" s="1226"/>
      <c r="X85" s="853"/>
      <c r="Y85" s="854"/>
      <c r="Z85" s="1116"/>
      <c r="AA85" s="1117"/>
      <c r="AB85" s="1174"/>
      <c r="AC85" s="1174"/>
      <c r="AD85" s="875"/>
      <c r="AE85" s="1098"/>
      <c r="AF85" s="1203"/>
      <c r="AG85" s="1204"/>
      <c r="AH85" s="1136"/>
      <c r="AI85" s="1137"/>
      <c r="AJ85" s="1137"/>
      <c r="AK85" s="1218"/>
      <c r="AL85" s="1218"/>
      <c r="AM85" s="1218"/>
      <c r="AN85" s="1139"/>
      <c r="AO85" s="1139"/>
      <c r="AP85" s="1139"/>
      <c r="AQ85" s="1139"/>
      <c r="AR85" s="59"/>
      <c r="AU85" s="1108"/>
      <c r="AV85" s="1108"/>
      <c r="AW85" s="1104"/>
      <c r="AX85" s="1104"/>
      <c r="AY85" s="1104"/>
      <c r="AZ85" s="1104"/>
      <c r="BA85" s="1104"/>
      <c r="BB85" s="1104"/>
      <c r="BC85" s="1192"/>
      <c r="BD85" s="1104"/>
    </row>
    <row r="86" spans="2:56" ht="15.95" hidden="1" customHeight="1">
      <c r="B86" s="834">
        <v>36</v>
      </c>
      <c r="C86" s="1211"/>
      <c r="D86" s="1211"/>
      <c r="E86" s="1211"/>
      <c r="F86" s="1093"/>
      <c r="G86" s="1093"/>
      <c r="H86" s="1093"/>
      <c r="I86" s="1093"/>
      <c r="J86" s="1093"/>
      <c r="K86" s="1093"/>
      <c r="L86" s="871"/>
      <c r="M86" s="872"/>
      <c r="N86" s="872"/>
      <c r="O86" s="873"/>
      <c r="P86" s="851"/>
      <c r="Q86" s="852"/>
      <c r="R86" s="1114"/>
      <c r="S86" s="1115"/>
      <c r="T86" s="1225"/>
      <c r="U86" s="1225"/>
      <c r="V86" s="1225"/>
      <c r="W86" s="1225"/>
      <c r="X86" s="876"/>
      <c r="Y86" s="877"/>
      <c r="Z86" s="1114"/>
      <c r="AA86" s="1115"/>
      <c r="AB86" s="1173" t="str">
        <f t="shared" ref="AB86" si="172">IF(C86="New Construction","Incremental","")</f>
        <v/>
      </c>
      <c r="AC86" s="1173"/>
      <c r="AD86" s="874"/>
      <c r="AE86" s="1097"/>
      <c r="AF86" s="1201" t="str">
        <f t="shared" ref="AF86" si="173">IF(AB86="Incremental",0,"")</f>
        <v/>
      </c>
      <c r="AG86" s="1202"/>
      <c r="AH86" s="870" t="str">
        <f t="shared" ref="AH86" si="174">IF(OR(C86="",F86="",L86="",P86="",R86="",T86="",X86="",Z86="",AD86="",AF86=""),"",ROUND(AD86+AF86,2))</f>
        <v/>
      </c>
      <c r="AI86" s="1102"/>
      <c r="AJ86" s="1102"/>
      <c r="AK86" s="1217" t="str">
        <f t="shared" ref="AK86" si="175">IF(OR(C86="",F86="",F86="",L86="",P86="",R86="",T86="",X86="",Z86="",AD86="",AF86=""),"",IF((P86*R86)-(X86*Z86)&lt;=0,0,ROUND((P86*R86)-(X86*Z86),2)))</f>
        <v/>
      </c>
      <c r="AL86" s="1217"/>
      <c r="AM86" s="1217"/>
      <c r="AN86" s="1138" t="str">
        <f t="shared" ref="AN86" si="176">IF(OR(C86="",F86="",F86="",L86="",P86="",R86="",T86="",X86="",Z86="",AD86="",AF86=""),"",IF(BD86&lt;&gt;"",BD86,IF(C86="Custom",AX86,IF(C86="New Construction",AY86,IF(C86="RCx",AZ86)))))</f>
        <v/>
      </c>
      <c r="AO86" s="1138"/>
      <c r="AP86" s="1138"/>
      <c r="AQ86" s="1138"/>
      <c r="AR86" s="59"/>
      <c r="AU86" s="1109" t="str">
        <f>IF(F86="","",INDEX(CUSTNONLIGHTGUNIT,MATCH(F86,PROGRAMGCAT[Category 1],0)))</f>
        <v/>
      </c>
      <c r="AV86" s="1109" t="str">
        <f>IF(OR(C86="",F86="",L86="",P86="",R86="",T86="",X86="",Z86="",AD86="",AF86=""),"",((1+GLOSS)*((AK86*INDEX(GASCB[NPV GAEC $/therm],MATCH(BA86,GASCB[Year Number],1))))/AH86))</f>
        <v/>
      </c>
      <c r="AW86" s="1103"/>
      <c r="AX86" s="1188" t="str">
        <f>IF(OR(C86="",F86="",L86="",P86="",R86="",T86="",X86="",Z86="",AB86="",AD86="",AF86=""),"",IF(AB86="Total",ROUND(MIN(AH86*0.75,AK86*INDEX(INCRATE[Gas],MATCH("CMNONLIGHT",INCRATE[Incentive Type]))),2),IF(AB86="Incremental",ROUND(MIN(AH86,AK86*INDEX(INCRATE[Gas],MATCH("CMNONLIGHT",INCRATE[Incentive Type]))),2))))</f>
        <v/>
      </c>
      <c r="AY86" s="1188" t="str">
        <f>IF(OR(C86="",F86="",L86="",P86="",R86="",T86="",X86="",Z86="",AB86="",AD86="",AF86=""),"",IF(AB86="Total",ROUND(MIN(AH86*0.75,AK86*INDEX(INCRATE[Gas],MATCH("NCNONLIGHT",INCRATE[Incentive Type]))),2),IF(AB86="Incremental",ROUND(MIN(AH86,AK86*INDEX(INCRATE[Gas],MATCH("NCNONLIGHT",INCRATE[Incentive Type]))),2))))</f>
        <v/>
      </c>
      <c r="AZ86" s="1188" t="str">
        <f>IF(OR(C86="",F86="",L86="",P86="",R86="",T86="",X86="",Z86="",AB86="",AD86="",AF86=""),"",IF(AB86="Total",ROUND(MIN(AH86*0.75,AK86*INDEX(INCRATE[Gas],MATCH("RCX",INCRATE[Incentive Type]))),2),IF(AB86="Incremental",ROUND(MIN(AH86,AK86*INDEX(INCRATE[Gas],MATCH("RCX",INCRATE[Incentive Type]))),2))))</f>
        <v/>
      </c>
      <c r="BA86" s="1103" t="str">
        <f>IF(F86="","",INDEX(PROGRAMGCAT[EUL],MATCH(F86,PROGRAMGCAT[Category 1],0)))</f>
        <v/>
      </c>
      <c r="BB86" s="1103" t="str">
        <f>IFERROR(AH86/M02S02F36/AK86,"")</f>
        <v/>
      </c>
      <c r="BC86" s="1198" t="str">
        <f>IF(OR(C86="",F86="",L86="",P86="",R86="",T86="",X86="",Z86="",AD86="",AF86=""),"",IF(ISNUMBER(AN86),INDEX(PROGRAMGCAT[Measure Number],MATCH(F86,PROGRAMGCAT[Category 1],0)),IF(AK86=0,"","000001")))</f>
        <v/>
      </c>
      <c r="BD86" s="1103" t="str">
        <f>IFERROR(IF((P86*R86)-(X86*Z86)&lt;=0,MEASURESAV,IF(M02S02F36="",MEASURERATE,IF(OR(F86="Others (Incremental)",F86="Others"),MEASURESUBMIT, IF(BB86&lt;1,MEASUREPAY,IF(AV86&lt;1,MEASURECB,""))))),MEASURESUBMIT)</f>
        <v>Submit for Review</v>
      </c>
    </row>
    <row r="87" spans="2:56" ht="15.95" hidden="1" customHeight="1">
      <c r="B87" s="834"/>
      <c r="C87" s="1212"/>
      <c r="D87" s="1212"/>
      <c r="E87" s="1212"/>
      <c r="F87" s="1094"/>
      <c r="G87" s="1094"/>
      <c r="H87" s="1094"/>
      <c r="I87" s="1094"/>
      <c r="J87" s="1094"/>
      <c r="K87" s="1094"/>
      <c r="L87" s="840"/>
      <c r="M87" s="841"/>
      <c r="N87" s="841"/>
      <c r="O87" s="842"/>
      <c r="P87" s="853"/>
      <c r="Q87" s="854"/>
      <c r="R87" s="1116"/>
      <c r="S87" s="1117"/>
      <c r="T87" s="1226"/>
      <c r="U87" s="1226"/>
      <c r="V87" s="1226"/>
      <c r="W87" s="1226"/>
      <c r="X87" s="853"/>
      <c r="Y87" s="854"/>
      <c r="Z87" s="1116"/>
      <c r="AA87" s="1117"/>
      <c r="AB87" s="1174"/>
      <c r="AC87" s="1174"/>
      <c r="AD87" s="875"/>
      <c r="AE87" s="1098"/>
      <c r="AF87" s="1203"/>
      <c r="AG87" s="1204"/>
      <c r="AH87" s="1136"/>
      <c r="AI87" s="1137"/>
      <c r="AJ87" s="1137"/>
      <c r="AK87" s="1218"/>
      <c r="AL87" s="1218"/>
      <c r="AM87" s="1218"/>
      <c r="AN87" s="1139"/>
      <c r="AO87" s="1139"/>
      <c r="AP87" s="1139"/>
      <c r="AQ87" s="1139"/>
      <c r="AR87" s="59"/>
      <c r="AU87" s="1108"/>
      <c r="AV87" s="1108"/>
      <c r="AW87" s="1104"/>
      <c r="AX87" s="1104"/>
      <c r="AY87" s="1104"/>
      <c r="AZ87" s="1104"/>
      <c r="BA87" s="1104"/>
      <c r="BB87" s="1104"/>
      <c r="BC87" s="1192"/>
      <c r="BD87" s="1104"/>
    </row>
    <row r="88" spans="2:56" ht="15.95" hidden="1" customHeight="1">
      <c r="B88" s="834">
        <v>37</v>
      </c>
      <c r="C88" s="1211"/>
      <c r="D88" s="1211"/>
      <c r="E88" s="1211"/>
      <c r="F88" s="1093"/>
      <c r="G88" s="1093"/>
      <c r="H88" s="1093"/>
      <c r="I88" s="1093"/>
      <c r="J88" s="1093"/>
      <c r="K88" s="1093"/>
      <c r="L88" s="871"/>
      <c r="M88" s="872"/>
      <c r="N88" s="872"/>
      <c r="O88" s="873"/>
      <c r="P88" s="851"/>
      <c r="Q88" s="852"/>
      <c r="R88" s="1114"/>
      <c r="S88" s="1115"/>
      <c r="T88" s="1225"/>
      <c r="U88" s="1225"/>
      <c r="V88" s="1225"/>
      <c r="W88" s="1225"/>
      <c r="X88" s="876"/>
      <c r="Y88" s="877"/>
      <c r="Z88" s="1114"/>
      <c r="AA88" s="1115"/>
      <c r="AB88" s="1173" t="str">
        <f t="shared" ref="AB88" si="177">IF(C88="New Construction","Incremental","")</f>
        <v/>
      </c>
      <c r="AC88" s="1173"/>
      <c r="AD88" s="874"/>
      <c r="AE88" s="1097"/>
      <c r="AF88" s="1201" t="str">
        <f t="shared" ref="AF88" si="178">IF(AB88="Incremental",0,"")</f>
        <v/>
      </c>
      <c r="AG88" s="1202"/>
      <c r="AH88" s="870" t="str">
        <f t="shared" ref="AH88" si="179">IF(OR(C88="",F88="",L88="",P88="",R88="",T88="",X88="",Z88="",AD88="",AF88=""),"",ROUND(AD88+AF88,2))</f>
        <v/>
      </c>
      <c r="AI88" s="1102"/>
      <c r="AJ88" s="1102"/>
      <c r="AK88" s="1217" t="str">
        <f t="shared" ref="AK88" si="180">IF(OR(C88="",F88="",F88="",L88="",P88="",R88="",T88="",X88="",Z88="",AD88="",AF88=""),"",IF((P88*R88)-(X88*Z88)&lt;=0,0,ROUND((P88*R88)-(X88*Z88),2)))</f>
        <v/>
      </c>
      <c r="AL88" s="1217"/>
      <c r="AM88" s="1217"/>
      <c r="AN88" s="1138" t="str">
        <f t="shared" ref="AN88" si="181">IF(OR(C88="",F88="",F88="",L88="",P88="",R88="",T88="",X88="",Z88="",AD88="",AF88=""),"",IF(BD88&lt;&gt;"",BD88,IF(C88="Custom",AX88,IF(C88="New Construction",AY88,IF(C88="RCx",AZ88)))))</f>
        <v/>
      </c>
      <c r="AO88" s="1138"/>
      <c r="AP88" s="1138"/>
      <c r="AQ88" s="1138"/>
      <c r="AR88" s="59"/>
      <c r="AU88" s="1109" t="str">
        <f>IF(F88="","",INDEX(CUSTNONLIGHTGUNIT,MATCH(F88,PROGRAMGCAT[Category 1],0)))</f>
        <v/>
      </c>
      <c r="AV88" s="1109" t="str">
        <f>IF(OR(C88="",F88="",L88="",P88="",R88="",T88="",X88="",Z88="",AD88="",AF88=""),"",((1+GLOSS)*((AK88*INDEX(GASCB[NPV GAEC $/therm],MATCH(BA88,GASCB[Year Number],1))))/AH88))</f>
        <v/>
      </c>
      <c r="AW88" s="1103"/>
      <c r="AX88" s="1188" t="str">
        <f>IF(OR(C88="",F88="",L88="",P88="",R88="",T88="",X88="",Z88="",AB88="",AD88="",AF88=""),"",IF(AB88="Total",ROUND(MIN(AH88*0.75,AK88*INDEX(INCRATE[Gas],MATCH("CMNONLIGHT",INCRATE[Incentive Type]))),2),IF(AB88="Incremental",ROUND(MIN(AH88,AK88*INDEX(INCRATE[Gas],MATCH("CMNONLIGHT",INCRATE[Incentive Type]))),2))))</f>
        <v/>
      </c>
      <c r="AY88" s="1188" t="str">
        <f>IF(OR(C88="",F88="",L88="",P88="",R88="",T88="",X88="",Z88="",AB88="",AD88="",AF88=""),"",IF(AB88="Total",ROUND(MIN(AH88*0.75,AK88*INDEX(INCRATE[Gas],MATCH("NCNONLIGHT",INCRATE[Incentive Type]))),2),IF(AB88="Incremental",ROUND(MIN(AH88,AK88*INDEX(INCRATE[Gas],MATCH("NCNONLIGHT",INCRATE[Incentive Type]))),2))))</f>
        <v/>
      </c>
      <c r="AZ88" s="1188" t="str">
        <f>IF(OR(C88="",F88="",L88="",P88="",R88="",T88="",X88="",Z88="",AB88="",AD88="",AF88=""),"",IF(AB88="Total",ROUND(MIN(AH88*0.75,AK88*INDEX(INCRATE[Gas],MATCH("RCX",INCRATE[Incentive Type]))),2),IF(AB88="Incremental",ROUND(MIN(AH88,AK88*INDEX(INCRATE[Gas],MATCH("RCX",INCRATE[Incentive Type]))),2))))</f>
        <v/>
      </c>
      <c r="BA88" s="1103" t="str">
        <f>IF(F88="","",INDEX(PROGRAMGCAT[EUL],MATCH(F88,PROGRAMGCAT[Category 1],0)))</f>
        <v/>
      </c>
      <c r="BB88" s="1103" t="str">
        <f>IFERROR(AH88/M02S02F36/AK88,"")</f>
        <v/>
      </c>
      <c r="BC88" s="1198" t="str">
        <f>IF(OR(C88="",F88="",L88="",P88="",R88="",T88="",X88="",Z88="",AD88="",AF88=""),"",IF(ISNUMBER(AN88),INDEX(PROGRAMGCAT[Measure Number],MATCH(F88,PROGRAMGCAT[Category 1],0)),IF(AK88=0,"","000001")))</f>
        <v/>
      </c>
      <c r="BD88" s="1103" t="str">
        <f>IFERROR(IF((P88*R88)-(X88*Z88)&lt;=0,MEASURESAV,IF(M02S02F36="",MEASURERATE,IF(OR(F88="Others (Incremental)",F88="Others"),MEASURESUBMIT, IF(BB88&lt;1,MEASUREPAY,IF(AV88&lt;1,MEASURECB,""))))),MEASURESUBMIT)</f>
        <v>Submit for Review</v>
      </c>
    </row>
    <row r="89" spans="2:56" ht="15.95" hidden="1" customHeight="1">
      <c r="B89" s="834"/>
      <c r="C89" s="1212"/>
      <c r="D89" s="1212"/>
      <c r="E89" s="1212"/>
      <c r="F89" s="1094"/>
      <c r="G89" s="1094"/>
      <c r="H89" s="1094"/>
      <c r="I89" s="1094"/>
      <c r="J89" s="1094"/>
      <c r="K89" s="1094"/>
      <c r="L89" s="840"/>
      <c r="M89" s="841"/>
      <c r="N89" s="841"/>
      <c r="O89" s="842"/>
      <c r="P89" s="853"/>
      <c r="Q89" s="854"/>
      <c r="R89" s="1116"/>
      <c r="S89" s="1117"/>
      <c r="T89" s="1226"/>
      <c r="U89" s="1226"/>
      <c r="V89" s="1226"/>
      <c r="W89" s="1226"/>
      <c r="X89" s="853"/>
      <c r="Y89" s="854"/>
      <c r="Z89" s="1116"/>
      <c r="AA89" s="1117"/>
      <c r="AB89" s="1174"/>
      <c r="AC89" s="1174"/>
      <c r="AD89" s="875"/>
      <c r="AE89" s="1098"/>
      <c r="AF89" s="1203"/>
      <c r="AG89" s="1204"/>
      <c r="AH89" s="1136"/>
      <c r="AI89" s="1137"/>
      <c r="AJ89" s="1137"/>
      <c r="AK89" s="1218"/>
      <c r="AL89" s="1218"/>
      <c r="AM89" s="1218"/>
      <c r="AN89" s="1139"/>
      <c r="AO89" s="1139"/>
      <c r="AP89" s="1139"/>
      <c r="AQ89" s="1139"/>
      <c r="AR89" s="59"/>
      <c r="AU89" s="1108"/>
      <c r="AV89" s="1108"/>
      <c r="AW89" s="1104"/>
      <c r="AX89" s="1104"/>
      <c r="AY89" s="1104"/>
      <c r="AZ89" s="1104"/>
      <c r="BA89" s="1104"/>
      <c r="BB89" s="1104"/>
      <c r="BC89" s="1192"/>
      <c r="BD89" s="1104"/>
    </row>
    <row r="90" spans="2:56" ht="15.95" hidden="1" customHeight="1">
      <c r="B90" s="834">
        <v>38</v>
      </c>
      <c r="C90" s="1211"/>
      <c r="D90" s="1211"/>
      <c r="E90" s="1211"/>
      <c r="F90" s="1093"/>
      <c r="G90" s="1093"/>
      <c r="H90" s="1093"/>
      <c r="I90" s="1093"/>
      <c r="J90" s="1093"/>
      <c r="K90" s="1093"/>
      <c r="L90" s="871"/>
      <c r="M90" s="872"/>
      <c r="N90" s="872"/>
      <c r="O90" s="873"/>
      <c r="P90" s="851"/>
      <c r="Q90" s="852"/>
      <c r="R90" s="1114"/>
      <c r="S90" s="1115"/>
      <c r="T90" s="1225"/>
      <c r="U90" s="1225"/>
      <c r="V90" s="1225"/>
      <c r="W90" s="1225"/>
      <c r="X90" s="876"/>
      <c r="Y90" s="877"/>
      <c r="Z90" s="1114"/>
      <c r="AA90" s="1115"/>
      <c r="AB90" s="1173" t="str">
        <f t="shared" ref="AB90" si="182">IF(C90="New Construction","Incremental","")</f>
        <v/>
      </c>
      <c r="AC90" s="1173"/>
      <c r="AD90" s="874"/>
      <c r="AE90" s="1097"/>
      <c r="AF90" s="1201" t="str">
        <f t="shared" ref="AF90" si="183">IF(AB90="Incremental",0,"")</f>
        <v/>
      </c>
      <c r="AG90" s="1202"/>
      <c r="AH90" s="870" t="str">
        <f t="shared" ref="AH90" si="184">IF(OR(C90="",F90="",L90="",P90="",R90="",T90="",X90="",Z90="",AD90="",AF90=""),"",ROUND(AD90+AF90,2))</f>
        <v/>
      </c>
      <c r="AI90" s="1102"/>
      <c r="AJ90" s="1102"/>
      <c r="AK90" s="1217" t="str">
        <f t="shared" ref="AK90" si="185">IF(OR(C90="",F90="",F90="",L90="",P90="",R90="",T90="",X90="",Z90="",AD90="",AF90=""),"",IF((P90*R90)-(X90*Z90)&lt;=0,0,ROUND((P90*R90)-(X90*Z90),2)))</f>
        <v/>
      </c>
      <c r="AL90" s="1217"/>
      <c r="AM90" s="1217"/>
      <c r="AN90" s="1138" t="str">
        <f t="shared" ref="AN90" si="186">IF(OR(C90="",F90="",F90="",L90="",P90="",R90="",T90="",X90="",Z90="",AD90="",AF90=""),"",IF(BD90&lt;&gt;"",BD90,IF(C90="Custom",AX90,IF(C90="New Construction",AY90,IF(C90="RCx",AZ90)))))</f>
        <v/>
      </c>
      <c r="AO90" s="1138"/>
      <c r="AP90" s="1138"/>
      <c r="AQ90" s="1138"/>
      <c r="AR90" s="59"/>
      <c r="AU90" s="1109" t="str">
        <f>IF(F90="","",INDEX(CUSTNONLIGHTGUNIT,MATCH(F90,PROGRAMGCAT[Category 1],0)))</f>
        <v/>
      </c>
      <c r="AV90" s="1109" t="str">
        <f>IF(OR(C90="",F90="",L90="",P90="",R90="",T90="",X90="",Z90="",AD90="",AF90=""),"",((1+GLOSS)*((AK90*INDEX(GASCB[NPV GAEC $/therm],MATCH(BA90,GASCB[Year Number],1))))/AH90))</f>
        <v/>
      </c>
      <c r="AW90" s="1103"/>
      <c r="AX90" s="1188" t="str">
        <f>IF(OR(C90="",F90="",L90="",P90="",R90="",T90="",X90="",Z90="",AB90="",AD90="",AF90=""),"",IF(AB90="Total",ROUND(MIN(AH90*0.75,AK90*INDEX(INCRATE[Gas],MATCH("CMNONLIGHT",INCRATE[Incentive Type]))),2),IF(AB90="Incremental",ROUND(MIN(AH90,AK90*INDEX(INCRATE[Gas],MATCH("CMNONLIGHT",INCRATE[Incentive Type]))),2))))</f>
        <v/>
      </c>
      <c r="AY90" s="1188" t="str">
        <f>IF(OR(C90="",F90="",L90="",P90="",R90="",T90="",X90="",Z90="",AB90="",AD90="",AF90=""),"",IF(AB90="Total",ROUND(MIN(AH90*0.75,AK90*INDEX(INCRATE[Gas],MATCH("NCNONLIGHT",INCRATE[Incentive Type]))),2),IF(AB90="Incremental",ROUND(MIN(AH90,AK90*INDEX(INCRATE[Gas],MATCH("NCNONLIGHT",INCRATE[Incentive Type]))),2))))</f>
        <v/>
      </c>
      <c r="AZ90" s="1188" t="str">
        <f>IF(OR(C90="",F90="",L90="",P90="",R90="",T90="",X90="",Z90="",AB90="",AD90="",AF90=""),"",IF(AB90="Total",ROUND(MIN(AH90*0.75,AK90*INDEX(INCRATE[Gas],MATCH("RCX",INCRATE[Incentive Type]))),2),IF(AB90="Incremental",ROUND(MIN(AH90,AK90*INDEX(INCRATE[Gas],MATCH("RCX",INCRATE[Incentive Type]))),2))))</f>
        <v/>
      </c>
      <c r="BA90" s="1103" t="str">
        <f>IF(F90="","",INDEX(PROGRAMGCAT[EUL],MATCH(F90,PROGRAMGCAT[Category 1],0)))</f>
        <v/>
      </c>
      <c r="BB90" s="1103" t="str">
        <f>IFERROR(AH90/M02S02F36/AK90,"")</f>
        <v/>
      </c>
      <c r="BC90" s="1198" t="str">
        <f>IF(OR(C90="",F90="",L90="",P90="",R90="",T90="",X90="",Z90="",AD90="",AF90=""),"",IF(ISNUMBER(AN90),INDEX(PROGRAMGCAT[Measure Number],MATCH(F90,PROGRAMGCAT[Category 1],0)),IF(AK90=0,"","000001")))</f>
        <v/>
      </c>
      <c r="BD90" s="1103" t="str">
        <f>IFERROR(IF((P90*R90)-(X90*Z90)&lt;=0,MEASURESAV,IF(M02S02F36="",MEASURERATE,IF(OR(F90="Others (Incremental)",F90="Others"),MEASURESUBMIT, IF(BB90&lt;1,MEASUREPAY,IF(AV90&lt;1,MEASURECB,""))))),MEASURESUBMIT)</f>
        <v>Submit for Review</v>
      </c>
    </row>
    <row r="91" spans="2:56" ht="15.95" hidden="1" customHeight="1">
      <c r="B91" s="834"/>
      <c r="C91" s="1212"/>
      <c r="D91" s="1212"/>
      <c r="E91" s="1212"/>
      <c r="F91" s="1094"/>
      <c r="G91" s="1094"/>
      <c r="H91" s="1094"/>
      <c r="I91" s="1094"/>
      <c r="J91" s="1094"/>
      <c r="K91" s="1094"/>
      <c r="L91" s="840"/>
      <c r="M91" s="841"/>
      <c r="N91" s="841"/>
      <c r="O91" s="842"/>
      <c r="P91" s="853"/>
      <c r="Q91" s="854"/>
      <c r="R91" s="1116"/>
      <c r="S91" s="1117"/>
      <c r="T91" s="1226"/>
      <c r="U91" s="1226"/>
      <c r="V91" s="1226"/>
      <c r="W91" s="1226"/>
      <c r="X91" s="853"/>
      <c r="Y91" s="854"/>
      <c r="Z91" s="1116"/>
      <c r="AA91" s="1117"/>
      <c r="AB91" s="1174"/>
      <c r="AC91" s="1174"/>
      <c r="AD91" s="875"/>
      <c r="AE91" s="1098"/>
      <c r="AF91" s="1203"/>
      <c r="AG91" s="1204"/>
      <c r="AH91" s="1136"/>
      <c r="AI91" s="1137"/>
      <c r="AJ91" s="1137"/>
      <c r="AK91" s="1218"/>
      <c r="AL91" s="1218"/>
      <c r="AM91" s="1218"/>
      <c r="AN91" s="1139"/>
      <c r="AO91" s="1139"/>
      <c r="AP91" s="1139"/>
      <c r="AQ91" s="1139"/>
      <c r="AR91" s="59"/>
      <c r="AU91" s="1108"/>
      <c r="AV91" s="1108"/>
      <c r="AW91" s="1104"/>
      <c r="AX91" s="1104"/>
      <c r="AY91" s="1104"/>
      <c r="AZ91" s="1104"/>
      <c r="BA91" s="1104"/>
      <c r="BB91" s="1104"/>
      <c r="BC91" s="1192"/>
      <c r="BD91" s="1104"/>
    </row>
    <row r="92" spans="2:56" ht="15.95" hidden="1" customHeight="1">
      <c r="B92" s="834">
        <v>39</v>
      </c>
      <c r="C92" s="1211"/>
      <c r="D92" s="1211"/>
      <c r="E92" s="1211"/>
      <c r="F92" s="1093"/>
      <c r="G92" s="1093"/>
      <c r="H92" s="1093"/>
      <c r="I92" s="1093"/>
      <c r="J92" s="1093"/>
      <c r="K92" s="1093"/>
      <c r="L92" s="871"/>
      <c r="M92" s="872"/>
      <c r="N92" s="872"/>
      <c r="O92" s="873"/>
      <c r="P92" s="851"/>
      <c r="Q92" s="852"/>
      <c r="R92" s="1114"/>
      <c r="S92" s="1115"/>
      <c r="T92" s="1225"/>
      <c r="U92" s="1225"/>
      <c r="V92" s="1225"/>
      <c r="W92" s="1225"/>
      <c r="X92" s="876"/>
      <c r="Y92" s="877"/>
      <c r="Z92" s="1114"/>
      <c r="AA92" s="1115"/>
      <c r="AB92" s="1173" t="str">
        <f t="shared" ref="AB92" si="187">IF(C92="New Construction","Incremental","")</f>
        <v/>
      </c>
      <c r="AC92" s="1173"/>
      <c r="AD92" s="874"/>
      <c r="AE92" s="1097"/>
      <c r="AF92" s="1201" t="str">
        <f t="shared" ref="AF92" si="188">IF(AB92="Incremental",0,"")</f>
        <v/>
      </c>
      <c r="AG92" s="1202"/>
      <c r="AH92" s="870" t="str">
        <f t="shared" ref="AH92" si="189">IF(OR(C92="",F92="",L92="",P92="",R92="",T92="",X92="",Z92="",AD92="",AF92=""),"",ROUND(AD92+AF92,2))</f>
        <v/>
      </c>
      <c r="AI92" s="1102"/>
      <c r="AJ92" s="1102"/>
      <c r="AK92" s="1217" t="str">
        <f t="shared" ref="AK92" si="190">IF(OR(C92="",F92="",F92="",L92="",P92="",R92="",T92="",X92="",Z92="",AD92="",AF92=""),"",IF((P92*R92)-(X92*Z92)&lt;=0,0,ROUND((P92*R92)-(X92*Z92),2)))</f>
        <v/>
      </c>
      <c r="AL92" s="1217"/>
      <c r="AM92" s="1217"/>
      <c r="AN92" s="1138" t="str">
        <f t="shared" ref="AN92" si="191">IF(OR(C92="",F92="",F92="",L92="",P92="",R92="",T92="",X92="",Z92="",AD92="",AF92=""),"",IF(BD92&lt;&gt;"",BD92,IF(C92="Custom",AX92,IF(C92="New Construction",AY92,IF(C92="RCx",AZ92)))))</f>
        <v/>
      </c>
      <c r="AO92" s="1138"/>
      <c r="AP92" s="1138"/>
      <c r="AQ92" s="1138"/>
      <c r="AR92" s="59"/>
      <c r="AU92" s="1109" t="str">
        <f>IF(F92="","",INDEX(CUSTNONLIGHTGUNIT,MATCH(F92,PROGRAMGCAT[Category 1],0)))</f>
        <v/>
      </c>
      <c r="AV92" s="1109" t="str">
        <f>IF(OR(C92="",F92="",L92="",P92="",R92="",T92="",X92="",Z92="",AD92="",AF92=""),"",((1+GLOSS)*((AK92*INDEX(GASCB[NPV GAEC $/therm],MATCH(BA92,GASCB[Year Number],1))))/AH92))</f>
        <v/>
      </c>
      <c r="AW92" s="1103"/>
      <c r="AX92" s="1188" t="str">
        <f>IF(OR(C92="",F92="",L92="",P92="",R92="",T92="",X92="",Z92="",AB92="",AD92="",AF92=""),"",IF(AB92="Total",ROUND(MIN(AH92*0.75,AK92*INDEX(INCRATE[Gas],MATCH("CMNONLIGHT",INCRATE[Incentive Type]))),2),IF(AB92="Incremental",ROUND(MIN(AH92,AK92*INDEX(INCRATE[Gas],MATCH("CMNONLIGHT",INCRATE[Incentive Type]))),2))))</f>
        <v/>
      </c>
      <c r="AY92" s="1188" t="str">
        <f>IF(OR(C92="",F92="",L92="",P92="",R92="",T92="",X92="",Z92="",AB92="",AD92="",AF92=""),"",IF(AB92="Total",ROUND(MIN(AH92*0.75,AK92*INDEX(INCRATE[Gas],MATCH("NCNONLIGHT",INCRATE[Incentive Type]))),2),IF(AB92="Incremental",ROUND(MIN(AH92,AK92*INDEX(INCRATE[Gas],MATCH("NCNONLIGHT",INCRATE[Incentive Type]))),2))))</f>
        <v/>
      </c>
      <c r="AZ92" s="1188" t="str">
        <f>IF(OR(C92="",F92="",L92="",P92="",R92="",T92="",X92="",Z92="",AB92="",AD92="",AF92=""),"",IF(AB92="Total",ROUND(MIN(AH92*0.75,AK92*INDEX(INCRATE[Gas],MATCH("RCX",INCRATE[Incentive Type]))),2),IF(AB92="Incremental",ROUND(MIN(AH92,AK92*INDEX(INCRATE[Gas],MATCH("RCX",INCRATE[Incentive Type]))),2))))</f>
        <v/>
      </c>
      <c r="BA92" s="1103" t="str">
        <f>IF(F92="","",INDEX(PROGRAMGCAT[EUL],MATCH(F92,PROGRAMGCAT[Category 1],0)))</f>
        <v/>
      </c>
      <c r="BB92" s="1103" t="str">
        <f>IFERROR(AH92/M02S02F36/AK92,"")</f>
        <v/>
      </c>
      <c r="BC92" s="1198" t="str">
        <f>IF(OR(C92="",F92="",L92="",P92="",R92="",T92="",X92="",Z92="",AD92="",AF92=""),"",IF(ISNUMBER(AN92),INDEX(PROGRAMGCAT[Measure Number],MATCH(F92,PROGRAMGCAT[Category 1],0)),IF(AK92=0,"","000001")))</f>
        <v/>
      </c>
      <c r="BD92" s="1103" t="str">
        <f>IFERROR(IF((P92*R92)-(X92*Z92)&lt;=0,MEASURESAV,IF(M02S02F36="",MEASURERATE,IF(OR(F92="Others (Incremental)",F92="Others"),MEASURESUBMIT, IF(BB92&lt;1,MEASUREPAY,IF(AV92&lt;1,MEASURECB,""))))),MEASURESUBMIT)</f>
        <v>Submit for Review</v>
      </c>
    </row>
    <row r="93" spans="2:56" ht="15.95" hidden="1" customHeight="1">
      <c r="B93" s="834"/>
      <c r="C93" s="1212"/>
      <c r="D93" s="1212"/>
      <c r="E93" s="1212"/>
      <c r="F93" s="1094"/>
      <c r="G93" s="1094"/>
      <c r="H93" s="1094"/>
      <c r="I93" s="1094"/>
      <c r="J93" s="1094"/>
      <c r="K93" s="1094"/>
      <c r="L93" s="840"/>
      <c r="M93" s="841"/>
      <c r="N93" s="841"/>
      <c r="O93" s="842"/>
      <c r="P93" s="853"/>
      <c r="Q93" s="854"/>
      <c r="R93" s="1116"/>
      <c r="S93" s="1117"/>
      <c r="T93" s="1226"/>
      <c r="U93" s="1226"/>
      <c r="V93" s="1226"/>
      <c r="W93" s="1226"/>
      <c r="X93" s="853"/>
      <c r="Y93" s="854"/>
      <c r="Z93" s="1116"/>
      <c r="AA93" s="1117"/>
      <c r="AB93" s="1174"/>
      <c r="AC93" s="1174"/>
      <c r="AD93" s="875"/>
      <c r="AE93" s="1098"/>
      <c r="AF93" s="1203"/>
      <c r="AG93" s="1204"/>
      <c r="AH93" s="1136"/>
      <c r="AI93" s="1137"/>
      <c r="AJ93" s="1137"/>
      <c r="AK93" s="1218"/>
      <c r="AL93" s="1218"/>
      <c r="AM93" s="1218"/>
      <c r="AN93" s="1139"/>
      <c r="AO93" s="1139"/>
      <c r="AP93" s="1139"/>
      <c r="AQ93" s="1139"/>
      <c r="AR93" s="59"/>
      <c r="AU93" s="1108"/>
      <c r="AV93" s="1108"/>
      <c r="AW93" s="1104"/>
      <c r="AX93" s="1104"/>
      <c r="AY93" s="1104"/>
      <c r="AZ93" s="1104"/>
      <c r="BA93" s="1104"/>
      <c r="BB93" s="1104"/>
      <c r="BC93" s="1192"/>
      <c r="BD93" s="1104"/>
    </row>
    <row r="94" spans="2:56" ht="15.95" hidden="1" customHeight="1">
      <c r="B94" s="834">
        <v>40</v>
      </c>
      <c r="C94" s="1211"/>
      <c r="D94" s="1211"/>
      <c r="E94" s="1211"/>
      <c r="F94" s="1093"/>
      <c r="G94" s="1093"/>
      <c r="H94" s="1093"/>
      <c r="I94" s="1093"/>
      <c r="J94" s="1093"/>
      <c r="K94" s="1093"/>
      <c r="L94" s="871"/>
      <c r="M94" s="872"/>
      <c r="N94" s="872"/>
      <c r="O94" s="873"/>
      <c r="P94" s="851"/>
      <c r="Q94" s="852"/>
      <c r="R94" s="1114"/>
      <c r="S94" s="1115"/>
      <c r="T94" s="1225"/>
      <c r="U94" s="1225"/>
      <c r="V94" s="1225"/>
      <c r="W94" s="1225"/>
      <c r="X94" s="876"/>
      <c r="Y94" s="877"/>
      <c r="Z94" s="1114"/>
      <c r="AA94" s="1115"/>
      <c r="AB94" s="1173" t="str">
        <f t="shared" ref="AB94" si="192">IF(C94="New Construction","Incremental","")</f>
        <v/>
      </c>
      <c r="AC94" s="1173"/>
      <c r="AD94" s="874"/>
      <c r="AE94" s="1097"/>
      <c r="AF94" s="1201" t="str">
        <f t="shared" ref="AF94" si="193">IF(AB94="Incremental",0,"")</f>
        <v/>
      </c>
      <c r="AG94" s="1202"/>
      <c r="AH94" s="870" t="str">
        <f t="shared" ref="AH94" si="194">IF(OR(C94="",F94="",L94="",P94="",R94="",T94="",X94="",Z94="",AD94="",AF94=""),"",ROUND(AD94+AF94,2))</f>
        <v/>
      </c>
      <c r="AI94" s="1102"/>
      <c r="AJ94" s="1102"/>
      <c r="AK94" s="1217" t="str">
        <f t="shared" ref="AK94" si="195">IF(OR(C94="",F94="",F94="",L94="",P94="",R94="",T94="",X94="",Z94="",AD94="",AF94=""),"",IF((P94*R94)-(X94*Z94)&lt;=0,0,ROUND((P94*R94)-(X94*Z94),2)))</f>
        <v/>
      </c>
      <c r="AL94" s="1217"/>
      <c r="AM94" s="1217"/>
      <c r="AN94" s="1138" t="str">
        <f t="shared" ref="AN94" si="196">IF(OR(C94="",F94="",F94="",L94="",P94="",R94="",T94="",X94="",Z94="",AD94="",AF94=""),"",IF(BD94&lt;&gt;"",BD94,IF(C94="Custom",AX94,IF(C94="New Construction",AY94,IF(C94="RCx",AZ94)))))</f>
        <v/>
      </c>
      <c r="AO94" s="1138"/>
      <c r="AP94" s="1138"/>
      <c r="AQ94" s="1138"/>
      <c r="AR94" s="59"/>
      <c r="AU94" s="1109" t="str">
        <f>IF(F94="","",INDEX(CUSTNONLIGHTGUNIT,MATCH(F94,PROGRAMGCAT[Category 1],0)))</f>
        <v/>
      </c>
      <c r="AV94" s="1109" t="str">
        <f>IF(OR(C94="",F94="",L94="",P94="",R94="",T94="",X94="",Z94="",AD94="",AF94=""),"",((1+GLOSS)*((AK94*INDEX(GASCB[NPV GAEC $/therm],MATCH(BA94,GASCB[Year Number],1))))/AH94))</f>
        <v/>
      </c>
      <c r="AW94" s="1103"/>
      <c r="AX94" s="1188" t="str">
        <f>IF(OR(C94="",F94="",L94="",P94="",R94="",T94="",X94="",Z94="",AB94="",AD94="",AF94=""),"",IF(AB94="Total",ROUND(MIN(AH94*0.75,AK94*INDEX(INCRATE[Gas],MATCH("CMNONLIGHT",INCRATE[Incentive Type]))),2),IF(AB94="Incremental",ROUND(MIN(AH94,AK94*INDEX(INCRATE[Gas],MATCH("CMNONLIGHT",INCRATE[Incentive Type]))),2))))</f>
        <v/>
      </c>
      <c r="AY94" s="1188" t="str">
        <f>IF(OR(C94="",F94="",L94="",P94="",R94="",T94="",X94="",Z94="",AB94="",AD94="",AF94=""),"",IF(AB94="Total",ROUND(MIN(AH94*0.75,AK94*INDEX(INCRATE[Gas],MATCH("NCNONLIGHT",INCRATE[Incentive Type]))),2),IF(AB94="Incremental",ROUND(MIN(AH94,AK94*INDEX(INCRATE[Gas],MATCH("NCNONLIGHT",INCRATE[Incentive Type]))),2))))</f>
        <v/>
      </c>
      <c r="AZ94" s="1188" t="str">
        <f>IF(OR(C94="",F94="",L94="",P94="",R94="",T94="",X94="",Z94="",AB94="",AD94="",AF94=""),"",IF(AB94="Total",ROUND(MIN(AH94*0.75,AK94*INDEX(INCRATE[Gas],MATCH("RCX",INCRATE[Incentive Type]))),2),IF(AB94="Incremental",ROUND(MIN(AH94,AK94*INDEX(INCRATE[Gas],MATCH("RCX",INCRATE[Incentive Type]))),2))))</f>
        <v/>
      </c>
      <c r="BA94" s="1103" t="str">
        <f>IF(F94="","",INDEX(PROGRAMGCAT[EUL],MATCH(F94,PROGRAMGCAT[Category 1],0)))</f>
        <v/>
      </c>
      <c r="BB94" s="1103" t="str">
        <f>IFERROR(AH94/M02S02F36/AK94,"")</f>
        <v/>
      </c>
      <c r="BC94" s="1198" t="str">
        <f>IF(OR(C94="",F94="",L94="",P94="",R94="",T94="",X94="",Z94="",AD94="",AF94=""),"",IF(ISNUMBER(AN94),INDEX(PROGRAMGCAT[Measure Number],MATCH(F94,PROGRAMGCAT[Category 1],0)),IF(AK94=0,"","000001")))</f>
        <v/>
      </c>
      <c r="BD94" s="1103" t="str">
        <f>IFERROR(IF((P94*R94)-(X94*Z94)&lt;=0,MEASURESAV,IF(M02S02F36="",MEASURERATE,IF(OR(F94="Others (Incremental)",F94="Others"),MEASURESUBMIT, IF(BB94&lt;1,MEASUREPAY,IF(AV94&lt;1,MEASURECB,""))))),MEASURESUBMIT)</f>
        <v>Submit for Review</v>
      </c>
    </row>
    <row r="95" spans="2:56" ht="15.95" hidden="1" customHeight="1">
      <c r="B95" s="834"/>
      <c r="C95" s="1212"/>
      <c r="D95" s="1212"/>
      <c r="E95" s="1212"/>
      <c r="F95" s="1094"/>
      <c r="G95" s="1094"/>
      <c r="H95" s="1094"/>
      <c r="I95" s="1094"/>
      <c r="J95" s="1094"/>
      <c r="K95" s="1094"/>
      <c r="L95" s="840"/>
      <c r="M95" s="841"/>
      <c r="N95" s="841"/>
      <c r="O95" s="842"/>
      <c r="P95" s="853"/>
      <c r="Q95" s="854"/>
      <c r="R95" s="1116"/>
      <c r="S95" s="1117"/>
      <c r="T95" s="1226"/>
      <c r="U95" s="1226"/>
      <c r="V95" s="1226"/>
      <c r="W95" s="1226"/>
      <c r="X95" s="853"/>
      <c r="Y95" s="854"/>
      <c r="Z95" s="1116"/>
      <c r="AA95" s="1117"/>
      <c r="AB95" s="1174"/>
      <c r="AC95" s="1174"/>
      <c r="AD95" s="875"/>
      <c r="AE95" s="1098"/>
      <c r="AF95" s="1203"/>
      <c r="AG95" s="1204"/>
      <c r="AH95" s="1136"/>
      <c r="AI95" s="1137"/>
      <c r="AJ95" s="1137"/>
      <c r="AK95" s="1218"/>
      <c r="AL95" s="1218"/>
      <c r="AM95" s="1218"/>
      <c r="AN95" s="1139"/>
      <c r="AO95" s="1139"/>
      <c r="AP95" s="1139"/>
      <c r="AQ95" s="1139"/>
      <c r="AR95" s="59"/>
      <c r="AU95" s="1108"/>
      <c r="AV95" s="1108"/>
      <c r="AW95" s="1104"/>
      <c r="AX95" s="1104"/>
      <c r="AY95" s="1104"/>
      <c r="AZ95" s="1104"/>
      <c r="BA95" s="1104"/>
      <c r="BB95" s="1104"/>
      <c r="BC95" s="1192"/>
      <c r="BD95" s="1104"/>
    </row>
    <row r="96" spans="2:56" ht="15.95" hidden="1" customHeight="1">
      <c r="B96" s="834">
        <v>41</v>
      </c>
      <c r="C96" s="1211"/>
      <c r="D96" s="1211"/>
      <c r="E96" s="1211"/>
      <c r="F96" s="1093"/>
      <c r="G96" s="1093"/>
      <c r="H96" s="1093"/>
      <c r="I96" s="1093"/>
      <c r="J96" s="1093"/>
      <c r="K96" s="1093"/>
      <c r="L96" s="871"/>
      <c r="M96" s="872"/>
      <c r="N96" s="872"/>
      <c r="O96" s="873"/>
      <c r="P96" s="851"/>
      <c r="Q96" s="852"/>
      <c r="R96" s="1114"/>
      <c r="S96" s="1115"/>
      <c r="T96" s="1225"/>
      <c r="U96" s="1225"/>
      <c r="V96" s="1225"/>
      <c r="W96" s="1225"/>
      <c r="X96" s="876"/>
      <c r="Y96" s="877"/>
      <c r="Z96" s="1114"/>
      <c r="AA96" s="1115"/>
      <c r="AB96" s="1173" t="str">
        <f t="shared" ref="AB96" si="197">IF(C96="New Construction","Incremental","")</f>
        <v/>
      </c>
      <c r="AC96" s="1173"/>
      <c r="AD96" s="874"/>
      <c r="AE96" s="1097"/>
      <c r="AF96" s="1201" t="str">
        <f t="shared" ref="AF96" si="198">IF(AB96="Incremental",0,"")</f>
        <v/>
      </c>
      <c r="AG96" s="1202"/>
      <c r="AH96" s="870" t="str">
        <f t="shared" ref="AH96" si="199">IF(OR(C96="",F96="",L96="",P96="",R96="",T96="",X96="",Z96="",AD96="",AF96=""),"",ROUND(AD96+AF96,2))</f>
        <v/>
      </c>
      <c r="AI96" s="1102"/>
      <c r="AJ96" s="1102"/>
      <c r="AK96" s="1217" t="str">
        <f t="shared" ref="AK96" si="200">IF(OR(C96="",F96="",F96="",L96="",P96="",R96="",T96="",X96="",Z96="",AD96="",AF96=""),"",IF((P96*R96)-(X96*Z96)&lt;=0,0,ROUND((P96*R96)-(X96*Z96),2)))</f>
        <v/>
      </c>
      <c r="AL96" s="1217"/>
      <c r="AM96" s="1217"/>
      <c r="AN96" s="1138" t="str">
        <f t="shared" ref="AN96" si="201">IF(OR(C96="",F96="",F96="",L96="",P96="",R96="",T96="",X96="",Z96="",AD96="",AF96=""),"",IF(BD96&lt;&gt;"",BD96,IF(C96="Custom",AX96,IF(C96="New Construction",AY96,IF(C96="RCx",AZ96)))))</f>
        <v/>
      </c>
      <c r="AO96" s="1138"/>
      <c r="AP96" s="1138"/>
      <c r="AQ96" s="1138"/>
      <c r="AR96" s="59"/>
      <c r="AU96" s="1109" t="str">
        <f>IF(F96="","",INDEX(CUSTNONLIGHTGUNIT,MATCH(F96,PROGRAMGCAT[Category 1],0)))</f>
        <v/>
      </c>
      <c r="AV96" s="1109" t="str">
        <f>IF(OR(C96="",F96="",L96="",P96="",R96="",T96="",X96="",Z96="",AD96="",AF96=""),"",((1+GLOSS)*((AK96*INDEX(GASCB[NPV GAEC $/therm],MATCH(BA96,GASCB[Year Number],1))))/AH96))</f>
        <v/>
      </c>
      <c r="AW96" s="1103"/>
      <c r="AX96" s="1188" t="str">
        <f>IF(OR(C96="",F96="",L96="",P96="",R96="",T96="",X96="",Z96="",AB96="",AD96="",AF96=""),"",IF(AB96="Total",ROUND(MIN(AH96*0.75,AK96*INDEX(INCRATE[Gas],MATCH("CMNONLIGHT",INCRATE[Incentive Type]))),2),IF(AB96="Incremental",ROUND(MIN(AH96,AK96*INDEX(INCRATE[Gas],MATCH("CMNONLIGHT",INCRATE[Incentive Type]))),2))))</f>
        <v/>
      </c>
      <c r="AY96" s="1188" t="str">
        <f>IF(OR(C96="",F96="",L96="",P96="",R96="",T96="",X96="",Z96="",AB96="",AD96="",AF96=""),"",IF(AB96="Total",ROUND(MIN(AH96*0.75,AK96*INDEX(INCRATE[Gas],MATCH("NCNONLIGHT",INCRATE[Incentive Type]))),2),IF(AB96="Incremental",ROUND(MIN(AH96,AK96*INDEX(INCRATE[Gas],MATCH("NCNONLIGHT",INCRATE[Incentive Type]))),2))))</f>
        <v/>
      </c>
      <c r="AZ96" s="1188" t="str">
        <f>IF(OR(C96="",F96="",L96="",P96="",R96="",T96="",X96="",Z96="",AB96="",AD96="",AF96=""),"",IF(AB96="Total",ROUND(MIN(AH96*0.75,AK96*INDEX(INCRATE[Gas],MATCH("RCX",INCRATE[Incentive Type]))),2),IF(AB96="Incremental",ROUND(MIN(AH96,AK96*INDEX(INCRATE[Gas],MATCH("RCX",INCRATE[Incentive Type]))),2))))</f>
        <v/>
      </c>
      <c r="BA96" s="1103" t="str">
        <f>IF(F96="","",INDEX(PROGRAMGCAT[EUL],MATCH(F96,PROGRAMGCAT[Category 1],0)))</f>
        <v/>
      </c>
      <c r="BB96" s="1103" t="str">
        <f>IFERROR(AH96/M02S02F36/AK96,"")</f>
        <v/>
      </c>
      <c r="BC96" s="1198" t="str">
        <f>IF(OR(C96="",F96="",L96="",P96="",R96="",T96="",X96="",Z96="",AD96="",AF96=""),"",IF(ISNUMBER(AN96),INDEX(PROGRAMGCAT[Measure Number],MATCH(F96,PROGRAMGCAT[Category 1],0)),IF(AK96=0,"","000001")))</f>
        <v/>
      </c>
      <c r="BD96" s="1103" t="str">
        <f>IFERROR(IF((P96*R96)-(X96*Z96)&lt;=0,MEASURESAV,IF(M02S02F36="",MEASURERATE,IF(OR(F96="Others (Incremental)",F96="Others"),MEASURESUBMIT, IF(BB96&lt;1,MEASUREPAY,IF(AV96&lt;1,MEASURECB,""))))),MEASURESUBMIT)</f>
        <v>Submit for Review</v>
      </c>
    </row>
    <row r="97" spans="2:56" ht="15.95" hidden="1" customHeight="1">
      <c r="B97" s="834"/>
      <c r="C97" s="1212"/>
      <c r="D97" s="1212"/>
      <c r="E97" s="1212"/>
      <c r="F97" s="1094"/>
      <c r="G97" s="1094"/>
      <c r="H97" s="1094"/>
      <c r="I97" s="1094"/>
      <c r="J97" s="1094"/>
      <c r="K97" s="1094"/>
      <c r="L97" s="840"/>
      <c r="M97" s="841"/>
      <c r="N97" s="841"/>
      <c r="O97" s="842"/>
      <c r="P97" s="853"/>
      <c r="Q97" s="854"/>
      <c r="R97" s="1116"/>
      <c r="S97" s="1117"/>
      <c r="T97" s="1226"/>
      <c r="U97" s="1226"/>
      <c r="V97" s="1226"/>
      <c r="W97" s="1226"/>
      <c r="X97" s="853"/>
      <c r="Y97" s="854"/>
      <c r="Z97" s="1116"/>
      <c r="AA97" s="1117"/>
      <c r="AB97" s="1174"/>
      <c r="AC97" s="1174"/>
      <c r="AD97" s="875"/>
      <c r="AE97" s="1098"/>
      <c r="AF97" s="1203"/>
      <c r="AG97" s="1204"/>
      <c r="AH97" s="1136"/>
      <c r="AI97" s="1137"/>
      <c r="AJ97" s="1137"/>
      <c r="AK97" s="1218"/>
      <c r="AL97" s="1218"/>
      <c r="AM97" s="1218"/>
      <c r="AN97" s="1139"/>
      <c r="AO97" s="1139"/>
      <c r="AP97" s="1139"/>
      <c r="AQ97" s="1139"/>
      <c r="AR97" s="59"/>
      <c r="AU97" s="1108"/>
      <c r="AV97" s="1108"/>
      <c r="AW97" s="1104"/>
      <c r="AX97" s="1104"/>
      <c r="AY97" s="1104"/>
      <c r="AZ97" s="1104"/>
      <c r="BA97" s="1104"/>
      <c r="BB97" s="1104"/>
      <c r="BC97" s="1192"/>
      <c r="BD97" s="1104"/>
    </row>
    <row r="98" spans="2:56" ht="15.95" hidden="1" customHeight="1">
      <c r="B98" s="834">
        <v>42</v>
      </c>
      <c r="C98" s="1211"/>
      <c r="D98" s="1211"/>
      <c r="E98" s="1211"/>
      <c r="F98" s="1093"/>
      <c r="G98" s="1093"/>
      <c r="H98" s="1093"/>
      <c r="I98" s="1093"/>
      <c r="J98" s="1093"/>
      <c r="K98" s="1093"/>
      <c r="L98" s="871"/>
      <c r="M98" s="872"/>
      <c r="N98" s="872"/>
      <c r="O98" s="873"/>
      <c r="P98" s="851"/>
      <c r="Q98" s="852"/>
      <c r="R98" s="1114"/>
      <c r="S98" s="1115"/>
      <c r="T98" s="1225"/>
      <c r="U98" s="1225"/>
      <c r="V98" s="1225"/>
      <c r="W98" s="1225"/>
      <c r="X98" s="876"/>
      <c r="Y98" s="877"/>
      <c r="Z98" s="1114"/>
      <c r="AA98" s="1115"/>
      <c r="AB98" s="1173" t="str">
        <f t="shared" ref="AB98" si="202">IF(C98="New Construction","Incremental","")</f>
        <v/>
      </c>
      <c r="AC98" s="1173"/>
      <c r="AD98" s="874"/>
      <c r="AE98" s="1097"/>
      <c r="AF98" s="1201" t="str">
        <f t="shared" ref="AF98" si="203">IF(AB98="Incremental",0,"")</f>
        <v/>
      </c>
      <c r="AG98" s="1202"/>
      <c r="AH98" s="870" t="str">
        <f t="shared" ref="AH98" si="204">IF(OR(C98="",F98="",L98="",P98="",R98="",T98="",X98="",Z98="",AD98="",AF98=""),"",ROUND(AD98+AF98,2))</f>
        <v/>
      </c>
      <c r="AI98" s="1102"/>
      <c r="AJ98" s="1102"/>
      <c r="AK98" s="1217" t="str">
        <f t="shared" ref="AK98" si="205">IF(OR(C98="",F98="",F98="",L98="",P98="",R98="",T98="",X98="",Z98="",AD98="",AF98=""),"",IF((P98*R98)-(X98*Z98)&lt;=0,0,ROUND((P98*R98)-(X98*Z98),2)))</f>
        <v/>
      </c>
      <c r="AL98" s="1217"/>
      <c r="AM98" s="1217"/>
      <c r="AN98" s="1138" t="str">
        <f t="shared" ref="AN98" si="206">IF(OR(C98="",F98="",F98="",L98="",P98="",R98="",T98="",X98="",Z98="",AD98="",AF98=""),"",IF(BD98&lt;&gt;"",BD98,IF(C98="Custom",AX98,IF(C98="New Construction",AY98,IF(C98="RCx",AZ98)))))</f>
        <v/>
      </c>
      <c r="AO98" s="1138"/>
      <c r="AP98" s="1138"/>
      <c r="AQ98" s="1138"/>
      <c r="AR98" s="59"/>
      <c r="AU98" s="1109" t="str">
        <f>IF(F98="","",INDEX(CUSTNONLIGHTGUNIT,MATCH(F98,PROGRAMGCAT[Category 1],0)))</f>
        <v/>
      </c>
      <c r="AV98" s="1109" t="str">
        <f>IF(OR(C98="",F98="",L98="",P98="",R98="",T98="",X98="",Z98="",AD98="",AF98=""),"",((1+GLOSS)*((AK98*INDEX(GASCB[NPV GAEC $/therm],MATCH(BA98,GASCB[Year Number],1))))/AH98))</f>
        <v/>
      </c>
      <c r="AW98" s="1103"/>
      <c r="AX98" s="1188" t="str">
        <f>IF(OR(C98="",F98="",L98="",P98="",R98="",T98="",X98="",Z98="",AB98="",AD98="",AF98=""),"",IF(AB98="Total",ROUND(MIN(AH98*0.75,AK98*INDEX(INCRATE[Gas],MATCH("CMNONLIGHT",INCRATE[Incentive Type]))),2),IF(AB98="Incremental",ROUND(MIN(AH98,AK98*INDEX(INCRATE[Gas],MATCH("CMNONLIGHT",INCRATE[Incentive Type]))),2))))</f>
        <v/>
      </c>
      <c r="AY98" s="1188" t="str">
        <f>IF(OR(C98="",F98="",L98="",P98="",R98="",T98="",X98="",Z98="",AB98="",AD98="",AF98=""),"",IF(AB98="Total",ROUND(MIN(AH98*0.75,AK98*INDEX(INCRATE[Gas],MATCH("NCNONLIGHT",INCRATE[Incentive Type]))),2),IF(AB98="Incremental",ROUND(MIN(AH98,AK98*INDEX(INCRATE[Gas],MATCH("NCNONLIGHT",INCRATE[Incentive Type]))),2))))</f>
        <v/>
      </c>
      <c r="AZ98" s="1188" t="str">
        <f>IF(OR(C98="",F98="",L98="",P98="",R98="",T98="",X98="",Z98="",AB98="",AD98="",AF98=""),"",IF(AB98="Total",ROUND(MIN(AH98*0.75,AK98*INDEX(INCRATE[Gas],MATCH("RCX",INCRATE[Incentive Type]))),2),IF(AB98="Incremental",ROUND(MIN(AH98,AK98*INDEX(INCRATE[Gas],MATCH("RCX",INCRATE[Incentive Type]))),2))))</f>
        <v/>
      </c>
      <c r="BA98" s="1103" t="str">
        <f>IF(F98="","",INDEX(PROGRAMGCAT[EUL],MATCH(F98,PROGRAMGCAT[Category 1],0)))</f>
        <v/>
      </c>
      <c r="BB98" s="1103" t="str">
        <f>IFERROR(AH98/M02S02F36/AK98,"")</f>
        <v/>
      </c>
      <c r="BC98" s="1198" t="str">
        <f>IF(OR(C98="",F98="",L98="",P98="",R98="",T98="",X98="",Z98="",AD98="",AF98=""),"",IF(ISNUMBER(AN98),INDEX(PROGRAMGCAT[Measure Number],MATCH(F98,PROGRAMGCAT[Category 1],0)),IF(AK98=0,"","000001")))</f>
        <v/>
      </c>
      <c r="BD98" s="1103" t="str">
        <f>IFERROR(IF((P98*R98)-(X98*Z98)&lt;=0,MEASURESAV,IF(M02S02F36="",MEASURERATE,IF(OR(F98="Others (Incremental)",F98="Others"),MEASURESUBMIT, IF(BB98&lt;1,MEASUREPAY,IF(AV98&lt;1,MEASURECB,""))))),MEASURESUBMIT)</f>
        <v>Submit for Review</v>
      </c>
    </row>
    <row r="99" spans="2:56" ht="15.95" hidden="1" customHeight="1">
      <c r="B99" s="834"/>
      <c r="C99" s="1212"/>
      <c r="D99" s="1212"/>
      <c r="E99" s="1212"/>
      <c r="F99" s="1094"/>
      <c r="G99" s="1094"/>
      <c r="H99" s="1094"/>
      <c r="I99" s="1094"/>
      <c r="J99" s="1094"/>
      <c r="K99" s="1094"/>
      <c r="L99" s="840"/>
      <c r="M99" s="841"/>
      <c r="N99" s="841"/>
      <c r="O99" s="842"/>
      <c r="P99" s="853"/>
      <c r="Q99" s="854"/>
      <c r="R99" s="1116"/>
      <c r="S99" s="1117"/>
      <c r="T99" s="1226"/>
      <c r="U99" s="1226"/>
      <c r="V99" s="1226"/>
      <c r="W99" s="1226"/>
      <c r="X99" s="853"/>
      <c r="Y99" s="854"/>
      <c r="Z99" s="1116"/>
      <c r="AA99" s="1117"/>
      <c r="AB99" s="1174"/>
      <c r="AC99" s="1174"/>
      <c r="AD99" s="875"/>
      <c r="AE99" s="1098"/>
      <c r="AF99" s="1203"/>
      <c r="AG99" s="1204"/>
      <c r="AH99" s="1136"/>
      <c r="AI99" s="1137"/>
      <c r="AJ99" s="1137"/>
      <c r="AK99" s="1218"/>
      <c r="AL99" s="1218"/>
      <c r="AM99" s="1218"/>
      <c r="AN99" s="1139"/>
      <c r="AO99" s="1139"/>
      <c r="AP99" s="1139"/>
      <c r="AQ99" s="1139"/>
      <c r="AR99" s="59"/>
      <c r="AU99" s="1108"/>
      <c r="AV99" s="1108"/>
      <c r="AW99" s="1104"/>
      <c r="AX99" s="1104"/>
      <c r="AY99" s="1104"/>
      <c r="AZ99" s="1104"/>
      <c r="BA99" s="1104"/>
      <c r="BB99" s="1104"/>
      <c r="BC99" s="1192"/>
      <c r="BD99" s="1104"/>
    </row>
    <row r="100" spans="2:56" ht="15.95" hidden="1" customHeight="1">
      <c r="B100" s="834">
        <v>43</v>
      </c>
      <c r="C100" s="1211"/>
      <c r="D100" s="1211"/>
      <c r="E100" s="1211"/>
      <c r="F100" s="1093"/>
      <c r="G100" s="1093"/>
      <c r="H100" s="1093"/>
      <c r="I100" s="1093"/>
      <c r="J100" s="1093"/>
      <c r="K100" s="1093"/>
      <c r="L100" s="871"/>
      <c r="M100" s="872"/>
      <c r="N100" s="872"/>
      <c r="O100" s="873"/>
      <c r="P100" s="851"/>
      <c r="Q100" s="852"/>
      <c r="R100" s="1114"/>
      <c r="S100" s="1115"/>
      <c r="T100" s="1225"/>
      <c r="U100" s="1225"/>
      <c r="V100" s="1225"/>
      <c r="W100" s="1225"/>
      <c r="X100" s="876"/>
      <c r="Y100" s="877"/>
      <c r="Z100" s="1114"/>
      <c r="AA100" s="1115"/>
      <c r="AB100" s="1173" t="str">
        <f t="shared" ref="AB100" si="207">IF(C100="New Construction","Incremental","")</f>
        <v/>
      </c>
      <c r="AC100" s="1173"/>
      <c r="AD100" s="874"/>
      <c r="AE100" s="1097"/>
      <c r="AF100" s="1201" t="str">
        <f t="shared" ref="AF100" si="208">IF(AB100="Incremental",0,"")</f>
        <v/>
      </c>
      <c r="AG100" s="1202"/>
      <c r="AH100" s="870" t="str">
        <f t="shared" ref="AH100" si="209">IF(OR(C100="",F100="",L100="",P100="",R100="",T100="",X100="",Z100="",AD100="",AF100=""),"",ROUND(AD100+AF100,2))</f>
        <v/>
      </c>
      <c r="AI100" s="1102"/>
      <c r="AJ100" s="1102"/>
      <c r="AK100" s="1217" t="str">
        <f t="shared" ref="AK100" si="210">IF(OR(C100="",F100="",F100="",L100="",P100="",R100="",T100="",X100="",Z100="",AD100="",AF100=""),"",IF((P100*R100)-(X100*Z100)&lt;=0,0,ROUND((P100*R100)-(X100*Z100),2)))</f>
        <v/>
      </c>
      <c r="AL100" s="1217"/>
      <c r="AM100" s="1217"/>
      <c r="AN100" s="1138" t="str">
        <f t="shared" ref="AN100" si="211">IF(OR(C100="",F100="",F100="",L100="",P100="",R100="",T100="",X100="",Z100="",AD100="",AF100=""),"",IF(BD100&lt;&gt;"",BD100,IF(C100="Custom",AX100,IF(C100="New Construction",AY100,IF(C100="RCx",AZ100)))))</f>
        <v/>
      </c>
      <c r="AO100" s="1138"/>
      <c r="AP100" s="1138"/>
      <c r="AQ100" s="1138"/>
      <c r="AR100" s="59"/>
      <c r="AU100" s="1109" t="str">
        <f>IF(F100="","",INDEX(CUSTNONLIGHTGUNIT,MATCH(F100,PROGRAMGCAT[Category 1],0)))</f>
        <v/>
      </c>
      <c r="AV100" s="1109" t="str">
        <f>IF(OR(C100="",F100="",L100="",P100="",R100="",T100="",X100="",Z100="",AD100="",AF100=""),"",((1+GLOSS)*((AK100*INDEX(GASCB[NPV GAEC $/therm],MATCH(BA100,GASCB[Year Number],1))))/AH100))</f>
        <v/>
      </c>
      <c r="AW100" s="1103"/>
      <c r="AX100" s="1188" t="str">
        <f>IF(OR(C100="",F100="",L100="",P100="",R100="",T100="",X100="",Z100="",AB100="",AD100="",AF100=""),"",IF(AB100="Total",ROUND(MIN(AH100*0.75,AK100*INDEX(INCRATE[Gas],MATCH("CMNONLIGHT",INCRATE[Incentive Type]))),2),IF(AB100="Incremental",ROUND(MIN(AH100,AK100*INDEX(INCRATE[Gas],MATCH("CMNONLIGHT",INCRATE[Incentive Type]))),2))))</f>
        <v/>
      </c>
      <c r="AY100" s="1188" t="str">
        <f>IF(OR(C100="",F100="",L100="",P100="",R100="",T100="",X100="",Z100="",AB100="",AD100="",AF100=""),"",IF(AB100="Total",ROUND(MIN(AH100*0.75,AK100*INDEX(INCRATE[Gas],MATCH("NCNONLIGHT",INCRATE[Incentive Type]))),2),IF(AB100="Incremental",ROUND(MIN(AH100,AK100*INDEX(INCRATE[Gas],MATCH("NCNONLIGHT",INCRATE[Incentive Type]))),2))))</f>
        <v/>
      </c>
      <c r="AZ100" s="1188" t="str">
        <f>IF(OR(C100="",F100="",L100="",P100="",R100="",T100="",X100="",Z100="",AB100="",AD100="",AF100=""),"",IF(AB100="Total",ROUND(MIN(AH100*0.75,AK100*INDEX(INCRATE[Gas],MATCH("RCX",INCRATE[Incentive Type]))),2),IF(AB100="Incremental",ROUND(MIN(AH100,AK100*INDEX(INCRATE[Gas],MATCH("RCX",INCRATE[Incentive Type]))),2))))</f>
        <v/>
      </c>
      <c r="BA100" s="1103" t="str">
        <f>IF(F100="","",INDEX(PROGRAMGCAT[EUL],MATCH(F100,PROGRAMGCAT[Category 1],0)))</f>
        <v/>
      </c>
      <c r="BB100" s="1103" t="str">
        <f>IFERROR(AH100/M02S02F36/AK100,"")</f>
        <v/>
      </c>
      <c r="BC100" s="1198" t="str">
        <f>IF(OR(C100="",F100="",L100="",P100="",R100="",T100="",X100="",Z100="",AD100="",AF100=""),"",IF(ISNUMBER(AN100),INDEX(PROGRAMGCAT[Measure Number],MATCH(F100,PROGRAMGCAT[Category 1],0)),IF(AK100=0,"","000001")))</f>
        <v/>
      </c>
      <c r="BD100" s="1103" t="str">
        <f>IFERROR(IF((P100*R100)-(X100*Z100)&lt;=0,MEASURESAV,IF(M02S02F36="",MEASURERATE,IF(OR(F100="Others (Incremental)",F100="Others"),MEASURESUBMIT, IF(BB100&lt;1,MEASUREPAY,IF(AV100&lt;1,MEASURECB,""))))),MEASURESUBMIT)</f>
        <v>Submit for Review</v>
      </c>
    </row>
    <row r="101" spans="2:56" ht="15.95" hidden="1" customHeight="1">
      <c r="B101" s="834"/>
      <c r="C101" s="1212"/>
      <c r="D101" s="1212"/>
      <c r="E101" s="1212"/>
      <c r="F101" s="1094"/>
      <c r="G101" s="1094"/>
      <c r="H101" s="1094"/>
      <c r="I101" s="1094"/>
      <c r="J101" s="1094"/>
      <c r="K101" s="1094"/>
      <c r="L101" s="840"/>
      <c r="M101" s="841"/>
      <c r="N101" s="841"/>
      <c r="O101" s="842"/>
      <c r="P101" s="853"/>
      <c r="Q101" s="854"/>
      <c r="R101" s="1116"/>
      <c r="S101" s="1117"/>
      <c r="T101" s="1226"/>
      <c r="U101" s="1226"/>
      <c r="V101" s="1226"/>
      <c r="W101" s="1226"/>
      <c r="X101" s="853"/>
      <c r="Y101" s="854"/>
      <c r="Z101" s="1116"/>
      <c r="AA101" s="1117"/>
      <c r="AB101" s="1174"/>
      <c r="AC101" s="1174"/>
      <c r="AD101" s="875"/>
      <c r="AE101" s="1098"/>
      <c r="AF101" s="1203"/>
      <c r="AG101" s="1204"/>
      <c r="AH101" s="1136"/>
      <c r="AI101" s="1137"/>
      <c r="AJ101" s="1137"/>
      <c r="AK101" s="1218"/>
      <c r="AL101" s="1218"/>
      <c r="AM101" s="1218"/>
      <c r="AN101" s="1139"/>
      <c r="AO101" s="1139"/>
      <c r="AP101" s="1139"/>
      <c r="AQ101" s="1139"/>
      <c r="AR101" s="59"/>
      <c r="AU101" s="1108"/>
      <c r="AV101" s="1108"/>
      <c r="AW101" s="1104"/>
      <c r="AX101" s="1104"/>
      <c r="AY101" s="1104"/>
      <c r="AZ101" s="1104"/>
      <c r="BA101" s="1104"/>
      <c r="BB101" s="1104"/>
      <c r="BC101" s="1192"/>
      <c r="BD101" s="1104"/>
    </row>
    <row r="102" spans="2:56" ht="15.95" hidden="1" customHeight="1">
      <c r="B102" s="834">
        <v>44</v>
      </c>
      <c r="C102" s="1211"/>
      <c r="D102" s="1211"/>
      <c r="E102" s="1211"/>
      <c r="F102" s="1093"/>
      <c r="G102" s="1093"/>
      <c r="H102" s="1093"/>
      <c r="I102" s="1093"/>
      <c r="J102" s="1093"/>
      <c r="K102" s="1093"/>
      <c r="L102" s="871"/>
      <c r="M102" s="872"/>
      <c r="N102" s="872"/>
      <c r="O102" s="873"/>
      <c r="P102" s="851"/>
      <c r="Q102" s="852"/>
      <c r="R102" s="1114"/>
      <c r="S102" s="1115"/>
      <c r="T102" s="1225"/>
      <c r="U102" s="1225"/>
      <c r="V102" s="1225"/>
      <c r="W102" s="1225"/>
      <c r="X102" s="876"/>
      <c r="Y102" s="877"/>
      <c r="Z102" s="1114"/>
      <c r="AA102" s="1115"/>
      <c r="AB102" s="1173" t="str">
        <f t="shared" ref="AB102" si="212">IF(C102="New Construction","Incremental","")</f>
        <v/>
      </c>
      <c r="AC102" s="1173"/>
      <c r="AD102" s="874"/>
      <c r="AE102" s="1097"/>
      <c r="AF102" s="1201" t="str">
        <f t="shared" ref="AF102" si="213">IF(AB102="Incremental",0,"")</f>
        <v/>
      </c>
      <c r="AG102" s="1202"/>
      <c r="AH102" s="870" t="str">
        <f t="shared" ref="AH102" si="214">IF(OR(C102="",F102="",L102="",P102="",R102="",T102="",X102="",Z102="",AD102="",AF102=""),"",ROUND(AD102+AF102,2))</f>
        <v/>
      </c>
      <c r="AI102" s="1102"/>
      <c r="AJ102" s="1102"/>
      <c r="AK102" s="1217" t="str">
        <f t="shared" ref="AK102" si="215">IF(OR(C102="",F102="",F102="",L102="",P102="",R102="",T102="",X102="",Z102="",AD102="",AF102=""),"",IF((P102*R102)-(X102*Z102)&lt;=0,0,ROUND((P102*R102)-(X102*Z102),2)))</f>
        <v/>
      </c>
      <c r="AL102" s="1217"/>
      <c r="AM102" s="1217"/>
      <c r="AN102" s="1138" t="str">
        <f t="shared" ref="AN102" si="216">IF(OR(C102="",F102="",F102="",L102="",P102="",R102="",T102="",X102="",Z102="",AD102="",AF102=""),"",IF(BD102&lt;&gt;"",BD102,IF(C102="Custom",AX102,IF(C102="New Construction",AY102,IF(C102="RCx",AZ102)))))</f>
        <v/>
      </c>
      <c r="AO102" s="1138"/>
      <c r="AP102" s="1138"/>
      <c r="AQ102" s="1138"/>
      <c r="AR102" s="59"/>
      <c r="AU102" s="1109" t="str">
        <f>IF(F102="","",INDEX(CUSTNONLIGHTGUNIT,MATCH(F102,PROGRAMGCAT[Category 1],0)))</f>
        <v/>
      </c>
      <c r="AV102" s="1109" t="str">
        <f>IF(OR(C102="",F102="",L102="",P102="",R102="",T102="",X102="",Z102="",AD102="",AF102=""),"",((1+GLOSS)*((AK102*INDEX(GASCB[NPV GAEC $/therm],MATCH(BA102,GASCB[Year Number],1))))/AH102))</f>
        <v/>
      </c>
      <c r="AW102" s="1103"/>
      <c r="AX102" s="1188" t="str">
        <f>IF(OR(C102="",F102="",L102="",P102="",R102="",T102="",X102="",Z102="",AB102="",AD102="",AF102=""),"",IF(AB102="Total",ROUND(MIN(AH102*0.75,AK102*INDEX(INCRATE[Gas],MATCH("CMNONLIGHT",INCRATE[Incentive Type]))),2),IF(AB102="Incremental",ROUND(MIN(AH102,AK102*INDEX(INCRATE[Gas],MATCH("CMNONLIGHT",INCRATE[Incentive Type]))),2))))</f>
        <v/>
      </c>
      <c r="AY102" s="1188" t="str">
        <f>IF(OR(C102="",F102="",L102="",P102="",R102="",T102="",X102="",Z102="",AB102="",AD102="",AF102=""),"",IF(AB102="Total",ROUND(MIN(AH102*0.75,AK102*INDEX(INCRATE[Gas],MATCH("NCNONLIGHT",INCRATE[Incentive Type]))),2),IF(AB102="Incremental",ROUND(MIN(AH102,AK102*INDEX(INCRATE[Gas],MATCH("NCNONLIGHT",INCRATE[Incentive Type]))),2))))</f>
        <v/>
      </c>
      <c r="AZ102" s="1188" t="str">
        <f>IF(OR(C102="",F102="",L102="",P102="",R102="",T102="",X102="",Z102="",AB102="",AD102="",AF102=""),"",IF(AB102="Total",ROUND(MIN(AH102*0.75,AK102*INDEX(INCRATE[Gas],MATCH("RCX",INCRATE[Incentive Type]))),2),IF(AB102="Incremental",ROUND(MIN(AH102,AK102*INDEX(INCRATE[Gas],MATCH("RCX",INCRATE[Incentive Type]))),2))))</f>
        <v/>
      </c>
      <c r="BA102" s="1103" t="str">
        <f>IF(F102="","",INDEX(PROGRAMGCAT[EUL],MATCH(F102,PROGRAMGCAT[Category 1],0)))</f>
        <v/>
      </c>
      <c r="BB102" s="1103" t="str">
        <f>IFERROR(AH102/M02S02F36/AK102,"")</f>
        <v/>
      </c>
      <c r="BC102" s="1198" t="str">
        <f>IF(OR(C102="",F102="",L102="",P102="",R102="",T102="",X102="",Z102="",AD102="",AF102=""),"",IF(ISNUMBER(AN102),INDEX(PROGRAMGCAT[Measure Number],MATCH(F102,PROGRAMGCAT[Category 1],0)),IF(AK102=0,"","000001")))</f>
        <v/>
      </c>
      <c r="BD102" s="1103" t="str">
        <f>IFERROR(IF((P102*R102)-(X102*Z102)&lt;=0,MEASURESAV,IF(M02S02F36="",MEASURERATE,IF(OR(F102="Others (Incremental)",F102="Others"),MEASURESUBMIT, IF(BB102&lt;1,MEASUREPAY,IF(AV102&lt;1,MEASURECB,""))))),MEASURESUBMIT)</f>
        <v>Submit for Review</v>
      </c>
    </row>
    <row r="103" spans="2:56" ht="15.95" hidden="1" customHeight="1">
      <c r="B103" s="834"/>
      <c r="C103" s="1212"/>
      <c r="D103" s="1212"/>
      <c r="E103" s="1212"/>
      <c r="F103" s="1094"/>
      <c r="G103" s="1094"/>
      <c r="H103" s="1094"/>
      <c r="I103" s="1094"/>
      <c r="J103" s="1094"/>
      <c r="K103" s="1094"/>
      <c r="L103" s="840"/>
      <c r="M103" s="841"/>
      <c r="N103" s="841"/>
      <c r="O103" s="842"/>
      <c r="P103" s="853"/>
      <c r="Q103" s="854"/>
      <c r="R103" s="1116"/>
      <c r="S103" s="1117"/>
      <c r="T103" s="1226"/>
      <c r="U103" s="1226"/>
      <c r="V103" s="1226"/>
      <c r="W103" s="1226"/>
      <c r="X103" s="853"/>
      <c r="Y103" s="854"/>
      <c r="Z103" s="1116"/>
      <c r="AA103" s="1117"/>
      <c r="AB103" s="1174"/>
      <c r="AC103" s="1174"/>
      <c r="AD103" s="875"/>
      <c r="AE103" s="1098"/>
      <c r="AF103" s="1203"/>
      <c r="AG103" s="1204"/>
      <c r="AH103" s="1136"/>
      <c r="AI103" s="1137"/>
      <c r="AJ103" s="1137"/>
      <c r="AK103" s="1218"/>
      <c r="AL103" s="1218"/>
      <c r="AM103" s="1218"/>
      <c r="AN103" s="1139"/>
      <c r="AO103" s="1139"/>
      <c r="AP103" s="1139"/>
      <c r="AQ103" s="1139"/>
      <c r="AR103" s="59"/>
      <c r="AU103" s="1108"/>
      <c r="AV103" s="1108"/>
      <c r="AW103" s="1104"/>
      <c r="AX103" s="1104"/>
      <c r="AY103" s="1104"/>
      <c r="AZ103" s="1104"/>
      <c r="BA103" s="1104"/>
      <c r="BB103" s="1104"/>
      <c r="BC103" s="1192"/>
      <c r="BD103" s="1104"/>
    </row>
    <row r="104" spans="2:56" ht="15.95" hidden="1" customHeight="1">
      <c r="B104" s="834">
        <v>45</v>
      </c>
      <c r="C104" s="1211"/>
      <c r="D104" s="1211"/>
      <c r="E104" s="1211"/>
      <c r="F104" s="1093"/>
      <c r="G104" s="1093"/>
      <c r="H104" s="1093"/>
      <c r="I104" s="1093"/>
      <c r="J104" s="1093"/>
      <c r="K104" s="1093"/>
      <c r="L104" s="871"/>
      <c r="M104" s="872"/>
      <c r="N104" s="872"/>
      <c r="O104" s="873"/>
      <c r="P104" s="851"/>
      <c r="Q104" s="852"/>
      <c r="R104" s="1114"/>
      <c r="S104" s="1115"/>
      <c r="T104" s="1225"/>
      <c r="U104" s="1225"/>
      <c r="V104" s="1225"/>
      <c r="W104" s="1225"/>
      <c r="X104" s="876"/>
      <c r="Y104" s="877"/>
      <c r="Z104" s="1114"/>
      <c r="AA104" s="1115"/>
      <c r="AB104" s="1173" t="str">
        <f t="shared" ref="AB104" si="217">IF(C104="New Construction","Incremental","")</f>
        <v/>
      </c>
      <c r="AC104" s="1173"/>
      <c r="AD104" s="874"/>
      <c r="AE104" s="1097"/>
      <c r="AF104" s="1201" t="str">
        <f t="shared" ref="AF104" si="218">IF(AB104="Incremental",0,"")</f>
        <v/>
      </c>
      <c r="AG104" s="1202"/>
      <c r="AH104" s="870" t="str">
        <f t="shared" ref="AH104" si="219">IF(OR(C104="",F104="",L104="",P104="",R104="",T104="",X104="",Z104="",AD104="",AF104=""),"",ROUND(AD104+AF104,2))</f>
        <v/>
      </c>
      <c r="AI104" s="1102"/>
      <c r="AJ104" s="1102"/>
      <c r="AK104" s="1217" t="str">
        <f t="shared" ref="AK104" si="220">IF(OR(C104="",F104="",F104="",L104="",P104="",R104="",T104="",X104="",Z104="",AD104="",AF104=""),"",IF((P104*R104)-(X104*Z104)&lt;=0,0,ROUND((P104*R104)-(X104*Z104),2)))</f>
        <v/>
      </c>
      <c r="AL104" s="1217"/>
      <c r="AM104" s="1217"/>
      <c r="AN104" s="1138" t="str">
        <f t="shared" ref="AN104" si="221">IF(OR(C104="",F104="",F104="",L104="",P104="",R104="",T104="",X104="",Z104="",AD104="",AF104=""),"",IF(BD104&lt;&gt;"",BD104,IF(C104="Custom",AX104,IF(C104="New Construction",AY104,IF(C104="RCx",AZ104)))))</f>
        <v/>
      </c>
      <c r="AO104" s="1138"/>
      <c r="AP104" s="1138"/>
      <c r="AQ104" s="1138"/>
      <c r="AR104" s="59"/>
      <c r="AU104" s="1109" t="str">
        <f>IF(F104="","",INDEX(CUSTNONLIGHTGUNIT,MATCH(F104,PROGRAMGCAT[Category 1],0)))</f>
        <v/>
      </c>
      <c r="AV104" s="1109" t="str">
        <f>IF(OR(C104="",F104="",L104="",P104="",R104="",T104="",X104="",Z104="",AD104="",AF104=""),"",((1+GLOSS)*((AK104*INDEX(GASCB[NPV GAEC $/therm],MATCH(BA104,GASCB[Year Number],1))))/AH104))</f>
        <v/>
      </c>
      <c r="AW104" s="1103"/>
      <c r="AX104" s="1188" t="str">
        <f>IF(OR(C104="",F104="",L104="",P104="",R104="",T104="",X104="",Z104="",AB104="",AD104="",AF104=""),"",IF(AB104="Total",ROUND(MIN(AH104*0.75,AK104*INDEX(INCRATE[Gas],MATCH("CMNONLIGHT",INCRATE[Incentive Type]))),2),IF(AB104="Incremental",ROUND(MIN(AH104,AK104*INDEX(INCRATE[Gas],MATCH("CMNONLIGHT",INCRATE[Incentive Type]))),2))))</f>
        <v/>
      </c>
      <c r="AY104" s="1188" t="str">
        <f>IF(OR(C104="",F104="",L104="",P104="",R104="",T104="",X104="",Z104="",AB104="",AD104="",AF104=""),"",IF(AB104="Total",ROUND(MIN(AH104*0.75,AK104*INDEX(INCRATE[Gas],MATCH("NCNONLIGHT",INCRATE[Incentive Type]))),2),IF(AB104="Incremental",ROUND(MIN(AH104,AK104*INDEX(INCRATE[Gas],MATCH("NCNONLIGHT",INCRATE[Incentive Type]))),2))))</f>
        <v/>
      </c>
      <c r="AZ104" s="1188" t="str">
        <f>IF(OR(C104="",F104="",L104="",P104="",R104="",T104="",X104="",Z104="",AB104="",AD104="",AF104=""),"",IF(AB104="Total",ROUND(MIN(AH104*0.75,AK104*INDEX(INCRATE[Gas],MATCH("RCX",INCRATE[Incentive Type]))),2),IF(AB104="Incremental",ROUND(MIN(AH104,AK104*INDEX(INCRATE[Gas],MATCH("RCX",INCRATE[Incentive Type]))),2))))</f>
        <v/>
      </c>
      <c r="BA104" s="1103" t="str">
        <f>IF(F104="","",INDEX(PROGRAMGCAT[EUL],MATCH(F104,PROGRAMGCAT[Category 1],0)))</f>
        <v/>
      </c>
      <c r="BB104" s="1103" t="str">
        <f>IFERROR(AH104/M02S02F36/AK104,"")</f>
        <v/>
      </c>
      <c r="BC104" s="1198" t="str">
        <f>IF(OR(C104="",F104="",L104="",P104="",R104="",T104="",X104="",Z104="",AD104="",AF104=""),"",IF(ISNUMBER(AN104),INDEX(PROGRAMGCAT[Measure Number],MATCH(F104,PROGRAMGCAT[Category 1],0)),IF(AK104=0,"","000001")))</f>
        <v/>
      </c>
      <c r="BD104" s="1103" t="str">
        <f>IFERROR(IF((P104*R104)-(X104*Z104)&lt;=0,MEASURESAV,IF(M02S02F36="",MEASURERATE,IF(OR(F104="Others (Incremental)",F104="Others"),MEASURESUBMIT, IF(BB104&lt;1,MEASUREPAY,IF(AV104&lt;1,MEASURECB,""))))),MEASURESUBMIT)</f>
        <v>Submit for Review</v>
      </c>
    </row>
    <row r="105" spans="2:56" ht="15.95" hidden="1" customHeight="1">
      <c r="B105" s="834"/>
      <c r="C105" s="1212"/>
      <c r="D105" s="1212"/>
      <c r="E105" s="1212"/>
      <c r="F105" s="1094"/>
      <c r="G105" s="1094"/>
      <c r="H105" s="1094"/>
      <c r="I105" s="1094"/>
      <c r="J105" s="1094"/>
      <c r="K105" s="1094"/>
      <c r="L105" s="840"/>
      <c r="M105" s="841"/>
      <c r="N105" s="841"/>
      <c r="O105" s="842"/>
      <c r="P105" s="853"/>
      <c r="Q105" s="854"/>
      <c r="R105" s="1116"/>
      <c r="S105" s="1117"/>
      <c r="T105" s="1226"/>
      <c r="U105" s="1226"/>
      <c r="V105" s="1226"/>
      <c r="W105" s="1226"/>
      <c r="X105" s="853"/>
      <c r="Y105" s="854"/>
      <c r="Z105" s="1116"/>
      <c r="AA105" s="1117"/>
      <c r="AB105" s="1174"/>
      <c r="AC105" s="1174"/>
      <c r="AD105" s="875"/>
      <c r="AE105" s="1098"/>
      <c r="AF105" s="1203"/>
      <c r="AG105" s="1204"/>
      <c r="AH105" s="1136"/>
      <c r="AI105" s="1137"/>
      <c r="AJ105" s="1137"/>
      <c r="AK105" s="1218"/>
      <c r="AL105" s="1218"/>
      <c r="AM105" s="1218"/>
      <c r="AN105" s="1139"/>
      <c r="AO105" s="1139"/>
      <c r="AP105" s="1139"/>
      <c r="AQ105" s="1139"/>
      <c r="AR105" s="59"/>
      <c r="AU105" s="1108"/>
      <c r="AV105" s="1108"/>
      <c r="AW105" s="1104"/>
      <c r="AX105" s="1104"/>
      <c r="AY105" s="1104"/>
      <c r="AZ105" s="1104"/>
      <c r="BA105" s="1104"/>
      <c r="BB105" s="1104"/>
      <c r="BC105" s="1192"/>
      <c r="BD105" s="1104"/>
    </row>
    <row r="106" spans="2:56" ht="15.95" hidden="1" customHeight="1">
      <c r="B106" s="834">
        <v>46</v>
      </c>
      <c r="C106" s="1211"/>
      <c r="D106" s="1211"/>
      <c r="E106" s="1211"/>
      <c r="F106" s="1093"/>
      <c r="G106" s="1093"/>
      <c r="H106" s="1093"/>
      <c r="I106" s="1093"/>
      <c r="J106" s="1093"/>
      <c r="K106" s="1093"/>
      <c r="L106" s="871"/>
      <c r="M106" s="872"/>
      <c r="N106" s="872"/>
      <c r="O106" s="873"/>
      <c r="P106" s="851"/>
      <c r="Q106" s="852"/>
      <c r="R106" s="1114"/>
      <c r="S106" s="1115"/>
      <c r="T106" s="1225"/>
      <c r="U106" s="1225"/>
      <c r="V106" s="1225"/>
      <c r="W106" s="1225"/>
      <c r="X106" s="876"/>
      <c r="Y106" s="877"/>
      <c r="Z106" s="1114"/>
      <c r="AA106" s="1115"/>
      <c r="AB106" s="1173" t="str">
        <f t="shared" ref="AB106" si="222">IF(C106="New Construction","Incremental","")</f>
        <v/>
      </c>
      <c r="AC106" s="1173"/>
      <c r="AD106" s="874"/>
      <c r="AE106" s="1097"/>
      <c r="AF106" s="1201" t="str">
        <f t="shared" ref="AF106" si="223">IF(AB106="Incremental",0,"")</f>
        <v/>
      </c>
      <c r="AG106" s="1202"/>
      <c r="AH106" s="870" t="str">
        <f t="shared" ref="AH106" si="224">IF(OR(C106="",F106="",L106="",P106="",R106="",T106="",X106="",Z106="",AD106="",AF106=""),"",ROUND(AD106+AF106,2))</f>
        <v/>
      </c>
      <c r="AI106" s="1102"/>
      <c r="AJ106" s="1102"/>
      <c r="AK106" s="1217" t="str">
        <f t="shared" ref="AK106" si="225">IF(OR(C106="",F106="",F106="",L106="",P106="",R106="",T106="",X106="",Z106="",AD106="",AF106=""),"",IF((P106*R106)-(X106*Z106)&lt;=0,0,ROUND((P106*R106)-(X106*Z106),2)))</f>
        <v/>
      </c>
      <c r="AL106" s="1217"/>
      <c r="AM106" s="1217"/>
      <c r="AN106" s="1138" t="str">
        <f t="shared" ref="AN106" si="226">IF(OR(C106="",F106="",F106="",L106="",P106="",R106="",T106="",X106="",Z106="",AD106="",AF106=""),"",IF(BD106&lt;&gt;"",BD106,IF(C106="Custom",AX106,IF(C106="New Construction",AY106,IF(C106="RCx",AZ106)))))</f>
        <v/>
      </c>
      <c r="AO106" s="1138"/>
      <c r="AP106" s="1138"/>
      <c r="AQ106" s="1138"/>
      <c r="AR106" s="59"/>
      <c r="AU106" s="1109" t="str">
        <f>IF(F106="","",INDEX(CUSTNONLIGHTGUNIT,MATCH(F106,PROGRAMGCAT[Category 1],0)))</f>
        <v/>
      </c>
      <c r="AV106" s="1109" t="str">
        <f>IF(OR(C106="",F106="",L106="",P106="",R106="",T106="",X106="",Z106="",AD106="",AF106=""),"",((1+GLOSS)*((AK106*INDEX(GASCB[NPV GAEC $/therm],MATCH(BA106,GASCB[Year Number],1))))/AH106))</f>
        <v/>
      </c>
      <c r="AW106" s="1103"/>
      <c r="AX106" s="1188" t="str">
        <f>IF(OR(C106="",F106="",L106="",P106="",R106="",T106="",X106="",Z106="",AB106="",AD106="",AF106=""),"",IF(AB106="Total",ROUND(MIN(AH106*0.75,AK106*INDEX(INCRATE[Gas],MATCH("CMNONLIGHT",INCRATE[Incentive Type]))),2),IF(AB106="Incremental",ROUND(MIN(AH106,AK106*INDEX(INCRATE[Gas],MATCH("CMNONLIGHT",INCRATE[Incentive Type]))),2))))</f>
        <v/>
      </c>
      <c r="AY106" s="1188" t="str">
        <f>IF(OR(C106="",F106="",L106="",P106="",R106="",T106="",X106="",Z106="",AB106="",AD106="",AF106=""),"",IF(AB106="Total",ROUND(MIN(AH106*0.75,AK106*INDEX(INCRATE[Gas],MATCH("NCNONLIGHT",INCRATE[Incentive Type]))),2),IF(AB106="Incremental",ROUND(MIN(AH106,AK106*INDEX(INCRATE[Gas],MATCH("NCNONLIGHT",INCRATE[Incentive Type]))),2))))</f>
        <v/>
      </c>
      <c r="AZ106" s="1188" t="str">
        <f>IF(OR(C106="",F106="",L106="",P106="",R106="",T106="",X106="",Z106="",AB106="",AD106="",AF106=""),"",IF(AB106="Total",ROUND(MIN(AH106*0.75,AK106*INDEX(INCRATE[Gas],MATCH("RCX",INCRATE[Incentive Type]))),2),IF(AB106="Incremental",ROUND(MIN(AH106,AK106*INDEX(INCRATE[Gas],MATCH("RCX",INCRATE[Incentive Type]))),2))))</f>
        <v/>
      </c>
      <c r="BA106" s="1103" t="str">
        <f>IF(F106="","",INDEX(PROGRAMGCAT[EUL],MATCH(F106,PROGRAMGCAT[Category 1],0)))</f>
        <v/>
      </c>
      <c r="BB106" s="1103" t="str">
        <f>IFERROR(AH106/M02S02F36/AK106,"")</f>
        <v/>
      </c>
      <c r="BC106" s="1198" t="str">
        <f>IF(OR(C106="",F106="",L106="",P106="",R106="",T106="",X106="",Z106="",AD106="",AF106=""),"",IF(ISNUMBER(AN106),INDEX(PROGRAMGCAT[Measure Number],MATCH(F106,PROGRAMGCAT[Category 1],0)),IF(AK106=0,"","000001")))</f>
        <v/>
      </c>
      <c r="BD106" s="1103" t="str">
        <f>IFERROR(IF((P106*R106)-(X106*Z106)&lt;=0,MEASURESAV,IF(M02S02F36="",MEASURERATE,IF(OR(F106="Others (Incremental)",F106="Others"),MEASURESUBMIT, IF(BB106&lt;1,MEASUREPAY,IF(AV106&lt;1,MEASURECB,""))))),MEASURESUBMIT)</f>
        <v>Submit for Review</v>
      </c>
    </row>
    <row r="107" spans="2:56" ht="15.95" hidden="1" customHeight="1">
      <c r="B107" s="834"/>
      <c r="C107" s="1212"/>
      <c r="D107" s="1212"/>
      <c r="E107" s="1212"/>
      <c r="F107" s="1094"/>
      <c r="G107" s="1094"/>
      <c r="H107" s="1094"/>
      <c r="I107" s="1094"/>
      <c r="J107" s="1094"/>
      <c r="K107" s="1094"/>
      <c r="L107" s="840"/>
      <c r="M107" s="841"/>
      <c r="N107" s="841"/>
      <c r="O107" s="842"/>
      <c r="P107" s="853"/>
      <c r="Q107" s="854"/>
      <c r="R107" s="1116"/>
      <c r="S107" s="1117"/>
      <c r="T107" s="1226"/>
      <c r="U107" s="1226"/>
      <c r="V107" s="1226"/>
      <c r="W107" s="1226"/>
      <c r="X107" s="853"/>
      <c r="Y107" s="854"/>
      <c r="Z107" s="1116"/>
      <c r="AA107" s="1117"/>
      <c r="AB107" s="1174"/>
      <c r="AC107" s="1174"/>
      <c r="AD107" s="875"/>
      <c r="AE107" s="1098"/>
      <c r="AF107" s="1203"/>
      <c r="AG107" s="1204"/>
      <c r="AH107" s="1136"/>
      <c r="AI107" s="1137"/>
      <c r="AJ107" s="1137"/>
      <c r="AK107" s="1218"/>
      <c r="AL107" s="1218"/>
      <c r="AM107" s="1218"/>
      <c r="AN107" s="1139"/>
      <c r="AO107" s="1139"/>
      <c r="AP107" s="1139"/>
      <c r="AQ107" s="1139"/>
      <c r="AR107" s="59"/>
      <c r="AU107" s="1108"/>
      <c r="AV107" s="1108"/>
      <c r="AW107" s="1104"/>
      <c r="AX107" s="1104"/>
      <c r="AY107" s="1104"/>
      <c r="AZ107" s="1104"/>
      <c r="BA107" s="1104"/>
      <c r="BB107" s="1104"/>
      <c r="BC107" s="1192"/>
      <c r="BD107" s="1104"/>
    </row>
    <row r="108" spans="2:56" ht="15.95" hidden="1" customHeight="1">
      <c r="B108" s="834">
        <v>47</v>
      </c>
      <c r="C108" s="1211"/>
      <c r="D108" s="1211"/>
      <c r="E108" s="1211"/>
      <c r="F108" s="1093"/>
      <c r="G108" s="1093"/>
      <c r="H108" s="1093"/>
      <c r="I108" s="1093"/>
      <c r="J108" s="1093"/>
      <c r="K108" s="1093"/>
      <c r="L108" s="871"/>
      <c r="M108" s="872"/>
      <c r="N108" s="872"/>
      <c r="O108" s="873"/>
      <c r="P108" s="851"/>
      <c r="Q108" s="852"/>
      <c r="R108" s="1114"/>
      <c r="S108" s="1115"/>
      <c r="T108" s="1225"/>
      <c r="U108" s="1225"/>
      <c r="V108" s="1225"/>
      <c r="W108" s="1225"/>
      <c r="X108" s="876"/>
      <c r="Y108" s="877"/>
      <c r="Z108" s="1114"/>
      <c r="AA108" s="1115"/>
      <c r="AB108" s="1173" t="str">
        <f t="shared" ref="AB108" si="227">IF(C108="New Construction","Incremental","")</f>
        <v/>
      </c>
      <c r="AC108" s="1173"/>
      <c r="AD108" s="874"/>
      <c r="AE108" s="1097"/>
      <c r="AF108" s="1201" t="str">
        <f t="shared" ref="AF108" si="228">IF(AB108="Incremental",0,"")</f>
        <v/>
      </c>
      <c r="AG108" s="1202"/>
      <c r="AH108" s="870" t="str">
        <f t="shared" ref="AH108" si="229">IF(OR(C108="",F108="",L108="",P108="",R108="",T108="",X108="",Z108="",AD108="",AF108=""),"",ROUND(AD108+AF108,2))</f>
        <v/>
      </c>
      <c r="AI108" s="1102"/>
      <c r="AJ108" s="1102"/>
      <c r="AK108" s="1217" t="str">
        <f t="shared" ref="AK108" si="230">IF(OR(C108="",F108="",F108="",L108="",P108="",R108="",T108="",X108="",Z108="",AD108="",AF108=""),"",IF((P108*R108)-(X108*Z108)&lt;=0,0,ROUND((P108*R108)-(X108*Z108),2)))</f>
        <v/>
      </c>
      <c r="AL108" s="1217"/>
      <c r="AM108" s="1217"/>
      <c r="AN108" s="1138" t="str">
        <f t="shared" ref="AN108" si="231">IF(OR(C108="",F108="",F108="",L108="",P108="",R108="",T108="",X108="",Z108="",AD108="",AF108=""),"",IF(BD108&lt;&gt;"",BD108,IF(C108="Custom",AX108,IF(C108="New Construction",AY108,IF(C108="RCx",AZ108)))))</f>
        <v/>
      </c>
      <c r="AO108" s="1138"/>
      <c r="AP108" s="1138"/>
      <c r="AQ108" s="1138"/>
      <c r="AR108" s="59"/>
      <c r="AU108" s="1109" t="str">
        <f>IF(F108="","",INDEX(CUSTNONLIGHTGUNIT,MATCH(F108,PROGRAMGCAT[Category 1],0)))</f>
        <v/>
      </c>
      <c r="AV108" s="1109" t="str">
        <f>IF(OR(C108="",F108="",L108="",P108="",R108="",T108="",X108="",Z108="",AD108="",AF108=""),"",((1+GLOSS)*((AK108*INDEX(GASCB[NPV GAEC $/therm],MATCH(BA108,GASCB[Year Number],1))))/AH108))</f>
        <v/>
      </c>
      <c r="AW108" s="1103"/>
      <c r="AX108" s="1188" t="str">
        <f>IF(OR(C108="",F108="",L108="",P108="",R108="",T108="",X108="",Z108="",AB108="",AD108="",AF108=""),"",IF(AB108="Total",ROUND(MIN(AH108*0.75,AK108*INDEX(INCRATE[Gas],MATCH("CMNONLIGHT",INCRATE[Incentive Type]))),2),IF(AB108="Incremental",ROUND(MIN(AH108,AK108*INDEX(INCRATE[Gas],MATCH("CMNONLIGHT",INCRATE[Incentive Type]))),2))))</f>
        <v/>
      </c>
      <c r="AY108" s="1188" t="str">
        <f>IF(OR(C108="",F108="",L108="",P108="",R108="",T108="",X108="",Z108="",AB108="",AD108="",AF108=""),"",IF(AB108="Total",ROUND(MIN(AH108*0.75,AK108*INDEX(INCRATE[Gas],MATCH("NCNONLIGHT",INCRATE[Incentive Type]))),2),IF(AB108="Incremental",ROUND(MIN(AH108,AK108*INDEX(INCRATE[Gas],MATCH("NCNONLIGHT",INCRATE[Incentive Type]))),2))))</f>
        <v/>
      </c>
      <c r="AZ108" s="1188" t="str">
        <f>IF(OR(C108="",F108="",L108="",P108="",R108="",T108="",X108="",Z108="",AB108="",AD108="",AF108=""),"",IF(AB108="Total",ROUND(MIN(AH108*0.75,AK108*INDEX(INCRATE[Gas],MATCH("RCX",INCRATE[Incentive Type]))),2),IF(AB108="Incremental",ROUND(MIN(AH108,AK108*INDEX(INCRATE[Gas],MATCH("RCX",INCRATE[Incentive Type]))),2))))</f>
        <v/>
      </c>
      <c r="BA108" s="1103" t="str">
        <f>IF(F108="","",INDEX(PROGRAMGCAT[EUL],MATCH(F108,PROGRAMGCAT[Category 1],0)))</f>
        <v/>
      </c>
      <c r="BB108" s="1103" t="str">
        <f>IFERROR(AH108/M02S02F36/AK108,"")</f>
        <v/>
      </c>
      <c r="BC108" s="1198" t="str">
        <f>IF(OR(C108="",F108="",L108="",P108="",R108="",T108="",X108="",Z108="",AD108="",AF108=""),"",IF(ISNUMBER(AN108),INDEX(PROGRAMGCAT[Measure Number],MATCH(F108,PROGRAMGCAT[Category 1],0)),IF(AK108=0,"","000001")))</f>
        <v/>
      </c>
      <c r="BD108" s="1103" t="str">
        <f>IFERROR(IF((P108*R108)-(X108*Z108)&lt;=0,MEASURESAV,IF(M02S02F36="",MEASURERATE,IF(OR(F108="Others (Incremental)",F108="Others"),MEASURESUBMIT, IF(BB108&lt;1,MEASUREPAY,IF(AV108&lt;1,MEASURECB,""))))),MEASURESUBMIT)</f>
        <v>Submit for Review</v>
      </c>
    </row>
    <row r="109" spans="2:56" ht="15.95" hidden="1" customHeight="1">
      <c r="B109" s="834"/>
      <c r="C109" s="1212"/>
      <c r="D109" s="1212"/>
      <c r="E109" s="1212"/>
      <c r="F109" s="1094"/>
      <c r="G109" s="1094"/>
      <c r="H109" s="1094"/>
      <c r="I109" s="1094"/>
      <c r="J109" s="1094"/>
      <c r="K109" s="1094"/>
      <c r="L109" s="840"/>
      <c r="M109" s="841"/>
      <c r="N109" s="841"/>
      <c r="O109" s="842"/>
      <c r="P109" s="853"/>
      <c r="Q109" s="854"/>
      <c r="R109" s="1116"/>
      <c r="S109" s="1117"/>
      <c r="T109" s="1226"/>
      <c r="U109" s="1226"/>
      <c r="V109" s="1226"/>
      <c r="W109" s="1226"/>
      <c r="X109" s="853"/>
      <c r="Y109" s="854"/>
      <c r="Z109" s="1116"/>
      <c r="AA109" s="1117"/>
      <c r="AB109" s="1174"/>
      <c r="AC109" s="1174"/>
      <c r="AD109" s="875"/>
      <c r="AE109" s="1098"/>
      <c r="AF109" s="1203"/>
      <c r="AG109" s="1204"/>
      <c r="AH109" s="1136"/>
      <c r="AI109" s="1137"/>
      <c r="AJ109" s="1137"/>
      <c r="AK109" s="1218"/>
      <c r="AL109" s="1218"/>
      <c r="AM109" s="1218"/>
      <c r="AN109" s="1139"/>
      <c r="AO109" s="1139"/>
      <c r="AP109" s="1139"/>
      <c r="AQ109" s="1139"/>
      <c r="AR109" s="59"/>
      <c r="AU109" s="1108"/>
      <c r="AV109" s="1108"/>
      <c r="AW109" s="1104"/>
      <c r="AX109" s="1104"/>
      <c r="AY109" s="1104"/>
      <c r="AZ109" s="1104"/>
      <c r="BA109" s="1104"/>
      <c r="BB109" s="1104"/>
      <c r="BC109" s="1192"/>
      <c r="BD109" s="1104"/>
    </row>
    <row r="110" spans="2:56" ht="15.95" hidden="1" customHeight="1">
      <c r="B110" s="834">
        <v>48</v>
      </c>
      <c r="C110" s="1211"/>
      <c r="D110" s="1211"/>
      <c r="E110" s="1211"/>
      <c r="F110" s="1093"/>
      <c r="G110" s="1093"/>
      <c r="H110" s="1093"/>
      <c r="I110" s="1093"/>
      <c r="J110" s="1093"/>
      <c r="K110" s="1093"/>
      <c r="L110" s="871"/>
      <c r="M110" s="872"/>
      <c r="N110" s="872"/>
      <c r="O110" s="873"/>
      <c r="P110" s="851"/>
      <c r="Q110" s="852"/>
      <c r="R110" s="1114"/>
      <c r="S110" s="1115"/>
      <c r="T110" s="1225"/>
      <c r="U110" s="1225"/>
      <c r="V110" s="1225"/>
      <c r="W110" s="1225"/>
      <c r="X110" s="876"/>
      <c r="Y110" s="877"/>
      <c r="Z110" s="1114"/>
      <c r="AA110" s="1115"/>
      <c r="AB110" s="1173" t="str">
        <f t="shared" ref="AB110" si="232">IF(C110="New Construction","Incremental","")</f>
        <v/>
      </c>
      <c r="AC110" s="1173"/>
      <c r="AD110" s="874"/>
      <c r="AE110" s="1097"/>
      <c r="AF110" s="1201" t="str">
        <f t="shared" ref="AF110" si="233">IF(AB110="Incremental",0,"")</f>
        <v/>
      </c>
      <c r="AG110" s="1202"/>
      <c r="AH110" s="870" t="str">
        <f t="shared" ref="AH110" si="234">IF(OR(C110="",F110="",L110="",P110="",R110="",T110="",X110="",Z110="",AD110="",AF110=""),"",ROUND(AD110+AF110,2))</f>
        <v/>
      </c>
      <c r="AI110" s="1102"/>
      <c r="AJ110" s="1102"/>
      <c r="AK110" s="1217" t="str">
        <f t="shared" ref="AK110" si="235">IF(OR(C110="",F110="",F110="",L110="",P110="",R110="",T110="",X110="",Z110="",AD110="",AF110=""),"",IF((P110*R110)-(X110*Z110)&lt;=0,0,ROUND((P110*R110)-(X110*Z110),2)))</f>
        <v/>
      </c>
      <c r="AL110" s="1217"/>
      <c r="AM110" s="1217"/>
      <c r="AN110" s="1138" t="str">
        <f t="shared" ref="AN110" si="236">IF(OR(C110="",F110="",F110="",L110="",P110="",R110="",T110="",X110="",Z110="",AD110="",AF110=""),"",IF(BD110&lt;&gt;"",BD110,IF(C110="Custom",AX110,IF(C110="New Construction",AY110,IF(C110="RCx",AZ110)))))</f>
        <v/>
      </c>
      <c r="AO110" s="1138"/>
      <c r="AP110" s="1138"/>
      <c r="AQ110" s="1138"/>
      <c r="AR110" s="59"/>
      <c r="AU110" s="1109" t="str">
        <f>IF(F110="","",INDEX(CUSTNONLIGHTGUNIT,MATCH(F110,PROGRAMGCAT[Category 1],0)))</f>
        <v/>
      </c>
      <c r="AV110" s="1109" t="str">
        <f>IF(OR(C110="",F110="",L110="",P110="",R110="",T110="",X110="",Z110="",AD110="",AF110=""),"",((1+GLOSS)*((AK110*INDEX(GASCB[NPV GAEC $/therm],MATCH(BA110,GASCB[Year Number],1))))/AH110))</f>
        <v/>
      </c>
      <c r="AW110" s="1103"/>
      <c r="AX110" s="1188" t="str">
        <f>IF(OR(C110="",F110="",L110="",P110="",R110="",T110="",X110="",Z110="",AB110="",AD110="",AF110=""),"",IF(AB110="Total",ROUND(MIN(AH110*0.75,AK110*INDEX(INCRATE[Gas],MATCH("CMNONLIGHT",INCRATE[Incentive Type]))),2),IF(AB110="Incremental",ROUND(MIN(AH110,AK110*INDEX(INCRATE[Gas],MATCH("CMNONLIGHT",INCRATE[Incentive Type]))),2))))</f>
        <v/>
      </c>
      <c r="AY110" s="1188" t="str">
        <f>IF(OR(C110="",F110="",L110="",P110="",R110="",T110="",X110="",Z110="",AB110="",AD110="",AF110=""),"",IF(AB110="Total",ROUND(MIN(AH110*0.75,AK110*INDEX(INCRATE[Gas],MATCH("NCNONLIGHT",INCRATE[Incentive Type]))),2),IF(AB110="Incremental",ROUND(MIN(AH110,AK110*INDEX(INCRATE[Gas],MATCH("NCNONLIGHT",INCRATE[Incentive Type]))),2))))</f>
        <v/>
      </c>
      <c r="AZ110" s="1188" t="str">
        <f>IF(OR(C110="",F110="",L110="",P110="",R110="",T110="",X110="",Z110="",AB110="",AD110="",AF110=""),"",IF(AB110="Total",ROUND(MIN(AH110*0.75,AK110*INDEX(INCRATE[Gas],MATCH("RCX",INCRATE[Incentive Type]))),2),IF(AB110="Incremental",ROUND(MIN(AH110,AK110*INDEX(INCRATE[Gas],MATCH("RCX",INCRATE[Incentive Type]))),2))))</f>
        <v/>
      </c>
      <c r="BA110" s="1103" t="str">
        <f>IF(F110="","",INDEX(PROGRAMGCAT[EUL],MATCH(F110,PROGRAMGCAT[Category 1],0)))</f>
        <v/>
      </c>
      <c r="BB110" s="1103" t="str">
        <f>IFERROR(AH110/M02S02F36/AK110,"")</f>
        <v/>
      </c>
      <c r="BC110" s="1198" t="str">
        <f>IF(OR(C110="",F110="",L110="",P110="",R110="",T110="",X110="",Z110="",AD110="",AF110=""),"",IF(ISNUMBER(AN110),INDEX(PROGRAMGCAT[Measure Number],MATCH(F110,PROGRAMGCAT[Category 1],0)),IF(AK110=0,"","000001")))</f>
        <v/>
      </c>
      <c r="BD110" s="1103" t="str">
        <f>IFERROR(IF((P110*R110)-(X110*Z110)&lt;=0,MEASURESAV,IF(M02S02F36="",MEASURERATE,IF(OR(F110="Others (Incremental)",F110="Others"),MEASURESUBMIT, IF(BB110&lt;1,MEASUREPAY,IF(AV110&lt;1,MEASURECB,""))))),MEASURESUBMIT)</f>
        <v>Submit for Review</v>
      </c>
    </row>
    <row r="111" spans="2:56" ht="15.95" hidden="1" customHeight="1">
      <c r="B111" s="834"/>
      <c r="C111" s="1212"/>
      <c r="D111" s="1212"/>
      <c r="E111" s="1212"/>
      <c r="F111" s="1094"/>
      <c r="G111" s="1094"/>
      <c r="H111" s="1094"/>
      <c r="I111" s="1094"/>
      <c r="J111" s="1094"/>
      <c r="K111" s="1094"/>
      <c r="L111" s="840"/>
      <c r="M111" s="841"/>
      <c r="N111" s="841"/>
      <c r="O111" s="842"/>
      <c r="P111" s="853"/>
      <c r="Q111" s="854"/>
      <c r="R111" s="1116"/>
      <c r="S111" s="1117"/>
      <c r="T111" s="1226"/>
      <c r="U111" s="1226"/>
      <c r="V111" s="1226"/>
      <c r="W111" s="1226"/>
      <c r="X111" s="853"/>
      <c r="Y111" s="854"/>
      <c r="Z111" s="1116"/>
      <c r="AA111" s="1117"/>
      <c r="AB111" s="1174"/>
      <c r="AC111" s="1174"/>
      <c r="AD111" s="875"/>
      <c r="AE111" s="1098"/>
      <c r="AF111" s="1203"/>
      <c r="AG111" s="1204"/>
      <c r="AH111" s="1136"/>
      <c r="AI111" s="1137"/>
      <c r="AJ111" s="1137"/>
      <c r="AK111" s="1218"/>
      <c r="AL111" s="1218"/>
      <c r="AM111" s="1218"/>
      <c r="AN111" s="1139"/>
      <c r="AO111" s="1139"/>
      <c r="AP111" s="1139"/>
      <c r="AQ111" s="1139"/>
      <c r="AR111" s="59"/>
      <c r="AU111" s="1108"/>
      <c r="AV111" s="1108"/>
      <c r="AW111" s="1104"/>
      <c r="AX111" s="1104"/>
      <c r="AY111" s="1104"/>
      <c r="AZ111" s="1104"/>
      <c r="BA111" s="1104"/>
      <c r="BB111" s="1104"/>
      <c r="BC111" s="1192"/>
      <c r="BD111" s="1104"/>
    </row>
    <row r="112" spans="2:56" ht="15.95" hidden="1" customHeight="1">
      <c r="B112" s="834">
        <v>49</v>
      </c>
      <c r="C112" s="1211"/>
      <c r="D112" s="1211"/>
      <c r="E112" s="1211"/>
      <c r="F112" s="1093"/>
      <c r="G112" s="1093"/>
      <c r="H112" s="1093"/>
      <c r="I112" s="1093"/>
      <c r="J112" s="1093"/>
      <c r="K112" s="1093"/>
      <c r="L112" s="871"/>
      <c r="M112" s="872"/>
      <c r="N112" s="872"/>
      <c r="O112" s="873"/>
      <c r="P112" s="851"/>
      <c r="Q112" s="852"/>
      <c r="R112" s="1114"/>
      <c r="S112" s="1115"/>
      <c r="T112" s="1225"/>
      <c r="U112" s="1225"/>
      <c r="V112" s="1225"/>
      <c r="W112" s="1225"/>
      <c r="X112" s="876"/>
      <c r="Y112" s="877"/>
      <c r="Z112" s="1114"/>
      <c r="AA112" s="1115"/>
      <c r="AB112" s="1173" t="str">
        <f t="shared" ref="AB112" si="237">IF(C112="New Construction","Incremental","")</f>
        <v/>
      </c>
      <c r="AC112" s="1173"/>
      <c r="AD112" s="874"/>
      <c r="AE112" s="1097"/>
      <c r="AF112" s="1201" t="str">
        <f t="shared" ref="AF112" si="238">IF(AB112="Incremental",0,"")</f>
        <v/>
      </c>
      <c r="AG112" s="1202"/>
      <c r="AH112" s="870" t="str">
        <f t="shared" ref="AH112" si="239">IF(OR(C112="",F112="",L112="",P112="",R112="",T112="",X112="",Z112="",AD112="",AF112=""),"",ROUND(AD112+AF112,2))</f>
        <v/>
      </c>
      <c r="AI112" s="1102"/>
      <c r="AJ112" s="1102"/>
      <c r="AK112" s="1217" t="str">
        <f t="shared" ref="AK112" si="240">IF(OR(C112="",F112="",F112="",L112="",P112="",R112="",T112="",X112="",Z112="",AD112="",AF112=""),"",IF((P112*R112)-(X112*Z112)&lt;=0,0,ROUND((P112*R112)-(X112*Z112),2)))</f>
        <v/>
      </c>
      <c r="AL112" s="1217"/>
      <c r="AM112" s="1217"/>
      <c r="AN112" s="1138" t="str">
        <f t="shared" ref="AN112" si="241">IF(OR(C112="",F112="",F112="",L112="",P112="",R112="",T112="",X112="",Z112="",AD112="",AF112=""),"",IF(BD112&lt;&gt;"",BD112,IF(C112="Custom",AX112,IF(C112="New Construction",AY112,IF(C112="RCx",AZ112)))))</f>
        <v/>
      </c>
      <c r="AO112" s="1138"/>
      <c r="AP112" s="1138"/>
      <c r="AQ112" s="1138"/>
      <c r="AR112" s="59"/>
      <c r="AU112" s="1109" t="str">
        <f>IF(F112="","",INDEX(CUSTNONLIGHTGUNIT,MATCH(F112,PROGRAMGCAT[Category 1],0)))</f>
        <v/>
      </c>
      <c r="AV112" s="1109" t="str">
        <f>IF(OR(C112="",F112="",L112="",P112="",R112="",T112="",X112="",Z112="",AD112="",AF112=""),"",((1+GLOSS)*((AK112*INDEX(GASCB[NPV GAEC $/therm],MATCH(BA112,GASCB[Year Number],1))))/AH112))</f>
        <v/>
      </c>
      <c r="AW112" s="1103"/>
      <c r="AX112" s="1188" t="str">
        <f>IF(OR(C112="",F112="",L112="",P112="",R112="",T112="",X112="",Z112="",AB112="",AD112="",AF112=""),"",IF(AB112="Total",ROUND(MIN(AH112*0.75,AK112*INDEX(INCRATE[Gas],MATCH("CMNONLIGHT",INCRATE[Incentive Type]))),2),IF(AB112="Incremental",ROUND(MIN(AH112,AK112*INDEX(INCRATE[Gas],MATCH("CMNONLIGHT",INCRATE[Incentive Type]))),2))))</f>
        <v/>
      </c>
      <c r="AY112" s="1188" t="str">
        <f>IF(OR(C112="",F112="",L112="",P112="",R112="",T112="",X112="",Z112="",AB112="",AD112="",AF112=""),"",IF(AB112="Total",ROUND(MIN(AH112*0.75,AK112*INDEX(INCRATE[Gas],MATCH("NCNONLIGHT",INCRATE[Incentive Type]))),2),IF(AB112="Incremental",ROUND(MIN(AH112,AK112*INDEX(INCRATE[Gas],MATCH("NCNONLIGHT",INCRATE[Incentive Type]))),2))))</f>
        <v/>
      </c>
      <c r="AZ112" s="1188" t="str">
        <f>IF(OR(C112="",F112="",L112="",P112="",R112="",T112="",X112="",Z112="",AB112="",AD112="",AF112=""),"",IF(AB112="Total",ROUND(MIN(AH112*0.75,AK112*INDEX(INCRATE[Gas],MATCH("RCX",INCRATE[Incentive Type]))),2),IF(AB112="Incremental",ROUND(MIN(AH112,AK112*INDEX(INCRATE[Gas],MATCH("RCX",INCRATE[Incentive Type]))),2))))</f>
        <v/>
      </c>
      <c r="BA112" s="1103" t="str">
        <f>IF(F112="","",INDEX(PROGRAMGCAT[EUL],MATCH(F112,PROGRAMGCAT[Category 1],0)))</f>
        <v/>
      </c>
      <c r="BB112" s="1103" t="str">
        <f>IFERROR(AH112/M02S02F36/AK112,"")</f>
        <v/>
      </c>
      <c r="BC112" s="1198" t="str">
        <f>IF(OR(C112="",F112="",L112="",P112="",R112="",T112="",X112="",Z112="",AD112="",AF112=""),"",IF(ISNUMBER(AN112),INDEX(PROGRAMGCAT[Measure Number],MATCH(F112,PROGRAMGCAT[Category 1],0)),IF(AK112=0,"","000001")))</f>
        <v/>
      </c>
      <c r="BD112" s="1103" t="str">
        <f>IFERROR(IF((P112*R112)-(X112*Z112)&lt;=0,MEASURESAV,IF(M02S02F36="",MEASURERATE,IF(OR(F112="Others (Incremental)",F112="Others"),MEASURESUBMIT, IF(BB112&lt;1,MEASUREPAY,IF(AV112&lt;1,MEASURECB,""))))),MEASURESUBMIT)</f>
        <v>Submit for Review</v>
      </c>
    </row>
    <row r="113" spans="2:56" ht="15.95" hidden="1" customHeight="1">
      <c r="B113" s="834"/>
      <c r="C113" s="1212"/>
      <c r="D113" s="1212"/>
      <c r="E113" s="1212"/>
      <c r="F113" s="1094"/>
      <c r="G113" s="1094"/>
      <c r="H113" s="1094"/>
      <c r="I113" s="1094"/>
      <c r="J113" s="1094"/>
      <c r="K113" s="1094"/>
      <c r="L113" s="840"/>
      <c r="M113" s="841"/>
      <c r="N113" s="841"/>
      <c r="O113" s="842"/>
      <c r="P113" s="853"/>
      <c r="Q113" s="854"/>
      <c r="R113" s="1116"/>
      <c r="S113" s="1117"/>
      <c r="T113" s="1226"/>
      <c r="U113" s="1226"/>
      <c r="V113" s="1226"/>
      <c r="W113" s="1226"/>
      <c r="X113" s="853"/>
      <c r="Y113" s="854"/>
      <c r="Z113" s="1116"/>
      <c r="AA113" s="1117"/>
      <c r="AB113" s="1174"/>
      <c r="AC113" s="1174"/>
      <c r="AD113" s="875"/>
      <c r="AE113" s="1098"/>
      <c r="AF113" s="1203"/>
      <c r="AG113" s="1204"/>
      <c r="AH113" s="1136"/>
      <c r="AI113" s="1137"/>
      <c r="AJ113" s="1137"/>
      <c r="AK113" s="1218"/>
      <c r="AL113" s="1218"/>
      <c r="AM113" s="1218"/>
      <c r="AN113" s="1139"/>
      <c r="AO113" s="1139"/>
      <c r="AP113" s="1139"/>
      <c r="AQ113" s="1139"/>
      <c r="AR113" s="59"/>
      <c r="AU113" s="1108"/>
      <c r="AV113" s="1108"/>
      <c r="AW113" s="1104"/>
      <c r="AX113" s="1104"/>
      <c r="AY113" s="1104"/>
      <c r="AZ113" s="1104"/>
      <c r="BA113" s="1104"/>
      <c r="BB113" s="1104"/>
      <c r="BC113" s="1192"/>
      <c r="BD113" s="1104"/>
    </row>
    <row r="114" spans="2:56" ht="15.95" hidden="1" customHeight="1">
      <c r="B114" s="834">
        <v>50</v>
      </c>
      <c r="C114" s="1211"/>
      <c r="D114" s="1211"/>
      <c r="E114" s="1211"/>
      <c r="F114" s="1093"/>
      <c r="G114" s="1093"/>
      <c r="H114" s="1093"/>
      <c r="I114" s="1093"/>
      <c r="J114" s="1093"/>
      <c r="K114" s="1093"/>
      <c r="L114" s="871"/>
      <c r="M114" s="872"/>
      <c r="N114" s="872"/>
      <c r="O114" s="873"/>
      <c r="P114" s="851"/>
      <c r="Q114" s="852"/>
      <c r="R114" s="1114"/>
      <c r="S114" s="1115"/>
      <c r="T114" s="1225"/>
      <c r="U114" s="1225"/>
      <c r="V114" s="1225"/>
      <c r="W114" s="1225"/>
      <c r="X114" s="876"/>
      <c r="Y114" s="877"/>
      <c r="Z114" s="1114"/>
      <c r="AA114" s="1115"/>
      <c r="AB114" s="1173" t="str">
        <f t="shared" ref="AB114" si="242">IF(C114="New Construction","Incremental","")</f>
        <v/>
      </c>
      <c r="AC114" s="1173"/>
      <c r="AD114" s="874"/>
      <c r="AE114" s="1097"/>
      <c r="AF114" s="1201" t="str">
        <f t="shared" ref="AF114" si="243">IF(AB114="Incremental",0,"")</f>
        <v/>
      </c>
      <c r="AG114" s="1202"/>
      <c r="AH114" s="870" t="str">
        <f t="shared" ref="AH114" si="244">IF(OR(C114="",F114="",L114="",P114="",R114="",T114="",X114="",Z114="",AD114="",AF114=""),"",ROUND(AD114+AF114,2))</f>
        <v/>
      </c>
      <c r="AI114" s="1102"/>
      <c r="AJ114" s="1102"/>
      <c r="AK114" s="1217" t="str">
        <f t="shared" ref="AK114" si="245">IF(OR(C114="",F114="",F114="",L114="",P114="",R114="",T114="",X114="",Z114="",AD114="",AF114=""),"",IF((P114*R114)-(X114*Z114)&lt;=0,0,ROUND((P114*R114)-(X114*Z114),2)))</f>
        <v/>
      </c>
      <c r="AL114" s="1217"/>
      <c r="AM114" s="1217"/>
      <c r="AN114" s="1138" t="str">
        <f t="shared" ref="AN114" si="246">IF(OR(C114="",F114="",F114="",L114="",P114="",R114="",T114="",X114="",Z114="",AD114="",AF114=""),"",IF(BD114&lt;&gt;"",BD114,IF(C114="Custom",AX114,IF(C114="New Construction",AY114,IF(C114="RCx",AZ114)))))</f>
        <v/>
      </c>
      <c r="AO114" s="1138"/>
      <c r="AP114" s="1138"/>
      <c r="AQ114" s="1138"/>
      <c r="AR114" s="59"/>
      <c r="AU114" s="1109" t="str">
        <f>IF(F114="","",INDEX(CUSTNONLIGHTGUNIT,MATCH(F114,PROGRAMGCAT[Category 1],0)))</f>
        <v/>
      </c>
      <c r="AV114" s="1109" t="str">
        <f>IF(OR(C114="",F114="",L114="",P114="",R114="",T114="",X114="",Z114="",AD114="",AF114=""),"",((1+GLOSS)*((AK114*INDEX(GASCB[NPV GAEC $/therm],MATCH(BA114,GASCB[Year Number],1))))/AH114))</f>
        <v/>
      </c>
      <c r="AW114" s="1103"/>
      <c r="AX114" s="1188" t="str">
        <f>IF(OR(C114="",F114="",L114="",P114="",R114="",T114="",X114="",Z114="",AB114="",AD114="",AF114=""),"",IF(AB114="Total",ROUND(MIN(AH114*0.75,AK114*INDEX(INCRATE[Gas],MATCH("CMNONLIGHT",INCRATE[Incentive Type]))),2),IF(AB114="Incremental",ROUND(MIN(AH114,AK114*INDEX(INCRATE[Gas],MATCH("CMNONLIGHT",INCRATE[Incentive Type]))),2))))</f>
        <v/>
      </c>
      <c r="AY114" s="1188" t="str">
        <f>IF(OR(C114="",F114="",L114="",P114="",R114="",T114="",X114="",Z114="",AB114="",AD114="",AF114=""),"",IF(AB114="Total",ROUND(MIN(AH114*0.75,AK114*INDEX(INCRATE[Gas],MATCH("NCNONLIGHT",INCRATE[Incentive Type]))),2),IF(AB114="Incremental",ROUND(MIN(AH114,AK114*INDEX(INCRATE[Gas],MATCH("NCNONLIGHT",INCRATE[Incentive Type]))),2))))</f>
        <v/>
      </c>
      <c r="AZ114" s="1188" t="str">
        <f>IF(OR(C114="",F114="",L114="",P114="",R114="",T114="",X114="",Z114="",AB114="",AD114="",AF114=""),"",IF(AB114="Total",ROUND(MIN(AH114*0.75,AK114*INDEX(INCRATE[Gas],MATCH("RCX",INCRATE[Incentive Type]))),2),IF(AB114="Incremental",ROUND(MIN(AH114,AK114*INDEX(INCRATE[Gas],MATCH("RCX",INCRATE[Incentive Type]))),2))))</f>
        <v/>
      </c>
      <c r="BA114" s="1103" t="str">
        <f>IF(F114="","",INDEX(PROGRAMGCAT[EUL],MATCH(F114,PROGRAMGCAT[Category 1],0)))</f>
        <v/>
      </c>
      <c r="BB114" s="1103" t="str">
        <f>IFERROR(AH114/M02S02F36/AK114,"")</f>
        <v/>
      </c>
      <c r="BC114" s="1198" t="str">
        <f>IF(OR(C114="",F114="",L114="",P114="",R114="",T114="",X114="",Z114="",AD114="",AF114=""),"",IF(ISNUMBER(AN114),INDEX(PROGRAMGCAT[Measure Number],MATCH(F114,PROGRAMGCAT[Category 1],0)),IF(AK114=0,"","000001")))</f>
        <v/>
      </c>
      <c r="BD114" s="1103" t="str">
        <f>IFERROR(IF((P114*R114)-(X114*Z114)&lt;=0,MEASURESAV,IF(M02S02F36="",MEASURERATE,IF(OR(F114="Others (Incremental)",F114="Others"),MEASURESUBMIT, IF(BB114&lt;1,MEASUREPAY,IF(AV114&lt;1,MEASURECB,""))))),MEASURESUBMIT)</f>
        <v>Submit for Review</v>
      </c>
    </row>
    <row r="115" spans="2:56" ht="15.95" hidden="1" customHeight="1">
      <c r="B115" s="834"/>
      <c r="C115" s="1212"/>
      <c r="D115" s="1212"/>
      <c r="E115" s="1212"/>
      <c r="F115" s="1094"/>
      <c r="G115" s="1094"/>
      <c r="H115" s="1094"/>
      <c r="I115" s="1094"/>
      <c r="J115" s="1094"/>
      <c r="K115" s="1094"/>
      <c r="L115" s="840"/>
      <c r="M115" s="841"/>
      <c r="N115" s="841"/>
      <c r="O115" s="842"/>
      <c r="P115" s="853"/>
      <c r="Q115" s="854"/>
      <c r="R115" s="1116"/>
      <c r="S115" s="1117"/>
      <c r="T115" s="1226"/>
      <c r="U115" s="1226"/>
      <c r="V115" s="1226"/>
      <c r="W115" s="1226"/>
      <c r="X115" s="853"/>
      <c r="Y115" s="854"/>
      <c r="Z115" s="1116"/>
      <c r="AA115" s="1117"/>
      <c r="AB115" s="1174"/>
      <c r="AC115" s="1174"/>
      <c r="AD115" s="875"/>
      <c r="AE115" s="1098"/>
      <c r="AF115" s="1203"/>
      <c r="AG115" s="1204"/>
      <c r="AH115" s="1136"/>
      <c r="AI115" s="1137"/>
      <c r="AJ115" s="1137"/>
      <c r="AK115" s="1218"/>
      <c r="AL115" s="1218"/>
      <c r="AM115" s="1218"/>
      <c r="AN115" s="1139"/>
      <c r="AO115" s="1139"/>
      <c r="AP115" s="1139"/>
      <c r="AQ115" s="1139"/>
      <c r="AR115" s="59"/>
      <c r="AU115" s="1108"/>
      <c r="AV115" s="1108"/>
      <c r="AW115" s="1104"/>
      <c r="AX115" s="1104"/>
      <c r="AY115" s="1104"/>
      <c r="AZ115" s="1104"/>
      <c r="BA115" s="1104"/>
      <c r="BB115" s="1104"/>
      <c r="BC115" s="1192"/>
      <c r="BD115" s="1104"/>
    </row>
    <row r="116" spans="2:56" ht="15.95" hidden="1" customHeight="1">
      <c r="B116" s="834">
        <v>51</v>
      </c>
      <c r="C116" s="59"/>
      <c r="D116" s="59"/>
      <c r="E116" s="59"/>
      <c r="F116" s="59"/>
      <c r="G116" s="59"/>
      <c r="H116" s="59"/>
      <c r="I116" s="59"/>
      <c r="J116" s="59"/>
      <c r="K116" s="59"/>
      <c r="L116" s="59"/>
      <c r="M116" s="59"/>
      <c r="N116" s="59"/>
      <c r="O116" s="59"/>
      <c r="P116" s="59"/>
      <c r="Q116" s="59"/>
      <c r="R116" s="59"/>
      <c r="S116" s="59"/>
      <c r="T116" s="59"/>
      <c r="U116" s="59"/>
      <c r="V116" s="59"/>
      <c r="W116" s="59"/>
      <c r="X116" s="59"/>
      <c r="Y116" s="59"/>
      <c r="Z116" s="59"/>
      <c r="AA116" s="59"/>
      <c r="AB116" s="59"/>
      <c r="AC116" s="59"/>
      <c r="AD116" s="59"/>
      <c r="AE116" s="59"/>
      <c r="AF116" s="59"/>
      <c r="AG116" s="59"/>
      <c r="AH116" s="59"/>
      <c r="AI116" s="59"/>
      <c r="AJ116" s="59"/>
      <c r="AK116" s="59"/>
      <c r="AL116" s="59"/>
      <c r="AM116" s="59"/>
      <c r="AN116" s="59"/>
      <c r="AO116" s="59"/>
      <c r="AP116" s="59"/>
      <c r="AQ116" s="59"/>
      <c r="AR116" s="59"/>
    </row>
    <row r="117" spans="2:56" ht="15.95" hidden="1" customHeight="1">
      <c r="B117" s="834"/>
      <c r="C117" s="59"/>
      <c r="D117" s="59"/>
      <c r="E117" s="59"/>
      <c r="F117" s="59"/>
      <c r="G117" s="59"/>
      <c r="H117" s="59"/>
      <c r="I117" s="59"/>
      <c r="J117" s="59"/>
      <c r="K117" s="59"/>
      <c r="L117" s="59"/>
      <c r="M117" s="59"/>
      <c r="N117" s="59"/>
      <c r="O117" s="59"/>
      <c r="P117" s="59"/>
      <c r="Q117" s="59"/>
      <c r="R117" s="59"/>
      <c r="S117" s="59"/>
      <c r="T117" s="59"/>
      <c r="U117" s="59"/>
      <c r="V117" s="59"/>
      <c r="W117" s="59"/>
      <c r="X117" s="59"/>
      <c r="Y117" s="59"/>
      <c r="Z117" s="59"/>
      <c r="AA117" s="59"/>
      <c r="AB117" s="59"/>
      <c r="AC117" s="59"/>
      <c r="AD117" s="59"/>
      <c r="AE117" s="59"/>
      <c r="AF117" s="59"/>
      <c r="AG117" s="59"/>
      <c r="AH117" s="59"/>
      <c r="AI117" s="59"/>
      <c r="AJ117" s="59"/>
      <c r="AK117" s="59"/>
      <c r="AL117" s="59"/>
      <c r="AM117" s="59"/>
      <c r="AN117" s="59"/>
      <c r="AO117" s="59"/>
      <c r="AP117" s="59"/>
      <c r="AQ117" s="59"/>
      <c r="AR117" s="59"/>
    </row>
    <row r="118" spans="2:56" ht="15.95" hidden="1" customHeight="1">
      <c r="B118" s="834">
        <v>52</v>
      </c>
      <c r="C118" s="59"/>
      <c r="D118" s="59"/>
      <c r="E118" s="59"/>
      <c r="F118" s="59"/>
      <c r="G118" s="59"/>
      <c r="H118" s="59"/>
      <c r="I118" s="59"/>
      <c r="J118" s="59"/>
      <c r="K118" s="59"/>
      <c r="L118" s="59"/>
      <c r="M118" s="59"/>
      <c r="N118" s="59"/>
      <c r="O118" s="59"/>
      <c r="P118" s="59"/>
      <c r="Q118" s="59"/>
      <c r="R118" s="59"/>
      <c r="S118" s="59"/>
      <c r="T118" s="59"/>
      <c r="U118" s="59"/>
      <c r="V118" s="59"/>
      <c r="W118" s="59"/>
      <c r="X118" s="59"/>
      <c r="Y118" s="59"/>
      <c r="Z118" s="59"/>
      <c r="AA118" s="59"/>
      <c r="AB118" s="59"/>
      <c r="AC118" s="59"/>
      <c r="AD118" s="59"/>
      <c r="AE118" s="59"/>
      <c r="AF118" s="59"/>
      <c r="AG118" s="59"/>
      <c r="AH118" s="59"/>
      <c r="AI118" s="59"/>
      <c r="AJ118" s="59"/>
      <c r="AK118" s="59"/>
      <c r="AL118" s="59"/>
      <c r="AM118" s="59"/>
      <c r="AN118" s="59"/>
      <c r="AO118" s="59"/>
      <c r="AP118" s="59"/>
      <c r="AQ118" s="59"/>
      <c r="AR118" s="59"/>
    </row>
    <row r="119" spans="2:56" ht="15.95" hidden="1" customHeight="1">
      <c r="B119" s="834"/>
      <c r="C119" s="59"/>
      <c r="D119" s="59"/>
      <c r="E119" s="59"/>
      <c r="F119" s="59"/>
      <c r="G119" s="59"/>
      <c r="H119" s="59"/>
      <c r="I119" s="59"/>
      <c r="J119" s="59"/>
      <c r="K119" s="59"/>
      <c r="L119" s="59"/>
      <c r="M119" s="59"/>
      <c r="N119" s="59"/>
      <c r="O119" s="59"/>
      <c r="P119" s="59"/>
      <c r="Q119" s="59"/>
      <c r="R119" s="59"/>
      <c r="S119" s="59"/>
      <c r="T119" s="59"/>
      <c r="U119" s="59"/>
      <c r="V119" s="59"/>
      <c r="W119" s="59"/>
      <c r="X119" s="59"/>
      <c r="Y119" s="59"/>
      <c r="Z119" s="59"/>
      <c r="AA119" s="59"/>
      <c r="AB119" s="59"/>
      <c r="AC119" s="59"/>
      <c r="AD119" s="59"/>
      <c r="AE119" s="59"/>
      <c r="AF119" s="59"/>
      <c r="AG119" s="59"/>
      <c r="AH119" s="59"/>
      <c r="AI119" s="59"/>
      <c r="AJ119" s="59"/>
      <c r="AK119" s="59"/>
      <c r="AL119" s="59"/>
      <c r="AM119" s="59"/>
      <c r="AN119" s="59"/>
      <c r="AO119" s="59"/>
      <c r="AP119" s="59"/>
      <c r="AQ119" s="59"/>
      <c r="AR119" s="59"/>
    </row>
    <row r="120" spans="2:56" ht="15.95" hidden="1" customHeight="1">
      <c r="B120" s="834">
        <v>53</v>
      </c>
      <c r="C120" s="59"/>
      <c r="D120" s="59"/>
      <c r="E120" s="59"/>
      <c r="F120" s="59"/>
      <c r="G120" s="59"/>
      <c r="H120" s="59"/>
      <c r="I120" s="59"/>
      <c r="J120" s="59"/>
      <c r="K120" s="59"/>
      <c r="L120" s="59"/>
      <c r="M120" s="59"/>
      <c r="N120" s="59"/>
      <c r="O120" s="59"/>
      <c r="P120" s="59"/>
      <c r="Q120" s="59"/>
      <c r="R120" s="59"/>
      <c r="S120" s="59"/>
      <c r="T120" s="59"/>
      <c r="U120" s="59"/>
      <c r="V120" s="59"/>
      <c r="W120" s="59"/>
      <c r="X120" s="59"/>
      <c r="Y120" s="59"/>
      <c r="Z120" s="59"/>
      <c r="AA120" s="59"/>
      <c r="AB120" s="59"/>
      <c r="AC120" s="59"/>
      <c r="AD120" s="59"/>
      <c r="AE120" s="59"/>
      <c r="AF120" s="59"/>
      <c r="AG120" s="59"/>
      <c r="AH120" s="59"/>
      <c r="AI120" s="59"/>
      <c r="AJ120" s="59"/>
      <c r="AK120" s="59"/>
      <c r="AL120" s="59"/>
      <c r="AM120" s="59"/>
      <c r="AN120" s="59"/>
      <c r="AO120" s="59"/>
      <c r="AP120" s="59"/>
      <c r="AQ120" s="59"/>
      <c r="AR120" s="59"/>
    </row>
    <row r="121" spans="2:56" ht="15.95" hidden="1" customHeight="1">
      <c r="B121" s="834"/>
      <c r="C121" s="59"/>
      <c r="D121" s="59"/>
      <c r="E121" s="59"/>
      <c r="F121" s="59"/>
      <c r="G121" s="59"/>
      <c r="H121" s="59"/>
      <c r="I121" s="59"/>
      <c r="J121" s="59"/>
      <c r="K121" s="59"/>
      <c r="L121" s="59"/>
      <c r="M121" s="59"/>
      <c r="N121" s="59"/>
      <c r="O121" s="59"/>
      <c r="P121" s="59"/>
      <c r="Q121" s="59"/>
      <c r="R121" s="59"/>
      <c r="S121" s="59"/>
      <c r="T121" s="59"/>
      <c r="U121" s="59"/>
      <c r="V121" s="59"/>
      <c r="W121" s="59"/>
      <c r="X121" s="59"/>
      <c r="Y121" s="59"/>
      <c r="Z121" s="59"/>
      <c r="AA121" s="59"/>
      <c r="AB121" s="59"/>
      <c r="AC121" s="59"/>
      <c r="AD121" s="59"/>
      <c r="AE121" s="59"/>
      <c r="AF121" s="59"/>
      <c r="AG121" s="59"/>
      <c r="AH121" s="59"/>
      <c r="AI121" s="59"/>
      <c r="AJ121" s="59"/>
      <c r="AK121" s="59"/>
      <c r="AL121" s="59"/>
      <c r="AM121" s="59"/>
      <c r="AN121" s="59"/>
      <c r="AO121" s="59"/>
      <c r="AP121" s="59"/>
      <c r="AQ121" s="59"/>
      <c r="AR121" s="59"/>
    </row>
    <row r="122" spans="2:56" ht="15.95" hidden="1" customHeight="1">
      <c r="B122" s="834">
        <v>54</v>
      </c>
      <c r="C122" s="59"/>
      <c r="D122" s="59"/>
      <c r="E122" s="59"/>
      <c r="F122" s="59"/>
      <c r="G122" s="59"/>
      <c r="H122" s="59"/>
      <c r="I122" s="59"/>
      <c r="J122" s="59"/>
      <c r="K122" s="59"/>
      <c r="L122" s="59"/>
      <c r="M122" s="59"/>
      <c r="N122" s="59"/>
      <c r="O122" s="59"/>
      <c r="P122" s="59"/>
      <c r="Q122" s="59"/>
      <c r="R122" s="59"/>
      <c r="S122" s="59"/>
      <c r="T122" s="59"/>
      <c r="U122" s="59"/>
      <c r="V122" s="59"/>
      <c r="W122" s="59"/>
      <c r="X122" s="59"/>
      <c r="Y122" s="59"/>
      <c r="Z122" s="59"/>
      <c r="AA122" s="59"/>
      <c r="AB122" s="59"/>
      <c r="AC122" s="59"/>
      <c r="AD122" s="59"/>
      <c r="AE122" s="59"/>
      <c r="AF122" s="59"/>
      <c r="AG122" s="59"/>
      <c r="AH122" s="59"/>
      <c r="AI122" s="59"/>
      <c r="AJ122" s="59"/>
      <c r="AK122" s="59"/>
      <c r="AL122" s="59"/>
      <c r="AM122" s="59"/>
      <c r="AN122" s="59"/>
      <c r="AO122" s="59"/>
      <c r="AP122" s="59"/>
      <c r="AQ122" s="59"/>
      <c r="AR122" s="59"/>
    </row>
    <row r="123" spans="2:56" ht="15.95" hidden="1" customHeight="1">
      <c r="B123" s="834"/>
      <c r="C123" s="68"/>
      <c r="D123" s="68"/>
      <c r="E123" s="68"/>
      <c r="F123" s="68"/>
      <c r="G123" s="68"/>
      <c r="H123" s="68"/>
      <c r="I123" s="68"/>
      <c r="J123" s="68"/>
      <c r="K123" s="68"/>
      <c r="L123" s="68"/>
      <c r="M123" s="68"/>
      <c r="N123" s="68"/>
      <c r="O123" s="68"/>
      <c r="P123" s="68"/>
      <c r="Q123" s="68"/>
      <c r="R123" s="68"/>
      <c r="S123" s="68"/>
      <c r="T123" s="68"/>
      <c r="U123" s="68"/>
      <c r="V123" s="68"/>
      <c r="W123" s="68"/>
      <c r="X123" s="68"/>
      <c r="Y123" s="68"/>
      <c r="Z123" s="68"/>
      <c r="AA123" s="68"/>
      <c r="AB123" s="68"/>
      <c r="AC123" s="68"/>
      <c r="AD123" s="68"/>
      <c r="AE123" s="68"/>
      <c r="AF123" s="68"/>
      <c r="AG123" s="68"/>
      <c r="AH123" s="68"/>
      <c r="AI123" s="68"/>
      <c r="AJ123" s="68"/>
      <c r="AK123" s="68"/>
      <c r="AL123" s="68"/>
      <c r="AM123" s="68"/>
      <c r="AN123" s="68"/>
      <c r="AO123" s="68"/>
      <c r="AP123" s="68"/>
      <c r="AQ123" s="68"/>
      <c r="AR123" s="59"/>
    </row>
    <row r="124" spans="2:56" ht="15.95" hidden="1" customHeight="1">
      <c r="B124" s="834">
        <v>55</v>
      </c>
      <c r="C124" s="68"/>
      <c r="D124" s="68"/>
      <c r="E124" s="68"/>
      <c r="F124" s="68"/>
      <c r="G124" s="68"/>
      <c r="H124" s="68"/>
      <c r="I124" s="68"/>
      <c r="J124" s="68"/>
      <c r="K124" s="68"/>
      <c r="L124" s="68"/>
      <c r="M124" s="68"/>
      <c r="N124" s="68"/>
      <c r="O124" s="68"/>
      <c r="P124" s="68"/>
      <c r="Q124" s="68"/>
      <c r="R124" s="68"/>
      <c r="S124" s="68"/>
      <c r="T124" s="68"/>
      <c r="U124" s="68"/>
      <c r="V124" s="68"/>
      <c r="W124" s="68"/>
      <c r="X124" s="68"/>
      <c r="Y124" s="68"/>
      <c r="Z124" s="68"/>
      <c r="AA124" s="68"/>
      <c r="AB124" s="68"/>
      <c r="AC124" s="68"/>
      <c r="AD124" s="68"/>
      <c r="AE124" s="68"/>
      <c r="AF124" s="68"/>
      <c r="AG124" s="68"/>
      <c r="AH124" s="68"/>
      <c r="AI124" s="68"/>
      <c r="AJ124" s="68"/>
      <c r="AK124" s="68"/>
      <c r="AL124" s="68"/>
      <c r="AM124" s="68"/>
      <c r="AN124" s="68"/>
      <c r="AO124" s="68"/>
      <c r="AP124" s="68"/>
      <c r="AQ124" s="68"/>
      <c r="AR124" s="59"/>
    </row>
    <row r="125" spans="2:56" ht="15.95" hidden="1" customHeight="1">
      <c r="B125" s="834"/>
      <c r="C125" s="68"/>
      <c r="D125" s="68"/>
      <c r="E125" s="68"/>
      <c r="F125" s="68"/>
      <c r="G125" s="68"/>
      <c r="H125" s="68"/>
      <c r="I125" s="68"/>
      <c r="J125" s="68"/>
      <c r="K125" s="68"/>
      <c r="L125" s="68"/>
      <c r="M125" s="68"/>
      <c r="N125" s="68"/>
      <c r="O125" s="68"/>
      <c r="P125" s="68"/>
      <c r="Q125" s="68"/>
      <c r="R125" s="68"/>
      <c r="S125" s="68"/>
      <c r="T125" s="68"/>
      <c r="U125" s="68"/>
      <c r="V125" s="68"/>
      <c r="W125" s="68"/>
      <c r="X125" s="68"/>
      <c r="Y125" s="68"/>
      <c r="Z125" s="68"/>
      <c r="AA125" s="68"/>
      <c r="AB125" s="68"/>
      <c r="AC125" s="68"/>
      <c r="AD125" s="68"/>
      <c r="AE125" s="68"/>
      <c r="AF125" s="68"/>
      <c r="AG125" s="68"/>
      <c r="AH125" s="68"/>
      <c r="AI125" s="68"/>
      <c r="AJ125" s="68"/>
      <c r="AK125" s="68"/>
      <c r="AL125" s="68"/>
      <c r="AM125" s="68"/>
      <c r="AN125" s="68"/>
      <c r="AO125" s="68"/>
      <c r="AP125" s="68"/>
      <c r="AQ125" s="68"/>
      <c r="AR125" s="59"/>
    </row>
    <row r="126" spans="2:56" ht="15.95" hidden="1" customHeight="1">
      <c r="B126" s="834">
        <v>56</v>
      </c>
      <c r="C126" s="68"/>
      <c r="D126" s="68"/>
      <c r="E126" s="68"/>
      <c r="F126" s="68"/>
      <c r="G126" s="68"/>
      <c r="H126" s="68"/>
      <c r="I126" s="68"/>
      <c r="J126" s="68"/>
      <c r="K126" s="68"/>
      <c r="L126" s="68"/>
      <c r="M126" s="68"/>
      <c r="N126" s="68"/>
      <c r="O126" s="68"/>
      <c r="P126" s="68"/>
      <c r="Q126" s="68"/>
      <c r="R126" s="68"/>
      <c r="S126" s="68"/>
      <c r="T126" s="68"/>
      <c r="U126" s="68"/>
      <c r="V126" s="68"/>
      <c r="W126" s="68"/>
      <c r="X126" s="68"/>
      <c r="Y126" s="68"/>
      <c r="Z126" s="68"/>
      <c r="AA126" s="68"/>
      <c r="AB126" s="68"/>
      <c r="AC126" s="68"/>
      <c r="AD126" s="68"/>
      <c r="AE126" s="68"/>
      <c r="AF126" s="68"/>
      <c r="AG126" s="68"/>
      <c r="AH126" s="68"/>
      <c r="AI126" s="68"/>
      <c r="AJ126" s="68"/>
      <c r="AK126" s="68"/>
      <c r="AL126" s="68"/>
      <c r="AM126" s="68"/>
      <c r="AN126" s="68"/>
      <c r="AO126" s="68"/>
      <c r="AP126" s="68"/>
      <c r="AQ126" s="68"/>
      <c r="AR126" s="59"/>
    </row>
    <row r="127" spans="2:56" ht="15.95" hidden="1" customHeight="1">
      <c r="B127" s="834"/>
      <c r="C127" s="68"/>
      <c r="D127" s="68"/>
      <c r="E127" s="68"/>
      <c r="F127" s="68"/>
      <c r="G127" s="68"/>
      <c r="H127" s="68"/>
      <c r="I127" s="68"/>
      <c r="J127" s="68"/>
      <c r="K127" s="68"/>
      <c r="L127" s="68"/>
      <c r="M127" s="68"/>
      <c r="N127" s="68"/>
      <c r="O127" s="68"/>
      <c r="P127" s="68"/>
      <c r="Q127" s="68"/>
      <c r="R127" s="68"/>
      <c r="S127" s="68"/>
      <c r="T127" s="68"/>
      <c r="U127" s="68"/>
      <c r="V127" s="68"/>
      <c r="W127" s="68"/>
      <c r="X127" s="68"/>
      <c r="Y127" s="68"/>
      <c r="Z127" s="68"/>
      <c r="AA127" s="68"/>
      <c r="AB127" s="68"/>
      <c r="AC127" s="68"/>
      <c r="AD127" s="68"/>
      <c r="AE127" s="68"/>
      <c r="AF127" s="68"/>
      <c r="AG127" s="68"/>
      <c r="AH127" s="68"/>
      <c r="AI127" s="68"/>
      <c r="AJ127" s="68"/>
      <c r="AK127" s="68"/>
      <c r="AL127" s="68"/>
      <c r="AM127" s="68"/>
      <c r="AN127" s="68"/>
      <c r="AO127" s="68"/>
      <c r="AP127" s="68"/>
      <c r="AQ127" s="68"/>
      <c r="AR127" s="59"/>
    </row>
    <row r="128" spans="2:56" ht="15.95" hidden="1" customHeight="1">
      <c r="B128" s="834">
        <v>57</v>
      </c>
      <c r="C128" s="68"/>
      <c r="D128" s="68"/>
      <c r="E128" s="68"/>
      <c r="F128" s="68"/>
      <c r="G128" s="68"/>
      <c r="H128" s="68"/>
      <c r="I128" s="68"/>
      <c r="J128" s="68"/>
      <c r="K128" s="68"/>
      <c r="L128" s="68"/>
      <c r="M128" s="68"/>
      <c r="N128" s="68"/>
      <c r="O128" s="68"/>
      <c r="P128" s="68"/>
      <c r="Q128" s="68"/>
      <c r="R128" s="68"/>
      <c r="S128" s="68"/>
      <c r="T128" s="68"/>
      <c r="U128" s="68"/>
      <c r="V128" s="68"/>
      <c r="W128" s="68"/>
      <c r="X128" s="68"/>
      <c r="Y128" s="68"/>
      <c r="Z128" s="68"/>
      <c r="AA128" s="68"/>
      <c r="AB128" s="68"/>
      <c r="AC128" s="68"/>
      <c r="AD128" s="68"/>
      <c r="AE128" s="68"/>
      <c r="AF128" s="68"/>
      <c r="AG128" s="68"/>
      <c r="AH128" s="68"/>
      <c r="AI128" s="68"/>
      <c r="AJ128" s="68"/>
      <c r="AK128" s="68"/>
      <c r="AL128" s="68"/>
      <c r="AM128" s="68"/>
      <c r="AN128" s="68"/>
      <c r="AO128" s="68"/>
      <c r="AP128" s="68"/>
      <c r="AQ128" s="68"/>
      <c r="AR128" s="59"/>
    </row>
    <row r="129" spans="2:44" ht="15.95" hidden="1" customHeight="1">
      <c r="B129" s="834"/>
      <c r="C129" s="68"/>
      <c r="D129" s="68"/>
      <c r="E129" s="68"/>
      <c r="F129" s="68"/>
      <c r="G129" s="68"/>
      <c r="H129" s="68"/>
      <c r="I129" s="68"/>
      <c r="J129" s="68"/>
      <c r="K129" s="68"/>
      <c r="L129" s="68"/>
      <c r="M129" s="68"/>
      <c r="N129" s="68"/>
      <c r="O129" s="68"/>
      <c r="P129" s="68"/>
      <c r="Q129" s="68"/>
      <c r="R129" s="68"/>
      <c r="S129" s="68"/>
      <c r="T129" s="68"/>
      <c r="U129" s="68"/>
      <c r="V129" s="68"/>
      <c r="W129" s="68"/>
      <c r="X129" s="68"/>
      <c r="Y129" s="68"/>
      <c r="Z129" s="68"/>
      <c r="AA129" s="68"/>
      <c r="AB129" s="68"/>
      <c r="AC129" s="68"/>
      <c r="AD129" s="68"/>
      <c r="AE129" s="68"/>
      <c r="AF129" s="68"/>
      <c r="AG129" s="68"/>
      <c r="AH129" s="68"/>
      <c r="AI129" s="68"/>
      <c r="AJ129" s="68"/>
      <c r="AK129" s="68"/>
      <c r="AL129" s="68"/>
      <c r="AM129" s="68"/>
      <c r="AN129" s="68"/>
      <c r="AO129" s="68"/>
      <c r="AP129" s="68"/>
      <c r="AQ129" s="68"/>
      <c r="AR129" s="59"/>
    </row>
    <row r="130" spans="2:44" ht="15.95" hidden="1" customHeight="1">
      <c r="B130" s="834">
        <v>58</v>
      </c>
      <c r="C130" s="68"/>
      <c r="D130" s="68"/>
      <c r="E130" s="68"/>
      <c r="F130" s="68"/>
      <c r="G130" s="68"/>
      <c r="H130" s="68"/>
      <c r="I130" s="68"/>
      <c r="J130" s="68"/>
      <c r="K130" s="68"/>
      <c r="L130" s="68"/>
      <c r="M130" s="68"/>
      <c r="N130" s="68"/>
      <c r="O130" s="68"/>
      <c r="P130" s="68"/>
      <c r="Q130" s="68"/>
      <c r="R130" s="68"/>
      <c r="S130" s="68"/>
      <c r="T130" s="68"/>
      <c r="U130" s="68"/>
      <c r="V130" s="68"/>
      <c r="W130" s="68"/>
      <c r="X130" s="68"/>
      <c r="Y130" s="68"/>
      <c r="Z130" s="68"/>
      <c r="AA130" s="68"/>
      <c r="AB130" s="68"/>
      <c r="AC130" s="68"/>
      <c r="AD130" s="68"/>
      <c r="AE130" s="68"/>
      <c r="AF130" s="68"/>
      <c r="AG130" s="68"/>
      <c r="AH130" s="68"/>
      <c r="AI130" s="68"/>
      <c r="AJ130" s="68"/>
      <c r="AK130" s="68"/>
      <c r="AL130" s="68"/>
      <c r="AM130" s="68"/>
      <c r="AN130" s="68"/>
      <c r="AO130" s="68"/>
      <c r="AP130" s="68"/>
      <c r="AQ130" s="68"/>
      <c r="AR130" s="59"/>
    </row>
    <row r="131" spans="2:44" ht="15.95" hidden="1" customHeight="1">
      <c r="B131" s="834"/>
      <c r="C131" s="68"/>
      <c r="D131" s="68"/>
      <c r="E131" s="68"/>
      <c r="F131" s="68"/>
      <c r="G131" s="68"/>
      <c r="H131" s="68"/>
      <c r="I131" s="68"/>
      <c r="J131" s="68"/>
      <c r="K131" s="68"/>
      <c r="L131" s="68"/>
      <c r="M131" s="68"/>
      <c r="N131" s="68"/>
      <c r="O131" s="68"/>
      <c r="P131" s="68"/>
      <c r="Q131" s="68"/>
      <c r="R131" s="68"/>
      <c r="S131" s="68"/>
      <c r="T131" s="68"/>
      <c r="U131" s="68"/>
      <c r="V131" s="68"/>
      <c r="W131" s="68"/>
      <c r="X131" s="68"/>
      <c r="Y131" s="68"/>
      <c r="Z131" s="68"/>
      <c r="AA131" s="68"/>
      <c r="AB131" s="68"/>
      <c r="AC131" s="68"/>
      <c r="AD131" s="68"/>
      <c r="AE131" s="68"/>
      <c r="AF131" s="68"/>
      <c r="AG131" s="68"/>
      <c r="AH131" s="68"/>
      <c r="AI131" s="68"/>
      <c r="AJ131" s="68"/>
      <c r="AK131" s="68"/>
      <c r="AL131" s="68"/>
      <c r="AM131" s="68"/>
      <c r="AN131" s="68"/>
      <c r="AO131" s="68"/>
      <c r="AP131" s="68"/>
      <c r="AQ131" s="68"/>
      <c r="AR131" s="59"/>
    </row>
    <row r="132" spans="2:44" ht="15.95" hidden="1" customHeight="1">
      <c r="B132" s="834">
        <v>59</v>
      </c>
      <c r="C132" s="68"/>
      <c r="D132" s="68"/>
      <c r="E132" s="68"/>
      <c r="F132" s="68"/>
      <c r="G132" s="68"/>
      <c r="H132" s="68"/>
      <c r="I132" s="68"/>
      <c r="J132" s="68"/>
      <c r="K132" s="68"/>
      <c r="L132" s="68"/>
      <c r="M132" s="68"/>
      <c r="N132" s="68"/>
      <c r="O132" s="68"/>
      <c r="P132" s="68"/>
      <c r="Q132" s="68"/>
      <c r="R132" s="68"/>
      <c r="S132" s="68"/>
      <c r="T132" s="68"/>
      <c r="U132" s="68"/>
      <c r="V132" s="68"/>
      <c r="W132" s="68"/>
      <c r="X132" s="68"/>
      <c r="Y132" s="68"/>
      <c r="Z132" s="68"/>
      <c r="AA132" s="68"/>
      <c r="AB132" s="68"/>
      <c r="AC132" s="68"/>
      <c r="AD132" s="68"/>
      <c r="AE132" s="68"/>
      <c r="AF132" s="68"/>
      <c r="AG132" s="68"/>
      <c r="AH132" s="68"/>
      <c r="AI132" s="68"/>
      <c r="AJ132" s="68"/>
      <c r="AK132" s="68"/>
      <c r="AL132" s="68"/>
      <c r="AM132" s="68"/>
      <c r="AN132" s="68"/>
      <c r="AO132" s="68"/>
      <c r="AP132" s="68"/>
      <c r="AQ132" s="68"/>
      <c r="AR132" s="59"/>
    </row>
    <row r="133" spans="2:44" ht="15.95" hidden="1" customHeight="1">
      <c r="B133" s="834"/>
      <c r="C133" s="68"/>
      <c r="D133" s="68"/>
      <c r="E133" s="68"/>
      <c r="F133" s="68"/>
      <c r="G133" s="68"/>
      <c r="H133" s="68"/>
      <c r="I133" s="68"/>
      <c r="J133" s="68"/>
      <c r="K133" s="68"/>
      <c r="L133" s="68"/>
      <c r="M133" s="68"/>
      <c r="N133" s="68"/>
      <c r="O133" s="68"/>
      <c r="P133" s="68"/>
      <c r="Q133" s="68"/>
      <c r="R133" s="68"/>
      <c r="S133" s="68"/>
      <c r="T133" s="68"/>
      <c r="U133" s="68"/>
      <c r="V133" s="68"/>
      <c r="W133" s="68"/>
      <c r="X133" s="68"/>
      <c r="Y133" s="68"/>
      <c r="Z133" s="68"/>
      <c r="AA133" s="68"/>
      <c r="AB133" s="68"/>
      <c r="AC133" s="68"/>
      <c r="AD133" s="68"/>
      <c r="AE133" s="68"/>
      <c r="AF133" s="68"/>
      <c r="AG133" s="68"/>
      <c r="AH133" s="68"/>
      <c r="AI133" s="68"/>
      <c r="AJ133" s="68"/>
      <c r="AK133" s="68"/>
      <c r="AL133" s="68"/>
      <c r="AM133" s="68"/>
      <c r="AN133" s="68"/>
      <c r="AO133" s="68"/>
      <c r="AP133" s="68"/>
      <c r="AQ133" s="68"/>
      <c r="AR133" s="59"/>
    </row>
    <row r="134" spans="2:44" ht="15.95" hidden="1" customHeight="1">
      <c r="B134" s="834">
        <v>60</v>
      </c>
      <c r="C134" s="68"/>
      <c r="D134" s="68"/>
      <c r="E134" s="68"/>
      <c r="F134" s="68"/>
      <c r="G134" s="68"/>
      <c r="H134" s="68"/>
      <c r="I134" s="68"/>
      <c r="J134" s="68"/>
      <c r="K134" s="68"/>
      <c r="L134" s="68"/>
      <c r="M134" s="68"/>
      <c r="N134" s="68"/>
      <c r="O134" s="68"/>
      <c r="P134" s="68"/>
      <c r="Q134" s="68"/>
      <c r="R134" s="68"/>
      <c r="S134" s="68"/>
      <c r="T134" s="68"/>
      <c r="U134" s="68"/>
      <c r="V134" s="68"/>
      <c r="W134" s="68"/>
      <c r="X134" s="68"/>
      <c r="Y134" s="68"/>
      <c r="Z134" s="68"/>
      <c r="AA134" s="68"/>
      <c r="AB134" s="68"/>
      <c r="AC134" s="68"/>
      <c r="AD134" s="68"/>
      <c r="AE134" s="68"/>
      <c r="AF134" s="68"/>
      <c r="AG134" s="68"/>
      <c r="AH134" s="68"/>
      <c r="AI134" s="68"/>
      <c r="AJ134" s="68"/>
      <c r="AK134" s="68"/>
      <c r="AL134" s="68"/>
      <c r="AM134" s="68"/>
      <c r="AN134" s="68"/>
      <c r="AO134" s="68"/>
      <c r="AP134" s="68"/>
      <c r="AQ134" s="68"/>
      <c r="AR134" s="59"/>
    </row>
    <row r="135" spans="2:44" ht="15.95" hidden="1" customHeight="1">
      <c r="B135" s="834"/>
      <c r="C135" s="68"/>
      <c r="D135" s="68"/>
      <c r="E135" s="68"/>
      <c r="F135" s="68"/>
      <c r="G135" s="68"/>
      <c r="H135" s="68"/>
      <c r="I135" s="68"/>
      <c r="J135" s="68"/>
      <c r="K135" s="68"/>
      <c r="L135" s="68"/>
      <c r="M135" s="68"/>
      <c r="N135" s="68"/>
      <c r="O135" s="68"/>
      <c r="P135" s="68"/>
      <c r="Q135" s="68"/>
      <c r="R135" s="68"/>
      <c r="S135" s="68"/>
      <c r="T135" s="68"/>
      <c r="U135" s="68"/>
      <c r="V135" s="68"/>
      <c r="W135" s="68"/>
      <c r="X135" s="68"/>
      <c r="Y135" s="68"/>
      <c r="Z135" s="68"/>
      <c r="AA135" s="68"/>
      <c r="AB135" s="68"/>
      <c r="AC135" s="68"/>
      <c r="AD135" s="68"/>
      <c r="AE135" s="68"/>
      <c r="AF135" s="68"/>
      <c r="AG135" s="68"/>
      <c r="AH135" s="68"/>
      <c r="AI135" s="68"/>
      <c r="AJ135" s="68"/>
      <c r="AK135" s="68"/>
      <c r="AL135" s="68"/>
      <c r="AM135" s="68"/>
      <c r="AN135" s="68"/>
      <c r="AO135" s="68"/>
      <c r="AP135" s="68"/>
      <c r="AQ135" s="68"/>
      <c r="AR135" s="59"/>
    </row>
    <row r="136" spans="2:44" ht="15.95" hidden="1" customHeight="1">
      <c r="B136" s="834">
        <v>61</v>
      </c>
      <c r="C136" s="68"/>
      <c r="D136" s="68"/>
      <c r="E136" s="68"/>
      <c r="F136" s="68"/>
      <c r="G136" s="68"/>
      <c r="H136" s="68"/>
      <c r="I136" s="68"/>
      <c r="J136" s="68"/>
      <c r="K136" s="68"/>
      <c r="L136" s="68"/>
      <c r="M136" s="68"/>
      <c r="N136" s="68"/>
      <c r="O136" s="68"/>
      <c r="P136" s="68"/>
      <c r="Q136" s="68"/>
      <c r="R136" s="68"/>
      <c r="S136" s="68"/>
      <c r="T136" s="68"/>
      <c r="U136" s="68"/>
      <c r="V136" s="68"/>
      <c r="W136" s="68"/>
      <c r="X136" s="68"/>
      <c r="Y136" s="68"/>
      <c r="Z136" s="68"/>
      <c r="AA136" s="68"/>
      <c r="AB136" s="68"/>
      <c r="AC136" s="68"/>
      <c r="AD136" s="68"/>
      <c r="AE136" s="68"/>
      <c r="AF136" s="68"/>
      <c r="AG136" s="68"/>
      <c r="AH136" s="68"/>
      <c r="AI136" s="68"/>
      <c r="AJ136" s="68"/>
      <c r="AK136" s="68"/>
      <c r="AL136" s="68"/>
      <c r="AM136" s="68"/>
      <c r="AN136" s="68"/>
      <c r="AO136" s="68"/>
      <c r="AP136" s="68"/>
      <c r="AQ136" s="68"/>
      <c r="AR136" s="59"/>
    </row>
    <row r="137" spans="2:44" ht="15.95" hidden="1" customHeight="1">
      <c r="B137" s="834"/>
      <c r="C137" s="68"/>
      <c r="D137" s="68"/>
      <c r="E137" s="68"/>
      <c r="F137" s="68"/>
      <c r="G137" s="68"/>
      <c r="H137" s="68"/>
      <c r="I137" s="68"/>
      <c r="J137" s="68"/>
      <c r="K137" s="68"/>
      <c r="L137" s="68"/>
      <c r="M137" s="68"/>
      <c r="N137" s="68"/>
      <c r="O137" s="68"/>
      <c r="P137" s="68"/>
      <c r="Q137" s="68"/>
      <c r="R137" s="68"/>
      <c r="S137" s="68"/>
      <c r="T137" s="68"/>
      <c r="U137" s="68"/>
      <c r="V137" s="68"/>
      <c r="W137" s="68"/>
      <c r="X137" s="68"/>
      <c r="Y137" s="68"/>
      <c r="Z137" s="68"/>
      <c r="AA137" s="68"/>
      <c r="AB137" s="68"/>
      <c r="AC137" s="68"/>
      <c r="AD137" s="68"/>
      <c r="AE137" s="68"/>
      <c r="AF137" s="68"/>
      <c r="AG137" s="68"/>
      <c r="AH137" s="68"/>
      <c r="AI137" s="68"/>
      <c r="AJ137" s="68"/>
      <c r="AK137" s="68"/>
      <c r="AL137" s="68"/>
      <c r="AM137" s="68"/>
      <c r="AN137" s="68"/>
      <c r="AO137" s="68"/>
      <c r="AP137" s="68"/>
      <c r="AQ137" s="68"/>
      <c r="AR137" s="59"/>
    </row>
    <row r="138" spans="2:44" ht="15.95" hidden="1" customHeight="1">
      <c r="B138" s="834">
        <v>62</v>
      </c>
      <c r="C138" s="68"/>
      <c r="D138" s="68"/>
      <c r="E138" s="68"/>
      <c r="F138" s="68"/>
      <c r="G138" s="68"/>
      <c r="H138" s="68"/>
      <c r="I138" s="68"/>
      <c r="J138" s="68"/>
      <c r="K138" s="68"/>
      <c r="L138" s="68"/>
      <c r="M138" s="68"/>
      <c r="N138" s="68"/>
      <c r="O138" s="68"/>
      <c r="P138" s="68"/>
      <c r="Q138" s="68"/>
      <c r="R138" s="68"/>
      <c r="S138" s="68"/>
      <c r="T138" s="68"/>
      <c r="U138" s="68"/>
      <c r="V138" s="68"/>
      <c r="W138" s="68"/>
      <c r="X138" s="68"/>
      <c r="Y138" s="68"/>
      <c r="Z138" s="68"/>
      <c r="AA138" s="68"/>
      <c r="AB138" s="68"/>
      <c r="AC138" s="68"/>
      <c r="AD138" s="68"/>
      <c r="AE138" s="68"/>
      <c r="AF138" s="68"/>
      <c r="AG138" s="68"/>
      <c r="AH138" s="68"/>
      <c r="AI138" s="68"/>
      <c r="AJ138" s="68"/>
      <c r="AK138" s="68"/>
      <c r="AL138" s="68"/>
      <c r="AM138" s="68"/>
      <c r="AN138" s="68"/>
      <c r="AO138" s="68"/>
      <c r="AP138" s="68"/>
      <c r="AQ138" s="68"/>
      <c r="AR138" s="59"/>
    </row>
    <row r="139" spans="2:44" ht="15.95" hidden="1" customHeight="1">
      <c r="B139" s="834"/>
      <c r="C139" s="68"/>
      <c r="D139" s="68"/>
      <c r="E139" s="68"/>
      <c r="F139" s="68"/>
      <c r="G139" s="68"/>
      <c r="H139" s="68"/>
      <c r="I139" s="68"/>
      <c r="J139" s="68"/>
      <c r="K139" s="68"/>
      <c r="L139" s="68"/>
      <c r="M139" s="68"/>
      <c r="N139" s="68"/>
      <c r="O139" s="68"/>
      <c r="P139" s="68"/>
      <c r="Q139" s="68"/>
      <c r="R139" s="68"/>
      <c r="S139" s="68"/>
      <c r="T139" s="68"/>
      <c r="U139" s="68"/>
      <c r="V139" s="68"/>
      <c r="W139" s="68"/>
      <c r="X139" s="68"/>
      <c r="Y139" s="68"/>
      <c r="Z139" s="68"/>
      <c r="AA139" s="68"/>
      <c r="AB139" s="68"/>
      <c r="AC139" s="68"/>
      <c r="AD139" s="68"/>
      <c r="AE139" s="68"/>
      <c r="AF139" s="68"/>
      <c r="AG139" s="68"/>
      <c r="AH139" s="68"/>
      <c r="AI139" s="68"/>
      <c r="AJ139" s="68"/>
      <c r="AK139" s="68"/>
      <c r="AL139" s="68"/>
      <c r="AM139" s="68"/>
      <c r="AN139" s="68"/>
      <c r="AO139" s="68"/>
      <c r="AP139" s="68"/>
      <c r="AQ139" s="68"/>
      <c r="AR139" s="59"/>
    </row>
    <row r="140" spans="2:44" ht="15.95" hidden="1" customHeight="1">
      <c r="B140" s="834">
        <v>63</v>
      </c>
      <c r="C140" s="68"/>
      <c r="D140" s="68"/>
      <c r="E140" s="68"/>
      <c r="F140" s="68"/>
      <c r="G140" s="68"/>
      <c r="H140" s="68"/>
      <c r="I140" s="68"/>
      <c r="J140" s="68"/>
      <c r="K140" s="68"/>
      <c r="L140" s="68"/>
      <c r="M140" s="68"/>
      <c r="N140" s="68"/>
      <c r="O140" s="68"/>
      <c r="P140" s="68"/>
      <c r="Q140" s="68"/>
      <c r="R140" s="68"/>
      <c r="S140" s="68"/>
      <c r="T140" s="68"/>
      <c r="U140" s="68"/>
      <c r="V140" s="68"/>
      <c r="W140" s="68"/>
      <c r="X140" s="68"/>
      <c r="Y140" s="68"/>
      <c r="Z140" s="68"/>
      <c r="AA140" s="68"/>
      <c r="AB140" s="68"/>
      <c r="AC140" s="68"/>
      <c r="AD140" s="68"/>
      <c r="AE140" s="68"/>
      <c r="AF140" s="68"/>
      <c r="AG140" s="68"/>
      <c r="AH140" s="68"/>
      <c r="AI140" s="68"/>
      <c r="AJ140" s="68"/>
      <c r="AK140" s="68"/>
      <c r="AL140" s="68"/>
      <c r="AM140" s="68"/>
      <c r="AN140" s="68"/>
      <c r="AO140" s="68"/>
      <c r="AP140" s="68"/>
      <c r="AQ140" s="68"/>
      <c r="AR140" s="59"/>
    </row>
    <row r="141" spans="2:44" ht="15.95" hidden="1" customHeight="1">
      <c r="B141" s="834"/>
      <c r="C141" s="68"/>
      <c r="D141" s="68"/>
      <c r="E141" s="68"/>
      <c r="F141" s="68"/>
      <c r="G141" s="68"/>
      <c r="H141" s="68"/>
      <c r="I141" s="68"/>
      <c r="J141" s="68"/>
      <c r="K141" s="68"/>
      <c r="L141" s="68"/>
      <c r="M141" s="68"/>
      <c r="N141" s="68"/>
      <c r="O141" s="68"/>
      <c r="P141" s="68"/>
      <c r="Q141" s="68"/>
      <c r="R141" s="68"/>
      <c r="S141" s="68"/>
      <c r="T141" s="68"/>
      <c r="U141" s="68"/>
      <c r="V141" s="68"/>
      <c r="W141" s="68"/>
      <c r="X141" s="68"/>
      <c r="Y141" s="68"/>
      <c r="Z141" s="68"/>
      <c r="AA141" s="68"/>
      <c r="AB141" s="68"/>
      <c r="AC141" s="68"/>
      <c r="AD141" s="68"/>
      <c r="AE141" s="68"/>
      <c r="AF141" s="68"/>
      <c r="AG141" s="68"/>
      <c r="AH141" s="68"/>
      <c r="AI141" s="68"/>
      <c r="AJ141" s="68"/>
      <c r="AK141" s="68"/>
      <c r="AL141" s="68"/>
      <c r="AM141" s="68"/>
      <c r="AN141" s="68"/>
      <c r="AO141" s="68"/>
      <c r="AP141" s="68"/>
      <c r="AQ141" s="68"/>
      <c r="AR141" s="59"/>
    </row>
    <row r="142" spans="2:44" ht="15.95" hidden="1" customHeight="1">
      <c r="B142" s="834">
        <v>64</v>
      </c>
      <c r="C142" s="68"/>
      <c r="D142" s="68"/>
      <c r="E142" s="68"/>
      <c r="F142" s="68"/>
      <c r="G142" s="68"/>
      <c r="H142" s="68"/>
      <c r="I142" s="68"/>
      <c r="J142" s="68"/>
      <c r="K142" s="68"/>
      <c r="L142" s="68"/>
      <c r="M142" s="68"/>
      <c r="N142" s="68"/>
      <c r="O142" s="68"/>
      <c r="P142" s="68"/>
      <c r="Q142" s="68"/>
      <c r="R142" s="68"/>
      <c r="S142" s="68"/>
      <c r="T142" s="68"/>
      <c r="U142" s="68"/>
      <c r="V142" s="68"/>
      <c r="W142" s="68"/>
      <c r="X142" s="68"/>
      <c r="Y142" s="68"/>
      <c r="Z142" s="68"/>
      <c r="AA142" s="68"/>
      <c r="AB142" s="68"/>
      <c r="AC142" s="68"/>
      <c r="AD142" s="68"/>
      <c r="AE142" s="68"/>
      <c r="AF142" s="68"/>
      <c r="AG142" s="68"/>
      <c r="AH142" s="68"/>
      <c r="AI142" s="68"/>
      <c r="AJ142" s="68"/>
      <c r="AK142" s="68"/>
      <c r="AL142" s="68"/>
      <c r="AM142" s="68"/>
      <c r="AN142" s="68"/>
      <c r="AO142" s="68"/>
      <c r="AP142" s="68"/>
      <c r="AQ142" s="68"/>
      <c r="AR142" s="59"/>
    </row>
    <row r="143" spans="2:44" ht="15.95" hidden="1" customHeight="1">
      <c r="B143" s="834"/>
      <c r="C143" s="68"/>
      <c r="D143" s="68"/>
      <c r="E143" s="68"/>
      <c r="F143" s="68"/>
      <c r="G143" s="68"/>
      <c r="H143" s="68"/>
      <c r="I143" s="68"/>
      <c r="J143" s="68"/>
      <c r="K143" s="68"/>
      <c r="L143" s="68"/>
      <c r="M143" s="68"/>
      <c r="N143" s="68"/>
      <c r="O143" s="68"/>
      <c r="P143" s="68"/>
      <c r="Q143" s="68"/>
      <c r="R143" s="68"/>
      <c r="S143" s="68"/>
      <c r="T143" s="68"/>
      <c r="U143" s="68"/>
      <c r="V143" s="68"/>
      <c r="W143" s="68"/>
      <c r="X143" s="68"/>
      <c r="Y143" s="68"/>
      <c r="Z143" s="68"/>
      <c r="AA143" s="68"/>
      <c r="AB143" s="68"/>
      <c r="AC143" s="68"/>
      <c r="AD143" s="68"/>
      <c r="AE143" s="68"/>
      <c r="AF143" s="68"/>
      <c r="AG143" s="68"/>
      <c r="AH143" s="68"/>
      <c r="AI143" s="68"/>
      <c r="AJ143" s="68"/>
      <c r="AK143" s="68"/>
      <c r="AL143" s="68"/>
      <c r="AM143" s="68"/>
      <c r="AN143" s="68"/>
      <c r="AO143" s="68"/>
      <c r="AP143" s="68"/>
      <c r="AQ143" s="68"/>
      <c r="AR143" s="59"/>
    </row>
    <row r="144" spans="2:44" ht="15.95" hidden="1" customHeight="1">
      <c r="B144" s="834">
        <v>65</v>
      </c>
      <c r="C144" s="68"/>
      <c r="D144" s="68"/>
      <c r="E144" s="68"/>
      <c r="F144" s="68"/>
      <c r="G144" s="68"/>
      <c r="H144" s="68"/>
      <c r="I144" s="68"/>
      <c r="J144" s="68"/>
      <c r="K144" s="68"/>
      <c r="L144" s="68"/>
      <c r="M144" s="68"/>
      <c r="N144" s="68"/>
      <c r="O144" s="68"/>
      <c r="P144" s="68"/>
      <c r="Q144" s="68"/>
      <c r="R144" s="68"/>
      <c r="S144" s="68"/>
      <c r="T144" s="68"/>
      <c r="U144" s="68"/>
      <c r="V144" s="68"/>
      <c r="W144" s="68"/>
      <c r="X144" s="68"/>
      <c r="Y144" s="68"/>
      <c r="Z144" s="68"/>
      <c r="AA144" s="68"/>
      <c r="AB144" s="68"/>
      <c r="AC144" s="68"/>
      <c r="AD144" s="68"/>
      <c r="AE144" s="68"/>
      <c r="AF144" s="68"/>
      <c r="AG144" s="68"/>
      <c r="AH144" s="68"/>
      <c r="AI144" s="68"/>
      <c r="AJ144" s="68"/>
      <c r="AK144" s="68"/>
      <c r="AL144" s="68"/>
      <c r="AM144" s="68"/>
      <c r="AN144" s="68"/>
      <c r="AO144" s="68"/>
      <c r="AP144" s="68"/>
      <c r="AQ144" s="68"/>
      <c r="AR144" s="59"/>
    </row>
    <row r="145" spans="2:44" ht="15.95" hidden="1" customHeight="1">
      <c r="B145" s="834"/>
      <c r="C145" s="68"/>
      <c r="D145" s="68"/>
      <c r="E145" s="68"/>
      <c r="F145" s="68"/>
      <c r="G145" s="68"/>
      <c r="H145" s="68"/>
      <c r="I145" s="68"/>
      <c r="J145" s="68"/>
      <c r="K145" s="68"/>
      <c r="L145" s="68"/>
      <c r="M145" s="68"/>
      <c r="N145" s="68"/>
      <c r="O145" s="68"/>
      <c r="P145" s="68"/>
      <c r="Q145" s="68"/>
      <c r="R145" s="68"/>
      <c r="S145" s="68"/>
      <c r="T145" s="68"/>
      <c r="U145" s="68"/>
      <c r="V145" s="68"/>
      <c r="W145" s="68"/>
      <c r="X145" s="68"/>
      <c r="Y145" s="68"/>
      <c r="Z145" s="68"/>
      <c r="AA145" s="68"/>
      <c r="AB145" s="68"/>
      <c r="AC145" s="68"/>
      <c r="AD145" s="68"/>
      <c r="AE145" s="68"/>
      <c r="AF145" s="68"/>
      <c r="AG145" s="68"/>
      <c r="AH145" s="68"/>
      <c r="AI145" s="68"/>
      <c r="AJ145" s="68"/>
      <c r="AK145" s="68"/>
      <c r="AL145" s="68"/>
      <c r="AM145" s="68"/>
      <c r="AN145" s="68"/>
      <c r="AO145" s="68"/>
      <c r="AP145" s="68"/>
      <c r="AQ145" s="68"/>
      <c r="AR145" s="59"/>
    </row>
    <row r="146" spans="2:44" ht="15.95" hidden="1" customHeight="1">
      <c r="B146" s="834">
        <v>66</v>
      </c>
      <c r="C146" s="68"/>
      <c r="D146" s="68"/>
      <c r="E146" s="68"/>
      <c r="F146" s="68"/>
      <c r="G146" s="68"/>
      <c r="H146" s="68"/>
      <c r="I146" s="68"/>
      <c r="J146" s="68"/>
      <c r="K146" s="68"/>
      <c r="L146" s="68"/>
      <c r="M146" s="68"/>
      <c r="N146" s="68"/>
      <c r="O146" s="68"/>
      <c r="P146" s="68"/>
      <c r="Q146" s="68"/>
      <c r="R146" s="68"/>
      <c r="S146" s="68"/>
      <c r="T146" s="68"/>
      <c r="U146" s="68"/>
      <c r="V146" s="68"/>
      <c r="W146" s="68"/>
      <c r="X146" s="68"/>
      <c r="Y146" s="68"/>
      <c r="Z146" s="68"/>
      <c r="AA146" s="68"/>
      <c r="AB146" s="68"/>
      <c r="AC146" s="68"/>
      <c r="AD146" s="68"/>
      <c r="AE146" s="68"/>
      <c r="AF146" s="68"/>
      <c r="AG146" s="68"/>
      <c r="AH146" s="68"/>
      <c r="AI146" s="68"/>
      <c r="AJ146" s="68"/>
      <c r="AK146" s="68"/>
      <c r="AL146" s="68"/>
      <c r="AM146" s="68"/>
      <c r="AN146" s="68"/>
      <c r="AO146" s="68"/>
      <c r="AP146" s="68"/>
      <c r="AQ146" s="68"/>
      <c r="AR146" s="59"/>
    </row>
    <row r="147" spans="2:44" ht="15.95" hidden="1" customHeight="1">
      <c r="B147" s="834"/>
      <c r="C147" s="68"/>
      <c r="D147" s="68"/>
      <c r="E147" s="68"/>
      <c r="F147" s="68"/>
      <c r="G147" s="68"/>
      <c r="H147" s="68"/>
      <c r="I147" s="68"/>
      <c r="J147" s="68"/>
      <c r="K147" s="68"/>
      <c r="L147" s="68"/>
      <c r="M147" s="68"/>
      <c r="N147" s="68"/>
      <c r="O147" s="68"/>
      <c r="P147" s="68"/>
      <c r="Q147" s="68"/>
      <c r="R147" s="68"/>
      <c r="S147" s="68"/>
      <c r="T147" s="68"/>
      <c r="U147" s="68"/>
      <c r="V147" s="68"/>
      <c r="W147" s="68"/>
      <c r="X147" s="68"/>
      <c r="Y147" s="68"/>
      <c r="Z147" s="68"/>
      <c r="AA147" s="68"/>
      <c r="AB147" s="68"/>
      <c r="AC147" s="68"/>
      <c r="AD147" s="68"/>
      <c r="AE147" s="68"/>
      <c r="AF147" s="68"/>
      <c r="AG147" s="68"/>
      <c r="AH147" s="68"/>
      <c r="AI147" s="68"/>
      <c r="AJ147" s="68"/>
      <c r="AK147" s="68"/>
      <c r="AL147" s="68"/>
      <c r="AM147" s="68"/>
      <c r="AN147" s="68"/>
      <c r="AO147" s="68"/>
      <c r="AP147" s="68"/>
      <c r="AQ147" s="68"/>
      <c r="AR147" s="59"/>
    </row>
    <row r="148" spans="2:44" ht="15.95" hidden="1" customHeight="1">
      <c r="B148" s="834">
        <v>67</v>
      </c>
      <c r="C148" s="68"/>
      <c r="D148" s="68"/>
      <c r="E148" s="68"/>
      <c r="F148" s="68"/>
      <c r="G148" s="68"/>
      <c r="H148" s="68"/>
      <c r="I148" s="68"/>
      <c r="J148" s="68"/>
      <c r="K148" s="68"/>
      <c r="L148" s="68"/>
      <c r="M148" s="68"/>
      <c r="N148" s="68"/>
      <c r="O148" s="68"/>
      <c r="P148" s="68"/>
      <c r="Q148" s="68"/>
      <c r="R148" s="68"/>
      <c r="S148" s="68"/>
      <c r="T148" s="68"/>
      <c r="U148" s="68"/>
      <c r="V148" s="68"/>
      <c r="W148" s="68"/>
      <c r="X148" s="68"/>
      <c r="Y148" s="68"/>
      <c r="Z148" s="68"/>
      <c r="AA148" s="68"/>
      <c r="AB148" s="68"/>
      <c r="AC148" s="68"/>
      <c r="AD148" s="68"/>
      <c r="AE148" s="68"/>
      <c r="AF148" s="68"/>
      <c r="AG148" s="68"/>
      <c r="AH148" s="68"/>
      <c r="AI148" s="68"/>
      <c r="AJ148" s="68"/>
      <c r="AK148" s="68"/>
      <c r="AL148" s="68"/>
      <c r="AM148" s="68"/>
      <c r="AN148" s="68"/>
      <c r="AO148" s="68"/>
      <c r="AP148" s="68"/>
      <c r="AQ148" s="68"/>
      <c r="AR148" s="59"/>
    </row>
    <row r="149" spans="2:44" ht="15.95" hidden="1" customHeight="1">
      <c r="B149" s="834"/>
      <c r="C149" s="68"/>
      <c r="D149" s="68"/>
      <c r="E149" s="68"/>
      <c r="F149" s="68"/>
      <c r="G149" s="68"/>
      <c r="H149" s="68"/>
      <c r="I149" s="68"/>
      <c r="J149" s="68"/>
      <c r="K149" s="68"/>
      <c r="L149" s="68"/>
      <c r="M149" s="68"/>
      <c r="N149" s="68"/>
      <c r="O149" s="68"/>
      <c r="P149" s="68"/>
      <c r="Q149" s="68"/>
      <c r="R149" s="68"/>
      <c r="S149" s="68"/>
      <c r="T149" s="68"/>
      <c r="U149" s="68"/>
      <c r="V149" s="68"/>
      <c r="W149" s="68"/>
      <c r="X149" s="68"/>
      <c r="Y149" s="68"/>
      <c r="Z149" s="68"/>
      <c r="AA149" s="68"/>
      <c r="AB149" s="68"/>
      <c r="AC149" s="68"/>
      <c r="AD149" s="68"/>
      <c r="AE149" s="68"/>
      <c r="AF149" s="68"/>
      <c r="AG149" s="68"/>
      <c r="AH149" s="68"/>
      <c r="AI149" s="68"/>
      <c r="AJ149" s="68"/>
      <c r="AK149" s="68"/>
      <c r="AL149" s="68"/>
      <c r="AM149" s="68"/>
      <c r="AN149" s="68"/>
      <c r="AO149" s="68"/>
      <c r="AP149" s="68"/>
      <c r="AQ149" s="68"/>
      <c r="AR149" s="59"/>
    </row>
    <row r="150" spans="2:44" ht="15.95" hidden="1" customHeight="1">
      <c r="B150" s="834">
        <v>68</v>
      </c>
      <c r="C150" s="68"/>
      <c r="D150" s="68"/>
      <c r="E150" s="68"/>
      <c r="F150" s="68"/>
      <c r="G150" s="68"/>
      <c r="H150" s="68"/>
      <c r="I150" s="68"/>
      <c r="J150" s="68"/>
      <c r="K150" s="68"/>
      <c r="L150" s="68"/>
      <c r="M150" s="68"/>
      <c r="N150" s="68"/>
      <c r="O150" s="68"/>
      <c r="P150" s="68"/>
      <c r="Q150" s="68"/>
      <c r="R150" s="68"/>
      <c r="S150" s="68"/>
      <c r="T150" s="68"/>
      <c r="U150" s="68"/>
      <c r="V150" s="68"/>
      <c r="W150" s="68"/>
      <c r="X150" s="68"/>
      <c r="Y150" s="68"/>
      <c r="Z150" s="68"/>
      <c r="AA150" s="68"/>
      <c r="AB150" s="68"/>
      <c r="AC150" s="68"/>
      <c r="AD150" s="68"/>
      <c r="AE150" s="68"/>
      <c r="AF150" s="68"/>
      <c r="AG150" s="68"/>
      <c r="AH150" s="68"/>
      <c r="AI150" s="68"/>
      <c r="AJ150" s="68"/>
      <c r="AK150" s="68"/>
      <c r="AL150" s="68"/>
      <c r="AM150" s="68"/>
      <c r="AN150" s="68"/>
      <c r="AO150" s="68"/>
      <c r="AP150" s="68"/>
      <c r="AQ150" s="68"/>
      <c r="AR150" s="59"/>
    </row>
    <row r="151" spans="2:44" ht="15.95" hidden="1" customHeight="1">
      <c r="B151" s="834"/>
      <c r="C151" s="68"/>
      <c r="D151" s="68"/>
      <c r="E151" s="68"/>
      <c r="F151" s="68"/>
      <c r="G151" s="68"/>
      <c r="H151" s="68"/>
      <c r="I151" s="68"/>
      <c r="J151" s="68"/>
      <c r="K151" s="68"/>
      <c r="L151" s="68"/>
      <c r="M151" s="68"/>
      <c r="N151" s="68"/>
      <c r="O151" s="68"/>
      <c r="P151" s="68"/>
      <c r="Q151" s="68"/>
      <c r="R151" s="68"/>
      <c r="S151" s="68"/>
      <c r="T151" s="68"/>
      <c r="U151" s="68"/>
      <c r="V151" s="68"/>
      <c r="W151" s="68"/>
      <c r="X151" s="68"/>
      <c r="Y151" s="68"/>
      <c r="Z151" s="68"/>
      <c r="AA151" s="68"/>
      <c r="AB151" s="68"/>
      <c r="AC151" s="68"/>
      <c r="AD151" s="68"/>
      <c r="AE151" s="68"/>
      <c r="AF151" s="68"/>
      <c r="AG151" s="68"/>
      <c r="AH151" s="68"/>
      <c r="AI151" s="68"/>
      <c r="AJ151" s="68"/>
      <c r="AK151" s="68"/>
      <c r="AL151" s="68"/>
      <c r="AM151" s="68"/>
      <c r="AN151" s="68"/>
      <c r="AO151" s="68"/>
      <c r="AP151" s="68"/>
      <c r="AQ151" s="68"/>
      <c r="AR151" s="59"/>
    </row>
    <row r="152" spans="2:44" ht="15.95" hidden="1" customHeight="1">
      <c r="B152" s="834">
        <v>69</v>
      </c>
      <c r="C152" s="68"/>
      <c r="D152" s="68"/>
      <c r="E152" s="68"/>
      <c r="F152" s="68"/>
      <c r="G152" s="68"/>
      <c r="H152" s="68"/>
      <c r="I152" s="68"/>
      <c r="J152" s="68"/>
      <c r="K152" s="68"/>
      <c r="L152" s="68"/>
      <c r="M152" s="68"/>
      <c r="N152" s="68"/>
      <c r="O152" s="68"/>
      <c r="P152" s="68"/>
      <c r="Q152" s="68"/>
      <c r="R152" s="68"/>
      <c r="S152" s="68"/>
      <c r="T152" s="68"/>
      <c r="U152" s="68"/>
      <c r="V152" s="68"/>
      <c r="W152" s="68"/>
      <c r="X152" s="68"/>
      <c r="Y152" s="68"/>
      <c r="Z152" s="68"/>
      <c r="AA152" s="68"/>
      <c r="AB152" s="68"/>
      <c r="AC152" s="68"/>
      <c r="AD152" s="68"/>
      <c r="AE152" s="68"/>
      <c r="AF152" s="68"/>
      <c r="AG152" s="68"/>
      <c r="AH152" s="68"/>
      <c r="AI152" s="68"/>
      <c r="AJ152" s="68"/>
      <c r="AK152" s="68"/>
      <c r="AL152" s="68"/>
      <c r="AM152" s="68"/>
      <c r="AN152" s="68"/>
      <c r="AO152" s="68"/>
      <c r="AP152" s="68"/>
      <c r="AQ152" s="68"/>
      <c r="AR152" s="59"/>
    </row>
    <row r="153" spans="2:44" ht="15.95" hidden="1" customHeight="1">
      <c r="B153" s="834"/>
      <c r="C153" s="68"/>
      <c r="D153" s="68"/>
      <c r="E153" s="68"/>
      <c r="F153" s="68"/>
      <c r="G153" s="68"/>
      <c r="H153" s="68"/>
      <c r="I153" s="68"/>
      <c r="J153" s="68"/>
      <c r="K153" s="68"/>
      <c r="L153" s="68"/>
      <c r="M153" s="68"/>
      <c r="N153" s="68"/>
      <c r="O153" s="68"/>
      <c r="P153" s="68"/>
      <c r="Q153" s="68"/>
      <c r="R153" s="68"/>
      <c r="S153" s="68"/>
      <c r="T153" s="68"/>
      <c r="U153" s="68"/>
      <c r="V153" s="68"/>
      <c r="W153" s="68"/>
      <c r="X153" s="68"/>
      <c r="Y153" s="68"/>
      <c r="Z153" s="68"/>
      <c r="AA153" s="68"/>
      <c r="AB153" s="68"/>
      <c r="AC153" s="68"/>
      <c r="AD153" s="68"/>
      <c r="AE153" s="68"/>
      <c r="AF153" s="68"/>
      <c r="AG153" s="68"/>
      <c r="AH153" s="68"/>
      <c r="AI153" s="68"/>
      <c r="AJ153" s="68"/>
      <c r="AK153" s="68"/>
      <c r="AL153" s="68"/>
      <c r="AM153" s="68"/>
      <c r="AN153" s="68"/>
      <c r="AO153" s="68"/>
      <c r="AP153" s="68"/>
      <c r="AQ153" s="68"/>
      <c r="AR153" s="59"/>
    </row>
    <row r="154" spans="2:44" ht="15.95" hidden="1" customHeight="1">
      <c r="B154" s="834">
        <v>70</v>
      </c>
      <c r="C154" s="68"/>
      <c r="D154" s="68"/>
      <c r="E154" s="68"/>
      <c r="F154" s="68"/>
      <c r="G154" s="68"/>
      <c r="H154" s="68"/>
      <c r="I154" s="68"/>
      <c r="J154" s="68"/>
      <c r="K154" s="68"/>
      <c r="L154" s="68"/>
      <c r="M154" s="68"/>
      <c r="N154" s="68"/>
      <c r="O154" s="68"/>
      <c r="P154" s="68"/>
      <c r="Q154" s="68"/>
      <c r="R154" s="68"/>
      <c r="S154" s="68"/>
      <c r="T154" s="68"/>
      <c r="U154" s="68"/>
      <c r="V154" s="68"/>
      <c r="W154" s="68"/>
      <c r="X154" s="68"/>
      <c r="Y154" s="68"/>
      <c r="Z154" s="68"/>
      <c r="AA154" s="68"/>
      <c r="AB154" s="68"/>
      <c r="AC154" s="68"/>
      <c r="AD154" s="68"/>
      <c r="AE154" s="68"/>
      <c r="AF154" s="68"/>
      <c r="AG154" s="68"/>
      <c r="AH154" s="68"/>
      <c r="AI154" s="68"/>
      <c r="AJ154" s="68"/>
      <c r="AK154" s="68"/>
      <c r="AL154" s="68"/>
      <c r="AM154" s="68"/>
      <c r="AN154" s="68"/>
      <c r="AO154" s="68"/>
      <c r="AP154" s="68"/>
      <c r="AQ154" s="68"/>
      <c r="AR154" s="59"/>
    </row>
    <row r="155" spans="2:44" ht="15.95" hidden="1" customHeight="1">
      <c r="B155" s="834"/>
      <c r="C155" s="68"/>
      <c r="D155" s="68"/>
      <c r="E155" s="68"/>
      <c r="F155" s="68"/>
      <c r="G155" s="68"/>
      <c r="H155" s="68"/>
      <c r="I155" s="68"/>
      <c r="J155" s="68"/>
      <c r="K155" s="68"/>
      <c r="L155" s="68"/>
      <c r="M155" s="68"/>
      <c r="N155" s="68"/>
      <c r="O155" s="68"/>
      <c r="P155" s="68"/>
      <c r="Q155" s="68"/>
      <c r="R155" s="68"/>
      <c r="S155" s="68"/>
      <c r="T155" s="68"/>
      <c r="U155" s="68"/>
      <c r="V155" s="68"/>
      <c r="W155" s="68"/>
      <c r="X155" s="68"/>
      <c r="Y155" s="68"/>
      <c r="Z155" s="68"/>
      <c r="AA155" s="68"/>
      <c r="AB155" s="68"/>
      <c r="AC155" s="68"/>
      <c r="AD155" s="68"/>
      <c r="AE155" s="68"/>
      <c r="AF155" s="68"/>
      <c r="AG155" s="68"/>
      <c r="AH155" s="68"/>
      <c r="AI155" s="68"/>
      <c r="AJ155" s="68"/>
      <c r="AK155" s="68"/>
      <c r="AL155" s="68"/>
      <c r="AM155" s="68"/>
      <c r="AN155" s="68"/>
      <c r="AO155" s="68"/>
      <c r="AP155" s="68"/>
      <c r="AQ155" s="68"/>
      <c r="AR155" s="59"/>
    </row>
    <row r="156" spans="2:44" ht="15.95" hidden="1" customHeight="1">
      <c r="B156" s="834">
        <v>71</v>
      </c>
      <c r="C156" s="68"/>
      <c r="D156" s="68"/>
      <c r="E156" s="68"/>
      <c r="F156" s="68"/>
      <c r="G156" s="68"/>
      <c r="H156" s="68"/>
      <c r="I156" s="68"/>
      <c r="J156" s="68"/>
      <c r="K156" s="68"/>
      <c r="L156" s="68"/>
      <c r="M156" s="68"/>
      <c r="N156" s="68"/>
      <c r="O156" s="68"/>
      <c r="P156" s="68"/>
      <c r="Q156" s="68"/>
      <c r="R156" s="68"/>
      <c r="S156" s="68"/>
      <c r="T156" s="68"/>
      <c r="U156" s="68"/>
      <c r="V156" s="68"/>
      <c r="W156" s="68"/>
      <c r="X156" s="68"/>
      <c r="Y156" s="68"/>
      <c r="Z156" s="68"/>
      <c r="AA156" s="68"/>
      <c r="AB156" s="68"/>
      <c r="AC156" s="68"/>
      <c r="AD156" s="68"/>
      <c r="AE156" s="68"/>
      <c r="AF156" s="68"/>
      <c r="AG156" s="68"/>
      <c r="AH156" s="68"/>
      <c r="AI156" s="68"/>
      <c r="AJ156" s="68"/>
      <c r="AK156" s="68"/>
      <c r="AL156" s="68"/>
      <c r="AM156" s="68"/>
      <c r="AN156" s="68"/>
      <c r="AO156" s="68"/>
      <c r="AP156" s="68"/>
      <c r="AQ156" s="68"/>
      <c r="AR156" s="59"/>
    </row>
    <row r="157" spans="2:44" ht="15.95" hidden="1" customHeight="1">
      <c r="B157" s="834"/>
      <c r="C157" s="68"/>
      <c r="D157" s="68"/>
      <c r="E157" s="68"/>
      <c r="F157" s="68"/>
      <c r="G157" s="68"/>
      <c r="H157" s="68"/>
      <c r="I157" s="68"/>
      <c r="J157" s="68"/>
      <c r="K157" s="68"/>
      <c r="L157" s="68"/>
      <c r="M157" s="68"/>
      <c r="N157" s="68"/>
      <c r="O157" s="68"/>
      <c r="P157" s="68"/>
      <c r="Q157" s="68"/>
      <c r="R157" s="68"/>
      <c r="S157" s="68"/>
      <c r="T157" s="68"/>
      <c r="U157" s="68"/>
      <c r="V157" s="68"/>
      <c r="W157" s="68"/>
      <c r="X157" s="68"/>
      <c r="Y157" s="68"/>
      <c r="Z157" s="68"/>
      <c r="AA157" s="68"/>
      <c r="AB157" s="68"/>
      <c r="AC157" s="68"/>
      <c r="AD157" s="68"/>
      <c r="AE157" s="68"/>
      <c r="AF157" s="68"/>
      <c r="AG157" s="68"/>
      <c r="AH157" s="68"/>
      <c r="AI157" s="68"/>
      <c r="AJ157" s="68"/>
      <c r="AK157" s="68"/>
      <c r="AL157" s="68"/>
      <c r="AM157" s="68"/>
      <c r="AN157" s="68"/>
      <c r="AO157" s="68"/>
      <c r="AP157" s="68"/>
      <c r="AQ157" s="68"/>
      <c r="AR157" s="59"/>
    </row>
    <row r="158" spans="2:44" ht="15.95" hidden="1" customHeight="1">
      <c r="B158" s="834">
        <v>72</v>
      </c>
      <c r="C158" s="68"/>
      <c r="D158" s="68"/>
      <c r="E158" s="68"/>
      <c r="F158" s="68"/>
      <c r="G158" s="68"/>
      <c r="H158" s="68"/>
      <c r="I158" s="68"/>
      <c r="J158" s="68"/>
      <c r="K158" s="68"/>
      <c r="L158" s="68"/>
      <c r="M158" s="68"/>
      <c r="N158" s="68"/>
      <c r="O158" s="68"/>
      <c r="P158" s="68"/>
      <c r="Q158" s="68"/>
      <c r="R158" s="68"/>
      <c r="S158" s="68"/>
      <c r="T158" s="68"/>
      <c r="U158" s="68"/>
      <c r="V158" s="68"/>
      <c r="W158" s="68"/>
      <c r="X158" s="68"/>
      <c r="Y158" s="68"/>
      <c r="Z158" s="68"/>
      <c r="AA158" s="68"/>
      <c r="AB158" s="68"/>
      <c r="AC158" s="68"/>
      <c r="AD158" s="68"/>
      <c r="AE158" s="68"/>
      <c r="AF158" s="68"/>
      <c r="AG158" s="68"/>
      <c r="AH158" s="68"/>
      <c r="AI158" s="68"/>
      <c r="AJ158" s="68"/>
      <c r="AK158" s="68"/>
      <c r="AL158" s="68"/>
      <c r="AM158" s="68"/>
      <c r="AN158" s="68"/>
      <c r="AO158" s="68"/>
      <c r="AP158" s="68"/>
      <c r="AQ158" s="68"/>
      <c r="AR158" s="59"/>
    </row>
    <row r="159" spans="2:44" ht="15.95" hidden="1" customHeight="1">
      <c r="B159" s="834"/>
      <c r="C159" s="68"/>
      <c r="D159" s="68"/>
      <c r="E159" s="68"/>
      <c r="F159" s="68"/>
      <c r="G159" s="68"/>
      <c r="H159" s="68"/>
      <c r="I159" s="68"/>
      <c r="J159" s="68"/>
      <c r="K159" s="68"/>
      <c r="L159" s="68"/>
      <c r="M159" s="68"/>
      <c r="N159" s="68"/>
      <c r="O159" s="68"/>
      <c r="P159" s="68"/>
      <c r="Q159" s="68"/>
      <c r="R159" s="68"/>
      <c r="S159" s="68"/>
      <c r="T159" s="68"/>
      <c r="U159" s="68"/>
      <c r="V159" s="68"/>
      <c r="W159" s="68"/>
      <c r="X159" s="68"/>
      <c r="Y159" s="68"/>
      <c r="Z159" s="68"/>
      <c r="AA159" s="68"/>
      <c r="AB159" s="68"/>
      <c r="AC159" s="68"/>
      <c r="AD159" s="68"/>
      <c r="AE159" s="68"/>
      <c r="AF159" s="68"/>
      <c r="AG159" s="68"/>
      <c r="AH159" s="68"/>
      <c r="AI159" s="68"/>
      <c r="AJ159" s="68"/>
      <c r="AK159" s="68"/>
      <c r="AL159" s="68"/>
      <c r="AM159" s="68"/>
      <c r="AN159" s="68"/>
      <c r="AO159" s="68"/>
      <c r="AP159" s="68"/>
      <c r="AQ159" s="68"/>
      <c r="AR159" s="59"/>
    </row>
    <row r="160" spans="2:44" ht="15.95" hidden="1" customHeight="1">
      <c r="B160" s="834">
        <v>73</v>
      </c>
      <c r="C160" s="68"/>
      <c r="D160" s="68"/>
      <c r="E160" s="68"/>
      <c r="F160" s="68"/>
      <c r="G160" s="68"/>
      <c r="H160" s="68"/>
      <c r="I160" s="68"/>
      <c r="J160" s="68"/>
      <c r="K160" s="68"/>
      <c r="L160" s="68"/>
      <c r="M160" s="68"/>
      <c r="N160" s="68"/>
      <c r="O160" s="68"/>
      <c r="P160" s="68"/>
      <c r="Q160" s="68"/>
      <c r="R160" s="68"/>
      <c r="S160" s="68"/>
      <c r="T160" s="68"/>
      <c r="U160" s="68"/>
      <c r="V160" s="68"/>
      <c r="W160" s="68"/>
      <c r="X160" s="68"/>
      <c r="Y160" s="68"/>
      <c r="Z160" s="68"/>
      <c r="AA160" s="68"/>
      <c r="AB160" s="68"/>
      <c r="AC160" s="68"/>
      <c r="AD160" s="68"/>
      <c r="AE160" s="68"/>
      <c r="AF160" s="68"/>
      <c r="AG160" s="68"/>
      <c r="AH160" s="68"/>
      <c r="AI160" s="68"/>
      <c r="AJ160" s="68"/>
      <c r="AK160" s="68"/>
      <c r="AL160" s="68"/>
      <c r="AM160" s="68"/>
      <c r="AN160" s="68"/>
      <c r="AO160" s="68"/>
      <c r="AP160" s="68"/>
      <c r="AQ160" s="68"/>
      <c r="AR160" s="59"/>
    </row>
    <row r="161" spans="2:44" ht="15.95" hidden="1" customHeight="1">
      <c r="B161" s="834"/>
      <c r="C161" s="68"/>
      <c r="D161" s="68"/>
      <c r="E161" s="68"/>
      <c r="F161" s="68"/>
      <c r="G161" s="68"/>
      <c r="H161" s="68"/>
      <c r="I161" s="68"/>
      <c r="J161" s="68"/>
      <c r="K161" s="68"/>
      <c r="L161" s="68"/>
      <c r="M161" s="68"/>
      <c r="N161" s="68"/>
      <c r="O161" s="68"/>
      <c r="P161" s="68"/>
      <c r="Q161" s="68"/>
      <c r="R161" s="68"/>
      <c r="S161" s="68"/>
      <c r="T161" s="68"/>
      <c r="U161" s="68"/>
      <c r="V161" s="68"/>
      <c r="W161" s="68"/>
      <c r="X161" s="68"/>
      <c r="Y161" s="68"/>
      <c r="Z161" s="68"/>
      <c r="AA161" s="68"/>
      <c r="AB161" s="68"/>
      <c r="AC161" s="68"/>
      <c r="AD161" s="68"/>
      <c r="AE161" s="68"/>
      <c r="AF161" s="68"/>
      <c r="AG161" s="68"/>
      <c r="AH161" s="68"/>
      <c r="AI161" s="68"/>
      <c r="AJ161" s="68"/>
      <c r="AK161" s="68"/>
      <c r="AL161" s="68"/>
      <c r="AM161" s="68"/>
      <c r="AN161" s="68"/>
      <c r="AO161" s="68"/>
      <c r="AP161" s="68"/>
      <c r="AQ161" s="68"/>
      <c r="AR161" s="59"/>
    </row>
    <row r="162" spans="2:44" ht="15.95" hidden="1" customHeight="1">
      <c r="B162" s="834">
        <v>74</v>
      </c>
      <c r="C162" s="68"/>
      <c r="D162" s="68"/>
      <c r="E162" s="68"/>
      <c r="F162" s="68"/>
      <c r="G162" s="68"/>
      <c r="H162" s="68"/>
      <c r="I162" s="68"/>
      <c r="J162" s="68"/>
      <c r="K162" s="68"/>
      <c r="L162" s="68"/>
      <c r="M162" s="68"/>
      <c r="N162" s="68"/>
      <c r="O162" s="68"/>
      <c r="P162" s="68"/>
      <c r="Q162" s="68"/>
      <c r="R162" s="68"/>
      <c r="S162" s="68"/>
      <c r="T162" s="68"/>
      <c r="U162" s="68"/>
      <c r="V162" s="68"/>
      <c r="W162" s="68"/>
      <c r="X162" s="68"/>
      <c r="Y162" s="68"/>
      <c r="Z162" s="68"/>
      <c r="AA162" s="68"/>
      <c r="AB162" s="68"/>
      <c r="AC162" s="68"/>
      <c r="AD162" s="68"/>
      <c r="AE162" s="68"/>
      <c r="AF162" s="68"/>
      <c r="AG162" s="68"/>
      <c r="AH162" s="68"/>
      <c r="AI162" s="68"/>
      <c r="AJ162" s="68"/>
      <c r="AK162" s="68"/>
      <c r="AL162" s="68"/>
      <c r="AM162" s="68"/>
      <c r="AN162" s="68"/>
      <c r="AO162" s="68"/>
      <c r="AP162" s="68"/>
      <c r="AQ162" s="68"/>
      <c r="AR162" s="59"/>
    </row>
    <row r="163" spans="2:44" ht="15.95" hidden="1" customHeight="1">
      <c r="B163" s="834"/>
      <c r="C163" s="68"/>
      <c r="D163" s="68"/>
      <c r="E163" s="68"/>
      <c r="F163" s="68"/>
      <c r="G163" s="68"/>
      <c r="H163" s="68"/>
      <c r="I163" s="68"/>
      <c r="J163" s="68"/>
      <c r="K163" s="68"/>
      <c r="L163" s="68"/>
      <c r="M163" s="68"/>
      <c r="N163" s="68"/>
      <c r="O163" s="68"/>
      <c r="P163" s="68"/>
      <c r="Q163" s="68"/>
      <c r="R163" s="68"/>
      <c r="S163" s="68"/>
      <c r="T163" s="68"/>
      <c r="U163" s="68"/>
      <c r="V163" s="68"/>
      <c r="W163" s="68"/>
      <c r="X163" s="68"/>
      <c r="Y163" s="68"/>
      <c r="Z163" s="68"/>
      <c r="AA163" s="68"/>
      <c r="AB163" s="68"/>
      <c r="AC163" s="68"/>
      <c r="AD163" s="68"/>
      <c r="AE163" s="68"/>
      <c r="AF163" s="68"/>
      <c r="AG163" s="68"/>
      <c r="AH163" s="68"/>
      <c r="AI163" s="68"/>
      <c r="AJ163" s="68"/>
      <c r="AK163" s="68"/>
      <c r="AL163" s="68"/>
      <c r="AM163" s="68"/>
      <c r="AN163" s="68"/>
      <c r="AO163" s="68"/>
      <c r="AP163" s="68"/>
      <c r="AQ163" s="68"/>
      <c r="AR163" s="59"/>
    </row>
    <row r="164" spans="2:44" ht="15.95" hidden="1" customHeight="1">
      <c r="B164" s="834">
        <v>75</v>
      </c>
      <c r="C164" s="68"/>
      <c r="D164" s="68"/>
      <c r="E164" s="68"/>
      <c r="F164" s="68"/>
      <c r="G164" s="68"/>
      <c r="H164" s="68"/>
      <c r="I164" s="68"/>
      <c r="J164" s="68"/>
      <c r="K164" s="68"/>
      <c r="L164" s="68"/>
      <c r="M164" s="68"/>
      <c r="N164" s="68"/>
      <c r="O164" s="68"/>
      <c r="P164" s="68"/>
      <c r="Q164" s="68"/>
      <c r="R164" s="68"/>
      <c r="S164" s="68"/>
      <c r="T164" s="68"/>
      <c r="U164" s="68"/>
      <c r="V164" s="68"/>
      <c r="W164" s="68"/>
      <c r="X164" s="68"/>
      <c r="Y164" s="68"/>
      <c r="Z164" s="68"/>
      <c r="AA164" s="68"/>
      <c r="AB164" s="68"/>
      <c r="AC164" s="68"/>
      <c r="AD164" s="68"/>
      <c r="AE164" s="68"/>
      <c r="AF164" s="68"/>
      <c r="AG164" s="68"/>
      <c r="AH164" s="68"/>
      <c r="AI164" s="68"/>
      <c r="AJ164" s="68"/>
      <c r="AK164" s="68"/>
      <c r="AL164" s="68"/>
      <c r="AM164" s="68"/>
      <c r="AN164" s="68"/>
      <c r="AO164" s="68"/>
      <c r="AP164" s="68"/>
      <c r="AQ164" s="68"/>
      <c r="AR164" s="59"/>
    </row>
    <row r="165" spans="2:44" ht="15.95" hidden="1" customHeight="1">
      <c r="B165" s="834"/>
      <c r="C165" s="68"/>
      <c r="D165" s="68"/>
      <c r="E165" s="68"/>
      <c r="F165" s="68"/>
      <c r="G165" s="68"/>
      <c r="H165" s="68"/>
      <c r="I165" s="68"/>
      <c r="J165" s="68"/>
      <c r="K165" s="68"/>
      <c r="L165" s="68"/>
      <c r="M165" s="68"/>
      <c r="N165" s="68"/>
      <c r="O165" s="68"/>
      <c r="P165" s="68"/>
      <c r="Q165" s="68"/>
      <c r="R165" s="68"/>
      <c r="S165" s="68"/>
      <c r="T165" s="68"/>
      <c r="U165" s="68"/>
      <c r="V165" s="68"/>
      <c r="W165" s="68"/>
      <c r="X165" s="68"/>
      <c r="Y165" s="68"/>
      <c r="Z165" s="68"/>
      <c r="AA165" s="68"/>
      <c r="AB165" s="68"/>
      <c r="AC165" s="68"/>
      <c r="AD165" s="68"/>
      <c r="AE165" s="68"/>
      <c r="AF165" s="68"/>
      <c r="AG165" s="68"/>
      <c r="AH165" s="68"/>
      <c r="AI165" s="68"/>
      <c r="AJ165" s="68"/>
      <c r="AK165" s="68"/>
      <c r="AL165" s="68"/>
      <c r="AM165" s="68"/>
      <c r="AN165" s="68"/>
      <c r="AO165" s="68"/>
      <c r="AP165" s="68"/>
      <c r="AQ165" s="68"/>
      <c r="AR165" s="59"/>
    </row>
    <row r="166" spans="2:44" ht="15.95" hidden="1" customHeight="1">
      <c r="B166" s="834">
        <v>76</v>
      </c>
      <c r="C166" s="68"/>
      <c r="D166" s="68"/>
      <c r="E166" s="68"/>
      <c r="F166" s="68"/>
      <c r="G166" s="68"/>
      <c r="H166" s="68"/>
      <c r="I166" s="68"/>
      <c r="J166" s="68"/>
      <c r="K166" s="68"/>
      <c r="L166" s="68"/>
      <c r="M166" s="68"/>
      <c r="N166" s="68"/>
      <c r="O166" s="68"/>
      <c r="P166" s="68"/>
      <c r="Q166" s="68"/>
      <c r="R166" s="68"/>
      <c r="S166" s="68"/>
      <c r="T166" s="68"/>
      <c r="U166" s="68"/>
      <c r="V166" s="68"/>
      <c r="W166" s="68"/>
      <c r="X166" s="68"/>
      <c r="Y166" s="68"/>
      <c r="Z166" s="68"/>
      <c r="AA166" s="68"/>
      <c r="AB166" s="68"/>
      <c r="AC166" s="68"/>
      <c r="AD166" s="68"/>
      <c r="AE166" s="68"/>
      <c r="AF166" s="68"/>
      <c r="AG166" s="68"/>
      <c r="AH166" s="68"/>
      <c r="AI166" s="68"/>
      <c r="AJ166" s="68"/>
      <c r="AK166" s="68"/>
      <c r="AL166" s="68"/>
      <c r="AM166" s="68"/>
      <c r="AN166" s="68"/>
      <c r="AO166" s="68"/>
      <c r="AP166" s="68"/>
      <c r="AQ166" s="68"/>
      <c r="AR166" s="59"/>
    </row>
    <row r="167" spans="2:44" ht="15.95" hidden="1" customHeight="1">
      <c r="B167" s="834"/>
      <c r="C167" s="68"/>
      <c r="D167" s="68"/>
      <c r="E167" s="68"/>
      <c r="F167" s="68"/>
      <c r="G167" s="68"/>
      <c r="H167" s="68"/>
      <c r="I167" s="68"/>
      <c r="J167" s="68"/>
      <c r="K167" s="68"/>
      <c r="L167" s="68"/>
      <c r="M167" s="68"/>
      <c r="N167" s="68"/>
      <c r="O167" s="68"/>
      <c r="P167" s="68"/>
      <c r="Q167" s="68"/>
      <c r="R167" s="68"/>
      <c r="S167" s="68"/>
      <c r="T167" s="68"/>
      <c r="U167" s="68"/>
      <c r="V167" s="68"/>
      <c r="W167" s="68"/>
      <c r="X167" s="68"/>
      <c r="Y167" s="68"/>
      <c r="Z167" s="68"/>
      <c r="AA167" s="68"/>
      <c r="AB167" s="68"/>
      <c r="AC167" s="68"/>
      <c r="AD167" s="68"/>
      <c r="AE167" s="68"/>
      <c r="AF167" s="68"/>
      <c r="AG167" s="68"/>
      <c r="AH167" s="68"/>
      <c r="AI167" s="68"/>
      <c r="AJ167" s="68"/>
      <c r="AK167" s="68"/>
      <c r="AL167" s="68"/>
      <c r="AM167" s="68"/>
      <c r="AN167" s="68"/>
      <c r="AO167" s="68"/>
      <c r="AP167" s="68"/>
      <c r="AQ167" s="68"/>
      <c r="AR167" s="59"/>
    </row>
    <row r="168" spans="2:44" ht="15.95" hidden="1" customHeight="1">
      <c r="B168" s="834">
        <v>77</v>
      </c>
      <c r="C168" s="68"/>
      <c r="D168" s="68"/>
      <c r="E168" s="68"/>
      <c r="F168" s="68"/>
      <c r="G168" s="68"/>
      <c r="H168" s="68"/>
      <c r="I168" s="68"/>
      <c r="J168" s="68"/>
      <c r="K168" s="68"/>
      <c r="L168" s="68"/>
      <c r="M168" s="68"/>
      <c r="N168" s="68"/>
      <c r="O168" s="68"/>
      <c r="P168" s="68"/>
      <c r="Q168" s="68"/>
      <c r="R168" s="68"/>
      <c r="S168" s="68"/>
      <c r="T168" s="68"/>
      <c r="U168" s="68"/>
      <c r="V168" s="68"/>
      <c r="W168" s="68"/>
      <c r="X168" s="68"/>
      <c r="Y168" s="68"/>
      <c r="Z168" s="68"/>
      <c r="AA168" s="68"/>
      <c r="AB168" s="68"/>
      <c r="AC168" s="68"/>
      <c r="AD168" s="68"/>
      <c r="AE168" s="68"/>
      <c r="AF168" s="68"/>
      <c r="AG168" s="68"/>
      <c r="AH168" s="68"/>
      <c r="AI168" s="68"/>
      <c r="AJ168" s="68"/>
      <c r="AK168" s="68"/>
      <c r="AL168" s="68"/>
      <c r="AM168" s="68"/>
      <c r="AN168" s="68"/>
      <c r="AO168" s="68"/>
      <c r="AP168" s="68"/>
      <c r="AQ168" s="68"/>
      <c r="AR168" s="59"/>
    </row>
    <row r="169" spans="2:44" ht="15.95" hidden="1" customHeight="1">
      <c r="B169" s="834"/>
      <c r="C169" s="68"/>
      <c r="D169" s="68"/>
      <c r="E169" s="68"/>
      <c r="F169" s="68"/>
      <c r="G169" s="68"/>
      <c r="H169" s="68"/>
      <c r="I169" s="68"/>
      <c r="J169" s="68"/>
      <c r="K169" s="68"/>
      <c r="L169" s="68"/>
      <c r="M169" s="68"/>
      <c r="N169" s="68"/>
      <c r="O169" s="68"/>
      <c r="P169" s="68"/>
      <c r="Q169" s="68"/>
      <c r="R169" s="68"/>
      <c r="S169" s="68"/>
      <c r="T169" s="68"/>
      <c r="U169" s="68"/>
      <c r="V169" s="68"/>
      <c r="W169" s="68"/>
      <c r="X169" s="68"/>
      <c r="Y169" s="68"/>
      <c r="Z169" s="68"/>
      <c r="AA169" s="68"/>
      <c r="AB169" s="68"/>
      <c r="AC169" s="68"/>
      <c r="AD169" s="68"/>
      <c r="AE169" s="68"/>
      <c r="AF169" s="68"/>
      <c r="AG169" s="68"/>
      <c r="AH169" s="68"/>
      <c r="AI169" s="68"/>
      <c r="AJ169" s="68"/>
      <c r="AK169" s="68"/>
      <c r="AL169" s="68"/>
      <c r="AM169" s="68"/>
      <c r="AN169" s="68"/>
      <c r="AO169" s="68"/>
      <c r="AP169" s="68"/>
      <c r="AQ169" s="68"/>
      <c r="AR169" s="59"/>
    </row>
    <row r="170" spans="2:44" ht="15.95" hidden="1" customHeight="1">
      <c r="B170" s="834">
        <v>78</v>
      </c>
      <c r="C170" s="68"/>
      <c r="D170" s="68"/>
      <c r="E170" s="68"/>
      <c r="F170" s="68"/>
      <c r="G170" s="68"/>
      <c r="H170" s="68"/>
      <c r="I170" s="68"/>
      <c r="J170" s="68"/>
      <c r="K170" s="68"/>
      <c r="L170" s="68"/>
      <c r="M170" s="68"/>
      <c r="N170" s="68"/>
      <c r="O170" s="68"/>
      <c r="P170" s="68"/>
      <c r="Q170" s="68"/>
      <c r="R170" s="68"/>
      <c r="S170" s="68"/>
      <c r="T170" s="68"/>
      <c r="U170" s="68"/>
      <c r="V170" s="68"/>
      <c r="W170" s="68"/>
      <c r="X170" s="68"/>
      <c r="Y170" s="68"/>
      <c r="Z170" s="68"/>
      <c r="AA170" s="68"/>
      <c r="AB170" s="68"/>
      <c r="AC170" s="68"/>
      <c r="AD170" s="68"/>
      <c r="AE170" s="68"/>
      <c r="AF170" s="68"/>
      <c r="AG170" s="68"/>
      <c r="AH170" s="68"/>
      <c r="AI170" s="68"/>
      <c r="AJ170" s="68"/>
      <c r="AK170" s="68"/>
      <c r="AL170" s="68"/>
      <c r="AM170" s="68"/>
      <c r="AN170" s="68"/>
      <c r="AO170" s="68"/>
      <c r="AP170" s="68"/>
      <c r="AQ170" s="68"/>
      <c r="AR170" s="59"/>
    </row>
    <row r="171" spans="2:44" ht="15.95" hidden="1" customHeight="1">
      <c r="B171" s="834"/>
      <c r="C171" s="68"/>
      <c r="D171" s="68"/>
      <c r="E171" s="68"/>
      <c r="F171" s="68"/>
      <c r="G171" s="68"/>
      <c r="H171" s="68"/>
      <c r="I171" s="68"/>
      <c r="J171" s="68"/>
      <c r="K171" s="68"/>
      <c r="L171" s="68"/>
      <c r="M171" s="68"/>
      <c r="N171" s="68"/>
      <c r="O171" s="68"/>
      <c r="P171" s="68"/>
      <c r="Q171" s="68"/>
      <c r="R171" s="68"/>
      <c r="S171" s="68"/>
      <c r="T171" s="68"/>
      <c r="U171" s="68"/>
      <c r="V171" s="68"/>
      <c r="W171" s="68"/>
      <c r="X171" s="68"/>
      <c r="Y171" s="68"/>
      <c r="Z171" s="68"/>
      <c r="AA171" s="68"/>
      <c r="AB171" s="68"/>
      <c r="AC171" s="68"/>
      <c r="AD171" s="68"/>
      <c r="AE171" s="68"/>
      <c r="AF171" s="68"/>
      <c r="AG171" s="68"/>
      <c r="AH171" s="68"/>
      <c r="AI171" s="68"/>
      <c r="AJ171" s="68"/>
      <c r="AK171" s="68"/>
      <c r="AL171" s="68"/>
      <c r="AM171" s="68"/>
      <c r="AN171" s="68"/>
      <c r="AO171" s="68"/>
      <c r="AP171" s="68"/>
      <c r="AQ171" s="68"/>
      <c r="AR171" s="59"/>
    </row>
    <row r="172" spans="2:44" ht="15.95" hidden="1" customHeight="1">
      <c r="B172" s="834">
        <v>79</v>
      </c>
      <c r="C172" s="68"/>
      <c r="D172" s="68"/>
      <c r="E172" s="68"/>
      <c r="F172" s="68"/>
      <c r="G172" s="68"/>
      <c r="H172" s="68"/>
      <c r="I172" s="68"/>
      <c r="J172" s="68"/>
      <c r="K172" s="68"/>
      <c r="L172" s="68"/>
      <c r="M172" s="68"/>
      <c r="N172" s="68"/>
      <c r="O172" s="68"/>
      <c r="P172" s="68"/>
      <c r="Q172" s="68"/>
      <c r="R172" s="68"/>
      <c r="S172" s="68"/>
      <c r="T172" s="68"/>
      <c r="U172" s="68"/>
      <c r="V172" s="68"/>
      <c r="W172" s="68"/>
      <c r="X172" s="68"/>
      <c r="Y172" s="68"/>
      <c r="Z172" s="68"/>
      <c r="AA172" s="68"/>
      <c r="AB172" s="68"/>
      <c r="AC172" s="68"/>
      <c r="AD172" s="68"/>
      <c r="AE172" s="68"/>
      <c r="AF172" s="68"/>
      <c r="AG172" s="68"/>
      <c r="AH172" s="68"/>
      <c r="AI172" s="68"/>
      <c r="AJ172" s="68"/>
      <c r="AK172" s="68"/>
      <c r="AL172" s="68"/>
      <c r="AM172" s="68"/>
      <c r="AN172" s="68"/>
      <c r="AO172" s="68"/>
      <c r="AP172" s="68"/>
      <c r="AQ172" s="68"/>
      <c r="AR172" s="59"/>
    </row>
    <row r="173" spans="2:44" ht="15.95" hidden="1" customHeight="1">
      <c r="B173" s="834"/>
      <c r="C173" s="68"/>
      <c r="D173" s="68"/>
      <c r="E173" s="68"/>
      <c r="F173" s="68"/>
      <c r="G173" s="68"/>
      <c r="H173" s="68"/>
      <c r="I173" s="68"/>
      <c r="J173" s="68"/>
      <c r="K173" s="68"/>
      <c r="L173" s="68"/>
      <c r="M173" s="68"/>
      <c r="N173" s="68"/>
      <c r="O173" s="68"/>
      <c r="P173" s="68"/>
      <c r="Q173" s="68"/>
      <c r="R173" s="68"/>
      <c r="S173" s="68"/>
      <c r="T173" s="68"/>
      <c r="U173" s="68"/>
      <c r="V173" s="68"/>
      <c r="W173" s="68"/>
      <c r="X173" s="68"/>
      <c r="Y173" s="68"/>
      <c r="Z173" s="68"/>
      <c r="AA173" s="68"/>
      <c r="AB173" s="68"/>
      <c r="AC173" s="68"/>
      <c r="AD173" s="68"/>
      <c r="AE173" s="68"/>
      <c r="AF173" s="68"/>
      <c r="AG173" s="68"/>
      <c r="AH173" s="68"/>
      <c r="AI173" s="68"/>
      <c r="AJ173" s="68"/>
      <c r="AK173" s="68"/>
      <c r="AL173" s="68"/>
      <c r="AM173" s="68"/>
      <c r="AN173" s="68"/>
      <c r="AO173" s="68"/>
      <c r="AP173" s="68"/>
      <c r="AQ173" s="68"/>
      <c r="AR173" s="59"/>
    </row>
    <row r="174" spans="2:44" ht="15.95" hidden="1" customHeight="1">
      <c r="B174" s="834">
        <v>80</v>
      </c>
      <c r="C174" s="68"/>
      <c r="D174" s="68"/>
      <c r="E174" s="68"/>
      <c r="F174" s="68"/>
      <c r="G174" s="68"/>
      <c r="H174" s="68"/>
      <c r="I174" s="68"/>
      <c r="J174" s="68"/>
      <c r="K174" s="68"/>
      <c r="L174" s="68"/>
      <c r="M174" s="68"/>
      <c r="N174" s="68"/>
      <c r="O174" s="68"/>
      <c r="P174" s="68"/>
      <c r="Q174" s="68"/>
      <c r="R174" s="68"/>
      <c r="S174" s="68"/>
      <c r="T174" s="68"/>
      <c r="U174" s="68"/>
      <c r="V174" s="68"/>
      <c r="W174" s="68"/>
      <c r="X174" s="68"/>
      <c r="Y174" s="68"/>
      <c r="Z174" s="68"/>
      <c r="AA174" s="68"/>
      <c r="AB174" s="68"/>
      <c r="AC174" s="68"/>
      <c r="AD174" s="68"/>
      <c r="AE174" s="68"/>
      <c r="AF174" s="68"/>
      <c r="AG174" s="68"/>
      <c r="AH174" s="68"/>
      <c r="AI174" s="68"/>
      <c r="AJ174" s="68"/>
      <c r="AK174" s="68"/>
      <c r="AL174" s="68"/>
      <c r="AM174" s="68"/>
      <c r="AN174" s="68"/>
      <c r="AO174" s="68"/>
      <c r="AP174" s="68"/>
      <c r="AQ174" s="68"/>
      <c r="AR174" s="59"/>
    </row>
    <row r="175" spans="2:44" ht="15.95" hidden="1" customHeight="1">
      <c r="B175" s="834"/>
      <c r="C175" s="68"/>
      <c r="D175" s="68"/>
      <c r="E175" s="68"/>
      <c r="F175" s="68"/>
      <c r="G175" s="68"/>
      <c r="H175" s="68"/>
      <c r="I175" s="68"/>
      <c r="J175" s="68"/>
      <c r="K175" s="68"/>
      <c r="L175" s="68"/>
      <c r="M175" s="68"/>
      <c r="N175" s="68"/>
      <c r="O175" s="68"/>
      <c r="P175" s="68"/>
      <c r="Q175" s="68"/>
      <c r="R175" s="68"/>
      <c r="S175" s="68"/>
      <c r="T175" s="68"/>
      <c r="U175" s="68"/>
      <c r="V175" s="68"/>
      <c r="W175" s="68"/>
      <c r="X175" s="68"/>
      <c r="Y175" s="68"/>
      <c r="Z175" s="68"/>
      <c r="AA175" s="68"/>
      <c r="AB175" s="68"/>
      <c r="AC175" s="68"/>
      <c r="AD175" s="68"/>
      <c r="AE175" s="68"/>
      <c r="AF175" s="68"/>
      <c r="AG175" s="68"/>
      <c r="AH175" s="68"/>
      <c r="AI175" s="68"/>
      <c r="AJ175" s="68"/>
      <c r="AK175" s="68"/>
      <c r="AL175" s="68"/>
      <c r="AM175" s="68"/>
      <c r="AN175" s="68"/>
      <c r="AO175" s="68"/>
      <c r="AP175" s="68"/>
      <c r="AQ175" s="68"/>
      <c r="AR175" s="59"/>
    </row>
    <row r="176" spans="2:44" ht="15.95" hidden="1" customHeight="1">
      <c r="B176" s="834">
        <v>81</v>
      </c>
      <c r="C176" s="68"/>
      <c r="D176" s="68"/>
      <c r="E176" s="68"/>
      <c r="F176" s="68"/>
      <c r="G176" s="68"/>
      <c r="H176" s="68"/>
      <c r="I176" s="68"/>
      <c r="J176" s="68"/>
      <c r="K176" s="68"/>
      <c r="L176" s="68"/>
      <c r="M176" s="68"/>
      <c r="N176" s="68"/>
      <c r="O176" s="68"/>
      <c r="P176" s="68"/>
      <c r="Q176" s="68"/>
      <c r="R176" s="68"/>
      <c r="S176" s="68"/>
      <c r="T176" s="68"/>
      <c r="U176" s="68"/>
      <c r="V176" s="68"/>
      <c r="W176" s="68"/>
      <c r="X176" s="68"/>
      <c r="Y176" s="68"/>
      <c r="Z176" s="68"/>
      <c r="AA176" s="68"/>
      <c r="AB176" s="68"/>
      <c r="AC176" s="68"/>
      <c r="AD176" s="68"/>
      <c r="AE176" s="68"/>
      <c r="AF176" s="68"/>
      <c r="AG176" s="68"/>
      <c r="AH176" s="68"/>
      <c r="AI176" s="68"/>
      <c r="AJ176" s="68"/>
      <c r="AK176" s="68"/>
      <c r="AL176" s="68"/>
      <c r="AM176" s="68"/>
      <c r="AN176" s="68"/>
      <c r="AO176" s="68"/>
      <c r="AP176" s="68"/>
      <c r="AQ176" s="68"/>
      <c r="AR176" s="59"/>
    </row>
    <row r="177" spans="2:44" ht="15.95" hidden="1" customHeight="1">
      <c r="B177" s="834"/>
      <c r="C177" s="68"/>
      <c r="D177" s="68"/>
      <c r="E177" s="68"/>
      <c r="F177" s="68"/>
      <c r="G177" s="68"/>
      <c r="H177" s="68"/>
      <c r="I177" s="68"/>
      <c r="J177" s="68"/>
      <c r="K177" s="68"/>
      <c r="L177" s="68"/>
      <c r="M177" s="68"/>
      <c r="N177" s="68"/>
      <c r="O177" s="68"/>
      <c r="P177" s="68"/>
      <c r="Q177" s="68"/>
      <c r="R177" s="68"/>
      <c r="S177" s="68"/>
      <c r="T177" s="68"/>
      <c r="U177" s="68"/>
      <c r="V177" s="68"/>
      <c r="W177" s="68"/>
      <c r="X177" s="68"/>
      <c r="Y177" s="68"/>
      <c r="Z177" s="68"/>
      <c r="AA177" s="68"/>
      <c r="AB177" s="68"/>
      <c r="AC177" s="68"/>
      <c r="AD177" s="68"/>
      <c r="AE177" s="68"/>
      <c r="AF177" s="68"/>
      <c r="AG177" s="68"/>
      <c r="AH177" s="68"/>
      <c r="AI177" s="68"/>
      <c r="AJ177" s="68"/>
      <c r="AK177" s="68"/>
      <c r="AL177" s="68"/>
      <c r="AM177" s="68"/>
      <c r="AN177" s="68"/>
      <c r="AO177" s="68"/>
      <c r="AP177" s="68"/>
      <c r="AQ177" s="68"/>
      <c r="AR177" s="59"/>
    </row>
    <row r="178" spans="2:44" ht="15.95" hidden="1" customHeight="1">
      <c r="B178" s="834">
        <v>82</v>
      </c>
      <c r="C178" s="68"/>
      <c r="D178" s="68"/>
      <c r="E178" s="68"/>
      <c r="F178" s="68"/>
      <c r="G178" s="68"/>
      <c r="H178" s="68"/>
      <c r="I178" s="68"/>
      <c r="J178" s="68"/>
      <c r="K178" s="68"/>
      <c r="L178" s="68"/>
      <c r="M178" s="68"/>
      <c r="N178" s="68"/>
      <c r="O178" s="68"/>
      <c r="P178" s="68"/>
      <c r="Q178" s="68"/>
      <c r="R178" s="68"/>
      <c r="S178" s="68"/>
      <c r="T178" s="68"/>
      <c r="U178" s="68"/>
      <c r="V178" s="68"/>
      <c r="W178" s="68"/>
      <c r="X178" s="68"/>
      <c r="Y178" s="68"/>
      <c r="Z178" s="68"/>
      <c r="AA178" s="68"/>
      <c r="AB178" s="68"/>
      <c r="AC178" s="68"/>
      <c r="AD178" s="68"/>
      <c r="AE178" s="68"/>
      <c r="AF178" s="68"/>
      <c r="AG178" s="68"/>
      <c r="AH178" s="68"/>
      <c r="AI178" s="68"/>
      <c r="AJ178" s="68"/>
      <c r="AK178" s="68"/>
      <c r="AL178" s="68"/>
      <c r="AM178" s="68"/>
      <c r="AN178" s="68"/>
      <c r="AO178" s="68"/>
      <c r="AP178" s="68"/>
      <c r="AQ178" s="68"/>
      <c r="AR178" s="59"/>
    </row>
    <row r="179" spans="2:44" ht="15.95" hidden="1" customHeight="1">
      <c r="B179" s="834"/>
      <c r="C179" s="68"/>
      <c r="D179" s="68"/>
      <c r="E179" s="68"/>
      <c r="F179" s="68"/>
      <c r="G179" s="68"/>
      <c r="H179" s="68"/>
      <c r="I179" s="68"/>
      <c r="J179" s="68"/>
      <c r="K179" s="68"/>
      <c r="L179" s="68"/>
      <c r="M179" s="68"/>
      <c r="N179" s="68"/>
      <c r="O179" s="68"/>
      <c r="P179" s="68"/>
      <c r="Q179" s="68"/>
      <c r="R179" s="68"/>
      <c r="S179" s="68"/>
      <c r="T179" s="68"/>
      <c r="U179" s="68"/>
      <c r="V179" s="68"/>
      <c r="W179" s="68"/>
      <c r="X179" s="68"/>
      <c r="Y179" s="68"/>
      <c r="Z179" s="68"/>
      <c r="AA179" s="68"/>
      <c r="AB179" s="68"/>
      <c r="AC179" s="68"/>
      <c r="AD179" s="68"/>
      <c r="AE179" s="68"/>
      <c r="AF179" s="68"/>
      <c r="AG179" s="68"/>
      <c r="AH179" s="68"/>
      <c r="AI179" s="68"/>
      <c r="AJ179" s="68"/>
      <c r="AK179" s="68"/>
      <c r="AL179" s="68"/>
      <c r="AM179" s="68"/>
      <c r="AN179" s="68"/>
      <c r="AO179" s="68"/>
      <c r="AP179" s="68"/>
      <c r="AQ179" s="68"/>
      <c r="AR179" s="59"/>
    </row>
    <row r="180" spans="2:44" ht="15.95" hidden="1" customHeight="1">
      <c r="B180" s="834">
        <v>83</v>
      </c>
      <c r="C180" s="68"/>
      <c r="D180" s="68"/>
      <c r="E180" s="68"/>
      <c r="F180" s="68"/>
      <c r="G180" s="68"/>
      <c r="H180" s="68"/>
      <c r="I180" s="68"/>
      <c r="J180" s="68"/>
      <c r="K180" s="68"/>
      <c r="L180" s="68"/>
      <c r="M180" s="68"/>
      <c r="N180" s="68"/>
      <c r="O180" s="68"/>
      <c r="P180" s="68"/>
      <c r="Q180" s="68"/>
      <c r="R180" s="68"/>
      <c r="S180" s="68"/>
      <c r="T180" s="68"/>
      <c r="U180" s="68"/>
      <c r="V180" s="68"/>
      <c r="W180" s="68"/>
      <c r="X180" s="68"/>
      <c r="Y180" s="68"/>
      <c r="Z180" s="68"/>
      <c r="AA180" s="68"/>
      <c r="AB180" s="68"/>
      <c r="AC180" s="68"/>
      <c r="AD180" s="68"/>
      <c r="AE180" s="68"/>
      <c r="AF180" s="68"/>
      <c r="AG180" s="68"/>
      <c r="AH180" s="68"/>
      <c r="AI180" s="68"/>
      <c r="AJ180" s="68"/>
      <c r="AK180" s="68"/>
      <c r="AL180" s="68"/>
      <c r="AM180" s="68"/>
      <c r="AN180" s="68"/>
      <c r="AO180" s="68"/>
      <c r="AP180" s="68"/>
      <c r="AQ180" s="68"/>
      <c r="AR180" s="59"/>
    </row>
    <row r="181" spans="2:44" ht="15.95" hidden="1" customHeight="1">
      <c r="B181" s="834"/>
      <c r="C181" s="68"/>
      <c r="D181" s="68"/>
      <c r="E181" s="68"/>
      <c r="F181" s="68"/>
      <c r="G181" s="68"/>
      <c r="H181" s="68"/>
      <c r="I181" s="68"/>
      <c r="J181" s="68"/>
      <c r="K181" s="68"/>
      <c r="L181" s="68"/>
      <c r="M181" s="68"/>
      <c r="N181" s="68"/>
      <c r="O181" s="68"/>
      <c r="P181" s="68"/>
      <c r="Q181" s="68"/>
      <c r="R181" s="68"/>
      <c r="S181" s="68"/>
      <c r="T181" s="68"/>
      <c r="U181" s="68"/>
      <c r="V181" s="68"/>
      <c r="W181" s="68"/>
      <c r="X181" s="68"/>
      <c r="Y181" s="68"/>
      <c r="Z181" s="68"/>
      <c r="AA181" s="68"/>
      <c r="AB181" s="68"/>
      <c r="AC181" s="68"/>
      <c r="AD181" s="68"/>
      <c r="AE181" s="68"/>
      <c r="AF181" s="68"/>
      <c r="AG181" s="68"/>
      <c r="AH181" s="68"/>
      <c r="AI181" s="68"/>
      <c r="AJ181" s="68"/>
      <c r="AK181" s="68"/>
      <c r="AL181" s="68"/>
      <c r="AM181" s="68"/>
      <c r="AN181" s="68"/>
      <c r="AO181" s="68"/>
      <c r="AP181" s="68"/>
      <c r="AQ181" s="68"/>
      <c r="AR181" s="59"/>
    </row>
    <row r="182" spans="2:44" ht="15.95" hidden="1" customHeight="1">
      <c r="B182" s="834">
        <v>84</v>
      </c>
      <c r="C182" s="68"/>
      <c r="D182" s="68"/>
      <c r="E182" s="68"/>
      <c r="F182" s="68"/>
      <c r="G182" s="68"/>
      <c r="H182" s="68"/>
      <c r="I182" s="68"/>
      <c r="J182" s="68"/>
      <c r="K182" s="68"/>
      <c r="L182" s="68"/>
      <c r="M182" s="68"/>
      <c r="N182" s="68"/>
      <c r="O182" s="68"/>
      <c r="P182" s="68"/>
      <c r="Q182" s="68"/>
      <c r="R182" s="68"/>
      <c r="S182" s="68"/>
      <c r="T182" s="68"/>
      <c r="U182" s="68"/>
      <c r="V182" s="68"/>
      <c r="W182" s="68"/>
      <c r="X182" s="68"/>
      <c r="Y182" s="68"/>
      <c r="Z182" s="68"/>
      <c r="AA182" s="68"/>
      <c r="AB182" s="68"/>
      <c r="AC182" s="68"/>
      <c r="AD182" s="68"/>
      <c r="AE182" s="68"/>
      <c r="AF182" s="68"/>
      <c r="AG182" s="68"/>
      <c r="AH182" s="68"/>
      <c r="AI182" s="68"/>
      <c r="AJ182" s="68"/>
      <c r="AK182" s="68"/>
      <c r="AL182" s="68"/>
      <c r="AM182" s="68"/>
      <c r="AN182" s="68"/>
      <c r="AO182" s="68"/>
      <c r="AP182" s="68"/>
      <c r="AQ182" s="68"/>
      <c r="AR182" s="59"/>
    </row>
    <row r="183" spans="2:44" ht="15.95" hidden="1" customHeight="1">
      <c r="B183" s="834"/>
      <c r="C183" s="68"/>
      <c r="D183" s="68"/>
      <c r="E183" s="68"/>
      <c r="F183" s="68"/>
      <c r="G183" s="68"/>
      <c r="H183" s="68"/>
      <c r="I183" s="68"/>
      <c r="J183" s="68"/>
      <c r="K183" s="68"/>
      <c r="L183" s="68"/>
      <c r="M183" s="68"/>
      <c r="N183" s="68"/>
      <c r="O183" s="68"/>
      <c r="P183" s="68"/>
      <c r="Q183" s="68"/>
      <c r="R183" s="68"/>
      <c r="S183" s="68"/>
      <c r="T183" s="68"/>
      <c r="U183" s="68"/>
      <c r="V183" s="68"/>
      <c r="W183" s="68"/>
      <c r="X183" s="68"/>
      <c r="Y183" s="68"/>
      <c r="Z183" s="68"/>
      <c r="AA183" s="68"/>
      <c r="AB183" s="68"/>
      <c r="AC183" s="68"/>
      <c r="AD183" s="68"/>
      <c r="AE183" s="68"/>
      <c r="AF183" s="68"/>
      <c r="AG183" s="68"/>
      <c r="AH183" s="68"/>
      <c r="AI183" s="68"/>
      <c r="AJ183" s="68"/>
      <c r="AK183" s="68"/>
      <c r="AL183" s="68"/>
      <c r="AM183" s="68"/>
      <c r="AN183" s="68"/>
      <c r="AO183" s="68"/>
      <c r="AP183" s="68"/>
      <c r="AQ183" s="68"/>
      <c r="AR183" s="59"/>
    </row>
    <row r="184" spans="2:44" ht="15.95" hidden="1" customHeight="1">
      <c r="B184" s="834">
        <v>85</v>
      </c>
      <c r="C184" s="68"/>
      <c r="D184" s="68"/>
      <c r="E184" s="68"/>
      <c r="F184" s="68"/>
      <c r="G184" s="68"/>
      <c r="H184" s="68"/>
      <c r="I184" s="68"/>
      <c r="J184" s="68"/>
      <c r="K184" s="68"/>
      <c r="L184" s="68"/>
      <c r="M184" s="68"/>
      <c r="N184" s="68"/>
      <c r="O184" s="68"/>
      <c r="P184" s="68"/>
      <c r="Q184" s="68"/>
      <c r="R184" s="68"/>
      <c r="S184" s="68"/>
      <c r="T184" s="68"/>
      <c r="U184" s="68"/>
      <c r="V184" s="68"/>
      <c r="W184" s="68"/>
      <c r="X184" s="68"/>
      <c r="Y184" s="68"/>
      <c r="Z184" s="68"/>
      <c r="AA184" s="68"/>
      <c r="AB184" s="68"/>
      <c r="AC184" s="68"/>
      <c r="AD184" s="68"/>
      <c r="AE184" s="68"/>
      <c r="AF184" s="68"/>
      <c r="AG184" s="68"/>
      <c r="AH184" s="68"/>
      <c r="AI184" s="68"/>
      <c r="AJ184" s="68"/>
      <c r="AK184" s="68"/>
      <c r="AL184" s="68"/>
      <c r="AM184" s="68"/>
      <c r="AN184" s="68"/>
      <c r="AO184" s="68"/>
      <c r="AP184" s="68"/>
      <c r="AQ184" s="68"/>
      <c r="AR184" s="59"/>
    </row>
    <row r="185" spans="2:44" ht="15.95" hidden="1" customHeight="1">
      <c r="B185" s="834"/>
      <c r="C185" s="68"/>
      <c r="D185" s="68"/>
      <c r="E185" s="68"/>
      <c r="F185" s="68"/>
      <c r="G185" s="68"/>
      <c r="H185" s="68"/>
      <c r="I185" s="68"/>
      <c r="J185" s="68"/>
      <c r="K185" s="68"/>
      <c r="L185" s="68"/>
      <c r="M185" s="68"/>
      <c r="N185" s="68"/>
      <c r="O185" s="68"/>
      <c r="P185" s="68"/>
      <c r="Q185" s="68"/>
      <c r="R185" s="68"/>
      <c r="S185" s="68"/>
      <c r="T185" s="68"/>
      <c r="U185" s="68"/>
      <c r="V185" s="68"/>
      <c r="W185" s="68"/>
      <c r="X185" s="68"/>
      <c r="Y185" s="68"/>
      <c r="Z185" s="68"/>
      <c r="AA185" s="68"/>
      <c r="AB185" s="68"/>
      <c r="AC185" s="68"/>
      <c r="AD185" s="68"/>
      <c r="AE185" s="68"/>
      <c r="AF185" s="68"/>
      <c r="AG185" s="68"/>
      <c r="AH185" s="68"/>
      <c r="AI185" s="68"/>
      <c r="AJ185" s="68"/>
      <c r="AK185" s="68"/>
      <c r="AL185" s="68"/>
      <c r="AM185" s="68"/>
      <c r="AN185" s="68"/>
      <c r="AO185" s="68"/>
      <c r="AP185" s="68"/>
      <c r="AQ185" s="68"/>
      <c r="AR185" s="59"/>
    </row>
    <row r="186" spans="2:44" ht="15.95" hidden="1" customHeight="1">
      <c r="B186" s="929">
        <v>86</v>
      </c>
      <c r="C186" s="8"/>
      <c r="D186" s="8"/>
      <c r="E186" s="8"/>
      <c r="F186" s="8"/>
      <c r="G186" s="8"/>
      <c r="H186" s="8"/>
      <c r="I186" s="8"/>
      <c r="J186" s="8"/>
      <c r="K186" s="8"/>
      <c r="L186" s="8"/>
      <c r="M186" s="8"/>
      <c r="N186" s="8"/>
      <c r="O186" s="8"/>
      <c r="P186" s="8"/>
      <c r="Q186" s="8"/>
      <c r="R186" s="8"/>
      <c r="S186" s="8"/>
      <c r="T186" s="8"/>
      <c r="U186" s="8"/>
      <c r="V186" s="8"/>
      <c r="W186" s="8"/>
      <c r="X186" s="8"/>
      <c r="Y186" s="8"/>
      <c r="Z186" s="8"/>
      <c r="AA186" s="8"/>
      <c r="AB186" s="8"/>
      <c r="AC186" s="8"/>
      <c r="AD186" s="8"/>
      <c r="AE186" s="8"/>
      <c r="AF186" s="8"/>
      <c r="AG186" s="8"/>
      <c r="AH186" s="8"/>
      <c r="AI186" s="8"/>
      <c r="AJ186" s="8"/>
      <c r="AK186" s="8"/>
      <c r="AL186" s="8"/>
      <c r="AM186" s="8"/>
      <c r="AN186" s="8"/>
      <c r="AO186" s="8"/>
      <c r="AP186" s="8"/>
      <c r="AQ186" s="8"/>
    </row>
    <row r="187" spans="2:44" ht="15.95" hidden="1" customHeight="1">
      <c r="B187" s="929"/>
      <c r="C187" s="8"/>
      <c r="D187" s="8"/>
      <c r="E187" s="8"/>
      <c r="F187" s="8"/>
      <c r="G187" s="8"/>
      <c r="H187" s="8"/>
      <c r="I187" s="8"/>
      <c r="J187" s="8"/>
      <c r="K187" s="8"/>
      <c r="L187" s="8"/>
      <c r="M187" s="8"/>
      <c r="N187" s="8"/>
      <c r="O187" s="8"/>
      <c r="P187" s="8"/>
      <c r="Q187" s="8"/>
      <c r="R187" s="8"/>
      <c r="S187" s="8"/>
      <c r="T187" s="8"/>
      <c r="U187" s="8"/>
      <c r="V187" s="8"/>
      <c r="W187" s="8"/>
      <c r="X187" s="8"/>
      <c r="Y187" s="8"/>
      <c r="Z187" s="8"/>
      <c r="AA187" s="8"/>
      <c r="AB187" s="8"/>
      <c r="AC187" s="8"/>
      <c r="AD187" s="8"/>
      <c r="AE187" s="8"/>
      <c r="AF187" s="8"/>
      <c r="AG187" s="8"/>
      <c r="AH187" s="8"/>
      <c r="AI187" s="8"/>
      <c r="AJ187" s="8"/>
      <c r="AK187" s="8"/>
      <c r="AL187" s="8"/>
      <c r="AM187" s="8"/>
      <c r="AN187" s="8"/>
      <c r="AO187" s="8"/>
      <c r="AP187" s="8"/>
      <c r="AQ187" s="8"/>
    </row>
    <row r="188" spans="2:44" ht="15.95" hidden="1" customHeight="1">
      <c r="B188" s="929">
        <v>87</v>
      </c>
      <c r="C188" s="8"/>
      <c r="D188" s="8"/>
      <c r="E188" s="8"/>
      <c r="F188" s="8"/>
      <c r="G188" s="8"/>
      <c r="H188" s="8"/>
      <c r="I188" s="8"/>
      <c r="J188" s="8"/>
      <c r="K188" s="8"/>
      <c r="L188" s="8"/>
      <c r="M188" s="8"/>
      <c r="N188" s="8"/>
      <c r="O188" s="8"/>
      <c r="P188" s="8"/>
      <c r="Q188" s="8"/>
      <c r="R188" s="8"/>
      <c r="S188" s="8"/>
      <c r="T188" s="8"/>
      <c r="U188" s="8"/>
      <c r="V188" s="8"/>
      <c r="W188" s="8"/>
      <c r="X188" s="8"/>
      <c r="Y188" s="8"/>
      <c r="Z188" s="8"/>
      <c r="AA188" s="8"/>
      <c r="AB188" s="8"/>
      <c r="AC188" s="8"/>
      <c r="AD188" s="8"/>
      <c r="AE188" s="8"/>
      <c r="AF188" s="8"/>
      <c r="AG188" s="8"/>
      <c r="AH188" s="8"/>
      <c r="AI188" s="8"/>
      <c r="AJ188" s="8"/>
      <c r="AK188" s="8"/>
      <c r="AL188" s="8"/>
      <c r="AM188" s="8"/>
      <c r="AN188" s="8"/>
      <c r="AO188" s="8"/>
      <c r="AP188" s="8"/>
      <c r="AQ188" s="8"/>
    </row>
    <row r="189" spans="2:44" ht="15.95" hidden="1" customHeight="1">
      <c r="B189" s="929"/>
      <c r="C189" s="8"/>
      <c r="D189" s="8"/>
      <c r="E189" s="8"/>
      <c r="F189" s="8"/>
      <c r="G189" s="8"/>
      <c r="H189" s="8"/>
      <c r="I189" s="8"/>
      <c r="J189" s="8"/>
      <c r="K189" s="8"/>
      <c r="L189" s="8"/>
      <c r="M189" s="8"/>
      <c r="N189" s="8"/>
      <c r="O189" s="8"/>
      <c r="P189" s="8"/>
      <c r="Q189" s="8"/>
      <c r="R189" s="8"/>
      <c r="S189" s="8"/>
      <c r="T189" s="8"/>
      <c r="U189" s="8"/>
      <c r="V189" s="8"/>
      <c r="W189" s="8"/>
      <c r="X189" s="8"/>
      <c r="Y189" s="8"/>
      <c r="Z189" s="8"/>
      <c r="AA189" s="8"/>
      <c r="AB189" s="8"/>
      <c r="AC189" s="8"/>
      <c r="AD189" s="8"/>
      <c r="AE189" s="8"/>
      <c r="AF189" s="8"/>
      <c r="AG189" s="8"/>
      <c r="AH189" s="8"/>
      <c r="AI189" s="8"/>
      <c r="AJ189" s="8"/>
      <c r="AK189" s="8"/>
      <c r="AL189" s="8"/>
      <c r="AM189" s="8"/>
      <c r="AN189" s="8"/>
      <c r="AO189" s="8"/>
      <c r="AP189" s="8"/>
      <c r="AQ189" s="8"/>
    </row>
    <row r="190" spans="2:44" ht="15.95" hidden="1" customHeight="1">
      <c r="B190" s="929">
        <v>88</v>
      </c>
      <c r="C190" s="8"/>
      <c r="D190" s="8"/>
      <c r="E190" s="8"/>
      <c r="F190" s="8"/>
      <c r="G190" s="8"/>
      <c r="H190" s="8"/>
      <c r="I190" s="8"/>
      <c r="J190" s="8"/>
      <c r="K190" s="8"/>
      <c r="L190" s="8"/>
      <c r="M190" s="8"/>
      <c r="N190" s="8"/>
      <c r="O190" s="8"/>
      <c r="P190" s="8"/>
      <c r="Q190" s="8"/>
      <c r="R190" s="8"/>
      <c r="S190" s="8"/>
      <c r="T190" s="8"/>
      <c r="U190" s="8"/>
      <c r="V190" s="8"/>
      <c r="W190" s="8"/>
      <c r="X190" s="8"/>
      <c r="Y190" s="8"/>
      <c r="Z190" s="8"/>
      <c r="AA190" s="8"/>
      <c r="AB190" s="8"/>
      <c r="AC190" s="8"/>
      <c r="AD190" s="8"/>
      <c r="AE190" s="8"/>
      <c r="AF190" s="8"/>
      <c r="AG190" s="8"/>
      <c r="AH190" s="8"/>
      <c r="AI190" s="8"/>
      <c r="AJ190" s="8"/>
      <c r="AK190" s="8"/>
      <c r="AL190" s="8"/>
      <c r="AM190" s="8"/>
      <c r="AN190" s="8"/>
      <c r="AO190" s="8"/>
      <c r="AP190" s="8"/>
      <c r="AQ190" s="8"/>
    </row>
    <row r="191" spans="2:44" ht="15.95" hidden="1" customHeight="1">
      <c r="B191" s="929"/>
      <c r="C191" s="8"/>
      <c r="D191" s="8"/>
      <c r="E191" s="8"/>
      <c r="F191" s="8"/>
      <c r="G191" s="8"/>
      <c r="H191" s="8"/>
      <c r="I191" s="8"/>
      <c r="J191" s="8"/>
      <c r="K191" s="8"/>
      <c r="L191" s="8"/>
      <c r="M191" s="8"/>
      <c r="N191" s="8"/>
      <c r="O191" s="8"/>
      <c r="P191" s="8"/>
      <c r="Q191" s="8"/>
      <c r="R191" s="8"/>
      <c r="S191" s="8"/>
      <c r="T191" s="8"/>
      <c r="U191" s="8"/>
      <c r="V191" s="8"/>
      <c r="W191" s="8"/>
      <c r="X191" s="8"/>
      <c r="Y191" s="8"/>
      <c r="Z191" s="8"/>
      <c r="AA191" s="8"/>
      <c r="AB191" s="8"/>
      <c r="AC191" s="8"/>
      <c r="AD191" s="8"/>
      <c r="AE191" s="8"/>
      <c r="AF191" s="8"/>
      <c r="AG191" s="8"/>
      <c r="AH191" s="8"/>
      <c r="AI191" s="8"/>
      <c r="AJ191" s="8"/>
      <c r="AK191" s="8"/>
      <c r="AL191" s="8"/>
      <c r="AM191" s="8"/>
      <c r="AN191" s="8"/>
      <c r="AO191" s="8"/>
      <c r="AP191" s="8"/>
      <c r="AQ191" s="8"/>
    </row>
    <row r="192" spans="2:44" ht="15.95" hidden="1" customHeight="1">
      <c r="B192" s="929">
        <v>89</v>
      </c>
      <c r="C192" s="8"/>
      <c r="D192" s="8"/>
      <c r="E192" s="8"/>
      <c r="F192" s="8"/>
      <c r="G192" s="8"/>
      <c r="H192" s="8"/>
      <c r="I192" s="8"/>
      <c r="J192" s="8"/>
      <c r="K192" s="8"/>
      <c r="L192" s="8"/>
      <c r="M192" s="8"/>
      <c r="N192" s="8"/>
      <c r="O192" s="8"/>
      <c r="P192" s="8"/>
      <c r="Q192" s="8"/>
      <c r="R192" s="8"/>
      <c r="S192" s="8"/>
      <c r="T192" s="8"/>
      <c r="U192" s="8"/>
      <c r="V192" s="8"/>
      <c r="W192" s="8"/>
      <c r="X192" s="8"/>
      <c r="Y192" s="8"/>
      <c r="Z192" s="8"/>
      <c r="AA192" s="8"/>
      <c r="AB192" s="8"/>
      <c r="AC192" s="8"/>
      <c r="AD192" s="8"/>
      <c r="AE192" s="8"/>
      <c r="AF192" s="8"/>
      <c r="AG192" s="8"/>
      <c r="AH192" s="8"/>
      <c r="AI192" s="8"/>
      <c r="AJ192" s="8"/>
      <c r="AK192" s="8"/>
      <c r="AL192" s="8"/>
      <c r="AM192" s="8"/>
      <c r="AN192" s="8"/>
      <c r="AO192" s="8"/>
      <c r="AP192" s="8"/>
      <c r="AQ192" s="8"/>
    </row>
    <row r="193" spans="2:44" ht="15.95" hidden="1" customHeight="1">
      <c r="B193" s="929"/>
      <c r="C193" s="8"/>
      <c r="D193" s="8"/>
      <c r="E193" s="8"/>
      <c r="F193" s="8"/>
      <c r="G193" s="8"/>
      <c r="H193" s="8"/>
      <c r="I193" s="8"/>
      <c r="J193" s="8"/>
      <c r="K193" s="8"/>
      <c r="L193" s="8"/>
      <c r="M193" s="8"/>
      <c r="N193" s="8"/>
      <c r="O193" s="8"/>
      <c r="P193" s="8"/>
      <c r="Q193" s="8"/>
      <c r="R193" s="8"/>
      <c r="S193" s="8"/>
      <c r="T193" s="8"/>
      <c r="U193" s="8"/>
      <c r="V193" s="8"/>
      <c r="W193" s="8"/>
      <c r="X193" s="8"/>
      <c r="Y193" s="8"/>
      <c r="Z193" s="8"/>
      <c r="AA193" s="8"/>
      <c r="AB193" s="8"/>
      <c r="AC193" s="8"/>
      <c r="AD193" s="8"/>
      <c r="AE193" s="8"/>
      <c r="AF193" s="8"/>
      <c r="AG193" s="8"/>
      <c r="AH193" s="8"/>
      <c r="AI193" s="8"/>
      <c r="AJ193" s="8"/>
      <c r="AK193" s="8"/>
      <c r="AL193" s="8"/>
      <c r="AM193" s="8"/>
      <c r="AN193" s="8"/>
      <c r="AO193" s="8"/>
      <c r="AP193" s="8"/>
      <c r="AQ193" s="8"/>
    </row>
    <row r="194" spans="2:44" ht="15.95" hidden="1" customHeight="1">
      <c r="B194" s="929">
        <v>90</v>
      </c>
      <c r="C194" s="8"/>
      <c r="D194" s="8"/>
      <c r="E194" s="8"/>
      <c r="F194" s="8"/>
      <c r="G194" s="8"/>
      <c r="H194" s="8"/>
      <c r="I194" s="8"/>
      <c r="J194" s="8"/>
      <c r="K194" s="8"/>
      <c r="L194" s="8"/>
      <c r="M194" s="8"/>
      <c r="N194" s="8"/>
      <c r="O194" s="8"/>
      <c r="P194" s="8"/>
      <c r="Q194" s="8"/>
      <c r="R194" s="8"/>
      <c r="S194" s="8"/>
      <c r="T194" s="8"/>
      <c r="U194" s="8"/>
      <c r="V194" s="8"/>
      <c r="W194" s="8"/>
      <c r="X194" s="8"/>
      <c r="Y194" s="8"/>
      <c r="Z194" s="8"/>
      <c r="AA194" s="8"/>
      <c r="AB194" s="8"/>
      <c r="AC194" s="8"/>
      <c r="AD194" s="8"/>
      <c r="AE194" s="8"/>
      <c r="AF194" s="8"/>
      <c r="AG194" s="8"/>
      <c r="AH194" s="8"/>
      <c r="AI194" s="8"/>
      <c r="AJ194" s="8"/>
      <c r="AK194" s="8"/>
      <c r="AL194" s="8"/>
      <c r="AM194" s="8"/>
      <c r="AN194" s="8"/>
      <c r="AO194" s="8"/>
      <c r="AP194" s="8"/>
      <c r="AQ194" s="8"/>
    </row>
    <row r="195" spans="2:44" ht="15.95" hidden="1" customHeight="1">
      <c r="B195" s="929"/>
      <c r="C195" s="8"/>
      <c r="D195" s="8"/>
      <c r="E195" s="8"/>
      <c r="F195" s="8"/>
      <c r="G195" s="8"/>
      <c r="H195" s="8"/>
      <c r="I195" s="8"/>
      <c r="J195" s="8"/>
      <c r="K195" s="8"/>
      <c r="L195" s="8"/>
      <c r="M195" s="8"/>
      <c r="N195" s="8"/>
      <c r="O195" s="8"/>
      <c r="P195" s="8"/>
      <c r="Q195" s="8"/>
      <c r="R195" s="8"/>
      <c r="S195" s="8"/>
      <c r="T195" s="8"/>
      <c r="U195" s="8"/>
      <c r="V195" s="8"/>
      <c r="W195" s="8"/>
      <c r="X195" s="8"/>
      <c r="Y195" s="8"/>
      <c r="Z195" s="8"/>
      <c r="AA195" s="8"/>
      <c r="AB195" s="8"/>
      <c r="AC195" s="8"/>
      <c r="AD195" s="8"/>
      <c r="AE195" s="8"/>
      <c r="AF195" s="8"/>
      <c r="AG195" s="8"/>
      <c r="AH195" s="8"/>
      <c r="AI195" s="8"/>
      <c r="AJ195" s="8"/>
      <c r="AK195" s="8"/>
      <c r="AL195" s="8"/>
      <c r="AM195" s="8"/>
      <c r="AN195" s="8"/>
      <c r="AO195" s="8"/>
      <c r="AP195" s="8"/>
      <c r="AQ195" s="8"/>
    </row>
    <row r="196" spans="2:44" ht="15.95" hidden="1" customHeight="1">
      <c r="B196" s="929">
        <v>91</v>
      </c>
      <c r="C196" s="8"/>
      <c r="D196" s="8"/>
      <c r="E196" s="8"/>
      <c r="F196" s="8"/>
      <c r="G196" s="8"/>
      <c r="H196" s="8"/>
      <c r="I196" s="8"/>
      <c r="J196" s="8"/>
      <c r="K196" s="8"/>
      <c r="L196" s="8"/>
      <c r="M196" s="8"/>
      <c r="N196" s="8"/>
      <c r="O196" s="8"/>
      <c r="P196" s="8"/>
      <c r="Q196" s="8"/>
      <c r="R196" s="8"/>
      <c r="S196" s="8"/>
      <c r="T196" s="8"/>
      <c r="U196" s="8"/>
      <c r="V196" s="8"/>
      <c r="W196" s="8"/>
      <c r="X196" s="8"/>
      <c r="Y196" s="8"/>
      <c r="Z196" s="8"/>
      <c r="AA196" s="8"/>
      <c r="AB196" s="8"/>
      <c r="AC196" s="8"/>
      <c r="AD196" s="8"/>
      <c r="AE196" s="8"/>
      <c r="AF196" s="8"/>
      <c r="AG196" s="8"/>
      <c r="AH196" s="8"/>
      <c r="AI196" s="8"/>
      <c r="AJ196" s="8"/>
      <c r="AK196" s="8"/>
      <c r="AL196" s="8"/>
      <c r="AM196" s="8"/>
      <c r="AN196" s="8"/>
      <c r="AO196" s="8"/>
      <c r="AP196" s="8"/>
      <c r="AQ196" s="8"/>
    </row>
    <row r="197" spans="2:44" ht="15.95" hidden="1" customHeight="1">
      <c r="B197" s="929"/>
      <c r="C197" s="8"/>
      <c r="D197" s="8"/>
      <c r="E197" s="8"/>
      <c r="F197" s="8"/>
      <c r="G197" s="8"/>
      <c r="H197" s="8"/>
      <c r="I197" s="8"/>
      <c r="J197" s="8"/>
      <c r="K197" s="8"/>
      <c r="L197" s="8"/>
      <c r="M197" s="8"/>
      <c r="N197" s="8"/>
      <c r="O197" s="8"/>
      <c r="P197" s="8"/>
      <c r="Q197" s="8"/>
      <c r="R197" s="8"/>
      <c r="S197" s="8"/>
      <c r="T197" s="8"/>
      <c r="U197" s="8"/>
      <c r="V197" s="8"/>
      <c r="W197" s="8"/>
      <c r="X197" s="8"/>
      <c r="Y197" s="8"/>
      <c r="Z197" s="8"/>
      <c r="AA197" s="8"/>
      <c r="AB197" s="8"/>
      <c r="AC197" s="8"/>
      <c r="AD197" s="8"/>
      <c r="AE197" s="8"/>
      <c r="AF197" s="8"/>
      <c r="AG197" s="8"/>
      <c r="AH197" s="8"/>
      <c r="AI197" s="8"/>
      <c r="AJ197" s="8"/>
      <c r="AK197" s="8"/>
      <c r="AL197" s="8"/>
      <c r="AM197" s="8"/>
      <c r="AN197" s="8"/>
      <c r="AO197" s="8"/>
      <c r="AP197" s="8"/>
      <c r="AQ197" s="8"/>
    </row>
    <row r="198" spans="2:44" ht="15.95" hidden="1" customHeight="1">
      <c r="B198" s="929">
        <v>92</v>
      </c>
      <c r="C198" s="8"/>
      <c r="D198" s="8"/>
      <c r="E198" s="8"/>
      <c r="F198" s="8"/>
      <c r="G198" s="8"/>
      <c r="H198" s="8"/>
      <c r="I198" s="8"/>
      <c r="J198" s="8"/>
      <c r="K198" s="8"/>
      <c r="L198" s="8"/>
      <c r="M198" s="8"/>
      <c r="N198" s="8"/>
      <c r="O198" s="8"/>
      <c r="P198" s="8"/>
      <c r="Q198" s="8"/>
      <c r="R198" s="8"/>
      <c r="S198" s="8"/>
      <c r="T198" s="8"/>
      <c r="U198" s="8"/>
      <c r="V198" s="8"/>
      <c r="W198" s="8"/>
      <c r="X198" s="8"/>
      <c r="Y198" s="8"/>
      <c r="Z198" s="8"/>
      <c r="AA198" s="8"/>
      <c r="AB198" s="8"/>
      <c r="AC198" s="8"/>
      <c r="AD198" s="8"/>
      <c r="AE198" s="8"/>
      <c r="AF198" s="8"/>
      <c r="AG198" s="8"/>
      <c r="AH198" s="8"/>
      <c r="AI198" s="8"/>
      <c r="AJ198" s="8"/>
      <c r="AK198" s="8"/>
      <c r="AL198" s="8"/>
      <c r="AM198" s="8"/>
      <c r="AN198" s="8"/>
      <c r="AO198" s="8"/>
      <c r="AP198" s="8"/>
      <c r="AQ198" s="8"/>
    </row>
    <row r="199" spans="2:44" ht="15.95" hidden="1" customHeight="1">
      <c r="B199" s="929"/>
      <c r="C199" s="8"/>
      <c r="D199" s="8"/>
      <c r="E199" s="8"/>
      <c r="F199" s="8"/>
      <c r="G199" s="8"/>
      <c r="H199" s="8"/>
      <c r="I199" s="8"/>
      <c r="J199" s="8"/>
      <c r="K199" s="8"/>
      <c r="L199" s="8"/>
      <c r="M199" s="8"/>
      <c r="N199" s="8"/>
      <c r="O199" s="8"/>
      <c r="P199" s="8"/>
      <c r="Q199" s="8"/>
      <c r="R199" s="8"/>
      <c r="S199" s="8"/>
      <c r="T199" s="8"/>
      <c r="U199" s="8"/>
      <c r="V199" s="8"/>
      <c r="W199" s="8"/>
      <c r="X199" s="8"/>
      <c r="Y199" s="8"/>
      <c r="Z199" s="8"/>
      <c r="AA199" s="8"/>
      <c r="AB199" s="8"/>
      <c r="AC199" s="8"/>
      <c r="AD199" s="8"/>
      <c r="AE199" s="8"/>
      <c r="AF199" s="8"/>
      <c r="AG199" s="8"/>
      <c r="AH199" s="8"/>
      <c r="AI199" s="8"/>
      <c r="AJ199" s="8"/>
      <c r="AK199" s="8"/>
      <c r="AL199" s="8"/>
      <c r="AM199" s="8"/>
      <c r="AN199" s="8"/>
      <c r="AO199" s="8"/>
      <c r="AP199" s="8"/>
      <c r="AQ199" s="8"/>
    </row>
    <row r="200" spans="2:44" ht="15.95" customHeight="1">
      <c r="B200" s="277" t="str">
        <f>FOOT1</f>
        <v>NIPSCO Energy Efficiency Program</v>
      </c>
      <c r="C200" s="277"/>
      <c r="D200" s="277"/>
      <c r="E200" s="277"/>
      <c r="F200" s="277"/>
      <c r="G200" s="277"/>
      <c r="H200" s="277"/>
      <c r="I200" s="277"/>
      <c r="J200" s="277"/>
      <c r="K200" s="277"/>
      <c r="L200" s="277"/>
      <c r="M200" s="694" t="str">
        <f>FOOT4</f>
        <v>NIPSCO’s energy efficiency programs are administered by TRC, a third‐party implementation specialist that helps homes and businesses save energy.</v>
      </c>
      <c r="N200" s="694"/>
      <c r="O200" s="694"/>
      <c r="P200" s="694"/>
      <c r="Q200" s="694"/>
      <c r="R200" s="694"/>
      <c r="S200" s="694"/>
      <c r="T200" s="694"/>
      <c r="U200" s="694"/>
      <c r="V200" s="694"/>
      <c r="W200" s="694"/>
      <c r="X200" s="694"/>
      <c r="Y200" s="694"/>
      <c r="Z200" s="694"/>
      <c r="AA200" s="694"/>
      <c r="AB200" s="694"/>
      <c r="AC200" s="694"/>
      <c r="AD200" s="694"/>
      <c r="AE200" s="694"/>
      <c r="AF200" s="694"/>
      <c r="AG200" s="694"/>
      <c r="AH200" s="277"/>
      <c r="AI200" s="277"/>
      <c r="AJ200" s="277"/>
      <c r="AK200" s="277"/>
      <c r="AL200" s="277"/>
      <c r="AM200" s="277"/>
      <c r="AN200" s="277"/>
      <c r="AO200" s="277"/>
      <c r="AP200" s="277"/>
      <c r="AQ200" s="277"/>
      <c r="AR200" s="280" t="str">
        <f>FOOTDISCLAIM</f>
        <v/>
      </c>
    </row>
    <row r="201" spans="2:44" ht="15.95" customHeight="1">
      <c r="B201" s="277" t="str">
        <f>FOOT2</f>
        <v>Toll-Free 800-299-2501</v>
      </c>
      <c r="C201" s="277"/>
      <c r="D201" s="277"/>
      <c r="E201" s="277"/>
      <c r="F201" s="277"/>
      <c r="G201" s="277"/>
      <c r="H201" s="277"/>
      <c r="I201" s="277"/>
      <c r="J201" s="277"/>
      <c r="K201" s="277"/>
      <c r="L201" s="277"/>
      <c r="M201" s="694"/>
      <c r="N201" s="694"/>
      <c r="O201" s="694"/>
      <c r="P201" s="694"/>
      <c r="Q201" s="694"/>
      <c r="R201" s="694"/>
      <c r="S201" s="694"/>
      <c r="T201" s="694"/>
      <c r="U201" s="694"/>
      <c r="V201" s="694"/>
      <c r="W201" s="694"/>
      <c r="X201" s="694"/>
      <c r="Y201" s="694"/>
      <c r="Z201" s="694"/>
      <c r="AA201" s="694"/>
      <c r="AB201" s="694"/>
      <c r="AC201" s="694"/>
      <c r="AD201" s="694"/>
      <c r="AE201" s="694"/>
      <c r="AF201" s="694"/>
      <c r="AG201" s="694"/>
      <c r="AH201" s="277"/>
      <c r="AI201" s="277"/>
      <c r="AJ201" s="277"/>
      <c r="AK201" s="277"/>
      <c r="AL201" s="277"/>
      <c r="AM201" s="277"/>
      <c r="AN201" s="277"/>
      <c r="AO201" s="277"/>
      <c r="AP201" s="277"/>
      <c r="AQ201" s="277"/>
      <c r="AR201" s="280" t="str">
        <f>FOOT5</f>
        <v/>
      </c>
    </row>
    <row r="202" spans="2:44" ht="15.95" customHeight="1">
      <c r="B202" s="281" t="s">
        <v>1547</v>
      </c>
      <c r="C202" s="277"/>
      <c r="D202" s="277"/>
      <c r="E202" s="277"/>
      <c r="F202" s="277"/>
      <c r="G202" s="277"/>
      <c r="H202" s="277"/>
      <c r="I202" s="277"/>
      <c r="J202" s="277"/>
      <c r="K202" s="277"/>
      <c r="L202" s="277"/>
      <c r="M202" s="279"/>
      <c r="N202" s="277"/>
      <c r="O202" s="277"/>
      <c r="P202" s="279"/>
      <c r="Q202" s="279"/>
      <c r="R202" s="279"/>
      <c r="S202" s="279"/>
      <c r="T202" s="279"/>
      <c r="U202" s="279"/>
      <c r="V202" s="279"/>
      <c r="W202" s="283" t="str">
        <f>VERSION</f>
        <v>Custom Prescriptive Application v3.7.1</v>
      </c>
      <c r="X202" s="279"/>
      <c r="Y202" s="279"/>
      <c r="Z202" s="279"/>
      <c r="AA202" s="279"/>
      <c r="AB202" s="279"/>
      <c r="AC202" s="279"/>
      <c r="AD202" s="279"/>
      <c r="AE202" s="277"/>
      <c r="AF202" s="277"/>
      <c r="AG202" s="277"/>
      <c r="AH202" s="277"/>
      <c r="AI202" s="277"/>
      <c r="AJ202" s="277"/>
      <c r="AK202" s="277"/>
      <c r="AL202" s="277"/>
      <c r="AM202" s="277"/>
      <c r="AN202" s="277"/>
      <c r="AO202" s="277"/>
      <c r="AP202" s="277"/>
      <c r="AQ202" s="277"/>
      <c r="AR202" s="280" t="str">
        <f>FOOT6</f>
        <v>Product of TRC</v>
      </c>
    </row>
    <row r="203" spans="2:44" ht="15" hidden="1" customHeight="1"/>
  </sheetData>
  <sheetProtection algorithmName="SHA-512" hashValue="4YGSg2TGaSXc5kZX+rd5E2OSga+OpkrqizgNSyFEVncyWSO6CZrVAUSd6tzSoaLmGunJvbSULApEwguExp1mSw==" saltValue="78WxuKhZ1MIZRuojvxmWbw==" spinCount="100000" sheet="1" objects="1" scenarios="1" selectLockedCells="1"/>
  <mergeCells count="1354">
    <mergeCell ref="BF14:BF15"/>
    <mergeCell ref="BF16:BF17"/>
    <mergeCell ref="BF18:BF19"/>
    <mergeCell ref="BF20:BF21"/>
    <mergeCell ref="BF22:BF23"/>
    <mergeCell ref="BF24:BF25"/>
    <mergeCell ref="BF26:BF27"/>
    <mergeCell ref="BF28:BF29"/>
    <mergeCell ref="BF30:BF31"/>
    <mergeCell ref="BF32:BF33"/>
    <mergeCell ref="BF34:BF35"/>
    <mergeCell ref="BD14:BD15"/>
    <mergeCell ref="BD16:BD17"/>
    <mergeCell ref="BD18:BD19"/>
    <mergeCell ref="BD20:BD21"/>
    <mergeCell ref="BD22:BD23"/>
    <mergeCell ref="BD24:BD25"/>
    <mergeCell ref="BD26:BD27"/>
    <mergeCell ref="BD28:BD29"/>
    <mergeCell ref="BD30:BD31"/>
    <mergeCell ref="BD32:BD33"/>
    <mergeCell ref="BD34:BD35"/>
    <mergeCell ref="BE14:BE15"/>
    <mergeCell ref="BE34:BE35"/>
    <mergeCell ref="AX112:AX113"/>
    <mergeCell ref="AY114:AY115"/>
    <mergeCell ref="AZ114:AZ115"/>
    <mergeCell ref="BA114:BA115"/>
    <mergeCell ref="BB114:BB115"/>
    <mergeCell ref="BC114:BC115"/>
    <mergeCell ref="BD114:BD115"/>
    <mergeCell ref="AY112:AY113"/>
    <mergeCell ref="AZ112:AZ113"/>
    <mergeCell ref="BA112:BA113"/>
    <mergeCell ref="BB112:BB113"/>
    <mergeCell ref="BC112:BC113"/>
    <mergeCell ref="BD112:BD113"/>
    <mergeCell ref="AX114:AX115"/>
    <mergeCell ref="AX108:AX109"/>
    <mergeCell ref="BA108:BA109"/>
    <mergeCell ref="BB108:BB109"/>
    <mergeCell ref="BC108:BC109"/>
    <mergeCell ref="BD108:BD109"/>
    <mergeCell ref="AX110:AX111"/>
    <mergeCell ref="AY110:AY111"/>
    <mergeCell ref="AZ110:AZ111"/>
    <mergeCell ref="BA110:BA111"/>
    <mergeCell ref="BB110:BB111"/>
    <mergeCell ref="BC110:BC111"/>
    <mergeCell ref="BD110:BD111"/>
    <mergeCell ref="C114:E115"/>
    <mergeCell ref="F114:K115"/>
    <mergeCell ref="L114:O115"/>
    <mergeCell ref="P114:Q115"/>
    <mergeCell ref="R114:S115"/>
    <mergeCell ref="T114:W115"/>
    <mergeCell ref="X114:Y115"/>
    <mergeCell ref="Z114:AA115"/>
    <mergeCell ref="AB114:AC115"/>
    <mergeCell ref="AD114:AE115"/>
    <mergeCell ref="AF114:AG115"/>
    <mergeCell ref="AH114:AJ115"/>
    <mergeCell ref="AK114:AM115"/>
    <mergeCell ref="AN114:AQ115"/>
    <mergeCell ref="AU114:AU115"/>
    <mergeCell ref="AV114:AV115"/>
    <mergeCell ref="AW114:AW115"/>
    <mergeCell ref="C112:E113"/>
    <mergeCell ref="F112:K113"/>
    <mergeCell ref="L112:O113"/>
    <mergeCell ref="P112:Q113"/>
    <mergeCell ref="R112:S113"/>
    <mergeCell ref="T112:W113"/>
    <mergeCell ref="X112:Y113"/>
    <mergeCell ref="Z112:AA113"/>
    <mergeCell ref="AB112:AC113"/>
    <mergeCell ref="AD112:AE113"/>
    <mergeCell ref="AF112:AG113"/>
    <mergeCell ref="AH112:AJ113"/>
    <mergeCell ref="AK112:AM113"/>
    <mergeCell ref="AN112:AQ113"/>
    <mergeCell ref="AU112:AU113"/>
    <mergeCell ref="AV112:AV113"/>
    <mergeCell ref="AW112:AW113"/>
    <mergeCell ref="L108:O109"/>
    <mergeCell ref="P108:Q109"/>
    <mergeCell ref="R108:S109"/>
    <mergeCell ref="T108:W109"/>
    <mergeCell ref="X108:Y109"/>
    <mergeCell ref="Z108:AA109"/>
    <mergeCell ref="AB108:AC109"/>
    <mergeCell ref="AD108:AE109"/>
    <mergeCell ref="AF108:AG109"/>
    <mergeCell ref="AH108:AJ109"/>
    <mergeCell ref="AK108:AM109"/>
    <mergeCell ref="AN108:AQ109"/>
    <mergeCell ref="AU108:AU109"/>
    <mergeCell ref="AV108:AV109"/>
    <mergeCell ref="AW108:AW109"/>
    <mergeCell ref="AY108:AY109"/>
    <mergeCell ref="AZ108:AZ109"/>
    <mergeCell ref="C110:E111"/>
    <mergeCell ref="F110:K111"/>
    <mergeCell ref="L110:O111"/>
    <mergeCell ref="P110:Q111"/>
    <mergeCell ref="R110:S111"/>
    <mergeCell ref="T110:W111"/>
    <mergeCell ref="X110:Y111"/>
    <mergeCell ref="Z110:AA111"/>
    <mergeCell ref="AB110:AC111"/>
    <mergeCell ref="AD110:AE111"/>
    <mergeCell ref="AF110:AG111"/>
    <mergeCell ref="AH110:AJ111"/>
    <mergeCell ref="AK110:AM111"/>
    <mergeCell ref="AN110:AQ111"/>
    <mergeCell ref="AU110:AU111"/>
    <mergeCell ref="AV110:AV111"/>
    <mergeCell ref="AW110:AW111"/>
    <mergeCell ref="C108:E109"/>
    <mergeCell ref="F108:K109"/>
    <mergeCell ref="AX104:AX105"/>
    <mergeCell ref="AY104:AY105"/>
    <mergeCell ref="AZ104:AZ105"/>
    <mergeCell ref="BA104:BA105"/>
    <mergeCell ref="BB104:BB105"/>
    <mergeCell ref="BC104:BC105"/>
    <mergeCell ref="BD104:BD105"/>
    <mergeCell ref="C106:E107"/>
    <mergeCell ref="F106:K107"/>
    <mergeCell ref="L106:O107"/>
    <mergeCell ref="P106:Q107"/>
    <mergeCell ref="R106:S107"/>
    <mergeCell ref="T106:W107"/>
    <mergeCell ref="X106:Y107"/>
    <mergeCell ref="Z106:AA107"/>
    <mergeCell ref="AB106:AC107"/>
    <mergeCell ref="AD106:AE107"/>
    <mergeCell ref="AF106:AG107"/>
    <mergeCell ref="AH106:AJ107"/>
    <mergeCell ref="AK106:AM107"/>
    <mergeCell ref="AN106:AQ107"/>
    <mergeCell ref="AU106:AU107"/>
    <mergeCell ref="AV106:AV107"/>
    <mergeCell ref="AW106:AW107"/>
    <mergeCell ref="AX106:AX107"/>
    <mergeCell ref="AZ106:AZ107"/>
    <mergeCell ref="BA106:BA107"/>
    <mergeCell ref="BB106:BB107"/>
    <mergeCell ref="BC106:BC107"/>
    <mergeCell ref="BD106:BD107"/>
    <mergeCell ref="C104:E105"/>
    <mergeCell ref="F104:K105"/>
    <mergeCell ref="L104:O105"/>
    <mergeCell ref="P104:Q105"/>
    <mergeCell ref="R104:S105"/>
    <mergeCell ref="T104:W105"/>
    <mergeCell ref="X104:Y105"/>
    <mergeCell ref="Z104:AA105"/>
    <mergeCell ref="AB104:AC105"/>
    <mergeCell ref="AD104:AE105"/>
    <mergeCell ref="AF104:AG105"/>
    <mergeCell ref="AH104:AJ105"/>
    <mergeCell ref="AK104:AM105"/>
    <mergeCell ref="AN104:AQ105"/>
    <mergeCell ref="AU104:AU105"/>
    <mergeCell ref="AV104:AV105"/>
    <mergeCell ref="AW104:AW105"/>
    <mergeCell ref="L100:O101"/>
    <mergeCell ref="P100:Q101"/>
    <mergeCell ref="R100:S101"/>
    <mergeCell ref="T100:W101"/>
    <mergeCell ref="X100:Y101"/>
    <mergeCell ref="Z100:AA101"/>
    <mergeCell ref="AB100:AC101"/>
    <mergeCell ref="AD100:AE101"/>
    <mergeCell ref="AF100:AG101"/>
    <mergeCell ref="AH100:AJ101"/>
    <mergeCell ref="AK100:AM101"/>
    <mergeCell ref="AN100:AQ101"/>
    <mergeCell ref="AU100:AU101"/>
    <mergeCell ref="AV100:AV101"/>
    <mergeCell ref="AW100:AW101"/>
    <mergeCell ref="AY100:AY101"/>
    <mergeCell ref="AY106:AY107"/>
    <mergeCell ref="AZ100:AZ101"/>
    <mergeCell ref="BA100:BA101"/>
    <mergeCell ref="BB100:BB101"/>
    <mergeCell ref="BC100:BC101"/>
    <mergeCell ref="BD100:BD101"/>
    <mergeCell ref="C102:E103"/>
    <mergeCell ref="F102:K103"/>
    <mergeCell ref="L102:O103"/>
    <mergeCell ref="P102:Q103"/>
    <mergeCell ref="R102:S103"/>
    <mergeCell ref="T102:W103"/>
    <mergeCell ref="X102:Y103"/>
    <mergeCell ref="Z102:AA103"/>
    <mergeCell ref="AB102:AC103"/>
    <mergeCell ref="AD102:AE103"/>
    <mergeCell ref="AF102:AG103"/>
    <mergeCell ref="AH102:AJ103"/>
    <mergeCell ref="AK102:AM103"/>
    <mergeCell ref="AN102:AQ103"/>
    <mergeCell ref="AU102:AU103"/>
    <mergeCell ref="AV102:AV103"/>
    <mergeCell ref="AW102:AW103"/>
    <mergeCell ref="AX102:AX103"/>
    <mergeCell ref="AY102:AY103"/>
    <mergeCell ref="AZ102:AZ103"/>
    <mergeCell ref="BA102:BA103"/>
    <mergeCell ref="BB102:BB103"/>
    <mergeCell ref="BC102:BC103"/>
    <mergeCell ref="BD102:BD103"/>
    <mergeCell ref="C100:E101"/>
    <mergeCell ref="F100:K101"/>
    <mergeCell ref="AX100:AX101"/>
    <mergeCell ref="AX96:AX97"/>
    <mergeCell ref="AY96:AY97"/>
    <mergeCell ref="AZ96:AZ97"/>
    <mergeCell ref="BA96:BA97"/>
    <mergeCell ref="BB96:BB97"/>
    <mergeCell ref="BC96:BC97"/>
    <mergeCell ref="BD96:BD97"/>
    <mergeCell ref="C98:E99"/>
    <mergeCell ref="F98:K99"/>
    <mergeCell ref="L98:O99"/>
    <mergeCell ref="P98:Q99"/>
    <mergeCell ref="R98:S99"/>
    <mergeCell ref="T98:W99"/>
    <mergeCell ref="X98:Y99"/>
    <mergeCell ref="Z98:AA99"/>
    <mergeCell ref="AB98:AC99"/>
    <mergeCell ref="AD98:AE99"/>
    <mergeCell ref="AF98:AG99"/>
    <mergeCell ref="AH98:AJ99"/>
    <mergeCell ref="AK98:AM99"/>
    <mergeCell ref="AN98:AQ99"/>
    <mergeCell ref="AU98:AU99"/>
    <mergeCell ref="AV98:AV99"/>
    <mergeCell ref="AW98:AW99"/>
    <mergeCell ref="AX98:AX99"/>
    <mergeCell ref="AY98:AY99"/>
    <mergeCell ref="AZ98:AZ99"/>
    <mergeCell ref="BA98:BA99"/>
    <mergeCell ref="BB98:BB99"/>
    <mergeCell ref="BC98:BC99"/>
    <mergeCell ref="BD98:BD99"/>
    <mergeCell ref="C96:E97"/>
    <mergeCell ref="F96:K97"/>
    <mergeCell ref="L96:O97"/>
    <mergeCell ref="P96:Q97"/>
    <mergeCell ref="R96:S97"/>
    <mergeCell ref="T96:W97"/>
    <mergeCell ref="X96:Y97"/>
    <mergeCell ref="Z96:AA97"/>
    <mergeCell ref="AB96:AC97"/>
    <mergeCell ref="AD96:AE97"/>
    <mergeCell ref="AF96:AG97"/>
    <mergeCell ref="AH96:AJ97"/>
    <mergeCell ref="AK96:AM97"/>
    <mergeCell ref="AN96:AQ97"/>
    <mergeCell ref="AU96:AU97"/>
    <mergeCell ref="AV96:AV97"/>
    <mergeCell ref="AW96:AW97"/>
    <mergeCell ref="AX92:AX93"/>
    <mergeCell ref="L92:O93"/>
    <mergeCell ref="P92:Q93"/>
    <mergeCell ref="R92:S93"/>
    <mergeCell ref="T92:W93"/>
    <mergeCell ref="X92:Y93"/>
    <mergeCell ref="Z92:AA93"/>
    <mergeCell ref="AB92:AC93"/>
    <mergeCell ref="AD92:AE93"/>
    <mergeCell ref="AF92:AG93"/>
    <mergeCell ref="AH92:AJ93"/>
    <mergeCell ref="AK92:AM93"/>
    <mergeCell ref="AN92:AQ93"/>
    <mergeCell ref="AU92:AU93"/>
    <mergeCell ref="AV92:AV93"/>
    <mergeCell ref="AW92:AW93"/>
    <mergeCell ref="AY92:AY93"/>
    <mergeCell ref="AZ92:AZ93"/>
    <mergeCell ref="BA92:BA93"/>
    <mergeCell ref="BB92:BB93"/>
    <mergeCell ref="BC92:BC93"/>
    <mergeCell ref="BD92:BD93"/>
    <mergeCell ref="C94:E95"/>
    <mergeCell ref="F94:K95"/>
    <mergeCell ref="L94:O95"/>
    <mergeCell ref="P94:Q95"/>
    <mergeCell ref="R94:S95"/>
    <mergeCell ref="T94:W95"/>
    <mergeCell ref="X94:Y95"/>
    <mergeCell ref="Z94:AA95"/>
    <mergeCell ref="AB94:AC95"/>
    <mergeCell ref="AD94:AE95"/>
    <mergeCell ref="AF94:AG95"/>
    <mergeCell ref="AH94:AJ95"/>
    <mergeCell ref="AK94:AM95"/>
    <mergeCell ref="AN94:AQ95"/>
    <mergeCell ref="AU94:AU95"/>
    <mergeCell ref="AV94:AV95"/>
    <mergeCell ref="AW94:AW95"/>
    <mergeCell ref="AX94:AX95"/>
    <mergeCell ref="AY94:AY95"/>
    <mergeCell ref="AZ94:AZ95"/>
    <mergeCell ref="BA94:BA95"/>
    <mergeCell ref="BB94:BB95"/>
    <mergeCell ref="BC94:BC95"/>
    <mergeCell ref="BD94:BD95"/>
    <mergeCell ref="C92:E93"/>
    <mergeCell ref="F92:K93"/>
    <mergeCell ref="AX88:AX89"/>
    <mergeCell ref="AY88:AY89"/>
    <mergeCell ref="AZ88:AZ89"/>
    <mergeCell ref="BA88:BA89"/>
    <mergeCell ref="BB88:BB89"/>
    <mergeCell ref="BC88:BC89"/>
    <mergeCell ref="BD88:BD89"/>
    <mergeCell ref="C90:E91"/>
    <mergeCell ref="F90:K91"/>
    <mergeCell ref="L90:O91"/>
    <mergeCell ref="P90:Q91"/>
    <mergeCell ref="R90:S91"/>
    <mergeCell ref="T90:W91"/>
    <mergeCell ref="X90:Y91"/>
    <mergeCell ref="Z90:AA91"/>
    <mergeCell ref="AB90:AC91"/>
    <mergeCell ref="AD90:AE91"/>
    <mergeCell ref="AF90:AG91"/>
    <mergeCell ref="AH90:AJ91"/>
    <mergeCell ref="AK90:AM91"/>
    <mergeCell ref="AN90:AQ91"/>
    <mergeCell ref="AU90:AU91"/>
    <mergeCell ref="AV90:AV91"/>
    <mergeCell ref="AW90:AW91"/>
    <mergeCell ref="AX90:AX91"/>
    <mergeCell ref="AY90:AY91"/>
    <mergeCell ref="AZ90:AZ91"/>
    <mergeCell ref="BA90:BA91"/>
    <mergeCell ref="BB90:BB91"/>
    <mergeCell ref="BC90:BC91"/>
    <mergeCell ref="BD90:BD91"/>
    <mergeCell ref="C88:E89"/>
    <mergeCell ref="F88:K89"/>
    <mergeCell ref="L88:O89"/>
    <mergeCell ref="P88:Q89"/>
    <mergeCell ref="R88:S89"/>
    <mergeCell ref="T88:W89"/>
    <mergeCell ref="X88:Y89"/>
    <mergeCell ref="Z88:AA89"/>
    <mergeCell ref="AB88:AC89"/>
    <mergeCell ref="AD88:AE89"/>
    <mergeCell ref="AF88:AG89"/>
    <mergeCell ref="AH88:AJ89"/>
    <mergeCell ref="AK88:AM89"/>
    <mergeCell ref="AN88:AQ89"/>
    <mergeCell ref="AU88:AU89"/>
    <mergeCell ref="AV88:AV89"/>
    <mergeCell ref="AW88:AW89"/>
    <mergeCell ref="AX84:AX85"/>
    <mergeCell ref="L84:O85"/>
    <mergeCell ref="P84:Q85"/>
    <mergeCell ref="R84:S85"/>
    <mergeCell ref="T84:W85"/>
    <mergeCell ref="X84:Y85"/>
    <mergeCell ref="Z84:AA85"/>
    <mergeCell ref="AB84:AC85"/>
    <mergeCell ref="AD84:AE85"/>
    <mergeCell ref="AF84:AG85"/>
    <mergeCell ref="AH84:AJ85"/>
    <mergeCell ref="AK84:AM85"/>
    <mergeCell ref="AN84:AQ85"/>
    <mergeCell ref="AU84:AU85"/>
    <mergeCell ref="AV84:AV85"/>
    <mergeCell ref="AW84:AW85"/>
    <mergeCell ref="AY84:AY85"/>
    <mergeCell ref="AZ84:AZ85"/>
    <mergeCell ref="BA84:BA85"/>
    <mergeCell ref="BB84:BB85"/>
    <mergeCell ref="BC84:BC85"/>
    <mergeCell ref="BD84:BD85"/>
    <mergeCell ref="C86:E87"/>
    <mergeCell ref="F86:K87"/>
    <mergeCell ref="L86:O87"/>
    <mergeCell ref="P86:Q87"/>
    <mergeCell ref="R86:S87"/>
    <mergeCell ref="T86:W87"/>
    <mergeCell ref="X86:Y87"/>
    <mergeCell ref="Z86:AA87"/>
    <mergeCell ref="AB86:AC87"/>
    <mergeCell ref="AD86:AE87"/>
    <mergeCell ref="AF86:AG87"/>
    <mergeCell ref="AH86:AJ87"/>
    <mergeCell ref="AK86:AM87"/>
    <mergeCell ref="AN86:AQ87"/>
    <mergeCell ref="AU86:AU87"/>
    <mergeCell ref="AV86:AV87"/>
    <mergeCell ref="AW86:AW87"/>
    <mergeCell ref="AX86:AX87"/>
    <mergeCell ref="AY86:AY87"/>
    <mergeCell ref="AZ86:AZ87"/>
    <mergeCell ref="BA86:BA87"/>
    <mergeCell ref="BB86:BB87"/>
    <mergeCell ref="BC86:BC87"/>
    <mergeCell ref="BD86:BD87"/>
    <mergeCell ref="C84:E85"/>
    <mergeCell ref="F84:K85"/>
    <mergeCell ref="AX80:AX81"/>
    <mergeCell ref="AY80:AY81"/>
    <mergeCell ref="AZ80:AZ81"/>
    <mergeCell ref="BA80:BA81"/>
    <mergeCell ref="BB80:BB81"/>
    <mergeCell ref="BC80:BC81"/>
    <mergeCell ref="BD80:BD81"/>
    <mergeCell ref="C82:E83"/>
    <mergeCell ref="F82:K83"/>
    <mergeCell ref="L82:O83"/>
    <mergeCell ref="P82:Q83"/>
    <mergeCell ref="R82:S83"/>
    <mergeCell ref="T82:W83"/>
    <mergeCell ref="X82:Y83"/>
    <mergeCell ref="Z82:AA83"/>
    <mergeCell ref="AB82:AC83"/>
    <mergeCell ref="AD82:AE83"/>
    <mergeCell ref="AF82:AG83"/>
    <mergeCell ref="AH82:AJ83"/>
    <mergeCell ref="AK82:AM83"/>
    <mergeCell ref="AN82:AQ83"/>
    <mergeCell ref="AU82:AU83"/>
    <mergeCell ref="AV82:AV83"/>
    <mergeCell ref="AW82:AW83"/>
    <mergeCell ref="AX82:AX83"/>
    <mergeCell ref="AY82:AY83"/>
    <mergeCell ref="AZ82:AZ83"/>
    <mergeCell ref="BA82:BA83"/>
    <mergeCell ref="BB82:BB83"/>
    <mergeCell ref="BC82:BC83"/>
    <mergeCell ref="BD82:BD83"/>
    <mergeCell ref="C80:E81"/>
    <mergeCell ref="F80:K81"/>
    <mergeCell ref="L80:O81"/>
    <mergeCell ref="P80:Q81"/>
    <mergeCell ref="R80:S81"/>
    <mergeCell ref="T80:W81"/>
    <mergeCell ref="X80:Y81"/>
    <mergeCell ref="Z80:AA81"/>
    <mergeCell ref="AB80:AC81"/>
    <mergeCell ref="AD80:AE81"/>
    <mergeCell ref="AF80:AG81"/>
    <mergeCell ref="AH80:AJ81"/>
    <mergeCell ref="AK80:AM81"/>
    <mergeCell ref="AN80:AQ81"/>
    <mergeCell ref="AU80:AU81"/>
    <mergeCell ref="AV80:AV81"/>
    <mergeCell ref="AW80:AW81"/>
    <mergeCell ref="AX76:AX77"/>
    <mergeCell ref="L76:O77"/>
    <mergeCell ref="P76:Q77"/>
    <mergeCell ref="R76:S77"/>
    <mergeCell ref="T76:W77"/>
    <mergeCell ref="X76:Y77"/>
    <mergeCell ref="Z76:AA77"/>
    <mergeCell ref="AB76:AC77"/>
    <mergeCell ref="AD76:AE77"/>
    <mergeCell ref="AF76:AG77"/>
    <mergeCell ref="AH76:AJ77"/>
    <mergeCell ref="AK76:AM77"/>
    <mergeCell ref="AN76:AQ77"/>
    <mergeCell ref="AU76:AU77"/>
    <mergeCell ref="AV76:AV77"/>
    <mergeCell ref="AW76:AW77"/>
    <mergeCell ref="AY76:AY77"/>
    <mergeCell ref="AZ76:AZ77"/>
    <mergeCell ref="BA76:BA77"/>
    <mergeCell ref="BB76:BB77"/>
    <mergeCell ref="BC76:BC77"/>
    <mergeCell ref="BD76:BD77"/>
    <mergeCell ref="C78:E79"/>
    <mergeCell ref="F78:K79"/>
    <mergeCell ref="L78:O79"/>
    <mergeCell ref="P78:Q79"/>
    <mergeCell ref="R78:S79"/>
    <mergeCell ref="T78:W79"/>
    <mergeCell ref="X78:Y79"/>
    <mergeCell ref="Z78:AA79"/>
    <mergeCell ref="AB78:AC79"/>
    <mergeCell ref="AD78:AE79"/>
    <mergeCell ref="AF78:AG79"/>
    <mergeCell ref="AH78:AJ79"/>
    <mergeCell ref="AK78:AM79"/>
    <mergeCell ref="AN78:AQ79"/>
    <mergeCell ref="AU78:AU79"/>
    <mergeCell ref="AV78:AV79"/>
    <mergeCell ref="AW78:AW79"/>
    <mergeCell ref="AX78:AX79"/>
    <mergeCell ref="AY78:AY79"/>
    <mergeCell ref="AZ78:AZ79"/>
    <mergeCell ref="BA78:BA79"/>
    <mergeCell ref="BB78:BB79"/>
    <mergeCell ref="BC78:BC79"/>
    <mergeCell ref="BD78:BD79"/>
    <mergeCell ref="C76:E77"/>
    <mergeCell ref="F76:K77"/>
    <mergeCell ref="AX72:AX73"/>
    <mergeCell ref="AY72:AY73"/>
    <mergeCell ref="AZ72:AZ73"/>
    <mergeCell ref="BA72:BA73"/>
    <mergeCell ref="BB72:BB73"/>
    <mergeCell ref="BC72:BC73"/>
    <mergeCell ref="BD72:BD73"/>
    <mergeCell ref="C74:E75"/>
    <mergeCell ref="F74:K75"/>
    <mergeCell ref="L74:O75"/>
    <mergeCell ref="P74:Q75"/>
    <mergeCell ref="R74:S75"/>
    <mergeCell ref="T74:W75"/>
    <mergeCell ref="X74:Y75"/>
    <mergeCell ref="Z74:AA75"/>
    <mergeCell ref="AB74:AC75"/>
    <mergeCell ref="AD74:AE75"/>
    <mergeCell ref="AF74:AG75"/>
    <mergeCell ref="AH74:AJ75"/>
    <mergeCell ref="AK74:AM75"/>
    <mergeCell ref="AN74:AQ75"/>
    <mergeCell ref="AU74:AU75"/>
    <mergeCell ref="AV74:AV75"/>
    <mergeCell ref="AW74:AW75"/>
    <mergeCell ref="AX74:AX75"/>
    <mergeCell ref="AY74:AY75"/>
    <mergeCell ref="AZ74:AZ75"/>
    <mergeCell ref="BA74:BA75"/>
    <mergeCell ref="BB74:BB75"/>
    <mergeCell ref="BC74:BC75"/>
    <mergeCell ref="BD74:BD75"/>
    <mergeCell ref="C72:E73"/>
    <mergeCell ref="F72:K73"/>
    <mergeCell ref="L72:O73"/>
    <mergeCell ref="P72:Q73"/>
    <mergeCell ref="R72:S73"/>
    <mergeCell ref="T72:W73"/>
    <mergeCell ref="X72:Y73"/>
    <mergeCell ref="Z72:AA73"/>
    <mergeCell ref="AB72:AC73"/>
    <mergeCell ref="AD72:AE73"/>
    <mergeCell ref="AF72:AG73"/>
    <mergeCell ref="AH72:AJ73"/>
    <mergeCell ref="AK72:AM73"/>
    <mergeCell ref="AN72:AQ73"/>
    <mergeCell ref="AU72:AU73"/>
    <mergeCell ref="AV72:AV73"/>
    <mergeCell ref="AW72:AW73"/>
    <mergeCell ref="AX68:AX69"/>
    <mergeCell ref="L68:O69"/>
    <mergeCell ref="P68:Q69"/>
    <mergeCell ref="R68:S69"/>
    <mergeCell ref="T68:W69"/>
    <mergeCell ref="X68:Y69"/>
    <mergeCell ref="Z68:AA69"/>
    <mergeCell ref="AB68:AC69"/>
    <mergeCell ref="AD68:AE69"/>
    <mergeCell ref="AF68:AG69"/>
    <mergeCell ref="AH68:AJ69"/>
    <mergeCell ref="AK68:AM69"/>
    <mergeCell ref="AN68:AQ69"/>
    <mergeCell ref="AU68:AU69"/>
    <mergeCell ref="AV68:AV69"/>
    <mergeCell ref="AW68:AW69"/>
    <mergeCell ref="AY68:AY69"/>
    <mergeCell ref="AZ68:AZ69"/>
    <mergeCell ref="BA68:BA69"/>
    <mergeCell ref="BB68:BB69"/>
    <mergeCell ref="BC68:BC69"/>
    <mergeCell ref="BD68:BD69"/>
    <mergeCell ref="C70:E71"/>
    <mergeCell ref="F70:K71"/>
    <mergeCell ref="L70:O71"/>
    <mergeCell ref="P70:Q71"/>
    <mergeCell ref="R70:S71"/>
    <mergeCell ref="T70:W71"/>
    <mergeCell ref="X70:Y71"/>
    <mergeCell ref="Z70:AA71"/>
    <mergeCell ref="AB70:AC71"/>
    <mergeCell ref="AD70:AE71"/>
    <mergeCell ref="AF70:AG71"/>
    <mergeCell ref="AH70:AJ71"/>
    <mergeCell ref="AK70:AM71"/>
    <mergeCell ref="AN70:AQ71"/>
    <mergeCell ref="AU70:AU71"/>
    <mergeCell ref="AV70:AV71"/>
    <mergeCell ref="AW70:AW71"/>
    <mergeCell ref="AX70:AX71"/>
    <mergeCell ref="AY70:AY71"/>
    <mergeCell ref="AZ70:AZ71"/>
    <mergeCell ref="BA70:BA71"/>
    <mergeCell ref="BB70:BB71"/>
    <mergeCell ref="BC70:BC71"/>
    <mergeCell ref="BD70:BD71"/>
    <mergeCell ref="C68:E69"/>
    <mergeCell ref="F68:K69"/>
    <mergeCell ref="AX64:AX65"/>
    <mergeCell ref="AY64:AY65"/>
    <mergeCell ref="AZ64:AZ65"/>
    <mergeCell ref="BA64:BA65"/>
    <mergeCell ref="BB64:BB65"/>
    <mergeCell ref="BC64:BC65"/>
    <mergeCell ref="BD64:BD65"/>
    <mergeCell ref="C66:E67"/>
    <mergeCell ref="F66:K67"/>
    <mergeCell ref="L66:O67"/>
    <mergeCell ref="P66:Q67"/>
    <mergeCell ref="R66:S67"/>
    <mergeCell ref="T66:W67"/>
    <mergeCell ref="X66:Y67"/>
    <mergeCell ref="Z66:AA67"/>
    <mergeCell ref="AB66:AC67"/>
    <mergeCell ref="AD66:AE67"/>
    <mergeCell ref="AF66:AG67"/>
    <mergeCell ref="AH66:AJ67"/>
    <mergeCell ref="AK66:AM67"/>
    <mergeCell ref="AN66:AQ67"/>
    <mergeCell ref="AU66:AU67"/>
    <mergeCell ref="AV66:AV67"/>
    <mergeCell ref="AW66:AW67"/>
    <mergeCell ref="AX66:AX67"/>
    <mergeCell ref="AY66:AY67"/>
    <mergeCell ref="AZ66:AZ67"/>
    <mergeCell ref="BA66:BA67"/>
    <mergeCell ref="BB66:BB67"/>
    <mergeCell ref="BC66:BC67"/>
    <mergeCell ref="BD66:BD67"/>
    <mergeCell ref="C64:E65"/>
    <mergeCell ref="F64:K65"/>
    <mergeCell ref="L64:O65"/>
    <mergeCell ref="P64:Q65"/>
    <mergeCell ref="R64:S65"/>
    <mergeCell ref="T64:W65"/>
    <mergeCell ref="X64:Y65"/>
    <mergeCell ref="Z64:AA65"/>
    <mergeCell ref="AB64:AC65"/>
    <mergeCell ref="AD64:AE65"/>
    <mergeCell ref="AF64:AG65"/>
    <mergeCell ref="AH64:AJ65"/>
    <mergeCell ref="AK64:AM65"/>
    <mergeCell ref="AN64:AQ65"/>
    <mergeCell ref="AU64:AU65"/>
    <mergeCell ref="AV64:AV65"/>
    <mergeCell ref="AW64:AW65"/>
    <mergeCell ref="AX60:AX61"/>
    <mergeCell ref="L60:O61"/>
    <mergeCell ref="P60:Q61"/>
    <mergeCell ref="R60:S61"/>
    <mergeCell ref="T60:W61"/>
    <mergeCell ref="X60:Y61"/>
    <mergeCell ref="Z60:AA61"/>
    <mergeCell ref="AB60:AC61"/>
    <mergeCell ref="AD60:AE61"/>
    <mergeCell ref="AF60:AG61"/>
    <mergeCell ref="AH60:AJ61"/>
    <mergeCell ref="AK60:AM61"/>
    <mergeCell ref="AN60:AQ61"/>
    <mergeCell ref="AU60:AU61"/>
    <mergeCell ref="AV60:AV61"/>
    <mergeCell ref="AW60:AW61"/>
    <mergeCell ref="AY60:AY61"/>
    <mergeCell ref="AZ60:AZ61"/>
    <mergeCell ref="BA60:BA61"/>
    <mergeCell ref="BB60:BB61"/>
    <mergeCell ref="BC60:BC61"/>
    <mergeCell ref="BD60:BD61"/>
    <mergeCell ref="C62:E63"/>
    <mergeCell ref="F62:K63"/>
    <mergeCell ref="L62:O63"/>
    <mergeCell ref="P62:Q63"/>
    <mergeCell ref="R62:S63"/>
    <mergeCell ref="T62:W63"/>
    <mergeCell ref="X62:Y63"/>
    <mergeCell ref="Z62:AA63"/>
    <mergeCell ref="AB62:AC63"/>
    <mergeCell ref="AD62:AE63"/>
    <mergeCell ref="AF62:AG63"/>
    <mergeCell ref="AH62:AJ63"/>
    <mergeCell ref="AK62:AM63"/>
    <mergeCell ref="AN62:AQ63"/>
    <mergeCell ref="AU62:AU63"/>
    <mergeCell ref="AV62:AV63"/>
    <mergeCell ref="AW62:AW63"/>
    <mergeCell ref="AX62:AX63"/>
    <mergeCell ref="AY62:AY63"/>
    <mergeCell ref="AZ62:AZ63"/>
    <mergeCell ref="BA62:BA63"/>
    <mergeCell ref="BB62:BB63"/>
    <mergeCell ref="BC62:BC63"/>
    <mergeCell ref="BD62:BD63"/>
    <mergeCell ref="C60:E61"/>
    <mergeCell ref="F60:K61"/>
    <mergeCell ref="AX56:AX57"/>
    <mergeCell ref="AY56:AY57"/>
    <mergeCell ref="AZ56:AZ57"/>
    <mergeCell ref="BA56:BA57"/>
    <mergeCell ref="BB56:BB57"/>
    <mergeCell ref="BC56:BC57"/>
    <mergeCell ref="BD56:BD57"/>
    <mergeCell ref="C58:E59"/>
    <mergeCell ref="F58:K59"/>
    <mergeCell ref="L58:O59"/>
    <mergeCell ref="P58:Q59"/>
    <mergeCell ref="R58:S59"/>
    <mergeCell ref="T58:W59"/>
    <mergeCell ref="X58:Y59"/>
    <mergeCell ref="Z58:AA59"/>
    <mergeCell ref="AB58:AC59"/>
    <mergeCell ref="AD58:AE59"/>
    <mergeCell ref="AF58:AG59"/>
    <mergeCell ref="AH58:AJ59"/>
    <mergeCell ref="AK58:AM59"/>
    <mergeCell ref="AN58:AQ59"/>
    <mergeCell ref="AU58:AU59"/>
    <mergeCell ref="AV58:AV59"/>
    <mergeCell ref="AW58:AW59"/>
    <mergeCell ref="AX58:AX59"/>
    <mergeCell ref="AY58:AY59"/>
    <mergeCell ref="AZ58:AZ59"/>
    <mergeCell ref="BA58:BA59"/>
    <mergeCell ref="BB58:BB59"/>
    <mergeCell ref="BC58:BC59"/>
    <mergeCell ref="BD58:BD59"/>
    <mergeCell ref="C56:E57"/>
    <mergeCell ref="F56:K57"/>
    <mergeCell ref="L56:O57"/>
    <mergeCell ref="P56:Q57"/>
    <mergeCell ref="R56:S57"/>
    <mergeCell ref="T56:W57"/>
    <mergeCell ref="X56:Y57"/>
    <mergeCell ref="Z56:AA57"/>
    <mergeCell ref="AB56:AC57"/>
    <mergeCell ref="AD56:AE57"/>
    <mergeCell ref="AF56:AG57"/>
    <mergeCell ref="AH56:AJ57"/>
    <mergeCell ref="AK56:AM57"/>
    <mergeCell ref="AN56:AQ57"/>
    <mergeCell ref="AU56:AU57"/>
    <mergeCell ref="AV56:AV57"/>
    <mergeCell ref="AW56:AW57"/>
    <mergeCell ref="AX52:AX53"/>
    <mergeCell ref="L52:O53"/>
    <mergeCell ref="P52:Q53"/>
    <mergeCell ref="R52:S53"/>
    <mergeCell ref="T52:W53"/>
    <mergeCell ref="X52:Y53"/>
    <mergeCell ref="Z52:AA53"/>
    <mergeCell ref="AB52:AC53"/>
    <mergeCell ref="AD52:AE53"/>
    <mergeCell ref="AF52:AG53"/>
    <mergeCell ref="AH52:AJ53"/>
    <mergeCell ref="AK52:AM53"/>
    <mergeCell ref="AN52:AQ53"/>
    <mergeCell ref="AU52:AU53"/>
    <mergeCell ref="AV52:AV53"/>
    <mergeCell ref="AW52:AW53"/>
    <mergeCell ref="AY52:AY53"/>
    <mergeCell ref="AZ52:AZ53"/>
    <mergeCell ref="BA52:BA53"/>
    <mergeCell ref="BB52:BB53"/>
    <mergeCell ref="BC52:BC53"/>
    <mergeCell ref="BD52:BD53"/>
    <mergeCell ref="C54:E55"/>
    <mergeCell ref="F54:K55"/>
    <mergeCell ref="L54:O55"/>
    <mergeCell ref="P54:Q55"/>
    <mergeCell ref="R54:S55"/>
    <mergeCell ref="T54:W55"/>
    <mergeCell ref="X54:Y55"/>
    <mergeCell ref="Z54:AA55"/>
    <mergeCell ref="AB54:AC55"/>
    <mergeCell ref="AD54:AE55"/>
    <mergeCell ref="AF54:AG55"/>
    <mergeCell ref="AH54:AJ55"/>
    <mergeCell ref="AK54:AM55"/>
    <mergeCell ref="AN54:AQ55"/>
    <mergeCell ref="AU54:AU55"/>
    <mergeCell ref="AV54:AV55"/>
    <mergeCell ref="AW54:AW55"/>
    <mergeCell ref="AX54:AX55"/>
    <mergeCell ref="AY54:AY55"/>
    <mergeCell ref="AZ54:AZ55"/>
    <mergeCell ref="BA54:BA55"/>
    <mergeCell ref="BB54:BB55"/>
    <mergeCell ref="BC54:BC55"/>
    <mergeCell ref="BD54:BD55"/>
    <mergeCell ref="C52:E53"/>
    <mergeCell ref="F52:K53"/>
    <mergeCell ref="BB48:BB49"/>
    <mergeCell ref="BC48:BC49"/>
    <mergeCell ref="BD48:BD49"/>
    <mergeCell ref="C50:E51"/>
    <mergeCell ref="F50:K51"/>
    <mergeCell ref="L50:O51"/>
    <mergeCell ref="P50:Q51"/>
    <mergeCell ref="R50:S51"/>
    <mergeCell ref="T50:W51"/>
    <mergeCell ref="X50:Y51"/>
    <mergeCell ref="Z50:AA51"/>
    <mergeCell ref="AB50:AC51"/>
    <mergeCell ref="AD50:AE51"/>
    <mergeCell ref="AF50:AG51"/>
    <mergeCell ref="AH50:AJ51"/>
    <mergeCell ref="AK50:AM51"/>
    <mergeCell ref="AN50:AQ51"/>
    <mergeCell ref="AU50:AU51"/>
    <mergeCell ref="AV50:AV51"/>
    <mergeCell ref="AW50:AW51"/>
    <mergeCell ref="AX50:AX51"/>
    <mergeCell ref="AY50:AY51"/>
    <mergeCell ref="AZ50:AZ51"/>
    <mergeCell ref="BA50:BA51"/>
    <mergeCell ref="BB50:BB51"/>
    <mergeCell ref="BC50:BC51"/>
    <mergeCell ref="BD50:BD51"/>
    <mergeCell ref="R48:S49"/>
    <mergeCell ref="T48:W49"/>
    <mergeCell ref="X48:Y49"/>
    <mergeCell ref="Z48:AA49"/>
    <mergeCell ref="AB48:AC49"/>
    <mergeCell ref="AD48:AE49"/>
    <mergeCell ref="AF48:AG49"/>
    <mergeCell ref="AH48:AJ49"/>
    <mergeCell ref="AK48:AM49"/>
    <mergeCell ref="AN48:AQ49"/>
    <mergeCell ref="AU48:AU49"/>
    <mergeCell ref="AV48:AV49"/>
    <mergeCell ref="AW48:AW49"/>
    <mergeCell ref="AX48:AX49"/>
    <mergeCell ref="AY48:AY49"/>
    <mergeCell ref="AZ48:AZ49"/>
    <mergeCell ref="BA48:BA49"/>
    <mergeCell ref="AW44:AW45"/>
    <mergeCell ref="AX44:AX45"/>
    <mergeCell ref="AY44:AY45"/>
    <mergeCell ref="AZ44:AZ45"/>
    <mergeCell ref="BA44:BA45"/>
    <mergeCell ref="BC44:BC45"/>
    <mergeCell ref="BD44:BD45"/>
    <mergeCell ref="C46:E47"/>
    <mergeCell ref="F46:K47"/>
    <mergeCell ref="L46:O47"/>
    <mergeCell ref="P46:Q47"/>
    <mergeCell ref="R46:S47"/>
    <mergeCell ref="T46:W47"/>
    <mergeCell ref="X46:Y47"/>
    <mergeCell ref="Z46:AA47"/>
    <mergeCell ref="AB46:AC47"/>
    <mergeCell ref="AD46:AE47"/>
    <mergeCell ref="AF46:AG47"/>
    <mergeCell ref="AH46:AJ47"/>
    <mergeCell ref="AK46:AM47"/>
    <mergeCell ref="AN46:AQ47"/>
    <mergeCell ref="AU46:AU47"/>
    <mergeCell ref="AV46:AV47"/>
    <mergeCell ref="AW46:AW47"/>
    <mergeCell ref="AX46:AX47"/>
    <mergeCell ref="AY46:AY47"/>
    <mergeCell ref="AZ46:AZ47"/>
    <mergeCell ref="BA46:BA47"/>
    <mergeCell ref="BB46:BB47"/>
    <mergeCell ref="BC46:BC47"/>
    <mergeCell ref="BD46:BD47"/>
    <mergeCell ref="AD42:AE43"/>
    <mergeCell ref="AF42:AG43"/>
    <mergeCell ref="AH42:AJ43"/>
    <mergeCell ref="AK42:AM43"/>
    <mergeCell ref="AN42:AQ43"/>
    <mergeCell ref="AU42:AU43"/>
    <mergeCell ref="AV42:AV43"/>
    <mergeCell ref="AW42:AW43"/>
    <mergeCell ref="AX42:AX43"/>
    <mergeCell ref="AY42:AY43"/>
    <mergeCell ref="AZ42:AZ43"/>
    <mergeCell ref="BA42:BA43"/>
    <mergeCell ref="BB42:BB43"/>
    <mergeCell ref="BC42:BC43"/>
    <mergeCell ref="BD42:BD43"/>
    <mergeCell ref="C44:E45"/>
    <mergeCell ref="F44:K45"/>
    <mergeCell ref="L44:O45"/>
    <mergeCell ref="P44:Q45"/>
    <mergeCell ref="R44:S45"/>
    <mergeCell ref="T44:W45"/>
    <mergeCell ref="X44:Y45"/>
    <mergeCell ref="Z44:AA45"/>
    <mergeCell ref="AB44:AC45"/>
    <mergeCell ref="AD44:AE45"/>
    <mergeCell ref="AF44:AG45"/>
    <mergeCell ref="AH44:AJ45"/>
    <mergeCell ref="AK44:AM45"/>
    <mergeCell ref="AN44:AQ45"/>
    <mergeCell ref="AU44:AU45"/>
    <mergeCell ref="AV44:AV45"/>
    <mergeCell ref="BB44:BB45"/>
    <mergeCell ref="BA38:BA39"/>
    <mergeCell ref="BB38:BB39"/>
    <mergeCell ref="BC38:BC39"/>
    <mergeCell ref="BD38:BD39"/>
    <mergeCell ref="C40:E41"/>
    <mergeCell ref="F40:K41"/>
    <mergeCell ref="L40:O41"/>
    <mergeCell ref="P40:Q41"/>
    <mergeCell ref="R40:S41"/>
    <mergeCell ref="T40:W41"/>
    <mergeCell ref="X40:Y41"/>
    <mergeCell ref="Z40:AA41"/>
    <mergeCell ref="AB40:AC41"/>
    <mergeCell ref="AD40:AE41"/>
    <mergeCell ref="AF40:AG41"/>
    <mergeCell ref="AH40:AJ41"/>
    <mergeCell ref="AK40:AM41"/>
    <mergeCell ref="AN40:AQ41"/>
    <mergeCell ref="AU40:AU41"/>
    <mergeCell ref="AV40:AV41"/>
    <mergeCell ref="AW40:AW41"/>
    <mergeCell ref="AX40:AX41"/>
    <mergeCell ref="AY40:AY41"/>
    <mergeCell ref="AZ40:AZ41"/>
    <mergeCell ref="BA40:BA41"/>
    <mergeCell ref="BB40:BB41"/>
    <mergeCell ref="BC40:BC41"/>
    <mergeCell ref="BD40:BD41"/>
    <mergeCell ref="BA36:BA37"/>
    <mergeCell ref="BB36:BB37"/>
    <mergeCell ref="BC36:BC37"/>
    <mergeCell ref="BD36:BD37"/>
    <mergeCell ref="C38:E39"/>
    <mergeCell ref="F38:K39"/>
    <mergeCell ref="L38:O39"/>
    <mergeCell ref="P38:Q39"/>
    <mergeCell ref="R38:S39"/>
    <mergeCell ref="T38:W39"/>
    <mergeCell ref="X38:Y39"/>
    <mergeCell ref="Z38:AA39"/>
    <mergeCell ref="AB38:AC39"/>
    <mergeCell ref="AD38:AE39"/>
    <mergeCell ref="AF38:AG39"/>
    <mergeCell ref="AH38:AJ39"/>
    <mergeCell ref="AK38:AM39"/>
    <mergeCell ref="AN38:AQ39"/>
    <mergeCell ref="AU38:AU39"/>
    <mergeCell ref="AV38:AV39"/>
    <mergeCell ref="AW38:AW39"/>
    <mergeCell ref="AX38:AX39"/>
    <mergeCell ref="AD36:AE37"/>
    <mergeCell ref="AF36:AG37"/>
    <mergeCell ref="AH36:AJ37"/>
    <mergeCell ref="AK36:AM37"/>
    <mergeCell ref="AN36:AQ37"/>
    <mergeCell ref="AU36:AU37"/>
    <mergeCell ref="AV36:AV37"/>
    <mergeCell ref="AW36:AW37"/>
    <mergeCell ref="AY38:AY39"/>
    <mergeCell ref="AZ38:AZ39"/>
    <mergeCell ref="P24:Q25"/>
    <mergeCell ref="Z24:AA25"/>
    <mergeCell ref="R22:S23"/>
    <mergeCell ref="R24:S25"/>
    <mergeCell ref="AY36:AY37"/>
    <mergeCell ref="AZ36:AZ37"/>
    <mergeCell ref="AY30:AY31"/>
    <mergeCell ref="AZ30:AZ31"/>
    <mergeCell ref="AX30:AX31"/>
    <mergeCell ref="AX36:AX37"/>
    <mergeCell ref="AH20:AJ21"/>
    <mergeCell ref="AN20:AQ21"/>
    <mergeCell ref="AK20:AM21"/>
    <mergeCell ref="X26:Y27"/>
    <mergeCell ref="X28:Y29"/>
    <mergeCell ref="X30:Y31"/>
    <mergeCell ref="AF32:AG33"/>
    <mergeCell ref="AU20:AU21"/>
    <mergeCell ref="AU22:AU23"/>
    <mergeCell ref="R32:S33"/>
    <mergeCell ref="T30:W31"/>
    <mergeCell ref="BA16:BA17"/>
    <mergeCell ref="BA14:BA15"/>
    <mergeCell ref="AX22:AX23"/>
    <mergeCell ref="AW24:AW25"/>
    <mergeCell ref="AX24:AX25"/>
    <mergeCell ref="AW26:AW27"/>
    <mergeCell ref="AX26:AX27"/>
    <mergeCell ref="AY20:AY21"/>
    <mergeCell ref="AZ20:AZ21"/>
    <mergeCell ref="BA20:BA21"/>
    <mergeCell ref="AY14:AY15"/>
    <mergeCell ref="AZ16:AZ17"/>
    <mergeCell ref="AX32:AX33"/>
    <mergeCell ref="AW14:AW15"/>
    <mergeCell ref="AX14:AX15"/>
    <mergeCell ref="AB30:AC31"/>
    <mergeCell ref="AU14:AU15"/>
    <mergeCell ref="AU16:AU17"/>
    <mergeCell ref="AU18:AU19"/>
    <mergeCell ref="AU24:AU25"/>
    <mergeCell ref="AU26:AU27"/>
    <mergeCell ref="AZ14:AZ15"/>
    <mergeCell ref="AW30:AW31"/>
    <mergeCell ref="AU28:AU29"/>
    <mergeCell ref="AZ18:AZ19"/>
    <mergeCell ref="AW32:AW33"/>
    <mergeCell ref="AB32:AC33"/>
    <mergeCell ref="T18:W19"/>
    <mergeCell ref="T20:W21"/>
    <mergeCell ref="T22:W23"/>
    <mergeCell ref="T24:W25"/>
    <mergeCell ref="T26:W27"/>
    <mergeCell ref="Z18:AA19"/>
    <mergeCell ref="Z20:AA21"/>
    <mergeCell ref="AY26:AY27"/>
    <mergeCell ref="AZ26:AZ27"/>
    <mergeCell ref="Z22:AA23"/>
    <mergeCell ref="Z14:AA15"/>
    <mergeCell ref="BB34:BB35"/>
    <mergeCell ref="AF34:AG35"/>
    <mergeCell ref="AH34:AJ35"/>
    <mergeCell ref="AN34:AQ35"/>
    <mergeCell ref="AK34:AM35"/>
    <mergeCell ref="AV34:AV35"/>
    <mergeCell ref="AW34:AW35"/>
    <mergeCell ref="AX34:AX35"/>
    <mergeCell ref="AY34:AY35"/>
    <mergeCell ref="AZ34:AZ35"/>
    <mergeCell ref="AU34:AU35"/>
    <mergeCell ref="BB32:BB33"/>
    <mergeCell ref="AZ32:AZ33"/>
    <mergeCell ref="BA32:BA33"/>
    <mergeCell ref="AU30:AU31"/>
    <mergeCell ref="BB30:BB31"/>
    <mergeCell ref="AV30:AV31"/>
    <mergeCell ref="BA30:BA31"/>
    <mergeCell ref="AY32:AY33"/>
    <mergeCell ref="AU32:AU33"/>
    <mergeCell ref="BA26:BA27"/>
    <mergeCell ref="B78:B79"/>
    <mergeCell ref="B80:B81"/>
    <mergeCell ref="L34:O35"/>
    <mergeCell ref="P34:Q35"/>
    <mergeCell ref="R34:S35"/>
    <mergeCell ref="T34:W35"/>
    <mergeCell ref="AD34:AE35"/>
    <mergeCell ref="AB34:AC35"/>
    <mergeCell ref="X34:Y35"/>
    <mergeCell ref="Z34:AA35"/>
    <mergeCell ref="AD32:AE33"/>
    <mergeCell ref="AH32:AJ33"/>
    <mergeCell ref="AN32:AQ33"/>
    <mergeCell ref="AK32:AM33"/>
    <mergeCell ref="AV32:AV33"/>
    <mergeCell ref="B60:B61"/>
    <mergeCell ref="B62:B63"/>
    <mergeCell ref="C36:E37"/>
    <mergeCell ref="F36:K37"/>
    <mergeCell ref="L36:O37"/>
    <mergeCell ref="P36:Q37"/>
    <mergeCell ref="R36:S37"/>
    <mergeCell ref="T36:W37"/>
    <mergeCell ref="X36:Y37"/>
    <mergeCell ref="Z36:AA37"/>
    <mergeCell ref="AB36:AC37"/>
    <mergeCell ref="C42:E43"/>
    <mergeCell ref="F42:K43"/>
    <mergeCell ref="T32:W33"/>
    <mergeCell ref="X32:Y33"/>
    <mergeCell ref="Z32:AA33"/>
    <mergeCell ref="AB42:AC43"/>
    <mergeCell ref="C34:E35"/>
    <mergeCell ref="B168:B169"/>
    <mergeCell ref="B170:B171"/>
    <mergeCell ref="B172:B173"/>
    <mergeCell ref="B174:B175"/>
    <mergeCell ref="B176:B177"/>
    <mergeCell ref="B124:B125"/>
    <mergeCell ref="B126:B127"/>
    <mergeCell ref="B128:B129"/>
    <mergeCell ref="B130:B131"/>
    <mergeCell ref="B110:B111"/>
    <mergeCell ref="B76:B77"/>
    <mergeCell ref="AH30:AJ31"/>
    <mergeCell ref="AN30:AQ31"/>
    <mergeCell ref="AK30:AM31"/>
    <mergeCell ref="B82:B83"/>
    <mergeCell ref="B84:B85"/>
    <mergeCell ref="B86:B87"/>
    <mergeCell ref="B106:B107"/>
    <mergeCell ref="B108:B109"/>
    <mergeCell ref="B88:B89"/>
    <mergeCell ref="B158:B159"/>
    <mergeCell ref="B112:B113"/>
    <mergeCell ref="B136:B137"/>
    <mergeCell ref="B114:B115"/>
    <mergeCell ref="B116:B117"/>
    <mergeCell ref="B118:B119"/>
    <mergeCell ref="B120:B121"/>
    <mergeCell ref="B122:B123"/>
    <mergeCell ref="L42:O43"/>
    <mergeCell ref="B132:B133"/>
    <mergeCell ref="B134:B135"/>
    <mergeCell ref="B148:B149"/>
    <mergeCell ref="B150:B151"/>
    <mergeCell ref="B152:B153"/>
    <mergeCell ref="B154:B155"/>
    <mergeCell ref="B156:B157"/>
    <mergeCell ref="B178:B179"/>
    <mergeCell ref="BB18:BB19"/>
    <mergeCell ref="AD16:AE17"/>
    <mergeCell ref="AH28:AJ29"/>
    <mergeCell ref="AN28:AQ29"/>
    <mergeCell ref="AK28:AM29"/>
    <mergeCell ref="AV28:AV29"/>
    <mergeCell ref="AW28:AW29"/>
    <mergeCell ref="AX28:AX29"/>
    <mergeCell ref="BB26:BB27"/>
    <mergeCell ref="AZ22:AZ23"/>
    <mergeCell ref="BA22:BA23"/>
    <mergeCell ref="AV24:AV25"/>
    <mergeCell ref="AY24:AY25"/>
    <mergeCell ref="AZ24:AZ25"/>
    <mergeCell ref="BA24:BA25"/>
    <mergeCell ref="AX20:AX21"/>
    <mergeCell ref="AV22:AV23"/>
    <mergeCell ref="AW22:AW23"/>
    <mergeCell ref="BB28:BB29"/>
    <mergeCell ref="AY28:AY29"/>
    <mergeCell ref="AZ28:AZ29"/>
    <mergeCell ref="BA28:BA29"/>
    <mergeCell ref="BA18:BA19"/>
    <mergeCell ref="AD20:AE21"/>
    <mergeCell ref="Z26:AA27"/>
    <mergeCell ref="T28:W29"/>
    <mergeCell ref="F26:K27"/>
    <mergeCell ref="F32:K33"/>
    <mergeCell ref="B44:B45"/>
    <mergeCell ref="B46:B47"/>
    <mergeCell ref="B48:B49"/>
    <mergeCell ref="P28:Q29"/>
    <mergeCell ref="L20:O21"/>
    <mergeCell ref="P20:Q21"/>
    <mergeCell ref="Z28:AA29"/>
    <mergeCell ref="F28:K29"/>
    <mergeCell ref="R26:S27"/>
    <mergeCell ref="R28:S29"/>
    <mergeCell ref="F20:K21"/>
    <mergeCell ref="L28:O29"/>
    <mergeCell ref="P42:Q43"/>
    <mergeCell ref="R42:S43"/>
    <mergeCell ref="T42:W43"/>
    <mergeCell ref="X42:Y43"/>
    <mergeCell ref="Z42:AA43"/>
    <mergeCell ref="C48:E49"/>
    <mergeCell ref="F48:K49"/>
    <mergeCell ref="L48:O49"/>
    <mergeCell ref="P48:Q49"/>
    <mergeCell ref="C22:E23"/>
    <mergeCell ref="F22:K23"/>
    <mergeCell ref="L30:O31"/>
    <mergeCell ref="P30:Q31"/>
    <mergeCell ref="L22:O23"/>
    <mergeCell ref="P22:Q23"/>
    <mergeCell ref="L32:O33"/>
    <mergeCell ref="P32:Q33"/>
    <mergeCell ref="L24:O25"/>
    <mergeCell ref="M200:AG201"/>
    <mergeCell ref="B198:B199"/>
    <mergeCell ref="B186:B187"/>
    <mergeCell ref="B188:B189"/>
    <mergeCell ref="B190:B191"/>
    <mergeCell ref="B192:B193"/>
    <mergeCell ref="B194:B195"/>
    <mergeCell ref="B196:B197"/>
    <mergeCell ref="B184:B185"/>
    <mergeCell ref="B182:B183"/>
    <mergeCell ref="B160:B161"/>
    <mergeCell ref="B138:B139"/>
    <mergeCell ref="B140:B141"/>
    <mergeCell ref="B142:B143"/>
    <mergeCell ref="B144:B145"/>
    <mergeCell ref="B146:B147"/>
    <mergeCell ref="F30:K31"/>
    <mergeCell ref="B58:B59"/>
    <mergeCell ref="AD30:AE31"/>
    <mergeCell ref="Z30:AA31"/>
    <mergeCell ref="AF30:AG31"/>
    <mergeCell ref="F34:K35"/>
    <mergeCell ref="R30:S31"/>
    <mergeCell ref="B180:B181"/>
    <mergeCell ref="B90:B91"/>
    <mergeCell ref="B92:B93"/>
    <mergeCell ref="B94:B95"/>
    <mergeCell ref="B96:B97"/>
    <mergeCell ref="B98:B99"/>
    <mergeCell ref="B100:B101"/>
    <mergeCell ref="B102:B103"/>
    <mergeCell ref="B104:B105"/>
    <mergeCell ref="C14:E15"/>
    <mergeCell ref="C16:E17"/>
    <mergeCell ref="C20:E21"/>
    <mergeCell ref="B162:B163"/>
    <mergeCell ref="B164:B165"/>
    <mergeCell ref="B166:B167"/>
    <mergeCell ref="B66:B67"/>
    <mergeCell ref="B22:B23"/>
    <mergeCell ref="B24:B25"/>
    <mergeCell ref="B26:B27"/>
    <mergeCell ref="B72:B73"/>
    <mergeCell ref="B74:B75"/>
    <mergeCell ref="B40:B41"/>
    <mergeCell ref="B36:B37"/>
    <mergeCell ref="B38:B39"/>
    <mergeCell ref="B64:B65"/>
    <mergeCell ref="B42:B43"/>
    <mergeCell ref="C30:E31"/>
    <mergeCell ref="B68:B69"/>
    <mergeCell ref="B70:B71"/>
    <mergeCell ref="B50:B51"/>
    <mergeCell ref="B52:B53"/>
    <mergeCell ref="B54:B55"/>
    <mergeCell ref="B56:B57"/>
    <mergeCell ref="B28:B29"/>
    <mergeCell ref="B30:B31"/>
    <mergeCell ref="B32:B33"/>
    <mergeCell ref="B34:B35"/>
    <mergeCell ref="C24:E25"/>
    <mergeCell ref="C28:E29"/>
    <mergeCell ref="C32:E33"/>
    <mergeCell ref="C26:E27"/>
    <mergeCell ref="AQ1:AR1"/>
    <mergeCell ref="AQ2:AR3"/>
    <mergeCell ref="F14:K15"/>
    <mergeCell ref="AD14:AG14"/>
    <mergeCell ref="AH14:AJ15"/>
    <mergeCell ref="AN14:AQ15"/>
    <mergeCell ref="AK14:AM15"/>
    <mergeCell ref="Z11:AC11"/>
    <mergeCell ref="R12:U13"/>
    <mergeCell ref="V12:Y13"/>
    <mergeCell ref="Z12:AC13"/>
    <mergeCell ref="AH1:AK1"/>
    <mergeCell ref="AL1:AP1"/>
    <mergeCell ref="AH2:AK3"/>
    <mergeCell ref="AL2:AP3"/>
    <mergeCell ref="O9:AE10"/>
    <mergeCell ref="AD15:AE15"/>
    <mergeCell ref="L14:O15"/>
    <mergeCell ref="P14:Q15"/>
    <mergeCell ref="R11:U11"/>
    <mergeCell ref="V11:Y11"/>
    <mergeCell ref="AF15:AG15"/>
    <mergeCell ref="T14:W15"/>
    <mergeCell ref="AE11:AN13"/>
    <mergeCell ref="AB14:AC15"/>
    <mergeCell ref="X14:Y15"/>
    <mergeCell ref="R14:S15"/>
    <mergeCell ref="BC16:BC17"/>
    <mergeCell ref="BE16:BE17"/>
    <mergeCell ref="BC18:BC19"/>
    <mergeCell ref="BE18:BE19"/>
    <mergeCell ref="BC20:BC21"/>
    <mergeCell ref="AV20:AV21"/>
    <mergeCell ref="BC14:BC15"/>
    <mergeCell ref="BE20:BE21"/>
    <mergeCell ref="L26:O27"/>
    <mergeCell ref="P26:Q27"/>
    <mergeCell ref="AD22:AE23"/>
    <mergeCell ref="AF22:AG23"/>
    <mergeCell ref="AH22:AJ23"/>
    <mergeCell ref="AN22:AQ23"/>
    <mergeCell ref="AK22:AM23"/>
    <mergeCell ref="BC22:BC23"/>
    <mergeCell ref="AB16:AC17"/>
    <mergeCell ref="AB18:AC19"/>
    <mergeCell ref="AB20:AC21"/>
    <mergeCell ref="AY22:AY23"/>
    <mergeCell ref="BB14:BB15"/>
    <mergeCell ref="AF16:AG17"/>
    <mergeCell ref="BB20:BB21"/>
    <mergeCell ref="AN16:AQ17"/>
    <mergeCell ref="AK16:AM17"/>
    <mergeCell ref="AV16:AV17"/>
    <mergeCell ref="P16:Q17"/>
    <mergeCell ref="L18:O19"/>
    <mergeCell ref="P18:Q19"/>
    <mergeCell ref="AH16:AJ17"/>
    <mergeCell ref="AV14:AV15"/>
    <mergeCell ref="BB16:BB17"/>
    <mergeCell ref="F18:K19"/>
    <mergeCell ref="AD18:AE19"/>
    <mergeCell ref="B16:B17"/>
    <mergeCell ref="AW16:AW17"/>
    <mergeCell ref="AX16:AX17"/>
    <mergeCell ref="AY16:AY17"/>
    <mergeCell ref="B18:B19"/>
    <mergeCell ref="B20:B21"/>
    <mergeCell ref="F24:K25"/>
    <mergeCell ref="C18:E19"/>
    <mergeCell ref="AF18:AG19"/>
    <mergeCell ref="AH18:AJ19"/>
    <mergeCell ref="AN18:AQ19"/>
    <mergeCell ref="AK18:AM19"/>
    <mergeCell ref="AV18:AV19"/>
    <mergeCell ref="AW18:AW19"/>
    <mergeCell ref="AX18:AX19"/>
    <mergeCell ref="AY18:AY19"/>
    <mergeCell ref="X18:Y19"/>
    <mergeCell ref="X20:Y21"/>
    <mergeCell ref="X22:Y23"/>
    <mergeCell ref="X24:Y25"/>
    <mergeCell ref="AB22:AC23"/>
    <mergeCell ref="AB24:AC25"/>
    <mergeCell ref="X16:Y17"/>
    <mergeCell ref="Z16:AA17"/>
    <mergeCell ref="R16:S17"/>
    <mergeCell ref="R18:S19"/>
    <mergeCell ref="R20:S21"/>
    <mergeCell ref="F16:K17"/>
    <mergeCell ref="L16:O17"/>
    <mergeCell ref="T16:W17"/>
    <mergeCell ref="BC24:BC25"/>
    <mergeCell ref="BE24:BE25"/>
    <mergeCell ref="BC26:BC27"/>
    <mergeCell ref="BE26:BE27"/>
    <mergeCell ref="BC28:BC29"/>
    <mergeCell ref="BE28:BE29"/>
    <mergeCell ref="BC30:BC31"/>
    <mergeCell ref="BE30:BE31"/>
    <mergeCell ref="BC32:BC33"/>
    <mergeCell ref="BE32:BE33"/>
    <mergeCell ref="BC34:BC35"/>
    <mergeCell ref="BE22:BE23"/>
    <mergeCell ref="BB22:BB23"/>
    <mergeCell ref="BB24:BB25"/>
    <mergeCell ref="AW20:AW21"/>
    <mergeCell ref="AB26:AC27"/>
    <mergeCell ref="AB28:AC29"/>
    <mergeCell ref="AD28:AE29"/>
    <mergeCell ref="AF28:AG29"/>
    <mergeCell ref="AH26:AJ27"/>
    <mergeCell ref="AN26:AQ27"/>
    <mergeCell ref="AK26:AM27"/>
    <mergeCell ref="AV26:AV27"/>
    <mergeCell ref="AH24:AJ25"/>
    <mergeCell ref="AN24:AQ25"/>
    <mergeCell ref="AK24:AM25"/>
    <mergeCell ref="AF20:AG21"/>
    <mergeCell ref="AD24:AE25"/>
    <mergeCell ref="AF24:AG25"/>
    <mergeCell ref="AD26:AE27"/>
    <mergeCell ref="AF26:AG27"/>
    <mergeCell ref="BA34:BA35"/>
  </mergeCells>
  <conditionalFormatting sqref="L16:AG115">
    <cfRule type="expression" dxfId="88" priority="1">
      <formula>AND($F16&lt;&gt;"",L16="")</formula>
    </cfRule>
  </conditionalFormatting>
  <conditionalFormatting sqref="AE11">
    <cfRule type="expression" dxfId="87" priority="7">
      <formula>IF(OR($AN$16="Not Cost Effective Submit for Review",$AN$18="Not Cost Effective Submit for Review",$AN$20="Not Cost Effective Submit for Review",$AN$22="Not Cost Effective Submit for Review",$AN$24="Not Cost Effective Submit for Review",$AN$26="Not Cost Effective Submit for Review",$AN$28="Not Cost Effective Submit for Review",$AN$30="Not Cost Effective Submit for Review",$AN$32="Not Cost Effective Submit for Review",$AN$34="Not Cost Effective Submit for Review"),TRUE,FALSE)</formula>
    </cfRule>
  </conditionalFormatting>
  <conditionalFormatting sqref="AH2 AL2">
    <cfRule type="expression" dxfId="86" priority="23">
      <formula>PROJSTATUS=PROJSTATELI</formula>
    </cfRule>
    <cfRule type="expression" dxfId="85" priority="24">
      <formula>PROJSTATUS=PROJSTATREVIEW</formula>
    </cfRule>
    <cfRule type="expression" dxfId="84" priority="28">
      <formula>PROJSTATUS=PROJSTATPREAPPROVE</formula>
    </cfRule>
    <cfRule type="expression" dxfId="83" priority="29">
      <formula>PROJSTATUS=PROJSTATSTANDARD</formula>
    </cfRule>
    <cfRule type="expression" dxfId="82" priority="30">
      <formula>PROJSTATUS=PROJSTATEXP</formula>
    </cfRule>
  </conditionalFormatting>
  <conditionalFormatting sqref="AN16 AN18 AN20 AN22 AN24 AN26 AN28 AN30 AN32 AN34 AN36 AN38 AN40 AN42 AN44 AN46 AN48 AN50 AN52 AN54 AN56 AN58 AN60 AN62 AN64 AN66 AN68 AN70 AN72 AN74 AN76 AN78 AN80 AN82 AN84 AN86 AN88 AN90 AN92 AN94 AN96 AN98 AN100 AN102 AN104 AN106 AN108 AN110 AN112 AN114">
    <cfRule type="expression" dxfId="81" priority="22">
      <formula>ISNUMBER(AN16)=FALSE</formula>
    </cfRule>
  </conditionalFormatting>
  <conditionalFormatting sqref="AQ2:AR3">
    <cfRule type="cellIs" dxfId="80" priority="25" operator="equal">
      <formula>1</formula>
    </cfRule>
    <cfRule type="cellIs" dxfId="79" priority="26" operator="between">
      <formula>0.51</formula>
      <formula>0.99</formula>
    </cfRule>
    <cfRule type="cellIs" dxfId="78" priority="27" operator="lessThanOrEqual">
      <formula>0.5</formula>
    </cfRule>
  </conditionalFormatting>
  <conditionalFormatting sqref="AX16:AX115">
    <cfRule type="expression" dxfId="77" priority="17">
      <formula>C16="Custom"</formula>
    </cfRule>
  </conditionalFormatting>
  <conditionalFormatting sqref="AY16:AY115">
    <cfRule type="expression" dxfId="76" priority="16">
      <formula>C16="New Construction"</formula>
    </cfRule>
  </conditionalFormatting>
  <conditionalFormatting sqref="AZ16:AZ115">
    <cfRule type="expression" dxfId="75" priority="15">
      <formula>C16="RCx"</formula>
    </cfRule>
  </conditionalFormatting>
  <dataValidations xWindow="114" yWindow="316" count="10">
    <dataValidation type="decimal" allowBlank="1" showInputMessage="1" showErrorMessage="1" error="Please enter a numerical value" sqref="P28 P18 P32 P16 P22 P26 P30 P34 P20 P24" xr:uid="{00000000-0002-0000-2000-000000000000}">
      <formula1>0</formula1>
      <formula2>999999</formula2>
    </dataValidation>
    <dataValidation type="decimal" allowBlank="1" showInputMessage="1" showErrorMessage="1" error="Please enter a numerical value" prompt="This is the TOTAL Material Cost of the measure, NOT a per unit basis._x000a__x000a_For installation of new equipment, this is the incremental material cost (total cost difference between purchasing the baseline equipment and the equipment being installed)." sqref="AD16:AE35" xr:uid="{00000000-0002-0000-2000-000001000000}">
      <formula1>0</formula1>
      <formula2>999999999</formula2>
    </dataValidation>
    <dataValidation type="decimal" allowBlank="1" showInputMessage="1" showErrorMessage="1" error="Please enter a numerical value" prompt="This is the TOTAL Labor Cost of the measure, NOT a per unit basis._x000a__x000a_For installation of new equipment, this is the incremental labor cost. This may equal zero if the installation costs would be the same for both the baseline and efficient equipment. " sqref="AF16:AG115" xr:uid="{00000000-0002-0000-2000-000002000000}">
      <formula1>0</formula1>
      <formula2>999999999</formula2>
    </dataValidation>
    <dataValidation type="list" allowBlank="1" showInputMessage="1" showErrorMessage="1" prompt="Select the project type using the dropdown._x000a__x000a_If you want to change this field, delete the data in the &quot;Measure Type&quot; field first_x000a_" sqref="C16:E115" xr:uid="{00000000-0002-0000-2000-000003000000}">
      <formula1>IF(ISBLANK(F16),NONPRESCPROGRAM,"")</formula1>
    </dataValidation>
    <dataValidation type="list" allowBlank="1" showInputMessage="1" showErrorMessage="1" prompt="Select the measure type that is closest to the selections in this list. If not listed, select &quot;Other&quot;." sqref="F16:K115" xr:uid="{00000000-0002-0000-2000-000004000000}">
      <formula1>PROGRAMGCAT1</formula1>
    </dataValidation>
    <dataValidation allowBlank="1" showInputMessage="1" showErrorMessage="1" prompt="Enter equipment description and/or name plate details of the existing equipment being replaced._x000a__x000a_For new replacements, enter the code-minimum equipment or control strategy that could be installed in lieu of the more efficient option." sqref="L16:O35" xr:uid="{00000000-0002-0000-2000-000005000000}"/>
    <dataValidation type="decimal" allowBlank="1" showInputMessage="1" showErrorMessage="1" prompt="Enter the annual therm usage per unit of the existing equipment." sqref="R18 R34 R16 R20 R22 R24 R26 R28 R30 R32" xr:uid="{00000000-0002-0000-2000-000006000000}">
      <formula1>0</formula1>
      <formula2>999999999</formula2>
    </dataValidation>
    <dataValidation type="list" allowBlank="1" showInputMessage="1" showErrorMessage="1" promptTitle="Incremental:" prompt="Choose incremental cost for new construction or if base equipment is past its useful life. To determine baseline usage and incremental material cost, use equipment that would be purchased if efficient equipment was not being pursued." sqref="AB16:AC115" xr:uid="{00000000-0002-0000-2000-000007000000}">
      <formula1>"Total,Incremental"</formula1>
    </dataValidation>
    <dataValidation type="decimal" allowBlank="1" showInputMessage="1" showErrorMessage="1" error="Enter numerical value for annual therms/unit." sqref="Z16:AA35" xr:uid="{00000000-0002-0000-2000-000008000000}">
      <formula1>0</formula1>
      <formula2>9999999</formula2>
    </dataValidation>
    <dataValidation type="decimal" allowBlank="1" showInputMessage="1" showErrorMessage="1" error="Enter numerical value for quantity." sqref="X16:Y35" xr:uid="{00000000-0002-0000-2000-000009000000}">
      <formula1>0</formula1>
      <formula2>9999999</formula2>
    </dataValidation>
  </dataValidations>
  <hyperlinks>
    <hyperlink ref="B202" r:id="rId1" xr:uid="{56193E1D-A0CC-4314-895D-C1EE336BF9A8}"/>
  </hyperlinks>
  <pageMargins left="0.25" right="0.25" top="0.25" bottom="0.25" header="0.25" footer="0.25"/>
  <pageSetup scale="45" fitToHeight="0" orientation="landscape" r:id="rId2"/>
  <drawing r:id="rId3"/>
  <legacyDrawing r:id="rId4"/>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9">
    <pageSetUpPr fitToPage="1"/>
  </sheetPr>
  <dimension ref="A1:BA202"/>
  <sheetViews>
    <sheetView showGridLines="0" showRowColHeaders="0" zoomScale="80" zoomScaleNormal="80" workbookViewId="0">
      <selection activeCell="C6" sqref="C6"/>
    </sheetView>
  </sheetViews>
  <sheetFormatPr defaultColWidth="0" defaultRowHeight="15" customHeight="1" zeroHeight="1"/>
  <cols>
    <col min="1" max="45" width="4.7109375" customWidth="1"/>
    <col min="46" max="78" width="9.140625" hidden="1" customWidth="1"/>
    <col min="79" max="16384" width="9.140625" hidden="1"/>
  </cols>
  <sheetData>
    <row r="1" spans="2:44" ht="15.95" customHeight="1">
      <c r="AH1" s="686" t="s">
        <v>471</v>
      </c>
      <c r="AI1" s="686"/>
      <c r="AJ1" s="686"/>
      <c r="AK1" s="686"/>
      <c r="AL1" s="687" t="s">
        <v>736</v>
      </c>
      <c r="AM1" s="687"/>
      <c r="AN1" s="687"/>
      <c r="AO1" s="687"/>
      <c r="AP1" s="687"/>
      <c r="AQ1" s="683" t="s">
        <v>474</v>
      </c>
      <c r="AR1" s="683"/>
    </row>
    <row r="2" spans="2:44" ht="15.95" customHeight="1">
      <c r="AH2" s="688" t="str">
        <f ca="1">INCENSTATUS</f>
        <v>---</v>
      </c>
      <c r="AI2" s="689"/>
      <c r="AJ2" s="689"/>
      <c r="AK2" s="689"/>
      <c r="AL2" s="690" t="str">
        <f ca="1">PROJSTATUS</f>
        <v>Enter Measures</v>
      </c>
      <c r="AM2" s="690"/>
      <c r="AN2" s="690"/>
      <c r="AO2" s="690"/>
      <c r="AP2" s="690"/>
      <c r="AQ2" s="684">
        <f ca="1">PROGRESSSTATUS</f>
        <v>2.8985507246376812E-2</v>
      </c>
      <c r="AR2" s="685"/>
    </row>
    <row r="3" spans="2:44" ht="15.95" customHeight="1">
      <c r="AH3" s="680"/>
      <c r="AI3" s="681"/>
      <c r="AJ3" s="681"/>
      <c r="AK3" s="681"/>
      <c r="AL3" s="673"/>
      <c r="AM3" s="673"/>
      <c r="AN3" s="673"/>
      <c r="AO3" s="673"/>
      <c r="AP3" s="673"/>
      <c r="AQ3" s="667"/>
      <c r="AR3" s="668"/>
    </row>
    <row r="4" spans="2:44" ht="15.95" customHeight="1">
      <c r="AR4" s="171"/>
    </row>
    <row r="5" spans="2:44" ht="15.95" customHeight="1"/>
    <row r="6" spans="2:44" ht="15.95" customHeight="1"/>
    <row r="7" spans="2:44" ht="15.95" customHeight="1"/>
    <row r="8" spans="2:44" ht="15.95" customHeight="1"/>
    <row r="9" spans="2:44" ht="15.95" customHeight="1">
      <c r="B9" s="59"/>
      <c r="C9" s="59"/>
      <c r="D9" s="59"/>
      <c r="E9" s="59"/>
      <c r="F9" s="59"/>
      <c r="G9" s="59"/>
      <c r="H9" s="59"/>
      <c r="I9" s="59"/>
      <c r="J9" s="59"/>
      <c r="K9" s="59"/>
      <c r="L9" s="59"/>
      <c r="M9" s="59"/>
      <c r="N9" s="59"/>
      <c r="O9" s="59"/>
      <c r="P9" s="59"/>
      <c r="Q9" s="59"/>
      <c r="R9" s="59"/>
      <c r="S9" s="59"/>
      <c r="T9" s="59"/>
      <c r="U9" s="59"/>
      <c r="V9" s="59"/>
      <c r="W9" s="59"/>
      <c r="X9" s="59"/>
      <c r="Y9" s="59"/>
      <c r="Z9" s="59"/>
      <c r="AA9" s="59"/>
      <c r="AB9" s="59"/>
      <c r="AC9" s="59"/>
      <c r="AD9" s="59"/>
      <c r="AE9" s="59"/>
      <c r="AF9" s="59"/>
      <c r="AG9" s="59"/>
      <c r="AH9" s="59"/>
      <c r="AI9" s="59"/>
      <c r="AJ9" s="59"/>
      <c r="AK9" s="59"/>
      <c r="AL9" s="59"/>
      <c r="AM9" s="59"/>
      <c r="AN9" s="59"/>
      <c r="AO9" s="59"/>
      <c r="AP9" s="59"/>
      <c r="AQ9" s="59"/>
      <c r="AR9" s="59"/>
    </row>
    <row r="10" spans="2:44" ht="15.95" customHeight="1">
      <c r="B10" s="59"/>
      <c r="C10" s="59"/>
      <c r="D10" s="59"/>
      <c r="E10" s="59"/>
      <c r="F10" s="691" t="s">
        <v>75</v>
      </c>
      <c r="G10" s="691"/>
      <c r="H10" s="691"/>
      <c r="I10" s="691"/>
      <c r="J10" s="691"/>
      <c r="K10" s="691"/>
      <c r="L10" s="691"/>
      <c r="M10" s="691"/>
      <c r="N10" s="691"/>
      <c r="O10" s="691"/>
      <c r="P10" s="691"/>
      <c r="Q10" s="691"/>
      <c r="R10" s="691"/>
      <c r="S10" s="691"/>
      <c r="T10" s="691"/>
      <c r="U10" s="691"/>
      <c r="V10" s="691"/>
      <c r="W10" s="691"/>
      <c r="X10" s="691"/>
      <c r="Y10" s="691"/>
      <c r="Z10" s="691"/>
      <c r="AA10" s="691"/>
      <c r="AB10" s="691"/>
      <c r="AC10" s="691"/>
      <c r="AD10" s="691"/>
      <c r="AE10" s="691"/>
      <c r="AF10" s="691"/>
      <c r="AG10" s="691"/>
      <c r="AH10" s="691"/>
      <c r="AI10" s="691"/>
      <c r="AJ10" s="691"/>
      <c r="AK10" s="691"/>
      <c r="AL10" s="691"/>
      <c r="AM10" s="691"/>
      <c r="AN10" s="691"/>
      <c r="AO10" s="59"/>
      <c r="AP10" s="59"/>
      <c r="AQ10" s="59"/>
      <c r="AR10" s="59"/>
    </row>
    <row r="11" spans="2:44" ht="15.95" customHeight="1">
      <c r="B11" s="59"/>
      <c r="C11" s="59"/>
      <c r="D11" s="59"/>
      <c r="E11" s="59"/>
      <c r="F11" s="284"/>
      <c r="G11" s="284"/>
      <c r="H11" s="284"/>
      <c r="I11" s="284"/>
      <c r="J11" s="284"/>
      <c r="K11" s="284"/>
      <c r="L11" s="284"/>
      <c r="M11" s="284"/>
      <c r="N11" s="284"/>
      <c r="O11" s="284"/>
      <c r="P11" s="284"/>
      <c r="Q11" s="284"/>
      <c r="R11" s="284"/>
      <c r="S11" s="284"/>
      <c r="T11" s="284"/>
      <c r="U11" s="284"/>
      <c r="V11" s="284"/>
      <c r="W11" s="284"/>
      <c r="X11" s="284"/>
      <c r="Y11" s="284"/>
      <c r="Z11" s="284"/>
      <c r="AA11" s="284"/>
      <c r="AB11" s="284"/>
      <c r="AC11" s="284"/>
      <c r="AD11" s="284"/>
      <c r="AE11" s="284"/>
      <c r="AF11" s="284"/>
      <c r="AG11" s="284"/>
      <c r="AH11" s="284"/>
      <c r="AI11" s="284"/>
      <c r="AJ11" s="284"/>
      <c r="AK11" s="284"/>
      <c r="AL11" s="284"/>
      <c r="AM11" s="284"/>
      <c r="AN11" s="284"/>
      <c r="AO11" s="59"/>
      <c r="AP11" s="59"/>
      <c r="AQ11" s="59"/>
      <c r="AR11" s="59"/>
    </row>
    <row r="12" spans="2:44" ht="15.95" customHeight="1">
      <c r="B12" s="59"/>
      <c r="C12" s="59"/>
      <c r="D12" s="59"/>
      <c r="E12" s="59"/>
      <c r="F12" s="284"/>
      <c r="G12" s="284"/>
      <c r="H12" s="284"/>
      <c r="I12" s="284"/>
      <c r="J12" s="284"/>
      <c r="K12" s="284"/>
      <c r="L12" s="284"/>
      <c r="M12" s="284"/>
      <c r="N12" s="284"/>
      <c r="O12" s="284"/>
      <c r="P12" s="284"/>
      <c r="Q12" s="284"/>
      <c r="R12" s="284"/>
      <c r="S12" s="284"/>
      <c r="T12" s="284"/>
      <c r="U12" s="284"/>
      <c r="V12" s="284"/>
      <c r="W12" s="284"/>
      <c r="X12" s="284"/>
      <c r="Y12" s="284"/>
      <c r="Z12" s="284"/>
      <c r="AA12" s="284"/>
      <c r="AB12" s="284"/>
      <c r="AC12" s="284"/>
      <c r="AD12" s="59"/>
      <c r="AE12" s="59"/>
      <c r="AF12" s="59"/>
      <c r="AG12" s="59"/>
      <c r="AH12" s="59"/>
      <c r="AI12" s="59"/>
      <c r="AJ12" s="59"/>
      <c r="AK12" s="59"/>
      <c r="AL12" s="59"/>
      <c r="AM12" s="59"/>
      <c r="AN12" s="59"/>
      <c r="AO12" s="59"/>
      <c r="AP12" s="59"/>
      <c r="AQ12" s="59"/>
      <c r="AR12" s="59"/>
    </row>
    <row r="13" spans="2:44" ht="15.95" customHeight="1">
      <c r="B13" s="59"/>
      <c r="I13" s="404"/>
      <c r="J13" s="405"/>
      <c r="K13" s="405"/>
      <c r="L13" s="405"/>
      <c r="M13" s="405"/>
      <c r="N13" s="405"/>
      <c r="O13" s="405"/>
      <c r="P13" s="405"/>
      <c r="Q13" s="405"/>
      <c r="R13" s="405"/>
      <c r="S13" s="405"/>
      <c r="T13" s="405"/>
      <c r="U13" s="405"/>
      <c r="V13" s="405"/>
      <c r="W13" s="405"/>
      <c r="X13" s="405"/>
      <c r="Y13" s="405"/>
      <c r="Z13" s="405"/>
      <c r="AA13" s="405"/>
      <c r="AB13" s="405"/>
      <c r="AC13" s="405"/>
      <c r="AD13" s="405"/>
      <c r="AE13" s="405"/>
      <c r="AF13" s="405"/>
      <c r="AG13" s="405"/>
      <c r="AH13" s="405"/>
      <c r="AI13" s="405"/>
      <c r="AJ13" s="405"/>
      <c r="AK13" s="406"/>
      <c r="AR13" s="59"/>
    </row>
    <row r="14" spans="2:44" ht="15.95" customHeight="1">
      <c r="B14" s="59"/>
      <c r="I14" s="104"/>
      <c r="J14" s="1271" t="s">
        <v>1460</v>
      </c>
      <c r="K14" s="1272"/>
      <c r="L14" s="1272"/>
      <c r="M14" s="1272"/>
      <c r="N14" s="1272"/>
      <c r="O14" s="1272"/>
      <c r="P14" s="1272"/>
      <c r="Q14" s="1272"/>
      <c r="R14" s="1272"/>
      <c r="S14" s="1272"/>
      <c r="T14" s="1272"/>
      <c r="U14" s="1272"/>
      <c r="V14" s="1272"/>
      <c r="W14" s="1272"/>
      <c r="X14" s="1272"/>
      <c r="Y14" s="1272"/>
      <c r="Z14" s="1272"/>
      <c r="AA14" s="1272"/>
      <c r="AB14" s="1272"/>
      <c r="AC14" s="431"/>
      <c r="AD14" s="432"/>
      <c r="AE14" s="432"/>
      <c r="AF14" s="433"/>
      <c r="AG14" s="433"/>
      <c r="AH14" s="433"/>
      <c r="AI14" s="433"/>
      <c r="AJ14" s="434"/>
      <c r="AK14" s="407"/>
      <c r="AL14" s="408"/>
      <c r="AM14" s="408"/>
      <c r="AR14" s="59"/>
    </row>
    <row r="15" spans="2:44" ht="15.95" customHeight="1">
      <c r="B15" s="59"/>
      <c r="I15" s="104"/>
      <c r="J15" s="1272"/>
      <c r="K15" s="1272"/>
      <c r="L15" s="1272"/>
      <c r="M15" s="1272"/>
      <c r="N15" s="1272"/>
      <c r="O15" s="1272"/>
      <c r="P15" s="1272"/>
      <c r="Q15" s="1272"/>
      <c r="R15" s="1272"/>
      <c r="S15" s="1272"/>
      <c r="T15" s="1272"/>
      <c r="U15" s="1272"/>
      <c r="V15" s="1272"/>
      <c r="W15" s="1272"/>
      <c r="X15" s="1272"/>
      <c r="Y15" s="1272"/>
      <c r="Z15" s="1272"/>
      <c r="AA15" s="1272"/>
      <c r="AB15" s="1272"/>
      <c r="AC15" s="435"/>
      <c r="AD15" s="429"/>
      <c r="AE15" s="429"/>
      <c r="AF15" s="430"/>
      <c r="AG15" s="430"/>
      <c r="AH15" s="430"/>
      <c r="AI15" s="430"/>
      <c r="AJ15" s="436"/>
      <c r="AK15" s="407"/>
      <c r="AL15" s="408"/>
      <c r="AM15" s="408"/>
      <c r="AR15" s="59"/>
    </row>
    <row r="16" spans="2:44" ht="15.95" customHeight="1">
      <c r="B16" s="59"/>
      <c r="I16" s="104"/>
      <c r="J16" s="1272"/>
      <c r="K16" s="1272"/>
      <c r="L16" s="1272"/>
      <c r="M16" s="1272"/>
      <c r="N16" s="1272"/>
      <c r="O16" s="1272"/>
      <c r="P16" s="1272"/>
      <c r="Q16" s="1272"/>
      <c r="R16" s="1272"/>
      <c r="S16" s="1272"/>
      <c r="T16" s="1272"/>
      <c r="U16" s="1272"/>
      <c r="V16" s="1272"/>
      <c r="W16" s="1272"/>
      <c r="X16" s="1272"/>
      <c r="Y16" s="1272"/>
      <c r="Z16" s="1272"/>
      <c r="AA16" s="1272"/>
      <c r="AB16" s="1272"/>
      <c r="AC16" s="435"/>
      <c r="AD16" s="429"/>
      <c r="AE16" s="429"/>
      <c r="AF16" s="430"/>
      <c r="AG16" s="430"/>
      <c r="AH16" s="430"/>
      <c r="AI16" s="430"/>
      <c r="AJ16" s="436"/>
      <c r="AK16" s="407"/>
      <c r="AL16" s="408"/>
      <c r="AM16" s="408"/>
      <c r="AR16" s="59"/>
    </row>
    <row r="17" spans="2:49" ht="15.95" customHeight="1">
      <c r="B17" s="59"/>
      <c r="I17" s="104"/>
      <c r="J17" s="1272"/>
      <c r="K17" s="1272"/>
      <c r="L17" s="1272"/>
      <c r="M17" s="1272"/>
      <c r="N17" s="1272"/>
      <c r="O17" s="1272"/>
      <c r="P17" s="1272"/>
      <c r="Q17" s="1272"/>
      <c r="R17" s="1272"/>
      <c r="S17" s="1272"/>
      <c r="T17" s="1272"/>
      <c r="U17" s="1272"/>
      <c r="V17" s="1272"/>
      <c r="W17" s="1272"/>
      <c r="X17" s="1272"/>
      <c r="Y17" s="1272"/>
      <c r="Z17" s="1272"/>
      <c r="AA17" s="1272"/>
      <c r="AB17" s="1272"/>
      <c r="AC17" s="437"/>
      <c r="AD17" s="438"/>
      <c r="AE17" s="438"/>
      <c r="AF17" s="439"/>
      <c r="AG17" s="439"/>
      <c r="AH17" s="439"/>
      <c r="AI17" s="439"/>
      <c r="AJ17" s="440"/>
      <c r="AK17" s="407"/>
      <c r="AL17" s="408"/>
      <c r="AM17" s="408"/>
      <c r="AR17" s="59"/>
    </row>
    <row r="18" spans="2:49" ht="15.95" customHeight="1">
      <c r="B18" s="59"/>
      <c r="I18" s="104"/>
      <c r="J18" s="1256" t="str">
        <f>IF(M02S02F34="","",M02S02F34)</f>
        <v/>
      </c>
      <c r="K18" s="1256"/>
      <c r="L18" s="1256"/>
      <c r="M18" s="1256"/>
      <c r="N18" s="1256"/>
      <c r="O18" s="1256"/>
      <c r="P18" s="1256"/>
      <c r="Q18" s="1256"/>
      <c r="R18" s="1256"/>
      <c r="S18" s="1256"/>
      <c r="T18" s="1256"/>
      <c r="U18" s="1256"/>
      <c r="V18" s="1256"/>
      <c r="W18" s="1256"/>
      <c r="X18" s="1256"/>
      <c r="Y18" s="1256"/>
      <c r="Z18" s="1256"/>
      <c r="AA18" s="1256"/>
      <c r="AB18" s="1256"/>
      <c r="AC18" s="1256"/>
      <c r="AD18" s="1256"/>
      <c r="AE18" s="1256"/>
      <c r="AF18" s="1256"/>
      <c r="AG18" s="1256"/>
      <c r="AH18" s="1256"/>
      <c r="AI18" s="1256"/>
      <c r="AJ18" s="1256"/>
      <c r="AK18" s="154"/>
      <c r="AR18" s="59"/>
    </row>
    <row r="19" spans="2:49" ht="15.95" customHeight="1">
      <c r="B19" s="59"/>
      <c r="I19" s="104"/>
      <c r="J19" s="1256"/>
      <c r="K19" s="1256"/>
      <c r="L19" s="1256"/>
      <c r="M19" s="1256"/>
      <c r="N19" s="1256"/>
      <c r="O19" s="1256"/>
      <c r="P19" s="1256"/>
      <c r="Q19" s="1256"/>
      <c r="R19" s="1256"/>
      <c r="S19" s="1256"/>
      <c r="T19" s="1256"/>
      <c r="U19" s="1256"/>
      <c r="V19" s="1256"/>
      <c r="W19" s="1256"/>
      <c r="X19" s="1256"/>
      <c r="Y19" s="1256"/>
      <c r="Z19" s="1256"/>
      <c r="AA19" s="1256"/>
      <c r="AB19" s="1256"/>
      <c r="AC19" s="1256"/>
      <c r="AD19" s="1256"/>
      <c r="AE19" s="1256"/>
      <c r="AF19" s="1256"/>
      <c r="AG19" s="1256"/>
      <c r="AH19" s="1256"/>
      <c r="AI19" s="1256"/>
      <c r="AJ19" s="1256"/>
      <c r="AK19" s="154"/>
      <c r="AR19" s="59"/>
    </row>
    <row r="20" spans="2:49" ht="15.95" customHeight="1">
      <c r="B20" s="59"/>
      <c r="I20" s="104"/>
      <c r="J20" s="1256"/>
      <c r="K20" s="1256"/>
      <c r="L20" s="1256"/>
      <c r="M20" s="1256"/>
      <c r="N20" s="1256"/>
      <c r="O20" s="1256"/>
      <c r="P20" s="1256"/>
      <c r="Q20" s="1256"/>
      <c r="R20" s="1256"/>
      <c r="S20" s="1256"/>
      <c r="T20" s="1256"/>
      <c r="U20" s="1256"/>
      <c r="V20" s="1256"/>
      <c r="W20" s="1256"/>
      <c r="X20" s="1256"/>
      <c r="Y20" s="1256"/>
      <c r="Z20" s="1256"/>
      <c r="AA20" s="1256"/>
      <c r="AB20" s="1256"/>
      <c r="AC20" s="1256"/>
      <c r="AD20" s="1256"/>
      <c r="AE20" s="1256"/>
      <c r="AF20" s="1256"/>
      <c r="AG20" s="1256"/>
      <c r="AH20" s="1256"/>
      <c r="AI20" s="1256"/>
      <c r="AJ20" s="1256"/>
      <c r="AK20" s="154"/>
      <c r="AR20" s="59"/>
    </row>
    <row r="21" spans="2:49" ht="15.95" customHeight="1">
      <c r="B21" s="59"/>
      <c r="I21" s="104"/>
      <c r="J21" s="409" t="s">
        <v>1461</v>
      </c>
      <c r="K21" s="410"/>
      <c r="L21" s="410"/>
      <c r="M21" s="410"/>
      <c r="N21" s="410"/>
      <c r="O21" s="1257" t="str">
        <f>IF(OR(M02S02F22="",M02S02F23="",M02S02F25=""),"",CONCATENATE(M02S02F22,", ",M02S02F23, ", ", M02S02F24, " ", M02S02F25 ))</f>
        <v/>
      </c>
      <c r="P21" s="1257"/>
      <c r="Q21" s="1257"/>
      <c r="R21" s="1257"/>
      <c r="S21" s="1257"/>
      <c r="T21" s="1257"/>
      <c r="U21" s="1257"/>
      <c r="V21" s="1257"/>
      <c r="W21" s="1257"/>
      <c r="X21" s="1257"/>
      <c r="Y21" s="1257"/>
      <c r="Z21" s="411" t="s">
        <v>1462</v>
      </c>
      <c r="AA21" s="410"/>
      <c r="AB21" s="410"/>
      <c r="AC21" s="1257" t="str">
        <f>IF(M02S03F02="","",M02S03F02)</f>
        <v/>
      </c>
      <c r="AD21" s="1257"/>
      <c r="AE21" s="1257"/>
      <c r="AF21" s="1257"/>
      <c r="AG21" s="1257"/>
      <c r="AH21" s="1257"/>
      <c r="AI21" s="1257"/>
      <c r="AJ21" s="1257"/>
      <c r="AK21" s="154"/>
      <c r="AR21" s="59"/>
    </row>
    <row r="22" spans="2:49" ht="15.95" customHeight="1">
      <c r="B22" s="59"/>
      <c r="I22" s="104"/>
      <c r="J22" s="409" t="s">
        <v>1463</v>
      </c>
      <c r="K22" s="410"/>
      <c r="L22" s="412"/>
      <c r="M22" s="412"/>
      <c r="N22" s="412"/>
      <c r="O22" s="1265">
        <f ca="1">TODAY()</f>
        <v>45672</v>
      </c>
      <c r="P22" s="1265"/>
      <c r="Q22" s="1265"/>
      <c r="R22" s="1265"/>
      <c r="S22" s="1265"/>
      <c r="T22" s="1265"/>
      <c r="U22" s="1265"/>
      <c r="V22" s="1265"/>
      <c r="W22" s="1265"/>
      <c r="X22" s="1265"/>
      <c r="Y22" s="1265"/>
      <c r="Z22" s="411" t="s">
        <v>1464</v>
      </c>
      <c r="AA22" s="410"/>
      <c r="AB22" s="410"/>
      <c r="AC22" s="1257" t="str">
        <f>IF(AND(M02S03F03="",M02S03F04=""),"",CONCATENATE(M02S03F03," ",M02S03F04))</f>
        <v/>
      </c>
      <c r="AD22" s="1257"/>
      <c r="AE22" s="1257"/>
      <c r="AF22" s="1257"/>
      <c r="AG22" s="1257"/>
      <c r="AH22" s="1257"/>
      <c r="AI22" s="1257"/>
      <c r="AJ22" s="1257"/>
      <c r="AK22" s="154"/>
      <c r="AR22" s="59"/>
    </row>
    <row r="23" spans="2:49" ht="15.95" customHeight="1">
      <c r="B23" s="59"/>
      <c r="I23" s="104"/>
      <c r="J23" s="410"/>
      <c r="K23" s="410"/>
      <c r="L23" s="410"/>
      <c r="M23" s="410"/>
      <c r="N23" s="410"/>
      <c r="O23" s="410"/>
      <c r="P23" s="410"/>
      <c r="Q23" s="410"/>
      <c r="R23" s="413"/>
      <c r="S23" s="413"/>
      <c r="T23" s="413"/>
      <c r="U23" s="413"/>
      <c r="V23" s="413"/>
      <c r="W23" s="413"/>
      <c r="X23" s="410"/>
      <c r="Y23" s="410"/>
      <c r="Z23" s="411" t="s">
        <v>1465</v>
      </c>
      <c r="AA23" s="410"/>
      <c r="AB23" s="410"/>
      <c r="AC23" s="1266" t="str">
        <f>IF(M02S03F06="","",M02S03F06)</f>
        <v/>
      </c>
      <c r="AD23" s="1266"/>
      <c r="AE23" s="1266"/>
      <c r="AF23" s="1266"/>
      <c r="AG23" s="1266"/>
      <c r="AH23" s="1266"/>
      <c r="AI23" s="1266"/>
      <c r="AJ23" s="1266"/>
      <c r="AK23" s="154"/>
      <c r="AR23" s="59"/>
    </row>
    <row r="24" spans="2:49" ht="15.95" customHeight="1" thickBot="1">
      <c r="B24" s="59"/>
      <c r="I24" s="104"/>
      <c r="J24" s="59"/>
      <c r="K24" s="59"/>
      <c r="L24" s="59"/>
      <c r="M24" s="59"/>
      <c r="N24" s="59"/>
      <c r="O24" s="59"/>
      <c r="P24" s="59"/>
      <c r="Q24" s="59"/>
      <c r="R24" s="59"/>
      <c r="S24" s="59"/>
      <c r="T24" s="59"/>
      <c r="U24" s="59"/>
      <c r="V24" s="59"/>
      <c r="W24" s="59"/>
      <c r="X24" s="59"/>
      <c r="Y24" s="59"/>
      <c r="Z24" s="59"/>
      <c r="AA24" s="59"/>
      <c r="AB24" s="59"/>
      <c r="AC24" s="59"/>
      <c r="AD24" s="59"/>
      <c r="AE24" s="59"/>
      <c r="AF24" s="59"/>
      <c r="AG24" s="59"/>
      <c r="AH24" s="59"/>
      <c r="AI24" s="59"/>
      <c r="AJ24" s="59"/>
      <c r="AK24" s="154"/>
      <c r="AR24" s="59"/>
    </row>
    <row r="25" spans="2:49" ht="15.95" customHeight="1" thickBot="1">
      <c r="B25" s="59"/>
      <c r="I25" s="104"/>
      <c r="J25" s="443"/>
      <c r="K25" s="1267" t="s">
        <v>1565</v>
      </c>
      <c r="L25" s="1268"/>
      <c r="M25" s="1268"/>
      <c r="N25" s="1268"/>
      <c r="O25" s="1268"/>
      <c r="P25" s="1268"/>
      <c r="Q25" s="1268"/>
      <c r="R25" s="1268"/>
      <c r="S25" s="1268"/>
      <c r="T25" s="1268"/>
      <c r="U25" s="1268"/>
      <c r="V25" s="1268"/>
      <c r="W25" s="1268"/>
      <c r="X25" s="1268"/>
      <c r="Y25" s="1268"/>
      <c r="Z25" s="1268"/>
      <c r="AA25" s="1268"/>
      <c r="AB25" s="1268"/>
      <c r="AC25" s="1268"/>
      <c r="AD25" s="1269">
        <f ca="1">AW32</f>
        <v>0</v>
      </c>
      <c r="AE25" s="1270"/>
      <c r="AF25" s="1270"/>
      <c r="AG25" s="1270"/>
      <c r="AH25" s="1270"/>
      <c r="AI25" s="1270"/>
      <c r="AJ25" s="1270"/>
      <c r="AK25" s="154"/>
      <c r="AR25" s="59"/>
    </row>
    <row r="26" spans="2:49" ht="15.95" customHeight="1" thickBot="1">
      <c r="B26" s="59"/>
      <c r="I26" s="104"/>
      <c r="J26" s="444"/>
      <c r="K26" s="1267"/>
      <c r="L26" s="1268"/>
      <c r="M26" s="1268"/>
      <c r="N26" s="1268"/>
      <c r="O26" s="1268"/>
      <c r="P26" s="1268"/>
      <c r="Q26" s="1268"/>
      <c r="R26" s="1268"/>
      <c r="S26" s="1268"/>
      <c r="T26" s="1268"/>
      <c r="U26" s="1268"/>
      <c r="V26" s="1268"/>
      <c r="W26" s="1268"/>
      <c r="X26" s="1268"/>
      <c r="Y26" s="1268"/>
      <c r="Z26" s="1268"/>
      <c r="AA26" s="1268"/>
      <c r="AB26" s="1268"/>
      <c r="AC26" s="1268"/>
      <c r="AD26" s="1270"/>
      <c r="AE26" s="1270"/>
      <c r="AF26" s="1270"/>
      <c r="AG26" s="1270"/>
      <c r="AH26" s="1270"/>
      <c r="AI26" s="1270"/>
      <c r="AJ26" s="1270"/>
      <c r="AK26" s="154"/>
      <c r="AR26" s="59"/>
    </row>
    <row r="27" spans="2:49" ht="15.95" customHeight="1" thickBot="1">
      <c r="B27" s="59"/>
      <c r="I27" s="104"/>
      <c r="J27" s="441"/>
      <c r="K27" s="1262" t="s">
        <v>1466</v>
      </c>
      <c r="L27" s="1263"/>
      <c r="M27" s="1263"/>
      <c r="N27" s="1263"/>
      <c r="O27" s="1263"/>
      <c r="P27" s="1263"/>
      <c r="Q27" s="1263"/>
      <c r="R27" s="1263"/>
      <c r="S27" s="1263"/>
      <c r="T27" s="1263"/>
      <c r="U27" s="1263"/>
      <c r="V27" s="1263"/>
      <c r="W27" s="1263"/>
      <c r="X27" s="1263"/>
      <c r="Y27" s="1263"/>
      <c r="Z27" s="1263"/>
      <c r="AA27" s="1263"/>
      <c r="AB27" s="1263"/>
      <c r="AC27" s="1263"/>
      <c r="AD27" s="1264">
        <f ca="1">AD25*5</f>
        <v>0</v>
      </c>
      <c r="AE27" s="1259"/>
      <c r="AF27" s="1259"/>
      <c r="AG27" s="1259"/>
      <c r="AH27" s="1259"/>
      <c r="AI27" s="1259"/>
      <c r="AJ27" s="1259"/>
      <c r="AK27" s="154"/>
      <c r="AR27" s="59"/>
    </row>
    <row r="28" spans="2:49" ht="15.95" customHeight="1" thickBot="1">
      <c r="B28" s="59"/>
      <c r="I28" s="104"/>
      <c r="J28" s="442"/>
      <c r="K28" s="1262"/>
      <c r="L28" s="1263"/>
      <c r="M28" s="1263"/>
      <c r="N28" s="1263"/>
      <c r="O28" s="1263"/>
      <c r="P28" s="1263"/>
      <c r="Q28" s="1263"/>
      <c r="R28" s="1263"/>
      <c r="S28" s="1263"/>
      <c r="T28" s="1263"/>
      <c r="U28" s="1263"/>
      <c r="V28" s="1263"/>
      <c r="W28" s="1263"/>
      <c r="X28" s="1263"/>
      <c r="Y28" s="1263"/>
      <c r="Z28" s="1263"/>
      <c r="AA28" s="1263"/>
      <c r="AB28" s="1263"/>
      <c r="AC28" s="1263"/>
      <c r="AD28" s="1259"/>
      <c r="AE28" s="1259"/>
      <c r="AF28" s="1259"/>
      <c r="AG28" s="1259"/>
      <c r="AH28" s="1259"/>
      <c r="AI28" s="1259"/>
      <c r="AJ28" s="1259"/>
      <c r="AK28" s="154"/>
      <c r="AR28" s="59"/>
    </row>
    <row r="29" spans="2:49" ht="15.95" customHeight="1" thickBot="1">
      <c r="B29" s="59"/>
      <c r="I29" s="104"/>
      <c r="J29" s="636"/>
      <c r="K29" s="636"/>
      <c r="L29" s="636"/>
      <c r="M29" s="636"/>
      <c r="N29" s="636"/>
      <c r="O29" s="636"/>
      <c r="P29" s="636"/>
      <c r="Q29" s="636"/>
      <c r="R29" s="636"/>
      <c r="S29" s="636"/>
      <c r="T29" s="636"/>
      <c r="U29" s="636"/>
      <c r="V29" s="636"/>
      <c r="W29" s="636"/>
      <c r="X29" s="636"/>
      <c r="Y29" s="636"/>
      <c r="Z29" s="636"/>
      <c r="AA29" s="636"/>
      <c r="AB29" s="636"/>
      <c r="AC29" s="636"/>
      <c r="AD29" s="636"/>
      <c r="AE29" s="636"/>
      <c r="AF29" s="636"/>
      <c r="AG29" s="636"/>
      <c r="AH29" s="636"/>
      <c r="AI29" s="636"/>
      <c r="AJ29" s="636"/>
      <c r="AK29" s="154"/>
      <c r="AR29" s="59"/>
    </row>
    <row r="30" spans="2:49" ht="15.95" customHeight="1">
      <c r="B30" s="59"/>
      <c r="I30" s="104"/>
      <c r="J30" s="1233" t="s">
        <v>75</v>
      </c>
      <c r="K30" s="1233"/>
      <c r="L30" s="1233"/>
      <c r="M30" s="1233"/>
      <c r="N30" s="1233"/>
      <c r="O30" s="1233"/>
      <c r="P30" s="1233"/>
      <c r="Q30" s="1233"/>
      <c r="R30" s="1233"/>
      <c r="S30" s="1233"/>
      <c r="T30" s="1233"/>
      <c r="U30" s="1233"/>
      <c r="V30" s="1233"/>
      <c r="W30" s="1233"/>
      <c r="X30" s="1233"/>
      <c r="Y30" s="1233"/>
      <c r="Z30" s="1233"/>
      <c r="AA30" s="1233"/>
      <c r="AB30" s="1233"/>
      <c r="AC30" s="1233"/>
      <c r="AD30" s="1233"/>
      <c r="AE30" s="1233"/>
      <c r="AF30" s="1233"/>
      <c r="AG30" s="1233"/>
      <c r="AH30" s="1233"/>
      <c r="AI30" s="1233"/>
      <c r="AJ30" s="1233"/>
      <c r="AK30" s="154"/>
      <c r="AR30" s="59"/>
    </row>
    <row r="31" spans="2:49" ht="15.95" customHeight="1">
      <c r="B31" s="59"/>
      <c r="I31" s="104"/>
      <c r="J31" s="1233"/>
      <c r="K31" s="1233"/>
      <c r="L31" s="1233"/>
      <c r="M31" s="1233"/>
      <c r="N31" s="1233"/>
      <c r="O31" s="1233"/>
      <c r="P31" s="1233"/>
      <c r="Q31" s="1233"/>
      <c r="R31" s="1233"/>
      <c r="S31" s="1233"/>
      <c r="T31" s="1233"/>
      <c r="U31" s="1233"/>
      <c r="V31" s="1233"/>
      <c r="W31" s="1233"/>
      <c r="X31" s="1233"/>
      <c r="Y31" s="1233"/>
      <c r="Z31" s="1233"/>
      <c r="AA31" s="1233"/>
      <c r="AB31" s="1233"/>
      <c r="AC31" s="1233"/>
      <c r="AD31" s="1233"/>
      <c r="AE31" s="1233"/>
      <c r="AF31" s="1233"/>
      <c r="AG31" s="1233"/>
      <c r="AH31" s="1233"/>
      <c r="AI31" s="1233"/>
      <c r="AJ31" s="1233"/>
      <c r="AK31" s="154"/>
      <c r="AR31" s="59"/>
      <c r="AU31" t="s">
        <v>1467</v>
      </c>
      <c r="AW31" s="414">
        <f ca="1">IF(INCENTOTAL="","",INCENTOTAL)</f>
        <v>0</v>
      </c>
    </row>
    <row r="32" spans="2:49" ht="15.95" customHeight="1">
      <c r="B32" s="59"/>
      <c r="I32" s="104"/>
      <c r="J32" s="59"/>
      <c r="K32" s="59"/>
      <c r="L32" s="59"/>
      <c r="M32" s="59"/>
      <c r="N32" s="59"/>
      <c r="O32" s="59"/>
      <c r="P32" s="59"/>
      <c r="Q32" s="59"/>
      <c r="R32" s="59"/>
      <c r="AH32" s="59"/>
      <c r="AI32" s="59"/>
      <c r="AJ32" s="59"/>
      <c r="AK32" s="154"/>
      <c r="AR32" s="59"/>
      <c r="AU32" t="s">
        <v>1468</v>
      </c>
      <c r="AW32" s="415">
        <f ca="1">(M02S02F35*SUM(EXPORT!N4:N486))+(M02S02F36*SUM(EXPORT!P4:P486))</f>
        <v>0</v>
      </c>
    </row>
    <row r="33" spans="2:44" ht="15.95" customHeight="1">
      <c r="B33" s="59"/>
      <c r="I33" s="104"/>
      <c r="J33" s="59"/>
      <c r="L33" s="59"/>
      <c r="R33" s="59"/>
      <c r="AH33" s="416"/>
      <c r="AI33" s="416"/>
      <c r="AJ33" s="59"/>
      <c r="AK33" s="154"/>
      <c r="AR33" s="59"/>
    </row>
    <row r="34" spans="2:44" ht="15.95" customHeight="1">
      <c r="B34" s="59"/>
      <c r="I34" s="104"/>
      <c r="J34" s="417"/>
      <c r="AK34" s="154"/>
    </row>
    <row r="35" spans="2:44" ht="15.95" customHeight="1">
      <c r="B35" s="59"/>
      <c r="I35" s="104"/>
      <c r="J35" s="59"/>
      <c r="X35" s="1260" t="str">
        <f ca="1">IF($AW$31=0,"---",$AW$31)</f>
        <v>---</v>
      </c>
      <c r="Y35" s="1260"/>
      <c r="Z35" s="1260"/>
      <c r="AA35" s="1260"/>
      <c r="AB35" s="1260"/>
      <c r="AC35" s="1260"/>
      <c r="AD35" s="1260"/>
      <c r="AE35" s="1260"/>
      <c r="AF35" s="1260"/>
      <c r="AK35" s="154"/>
    </row>
    <row r="36" spans="2:44" ht="15.95" customHeight="1">
      <c r="B36" s="59"/>
      <c r="I36" s="104"/>
      <c r="J36" s="59"/>
      <c r="X36" s="1260"/>
      <c r="Y36" s="1260"/>
      <c r="Z36" s="1260"/>
      <c r="AA36" s="1260"/>
      <c r="AB36" s="1260"/>
      <c r="AC36" s="1260"/>
      <c r="AD36" s="1260"/>
      <c r="AE36" s="1260"/>
      <c r="AF36" s="1260"/>
      <c r="AG36" s="449"/>
      <c r="AK36" s="154"/>
    </row>
    <row r="37" spans="2:44" ht="15.95" customHeight="1">
      <c r="B37" s="59"/>
      <c r="I37" s="104"/>
      <c r="J37" s="59"/>
      <c r="X37" s="1261" t="s">
        <v>1502</v>
      </c>
      <c r="Y37" s="1261"/>
      <c r="Z37" s="1261"/>
      <c r="AA37" s="1261"/>
      <c r="AB37" s="1261"/>
      <c r="AC37" s="1261"/>
      <c r="AD37" s="1261"/>
      <c r="AE37" s="1261"/>
      <c r="AF37" s="1261"/>
      <c r="AG37" s="449"/>
      <c r="AK37" s="154"/>
    </row>
    <row r="38" spans="2:44" ht="15.95" customHeight="1">
      <c r="B38" s="59"/>
      <c r="I38" s="104"/>
      <c r="J38" s="59"/>
      <c r="L38" s="59"/>
      <c r="R38" s="59"/>
      <c r="X38" s="1261"/>
      <c r="Y38" s="1261"/>
      <c r="Z38" s="1261"/>
      <c r="AA38" s="1261"/>
      <c r="AB38" s="1261"/>
      <c r="AC38" s="1261"/>
      <c r="AD38" s="1261"/>
      <c r="AE38" s="1261"/>
      <c r="AF38" s="1261"/>
      <c r="AG38" s="450"/>
      <c r="AH38" s="416"/>
      <c r="AI38" s="416"/>
      <c r="AJ38" s="59"/>
      <c r="AK38" s="154"/>
    </row>
    <row r="39" spans="2:44" ht="15.95" customHeight="1">
      <c r="B39" s="59"/>
      <c r="I39" s="104"/>
      <c r="J39" s="59"/>
      <c r="L39" s="59"/>
      <c r="R39" s="59"/>
      <c r="AG39" s="450"/>
      <c r="AH39" s="416"/>
      <c r="AI39" s="416"/>
      <c r="AJ39" s="59"/>
      <c r="AK39" s="154"/>
    </row>
    <row r="40" spans="2:44" ht="15.95" customHeight="1" thickBot="1">
      <c r="B40" s="59"/>
      <c r="I40" s="104"/>
      <c r="J40" s="59"/>
      <c r="K40" s="59"/>
      <c r="L40" s="59"/>
      <c r="R40" s="59"/>
      <c r="S40" s="418"/>
      <c r="T40" s="418"/>
      <c r="U40" s="59"/>
      <c r="V40" s="59"/>
      <c r="W40" s="59"/>
      <c r="X40" s="59"/>
      <c r="Y40" s="59"/>
      <c r="Z40" s="418"/>
      <c r="AA40" s="418"/>
      <c r="AB40" s="416"/>
      <c r="AC40" s="416"/>
      <c r="AD40" s="416"/>
      <c r="AE40" s="416"/>
      <c r="AF40" s="416"/>
      <c r="AG40" s="416"/>
      <c r="AH40" s="416"/>
      <c r="AI40" s="416"/>
      <c r="AJ40" s="59"/>
      <c r="AK40" s="154"/>
    </row>
    <row r="41" spans="2:44" ht="18.75" customHeight="1" thickBot="1">
      <c r="B41" s="59"/>
      <c r="I41" s="104"/>
      <c r="J41" s="59"/>
      <c r="K41" s="59"/>
      <c r="L41" s="59"/>
      <c r="M41" s="59"/>
      <c r="N41" s="59"/>
      <c r="O41" s="1258" t="s">
        <v>1508</v>
      </c>
      <c r="P41" s="1258"/>
      <c r="Q41" s="1258"/>
      <c r="R41" s="1258"/>
      <c r="S41" s="1258"/>
      <c r="T41" s="1258"/>
      <c r="U41" s="1258"/>
      <c r="V41" s="1258"/>
      <c r="W41" s="1258"/>
      <c r="X41" s="1259" t="s">
        <v>1509</v>
      </c>
      <c r="Y41" s="1259"/>
      <c r="Z41" s="1259"/>
      <c r="AA41" s="1259"/>
      <c r="AB41" s="1259"/>
      <c r="AC41" s="1259"/>
      <c r="AD41" s="1259"/>
      <c r="AE41" s="1259"/>
      <c r="AF41" s="1259"/>
      <c r="AJ41" s="119"/>
      <c r="AK41" s="154"/>
    </row>
    <row r="42" spans="2:44" ht="15.95" customHeight="1" thickBot="1">
      <c r="I42" s="104"/>
      <c r="J42" s="59"/>
      <c r="K42" s="1239" t="s">
        <v>1469</v>
      </c>
      <c r="L42" s="1239"/>
      <c r="M42" s="1239"/>
      <c r="N42" s="1239"/>
      <c r="O42" s="1241" t="str">
        <f ca="1">IF(COSTTOTAL=0,"",COSTTOTAL)</f>
        <v/>
      </c>
      <c r="P42" s="1241"/>
      <c r="Q42" s="1241"/>
      <c r="R42" s="1241"/>
      <c r="S42" s="1241"/>
      <c r="T42" s="1241"/>
      <c r="U42" s="1241"/>
      <c r="V42" s="1241"/>
      <c r="W42" s="1241"/>
      <c r="X42" s="1242" t="str">
        <f ca="1">IF(COSTTOTAL-INCENTOTAL=0,"",IF(NOT(ISNUMBER(INCENSTATUS)),"---",COSTTOTAL-INCENTOTAL))</f>
        <v/>
      </c>
      <c r="Y42" s="1242"/>
      <c r="Z42" s="1242"/>
      <c r="AA42" s="1242"/>
      <c r="AB42" s="1242"/>
      <c r="AC42" s="1242"/>
      <c r="AD42" s="1242"/>
      <c r="AE42" s="1242"/>
      <c r="AF42" s="1242"/>
      <c r="AJ42" s="119"/>
      <c r="AK42" s="154"/>
    </row>
    <row r="43" spans="2:44" ht="15.95" customHeight="1" thickBot="1">
      <c r="I43" s="104"/>
      <c r="J43" s="59"/>
      <c r="K43" s="1240"/>
      <c r="L43" s="1240"/>
      <c r="M43" s="1240"/>
      <c r="N43" s="1240"/>
      <c r="O43" s="1241"/>
      <c r="P43" s="1241"/>
      <c r="Q43" s="1241"/>
      <c r="R43" s="1241"/>
      <c r="S43" s="1241"/>
      <c r="T43" s="1241"/>
      <c r="U43" s="1241"/>
      <c r="V43" s="1241"/>
      <c r="W43" s="1241"/>
      <c r="X43" s="1242"/>
      <c r="Y43" s="1242"/>
      <c r="Z43" s="1242"/>
      <c r="AA43" s="1242"/>
      <c r="AB43" s="1242"/>
      <c r="AC43" s="1242"/>
      <c r="AD43" s="1242"/>
      <c r="AE43" s="1242"/>
      <c r="AF43" s="1242"/>
      <c r="AJ43" s="119"/>
      <c r="AK43" s="154"/>
    </row>
    <row r="44" spans="2:44" ht="15.95" customHeight="1" thickBot="1">
      <c r="I44" s="104"/>
      <c r="J44" s="59"/>
      <c r="K44" s="1243" t="s">
        <v>1470</v>
      </c>
      <c r="L44" s="1243"/>
      <c r="M44" s="1243"/>
      <c r="N44" s="1243"/>
      <c r="O44" s="1244" t="str">
        <f ca="1">IFERROR(AW32/O42,"")</f>
        <v/>
      </c>
      <c r="P44" s="1244"/>
      <c r="Q44" s="1244"/>
      <c r="R44" s="1244"/>
      <c r="S44" s="1244"/>
      <c r="T44" s="1244"/>
      <c r="U44" s="1244"/>
      <c r="V44" s="1244"/>
      <c r="W44" s="1244"/>
      <c r="X44" s="1245" t="str">
        <f ca="1">IFERROR(AW32/X42,"")</f>
        <v/>
      </c>
      <c r="Y44" s="1245"/>
      <c r="Z44" s="1245"/>
      <c r="AA44" s="1245"/>
      <c r="AB44" s="1245"/>
      <c r="AC44" s="1245"/>
      <c r="AD44" s="1245"/>
      <c r="AE44" s="1245"/>
      <c r="AF44" s="1245"/>
      <c r="AJ44" s="119"/>
      <c r="AK44" s="154"/>
    </row>
    <row r="45" spans="2:44" ht="15.95" customHeight="1" thickBot="1">
      <c r="I45" s="104"/>
      <c r="J45" s="59"/>
      <c r="K45" s="1240"/>
      <c r="L45" s="1240"/>
      <c r="M45" s="1240"/>
      <c r="N45" s="1240"/>
      <c r="O45" s="1244"/>
      <c r="P45" s="1244"/>
      <c r="Q45" s="1244"/>
      <c r="R45" s="1244"/>
      <c r="S45" s="1244"/>
      <c r="T45" s="1244"/>
      <c r="U45" s="1244"/>
      <c r="V45" s="1244"/>
      <c r="W45" s="1244"/>
      <c r="X45" s="1245"/>
      <c r="Y45" s="1245"/>
      <c r="Z45" s="1245"/>
      <c r="AA45" s="1245"/>
      <c r="AB45" s="1245"/>
      <c r="AC45" s="1245"/>
      <c r="AD45" s="1245"/>
      <c r="AE45" s="1245"/>
      <c r="AF45" s="1245"/>
      <c r="AJ45" s="119"/>
      <c r="AK45" s="154"/>
    </row>
    <row r="46" spans="2:44" ht="15.95" customHeight="1" thickBot="1">
      <c r="I46" s="104"/>
      <c r="J46" s="59"/>
      <c r="K46" s="1243" t="s">
        <v>581</v>
      </c>
      <c r="L46" s="1243"/>
      <c r="M46" s="1243"/>
      <c r="N46" s="1243"/>
      <c r="O46" s="1246" t="str">
        <f ca="1">IFERROR(O42/AW32,"")</f>
        <v/>
      </c>
      <c r="P46" s="1246"/>
      <c r="Q46" s="1246"/>
      <c r="R46" s="1246"/>
      <c r="S46" s="1246"/>
      <c r="T46" s="1246"/>
      <c r="U46" s="1246"/>
      <c r="V46" s="1246"/>
      <c r="W46" s="1246"/>
      <c r="X46" s="1247" t="str">
        <f ca="1">IFERROR(X42/AW32,"")</f>
        <v/>
      </c>
      <c r="Y46" s="1247"/>
      <c r="Z46" s="1247"/>
      <c r="AA46" s="1247"/>
      <c r="AB46" s="1247"/>
      <c r="AC46" s="1247"/>
      <c r="AD46" s="1247"/>
      <c r="AE46" s="1247"/>
      <c r="AF46" s="1247"/>
      <c r="AJ46" s="119"/>
      <c r="AK46" s="154"/>
    </row>
    <row r="47" spans="2:44" ht="15.95" customHeight="1" thickBot="1">
      <c r="I47" s="104"/>
      <c r="J47" s="59"/>
      <c r="K47" s="1239"/>
      <c r="L47" s="1239"/>
      <c r="M47" s="1239"/>
      <c r="N47" s="1239"/>
      <c r="O47" s="1246"/>
      <c r="P47" s="1246"/>
      <c r="Q47" s="1246"/>
      <c r="R47" s="1246"/>
      <c r="S47" s="1246"/>
      <c r="T47" s="1246"/>
      <c r="U47" s="1246"/>
      <c r="V47" s="1246"/>
      <c r="W47" s="1246"/>
      <c r="X47" s="1247"/>
      <c r="Y47" s="1247"/>
      <c r="Z47" s="1247"/>
      <c r="AA47" s="1247"/>
      <c r="AB47" s="1247"/>
      <c r="AC47" s="1247"/>
      <c r="AD47" s="1247"/>
      <c r="AE47" s="1247"/>
      <c r="AF47" s="1247"/>
      <c r="AJ47" s="119"/>
      <c r="AK47" s="154"/>
    </row>
    <row r="48" spans="2:44" ht="15.95" customHeight="1" thickBot="1">
      <c r="I48" s="104"/>
      <c r="J48" s="635"/>
      <c r="K48" s="635"/>
      <c r="L48" s="635"/>
      <c r="M48" s="635"/>
      <c r="N48" s="635"/>
      <c r="O48" s="635"/>
      <c r="P48" s="635"/>
      <c r="Q48" s="635"/>
      <c r="R48" s="635"/>
      <c r="S48" s="635"/>
      <c r="T48" s="635"/>
      <c r="U48" s="635"/>
      <c r="V48" s="635"/>
      <c r="W48" s="635"/>
      <c r="X48" s="635"/>
      <c r="Y48" s="635"/>
      <c r="Z48" s="635"/>
      <c r="AA48" s="635"/>
      <c r="AB48" s="635"/>
      <c r="AC48" s="635"/>
      <c r="AD48" s="635"/>
      <c r="AE48" s="635"/>
      <c r="AF48" s="635"/>
      <c r="AG48" s="635"/>
      <c r="AH48" s="635"/>
      <c r="AI48" s="635"/>
      <c r="AJ48" s="635"/>
      <c r="AK48" s="154"/>
    </row>
    <row r="49" spans="3:53" ht="15.95" customHeight="1">
      <c r="I49" s="104"/>
      <c r="J49" s="1233" t="s">
        <v>1471</v>
      </c>
      <c r="K49" s="1233"/>
      <c r="L49" s="1233"/>
      <c r="M49" s="1233"/>
      <c r="N49" s="1233"/>
      <c r="O49" s="1233"/>
      <c r="P49" s="1233"/>
      <c r="Q49" s="1233"/>
      <c r="R49" s="1233"/>
      <c r="S49" s="1233"/>
      <c r="T49" s="1233"/>
      <c r="U49" s="1233"/>
      <c r="V49" s="1233"/>
      <c r="W49" s="1233"/>
      <c r="X49" s="1233"/>
      <c r="Y49" s="1233"/>
      <c r="Z49" s="1233"/>
      <c r="AA49" s="1233"/>
      <c r="AB49" s="1233"/>
      <c r="AC49" s="1233"/>
      <c r="AD49" s="1233"/>
      <c r="AE49" s="1233"/>
      <c r="AF49" s="1233"/>
      <c r="AG49" s="1233"/>
      <c r="AH49" s="1233"/>
      <c r="AI49" s="1233"/>
      <c r="AJ49" s="1233"/>
      <c r="AK49" s="154"/>
    </row>
    <row r="50" spans="3:53" ht="15.95" customHeight="1">
      <c r="I50" s="104"/>
      <c r="J50" s="1233"/>
      <c r="K50" s="1233"/>
      <c r="L50" s="1233"/>
      <c r="M50" s="1233"/>
      <c r="N50" s="1233"/>
      <c r="O50" s="1233"/>
      <c r="P50" s="1233"/>
      <c r="Q50" s="1233"/>
      <c r="R50" s="1233"/>
      <c r="S50" s="1233"/>
      <c r="T50" s="1233"/>
      <c r="U50" s="1233"/>
      <c r="V50" s="1233"/>
      <c r="W50" s="1233"/>
      <c r="X50" s="1233"/>
      <c r="Y50" s="1233"/>
      <c r="Z50" s="1233"/>
      <c r="AA50" s="1233"/>
      <c r="AB50" s="1233"/>
      <c r="AC50" s="1233"/>
      <c r="AD50" s="1233"/>
      <c r="AE50" s="1233"/>
      <c r="AF50" s="1233"/>
      <c r="AG50" s="1233"/>
      <c r="AH50" s="1233"/>
      <c r="AI50" s="1233"/>
      <c r="AJ50" s="1233"/>
      <c r="AK50" s="154"/>
    </row>
    <row r="51" spans="3:53" ht="15.95" customHeight="1">
      <c r="I51" s="104"/>
      <c r="J51" s="1229" t="s">
        <v>1473</v>
      </c>
      <c r="K51" s="1229"/>
      <c r="L51" s="1229"/>
      <c r="M51" s="1229"/>
      <c r="N51" s="1229"/>
      <c r="O51" s="1229"/>
      <c r="P51" s="1229"/>
      <c r="Q51" s="1229"/>
      <c r="R51" s="1229"/>
      <c r="S51" s="1229"/>
      <c r="T51" s="453"/>
      <c r="AK51" s="154"/>
      <c r="AU51" t="s">
        <v>1472</v>
      </c>
      <c r="AW51">
        <v>7.7599619999999989E-4</v>
      </c>
      <c r="AY51" t="s">
        <v>1498</v>
      </c>
      <c r="BA51">
        <v>6.633E-3</v>
      </c>
    </row>
    <row r="52" spans="3:53" ht="15.95" customHeight="1">
      <c r="I52" s="104"/>
      <c r="J52" s="1229"/>
      <c r="K52" s="1229"/>
      <c r="L52" s="1229"/>
      <c r="M52" s="1229"/>
      <c r="N52" s="1229"/>
      <c r="O52" s="1229"/>
      <c r="P52" s="1229"/>
      <c r="Q52" s="1229"/>
      <c r="R52" s="1229"/>
      <c r="S52" s="1229"/>
      <c r="T52" s="453"/>
      <c r="AK52" s="154"/>
      <c r="AU52" t="s">
        <v>1162</v>
      </c>
      <c r="AW52" s="52">
        <f ca="1">KWHTOTAL</f>
        <v>0</v>
      </c>
      <c r="AY52" t="s">
        <v>1499</v>
      </c>
      <c r="BA52" s="52">
        <f ca="1">THERMTOTAL</f>
        <v>0</v>
      </c>
    </row>
    <row r="53" spans="3:53" ht="15.95" customHeight="1">
      <c r="I53" s="104"/>
      <c r="J53" s="1228">
        <f ca="1">KWHTOTAL</f>
        <v>0</v>
      </c>
      <c r="K53" s="1228"/>
      <c r="L53" s="1228"/>
      <c r="M53" s="1228"/>
      <c r="N53" s="1228"/>
      <c r="O53" s="1228"/>
      <c r="P53" s="1228"/>
      <c r="Q53" s="1228"/>
      <c r="R53" s="1228"/>
      <c r="S53" s="1228"/>
      <c r="T53" s="452"/>
      <c r="AK53" s="154"/>
      <c r="AU53" s="56" t="s">
        <v>1474</v>
      </c>
      <c r="AW53">
        <f ca="1">AW51*AW52</f>
        <v>0</v>
      </c>
      <c r="AY53" s="56" t="s">
        <v>1474</v>
      </c>
      <c r="BA53">
        <f ca="1">BA51*BA52</f>
        <v>0</v>
      </c>
    </row>
    <row r="54" spans="3:53" ht="15.95" customHeight="1">
      <c r="C54" s="56"/>
      <c r="D54" s="56"/>
      <c r="E54" s="56"/>
      <c r="F54" s="56"/>
      <c r="G54" s="56"/>
      <c r="I54" s="104"/>
      <c r="J54" s="1228"/>
      <c r="K54" s="1228"/>
      <c r="L54" s="1228"/>
      <c r="M54" s="1228"/>
      <c r="N54" s="1228"/>
      <c r="O54" s="1228"/>
      <c r="P54" s="1228"/>
      <c r="Q54" s="1228"/>
      <c r="R54" s="1228"/>
      <c r="S54" s="1228"/>
      <c r="T54" s="452"/>
      <c r="AK54" s="154"/>
      <c r="AU54" t="s">
        <v>1475</v>
      </c>
      <c r="AW54">
        <v>4.67</v>
      </c>
      <c r="AY54" t="s">
        <v>1475</v>
      </c>
      <c r="BA54">
        <v>4.67</v>
      </c>
    </row>
    <row r="55" spans="3:53" ht="15.95" customHeight="1">
      <c r="C55" s="56"/>
      <c r="D55" s="56"/>
      <c r="E55" s="56"/>
      <c r="F55" s="56"/>
      <c r="G55" s="56"/>
      <c r="I55" s="104"/>
      <c r="J55" s="1230" t="s">
        <v>1517</v>
      </c>
      <c r="K55" s="1230"/>
      <c r="L55" s="1230"/>
      <c r="M55" s="1230"/>
      <c r="N55" s="1230"/>
      <c r="O55" s="1230"/>
      <c r="P55" s="1230"/>
      <c r="Q55" s="1230"/>
      <c r="R55" s="1230"/>
      <c r="S55" s="1230"/>
      <c r="AK55" s="154"/>
      <c r="AU55" t="s">
        <v>1476</v>
      </c>
      <c r="AW55">
        <f>6.672/12</f>
        <v>0.55599999999999994</v>
      </c>
      <c r="AY55" t="s">
        <v>1476</v>
      </c>
      <c r="BA55">
        <f>6.672/12</f>
        <v>0.55599999999999994</v>
      </c>
    </row>
    <row r="56" spans="3:53" ht="15.95" customHeight="1">
      <c r="C56" s="56"/>
      <c r="D56" s="56"/>
      <c r="E56" s="56"/>
      <c r="F56" s="56"/>
      <c r="G56" s="56"/>
      <c r="I56" s="104"/>
      <c r="J56" s="1231">
        <f ca="1">THERMTOTAL</f>
        <v>0</v>
      </c>
      <c r="K56" s="1231"/>
      <c r="L56" s="1231"/>
      <c r="M56" s="1231"/>
      <c r="N56" s="1231"/>
      <c r="O56" s="1231"/>
      <c r="P56" s="1231"/>
      <c r="Q56" s="1231"/>
      <c r="R56" s="1231"/>
      <c r="S56" s="1231"/>
      <c r="AK56" s="154"/>
      <c r="AU56" t="s">
        <v>1477</v>
      </c>
      <c r="AW56" s="114">
        <v>2.87</v>
      </c>
      <c r="AY56" t="s">
        <v>1477</v>
      </c>
      <c r="BA56" s="114">
        <v>2.87</v>
      </c>
    </row>
    <row r="57" spans="3:53" ht="15.95" customHeight="1">
      <c r="C57" s="56"/>
      <c r="D57" s="56"/>
      <c r="E57" s="56"/>
      <c r="F57" s="56"/>
      <c r="G57" s="56"/>
      <c r="I57" s="104"/>
      <c r="J57" s="1231"/>
      <c r="K57" s="1231"/>
      <c r="L57" s="1231"/>
      <c r="M57" s="1231"/>
      <c r="N57" s="1231"/>
      <c r="O57" s="1231"/>
      <c r="P57" s="1231"/>
      <c r="Q57" s="1231"/>
      <c r="R57" s="1231"/>
      <c r="S57" s="1231"/>
      <c r="T57" s="1248" t="s">
        <v>1519</v>
      </c>
      <c r="U57" s="1248"/>
      <c r="V57" s="1248"/>
      <c r="W57" s="1248"/>
      <c r="X57" s="1248"/>
      <c r="Y57" s="1248"/>
      <c r="Z57" s="1248"/>
      <c r="AA57" s="225"/>
      <c r="AB57" s="225"/>
      <c r="AC57" s="225"/>
      <c r="AD57" s="225"/>
      <c r="AE57" s="225"/>
      <c r="AF57" s="225"/>
      <c r="AG57" s="225"/>
      <c r="AH57" s="225"/>
      <c r="AI57" s="225"/>
      <c r="AJ57" s="225"/>
      <c r="AK57" s="154"/>
    </row>
    <row r="58" spans="3:53" ht="15.95" customHeight="1">
      <c r="C58" s="56"/>
      <c r="D58" s="56"/>
      <c r="E58" s="56"/>
      <c r="F58" s="56"/>
      <c r="G58" s="56"/>
      <c r="I58" s="104"/>
      <c r="J58" s="419"/>
      <c r="K58" s="419"/>
      <c r="L58" s="419"/>
      <c r="M58" s="419"/>
      <c r="N58" s="419"/>
      <c r="O58" s="419"/>
      <c r="P58" s="419"/>
      <c r="Q58" s="419"/>
      <c r="R58" s="419"/>
      <c r="S58" s="419"/>
      <c r="T58" s="1248"/>
      <c r="U58" s="1248"/>
      <c r="V58" s="1248"/>
      <c r="W58" s="1248"/>
      <c r="X58" s="1248"/>
      <c r="Y58" s="1248"/>
      <c r="Z58" s="1248"/>
      <c r="AA58" s="419"/>
      <c r="AB58" s="419"/>
      <c r="AC58" s="419"/>
      <c r="AD58" s="419"/>
      <c r="AE58" s="419"/>
      <c r="AF58" s="419"/>
      <c r="AG58" s="419"/>
      <c r="AH58" s="419"/>
      <c r="AI58" s="419"/>
      <c r="AJ58" s="419"/>
      <c r="AK58" s="154"/>
    </row>
    <row r="59" spans="3:53" ht="15.95" customHeight="1">
      <c r="C59" s="56"/>
      <c r="D59" s="56"/>
      <c r="E59" s="56"/>
      <c r="F59" s="56"/>
      <c r="G59" s="56"/>
      <c r="I59" s="104"/>
      <c r="T59" s="1248"/>
      <c r="U59" s="1248"/>
      <c r="V59" s="1248"/>
      <c r="W59" s="1248"/>
      <c r="X59" s="1248"/>
      <c r="Y59" s="1248"/>
      <c r="Z59" s="1248"/>
      <c r="AK59" s="154"/>
    </row>
    <row r="60" spans="3:53" ht="15.95" customHeight="1">
      <c r="C60" s="56"/>
      <c r="I60" s="104"/>
      <c r="AK60" s="154"/>
    </row>
    <row r="61" spans="3:53" ht="15.95" customHeight="1">
      <c r="C61" s="56"/>
      <c r="I61" s="104"/>
      <c r="M61" s="1232">
        <f ca="1">($AW$53/$AW$54)+($BA$53/$BA$54)</f>
        <v>0</v>
      </c>
      <c r="N61" s="1232"/>
      <c r="O61" s="1232"/>
      <c r="P61" s="1232"/>
      <c r="Q61" s="1232"/>
      <c r="R61" s="1232"/>
      <c r="S61" s="420"/>
      <c r="T61" s="420"/>
      <c r="V61" s="1232">
        <f ca="1">($AW$53/$AW$55)+($BA$53/$BA$55)</f>
        <v>0</v>
      </c>
      <c r="W61" s="1232"/>
      <c r="X61" s="1232"/>
      <c r="Y61" s="1232"/>
      <c r="Z61" s="1232"/>
      <c r="AA61" s="1232"/>
      <c r="AB61" s="421"/>
      <c r="AC61" s="421"/>
      <c r="AD61" s="421"/>
      <c r="AE61" s="1232">
        <f ca="1">($AW$53/$AW$56)+($BA$53/$BA$56)</f>
        <v>0</v>
      </c>
      <c r="AF61" s="1232"/>
      <c r="AG61" s="1232"/>
      <c r="AH61" s="1232"/>
      <c r="AI61" s="1232"/>
      <c r="AJ61" s="1232"/>
      <c r="AK61" s="154"/>
    </row>
    <row r="62" spans="3:53" ht="15.95" customHeight="1">
      <c r="C62" s="56"/>
      <c r="I62" s="104"/>
      <c r="M62" s="1235" t="s">
        <v>1478</v>
      </c>
      <c r="N62" s="1235"/>
      <c r="O62" s="1235"/>
      <c r="P62" s="1235"/>
      <c r="Q62" s="1235"/>
      <c r="R62" s="1235"/>
      <c r="S62" s="422"/>
      <c r="T62" s="422"/>
      <c r="V62" s="1236" t="s">
        <v>1479</v>
      </c>
      <c r="W62" s="1236"/>
      <c r="X62" s="1236"/>
      <c r="Y62" s="1236"/>
      <c r="Z62" s="1236"/>
      <c r="AA62" s="1236"/>
      <c r="AB62" s="423"/>
      <c r="AC62" s="423"/>
      <c r="AD62" s="423"/>
      <c r="AE62" s="1236" t="s">
        <v>1480</v>
      </c>
      <c r="AF62" s="1236"/>
      <c r="AG62" s="1236"/>
      <c r="AH62" s="1236"/>
      <c r="AI62" s="1236"/>
      <c r="AJ62" s="1236"/>
      <c r="AK62" s="154"/>
      <c r="AL62" s="420"/>
    </row>
    <row r="63" spans="3:53" ht="15.95" customHeight="1">
      <c r="C63" s="56"/>
      <c r="I63" s="104"/>
      <c r="M63" s="1235" t="s">
        <v>1481</v>
      </c>
      <c r="N63" s="1235"/>
      <c r="O63" s="1235"/>
      <c r="P63" s="1235"/>
      <c r="Q63" s="1235"/>
      <c r="R63" s="1235"/>
      <c r="S63" s="422"/>
      <c r="T63" s="422"/>
      <c r="V63" s="1237" t="s">
        <v>1482</v>
      </c>
      <c r="W63" s="1237"/>
      <c r="X63" s="1237"/>
      <c r="Y63" s="1237"/>
      <c r="Z63" s="1237"/>
      <c r="AA63" s="1237"/>
      <c r="AE63" s="1238" t="s">
        <v>1483</v>
      </c>
      <c r="AF63" s="1238"/>
      <c r="AG63" s="1238"/>
      <c r="AH63" s="1238"/>
      <c r="AI63" s="1238"/>
      <c r="AJ63" s="1238"/>
      <c r="AK63" s="154"/>
      <c r="AL63" s="424"/>
    </row>
    <row r="64" spans="3:53" ht="15.95" customHeight="1">
      <c r="C64" s="56"/>
      <c r="I64" s="104"/>
      <c r="AK64" s="154"/>
    </row>
    <row r="65" spans="3:39" ht="15.95" customHeight="1">
      <c r="C65" s="56"/>
      <c r="I65" s="104"/>
      <c r="AK65" s="154"/>
    </row>
    <row r="66" spans="3:39" ht="15.95" customHeight="1" thickBot="1">
      <c r="C66" s="56"/>
      <c r="I66" s="104"/>
      <c r="J66" s="634"/>
      <c r="K66" s="634"/>
      <c r="L66" s="634"/>
      <c r="M66" s="634"/>
      <c r="N66" s="634"/>
      <c r="O66" s="634"/>
      <c r="P66" s="634"/>
      <c r="Q66" s="634"/>
      <c r="R66" s="634"/>
      <c r="S66" s="634"/>
      <c r="T66" s="634"/>
      <c r="U66" s="635"/>
      <c r="V66" s="635"/>
      <c r="W66" s="635"/>
      <c r="X66" s="635"/>
      <c r="Y66" s="635"/>
      <c r="Z66" s="635"/>
      <c r="AA66" s="634"/>
      <c r="AB66" s="634"/>
      <c r="AC66" s="634"/>
      <c r="AD66" s="634"/>
      <c r="AE66" s="634"/>
      <c r="AF66" s="634"/>
      <c r="AG66" s="634"/>
      <c r="AH66" s="634"/>
      <c r="AI66" s="634"/>
      <c r="AJ66" s="634"/>
      <c r="AK66" s="154"/>
    </row>
    <row r="67" spans="3:39" ht="15.95" customHeight="1">
      <c r="C67" s="56"/>
      <c r="I67" s="104"/>
      <c r="J67" s="1233" t="s">
        <v>1484</v>
      </c>
      <c r="K67" s="1233"/>
      <c r="L67" s="1233"/>
      <c r="M67" s="1233"/>
      <c r="N67" s="1233"/>
      <c r="O67" s="1233"/>
      <c r="P67" s="1233"/>
      <c r="Q67" s="1233"/>
      <c r="R67" s="1233"/>
      <c r="S67" s="1233"/>
      <c r="T67" s="1233"/>
      <c r="U67" s="1233"/>
      <c r="V67" s="1233"/>
      <c r="W67" s="1233"/>
      <c r="X67" s="1233"/>
      <c r="Y67" s="1233"/>
      <c r="Z67" s="1233"/>
      <c r="AA67" s="1233"/>
      <c r="AB67" s="1233"/>
      <c r="AC67" s="1233"/>
      <c r="AD67" s="1233"/>
      <c r="AE67" s="1233"/>
      <c r="AF67" s="1233"/>
      <c r="AG67" s="1233"/>
      <c r="AH67" s="1233"/>
      <c r="AI67" s="1233"/>
      <c r="AJ67" s="1233"/>
      <c r="AK67" s="154"/>
    </row>
    <row r="68" spans="3:39" ht="15.95" customHeight="1">
      <c r="C68" s="56"/>
      <c r="D68" s="56"/>
      <c r="E68" s="56"/>
      <c r="F68" s="56"/>
      <c r="G68" s="56"/>
      <c r="I68" s="104"/>
      <c r="J68" s="1233"/>
      <c r="K68" s="1233"/>
      <c r="L68" s="1233"/>
      <c r="M68" s="1233"/>
      <c r="N68" s="1233"/>
      <c r="O68" s="1233"/>
      <c r="P68" s="1233"/>
      <c r="Q68" s="1233"/>
      <c r="R68" s="1233"/>
      <c r="S68" s="1233"/>
      <c r="T68" s="1233"/>
      <c r="U68" s="1233"/>
      <c r="V68" s="1233"/>
      <c r="W68" s="1233"/>
      <c r="X68" s="1233"/>
      <c r="Y68" s="1233"/>
      <c r="Z68" s="1233"/>
      <c r="AA68" s="1233"/>
      <c r="AB68" s="1233"/>
      <c r="AC68" s="1233"/>
      <c r="AD68" s="1233"/>
      <c r="AE68" s="1233"/>
      <c r="AF68" s="1233"/>
      <c r="AG68" s="1233"/>
      <c r="AH68" s="1233"/>
      <c r="AI68" s="1233"/>
      <c r="AJ68" s="1233"/>
      <c r="AK68" s="154"/>
    </row>
    <row r="69" spans="3:39" ht="15.95" customHeight="1">
      <c r="C69" s="56"/>
      <c r="D69" s="56"/>
      <c r="E69" s="56"/>
      <c r="F69" s="56"/>
      <c r="G69" s="56"/>
      <c r="I69" s="104"/>
      <c r="J69" s="59"/>
      <c r="K69" s="59"/>
      <c r="L69" s="59"/>
      <c r="M69" s="59"/>
      <c r="N69" s="59"/>
      <c r="O69" s="59"/>
      <c r="P69" s="59"/>
      <c r="Q69" s="59"/>
      <c r="R69" s="59"/>
      <c r="S69" s="59"/>
      <c r="T69" s="59"/>
      <c r="U69" s="59"/>
      <c r="V69" s="59"/>
      <c r="W69" s="59"/>
      <c r="X69" s="59"/>
      <c r="Y69" s="59"/>
      <c r="Z69" s="59"/>
      <c r="AA69" s="59"/>
      <c r="AB69" s="59"/>
      <c r="AC69" s="59"/>
      <c r="AD69" s="59"/>
      <c r="AE69" s="59"/>
      <c r="AF69" s="59"/>
      <c r="AG69" s="59"/>
      <c r="AH69" s="191"/>
      <c r="AI69" s="59"/>
      <c r="AJ69" s="59"/>
      <c r="AK69" s="154"/>
    </row>
    <row r="70" spans="3:39" ht="15.95" customHeight="1">
      <c r="C70" s="56"/>
      <c r="D70" s="56"/>
      <c r="E70" s="56"/>
      <c r="F70" s="56"/>
      <c r="G70" s="56"/>
      <c r="I70" s="104"/>
      <c r="J70" s="1234" t="s">
        <v>1485</v>
      </c>
      <c r="K70" s="1234"/>
      <c r="L70" s="1234"/>
      <c r="M70" s="1234"/>
      <c r="N70" s="1234"/>
      <c r="O70" s="1234"/>
      <c r="P70" s="1234"/>
      <c r="Q70" s="1234"/>
      <c r="R70" s="1234"/>
      <c r="S70" s="1234"/>
      <c r="T70" s="1234"/>
      <c r="U70" s="1234"/>
      <c r="V70" s="1234"/>
      <c r="W70" s="59"/>
      <c r="Y70" s="425" t="s">
        <v>1486</v>
      </c>
      <c r="Z70" s="417"/>
      <c r="AA70" s="448" t="s">
        <v>1501</v>
      </c>
      <c r="AB70" s="119"/>
      <c r="AC70" s="417"/>
      <c r="AD70" s="417"/>
      <c r="AE70" s="417"/>
      <c r="AF70" s="417"/>
      <c r="AG70" s="417"/>
      <c r="AH70" s="417"/>
      <c r="AI70" s="417"/>
      <c r="AJ70" s="417"/>
      <c r="AK70" s="154"/>
    </row>
    <row r="71" spans="3:39" ht="15.95" customHeight="1">
      <c r="C71" s="56"/>
      <c r="D71" s="56"/>
      <c r="E71" s="56"/>
      <c r="F71" s="56"/>
      <c r="G71" s="56"/>
      <c r="I71" s="104"/>
      <c r="J71" s="1249" t="s">
        <v>1487</v>
      </c>
      <c r="K71" s="1249"/>
      <c r="L71" s="1249"/>
      <c r="M71" s="1249"/>
      <c r="N71" s="1249"/>
      <c r="O71" s="1249"/>
      <c r="P71" s="1249"/>
      <c r="Q71" s="1249"/>
      <c r="R71" s="1249"/>
      <c r="S71" s="1249"/>
      <c r="T71" s="1249"/>
      <c r="U71" s="1249"/>
      <c r="V71" s="1249"/>
      <c r="W71" s="59"/>
      <c r="Y71" s="425" t="s">
        <v>1465</v>
      </c>
      <c r="Z71" s="418"/>
      <c r="AA71" s="426" t="s">
        <v>1500</v>
      </c>
      <c r="AB71" s="418"/>
      <c r="AC71" s="418"/>
      <c r="AD71" s="427"/>
      <c r="AE71" s="427"/>
      <c r="AF71" s="418"/>
      <c r="AG71" s="418"/>
      <c r="AH71" s="418"/>
      <c r="AI71" s="418"/>
      <c r="AJ71" s="388"/>
      <c r="AK71" s="154"/>
    </row>
    <row r="72" spans="3:39" ht="15.95" customHeight="1">
      <c r="C72" s="56"/>
      <c r="D72" s="56"/>
      <c r="E72" s="56"/>
      <c r="F72" s="56"/>
      <c r="G72" s="56"/>
      <c r="I72" s="104"/>
      <c r="J72" s="1249"/>
      <c r="K72" s="1249"/>
      <c r="L72" s="1249"/>
      <c r="M72" s="1249"/>
      <c r="N72" s="1249"/>
      <c r="O72" s="1249"/>
      <c r="P72" s="1249"/>
      <c r="Q72" s="1249"/>
      <c r="R72" s="1249"/>
      <c r="S72" s="1249"/>
      <c r="T72" s="1249"/>
      <c r="U72" s="1249"/>
      <c r="V72" s="1249"/>
      <c r="W72" s="59"/>
      <c r="Y72" s="425" t="s">
        <v>1488</v>
      </c>
      <c r="Z72" s="418"/>
      <c r="AA72" s="463" t="s">
        <v>1547</v>
      </c>
      <c r="AB72" s="418"/>
      <c r="AC72" s="418"/>
      <c r="AD72" s="427"/>
      <c r="AE72" s="427"/>
      <c r="AF72" s="428"/>
      <c r="AG72" s="418"/>
      <c r="AH72" s="418"/>
      <c r="AI72" s="418"/>
      <c r="AJ72" s="388"/>
      <c r="AK72" s="154"/>
    </row>
    <row r="73" spans="3:39" ht="15.95" customHeight="1">
      <c r="C73" s="56"/>
      <c r="D73" s="56"/>
      <c r="E73" s="56"/>
      <c r="F73" s="56"/>
      <c r="G73" s="56"/>
      <c r="I73" s="104"/>
      <c r="J73" s="59"/>
      <c r="K73" s="59"/>
      <c r="L73" s="59"/>
      <c r="M73" s="59"/>
      <c r="N73" s="59"/>
      <c r="O73" s="59"/>
      <c r="P73" s="59"/>
      <c r="Q73" s="59"/>
      <c r="R73" s="59"/>
      <c r="S73" s="59"/>
      <c r="T73" s="59"/>
      <c r="U73" s="59"/>
      <c r="V73" s="59"/>
      <c r="W73" s="59"/>
      <c r="X73" s="59"/>
      <c r="Y73" s="59"/>
      <c r="Z73" s="59"/>
      <c r="AA73" s="59"/>
      <c r="AB73" s="59"/>
      <c r="AC73" s="59"/>
      <c r="AD73" s="59"/>
      <c r="AE73" s="59"/>
      <c r="AF73" s="59"/>
      <c r="AG73" s="59"/>
      <c r="AH73" s="59"/>
      <c r="AI73" s="59"/>
      <c r="AJ73" s="59"/>
      <c r="AK73" s="154"/>
    </row>
    <row r="74" spans="3:39" ht="15.95" customHeight="1">
      <c r="C74" s="56"/>
      <c r="D74" s="56"/>
      <c r="E74" s="56"/>
      <c r="F74" s="56"/>
      <c r="G74" s="56"/>
      <c r="I74" s="104"/>
      <c r="J74" s="1250" t="s">
        <v>1058</v>
      </c>
      <c r="K74" s="1251"/>
      <c r="L74" s="1251"/>
      <c r="M74" s="1251"/>
      <c r="N74" s="1251"/>
      <c r="O74" s="1251"/>
      <c r="P74" s="1251"/>
      <c r="Q74" s="1251"/>
      <c r="R74" s="1251"/>
      <c r="S74" s="1251"/>
      <c r="T74" s="1251"/>
      <c r="U74" s="1251"/>
      <c r="V74" s="1251"/>
      <c r="W74" s="1251"/>
      <c r="X74" s="1251"/>
      <c r="Y74" s="1251"/>
      <c r="Z74" s="1251"/>
      <c r="AA74" s="1251"/>
      <c r="AB74" s="1251"/>
      <c r="AC74" s="1251"/>
      <c r="AD74" s="1251"/>
      <c r="AE74" s="1251"/>
      <c r="AF74" s="1251"/>
      <c r="AG74" s="1251"/>
      <c r="AH74" s="1251"/>
      <c r="AI74" s="1251"/>
      <c r="AJ74" s="1252"/>
      <c r="AK74" s="154"/>
    </row>
    <row r="75" spans="3:39" ht="15.95" customHeight="1">
      <c r="C75" s="56"/>
      <c r="D75" s="56"/>
      <c r="E75" s="56"/>
      <c r="F75" s="56"/>
      <c r="G75" s="56"/>
      <c r="I75" s="104"/>
      <c r="J75" s="1253"/>
      <c r="K75" s="1254"/>
      <c r="L75" s="1254"/>
      <c r="M75" s="1254"/>
      <c r="N75" s="1254"/>
      <c r="O75" s="1254"/>
      <c r="P75" s="1254"/>
      <c r="Q75" s="1254"/>
      <c r="R75" s="1254"/>
      <c r="S75" s="1254"/>
      <c r="T75" s="1254"/>
      <c r="U75" s="1254"/>
      <c r="V75" s="1254"/>
      <c r="W75" s="1254"/>
      <c r="X75" s="1254"/>
      <c r="Y75" s="1254"/>
      <c r="Z75" s="1254"/>
      <c r="AA75" s="1254"/>
      <c r="AB75" s="1254"/>
      <c r="AC75" s="1254"/>
      <c r="AD75" s="1254"/>
      <c r="AE75" s="1254"/>
      <c r="AF75" s="1254"/>
      <c r="AG75" s="1254"/>
      <c r="AH75" s="1254"/>
      <c r="AI75" s="1254"/>
      <c r="AJ75" s="1255"/>
      <c r="AK75" s="154"/>
    </row>
    <row r="76" spans="3:39" ht="15.95" customHeight="1">
      <c r="C76" s="56"/>
      <c r="D76" s="56"/>
      <c r="E76" s="56"/>
      <c r="F76" s="56"/>
      <c r="G76" s="56"/>
      <c r="I76" s="106"/>
      <c r="J76" s="109"/>
      <c r="K76" s="109"/>
      <c r="L76" s="109"/>
      <c r="M76" s="109"/>
      <c r="N76" s="109"/>
      <c r="O76" s="109"/>
      <c r="P76" s="109"/>
      <c r="Q76" s="109"/>
      <c r="R76" s="109"/>
      <c r="S76" s="109"/>
      <c r="T76" s="109"/>
      <c r="U76" s="109"/>
      <c r="V76" s="109"/>
      <c r="W76" s="109"/>
      <c r="X76" s="109"/>
      <c r="Y76" s="109"/>
      <c r="Z76" s="109"/>
      <c r="AA76" s="109"/>
      <c r="AB76" s="109"/>
      <c r="AC76" s="109"/>
      <c r="AD76" s="109"/>
      <c r="AE76" s="109"/>
      <c r="AF76" s="109"/>
      <c r="AG76" s="109"/>
      <c r="AH76" s="109"/>
      <c r="AI76" s="109"/>
      <c r="AJ76" s="109"/>
      <c r="AK76" s="110"/>
    </row>
    <row r="77" spans="3:39" ht="15.95" customHeight="1">
      <c r="C77" s="56"/>
      <c r="D77" s="56"/>
      <c r="E77" s="56"/>
      <c r="F77" s="56"/>
      <c r="G77" s="56"/>
      <c r="H77" s="56"/>
      <c r="I77" s="56"/>
      <c r="J77" s="56"/>
      <c r="K77" s="56"/>
      <c r="L77" s="56"/>
      <c r="M77" s="56"/>
      <c r="N77" s="56"/>
      <c r="O77" s="56"/>
      <c r="P77" s="56"/>
      <c r="Q77" s="56"/>
      <c r="R77" s="56"/>
      <c r="S77" s="56"/>
      <c r="T77" s="56"/>
      <c r="U77" s="56"/>
      <c r="V77" s="56"/>
      <c r="W77" s="56"/>
      <c r="X77" s="56"/>
      <c r="Y77" s="56"/>
      <c r="Z77" s="56"/>
      <c r="AA77" s="56"/>
      <c r="AB77" s="56"/>
      <c r="AC77" s="56"/>
      <c r="AD77" s="56"/>
      <c r="AE77" s="56"/>
      <c r="AF77" s="56"/>
      <c r="AG77" s="56"/>
      <c r="AH77" s="56"/>
      <c r="AI77" s="56"/>
      <c r="AJ77" s="56"/>
      <c r="AK77" s="56"/>
      <c r="AL77" s="56"/>
      <c r="AM77" s="56"/>
    </row>
    <row r="78" spans="3:39" ht="15.95" hidden="1" customHeight="1">
      <c r="C78" s="56"/>
      <c r="D78" s="56"/>
      <c r="E78" s="56"/>
      <c r="F78" s="56"/>
      <c r="G78" s="56"/>
      <c r="H78" s="56"/>
      <c r="J78" s="56"/>
      <c r="K78" s="56"/>
      <c r="L78" s="56"/>
      <c r="M78" s="56"/>
      <c r="N78" s="56"/>
      <c r="O78" s="56"/>
    </row>
    <row r="79" spans="3:39" ht="15.95" hidden="1" customHeight="1">
      <c r="C79" s="56"/>
      <c r="D79" s="56"/>
      <c r="E79" s="56"/>
      <c r="F79" s="56"/>
      <c r="G79" s="56"/>
      <c r="H79" s="56"/>
      <c r="J79" s="56"/>
      <c r="K79" s="56"/>
      <c r="L79" s="56"/>
      <c r="M79" s="56"/>
      <c r="N79" s="56"/>
      <c r="O79" s="56"/>
    </row>
    <row r="80" spans="3:39" ht="15.95" hidden="1" customHeight="1">
      <c r="C80" s="56"/>
      <c r="D80" s="56"/>
      <c r="E80" s="56"/>
      <c r="F80" s="56"/>
      <c r="G80" s="56"/>
      <c r="H80" s="56"/>
      <c r="J80" s="56"/>
      <c r="K80" s="56"/>
      <c r="L80" s="56"/>
      <c r="M80" s="56"/>
      <c r="N80" s="56"/>
      <c r="O80" s="56"/>
    </row>
    <row r="81" spans="3:15" ht="15.95" hidden="1" customHeight="1">
      <c r="C81" s="56"/>
      <c r="D81" s="56"/>
      <c r="E81" s="56"/>
      <c r="F81" s="56"/>
      <c r="G81" s="56"/>
      <c r="H81" s="56"/>
      <c r="J81" s="56"/>
      <c r="K81" s="56"/>
      <c r="L81" s="56"/>
      <c r="M81" s="56"/>
      <c r="N81" s="56"/>
      <c r="O81" s="56"/>
    </row>
    <row r="82" spans="3:15" ht="15.95" hidden="1" customHeight="1">
      <c r="C82" s="56"/>
      <c r="D82" s="56"/>
      <c r="E82" s="56"/>
      <c r="F82" s="56"/>
      <c r="G82" s="56"/>
      <c r="H82" s="56"/>
      <c r="J82" s="56"/>
      <c r="K82" s="56"/>
      <c r="L82" s="56"/>
      <c r="M82" s="56"/>
      <c r="N82" s="56"/>
      <c r="O82" s="56"/>
    </row>
    <row r="83" spans="3:15" ht="15.95" hidden="1" customHeight="1">
      <c r="C83" s="56"/>
      <c r="D83" s="56"/>
      <c r="E83" s="56"/>
      <c r="F83" s="56"/>
      <c r="G83" s="56"/>
      <c r="H83" s="56"/>
      <c r="J83" s="56"/>
      <c r="K83" s="56"/>
      <c r="L83" s="56"/>
      <c r="M83" s="56"/>
      <c r="N83" s="56"/>
      <c r="O83" s="56"/>
    </row>
    <row r="84" spans="3:15" ht="15.95" hidden="1" customHeight="1">
      <c r="C84" s="56"/>
      <c r="D84" s="56"/>
      <c r="E84" s="56"/>
      <c r="F84" s="56"/>
      <c r="G84" s="56"/>
      <c r="H84" s="56"/>
      <c r="J84" s="56"/>
      <c r="K84" s="56"/>
      <c r="L84" s="56"/>
      <c r="M84" s="56"/>
      <c r="N84" s="56"/>
      <c r="O84" s="56"/>
    </row>
    <row r="85" spans="3:15" ht="15.95" hidden="1" customHeight="1">
      <c r="C85" s="56"/>
      <c r="D85" s="56"/>
      <c r="E85" s="56"/>
      <c r="F85" s="56"/>
      <c r="G85" s="56"/>
      <c r="H85" s="56"/>
      <c r="J85" s="56"/>
      <c r="K85" s="56"/>
      <c r="L85" s="56"/>
      <c r="M85" s="56"/>
      <c r="N85" s="56"/>
      <c r="O85" s="56"/>
    </row>
    <row r="86" spans="3:15" ht="15.95" hidden="1" customHeight="1">
      <c r="C86" s="56"/>
      <c r="D86" s="56"/>
      <c r="E86" s="56"/>
      <c r="F86" s="56"/>
      <c r="G86" s="56"/>
      <c r="H86" s="56"/>
      <c r="J86" s="56"/>
      <c r="K86" s="56"/>
      <c r="L86" s="56"/>
      <c r="M86" s="56"/>
      <c r="N86" s="56"/>
      <c r="O86" s="56"/>
    </row>
    <row r="87" spans="3:15" ht="15.95" hidden="1" customHeight="1">
      <c r="C87" s="56"/>
      <c r="D87" s="56"/>
      <c r="E87" s="56"/>
      <c r="F87" s="56"/>
      <c r="G87" s="56"/>
      <c r="H87" s="56"/>
      <c r="J87" s="56"/>
      <c r="K87" s="56"/>
      <c r="L87" s="56"/>
      <c r="M87" s="56"/>
      <c r="N87" s="56"/>
      <c r="O87" s="56"/>
    </row>
    <row r="88" spans="3:15" ht="15.95" hidden="1" customHeight="1">
      <c r="C88" s="56"/>
      <c r="D88" s="56"/>
      <c r="E88" s="56"/>
      <c r="F88" s="56"/>
      <c r="G88" s="56"/>
      <c r="H88" s="56"/>
      <c r="J88" s="56"/>
      <c r="K88" s="56"/>
      <c r="L88" s="56"/>
      <c r="M88" s="56"/>
      <c r="N88" s="56"/>
      <c r="O88" s="56"/>
    </row>
    <row r="89" spans="3:15" ht="15.95" hidden="1" customHeight="1">
      <c r="C89" s="56"/>
      <c r="D89" s="56"/>
      <c r="E89" s="56"/>
      <c r="F89" s="56"/>
      <c r="G89" s="56"/>
      <c r="H89" s="56"/>
      <c r="J89" s="56"/>
      <c r="K89" s="56"/>
      <c r="L89" s="56"/>
      <c r="M89" s="56"/>
      <c r="N89" s="56"/>
      <c r="O89" s="56"/>
    </row>
    <row r="90" spans="3:15" ht="15.95" hidden="1" customHeight="1">
      <c r="C90" s="56"/>
      <c r="D90" s="56"/>
      <c r="E90" s="56"/>
      <c r="F90" s="56"/>
      <c r="G90" s="56"/>
      <c r="H90" s="56"/>
      <c r="J90" s="56"/>
      <c r="K90" s="56"/>
      <c r="L90" s="56"/>
      <c r="M90" s="56"/>
      <c r="N90" s="56"/>
      <c r="O90" s="56"/>
    </row>
    <row r="91" spans="3:15" ht="15.95" hidden="1" customHeight="1">
      <c r="C91" s="56"/>
      <c r="D91" s="56"/>
      <c r="E91" s="56"/>
      <c r="F91" s="56"/>
      <c r="G91" s="56"/>
      <c r="H91" s="56"/>
      <c r="J91" s="56"/>
      <c r="K91" s="56"/>
      <c r="L91" s="56"/>
      <c r="M91" s="56"/>
      <c r="N91" s="56"/>
      <c r="O91" s="56"/>
    </row>
    <row r="92" spans="3:15" ht="15.95" hidden="1" customHeight="1">
      <c r="C92" s="56"/>
      <c r="D92" s="56"/>
      <c r="E92" s="56"/>
      <c r="F92" s="56"/>
      <c r="G92" s="56"/>
      <c r="H92" s="56"/>
      <c r="J92" s="56"/>
      <c r="K92" s="56"/>
      <c r="L92" s="56"/>
      <c r="M92" s="56"/>
      <c r="N92" s="56"/>
      <c r="O92" s="56"/>
    </row>
    <row r="93" spans="3:15" ht="15.95" hidden="1" customHeight="1">
      <c r="C93" s="56"/>
      <c r="D93" s="56"/>
      <c r="E93" s="56"/>
      <c r="F93" s="56"/>
      <c r="G93" s="56"/>
      <c r="H93" s="56"/>
      <c r="J93" s="56"/>
      <c r="K93" s="56"/>
      <c r="L93" s="56"/>
      <c r="M93" s="56"/>
      <c r="N93" s="56"/>
      <c r="O93" s="56"/>
    </row>
    <row r="94" spans="3:15" ht="15.95" hidden="1" customHeight="1">
      <c r="C94" s="56"/>
      <c r="D94" s="56"/>
      <c r="E94" s="56"/>
      <c r="F94" s="56"/>
      <c r="G94" s="56"/>
      <c r="H94" s="56"/>
      <c r="J94" s="56"/>
      <c r="K94" s="56"/>
      <c r="L94" s="56"/>
      <c r="M94" s="56"/>
      <c r="N94" s="56"/>
      <c r="O94" s="56"/>
    </row>
    <row r="95" spans="3:15" ht="15.95" hidden="1" customHeight="1">
      <c r="C95" s="56"/>
      <c r="D95" s="56"/>
      <c r="E95" s="56"/>
      <c r="F95" s="56"/>
      <c r="G95" s="56"/>
      <c r="H95" s="56"/>
      <c r="J95" s="56"/>
      <c r="K95" s="56"/>
      <c r="L95" s="56"/>
      <c r="M95" s="56"/>
      <c r="N95" s="56"/>
      <c r="O95" s="56"/>
    </row>
    <row r="96" spans="3:15" ht="15.95" hidden="1" customHeight="1">
      <c r="C96" s="56"/>
      <c r="D96" s="56"/>
      <c r="E96" s="56"/>
      <c r="F96" s="56"/>
      <c r="G96" s="56"/>
      <c r="H96" s="56"/>
      <c r="J96" s="56"/>
      <c r="K96" s="56"/>
      <c r="L96" s="56"/>
      <c r="M96" s="56"/>
      <c r="N96" s="56"/>
      <c r="O96" s="56"/>
    </row>
    <row r="97" spans="3:15" ht="15.95" hidden="1" customHeight="1">
      <c r="C97" s="56"/>
      <c r="D97" s="56"/>
      <c r="E97" s="56"/>
      <c r="F97" s="56"/>
      <c r="G97" s="56"/>
      <c r="H97" s="56"/>
      <c r="J97" s="56"/>
      <c r="K97" s="56"/>
      <c r="L97" s="56"/>
      <c r="M97" s="56"/>
      <c r="N97" s="56"/>
      <c r="O97" s="56"/>
    </row>
    <row r="98" spans="3:15" ht="15.95" hidden="1" customHeight="1">
      <c r="C98" s="56"/>
      <c r="D98" s="56"/>
      <c r="E98" s="56"/>
      <c r="F98" s="56"/>
      <c r="G98" s="56"/>
      <c r="H98" s="56"/>
      <c r="J98" s="56"/>
      <c r="K98" s="56"/>
      <c r="L98" s="56"/>
      <c r="M98" s="56"/>
      <c r="N98" s="56"/>
      <c r="O98" s="56"/>
    </row>
    <row r="99" spans="3:15" ht="15.95" hidden="1" customHeight="1">
      <c r="C99" s="56"/>
      <c r="D99" s="56"/>
      <c r="E99" s="56"/>
      <c r="F99" s="56"/>
      <c r="G99" s="56"/>
      <c r="H99" s="56"/>
      <c r="J99" s="56"/>
      <c r="K99" s="56"/>
      <c r="L99" s="56"/>
      <c r="M99" s="56"/>
      <c r="N99" s="56"/>
      <c r="O99" s="56"/>
    </row>
    <row r="100" spans="3:15" ht="15.95" hidden="1" customHeight="1">
      <c r="C100" s="56"/>
      <c r="D100" s="56"/>
      <c r="E100" s="56"/>
      <c r="F100" s="56"/>
      <c r="G100" s="56"/>
      <c r="H100" s="56"/>
      <c r="J100" s="56"/>
      <c r="K100" s="56"/>
      <c r="L100" s="56"/>
      <c r="M100" s="56"/>
      <c r="N100" s="56"/>
      <c r="O100" s="56"/>
    </row>
    <row r="101" spans="3:15" ht="15.95" hidden="1" customHeight="1">
      <c r="C101" s="56"/>
      <c r="D101" s="56"/>
      <c r="E101" s="56"/>
      <c r="F101" s="56"/>
      <c r="G101" s="56"/>
      <c r="H101" s="56"/>
      <c r="J101" s="56"/>
      <c r="K101" s="56"/>
      <c r="L101" s="56"/>
      <c r="M101" s="56"/>
      <c r="N101" s="56"/>
      <c r="O101" s="56"/>
    </row>
    <row r="102" spans="3:15" ht="15.95" hidden="1" customHeight="1">
      <c r="C102" s="56"/>
      <c r="D102" s="56"/>
      <c r="E102" s="56"/>
      <c r="F102" s="56"/>
      <c r="G102" s="56"/>
      <c r="H102" s="56"/>
      <c r="J102" s="56"/>
      <c r="K102" s="56"/>
      <c r="L102" s="56"/>
      <c r="M102" s="56"/>
      <c r="N102" s="56"/>
      <c r="O102" s="56"/>
    </row>
    <row r="103" spans="3:15" ht="15.95" hidden="1" customHeight="1">
      <c r="C103" s="56"/>
      <c r="D103" s="56"/>
      <c r="E103" s="56"/>
      <c r="F103" s="56"/>
      <c r="G103" s="56"/>
      <c r="H103" s="56"/>
      <c r="J103" s="56"/>
      <c r="K103" s="56"/>
      <c r="L103" s="56"/>
      <c r="M103" s="56"/>
      <c r="N103" s="56"/>
      <c r="O103" s="56"/>
    </row>
    <row r="104" spans="3:15" ht="15.95" hidden="1" customHeight="1">
      <c r="C104" s="56"/>
      <c r="D104" s="56"/>
      <c r="E104" s="56"/>
      <c r="F104" s="56"/>
      <c r="G104" s="56"/>
      <c r="H104" s="56"/>
      <c r="J104" s="56"/>
      <c r="K104" s="56"/>
      <c r="L104" s="56"/>
      <c r="M104" s="56"/>
      <c r="N104" s="56"/>
      <c r="O104" s="56"/>
    </row>
    <row r="105" spans="3:15" ht="15.95" hidden="1" customHeight="1">
      <c r="C105" s="56"/>
      <c r="D105" s="56"/>
      <c r="E105" s="56"/>
      <c r="F105" s="56"/>
      <c r="G105" s="56"/>
      <c r="H105" s="56"/>
      <c r="J105" s="56"/>
      <c r="K105" s="56"/>
      <c r="L105" s="56"/>
      <c r="M105" s="56"/>
      <c r="N105" s="56"/>
      <c r="O105" s="56"/>
    </row>
    <row r="106" spans="3:15" ht="15.95" hidden="1" customHeight="1">
      <c r="C106" s="56"/>
      <c r="D106" s="56"/>
      <c r="E106" s="56"/>
      <c r="F106" s="56"/>
      <c r="G106" s="56"/>
      <c r="H106" s="56"/>
      <c r="J106" s="56"/>
      <c r="K106" s="56"/>
      <c r="L106" s="56"/>
      <c r="M106" s="56"/>
      <c r="N106" s="56"/>
      <c r="O106" s="56"/>
    </row>
    <row r="107" spans="3:15" ht="15.95" hidden="1" customHeight="1">
      <c r="C107" s="56"/>
      <c r="D107" s="56"/>
      <c r="E107" s="56"/>
      <c r="F107" s="56"/>
      <c r="G107" s="56"/>
      <c r="H107" s="56"/>
      <c r="J107" s="56"/>
      <c r="K107" s="56"/>
      <c r="L107" s="56"/>
      <c r="M107" s="56"/>
      <c r="N107" s="56"/>
      <c r="O107" s="56"/>
    </row>
    <row r="108" spans="3:15" ht="15.95" hidden="1" customHeight="1">
      <c r="C108" s="56"/>
      <c r="D108" s="56"/>
      <c r="E108" s="56"/>
      <c r="F108" s="56"/>
      <c r="G108" s="56"/>
      <c r="H108" s="56"/>
      <c r="J108" s="56"/>
      <c r="K108" s="56"/>
      <c r="L108" s="56"/>
      <c r="M108" s="56"/>
      <c r="N108" s="56"/>
      <c r="O108" s="56"/>
    </row>
    <row r="109" spans="3:15" ht="15.95" hidden="1" customHeight="1">
      <c r="C109" s="56"/>
      <c r="D109" s="56"/>
      <c r="E109" s="56"/>
      <c r="F109" s="56"/>
      <c r="G109" s="56"/>
      <c r="H109" s="56"/>
      <c r="J109" s="56"/>
      <c r="K109" s="56"/>
      <c r="L109" s="56"/>
      <c r="M109" s="56"/>
      <c r="N109" s="56"/>
      <c r="O109" s="56"/>
    </row>
    <row r="110" spans="3:15" ht="15.95" hidden="1" customHeight="1">
      <c r="C110" s="56"/>
      <c r="D110" s="56"/>
      <c r="E110" s="56"/>
      <c r="F110" s="56"/>
      <c r="G110" s="56"/>
      <c r="H110" s="56"/>
      <c r="J110" s="56"/>
      <c r="K110" s="56"/>
      <c r="L110" s="56"/>
      <c r="M110" s="56"/>
      <c r="N110" s="56"/>
      <c r="O110" s="56"/>
    </row>
    <row r="111" spans="3:15" ht="15.95" hidden="1" customHeight="1">
      <c r="C111" s="56"/>
      <c r="D111" s="56"/>
      <c r="E111" s="56"/>
      <c r="F111" s="56"/>
      <c r="G111" s="56"/>
      <c r="H111" s="56"/>
      <c r="J111" s="56"/>
      <c r="K111" s="56"/>
      <c r="L111" s="56"/>
      <c r="M111" s="56"/>
      <c r="N111" s="56"/>
      <c r="O111" s="56"/>
    </row>
    <row r="112" spans="3:15" ht="15.95" hidden="1" customHeight="1">
      <c r="C112" s="56"/>
      <c r="D112" s="56"/>
      <c r="E112" s="56"/>
      <c r="F112" s="56"/>
      <c r="G112" s="56"/>
      <c r="H112" s="56"/>
      <c r="J112" s="56"/>
      <c r="K112" s="56"/>
      <c r="L112" s="56"/>
      <c r="M112" s="56"/>
      <c r="N112" s="56"/>
      <c r="O112" s="56"/>
    </row>
    <row r="113" spans="3:15" ht="15.95" hidden="1" customHeight="1">
      <c r="C113" s="56"/>
      <c r="D113" s="56"/>
      <c r="E113" s="56"/>
      <c r="F113" s="56"/>
      <c r="G113" s="56"/>
      <c r="H113" s="56"/>
      <c r="J113" s="56"/>
      <c r="K113" s="56"/>
      <c r="L113" s="56"/>
      <c r="M113" s="56"/>
      <c r="N113" s="56"/>
      <c r="O113" s="56"/>
    </row>
    <row r="114" spans="3:15" ht="15.95" hidden="1" customHeight="1">
      <c r="C114" s="56"/>
      <c r="D114" s="56"/>
      <c r="E114" s="56"/>
      <c r="F114" s="56"/>
      <c r="G114" s="56"/>
      <c r="H114" s="56"/>
      <c r="J114" s="56"/>
      <c r="K114" s="56"/>
      <c r="L114" s="56"/>
      <c r="M114" s="56"/>
      <c r="N114" s="56"/>
      <c r="O114" s="56"/>
    </row>
    <row r="115" spans="3:15" ht="15.95" hidden="1" customHeight="1">
      <c r="C115" s="56"/>
      <c r="D115" s="56"/>
      <c r="E115" s="56"/>
      <c r="F115" s="56"/>
      <c r="G115" s="56"/>
      <c r="H115" s="56"/>
      <c r="J115" s="56"/>
      <c r="K115" s="56"/>
      <c r="L115" s="56"/>
      <c r="M115" s="56"/>
      <c r="N115" s="56"/>
      <c r="O115" s="56"/>
    </row>
    <row r="116" spans="3:15" ht="15.95" hidden="1" customHeight="1">
      <c r="C116" s="56"/>
      <c r="D116" s="56"/>
      <c r="E116" s="56"/>
      <c r="F116" s="56"/>
      <c r="G116" s="56"/>
      <c r="H116" s="56"/>
      <c r="J116" s="56"/>
      <c r="K116" s="56"/>
      <c r="L116" s="56"/>
      <c r="M116" s="56"/>
      <c r="N116" s="56"/>
      <c r="O116" s="56"/>
    </row>
    <row r="117" spans="3:15" ht="15.95" hidden="1" customHeight="1">
      <c r="C117" s="56"/>
      <c r="D117" s="56"/>
      <c r="E117" s="56"/>
      <c r="F117" s="56"/>
      <c r="G117" s="56"/>
      <c r="H117" s="56"/>
      <c r="J117" s="56"/>
      <c r="K117" s="56"/>
      <c r="L117" s="56"/>
      <c r="M117" s="56"/>
      <c r="N117" s="56"/>
      <c r="O117" s="56"/>
    </row>
    <row r="118" spans="3:15" ht="15.95" hidden="1" customHeight="1">
      <c r="C118" s="56"/>
      <c r="D118" s="56"/>
      <c r="E118" s="56"/>
      <c r="F118" s="56"/>
      <c r="G118" s="56"/>
      <c r="H118" s="56"/>
      <c r="J118" s="56"/>
      <c r="K118" s="56"/>
      <c r="L118" s="56"/>
      <c r="M118" s="56"/>
      <c r="N118" s="56"/>
      <c r="O118" s="56"/>
    </row>
    <row r="119" spans="3:15" ht="15.95" hidden="1" customHeight="1">
      <c r="C119" s="56"/>
      <c r="D119" s="56"/>
      <c r="E119" s="56"/>
      <c r="F119" s="56"/>
      <c r="G119" s="56"/>
      <c r="H119" s="56"/>
      <c r="J119" s="56"/>
      <c r="K119" s="56"/>
      <c r="L119" s="56"/>
      <c r="M119" s="56"/>
      <c r="N119" s="56"/>
      <c r="O119" s="56"/>
    </row>
    <row r="120" spans="3:15" ht="15.95" hidden="1" customHeight="1">
      <c r="C120" s="56"/>
      <c r="D120" s="56"/>
      <c r="E120" s="56"/>
      <c r="F120" s="56"/>
      <c r="G120" s="56"/>
      <c r="H120" s="56"/>
      <c r="J120" s="56"/>
      <c r="K120" s="56"/>
      <c r="L120" s="56"/>
      <c r="M120" s="56"/>
      <c r="N120" s="56"/>
      <c r="O120" s="56"/>
    </row>
    <row r="121" spans="3:15" ht="15.95" hidden="1" customHeight="1">
      <c r="C121" s="56"/>
      <c r="D121" s="56"/>
      <c r="E121" s="56"/>
      <c r="F121" s="56"/>
      <c r="G121" s="56"/>
      <c r="H121" s="56"/>
      <c r="J121" s="56"/>
      <c r="K121" s="56"/>
      <c r="L121" s="56"/>
      <c r="M121" s="56"/>
      <c r="N121" s="56"/>
      <c r="O121" s="56"/>
    </row>
    <row r="122" spans="3:15" ht="15.95" hidden="1" customHeight="1">
      <c r="C122" s="56"/>
      <c r="D122" s="56"/>
      <c r="E122" s="56"/>
      <c r="F122" s="56"/>
      <c r="G122" s="56"/>
      <c r="H122" s="56"/>
      <c r="J122" s="56"/>
      <c r="K122" s="56"/>
      <c r="L122" s="56"/>
      <c r="M122" s="56"/>
      <c r="N122" s="56"/>
      <c r="O122" s="56"/>
    </row>
    <row r="123" spans="3:15" ht="15.95" hidden="1" customHeight="1">
      <c r="C123" s="56"/>
      <c r="D123" s="56"/>
      <c r="E123" s="56"/>
      <c r="F123" s="56"/>
      <c r="G123" s="56"/>
      <c r="H123" s="56"/>
      <c r="J123" s="56"/>
      <c r="K123" s="56"/>
      <c r="L123" s="56"/>
      <c r="M123" s="56"/>
      <c r="N123" s="56"/>
      <c r="O123" s="56"/>
    </row>
    <row r="124" spans="3:15" ht="15.95" hidden="1" customHeight="1">
      <c r="C124" s="56"/>
      <c r="D124" s="56"/>
      <c r="E124" s="56"/>
      <c r="F124" s="56"/>
      <c r="G124" s="56"/>
      <c r="H124" s="56"/>
      <c r="J124" s="56"/>
      <c r="K124" s="56"/>
      <c r="L124" s="56"/>
      <c r="M124" s="56"/>
      <c r="N124" s="56"/>
      <c r="O124" s="56"/>
    </row>
    <row r="125" spans="3:15" ht="15.95" hidden="1" customHeight="1">
      <c r="C125" s="56"/>
      <c r="D125" s="56"/>
      <c r="E125" s="56"/>
      <c r="F125" s="56"/>
      <c r="G125" s="56"/>
      <c r="H125" s="56"/>
      <c r="J125" s="56"/>
      <c r="K125" s="56"/>
      <c r="L125" s="56"/>
      <c r="M125" s="56"/>
      <c r="N125" s="56"/>
      <c r="O125" s="56"/>
    </row>
    <row r="126" spans="3:15" ht="15.95" hidden="1" customHeight="1">
      <c r="C126" s="56"/>
      <c r="D126" s="56"/>
      <c r="E126" s="56"/>
      <c r="F126" s="56"/>
      <c r="G126" s="56"/>
      <c r="H126" s="56"/>
      <c r="J126" s="56"/>
      <c r="K126" s="56"/>
      <c r="L126" s="56"/>
      <c r="M126" s="56"/>
      <c r="N126" s="56"/>
      <c r="O126" s="56"/>
    </row>
    <row r="127" spans="3:15" ht="15.95" hidden="1" customHeight="1">
      <c r="C127" s="56"/>
      <c r="D127" s="56"/>
      <c r="E127" s="56"/>
      <c r="F127" s="56"/>
      <c r="G127" s="56"/>
      <c r="H127" s="56"/>
      <c r="J127" s="56"/>
      <c r="K127" s="56"/>
      <c r="L127" s="56"/>
      <c r="M127" s="56"/>
      <c r="N127" s="56"/>
      <c r="O127" s="56"/>
    </row>
    <row r="128" spans="3:15" ht="15.95" hidden="1" customHeight="1">
      <c r="C128" s="56"/>
      <c r="D128" s="56"/>
      <c r="E128" s="56"/>
      <c r="F128" s="56"/>
      <c r="G128" s="56"/>
      <c r="H128" s="56"/>
      <c r="J128" s="56"/>
      <c r="K128" s="56"/>
      <c r="L128" s="56"/>
      <c r="M128" s="56"/>
      <c r="N128" s="56"/>
      <c r="O128" s="56"/>
    </row>
    <row r="129" spans="3:15" ht="15.95" hidden="1" customHeight="1">
      <c r="C129" s="56"/>
      <c r="D129" s="56"/>
      <c r="E129" s="56"/>
      <c r="F129" s="56"/>
      <c r="G129" s="56"/>
      <c r="H129" s="56"/>
      <c r="J129" s="56"/>
      <c r="K129" s="56"/>
      <c r="L129" s="56"/>
      <c r="M129" s="56"/>
      <c r="N129" s="56"/>
      <c r="O129" s="56"/>
    </row>
    <row r="130" spans="3:15" ht="15.95" hidden="1" customHeight="1">
      <c r="C130" s="56"/>
      <c r="D130" s="56"/>
      <c r="E130" s="56"/>
      <c r="F130" s="56"/>
      <c r="G130" s="56"/>
      <c r="H130" s="56"/>
      <c r="J130" s="56"/>
      <c r="K130" s="56"/>
      <c r="L130" s="56"/>
      <c r="M130" s="56"/>
      <c r="N130" s="56"/>
      <c r="O130" s="56"/>
    </row>
    <row r="131" spans="3:15" ht="15.95" hidden="1" customHeight="1">
      <c r="C131" s="56"/>
      <c r="D131" s="56"/>
      <c r="E131" s="56"/>
      <c r="F131" s="56"/>
      <c r="G131" s="56"/>
      <c r="H131" s="56"/>
      <c r="J131" s="56"/>
      <c r="K131" s="56"/>
      <c r="L131" s="56"/>
      <c r="M131" s="56"/>
      <c r="N131" s="56"/>
      <c r="O131" s="56"/>
    </row>
    <row r="132" spans="3:15" ht="15.95" hidden="1" customHeight="1">
      <c r="C132" s="56"/>
      <c r="D132" s="56"/>
      <c r="E132" s="56"/>
      <c r="F132" s="56"/>
      <c r="G132" s="56"/>
      <c r="H132" s="56"/>
      <c r="J132" s="56"/>
      <c r="K132" s="56"/>
      <c r="L132" s="56"/>
      <c r="M132" s="56"/>
      <c r="N132" s="56"/>
      <c r="O132" s="56"/>
    </row>
    <row r="133" spans="3:15" ht="15.95" hidden="1" customHeight="1">
      <c r="C133" s="56"/>
      <c r="D133" s="56"/>
      <c r="E133" s="56"/>
      <c r="F133" s="56"/>
      <c r="G133" s="56"/>
      <c r="H133" s="56"/>
      <c r="J133" s="56"/>
      <c r="K133" s="56"/>
      <c r="L133" s="56"/>
      <c r="M133" s="56"/>
      <c r="N133" s="56"/>
      <c r="O133" s="56"/>
    </row>
    <row r="134" spans="3:15" ht="15.95" hidden="1" customHeight="1">
      <c r="C134" s="56"/>
      <c r="D134" s="56"/>
      <c r="E134" s="56"/>
      <c r="F134" s="56"/>
      <c r="G134" s="56"/>
      <c r="H134" s="56"/>
      <c r="J134" s="56"/>
      <c r="K134" s="56"/>
      <c r="L134" s="56"/>
      <c r="M134" s="56"/>
      <c r="N134" s="56"/>
      <c r="O134" s="56"/>
    </row>
    <row r="135" spans="3:15" ht="15.95" hidden="1" customHeight="1">
      <c r="C135" s="56"/>
      <c r="D135" s="56"/>
      <c r="E135" s="56"/>
      <c r="F135" s="56"/>
      <c r="G135" s="56"/>
      <c r="H135" s="56"/>
      <c r="J135" s="56"/>
      <c r="K135" s="56"/>
      <c r="L135" s="56"/>
      <c r="M135" s="56"/>
      <c r="N135" s="56"/>
      <c r="O135" s="56"/>
    </row>
    <row r="136" spans="3:15" ht="15.95" hidden="1" customHeight="1">
      <c r="C136" s="56"/>
      <c r="D136" s="56"/>
      <c r="E136" s="56"/>
      <c r="F136" s="56"/>
      <c r="G136" s="56"/>
      <c r="H136" s="56"/>
      <c r="J136" s="56"/>
      <c r="K136" s="56"/>
      <c r="L136" s="56"/>
      <c r="M136" s="56"/>
      <c r="N136" s="56"/>
      <c r="O136" s="56"/>
    </row>
    <row r="137" spans="3:15" ht="15.95" hidden="1" customHeight="1">
      <c r="C137" s="56"/>
      <c r="D137" s="56"/>
      <c r="E137" s="56"/>
      <c r="F137" s="56"/>
      <c r="G137" s="56"/>
      <c r="H137" s="56"/>
      <c r="J137" s="56"/>
      <c r="K137" s="56"/>
      <c r="L137" s="56"/>
      <c r="M137" s="56"/>
      <c r="N137" s="56"/>
      <c r="O137" s="56"/>
    </row>
    <row r="138" spans="3:15" ht="15.95" hidden="1" customHeight="1">
      <c r="C138" s="56"/>
      <c r="D138" s="56"/>
      <c r="E138" s="56"/>
      <c r="F138" s="56"/>
      <c r="G138" s="56"/>
      <c r="H138" s="56"/>
      <c r="J138" s="56"/>
      <c r="K138" s="56"/>
      <c r="L138" s="56"/>
      <c r="M138" s="56"/>
      <c r="N138" s="56"/>
      <c r="O138" s="56"/>
    </row>
    <row r="139" spans="3:15" ht="15.95" hidden="1" customHeight="1">
      <c r="C139" s="56"/>
      <c r="D139" s="56"/>
      <c r="E139" s="56"/>
      <c r="F139" s="56"/>
      <c r="G139" s="56"/>
      <c r="H139" s="56"/>
      <c r="J139" s="56"/>
      <c r="K139" s="56"/>
      <c r="L139" s="56"/>
      <c r="M139" s="56"/>
      <c r="N139" s="56"/>
      <c r="O139" s="56"/>
    </row>
    <row r="140" spans="3:15" ht="15.95" hidden="1" customHeight="1">
      <c r="C140" s="56"/>
      <c r="D140" s="56"/>
      <c r="E140" s="56"/>
      <c r="F140" s="56"/>
      <c r="G140" s="56"/>
      <c r="H140" s="56"/>
      <c r="J140" s="56"/>
      <c r="K140" s="56"/>
      <c r="L140" s="56"/>
      <c r="M140" s="56"/>
      <c r="N140" s="56"/>
      <c r="O140" s="56"/>
    </row>
    <row r="141" spans="3:15" ht="15.95" hidden="1" customHeight="1">
      <c r="C141" s="56"/>
      <c r="D141" s="56"/>
      <c r="E141" s="56"/>
      <c r="F141" s="56"/>
      <c r="G141" s="56"/>
      <c r="H141" s="56"/>
      <c r="J141" s="56"/>
      <c r="K141" s="56"/>
      <c r="L141" s="56"/>
      <c r="M141" s="56"/>
      <c r="N141" s="56"/>
      <c r="O141" s="56"/>
    </row>
    <row r="142" spans="3:15" ht="15.95" hidden="1" customHeight="1">
      <c r="C142" s="56"/>
      <c r="D142" s="56"/>
      <c r="E142" s="56"/>
      <c r="F142" s="56"/>
      <c r="G142" s="56"/>
      <c r="H142" s="56"/>
      <c r="J142" s="56"/>
      <c r="K142" s="56"/>
      <c r="L142" s="56"/>
      <c r="M142" s="56"/>
      <c r="N142" s="56"/>
      <c r="O142" s="56"/>
    </row>
    <row r="143" spans="3:15" ht="15.95" hidden="1" customHeight="1">
      <c r="C143" s="56"/>
      <c r="D143" s="56"/>
      <c r="E143" s="56"/>
      <c r="F143" s="56"/>
      <c r="G143" s="56"/>
      <c r="H143" s="56"/>
      <c r="J143" s="56"/>
      <c r="K143" s="56"/>
      <c r="L143" s="56"/>
      <c r="M143" s="56"/>
      <c r="N143" s="56"/>
      <c r="O143" s="56"/>
    </row>
    <row r="144" spans="3:15" ht="15.95" hidden="1" customHeight="1">
      <c r="C144" s="56"/>
      <c r="D144" s="56"/>
      <c r="E144" s="56"/>
      <c r="F144" s="56"/>
      <c r="G144" s="56"/>
      <c r="H144" s="56"/>
      <c r="J144" s="56"/>
      <c r="K144" s="56"/>
      <c r="L144" s="56"/>
      <c r="M144" s="56"/>
      <c r="N144" s="56"/>
      <c r="O144" s="56"/>
    </row>
    <row r="145" spans="3:15" ht="15.95" hidden="1" customHeight="1">
      <c r="C145" s="56"/>
      <c r="D145" s="56"/>
      <c r="E145" s="56"/>
      <c r="F145" s="56"/>
      <c r="G145" s="56"/>
      <c r="H145" s="56"/>
      <c r="J145" s="56"/>
      <c r="K145" s="56"/>
      <c r="L145" s="56"/>
      <c r="M145" s="56"/>
      <c r="N145" s="56"/>
      <c r="O145" s="56"/>
    </row>
    <row r="146" spans="3:15" ht="15.95" hidden="1" customHeight="1">
      <c r="C146" s="56"/>
      <c r="D146" s="56"/>
      <c r="E146" s="56"/>
      <c r="F146" s="56"/>
      <c r="G146" s="56"/>
      <c r="H146" s="56"/>
      <c r="J146" s="56"/>
      <c r="K146" s="56"/>
      <c r="L146" s="56"/>
      <c r="M146" s="56"/>
      <c r="N146" s="56"/>
      <c r="O146" s="56"/>
    </row>
    <row r="147" spans="3:15" ht="15.95" hidden="1" customHeight="1">
      <c r="C147" s="56"/>
      <c r="D147" s="56"/>
      <c r="E147" s="56"/>
      <c r="F147" s="56"/>
      <c r="G147" s="56"/>
      <c r="H147" s="56"/>
      <c r="J147" s="56"/>
      <c r="K147" s="56"/>
      <c r="L147" s="56"/>
      <c r="M147" s="56"/>
      <c r="N147" s="56"/>
      <c r="O147" s="56"/>
    </row>
    <row r="148" spans="3:15" ht="15.95" hidden="1" customHeight="1">
      <c r="C148" s="56"/>
      <c r="D148" s="56"/>
      <c r="E148" s="56"/>
      <c r="F148" s="56"/>
      <c r="G148" s="56"/>
      <c r="H148" s="56"/>
      <c r="J148" s="56"/>
      <c r="K148" s="56"/>
      <c r="L148" s="56"/>
      <c r="M148" s="56"/>
      <c r="N148" s="56"/>
      <c r="O148" s="56"/>
    </row>
    <row r="149" spans="3:15" ht="15.95" hidden="1" customHeight="1">
      <c r="C149" s="56"/>
      <c r="D149" s="56"/>
      <c r="E149" s="56"/>
      <c r="F149" s="56"/>
      <c r="G149" s="56"/>
      <c r="H149" s="56"/>
      <c r="J149" s="56"/>
      <c r="K149" s="56"/>
      <c r="L149" s="56"/>
      <c r="M149" s="56"/>
      <c r="N149" s="56"/>
      <c r="O149" s="56"/>
    </row>
    <row r="150" spans="3:15" ht="15.95" hidden="1" customHeight="1">
      <c r="C150" s="56"/>
      <c r="D150" s="56"/>
      <c r="E150" s="56"/>
      <c r="F150" s="56"/>
      <c r="G150" s="56"/>
      <c r="H150" s="56"/>
      <c r="J150" s="56"/>
      <c r="K150" s="56"/>
      <c r="L150" s="56"/>
      <c r="M150" s="56"/>
      <c r="N150" s="56"/>
      <c r="O150" s="56"/>
    </row>
    <row r="151" spans="3:15" ht="15.95" hidden="1" customHeight="1">
      <c r="C151" s="56"/>
      <c r="D151" s="56"/>
      <c r="E151" s="56"/>
      <c r="F151" s="56"/>
      <c r="G151" s="56"/>
      <c r="H151" s="56"/>
      <c r="J151" s="56"/>
      <c r="K151" s="56"/>
      <c r="L151" s="56"/>
      <c r="M151" s="56"/>
      <c r="N151" s="56"/>
      <c r="O151" s="56"/>
    </row>
    <row r="152" spans="3:15" ht="15.95" hidden="1" customHeight="1">
      <c r="C152" s="56"/>
      <c r="D152" s="56"/>
      <c r="E152" s="56"/>
      <c r="F152" s="56"/>
      <c r="G152" s="56"/>
      <c r="H152" s="56"/>
      <c r="J152" s="56"/>
      <c r="K152" s="56"/>
      <c r="L152" s="56"/>
      <c r="M152" s="56"/>
      <c r="N152" s="56"/>
      <c r="O152" s="56"/>
    </row>
    <row r="153" spans="3:15" ht="15.95" hidden="1" customHeight="1">
      <c r="C153" s="56"/>
      <c r="D153" s="56"/>
      <c r="E153" s="56"/>
      <c r="F153" s="56"/>
      <c r="G153" s="56"/>
      <c r="H153" s="56"/>
      <c r="J153" s="56"/>
      <c r="K153" s="56"/>
      <c r="L153" s="56"/>
      <c r="M153" s="56"/>
      <c r="N153" s="56"/>
      <c r="O153" s="56"/>
    </row>
    <row r="154" spans="3:15" ht="15.95" hidden="1" customHeight="1">
      <c r="C154" s="56"/>
      <c r="D154" s="56"/>
      <c r="E154" s="56"/>
      <c r="F154" s="56"/>
      <c r="G154" s="56"/>
      <c r="H154" s="56"/>
      <c r="J154" s="56"/>
      <c r="K154" s="56"/>
      <c r="L154" s="56"/>
      <c r="M154" s="56"/>
      <c r="N154" s="56"/>
      <c r="O154" s="56"/>
    </row>
    <row r="155" spans="3:15" ht="15.95" hidden="1" customHeight="1">
      <c r="C155" s="56"/>
      <c r="D155" s="56"/>
      <c r="E155" s="56"/>
      <c r="F155" s="56"/>
      <c r="G155" s="56"/>
      <c r="H155" s="56"/>
      <c r="J155" s="56"/>
      <c r="K155" s="56"/>
      <c r="L155" s="56"/>
      <c r="M155" s="56"/>
      <c r="N155" s="56"/>
      <c r="O155" s="56"/>
    </row>
    <row r="156" spans="3:15" ht="15.95" hidden="1" customHeight="1">
      <c r="C156" s="56"/>
      <c r="D156" s="56"/>
      <c r="E156" s="56"/>
      <c r="F156" s="56"/>
      <c r="G156" s="56"/>
      <c r="H156" s="56"/>
      <c r="J156" s="56"/>
      <c r="K156" s="56"/>
      <c r="L156" s="56"/>
      <c r="M156" s="56"/>
      <c r="N156" s="56"/>
      <c r="O156" s="56"/>
    </row>
    <row r="157" spans="3:15" ht="15.95" hidden="1" customHeight="1">
      <c r="C157" s="56"/>
      <c r="D157" s="56"/>
      <c r="E157" s="56"/>
      <c r="F157" s="56"/>
      <c r="G157" s="56"/>
      <c r="H157" s="56"/>
      <c r="J157" s="56"/>
      <c r="K157" s="56"/>
      <c r="L157" s="56"/>
      <c r="M157" s="56"/>
      <c r="N157" s="56"/>
      <c r="O157" s="56"/>
    </row>
    <row r="158" spans="3:15" ht="15.95" hidden="1" customHeight="1">
      <c r="C158" s="56"/>
      <c r="D158" s="56"/>
      <c r="E158" s="56"/>
      <c r="F158" s="56"/>
      <c r="G158" s="56"/>
      <c r="H158" s="56"/>
      <c r="J158" s="56"/>
      <c r="K158" s="56"/>
      <c r="L158" s="56"/>
      <c r="M158" s="56"/>
      <c r="N158" s="56"/>
      <c r="O158" s="56"/>
    </row>
    <row r="159" spans="3:15" ht="15.95" hidden="1" customHeight="1">
      <c r="C159" s="56"/>
      <c r="D159" s="56"/>
      <c r="E159" s="56"/>
      <c r="F159" s="56"/>
      <c r="G159" s="56"/>
      <c r="H159" s="56"/>
      <c r="J159" s="56"/>
      <c r="K159" s="56"/>
      <c r="L159" s="56"/>
      <c r="M159" s="56"/>
      <c r="N159" s="56"/>
      <c r="O159" s="56"/>
    </row>
    <row r="160" spans="3:15" ht="15.95" hidden="1" customHeight="1">
      <c r="C160" s="56"/>
      <c r="D160" s="56"/>
      <c r="E160" s="56"/>
      <c r="F160" s="56"/>
      <c r="G160" s="56"/>
      <c r="H160" s="56"/>
      <c r="J160" s="56"/>
      <c r="K160" s="56"/>
      <c r="L160" s="56"/>
      <c r="M160" s="56"/>
      <c r="N160" s="56"/>
      <c r="O160" s="56"/>
    </row>
    <row r="161" spans="3:15" ht="15.95" hidden="1" customHeight="1">
      <c r="C161" s="56"/>
      <c r="D161" s="56"/>
      <c r="E161" s="56"/>
      <c r="F161" s="56"/>
      <c r="G161" s="56"/>
      <c r="H161" s="56"/>
      <c r="J161" s="56"/>
      <c r="K161" s="56"/>
      <c r="L161" s="56"/>
      <c r="M161" s="56"/>
      <c r="N161" s="56"/>
      <c r="O161" s="56"/>
    </row>
    <row r="162" spans="3:15" ht="15.95" hidden="1" customHeight="1">
      <c r="C162" s="56"/>
      <c r="D162" s="56"/>
      <c r="E162" s="56"/>
      <c r="F162" s="56"/>
      <c r="G162" s="56"/>
      <c r="H162" s="56"/>
      <c r="J162" s="56"/>
      <c r="K162" s="56"/>
      <c r="L162" s="56"/>
      <c r="M162" s="56"/>
      <c r="N162" s="56"/>
      <c r="O162" s="56"/>
    </row>
    <row r="163" spans="3:15" ht="15.95" hidden="1" customHeight="1">
      <c r="C163" s="56"/>
      <c r="D163" s="56"/>
      <c r="E163" s="56"/>
      <c r="F163" s="56"/>
      <c r="G163" s="56"/>
      <c r="H163" s="56"/>
      <c r="J163" s="56"/>
      <c r="K163" s="56"/>
      <c r="L163" s="56"/>
      <c r="M163" s="56"/>
      <c r="N163" s="56"/>
      <c r="O163" s="56"/>
    </row>
    <row r="164" spans="3:15" ht="15.95" hidden="1" customHeight="1">
      <c r="C164" s="56"/>
      <c r="D164" s="56"/>
      <c r="E164" s="56"/>
      <c r="F164" s="56"/>
      <c r="G164" s="56"/>
      <c r="H164" s="56"/>
      <c r="J164" s="56"/>
      <c r="K164" s="56"/>
      <c r="L164" s="56"/>
      <c r="M164" s="56"/>
      <c r="N164" s="56"/>
      <c r="O164" s="56"/>
    </row>
    <row r="165" spans="3:15" ht="15.95" hidden="1" customHeight="1">
      <c r="C165" s="56"/>
      <c r="D165" s="56"/>
      <c r="E165" s="56"/>
      <c r="F165" s="56"/>
      <c r="G165" s="56"/>
      <c r="H165" s="56"/>
      <c r="J165" s="56"/>
      <c r="K165" s="56"/>
      <c r="L165" s="56"/>
      <c r="M165" s="56"/>
      <c r="N165" s="56"/>
      <c r="O165" s="56"/>
    </row>
    <row r="166" spans="3:15" ht="15.95" hidden="1" customHeight="1">
      <c r="C166" s="56"/>
      <c r="D166" s="56"/>
      <c r="E166" s="56"/>
      <c r="F166" s="56"/>
      <c r="G166" s="56"/>
      <c r="H166" s="56"/>
      <c r="J166" s="56"/>
      <c r="K166" s="56"/>
      <c r="L166" s="56"/>
      <c r="M166" s="56"/>
      <c r="N166" s="56"/>
      <c r="O166" s="56"/>
    </row>
    <row r="167" spans="3:15" ht="15.95" hidden="1" customHeight="1">
      <c r="C167" s="56"/>
      <c r="D167" s="56"/>
      <c r="E167" s="56"/>
      <c r="F167" s="56"/>
      <c r="G167" s="56"/>
      <c r="H167" s="56"/>
      <c r="J167" s="56"/>
      <c r="K167" s="56"/>
      <c r="L167" s="56"/>
      <c r="M167" s="56"/>
      <c r="N167" s="56"/>
      <c r="O167" s="56"/>
    </row>
    <row r="168" spans="3:15" ht="15.95" hidden="1" customHeight="1">
      <c r="C168" s="56"/>
      <c r="D168" s="56"/>
      <c r="E168" s="56"/>
      <c r="F168" s="56"/>
      <c r="G168" s="56"/>
      <c r="H168" s="56"/>
      <c r="J168" s="56"/>
      <c r="K168" s="56"/>
      <c r="L168" s="56"/>
      <c r="M168" s="56"/>
      <c r="N168" s="56"/>
      <c r="O168" s="56"/>
    </row>
    <row r="169" spans="3:15" ht="15.95" hidden="1" customHeight="1">
      <c r="C169" s="56"/>
      <c r="D169" s="56"/>
      <c r="E169" s="56"/>
      <c r="F169" s="56"/>
      <c r="G169" s="56"/>
      <c r="H169" s="56"/>
      <c r="J169" s="56"/>
      <c r="K169" s="56"/>
      <c r="L169" s="56"/>
      <c r="M169" s="56"/>
      <c r="N169" s="56"/>
      <c r="O169" s="56"/>
    </row>
    <row r="170" spans="3:15" ht="15.95" hidden="1" customHeight="1">
      <c r="C170" s="56"/>
      <c r="D170" s="56"/>
      <c r="E170" s="56"/>
      <c r="F170" s="56"/>
      <c r="G170" s="56"/>
      <c r="H170" s="56"/>
      <c r="J170" s="56"/>
      <c r="K170" s="56"/>
      <c r="L170" s="56"/>
      <c r="M170" s="56"/>
      <c r="N170" s="56"/>
      <c r="O170" s="56"/>
    </row>
    <row r="171" spans="3:15" ht="15.95" hidden="1" customHeight="1">
      <c r="C171" s="56"/>
      <c r="D171" s="56"/>
      <c r="E171" s="56"/>
      <c r="F171" s="56"/>
      <c r="G171" s="56"/>
      <c r="H171" s="56"/>
      <c r="J171" s="56"/>
      <c r="K171" s="56"/>
      <c r="L171" s="56"/>
      <c r="M171" s="56"/>
      <c r="N171" s="56"/>
      <c r="O171" s="56"/>
    </row>
    <row r="172" spans="3:15" ht="15.95" hidden="1" customHeight="1">
      <c r="C172" s="56"/>
      <c r="D172" s="56"/>
      <c r="E172" s="56"/>
      <c r="F172" s="56"/>
      <c r="G172" s="56"/>
      <c r="H172" s="56"/>
      <c r="J172" s="56"/>
      <c r="K172" s="56"/>
      <c r="L172" s="56"/>
      <c r="M172" s="56"/>
      <c r="N172" s="56"/>
      <c r="O172" s="56"/>
    </row>
    <row r="173" spans="3:15" ht="15.95" hidden="1" customHeight="1">
      <c r="C173" s="56"/>
      <c r="D173" s="56"/>
      <c r="E173" s="56"/>
      <c r="F173" s="56"/>
      <c r="G173" s="56"/>
      <c r="H173" s="56"/>
      <c r="J173" s="56"/>
      <c r="K173" s="56"/>
      <c r="L173" s="56"/>
      <c r="M173" s="56"/>
      <c r="N173" s="56"/>
      <c r="O173" s="56"/>
    </row>
    <row r="174" spans="3:15" ht="15.95" hidden="1" customHeight="1">
      <c r="C174" s="56"/>
      <c r="D174" s="56"/>
      <c r="E174" s="56"/>
      <c r="F174" s="56"/>
      <c r="G174" s="56"/>
      <c r="H174" s="56"/>
      <c r="J174" s="56"/>
      <c r="K174" s="56"/>
      <c r="L174" s="56"/>
      <c r="M174" s="56"/>
      <c r="N174" s="56"/>
      <c r="O174" s="56"/>
    </row>
    <row r="175" spans="3:15" ht="15.95" hidden="1" customHeight="1">
      <c r="C175" s="56"/>
      <c r="D175" s="56"/>
      <c r="E175" s="56"/>
      <c r="F175" s="56"/>
      <c r="G175" s="56"/>
      <c r="H175" s="56"/>
      <c r="J175" s="56"/>
      <c r="K175" s="56"/>
      <c r="L175" s="56"/>
      <c r="M175" s="56"/>
      <c r="N175" s="56"/>
      <c r="O175" s="56"/>
    </row>
    <row r="176" spans="3:15" ht="15.95" hidden="1" customHeight="1">
      <c r="C176" s="56"/>
      <c r="D176" s="56"/>
      <c r="E176" s="56"/>
      <c r="F176" s="56"/>
      <c r="G176" s="56"/>
      <c r="H176" s="56"/>
      <c r="J176" s="56"/>
      <c r="K176" s="56"/>
      <c r="L176" s="56"/>
      <c r="M176" s="56"/>
      <c r="N176" s="56"/>
      <c r="O176" s="56"/>
    </row>
    <row r="177" spans="3:15" ht="15.95" hidden="1" customHeight="1">
      <c r="C177" s="56"/>
      <c r="D177" s="56"/>
      <c r="E177" s="56"/>
      <c r="F177" s="56"/>
      <c r="G177" s="56"/>
      <c r="H177" s="56"/>
      <c r="J177" s="56"/>
      <c r="K177" s="56"/>
      <c r="L177" s="56"/>
      <c r="M177" s="56"/>
      <c r="N177" s="56"/>
      <c r="O177" s="56"/>
    </row>
    <row r="178" spans="3:15" ht="15.95" hidden="1" customHeight="1">
      <c r="C178" s="56"/>
      <c r="D178" s="56"/>
      <c r="E178" s="56"/>
      <c r="F178" s="56"/>
      <c r="G178" s="56"/>
      <c r="H178" s="56"/>
      <c r="J178" s="56"/>
      <c r="K178" s="56"/>
      <c r="L178" s="56"/>
      <c r="M178" s="56"/>
      <c r="N178" s="56"/>
      <c r="O178" s="56"/>
    </row>
    <row r="179" spans="3:15" ht="15.95" hidden="1" customHeight="1">
      <c r="C179" s="56"/>
      <c r="D179" s="56"/>
      <c r="E179" s="56"/>
      <c r="F179" s="56"/>
      <c r="G179" s="56"/>
      <c r="H179" s="56"/>
      <c r="J179" s="56"/>
      <c r="K179" s="56"/>
      <c r="L179" s="56"/>
      <c r="M179" s="56"/>
      <c r="N179" s="56"/>
      <c r="O179" s="56"/>
    </row>
    <row r="180" spans="3:15" ht="15.95" hidden="1" customHeight="1">
      <c r="C180" s="56"/>
      <c r="D180" s="56"/>
      <c r="E180" s="56"/>
      <c r="F180" s="56"/>
      <c r="G180" s="56"/>
      <c r="H180" s="56"/>
      <c r="J180" s="56"/>
      <c r="K180" s="56"/>
      <c r="L180" s="56"/>
      <c r="M180" s="56"/>
      <c r="N180" s="56"/>
      <c r="O180" s="56"/>
    </row>
    <row r="181" spans="3:15" ht="15.95" hidden="1" customHeight="1">
      <c r="C181" s="56"/>
      <c r="D181" s="56"/>
      <c r="E181" s="56"/>
      <c r="F181" s="56"/>
      <c r="G181" s="56"/>
      <c r="H181" s="56"/>
      <c r="J181" s="56"/>
      <c r="K181" s="56"/>
      <c r="L181" s="56"/>
      <c r="M181" s="56"/>
      <c r="N181" s="56"/>
      <c r="O181" s="56"/>
    </row>
    <row r="182" spans="3:15" ht="15.95" hidden="1" customHeight="1">
      <c r="C182" s="56"/>
      <c r="D182" s="56"/>
      <c r="E182" s="56"/>
      <c r="F182" s="56"/>
      <c r="G182" s="56"/>
      <c r="H182" s="56"/>
      <c r="J182" s="56"/>
      <c r="K182" s="56"/>
      <c r="L182" s="56"/>
      <c r="M182" s="56"/>
      <c r="N182" s="56"/>
      <c r="O182" s="56"/>
    </row>
    <row r="183" spans="3:15" ht="15.95" hidden="1" customHeight="1">
      <c r="C183" s="56"/>
      <c r="D183" s="56"/>
      <c r="E183" s="56"/>
      <c r="F183" s="56"/>
      <c r="G183" s="56"/>
      <c r="H183" s="56"/>
      <c r="J183" s="56"/>
      <c r="K183" s="56"/>
      <c r="L183" s="56"/>
      <c r="M183" s="56"/>
      <c r="N183" s="56"/>
      <c r="O183" s="56"/>
    </row>
    <row r="184" spans="3:15" ht="15.95" hidden="1" customHeight="1">
      <c r="C184" s="56"/>
      <c r="D184" s="56"/>
      <c r="E184" s="56"/>
      <c r="F184" s="56"/>
      <c r="G184" s="56"/>
      <c r="H184" s="56"/>
      <c r="J184" s="56"/>
      <c r="K184" s="56"/>
      <c r="L184" s="56"/>
      <c r="M184" s="56"/>
      <c r="N184" s="56"/>
      <c r="O184" s="56"/>
    </row>
    <row r="185" spans="3:15" ht="15.95" hidden="1" customHeight="1">
      <c r="C185" s="56"/>
      <c r="D185" s="56"/>
      <c r="E185" s="56"/>
      <c r="F185" s="56"/>
      <c r="G185" s="56"/>
      <c r="H185" s="56"/>
      <c r="J185" s="56"/>
      <c r="K185" s="56"/>
      <c r="L185" s="56"/>
      <c r="M185" s="56"/>
      <c r="N185" s="56"/>
      <c r="O185" s="56"/>
    </row>
    <row r="186" spans="3:15" ht="15.95" hidden="1" customHeight="1">
      <c r="C186" s="56"/>
      <c r="D186" s="56"/>
      <c r="E186" s="56"/>
      <c r="F186" s="56"/>
      <c r="G186" s="56"/>
      <c r="H186" s="56"/>
      <c r="J186" s="56"/>
      <c r="K186" s="56"/>
      <c r="L186" s="56"/>
      <c r="M186" s="56"/>
      <c r="N186" s="56"/>
      <c r="O186" s="56"/>
    </row>
    <row r="187" spans="3:15" ht="15.95" hidden="1" customHeight="1">
      <c r="C187" s="56"/>
      <c r="D187" s="56"/>
      <c r="E187" s="56"/>
      <c r="F187" s="56"/>
      <c r="G187" s="56"/>
      <c r="H187" s="56"/>
      <c r="J187" s="56"/>
      <c r="K187" s="56"/>
      <c r="L187" s="56"/>
      <c r="M187" s="56"/>
      <c r="N187" s="56"/>
      <c r="O187" s="56"/>
    </row>
    <row r="188" spans="3:15" ht="15.95" hidden="1" customHeight="1">
      <c r="C188" s="56"/>
      <c r="D188" s="56"/>
      <c r="E188" s="56"/>
      <c r="F188" s="56"/>
      <c r="G188" s="56"/>
      <c r="H188" s="56"/>
      <c r="J188" s="56"/>
      <c r="K188" s="56"/>
      <c r="L188" s="56"/>
      <c r="M188" s="56"/>
      <c r="N188" s="56"/>
      <c r="O188" s="56"/>
    </row>
    <row r="189" spans="3:15" ht="15.95" hidden="1" customHeight="1">
      <c r="C189" s="56"/>
      <c r="D189" s="56"/>
      <c r="E189" s="56"/>
      <c r="F189" s="56"/>
      <c r="G189" s="56"/>
      <c r="H189" s="56"/>
      <c r="J189" s="56"/>
      <c r="K189" s="56"/>
      <c r="L189" s="56"/>
      <c r="M189" s="56"/>
      <c r="N189" s="56"/>
      <c r="O189" s="56"/>
    </row>
    <row r="190" spans="3:15" ht="15.95" hidden="1" customHeight="1">
      <c r="C190" s="56"/>
      <c r="D190" s="56"/>
      <c r="E190" s="56"/>
      <c r="F190" s="56"/>
      <c r="G190" s="56"/>
      <c r="H190" s="56"/>
      <c r="J190" s="56"/>
      <c r="K190" s="56"/>
      <c r="L190" s="56"/>
      <c r="M190" s="56"/>
      <c r="N190" s="56"/>
      <c r="O190" s="56"/>
    </row>
    <row r="191" spans="3:15" ht="15.95" hidden="1" customHeight="1">
      <c r="C191" s="56"/>
      <c r="D191" s="56"/>
      <c r="E191" s="56"/>
      <c r="F191" s="56"/>
      <c r="G191" s="56"/>
      <c r="H191" s="56"/>
      <c r="J191" s="56"/>
      <c r="K191" s="56"/>
      <c r="L191" s="56"/>
      <c r="M191" s="56"/>
      <c r="N191" s="56"/>
      <c r="O191" s="56"/>
    </row>
    <row r="192" spans="3:15" ht="15.95" hidden="1" customHeight="1">
      <c r="C192" s="56"/>
      <c r="D192" s="56"/>
      <c r="E192" s="56"/>
      <c r="F192" s="56"/>
      <c r="G192" s="56"/>
      <c r="H192" s="56"/>
      <c r="J192" s="56"/>
      <c r="K192" s="56"/>
      <c r="L192" s="56"/>
      <c r="M192" s="56"/>
      <c r="N192" s="56"/>
      <c r="O192" s="56"/>
    </row>
    <row r="193" spans="2:44" ht="15.95" hidden="1" customHeight="1">
      <c r="C193" s="56"/>
      <c r="D193" s="56"/>
      <c r="E193" s="56"/>
      <c r="F193" s="56"/>
      <c r="G193" s="56"/>
      <c r="H193" s="56"/>
      <c r="J193" s="56"/>
      <c r="K193" s="56"/>
      <c r="L193" s="56"/>
      <c r="M193" s="56"/>
      <c r="N193" s="56"/>
      <c r="O193" s="56"/>
    </row>
    <row r="194" spans="2:44" ht="15.95" hidden="1" customHeight="1">
      <c r="C194" s="56"/>
      <c r="D194" s="56"/>
      <c r="E194" s="56"/>
      <c r="F194" s="56"/>
      <c r="G194" s="56"/>
      <c r="H194" s="56"/>
      <c r="J194" s="56"/>
      <c r="K194" s="56"/>
      <c r="L194" s="56"/>
      <c r="M194" s="56"/>
      <c r="N194" s="56"/>
      <c r="O194" s="56"/>
    </row>
    <row r="195" spans="2:44" ht="15.95" hidden="1" customHeight="1">
      <c r="C195" s="56"/>
      <c r="D195" s="56"/>
      <c r="E195" s="56"/>
      <c r="F195" s="56"/>
      <c r="G195" s="56"/>
      <c r="H195" s="56"/>
      <c r="J195" s="56"/>
      <c r="K195" s="56"/>
      <c r="L195" s="56"/>
      <c r="M195" s="56"/>
      <c r="N195" s="56"/>
      <c r="O195" s="56"/>
    </row>
    <row r="196" spans="2:44" ht="15.95" hidden="1" customHeight="1">
      <c r="C196" s="56"/>
      <c r="D196" s="56"/>
      <c r="E196" s="56"/>
      <c r="F196" s="56"/>
      <c r="G196" s="56"/>
      <c r="H196" s="56"/>
      <c r="J196" s="56"/>
      <c r="K196" s="56"/>
      <c r="L196" s="56"/>
      <c r="M196" s="56"/>
      <c r="N196" s="56"/>
      <c r="O196" s="56"/>
    </row>
    <row r="197" spans="2:44" ht="15.95" hidden="1" customHeight="1">
      <c r="C197" s="56"/>
      <c r="D197" s="56"/>
      <c r="E197" s="56"/>
      <c r="F197" s="56"/>
      <c r="G197" s="56"/>
      <c r="H197" s="56"/>
      <c r="J197" s="56"/>
      <c r="K197" s="56"/>
      <c r="L197" s="56"/>
      <c r="M197" s="56"/>
      <c r="N197" s="56"/>
      <c r="O197" s="56"/>
    </row>
    <row r="198" spans="2:44" ht="15.95" hidden="1" customHeight="1">
      <c r="C198" s="56"/>
      <c r="D198" s="56"/>
      <c r="E198" s="56"/>
      <c r="F198" s="56"/>
      <c r="G198" s="56"/>
      <c r="H198" s="56"/>
      <c r="J198" s="56"/>
      <c r="K198" s="56"/>
      <c r="L198" s="56"/>
      <c r="M198" s="56"/>
      <c r="N198" s="56"/>
      <c r="O198" s="56"/>
    </row>
    <row r="199" spans="2:44" ht="15.95" hidden="1" customHeight="1"/>
    <row r="200" spans="2:44" ht="15.95" customHeight="1">
      <c r="B200" s="272" t="str">
        <f>FOOT1</f>
        <v>NIPSCO Energy Efficiency Program</v>
      </c>
      <c r="C200" s="272"/>
      <c r="D200" s="272"/>
      <c r="E200" s="272"/>
      <c r="F200" s="272"/>
      <c r="G200" s="272"/>
      <c r="H200" s="272"/>
      <c r="I200" s="272"/>
      <c r="J200" s="272"/>
      <c r="K200" s="272"/>
      <c r="L200" s="272"/>
      <c r="M200" s="661" t="str">
        <f>FOOT4</f>
        <v>NIPSCO’s energy efficiency programs are administered by TRC, a third‐party implementation specialist that helps homes and businesses save energy.</v>
      </c>
      <c r="N200" s="661"/>
      <c r="O200" s="661"/>
      <c r="P200" s="661"/>
      <c r="Q200" s="661"/>
      <c r="R200" s="661"/>
      <c r="S200" s="661"/>
      <c r="T200" s="661"/>
      <c r="U200" s="661"/>
      <c r="V200" s="661"/>
      <c r="W200" s="661"/>
      <c r="X200" s="661"/>
      <c r="Y200" s="661"/>
      <c r="Z200" s="661"/>
      <c r="AA200" s="661"/>
      <c r="AB200" s="661"/>
      <c r="AC200" s="661"/>
      <c r="AD200" s="661"/>
      <c r="AE200" s="661"/>
      <c r="AF200" s="661"/>
      <c r="AG200" s="661"/>
      <c r="AH200" s="272"/>
      <c r="AI200" s="272"/>
      <c r="AJ200" s="272"/>
      <c r="AK200" s="272"/>
      <c r="AL200" s="272"/>
      <c r="AM200" s="272"/>
      <c r="AN200" s="272"/>
      <c r="AO200" s="272"/>
      <c r="AP200" s="272"/>
      <c r="AQ200" s="272"/>
      <c r="AR200" s="273" t="str">
        <f>FOOTDISCLAIM</f>
        <v/>
      </c>
    </row>
    <row r="201" spans="2:44" ht="15.95" customHeight="1">
      <c r="B201" s="272" t="str">
        <f>FOOT2</f>
        <v>Toll-Free 800-299-2501</v>
      </c>
      <c r="C201" s="272"/>
      <c r="D201" s="272"/>
      <c r="E201" s="272"/>
      <c r="F201" s="272"/>
      <c r="G201" s="272"/>
      <c r="H201" s="272"/>
      <c r="I201" s="272"/>
      <c r="J201" s="272"/>
      <c r="K201" s="272"/>
      <c r="L201" s="272"/>
      <c r="M201" s="661"/>
      <c r="N201" s="661"/>
      <c r="O201" s="661"/>
      <c r="P201" s="661"/>
      <c r="Q201" s="661"/>
      <c r="R201" s="661"/>
      <c r="S201" s="661"/>
      <c r="T201" s="661"/>
      <c r="U201" s="661"/>
      <c r="V201" s="661"/>
      <c r="W201" s="661"/>
      <c r="X201" s="661"/>
      <c r="Y201" s="661"/>
      <c r="Z201" s="661"/>
      <c r="AA201" s="661"/>
      <c r="AB201" s="661"/>
      <c r="AC201" s="661"/>
      <c r="AD201" s="661"/>
      <c r="AE201" s="661"/>
      <c r="AF201" s="661"/>
      <c r="AG201" s="661"/>
      <c r="AH201" s="272"/>
      <c r="AI201" s="272"/>
      <c r="AJ201" s="272"/>
      <c r="AK201" s="272"/>
      <c r="AL201" s="272"/>
      <c r="AM201" s="272"/>
      <c r="AN201" s="272"/>
      <c r="AO201" s="272"/>
      <c r="AP201" s="272"/>
      <c r="AQ201" s="272"/>
      <c r="AR201" s="273" t="str">
        <f>FOOT5</f>
        <v/>
      </c>
    </row>
    <row r="202" spans="2:44" ht="15.95" customHeight="1">
      <c r="B202" s="281" t="s">
        <v>1547</v>
      </c>
      <c r="C202" s="272"/>
      <c r="D202" s="272"/>
      <c r="E202" s="272"/>
      <c r="F202" s="272"/>
      <c r="G202" s="272"/>
      <c r="H202" s="272"/>
      <c r="I202" s="272"/>
      <c r="J202" s="272"/>
      <c r="K202" s="272"/>
      <c r="L202" s="272"/>
      <c r="M202" s="274"/>
      <c r="N202" s="272"/>
      <c r="O202" s="272"/>
      <c r="P202" s="274"/>
      <c r="Q202" s="274"/>
      <c r="R202" s="274"/>
      <c r="S202" s="274"/>
      <c r="T202" s="274"/>
      <c r="U202" s="274"/>
      <c r="V202" s="274"/>
      <c r="W202" s="275" t="str">
        <f>VERSION</f>
        <v>Custom Prescriptive Application v3.7.1</v>
      </c>
      <c r="X202" s="274"/>
      <c r="Y202" s="274"/>
      <c r="Z202" s="274"/>
      <c r="AA202" s="274"/>
      <c r="AB202" s="274"/>
      <c r="AC202" s="274"/>
      <c r="AD202" s="274"/>
      <c r="AE202" s="272"/>
      <c r="AF202" s="272"/>
      <c r="AG202" s="272"/>
      <c r="AH202" s="272"/>
      <c r="AI202" s="272"/>
      <c r="AJ202" s="272"/>
      <c r="AK202" s="272"/>
      <c r="AL202" s="272"/>
      <c r="AM202" s="272"/>
      <c r="AN202" s="272"/>
      <c r="AO202" s="272"/>
      <c r="AP202" s="272"/>
      <c r="AQ202" s="272"/>
      <c r="AR202" s="273" t="str">
        <f>FOOT6</f>
        <v>Product of TRC</v>
      </c>
    </row>
  </sheetData>
  <sheetProtection algorithmName="SHA-512" hashValue="9G/fNst+BgOB2KHoS2NbrfPz+rTryK8YOnVcG0ZEoNjM5t4gYbMPsTk3ipetW5Ki2BkHqUaOvIKT9C29BZBcjg==" saltValue="xldZqf17Emu8cjYtJYtY1Q==" spinCount="100000" sheet="1" objects="1" scenarios="1" selectLockedCells="1"/>
  <mergeCells count="52">
    <mergeCell ref="F10:AN10"/>
    <mergeCell ref="J14:AB17"/>
    <mergeCell ref="AQ1:AR1"/>
    <mergeCell ref="AQ2:AR3"/>
    <mergeCell ref="AH1:AK1"/>
    <mergeCell ref="AL1:AP1"/>
    <mergeCell ref="AH2:AK3"/>
    <mergeCell ref="AL2:AP3"/>
    <mergeCell ref="J18:AJ20"/>
    <mergeCell ref="O21:Y21"/>
    <mergeCell ref="AC21:AJ21"/>
    <mergeCell ref="O41:W41"/>
    <mergeCell ref="X41:AF41"/>
    <mergeCell ref="X35:AF36"/>
    <mergeCell ref="X37:AF38"/>
    <mergeCell ref="K27:AC28"/>
    <mergeCell ref="AD27:AJ28"/>
    <mergeCell ref="J30:AJ31"/>
    <mergeCell ref="O22:Y22"/>
    <mergeCell ref="AC22:AJ22"/>
    <mergeCell ref="AC23:AJ23"/>
    <mergeCell ref="K25:AC26"/>
    <mergeCell ref="AD25:AJ26"/>
    <mergeCell ref="M200:AG201"/>
    <mergeCell ref="K42:N43"/>
    <mergeCell ref="O42:W43"/>
    <mergeCell ref="X42:AF43"/>
    <mergeCell ref="K44:N45"/>
    <mergeCell ref="O44:W45"/>
    <mergeCell ref="X44:AF45"/>
    <mergeCell ref="K46:N47"/>
    <mergeCell ref="O46:W47"/>
    <mergeCell ref="X46:AF47"/>
    <mergeCell ref="J49:AJ50"/>
    <mergeCell ref="T57:Z59"/>
    <mergeCell ref="M61:R61"/>
    <mergeCell ref="V61:AA61"/>
    <mergeCell ref="J71:V72"/>
    <mergeCell ref="J74:AJ75"/>
    <mergeCell ref="J67:AJ68"/>
    <mergeCell ref="J70:V70"/>
    <mergeCell ref="M62:R62"/>
    <mergeCell ref="V62:AA62"/>
    <mergeCell ref="AE62:AJ62"/>
    <mergeCell ref="M63:R63"/>
    <mergeCell ref="V63:AA63"/>
    <mergeCell ref="AE63:AJ63"/>
    <mergeCell ref="J53:S54"/>
    <mergeCell ref="J51:S52"/>
    <mergeCell ref="J55:S55"/>
    <mergeCell ref="J56:S57"/>
    <mergeCell ref="AE61:AJ61"/>
  </mergeCells>
  <conditionalFormatting sqref="AH2 AL2">
    <cfRule type="expression" dxfId="74" priority="1">
      <formula>PROJSTATUS=PROJSTATELI</formula>
    </cfRule>
    <cfRule type="expression" dxfId="73" priority="2">
      <formula>PROJSTATUS=PROJSTATREVIEW</formula>
    </cfRule>
    <cfRule type="expression" dxfId="72" priority="6">
      <formula>PROJSTATUS=PROJSTATPREAPPROVE</formula>
    </cfRule>
    <cfRule type="expression" dxfId="71" priority="7">
      <formula>PROJSTATUS=PROJSTATSTANDARD</formula>
    </cfRule>
    <cfRule type="expression" dxfId="70" priority="8">
      <formula>PROJSTATUS=PROJSTATEXP</formula>
    </cfRule>
  </conditionalFormatting>
  <conditionalFormatting sqref="AQ2:AR3">
    <cfRule type="cellIs" dxfId="69" priority="3" operator="equal">
      <formula>1</formula>
    </cfRule>
    <cfRule type="cellIs" dxfId="68" priority="4" operator="between">
      <formula>0.51</formula>
      <formula>0.99</formula>
    </cfRule>
    <cfRule type="cellIs" dxfId="67" priority="5" operator="lessThanOrEqual">
      <formula>0.5</formula>
    </cfRule>
  </conditionalFormatting>
  <hyperlinks>
    <hyperlink ref="AA72" r:id="rId1" xr:uid="{00000000-0004-0000-2500-000001000000}"/>
    <hyperlink ref="AA70" r:id="rId2" xr:uid="{00000000-0004-0000-2500-000002000000}"/>
    <hyperlink ref="B202" r:id="rId3" xr:uid="{54B8BCBA-E8A1-46AE-8370-A4A947346C14}"/>
  </hyperlinks>
  <printOptions horizontalCentered="1"/>
  <pageMargins left="0.1" right="0.1" top="0.1" bottom="0.1" header="0" footer="0"/>
  <pageSetup scale="80" orientation="portrait" r:id="rId4"/>
  <drawing r:id="rId5"/>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41">
    <pageSetUpPr fitToPage="1"/>
  </sheetPr>
  <dimension ref="A1:AS202"/>
  <sheetViews>
    <sheetView showGridLines="0" showRowColHeaders="0" zoomScale="85" zoomScaleNormal="85" workbookViewId="0">
      <selection activeCell="C6" sqref="C6"/>
    </sheetView>
  </sheetViews>
  <sheetFormatPr defaultColWidth="0" defaultRowHeight="15" customHeight="1" zeroHeight="1"/>
  <cols>
    <col min="1" max="45" width="4.7109375" customWidth="1"/>
    <col min="46" max="78" width="9.140625" hidden="1" customWidth="1"/>
    <col min="79" max="16384" width="9.140625" hidden="1"/>
  </cols>
  <sheetData>
    <row r="1" spans="2:44" ht="15.95" customHeight="1">
      <c r="AH1" s="686" t="s">
        <v>471</v>
      </c>
      <c r="AI1" s="686"/>
      <c r="AJ1" s="686"/>
      <c r="AK1" s="686"/>
      <c r="AL1" s="687" t="s">
        <v>736</v>
      </c>
      <c r="AM1" s="687"/>
      <c r="AN1" s="687"/>
      <c r="AO1" s="687"/>
      <c r="AP1" s="687"/>
      <c r="AQ1" s="683" t="s">
        <v>474</v>
      </c>
      <c r="AR1" s="683"/>
    </row>
    <row r="2" spans="2:44" ht="15.95" customHeight="1">
      <c r="AH2" s="688" t="str">
        <f ca="1">INCENSTATUS</f>
        <v>---</v>
      </c>
      <c r="AI2" s="689"/>
      <c r="AJ2" s="689"/>
      <c r="AK2" s="689"/>
      <c r="AL2" s="690" t="str">
        <f ca="1">PROJSTATUS</f>
        <v>Enter Measures</v>
      </c>
      <c r="AM2" s="690"/>
      <c r="AN2" s="690"/>
      <c r="AO2" s="690"/>
      <c r="AP2" s="690"/>
      <c r="AQ2" s="684">
        <f ca="1">PROGRESSSTATUS</f>
        <v>2.8985507246376812E-2</v>
      </c>
      <c r="AR2" s="685"/>
    </row>
    <row r="3" spans="2:44" ht="15.95" customHeight="1">
      <c r="AH3" s="680"/>
      <c r="AI3" s="681"/>
      <c r="AJ3" s="681"/>
      <c r="AK3" s="681"/>
      <c r="AL3" s="673"/>
      <c r="AM3" s="673"/>
      <c r="AN3" s="673"/>
      <c r="AO3" s="673"/>
      <c r="AP3" s="673"/>
      <c r="AQ3" s="667"/>
      <c r="AR3" s="668"/>
    </row>
    <row r="4" spans="2:44" ht="15.95" customHeight="1">
      <c r="AR4" s="171"/>
    </row>
    <row r="5" spans="2:44" ht="15.95" customHeight="1"/>
    <row r="6" spans="2:44" ht="15.95" customHeight="1">
      <c r="C6" s="30"/>
    </row>
    <row r="7" spans="2:44" ht="15.95" customHeight="1"/>
    <row r="8" spans="2:44" ht="15.95" customHeight="1"/>
    <row r="9" spans="2:44" ht="15.95" customHeight="1">
      <c r="B9" s="59"/>
      <c r="C9" s="59"/>
      <c r="D9" s="59"/>
      <c r="E9" s="59"/>
      <c r="F9" s="59"/>
      <c r="G9" s="59"/>
      <c r="H9" s="59"/>
      <c r="I9" s="59"/>
      <c r="J9" s="59"/>
      <c r="K9" s="59"/>
      <c r="L9" s="59"/>
      <c r="M9" s="59"/>
      <c r="N9" s="59"/>
      <c r="O9" s="59"/>
      <c r="P9" s="59"/>
      <c r="Q9" s="59"/>
      <c r="R9" s="59"/>
      <c r="S9" s="59"/>
      <c r="T9" s="59"/>
      <c r="U9" s="59"/>
      <c r="V9" s="59"/>
      <c r="W9" s="59"/>
      <c r="X9" s="59"/>
      <c r="Y9" s="59"/>
      <c r="Z9" s="59"/>
      <c r="AA9" s="59"/>
      <c r="AB9" s="59"/>
      <c r="AC9" s="59"/>
      <c r="AD9" s="59"/>
      <c r="AE9" s="59"/>
      <c r="AF9" s="59"/>
      <c r="AG9" s="59"/>
      <c r="AH9" s="59"/>
      <c r="AI9" s="59"/>
      <c r="AJ9" s="59"/>
      <c r="AK9" s="59"/>
      <c r="AL9" s="59"/>
      <c r="AM9" s="59"/>
      <c r="AN9" s="59"/>
      <c r="AO9" s="59"/>
      <c r="AP9" s="59"/>
      <c r="AQ9" s="59"/>
      <c r="AR9" s="59"/>
    </row>
    <row r="10" spans="2:44" ht="15.95" customHeight="1">
      <c r="B10" s="59"/>
      <c r="C10" s="59"/>
      <c r="D10" s="59"/>
      <c r="E10" s="59"/>
      <c r="F10" s="691" t="s">
        <v>124</v>
      </c>
      <c r="G10" s="691"/>
      <c r="H10" s="691"/>
      <c r="I10" s="691"/>
      <c r="J10" s="691"/>
      <c r="K10" s="691"/>
      <c r="L10" s="691"/>
      <c r="M10" s="691"/>
      <c r="N10" s="691"/>
      <c r="O10" s="691"/>
      <c r="P10" s="691"/>
      <c r="Q10" s="691"/>
      <c r="R10" s="691"/>
      <c r="S10" s="691"/>
      <c r="T10" s="691"/>
      <c r="U10" s="691"/>
      <c r="V10" s="691"/>
      <c r="W10" s="691"/>
      <c r="X10" s="691"/>
      <c r="Y10" s="691"/>
      <c r="Z10" s="691"/>
      <c r="AA10" s="691"/>
      <c r="AB10" s="691"/>
      <c r="AC10" s="691"/>
      <c r="AD10" s="691"/>
      <c r="AE10" s="691"/>
      <c r="AF10" s="691"/>
      <c r="AG10" s="691"/>
      <c r="AH10" s="691"/>
      <c r="AI10" s="691"/>
      <c r="AJ10" s="691"/>
      <c r="AK10" s="691"/>
      <c r="AL10" s="691"/>
      <c r="AM10" s="691"/>
      <c r="AN10" s="691"/>
      <c r="AO10" s="59"/>
      <c r="AP10" s="59"/>
      <c r="AQ10" s="59"/>
      <c r="AR10" s="59"/>
    </row>
    <row r="11" spans="2:44" ht="15.95" customHeight="1">
      <c r="B11" s="59"/>
      <c r="C11" s="59"/>
      <c r="D11" s="59"/>
      <c r="E11" s="59"/>
      <c r="F11" s="798" t="s">
        <v>453</v>
      </c>
      <c r="G11" s="798"/>
      <c r="H11" s="798"/>
      <c r="I11" s="798"/>
      <c r="J11" s="798"/>
      <c r="K11" s="798"/>
      <c r="L11" s="798"/>
      <c r="M11" s="798"/>
      <c r="N11" s="798"/>
      <c r="O11" s="798"/>
      <c r="P11" s="798"/>
      <c r="Q11" s="798"/>
      <c r="R11" s="798"/>
      <c r="S11" s="798"/>
      <c r="T11" s="798"/>
      <c r="U11" s="798"/>
      <c r="V11" s="798"/>
      <c r="W11" s="798"/>
      <c r="X11" s="798"/>
      <c r="Y11" s="798"/>
      <c r="Z11" s="798"/>
      <c r="AA11" s="798"/>
      <c r="AB11" s="798"/>
      <c r="AC11" s="798"/>
      <c r="AD11" s="798"/>
      <c r="AE11" s="798"/>
      <c r="AF11" s="798"/>
      <c r="AG11" s="798"/>
      <c r="AH11" s="798"/>
      <c r="AI11" s="798"/>
      <c r="AJ11" s="798"/>
      <c r="AK11" s="798"/>
      <c r="AL11" s="798"/>
      <c r="AM11" s="798"/>
      <c r="AN11" s="798"/>
      <c r="AO11" s="59"/>
      <c r="AP11" s="59"/>
      <c r="AQ11" s="59"/>
      <c r="AR11" s="59"/>
    </row>
    <row r="12" spans="2:44" ht="15.95" customHeight="1">
      <c r="B12" s="59"/>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59"/>
      <c r="AE12" s="59"/>
      <c r="AF12" s="59"/>
      <c r="AG12" s="59"/>
      <c r="AH12" s="59"/>
      <c r="AI12" s="59"/>
      <c r="AJ12" s="59"/>
      <c r="AK12" s="59"/>
      <c r="AL12" s="59"/>
      <c r="AM12" s="59"/>
      <c r="AN12" s="59"/>
      <c r="AO12" s="59"/>
      <c r="AP12" s="59"/>
      <c r="AQ12" s="59"/>
      <c r="AR12" s="59"/>
    </row>
    <row r="13" spans="2:44" ht="15.95" customHeight="1">
      <c r="B13" s="59"/>
      <c r="C13" s="285" t="s">
        <v>454</v>
      </c>
      <c r="D13" s="286"/>
      <c r="E13" s="286"/>
      <c r="F13" s="286"/>
      <c r="G13" s="286"/>
      <c r="H13" s="286"/>
      <c r="I13" s="286"/>
      <c r="J13" s="286"/>
      <c r="K13" s="286"/>
      <c r="L13" s="286"/>
      <c r="M13" s="286"/>
      <c r="N13" s="286"/>
      <c r="O13" s="59"/>
      <c r="P13" s="59"/>
      <c r="Q13" s="285" t="s">
        <v>455</v>
      </c>
      <c r="R13" s="286"/>
      <c r="S13" s="286"/>
      <c r="T13" s="286"/>
      <c r="U13" s="286"/>
      <c r="V13" s="286"/>
      <c r="W13" s="286"/>
      <c r="X13" s="286"/>
      <c r="Y13" s="286"/>
      <c r="Z13" s="286"/>
      <c r="AA13" s="286"/>
      <c r="AB13" s="286"/>
      <c r="AC13" s="286"/>
      <c r="AD13" s="59"/>
      <c r="AE13" s="59"/>
      <c r="AF13" s="285" t="s">
        <v>456</v>
      </c>
      <c r="AG13" s="286"/>
      <c r="AH13" s="286"/>
      <c r="AI13" s="286"/>
      <c r="AJ13" s="286"/>
      <c r="AK13" s="286"/>
      <c r="AL13" s="286"/>
      <c r="AM13" s="286"/>
      <c r="AN13" s="286"/>
      <c r="AO13" s="286"/>
      <c r="AP13" s="286"/>
      <c r="AQ13" s="286"/>
      <c r="AR13" s="59"/>
    </row>
    <row r="14" spans="2:44" ht="15.95" customHeight="1">
      <c r="B14" s="59"/>
      <c r="C14" s="287"/>
      <c r="D14" s="59"/>
      <c r="E14" s="59"/>
      <c r="F14" s="59"/>
      <c r="G14" s="59"/>
      <c r="H14" s="59"/>
      <c r="I14" s="59"/>
      <c r="J14" s="59"/>
      <c r="K14" s="59"/>
      <c r="L14" s="59"/>
      <c r="M14" s="59"/>
      <c r="N14" s="299"/>
      <c r="O14" s="59"/>
      <c r="P14" s="59"/>
      <c r="Q14" s="287"/>
      <c r="R14" s="59"/>
      <c r="S14" s="59"/>
      <c r="T14" s="59"/>
      <c r="U14" s="59"/>
      <c r="V14" s="59"/>
      <c r="W14" s="59"/>
      <c r="X14" s="59"/>
      <c r="Y14" s="59"/>
      <c r="Z14" s="59"/>
      <c r="AA14" s="59"/>
      <c r="AB14" s="59"/>
      <c r="AC14" s="299"/>
      <c r="AD14" s="59"/>
      <c r="AE14" s="59"/>
      <c r="AF14" s="287"/>
      <c r="AG14" s="59"/>
      <c r="AH14" s="59"/>
      <c r="AI14" s="59"/>
      <c r="AJ14" s="59"/>
      <c r="AK14" s="59"/>
      <c r="AL14" s="59"/>
      <c r="AM14" s="59"/>
      <c r="AN14" s="59"/>
      <c r="AO14" s="59"/>
      <c r="AP14" s="59"/>
      <c r="AQ14" s="299"/>
      <c r="AR14" s="59"/>
    </row>
    <row r="15" spans="2:44" ht="15.95" customHeight="1">
      <c r="B15" s="59"/>
      <c r="C15" s="288" t="s">
        <v>458</v>
      </c>
      <c r="D15" s="1274" t="s">
        <v>819</v>
      </c>
      <c r="E15" s="1274"/>
      <c r="F15" s="1274"/>
      <c r="G15" s="1274"/>
      <c r="H15" s="1274"/>
      <c r="I15" s="1274"/>
      <c r="J15" s="1274"/>
      <c r="K15" s="1275" t="str">
        <f ca="1">IF(TEMPLATE!A74/TEMPLATE!D74=1,"Completed",IF(TEMPLATE!A74/TEMPLATE!D74&gt;0.7,"Almost!","Incomplete"))</f>
        <v>Incomplete</v>
      </c>
      <c r="L15" s="1275"/>
      <c r="M15" s="1275"/>
      <c r="N15" s="300"/>
      <c r="O15" s="59"/>
      <c r="P15" s="59"/>
      <c r="Q15" s="292" t="s">
        <v>458</v>
      </c>
      <c r="R15" s="59" t="s">
        <v>463</v>
      </c>
      <c r="S15" s="59"/>
      <c r="T15" s="59"/>
      <c r="U15" s="59"/>
      <c r="V15" s="59"/>
      <c r="W15" s="59"/>
      <c r="X15" s="59"/>
      <c r="Y15" s="59"/>
      <c r="Z15" s="59"/>
      <c r="AA15" s="59"/>
      <c r="AB15" s="59"/>
      <c r="AC15" s="299"/>
      <c r="AD15" s="59"/>
      <c r="AE15" s="59"/>
      <c r="AF15" s="292" t="s">
        <v>458</v>
      </c>
      <c r="AG15" s="1273" t="s">
        <v>1548</v>
      </c>
      <c r="AH15" s="1273"/>
      <c r="AI15" s="1273"/>
      <c r="AJ15" s="1273"/>
      <c r="AK15" s="1273"/>
      <c r="AL15" s="1273"/>
      <c r="AM15" s="1273"/>
      <c r="AN15" s="1273"/>
      <c r="AO15" s="1273"/>
      <c r="AP15" s="1273"/>
      <c r="AQ15" s="1276"/>
      <c r="AR15" s="59"/>
    </row>
    <row r="16" spans="2:44" ht="15.95" customHeight="1">
      <c r="B16" s="59"/>
      <c r="C16" s="289"/>
      <c r="D16" s="1274"/>
      <c r="E16" s="1274"/>
      <c r="F16" s="1274"/>
      <c r="G16" s="1274"/>
      <c r="H16" s="1274"/>
      <c r="I16" s="1274"/>
      <c r="J16" s="1274"/>
      <c r="K16" s="1275"/>
      <c r="L16" s="1275"/>
      <c r="M16" s="1275"/>
      <c r="N16" s="301"/>
      <c r="O16" s="59"/>
      <c r="P16" s="59"/>
      <c r="Q16" s="290"/>
      <c r="Z16" s="59"/>
      <c r="AA16" s="59"/>
      <c r="AB16" s="59"/>
      <c r="AC16" s="299"/>
      <c r="AD16" s="59"/>
      <c r="AE16" s="59"/>
      <c r="AF16" s="292"/>
      <c r="AG16" s="1273"/>
      <c r="AH16" s="1273"/>
      <c r="AI16" s="1273"/>
      <c r="AJ16" s="1273"/>
      <c r="AK16" s="1273"/>
      <c r="AL16" s="1273"/>
      <c r="AM16" s="1273"/>
      <c r="AN16" s="1273"/>
      <c r="AO16" s="1273"/>
      <c r="AP16" s="1273"/>
      <c r="AQ16" s="1276"/>
      <c r="AR16" s="59"/>
    </row>
    <row r="17" spans="2:44" ht="15.95" customHeight="1">
      <c r="B17" s="59"/>
      <c r="C17" s="290"/>
      <c r="N17" s="302"/>
      <c r="O17" s="59"/>
      <c r="P17" s="59"/>
      <c r="Q17" s="292" t="s">
        <v>459</v>
      </c>
      <c r="R17" s="59" t="s">
        <v>464</v>
      </c>
      <c r="S17" s="59"/>
      <c r="T17" s="59"/>
      <c r="U17" s="59"/>
      <c r="V17" s="59"/>
      <c r="W17" s="59"/>
      <c r="X17" s="59"/>
      <c r="Y17" s="59"/>
      <c r="Z17" s="59"/>
      <c r="AA17" s="59"/>
      <c r="AB17" s="59"/>
      <c r="AC17" s="299"/>
      <c r="AD17" s="59"/>
      <c r="AE17" s="59"/>
      <c r="AF17" s="287"/>
      <c r="AG17" s="1273"/>
      <c r="AH17" s="1273"/>
      <c r="AI17" s="1273"/>
      <c r="AJ17" s="1273"/>
      <c r="AK17" s="1273"/>
      <c r="AL17" s="1273"/>
      <c r="AM17" s="1273"/>
      <c r="AN17" s="1273"/>
      <c r="AO17" s="1273"/>
      <c r="AP17" s="1273"/>
      <c r="AQ17" s="1276"/>
      <c r="AR17" s="59"/>
    </row>
    <row r="18" spans="2:44" ht="15.95" customHeight="1">
      <c r="B18" s="59"/>
      <c r="C18" s="288" t="s">
        <v>459</v>
      </c>
      <c r="D18" s="1277" t="s">
        <v>77</v>
      </c>
      <c r="E18" s="1277"/>
      <c r="F18" s="1277"/>
      <c r="G18" s="1277"/>
      <c r="H18" s="1277"/>
      <c r="I18" s="1277"/>
      <c r="J18" s="1277"/>
      <c r="K18" s="1275" t="str">
        <f ca="1">IF(TEMPLATE!A81/TEMPLATE!D81=1,"Completed",IF(TEMPLATE!A81/TEMPLATE!D81&gt;0.7,"Almost!","Incomplete"))</f>
        <v>Incomplete</v>
      </c>
      <c r="L18" s="1275"/>
      <c r="M18" s="1275"/>
      <c r="N18" s="300"/>
      <c r="O18" s="59"/>
      <c r="P18" s="59"/>
      <c r="Q18" s="292"/>
      <c r="R18" s="1281" t="s">
        <v>475</v>
      </c>
      <c r="S18" s="1281"/>
      <c r="T18" s="1281"/>
      <c r="U18" s="1281" t="s">
        <v>1042</v>
      </c>
      <c r="V18" s="1281"/>
      <c r="W18" s="1281"/>
      <c r="X18" s="1281"/>
      <c r="Y18" s="1281"/>
      <c r="Z18" s="1281"/>
      <c r="AA18" s="1281"/>
      <c r="AB18" s="1281"/>
      <c r="AC18" s="1282"/>
      <c r="AD18" s="59"/>
      <c r="AE18" s="59"/>
      <c r="AF18" s="292" t="s">
        <v>459</v>
      </c>
      <c r="AG18" s="1273" t="s">
        <v>1531</v>
      </c>
      <c r="AH18" s="1273"/>
      <c r="AI18" s="1273"/>
      <c r="AJ18" s="1273"/>
      <c r="AK18" s="1273"/>
      <c r="AL18" s="1273"/>
      <c r="AM18" s="1273"/>
      <c r="AN18" s="1273"/>
      <c r="AO18" s="1273"/>
      <c r="AP18" s="1273"/>
      <c r="AQ18" s="1276"/>
      <c r="AR18" s="59"/>
    </row>
    <row r="19" spans="2:44" ht="15.95" customHeight="1">
      <c r="B19" s="59"/>
      <c r="C19" s="290"/>
      <c r="N19" s="302"/>
      <c r="O19" s="59"/>
      <c r="P19" s="59"/>
      <c r="Q19" s="292"/>
      <c r="R19" s="1283" t="s">
        <v>475</v>
      </c>
      <c r="S19" s="1283"/>
      <c r="T19" s="1283"/>
      <c r="U19" s="1283" t="s">
        <v>1043</v>
      </c>
      <c r="V19" s="1283"/>
      <c r="W19" s="1283"/>
      <c r="X19" s="1283"/>
      <c r="Y19" s="1283"/>
      <c r="Z19" s="1283"/>
      <c r="AA19" s="1283"/>
      <c r="AB19" s="1283"/>
      <c r="AC19" s="1284"/>
      <c r="AD19" s="59"/>
      <c r="AE19" s="59"/>
      <c r="AF19" s="287"/>
      <c r="AG19" s="1273"/>
      <c r="AH19" s="1273"/>
      <c r="AI19" s="1273"/>
      <c r="AJ19" s="1273"/>
      <c r="AK19" s="1273"/>
      <c r="AL19" s="1273"/>
      <c r="AM19" s="1273"/>
      <c r="AN19" s="1273"/>
      <c r="AO19" s="1273"/>
      <c r="AP19" s="1273"/>
      <c r="AQ19" s="1276"/>
      <c r="AR19" s="59"/>
    </row>
    <row r="20" spans="2:44" ht="15.95" customHeight="1">
      <c r="B20" s="59"/>
      <c r="C20" s="288" t="s">
        <v>460</v>
      </c>
      <c r="D20" s="1277" t="s">
        <v>134</v>
      </c>
      <c r="E20" s="1277"/>
      <c r="F20" s="1277"/>
      <c r="G20" s="1277"/>
      <c r="H20" s="1277"/>
      <c r="I20" s="1277"/>
      <c r="J20" s="1277"/>
      <c r="K20" s="1275" t="str">
        <f ca="1">IF(TEMPLATE!A134/TEMPLATE!D134=1,"Completed",IF(TEMPLATE!A134/TEMPLATE!D134&gt;0.7,"Almost!","Incomplete"))</f>
        <v>Incomplete</v>
      </c>
      <c r="L20" s="1275"/>
      <c r="M20" s="1275"/>
      <c r="N20" s="300"/>
      <c r="O20" s="59"/>
      <c r="P20" s="59"/>
      <c r="Q20" s="292"/>
      <c r="R20" s="1283" t="s">
        <v>1045</v>
      </c>
      <c r="S20" s="1283"/>
      <c r="T20" s="1283"/>
      <c r="U20" s="1283" t="s">
        <v>1044</v>
      </c>
      <c r="V20" s="1283"/>
      <c r="W20" s="1283"/>
      <c r="X20" s="1283"/>
      <c r="Y20" s="1283"/>
      <c r="Z20" s="1283"/>
      <c r="AA20" s="1283"/>
      <c r="AB20" s="1283"/>
      <c r="AC20" s="1284"/>
      <c r="AD20" s="59"/>
      <c r="AE20" s="59"/>
      <c r="AF20" s="287"/>
      <c r="AG20" s="1273"/>
      <c r="AH20" s="1273"/>
      <c r="AI20" s="1273"/>
      <c r="AJ20" s="1273"/>
      <c r="AK20" s="1273"/>
      <c r="AL20" s="1273"/>
      <c r="AM20" s="1273"/>
      <c r="AN20" s="1273"/>
      <c r="AO20" s="1273"/>
      <c r="AP20" s="1273"/>
      <c r="AQ20" s="1276"/>
      <c r="AR20" s="59"/>
    </row>
    <row r="21" spans="2:44" ht="15.95" customHeight="1">
      <c r="B21" s="59"/>
      <c r="C21" s="290"/>
      <c r="N21" s="302"/>
      <c r="O21" s="59"/>
      <c r="P21" s="59"/>
      <c r="Q21" s="290"/>
      <c r="R21" s="1283" t="str">
        <f>IF(M02S04F11="Exempt","Required","If applicable")</f>
        <v>If applicable</v>
      </c>
      <c r="S21" s="1283"/>
      <c r="T21" s="1283"/>
      <c r="U21" s="1283" t="s">
        <v>901</v>
      </c>
      <c r="V21" s="1283"/>
      <c r="W21" s="1283"/>
      <c r="X21" s="1283"/>
      <c r="Y21" s="1283"/>
      <c r="Z21" s="1283"/>
      <c r="AA21" s="1283"/>
      <c r="AB21" s="1283"/>
      <c r="AC21" s="1284"/>
      <c r="AD21" s="59"/>
      <c r="AE21" s="59"/>
      <c r="AF21" s="287"/>
      <c r="AG21" s="1273"/>
      <c r="AH21" s="1273"/>
      <c r="AI21" s="1273"/>
      <c r="AJ21" s="1273"/>
      <c r="AK21" s="1273"/>
      <c r="AL21" s="1273"/>
      <c r="AM21" s="1273"/>
      <c r="AN21" s="1273"/>
      <c r="AO21" s="1273"/>
      <c r="AP21" s="1273"/>
      <c r="AQ21" s="1276"/>
      <c r="AR21" s="59"/>
    </row>
    <row r="22" spans="2:44" ht="15.95" customHeight="1">
      <c r="B22" s="59"/>
      <c r="C22" s="288" t="s">
        <v>461</v>
      </c>
      <c r="D22" s="1277" t="s">
        <v>74</v>
      </c>
      <c r="E22" s="1277"/>
      <c r="F22" s="1277"/>
      <c r="G22" s="1277"/>
      <c r="H22" s="1277"/>
      <c r="I22" s="1277"/>
      <c r="J22" s="1277"/>
      <c r="K22" s="1275" t="str">
        <f ca="1">IF(TEMPLATE!A154/TEMPLATE!D154=1,"Completed",IF(TEMPLATE!A154/TEMPLATE!D154&gt;0.7,"Almost!","Incomplete"))</f>
        <v>Incomplete</v>
      </c>
      <c r="L22" s="1275"/>
      <c r="M22" s="1275"/>
      <c r="N22" s="300"/>
      <c r="O22" s="59"/>
      <c r="P22" s="59"/>
      <c r="Q22" s="290"/>
      <c r="R22" s="1283" t="s">
        <v>1045</v>
      </c>
      <c r="S22" s="1283"/>
      <c r="T22" s="1283"/>
      <c r="U22" s="1283" t="s">
        <v>1046</v>
      </c>
      <c r="V22" s="1283"/>
      <c r="W22" s="1283"/>
      <c r="X22" s="1283"/>
      <c r="Y22" s="1283"/>
      <c r="Z22" s="1283"/>
      <c r="AA22" s="1283"/>
      <c r="AB22" s="1283"/>
      <c r="AC22" s="1284"/>
      <c r="AD22" s="59"/>
      <c r="AE22" s="59"/>
      <c r="AF22" s="287"/>
      <c r="AG22" s="1273"/>
      <c r="AH22" s="1273"/>
      <c r="AI22" s="1273"/>
      <c r="AJ22" s="1273"/>
      <c r="AK22" s="1273"/>
      <c r="AL22" s="1273"/>
      <c r="AM22" s="1273"/>
      <c r="AN22" s="1273"/>
      <c r="AO22" s="1273"/>
      <c r="AP22" s="1273"/>
      <c r="AQ22" s="1276"/>
      <c r="AR22" s="59"/>
    </row>
    <row r="23" spans="2:44" ht="15.95" customHeight="1">
      <c r="B23" s="59"/>
      <c r="C23" s="290"/>
      <c r="N23" s="302"/>
      <c r="O23" s="59"/>
      <c r="P23" s="59"/>
      <c r="Q23" s="290"/>
      <c r="R23" s="1283" t="s">
        <v>1045</v>
      </c>
      <c r="S23" s="1283"/>
      <c r="T23" s="1283"/>
      <c r="U23" s="1283" t="s">
        <v>1047</v>
      </c>
      <c r="V23" s="1283"/>
      <c r="W23" s="1283"/>
      <c r="X23" s="1283"/>
      <c r="Y23" s="1283"/>
      <c r="Z23" s="1283"/>
      <c r="AA23" s="1283"/>
      <c r="AB23" s="1283"/>
      <c r="AC23" s="1284"/>
      <c r="AD23" s="59"/>
      <c r="AE23" s="59"/>
      <c r="AF23" s="292" t="s">
        <v>460</v>
      </c>
      <c r="AG23" s="1273" t="s">
        <v>1530</v>
      </c>
      <c r="AH23" s="1273"/>
      <c r="AI23" s="1273"/>
      <c r="AJ23" s="1273"/>
      <c r="AK23" s="1273"/>
      <c r="AL23" s="1273"/>
      <c r="AM23" s="1273"/>
      <c r="AN23" s="1273"/>
      <c r="AO23" s="1273"/>
      <c r="AP23" s="1273"/>
      <c r="AQ23" s="1276"/>
      <c r="AR23" s="59"/>
    </row>
    <row r="24" spans="2:44" ht="15.95" customHeight="1">
      <c r="B24" s="59"/>
      <c r="C24" s="288" t="s">
        <v>462</v>
      </c>
      <c r="D24" s="1274" t="s">
        <v>1515</v>
      </c>
      <c r="E24" s="1274"/>
      <c r="F24" s="1274"/>
      <c r="G24" s="1274"/>
      <c r="H24" s="1274"/>
      <c r="I24" s="1274"/>
      <c r="J24" s="1274"/>
      <c r="K24" s="1275" t="str">
        <f ca="1">IF(TEMPLATE!A173/TEMPLATE!D173=1,"Completed",IF(TEMPLATE!A173/TEMPLATE!D173&gt;0.7,"Almost!","Incomplete"))</f>
        <v>Incomplete</v>
      </c>
      <c r="L24" s="1275"/>
      <c r="M24" s="1275"/>
      <c r="N24" s="300"/>
      <c r="O24" s="59"/>
      <c r="P24" s="59"/>
      <c r="Q24" s="287"/>
      <c r="AC24" s="299"/>
      <c r="AD24" s="59"/>
      <c r="AE24" s="59"/>
      <c r="AF24" s="287"/>
      <c r="AG24" s="1273"/>
      <c r="AH24" s="1273"/>
      <c r="AI24" s="1273"/>
      <c r="AJ24" s="1273"/>
      <c r="AK24" s="1273"/>
      <c r="AL24" s="1273"/>
      <c r="AM24" s="1273"/>
      <c r="AN24" s="1273"/>
      <c r="AO24" s="1273"/>
      <c r="AP24" s="1273"/>
      <c r="AQ24" s="1276"/>
      <c r="AR24" s="59"/>
    </row>
    <row r="25" spans="2:44" ht="15.95" customHeight="1">
      <c r="B25" s="59"/>
      <c r="C25" s="288"/>
      <c r="D25" s="1274"/>
      <c r="E25" s="1274"/>
      <c r="F25" s="1274"/>
      <c r="G25" s="1274"/>
      <c r="H25" s="1274"/>
      <c r="I25" s="1274"/>
      <c r="J25" s="1274"/>
      <c r="K25" s="1275"/>
      <c r="L25" s="1275"/>
      <c r="M25" s="1275"/>
      <c r="N25" s="300"/>
      <c r="O25" s="59"/>
      <c r="P25" s="59"/>
      <c r="Q25" s="292" t="s">
        <v>460</v>
      </c>
      <c r="R25" s="1273" t="s">
        <v>1532</v>
      </c>
      <c r="S25" s="1273"/>
      <c r="T25" s="1273"/>
      <c r="U25" s="1273"/>
      <c r="V25" s="1273"/>
      <c r="W25" s="1273"/>
      <c r="X25" s="1273"/>
      <c r="Y25" s="1273"/>
      <c r="Z25" s="1273"/>
      <c r="AA25" s="1273"/>
      <c r="AB25" s="1273"/>
      <c r="AC25" s="1276"/>
      <c r="AD25" s="59"/>
      <c r="AE25" s="59"/>
      <c r="AF25" s="292"/>
      <c r="AG25" s="1273"/>
      <c r="AH25" s="1273"/>
      <c r="AI25" s="1273"/>
      <c r="AJ25" s="1273"/>
      <c r="AK25" s="1273"/>
      <c r="AL25" s="1273"/>
      <c r="AM25" s="1273"/>
      <c r="AN25" s="1273"/>
      <c r="AO25" s="1273"/>
      <c r="AP25" s="1273"/>
      <c r="AQ25" s="1276"/>
      <c r="AR25" s="59"/>
    </row>
    <row r="26" spans="2:44" ht="15.95" customHeight="1">
      <c r="B26" s="59"/>
      <c r="C26" s="291"/>
      <c r="D26" s="62"/>
      <c r="E26" s="62"/>
      <c r="F26" s="62"/>
      <c r="G26" s="62"/>
      <c r="H26" s="62"/>
      <c r="I26" s="62"/>
      <c r="J26" s="62"/>
      <c r="K26" s="86"/>
      <c r="L26" s="86"/>
      <c r="M26" s="86"/>
      <c r="N26" s="299"/>
      <c r="O26" s="59"/>
      <c r="P26" s="59"/>
      <c r="Q26" s="287"/>
      <c r="R26" s="1273"/>
      <c r="S26" s="1273"/>
      <c r="T26" s="1273"/>
      <c r="U26" s="1273"/>
      <c r="V26" s="1273"/>
      <c r="W26" s="1273"/>
      <c r="X26" s="1273"/>
      <c r="Y26" s="1273"/>
      <c r="Z26" s="1273"/>
      <c r="AA26" s="1273"/>
      <c r="AB26" s="1273"/>
      <c r="AC26" s="1276"/>
      <c r="AD26" s="59"/>
      <c r="AE26" s="59"/>
      <c r="AF26" s="287"/>
      <c r="AG26" s="1273"/>
      <c r="AH26" s="1273"/>
      <c r="AI26" s="1273"/>
      <c r="AJ26" s="1273"/>
      <c r="AK26" s="1273"/>
      <c r="AL26" s="1273"/>
      <c r="AM26" s="1273"/>
      <c r="AN26" s="1273"/>
      <c r="AO26" s="1273"/>
      <c r="AP26" s="1273"/>
      <c r="AQ26" s="1276"/>
      <c r="AR26" s="59"/>
    </row>
    <row r="27" spans="2:44" ht="15.95" customHeight="1">
      <c r="B27" s="59"/>
      <c r="C27" s="288" t="s">
        <v>876</v>
      </c>
      <c r="D27" s="1277" t="s">
        <v>877</v>
      </c>
      <c r="E27" s="1277"/>
      <c r="F27" s="1277"/>
      <c r="G27" s="1277"/>
      <c r="H27" s="1277"/>
      <c r="I27" s="1277"/>
      <c r="J27" s="1277"/>
      <c r="K27" s="1275" t="str">
        <f ca="1">IFERROR(IF(TEMPLATE!A181/TEMPLATE!D181=1,"Completed",IF(TEMPLATE!A181/TEMPLATE!D181&gt;0.7,"Almost!","Incomplete")),"Completed")</f>
        <v>Completed</v>
      </c>
      <c r="L27" s="1275"/>
      <c r="M27" s="1275"/>
      <c r="N27" s="299"/>
      <c r="O27" s="59"/>
      <c r="P27" s="59"/>
      <c r="Q27" s="292"/>
      <c r="S27" s="59"/>
      <c r="T27" s="59"/>
      <c r="U27" s="59"/>
      <c r="V27" s="59"/>
      <c r="W27" s="59"/>
      <c r="X27" s="59"/>
      <c r="Y27" s="59"/>
      <c r="Z27" s="59"/>
      <c r="AA27" s="59"/>
      <c r="AB27" s="59"/>
      <c r="AC27" s="299"/>
      <c r="AD27" s="59"/>
      <c r="AE27" s="59"/>
      <c r="AF27" s="287"/>
      <c r="AG27" s="1273"/>
      <c r="AH27" s="1273"/>
      <c r="AI27" s="1273"/>
      <c r="AJ27" s="1273"/>
      <c r="AK27" s="1273"/>
      <c r="AL27" s="1273"/>
      <c r="AM27" s="1273"/>
      <c r="AN27" s="1273"/>
      <c r="AO27" s="1273"/>
      <c r="AP27" s="1273"/>
      <c r="AQ27" s="1276"/>
      <c r="AR27" s="59"/>
    </row>
    <row r="28" spans="2:44" ht="15.95" customHeight="1">
      <c r="B28" s="59"/>
      <c r="C28" s="291"/>
      <c r="D28" s="59"/>
      <c r="E28" s="62"/>
      <c r="F28" s="62"/>
      <c r="G28" s="62"/>
      <c r="H28" s="62"/>
      <c r="I28" s="62"/>
      <c r="J28" s="62"/>
      <c r="K28" s="86"/>
      <c r="L28" s="86"/>
      <c r="M28" s="86"/>
      <c r="N28" s="299"/>
      <c r="O28" s="59"/>
      <c r="P28" s="59"/>
      <c r="Q28" s="292" t="s">
        <v>461</v>
      </c>
      <c r="R28" s="1273" t="s">
        <v>1037</v>
      </c>
      <c r="S28" s="1273"/>
      <c r="T28" s="1273"/>
      <c r="U28" s="1273"/>
      <c r="V28" s="1273"/>
      <c r="W28" s="1273"/>
      <c r="X28" s="1273"/>
      <c r="Y28" s="1273"/>
      <c r="Z28" s="1273"/>
      <c r="AA28" s="1273"/>
      <c r="AB28" s="1273"/>
      <c r="AC28" s="299"/>
      <c r="AD28" s="59"/>
      <c r="AE28" s="59"/>
      <c r="AF28" s="292" t="s">
        <v>461</v>
      </c>
      <c r="AG28" s="1273" t="s">
        <v>457</v>
      </c>
      <c r="AH28" s="1273"/>
      <c r="AI28" s="1273"/>
      <c r="AJ28" s="1273"/>
      <c r="AK28" s="1273"/>
      <c r="AL28" s="1273"/>
      <c r="AM28" s="1273"/>
      <c r="AN28" s="1273"/>
      <c r="AO28" s="1273"/>
      <c r="AP28" s="1273"/>
      <c r="AQ28" s="1276"/>
      <c r="AR28" s="59"/>
    </row>
    <row r="29" spans="2:44" ht="15.95" customHeight="1">
      <c r="B29" s="59"/>
      <c r="C29" s="287"/>
      <c r="D29" s="59"/>
      <c r="E29" s="59"/>
      <c r="F29" s="59"/>
      <c r="G29" s="59"/>
      <c r="H29" s="59"/>
      <c r="I29" s="59"/>
      <c r="J29" s="59"/>
      <c r="K29" s="59"/>
      <c r="L29" s="59"/>
      <c r="M29" s="59"/>
      <c r="N29" s="299"/>
      <c r="O29" s="59"/>
      <c r="P29" s="59"/>
      <c r="Q29" s="287"/>
      <c r="R29" s="1273"/>
      <c r="S29" s="1273"/>
      <c r="T29" s="1273"/>
      <c r="U29" s="1273"/>
      <c r="V29" s="1273"/>
      <c r="W29" s="1273"/>
      <c r="X29" s="1273"/>
      <c r="Y29" s="1273"/>
      <c r="Z29" s="1273"/>
      <c r="AA29" s="1273"/>
      <c r="AB29" s="1273"/>
      <c r="AC29" s="299"/>
      <c r="AD29" s="59"/>
      <c r="AE29" s="59"/>
      <c r="AF29" s="287"/>
      <c r="AG29" s="1273"/>
      <c r="AH29" s="1273"/>
      <c r="AI29" s="1273"/>
      <c r="AJ29" s="1273"/>
      <c r="AK29" s="1273"/>
      <c r="AL29" s="1273"/>
      <c r="AM29" s="1273"/>
      <c r="AN29" s="1273"/>
      <c r="AO29" s="1273"/>
      <c r="AP29" s="1273"/>
      <c r="AQ29" s="1276"/>
      <c r="AR29" s="59"/>
    </row>
    <row r="30" spans="2:44" ht="15.95" customHeight="1" thickBot="1">
      <c r="B30" s="59"/>
      <c r="C30" s="287"/>
      <c r="D30" s="59"/>
      <c r="E30" s="59"/>
      <c r="F30" s="59"/>
      <c r="G30" s="59"/>
      <c r="H30" s="59"/>
      <c r="I30" s="59"/>
      <c r="J30" s="59"/>
      <c r="K30" s="59"/>
      <c r="L30" s="59"/>
      <c r="M30" s="59"/>
      <c r="N30" s="299"/>
      <c r="O30" s="59"/>
      <c r="P30" s="59"/>
      <c r="Q30" s="287"/>
      <c r="R30" s="59" t="s">
        <v>878</v>
      </c>
      <c r="S30" s="59"/>
      <c r="T30" s="59"/>
      <c r="U30" s="59"/>
      <c r="V30" s="59"/>
      <c r="W30" s="59"/>
      <c r="X30" s="59" t="s">
        <v>875</v>
      </c>
      <c r="Y30" s="59"/>
      <c r="Z30" s="59"/>
      <c r="AA30" s="59"/>
      <c r="AB30" s="59"/>
      <c r="AC30" s="299"/>
      <c r="AD30" s="59"/>
      <c r="AE30" s="59"/>
      <c r="AF30" s="287"/>
      <c r="AG30" s="1273"/>
      <c r="AH30" s="1273"/>
      <c r="AI30" s="1273"/>
      <c r="AJ30" s="1273"/>
      <c r="AK30" s="1273"/>
      <c r="AL30" s="1273"/>
      <c r="AM30" s="1273"/>
      <c r="AN30" s="1273"/>
      <c r="AO30" s="1273"/>
      <c r="AP30" s="1273"/>
      <c r="AQ30" s="1276"/>
      <c r="AR30" s="59"/>
    </row>
    <row r="31" spans="2:44" ht="15.95" customHeight="1" thickBot="1">
      <c r="B31" s="59"/>
      <c r="C31" s="287"/>
      <c r="D31" s="59"/>
      <c r="E31" s="59"/>
      <c r="F31" s="59"/>
      <c r="G31" s="59"/>
      <c r="H31" s="59"/>
      <c r="I31" s="59"/>
      <c r="J31" s="59"/>
      <c r="K31" s="59"/>
      <c r="L31" s="59"/>
      <c r="M31" s="59"/>
      <c r="N31" s="299"/>
      <c r="O31" s="59"/>
      <c r="P31" s="59"/>
      <c r="Q31" s="287"/>
      <c r="R31" s="729"/>
      <c r="S31" s="730"/>
      <c r="T31" s="730"/>
      <c r="U31" s="730"/>
      <c r="V31" s="731"/>
      <c r="W31" s="59"/>
      <c r="X31" s="729"/>
      <c r="Y31" s="730"/>
      <c r="Z31" s="730"/>
      <c r="AA31" s="730"/>
      <c r="AB31" s="731"/>
      <c r="AC31" s="299"/>
      <c r="AD31" s="59"/>
      <c r="AE31" s="59"/>
      <c r="AF31" s="287"/>
      <c r="AG31" s="1273"/>
      <c r="AH31" s="1273"/>
      <c r="AI31" s="1273"/>
      <c r="AJ31" s="1273"/>
      <c r="AK31" s="1273"/>
      <c r="AL31" s="1273"/>
      <c r="AM31" s="1273"/>
      <c r="AN31" s="1273"/>
      <c r="AO31" s="1273"/>
      <c r="AP31" s="1273"/>
      <c r="AQ31" s="1276"/>
      <c r="AR31" s="59"/>
    </row>
    <row r="32" spans="2:44" ht="15.95" customHeight="1">
      <c r="C32" s="293"/>
      <c r="D32" s="294" t="s">
        <v>871</v>
      </c>
      <c r="E32" s="294"/>
      <c r="F32" s="294"/>
      <c r="G32" s="294"/>
      <c r="H32" s="294"/>
      <c r="I32" s="294"/>
      <c r="J32" s="294"/>
      <c r="K32" s="295"/>
      <c r="L32" s="295"/>
      <c r="M32" s="295"/>
      <c r="N32" s="303"/>
      <c r="O32" s="59"/>
      <c r="P32" s="59"/>
      <c r="Q32" s="296"/>
      <c r="R32" s="297"/>
      <c r="S32" s="297"/>
      <c r="T32" s="297"/>
      <c r="U32" s="297"/>
      <c r="V32" s="297"/>
      <c r="W32" s="297"/>
      <c r="X32" s="297"/>
      <c r="Y32" s="297"/>
      <c r="Z32" s="297"/>
      <c r="AA32" s="297"/>
      <c r="AB32" s="297"/>
      <c r="AC32" s="303"/>
      <c r="AD32" s="59"/>
      <c r="AE32" s="59"/>
      <c r="AF32" s="298"/>
      <c r="AG32" s="1278"/>
      <c r="AH32" s="1278"/>
      <c r="AI32" s="1278"/>
      <c r="AJ32" s="1278"/>
      <c r="AK32" s="1278"/>
      <c r="AL32" s="1278"/>
      <c r="AM32" s="1278"/>
      <c r="AN32" s="1278"/>
      <c r="AO32" s="1278"/>
      <c r="AP32" s="1278"/>
      <c r="AQ32" s="1279"/>
    </row>
    <row r="33" spans="3:43" ht="15.95" customHeight="1">
      <c r="O33" s="59"/>
      <c r="P33" s="59"/>
      <c r="Q33" s="59"/>
      <c r="R33" s="59"/>
      <c r="S33" s="59"/>
      <c r="T33" s="59"/>
      <c r="U33" s="59"/>
      <c r="V33" s="59"/>
      <c r="W33" s="59"/>
      <c r="X33" s="59"/>
      <c r="Y33" s="59"/>
      <c r="Z33" s="59"/>
      <c r="AA33" s="59"/>
      <c r="AB33" s="59"/>
      <c r="AC33" s="59"/>
      <c r="AD33" s="59"/>
      <c r="AE33" s="59"/>
      <c r="AF33" s="375"/>
      <c r="AG33" s="375"/>
      <c r="AH33" s="375"/>
      <c r="AI33" s="375"/>
      <c r="AJ33" s="375"/>
      <c r="AK33" s="375"/>
      <c r="AL33" s="375"/>
      <c r="AM33" s="375"/>
      <c r="AN33" s="375"/>
      <c r="AO33" s="375"/>
      <c r="AP33" s="375"/>
      <c r="AQ33" s="375"/>
    </row>
    <row r="34" spans="3:43" ht="15.95" hidden="1" customHeight="1">
      <c r="O34" s="59"/>
      <c r="P34" s="59"/>
      <c r="Q34" s="59"/>
      <c r="R34" s="59"/>
      <c r="S34" s="59"/>
      <c r="T34" s="59"/>
      <c r="U34" s="59"/>
      <c r="V34" s="59"/>
      <c r="W34" s="59"/>
      <c r="X34" s="59"/>
      <c r="Y34" s="59"/>
      <c r="Z34" s="59"/>
      <c r="AA34" s="59"/>
      <c r="AB34" s="59"/>
      <c r="AC34" s="59"/>
      <c r="AD34" s="59"/>
      <c r="AE34" s="59"/>
      <c r="AF34" s="375"/>
      <c r="AG34" s="375"/>
      <c r="AH34" s="375"/>
      <c r="AI34" s="1280"/>
      <c r="AJ34" s="1280"/>
      <c r="AK34" s="1280"/>
      <c r="AL34" s="1280"/>
      <c r="AM34" s="1280"/>
      <c r="AN34" s="1280"/>
      <c r="AO34" s="1280"/>
      <c r="AP34" s="375"/>
      <c r="AQ34" s="375"/>
    </row>
    <row r="35" spans="3:43" ht="15.95" hidden="1" customHeight="1">
      <c r="C35" s="86"/>
      <c r="D35" s="86"/>
      <c r="E35" s="86"/>
      <c r="F35" s="86"/>
      <c r="G35" s="86"/>
      <c r="H35" s="86"/>
      <c r="I35" s="86"/>
      <c r="J35" s="86"/>
      <c r="K35" s="86"/>
      <c r="L35" s="86"/>
      <c r="M35" s="86"/>
      <c r="N35" s="59"/>
      <c r="O35" s="59"/>
      <c r="P35" s="59"/>
      <c r="Q35" s="59"/>
      <c r="R35" s="59"/>
      <c r="S35" s="59"/>
      <c r="T35" s="59"/>
      <c r="U35" s="59"/>
      <c r="V35" s="59"/>
      <c r="W35" s="59"/>
      <c r="X35" s="59"/>
      <c r="Y35" s="59"/>
      <c r="Z35" s="59"/>
      <c r="AA35" s="59"/>
      <c r="AB35" s="59"/>
      <c r="AC35" s="59"/>
      <c r="AD35" s="59"/>
      <c r="AE35" s="59"/>
      <c r="AF35" s="375"/>
      <c r="AG35" s="375"/>
      <c r="AH35" s="375"/>
      <c r="AI35" s="1280"/>
      <c r="AJ35" s="1280"/>
      <c r="AK35" s="1280"/>
      <c r="AL35" s="1280"/>
      <c r="AM35" s="1280"/>
      <c r="AN35" s="1280"/>
      <c r="AO35" s="1280"/>
      <c r="AP35" s="375"/>
      <c r="AQ35" s="375"/>
    </row>
    <row r="36" spans="3:43" ht="15.95" hidden="1" customHeight="1">
      <c r="C36" s="59"/>
      <c r="D36" s="59"/>
      <c r="E36" s="59"/>
      <c r="F36" s="59"/>
      <c r="G36" s="59"/>
      <c r="H36" s="59"/>
      <c r="I36" s="59"/>
      <c r="J36" s="59"/>
      <c r="K36" s="86"/>
      <c r="L36" s="86"/>
      <c r="M36" s="86"/>
      <c r="N36" s="59"/>
      <c r="O36" s="59"/>
      <c r="P36" s="59"/>
      <c r="Q36" s="59"/>
      <c r="R36" s="59"/>
      <c r="S36" s="59"/>
      <c r="T36" s="59"/>
      <c r="U36" s="59"/>
      <c r="V36" s="59"/>
      <c r="W36" s="59"/>
      <c r="X36" s="59"/>
      <c r="Y36" s="59"/>
      <c r="Z36" s="59"/>
      <c r="AA36" s="59"/>
      <c r="AB36" s="59"/>
      <c r="AC36" s="59"/>
      <c r="AD36" s="59"/>
      <c r="AE36" s="59"/>
      <c r="AF36" s="375"/>
      <c r="AG36" s="375"/>
      <c r="AH36" s="375"/>
      <c r="AI36" s="1280"/>
      <c r="AJ36" s="1280"/>
      <c r="AK36" s="1280"/>
      <c r="AL36" s="1280"/>
      <c r="AM36" s="1280"/>
      <c r="AN36" s="1280"/>
      <c r="AO36" s="1280"/>
      <c r="AP36" s="375"/>
      <c r="AQ36" s="375"/>
    </row>
    <row r="37" spans="3:43" ht="15.95" hidden="1" customHeight="1">
      <c r="C37" s="59"/>
      <c r="D37" s="59"/>
      <c r="E37" s="59"/>
      <c r="F37" s="59"/>
      <c r="G37" s="59"/>
      <c r="H37" s="59"/>
      <c r="I37" s="59"/>
      <c r="J37" s="59"/>
      <c r="K37" s="59"/>
      <c r="L37" s="59"/>
      <c r="M37" s="59"/>
      <c r="N37" s="59"/>
      <c r="O37" s="59"/>
      <c r="P37" s="59"/>
      <c r="Q37" s="59"/>
      <c r="R37" s="59"/>
      <c r="S37" s="59"/>
      <c r="T37" s="59"/>
      <c r="U37" s="59"/>
      <c r="V37" s="59"/>
      <c r="W37" s="59"/>
      <c r="X37" s="59"/>
      <c r="Y37" s="59"/>
      <c r="Z37" s="59"/>
      <c r="AA37" s="59"/>
      <c r="AB37" s="59"/>
      <c r="AC37" s="59"/>
      <c r="AD37" s="59"/>
      <c r="AE37" s="59"/>
      <c r="AF37" s="375"/>
      <c r="AG37" s="375"/>
      <c r="AH37" s="375"/>
      <c r="AI37" s="375"/>
      <c r="AJ37" s="375"/>
      <c r="AK37" s="375"/>
      <c r="AL37" s="375"/>
      <c r="AM37" s="375"/>
      <c r="AN37" s="375"/>
      <c r="AO37" s="375"/>
      <c r="AP37" s="375"/>
      <c r="AQ37" s="375"/>
    </row>
    <row r="38" spans="3:43" ht="15.95" hidden="1" customHeight="1"/>
    <row r="39" spans="3:43" ht="15.95" hidden="1" customHeight="1"/>
    <row r="40" spans="3:43" ht="15.95" hidden="1" customHeight="1"/>
    <row r="41" spans="3:43" ht="15.95" hidden="1" customHeight="1"/>
    <row r="42" spans="3:43" ht="15.95" hidden="1" customHeight="1"/>
    <row r="43" spans="3:43" ht="15.95" hidden="1" customHeight="1"/>
    <row r="44" spans="3:43" ht="15.95" hidden="1" customHeight="1"/>
    <row r="45" spans="3:43" ht="15.95" hidden="1" customHeight="1"/>
    <row r="46" spans="3:43" ht="15.95" hidden="1" customHeight="1"/>
    <row r="47" spans="3:43" ht="15.95" hidden="1" customHeight="1"/>
    <row r="48" spans="3:43" ht="15.95" hidden="1" customHeight="1"/>
    <row r="49" ht="15.95" hidden="1" customHeight="1"/>
    <row r="50" ht="15.95" hidden="1" customHeight="1"/>
    <row r="51" ht="15.95" hidden="1" customHeight="1"/>
    <row r="52" ht="15.95" hidden="1" customHeight="1"/>
    <row r="53" ht="15.95" hidden="1" customHeight="1"/>
    <row r="54" ht="15.95" hidden="1" customHeight="1"/>
    <row r="55" ht="15.95" hidden="1" customHeight="1"/>
    <row r="56" ht="15.95" hidden="1" customHeight="1"/>
    <row r="57" ht="15.95" hidden="1" customHeight="1"/>
    <row r="58" ht="15.95" hidden="1" customHeight="1"/>
    <row r="59" ht="15.95" hidden="1" customHeight="1"/>
    <row r="60" ht="15.95" hidden="1" customHeight="1"/>
    <row r="61" ht="15.95" hidden="1" customHeight="1"/>
    <row r="62" ht="15.95" hidden="1" customHeight="1"/>
    <row r="63" ht="15.95" hidden="1" customHeight="1"/>
    <row r="64" ht="15.95" hidden="1" customHeight="1"/>
    <row r="65" ht="15.95" hidden="1" customHeight="1"/>
    <row r="66" ht="15.95" hidden="1" customHeight="1"/>
    <row r="67" ht="15.95" hidden="1" customHeight="1"/>
    <row r="68" ht="15.95" hidden="1" customHeight="1"/>
    <row r="69" ht="15.95" hidden="1" customHeight="1"/>
    <row r="70" ht="15.95" hidden="1" customHeight="1"/>
    <row r="71" ht="15.95" hidden="1" customHeight="1"/>
    <row r="72" ht="15.95" hidden="1" customHeight="1"/>
    <row r="73" ht="15.95" hidden="1" customHeight="1"/>
    <row r="74" ht="15.95" hidden="1" customHeight="1"/>
    <row r="75" ht="15.95" hidden="1" customHeight="1"/>
    <row r="76" ht="15.95" hidden="1" customHeight="1"/>
    <row r="77" ht="15.95" hidden="1" customHeight="1"/>
    <row r="78" ht="15.95" hidden="1" customHeight="1"/>
    <row r="79" ht="15.95" hidden="1" customHeight="1"/>
    <row r="80" ht="15.95" hidden="1" customHeight="1"/>
    <row r="81" ht="15.95" hidden="1" customHeight="1"/>
    <row r="82" ht="15.95" hidden="1" customHeight="1"/>
    <row r="83" ht="15.95" hidden="1" customHeight="1"/>
    <row r="84" ht="15.95" hidden="1" customHeight="1"/>
    <row r="85" ht="15.95" hidden="1" customHeight="1"/>
    <row r="86" ht="15.95" hidden="1" customHeight="1"/>
    <row r="87" ht="15.95" hidden="1" customHeight="1"/>
    <row r="88" ht="15.95" hidden="1" customHeight="1"/>
    <row r="89" ht="15.95" hidden="1" customHeight="1"/>
    <row r="90" ht="15.95" hidden="1" customHeight="1"/>
    <row r="91" ht="15.95" hidden="1" customHeight="1"/>
    <row r="92" ht="15.95" hidden="1" customHeight="1"/>
    <row r="93" ht="15.95" hidden="1" customHeight="1"/>
    <row r="94" ht="15.95" hidden="1" customHeight="1"/>
    <row r="95" ht="15.95" hidden="1" customHeight="1"/>
    <row r="96" ht="15.95" hidden="1" customHeight="1"/>
    <row r="97" ht="15.95" hidden="1" customHeight="1"/>
    <row r="98" ht="15.95" hidden="1" customHeight="1"/>
    <row r="99" ht="15.95" hidden="1" customHeight="1"/>
    <row r="100" ht="15.95" hidden="1" customHeight="1"/>
    <row r="101" ht="15.95" hidden="1" customHeight="1"/>
    <row r="102" ht="15.95" hidden="1" customHeight="1"/>
    <row r="103" ht="15.95" hidden="1" customHeight="1"/>
    <row r="104" ht="15.95" hidden="1" customHeight="1"/>
    <row r="105" ht="15.95" hidden="1" customHeight="1"/>
    <row r="106" ht="15.95" hidden="1" customHeight="1"/>
    <row r="107" ht="15.95" hidden="1" customHeight="1"/>
    <row r="108" ht="15.95" hidden="1" customHeight="1"/>
    <row r="109" ht="15.95" hidden="1" customHeight="1"/>
    <row r="110" ht="15.95" hidden="1" customHeight="1"/>
    <row r="111" ht="15.95" hidden="1" customHeight="1"/>
    <row r="112" ht="15.95" hidden="1" customHeight="1"/>
    <row r="113" ht="15.95" hidden="1" customHeight="1"/>
    <row r="114" ht="15.95" hidden="1" customHeight="1"/>
    <row r="115" ht="15.95" hidden="1" customHeight="1"/>
    <row r="116" ht="15.95" hidden="1" customHeight="1"/>
    <row r="117" ht="15.95" hidden="1" customHeight="1"/>
    <row r="118" ht="15.95" hidden="1" customHeight="1"/>
    <row r="119" ht="15.95" hidden="1" customHeight="1"/>
    <row r="120" ht="15.95" hidden="1" customHeight="1"/>
    <row r="121" ht="15.95" hidden="1" customHeight="1"/>
    <row r="122" ht="15.95" hidden="1" customHeight="1"/>
    <row r="123" ht="15.95" hidden="1" customHeight="1"/>
    <row r="124" ht="15.95" hidden="1" customHeight="1"/>
    <row r="125" ht="15.95" hidden="1" customHeight="1"/>
    <row r="126" ht="15.95" hidden="1" customHeight="1"/>
    <row r="127" ht="15.95" hidden="1" customHeight="1"/>
    <row r="128" ht="15.95" hidden="1" customHeight="1"/>
    <row r="129" ht="15.95" hidden="1" customHeight="1"/>
    <row r="130" ht="15.95" hidden="1" customHeight="1"/>
    <row r="131" ht="15.95" hidden="1" customHeight="1"/>
    <row r="132" ht="15.95" hidden="1" customHeight="1"/>
    <row r="133" ht="15.95" hidden="1" customHeight="1"/>
    <row r="134" ht="15.95" hidden="1" customHeight="1"/>
    <row r="135" ht="15.95" hidden="1" customHeight="1"/>
    <row r="136" ht="15.95" hidden="1" customHeight="1"/>
    <row r="137" ht="15.95" hidden="1" customHeight="1"/>
    <row r="138" ht="15.95" hidden="1" customHeight="1"/>
    <row r="139" ht="15.95" hidden="1" customHeight="1"/>
    <row r="140" ht="15.95" hidden="1" customHeight="1"/>
    <row r="141" ht="15.95" hidden="1" customHeight="1"/>
    <row r="142" ht="15.95" hidden="1" customHeight="1"/>
    <row r="143" ht="15.95" hidden="1" customHeight="1"/>
    <row r="144" ht="15.95" hidden="1" customHeight="1"/>
    <row r="145" ht="15.95" hidden="1" customHeight="1"/>
    <row r="146" ht="15.95" hidden="1" customHeight="1"/>
    <row r="147" ht="15.95" hidden="1" customHeight="1"/>
    <row r="148" ht="15.95" hidden="1" customHeight="1"/>
    <row r="149" ht="15.95" hidden="1" customHeight="1"/>
    <row r="150" ht="15.95" hidden="1" customHeight="1"/>
    <row r="151" ht="15.95" hidden="1" customHeight="1"/>
    <row r="152" ht="15.95" hidden="1" customHeight="1"/>
    <row r="153" ht="15.95" hidden="1" customHeight="1"/>
    <row r="154" ht="15.95" hidden="1" customHeight="1"/>
    <row r="155" ht="15.95" hidden="1" customHeight="1"/>
    <row r="156" ht="15.95" hidden="1" customHeight="1"/>
    <row r="157" ht="15.95" hidden="1" customHeight="1"/>
    <row r="158" ht="15.95" hidden="1" customHeight="1"/>
    <row r="159" ht="15.95" hidden="1" customHeight="1"/>
    <row r="160" ht="15.95" hidden="1" customHeight="1"/>
    <row r="161" ht="15.95" hidden="1" customHeight="1"/>
    <row r="162" ht="15.95" hidden="1" customHeight="1"/>
    <row r="163" ht="15.95" hidden="1" customHeight="1"/>
    <row r="164" ht="15.95" hidden="1" customHeight="1"/>
    <row r="165" ht="15.95" hidden="1" customHeight="1"/>
    <row r="166" ht="15.95" hidden="1" customHeight="1"/>
    <row r="167" ht="15.95" hidden="1" customHeight="1"/>
    <row r="168" ht="15.95" hidden="1" customHeight="1"/>
    <row r="169" ht="15.95" hidden="1" customHeight="1"/>
    <row r="170" ht="15.95" hidden="1" customHeight="1"/>
    <row r="171" ht="15.95" hidden="1" customHeight="1"/>
    <row r="172" ht="15.95" hidden="1" customHeight="1"/>
    <row r="173" ht="15.95" hidden="1" customHeight="1"/>
    <row r="174" ht="15.95" hidden="1" customHeight="1"/>
    <row r="175" ht="15.95" hidden="1" customHeight="1"/>
    <row r="176" ht="15.95" hidden="1" customHeight="1"/>
    <row r="177" ht="15.95" hidden="1" customHeight="1"/>
    <row r="178" ht="15.95" hidden="1" customHeight="1"/>
    <row r="179" ht="15.95" hidden="1" customHeight="1"/>
    <row r="180" ht="15.95" hidden="1" customHeight="1"/>
    <row r="181" ht="15.95" hidden="1" customHeight="1"/>
    <row r="182" ht="15.95" hidden="1" customHeight="1"/>
    <row r="183" ht="15.95" hidden="1" customHeight="1"/>
    <row r="184" ht="15.95" hidden="1" customHeight="1"/>
    <row r="185" ht="15.95" hidden="1" customHeight="1"/>
    <row r="186" ht="15.95" hidden="1" customHeight="1"/>
    <row r="187" ht="15.95" hidden="1" customHeight="1"/>
    <row r="188" ht="15.95" hidden="1" customHeight="1"/>
    <row r="189" ht="15.95" hidden="1" customHeight="1"/>
    <row r="190" ht="15.95" hidden="1" customHeight="1"/>
    <row r="191" ht="15.95" hidden="1" customHeight="1"/>
    <row r="192" ht="15.95" hidden="1" customHeight="1"/>
    <row r="193" spans="2:44" ht="15.95" hidden="1" customHeight="1"/>
    <row r="194" spans="2:44" ht="15.95" hidden="1" customHeight="1"/>
    <row r="195" spans="2:44" ht="15.95" hidden="1" customHeight="1"/>
    <row r="196" spans="2:44" ht="15.95" hidden="1" customHeight="1"/>
    <row r="197" spans="2:44" ht="15.95" hidden="1" customHeight="1"/>
    <row r="198" spans="2:44" ht="15.95" hidden="1" customHeight="1"/>
    <row r="199" spans="2:44" ht="15.95" hidden="1" customHeight="1"/>
    <row r="200" spans="2:44" ht="15.95" customHeight="1">
      <c r="B200" s="272" t="str">
        <f>FOOT1</f>
        <v>NIPSCO Energy Efficiency Program</v>
      </c>
      <c r="C200" s="272"/>
      <c r="D200" s="272"/>
      <c r="E200" s="272"/>
      <c r="F200" s="272"/>
      <c r="G200" s="272"/>
      <c r="H200" s="272"/>
      <c r="I200" s="272"/>
      <c r="J200" s="272"/>
      <c r="K200" s="272"/>
      <c r="L200" s="272"/>
      <c r="M200" s="661" t="str">
        <f>FOOT4</f>
        <v>NIPSCO’s energy efficiency programs are administered by TRC, a third‐party implementation specialist that helps homes and businesses save energy.</v>
      </c>
      <c r="N200" s="661"/>
      <c r="O200" s="661"/>
      <c r="P200" s="661"/>
      <c r="Q200" s="661"/>
      <c r="R200" s="661"/>
      <c r="S200" s="661"/>
      <c r="T200" s="661"/>
      <c r="U200" s="661"/>
      <c r="V200" s="661"/>
      <c r="W200" s="661"/>
      <c r="X200" s="661"/>
      <c r="Y200" s="661"/>
      <c r="Z200" s="661"/>
      <c r="AA200" s="661"/>
      <c r="AB200" s="661"/>
      <c r="AC200" s="661"/>
      <c r="AD200" s="661"/>
      <c r="AE200" s="661"/>
      <c r="AF200" s="661"/>
      <c r="AG200" s="661"/>
      <c r="AH200" s="272"/>
      <c r="AI200" s="272"/>
      <c r="AJ200" s="272"/>
      <c r="AK200" s="272"/>
      <c r="AL200" s="272"/>
      <c r="AM200" s="272"/>
      <c r="AN200" s="272"/>
      <c r="AO200" s="272"/>
      <c r="AP200" s="272"/>
      <c r="AQ200" s="272"/>
      <c r="AR200" s="273" t="str">
        <f>FOOTDISCLAIM</f>
        <v/>
      </c>
    </row>
    <row r="201" spans="2:44" ht="15.95" customHeight="1">
      <c r="B201" s="272" t="str">
        <f>FOOT2</f>
        <v>Toll-Free 800-299-2501</v>
      </c>
      <c r="C201" s="272"/>
      <c r="D201" s="272"/>
      <c r="E201" s="272"/>
      <c r="F201" s="272"/>
      <c r="G201" s="272"/>
      <c r="H201" s="272"/>
      <c r="I201" s="272"/>
      <c r="J201" s="272"/>
      <c r="K201" s="272"/>
      <c r="L201" s="272"/>
      <c r="M201" s="661"/>
      <c r="N201" s="661"/>
      <c r="O201" s="661"/>
      <c r="P201" s="661"/>
      <c r="Q201" s="661"/>
      <c r="R201" s="661"/>
      <c r="S201" s="661"/>
      <c r="T201" s="661"/>
      <c r="U201" s="661"/>
      <c r="V201" s="661"/>
      <c r="W201" s="661"/>
      <c r="X201" s="661"/>
      <c r="Y201" s="661"/>
      <c r="Z201" s="661"/>
      <c r="AA201" s="661"/>
      <c r="AB201" s="661"/>
      <c r="AC201" s="661"/>
      <c r="AD201" s="661"/>
      <c r="AE201" s="661"/>
      <c r="AF201" s="661"/>
      <c r="AG201" s="661"/>
      <c r="AH201" s="272"/>
      <c r="AI201" s="272"/>
      <c r="AJ201" s="272"/>
      <c r="AK201" s="272"/>
      <c r="AL201" s="272"/>
      <c r="AM201" s="272"/>
      <c r="AN201" s="272"/>
      <c r="AO201" s="272"/>
      <c r="AP201" s="272"/>
      <c r="AQ201" s="272"/>
      <c r="AR201" s="273" t="str">
        <f>FOOT5</f>
        <v/>
      </c>
    </row>
    <row r="202" spans="2:44" ht="15.95" customHeight="1">
      <c r="B202" s="281" t="s">
        <v>1547</v>
      </c>
      <c r="C202" s="272"/>
      <c r="D202" s="272"/>
      <c r="E202" s="272"/>
      <c r="F202" s="272"/>
      <c r="G202" s="272"/>
      <c r="H202" s="272"/>
      <c r="I202" s="272"/>
      <c r="J202" s="272"/>
      <c r="K202" s="272"/>
      <c r="L202" s="272"/>
      <c r="M202" s="274"/>
      <c r="N202" s="272"/>
      <c r="O202" s="272"/>
      <c r="P202" s="274"/>
      <c r="Q202" s="274"/>
      <c r="R202" s="274"/>
      <c r="S202" s="274"/>
      <c r="T202" s="274"/>
      <c r="U202" s="274"/>
      <c r="V202" s="274"/>
      <c r="W202" s="275" t="str">
        <f>VERSION</f>
        <v>Custom Prescriptive Application v3.7.1</v>
      </c>
      <c r="X202" s="274"/>
      <c r="Y202" s="274"/>
      <c r="Z202" s="274"/>
      <c r="AA202" s="274"/>
      <c r="AB202" s="274"/>
      <c r="AC202" s="274"/>
      <c r="AD202" s="274"/>
      <c r="AE202" s="272"/>
      <c r="AF202" s="272"/>
      <c r="AG202" s="272"/>
      <c r="AH202" s="272"/>
      <c r="AI202" s="272"/>
      <c r="AJ202" s="272"/>
      <c r="AK202" s="272"/>
      <c r="AL202" s="272"/>
      <c r="AM202" s="272"/>
      <c r="AN202" s="272"/>
      <c r="AO202" s="272"/>
      <c r="AP202" s="272"/>
      <c r="AQ202" s="272"/>
      <c r="AR202" s="273" t="str">
        <f>FOOT6</f>
        <v>Product of TRC</v>
      </c>
    </row>
  </sheetData>
  <sheetProtection algorithmName="SHA-512" hashValue="DkHAe56jExtaDXUTzB6tMptX9SjYfvzMHFkb686rGWCZER9jes5HKJst5Bgaoj1ky/OjTeC4dk6KsvNMmDlyKw==" saltValue="B4iuquCPqcSw51ybBS4Tnw==" spinCount="100000" sheet="1" objects="1" scenarios="1" selectLockedCells="1"/>
  <mergeCells count="42">
    <mergeCell ref="R22:T22"/>
    <mergeCell ref="U22:AC22"/>
    <mergeCell ref="R23:T23"/>
    <mergeCell ref="U23:AC23"/>
    <mergeCell ref="R19:T19"/>
    <mergeCell ref="U19:AC19"/>
    <mergeCell ref="R20:T20"/>
    <mergeCell ref="U20:AC20"/>
    <mergeCell ref="R21:T21"/>
    <mergeCell ref="U21:AC21"/>
    <mergeCell ref="R25:AC26"/>
    <mergeCell ref="D27:J27"/>
    <mergeCell ref="K27:M27"/>
    <mergeCell ref="AQ1:AR1"/>
    <mergeCell ref="AQ2:AR3"/>
    <mergeCell ref="D22:J22"/>
    <mergeCell ref="K22:M22"/>
    <mergeCell ref="AH1:AK1"/>
    <mergeCell ref="AL1:AP1"/>
    <mergeCell ref="AH2:AK3"/>
    <mergeCell ref="AL2:AP3"/>
    <mergeCell ref="AG23:AQ27"/>
    <mergeCell ref="D24:J25"/>
    <mergeCell ref="K24:M25"/>
    <mergeCell ref="R18:T18"/>
    <mergeCell ref="U18:AC18"/>
    <mergeCell ref="R28:AB29"/>
    <mergeCell ref="M200:AG201"/>
    <mergeCell ref="F10:AN10"/>
    <mergeCell ref="F11:AN11"/>
    <mergeCell ref="D15:J16"/>
    <mergeCell ref="K15:M16"/>
    <mergeCell ref="AG15:AQ17"/>
    <mergeCell ref="D18:J18"/>
    <mergeCell ref="K18:M18"/>
    <mergeCell ref="AG18:AQ22"/>
    <mergeCell ref="D20:J20"/>
    <mergeCell ref="AG28:AQ32"/>
    <mergeCell ref="AI34:AO36"/>
    <mergeCell ref="K20:M20"/>
    <mergeCell ref="R31:V31"/>
    <mergeCell ref="X31:AB31"/>
  </mergeCells>
  <conditionalFormatting sqref="C27">
    <cfRule type="expression" dxfId="66" priority="4">
      <formula>(AND(INCENTOTALPRESE+INCENTOTALPRESG&gt;0,INCENTOTALPRESE+INCENTOTALPRESG&lt;10000,INCENTOTALCUSE+INCENTOTALCUSG=0))=FALSE</formula>
    </cfRule>
  </conditionalFormatting>
  <conditionalFormatting sqref="D27:M27">
    <cfRule type="expression" dxfId="65" priority="5">
      <formula>(AND(INCENTOTALPRESE+INCENTOTALPRESG&gt;0,INCENTOTALPRESE+INCENTOTALPRESG&lt;10000,INCENTOTALCUSE+INCENTOTALCUSG=0))=FALSE</formula>
    </cfRule>
  </conditionalFormatting>
  <conditionalFormatting sqref="K15 K18 K20 K22 K24 K27">
    <cfRule type="expression" dxfId="64" priority="44">
      <formula>K15="Almost!"</formula>
    </cfRule>
    <cfRule type="expression" dxfId="63" priority="45">
      <formula>K15="Completed"</formula>
    </cfRule>
  </conditionalFormatting>
  <conditionalFormatting sqref="K27 K15 K18 K20 K22 K24">
    <cfRule type="expression" dxfId="62" priority="43">
      <formula>K15="Incomplete"</formula>
    </cfRule>
  </conditionalFormatting>
  <conditionalFormatting sqref="Q28">
    <cfRule type="expression" dxfId="61" priority="2">
      <formula>(AND(INCENTOTALPRESE+INCENTOTALPRESG&gt;0,INCENTOTALPRESE+INCENTOTALPRESG&lt;10000,INCENTOTALCUSE+INCENTOTALCUSG=0))=FALSE</formula>
    </cfRule>
  </conditionalFormatting>
  <conditionalFormatting sqref="R18 R28:AB31">
    <cfRule type="expression" dxfId="60" priority="3">
      <formula>(AND(INCENTOTALPRESE+INCENTOTALPRESG&gt;0,INCENTOTALPRESE+INCENTOTALPRESG&lt;10000,INCENTOTALCUSE+INCENTOTALCUSG=0))=FALSE</formula>
    </cfRule>
  </conditionalFormatting>
  <conditionalFormatting sqref="U18">
    <cfRule type="expression" dxfId="59" priority="1">
      <formula>(AND(INCENTOTALPRESE+INCENTOTALPRESG&gt;0,INCENTOTALPRESE+INCENTOTALPRESG&lt;10000,INCENTOTALCUSE+INCENTOTALCUSG=0))=FALSE</formula>
    </cfRule>
  </conditionalFormatting>
  <conditionalFormatting sqref="AH2 AL2">
    <cfRule type="expression" dxfId="58" priority="6">
      <formula>PROJSTATUS=PROJSTATELI</formula>
    </cfRule>
    <cfRule type="expression" dxfId="57" priority="7">
      <formula>PROJSTATUS=PROJSTATREVIEW</formula>
    </cfRule>
    <cfRule type="expression" dxfId="56" priority="11">
      <formula>PROJSTATUS=PROJSTATPREAPPROVE</formula>
    </cfRule>
    <cfRule type="expression" dxfId="55" priority="12">
      <formula>PROJSTATUS=PROJSTATSTANDARD</formula>
    </cfRule>
    <cfRule type="expression" dxfId="54" priority="13">
      <formula>PROJSTATUS=PROJSTATEXP</formula>
    </cfRule>
  </conditionalFormatting>
  <conditionalFormatting sqref="AQ2:AR3">
    <cfRule type="cellIs" dxfId="53" priority="8" operator="equal">
      <formula>1</formula>
    </cfRule>
    <cfRule type="cellIs" dxfId="52" priority="9" operator="between">
      <formula>0.51</formula>
      <formula>0.99</formula>
    </cfRule>
    <cfRule type="cellIs" dxfId="51" priority="10" operator="lessThanOrEqual">
      <formula>0.5</formula>
    </cfRule>
  </conditionalFormatting>
  <dataValidations count="1">
    <dataValidation type="date" operator="lessThanOrEqual" allowBlank="1" showInputMessage="1" showErrorMessage="1" error="Please purchase and install your equipment first before completing this application." sqref="X31:AB31 R31:V31" xr:uid="{00000000-0002-0000-2600-000000000000}">
      <formula1>TODAY()</formula1>
    </dataValidation>
  </dataValidations>
  <hyperlinks>
    <hyperlink ref="D18:I18" location="'M02-S02'!A1" display="Company and Site Information" xr:uid="{00000000-0004-0000-2600-000001000000}"/>
    <hyperlink ref="D20:I20" location="'M02-S03'!A1" display="Contractor/Vendor Information" xr:uid="{00000000-0004-0000-2600-000002000000}"/>
    <hyperlink ref="D22:I22" location="'M02-S04'!A1" display="Payment Information" xr:uid="{00000000-0004-0000-2600-000003000000}"/>
    <hyperlink ref="D24:J25" location="'M03-S01'!A1" display="Qualifying Prescriptive or Non-Prescriptive Measure entered" xr:uid="{00000000-0004-0000-2600-000004000000}"/>
    <hyperlink ref="D15:J16" location="'M02-S01'!A1" display="Read and Accept Program Terms and Conditions" xr:uid="{00000000-0004-0000-2600-000005000000}"/>
    <hyperlink ref="D27:I27" location="'M02-S04'!A1" display="Payment Information" xr:uid="{00000000-0004-0000-2600-000006000000}"/>
    <hyperlink ref="B202" r:id="rId1" xr:uid="{44112C9B-DE8E-486D-B46E-10E1A082BA68}"/>
  </hyperlinks>
  <pageMargins left="0.25" right="0.25" top="0.25" bottom="0.25" header="0.25" footer="0.25"/>
  <pageSetup scale="62" fitToHeight="0" orientation="landscape" r:id="rId2"/>
  <drawing r:id="rId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3">
    <pageSetUpPr fitToPage="1"/>
  </sheetPr>
  <dimension ref="A1:AS203"/>
  <sheetViews>
    <sheetView showGridLines="0" showRowColHeaders="0" showZeros="0" zoomScale="85" zoomScaleNormal="85" workbookViewId="0">
      <selection activeCell="O42" sqref="O42:V42"/>
    </sheetView>
  </sheetViews>
  <sheetFormatPr defaultColWidth="0" defaultRowHeight="15" customHeight="1" zeroHeight="1"/>
  <cols>
    <col min="1" max="45" width="4.7109375" customWidth="1"/>
    <col min="46" max="16384" width="9.140625" hidden="1"/>
  </cols>
  <sheetData>
    <row r="1" spans="6:44" ht="15.95" customHeight="1">
      <c r="AH1" s="686" t="s">
        <v>471</v>
      </c>
      <c r="AI1" s="686"/>
      <c r="AJ1" s="686"/>
      <c r="AK1" s="686"/>
      <c r="AL1" s="687" t="s">
        <v>736</v>
      </c>
      <c r="AM1" s="687"/>
      <c r="AN1" s="687"/>
      <c r="AO1" s="687"/>
      <c r="AP1" s="687"/>
      <c r="AQ1" s="683" t="s">
        <v>474</v>
      </c>
      <c r="AR1" s="683"/>
    </row>
    <row r="2" spans="6:44" ht="15.95" customHeight="1">
      <c r="AH2" s="688" t="str">
        <f ca="1">INCENSTATUS</f>
        <v>---</v>
      </c>
      <c r="AI2" s="689"/>
      <c r="AJ2" s="689"/>
      <c r="AK2" s="689"/>
      <c r="AL2" s="690" t="str">
        <f ca="1">PROJSTATUS</f>
        <v>Enter Measures</v>
      </c>
      <c r="AM2" s="690"/>
      <c r="AN2" s="690"/>
      <c r="AO2" s="690"/>
      <c r="AP2" s="690"/>
      <c r="AQ2" s="1298">
        <f ca="1">PROGRESSSTATUS</f>
        <v>2.8985507246376812E-2</v>
      </c>
      <c r="AR2" s="1299"/>
    </row>
    <row r="3" spans="6:44" ht="15.95" customHeight="1">
      <c r="AH3" s="680"/>
      <c r="AI3" s="681"/>
      <c r="AJ3" s="681"/>
      <c r="AK3" s="681"/>
      <c r="AL3" s="673"/>
      <c r="AM3" s="673"/>
      <c r="AN3" s="673"/>
      <c r="AO3" s="673"/>
      <c r="AP3" s="673"/>
      <c r="AQ3" s="1300"/>
      <c r="AR3" s="1301"/>
    </row>
    <row r="4" spans="6:44" ht="15.95" customHeight="1">
      <c r="AR4" s="171"/>
    </row>
    <row r="5" spans="6:44" ht="15.95" customHeight="1"/>
    <row r="6" spans="6:44" ht="15.95" customHeight="1"/>
    <row r="7" spans="6:44" ht="15.95" customHeight="1"/>
    <row r="8" spans="6:44" ht="15.95" customHeight="1"/>
    <row r="9" spans="6:44" ht="15.95" customHeight="1"/>
    <row r="10" spans="6:44" ht="15.95" customHeight="1">
      <c r="F10" s="691" t="s">
        <v>121</v>
      </c>
      <c r="G10" s="691"/>
      <c r="H10" s="691"/>
      <c r="I10" s="691"/>
      <c r="J10" s="691"/>
      <c r="K10" s="691"/>
      <c r="L10" s="691"/>
      <c r="M10" s="691"/>
      <c r="N10" s="691"/>
      <c r="O10" s="691"/>
      <c r="P10" s="691"/>
      <c r="Q10" s="691"/>
      <c r="R10" s="691"/>
      <c r="S10" s="691"/>
      <c r="T10" s="691"/>
      <c r="U10" s="691"/>
      <c r="V10" s="691"/>
      <c r="W10" s="691"/>
      <c r="X10" s="691"/>
      <c r="Y10" s="691"/>
      <c r="Z10" s="691"/>
      <c r="AA10" s="691"/>
      <c r="AB10" s="691"/>
      <c r="AC10" s="691"/>
      <c r="AD10" s="691"/>
      <c r="AE10" s="691"/>
      <c r="AF10" s="691"/>
      <c r="AG10" s="691"/>
      <c r="AH10" s="691"/>
      <c r="AI10" s="691"/>
      <c r="AJ10" s="691"/>
      <c r="AK10" s="691"/>
      <c r="AL10" s="691"/>
      <c r="AM10" s="691"/>
      <c r="AN10" s="691"/>
    </row>
    <row r="11" spans="6:44" ht="15.95" customHeight="1">
      <c r="F11" s="1297" t="s">
        <v>1048</v>
      </c>
      <c r="G11" s="1297"/>
      <c r="H11" s="1297"/>
      <c r="I11" s="1297"/>
      <c r="J11" s="1297"/>
      <c r="K11" s="1297"/>
      <c r="L11" s="1297"/>
      <c r="M11" s="1297"/>
      <c r="N11" s="1297"/>
      <c r="O11" s="1297"/>
      <c r="P11" s="1297"/>
      <c r="Q11" s="1297"/>
      <c r="R11" s="1297"/>
      <c r="S11" s="1297"/>
      <c r="T11" s="1297"/>
      <c r="U11" s="1297"/>
      <c r="V11" s="1297"/>
      <c r="W11" s="1297"/>
      <c r="X11" s="1297"/>
      <c r="Y11" s="1297"/>
      <c r="Z11" s="1297"/>
      <c r="AA11" s="1297"/>
      <c r="AB11" s="1297"/>
      <c r="AC11" s="1297"/>
      <c r="AD11" s="1297"/>
      <c r="AE11" s="1297"/>
      <c r="AF11" s="1297"/>
      <c r="AG11" s="1297"/>
      <c r="AH11" s="1297"/>
      <c r="AI11" s="1297"/>
      <c r="AJ11" s="1297"/>
      <c r="AK11" s="1297"/>
      <c r="AL11" s="1297"/>
      <c r="AM11" s="1297"/>
      <c r="AN11" s="1297"/>
    </row>
    <row r="12" spans="6:44" ht="15.95" customHeight="1">
      <c r="F12" s="152"/>
      <c r="G12" s="152"/>
      <c r="H12" s="152"/>
      <c r="I12" s="152"/>
      <c r="J12" s="152"/>
      <c r="K12" s="152"/>
      <c r="L12" s="152"/>
      <c r="M12" s="152"/>
      <c r="N12" s="152"/>
      <c r="O12" s="152"/>
      <c r="P12" s="152"/>
      <c r="Q12" s="152"/>
      <c r="R12" s="152"/>
      <c r="S12" s="152"/>
      <c r="T12" s="152"/>
      <c r="U12" s="152"/>
      <c r="V12" s="152"/>
      <c r="W12" s="152"/>
      <c r="X12" s="152"/>
      <c r="Y12" s="152"/>
      <c r="Z12" s="152"/>
      <c r="AA12" s="152"/>
      <c r="AB12" s="152"/>
      <c r="AC12" s="152"/>
      <c r="AD12" s="152"/>
      <c r="AE12" s="152"/>
      <c r="AF12" s="152"/>
      <c r="AG12" s="152"/>
      <c r="AH12" s="152"/>
      <c r="AI12" s="152"/>
      <c r="AJ12" s="152"/>
      <c r="AK12" s="152"/>
      <c r="AL12" s="152"/>
      <c r="AM12" s="152"/>
      <c r="AN12" s="152"/>
    </row>
    <row r="13" spans="6:44" ht="15.95" customHeight="1">
      <c r="F13" s="59"/>
      <c r="G13" s="59"/>
      <c r="H13" s="59"/>
      <c r="I13" s="101"/>
      <c r="J13" s="102"/>
      <c r="K13" s="102"/>
      <c r="L13" s="102"/>
      <c r="M13" s="102"/>
      <c r="N13" s="102"/>
      <c r="O13" s="102"/>
      <c r="P13" s="102"/>
      <c r="Q13" s="102"/>
      <c r="R13" s="102"/>
      <c r="S13" s="102"/>
      <c r="T13" s="102"/>
      <c r="U13" s="102"/>
      <c r="V13" s="102"/>
      <c r="W13" s="102"/>
      <c r="X13" s="102"/>
      <c r="Y13" s="102"/>
      <c r="Z13" s="102"/>
      <c r="AA13" s="102"/>
      <c r="AB13" s="102"/>
      <c r="AC13" s="102"/>
      <c r="AD13" s="102"/>
      <c r="AE13" s="102"/>
      <c r="AF13" s="102"/>
      <c r="AG13" s="102"/>
      <c r="AH13" s="102"/>
      <c r="AI13" s="102"/>
      <c r="AJ13" s="102"/>
      <c r="AK13" s="103"/>
      <c r="AL13" s="59"/>
      <c r="AM13" s="59"/>
      <c r="AN13" s="59"/>
    </row>
    <row r="14" spans="6:44" ht="15.95" customHeight="1">
      <c r="I14" s="153"/>
      <c r="J14" s="307"/>
      <c r="K14" s="307"/>
      <c r="L14" s="307"/>
      <c r="M14" s="307"/>
      <c r="N14" s="307"/>
      <c r="O14" s="307"/>
      <c r="P14" s="307"/>
      <c r="Q14" s="307"/>
      <c r="R14" s="307"/>
      <c r="S14" s="307"/>
      <c r="T14" s="307"/>
      <c r="U14" s="307"/>
      <c r="V14" s="307"/>
      <c r="W14" s="307"/>
      <c r="X14" s="307"/>
      <c r="Y14" s="307"/>
      <c r="Z14" s="307"/>
      <c r="AA14" s="307"/>
      <c r="AB14" s="307"/>
      <c r="AC14" s="307"/>
      <c r="AD14" s="307"/>
      <c r="AE14" s="307"/>
      <c r="AF14" s="307"/>
      <c r="AG14" s="307"/>
      <c r="AH14" s="307"/>
      <c r="AI14" s="307"/>
      <c r="AJ14" s="307"/>
      <c r="AK14" s="154"/>
    </row>
    <row r="15" spans="6:44" ht="15.95" customHeight="1">
      <c r="I15" s="153"/>
      <c r="J15" s="307"/>
      <c r="K15" s="307"/>
      <c r="L15" s="307"/>
      <c r="M15" s="307"/>
      <c r="N15" s="1302" t="s">
        <v>2120</v>
      </c>
      <c r="O15" s="1302"/>
      <c r="P15" s="1302"/>
      <c r="Q15" s="1302"/>
      <c r="R15" s="1302"/>
      <c r="S15" s="1302"/>
      <c r="T15" s="1302"/>
      <c r="U15" s="1302"/>
      <c r="V15" s="1302"/>
      <c r="W15" s="1302"/>
      <c r="X15" s="1302"/>
      <c r="Y15" s="1302"/>
      <c r="Z15" s="1302"/>
      <c r="AA15" s="1302"/>
      <c r="AB15" s="1302"/>
      <c r="AC15" s="1302"/>
      <c r="AD15" s="307"/>
      <c r="AE15" s="307"/>
      <c r="AF15" s="307"/>
      <c r="AG15" s="307"/>
      <c r="AH15" s="307"/>
      <c r="AI15" s="307"/>
      <c r="AJ15" s="307"/>
      <c r="AK15" s="154"/>
    </row>
    <row r="16" spans="6:44" ht="15.95" customHeight="1">
      <c r="I16" s="153"/>
      <c r="J16" s="307"/>
      <c r="K16" s="307"/>
      <c r="L16" s="307"/>
      <c r="M16" s="307"/>
      <c r="N16" s="1302"/>
      <c r="O16" s="1302"/>
      <c r="P16" s="1302"/>
      <c r="Q16" s="1302"/>
      <c r="R16" s="1302"/>
      <c r="S16" s="1302"/>
      <c r="T16" s="1302"/>
      <c r="U16" s="1302"/>
      <c r="V16" s="1302"/>
      <c r="W16" s="1302"/>
      <c r="X16" s="1302"/>
      <c r="Y16" s="1302"/>
      <c r="Z16" s="1302"/>
      <c r="AA16" s="1302"/>
      <c r="AB16" s="1302"/>
      <c r="AC16" s="1302"/>
      <c r="AD16" s="307"/>
      <c r="AE16" s="307"/>
      <c r="AF16" s="307"/>
      <c r="AG16" s="307"/>
      <c r="AH16" s="307"/>
      <c r="AI16" s="307"/>
      <c r="AJ16" s="307"/>
      <c r="AK16" s="154"/>
    </row>
    <row r="17" spans="9:37" ht="15.95" customHeight="1">
      <c r="I17" s="153"/>
      <c r="J17" s="307"/>
      <c r="K17" s="307"/>
      <c r="L17" s="307"/>
      <c r="M17" s="307"/>
      <c r="N17" s="1302"/>
      <c r="O17" s="1302"/>
      <c r="P17" s="1302"/>
      <c r="Q17" s="1302"/>
      <c r="R17" s="1302"/>
      <c r="S17" s="1302"/>
      <c r="T17" s="1302"/>
      <c r="U17" s="1302"/>
      <c r="V17" s="1302"/>
      <c r="W17" s="1302"/>
      <c r="X17" s="1302"/>
      <c r="Y17" s="1302"/>
      <c r="Z17" s="1302"/>
      <c r="AA17" s="1302"/>
      <c r="AB17" s="1302"/>
      <c r="AC17" s="1302"/>
      <c r="AD17" s="307"/>
      <c r="AE17" s="307"/>
      <c r="AF17" s="307"/>
      <c r="AG17" s="307"/>
      <c r="AH17" s="307"/>
      <c r="AI17" s="307"/>
      <c r="AJ17" s="307"/>
      <c r="AK17" s="154"/>
    </row>
    <row r="18" spans="9:37" ht="15.95" customHeight="1">
      <c r="I18" s="153"/>
      <c r="J18" s="1296" t="s">
        <v>121</v>
      </c>
      <c r="K18" s="1296"/>
      <c r="L18" s="1296"/>
      <c r="M18" s="1296"/>
      <c r="N18" s="575"/>
      <c r="O18" s="575"/>
      <c r="P18" s="575"/>
      <c r="Q18" s="575"/>
      <c r="R18" s="575"/>
      <c r="S18" s="575"/>
      <c r="T18" s="575"/>
      <c r="U18" s="575"/>
      <c r="V18" s="575"/>
      <c r="W18" s="575"/>
      <c r="X18" s="575"/>
      <c r="Y18" s="575"/>
      <c r="Z18" s="575"/>
      <c r="AA18" s="575"/>
      <c r="AB18" s="575"/>
      <c r="AC18" s="1288" t="str">
        <f>CONCATENATE("Project # ",PROJID)</f>
        <v xml:space="preserve">Project # </v>
      </c>
      <c r="AD18" s="1288"/>
      <c r="AE18" s="1288"/>
      <c r="AF18" s="1288"/>
      <c r="AG18" s="1288"/>
      <c r="AH18" s="1288"/>
      <c r="AI18" s="1288"/>
      <c r="AJ18" s="1288"/>
      <c r="AK18" s="154"/>
    </row>
    <row r="19" spans="9:37" ht="15.95" customHeight="1">
      <c r="I19" s="153"/>
      <c r="J19" s="1296"/>
      <c r="K19" s="1296"/>
      <c r="L19" s="1296"/>
      <c r="M19" s="1296"/>
      <c r="N19" s="575"/>
      <c r="O19" s="575"/>
      <c r="P19" s="575"/>
      <c r="Q19" s="575"/>
      <c r="R19" s="575"/>
      <c r="S19" s="575"/>
      <c r="T19" s="575"/>
      <c r="U19" s="575"/>
      <c r="V19" s="575"/>
      <c r="W19" s="575"/>
      <c r="X19" s="575"/>
      <c r="Y19" s="575"/>
      <c r="Z19" s="575"/>
      <c r="AA19" s="575"/>
      <c r="AB19" s="575"/>
      <c r="AC19" s="1288"/>
      <c r="AD19" s="1288"/>
      <c r="AE19" s="1288"/>
      <c r="AF19" s="1288"/>
      <c r="AG19" s="1288"/>
      <c r="AH19" s="1288"/>
      <c r="AI19" s="1288"/>
      <c r="AJ19" s="1288"/>
      <c r="AK19" s="154"/>
    </row>
    <row r="20" spans="9:37" ht="15.95" customHeight="1">
      <c r="I20" s="153"/>
      <c r="J20" s="1296"/>
      <c r="K20" s="1296"/>
      <c r="L20" s="1296"/>
      <c r="M20" s="1296"/>
      <c r="N20" s="575"/>
      <c r="O20" s="575"/>
      <c r="P20" s="575"/>
      <c r="Q20" s="575"/>
      <c r="R20" s="575"/>
      <c r="S20" s="575"/>
      <c r="T20" s="575"/>
      <c r="U20" s="575"/>
      <c r="V20" s="575"/>
      <c r="W20" s="575"/>
      <c r="X20" s="575"/>
      <c r="Y20" s="575"/>
      <c r="Z20" s="575"/>
      <c r="AA20" s="575"/>
      <c r="AB20" s="575"/>
      <c r="AC20" s="1288"/>
      <c r="AD20" s="1288"/>
      <c r="AE20" s="1288"/>
      <c r="AF20" s="1288"/>
      <c r="AG20" s="1288"/>
      <c r="AH20" s="1288"/>
      <c r="AI20" s="1288"/>
      <c r="AJ20" s="1288"/>
      <c r="AK20" s="154"/>
    </row>
    <row r="21" spans="9:37" ht="15.95" customHeight="1">
      <c r="I21" s="153"/>
      <c r="J21" s="1289">
        <f>M02S02F01</f>
        <v>0</v>
      </c>
      <c r="K21" s="1289"/>
      <c r="L21" s="1289"/>
      <c r="M21" s="1289"/>
      <c r="N21" s="1289"/>
      <c r="O21" s="1289"/>
      <c r="P21" s="1289"/>
      <c r="Q21" s="1289"/>
      <c r="R21" s="1289"/>
      <c r="S21" s="1289"/>
      <c r="T21" s="1289"/>
      <c r="U21" s="1289"/>
      <c r="V21" s="1289"/>
      <c r="W21" s="1289"/>
      <c r="X21" s="1290">
        <f>M02S02F13</f>
        <v>0</v>
      </c>
      <c r="Y21" s="1290"/>
      <c r="Z21" s="1290"/>
      <c r="AA21" s="1290"/>
      <c r="AB21" s="1290"/>
      <c r="AC21" s="1290"/>
      <c r="AD21" s="1290"/>
      <c r="AE21" s="1290"/>
      <c r="AF21" s="1290"/>
      <c r="AG21" s="1290"/>
      <c r="AH21" s="1290"/>
      <c r="AI21" s="1290"/>
      <c r="AJ21" s="1290"/>
      <c r="AK21" s="154"/>
    </row>
    <row r="22" spans="9:37" ht="15.95" customHeight="1">
      <c r="I22" s="153"/>
      <c r="J22" s="1289"/>
      <c r="K22" s="1289"/>
      <c r="L22" s="1289"/>
      <c r="M22" s="1289"/>
      <c r="N22" s="1289"/>
      <c r="O22" s="1289"/>
      <c r="P22" s="1289"/>
      <c r="Q22" s="1289"/>
      <c r="R22" s="1289"/>
      <c r="S22" s="1289"/>
      <c r="T22" s="1289"/>
      <c r="U22" s="1289"/>
      <c r="V22" s="1289"/>
      <c r="W22" s="1289"/>
      <c r="X22" s="1290"/>
      <c r="Y22" s="1290"/>
      <c r="Z22" s="1290"/>
      <c r="AA22" s="1290"/>
      <c r="AB22" s="1290"/>
      <c r="AC22" s="1290"/>
      <c r="AD22" s="1290"/>
      <c r="AE22" s="1290"/>
      <c r="AF22" s="1290"/>
      <c r="AG22" s="1290"/>
      <c r="AH22" s="1290"/>
      <c r="AI22" s="1290"/>
      <c r="AJ22" s="1290"/>
      <c r="AK22" s="154"/>
    </row>
    <row r="23" spans="9:37" ht="15.95" customHeight="1">
      <c r="I23" s="153"/>
      <c r="J23" s="59"/>
      <c r="K23" s="59"/>
      <c r="L23" s="59"/>
      <c r="M23" s="59"/>
      <c r="N23" s="59"/>
      <c r="O23" s="59"/>
      <c r="P23" s="59"/>
      <c r="Q23" s="59"/>
      <c r="R23" s="59"/>
      <c r="S23" s="59"/>
      <c r="T23" s="59"/>
      <c r="U23" s="59"/>
      <c r="V23" s="59"/>
      <c r="W23" s="59"/>
      <c r="X23" s="59"/>
      <c r="Y23" s="59"/>
      <c r="Z23" s="59"/>
      <c r="AA23" s="59"/>
      <c r="AB23" s="59"/>
      <c r="AC23" s="59"/>
      <c r="AD23" s="59"/>
      <c r="AE23" s="59"/>
      <c r="AF23" s="59"/>
      <c r="AG23" s="59"/>
      <c r="AH23" s="59"/>
      <c r="AI23" s="59"/>
      <c r="AJ23" s="59"/>
      <c r="AK23" s="154"/>
    </row>
    <row r="24" spans="9:37" ht="15.95" customHeight="1">
      <c r="I24" s="153"/>
      <c r="J24" s="1292" t="s">
        <v>1230</v>
      </c>
      <c r="K24" s="1292"/>
      <c r="L24" s="1292"/>
      <c r="M24" s="1292"/>
      <c r="N24" s="1292"/>
      <c r="O24" s="226"/>
      <c r="P24" s="1293" t="s">
        <v>932</v>
      </c>
      <c r="Q24" s="1293"/>
      <c r="R24" s="1293"/>
      <c r="S24" s="1293"/>
      <c r="T24" s="1293"/>
      <c r="U24" s="1293"/>
      <c r="V24" s="227"/>
      <c r="W24" s="1293" t="s">
        <v>933</v>
      </c>
      <c r="X24" s="1293"/>
      <c r="Y24" s="1293"/>
      <c r="Z24" s="1293"/>
      <c r="AA24" s="1293"/>
      <c r="AB24" s="1293"/>
      <c r="AC24" s="227"/>
      <c r="AD24" s="1294" t="str">
        <f>IF(M02S02F14="Yes","","Company Contact")</f>
        <v>Company Contact</v>
      </c>
      <c r="AE24" s="1294"/>
      <c r="AF24" s="1294"/>
      <c r="AG24" s="1294"/>
      <c r="AH24" s="1294"/>
      <c r="AI24" s="1294"/>
      <c r="AJ24" s="227"/>
      <c r="AK24" s="154"/>
    </row>
    <row r="25" spans="9:37" ht="15.95" customHeight="1">
      <c r="I25" s="153"/>
      <c r="J25" s="1292"/>
      <c r="K25" s="1292"/>
      <c r="L25" s="1292"/>
      <c r="M25" s="1292"/>
      <c r="N25" s="1292"/>
      <c r="O25" s="226"/>
      <c r="P25" s="1295" t="str">
        <f>M02S02F34</f>
        <v/>
      </c>
      <c r="Q25" s="1295"/>
      <c r="R25" s="1295"/>
      <c r="S25" s="1295"/>
      <c r="T25" s="1295"/>
      <c r="U25" s="1295"/>
      <c r="V25" s="370"/>
      <c r="W25" s="1295" t="str">
        <f>CONCATENATE(M02S02F16," ",M02S02F17)</f>
        <v xml:space="preserve"> </v>
      </c>
      <c r="X25" s="1295"/>
      <c r="Y25" s="1295"/>
      <c r="Z25" s="1295"/>
      <c r="AA25" s="1295"/>
      <c r="AB25" s="1295"/>
      <c r="AC25" s="370"/>
      <c r="AD25" s="1295" t="str">
        <f>IF(M02S02F14="Yes","",CONCATENATE(M02S02F02," ",M02S02F03))</f>
        <v xml:space="preserve"> </v>
      </c>
      <c r="AE25" s="1295"/>
      <c r="AF25" s="1295"/>
      <c r="AG25" s="1295"/>
      <c r="AH25" s="1295"/>
      <c r="AI25" s="1295"/>
      <c r="AJ25" s="228"/>
      <c r="AK25" s="154"/>
    </row>
    <row r="26" spans="9:37" ht="15.95" customHeight="1">
      <c r="I26" s="153"/>
      <c r="J26" s="1292"/>
      <c r="K26" s="1292"/>
      <c r="L26" s="1292"/>
      <c r="M26" s="1292"/>
      <c r="N26" s="1292"/>
      <c r="O26" s="226"/>
      <c r="P26" s="1295" t="str">
        <f>M02S02F22</f>
        <v/>
      </c>
      <c r="Q26" s="1295"/>
      <c r="R26" s="1295"/>
      <c r="S26" s="1295"/>
      <c r="T26" s="1295"/>
      <c r="U26" s="1295"/>
      <c r="V26" s="370"/>
      <c r="W26" s="1291" t="str">
        <f>M02S02F19</f>
        <v/>
      </c>
      <c r="X26" s="1291"/>
      <c r="Y26" s="1291"/>
      <c r="Z26" s="1291"/>
      <c r="AA26" s="1291"/>
      <c r="AB26" s="1291"/>
      <c r="AC26" s="369"/>
      <c r="AD26" s="1291">
        <f>IF(M02S02F14="Yes","",M02S02F05)</f>
        <v>0</v>
      </c>
      <c r="AE26" s="1291"/>
      <c r="AF26" s="1291"/>
      <c r="AG26" s="1291"/>
      <c r="AH26" s="1291"/>
      <c r="AI26" s="1291"/>
      <c r="AJ26" s="229"/>
      <c r="AK26" s="154"/>
    </row>
    <row r="27" spans="9:37" ht="15.95" customHeight="1">
      <c r="I27" s="153"/>
      <c r="J27" s="1292"/>
      <c r="K27" s="1292"/>
      <c r="L27" s="1292"/>
      <c r="M27" s="1292"/>
      <c r="N27" s="1292"/>
      <c r="O27" s="226"/>
      <c r="P27" s="1295" t="str">
        <f>CONCATENATE(M02S02F23,", ",M02S02F24," ",M02S02F25)</f>
        <v xml:space="preserve">, IN </v>
      </c>
      <c r="Q27" s="1295"/>
      <c r="R27" s="1295"/>
      <c r="S27" s="1295"/>
      <c r="T27" s="1295"/>
      <c r="U27" s="1295"/>
      <c r="V27" s="370"/>
      <c r="W27" s="1295" t="str">
        <f>M02S02F21</f>
        <v/>
      </c>
      <c r="X27" s="1295"/>
      <c r="Y27" s="1295"/>
      <c r="Z27" s="1295"/>
      <c r="AA27" s="1295"/>
      <c r="AB27" s="1295"/>
      <c r="AC27" s="370"/>
      <c r="AD27" s="1295">
        <f>IF(M02S02F14="Yes","",M02S02F07)</f>
        <v>0</v>
      </c>
      <c r="AE27" s="1295"/>
      <c r="AF27" s="1295"/>
      <c r="AG27" s="1295"/>
      <c r="AH27" s="1295"/>
      <c r="AI27" s="1295"/>
      <c r="AJ27" s="228"/>
      <c r="AK27" s="154"/>
    </row>
    <row r="28" spans="9:37" ht="15.95" customHeight="1">
      <c r="I28" s="153"/>
      <c r="J28" s="59"/>
      <c r="K28" s="59"/>
      <c r="L28" s="59"/>
      <c r="M28" s="59"/>
      <c r="N28" s="59"/>
      <c r="O28" s="59"/>
      <c r="P28" s="62"/>
      <c r="Q28" s="62"/>
      <c r="R28" s="62"/>
      <c r="S28" s="62"/>
      <c r="T28" s="62"/>
      <c r="U28" s="62"/>
      <c r="V28" s="62"/>
      <c r="W28" s="62"/>
      <c r="X28" s="62"/>
      <c r="Y28" s="62"/>
      <c r="Z28" s="62"/>
      <c r="AA28" s="62"/>
      <c r="AB28" s="62"/>
      <c r="AC28" s="62"/>
      <c r="AD28" s="62"/>
      <c r="AE28" s="62"/>
      <c r="AF28" s="62"/>
      <c r="AG28" s="62"/>
      <c r="AH28" s="62"/>
      <c r="AI28" s="62"/>
      <c r="AJ28" s="62"/>
      <c r="AK28" s="154"/>
    </row>
    <row r="29" spans="9:37" ht="15.95" customHeight="1">
      <c r="I29" s="153"/>
      <c r="J29" s="1303" t="s">
        <v>1229</v>
      </c>
      <c r="K29" s="1303"/>
      <c r="L29" s="1303"/>
      <c r="M29" s="1303"/>
      <c r="N29" s="1303"/>
      <c r="O29" s="230"/>
      <c r="P29" s="1304" t="s">
        <v>118</v>
      </c>
      <c r="Q29" s="1304"/>
      <c r="R29" s="1304"/>
      <c r="S29" s="1304"/>
      <c r="T29" s="1304"/>
      <c r="U29" s="1304"/>
      <c r="V29" s="231"/>
      <c r="W29" s="1305" t="s">
        <v>128</v>
      </c>
      <c r="X29" s="1305"/>
      <c r="Y29" s="1305"/>
      <c r="Z29" s="1305"/>
      <c r="AA29" s="1305"/>
      <c r="AB29" s="1305"/>
      <c r="AC29" s="231"/>
      <c r="AD29" s="231"/>
      <c r="AE29" s="231"/>
      <c r="AF29" s="231"/>
      <c r="AG29" s="231"/>
      <c r="AH29" s="231"/>
      <c r="AI29" s="231"/>
      <c r="AJ29" s="231"/>
      <c r="AK29" s="154"/>
    </row>
    <row r="30" spans="9:37" ht="15.95" customHeight="1">
      <c r="I30" s="153"/>
      <c r="J30" s="1303"/>
      <c r="K30" s="1303"/>
      <c r="L30" s="1303"/>
      <c r="M30" s="1303"/>
      <c r="N30" s="1303"/>
      <c r="O30" s="230"/>
      <c r="P30" s="1306">
        <f>M02S03F02</f>
        <v>0</v>
      </c>
      <c r="Q30" s="1306"/>
      <c r="R30" s="1306"/>
      <c r="S30" s="1306"/>
      <c r="T30" s="1306"/>
      <c r="U30" s="1306"/>
      <c r="V30" s="254"/>
      <c r="W30" s="1306" t="str">
        <f>CONCATENATE(M02S03F03," ",M02S03F04)</f>
        <v xml:space="preserve"> </v>
      </c>
      <c r="X30" s="1306"/>
      <c r="Y30" s="1306"/>
      <c r="Z30" s="1306"/>
      <c r="AA30" s="1306"/>
      <c r="AB30" s="1306"/>
      <c r="AC30" s="253"/>
      <c r="AD30" s="253"/>
      <c r="AE30" s="254"/>
      <c r="AF30" s="254"/>
      <c r="AG30" s="254"/>
      <c r="AH30" s="254"/>
      <c r="AI30" s="254"/>
      <c r="AJ30" s="233"/>
      <c r="AK30" s="154"/>
    </row>
    <row r="31" spans="9:37" ht="15.95" customHeight="1">
      <c r="I31" s="153"/>
      <c r="J31" s="1303"/>
      <c r="K31" s="1303"/>
      <c r="L31" s="1303"/>
      <c r="M31" s="1303"/>
      <c r="N31" s="1303"/>
      <c r="O31" s="230"/>
      <c r="P31" s="1306">
        <f>M02S03F09</f>
        <v>0</v>
      </c>
      <c r="Q31" s="1306"/>
      <c r="R31" s="1306"/>
      <c r="S31" s="1306"/>
      <c r="T31" s="1306"/>
      <c r="U31" s="1306"/>
      <c r="V31" s="254"/>
      <c r="W31" s="1307">
        <f>M02S03F06</f>
        <v>0</v>
      </c>
      <c r="X31" s="1307"/>
      <c r="Y31" s="1307"/>
      <c r="Z31" s="1307"/>
      <c r="AA31" s="1307"/>
      <c r="AB31" s="1307"/>
      <c r="AC31" s="253"/>
      <c r="AD31" s="253"/>
      <c r="AE31" s="371"/>
      <c r="AF31" s="371"/>
      <c r="AG31" s="371"/>
      <c r="AH31" s="371"/>
      <c r="AI31" s="371"/>
      <c r="AJ31" s="234"/>
      <c r="AK31" s="154"/>
    </row>
    <row r="32" spans="9:37" ht="15.95" customHeight="1">
      <c r="I32" s="153"/>
      <c r="J32" s="1303"/>
      <c r="K32" s="1303"/>
      <c r="L32" s="1303"/>
      <c r="M32" s="1303"/>
      <c r="N32" s="1303"/>
      <c r="O32" s="230"/>
      <c r="P32" s="1306" t="str">
        <f>CONCATENATE(M02S03F10,", ",M02S03F11," ",M02S03F12)</f>
        <v xml:space="preserve">,  </v>
      </c>
      <c r="Q32" s="1306"/>
      <c r="R32" s="1306"/>
      <c r="S32" s="1306"/>
      <c r="T32" s="1306"/>
      <c r="U32" s="1306"/>
      <c r="V32" s="254"/>
      <c r="W32" s="1306">
        <f>M02S03F08</f>
        <v>0</v>
      </c>
      <c r="X32" s="1306"/>
      <c r="Y32" s="1306"/>
      <c r="Z32" s="1306"/>
      <c r="AA32" s="1306"/>
      <c r="AB32" s="1306"/>
      <c r="AC32" s="253"/>
      <c r="AD32" s="253"/>
      <c r="AE32" s="254"/>
      <c r="AF32" s="254"/>
      <c r="AG32" s="254"/>
      <c r="AH32" s="254"/>
      <c r="AI32" s="254"/>
      <c r="AJ32" s="232"/>
      <c r="AK32" s="154"/>
    </row>
    <row r="33" spans="9:45" ht="15.95" customHeight="1">
      <c r="I33" s="153"/>
      <c r="J33" s="59"/>
      <c r="K33" s="59"/>
      <c r="L33" s="59"/>
      <c r="M33" s="59"/>
      <c r="N33" s="59"/>
      <c r="O33" s="59"/>
      <c r="P33" s="59"/>
      <c r="Q33" s="59"/>
      <c r="R33" s="59"/>
      <c r="S33" s="59"/>
      <c r="T33" s="59"/>
      <c r="U33" s="59"/>
      <c r="V33" s="59"/>
      <c r="W33" s="59"/>
      <c r="X33" s="59"/>
      <c r="Y33" s="59"/>
      <c r="Z33" s="59"/>
      <c r="AA33" s="59"/>
      <c r="AB33" s="59"/>
      <c r="AC33" s="59"/>
      <c r="AD33" s="59"/>
      <c r="AE33" s="59"/>
      <c r="AF33" s="59"/>
      <c r="AG33" s="59"/>
      <c r="AH33" s="59"/>
      <c r="AI33" s="59"/>
      <c r="AJ33" s="59"/>
      <c r="AK33" s="154"/>
    </row>
    <row r="34" spans="9:45" ht="15.95" customHeight="1">
      <c r="I34" s="153"/>
      <c r="J34" s="1303" t="s">
        <v>1237</v>
      </c>
      <c r="K34" s="1303"/>
      <c r="L34" s="1303"/>
      <c r="M34" s="1303"/>
      <c r="N34" s="1303"/>
      <c r="O34" s="230"/>
      <c r="P34" s="235" t="s">
        <v>935</v>
      </c>
      <c r="Q34" s="235"/>
      <c r="R34" s="235"/>
      <c r="S34" s="235"/>
      <c r="T34" s="1310" t="s">
        <v>1162</v>
      </c>
      <c r="U34" s="1310"/>
      <c r="V34" s="1310"/>
      <c r="W34" s="1310"/>
      <c r="X34" s="1310" t="s">
        <v>1232</v>
      </c>
      <c r="Y34" s="1310"/>
      <c r="Z34" s="1310"/>
      <c r="AA34" s="1310"/>
      <c r="AB34" s="1310" t="s">
        <v>1231</v>
      </c>
      <c r="AC34" s="1310"/>
      <c r="AD34" s="1310"/>
      <c r="AE34" s="1310"/>
      <c r="AF34" s="1310" t="s">
        <v>125</v>
      </c>
      <c r="AG34" s="1310"/>
      <c r="AH34" s="1310"/>
      <c r="AI34" s="1310"/>
      <c r="AJ34" s="235"/>
      <c r="AK34" s="154"/>
    </row>
    <row r="35" spans="9:45" ht="15.95" customHeight="1">
      <c r="I35" s="153"/>
      <c r="J35" s="1303"/>
      <c r="K35" s="1303"/>
      <c r="L35" s="1303"/>
      <c r="M35" s="1303"/>
      <c r="N35" s="1303"/>
      <c r="O35" s="230"/>
      <c r="P35" s="236" t="s">
        <v>947</v>
      </c>
      <c r="Q35" s="236"/>
      <c r="R35" s="236"/>
      <c r="S35" s="237"/>
      <c r="T35" s="1311">
        <f ca="1">SUM(EXPORT!N4:N296)</f>
        <v>0</v>
      </c>
      <c r="U35" s="1311"/>
      <c r="V35" s="1311"/>
      <c r="W35" s="1311"/>
      <c r="X35" s="1312">
        <f>SUM(EXPORT!P215:P306)</f>
        <v>0</v>
      </c>
      <c r="Y35" s="1313"/>
      <c r="Z35" s="1313"/>
      <c r="AA35" s="1314"/>
      <c r="AB35" s="1315">
        <f ca="1">SUM(COSTTOTALPRESE,COSTTOTALPRESG)</f>
        <v>0</v>
      </c>
      <c r="AC35" s="1315"/>
      <c r="AD35" s="1315"/>
      <c r="AE35" s="1315"/>
      <c r="AF35" s="1316">
        <f ca="1">SUM(EXPORT!R4:R280)</f>
        <v>0</v>
      </c>
      <c r="AG35" s="1317"/>
      <c r="AH35" s="1317"/>
      <c r="AI35" s="1317"/>
      <c r="AJ35" s="233"/>
      <c r="AK35" s="154"/>
    </row>
    <row r="36" spans="9:45" ht="15.95" customHeight="1">
      <c r="I36" s="153"/>
      <c r="J36" s="1303"/>
      <c r="K36" s="1303"/>
      <c r="L36" s="1303"/>
      <c r="M36" s="1303"/>
      <c r="N36" s="1303"/>
      <c r="O36" s="230"/>
      <c r="P36" s="238" t="s">
        <v>231</v>
      </c>
      <c r="Q36" s="238"/>
      <c r="R36" s="238"/>
      <c r="S36" s="238"/>
      <c r="T36" s="1318">
        <f ca="1">SUM(EXPORT!N309:N435)</f>
        <v>0</v>
      </c>
      <c r="U36" s="1319"/>
      <c r="V36" s="1319"/>
      <c r="W36" s="1319"/>
      <c r="X36" s="1320">
        <f>SUM(EXPORT!P437:P486)</f>
        <v>0</v>
      </c>
      <c r="Y36" s="1321"/>
      <c r="Z36" s="1321"/>
      <c r="AA36" s="1322"/>
      <c r="AB36" s="1323">
        <f ca="1">SUM(COSTTOTALCUSE,COSTTOTALCUSG)</f>
        <v>0</v>
      </c>
      <c r="AC36" s="1323"/>
      <c r="AD36" s="1323"/>
      <c r="AE36" s="1323"/>
      <c r="AF36" s="1324">
        <f ca="1">SUM(EXPORT!R309:R486)</f>
        <v>0</v>
      </c>
      <c r="AG36" s="1325"/>
      <c r="AH36" s="1325"/>
      <c r="AI36" s="1325"/>
      <c r="AJ36" s="233"/>
      <c r="AK36" s="154"/>
    </row>
    <row r="37" spans="9:45" ht="15.95" customHeight="1">
      <c r="I37" s="153"/>
      <c r="J37" s="1303"/>
      <c r="K37" s="1303"/>
      <c r="L37" s="1303"/>
      <c r="M37" s="1303"/>
      <c r="N37" s="1303"/>
      <c r="O37" s="230"/>
      <c r="P37" s="239" t="s">
        <v>137</v>
      </c>
      <c r="Q37" s="239"/>
      <c r="R37" s="239"/>
      <c r="S37" s="239"/>
      <c r="T37" s="1326">
        <f ca="1">SUM(T35:W36)</f>
        <v>0</v>
      </c>
      <c r="U37" s="1327"/>
      <c r="V37" s="1327"/>
      <c r="W37" s="1327"/>
      <c r="X37" s="1328">
        <f>SUM(X35:AA36)</f>
        <v>0</v>
      </c>
      <c r="Y37" s="1329"/>
      <c r="Z37" s="1329"/>
      <c r="AA37" s="1330"/>
      <c r="AB37" s="1331">
        <f ca="1">SUM(AB35:AE36)</f>
        <v>0</v>
      </c>
      <c r="AC37" s="1331"/>
      <c r="AD37" s="1331"/>
      <c r="AE37" s="1331"/>
      <c r="AF37" s="1308">
        <f ca="1">SUM(AF35:AI36)</f>
        <v>0</v>
      </c>
      <c r="AG37" s="1309"/>
      <c r="AH37" s="1309"/>
      <c r="AI37" s="1309"/>
      <c r="AJ37" s="240"/>
      <c r="AK37" s="154"/>
    </row>
    <row r="38" spans="9:45" ht="15.95" customHeight="1">
      <c r="I38" s="153"/>
      <c r="AK38" s="154"/>
    </row>
    <row r="39" spans="9:45" ht="15.95" customHeight="1">
      <c r="I39" s="153"/>
      <c r="J39" s="1303" t="s">
        <v>1161</v>
      </c>
      <c r="K39" s="1303"/>
      <c r="L39" s="1303"/>
      <c r="M39" s="1303"/>
      <c r="N39" s="1303"/>
      <c r="O39" s="256"/>
      <c r="P39" s="256"/>
      <c r="Q39" s="256"/>
      <c r="R39" s="256"/>
      <c r="S39" s="256"/>
      <c r="T39" s="256"/>
      <c r="U39" s="256"/>
      <c r="V39" s="256"/>
      <c r="W39" s="256"/>
      <c r="X39" s="256"/>
      <c r="Y39" s="256"/>
      <c r="Z39" s="256"/>
      <c r="AA39" s="256"/>
      <c r="AB39" s="256"/>
      <c r="AC39" s="256"/>
      <c r="AD39" s="256"/>
      <c r="AE39" s="256"/>
      <c r="AF39" s="256"/>
      <c r="AG39" s="256"/>
      <c r="AH39" s="258"/>
      <c r="AI39" s="258"/>
      <c r="AJ39" s="258"/>
      <c r="AK39" s="154"/>
      <c r="AS39" s="174"/>
    </row>
    <row r="40" spans="9:45" ht="15.95" customHeight="1">
      <c r="I40" s="153"/>
      <c r="J40" s="1303"/>
      <c r="K40" s="1303"/>
      <c r="L40" s="1303"/>
      <c r="M40" s="1303"/>
      <c r="N40" s="1303"/>
      <c r="O40" s="256"/>
      <c r="P40" s="256"/>
      <c r="Q40" s="256"/>
      <c r="R40" s="256"/>
      <c r="S40" s="256"/>
      <c r="T40" s="256"/>
      <c r="U40" s="256"/>
      <c r="V40" s="256"/>
      <c r="W40" s="256"/>
      <c r="X40" s="256"/>
      <c r="Y40" s="256"/>
      <c r="Z40" s="256"/>
      <c r="AA40" s="256"/>
      <c r="AB40" s="256"/>
      <c r="AC40" s="256"/>
      <c r="AD40" s="256"/>
      <c r="AE40" s="256"/>
      <c r="AF40" s="256"/>
      <c r="AG40" s="256"/>
      <c r="AH40" s="258"/>
      <c r="AI40" s="258"/>
      <c r="AJ40" s="258"/>
      <c r="AK40" s="154"/>
    </row>
    <row r="41" spans="9:45" ht="15.95" customHeight="1">
      <c r="I41" s="153"/>
      <c r="J41" s="1303"/>
      <c r="K41" s="1303"/>
      <c r="L41" s="1303"/>
      <c r="M41" s="1303"/>
      <c r="N41" s="1303"/>
      <c r="O41" s="253" t="s">
        <v>934</v>
      </c>
      <c r="P41" s="254"/>
      <c r="Q41" s="254"/>
      <c r="R41" s="254"/>
      <c r="S41" s="254"/>
      <c r="T41" s="254"/>
      <c r="U41" s="254"/>
      <c r="V41" s="254"/>
      <c r="W41" s="254"/>
      <c r="X41" s="253" t="s">
        <v>123</v>
      </c>
      <c r="Y41" s="253"/>
      <c r="Z41" s="254"/>
      <c r="AA41" s="254"/>
      <c r="AB41" s="254"/>
      <c r="AC41" s="254"/>
      <c r="AD41" s="254"/>
      <c r="AE41" s="254"/>
      <c r="AF41" s="256"/>
      <c r="AG41" s="253" t="s">
        <v>138</v>
      </c>
      <c r="AH41" s="254"/>
      <c r="AI41" s="254"/>
      <c r="AJ41" s="254"/>
      <c r="AK41" s="154"/>
    </row>
    <row r="42" spans="9:45" ht="15.95" customHeight="1">
      <c r="I42" s="153"/>
      <c r="J42" s="1303"/>
      <c r="K42" s="1303"/>
      <c r="L42" s="1303"/>
      <c r="M42" s="1303"/>
      <c r="N42" s="1303"/>
      <c r="O42" s="1334"/>
      <c r="P42" s="1334"/>
      <c r="Q42" s="1334"/>
      <c r="R42" s="1334"/>
      <c r="S42" s="1334"/>
      <c r="T42" s="1334"/>
      <c r="U42" s="1334"/>
      <c r="V42" s="1334"/>
      <c r="W42" s="377"/>
      <c r="X42" s="1332" t="str">
        <f>IF(O42="","",O42)</f>
        <v/>
      </c>
      <c r="Y42" s="1332"/>
      <c r="Z42" s="1332"/>
      <c r="AA42" s="1332"/>
      <c r="AB42" s="1332"/>
      <c r="AC42" s="1332"/>
      <c r="AD42" s="1332"/>
      <c r="AE42" s="1332"/>
      <c r="AF42" s="378"/>
      <c r="AG42" s="1333"/>
      <c r="AH42" s="1333"/>
      <c r="AI42" s="1333"/>
      <c r="AJ42" s="257"/>
      <c r="AK42" s="154"/>
    </row>
    <row r="43" spans="9:45" ht="15.95" customHeight="1">
      <c r="I43" s="153"/>
      <c r="J43" s="1303"/>
      <c r="K43" s="1303"/>
      <c r="L43" s="1303"/>
      <c r="M43" s="1303"/>
      <c r="N43" s="1303"/>
      <c r="O43" s="1335" t="str">
        <f ca="1">IF(CELL("protect",O42)=1,"eSignature Signed","")</f>
        <v/>
      </c>
      <c r="P43" s="1335"/>
      <c r="Q43" s="1335"/>
      <c r="R43" s="1335"/>
      <c r="S43" s="1335"/>
      <c r="T43" s="256"/>
      <c r="U43" s="256"/>
      <c r="V43" s="256"/>
      <c r="W43" s="256"/>
      <c r="X43" s="256"/>
      <c r="Y43" s="256"/>
      <c r="Z43" s="256"/>
      <c r="AA43" s="256"/>
      <c r="AB43" s="256"/>
      <c r="AC43" s="256"/>
      <c r="AD43" s="256"/>
      <c r="AE43" s="256"/>
      <c r="AF43" s="256"/>
      <c r="AG43" s="256"/>
      <c r="AH43" s="256"/>
      <c r="AI43" s="256"/>
      <c r="AJ43" s="256"/>
      <c r="AK43" s="154"/>
    </row>
    <row r="44" spans="9:45" ht="15.95" customHeight="1">
      <c r="I44" s="153"/>
      <c r="AK44" s="154"/>
    </row>
    <row r="45" spans="9:45" ht="15.95" customHeight="1">
      <c r="I45" s="153"/>
      <c r="J45" s="241"/>
      <c r="K45" s="1338" t="s">
        <v>1242</v>
      </c>
      <c r="L45" s="1338"/>
      <c r="M45" s="1338"/>
      <c r="N45" s="1338"/>
      <c r="O45" s="1338"/>
      <c r="P45" s="1338"/>
      <c r="Q45" s="1338"/>
      <c r="R45" s="1338"/>
      <c r="S45" s="1338"/>
      <c r="T45" s="1338"/>
      <c r="U45" s="1338"/>
      <c r="V45" s="243"/>
      <c r="X45" s="241"/>
      <c r="Y45" s="1338" t="s">
        <v>1241</v>
      </c>
      <c r="Z45" s="1338"/>
      <c r="AA45" s="1338"/>
      <c r="AB45" s="1338"/>
      <c r="AC45" s="1338"/>
      <c r="AD45" s="1338"/>
      <c r="AE45" s="1338"/>
      <c r="AF45" s="1338"/>
      <c r="AG45" s="1338"/>
      <c r="AH45" s="1338"/>
      <c r="AI45" s="1338"/>
      <c r="AJ45" s="243"/>
      <c r="AK45" s="154"/>
    </row>
    <row r="46" spans="9:45" ht="15.95" customHeight="1">
      <c r="I46" s="153"/>
      <c r="J46" s="242"/>
      <c r="K46" s="1338"/>
      <c r="L46" s="1338"/>
      <c r="M46" s="1338"/>
      <c r="N46" s="1338"/>
      <c r="O46" s="1338"/>
      <c r="P46" s="1338"/>
      <c r="Q46" s="1338"/>
      <c r="R46" s="1338"/>
      <c r="S46" s="1338"/>
      <c r="T46" s="1338"/>
      <c r="U46" s="1338"/>
      <c r="V46" s="242"/>
      <c r="X46" s="242"/>
      <c r="Y46" s="1338"/>
      <c r="Z46" s="1338"/>
      <c r="AA46" s="1338"/>
      <c r="AB46" s="1338"/>
      <c r="AC46" s="1338"/>
      <c r="AD46" s="1338"/>
      <c r="AE46" s="1338"/>
      <c r="AF46" s="1338"/>
      <c r="AG46" s="1338"/>
      <c r="AH46" s="1338"/>
      <c r="AI46" s="1338"/>
      <c r="AJ46" s="242"/>
      <c r="AK46" s="154"/>
    </row>
    <row r="47" spans="9:45" ht="15.95" customHeight="1">
      <c r="I47" s="153"/>
      <c r="J47" s="1339" t="s">
        <v>1243</v>
      </c>
      <c r="K47" s="1339"/>
      <c r="L47" s="1339"/>
      <c r="M47" s="1339"/>
      <c r="N47" s="1339"/>
      <c r="O47" s="1339"/>
      <c r="P47" s="1339"/>
      <c r="Q47" s="1339"/>
      <c r="R47" s="1339"/>
      <c r="S47" s="1339"/>
      <c r="T47" s="1339"/>
      <c r="U47" s="1339"/>
      <c r="V47" s="1339"/>
      <c r="X47" s="1339" t="s">
        <v>937</v>
      </c>
      <c r="Y47" s="1339"/>
      <c r="Z47" s="1339"/>
      <c r="AA47" s="1339"/>
      <c r="AB47" s="1339"/>
      <c r="AC47" s="1339"/>
      <c r="AD47" s="1339"/>
      <c r="AE47" s="1339"/>
      <c r="AF47" s="1339"/>
      <c r="AG47" s="1339"/>
      <c r="AH47" s="1339"/>
      <c r="AI47" s="1339"/>
      <c r="AJ47" s="1339"/>
      <c r="AK47" s="154"/>
    </row>
    <row r="48" spans="9:45" ht="15.95" customHeight="1">
      <c r="I48" s="153"/>
      <c r="J48" s="1339"/>
      <c r="K48" s="1339"/>
      <c r="L48" s="1339"/>
      <c r="M48" s="1339"/>
      <c r="N48" s="1339"/>
      <c r="O48" s="1339"/>
      <c r="P48" s="1339"/>
      <c r="Q48" s="1339"/>
      <c r="R48" s="1339"/>
      <c r="S48" s="1339"/>
      <c r="T48" s="1339"/>
      <c r="U48" s="1339"/>
      <c r="V48" s="1339"/>
      <c r="X48" s="1339"/>
      <c r="Y48" s="1339"/>
      <c r="Z48" s="1339"/>
      <c r="AA48" s="1339"/>
      <c r="AB48" s="1339"/>
      <c r="AC48" s="1339"/>
      <c r="AD48" s="1339"/>
      <c r="AE48" s="1339"/>
      <c r="AF48" s="1339"/>
      <c r="AG48" s="1339"/>
      <c r="AH48" s="1339"/>
      <c r="AI48" s="1339"/>
      <c r="AJ48" s="1339"/>
      <c r="AK48" s="154"/>
    </row>
    <row r="49" spans="9:37" ht="15.95" customHeight="1">
      <c r="I49" s="153"/>
      <c r="J49" s="1339"/>
      <c r="K49" s="1339"/>
      <c r="L49" s="1339"/>
      <c r="M49" s="1339"/>
      <c r="N49" s="1339"/>
      <c r="O49" s="1339"/>
      <c r="P49" s="1339"/>
      <c r="Q49" s="1339"/>
      <c r="R49" s="1339"/>
      <c r="S49" s="1339"/>
      <c r="T49" s="1339"/>
      <c r="U49" s="1339"/>
      <c r="V49" s="1339"/>
      <c r="X49" s="1339"/>
      <c r="Y49" s="1339"/>
      <c r="Z49" s="1339"/>
      <c r="AA49" s="1339"/>
      <c r="AB49" s="1339"/>
      <c r="AC49" s="1339"/>
      <c r="AD49" s="1339"/>
      <c r="AE49" s="1339"/>
      <c r="AF49" s="1339"/>
      <c r="AG49" s="1339"/>
      <c r="AH49" s="1339"/>
      <c r="AI49" s="1339"/>
      <c r="AJ49" s="1339"/>
      <c r="AK49" s="154"/>
    </row>
    <row r="50" spans="9:37" ht="15.95" customHeight="1">
      <c r="I50" s="153"/>
      <c r="J50" s="1339"/>
      <c r="K50" s="1339"/>
      <c r="L50" s="1339"/>
      <c r="M50" s="1339"/>
      <c r="N50" s="1339"/>
      <c r="O50" s="1339"/>
      <c r="P50" s="1339"/>
      <c r="Q50" s="1339"/>
      <c r="R50" s="1339"/>
      <c r="S50" s="1339"/>
      <c r="T50" s="1339"/>
      <c r="U50" s="1339"/>
      <c r="V50" s="1339"/>
      <c r="X50" s="241"/>
      <c r="Y50" s="241"/>
      <c r="Z50" s="241"/>
      <c r="AA50" s="241"/>
      <c r="AB50" s="241"/>
      <c r="AC50" s="241"/>
      <c r="AD50" s="241"/>
      <c r="AE50" s="241"/>
      <c r="AF50" s="241"/>
      <c r="AG50" s="241"/>
      <c r="AH50" s="241"/>
      <c r="AI50" s="241"/>
      <c r="AJ50" s="241"/>
      <c r="AK50" s="154"/>
    </row>
    <row r="51" spans="9:37" ht="15.95" customHeight="1">
      <c r="I51" s="153"/>
      <c r="J51" s="241"/>
      <c r="K51" s="1340" t="s">
        <v>1511</v>
      </c>
      <c r="L51" s="1340"/>
      <c r="M51" s="1340"/>
      <c r="N51" s="1340"/>
      <c r="O51" s="1340"/>
      <c r="P51" s="241"/>
      <c r="Q51" s="1340" t="s">
        <v>2115</v>
      </c>
      <c r="R51" s="1340"/>
      <c r="S51" s="1340"/>
      <c r="T51" s="1340"/>
      <c r="U51" s="1340"/>
      <c r="V51" s="241"/>
      <c r="X51" s="241"/>
      <c r="Y51" s="1342" t="s">
        <v>1238</v>
      </c>
      <c r="Z51" s="1342"/>
      <c r="AA51" s="1342"/>
      <c r="AB51" s="1342"/>
      <c r="AC51" s="1342"/>
      <c r="AD51" s="1342"/>
      <c r="AE51" s="1342"/>
      <c r="AF51" s="241"/>
      <c r="AG51" s="1340" t="s">
        <v>138</v>
      </c>
      <c r="AH51" s="1340"/>
      <c r="AI51" s="1340"/>
      <c r="AJ51" s="241"/>
      <c r="AK51" s="154"/>
    </row>
    <row r="52" spans="9:37" ht="15.95" customHeight="1">
      <c r="I52" s="153"/>
      <c r="J52" s="241"/>
      <c r="K52" s="1341"/>
      <c r="L52" s="1341"/>
      <c r="M52" s="1341"/>
      <c r="N52" s="1341"/>
      <c r="O52" s="1341"/>
      <c r="P52" s="241"/>
      <c r="Q52" s="1341"/>
      <c r="R52" s="1341"/>
      <c r="S52" s="1341"/>
      <c r="T52" s="1341"/>
      <c r="U52" s="1341"/>
      <c r="V52" s="241"/>
      <c r="X52" s="241"/>
      <c r="Y52" s="1343"/>
      <c r="Z52" s="1343"/>
      <c r="AA52" s="1343"/>
      <c r="AB52" s="1343"/>
      <c r="AC52" s="1343"/>
      <c r="AD52" s="1343"/>
      <c r="AE52" s="1343"/>
      <c r="AF52" s="241"/>
      <c r="AG52" s="1341"/>
      <c r="AH52" s="1341"/>
      <c r="AI52" s="1341"/>
      <c r="AJ52" s="241"/>
      <c r="AK52" s="154"/>
    </row>
    <row r="53" spans="9:37" ht="15.95" customHeight="1">
      <c r="I53" s="153"/>
      <c r="J53" s="241"/>
      <c r="K53" s="241"/>
      <c r="L53" s="241"/>
      <c r="M53" s="241"/>
      <c r="N53" s="241"/>
      <c r="O53" s="241"/>
      <c r="P53" s="241"/>
      <c r="Q53" s="241"/>
      <c r="R53" s="241"/>
      <c r="S53" s="241"/>
      <c r="T53" s="241"/>
      <c r="U53" s="241"/>
      <c r="V53" s="241"/>
      <c r="X53" s="241"/>
      <c r="Y53" s="241"/>
      <c r="Z53" s="241"/>
      <c r="AA53" s="241"/>
      <c r="AB53" s="241"/>
      <c r="AC53" s="241"/>
      <c r="AD53" s="241"/>
      <c r="AE53" s="241"/>
      <c r="AF53" s="241"/>
      <c r="AG53" s="241"/>
      <c r="AH53" s="241"/>
      <c r="AI53" s="241"/>
      <c r="AJ53" s="241"/>
      <c r="AK53" s="154"/>
    </row>
    <row r="54" spans="9:37" ht="15.95" customHeight="1">
      <c r="I54" s="153"/>
      <c r="J54" s="241"/>
      <c r="K54" s="241"/>
      <c r="L54" s="241"/>
      <c r="M54" s="241"/>
      <c r="N54" s="241"/>
      <c r="O54" s="241"/>
      <c r="P54" s="241"/>
      <c r="Q54" s="241"/>
      <c r="R54" s="241"/>
      <c r="S54" s="241"/>
      <c r="T54" s="241"/>
      <c r="U54" s="241"/>
      <c r="V54" s="241"/>
      <c r="X54" s="241"/>
      <c r="Y54" s="241"/>
      <c r="Z54" s="241"/>
      <c r="AA54" s="241"/>
      <c r="AB54" s="241"/>
      <c r="AC54" s="241"/>
      <c r="AD54" s="241"/>
      <c r="AE54" s="241"/>
      <c r="AF54" s="241"/>
      <c r="AG54" s="241"/>
      <c r="AH54" s="241"/>
      <c r="AI54" s="241"/>
      <c r="AJ54" s="241"/>
      <c r="AK54" s="154"/>
    </row>
    <row r="55" spans="9:37" ht="15.95" customHeight="1">
      <c r="I55" s="153"/>
      <c r="AK55" s="154"/>
    </row>
    <row r="56" spans="9:37" ht="15.95" customHeight="1">
      <c r="I56" s="153"/>
      <c r="J56" s="1336" t="s">
        <v>1245</v>
      </c>
      <c r="K56" s="1303" t="s">
        <v>1244</v>
      </c>
      <c r="L56" s="1303"/>
      <c r="M56" s="1303"/>
      <c r="N56" s="1303"/>
      <c r="O56" s="255"/>
      <c r="P56" s="255"/>
      <c r="Q56" s="255"/>
      <c r="R56" s="255"/>
      <c r="S56" s="255"/>
      <c r="T56" s="255"/>
      <c r="U56" s="255"/>
      <c r="V56" s="255"/>
      <c r="W56" s="255"/>
      <c r="X56" s="255"/>
      <c r="Y56" s="255"/>
      <c r="Z56" s="255"/>
      <c r="AA56" s="255"/>
      <c r="AB56" s="255"/>
      <c r="AC56" s="255"/>
      <c r="AD56" s="255"/>
      <c r="AE56" s="255"/>
      <c r="AF56" s="255"/>
      <c r="AG56" s="255"/>
      <c r="AH56" s="255"/>
      <c r="AI56" s="255"/>
      <c r="AJ56" s="255"/>
      <c r="AK56" s="154"/>
    </row>
    <row r="57" spans="9:37" ht="15.95" customHeight="1">
      <c r="I57" s="153"/>
      <c r="J57" s="1336"/>
      <c r="K57" s="1303"/>
      <c r="L57" s="1303"/>
      <c r="M57" s="1303"/>
      <c r="N57" s="1303"/>
      <c r="O57" s="255"/>
      <c r="P57" s="1337" t="s">
        <v>1564</v>
      </c>
      <c r="Q57" s="1337"/>
      <c r="R57" s="1337"/>
      <c r="S57" s="1337"/>
      <c r="T57" s="1337"/>
      <c r="U57" s="1337"/>
      <c r="V57" s="1337"/>
      <c r="W57" s="1337"/>
      <c r="X57" s="1337"/>
      <c r="Y57" s="1337"/>
      <c r="Z57" s="1337"/>
      <c r="AA57" s="1337"/>
      <c r="AB57" s="1337"/>
      <c r="AC57" s="1337"/>
      <c r="AD57" s="1337"/>
      <c r="AE57" s="1337"/>
      <c r="AF57" s="1337"/>
      <c r="AG57" s="1337"/>
      <c r="AH57" s="1337"/>
      <c r="AI57" s="1337"/>
      <c r="AJ57" s="255"/>
      <c r="AK57" s="154"/>
    </row>
    <row r="58" spans="9:37" ht="15.95" customHeight="1">
      <c r="I58" s="153"/>
      <c r="J58" s="1336"/>
      <c r="K58" s="1303"/>
      <c r="L58" s="1303"/>
      <c r="M58" s="1303"/>
      <c r="N58" s="1303"/>
      <c r="O58" s="248"/>
      <c r="P58" s="1337"/>
      <c r="Q58" s="1337"/>
      <c r="R58" s="1337"/>
      <c r="S58" s="1337"/>
      <c r="T58" s="1337"/>
      <c r="U58" s="1337"/>
      <c r="V58" s="1337"/>
      <c r="W58" s="1337"/>
      <c r="X58" s="1337"/>
      <c r="Y58" s="1337"/>
      <c r="Z58" s="1337"/>
      <c r="AA58" s="1337"/>
      <c r="AB58" s="1337"/>
      <c r="AC58" s="1337"/>
      <c r="AD58" s="1337"/>
      <c r="AE58" s="1337"/>
      <c r="AF58" s="1337"/>
      <c r="AG58" s="1337"/>
      <c r="AH58" s="1337"/>
      <c r="AI58" s="1337"/>
      <c r="AJ58" s="241"/>
      <c r="AK58" s="154"/>
    </row>
    <row r="59" spans="9:37" ht="15.95" customHeight="1">
      <c r="I59" s="153"/>
      <c r="J59" s="1336"/>
      <c r="K59" s="1303"/>
      <c r="L59" s="1303"/>
      <c r="M59" s="1303"/>
      <c r="N59" s="1303"/>
      <c r="O59" s="248"/>
      <c r="P59" s="1337"/>
      <c r="Q59" s="1337"/>
      <c r="R59" s="1337"/>
      <c r="S59" s="1337"/>
      <c r="T59" s="1337"/>
      <c r="U59" s="1337"/>
      <c r="V59" s="1337"/>
      <c r="W59" s="1337"/>
      <c r="X59" s="1337"/>
      <c r="Y59" s="1337"/>
      <c r="Z59" s="1337"/>
      <c r="AA59" s="1337"/>
      <c r="AB59" s="1337"/>
      <c r="AC59" s="1337"/>
      <c r="AD59" s="1337"/>
      <c r="AE59" s="1337"/>
      <c r="AF59" s="1337"/>
      <c r="AG59" s="1337"/>
      <c r="AH59" s="1337"/>
      <c r="AI59" s="1337"/>
      <c r="AJ59" s="241"/>
      <c r="AK59" s="154"/>
    </row>
    <row r="60" spans="9:37" ht="15.95" customHeight="1">
      <c r="I60" s="153"/>
      <c r="J60" s="1336"/>
      <c r="K60" s="1303"/>
      <c r="L60" s="1303"/>
      <c r="M60" s="1303"/>
      <c r="N60" s="1303"/>
      <c r="O60" s="241"/>
      <c r="P60" s="241"/>
      <c r="Q60" s="241"/>
      <c r="R60" s="241"/>
      <c r="S60" s="241"/>
      <c r="T60" s="241"/>
      <c r="U60" s="241"/>
      <c r="V60" s="241"/>
      <c r="W60" s="241"/>
      <c r="X60" s="241"/>
      <c r="Y60" s="241"/>
      <c r="Z60" s="241"/>
      <c r="AA60" s="241"/>
      <c r="AB60" s="241"/>
      <c r="AC60" s="241"/>
      <c r="AD60" s="241"/>
      <c r="AE60" s="241"/>
      <c r="AF60" s="241"/>
      <c r="AG60" s="241"/>
      <c r="AH60" s="241"/>
      <c r="AI60" s="241"/>
      <c r="AJ60" s="241"/>
      <c r="AK60" s="154"/>
    </row>
    <row r="61" spans="9:37" ht="15.95" customHeight="1">
      <c r="I61" s="153"/>
      <c r="K61" s="259"/>
      <c r="L61" s="259"/>
      <c r="M61" s="259"/>
      <c r="N61" s="259"/>
      <c r="O61" s="259"/>
      <c r="P61" s="259"/>
      <c r="Q61" s="259"/>
      <c r="R61" s="259"/>
      <c r="S61" s="259"/>
      <c r="T61" s="259"/>
      <c r="U61" s="259"/>
      <c r="V61" s="259"/>
      <c r="W61" s="259"/>
      <c r="X61" s="259"/>
      <c r="Y61" s="259"/>
      <c r="Z61" s="259"/>
      <c r="AA61" s="259"/>
      <c r="AB61" s="259"/>
      <c r="AC61" s="259"/>
      <c r="AD61" s="259"/>
      <c r="AE61" s="259"/>
      <c r="AF61" s="259"/>
      <c r="AG61" s="259"/>
      <c r="AH61" s="259"/>
      <c r="AI61" s="259"/>
      <c r="AJ61" s="259"/>
      <c r="AK61" s="154"/>
    </row>
    <row r="62" spans="9:37" ht="15.95" customHeight="1">
      <c r="I62" s="153"/>
      <c r="J62" s="1285" t="s">
        <v>2580</v>
      </c>
      <c r="K62" s="1286"/>
      <c r="L62" s="1286"/>
      <c r="M62" s="1286"/>
      <c r="N62" s="1286"/>
      <c r="O62" s="1286"/>
      <c r="P62" s="1286"/>
      <c r="Q62" s="1286"/>
      <c r="R62" s="1286"/>
      <c r="S62" s="1286"/>
      <c r="T62" s="1286"/>
      <c r="U62" s="1286"/>
      <c r="V62" s="1286"/>
      <c r="W62" s="1286"/>
      <c r="X62" s="1286"/>
      <c r="Y62" s="1286"/>
      <c r="Z62" s="1286"/>
      <c r="AA62" s="1286"/>
      <c r="AB62" s="1286"/>
      <c r="AC62" s="1286"/>
      <c r="AD62" s="1286"/>
      <c r="AE62" s="1286"/>
      <c r="AF62" s="1286"/>
      <c r="AG62" s="1286"/>
      <c r="AH62" s="1286"/>
      <c r="AI62" s="1286"/>
      <c r="AJ62" s="1286"/>
      <c r="AK62" s="154"/>
    </row>
    <row r="63" spans="9:37" ht="15.95" customHeight="1">
      <c r="I63" s="153"/>
      <c r="J63" s="1286"/>
      <c r="K63" s="1286"/>
      <c r="L63" s="1286"/>
      <c r="M63" s="1286"/>
      <c r="N63" s="1286"/>
      <c r="O63" s="1286"/>
      <c r="P63" s="1286"/>
      <c r="Q63" s="1286"/>
      <c r="R63" s="1286"/>
      <c r="S63" s="1286"/>
      <c r="T63" s="1286"/>
      <c r="U63" s="1286"/>
      <c r="V63" s="1286"/>
      <c r="W63" s="1286"/>
      <c r="X63" s="1286"/>
      <c r="Y63" s="1286"/>
      <c r="Z63" s="1286"/>
      <c r="AA63" s="1286"/>
      <c r="AB63" s="1286"/>
      <c r="AC63" s="1286"/>
      <c r="AD63" s="1286"/>
      <c r="AE63" s="1286"/>
      <c r="AF63" s="1286"/>
      <c r="AG63" s="1286"/>
      <c r="AH63" s="1286"/>
      <c r="AI63" s="1286"/>
      <c r="AJ63" s="1286"/>
      <c r="AK63" s="154"/>
    </row>
    <row r="64" spans="9:37" ht="15.95" customHeight="1">
      <c r="I64" s="153"/>
      <c r="J64" s="1286"/>
      <c r="K64" s="1286"/>
      <c r="L64" s="1286"/>
      <c r="M64" s="1286"/>
      <c r="N64" s="1286"/>
      <c r="O64" s="1286"/>
      <c r="P64" s="1286"/>
      <c r="Q64" s="1286"/>
      <c r="R64" s="1286"/>
      <c r="S64" s="1286"/>
      <c r="T64" s="1286"/>
      <c r="U64" s="1286"/>
      <c r="V64" s="1286"/>
      <c r="W64" s="1286"/>
      <c r="X64" s="1286"/>
      <c r="Y64" s="1286"/>
      <c r="Z64" s="1286"/>
      <c r="AA64" s="1286"/>
      <c r="AB64" s="1286"/>
      <c r="AC64" s="1286"/>
      <c r="AD64" s="1286"/>
      <c r="AE64" s="1286"/>
      <c r="AF64" s="1286"/>
      <c r="AG64" s="1286"/>
      <c r="AH64" s="1286"/>
      <c r="AI64" s="1286"/>
      <c r="AJ64" s="1286"/>
      <c r="AK64" s="154"/>
    </row>
    <row r="65" spans="9:37" ht="15.95" customHeight="1">
      <c r="I65" s="153"/>
      <c r="J65" s="1286"/>
      <c r="K65" s="1286"/>
      <c r="L65" s="1286"/>
      <c r="M65" s="1286"/>
      <c r="N65" s="1286"/>
      <c r="O65" s="1286"/>
      <c r="P65" s="1286"/>
      <c r="Q65" s="1286"/>
      <c r="R65" s="1286"/>
      <c r="S65" s="1286"/>
      <c r="T65" s="1286"/>
      <c r="U65" s="1286"/>
      <c r="V65" s="1286"/>
      <c r="W65" s="1286"/>
      <c r="X65" s="1286"/>
      <c r="Y65" s="1286"/>
      <c r="Z65" s="1286"/>
      <c r="AA65" s="1286"/>
      <c r="AB65" s="1286"/>
      <c r="AC65" s="1286"/>
      <c r="AD65" s="1286"/>
      <c r="AE65" s="1286"/>
      <c r="AF65" s="1286"/>
      <c r="AG65" s="1286"/>
      <c r="AH65" s="1286"/>
      <c r="AI65" s="1286"/>
      <c r="AJ65" s="1286"/>
      <c r="AK65" s="154"/>
    </row>
    <row r="66" spans="9:37" ht="15.95" customHeight="1">
      <c r="I66" s="153"/>
      <c r="J66" s="1286"/>
      <c r="K66" s="1286"/>
      <c r="L66" s="1286"/>
      <c r="M66" s="1286"/>
      <c r="N66" s="1286"/>
      <c r="O66" s="1286"/>
      <c r="P66" s="1286"/>
      <c r="Q66" s="1286"/>
      <c r="R66" s="1286"/>
      <c r="S66" s="1286"/>
      <c r="T66" s="1286"/>
      <c r="U66" s="1286"/>
      <c r="V66" s="1286"/>
      <c r="W66" s="1286"/>
      <c r="X66" s="1286"/>
      <c r="Y66" s="1286"/>
      <c r="Z66" s="1286"/>
      <c r="AA66" s="1286"/>
      <c r="AB66" s="1286"/>
      <c r="AC66" s="1286"/>
      <c r="AD66" s="1286"/>
      <c r="AE66" s="1286"/>
      <c r="AF66" s="1286"/>
      <c r="AG66" s="1286"/>
      <c r="AH66" s="1286"/>
      <c r="AI66" s="1286"/>
      <c r="AJ66" s="1286"/>
      <c r="AK66" s="154"/>
    </row>
    <row r="67" spans="9:37" ht="15.95" customHeight="1">
      <c r="I67" s="153"/>
      <c r="J67" s="1286"/>
      <c r="K67" s="1286"/>
      <c r="L67" s="1286"/>
      <c r="M67" s="1286"/>
      <c r="N67" s="1286"/>
      <c r="O67" s="1286"/>
      <c r="P67" s="1286"/>
      <c r="Q67" s="1286"/>
      <c r="R67" s="1286"/>
      <c r="S67" s="1286"/>
      <c r="T67" s="1286"/>
      <c r="U67" s="1286"/>
      <c r="V67" s="1286"/>
      <c r="W67" s="1286"/>
      <c r="X67" s="1286"/>
      <c r="Y67" s="1286"/>
      <c r="Z67" s="1286"/>
      <c r="AA67" s="1286"/>
      <c r="AB67" s="1286"/>
      <c r="AC67" s="1286"/>
      <c r="AD67" s="1286"/>
      <c r="AE67" s="1286"/>
      <c r="AF67" s="1286"/>
      <c r="AG67" s="1286"/>
      <c r="AH67" s="1286"/>
      <c r="AI67" s="1286"/>
      <c r="AJ67" s="1286"/>
      <c r="AK67" s="154"/>
    </row>
    <row r="68" spans="9:37" ht="15.95" customHeight="1">
      <c r="I68" s="153"/>
      <c r="J68" s="1286"/>
      <c r="K68" s="1286"/>
      <c r="L68" s="1286"/>
      <c r="M68" s="1286"/>
      <c r="N68" s="1286"/>
      <c r="O68" s="1286"/>
      <c r="P68" s="1286"/>
      <c r="Q68" s="1286"/>
      <c r="R68" s="1286"/>
      <c r="S68" s="1286"/>
      <c r="T68" s="1286"/>
      <c r="U68" s="1286"/>
      <c r="V68" s="1286"/>
      <c r="W68" s="1286"/>
      <c r="X68" s="1286"/>
      <c r="Y68" s="1286"/>
      <c r="Z68" s="1286"/>
      <c r="AA68" s="1286"/>
      <c r="AB68" s="1286"/>
      <c r="AC68" s="1286"/>
      <c r="AD68" s="1286"/>
      <c r="AE68" s="1286"/>
      <c r="AF68" s="1286"/>
      <c r="AG68" s="1286"/>
      <c r="AH68" s="1286"/>
      <c r="AI68" s="1286"/>
      <c r="AJ68" s="1286"/>
      <c r="AK68" s="154"/>
    </row>
    <row r="69" spans="9:37" ht="15.95" customHeight="1">
      <c r="I69" s="153"/>
      <c r="J69" s="1286"/>
      <c r="K69" s="1286"/>
      <c r="L69" s="1286"/>
      <c r="M69" s="1286"/>
      <c r="N69" s="1286"/>
      <c r="O69" s="1286"/>
      <c r="P69" s="1286"/>
      <c r="Q69" s="1286"/>
      <c r="R69" s="1286"/>
      <c r="S69" s="1286"/>
      <c r="T69" s="1286"/>
      <c r="U69" s="1286"/>
      <c r="V69" s="1286"/>
      <c r="W69" s="1286"/>
      <c r="X69" s="1286"/>
      <c r="Y69" s="1286"/>
      <c r="Z69" s="1286"/>
      <c r="AA69" s="1286"/>
      <c r="AB69" s="1286"/>
      <c r="AC69" s="1286"/>
      <c r="AD69" s="1286"/>
      <c r="AE69" s="1286"/>
      <c r="AF69" s="1286"/>
      <c r="AG69" s="1286"/>
      <c r="AH69" s="1286"/>
      <c r="AI69" s="1286"/>
      <c r="AJ69" s="1286"/>
      <c r="AK69" s="154"/>
    </row>
    <row r="70" spans="9:37" ht="18.75" customHeight="1">
      <c r="I70" s="153"/>
      <c r="J70" s="1286"/>
      <c r="K70" s="1286"/>
      <c r="L70" s="1286"/>
      <c r="M70" s="1286"/>
      <c r="N70" s="1286"/>
      <c r="O70" s="1286"/>
      <c r="P70" s="1286"/>
      <c r="Q70" s="1286"/>
      <c r="R70" s="1286"/>
      <c r="S70" s="1286"/>
      <c r="T70" s="1286"/>
      <c r="U70" s="1286"/>
      <c r="V70" s="1286"/>
      <c r="W70" s="1286"/>
      <c r="X70" s="1286"/>
      <c r="Y70" s="1286"/>
      <c r="Z70" s="1286"/>
      <c r="AA70" s="1286"/>
      <c r="AB70" s="1286"/>
      <c r="AC70" s="1286"/>
      <c r="AD70" s="1286"/>
      <c r="AE70" s="1286"/>
      <c r="AF70" s="1286"/>
      <c r="AG70" s="1286"/>
      <c r="AH70" s="1286"/>
      <c r="AI70" s="1286"/>
      <c r="AJ70" s="1286"/>
      <c r="AK70" s="154"/>
    </row>
    <row r="71" spans="9:37" ht="15.95" customHeight="1">
      <c r="I71" s="153"/>
      <c r="J71" s="1286"/>
      <c r="K71" s="1286"/>
      <c r="L71" s="1286"/>
      <c r="M71" s="1286"/>
      <c r="N71" s="1286"/>
      <c r="O71" s="1286"/>
      <c r="P71" s="1286"/>
      <c r="Q71" s="1286"/>
      <c r="R71" s="1286"/>
      <c r="S71" s="1286"/>
      <c r="T71" s="1286"/>
      <c r="U71" s="1286"/>
      <c r="V71" s="1286"/>
      <c r="W71" s="1286"/>
      <c r="X71" s="1286"/>
      <c r="Y71" s="1286"/>
      <c r="Z71" s="1286"/>
      <c r="AA71" s="1286"/>
      <c r="AB71" s="1286"/>
      <c r="AC71" s="1286"/>
      <c r="AD71" s="1286"/>
      <c r="AE71" s="1286"/>
      <c r="AF71" s="1286"/>
      <c r="AG71" s="1286"/>
      <c r="AH71" s="1286"/>
      <c r="AI71" s="1286"/>
      <c r="AJ71" s="1286"/>
      <c r="AK71" s="154"/>
    </row>
    <row r="72" spans="9:37" ht="15.95" customHeight="1">
      <c r="I72" s="153"/>
      <c r="J72" s="1287" t="s">
        <v>1563</v>
      </c>
      <c r="K72" s="1287"/>
      <c r="L72" s="1287"/>
      <c r="M72" s="1287"/>
      <c r="N72" s="1287"/>
      <c r="O72" s="1287"/>
      <c r="P72" s="1287"/>
      <c r="Q72" s="1287"/>
      <c r="R72" s="1287"/>
      <c r="S72" s="1287"/>
      <c r="T72" s="1287"/>
      <c r="U72" s="1287"/>
      <c r="V72" s="1287"/>
      <c r="W72" s="1287"/>
      <c r="X72" s="1287"/>
      <c r="Y72" s="1287"/>
      <c r="Z72" s="1287"/>
      <c r="AA72" s="1287"/>
      <c r="AB72" s="1287"/>
      <c r="AC72" s="1287"/>
      <c r="AD72" s="1287"/>
      <c r="AE72" s="1287"/>
      <c r="AF72" s="1287"/>
      <c r="AG72" s="1287"/>
      <c r="AH72" s="1287"/>
      <c r="AI72" s="1287"/>
      <c r="AJ72" s="1287"/>
      <c r="AK72" s="154"/>
    </row>
    <row r="73" spans="9:37" ht="15.95" customHeight="1">
      <c r="I73" s="153"/>
      <c r="J73" s="1287"/>
      <c r="K73" s="1287"/>
      <c r="L73" s="1287"/>
      <c r="M73" s="1287"/>
      <c r="N73" s="1287"/>
      <c r="O73" s="1287"/>
      <c r="P73" s="1287"/>
      <c r="Q73" s="1287"/>
      <c r="R73" s="1287"/>
      <c r="S73" s="1287"/>
      <c r="T73" s="1287"/>
      <c r="U73" s="1287"/>
      <c r="V73" s="1287"/>
      <c r="W73" s="1287"/>
      <c r="X73" s="1287"/>
      <c r="Y73" s="1287"/>
      <c r="Z73" s="1287"/>
      <c r="AA73" s="1287"/>
      <c r="AB73" s="1287"/>
      <c r="AC73" s="1287"/>
      <c r="AD73" s="1287"/>
      <c r="AE73" s="1287"/>
      <c r="AF73" s="1287"/>
      <c r="AG73" s="1287"/>
      <c r="AH73" s="1287"/>
      <c r="AI73" s="1287"/>
      <c r="AJ73" s="1287"/>
      <c r="AK73" s="154"/>
    </row>
    <row r="74" spans="9:37" ht="15.95" customHeight="1">
      <c r="I74" s="155"/>
      <c r="J74" s="156"/>
      <c r="K74" s="156"/>
      <c r="L74" s="156"/>
      <c r="M74" s="156"/>
      <c r="N74" s="156"/>
      <c r="O74" s="156"/>
      <c r="P74" s="156"/>
      <c r="Q74" s="156"/>
      <c r="R74" s="156"/>
      <c r="S74" s="156"/>
      <c r="T74" s="156"/>
      <c r="U74" s="156"/>
      <c r="V74" s="156"/>
      <c r="W74" s="156"/>
      <c r="X74" s="156"/>
      <c r="Y74" s="156"/>
      <c r="Z74" s="156"/>
      <c r="AA74" s="156"/>
      <c r="AB74" s="156"/>
      <c r="AC74" s="156"/>
      <c r="AD74" s="156"/>
      <c r="AE74" s="156"/>
      <c r="AF74" s="156"/>
      <c r="AG74" s="156"/>
      <c r="AH74" s="156"/>
      <c r="AI74" s="156"/>
      <c r="AJ74" s="156"/>
      <c r="AK74" s="157"/>
    </row>
    <row r="75" spans="9:37" ht="15.95" customHeight="1">
      <c r="I75" s="59"/>
      <c r="J75" s="59"/>
      <c r="K75" s="59"/>
      <c r="L75" s="59"/>
      <c r="M75" s="59"/>
      <c r="N75" s="59"/>
      <c r="O75" s="59"/>
      <c r="P75" s="59"/>
      <c r="Q75" s="59"/>
      <c r="R75" s="59"/>
      <c r="S75" s="59"/>
      <c r="T75" s="59"/>
      <c r="U75" s="59"/>
      <c r="V75" s="59"/>
      <c r="W75" s="59"/>
      <c r="X75" s="59"/>
      <c r="Y75" s="59"/>
      <c r="Z75" s="59"/>
      <c r="AA75" s="59"/>
      <c r="AB75" s="59"/>
      <c r="AC75" s="59"/>
      <c r="AD75" s="59"/>
      <c r="AE75" s="59"/>
      <c r="AF75" s="59"/>
      <c r="AG75" s="59"/>
      <c r="AH75" s="59"/>
      <c r="AI75" s="59"/>
      <c r="AJ75" s="59"/>
      <c r="AK75" s="59"/>
    </row>
    <row r="76" spans="9:37" ht="15.95" hidden="1" customHeight="1">
      <c r="I76" s="59"/>
      <c r="J76" s="59"/>
      <c r="K76" s="59"/>
      <c r="L76" s="59"/>
      <c r="M76" s="59"/>
      <c r="N76" s="59"/>
      <c r="O76" s="59"/>
      <c r="P76" s="59"/>
      <c r="Q76" s="59"/>
      <c r="R76" s="59"/>
      <c r="S76" s="59"/>
      <c r="T76" s="59"/>
      <c r="U76" s="59"/>
      <c r="V76" s="59"/>
      <c r="W76" s="59"/>
      <c r="X76" s="59"/>
      <c r="Y76" s="59"/>
      <c r="Z76" s="59"/>
      <c r="AA76" s="59"/>
      <c r="AB76" s="59"/>
      <c r="AC76" s="59"/>
      <c r="AD76" s="59"/>
      <c r="AE76" s="59"/>
      <c r="AF76" s="59"/>
      <c r="AG76" s="59"/>
      <c r="AH76" s="59"/>
      <c r="AI76" s="59"/>
      <c r="AJ76" s="59"/>
      <c r="AK76" s="59"/>
    </row>
    <row r="77" spans="9:37" ht="15.95" hidden="1" customHeight="1"/>
    <row r="78" spans="9:37" ht="15.95" hidden="1" customHeight="1"/>
    <row r="79" spans="9:37" ht="15.95" hidden="1" customHeight="1"/>
    <row r="80" spans="9:37" ht="15.95" hidden="1" customHeight="1"/>
    <row r="81" ht="15.95" hidden="1" customHeight="1"/>
    <row r="82" ht="15.95" hidden="1" customHeight="1"/>
    <row r="83" ht="15.95" hidden="1" customHeight="1"/>
    <row r="84" ht="15.95" hidden="1" customHeight="1"/>
    <row r="85" ht="15.95" hidden="1" customHeight="1"/>
    <row r="86" ht="15.95" hidden="1" customHeight="1"/>
    <row r="87" ht="15.95" hidden="1" customHeight="1"/>
    <row r="88" ht="15.95" hidden="1" customHeight="1"/>
    <row r="89" ht="15.95" hidden="1" customHeight="1"/>
    <row r="90" ht="15.95" hidden="1" customHeight="1"/>
    <row r="91" ht="15.95" hidden="1" customHeight="1"/>
    <row r="92" ht="15.95" hidden="1" customHeight="1"/>
    <row r="93" ht="15.95" hidden="1" customHeight="1"/>
    <row r="94" ht="15.95" hidden="1" customHeight="1"/>
    <row r="95" ht="15.95" hidden="1" customHeight="1"/>
    <row r="96" ht="15.95" hidden="1" customHeight="1"/>
    <row r="97" ht="15.95" hidden="1" customHeight="1"/>
    <row r="98" ht="15.95" hidden="1" customHeight="1"/>
    <row r="99" ht="15.95" hidden="1" customHeight="1"/>
    <row r="100" ht="15.95" hidden="1" customHeight="1"/>
    <row r="101" ht="15.95" hidden="1" customHeight="1"/>
    <row r="102" ht="15.95" hidden="1" customHeight="1"/>
    <row r="103" ht="15.95" hidden="1" customHeight="1"/>
    <row r="104" ht="15.95" hidden="1" customHeight="1"/>
    <row r="105" ht="15.95" hidden="1" customHeight="1"/>
    <row r="106" ht="15.95" hidden="1" customHeight="1"/>
    <row r="107" ht="15.95" hidden="1" customHeight="1"/>
    <row r="108" ht="15.95" hidden="1" customHeight="1"/>
    <row r="109" ht="15.95" hidden="1" customHeight="1"/>
    <row r="110" ht="15.95" hidden="1" customHeight="1"/>
    <row r="111" ht="15.95" hidden="1" customHeight="1"/>
    <row r="112" ht="15.95" hidden="1" customHeight="1"/>
    <row r="113" ht="15.95" hidden="1" customHeight="1"/>
    <row r="114" ht="15.95" hidden="1" customHeight="1"/>
    <row r="115" ht="15.95" hidden="1" customHeight="1"/>
    <row r="116" ht="15.95" hidden="1" customHeight="1"/>
    <row r="117" ht="15.95" hidden="1" customHeight="1"/>
    <row r="118" ht="15.95" hidden="1" customHeight="1"/>
    <row r="119" ht="15.95" hidden="1" customHeight="1"/>
    <row r="120" ht="15.95" hidden="1" customHeight="1"/>
    <row r="121" ht="15.95" hidden="1" customHeight="1"/>
    <row r="122" ht="15.95" hidden="1" customHeight="1"/>
    <row r="123" ht="15.95" hidden="1" customHeight="1"/>
    <row r="124" ht="15.95" hidden="1" customHeight="1"/>
    <row r="125" ht="15.95" hidden="1" customHeight="1"/>
    <row r="126" ht="15.95" hidden="1" customHeight="1"/>
    <row r="127" ht="15.95" hidden="1" customHeight="1"/>
    <row r="128" ht="15.95" hidden="1" customHeight="1"/>
    <row r="129" ht="15.95" hidden="1" customHeight="1"/>
    <row r="130" ht="15.95" hidden="1" customHeight="1"/>
    <row r="131" ht="15.95" hidden="1" customHeight="1"/>
    <row r="132" ht="15.95" hidden="1" customHeight="1"/>
    <row r="133" ht="15.95" hidden="1" customHeight="1"/>
    <row r="134" ht="15.95" hidden="1" customHeight="1"/>
    <row r="135" ht="15.95" hidden="1" customHeight="1"/>
    <row r="136" ht="15.95" hidden="1" customHeight="1"/>
    <row r="137" ht="15.95" hidden="1" customHeight="1"/>
    <row r="138" ht="15.95" hidden="1" customHeight="1"/>
    <row r="139" ht="15.95" hidden="1" customHeight="1"/>
    <row r="140" ht="15.95" hidden="1" customHeight="1"/>
    <row r="141" ht="15.95" hidden="1" customHeight="1"/>
    <row r="142" ht="15.95" hidden="1" customHeight="1"/>
    <row r="143" ht="15.95" hidden="1" customHeight="1"/>
    <row r="144" ht="15.95" hidden="1" customHeight="1"/>
    <row r="145" ht="15.95" hidden="1" customHeight="1"/>
    <row r="146" ht="15.95" hidden="1" customHeight="1"/>
    <row r="147" ht="15.95" hidden="1" customHeight="1"/>
    <row r="148" ht="15.95" hidden="1" customHeight="1"/>
    <row r="149" ht="15.95" hidden="1" customHeight="1"/>
    <row r="150" ht="15.95" hidden="1" customHeight="1"/>
    <row r="151" ht="15.95" hidden="1" customHeight="1"/>
    <row r="152" ht="15.95" hidden="1" customHeight="1"/>
    <row r="153" ht="15.95" hidden="1" customHeight="1"/>
    <row r="154" ht="15.95" hidden="1" customHeight="1"/>
    <row r="155" ht="15.95" hidden="1" customHeight="1"/>
    <row r="156" ht="15.95" hidden="1" customHeight="1"/>
    <row r="157" ht="15.95" hidden="1" customHeight="1"/>
    <row r="158" ht="15.95" hidden="1" customHeight="1"/>
    <row r="159" ht="15.95" hidden="1" customHeight="1"/>
    <row r="160" ht="15.95" hidden="1" customHeight="1"/>
    <row r="161" ht="15.95" hidden="1" customHeight="1"/>
    <row r="162" ht="15.95" hidden="1" customHeight="1"/>
    <row r="163" ht="15.95" hidden="1" customHeight="1"/>
    <row r="164" ht="15.95" hidden="1" customHeight="1"/>
    <row r="165" ht="15.95" hidden="1" customHeight="1"/>
    <row r="166" ht="15.95" hidden="1" customHeight="1"/>
    <row r="167" ht="15.95" hidden="1" customHeight="1"/>
    <row r="168" ht="15.95" hidden="1" customHeight="1"/>
    <row r="169" ht="15.95" hidden="1" customHeight="1"/>
    <row r="170" ht="15.95" hidden="1" customHeight="1"/>
    <row r="171" ht="15.95" hidden="1" customHeight="1"/>
    <row r="172" ht="15.95" hidden="1" customHeight="1"/>
    <row r="173" ht="15.95" hidden="1" customHeight="1"/>
    <row r="174" ht="15.95" hidden="1" customHeight="1"/>
    <row r="175" ht="15.95" hidden="1" customHeight="1"/>
    <row r="176" ht="15.95" hidden="1" customHeight="1"/>
    <row r="177" ht="15.95" hidden="1" customHeight="1"/>
    <row r="178" ht="15.95" hidden="1" customHeight="1"/>
    <row r="179" ht="15.95" hidden="1" customHeight="1"/>
    <row r="180" ht="15.95" hidden="1" customHeight="1"/>
    <row r="181" ht="15.95" hidden="1" customHeight="1"/>
    <row r="182" ht="15.95" hidden="1" customHeight="1"/>
    <row r="183" ht="15.95" hidden="1" customHeight="1"/>
    <row r="184" ht="15.95" hidden="1" customHeight="1"/>
    <row r="185" ht="15.95" hidden="1" customHeight="1"/>
    <row r="186" ht="15.95" hidden="1" customHeight="1"/>
    <row r="187" ht="15.95" hidden="1" customHeight="1"/>
    <row r="188" ht="15.95" hidden="1" customHeight="1"/>
    <row r="189" ht="15.95" hidden="1" customHeight="1"/>
    <row r="190" ht="15.95" hidden="1" customHeight="1"/>
    <row r="191" ht="15.95" hidden="1" customHeight="1"/>
    <row r="192" ht="15.95" hidden="1" customHeight="1"/>
    <row r="193" spans="2:44" ht="15.95" hidden="1" customHeight="1"/>
    <row r="194" spans="2:44" ht="15.95" hidden="1" customHeight="1"/>
    <row r="195" spans="2:44" ht="15.95" hidden="1" customHeight="1"/>
    <row r="196" spans="2:44" ht="15.95" hidden="1" customHeight="1"/>
    <row r="197" spans="2:44" ht="15.95" hidden="1" customHeight="1"/>
    <row r="198" spans="2:44" ht="15.95" hidden="1" customHeight="1"/>
    <row r="199" spans="2:44" ht="15.95" hidden="1" customHeight="1"/>
    <row r="200" spans="2:44" ht="15.95" customHeight="1">
      <c r="B200" s="272" t="str">
        <f>FOOT1</f>
        <v>NIPSCO Energy Efficiency Program</v>
      </c>
      <c r="C200" s="272"/>
      <c r="D200" s="272"/>
      <c r="E200" s="272"/>
      <c r="F200" s="272"/>
      <c r="G200" s="272"/>
      <c r="H200" s="272"/>
      <c r="I200" s="272"/>
      <c r="J200" s="272"/>
      <c r="K200" s="272"/>
      <c r="L200" s="272"/>
      <c r="M200" s="661" t="str">
        <f>FOOT4</f>
        <v>NIPSCO’s energy efficiency programs are administered by TRC, a third‐party implementation specialist that helps homes and businesses save energy.</v>
      </c>
      <c r="N200" s="661"/>
      <c r="O200" s="661"/>
      <c r="P200" s="661"/>
      <c r="Q200" s="661"/>
      <c r="R200" s="661"/>
      <c r="S200" s="661"/>
      <c r="T200" s="661"/>
      <c r="U200" s="661"/>
      <c r="V200" s="661"/>
      <c r="W200" s="661"/>
      <c r="X200" s="661"/>
      <c r="Y200" s="661"/>
      <c r="Z200" s="661"/>
      <c r="AA200" s="661"/>
      <c r="AB200" s="661"/>
      <c r="AC200" s="661"/>
      <c r="AD200" s="661"/>
      <c r="AE200" s="661"/>
      <c r="AF200" s="661"/>
      <c r="AG200" s="661"/>
      <c r="AH200" s="272"/>
      <c r="AI200" s="272"/>
      <c r="AJ200" s="272"/>
      <c r="AK200" s="272"/>
      <c r="AL200" s="272"/>
      <c r="AM200" s="272"/>
      <c r="AN200" s="272"/>
      <c r="AO200" s="272"/>
      <c r="AP200" s="272"/>
      <c r="AQ200" s="272"/>
      <c r="AR200" s="273" t="str">
        <f>FOOTDISCLAIM</f>
        <v/>
      </c>
    </row>
    <row r="201" spans="2:44" ht="15.95" customHeight="1">
      <c r="B201" s="272" t="str">
        <f>FOOT2</f>
        <v>Toll-Free 800-299-2501</v>
      </c>
      <c r="C201" s="272"/>
      <c r="D201" s="272"/>
      <c r="E201" s="272"/>
      <c r="F201" s="272"/>
      <c r="G201" s="272"/>
      <c r="H201" s="272"/>
      <c r="I201" s="272"/>
      <c r="J201" s="272"/>
      <c r="K201" s="272"/>
      <c r="L201" s="272"/>
      <c r="M201" s="661"/>
      <c r="N201" s="661"/>
      <c r="O201" s="661"/>
      <c r="P201" s="661"/>
      <c r="Q201" s="661"/>
      <c r="R201" s="661"/>
      <c r="S201" s="661"/>
      <c r="T201" s="661"/>
      <c r="U201" s="661"/>
      <c r="V201" s="661"/>
      <c r="W201" s="661"/>
      <c r="X201" s="661"/>
      <c r="Y201" s="661"/>
      <c r="Z201" s="661"/>
      <c r="AA201" s="661"/>
      <c r="AB201" s="661"/>
      <c r="AC201" s="661"/>
      <c r="AD201" s="661"/>
      <c r="AE201" s="661"/>
      <c r="AF201" s="661"/>
      <c r="AG201" s="661"/>
      <c r="AH201" s="272"/>
      <c r="AI201" s="272"/>
      <c r="AJ201" s="272"/>
      <c r="AK201" s="272"/>
      <c r="AL201" s="272"/>
      <c r="AM201" s="272"/>
      <c r="AN201" s="272"/>
      <c r="AO201" s="272"/>
      <c r="AP201" s="272"/>
      <c r="AQ201" s="272"/>
      <c r="AR201" s="273" t="str">
        <f>FOOT5</f>
        <v/>
      </c>
    </row>
    <row r="202" spans="2:44" ht="15.95" customHeight="1">
      <c r="B202" s="281" t="str">
        <f>FOOT3</f>
        <v>NIPSCO.Savings@TRCcompanies.com</v>
      </c>
      <c r="C202" s="272"/>
      <c r="D202" s="272"/>
      <c r="E202" s="272"/>
      <c r="F202" s="272"/>
      <c r="G202" s="272"/>
      <c r="H202" s="272"/>
      <c r="I202" s="272"/>
      <c r="J202" s="272"/>
      <c r="K202" s="272"/>
      <c r="L202" s="272"/>
      <c r="M202" s="274"/>
      <c r="N202" s="272"/>
      <c r="O202" s="272"/>
      <c r="P202" s="274"/>
      <c r="Q202" s="274"/>
      <c r="R202" s="274"/>
      <c r="S202" s="274"/>
      <c r="T202" s="274"/>
      <c r="U202" s="274"/>
      <c r="V202" s="274"/>
      <c r="W202" s="275" t="str">
        <f>VERSION</f>
        <v>Custom Prescriptive Application v3.7.1</v>
      </c>
      <c r="X202" s="274"/>
      <c r="Y202" s="274"/>
      <c r="Z202" s="274"/>
      <c r="AA202" s="274"/>
      <c r="AB202" s="274"/>
      <c r="AC202" s="274"/>
      <c r="AD202" s="274"/>
      <c r="AE202" s="272"/>
      <c r="AF202" s="272"/>
      <c r="AG202" s="272"/>
      <c r="AH202" s="272"/>
      <c r="AI202" s="272"/>
      <c r="AJ202" s="272"/>
      <c r="AK202" s="272"/>
      <c r="AL202" s="272"/>
      <c r="AM202" s="272"/>
      <c r="AN202" s="272"/>
      <c r="AO202" s="272"/>
      <c r="AP202" s="272"/>
      <c r="AQ202" s="272"/>
      <c r="AR202" s="273" t="str">
        <f>FOOT6</f>
        <v>Product of TRC</v>
      </c>
    </row>
    <row r="203" spans="2:44" ht="15" hidden="1" customHeight="1">
      <c r="B203" s="304"/>
      <c r="C203" s="305"/>
      <c r="D203" s="305"/>
      <c r="E203" s="305"/>
      <c r="F203" s="305"/>
      <c r="G203" s="305"/>
      <c r="H203" s="305"/>
      <c r="I203" s="305"/>
      <c r="J203" s="305"/>
      <c r="K203" s="305"/>
      <c r="L203" s="305"/>
      <c r="M203" s="305"/>
      <c r="N203" s="305"/>
      <c r="O203" s="305"/>
      <c r="P203" s="305"/>
      <c r="Q203" s="305"/>
      <c r="R203" s="305"/>
      <c r="S203" s="305"/>
      <c r="T203" s="305"/>
      <c r="U203" s="305"/>
      <c r="V203" s="305"/>
      <c r="W203" s="305"/>
      <c r="X203" s="305"/>
      <c r="Y203" s="305"/>
      <c r="Z203" s="305"/>
      <c r="AA203" s="305"/>
      <c r="AB203" s="305"/>
      <c r="AC203" s="305"/>
      <c r="AD203" s="305"/>
      <c r="AE203" s="305"/>
      <c r="AF203" s="305"/>
      <c r="AG203" s="305"/>
      <c r="AH203" s="305"/>
      <c r="AI203" s="305"/>
      <c r="AJ203" s="305"/>
      <c r="AK203" s="305"/>
      <c r="AL203" s="305"/>
      <c r="AM203" s="305"/>
      <c r="AN203" s="305"/>
      <c r="AO203" s="305"/>
      <c r="AP203" s="305"/>
      <c r="AQ203" s="305"/>
      <c r="AR203" s="305"/>
    </row>
  </sheetData>
  <sheetProtection algorithmName="SHA-512" hashValue="ZVovt12pfI3k4FKhGz14ES2vaeM1kNFVSdcWuNSaQlnjsOMCU5LyNhbk/HUEB9p7z15DhrtVRffTnFLR4GATGg==" saltValue="wMh1oZ4uMd8wUfx+Q5va4A==" spinCount="100000" sheet="1" objects="1" scenarios="1" selectLockedCells="1"/>
  <mergeCells count="71">
    <mergeCell ref="J39:N43"/>
    <mergeCell ref="O42:V42"/>
    <mergeCell ref="O43:S43"/>
    <mergeCell ref="J56:J60"/>
    <mergeCell ref="K56:N60"/>
    <mergeCell ref="P57:AI59"/>
    <mergeCell ref="Y45:AI46"/>
    <mergeCell ref="X47:AJ49"/>
    <mergeCell ref="K51:O52"/>
    <mergeCell ref="Q51:U52"/>
    <mergeCell ref="J47:V50"/>
    <mergeCell ref="K45:U46"/>
    <mergeCell ref="Y51:AE52"/>
    <mergeCell ref="AG51:AI52"/>
    <mergeCell ref="T37:W37"/>
    <mergeCell ref="X37:AA37"/>
    <mergeCell ref="AB37:AE37"/>
    <mergeCell ref="X42:AE42"/>
    <mergeCell ref="AG42:AI42"/>
    <mergeCell ref="AD27:AI27"/>
    <mergeCell ref="AF37:AI37"/>
    <mergeCell ref="P26:U26"/>
    <mergeCell ref="J34:N37"/>
    <mergeCell ref="T34:W34"/>
    <mergeCell ref="X34:AA34"/>
    <mergeCell ref="AB34:AE34"/>
    <mergeCell ref="AF34:AI34"/>
    <mergeCell ref="T35:W35"/>
    <mergeCell ref="X35:AA35"/>
    <mergeCell ref="AB35:AE35"/>
    <mergeCell ref="AF35:AI35"/>
    <mergeCell ref="T36:W36"/>
    <mergeCell ref="X36:AA36"/>
    <mergeCell ref="AB36:AE36"/>
    <mergeCell ref="AF36:AI36"/>
    <mergeCell ref="N15:AC17"/>
    <mergeCell ref="J29:N32"/>
    <mergeCell ref="P29:U29"/>
    <mergeCell ref="W29:AB29"/>
    <mergeCell ref="P30:U30"/>
    <mergeCell ref="W30:AB30"/>
    <mergeCell ref="P31:U31"/>
    <mergeCell ref="W31:AB31"/>
    <mergeCell ref="P32:U32"/>
    <mergeCell ref="W32:AB32"/>
    <mergeCell ref="P27:U27"/>
    <mergeCell ref="W27:AB27"/>
    <mergeCell ref="F11:AN11"/>
    <mergeCell ref="AQ1:AR1"/>
    <mergeCell ref="AQ2:AR3"/>
    <mergeCell ref="AH1:AK1"/>
    <mergeCell ref="AL1:AP1"/>
    <mergeCell ref="AH2:AK3"/>
    <mergeCell ref="AL2:AP3"/>
    <mergeCell ref="F10:AN10"/>
    <mergeCell ref="J62:AJ71"/>
    <mergeCell ref="M200:AG201"/>
    <mergeCell ref="J72:AJ73"/>
    <mergeCell ref="AC18:AJ20"/>
    <mergeCell ref="J21:W22"/>
    <mergeCell ref="X21:AJ22"/>
    <mergeCell ref="W26:AB26"/>
    <mergeCell ref="AD26:AI26"/>
    <mergeCell ref="J24:N27"/>
    <mergeCell ref="P24:U24"/>
    <mergeCell ref="W24:AB24"/>
    <mergeCell ref="AD24:AI24"/>
    <mergeCell ref="P25:U25"/>
    <mergeCell ref="W25:AB25"/>
    <mergeCell ref="AD25:AI25"/>
    <mergeCell ref="J18:M20"/>
  </mergeCells>
  <conditionalFormatting sqref="K51">
    <cfRule type="expression" dxfId="50" priority="14">
      <formula>K51&lt;&gt;"project start date"</formula>
    </cfRule>
  </conditionalFormatting>
  <conditionalFormatting sqref="O42 AG42">
    <cfRule type="containsBlanks" dxfId="49" priority="67">
      <formula>LEN(TRIM(O42))=0</formula>
    </cfRule>
  </conditionalFormatting>
  <conditionalFormatting sqref="Q51 K51">
    <cfRule type="containsBlanks" dxfId="48" priority="13">
      <formula>LEN(TRIM(K51))=0</formula>
    </cfRule>
  </conditionalFormatting>
  <conditionalFormatting sqref="Q51">
    <cfRule type="expression" dxfId="47" priority="11">
      <formula>Q51&lt;&gt;"Estimated Completion Date"</formula>
    </cfRule>
  </conditionalFormatting>
  <conditionalFormatting sqref="Y51">
    <cfRule type="containsBlanks" dxfId="46" priority="7">
      <formula>LEN(TRIM(Y51))=0</formula>
    </cfRule>
    <cfRule type="expression" dxfId="45" priority="8">
      <formula>Y51&lt;&gt;"Customer Signature"</formula>
    </cfRule>
  </conditionalFormatting>
  <conditionalFormatting sqref="AG51">
    <cfRule type="containsBlanks" dxfId="44" priority="5">
      <formula>LEN(TRIM(AG51))=0</formula>
    </cfRule>
    <cfRule type="expression" dxfId="43" priority="6">
      <formula>AG51&lt;&gt;"Date"</formula>
    </cfRule>
  </conditionalFormatting>
  <conditionalFormatting sqref="AH2 AL2">
    <cfRule type="expression" dxfId="42" priority="15">
      <formula>PROJSTATUS=PROJSTATELI</formula>
    </cfRule>
    <cfRule type="expression" dxfId="41" priority="16">
      <formula>PROJSTATUS=PROJSTATREVIEW</formula>
    </cfRule>
    <cfRule type="expression" dxfId="40" priority="20">
      <formula>PROJSTATUS=PROJSTATPREAPPROVE</formula>
    </cfRule>
    <cfRule type="expression" dxfId="39" priority="21">
      <formula>PROJSTATUS=PROJSTATSTANDARD</formula>
    </cfRule>
    <cfRule type="expression" dxfId="38" priority="22">
      <formula>PROJSTATUS=PROJSTATEXP</formula>
    </cfRule>
  </conditionalFormatting>
  <conditionalFormatting sqref="AQ2:AR3">
    <cfRule type="cellIs" dxfId="37" priority="17" operator="equal">
      <formula>1</formula>
    </cfRule>
    <cfRule type="cellIs" dxfId="36" priority="18" operator="between">
      <formula>0.51</formula>
      <formula>0.99</formula>
    </cfRule>
    <cfRule type="cellIs" dxfId="35" priority="19" operator="lessThanOrEqual">
      <formula>0.5</formula>
    </cfRule>
  </conditionalFormatting>
  <hyperlinks>
    <hyperlink ref="B202" r:id="rId1" display="NIPSCO.Savings@TRCcompanies.com" xr:uid="{307AEC28-C16A-4B63-AA5C-34531767AB38}"/>
  </hyperlinks>
  <printOptions horizontalCentered="1" verticalCentered="1"/>
  <pageMargins left="0.3" right="0.3" top="0.3" bottom="0.3" header="0.25" footer="0.25"/>
  <pageSetup scale="78" orientation="portrait" r:id="rId2"/>
  <ignoredErrors>
    <ignoredError sqref="J56" numberStoredAsText="1"/>
  </ignoredErrors>
  <drawing r:id="rId3"/>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4">
    <pageSetUpPr fitToPage="1"/>
  </sheetPr>
  <dimension ref="A1:CI208"/>
  <sheetViews>
    <sheetView showGridLines="0" showRowColHeaders="0" showZeros="0" zoomScale="85" zoomScaleNormal="85" workbookViewId="0">
      <selection activeCell="K58" sqref="K58:Q58"/>
    </sheetView>
  </sheetViews>
  <sheetFormatPr defaultColWidth="0" defaultRowHeight="15" customHeight="1" zeroHeight="1"/>
  <cols>
    <col min="1" max="45" width="4.7109375" customWidth="1"/>
    <col min="46" max="78" width="9.140625" hidden="1" customWidth="1"/>
    <col min="79" max="87" width="0" hidden="1" customWidth="1"/>
    <col min="88" max="16384" width="9.140625" hidden="1"/>
  </cols>
  <sheetData>
    <row r="1" spans="6:44" ht="15.95" customHeight="1">
      <c r="AH1" s="686" t="s">
        <v>471</v>
      </c>
      <c r="AI1" s="686"/>
      <c r="AJ1" s="686"/>
      <c r="AK1" s="686"/>
      <c r="AL1" s="687" t="s">
        <v>736</v>
      </c>
      <c r="AM1" s="687"/>
      <c r="AN1" s="687"/>
      <c r="AO1" s="687"/>
      <c r="AP1" s="687"/>
      <c r="AQ1" s="683" t="s">
        <v>474</v>
      </c>
      <c r="AR1" s="683"/>
    </row>
    <row r="2" spans="6:44" ht="15.95" customHeight="1">
      <c r="AH2" s="688" t="str">
        <f ca="1">INCENSTATUS</f>
        <v>---</v>
      </c>
      <c r="AI2" s="689"/>
      <c r="AJ2" s="689"/>
      <c r="AK2" s="689"/>
      <c r="AL2" s="690" t="str">
        <f ca="1">PROJSTATUS</f>
        <v>Enter Measures</v>
      </c>
      <c r="AM2" s="690"/>
      <c r="AN2" s="690"/>
      <c r="AO2" s="690"/>
      <c r="AP2" s="690"/>
      <c r="AQ2" s="1298">
        <f ca="1">PROGRESSSTATUS</f>
        <v>2.8985507246376812E-2</v>
      </c>
      <c r="AR2" s="1299"/>
    </row>
    <row r="3" spans="6:44" ht="15.95" customHeight="1">
      <c r="AH3" s="680"/>
      <c r="AI3" s="681"/>
      <c r="AJ3" s="681"/>
      <c r="AK3" s="681"/>
      <c r="AL3" s="673"/>
      <c r="AM3" s="673"/>
      <c r="AN3" s="673"/>
      <c r="AO3" s="673"/>
      <c r="AP3" s="673"/>
      <c r="AQ3" s="1300"/>
      <c r="AR3" s="1301"/>
    </row>
    <row r="4" spans="6:44" ht="15.95" customHeight="1">
      <c r="AR4" s="171"/>
    </row>
    <row r="5" spans="6:44" ht="15.95" customHeight="1"/>
    <row r="6" spans="6:44" ht="15.95" customHeight="1"/>
    <row r="7" spans="6:44" ht="15.95" customHeight="1"/>
    <row r="8" spans="6:44" ht="15.95" customHeight="1"/>
    <row r="9" spans="6:44" ht="15.95" customHeight="1"/>
    <row r="10" spans="6:44" ht="15.95" customHeight="1">
      <c r="F10" s="691" t="s">
        <v>122</v>
      </c>
      <c r="G10" s="691"/>
      <c r="H10" s="691"/>
      <c r="I10" s="691"/>
      <c r="J10" s="691"/>
      <c r="K10" s="691"/>
      <c r="L10" s="691"/>
      <c r="M10" s="691"/>
      <c r="N10" s="691"/>
      <c r="O10" s="691"/>
      <c r="P10" s="691"/>
      <c r="Q10" s="691"/>
      <c r="R10" s="691"/>
      <c r="S10" s="691"/>
      <c r="T10" s="691"/>
      <c r="U10" s="691"/>
      <c r="V10" s="691"/>
      <c r="W10" s="691"/>
      <c r="X10" s="691"/>
      <c r="Y10" s="691"/>
      <c r="Z10" s="691"/>
      <c r="AA10" s="691"/>
      <c r="AB10" s="691"/>
      <c r="AC10" s="691"/>
      <c r="AD10" s="691"/>
      <c r="AE10" s="691"/>
      <c r="AF10" s="691"/>
      <c r="AG10" s="691"/>
      <c r="AH10" s="691"/>
      <c r="AI10" s="691"/>
      <c r="AJ10" s="691"/>
      <c r="AK10" s="691"/>
      <c r="AL10" s="691"/>
      <c r="AM10" s="691"/>
      <c r="AN10" s="691"/>
    </row>
    <row r="11" spans="6:44" ht="15.95" customHeight="1">
      <c r="F11" s="167"/>
      <c r="G11" s="167"/>
      <c r="H11" s="759" t="s">
        <v>1049</v>
      </c>
      <c r="I11" s="759"/>
      <c r="J11" s="759"/>
      <c r="K11" s="759"/>
      <c r="L11" s="759"/>
      <c r="M11" s="759"/>
      <c r="N11" s="759"/>
      <c r="O11" s="759"/>
      <c r="P11" s="759"/>
      <c r="Q11" s="759"/>
      <c r="R11" s="759"/>
      <c r="S11" s="759"/>
      <c r="T11" s="759"/>
      <c r="U11" s="759"/>
      <c r="V11" s="759"/>
      <c r="W11" s="759"/>
      <c r="X11" s="759"/>
      <c r="Y11" s="759"/>
      <c r="Z11" s="759"/>
      <c r="AA11" s="759"/>
      <c r="AB11" s="759"/>
      <c r="AC11" s="759"/>
      <c r="AD11" s="759"/>
      <c r="AE11" s="759"/>
      <c r="AF11" s="759"/>
      <c r="AG11" s="759"/>
      <c r="AH11" s="759"/>
      <c r="AI11" s="759"/>
      <c r="AJ11" s="759"/>
      <c r="AK11" s="759"/>
      <c r="AL11" s="759"/>
      <c r="AM11" s="167"/>
      <c r="AN11" s="167"/>
    </row>
    <row r="12" spans="6:44" ht="15.95" customHeight="1">
      <c r="F12" s="167"/>
      <c r="G12" s="167"/>
      <c r="H12" s="759"/>
      <c r="I12" s="759"/>
      <c r="J12" s="759"/>
      <c r="K12" s="759"/>
      <c r="L12" s="759"/>
      <c r="M12" s="759"/>
      <c r="N12" s="759"/>
      <c r="O12" s="759"/>
      <c r="P12" s="759"/>
      <c r="Q12" s="759"/>
      <c r="R12" s="759"/>
      <c r="S12" s="759"/>
      <c r="T12" s="759"/>
      <c r="U12" s="759"/>
      <c r="V12" s="759"/>
      <c r="W12" s="759"/>
      <c r="X12" s="759"/>
      <c r="Y12" s="759"/>
      <c r="Z12" s="759"/>
      <c r="AA12" s="759"/>
      <c r="AB12" s="759"/>
      <c r="AC12" s="759"/>
      <c r="AD12" s="759"/>
      <c r="AE12" s="759"/>
      <c r="AF12" s="759"/>
      <c r="AG12" s="759"/>
      <c r="AH12" s="759"/>
      <c r="AI12" s="759"/>
      <c r="AJ12" s="759"/>
      <c r="AK12" s="759"/>
      <c r="AL12" s="759"/>
      <c r="AM12" s="167"/>
      <c r="AN12" s="167"/>
    </row>
    <row r="13" spans="6:44" ht="15.95" customHeight="1">
      <c r="F13" s="151"/>
      <c r="G13" s="151"/>
      <c r="H13" s="151"/>
      <c r="I13" s="151"/>
      <c r="J13" s="151"/>
      <c r="K13" s="151"/>
      <c r="L13" s="151"/>
      <c r="M13" s="151"/>
      <c r="N13" s="151"/>
      <c r="O13" s="151"/>
      <c r="P13" s="151"/>
      <c r="Q13" s="151"/>
      <c r="R13" s="151"/>
      <c r="S13" s="151"/>
      <c r="T13" s="151"/>
      <c r="U13" s="151"/>
      <c r="V13" s="151"/>
      <c r="W13" s="151"/>
      <c r="X13" s="151"/>
      <c r="Y13" s="151"/>
      <c r="Z13" s="151"/>
      <c r="AA13" s="151"/>
      <c r="AB13" s="151"/>
      <c r="AC13" s="151"/>
      <c r="AD13" s="151"/>
      <c r="AE13" s="151"/>
      <c r="AF13" s="151"/>
      <c r="AG13" s="151"/>
      <c r="AH13" s="151"/>
      <c r="AI13" s="151"/>
      <c r="AJ13" s="151"/>
      <c r="AK13" s="151"/>
      <c r="AL13" s="151"/>
      <c r="AM13" s="151"/>
      <c r="AN13" s="151"/>
    </row>
    <row r="14" spans="6:44" ht="15.95" customHeight="1">
      <c r="F14" s="59"/>
      <c r="G14" s="59"/>
      <c r="H14" s="59"/>
      <c r="I14" s="101"/>
      <c r="J14" s="102"/>
      <c r="K14" s="102"/>
      <c r="L14" s="102"/>
      <c r="M14" s="102"/>
      <c r="N14" s="102"/>
      <c r="O14" s="102"/>
      <c r="P14" s="102"/>
      <c r="Q14" s="102"/>
      <c r="R14" s="102"/>
      <c r="S14" s="102"/>
      <c r="T14" s="102"/>
      <c r="U14" s="102"/>
      <c r="V14" s="102"/>
      <c r="W14" s="102"/>
      <c r="X14" s="102"/>
      <c r="Y14" s="102"/>
      <c r="Z14" s="102"/>
      <c r="AA14" s="102"/>
      <c r="AB14" s="102"/>
      <c r="AC14" s="102"/>
      <c r="AD14" s="102"/>
      <c r="AE14" s="102"/>
      <c r="AF14" s="102"/>
      <c r="AG14" s="102"/>
      <c r="AH14" s="102"/>
      <c r="AI14" s="102"/>
      <c r="AJ14" s="102"/>
      <c r="AK14" s="103"/>
      <c r="AL14" s="59"/>
      <c r="AM14" s="59"/>
      <c r="AN14" s="59"/>
    </row>
    <row r="15" spans="6:44" ht="15.95" customHeight="1">
      <c r="I15" s="104"/>
      <c r="J15" s="307"/>
      <c r="K15" s="307"/>
      <c r="L15" s="307"/>
      <c r="M15" s="307"/>
      <c r="N15" s="307"/>
      <c r="O15" s="307"/>
      <c r="P15" s="307"/>
      <c r="Q15" s="307"/>
      <c r="R15" s="307"/>
      <c r="S15" s="307"/>
      <c r="T15" s="307"/>
      <c r="U15" s="307"/>
      <c r="V15" s="307"/>
      <c r="W15" s="307"/>
      <c r="X15" s="307"/>
      <c r="Y15" s="307"/>
      <c r="Z15" s="307"/>
      <c r="AA15" s="307"/>
      <c r="AB15" s="307"/>
      <c r="AC15" s="307"/>
      <c r="AD15" s="307"/>
      <c r="AE15" s="307"/>
      <c r="AF15" s="307"/>
      <c r="AG15" s="307"/>
      <c r="AH15" s="307"/>
      <c r="AI15" s="307"/>
      <c r="AJ15" s="307"/>
      <c r="AK15" s="105"/>
    </row>
    <row r="16" spans="6:44" ht="15.95" customHeight="1">
      <c r="I16" s="104"/>
      <c r="J16" s="307"/>
      <c r="K16" s="307"/>
      <c r="L16" s="307"/>
      <c r="M16" s="307"/>
      <c r="N16" s="1350" t="s">
        <v>2121</v>
      </c>
      <c r="O16" s="1302"/>
      <c r="P16" s="1302"/>
      <c r="Q16" s="1302"/>
      <c r="R16" s="1302"/>
      <c r="S16" s="1302"/>
      <c r="T16" s="1302"/>
      <c r="U16" s="1302"/>
      <c r="V16" s="1302"/>
      <c r="W16" s="1302"/>
      <c r="X16" s="1302"/>
      <c r="Y16" s="1302"/>
      <c r="Z16" s="1302"/>
      <c r="AA16" s="1302"/>
      <c r="AB16" s="1302"/>
      <c r="AC16" s="1302"/>
      <c r="AD16" s="307"/>
      <c r="AE16" s="307"/>
      <c r="AF16" s="307"/>
      <c r="AG16" s="307"/>
      <c r="AH16" s="307"/>
      <c r="AI16" s="307"/>
      <c r="AJ16" s="307"/>
      <c r="AK16" s="105"/>
    </row>
    <row r="17" spans="9:37" ht="15.95" customHeight="1">
      <c r="I17" s="104"/>
      <c r="J17" s="307"/>
      <c r="K17" s="307"/>
      <c r="L17" s="307"/>
      <c r="M17" s="307"/>
      <c r="N17" s="1302"/>
      <c r="O17" s="1302"/>
      <c r="P17" s="1302"/>
      <c r="Q17" s="1302"/>
      <c r="R17" s="1302"/>
      <c r="S17" s="1302"/>
      <c r="T17" s="1302"/>
      <c r="U17" s="1302"/>
      <c r="V17" s="1302"/>
      <c r="W17" s="1302"/>
      <c r="X17" s="1302"/>
      <c r="Y17" s="1302"/>
      <c r="Z17" s="1302"/>
      <c r="AA17" s="1302"/>
      <c r="AB17" s="1302"/>
      <c r="AC17" s="1302"/>
      <c r="AD17" s="307"/>
      <c r="AE17" s="307"/>
      <c r="AF17" s="307"/>
      <c r="AG17" s="307"/>
      <c r="AH17" s="307"/>
      <c r="AI17" s="307"/>
      <c r="AJ17" s="307"/>
      <c r="AK17" s="105"/>
    </row>
    <row r="18" spans="9:37" ht="15.95" customHeight="1">
      <c r="I18" s="104"/>
      <c r="J18" s="307"/>
      <c r="K18" s="307"/>
      <c r="L18" s="307"/>
      <c r="M18" s="307"/>
      <c r="N18" s="1302"/>
      <c r="O18" s="1302"/>
      <c r="P18" s="1302"/>
      <c r="Q18" s="1302"/>
      <c r="R18" s="1302"/>
      <c r="S18" s="1302"/>
      <c r="T18" s="1302"/>
      <c r="U18" s="1302"/>
      <c r="V18" s="1302"/>
      <c r="W18" s="1302"/>
      <c r="X18" s="1302"/>
      <c r="Y18" s="1302"/>
      <c r="Z18" s="1302"/>
      <c r="AA18" s="1302"/>
      <c r="AB18" s="1302"/>
      <c r="AC18" s="1302"/>
      <c r="AD18" s="307"/>
      <c r="AE18" s="307"/>
      <c r="AF18" s="307"/>
      <c r="AG18" s="307"/>
      <c r="AH18" s="307"/>
      <c r="AI18" s="307"/>
      <c r="AJ18" s="307"/>
      <c r="AK18" s="105"/>
    </row>
    <row r="19" spans="9:37" ht="15.95" customHeight="1">
      <c r="I19" s="104"/>
      <c r="J19" s="1296" t="s">
        <v>122</v>
      </c>
      <c r="K19" s="1296"/>
      <c r="L19" s="1296"/>
      <c r="M19" s="1296"/>
      <c r="N19" s="1296"/>
      <c r="O19" s="1296"/>
      <c r="P19" s="1296"/>
      <c r="Q19" s="1296"/>
      <c r="R19" s="1296"/>
      <c r="S19" s="1296"/>
      <c r="T19" s="1296"/>
      <c r="U19" s="1296"/>
      <c r="V19" s="1296"/>
      <c r="W19" s="1296"/>
      <c r="X19" s="308"/>
      <c r="Y19" s="308"/>
      <c r="Z19" s="308"/>
      <c r="AA19" s="308"/>
      <c r="AB19" s="308"/>
      <c r="AC19" s="1288" t="str">
        <f>CONCATENATE("Project # ",PROJID)</f>
        <v xml:space="preserve">Project # </v>
      </c>
      <c r="AD19" s="1288"/>
      <c r="AE19" s="1288"/>
      <c r="AF19" s="1288"/>
      <c r="AG19" s="1288"/>
      <c r="AH19" s="1288"/>
      <c r="AI19" s="1288"/>
      <c r="AJ19" s="1288"/>
      <c r="AK19" s="105"/>
    </row>
    <row r="20" spans="9:37" ht="15.95" customHeight="1">
      <c r="I20" s="104"/>
      <c r="J20" s="1296"/>
      <c r="K20" s="1296"/>
      <c r="L20" s="1296"/>
      <c r="M20" s="1296"/>
      <c r="N20" s="1296"/>
      <c r="O20" s="1296"/>
      <c r="P20" s="1296"/>
      <c r="Q20" s="1296"/>
      <c r="R20" s="1296"/>
      <c r="S20" s="1296"/>
      <c r="T20" s="1296"/>
      <c r="U20" s="1296"/>
      <c r="V20" s="1296"/>
      <c r="W20" s="1296"/>
      <c r="X20" s="308"/>
      <c r="Y20" s="308"/>
      <c r="Z20" s="308"/>
      <c r="AA20" s="308"/>
      <c r="AB20" s="308"/>
      <c r="AC20" s="1288"/>
      <c r="AD20" s="1288"/>
      <c r="AE20" s="1288"/>
      <c r="AF20" s="1288"/>
      <c r="AG20" s="1288"/>
      <c r="AH20" s="1288"/>
      <c r="AI20" s="1288"/>
      <c r="AJ20" s="1288"/>
      <c r="AK20" s="105"/>
    </row>
    <row r="21" spans="9:37" ht="15.95" customHeight="1">
      <c r="I21" s="104"/>
      <c r="J21" s="1296"/>
      <c r="K21" s="1296"/>
      <c r="L21" s="1296"/>
      <c r="M21" s="1296"/>
      <c r="N21" s="1296"/>
      <c r="O21" s="1296"/>
      <c r="P21" s="1296"/>
      <c r="Q21" s="1296"/>
      <c r="R21" s="1296"/>
      <c r="S21" s="1296"/>
      <c r="T21" s="1296"/>
      <c r="U21" s="1296"/>
      <c r="V21" s="1296"/>
      <c r="W21" s="1296"/>
      <c r="X21" s="308"/>
      <c r="Y21" s="308"/>
      <c r="Z21" s="308"/>
      <c r="AA21" s="308"/>
      <c r="AB21" s="308"/>
      <c r="AC21" s="1288"/>
      <c r="AD21" s="1288"/>
      <c r="AE21" s="1288"/>
      <c r="AF21" s="1288"/>
      <c r="AG21" s="1288"/>
      <c r="AH21" s="1288"/>
      <c r="AI21" s="1288"/>
      <c r="AJ21" s="1288"/>
      <c r="AK21" s="105"/>
    </row>
    <row r="22" spans="9:37" ht="15.95" customHeight="1">
      <c r="I22" s="104"/>
      <c r="J22" s="1289">
        <f>M02S02F01</f>
        <v>0</v>
      </c>
      <c r="K22" s="1289"/>
      <c r="L22" s="1289"/>
      <c r="M22" s="1289"/>
      <c r="N22" s="1289"/>
      <c r="O22" s="1289"/>
      <c r="P22" s="1289"/>
      <c r="Q22" s="1289"/>
      <c r="R22" s="1289"/>
      <c r="S22" s="1289"/>
      <c r="T22" s="1289"/>
      <c r="U22" s="1289"/>
      <c r="V22" s="1289"/>
      <c r="W22" s="1289"/>
      <c r="X22" s="1290">
        <f>M02S02F13</f>
        <v>0</v>
      </c>
      <c r="Y22" s="1290"/>
      <c r="Z22" s="1290"/>
      <c r="AA22" s="1290"/>
      <c r="AB22" s="1290"/>
      <c r="AC22" s="1290"/>
      <c r="AD22" s="1290"/>
      <c r="AE22" s="1290"/>
      <c r="AF22" s="1290"/>
      <c r="AG22" s="1290"/>
      <c r="AH22" s="1290"/>
      <c r="AI22" s="1290"/>
      <c r="AJ22" s="1290"/>
      <c r="AK22" s="105"/>
    </row>
    <row r="23" spans="9:37" ht="15.95" customHeight="1">
      <c r="I23" s="104"/>
      <c r="J23" s="1289"/>
      <c r="K23" s="1289"/>
      <c r="L23" s="1289"/>
      <c r="M23" s="1289"/>
      <c r="N23" s="1289"/>
      <c r="O23" s="1289"/>
      <c r="P23" s="1289"/>
      <c r="Q23" s="1289"/>
      <c r="R23" s="1289"/>
      <c r="S23" s="1289"/>
      <c r="T23" s="1289"/>
      <c r="U23" s="1289"/>
      <c r="V23" s="1289"/>
      <c r="W23" s="1289"/>
      <c r="X23" s="1290"/>
      <c r="Y23" s="1290"/>
      <c r="Z23" s="1290"/>
      <c r="AA23" s="1290"/>
      <c r="AB23" s="1290"/>
      <c r="AC23" s="1290"/>
      <c r="AD23" s="1290"/>
      <c r="AE23" s="1290"/>
      <c r="AF23" s="1290"/>
      <c r="AG23" s="1290"/>
      <c r="AH23" s="1290"/>
      <c r="AI23" s="1290"/>
      <c r="AJ23" s="1290"/>
      <c r="AK23" s="105"/>
    </row>
    <row r="24" spans="9:37" ht="15.95" customHeight="1">
      <c r="I24" s="104"/>
      <c r="J24" s="59"/>
      <c r="K24" s="59"/>
      <c r="L24" s="59"/>
      <c r="M24" s="59"/>
      <c r="N24" s="59"/>
      <c r="O24" s="59"/>
      <c r="P24" s="59"/>
      <c r="Q24" s="59"/>
      <c r="R24" s="59"/>
      <c r="S24" s="59"/>
      <c r="T24" s="59"/>
      <c r="U24" s="59"/>
      <c r="V24" s="59"/>
      <c r="W24" s="59"/>
      <c r="X24" s="59"/>
      <c r="Y24" s="59"/>
      <c r="Z24" s="59"/>
      <c r="AA24" s="59"/>
      <c r="AB24" s="59"/>
      <c r="AC24" s="59"/>
      <c r="AD24" s="59"/>
      <c r="AE24" s="59"/>
      <c r="AF24" s="59"/>
      <c r="AG24" s="59"/>
      <c r="AH24" s="59"/>
      <c r="AI24" s="59"/>
      <c r="AJ24" s="59"/>
      <c r="AK24" s="105"/>
    </row>
    <row r="25" spans="9:37" ht="15.95" customHeight="1">
      <c r="I25" s="104"/>
      <c r="J25" s="1292" t="s">
        <v>1230</v>
      </c>
      <c r="K25" s="1292"/>
      <c r="L25" s="1292"/>
      <c r="M25" s="1292"/>
      <c r="N25" s="1292"/>
      <c r="O25" s="226"/>
      <c r="P25" s="1293" t="s">
        <v>932</v>
      </c>
      <c r="Q25" s="1293"/>
      <c r="R25" s="1293"/>
      <c r="S25" s="1293"/>
      <c r="T25" s="1293"/>
      <c r="U25" s="1293"/>
      <c r="V25" s="227"/>
      <c r="W25" s="1293" t="s">
        <v>933</v>
      </c>
      <c r="X25" s="1293"/>
      <c r="Y25" s="1293"/>
      <c r="Z25" s="1293"/>
      <c r="AA25" s="1293"/>
      <c r="AB25" s="1293"/>
      <c r="AC25" s="227"/>
      <c r="AD25" s="1294" t="str">
        <f>IF(M02S02F14="Yes","","Company Contact")</f>
        <v>Company Contact</v>
      </c>
      <c r="AE25" s="1294"/>
      <c r="AF25" s="1294"/>
      <c r="AG25" s="1294"/>
      <c r="AH25" s="1294"/>
      <c r="AI25" s="1294"/>
      <c r="AJ25" s="227"/>
      <c r="AK25" s="105"/>
    </row>
    <row r="26" spans="9:37" ht="15.95" customHeight="1">
      <c r="I26" s="104"/>
      <c r="J26" s="1292"/>
      <c r="K26" s="1292"/>
      <c r="L26" s="1292"/>
      <c r="M26" s="1292"/>
      <c r="N26" s="1292"/>
      <c r="O26" s="226"/>
      <c r="P26" s="1348" t="str">
        <f>M02S02F34</f>
        <v/>
      </c>
      <c r="Q26" s="1348"/>
      <c r="R26" s="1348"/>
      <c r="S26" s="1348"/>
      <c r="T26" s="1348"/>
      <c r="U26" s="1348"/>
      <c r="V26" s="228"/>
      <c r="W26" s="1348" t="str">
        <f>CONCATENATE(M02S02F16," ",M02S02F17)</f>
        <v xml:space="preserve"> </v>
      </c>
      <c r="X26" s="1348"/>
      <c r="Y26" s="1348"/>
      <c r="Z26" s="1348"/>
      <c r="AA26" s="1348"/>
      <c r="AB26" s="1348"/>
      <c r="AC26" s="228"/>
      <c r="AD26" s="1348" t="str">
        <f>IF(M02S02F14="Yes","",CONCATENATE(M02S02F02," ",M02S02F03))</f>
        <v xml:space="preserve"> </v>
      </c>
      <c r="AE26" s="1348"/>
      <c r="AF26" s="1348"/>
      <c r="AG26" s="1348"/>
      <c r="AH26" s="1348"/>
      <c r="AI26" s="1348"/>
      <c r="AJ26" s="228"/>
      <c r="AK26" s="105"/>
    </row>
    <row r="27" spans="9:37" ht="15.95" customHeight="1">
      <c r="I27" s="104"/>
      <c r="J27" s="1292"/>
      <c r="K27" s="1292"/>
      <c r="L27" s="1292"/>
      <c r="M27" s="1292"/>
      <c r="N27" s="1292"/>
      <c r="O27" s="226"/>
      <c r="P27" s="1348" t="str">
        <f>M02S02F22</f>
        <v/>
      </c>
      <c r="Q27" s="1348"/>
      <c r="R27" s="1348"/>
      <c r="S27" s="1348"/>
      <c r="T27" s="1348"/>
      <c r="U27" s="1348"/>
      <c r="V27" s="228"/>
      <c r="W27" s="1349" t="str">
        <f>M02S02F19</f>
        <v/>
      </c>
      <c r="X27" s="1349"/>
      <c r="Y27" s="1349"/>
      <c r="Z27" s="1349"/>
      <c r="AA27" s="1349"/>
      <c r="AB27" s="1349"/>
      <c r="AC27" s="229"/>
      <c r="AD27" s="1349">
        <f>IF(M02S02F14="Yes","",M02S02F05)</f>
        <v>0</v>
      </c>
      <c r="AE27" s="1349"/>
      <c r="AF27" s="1349"/>
      <c r="AG27" s="1349"/>
      <c r="AH27" s="1349"/>
      <c r="AI27" s="1349"/>
      <c r="AJ27" s="229"/>
      <c r="AK27" s="105"/>
    </row>
    <row r="28" spans="9:37" ht="15.95" customHeight="1">
      <c r="I28" s="104"/>
      <c r="J28" s="1292"/>
      <c r="K28" s="1292"/>
      <c r="L28" s="1292"/>
      <c r="M28" s="1292"/>
      <c r="N28" s="1292"/>
      <c r="O28" s="226"/>
      <c r="P28" s="1348" t="str">
        <f>CONCATENATE(M02S02F23,", ",M02S02F24," ",M02S02F25)</f>
        <v xml:space="preserve">, IN </v>
      </c>
      <c r="Q28" s="1348"/>
      <c r="R28" s="1348"/>
      <c r="S28" s="1348"/>
      <c r="T28" s="1348"/>
      <c r="U28" s="1348"/>
      <c r="V28" s="228"/>
      <c r="W28" s="1348" t="str">
        <f>M02S02F21</f>
        <v/>
      </c>
      <c r="X28" s="1348"/>
      <c r="Y28" s="1348"/>
      <c r="Z28" s="1348"/>
      <c r="AA28" s="1348"/>
      <c r="AB28" s="1348"/>
      <c r="AC28" s="228"/>
      <c r="AD28" s="1348">
        <f>IF(M02S02F14="Yes","",M02S02F07)</f>
        <v>0</v>
      </c>
      <c r="AE28" s="1348"/>
      <c r="AF28" s="1348"/>
      <c r="AG28" s="1348"/>
      <c r="AH28" s="1348"/>
      <c r="AI28" s="1348"/>
      <c r="AJ28" s="228"/>
      <c r="AK28" s="105"/>
    </row>
    <row r="29" spans="9:37" ht="15.95" customHeight="1">
      <c r="I29" s="104"/>
      <c r="J29" s="59"/>
      <c r="K29" s="59"/>
      <c r="L29" s="59"/>
      <c r="M29" s="59"/>
      <c r="N29" s="59"/>
      <c r="O29" s="59"/>
      <c r="P29" s="62"/>
      <c r="Q29" s="62"/>
      <c r="R29" s="62"/>
      <c r="S29" s="62"/>
      <c r="T29" s="62"/>
      <c r="U29" s="62"/>
      <c r="V29" s="62"/>
      <c r="W29" s="62"/>
      <c r="X29" s="62"/>
      <c r="Y29" s="62"/>
      <c r="Z29" s="62"/>
      <c r="AA29" s="62"/>
      <c r="AB29" s="62"/>
      <c r="AC29" s="62"/>
      <c r="AD29" s="62"/>
      <c r="AE29" s="62"/>
      <c r="AF29" s="62"/>
      <c r="AG29" s="62"/>
      <c r="AH29" s="62"/>
      <c r="AI29" s="62"/>
      <c r="AJ29" s="62"/>
      <c r="AK29" s="105"/>
    </row>
    <row r="30" spans="9:37" ht="15.95" customHeight="1">
      <c r="I30" s="104"/>
      <c r="J30" s="1303" t="s">
        <v>1229</v>
      </c>
      <c r="K30" s="1303"/>
      <c r="L30" s="1303"/>
      <c r="M30" s="1303"/>
      <c r="N30" s="1303"/>
      <c r="O30" s="230"/>
      <c r="P30" s="1304" t="s">
        <v>118</v>
      </c>
      <c r="Q30" s="1304"/>
      <c r="R30" s="1304"/>
      <c r="S30" s="1304"/>
      <c r="T30" s="1304"/>
      <c r="U30" s="1304"/>
      <c r="V30" s="231"/>
      <c r="W30" s="1305" t="s">
        <v>128</v>
      </c>
      <c r="X30" s="1305"/>
      <c r="Y30" s="1305"/>
      <c r="Z30" s="1305"/>
      <c r="AA30" s="1305"/>
      <c r="AB30" s="1305"/>
      <c r="AC30" s="231"/>
      <c r="AD30" s="231"/>
      <c r="AE30" s="231"/>
      <c r="AF30" s="231"/>
      <c r="AG30" s="231"/>
      <c r="AH30" s="231"/>
      <c r="AI30" s="231"/>
      <c r="AJ30" s="231"/>
      <c r="AK30" s="105"/>
    </row>
    <row r="31" spans="9:37" ht="15.95" customHeight="1">
      <c r="I31" s="104"/>
      <c r="J31" s="1303"/>
      <c r="K31" s="1303"/>
      <c r="L31" s="1303"/>
      <c r="M31" s="1303"/>
      <c r="N31" s="1303"/>
      <c r="O31" s="230"/>
      <c r="P31" s="1306">
        <f>M02S03F02</f>
        <v>0</v>
      </c>
      <c r="Q31" s="1306"/>
      <c r="R31" s="1306"/>
      <c r="S31" s="1306"/>
      <c r="T31" s="1306"/>
      <c r="U31" s="1306"/>
      <c r="V31" s="254"/>
      <c r="W31" s="1306" t="str">
        <f>CONCATENATE(M02S03F03," ",M02S03F04)</f>
        <v xml:space="preserve"> </v>
      </c>
      <c r="X31" s="1306"/>
      <c r="Y31" s="1306"/>
      <c r="Z31" s="1306"/>
      <c r="AA31" s="1306"/>
      <c r="AB31" s="1306"/>
      <c r="AC31" s="253"/>
      <c r="AD31" s="253"/>
      <c r="AE31" s="254"/>
      <c r="AF31" s="254"/>
      <c r="AG31" s="254"/>
      <c r="AH31" s="254"/>
      <c r="AI31" s="254"/>
      <c r="AJ31" s="233"/>
      <c r="AK31" s="105"/>
    </row>
    <row r="32" spans="9:37" ht="15.95" customHeight="1">
      <c r="I32" s="104"/>
      <c r="J32" s="1303"/>
      <c r="K32" s="1303"/>
      <c r="L32" s="1303"/>
      <c r="M32" s="1303"/>
      <c r="N32" s="1303"/>
      <c r="O32" s="230"/>
      <c r="P32" s="1306">
        <f>M02S03F09</f>
        <v>0</v>
      </c>
      <c r="Q32" s="1306"/>
      <c r="R32" s="1306"/>
      <c r="S32" s="1306"/>
      <c r="T32" s="1306"/>
      <c r="U32" s="1306"/>
      <c r="V32" s="254"/>
      <c r="W32" s="1307">
        <f>M02S03F06</f>
        <v>0</v>
      </c>
      <c r="X32" s="1307"/>
      <c r="Y32" s="1307"/>
      <c r="Z32" s="1307"/>
      <c r="AA32" s="1307"/>
      <c r="AB32" s="1307"/>
      <c r="AC32" s="253"/>
      <c r="AD32" s="253"/>
      <c r="AE32" s="371"/>
      <c r="AF32" s="371"/>
      <c r="AG32" s="371"/>
      <c r="AH32" s="371"/>
      <c r="AI32" s="371"/>
      <c r="AJ32" s="234"/>
      <c r="AK32" s="105"/>
    </row>
    <row r="33" spans="9:58" ht="15.95" customHeight="1">
      <c r="I33" s="104"/>
      <c r="J33" s="1303"/>
      <c r="K33" s="1303"/>
      <c r="L33" s="1303"/>
      <c r="M33" s="1303"/>
      <c r="N33" s="1303"/>
      <c r="O33" s="230"/>
      <c r="P33" s="1306" t="str">
        <f>CONCATENATE(M02S03F10,", ",M02S03F11," ",M02S03F12)</f>
        <v xml:space="preserve">,  </v>
      </c>
      <c r="Q33" s="1306"/>
      <c r="R33" s="1306"/>
      <c r="S33" s="1306"/>
      <c r="T33" s="1306"/>
      <c r="U33" s="1306"/>
      <c r="V33" s="254"/>
      <c r="W33" s="1306">
        <f>M02S03F08</f>
        <v>0</v>
      </c>
      <c r="X33" s="1306"/>
      <c r="Y33" s="1306"/>
      <c r="Z33" s="1306"/>
      <c r="AA33" s="1306"/>
      <c r="AB33" s="1306"/>
      <c r="AC33" s="253"/>
      <c r="AD33" s="253"/>
      <c r="AE33" s="254"/>
      <c r="AF33" s="254"/>
      <c r="AG33" s="254"/>
      <c r="AH33" s="254"/>
      <c r="AI33" s="254"/>
      <c r="AJ33" s="232"/>
      <c r="AK33" s="105"/>
    </row>
    <row r="34" spans="9:58" ht="15.95" customHeight="1">
      <c r="I34" s="104"/>
      <c r="J34" s="59"/>
      <c r="K34" s="59"/>
      <c r="L34" s="59"/>
      <c r="M34" s="59"/>
      <c r="N34" s="59"/>
      <c r="O34" s="59"/>
      <c r="P34" s="59"/>
      <c r="Q34" s="59"/>
      <c r="R34" s="59"/>
      <c r="S34" s="59"/>
      <c r="T34" s="59"/>
      <c r="U34" s="59"/>
      <c r="V34" s="59"/>
      <c r="W34" s="59"/>
      <c r="X34" s="59"/>
      <c r="Y34" s="59"/>
      <c r="Z34" s="59"/>
      <c r="AA34" s="59"/>
      <c r="AB34" s="59"/>
      <c r="AC34" s="59"/>
      <c r="AD34" s="59"/>
      <c r="AE34" s="59"/>
      <c r="AF34" s="59"/>
      <c r="AG34" s="59"/>
      <c r="AH34" s="59"/>
      <c r="AI34" s="59"/>
      <c r="AJ34" s="59"/>
      <c r="AK34" s="105"/>
    </row>
    <row r="35" spans="9:58" ht="15.95" customHeight="1">
      <c r="I35" s="104"/>
      <c r="J35" s="1303" t="s">
        <v>1237</v>
      </c>
      <c r="K35" s="1303"/>
      <c r="L35" s="1303"/>
      <c r="M35" s="1303"/>
      <c r="N35" s="1303"/>
      <c r="O35" s="230"/>
      <c r="P35" s="235" t="s">
        <v>935</v>
      </c>
      <c r="Q35" s="235"/>
      <c r="R35" s="235"/>
      <c r="S35" s="235"/>
      <c r="T35" s="1310" t="s">
        <v>1162</v>
      </c>
      <c r="U35" s="1310"/>
      <c r="V35" s="1310"/>
      <c r="W35" s="1310"/>
      <c r="X35" s="1310" t="s">
        <v>1232</v>
      </c>
      <c r="Y35" s="1310"/>
      <c r="Z35" s="1310"/>
      <c r="AA35" s="1310"/>
      <c r="AB35" s="1310" t="s">
        <v>1231</v>
      </c>
      <c r="AC35" s="1310"/>
      <c r="AD35" s="1310"/>
      <c r="AE35" s="1310"/>
      <c r="AF35" s="1310" t="s">
        <v>125</v>
      </c>
      <c r="AG35" s="1310"/>
      <c r="AH35" s="1310"/>
      <c r="AI35" s="1310"/>
      <c r="AJ35" s="235"/>
      <c r="AK35" s="105"/>
    </row>
    <row r="36" spans="9:58" ht="15.95" customHeight="1">
      <c r="I36" s="104"/>
      <c r="J36" s="1303"/>
      <c r="K36" s="1303"/>
      <c r="L36" s="1303"/>
      <c r="M36" s="1303"/>
      <c r="N36" s="1303"/>
      <c r="O36" s="230"/>
      <c r="P36" s="236" t="s">
        <v>947</v>
      </c>
      <c r="Q36" s="236"/>
      <c r="R36" s="236"/>
      <c r="S36" s="237"/>
      <c r="T36" s="1311">
        <f ca="1">SUM(EXPORT!N4:N296)</f>
        <v>0</v>
      </c>
      <c r="U36" s="1311"/>
      <c r="V36" s="1311"/>
      <c r="W36" s="1311"/>
      <c r="X36" s="1312">
        <f>SUM(EXPORT!P215:P306)</f>
        <v>0</v>
      </c>
      <c r="Y36" s="1313"/>
      <c r="Z36" s="1313"/>
      <c r="AA36" s="1314"/>
      <c r="AB36" s="1315">
        <f ca="1">SUM(COSTTOTALPRESE,COSTTOTALPRESG)</f>
        <v>0</v>
      </c>
      <c r="AC36" s="1315"/>
      <c r="AD36" s="1315"/>
      <c r="AE36" s="1315"/>
      <c r="AF36" s="1316">
        <f ca="1">SUM(EXPORT!R4:R280)</f>
        <v>0</v>
      </c>
      <c r="AG36" s="1317"/>
      <c r="AH36" s="1317"/>
      <c r="AI36" s="1317"/>
      <c r="AJ36" s="233"/>
      <c r="AK36" s="105"/>
    </row>
    <row r="37" spans="9:58" ht="15.95" customHeight="1">
      <c r="I37" s="104"/>
      <c r="J37" s="1303"/>
      <c r="K37" s="1303"/>
      <c r="L37" s="1303"/>
      <c r="M37" s="1303"/>
      <c r="N37" s="1303"/>
      <c r="O37" s="230"/>
      <c r="P37" s="238" t="s">
        <v>231</v>
      </c>
      <c r="Q37" s="238"/>
      <c r="R37" s="238"/>
      <c r="S37" s="238"/>
      <c r="T37" s="1318">
        <f ca="1">SUM(EXPORT!N309:N435)</f>
        <v>0</v>
      </c>
      <c r="U37" s="1319"/>
      <c r="V37" s="1319"/>
      <c r="W37" s="1319"/>
      <c r="X37" s="1320">
        <f>SUM(EXPORT!P436:P487)</f>
        <v>0</v>
      </c>
      <c r="Y37" s="1321"/>
      <c r="Z37" s="1321"/>
      <c r="AA37" s="1322"/>
      <c r="AB37" s="1323">
        <f ca="1">SUM(COSTTOTALCUSE,COSTTOTALCUSG)</f>
        <v>0</v>
      </c>
      <c r="AC37" s="1323"/>
      <c r="AD37" s="1323"/>
      <c r="AE37" s="1323"/>
      <c r="AF37" s="1324">
        <f ca="1">SUM(EXPORT!R308:R487)</f>
        <v>0</v>
      </c>
      <c r="AG37" s="1325"/>
      <c r="AH37" s="1325"/>
      <c r="AI37" s="1325"/>
      <c r="AJ37" s="233"/>
      <c r="AK37" s="105"/>
    </row>
    <row r="38" spans="9:58" ht="15.95" customHeight="1">
      <c r="I38" s="104"/>
      <c r="J38" s="1303"/>
      <c r="K38" s="1303"/>
      <c r="L38" s="1303"/>
      <c r="M38" s="1303"/>
      <c r="N38" s="1303"/>
      <c r="O38" s="230"/>
      <c r="P38" s="239" t="s">
        <v>137</v>
      </c>
      <c r="Q38" s="239"/>
      <c r="R38" s="239"/>
      <c r="S38" s="239"/>
      <c r="T38" s="1326">
        <f ca="1">SUM(T36:W37)</f>
        <v>0</v>
      </c>
      <c r="U38" s="1327"/>
      <c r="V38" s="1327"/>
      <c r="W38" s="1327"/>
      <c r="X38" s="1328">
        <f>SUM(X36:AA37)</f>
        <v>0</v>
      </c>
      <c r="Y38" s="1329"/>
      <c r="Z38" s="1329"/>
      <c r="AA38" s="1330"/>
      <c r="AB38" s="1331">
        <f ca="1">SUM(AB36:AE37)</f>
        <v>0</v>
      </c>
      <c r="AC38" s="1331"/>
      <c r="AD38" s="1331"/>
      <c r="AE38" s="1331"/>
      <c r="AF38" s="1308">
        <f ca="1">SUM(AF36:AI37)</f>
        <v>0</v>
      </c>
      <c r="AG38" s="1309"/>
      <c r="AH38" s="1309"/>
      <c r="AI38" s="1309"/>
      <c r="AJ38" s="240"/>
      <c r="AK38" s="105"/>
    </row>
    <row r="39" spans="9:58" ht="15.95" customHeight="1">
      <c r="I39" s="104"/>
      <c r="L39" s="225"/>
      <c r="M39" s="225"/>
      <c r="N39" s="225"/>
      <c r="O39" s="225"/>
      <c r="P39" s="225"/>
      <c r="Q39" s="225"/>
      <c r="R39" s="225"/>
      <c r="S39" s="225"/>
      <c r="T39" s="225"/>
      <c r="U39" s="225"/>
      <c r="V39" s="158"/>
      <c r="W39" s="59"/>
      <c r="Z39" s="225"/>
      <c r="AA39" s="225"/>
      <c r="AB39" s="225"/>
      <c r="AC39" s="225"/>
      <c r="AD39" s="225"/>
      <c r="AE39" s="225"/>
      <c r="AF39" s="225"/>
      <c r="AG39" s="225"/>
      <c r="AH39" s="225"/>
      <c r="AI39" s="225"/>
      <c r="AJ39" s="158"/>
      <c r="AK39" s="105"/>
    </row>
    <row r="40" spans="9:58" ht="15.95" customHeight="1">
      <c r="I40" s="104"/>
      <c r="J40" s="241"/>
      <c r="K40" s="1338" t="s">
        <v>938</v>
      </c>
      <c r="L40" s="1338"/>
      <c r="M40" s="1338"/>
      <c r="N40" s="1338"/>
      <c r="O40" s="1338"/>
      <c r="P40" s="1338"/>
      <c r="Q40" s="1338"/>
      <c r="R40" s="1338"/>
      <c r="S40" s="1338"/>
      <c r="T40" s="1338"/>
      <c r="U40" s="1338"/>
      <c r="V40" s="242"/>
      <c r="W40" s="59"/>
      <c r="X40" s="241"/>
      <c r="Y40" s="1338" t="s">
        <v>939</v>
      </c>
      <c r="Z40" s="1338"/>
      <c r="AA40" s="1338"/>
      <c r="AB40" s="1338"/>
      <c r="AC40" s="1338"/>
      <c r="AD40" s="1338"/>
      <c r="AE40" s="1338"/>
      <c r="AF40" s="1338"/>
      <c r="AG40" s="1338"/>
      <c r="AH40" s="1338"/>
      <c r="AI40" s="1338"/>
      <c r="AJ40" s="242"/>
      <c r="AK40" s="105"/>
    </row>
    <row r="41" spans="9:58" ht="15.95" customHeight="1">
      <c r="I41" s="104"/>
      <c r="J41" s="242"/>
      <c r="K41" s="1338"/>
      <c r="L41" s="1338"/>
      <c r="M41" s="1338"/>
      <c r="N41" s="1338"/>
      <c r="O41" s="1338"/>
      <c r="P41" s="1338"/>
      <c r="Q41" s="1338"/>
      <c r="R41" s="1338"/>
      <c r="S41" s="1338"/>
      <c r="T41" s="1338"/>
      <c r="U41" s="1338"/>
      <c r="V41" s="242"/>
      <c r="W41" s="59"/>
      <c r="X41" s="242"/>
      <c r="Y41" s="1338"/>
      <c r="Z41" s="1338"/>
      <c r="AA41" s="1338"/>
      <c r="AB41" s="1338"/>
      <c r="AC41" s="1338"/>
      <c r="AD41" s="1338"/>
      <c r="AE41" s="1338"/>
      <c r="AF41" s="1338"/>
      <c r="AG41" s="1338"/>
      <c r="AH41" s="1338"/>
      <c r="AI41" s="1338"/>
      <c r="AJ41" s="242"/>
      <c r="AK41" s="105"/>
    </row>
    <row r="42" spans="9:58" ht="15.95" customHeight="1">
      <c r="I42" s="104"/>
      <c r="J42" s="1339" t="s">
        <v>1234</v>
      </c>
      <c r="K42" s="1339"/>
      <c r="L42" s="1339"/>
      <c r="M42" s="1339"/>
      <c r="N42" s="1339"/>
      <c r="O42" s="1339"/>
      <c r="P42" s="1339"/>
      <c r="Q42" s="1339"/>
      <c r="R42" s="1339"/>
      <c r="S42" s="1339"/>
      <c r="T42" s="1339"/>
      <c r="U42" s="1339"/>
      <c r="V42" s="1339"/>
      <c r="X42" s="1339" t="s">
        <v>942</v>
      </c>
      <c r="Y42" s="1339"/>
      <c r="Z42" s="1339"/>
      <c r="AA42" s="1339"/>
      <c r="AB42" s="1339"/>
      <c r="AC42" s="1339"/>
      <c r="AD42" s="1339"/>
      <c r="AE42" s="1339"/>
      <c r="AF42" s="1339"/>
      <c r="AG42" s="1339"/>
      <c r="AH42" s="1339"/>
      <c r="AI42" s="1339"/>
      <c r="AJ42" s="1339"/>
      <c r="AK42" s="105"/>
      <c r="AM42" s="86"/>
    </row>
    <row r="43" spans="9:58" ht="15.95" customHeight="1">
      <c r="I43" s="104"/>
      <c r="J43" s="1339"/>
      <c r="K43" s="1339"/>
      <c r="L43" s="1339"/>
      <c r="M43" s="1339"/>
      <c r="N43" s="1339"/>
      <c r="O43" s="1339"/>
      <c r="P43" s="1339"/>
      <c r="Q43" s="1339"/>
      <c r="R43" s="1339"/>
      <c r="S43" s="1339"/>
      <c r="T43" s="1339"/>
      <c r="U43" s="1339"/>
      <c r="V43" s="1339"/>
      <c r="X43" s="1339"/>
      <c r="Y43" s="1339"/>
      <c r="Z43" s="1339"/>
      <c r="AA43" s="1339"/>
      <c r="AB43" s="1339"/>
      <c r="AC43" s="1339"/>
      <c r="AD43" s="1339"/>
      <c r="AE43" s="1339"/>
      <c r="AF43" s="1339"/>
      <c r="AG43" s="1339"/>
      <c r="AH43" s="1339"/>
      <c r="AI43" s="1339"/>
      <c r="AJ43" s="1339"/>
      <c r="AK43" s="105"/>
      <c r="AM43" s="86"/>
    </row>
    <row r="44" spans="9:58" ht="15.95" customHeight="1">
      <c r="I44" s="104"/>
      <c r="J44" s="1339"/>
      <c r="K44" s="1339"/>
      <c r="L44" s="1339"/>
      <c r="M44" s="1339"/>
      <c r="N44" s="1339"/>
      <c r="O44" s="1339"/>
      <c r="P44" s="1339"/>
      <c r="Q44" s="1339"/>
      <c r="R44" s="1339"/>
      <c r="S44" s="1339"/>
      <c r="T44" s="1339"/>
      <c r="U44" s="1339"/>
      <c r="V44" s="1339"/>
      <c r="X44" s="231" t="s">
        <v>940</v>
      </c>
      <c r="Y44" s="241"/>
      <c r="Z44" s="231"/>
      <c r="AA44" s="231"/>
      <c r="AB44" s="1352">
        <f>M02S04F01</f>
        <v>0</v>
      </c>
      <c r="AC44" s="1352"/>
      <c r="AD44" s="1352"/>
      <c r="AE44" s="1352"/>
      <c r="AF44" s="1352"/>
      <c r="AG44" s="1352"/>
      <c r="AH44" s="1352"/>
      <c r="AI44" s="1352"/>
      <c r="AJ44" s="233"/>
      <c r="AK44" s="105"/>
    </row>
    <row r="45" spans="9:58" ht="15.95" customHeight="1">
      <c r="I45" s="104"/>
      <c r="J45" s="1339"/>
      <c r="K45" s="1339"/>
      <c r="L45" s="1339"/>
      <c r="M45" s="1339"/>
      <c r="N45" s="1339"/>
      <c r="O45" s="1339"/>
      <c r="P45" s="1339"/>
      <c r="Q45" s="1339"/>
      <c r="R45" s="1339"/>
      <c r="S45" s="1339"/>
      <c r="T45" s="1339"/>
      <c r="U45" s="1339"/>
      <c r="V45" s="1339"/>
      <c r="X45" s="231" t="s">
        <v>941</v>
      </c>
      <c r="Y45" s="241"/>
      <c r="Z45" s="231"/>
      <c r="AA45" s="231"/>
      <c r="AB45" s="1352" t="str">
        <f>M02S04F02</f>
        <v/>
      </c>
      <c r="AC45" s="1352"/>
      <c r="AD45" s="1352"/>
      <c r="AE45" s="1352"/>
      <c r="AF45" s="1352"/>
      <c r="AG45" s="1352"/>
      <c r="AH45" s="233"/>
      <c r="AI45" s="233"/>
      <c r="AJ45" s="233"/>
      <c r="AK45" s="105"/>
    </row>
    <row r="46" spans="9:58" ht="15.95" customHeight="1">
      <c r="I46" s="104"/>
      <c r="J46" s="243"/>
      <c r="K46" s="244"/>
      <c r="L46" s="1345" t="s">
        <v>1236</v>
      </c>
      <c r="M46" s="1345"/>
      <c r="N46" s="1345"/>
      <c r="O46" s="1345"/>
      <c r="P46" s="1345"/>
      <c r="Q46" s="1345"/>
      <c r="R46" s="1345"/>
      <c r="S46" s="1345"/>
      <c r="T46" s="1345"/>
      <c r="U46" s="1345"/>
      <c r="V46" s="243"/>
      <c r="X46" s="232"/>
      <c r="Y46" s="231"/>
      <c r="Z46" s="231"/>
      <c r="AA46" s="231"/>
      <c r="AB46" s="1344" t="str">
        <f>CONCATENATE(M02S04F03," ",M02S04F04)</f>
        <v xml:space="preserve"> </v>
      </c>
      <c r="AC46" s="1344"/>
      <c r="AD46" s="1344"/>
      <c r="AE46" s="1344"/>
      <c r="AF46" s="1344"/>
      <c r="AG46" s="1344"/>
      <c r="AH46" s="233"/>
      <c r="AI46" s="233"/>
      <c r="AJ46" s="233"/>
      <c r="AK46" s="105"/>
    </row>
    <row r="47" spans="9:58" ht="15.95" customHeight="1">
      <c r="I47" s="104"/>
      <c r="J47" s="243"/>
      <c r="K47" s="244"/>
      <c r="L47" s="1345"/>
      <c r="M47" s="1345"/>
      <c r="N47" s="1345"/>
      <c r="O47" s="1345"/>
      <c r="P47" s="1345"/>
      <c r="Q47" s="1345"/>
      <c r="R47" s="1345"/>
      <c r="S47" s="1345"/>
      <c r="T47" s="1345"/>
      <c r="U47" s="1345"/>
      <c r="V47" s="243"/>
      <c r="X47" s="232"/>
      <c r="Y47" s="231"/>
      <c r="Z47" s="231"/>
      <c r="AA47" s="231"/>
      <c r="AB47" s="1344" t="str">
        <f>M02S04F07</f>
        <v/>
      </c>
      <c r="AC47" s="1344"/>
      <c r="AD47" s="1344"/>
      <c r="AE47" s="1344"/>
      <c r="AF47" s="1344"/>
      <c r="AG47" s="1344"/>
      <c r="AH47" s="233"/>
      <c r="AI47" s="233"/>
      <c r="AJ47" s="233"/>
      <c r="AK47" s="105"/>
    </row>
    <row r="48" spans="9:58" ht="15.95" customHeight="1">
      <c r="I48" s="104"/>
      <c r="J48" s="245"/>
      <c r="K48" s="244"/>
      <c r="L48" s="1337" t="s">
        <v>1235</v>
      </c>
      <c r="M48" s="1337"/>
      <c r="N48" s="1337"/>
      <c r="O48" s="1337"/>
      <c r="P48" s="1337"/>
      <c r="Q48" s="1337"/>
      <c r="R48" s="1337"/>
      <c r="S48" s="1337"/>
      <c r="T48" s="1337"/>
      <c r="U48" s="1337"/>
      <c r="V48" s="245"/>
      <c r="X48" s="246"/>
      <c r="Y48" s="231"/>
      <c r="Z48" s="231"/>
      <c r="AA48" s="231"/>
      <c r="AB48" s="1344" t="str">
        <f>CONCATENATE(M02S04F08,", ",M02S04F09," ",M02S04F10)</f>
        <v xml:space="preserve">,  </v>
      </c>
      <c r="AC48" s="1344"/>
      <c r="AD48" s="1344"/>
      <c r="AE48" s="1344"/>
      <c r="AF48" s="1344"/>
      <c r="AG48" s="1344"/>
      <c r="AH48" s="233"/>
      <c r="AI48" s="233"/>
      <c r="AJ48" s="247"/>
      <c r="AK48" s="105"/>
      <c r="AW48" s="224"/>
      <c r="AX48" s="224"/>
      <c r="AY48" s="224"/>
      <c r="AZ48" s="224"/>
      <c r="BA48" s="224"/>
      <c r="BB48" s="224"/>
      <c r="BC48" s="224"/>
      <c r="BD48" s="224"/>
      <c r="BE48" s="224"/>
      <c r="BF48" s="224"/>
    </row>
    <row r="49" spans="9:37" ht="15.95" customHeight="1">
      <c r="I49" s="104"/>
      <c r="J49" s="245"/>
      <c r="K49" s="244"/>
      <c r="L49" s="1337"/>
      <c r="M49" s="1337"/>
      <c r="N49" s="1337"/>
      <c r="O49" s="1337"/>
      <c r="P49" s="1337"/>
      <c r="Q49" s="1337"/>
      <c r="R49" s="1337"/>
      <c r="S49" s="1337"/>
      <c r="T49" s="1337"/>
      <c r="U49" s="1337"/>
      <c r="V49" s="245"/>
      <c r="X49" s="231" t="s">
        <v>1233</v>
      </c>
      <c r="Y49" s="241"/>
      <c r="Z49" s="231"/>
      <c r="AA49" s="231"/>
      <c r="AB49" s="1352">
        <f>M02S04F11</f>
        <v>0</v>
      </c>
      <c r="AC49" s="1352"/>
      <c r="AD49" s="1352"/>
      <c r="AE49" s="1352"/>
      <c r="AF49" s="1352"/>
      <c r="AG49" s="1352"/>
      <c r="AH49" s="1352" t="str">
        <f>IF(ISBLANK(M02S04F12),"",CONCATENATE(M02S04F12,"-",M02S04F12.1))</f>
        <v/>
      </c>
      <c r="AI49" s="1352"/>
      <c r="AJ49" s="1352"/>
      <c r="AK49" s="105"/>
    </row>
    <row r="50" spans="9:37" ht="15.95" customHeight="1">
      <c r="I50" s="104"/>
      <c r="L50" s="225"/>
      <c r="M50" s="225"/>
      <c r="N50" s="225"/>
      <c r="O50" s="225"/>
      <c r="P50" s="225"/>
      <c r="Q50" s="225"/>
      <c r="R50" s="225"/>
      <c r="S50" s="225"/>
      <c r="T50" s="225"/>
      <c r="U50" s="225"/>
      <c r="V50" s="64"/>
      <c r="Z50" s="223"/>
      <c r="AA50" s="223"/>
      <c r="AB50" s="223"/>
      <c r="AC50" s="223"/>
      <c r="AD50" s="223"/>
      <c r="AE50" s="223"/>
      <c r="AF50" s="223"/>
      <c r="AG50" s="223"/>
      <c r="AH50" s="223"/>
      <c r="AI50" s="223"/>
      <c r="AK50" s="105"/>
    </row>
    <row r="51" spans="9:37" ht="15.95" customHeight="1">
      <c r="I51" s="104"/>
      <c r="J51" s="241"/>
      <c r="K51" s="1338" t="s">
        <v>936</v>
      </c>
      <c r="L51" s="1338"/>
      <c r="M51" s="1338"/>
      <c r="N51" s="1338"/>
      <c r="O51" s="1338"/>
      <c r="P51" s="1338"/>
      <c r="Q51" s="1338"/>
      <c r="R51" s="1338"/>
      <c r="S51" s="1338"/>
      <c r="T51" s="1338"/>
      <c r="U51" s="1338"/>
      <c r="V51" s="243"/>
      <c r="X51" s="241"/>
      <c r="Y51" s="1346" t="s">
        <v>1228</v>
      </c>
      <c r="Z51" s="1346"/>
      <c r="AA51" s="1346"/>
      <c r="AB51" s="1346"/>
      <c r="AC51" s="1346"/>
      <c r="AD51" s="1346"/>
      <c r="AE51" s="1346"/>
      <c r="AF51" s="1346"/>
      <c r="AG51" s="1346"/>
      <c r="AH51" s="1346"/>
      <c r="AI51" s="1346"/>
      <c r="AJ51" s="241"/>
      <c r="AK51" s="105"/>
    </row>
    <row r="52" spans="9:37" ht="15.95" customHeight="1">
      <c r="I52" s="104"/>
      <c r="J52" s="242"/>
      <c r="K52" s="1338"/>
      <c r="L52" s="1338"/>
      <c r="M52" s="1338"/>
      <c r="N52" s="1338"/>
      <c r="O52" s="1338"/>
      <c r="P52" s="1338"/>
      <c r="Q52" s="1338"/>
      <c r="R52" s="1338"/>
      <c r="S52" s="1338"/>
      <c r="T52" s="1338"/>
      <c r="U52" s="1338"/>
      <c r="V52" s="242"/>
      <c r="X52" s="241"/>
      <c r="Y52" s="1346"/>
      <c r="Z52" s="1346"/>
      <c r="AA52" s="1346"/>
      <c r="AB52" s="1346"/>
      <c r="AC52" s="1346"/>
      <c r="AD52" s="1346"/>
      <c r="AE52" s="1346"/>
      <c r="AF52" s="1346"/>
      <c r="AG52" s="1346"/>
      <c r="AH52" s="1346"/>
      <c r="AI52" s="1346"/>
      <c r="AJ52" s="241"/>
      <c r="AK52" s="105"/>
    </row>
    <row r="53" spans="9:37" ht="15.95" customHeight="1">
      <c r="I53" s="104"/>
      <c r="J53" s="1339" t="s">
        <v>937</v>
      </c>
      <c r="K53" s="1339"/>
      <c r="L53" s="1339"/>
      <c r="M53" s="1339"/>
      <c r="N53" s="1339"/>
      <c r="O53" s="1339"/>
      <c r="P53" s="1339"/>
      <c r="Q53" s="1339"/>
      <c r="R53" s="1339"/>
      <c r="S53" s="1339"/>
      <c r="T53" s="1339"/>
      <c r="U53" s="1339"/>
      <c r="V53" s="1339"/>
      <c r="X53" s="1339" t="s">
        <v>1562</v>
      </c>
      <c r="Y53" s="1339"/>
      <c r="Z53" s="1339"/>
      <c r="AA53" s="1339"/>
      <c r="AB53" s="1339"/>
      <c r="AC53" s="1339"/>
      <c r="AD53" s="1339"/>
      <c r="AE53" s="1339"/>
      <c r="AF53" s="1339"/>
      <c r="AG53" s="1339"/>
      <c r="AH53" s="1339"/>
      <c r="AI53" s="1339"/>
      <c r="AJ53" s="1339"/>
      <c r="AK53" s="105"/>
    </row>
    <row r="54" spans="9:37" ht="15.95" customHeight="1">
      <c r="I54" s="104"/>
      <c r="J54" s="1339"/>
      <c r="K54" s="1339"/>
      <c r="L54" s="1339"/>
      <c r="M54" s="1339"/>
      <c r="N54" s="1339"/>
      <c r="O54" s="1339"/>
      <c r="P54" s="1339"/>
      <c r="Q54" s="1339"/>
      <c r="R54" s="1339"/>
      <c r="S54" s="1339"/>
      <c r="T54" s="1339"/>
      <c r="U54" s="1339"/>
      <c r="V54" s="1339"/>
      <c r="X54" s="1339"/>
      <c r="Y54" s="1339"/>
      <c r="Z54" s="1339"/>
      <c r="AA54" s="1339"/>
      <c r="AB54" s="1339"/>
      <c r="AC54" s="1339"/>
      <c r="AD54" s="1339"/>
      <c r="AE54" s="1339"/>
      <c r="AF54" s="1339"/>
      <c r="AG54" s="1339"/>
      <c r="AH54" s="1339"/>
      <c r="AI54" s="1339"/>
      <c r="AJ54" s="1339"/>
      <c r="AK54" s="105"/>
    </row>
    <row r="55" spans="9:37" ht="15.95" customHeight="1">
      <c r="I55" s="104"/>
      <c r="J55" s="1339"/>
      <c r="K55" s="1339"/>
      <c r="L55" s="1339"/>
      <c r="M55" s="1339"/>
      <c r="N55" s="1339"/>
      <c r="O55" s="1339"/>
      <c r="P55" s="1339"/>
      <c r="Q55" s="1339"/>
      <c r="R55" s="1339"/>
      <c r="S55" s="1339"/>
      <c r="T55" s="1339"/>
      <c r="U55" s="1339"/>
      <c r="V55" s="1339"/>
      <c r="W55" s="223"/>
      <c r="X55" s="248"/>
      <c r="Y55" s="248"/>
      <c r="Z55" s="248"/>
      <c r="AA55" s="248"/>
      <c r="AB55" s="248"/>
      <c r="AC55" s="248"/>
      <c r="AD55" s="248"/>
      <c r="AE55" s="248"/>
      <c r="AF55" s="248"/>
      <c r="AG55" s="248"/>
      <c r="AH55" s="248"/>
      <c r="AI55" s="248"/>
      <c r="AJ55" s="249"/>
      <c r="AK55" s="105"/>
    </row>
    <row r="56" spans="9:37" ht="15.95" customHeight="1">
      <c r="I56" s="104"/>
      <c r="J56" s="241"/>
      <c r="K56" s="241"/>
      <c r="L56" s="241"/>
      <c r="M56" s="241"/>
      <c r="N56" s="241"/>
      <c r="O56" s="241"/>
      <c r="P56" s="241"/>
      <c r="Q56" s="241"/>
      <c r="R56" s="241"/>
      <c r="S56" s="241"/>
      <c r="T56" s="241"/>
      <c r="U56" s="241"/>
      <c r="V56" s="241"/>
      <c r="W56" s="223"/>
      <c r="X56" s="243"/>
      <c r="Y56" s="250"/>
      <c r="Z56" s="1345" t="s">
        <v>1240</v>
      </c>
      <c r="AA56" s="1345"/>
      <c r="AB56" s="1345"/>
      <c r="AC56" s="1345"/>
      <c r="AD56" s="1345"/>
      <c r="AE56" s="1345"/>
      <c r="AF56" s="1345"/>
      <c r="AG56" s="1345"/>
      <c r="AH56" s="1345"/>
      <c r="AI56" s="1345"/>
      <c r="AJ56" s="241"/>
      <c r="AK56" s="105"/>
    </row>
    <row r="57" spans="9:37" ht="15.95" customHeight="1">
      <c r="I57" s="104"/>
      <c r="J57" s="241"/>
      <c r="K57" s="241"/>
      <c r="L57" s="241"/>
      <c r="M57" s="241"/>
      <c r="N57" s="241"/>
      <c r="O57" s="241"/>
      <c r="P57" s="241"/>
      <c r="Q57" s="241"/>
      <c r="R57" s="241"/>
      <c r="S57" s="241"/>
      <c r="T57" s="241"/>
      <c r="U57" s="241"/>
      <c r="V57" s="241"/>
      <c r="X57" s="241"/>
      <c r="Y57" s="241"/>
      <c r="Z57" s="1345"/>
      <c r="AA57" s="1345"/>
      <c r="AB57" s="1345"/>
      <c r="AC57" s="1345"/>
      <c r="AD57" s="1345"/>
      <c r="AE57" s="1345"/>
      <c r="AF57" s="1345"/>
      <c r="AG57" s="1345"/>
      <c r="AH57" s="1345"/>
      <c r="AI57" s="1345"/>
      <c r="AJ57" s="241"/>
      <c r="AK57" s="105"/>
    </row>
    <row r="58" spans="9:37" ht="15.95" customHeight="1">
      <c r="I58" s="104"/>
      <c r="J58" s="241"/>
      <c r="K58" s="1343" t="s">
        <v>1238</v>
      </c>
      <c r="L58" s="1343"/>
      <c r="M58" s="1343"/>
      <c r="N58" s="1343"/>
      <c r="O58" s="1343"/>
      <c r="P58" s="1343"/>
      <c r="Q58" s="1343"/>
      <c r="R58" s="241"/>
      <c r="S58" s="1341" t="s">
        <v>138</v>
      </c>
      <c r="T58" s="1341"/>
      <c r="U58" s="1341"/>
      <c r="V58" s="241"/>
      <c r="X58" s="241"/>
      <c r="Y58" s="250"/>
      <c r="Z58" s="1347" t="s">
        <v>1239</v>
      </c>
      <c r="AA58" s="1347"/>
      <c r="AB58" s="1347"/>
      <c r="AC58" s="1347"/>
      <c r="AD58" s="1347"/>
      <c r="AE58" s="1347"/>
      <c r="AF58" s="1347"/>
      <c r="AG58" s="1347"/>
      <c r="AH58" s="1347"/>
      <c r="AI58" s="1347"/>
      <c r="AJ58" s="241"/>
      <c r="AK58" s="105"/>
    </row>
    <row r="59" spans="9:37" ht="15.95" customHeight="1">
      <c r="I59" s="104"/>
      <c r="J59" s="241"/>
      <c r="K59" s="241"/>
      <c r="L59" s="241"/>
      <c r="M59" s="241"/>
      <c r="N59" s="241"/>
      <c r="O59" s="241"/>
      <c r="P59" s="241"/>
      <c r="Q59" s="241"/>
      <c r="R59" s="241"/>
      <c r="S59" s="241"/>
      <c r="T59" s="241"/>
      <c r="U59" s="241"/>
      <c r="V59" s="241"/>
      <c r="X59" s="241"/>
      <c r="Y59" s="251"/>
      <c r="Z59" s="1347"/>
      <c r="AA59" s="1347"/>
      <c r="AB59" s="1347"/>
      <c r="AC59" s="1347"/>
      <c r="AD59" s="1347"/>
      <c r="AE59" s="1347"/>
      <c r="AF59" s="1347"/>
      <c r="AG59" s="1347"/>
      <c r="AH59" s="1347"/>
      <c r="AI59" s="1347"/>
      <c r="AJ59" s="241"/>
      <c r="AK59" s="105"/>
    </row>
    <row r="60" spans="9:37" ht="15.95" customHeight="1">
      <c r="I60" s="104"/>
      <c r="J60" s="241"/>
      <c r="K60" s="241"/>
      <c r="L60" s="241"/>
      <c r="M60" s="241"/>
      <c r="N60" s="241"/>
      <c r="O60" s="241"/>
      <c r="P60" s="241"/>
      <c r="Q60" s="241"/>
      <c r="R60" s="241"/>
      <c r="S60" s="241"/>
      <c r="T60" s="241"/>
      <c r="U60" s="241"/>
      <c r="V60" s="241"/>
      <c r="X60" s="241"/>
      <c r="Y60" s="251"/>
      <c r="Z60" s="252"/>
      <c r="AA60" s="252"/>
      <c r="AB60" s="252"/>
      <c r="AC60" s="252"/>
      <c r="AD60" s="252"/>
      <c r="AE60" s="252"/>
      <c r="AF60" s="252"/>
      <c r="AG60" s="252"/>
      <c r="AH60" s="252"/>
      <c r="AI60" s="241"/>
      <c r="AJ60" s="241"/>
      <c r="AK60" s="105"/>
    </row>
    <row r="61" spans="9:37" ht="15.95" customHeight="1">
      <c r="I61" s="104"/>
      <c r="AK61" s="105"/>
    </row>
    <row r="62" spans="9:37" ht="15.95" customHeight="1">
      <c r="I62" s="104"/>
      <c r="J62" s="1351" t="s">
        <v>2581</v>
      </c>
      <c r="K62" s="1351"/>
      <c r="L62" s="1351"/>
      <c r="M62" s="1351"/>
      <c r="N62" s="1351"/>
      <c r="O62" s="1351"/>
      <c r="P62" s="1351"/>
      <c r="Q62" s="1351"/>
      <c r="R62" s="1351"/>
      <c r="S62" s="1351"/>
      <c r="T62" s="1351"/>
      <c r="U62" s="1351"/>
      <c r="V62" s="1351"/>
      <c r="W62" s="1351"/>
      <c r="X62" s="1351"/>
      <c r="Y62" s="1351"/>
      <c r="Z62" s="1351"/>
      <c r="AA62" s="1351"/>
      <c r="AB62" s="1351"/>
      <c r="AC62" s="1351"/>
      <c r="AD62" s="1351"/>
      <c r="AE62" s="1351"/>
      <c r="AF62" s="1351"/>
      <c r="AG62" s="1351"/>
      <c r="AH62" s="1351"/>
      <c r="AI62" s="1351"/>
      <c r="AJ62" s="1351"/>
      <c r="AK62" s="105"/>
    </row>
    <row r="63" spans="9:37" ht="15.95" customHeight="1">
      <c r="I63" s="104"/>
      <c r="J63" s="1351"/>
      <c r="K63" s="1351"/>
      <c r="L63" s="1351"/>
      <c r="M63" s="1351"/>
      <c r="N63" s="1351"/>
      <c r="O63" s="1351"/>
      <c r="P63" s="1351"/>
      <c r="Q63" s="1351"/>
      <c r="R63" s="1351"/>
      <c r="S63" s="1351"/>
      <c r="T63" s="1351"/>
      <c r="U63" s="1351"/>
      <c r="V63" s="1351"/>
      <c r="W63" s="1351"/>
      <c r="X63" s="1351"/>
      <c r="Y63" s="1351"/>
      <c r="Z63" s="1351"/>
      <c r="AA63" s="1351"/>
      <c r="AB63" s="1351"/>
      <c r="AC63" s="1351"/>
      <c r="AD63" s="1351"/>
      <c r="AE63" s="1351"/>
      <c r="AF63" s="1351"/>
      <c r="AG63" s="1351"/>
      <c r="AH63" s="1351"/>
      <c r="AI63" s="1351"/>
      <c r="AJ63" s="1351"/>
      <c r="AK63" s="105"/>
    </row>
    <row r="64" spans="9:37" ht="15.95" customHeight="1">
      <c r="I64" s="104"/>
      <c r="J64" s="1351"/>
      <c r="K64" s="1351"/>
      <c r="L64" s="1351"/>
      <c r="M64" s="1351"/>
      <c r="N64" s="1351"/>
      <c r="O64" s="1351"/>
      <c r="P64" s="1351"/>
      <c r="Q64" s="1351"/>
      <c r="R64" s="1351"/>
      <c r="S64" s="1351"/>
      <c r="T64" s="1351"/>
      <c r="U64" s="1351"/>
      <c r="V64" s="1351"/>
      <c r="W64" s="1351"/>
      <c r="X64" s="1351"/>
      <c r="Y64" s="1351"/>
      <c r="Z64" s="1351"/>
      <c r="AA64" s="1351"/>
      <c r="AB64" s="1351"/>
      <c r="AC64" s="1351"/>
      <c r="AD64" s="1351"/>
      <c r="AE64" s="1351"/>
      <c r="AF64" s="1351"/>
      <c r="AG64" s="1351"/>
      <c r="AH64" s="1351"/>
      <c r="AI64" s="1351"/>
      <c r="AJ64" s="1351"/>
      <c r="AK64" s="105"/>
    </row>
    <row r="65" spans="9:37" ht="15.95" customHeight="1">
      <c r="I65" s="104"/>
      <c r="J65" s="1351"/>
      <c r="K65" s="1351"/>
      <c r="L65" s="1351"/>
      <c r="M65" s="1351"/>
      <c r="N65" s="1351"/>
      <c r="O65" s="1351"/>
      <c r="P65" s="1351"/>
      <c r="Q65" s="1351"/>
      <c r="R65" s="1351"/>
      <c r="S65" s="1351"/>
      <c r="T65" s="1351"/>
      <c r="U65" s="1351"/>
      <c r="V65" s="1351"/>
      <c r="W65" s="1351"/>
      <c r="X65" s="1351"/>
      <c r="Y65" s="1351"/>
      <c r="Z65" s="1351"/>
      <c r="AA65" s="1351"/>
      <c r="AB65" s="1351"/>
      <c r="AC65" s="1351"/>
      <c r="AD65" s="1351"/>
      <c r="AE65" s="1351"/>
      <c r="AF65" s="1351"/>
      <c r="AG65" s="1351"/>
      <c r="AH65" s="1351"/>
      <c r="AI65" s="1351"/>
      <c r="AJ65" s="1351"/>
      <c r="AK65" s="105"/>
    </row>
    <row r="66" spans="9:37" ht="15.95" customHeight="1">
      <c r="I66" s="104"/>
      <c r="J66" s="1351"/>
      <c r="K66" s="1351"/>
      <c r="L66" s="1351"/>
      <c r="M66" s="1351"/>
      <c r="N66" s="1351"/>
      <c r="O66" s="1351"/>
      <c r="P66" s="1351"/>
      <c r="Q66" s="1351"/>
      <c r="R66" s="1351"/>
      <c r="S66" s="1351"/>
      <c r="T66" s="1351"/>
      <c r="U66" s="1351"/>
      <c r="V66" s="1351"/>
      <c r="W66" s="1351"/>
      <c r="X66" s="1351"/>
      <c r="Y66" s="1351"/>
      <c r="Z66" s="1351"/>
      <c r="AA66" s="1351"/>
      <c r="AB66" s="1351"/>
      <c r="AC66" s="1351"/>
      <c r="AD66" s="1351"/>
      <c r="AE66" s="1351"/>
      <c r="AF66" s="1351"/>
      <c r="AG66" s="1351"/>
      <c r="AH66" s="1351"/>
      <c r="AI66" s="1351"/>
      <c r="AJ66" s="1351"/>
      <c r="AK66" s="105"/>
    </row>
    <row r="67" spans="9:37" ht="15.95" customHeight="1">
      <c r="I67" s="104"/>
      <c r="J67" s="1351"/>
      <c r="K67" s="1351"/>
      <c r="L67" s="1351"/>
      <c r="M67" s="1351"/>
      <c r="N67" s="1351"/>
      <c r="O67" s="1351"/>
      <c r="P67" s="1351"/>
      <c r="Q67" s="1351"/>
      <c r="R67" s="1351"/>
      <c r="S67" s="1351"/>
      <c r="T67" s="1351"/>
      <c r="U67" s="1351"/>
      <c r="V67" s="1351"/>
      <c r="W67" s="1351"/>
      <c r="X67" s="1351"/>
      <c r="Y67" s="1351"/>
      <c r="Z67" s="1351"/>
      <c r="AA67" s="1351"/>
      <c r="AB67" s="1351"/>
      <c r="AC67" s="1351"/>
      <c r="AD67" s="1351"/>
      <c r="AE67" s="1351"/>
      <c r="AF67" s="1351"/>
      <c r="AG67" s="1351"/>
      <c r="AH67" s="1351"/>
      <c r="AI67" s="1351"/>
      <c r="AJ67" s="1351"/>
      <c r="AK67" s="105"/>
    </row>
    <row r="68" spans="9:37" ht="15.95" customHeight="1">
      <c r="I68" s="104"/>
      <c r="J68" s="1351"/>
      <c r="K68" s="1351"/>
      <c r="L68" s="1351"/>
      <c r="M68" s="1351"/>
      <c r="N68" s="1351"/>
      <c r="O68" s="1351"/>
      <c r="P68" s="1351"/>
      <c r="Q68" s="1351"/>
      <c r="R68" s="1351"/>
      <c r="S68" s="1351"/>
      <c r="T68" s="1351"/>
      <c r="U68" s="1351"/>
      <c r="V68" s="1351"/>
      <c r="W68" s="1351"/>
      <c r="X68" s="1351"/>
      <c r="Y68" s="1351"/>
      <c r="Z68" s="1351"/>
      <c r="AA68" s="1351"/>
      <c r="AB68" s="1351"/>
      <c r="AC68" s="1351"/>
      <c r="AD68" s="1351"/>
      <c r="AE68" s="1351"/>
      <c r="AF68" s="1351"/>
      <c r="AG68" s="1351"/>
      <c r="AH68" s="1351"/>
      <c r="AI68" s="1351"/>
      <c r="AJ68" s="1351"/>
      <c r="AK68" s="105"/>
    </row>
    <row r="69" spans="9:37" ht="15.95" customHeight="1">
      <c r="I69" s="104"/>
      <c r="J69" s="1351"/>
      <c r="K69" s="1351"/>
      <c r="L69" s="1351"/>
      <c r="M69" s="1351"/>
      <c r="N69" s="1351"/>
      <c r="O69" s="1351"/>
      <c r="P69" s="1351"/>
      <c r="Q69" s="1351"/>
      <c r="R69" s="1351"/>
      <c r="S69" s="1351"/>
      <c r="T69" s="1351"/>
      <c r="U69" s="1351"/>
      <c r="V69" s="1351"/>
      <c r="W69" s="1351"/>
      <c r="X69" s="1351"/>
      <c r="Y69" s="1351"/>
      <c r="Z69" s="1351"/>
      <c r="AA69" s="1351"/>
      <c r="AB69" s="1351"/>
      <c r="AC69" s="1351"/>
      <c r="AD69" s="1351"/>
      <c r="AE69" s="1351"/>
      <c r="AF69" s="1351"/>
      <c r="AG69" s="1351"/>
      <c r="AH69" s="1351"/>
      <c r="AI69" s="1351"/>
      <c r="AJ69" s="1351"/>
      <c r="AK69" s="105"/>
    </row>
    <row r="70" spans="9:37" ht="15.95" customHeight="1">
      <c r="I70" s="104"/>
      <c r="J70" s="1351"/>
      <c r="K70" s="1351"/>
      <c r="L70" s="1351"/>
      <c r="M70" s="1351"/>
      <c r="N70" s="1351"/>
      <c r="O70" s="1351"/>
      <c r="P70" s="1351"/>
      <c r="Q70" s="1351"/>
      <c r="R70" s="1351"/>
      <c r="S70" s="1351"/>
      <c r="T70" s="1351"/>
      <c r="U70" s="1351"/>
      <c r="V70" s="1351"/>
      <c r="W70" s="1351"/>
      <c r="X70" s="1351"/>
      <c r="Y70" s="1351"/>
      <c r="Z70" s="1351"/>
      <c r="AA70" s="1351"/>
      <c r="AB70" s="1351"/>
      <c r="AC70" s="1351"/>
      <c r="AD70" s="1351"/>
      <c r="AE70" s="1351"/>
      <c r="AF70" s="1351"/>
      <c r="AG70" s="1351"/>
      <c r="AH70" s="1351"/>
      <c r="AI70" s="1351"/>
      <c r="AJ70" s="1351"/>
      <c r="AK70" s="105"/>
    </row>
    <row r="71" spans="9:37" ht="15.95" customHeight="1">
      <c r="I71" s="104"/>
      <c r="J71" s="212"/>
      <c r="K71" s="212"/>
      <c r="L71" s="212"/>
      <c r="M71" s="212"/>
      <c r="N71" s="212"/>
      <c r="O71" s="212"/>
      <c r="P71" s="212"/>
      <c r="Q71" s="212"/>
      <c r="R71" s="212"/>
      <c r="S71" s="212"/>
      <c r="T71" s="212"/>
      <c r="U71" s="212"/>
      <c r="V71" s="212"/>
      <c r="W71" s="212"/>
      <c r="X71" s="212"/>
      <c r="Y71" s="212"/>
      <c r="Z71" s="212"/>
      <c r="AA71" s="212"/>
      <c r="AB71" s="212"/>
      <c r="AC71" s="212"/>
      <c r="AD71" s="212"/>
      <c r="AE71" s="212"/>
      <c r="AF71" s="212"/>
      <c r="AG71" s="212"/>
      <c r="AH71" s="212"/>
      <c r="AI71" s="212"/>
      <c r="AJ71" s="212"/>
      <c r="AK71" s="105"/>
    </row>
    <row r="72" spans="9:37" ht="15.95" customHeight="1">
      <c r="I72" s="104"/>
      <c r="J72" s="1287" t="s">
        <v>1563</v>
      </c>
      <c r="K72" s="1287"/>
      <c r="L72" s="1287"/>
      <c r="M72" s="1287"/>
      <c r="N72" s="1287"/>
      <c r="O72" s="1287"/>
      <c r="P72" s="1287"/>
      <c r="Q72" s="1287"/>
      <c r="R72" s="1287"/>
      <c r="S72" s="1287"/>
      <c r="T72" s="1287"/>
      <c r="U72" s="1287"/>
      <c r="V72" s="1287"/>
      <c r="W72" s="1287"/>
      <c r="X72" s="1287"/>
      <c r="Y72" s="1287"/>
      <c r="Z72" s="1287"/>
      <c r="AA72" s="1287"/>
      <c r="AB72" s="1287"/>
      <c r="AC72" s="1287"/>
      <c r="AD72" s="1287"/>
      <c r="AE72" s="1287"/>
      <c r="AF72" s="1287"/>
      <c r="AG72" s="1287"/>
      <c r="AH72" s="1287"/>
      <c r="AI72" s="1287"/>
      <c r="AJ72" s="1287"/>
      <c r="AK72" s="105"/>
    </row>
    <row r="73" spans="9:37" ht="15.95" customHeight="1">
      <c r="I73" s="104"/>
      <c r="J73" s="1287"/>
      <c r="K73" s="1287"/>
      <c r="L73" s="1287"/>
      <c r="M73" s="1287"/>
      <c r="N73" s="1287"/>
      <c r="O73" s="1287"/>
      <c r="P73" s="1287"/>
      <c r="Q73" s="1287"/>
      <c r="R73" s="1287"/>
      <c r="S73" s="1287"/>
      <c r="T73" s="1287"/>
      <c r="U73" s="1287"/>
      <c r="V73" s="1287"/>
      <c r="W73" s="1287"/>
      <c r="X73" s="1287"/>
      <c r="Y73" s="1287"/>
      <c r="Z73" s="1287"/>
      <c r="AA73" s="1287"/>
      <c r="AB73" s="1287"/>
      <c r="AC73" s="1287"/>
      <c r="AD73" s="1287"/>
      <c r="AE73" s="1287"/>
      <c r="AF73" s="1287"/>
      <c r="AG73" s="1287"/>
      <c r="AH73" s="1287"/>
      <c r="AI73" s="1287"/>
      <c r="AJ73" s="1287"/>
      <c r="AK73" s="105"/>
    </row>
    <row r="74" spans="9:37" ht="15.95" customHeight="1">
      <c r="I74" s="106"/>
      <c r="J74" s="107"/>
      <c r="K74" s="108"/>
      <c r="L74" s="109"/>
      <c r="M74" s="109"/>
      <c r="N74" s="109"/>
      <c r="O74" s="109"/>
      <c r="P74" s="109"/>
      <c r="Q74" s="109"/>
      <c r="R74" s="109"/>
      <c r="S74" s="109"/>
      <c r="T74" s="109"/>
      <c r="U74" s="109"/>
      <c r="V74" s="109"/>
      <c r="W74" s="109"/>
      <c r="X74" s="109"/>
      <c r="Y74" s="109"/>
      <c r="Z74" s="109"/>
      <c r="AA74" s="109"/>
      <c r="AB74" s="109"/>
      <c r="AC74" s="109"/>
      <c r="AD74" s="109"/>
      <c r="AE74" s="109"/>
      <c r="AF74" s="109"/>
      <c r="AG74" s="109"/>
      <c r="AH74" s="109"/>
      <c r="AI74" s="109"/>
      <c r="AJ74" s="109"/>
      <c r="AK74" s="110"/>
    </row>
    <row r="75" spans="9:37" ht="15.95" customHeight="1">
      <c r="J75" s="28"/>
      <c r="K75" s="29"/>
    </row>
    <row r="76" spans="9:37" ht="15.95" hidden="1" customHeight="1">
      <c r="J76" s="28"/>
      <c r="K76" s="29"/>
    </row>
    <row r="77" spans="9:37" ht="15.95" hidden="1" customHeight="1">
      <c r="J77" s="28"/>
      <c r="K77" s="29"/>
    </row>
    <row r="78" spans="9:37" ht="15.95" hidden="1" customHeight="1">
      <c r="J78" s="28"/>
      <c r="K78" s="29"/>
    </row>
    <row r="79" spans="9:37" ht="15.95" hidden="1" customHeight="1">
      <c r="J79" s="28"/>
      <c r="K79" s="29"/>
    </row>
    <row r="80" spans="9:37" ht="15.95" hidden="1" customHeight="1">
      <c r="J80" s="28"/>
      <c r="K80" s="29"/>
    </row>
    <row r="81" spans="10:11" ht="15.75" hidden="1" customHeight="1">
      <c r="J81" s="28"/>
      <c r="K81" s="29"/>
    </row>
    <row r="82" spans="10:11" ht="15.95" hidden="1" customHeight="1"/>
    <row r="83" spans="10:11" ht="15.95" hidden="1" customHeight="1"/>
    <row r="84" spans="10:11" ht="15.95" hidden="1" customHeight="1"/>
    <row r="85" spans="10:11" ht="15.95" hidden="1" customHeight="1"/>
    <row r="86" spans="10:11" ht="15.95" hidden="1" customHeight="1"/>
    <row r="87" spans="10:11" ht="15.95" hidden="1" customHeight="1"/>
    <row r="88" spans="10:11" ht="15.95" hidden="1" customHeight="1"/>
    <row r="89" spans="10:11" ht="15.95" hidden="1" customHeight="1"/>
    <row r="90" spans="10:11" ht="15.95" hidden="1" customHeight="1"/>
    <row r="91" spans="10:11" ht="15.95" hidden="1" customHeight="1"/>
    <row r="92" spans="10:11" ht="15.95" hidden="1" customHeight="1"/>
    <row r="93" spans="10:11" ht="15.95" hidden="1" customHeight="1"/>
    <row r="94" spans="10:11" ht="15.95" hidden="1" customHeight="1"/>
    <row r="95" spans="10:11" ht="15.95" hidden="1" customHeight="1"/>
    <row r="96" spans="10:11" ht="15.95" hidden="1" customHeight="1"/>
    <row r="97" spans="79:80" ht="15.95" hidden="1" customHeight="1"/>
    <row r="98" spans="79:80" ht="15.95" hidden="1" customHeight="1">
      <c r="CA98" s="159"/>
      <c r="CB98" s="14"/>
    </row>
    <row r="99" spans="79:80" ht="15.95" hidden="1" customHeight="1">
      <c r="CA99" s="159"/>
      <c r="CB99" s="14"/>
    </row>
    <row r="100" spans="79:80" ht="15.95" hidden="1" customHeight="1">
      <c r="CA100" s="159"/>
      <c r="CB100" s="14"/>
    </row>
    <row r="101" spans="79:80" ht="15.95" hidden="1" customHeight="1">
      <c r="CA101" s="159"/>
      <c r="CB101" s="14"/>
    </row>
    <row r="102" spans="79:80" ht="15.95" hidden="1" customHeight="1">
      <c r="CA102" s="159"/>
      <c r="CB102" s="14"/>
    </row>
    <row r="103" spans="79:80" ht="15.95" hidden="1" customHeight="1">
      <c r="CA103" s="159"/>
      <c r="CB103" s="14"/>
    </row>
    <row r="104" spans="79:80" ht="15.95" hidden="1" customHeight="1">
      <c r="CA104" s="159"/>
      <c r="CB104" s="14"/>
    </row>
    <row r="105" spans="79:80" ht="15.95" hidden="1" customHeight="1">
      <c r="CA105" s="159"/>
      <c r="CB105" s="14"/>
    </row>
    <row r="106" spans="79:80" ht="15.95" hidden="1" customHeight="1">
      <c r="CA106" s="159"/>
      <c r="CB106" s="14"/>
    </row>
    <row r="107" spans="79:80" ht="15.95" hidden="1" customHeight="1">
      <c r="CA107" s="159"/>
      <c r="CB107" s="14"/>
    </row>
    <row r="108" spans="79:80" ht="15.95" hidden="1" customHeight="1">
      <c r="CA108" s="159"/>
      <c r="CB108" s="14"/>
    </row>
    <row r="109" spans="79:80" ht="15.95" hidden="1" customHeight="1">
      <c r="CA109" s="159"/>
      <c r="CB109" s="14"/>
    </row>
    <row r="110" spans="79:80" ht="15.95" hidden="1" customHeight="1">
      <c r="CA110" s="159"/>
      <c r="CB110" s="14"/>
    </row>
    <row r="111" spans="79:80" ht="15.95" hidden="1" customHeight="1">
      <c r="CA111" s="159"/>
      <c r="CB111" s="14"/>
    </row>
    <row r="112" spans="79:80" ht="15.95" hidden="1" customHeight="1">
      <c r="CA112" s="159"/>
      <c r="CB112" s="14"/>
    </row>
    <row r="113" spans="79:80" ht="15.95" hidden="1" customHeight="1">
      <c r="CA113" s="159"/>
      <c r="CB113" s="14"/>
    </row>
    <row r="114" spans="79:80" ht="15.95" hidden="1" customHeight="1">
      <c r="CA114" s="159"/>
      <c r="CB114" s="14"/>
    </row>
    <row r="115" spans="79:80" ht="15.95" hidden="1" customHeight="1">
      <c r="CA115" s="159"/>
      <c r="CB115" s="14"/>
    </row>
    <row r="116" spans="79:80" ht="15.95" hidden="1" customHeight="1">
      <c r="CA116" s="159"/>
      <c r="CB116" s="14"/>
    </row>
    <row r="117" spans="79:80" ht="15.95" hidden="1" customHeight="1">
      <c r="CA117" s="159"/>
      <c r="CB117" s="14"/>
    </row>
    <row r="118" spans="79:80" ht="15.95" hidden="1" customHeight="1">
      <c r="CA118" s="159"/>
      <c r="CB118" s="14"/>
    </row>
    <row r="119" spans="79:80" ht="15.95" hidden="1" customHeight="1">
      <c r="CA119" s="159"/>
      <c r="CB119" s="14"/>
    </row>
    <row r="120" spans="79:80" ht="15.95" hidden="1" customHeight="1">
      <c r="CA120" s="159"/>
      <c r="CB120" s="14"/>
    </row>
    <row r="121" spans="79:80" ht="15.95" hidden="1" customHeight="1">
      <c r="CA121" s="159"/>
      <c r="CB121" s="14"/>
    </row>
    <row r="122" spans="79:80" ht="15.95" hidden="1" customHeight="1">
      <c r="CA122" s="159"/>
      <c r="CB122" s="14"/>
    </row>
    <row r="123" spans="79:80" ht="15.95" hidden="1" customHeight="1">
      <c r="CA123" s="159"/>
      <c r="CB123" s="14"/>
    </row>
    <row r="124" spans="79:80" ht="15.95" hidden="1" customHeight="1">
      <c r="CA124" s="159"/>
      <c r="CB124" s="14"/>
    </row>
    <row r="125" spans="79:80" ht="15.95" hidden="1" customHeight="1">
      <c r="CA125" s="159"/>
      <c r="CB125" s="14"/>
    </row>
    <row r="126" spans="79:80" ht="15.95" hidden="1" customHeight="1">
      <c r="CA126" s="159"/>
      <c r="CB126" s="14"/>
    </row>
    <row r="127" spans="79:80" ht="15.95" hidden="1" customHeight="1">
      <c r="CA127" s="159"/>
      <c r="CB127" s="14"/>
    </row>
    <row r="128" spans="79:80" ht="15.95" hidden="1" customHeight="1">
      <c r="CA128" s="159"/>
      <c r="CB128" s="14"/>
    </row>
    <row r="129" spans="79:80" ht="15.95" hidden="1" customHeight="1">
      <c r="CA129" s="159"/>
      <c r="CB129" s="14"/>
    </row>
    <row r="130" spans="79:80" ht="15.95" hidden="1" customHeight="1">
      <c r="CA130" s="159"/>
      <c r="CB130" s="14"/>
    </row>
    <row r="131" spans="79:80" ht="15.95" hidden="1" customHeight="1">
      <c r="CA131" s="159"/>
      <c r="CB131" s="14"/>
    </row>
    <row r="132" spans="79:80" ht="15.95" hidden="1" customHeight="1">
      <c r="CA132" s="159"/>
      <c r="CB132" s="14"/>
    </row>
    <row r="133" spans="79:80" ht="15.95" hidden="1" customHeight="1">
      <c r="CA133" s="159"/>
      <c r="CB133" s="14"/>
    </row>
    <row r="134" spans="79:80" ht="15.95" hidden="1" customHeight="1">
      <c r="CA134" s="159"/>
      <c r="CB134" s="14"/>
    </row>
    <row r="135" spans="79:80" ht="15.95" hidden="1" customHeight="1">
      <c r="CA135" s="159"/>
      <c r="CB135" s="14"/>
    </row>
    <row r="136" spans="79:80" ht="15.95" hidden="1" customHeight="1">
      <c r="CA136" s="159"/>
      <c r="CB136" s="14"/>
    </row>
    <row r="137" spans="79:80" ht="15.95" hidden="1" customHeight="1">
      <c r="CA137" s="159"/>
      <c r="CB137" s="14"/>
    </row>
    <row r="138" spans="79:80" ht="15.95" hidden="1" customHeight="1">
      <c r="CA138" s="159"/>
      <c r="CB138" s="14"/>
    </row>
    <row r="139" spans="79:80" ht="15.95" hidden="1" customHeight="1">
      <c r="CA139" s="159"/>
      <c r="CB139" s="14"/>
    </row>
    <row r="140" spans="79:80" ht="15.95" hidden="1" customHeight="1">
      <c r="CA140" s="159"/>
      <c r="CB140" s="14"/>
    </row>
    <row r="141" spans="79:80" ht="15.95" hidden="1" customHeight="1">
      <c r="CA141" s="159"/>
      <c r="CB141" s="14"/>
    </row>
    <row r="142" spans="79:80" ht="15.95" hidden="1" customHeight="1">
      <c r="CA142" s="159"/>
      <c r="CB142" s="14"/>
    </row>
    <row r="143" spans="79:80" ht="15.95" hidden="1" customHeight="1">
      <c r="CA143" s="159"/>
      <c r="CB143" s="14"/>
    </row>
    <row r="144" spans="79:80" ht="15.95" hidden="1" customHeight="1">
      <c r="CA144" s="159"/>
      <c r="CB144" s="14"/>
    </row>
    <row r="145" spans="79:80" ht="15.95" hidden="1" customHeight="1">
      <c r="CA145" s="159"/>
      <c r="CB145" s="14"/>
    </row>
    <row r="146" spans="79:80" ht="15.95" hidden="1" customHeight="1">
      <c r="CA146" s="159"/>
      <c r="CB146" s="14"/>
    </row>
    <row r="147" spans="79:80" ht="15.95" hidden="1" customHeight="1">
      <c r="CA147" s="159"/>
      <c r="CB147" s="14"/>
    </row>
    <row r="148" spans="79:80" ht="15.95" hidden="1" customHeight="1">
      <c r="CA148" s="159"/>
      <c r="CB148" s="14"/>
    </row>
    <row r="149" spans="79:80" ht="15.95" hidden="1" customHeight="1">
      <c r="CA149" s="159"/>
      <c r="CB149" s="14"/>
    </row>
    <row r="150" spans="79:80" ht="15.95" hidden="1" customHeight="1">
      <c r="CA150" s="159"/>
      <c r="CB150" s="14"/>
    </row>
    <row r="151" spans="79:80" ht="15.95" hidden="1" customHeight="1">
      <c r="CA151" s="159"/>
      <c r="CB151" s="14"/>
    </row>
    <row r="152" spans="79:80" ht="15.95" hidden="1" customHeight="1">
      <c r="CA152" s="159"/>
      <c r="CB152" s="14"/>
    </row>
    <row r="153" spans="79:80" ht="15.95" hidden="1" customHeight="1">
      <c r="CA153" s="159"/>
      <c r="CB153" s="14"/>
    </row>
    <row r="154" spans="79:80" ht="15.95" hidden="1" customHeight="1">
      <c r="CA154" s="159"/>
      <c r="CB154" s="14"/>
    </row>
    <row r="155" spans="79:80" ht="15.95" hidden="1" customHeight="1">
      <c r="CA155" s="159"/>
      <c r="CB155" s="14"/>
    </row>
    <row r="156" spans="79:80" ht="15.95" hidden="1" customHeight="1">
      <c r="CA156" s="159"/>
      <c r="CB156" s="14"/>
    </row>
    <row r="157" spans="79:80" ht="15.95" hidden="1" customHeight="1">
      <c r="CA157" s="159"/>
      <c r="CB157" s="14"/>
    </row>
    <row r="158" spans="79:80" ht="15.95" hidden="1" customHeight="1">
      <c r="CA158" s="159"/>
      <c r="CB158" s="14"/>
    </row>
    <row r="159" spans="79:80" ht="15.95" hidden="1" customHeight="1">
      <c r="CA159" s="159"/>
      <c r="CB159" s="14"/>
    </row>
    <row r="160" spans="79:80" ht="15.95" hidden="1" customHeight="1">
      <c r="CA160" s="159"/>
      <c r="CB160" s="14"/>
    </row>
    <row r="161" spans="79:80" ht="15.95" hidden="1" customHeight="1">
      <c r="CA161" s="159"/>
      <c r="CB161" s="14"/>
    </row>
    <row r="162" spans="79:80" ht="15.95" hidden="1" customHeight="1">
      <c r="CA162" s="159"/>
      <c r="CB162" s="14"/>
    </row>
    <row r="163" spans="79:80" ht="15.95" hidden="1" customHeight="1">
      <c r="CA163" s="159"/>
      <c r="CB163" s="14"/>
    </row>
    <row r="164" spans="79:80" ht="15.95" hidden="1" customHeight="1">
      <c r="CA164" s="159"/>
      <c r="CB164" s="14"/>
    </row>
    <row r="165" spans="79:80" ht="15.95" hidden="1" customHeight="1">
      <c r="CA165" s="159"/>
      <c r="CB165" s="14"/>
    </row>
    <row r="166" spans="79:80" ht="15.95" hidden="1" customHeight="1">
      <c r="CA166" s="159"/>
      <c r="CB166" s="14"/>
    </row>
    <row r="167" spans="79:80" ht="15.95" hidden="1" customHeight="1">
      <c r="CA167" s="159"/>
      <c r="CB167" s="14"/>
    </row>
    <row r="168" spans="79:80" ht="15.95" hidden="1" customHeight="1">
      <c r="CA168" s="159"/>
      <c r="CB168" s="14"/>
    </row>
    <row r="169" spans="79:80" ht="15.95" hidden="1" customHeight="1">
      <c r="CA169" s="159"/>
      <c r="CB169" s="14"/>
    </row>
    <row r="170" spans="79:80" ht="15.95" hidden="1" customHeight="1">
      <c r="CA170" s="159"/>
      <c r="CB170" s="14"/>
    </row>
    <row r="171" spans="79:80" ht="15.95" hidden="1" customHeight="1">
      <c r="CA171" s="159"/>
      <c r="CB171" s="14"/>
    </row>
    <row r="172" spans="79:80" ht="15.95" hidden="1" customHeight="1">
      <c r="CA172" s="159"/>
      <c r="CB172" s="14"/>
    </row>
    <row r="173" spans="79:80" ht="15.95" hidden="1" customHeight="1">
      <c r="CA173" s="159"/>
      <c r="CB173" s="14"/>
    </row>
    <row r="174" spans="79:80" ht="15.95" hidden="1" customHeight="1">
      <c r="CA174" s="159"/>
      <c r="CB174" s="14"/>
    </row>
    <row r="175" spans="79:80" ht="15.95" hidden="1" customHeight="1">
      <c r="CA175" s="159"/>
      <c r="CB175" s="14"/>
    </row>
    <row r="176" spans="79:80" ht="15.95" hidden="1" customHeight="1">
      <c r="CA176" s="159"/>
      <c r="CB176" s="14"/>
    </row>
    <row r="177" spans="79:80" ht="15.95" hidden="1" customHeight="1">
      <c r="CA177" s="159"/>
      <c r="CB177" s="14"/>
    </row>
    <row r="178" spans="79:80" ht="15.95" hidden="1" customHeight="1">
      <c r="CA178" s="159"/>
      <c r="CB178" s="14"/>
    </row>
    <row r="179" spans="79:80" ht="15.95" hidden="1" customHeight="1">
      <c r="CA179" s="159"/>
      <c r="CB179" s="14"/>
    </row>
    <row r="180" spans="79:80" ht="15.95" hidden="1" customHeight="1">
      <c r="CA180" s="159"/>
      <c r="CB180" s="14"/>
    </row>
    <row r="181" spans="79:80" ht="15.95" hidden="1" customHeight="1">
      <c r="CA181" s="159"/>
      <c r="CB181" s="14"/>
    </row>
    <row r="182" spans="79:80" ht="15.95" hidden="1" customHeight="1">
      <c r="CA182" s="159"/>
      <c r="CB182" s="14"/>
    </row>
    <row r="183" spans="79:80" ht="15.95" hidden="1" customHeight="1">
      <c r="CA183" s="159"/>
      <c r="CB183" s="14"/>
    </row>
    <row r="184" spans="79:80" ht="15.95" hidden="1" customHeight="1">
      <c r="CA184" s="159"/>
      <c r="CB184" s="14"/>
    </row>
    <row r="185" spans="79:80" ht="15.95" hidden="1" customHeight="1">
      <c r="CA185" s="159"/>
      <c r="CB185" s="14"/>
    </row>
    <row r="186" spans="79:80" ht="15.95" hidden="1" customHeight="1">
      <c r="CA186" s="159"/>
      <c r="CB186" s="14"/>
    </row>
    <row r="187" spans="79:80" ht="15.95" hidden="1" customHeight="1">
      <c r="CA187" s="159"/>
      <c r="CB187" s="14"/>
    </row>
    <row r="188" spans="79:80" ht="15.95" hidden="1" customHeight="1">
      <c r="CA188" s="159"/>
      <c r="CB188" s="14"/>
    </row>
    <row r="189" spans="79:80" ht="15.95" hidden="1" customHeight="1">
      <c r="CA189" s="159"/>
      <c r="CB189" s="14"/>
    </row>
    <row r="190" spans="79:80" ht="15.95" hidden="1" customHeight="1">
      <c r="CA190" s="159"/>
      <c r="CB190" s="14"/>
    </row>
    <row r="191" spans="79:80" ht="15.95" hidden="1" customHeight="1">
      <c r="CA191" s="159"/>
      <c r="CB191" s="14"/>
    </row>
    <row r="192" spans="79:80" ht="15.95" hidden="1" customHeight="1">
      <c r="CA192" s="159"/>
      <c r="CB192" s="14"/>
    </row>
    <row r="193" spans="2:80" ht="15.95" hidden="1" customHeight="1">
      <c r="CA193" s="159"/>
      <c r="CB193" s="14"/>
    </row>
    <row r="194" spans="2:80" ht="15.95" hidden="1" customHeight="1">
      <c r="CA194" s="159"/>
      <c r="CB194" s="14"/>
    </row>
    <row r="195" spans="2:80" ht="15.95" hidden="1" customHeight="1">
      <c r="CA195" s="159"/>
      <c r="CB195" s="14"/>
    </row>
    <row r="196" spans="2:80" ht="15.95" hidden="1" customHeight="1">
      <c r="CA196" s="159"/>
      <c r="CB196" s="14"/>
    </row>
    <row r="197" spans="2:80" ht="15.95" hidden="1" customHeight="1">
      <c r="CA197" s="159"/>
      <c r="CB197" s="14"/>
    </row>
    <row r="198" spans="2:80" ht="15.95" hidden="1" customHeight="1">
      <c r="CA198" s="159"/>
      <c r="CB198" s="14"/>
    </row>
    <row r="199" spans="2:80" ht="15.95" hidden="1" customHeight="1"/>
    <row r="200" spans="2:80" ht="15.95" customHeight="1">
      <c r="B200" s="272" t="str">
        <f>FOOT1</f>
        <v>NIPSCO Energy Efficiency Program</v>
      </c>
      <c r="C200" s="272"/>
      <c r="D200" s="272"/>
      <c r="E200" s="272"/>
      <c r="F200" s="272"/>
      <c r="G200" s="272"/>
      <c r="H200" s="272"/>
      <c r="I200" s="272"/>
      <c r="J200" s="272"/>
      <c r="K200" s="272"/>
      <c r="L200" s="272"/>
      <c r="M200" s="661" t="str">
        <f>FOOT4</f>
        <v>NIPSCO’s energy efficiency programs are administered by TRC, a third‐party implementation specialist that helps homes and businesses save energy.</v>
      </c>
      <c r="N200" s="661"/>
      <c r="O200" s="661"/>
      <c r="P200" s="661"/>
      <c r="Q200" s="661"/>
      <c r="R200" s="661"/>
      <c r="S200" s="661"/>
      <c r="T200" s="661"/>
      <c r="U200" s="661"/>
      <c r="V200" s="661"/>
      <c r="W200" s="661"/>
      <c r="X200" s="661"/>
      <c r="Y200" s="661"/>
      <c r="Z200" s="661"/>
      <c r="AA200" s="661"/>
      <c r="AB200" s="661"/>
      <c r="AC200" s="661"/>
      <c r="AD200" s="661"/>
      <c r="AE200" s="661"/>
      <c r="AF200" s="661"/>
      <c r="AG200" s="661"/>
      <c r="AH200" s="272"/>
      <c r="AI200" s="272"/>
      <c r="AJ200" s="272"/>
      <c r="AK200" s="272"/>
      <c r="AL200" s="272"/>
      <c r="AM200" s="272"/>
      <c r="AN200" s="272"/>
      <c r="AO200" s="272"/>
      <c r="AP200" s="272"/>
      <c r="AQ200" s="272"/>
      <c r="AR200" s="273" t="str">
        <f>FOOTDISCLAIM</f>
        <v/>
      </c>
    </row>
    <row r="201" spans="2:80" ht="15.95" customHeight="1">
      <c r="B201" s="272" t="str">
        <f>FOOT2</f>
        <v>Toll-Free 800-299-2501</v>
      </c>
      <c r="C201" s="272"/>
      <c r="D201" s="272"/>
      <c r="E201" s="272"/>
      <c r="F201" s="272"/>
      <c r="G201" s="272"/>
      <c r="H201" s="272"/>
      <c r="I201" s="272"/>
      <c r="J201" s="272"/>
      <c r="K201" s="272"/>
      <c r="L201" s="272"/>
      <c r="M201" s="661"/>
      <c r="N201" s="661"/>
      <c r="O201" s="661"/>
      <c r="P201" s="661"/>
      <c r="Q201" s="661"/>
      <c r="R201" s="661"/>
      <c r="S201" s="661"/>
      <c r="T201" s="661"/>
      <c r="U201" s="661"/>
      <c r="V201" s="661"/>
      <c r="W201" s="661"/>
      <c r="X201" s="661"/>
      <c r="Y201" s="661"/>
      <c r="Z201" s="661"/>
      <c r="AA201" s="661"/>
      <c r="AB201" s="661"/>
      <c r="AC201" s="661"/>
      <c r="AD201" s="661"/>
      <c r="AE201" s="661"/>
      <c r="AF201" s="661"/>
      <c r="AG201" s="661"/>
      <c r="AH201" s="272"/>
      <c r="AI201" s="272"/>
      <c r="AJ201" s="272"/>
      <c r="AK201" s="272"/>
      <c r="AL201" s="272"/>
      <c r="AM201" s="272"/>
      <c r="AN201" s="272"/>
      <c r="AO201" s="272"/>
      <c r="AP201" s="272"/>
      <c r="AQ201" s="272"/>
      <c r="AR201" s="273" t="str">
        <f>FOOT5</f>
        <v/>
      </c>
    </row>
    <row r="202" spans="2:80" ht="15.95" customHeight="1">
      <c r="B202" s="281" t="str">
        <f>FOOT3</f>
        <v>NIPSCO.Savings@TRCcompanies.com</v>
      </c>
      <c r="C202" s="272"/>
      <c r="D202" s="272"/>
      <c r="E202" s="272"/>
      <c r="F202" s="272"/>
      <c r="G202" s="272"/>
      <c r="H202" s="272"/>
      <c r="I202" s="272"/>
      <c r="J202" s="272"/>
      <c r="K202" s="272"/>
      <c r="L202" s="272"/>
      <c r="M202" s="274"/>
      <c r="N202" s="272"/>
      <c r="O202" s="272"/>
      <c r="P202" s="274"/>
      <c r="Q202" s="274"/>
      <c r="R202" s="274"/>
      <c r="S202" s="274"/>
      <c r="T202" s="274"/>
      <c r="U202" s="274"/>
      <c r="V202" s="274"/>
      <c r="W202" s="275" t="str">
        <f>VERSION</f>
        <v>Custom Prescriptive Application v3.7.1</v>
      </c>
      <c r="X202" s="274"/>
      <c r="Y202" s="274"/>
      <c r="Z202" s="274"/>
      <c r="AA202" s="274"/>
      <c r="AB202" s="274"/>
      <c r="AC202" s="274"/>
      <c r="AD202" s="274"/>
      <c r="AE202" s="272"/>
      <c r="AF202" s="272"/>
      <c r="AG202" s="272"/>
      <c r="AH202" s="272"/>
      <c r="AI202" s="272"/>
      <c r="AJ202" s="272"/>
      <c r="AK202" s="272"/>
      <c r="AL202" s="272"/>
      <c r="AM202" s="272"/>
      <c r="AN202" s="272"/>
      <c r="AO202" s="272"/>
      <c r="AP202" s="272"/>
      <c r="AQ202" s="272"/>
      <c r="AR202" s="273" t="str">
        <f>FOOT6</f>
        <v>Product of TRC</v>
      </c>
    </row>
    <row r="206" spans="2:80" ht="15" hidden="1" customHeight="1">
      <c r="B206" s="305"/>
      <c r="C206" s="305"/>
      <c r="D206" s="305"/>
      <c r="E206" s="305"/>
      <c r="F206" s="305"/>
      <c r="G206" s="305"/>
      <c r="H206" s="305"/>
      <c r="I206" s="305"/>
      <c r="J206" s="305"/>
      <c r="K206" s="305"/>
      <c r="L206" s="305"/>
      <c r="M206" s="305"/>
      <c r="N206" s="305"/>
      <c r="O206" s="305"/>
      <c r="P206" s="305"/>
      <c r="Q206" s="305"/>
      <c r="R206" s="305"/>
      <c r="S206" s="305"/>
      <c r="T206" s="305"/>
      <c r="U206" s="305"/>
      <c r="V206" s="305"/>
      <c r="W206" s="305"/>
      <c r="X206" s="305"/>
      <c r="Y206" s="305"/>
      <c r="Z206" s="305"/>
      <c r="AA206" s="305"/>
      <c r="AB206" s="305"/>
      <c r="AC206" s="305"/>
      <c r="AD206" s="305"/>
      <c r="AE206" s="305"/>
      <c r="AF206" s="305"/>
      <c r="AG206" s="305"/>
      <c r="AH206" s="305"/>
      <c r="AI206" s="305"/>
      <c r="AJ206" s="305"/>
      <c r="AK206" s="305"/>
      <c r="AL206" s="305"/>
      <c r="AM206" s="305"/>
      <c r="AN206" s="305"/>
      <c r="AO206" s="305"/>
      <c r="AP206" s="305"/>
      <c r="AQ206" s="305"/>
      <c r="AR206" s="305"/>
    </row>
    <row r="207" spans="2:80" ht="15" hidden="1" customHeight="1">
      <c r="B207" s="305"/>
      <c r="C207" s="305"/>
      <c r="D207" s="305"/>
      <c r="E207" s="305"/>
      <c r="F207" s="305"/>
      <c r="G207" s="305"/>
      <c r="H207" s="305"/>
      <c r="I207" s="305"/>
      <c r="J207" s="305"/>
      <c r="K207" s="305"/>
      <c r="L207" s="305"/>
      <c r="M207" s="305"/>
      <c r="N207" s="305"/>
      <c r="O207" s="305"/>
      <c r="P207" s="305"/>
      <c r="Q207" s="305"/>
      <c r="R207" s="305"/>
      <c r="S207" s="305"/>
      <c r="T207" s="305"/>
      <c r="U207" s="305"/>
      <c r="V207" s="305"/>
      <c r="W207" s="305"/>
      <c r="X207" s="305"/>
      <c r="Y207" s="305"/>
      <c r="Z207" s="305"/>
      <c r="AA207" s="305"/>
      <c r="AB207" s="305"/>
      <c r="AC207" s="305"/>
      <c r="AD207" s="305"/>
      <c r="AE207" s="305"/>
      <c r="AF207" s="305"/>
      <c r="AG207" s="305"/>
      <c r="AH207" s="305"/>
      <c r="AI207" s="305"/>
      <c r="AJ207" s="305"/>
      <c r="AK207" s="305"/>
      <c r="AL207" s="305"/>
      <c r="AM207" s="305"/>
      <c r="AN207" s="305"/>
      <c r="AO207" s="305"/>
      <c r="AP207" s="305"/>
      <c r="AQ207" s="305"/>
      <c r="AR207" s="305"/>
    </row>
    <row r="208" spans="2:80" ht="15" hidden="1" customHeight="1">
      <c r="B208" s="305"/>
      <c r="C208" s="305"/>
      <c r="D208" s="305"/>
      <c r="E208" s="305"/>
      <c r="F208" s="305"/>
      <c r="G208" s="305"/>
      <c r="H208" s="305"/>
      <c r="I208" s="305"/>
      <c r="J208" s="305"/>
      <c r="K208" s="305"/>
      <c r="L208" s="305"/>
      <c r="M208" s="305"/>
      <c r="N208" s="305"/>
      <c r="O208" s="305"/>
      <c r="P208" s="305"/>
      <c r="Q208" s="305"/>
      <c r="R208" s="305"/>
      <c r="S208" s="305"/>
      <c r="T208" s="305"/>
      <c r="U208" s="305"/>
      <c r="V208" s="305"/>
      <c r="W208" s="305"/>
      <c r="X208" s="305"/>
      <c r="Y208" s="305"/>
      <c r="Z208" s="305"/>
      <c r="AA208" s="305"/>
      <c r="AB208" s="305"/>
      <c r="AC208" s="305"/>
      <c r="AD208" s="305"/>
      <c r="AE208" s="305"/>
      <c r="AF208" s="305"/>
      <c r="AG208" s="305"/>
      <c r="AH208" s="305"/>
      <c r="AI208" s="305"/>
      <c r="AJ208" s="305"/>
      <c r="AK208" s="305"/>
      <c r="AL208" s="305"/>
      <c r="AM208" s="305"/>
      <c r="AN208" s="305"/>
      <c r="AO208" s="305"/>
      <c r="AP208" s="305"/>
      <c r="AQ208" s="305"/>
      <c r="AR208" s="305"/>
    </row>
  </sheetData>
  <sheetProtection algorithmName="SHA-512" hashValue="pfIBR64fpqlMyHKWCFuoypHOaOgVOnXDoVGI6Bf9hfc/fSIGgwVzmpUUJAoZuX4aMxH/MKKjTLYC1fKr8EUzgg==" saltValue="HIJhtTL6JzFf4j0EkYDl3A==" spinCount="100000" sheet="1" objects="1" scenarios="1" selectLockedCells="1"/>
  <mergeCells count="76">
    <mergeCell ref="AQ1:AR1"/>
    <mergeCell ref="AQ2:AR3"/>
    <mergeCell ref="J72:AJ73"/>
    <mergeCell ref="J62:AJ70"/>
    <mergeCell ref="X42:AJ43"/>
    <mergeCell ref="AB44:AI44"/>
    <mergeCell ref="X53:AJ54"/>
    <mergeCell ref="AH49:AJ49"/>
    <mergeCell ref="AB49:AG49"/>
    <mergeCell ref="AB45:AG45"/>
    <mergeCell ref="J53:V55"/>
    <mergeCell ref="AF38:AI38"/>
    <mergeCell ref="AB38:AE38"/>
    <mergeCell ref="X38:AA38"/>
    <mergeCell ref="P27:U27"/>
    <mergeCell ref="AH1:AK1"/>
    <mergeCell ref="AL1:AP1"/>
    <mergeCell ref="AH2:AK3"/>
    <mergeCell ref="AL2:AP3"/>
    <mergeCell ref="AD25:AI25"/>
    <mergeCell ref="F10:AN10"/>
    <mergeCell ref="X22:AJ23"/>
    <mergeCell ref="AD26:AI26"/>
    <mergeCell ref="AD27:AI27"/>
    <mergeCell ref="H11:AL12"/>
    <mergeCell ref="J19:W21"/>
    <mergeCell ref="J22:W23"/>
    <mergeCell ref="J25:N28"/>
    <mergeCell ref="P25:U25"/>
    <mergeCell ref="P26:U26"/>
    <mergeCell ref="P28:U28"/>
    <mergeCell ref="AC19:AJ21"/>
    <mergeCell ref="W27:AB27"/>
    <mergeCell ref="W28:AB28"/>
    <mergeCell ref="W26:AB26"/>
    <mergeCell ref="AD28:AI28"/>
    <mergeCell ref="W25:AB25"/>
    <mergeCell ref="N16:AC18"/>
    <mergeCell ref="M200:AG201"/>
    <mergeCell ref="Y40:AI41"/>
    <mergeCell ref="S58:U58"/>
    <mergeCell ref="K58:Q58"/>
    <mergeCell ref="AB48:AG48"/>
    <mergeCell ref="L46:U47"/>
    <mergeCell ref="L48:U49"/>
    <mergeCell ref="J42:V45"/>
    <mergeCell ref="AB47:AG47"/>
    <mergeCell ref="Y51:AI52"/>
    <mergeCell ref="K51:U52"/>
    <mergeCell ref="Z58:AI59"/>
    <mergeCell ref="AB46:AG46"/>
    <mergeCell ref="Z56:AI57"/>
    <mergeCell ref="AF37:AI37"/>
    <mergeCell ref="AB35:AE35"/>
    <mergeCell ref="K40:U41"/>
    <mergeCell ref="P32:U32"/>
    <mergeCell ref="AB36:AE36"/>
    <mergeCell ref="AF35:AI35"/>
    <mergeCell ref="AB37:AE37"/>
    <mergeCell ref="J35:N38"/>
    <mergeCell ref="X35:AA35"/>
    <mergeCell ref="X36:AA36"/>
    <mergeCell ref="X37:AA37"/>
    <mergeCell ref="T35:W35"/>
    <mergeCell ref="T36:W36"/>
    <mergeCell ref="T37:W37"/>
    <mergeCell ref="J30:N33"/>
    <mergeCell ref="T38:W38"/>
    <mergeCell ref="AF36:AI36"/>
    <mergeCell ref="P33:U33"/>
    <mergeCell ref="W30:AB30"/>
    <mergeCell ref="W32:AB32"/>
    <mergeCell ref="W33:AB33"/>
    <mergeCell ref="P30:U30"/>
    <mergeCell ref="P31:U31"/>
    <mergeCell ref="W31:AB31"/>
  </mergeCells>
  <conditionalFormatting sqref="K58">
    <cfRule type="containsBlanks" dxfId="34" priority="4">
      <formula>LEN(TRIM(K58))=0</formula>
    </cfRule>
    <cfRule type="expression" dxfId="33" priority="5">
      <formula>K58&lt;&gt;"Customer Signature"</formula>
    </cfRule>
  </conditionalFormatting>
  <conditionalFormatting sqref="P28:U28">
    <cfRule type="beginsWith" dxfId="32" priority="1" operator="beginsWith" text=", IN ">
      <formula>LEFT(P28,LEN(", IN "))=", IN "</formula>
    </cfRule>
  </conditionalFormatting>
  <conditionalFormatting sqref="S58">
    <cfRule type="containsBlanks" dxfId="31" priority="2">
      <formula>LEN(TRIM(S58))=0</formula>
    </cfRule>
    <cfRule type="expression" dxfId="30" priority="3">
      <formula>S58&lt;&gt;"Date"</formula>
    </cfRule>
  </conditionalFormatting>
  <conditionalFormatting sqref="AH2 AL2">
    <cfRule type="expression" dxfId="29" priority="7">
      <formula>PROJSTATUS=PROJSTATELI</formula>
    </cfRule>
    <cfRule type="expression" dxfId="28" priority="8">
      <formula>PROJSTATUS=PROJSTATREVIEW</formula>
    </cfRule>
    <cfRule type="expression" dxfId="27" priority="12">
      <formula>PROJSTATUS=PROJSTATPREAPPROVE</formula>
    </cfRule>
    <cfRule type="expression" dxfId="26" priority="13">
      <formula>PROJSTATUS=PROJSTATSTANDARD</formula>
    </cfRule>
    <cfRule type="expression" dxfId="25" priority="14">
      <formula>PROJSTATUS=PROJSTATEXP</formula>
    </cfRule>
  </conditionalFormatting>
  <conditionalFormatting sqref="AQ2:AR3">
    <cfRule type="cellIs" dxfId="24" priority="9" operator="equal">
      <formula>1</formula>
    </cfRule>
    <cfRule type="cellIs" dxfId="23" priority="10" operator="between">
      <formula>0.51</formula>
      <formula>0.99</formula>
    </cfRule>
    <cfRule type="cellIs" dxfId="22" priority="11" operator="lessThanOrEqual">
      <formula>0.5</formula>
    </cfRule>
  </conditionalFormatting>
  <hyperlinks>
    <hyperlink ref="B202" r:id="rId1" display="NIPSCO.Savings@TRCcompanies.com" xr:uid="{8E988957-97A9-43D0-85F9-4385588B860E}"/>
  </hyperlinks>
  <printOptions horizontalCentered="1" verticalCentered="1"/>
  <pageMargins left="0.3" right="0.3" top="0.3" bottom="0.3" header="0.25" footer="0.25"/>
  <pageSetup scale="79" orientation="portrait" r:id="rId2"/>
  <drawing r:id="rId3"/>
  <legacyDrawing r:id="rId4"/>
  <mc:AlternateContent xmlns:mc="http://schemas.openxmlformats.org/markup-compatibility/2006">
    <mc:Choice Requires="x14">
      <controls>
        <mc:AlternateContent xmlns:mc="http://schemas.openxmlformats.org/markup-compatibility/2006">
          <mc:Choice Requires="x14">
            <control shapeId="40963" r:id="rId5" name="Check Box 3">
              <controlPr defaultSize="0" autoFill="0" autoLine="0" autoPict="0">
                <anchor moveWithCells="1">
                  <from>
                    <xdr:col>24</xdr:col>
                    <xdr:colOff>28575</xdr:colOff>
                    <xdr:row>55</xdr:row>
                    <xdr:rowOff>85725</xdr:rowOff>
                  </from>
                  <to>
                    <xdr:col>25</xdr:col>
                    <xdr:colOff>19050</xdr:colOff>
                    <xdr:row>56</xdr:row>
                    <xdr:rowOff>104775</xdr:rowOff>
                  </to>
                </anchor>
              </controlPr>
            </control>
          </mc:Choice>
        </mc:AlternateContent>
        <mc:AlternateContent xmlns:mc="http://schemas.openxmlformats.org/markup-compatibility/2006">
          <mc:Choice Requires="x14">
            <control shapeId="40964" r:id="rId6" name="Check Box 4">
              <controlPr defaultSize="0" autoFill="0" autoLine="0" autoPict="0">
                <anchor moveWithCells="1">
                  <from>
                    <xdr:col>24</xdr:col>
                    <xdr:colOff>28575</xdr:colOff>
                    <xdr:row>57</xdr:row>
                    <xdr:rowOff>85725</xdr:rowOff>
                  </from>
                  <to>
                    <xdr:col>25</xdr:col>
                    <xdr:colOff>19050</xdr:colOff>
                    <xdr:row>58</xdr:row>
                    <xdr:rowOff>104775</xdr:rowOff>
                  </to>
                </anchor>
              </controlPr>
            </control>
          </mc:Choice>
        </mc:AlternateContent>
        <mc:AlternateContent xmlns:mc="http://schemas.openxmlformats.org/markup-compatibility/2006">
          <mc:Choice Requires="x14">
            <control shapeId="40967" r:id="rId7" name="Check Box 7">
              <controlPr defaultSize="0" autoFill="0" autoLine="0" autoPict="0">
                <anchor moveWithCells="1">
                  <from>
                    <xdr:col>10</xdr:col>
                    <xdr:colOff>28575</xdr:colOff>
                    <xdr:row>45</xdr:row>
                    <xdr:rowOff>95250</xdr:rowOff>
                  </from>
                  <to>
                    <xdr:col>11</xdr:col>
                    <xdr:colOff>19050</xdr:colOff>
                    <xdr:row>46</xdr:row>
                    <xdr:rowOff>114300</xdr:rowOff>
                  </to>
                </anchor>
              </controlPr>
            </control>
          </mc:Choice>
        </mc:AlternateContent>
        <mc:AlternateContent xmlns:mc="http://schemas.openxmlformats.org/markup-compatibility/2006">
          <mc:Choice Requires="x14">
            <control shapeId="40968" r:id="rId8" name="Check Box 8">
              <controlPr defaultSize="0" autoFill="0" autoLine="0" autoPict="0">
                <anchor moveWithCells="1">
                  <from>
                    <xdr:col>10</xdr:col>
                    <xdr:colOff>28575</xdr:colOff>
                    <xdr:row>47</xdr:row>
                    <xdr:rowOff>9525</xdr:rowOff>
                  </from>
                  <to>
                    <xdr:col>11</xdr:col>
                    <xdr:colOff>19050</xdr:colOff>
                    <xdr:row>48</xdr:row>
                    <xdr:rowOff>28575</xdr:rowOff>
                  </to>
                </anchor>
              </controlPr>
            </control>
          </mc:Choice>
        </mc:AlternateContent>
      </controls>
    </mc:Choice>
  </mc:AlternateContent>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5">
    <pageSetUpPr fitToPage="1"/>
  </sheetPr>
  <dimension ref="A1:AS202"/>
  <sheetViews>
    <sheetView showGridLines="0" showRowColHeaders="0" zoomScale="85" zoomScaleNormal="85" workbookViewId="0">
      <selection activeCell="J43" sqref="J43:Q43"/>
    </sheetView>
  </sheetViews>
  <sheetFormatPr defaultColWidth="0" defaultRowHeight="15" customHeight="1" zeroHeight="1"/>
  <cols>
    <col min="1" max="45" width="4.7109375" customWidth="1"/>
    <col min="46" max="78" width="9.140625" hidden="1" customWidth="1"/>
    <col min="79" max="16384" width="9.140625" hidden="1"/>
  </cols>
  <sheetData>
    <row r="1" spans="6:44" ht="15.95" customHeight="1">
      <c r="AH1" s="686" t="s">
        <v>471</v>
      </c>
      <c r="AI1" s="686"/>
      <c r="AJ1" s="686"/>
      <c r="AK1" s="686"/>
      <c r="AL1" s="687" t="s">
        <v>736</v>
      </c>
      <c r="AM1" s="687"/>
      <c r="AN1" s="687"/>
      <c r="AO1" s="687"/>
      <c r="AP1" s="687"/>
      <c r="AQ1" s="683" t="s">
        <v>474</v>
      </c>
      <c r="AR1" s="683"/>
    </row>
    <row r="2" spans="6:44" ht="15.95" customHeight="1">
      <c r="AH2" s="688" t="str">
        <f ca="1">INCENSTATUS</f>
        <v>---</v>
      </c>
      <c r="AI2" s="689"/>
      <c r="AJ2" s="689"/>
      <c r="AK2" s="689"/>
      <c r="AL2" s="690" t="str">
        <f ca="1">PROJSTATUS</f>
        <v>Enter Measures</v>
      </c>
      <c r="AM2" s="690"/>
      <c r="AN2" s="690"/>
      <c r="AO2" s="690"/>
      <c r="AP2" s="690"/>
      <c r="AQ2" s="684">
        <f ca="1">PROGRESSSTATUS</f>
        <v>2.8985507246376812E-2</v>
      </c>
      <c r="AR2" s="685"/>
    </row>
    <row r="3" spans="6:44" ht="15.95" customHeight="1">
      <c r="AH3" s="680"/>
      <c r="AI3" s="681"/>
      <c r="AJ3" s="681"/>
      <c r="AK3" s="681"/>
      <c r="AL3" s="673"/>
      <c r="AM3" s="673"/>
      <c r="AN3" s="673"/>
      <c r="AO3" s="673"/>
      <c r="AP3" s="673"/>
      <c r="AQ3" s="667"/>
      <c r="AR3" s="668"/>
    </row>
    <row r="4" spans="6:44" ht="15.95" customHeight="1">
      <c r="AR4" s="171"/>
    </row>
    <row r="5" spans="6:44" ht="15.95" customHeight="1"/>
    <row r="6" spans="6:44" ht="15.95" customHeight="1"/>
    <row r="7" spans="6:44" ht="15.95" customHeight="1"/>
    <row r="8" spans="6:44" ht="15.95" customHeight="1"/>
    <row r="9" spans="6:44" ht="15.95" customHeight="1"/>
    <row r="10" spans="6:44" ht="15.95" customHeight="1">
      <c r="F10" s="691" t="s">
        <v>235</v>
      </c>
      <c r="G10" s="691"/>
      <c r="H10" s="691"/>
      <c r="I10" s="691"/>
      <c r="J10" s="691"/>
      <c r="K10" s="691"/>
      <c r="L10" s="691"/>
      <c r="M10" s="691"/>
      <c r="N10" s="691"/>
      <c r="O10" s="691"/>
      <c r="P10" s="691"/>
      <c r="Q10" s="691"/>
      <c r="R10" s="691"/>
      <c r="S10" s="691"/>
      <c r="T10" s="691"/>
      <c r="U10" s="691"/>
      <c r="V10" s="691"/>
      <c r="W10" s="691"/>
      <c r="X10" s="691"/>
      <c r="Y10" s="691"/>
      <c r="Z10" s="691"/>
      <c r="AA10" s="691"/>
      <c r="AB10" s="691"/>
      <c r="AC10" s="691"/>
      <c r="AD10" s="691"/>
      <c r="AE10" s="691"/>
      <c r="AF10" s="691"/>
      <c r="AG10" s="691"/>
      <c r="AH10" s="691"/>
      <c r="AI10" s="691"/>
      <c r="AJ10" s="691"/>
      <c r="AK10" s="691"/>
      <c r="AL10" s="691"/>
      <c r="AM10" s="691"/>
      <c r="AN10" s="691"/>
    </row>
    <row r="11" spans="6:44" ht="15.95" customHeight="1">
      <c r="F11" s="1297" t="s">
        <v>535</v>
      </c>
      <c r="G11" s="1297"/>
      <c r="H11" s="1297"/>
      <c r="I11" s="1297"/>
      <c r="J11" s="1297"/>
      <c r="K11" s="1297"/>
      <c r="L11" s="1297"/>
      <c r="M11" s="1297"/>
      <c r="N11" s="1297"/>
      <c r="O11" s="1297"/>
      <c r="P11" s="1297"/>
      <c r="Q11" s="1297"/>
      <c r="R11" s="1297"/>
      <c r="S11" s="1297"/>
      <c r="T11" s="1297"/>
      <c r="U11" s="1297"/>
      <c r="V11" s="1297"/>
      <c r="W11" s="1297"/>
      <c r="X11" s="1297"/>
      <c r="Y11" s="1297"/>
      <c r="Z11" s="1297"/>
      <c r="AA11" s="1297"/>
      <c r="AB11" s="1297"/>
      <c r="AC11" s="1297"/>
      <c r="AD11" s="1297"/>
      <c r="AE11" s="1297"/>
      <c r="AF11" s="1297"/>
      <c r="AG11" s="1297"/>
      <c r="AH11" s="1297"/>
      <c r="AI11" s="1297"/>
      <c r="AJ11" s="1297"/>
      <c r="AK11" s="1297"/>
      <c r="AL11" s="1297"/>
      <c r="AM11" s="1297"/>
      <c r="AN11" s="1297"/>
    </row>
    <row r="12" spans="6:44" ht="15.95" customHeight="1">
      <c r="F12" s="115"/>
      <c r="G12" s="115"/>
      <c r="H12" s="115"/>
      <c r="I12" s="115"/>
      <c r="J12" s="115"/>
      <c r="K12" s="115"/>
      <c r="L12" s="115"/>
      <c r="M12" s="115"/>
      <c r="N12" s="115"/>
      <c r="O12" s="115"/>
      <c r="P12" s="115"/>
      <c r="Q12" s="115"/>
      <c r="R12" s="115"/>
      <c r="S12" s="115"/>
      <c r="T12" s="115"/>
      <c r="U12" s="115"/>
      <c r="V12" s="115"/>
      <c r="W12" s="115"/>
      <c r="X12" s="115"/>
      <c r="Y12" s="115"/>
      <c r="Z12" s="115"/>
      <c r="AA12" s="115"/>
      <c r="AB12" s="115"/>
      <c r="AC12" s="115"/>
      <c r="AD12" s="115"/>
      <c r="AE12" s="115"/>
      <c r="AF12" s="115"/>
      <c r="AG12" s="115"/>
      <c r="AH12" s="115"/>
      <c r="AI12" s="115"/>
      <c r="AJ12" s="115"/>
      <c r="AK12" s="115"/>
      <c r="AL12" s="115"/>
      <c r="AM12" s="115"/>
      <c r="AN12" s="115"/>
    </row>
    <row r="13" spans="6:44" ht="15.95" customHeight="1">
      <c r="F13" s="59"/>
      <c r="G13" s="59"/>
      <c r="H13" s="59"/>
      <c r="I13" s="101"/>
      <c r="J13" s="102"/>
      <c r="K13" s="102"/>
      <c r="L13" s="102"/>
      <c r="M13" s="102"/>
      <c r="N13" s="102"/>
      <c r="O13" s="102"/>
      <c r="P13" s="102"/>
      <c r="Q13" s="102"/>
      <c r="R13" s="102"/>
      <c r="S13" s="102"/>
      <c r="T13" s="102"/>
      <c r="U13" s="102"/>
      <c r="V13" s="102"/>
      <c r="W13" s="102"/>
      <c r="X13" s="102"/>
      <c r="Y13" s="102"/>
      <c r="Z13" s="102"/>
      <c r="AA13" s="102"/>
      <c r="AB13" s="102"/>
      <c r="AC13" s="102"/>
      <c r="AD13" s="102"/>
      <c r="AE13" s="102"/>
      <c r="AF13" s="102"/>
      <c r="AG13" s="102"/>
      <c r="AH13" s="102"/>
      <c r="AI13" s="102"/>
      <c r="AJ13" s="102"/>
      <c r="AK13" s="103"/>
      <c r="AL13" s="59"/>
      <c r="AM13" s="59"/>
      <c r="AN13" s="59"/>
    </row>
    <row r="14" spans="6:44" ht="15.95" customHeight="1">
      <c r="I14" s="104"/>
      <c r="J14" s="11" t="s">
        <v>515</v>
      </c>
      <c r="K14" s="26"/>
      <c r="L14" s="27"/>
      <c r="M14" s="27"/>
      <c r="N14" s="27"/>
      <c r="O14" s="27"/>
      <c r="P14" s="27"/>
      <c r="Q14" s="27"/>
      <c r="R14" s="27"/>
      <c r="S14" s="27"/>
      <c r="T14" s="27"/>
      <c r="U14" s="27"/>
      <c r="V14" s="27"/>
      <c r="W14" s="27"/>
      <c r="X14" s="27"/>
      <c r="Y14" s="27"/>
      <c r="Z14" s="27"/>
      <c r="AA14" s="27"/>
      <c r="AB14" s="27"/>
      <c r="AC14" s="27"/>
      <c r="AD14" s="27"/>
      <c r="AE14" s="27"/>
      <c r="AF14" s="27"/>
      <c r="AG14" s="27"/>
      <c r="AH14" s="27"/>
      <c r="AI14" s="27"/>
      <c r="AJ14" s="27"/>
      <c r="AK14" s="105"/>
    </row>
    <row r="15" spans="6:44" ht="15.95" customHeight="1">
      <c r="I15" s="104"/>
      <c r="J15" s="42" t="s">
        <v>1060</v>
      </c>
      <c r="K15" s="27"/>
      <c r="L15" s="27"/>
      <c r="M15" s="27"/>
      <c r="N15" s="27"/>
      <c r="O15" s="27"/>
      <c r="P15" s="27"/>
      <c r="T15" s="27"/>
      <c r="U15" s="27"/>
      <c r="V15" s="27"/>
      <c r="W15" s="27"/>
      <c r="X15" s="27"/>
      <c r="Y15" s="27"/>
      <c r="Z15" s="27"/>
      <c r="AA15" s="27"/>
      <c r="AB15" s="27"/>
      <c r="AC15" s="27"/>
      <c r="AD15" s="27"/>
      <c r="AE15" s="27"/>
      <c r="AF15" s="27"/>
      <c r="AG15" s="27"/>
      <c r="AH15" s="27"/>
      <c r="AI15" s="27"/>
      <c r="AJ15" s="27"/>
      <c r="AK15" s="105"/>
    </row>
    <row r="16" spans="6:44" ht="15.95" customHeight="1">
      <c r="I16" s="104"/>
      <c r="J16" s="116" t="s">
        <v>870</v>
      </c>
      <c r="K16" s="43"/>
      <c r="L16" s="43"/>
      <c r="N16" s="1378">
        <f>PROJID</f>
        <v>0</v>
      </c>
      <c r="O16" s="1378"/>
      <c r="P16" s="1378"/>
      <c r="Q16" s="27"/>
      <c r="R16" s="27"/>
      <c r="S16" s="27"/>
      <c r="T16" s="27"/>
      <c r="U16" s="27"/>
      <c r="V16" s="27"/>
      <c r="W16" s="27"/>
      <c r="X16" s="27"/>
      <c r="Y16" s="27"/>
      <c r="Z16" s="27"/>
      <c r="AA16" s="27"/>
      <c r="AB16" s="27"/>
      <c r="AC16" s="27"/>
      <c r="AD16" s="27"/>
      <c r="AE16" s="27"/>
      <c r="AF16" s="27"/>
      <c r="AG16" s="27"/>
      <c r="AH16" s="27"/>
      <c r="AI16" s="27"/>
      <c r="AJ16" s="27"/>
      <c r="AK16" s="105"/>
    </row>
    <row r="17" spans="9:37" ht="15.95" customHeight="1">
      <c r="I17" s="104"/>
      <c r="J17" s="1355" t="s">
        <v>126</v>
      </c>
      <c r="K17" s="1355"/>
      <c r="L17" s="1355"/>
      <c r="M17" s="1355"/>
      <c r="N17" s="1355"/>
      <c r="O17" s="1355"/>
      <c r="P17" s="1355"/>
      <c r="Q17" s="1355"/>
      <c r="R17" s="1355"/>
      <c r="S17" s="1355"/>
      <c r="T17" s="1355"/>
      <c r="U17" s="1355"/>
      <c r="V17" s="1355"/>
      <c r="W17" s="1355"/>
      <c r="X17" s="1355"/>
      <c r="Y17" s="1355"/>
      <c r="Z17" s="1355"/>
      <c r="AA17" s="1355"/>
      <c r="AB17" s="1355"/>
      <c r="AC17" s="1355"/>
      <c r="AD17" s="1355"/>
      <c r="AE17" s="1355"/>
      <c r="AF17" s="1355"/>
      <c r="AG17" s="1355"/>
      <c r="AH17" s="1355"/>
      <c r="AI17" s="1355"/>
      <c r="AJ17" s="1355"/>
      <c r="AK17" s="105"/>
    </row>
    <row r="18" spans="9:37" ht="15.95" customHeight="1">
      <c r="I18" s="104"/>
      <c r="J18" s="1370">
        <f>M02S02F13</f>
        <v>0</v>
      </c>
      <c r="K18" s="1370"/>
      <c r="L18" s="1370"/>
      <c r="M18" s="1370"/>
      <c r="N18" s="1370"/>
      <c r="O18" s="1370"/>
      <c r="P18" s="1370"/>
      <c r="Q18" s="1370"/>
      <c r="R18" s="1370"/>
      <c r="S18" s="1370"/>
      <c r="T18" s="1370"/>
      <c r="U18" s="1370"/>
      <c r="V18" s="1370"/>
      <c r="W18" s="1370"/>
      <c r="X18" s="1370"/>
      <c r="Y18" s="1370"/>
      <c r="Z18" s="1370"/>
      <c r="AA18" s="1370"/>
      <c r="AB18" s="1370"/>
      <c r="AC18" s="1370"/>
      <c r="AD18" s="1370"/>
      <c r="AE18" s="1370"/>
      <c r="AF18" s="1370"/>
      <c r="AG18" s="1370"/>
      <c r="AH18" s="1370"/>
      <c r="AI18" s="1370"/>
      <c r="AJ18" s="1370"/>
      <c r="AK18" s="105"/>
    </row>
    <row r="19" spans="9:37" ht="15.95" customHeight="1">
      <c r="I19" s="104"/>
      <c r="J19" s="1366" t="s">
        <v>127</v>
      </c>
      <c r="K19" s="1366"/>
      <c r="L19" s="1366"/>
      <c r="M19" s="1366"/>
      <c r="N19" s="1366"/>
      <c r="O19" s="1366"/>
      <c r="P19" s="1366"/>
      <c r="Q19" s="1366"/>
      <c r="R19" s="1366"/>
      <c r="S19" s="1366"/>
      <c r="T19" s="1366"/>
      <c r="U19" s="1366"/>
      <c r="V19" s="1366"/>
      <c r="W19" s="1366"/>
      <c r="X19" s="1366"/>
      <c r="Y19" s="1366"/>
      <c r="Z19" s="1366"/>
      <c r="AA19" s="1366"/>
      <c r="AB19" s="1366"/>
      <c r="AC19" s="1366"/>
      <c r="AD19" s="1366"/>
      <c r="AE19" s="1366"/>
      <c r="AF19" s="1366"/>
      <c r="AG19" s="1366"/>
      <c r="AH19" s="1366"/>
      <c r="AI19" s="1366"/>
      <c r="AJ19" s="1366"/>
      <c r="AK19" s="105"/>
    </row>
    <row r="20" spans="9:37" ht="15.95" customHeight="1">
      <c r="I20" s="104"/>
      <c r="J20" s="1370">
        <f>M02S02F01</f>
        <v>0</v>
      </c>
      <c r="K20" s="1370"/>
      <c r="L20" s="1370"/>
      <c r="M20" s="1370"/>
      <c r="N20" s="1370"/>
      <c r="O20" s="1370"/>
      <c r="P20" s="1370"/>
      <c r="Q20" s="1370"/>
      <c r="R20" s="1370"/>
      <c r="S20" s="1370"/>
      <c r="T20" s="1370"/>
      <c r="U20" s="1370"/>
      <c r="V20" s="1370"/>
      <c r="W20" s="1370" t="str">
        <f>CONCATENATE(M02S02F02," ",M02S02F03)</f>
        <v xml:space="preserve"> </v>
      </c>
      <c r="X20" s="1370"/>
      <c r="Y20" s="1370"/>
      <c r="Z20" s="1370"/>
      <c r="AA20" s="1370"/>
      <c r="AB20" s="1370"/>
      <c r="AC20" s="1370"/>
      <c r="AD20" s="1370">
        <f>M02S02F04</f>
        <v>0</v>
      </c>
      <c r="AE20" s="1370"/>
      <c r="AF20" s="1370"/>
      <c r="AG20" s="1370"/>
      <c r="AH20" s="1370"/>
      <c r="AI20" s="1370"/>
      <c r="AJ20" s="1370"/>
      <c r="AK20" s="105"/>
    </row>
    <row r="21" spans="9:37" ht="15.95" customHeight="1">
      <c r="I21" s="104"/>
      <c r="J21" s="1366" t="s">
        <v>117</v>
      </c>
      <c r="K21" s="1366"/>
      <c r="L21" s="1366"/>
      <c r="M21" s="1366"/>
      <c r="N21" s="1366"/>
      <c r="O21" s="1366"/>
      <c r="P21" s="1366"/>
      <c r="Q21" s="1366"/>
      <c r="R21" s="1366"/>
      <c r="S21" s="1366"/>
      <c r="T21" s="1366"/>
      <c r="U21" s="1366"/>
      <c r="V21" s="1366"/>
      <c r="W21" s="1366" t="s">
        <v>128</v>
      </c>
      <c r="X21" s="1366"/>
      <c r="Y21" s="1366"/>
      <c r="Z21" s="1366"/>
      <c r="AA21" s="1366"/>
      <c r="AB21" s="1366"/>
      <c r="AC21" s="1366"/>
      <c r="AD21" s="1367" t="s">
        <v>78</v>
      </c>
      <c r="AE21" s="1367"/>
      <c r="AF21" s="1367"/>
      <c r="AG21" s="1367"/>
      <c r="AH21" s="1367"/>
      <c r="AI21" s="1367"/>
      <c r="AJ21" s="1367"/>
      <c r="AK21" s="105"/>
    </row>
    <row r="22" spans="9:37" ht="15.95" customHeight="1">
      <c r="I22" s="104"/>
      <c r="J22" s="1373">
        <f>M02S02F05</f>
        <v>0</v>
      </c>
      <c r="K22" s="1373"/>
      <c r="L22" s="1373"/>
      <c r="M22" s="1373"/>
      <c r="N22" s="1373"/>
      <c r="O22" s="1373"/>
      <c r="P22" s="1373"/>
      <c r="Q22" s="1373"/>
      <c r="R22" s="1373"/>
      <c r="S22" s="1373">
        <f>M02S02F06</f>
        <v>0</v>
      </c>
      <c r="T22" s="1373"/>
      <c r="U22" s="1373"/>
      <c r="V22" s="1373"/>
      <c r="W22" s="1373"/>
      <c r="X22" s="1373"/>
      <c r="Y22" s="1373"/>
      <c r="Z22" s="1373"/>
      <c r="AA22" s="1373"/>
      <c r="AB22" s="1370">
        <f>M02S02F07</f>
        <v>0</v>
      </c>
      <c r="AC22" s="1370"/>
      <c r="AD22" s="1370"/>
      <c r="AE22" s="1370"/>
      <c r="AF22" s="1370"/>
      <c r="AG22" s="1370"/>
      <c r="AH22" s="1370"/>
      <c r="AI22" s="1370"/>
      <c r="AJ22" s="1370"/>
      <c r="AK22" s="105"/>
    </row>
    <row r="23" spans="9:37" ht="15.95" customHeight="1">
      <c r="I23" s="104"/>
      <c r="J23" s="1366" t="s">
        <v>79</v>
      </c>
      <c r="K23" s="1366"/>
      <c r="L23" s="1366"/>
      <c r="M23" s="1366"/>
      <c r="N23" s="1366"/>
      <c r="O23" s="1366"/>
      <c r="P23" s="1366"/>
      <c r="Q23" s="1366"/>
      <c r="R23" s="1366"/>
      <c r="S23" s="1367" t="s">
        <v>131</v>
      </c>
      <c r="T23" s="1367"/>
      <c r="U23" s="1367"/>
      <c r="V23" s="1367"/>
      <c r="W23" s="1367"/>
      <c r="X23" s="1367"/>
      <c r="Y23" s="1367"/>
      <c r="Z23" s="1367"/>
      <c r="AA23" s="1367"/>
      <c r="AB23" s="1367" t="s">
        <v>129</v>
      </c>
      <c r="AC23" s="1367"/>
      <c r="AD23" s="1367"/>
      <c r="AE23" s="1367"/>
      <c r="AF23" s="1367"/>
      <c r="AG23" s="1367"/>
      <c r="AH23" s="1367"/>
      <c r="AI23" s="1367"/>
      <c r="AJ23" s="1367"/>
      <c r="AK23" s="105"/>
    </row>
    <row r="24" spans="9:37" ht="15.95" customHeight="1">
      <c r="I24" s="104"/>
      <c r="J24" s="1370">
        <f>M02S02F08</f>
        <v>0</v>
      </c>
      <c r="K24" s="1370"/>
      <c r="L24" s="1370"/>
      <c r="M24" s="1370"/>
      <c r="N24" s="1370"/>
      <c r="O24" s="1370"/>
      <c r="P24" s="1370"/>
      <c r="Q24" s="1370"/>
      <c r="R24" s="1370"/>
      <c r="S24" s="1370"/>
      <c r="T24" s="1370"/>
      <c r="U24" s="1370"/>
      <c r="V24" s="1370">
        <f>M02S02F09</f>
        <v>0</v>
      </c>
      <c r="W24" s="1370"/>
      <c r="X24" s="1370"/>
      <c r="Y24" s="1370"/>
      <c r="Z24" s="1370"/>
      <c r="AA24" s="1370"/>
      <c r="AB24" s="1370"/>
      <c r="AC24" s="1370"/>
      <c r="AD24" s="1370"/>
      <c r="AE24" s="1370">
        <f>M02S02F10</f>
        <v>0</v>
      </c>
      <c r="AF24" s="1370"/>
      <c r="AG24" s="1370"/>
      <c r="AH24" s="1371">
        <f>M02S02F11</f>
        <v>0</v>
      </c>
      <c r="AI24" s="1371"/>
      <c r="AJ24" s="1371"/>
      <c r="AK24" s="105"/>
    </row>
    <row r="25" spans="9:37" ht="15.95" customHeight="1">
      <c r="I25" s="104"/>
      <c r="J25" s="1366" t="s">
        <v>86</v>
      </c>
      <c r="K25" s="1366"/>
      <c r="L25" s="1366"/>
      <c r="M25" s="1366"/>
      <c r="N25" s="1366"/>
      <c r="O25" s="1366"/>
      <c r="P25" s="1366"/>
      <c r="Q25" s="1366"/>
      <c r="R25" s="1366"/>
      <c r="S25" s="1366"/>
      <c r="T25" s="1366"/>
      <c r="U25" s="1366"/>
      <c r="V25" s="1367" t="s">
        <v>81</v>
      </c>
      <c r="W25" s="1367"/>
      <c r="X25" s="1367"/>
      <c r="Y25" s="1367"/>
      <c r="Z25" s="1367"/>
      <c r="AA25" s="1367"/>
      <c r="AB25" s="1367"/>
      <c r="AC25" s="1367"/>
      <c r="AD25" s="1367"/>
      <c r="AE25" s="1367" t="s">
        <v>82</v>
      </c>
      <c r="AF25" s="1367"/>
      <c r="AG25" s="1367"/>
      <c r="AH25" s="1367" t="s">
        <v>130</v>
      </c>
      <c r="AI25" s="1367"/>
      <c r="AJ25" s="1367"/>
      <c r="AK25" s="105"/>
    </row>
    <row r="26" spans="9:37" ht="15.95" customHeight="1">
      <c r="I26" s="104"/>
      <c r="J26" s="39"/>
      <c r="K26" s="39"/>
      <c r="L26" s="39"/>
      <c r="M26" s="39"/>
      <c r="N26" s="39"/>
      <c r="O26" s="39"/>
      <c r="P26" s="39"/>
      <c r="Q26" s="39"/>
      <c r="R26" s="39"/>
      <c r="S26" s="39"/>
      <c r="T26" s="39"/>
      <c r="U26" s="39"/>
      <c r="V26" s="38"/>
      <c r="W26" s="38"/>
      <c r="X26" s="38"/>
      <c r="Y26" s="38"/>
      <c r="Z26" s="38"/>
      <c r="AA26" s="38"/>
      <c r="AB26" s="38"/>
      <c r="AC26" s="38"/>
      <c r="AD26" s="38"/>
      <c r="AE26" s="38"/>
      <c r="AG26" s="38"/>
      <c r="AH26" s="40"/>
      <c r="AJ26" s="40"/>
      <c r="AK26" s="105"/>
    </row>
    <row r="27" spans="9:37" ht="15.95" customHeight="1">
      <c r="I27" s="104"/>
      <c r="J27" s="1355" t="s">
        <v>132</v>
      </c>
      <c r="K27" s="1355"/>
      <c r="L27" s="1355"/>
      <c r="M27" s="1355"/>
      <c r="N27" s="1355"/>
      <c r="O27" s="1355"/>
      <c r="P27" s="1355"/>
      <c r="Q27" s="1355"/>
      <c r="R27" s="1355"/>
      <c r="S27" s="1355"/>
      <c r="T27" s="1355"/>
      <c r="U27" s="1355"/>
      <c r="V27" s="1355"/>
      <c r="W27" s="1355"/>
      <c r="X27" s="1355"/>
      <c r="Y27" s="1355"/>
      <c r="Z27" s="1355"/>
      <c r="AA27" s="1355"/>
      <c r="AB27" s="1355"/>
      <c r="AC27" s="1355"/>
      <c r="AD27" s="1355"/>
      <c r="AE27" s="1355"/>
      <c r="AF27" s="1355"/>
      <c r="AG27" s="1355"/>
      <c r="AH27" s="1355"/>
      <c r="AI27" s="1355"/>
      <c r="AJ27" s="1355"/>
      <c r="AK27" s="105"/>
    </row>
    <row r="28" spans="9:37" ht="15.95" customHeight="1">
      <c r="I28" s="104"/>
      <c r="J28" s="1370" t="str">
        <f>CONCATENATE(M02S02F16," ",M02S02F17)</f>
        <v xml:space="preserve"> </v>
      </c>
      <c r="K28" s="1370"/>
      <c r="L28" s="1370"/>
      <c r="M28" s="1370"/>
      <c r="N28" s="1370"/>
      <c r="O28" s="1370"/>
      <c r="P28" s="1370"/>
      <c r="Q28" s="1370"/>
      <c r="R28" s="1370"/>
      <c r="S28" s="1373" t="str">
        <f>M02S02F19</f>
        <v/>
      </c>
      <c r="T28" s="1373"/>
      <c r="U28" s="1373"/>
      <c r="V28" s="1373"/>
      <c r="W28" s="1373"/>
      <c r="X28" s="1373"/>
      <c r="Y28" s="1373"/>
      <c r="Z28" s="1373"/>
      <c r="AA28" s="1373"/>
      <c r="AB28" s="1370" t="str">
        <f>M02S02F21</f>
        <v/>
      </c>
      <c r="AC28" s="1370"/>
      <c r="AD28" s="1370"/>
      <c r="AE28" s="1370"/>
      <c r="AF28" s="1370"/>
      <c r="AG28" s="1370"/>
      <c r="AH28" s="1370"/>
      <c r="AI28" s="1370"/>
      <c r="AJ28" s="1370"/>
      <c r="AK28" s="105"/>
    </row>
    <row r="29" spans="9:37" ht="15.95" customHeight="1">
      <c r="I29" s="104"/>
      <c r="J29" s="1366" t="s">
        <v>128</v>
      </c>
      <c r="K29" s="1366"/>
      <c r="L29" s="1366"/>
      <c r="M29" s="1366"/>
      <c r="N29" s="1366"/>
      <c r="O29" s="1366"/>
      <c r="P29" s="1366"/>
      <c r="Q29" s="1366"/>
      <c r="R29" s="1366"/>
      <c r="S29" s="1366" t="s">
        <v>79</v>
      </c>
      <c r="T29" s="1366"/>
      <c r="U29" s="1366"/>
      <c r="V29" s="1366"/>
      <c r="W29" s="1366"/>
      <c r="X29" s="1366"/>
      <c r="Y29" s="1366"/>
      <c r="Z29" s="1366"/>
      <c r="AA29" s="1366"/>
      <c r="AB29" s="1367" t="s">
        <v>129</v>
      </c>
      <c r="AC29" s="1367"/>
      <c r="AD29" s="1367"/>
      <c r="AE29" s="1367"/>
      <c r="AF29" s="1367"/>
      <c r="AG29" s="1367"/>
      <c r="AH29" s="1367"/>
      <c r="AI29" s="1367"/>
      <c r="AJ29" s="1367"/>
      <c r="AK29" s="105"/>
    </row>
    <row r="30" spans="9:37" ht="15.95" customHeight="1">
      <c r="I30" s="104"/>
      <c r="J30" s="1376" t="str">
        <f>M02S02F22</f>
        <v/>
      </c>
      <c r="K30" s="1376"/>
      <c r="L30" s="1376"/>
      <c r="M30" s="1376"/>
      <c r="N30" s="1376"/>
      <c r="O30" s="1376"/>
      <c r="P30" s="1376"/>
      <c r="Q30" s="1376"/>
      <c r="R30" s="1376"/>
      <c r="S30" s="1376"/>
      <c r="T30" s="1376"/>
      <c r="U30" s="1376"/>
      <c r="V30" s="1376" t="str">
        <f>M02S02F23</f>
        <v/>
      </c>
      <c r="W30" s="1376"/>
      <c r="X30" s="1376"/>
      <c r="Y30" s="1376"/>
      <c r="Z30" s="1376"/>
      <c r="AA30" s="1376"/>
      <c r="AB30" s="1376"/>
      <c r="AC30" s="1376"/>
      <c r="AD30" s="1376"/>
      <c r="AE30" s="1376" t="str">
        <f>M02S02F24</f>
        <v>IN</v>
      </c>
      <c r="AF30" s="1376"/>
      <c r="AG30" s="1376"/>
      <c r="AH30" s="1377" t="str">
        <f>M02S02F25</f>
        <v/>
      </c>
      <c r="AI30" s="1377"/>
      <c r="AJ30" s="1377"/>
      <c r="AK30" s="105"/>
    </row>
    <row r="31" spans="9:37" ht="15.95" customHeight="1">
      <c r="I31" s="104"/>
      <c r="J31" s="1366" t="s">
        <v>133</v>
      </c>
      <c r="K31" s="1366"/>
      <c r="L31" s="1366"/>
      <c r="M31" s="1366"/>
      <c r="N31" s="1366"/>
      <c r="O31" s="1366"/>
      <c r="P31" s="1366"/>
      <c r="Q31" s="1366"/>
      <c r="R31" s="1366"/>
      <c r="S31" s="1366"/>
      <c r="T31" s="1366"/>
      <c r="U31" s="1366"/>
      <c r="V31" s="1374" t="s">
        <v>81</v>
      </c>
      <c r="W31" s="1374"/>
      <c r="X31" s="1374"/>
      <c r="Y31" s="1374"/>
      <c r="Z31" s="1374"/>
      <c r="AA31" s="1374"/>
      <c r="AB31" s="1374"/>
      <c r="AC31" s="1374"/>
      <c r="AD31" s="1374"/>
      <c r="AE31" s="1374" t="s">
        <v>82</v>
      </c>
      <c r="AF31" s="1374"/>
      <c r="AG31" s="1374"/>
      <c r="AH31" s="1374" t="s">
        <v>130</v>
      </c>
      <c r="AI31" s="1374"/>
      <c r="AJ31" s="1374"/>
      <c r="AK31" s="105"/>
    </row>
    <row r="32" spans="9:37" ht="15.95" customHeight="1">
      <c r="I32" s="104"/>
      <c r="J32" s="39"/>
      <c r="K32" s="39"/>
      <c r="L32" s="39"/>
      <c r="M32" s="39"/>
      <c r="N32" s="39"/>
      <c r="O32" s="39"/>
      <c r="P32" s="39"/>
      <c r="Q32" s="39"/>
      <c r="R32" s="39"/>
      <c r="S32" s="39"/>
      <c r="T32" s="39"/>
      <c r="V32" s="44"/>
      <c r="W32" s="44"/>
      <c r="X32" s="44"/>
      <c r="Y32" s="44"/>
      <c r="Z32" s="44"/>
      <c r="AA32" s="44"/>
      <c r="AB32" s="44"/>
      <c r="AC32" s="44"/>
      <c r="AD32" s="44"/>
      <c r="AE32" s="44"/>
      <c r="AF32" s="44"/>
      <c r="AH32" s="44"/>
      <c r="AJ32" s="44"/>
      <c r="AK32" s="105"/>
    </row>
    <row r="33" spans="9:37" ht="15.95" customHeight="1">
      <c r="I33" s="104"/>
      <c r="J33" s="1355" t="s">
        <v>134</v>
      </c>
      <c r="K33" s="1355"/>
      <c r="L33" s="1355"/>
      <c r="M33" s="1355"/>
      <c r="N33" s="1355"/>
      <c r="O33" s="1355"/>
      <c r="P33" s="1355"/>
      <c r="Q33" s="1355"/>
      <c r="R33" s="1355"/>
      <c r="S33" s="1355"/>
      <c r="T33" s="1355"/>
      <c r="U33" s="1355"/>
      <c r="V33" s="1355"/>
      <c r="W33" s="1355"/>
      <c r="X33" s="1355"/>
      <c r="Y33" s="1355"/>
      <c r="Z33" s="1355"/>
      <c r="AA33" s="1355"/>
      <c r="AB33" s="1355"/>
      <c r="AC33" s="1355"/>
      <c r="AD33" s="1355"/>
      <c r="AE33" s="1355"/>
      <c r="AF33" s="1355"/>
      <c r="AG33" s="1355"/>
      <c r="AH33" s="1355"/>
      <c r="AI33" s="1355"/>
      <c r="AJ33" s="1355"/>
      <c r="AK33" s="105"/>
    </row>
    <row r="34" spans="9:37" ht="15.95" customHeight="1">
      <c r="I34" s="104"/>
      <c r="J34" s="1375">
        <f>M02S03F02</f>
        <v>0</v>
      </c>
      <c r="K34" s="1375"/>
      <c r="L34" s="1375"/>
      <c r="M34" s="1375"/>
      <c r="N34" s="1375"/>
      <c r="O34" s="1375"/>
      <c r="P34" s="1375"/>
      <c r="Q34" s="1375"/>
      <c r="R34" s="1375"/>
      <c r="S34" s="1375"/>
      <c r="T34" s="1375"/>
      <c r="U34" s="1375"/>
      <c r="V34" s="1375"/>
      <c r="W34" s="1370" t="str">
        <f>CONCATENATE(M02S03F03," ",M02S03F04)</f>
        <v xml:space="preserve"> </v>
      </c>
      <c r="X34" s="1370"/>
      <c r="Y34" s="1370"/>
      <c r="Z34" s="1370"/>
      <c r="AA34" s="1370"/>
      <c r="AB34" s="1370"/>
      <c r="AC34" s="1370"/>
      <c r="AD34" s="1370">
        <f>M02S03F05</f>
        <v>0</v>
      </c>
      <c r="AE34" s="1370"/>
      <c r="AF34" s="1370"/>
      <c r="AG34" s="1370"/>
      <c r="AH34" s="1370"/>
      <c r="AI34" s="1370"/>
      <c r="AJ34" s="1370"/>
      <c r="AK34" s="105"/>
    </row>
    <row r="35" spans="9:37" ht="15.95" customHeight="1">
      <c r="I35" s="104"/>
      <c r="J35" s="1372" t="s">
        <v>135</v>
      </c>
      <c r="K35" s="1372"/>
      <c r="L35" s="1372"/>
      <c r="M35" s="1372"/>
      <c r="N35" s="1372"/>
      <c r="O35" s="1372"/>
      <c r="P35" s="1372"/>
      <c r="Q35" s="1372"/>
      <c r="R35" s="1372"/>
      <c r="S35" s="1372"/>
      <c r="T35" s="1372"/>
      <c r="U35" s="1372"/>
      <c r="V35" s="1372"/>
      <c r="W35" s="1366" t="s">
        <v>128</v>
      </c>
      <c r="X35" s="1366"/>
      <c r="Y35" s="1366"/>
      <c r="Z35" s="1366"/>
      <c r="AA35" s="1366"/>
      <c r="AB35" s="1366"/>
      <c r="AC35" s="1366"/>
      <c r="AD35" s="1367" t="s">
        <v>78</v>
      </c>
      <c r="AE35" s="1367"/>
      <c r="AF35" s="1367"/>
      <c r="AG35" s="1367"/>
      <c r="AH35" s="1367"/>
      <c r="AI35" s="1367"/>
      <c r="AJ35" s="1367"/>
      <c r="AK35" s="105"/>
    </row>
    <row r="36" spans="9:37" ht="15.95" customHeight="1">
      <c r="I36" s="104"/>
      <c r="J36" s="1373">
        <f>M02S03F06</f>
        <v>0</v>
      </c>
      <c r="K36" s="1373"/>
      <c r="L36" s="1373"/>
      <c r="M36" s="1373"/>
      <c r="N36" s="1373"/>
      <c r="O36" s="1373"/>
      <c r="P36" s="1373"/>
      <c r="Q36" s="1373"/>
      <c r="R36" s="1373"/>
      <c r="S36" s="1373">
        <f>M02S03F07</f>
        <v>0</v>
      </c>
      <c r="T36" s="1373"/>
      <c r="U36" s="1373"/>
      <c r="V36" s="1373"/>
      <c r="W36" s="1373"/>
      <c r="X36" s="1373"/>
      <c r="Y36" s="1373"/>
      <c r="Z36" s="1373"/>
      <c r="AA36" s="1373"/>
      <c r="AB36" s="1370">
        <f>M02S03F08</f>
        <v>0</v>
      </c>
      <c r="AC36" s="1370"/>
      <c r="AD36" s="1370"/>
      <c r="AE36" s="1370"/>
      <c r="AF36" s="1370"/>
      <c r="AG36" s="1370"/>
      <c r="AH36" s="1370"/>
      <c r="AI36" s="1370"/>
      <c r="AJ36" s="1370"/>
      <c r="AK36" s="105"/>
    </row>
    <row r="37" spans="9:37" ht="15.95" customHeight="1">
      <c r="I37" s="104"/>
      <c r="J37" s="1366" t="s">
        <v>79</v>
      </c>
      <c r="K37" s="1366"/>
      <c r="L37" s="1366"/>
      <c r="M37" s="1366"/>
      <c r="N37" s="1366"/>
      <c r="O37" s="1366"/>
      <c r="P37" s="1366"/>
      <c r="Q37" s="1366"/>
      <c r="R37" s="1366"/>
      <c r="S37" s="1368" t="s">
        <v>131</v>
      </c>
      <c r="T37" s="1368"/>
      <c r="U37" s="1368"/>
      <c r="V37" s="1368"/>
      <c r="W37" s="1368"/>
      <c r="X37" s="1368"/>
      <c r="Y37" s="1368"/>
      <c r="Z37" s="1368"/>
      <c r="AA37" s="1368"/>
      <c r="AB37" s="1368" t="s">
        <v>129</v>
      </c>
      <c r="AC37" s="1368"/>
      <c r="AD37" s="1368"/>
      <c r="AE37" s="1368"/>
      <c r="AF37" s="1368"/>
      <c r="AG37" s="1368"/>
      <c r="AH37" s="1368"/>
      <c r="AI37" s="1368"/>
      <c r="AJ37" s="1368"/>
      <c r="AK37" s="105"/>
    </row>
    <row r="38" spans="9:37" ht="15.95" customHeight="1">
      <c r="I38" s="104"/>
      <c r="J38" s="1370">
        <f>M02S03F09</f>
        <v>0</v>
      </c>
      <c r="K38" s="1370"/>
      <c r="L38" s="1370"/>
      <c r="M38" s="1370"/>
      <c r="N38" s="1370"/>
      <c r="O38" s="1370"/>
      <c r="P38" s="1370"/>
      <c r="Q38" s="1370"/>
      <c r="R38" s="1370"/>
      <c r="S38" s="1370"/>
      <c r="T38" s="1370"/>
      <c r="U38" s="1370"/>
      <c r="V38" s="1370">
        <f>M02S03F10</f>
        <v>0</v>
      </c>
      <c r="W38" s="1370"/>
      <c r="X38" s="1370"/>
      <c r="Y38" s="1370"/>
      <c r="Z38" s="1370"/>
      <c r="AA38" s="1370"/>
      <c r="AB38" s="1370"/>
      <c r="AC38" s="1370"/>
      <c r="AD38" s="1370"/>
      <c r="AE38" s="1370">
        <f>M02S03F11</f>
        <v>0</v>
      </c>
      <c r="AF38" s="1370"/>
      <c r="AG38" s="1370"/>
      <c r="AH38" s="1371">
        <f>M02S03F12</f>
        <v>0</v>
      </c>
      <c r="AI38" s="1371"/>
      <c r="AJ38" s="1371"/>
      <c r="AK38" s="105"/>
    </row>
    <row r="39" spans="9:37" ht="15.95" customHeight="1">
      <c r="I39" s="104"/>
      <c r="J39" s="1366" t="s">
        <v>86</v>
      </c>
      <c r="K39" s="1366"/>
      <c r="L39" s="1366"/>
      <c r="M39" s="1366"/>
      <c r="N39" s="1366"/>
      <c r="O39" s="1366"/>
      <c r="P39" s="1366"/>
      <c r="Q39" s="1366"/>
      <c r="R39" s="1366"/>
      <c r="S39" s="1366"/>
      <c r="T39" s="1366"/>
      <c r="U39" s="1366"/>
      <c r="V39" s="1367" t="s">
        <v>81</v>
      </c>
      <c r="W39" s="1367"/>
      <c r="X39" s="1367"/>
      <c r="Y39" s="1367"/>
      <c r="Z39" s="1367"/>
      <c r="AA39" s="1367"/>
      <c r="AB39" s="1367"/>
      <c r="AC39" s="1367"/>
      <c r="AD39" s="1367"/>
      <c r="AE39" s="1367" t="s">
        <v>82</v>
      </c>
      <c r="AF39" s="1367"/>
      <c r="AG39" s="1367"/>
      <c r="AH39" s="1367" t="s">
        <v>130</v>
      </c>
      <c r="AI39" s="1367"/>
      <c r="AJ39" s="1367"/>
      <c r="AK39" s="105"/>
    </row>
    <row r="40" spans="9:37" ht="15.95" customHeight="1">
      <c r="I40" s="104"/>
      <c r="J40" s="39"/>
      <c r="K40" s="39"/>
      <c r="L40" s="39"/>
      <c r="M40" s="39"/>
      <c r="N40" s="39"/>
      <c r="O40" s="39"/>
      <c r="P40" s="39"/>
      <c r="Q40" s="39"/>
      <c r="R40" s="39"/>
      <c r="S40" s="39"/>
      <c r="T40" s="39"/>
      <c r="U40" s="39"/>
      <c r="V40" s="38"/>
      <c r="W40" s="38"/>
      <c r="X40" s="38"/>
      <c r="Y40" s="38"/>
      <c r="Z40" s="38"/>
      <c r="AA40" s="38"/>
      <c r="AB40" s="38"/>
      <c r="AC40" s="38"/>
      <c r="AD40" s="38"/>
      <c r="AE40" s="38"/>
      <c r="AG40" s="38"/>
      <c r="AH40" s="40"/>
      <c r="AJ40" s="40"/>
      <c r="AK40" s="105"/>
    </row>
    <row r="41" spans="9:37" ht="15.95" customHeight="1">
      <c r="I41" s="104"/>
      <c r="J41" s="1355" t="s">
        <v>518</v>
      </c>
      <c r="K41" s="1355"/>
      <c r="L41" s="1355"/>
      <c r="M41" s="1355"/>
      <c r="N41" s="1355"/>
      <c r="O41" s="1355"/>
      <c r="P41" s="1355"/>
      <c r="Q41" s="1355"/>
      <c r="R41" s="1355"/>
      <c r="S41" s="1355"/>
      <c r="T41" s="1355"/>
      <c r="U41" s="1355"/>
      <c r="V41" s="1355"/>
      <c r="W41" s="1355"/>
      <c r="X41" s="1355"/>
      <c r="Y41" s="1355"/>
      <c r="Z41" s="1355"/>
      <c r="AA41" s="1355"/>
      <c r="AB41" s="1355"/>
      <c r="AC41" s="1355"/>
      <c r="AD41" s="1355"/>
      <c r="AE41" s="1355"/>
      <c r="AF41" s="1355"/>
      <c r="AG41" s="1355"/>
      <c r="AH41" s="1355"/>
      <c r="AI41" s="1355"/>
      <c r="AJ41" s="1355"/>
      <c r="AK41" s="105"/>
    </row>
    <row r="42" spans="9:37" ht="15.95" customHeight="1">
      <c r="I42" s="104"/>
      <c r="AK42" s="105"/>
    </row>
    <row r="43" spans="9:37" ht="15.95" customHeight="1">
      <c r="I43" s="104"/>
      <c r="J43" s="1353"/>
      <c r="K43" s="1353"/>
      <c r="L43" s="1353"/>
      <c r="M43" s="1353"/>
      <c r="N43" s="1353"/>
      <c r="O43" s="1353"/>
      <c r="P43" s="1353"/>
      <c r="Q43" s="1353"/>
      <c r="S43" s="1353"/>
      <c r="T43" s="1353"/>
      <c r="U43" s="1353"/>
      <c r="V43" s="1353"/>
      <c r="W43" s="1353"/>
      <c r="X43" s="1353"/>
      <c r="Y43" s="1353"/>
      <c r="Z43" s="1353"/>
      <c r="AB43" s="1353" t="s">
        <v>1052</v>
      </c>
      <c r="AC43" s="1353"/>
      <c r="AD43" s="1353"/>
      <c r="AE43" s="1353"/>
      <c r="AF43" s="1353"/>
      <c r="AG43" s="1353"/>
      <c r="AH43" s="117" t="s">
        <v>521</v>
      </c>
      <c r="AK43" s="105"/>
    </row>
    <row r="44" spans="9:37" ht="15.95" customHeight="1">
      <c r="I44" s="104"/>
      <c r="J44" s="1354" t="s">
        <v>519</v>
      </c>
      <c r="K44" s="1354"/>
      <c r="L44" s="1354"/>
      <c r="M44" s="1354"/>
      <c r="N44" s="1354"/>
      <c r="O44" s="1354"/>
      <c r="P44" s="1354"/>
      <c r="Q44" s="1354"/>
      <c r="S44" s="1354" t="s">
        <v>491</v>
      </c>
      <c r="T44" s="1354"/>
      <c r="U44" s="1354"/>
      <c r="V44" s="1354"/>
      <c r="W44" s="1354"/>
      <c r="X44" s="1354"/>
      <c r="Y44" s="1354"/>
      <c r="Z44" s="1354"/>
      <c r="AB44" s="1354" t="s">
        <v>522</v>
      </c>
      <c r="AC44" s="1354"/>
      <c r="AD44" s="1354"/>
      <c r="AE44" s="1354"/>
      <c r="AF44" s="1354"/>
      <c r="AG44" s="1354"/>
      <c r="AK44" s="105"/>
    </row>
    <row r="45" spans="9:37" ht="15.95" customHeight="1">
      <c r="I45" s="104"/>
      <c r="AK45" s="105"/>
    </row>
    <row r="46" spans="9:37" ht="15.95" customHeight="1">
      <c r="I46" s="104"/>
      <c r="J46" s="1355" t="s">
        <v>517</v>
      </c>
      <c r="K46" s="1355"/>
      <c r="L46" s="1355"/>
      <c r="M46" s="1355"/>
      <c r="N46" s="1355"/>
      <c r="O46" s="1355"/>
      <c r="P46" s="1355"/>
      <c r="Q46" s="1355"/>
      <c r="R46" s="1355"/>
      <c r="S46" s="1355"/>
      <c r="T46" s="1355"/>
      <c r="U46" s="1355"/>
      <c r="V46" s="1355"/>
      <c r="W46" s="1355"/>
      <c r="X46" s="1355"/>
      <c r="Y46" s="1355"/>
      <c r="Z46" s="1355"/>
      <c r="AA46" s="1355"/>
      <c r="AB46" s="1355"/>
      <c r="AC46" s="1355"/>
      <c r="AD46" s="1355"/>
      <c r="AE46" s="1355"/>
      <c r="AF46" s="1355"/>
      <c r="AG46" s="1355"/>
      <c r="AH46" s="1355"/>
      <c r="AI46" s="1355"/>
      <c r="AJ46" s="1355"/>
      <c r="AK46" s="105"/>
    </row>
    <row r="47" spans="9:37" ht="15.95" customHeight="1">
      <c r="I47" s="104"/>
      <c r="J47" s="49" t="s">
        <v>520</v>
      </c>
      <c r="K47" s="13"/>
      <c r="AK47" s="105"/>
    </row>
    <row r="48" spans="9:37" ht="15.95" customHeight="1">
      <c r="I48" s="104"/>
      <c r="J48" s="13"/>
      <c r="K48" s="48"/>
      <c r="L48" s="47" t="s">
        <v>527</v>
      </c>
      <c r="AK48" s="105"/>
    </row>
    <row r="49" spans="9:37" ht="15.95" customHeight="1">
      <c r="I49" s="104"/>
      <c r="J49" s="13"/>
      <c r="K49" s="48"/>
      <c r="L49" s="47" t="s">
        <v>528</v>
      </c>
      <c r="AK49" s="105"/>
    </row>
    <row r="50" spans="9:37" ht="15.95" customHeight="1">
      <c r="I50" s="104"/>
      <c r="K50" s="48"/>
      <c r="L50" s="47" t="s">
        <v>523</v>
      </c>
      <c r="AK50" s="105"/>
    </row>
    <row r="51" spans="9:37" ht="15.95" customHeight="1">
      <c r="I51" s="104"/>
      <c r="K51" s="48"/>
      <c r="L51" s="47" t="s">
        <v>526</v>
      </c>
      <c r="AK51" s="105"/>
    </row>
    <row r="52" spans="9:37" ht="15.95" customHeight="1">
      <c r="I52" s="104"/>
      <c r="J52" s="12" t="s">
        <v>524</v>
      </c>
      <c r="K52" s="13"/>
      <c r="AK52" s="105"/>
    </row>
    <row r="53" spans="9:37" ht="15.95" customHeight="1">
      <c r="I53" s="104"/>
      <c r="J53" s="13"/>
      <c r="K53" s="48"/>
      <c r="L53" s="47" t="s">
        <v>525</v>
      </c>
      <c r="AK53" s="105"/>
    </row>
    <row r="54" spans="9:37" ht="15.95" customHeight="1">
      <c r="I54" s="104"/>
      <c r="J54" s="13"/>
      <c r="K54" s="48"/>
      <c r="L54" s="47" t="s">
        <v>529</v>
      </c>
      <c r="AK54" s="105"/>
    </row>
    <row r="55" spans="9:37" ht="15.95" customHeight="1">
      <c r="I55" s="104"/>
      <c r="K55" s="48"/>
      <c r="L55" s="47" t="s">
        <v>530</v>
      </c>
      <c r="AK55" s="105"/>
    </row>
    <row r="56" spans="9:37" ht="15.95" customHeight="1">
      <c r="I56" s="104"/>
      <c r="K56" s="48"/>
      <c r="L56" s="47" t="s">
        <v>548</v>
      </c>
      <c r="AK56" s="105"/>
    </row>
    <row r="57" spans="9:37" ht="15.95" customHeight="1">
      <c r="I57" s="104"/>
      <c r="AK57" s="105"/>
    </row>
    <row r="58" spans="9:37" ht="15.95" customHeight="1">
      <c r="I58" s="104"/>
      <c r="J58" s="1355" t="s">
        <v>531</v>
      </c>
      <c r="K58" s="1355"/>
      <c r="L58" s="1355"/>
      <c r="M58" s="1355"/>
      <c r="N58" s="1355"/>
      <c r="O58" s="1355"/>
      <c r="P58" s="1355"/>
      <c r="Q58" s="1355"/>
      <c r="R58" s="1355"/>
      <c r="S58" s="1355"/>
      <c r="T58" s="1355"/>
      <c r="U58" s="1355"/>
      <c r="V58" s="1355"/>
      <c r="W58" s="1355"/>
      <c r="X58" s="1355"/>
      <c r="Y58" s="1355"/>
      <c r="Z58" s="1355"/>
      <c r="AA58" s="1355"/>
      <c r="AB58" s="1355"/>
      <c r="AC58" s="1355"/>
      <c r="AD58" s="1355"/>
      <c r="AE58" s="1355"/>
      <c r="AF58" s="1355"/>
      <c r="AG58" s="1355"/>
      <c r="AH58" s="1355"/>
      <c r="AI58" s="1355"/>
      <c r="AJ58" s="1355"/>
      <c r="AK58" s="105"/>
    </row>
    <row r="59" spans="9:37" ht="15.95" customHeight="1" thickBot="1">
      <c r="I59" s="104"/>
      <c r="J59" s="118" t="s">
        <v>532</v>
      </c>
      <c r="AK59" s="105"/>
    </row>
    <row r="60" spans="9:37" ht="15.95" customHeight="1">
      <c r="I60" s="104"/>
      <c r="K60" s="1358"/>
      <c r="L60" s="1359"/>
      <c r="M60" s="1359"/>
      <c r="N60" s="1359"/>
      <c r="O60" s="1359"/>
      <c r="P60" s="1359"/>
      <c r="Q60" s="1359"/>
      <c r="R60" s="1359"/>
      <c r="S60" s="1359"/>
      <c r="T60" s="1359"/>
      <c r="U60" s="1359"/>
      <c r="V60" s="1359"/>
      <c r="W60" s="1359"/>
      <c r="X60" s="1359"/>
      <c r="Y60" s="1359"/>
      <c r="Z60" s="1359"/>
      <c r="AA60" s="1359"/>
      <c r="AB60" s="1359"/>
      <c r="AC60" s="1359"/>
      <c r="AD60" s="1359"/>
      <c r="AE60" s="1359"/>
      <c r="AF60" s="1359"/>
      <c r="AG60" s="1359"/>
      <c r="AH60" s="1359"/>
      <c r="AI60" s="1360"/>
      <c r="AK60" s="105"/>
    </row>
    <row r="61" spans="9:37" ht="15.95" customHeight="1">
      <c r="I61" s="104"/>
      <c r="K61" s="1364"/>
      <c r="L61" s="774"/>
      <c r="M61" s="774"/>
      <c r="N61" s="774"/>
      <c r="O61" s="774"/>
      <c r="P61" s="774"/>
      <c r="Q61" s="774"/>
      <c r="R61" s="774"/>
      <c r="S61" s="774"/>
      <c r="T61" s="774"/>
      <c r="U61" s="774"/>
      <c r="V61" s="774"/>
      <c r="W61" s="774"/>
      <c r="X61" s="774"/>
      <c r="Y61" s="774"/>
      <c r="Z61" s="774"/>
      <c r="AA61" s="774"/>
      <c r="AB61" s="774"/>
      <c r="AC61" s="774"/>
      <c r="AD61" s="774"/>
      <c r="AE61" s="774"/>
      <c r="AF61" s="774"/>
      <c r="AG61" s="774"/>
      <c r="AH61" s="774"/>
      <c r="AI61" s="1365"/>
      <c r="AK61" s="105"/>
    </row>
    <row r="62" spans="9:37" ht="15.95" customHeight="1">
      <c r="I62" s="104"/>
      <c r="K62" s="1364"/>
      <c r="L62" s="774"/>
      <c r="M62" s="774"/>
      <c r="N62" s="774"/>
      <c r="O62" s="774"/>
      <c r="P62" s="774"/>
      <c r="Q62" s="774"/>
      <c r="R62" s="774"/>
      <c r="S62" s="774"/>
      <c r="T62" s="774"/>
      <c r="U62" s="774"/>
      <c r="V62" s="774"/>
      <c r="W62" s="774"/>
      <c r="X62" s="774"/>
      <c r="Y62" s="774"/>
      <c r="Z62" s="774"/>
      <c r="AA62" s="774"/>
      <c r="AB62" s="774"/>
      <c r="AC62" s="774"/>
      <c r="AD62" s="774"/>
      <c r="AE62" s="774"/>
      <c r="AF62" s="774"/>
      <c r="AG62" s="774"/>
      <c r="AH62" s="774"/>
      <c r="AI62" s="1365"/>
      <c r="AK62" s="105"/>
    </row>
    <row r="63" spans="9:37" ht="15.95" customHeight="1">
      <c r="I63" s="104"/>
      <c r="K63" s="1364"/>
      <c r="L63" s="774"/>
      <c r="M63" s="774"/>
      <c r="N63" s="774"/>
      <c r="O63" s="774"/>
      <c r="P63" s="774"/>
      <c r="Q63" s="774"/>
      <c r="R63" s="774"/>
      <c r="S63" s="774"/>
      <c r="T63" s="774"/>
      <c r="U63" s="774"/>
      <c r="V63" s="774"/>
      <c r="W63" s="774"/>
      <c r="X63" s="774"/>
      <c r="Y63" s="774"/>
      <c r="Z63" s="774"/>
      <c r="AA63" s="774"/>
      <c r="AB63" s="774"/>
      <c r="AC63" s="774"/>
      <c r="AD63" s="774"/>
      <c r="AE63" s="774"/>
      <c r="AF63" s="774"/>
      <c r="AG63" s="774"/>
      <c r="AH63" s="774"/>
      <c r="AI63" s="1365"/>
      <c r="AK63" s="105"/>
    </row>
    <row r="64" spans="9:37" ht="15.95" customHeight="1" thickBot="1">
      <c r="I64" s="104"/>
      <c r="K64" s="1361"/>
      <c r="L64" s="1362"/>
      <c r="M64" s="1362"/>
      <c r="N64" s="1362"/>
      <c r="O64" s="1362"/>
      <c r="P64" s="1362"/>
      <c r="Q64" s="1362"/>
      <c r="R64" s="1362"/>
      <c r="S64" s="1362"/>
      <c r="T64" s="1362"/>
      <c r="U64" s="1362"/>
      <c r="V64" s="1362"/>
      <c r="W64" s="1362"/>
      <c r="X64" s="1362"/>
      <c r="Y64" s="1362"/>
      <c r="Z64" s="1362"/>
      <c r="AA64" s="1362"/>
      <c r="AB64" s="1362"/>
      <c r="AC64" s="1362"/>
      <c r="AD64" s="1362"/>
      <c r="AE64" s="1362"/>
      <c r="AF64" s="1362"/>
      <c r="AG64" s="1362"/>
      <c r="AH64" s="1362"/>
      <c r="AI64" s="1363"/>
      <c r="AK64" s="105"/>
    </row>
    <row r="65" spans="9:37" ht="15.95" customHeight="1" thickBot="1">
      <c r="I65" s="104"/>
      <c r="J65" s="118" t="s">
        <v>533</v>
      </c>
      <c r="AK65" s="105"/>
    </row>
    <row r="66" spans="9:37" ht="15.95" customHeight="1">
      <c r="I66" s="104"/>
      <c r="K66" s="1358"/>
      <c r="L66" s="1359"/>
      <c r="M66" s="1359"/>
      <c r="N66" s="1359"/>
      <c r="O66" s="1359"/>
      <c r="P66" s="1359"/>
      <c r="Q66" s="1359"/>
      <c r="R66" s="1359"/>
      <c r="S66" s="1359"/>
      <c r="T66" s="1359"/>
      <c r="U66" s="1359"/>
      <c r="V66" s="1359"/>
      <c r="W66" s="1359"/>
      <c r="X66" s="1359"/>
      <c r="Y66" s="1359"/>
      <c r="Z66" s="1359"/>
      <c r="AA66" s="1359"/>
      <c r="AB66" s="1359"/>
      <c r="AC66" s="1359"/>
      <c r="AD66" s="1359"/>
      <c r="AE66" s="1359"/>
      <c r="AF66" s="1359"/>
      <c r="AG66" s="1359"/>
      <c r="AH66" s="1359"/>
      <c r="AI66" s="1360"/>
      <c r="AK66" s="105"/>
    </row>
    <row r="67" spans="9:37" ht="15.95" customHeight="1" thickBot="1">
      <c r="I67" s="104"/>
      <c r="K67" s="1361"/>
      <c r="L67" s="1362"/>
      <c r="M67" s="1362"/>
      <c r="N67" s="1362"/>
      <c r="O67" s="1362"/>
      <c r="P67" s="1362"/>
      <c r="Q67" s="1362"/>
      <c r="R67" s="1362"/>
      <c r="S67" s="1362"/>
      <c r="T67" s="1362"/>
      <c r="U67" s="1362"/>
      <c r="V67" s="1362"/>
      <c r="W67" s="1362"/>
      <c r="X67" s="1362"/>
      <c r="Y67" s="1362"/>
      <c r="Z67" s="1362"/>
      <c r="AA67" s="1362"/>
      <c r="AB67" s="1362"/>
      <c r="AC67" s="1362"/>
      <c r="AD67" s="1362"/>
      <c r="AE67" s="1362"/>
      <c r="AF67" s="1362"/>
      <c r="AG67" s="1362"/>
      <c r="AH67" s="1362"/>
      <c r="AI67" s="1363"/>
      <c r="AK67" s="105"/>
    </row>
    <row r="68" spans="9:37" ht="15.95" customHeight="1">
      <c r="I68" s="104"/>
      <c r="AK68" s="105"/>
    </row>
    <row r="69" spans="9:37" ht="15.95" customHeight="1">
      <c r="I69" s="104"/>
      <c r="J69" s="1355" t="s">
        <v>123</v>
      </c>
      <c r="K69" s="1355"/>
      <c r="L69" s="1355"/>
      <c r="M69" s="1355"/>
      <c r="N69" s="1355"/>
      <c r="O69" s="1355"/>
      <c r="P69" s="1355"/>
      <c r="Q69" s="1355"/>
      <c r="R69" s="1355"/>
      <c r="S69" s="1355"/>
      <c r="T69" s="1355"/>
      <c r="U69" s="1355"/>
      <c r="V69" s="1355"/>
      <c r="W69" s="1355"/>
      <c r="X69" s="1355"/>
      <c r="Y69" s="1355"/>
      <c r="Z69" s="1355"/>
      <c r="AA69" s="1355"/>
      <c r="AB69" s="1355"/>
      <c r="AC69" s="1355"/>
      <c r="AD69" s="1355"/>
      <c r="AE69" s="1355"/>
      <c r="AF69" s="1355"/>
      <c r="AG69" s="1355"/>
      <c r="AH69" s="1355"/>
      <c r="AI69" s="1355"/>
      <c r="AJ69" s="1355"/>
      <c r="AK69" s="105"/>
    </row>
    <row r="70" spans="9:37" ht="15.95" customHeight="1">
      <c r="I70" s="104"/>
      <c r="J70" s="172"/>
      <c r="AK70" s="105"/>
    </row>
    <row r="71" spans="9:37" ht="15.95" customHeight="1">
      <c r="I71" s="104"/>
      <c r="J71" s="1369"/>
      <c r="K71" s="1369"/>
      <c r="L71" s="1369"/>
      <c r="M71" s="1369"/>
      <c r="N71" s="1369"/>
      <c r="O71" s="1369"/>
      <c r="P71" s="1369"/>
      <c r="Q71" s="1369"/>
      <c r="R71" s="1369"/>
      <c r="S71" s="1369"/>
      <c r="T71" s="1369"/>
      <c r="U71" s="1369"/>
      <c r="V71" s="1369"/>
      <c r="W71" s="1369"/>
      <c r="X71" s="1369"/>
      <c r="Y71" s="1369"/>
      <c r="Z71" s="1369"/>
      <c r="AA71" s="1369"/>
      <c r="AB71" s="1369"/>
      <c r="AC71" s="1369"/>
      <c r="AD71" s="1369"/>
      <c r="AE71" s="1369"/>
      <c r="AF71" s="1369"/>
      <c r="AG71" s="1369"/>
      <c r="AH71" s="1369"/>
      <c r="AI71" s="1369"/>
      <c r="AJ71" s="1369"/>
      <c r="AK71" s="105"/>
    </row>
    <row r="72" spans="9:37" ht="15.95" customHeight="1">
      <c r="I72" s="104"/>
      <c r="J72" s="1356" t="s">
        <v>516</v>
      </c>
      <c r="K72" s="1356"/>
      <c r="L72" s="1356"/>
      <c r="M72" s="1356"/>
      <c r="N72" s="1356"/>
      <c r="O72" s="1356"/>
      <c r="P72" s="1356"/>
      <c r="Q72" s="1356"/>
      <c r="R72" s="1356"/>
      <c r="S72" s="1356"/>
      <c r="T72" s="1356"/>
      <c r="U72" s="1356"/>
      <c r="V72" s="1356"/>
      <c r="W72" s="1356" t="s">
        <v>78</v>
      </c>
      <c r="X72" s="1356"/>
      <c r="Y72" s="1356"/>
      <c r="Z72" s="1356"/>
      <c r="AA72" s="1356"/>
      <c r="AB72" s="1356"/>
      <c r="AC72" s="1356"/>
      <c r="AD72" s="1356"/>
      <c r="AE72" s="1356" t="s">
        <v>534</v>
      </c>
      <c r="AF72" s="1356"/>
      <c r="AG72" s="1356"/>
      <c r="AH72" s="1356"/>
      <c r="AI72" s="1356"/>
      <c r="AJ72" s="1356"/>
      <c r="AK72" s="105"/>
    </row>
    <row r="73" spans="9:37" ht="15.95" customHeight="1">
      <c r="I73" s="104"/>
      <c r="J73" s="1357" t="str">
        <f>IF(J71="","",J71)</f>
        <v/>
      </c>
      <c r="K73" s="1357"/>
      <c r="L73" s="1357"/>
      <c r="M73" s="1357"/>
      <c r="N73" s="1357"/>
      <c r="O73" s="1357"/>
      <c r="P73" s="1357"/>
      <c r="Q73" s="1357"/>
      <c r="R73" s="1357"/>
      <c r="S73" s="1357"/>
      <c r="T73" s="1357"/>
      <c r="U73" s="1357"/>
      <c r="V73" s="1357"/>
      <c r="W73" s="1357"/>
      <c r="X73" s="1357"/>
      <c r="Y73" s="1357"/>
      <c r="Z73" s="1357"/>
      <c r="AA73" s="1357"/>
      <c r="AB73" s="1357"/>
      <c r="AC73" s="1357"/>
      <c r="AD73" s="1357"/>
      <c r="AE73" s="1357"/>
      <c r="AF73" s="1357"/>
      <c r="AG73" s="1357"/>
      <c r="AH73" s="1357"/>
      <c r="AI73" s="1357"/>
      <c r="AJ73" s="1357"/>
      <c r="AK73" s="105"/>
    </row>
    <row r="74" spans="9:37" ht="15.95" customHeight="1">
      <c r="I74" s="104"/>
      <c r="J74" s="1356" t="s">
        <v>123</v>
      </c>
      <c r="K74" s="1356"/>
      <c r="L74" s="1356"/>
      <c r="M74" s="1356"/>
      <c r="N74" s="1356"/>
      <c r="O74" s="1356"/>
      <c r="P74" s="1356"/>
      <c r="Q74" s="1356"/>
      <c r="R74" s="1356"/>
      <c r="S74" s="1356"/>
      <c r="T74" s="1356"/>
      <c r="U74" s="1356"/>
      <c r="V74" s="1356"/>
      <c r="W74" s="1356"/>
      <c r="X74" s="1356"/>
      <c r="Y74" s="1356"/>
      <c r="Z74" s="1356"/>
      <c r="AA74" s="1356"/>
      <c r="AB74" s="1356"/>
      <c r="AC74" s="1356"/>
      <c r="AD74" s="1356"/>
      <c r="AE74" s="1356"/>
      <c r="AF74" s="1356"/>
      <c r="AG74" s="1356"/>
      <c r="AH74" s="1356"/>
      <c r="AI74" s="1356"/>
      <c r="AJ74" s="1356"/>
      <c r="AK74" s="105"/>
    </row>
    <row r="75" spans="9:37" ht="15.95" customHeight="1">
      <c r="I75" s="104"/>
      <c r="J75" s="45"/>
      <c r="K75" s="46"/>
      <c r="AI75" s="46"/>
      <c r="AJ75" s="46"/>
      <c r="AK75" s="105"/>
    </row>
    <row r="76" spans="9:37" ht="15.95" customHeight="1">
      <c r="I76" s="106"/>
      <c r="J76" s="109"/>
      <c r="K76" s="109"/>
      <c r="L76" s="109"/>
      <c r="M76" s="109"/>
      <c r="N76" s="109"/>
      <c r="O76" s="109"/>
      <c r="P76" s="109"/>
      <c r="Q76" s="109"/>
      <c r="R76" s="109"/>
      <c r="S76" s="109"/>
      <c r="T76" s="109"/>
      <c r="U76" s="109"/>
      <c r="V76" s="109"/>
      <c r="W76" s="109"/>
      <c r="X76" s="109"/>
      <c r="Y76" s="109"/>
      <c r="Z76" s="109"/>
      <c r="AA76" s="109"/>
      <c r="AB76" s="109"/>
      <c r="AC76" s="109"/>
      <c r="AD76" s="109"/>
      <c r="AE76" s="109"/>
      <c r="AF76" s="109"/>
      <c r="AG76" s="109"/>
      <c r="AH76" s="109"/>
      <c r="AI76" s="109"/>
      <c r="AJ76" s="109"/>
      <c r="AK76" s="110"/>
    </row>
    <row r="77" spans="9:37" ht="15.95" customHeight="1"/>
    <row r="78" spans="9:37" ht="15.95" hidden="1" customHeight="1"/>
    <row r="79" spans="9:37" ht="15.95" hidden="1" customHeight="1"/>
    <row r="80" spans="9:37" ht="15.95" hidden="1" customHeight="1"/>
    <row r="81" ht="15.95" hidden="1" customHeight="1"/>
    <row r="82" ht="15.95" hidden="1" customHeight="1"/>
    <row r="83" ht="15.95" hidden="1" customHeight="1"/>
    <row r="84" ht="15.95" hidden="1" customHeight="1"/>
    <row r="85" ht="15.95" hidden="1" customHeight="1"/>
    <row r="86" ht="15.95" hidden="1" customHeight="1"/>
    <row r="87" ht="15.95" hidden="1" customHeight="1"/>
    <row r="88" ht="15.95" hidden="1" customHeight="1"/>
    <row r="89" ht="15.95" hidden="1" customHeight="1"/>
    <row r="90" ht="15.95" hidden="1" customHeight="1"/>
    <row r="91" ht="15.95" hidden="1" customHeight="1"/>
    <row r="92" ht="15.95" hidden="1" customHeight="1"/>
    <row r="93" ht="15.95" hidden="1" customHeight="1"/>
    <row r="94" ht="15.95" hidden="1" customHeight="1"/>
    <row r="95" ht="15.95" hidden="1" customHeight="1"/>
    <row r="96" ht="15.95" hidden="1" customHeight="1"/>
    <row r="97" ht="15.95" hidden="1" customHeight="1"/>
    <row r="98" ht="15.95" hidden="1" customHeight="1"/>
    <row r="99" ht="15.95" hidden="1" customHeight="1"/>
    <row r="100" ht="15.95" hidden="1" customHeight="1"/>
    <row r="101" ht="15.95" hidden="1" customHeight="1"/>
    <row r="102" ht="15.95" hidden="1" customHeight="1"/>
    <row r="103" ht="15.95" hidden="1" customHeight="1"/>
    <row r="104" ht="15.95" hidden="1" customHeight="1"/>
    <row r="105" ht="15.95" hidden="1" customHeight="1"/>
    <row r="106" ht="15.95" hidden="1" customHeight="1"/>
    <row r="107" ht="15.95" hidden="1" customHeight="1"/>
    <row r="108" ht="15.95" hidden="1" customHeight="1"/>
    <row r="109" ht="15.95" hidden="1" customHeight="1"/>
    <row r="110" ht="15.95" hidden="1" customHeight="1"/>
    <row r="111" ht="15.95" hidden="1" customHeight="1"/>
    <row r="112" ht="15.95" hidden="1" customHeight="1"/>
    <row r="113" ht="15.95" hidden="1" customHeight="1"/>
    <row r="114" ht="15.95" hidden="1" customHeight="1"/>
    <row r="115" ht="15.95" hidden="1" customHeight="1"/>
    <row r="116" ht="15.95" hidden="1" customHeight="1"/>
    <row r="117" ht="15.95" hidden="1" customHeight="1"/>
    <row r="118" ht="15.95" hidden="1" customHeight="1"/>
    <row r="119" ht="15.95" hidden="1" customHeight="1"/>
    <row r="120" ht="15.95" hidden="1" customHeight="1"/>
    <row r="121" ht="15.95" hidden="1" customHeight="1"/>
    <row r="122" ht="15.95" hidden="1" customHeight="1"/>
    <row r="123" ht="15.95" hidden="1" customHeight="1"/>
    <row r="124" ht="15.95" hidden="1" customHeight="1"/>
    <row r="125" ht="15.95" hidden="1" customHeight="1"/>
    <row r="126" ht="15.95" hidden="1" customHeight="1"/>
    <row r="127" ht="15.95" hidden="1" customHeight="1"/>
    <row r="128" ht="15.95" hidden="1" customHeight="1"/>
    <row r="129" ht="15.95" hidden="1" customHeight="1"/>
    <row r="130" ht="15.95" hidden="1" customHeight="1"/>
    <row r="131" ht="15.95" hidden="1" customHeight="1"/>
    <row r="132" ht="15.95" hidden="1" customHeight="1"/>
    <row r="133" ht="15.95" hidden="1" customHeight="1"/>
    <row r="134" ht="15.95" hidden="1" customHeight="1"/>
    <row r="135" ht="15.95" hidden="1" customHeight="1"/>
    <row r="136" ht="15.95" hidden="1" customHeight="1"/>
    <row r="137" ht="15.95" hidden="1" customHeight="1"/>
    <row r="138" ht="15.95" hidden="1" customHeight="1"/>
    <row r="139" ht="15.95" hidden="1" customHeight="1"/>
    <row r="140" ht="15.95" hidden="1" customHeight="1"/>
    <row r="141" ht="15.95" hidden="1" customHeight="1"/>
    <row r="142" ht="15.95" hidden="1" customHeight="1"/>
    <row r="143" ht="15.95" hidden="1" customHeight="1"/>
    <row r="144" ht="15.95" hidden="1" customHeight="1"/>
    <row r="145" ht="15.95" hidden="1" customHeight="1"/>
    <row r="146" ht="15.95" hidden="1" customHeight="1"/>
    <row r="147" ht="15.95" hidden="1" customHeight="1"/>
    <row r="148" ht="15.95" hidden="1" customHeight="1"/>
    <row r="149" ht="15.95" hidden="1" customHeight="1"/>
    <row r="150" ht="15.95" hidden="1" customHeight="1"/>
    <row r="151" ht="15.95" hidden="1" customHeight="1"/>
    <row r="152" ht="15.95" hidden="1" customHeight="1"/>
    <row r="153" ht="15.95" hidden="1" customHeight="1"/>
    <row r="154" ht="15.95" hidden="1" customHeight="1"/>
    <row r="155" ht="15.95" hidden="1" customHeight="1"/>
    <row r="156" ht="15.95" hidden="1" customHeight="1"/>
    <row r="157" ht="15.95" hidden="1" customHeight="1"/>
    <row r="158" ht="15.95" hidden="1" customHeight="1"/>
    <row r="159" ht="15.95" hidden="1" customHeight="1"/>
    <row r="160" ht="15.95" hidden="1" customHeight="1"/>
    <row r="161" ht="15.95" hidden="1" customHeight="1"/>
    <row r="162" ht="15.95" hidden="1" customHeight="1"/>
    <row r="163" ht="15.95" hidden="1" customHeight="1"/>
    <row r="164" ht="15.95" hidden="1" customHeight="1"/>
    <row r="165" ht="15.95" hidden="1" customHeight="1"/>
    <row r="166" ht="15.95" hidden="1" customHeight="1"/>
    <row r="167" ht="15.95" hidden="1" customHeight="1"/>
    <row r="168" ht="15.95" hidden="1" customHeight="1"/>
    <row r="169" ht="15.95" hidden="1" customHeight="1"/>
    <row r="170" ht="15.95" hidden="1" customHeight="1"/>
    <row r="171" ht="15.95" hidden="1" customHeight="1"/>
    <row r="172" ht="15.95" hidden="1" customHeight="1"/>
    <row r="173" ht="15.95" hidden="1" customHeight="1"/>
    <row r="174" ht="15.95" hidden="1" customHeight="1"/>
    <row r="175" ht="15.95" hidden="1" customHeight="1"/>
    <row r="176" ht="15.95" hidden="1" customHeight="1"/>
    <row r="177" ht="15.95" hidden="1" customHeight="1"/>
    <row r="178" ht="15.95" hidden="1" customHeight="1"/>
    <row r="179" ht="15.95" hidden="1" customHeight="1"/>
    <row r="180" ht="15.95" hidden="1" customHeight="1"/>
    <row r="181" ht="15.95" hidden="1" customHeight="1"/>
    <row r="182" ht="15.95" hidden="1" customHeight="1"/>
    <row r="183" ht="15.95" hidden="1" customHeight="1"/>
    <row r="184" ht="15.95" hidden="1" customHeight="1"/>
    <row r="185" ht="15.95" hidden="1" customHeight="1"/>
    <row r="186" ht="15.95" hidden="1" customHeight="1"/>
    <row r="187" ht="15.95" hidden="1" customHeight="1"/>
    <row r="188" ht="15.95" hidden="1" customHeight="1"/>
    <row r="189" ht="15.95" hidden="1" customHeight="1"/>
    <row r="190" ht="15.95" hidden="1" customHeight="1"/>
    <row r="191" ht="15.95" hidden="1" customHeight="1"/>
    <row r="192" ht="15.95" hidden="1" customHeight="1"/>
    <row r="193" spans="2:44" ht="15.95" hidden="1" customHeight="1"/>
    <row r="194" spans="2:44" ht="15.95" hidden="1" customHeight="1"/>
    <row r="195" spans="2:44" ht="15.95" hidden="1" customHeight="1"/>
    <row r="196" spans="2:44" ht="15.95" hidden="1" customHeight="1"/>
    <row r="197" spans="2:44" ht="15.95" hidden="1" customHeight="1"/>
    <row r="198" spans="2:44" ht="15.95" hidden="1" customHeight="1"/>
    <row r="199" spans="2:44" ht="15.95" hidden="1" customHeight="1"/>
    <row r="200" spans="2:44" ht="15.95" customHeight="1">
      <c r="B200" s="272" t="str">
        <f>FOOT1</f>
        <v>NIPSCO Energy Efficiency Program</v>
      </c>
      <c r="C200" s="272"/>
      <c r="D200" s="272"/>
      <c r="E200" s="272"/>
      <c r="F200" s="272"/>
      <c r="G200" s="272"/>
      <c r="H200" s="272"/>
      <c r="I200" s="272"/>
      <c r="J200" s="272"/>
      <c r="K200" s="272"/>
      <c r="L200" s="272"/>
      <c r="M200" s="661" t="str">
        <f>FOOT4</f>
        <v>NIPSCO’s energy efficiency programs are administered by TRC, a third‐party implementation specialist that helps homes and businesses save energy.</v>
      </c>
      <c r="N200" s="661"/>
      <c r="O200" s="661"/>
      <c r="P200" s="661"/>
      <c r="Q200" s="661"/>
      <c r="R200" s="661"/>
      <c r="S200" s="661"/>
      <c r="T200" s="661"/>
      <c r="U200" s="661"/>
      <c r="V200" s="661"/>
      <c r="W200" s="661"/>
      <c r="X200" s="661"/>
      <c r="Y200" s="661"/>
      <c r="Z200" s="661"/>
      <c r="AA200" s="661"/>
      <c r="AB200" s="661"/>
      <c r="AC200" s="661"/>
      <c r="AD200" s="661"/>
      <c r="AE200" s="661"/>
      <c r="AF200" s="661"/>
      <c r="AG200" s="661"/>
      <c r="AH200" s="272"/>
      <c r="AI200" s="272"/>
      <c r="AJ200" s="272"/>
      <c r="AK200" s="272"/>
      <c r="AL200" s="272"/>
      <c r="AM200" s="272"/>
      <c r="AN200" s="272"/>
      <c r="AO200" s="272"/>
      <c r="AP200" s="272"/>
      <c r="AQ200" s="272"/>
      <c r="AR200" s="273" t="str">
        <f>FOOTDISCLAIM</f>
        <v/>
      </c>
    </row>
    <row r="201" spans="2:44" ht="15.95" customHeight="1">
      <c r="B201" s="272" t="str">
        <f>FOOT2</f>
        <v>Toll-Free 800-299-2501</v>
      </c>
      <c r="C201" s="272"/>
      <c r="D201" s="272"/>
      <c r="E201" s="272"/>
      <c r="F201" s="272"/>
      <c r="G201" s="272"/>
      <c r="H201" s="272"/>
      <c r="I201" s="272"/>
      <c r="J201" s="272"/>
      <c r="K201" s="272"/>
      <c r="L201" s="272"/>
      <c r="M201" s="661"/>
      <c r="N201" s="661"/>
      <c r="O201" s="661"/>
      <c r="P201" s="661"/>
      <c r="Q201" s="661"/>
      <c r="R201" s="661"/>
      <c r="S201" s="661"/>
      <c r="T201" s="661"/>
      <c r="U201" s="661"/>
      <c r="V201" s="661"/>
      <c r="W201" s="661"/>
      <c r="X201" s="661"/>
      <c r="Y201" s="661"/>
      <c r="Z201" s="661"/>
      <c r="AA201" s="661"/>
      <c r="AB201" s="661"/>
      <c r="AC201" s="661"/>
      <c r="AD201" s="661"/>
      <c r="AE201" s="661"/>
      <c r="AF201" s="661"/>
      <c r="AG201" s="661"/>
      <c r="AH201" s="272"/>
      <c r="AI201" s="272"/>
      <c r="AJ201" s="272"/>
      <c r="AK201" s="272"/>
      <c r="AL201" s="272"/>
      <c r="AM201" s="272"/>
      <c r="AN201" s="272"/>
      <c r="AO201" s="272"/>
      <c r="AP201" s="272"/>
      <c r="AQ201" s="272"/>
      <c r="AR201" s="273" t="str">
        <f>FOOT5</f>
        <v/>
      </c>
    </row>
    <row r="202" spans="2:44" ht="15.95" customHeight="1">
      <c r="B202" s="276" t="str">
        <f>FOOT3</f>
        <v>NIPSCO.Savings@TRCcompanies.com</v>
      </c>
      <c r="C202" s="272"/>
      <c r="D202" s="272"/>
      <c r="E202" s="272"/>
      <c r="F202" s="272"/>
      <c r="G202" s="272"/>
      <c r="H202" s="272"/>
      <c r="I202" s="272"/>
      <c r="J202" s="272"/>
      <c r="K202" s="272"/>
      <c r="L202" s="272"/>
      <c r="M202" s="274"/>
      <c r="N202" s="272"/>
      <c r="O202" s="272"/>
      <c r="P202" s="274"/>
      <c r="Q202" s="274"/>
      <c r="R202" s="274"/>
      <c r="S202" s="274"/>
      <c r="T202" s="274"/>
      <c r="U202" s="274"/>
      <c r="V202" s="274"/>
      <c r="W202" s="275" t="str">
        <f>VERSION</f>
        <v>Custom Prescriptive Application v3.7.1</v>
      </c>
      <c r="X202" s="274"/>
      <c r="Y202" s="274"/>
      <c r="Z202" s="274"/>
      <c r="AA202" s="274"/>
      <c r="AB202" s="274"/>
      <c r="AC202" s="274"/>
      <c r="AD202" s="274"/>
      <c r="AE202" s="272"/>
      <c r="AF202" s="272"/>
      <c r="AG202" s="272"/>
      <c r="AH202" s="272"/>
      <c r="AI202" s="272"/>
      <c r="AJ202" s="272"/>
      <c r="AK202" s="272"/>
      <c r="AL202" s="272"/>
      <c r="AM202" s="272"/>
      <c r="AN202" s="272"/>
      <c r="AO202" s="272"/>
      <c r="AP202" s="272"/>
      <c r="AQ202" s="272"/>
      <c r="AR202" s="273" t="str">
        <f>FOOT6</f>
        <v>Product of TRC</v>
      </c>
    </row>
  </sheetData>
  <sheetProtection algorithmName="SHA-512" hashValue="ni0XncWE7Bl8IKpVptHXa9PqjsztGMblUmYpF6ebJDEChdhCiH/bO0Xw71Msxx2jXe6kv0tjiO5Q3/HmjJGDyg==" saltValue="oU5ozKWI0qiy6nGjVS8Z9w==" spinCount="100000" sheet="1" objects="1" scenarios="1" selectLockedCells="1"/>
  <mergeCells count="89">
    <mergeCell ref="AQ1:AR1"/>
    <mergeCell ref="AQ2:AR3"/>
    <mergeCell ref="AH1:AK1"/>
    <mergeCell ref="AL1:AP1"/>
    <mergeCell ref="AH2:AK3"/>
    <mergeCell ref="AL2:AP3"/>
    <mergeCell ref="M200:AG201"/>
    <mergeCell ref="F10:AN10"/>
    <mergeCell ref="F11:AN11"/>
    <mergeCell ref="N16:P16"/>
    <mergeCell ref="J18:AJ18"/>
    <mergeCell ref="J19:AJ19"/>
    <mergeCell ref="J20:V20"/>
    <mergeCell ref="W20:AC20"/>
    <mergeCell ref="AD20:AJ20"/>
    <mergeCell ref="J21:V21"/>
    <mergeCell ref="W21:AC21"/>
    <mergeCell ref="AD21:AJ21"/>
    <mergeCell ref="J22:R22"/>
    <mergeCell ref="S22:AA22"/>
    <mergeCell ref="AB22:AJ22"/>
    <mergeCell ref="J23:R23"/>
    <mergeCell ref="S23:AA23"/>
    <mergeCell ref="AB23:AJ23"/>
    <mergeCell ref="J24:U24"/>
    <mergeCell ref="V24:AD24"/>
    <mergeCell ref="AE24:AG24"/>
    <mergeCell ref="AH24:AJ24"/>
    <mergeCell ref="J25:U25"/>
    <mergeCell ref="V25:AD25"/>
    <mergeCell ref="AE25:AG25"/>
    <mergeCell ref="AH25:AJ25"/>
    <mergeCell ref="J28:R28"/>
    <mergeCell ref="S28:AA28"/>
    <mergeCell ref="AB28:AJ28"/>
    <mergeCell ref="J27:AJ27"/>
    <mergeCell ref="J29:R29"/>
    <mergeCell ref="S29:AA29"/>
    <mergeCell ref="AB29:AJ29"/>
    <mergeCell ref="J30:U30"/>
    <mergeCell ref="V30:AD30"/>
    <mergeCell ref="AE30:AG30"/>
    <mergeCell ref="AH30:AJ30"/>
    <mergeCell ref="J31:U31"/>
    <mergeCell ref="V31:AD31"/>
    <mergeCell ref="AE31:AG31"/>
    <mergeCell ref="AH31:AJ31"/>
    <mergeCell ref="J34:V34"/>
    <mergeCell ref="W34:AC34"/>
    <mergeCell ref="AD34:AJ34"/>
    <mergeCell ref="J33:AJ33"/>
    <mergeCell ref="J35:V35"/>
    <mergeCell ref="W35:AC35"/>
    <mergeCell ref="AD35:AJ35"/>
    <mergeCell ref="J36:R36"/>
    <mergeCell ref="S36:AA36"/>
    <mergeCell ref="AB36:AJ36"/>
    <mergeCell ref="AB37:AJ37"/>
    <mergeCell ref="J38:U38"/>
    <mergeCell ref="V38:AD38"/>
    <mergeCell ref="AE38:AG38"/>
    <mergeCell ref="AH38:AJ38"/>
    <mergeCell ref="J74:AJ74"/>
    <mergeCell ref="J71:V71"/>
    <mergeCell ref="W71:AD71"/>
    <mergeCell ref="AE71:AJ71"/>
    <mergeCell ref="J69:AJ69"/>
    <mergeCell ref="J17:AJ17"/>
    <mergeCell ref="J72:V72"/>
    <mergeCell ref="W72:AD72"/>
    <mergeCell ref="AE72:AJ72"/>
    <mergeCell ref="J73:AJ73"/>
    <mergeCell ref="K66:AI67"/>
    <mergeCell ref="K60:AI64"/>
    <mergeCell ref="J58:AJ58"/>
    <mergeCell ref="J46:AJ46"/>
    <mergeCell ref="J39:U39"/>
    <mergeCell ref="V39:AD39"/>
    <mergeCell ref="AE39:AG39"/>
    <mergeCell ref="AH39:AJ39"/>
    <mergeCell ref="J41:AJ41"/>
    <mergeCell ref="J37:R37"/>
    <mergeCell ref="S37:AA37"/>
    <mergeCell ref="J43:Q43"/>
    <mergeCell ref="J44:Q44"/>
    <mergeCell ref="S43:Z43"/>
    <mergeCell ref="S44:Z44"/>
    <mergeCell ref="AB43:AG43"/>
    <mergeCell ref="AB44:AG44"/>
  </mergeCells>
  <conditionalFormatting sqref="J43:Q43 S43:Z43 AB43:AG43 K60:AI64 K66:AI67 J71:AJ71">
    <cfRule type="containsBlanks" dxfId="21" priority="53">
      <formula>LEN(TRIM(J43))=0</formula>
    </cfRule>
  </conditionalFormatting>
  <conditionalFormatting sqref="AH2 AL2">
    <cfRule type="expression" dxfId="20" priority="1">
      <formula>PROJSTATUS=PROJSTATELI</formula>
    </cfRule>
    <cfRule type="expression" dxfId="19" priority="2">
      <formula>PROJSTATUS=PROJSTATREVIEW</formula>
    </cfRule>
    <cfRule type="expression" dxfId="18" priority="6">
      <formula>PROJSTATUS=PROJSTATPREAPPROVE</formula>
    </cfRule>
    <cfRule type="expression" dxfId="17" priority="7">
      <formula>PROJSTATUS=PROJSTATSTANDARD</formula>
    </cfRule>
    <cfRule type="expression" dxfId="16" priority="8">
      <formula>PROJSTATUS=PROJSTATEXP</formula>
    </cfRule>
  </conditionalFormatting>
  <conditionalFormatting sqref="AQ2:AR3">
    <cfRule type="cellIs" dxfId="15" priority="3" operator="equal">
      <formula>1</formula>
    </cfRule>
    <cfRule type="cellIs" dxfId="14" priority="4" operator="between">
      <formula>0.51</formula>
      <formula>0.99</formula>
    </cfRule>
    <cfRule type="cellIs" dxfId="13" priority="5" operator="lessThanOrEqual">
      <formula>0.5</formula>
    </cfRule>
  </conditionalFormatting>
  <dataValidations count="2">
    <dataValidation type="list" allowBlank="1" showInputMessage="1" showErrorMessage="1" sqref="J43" xr:uid="{00000000-0002-0000-2A00-000000000000}">
      <formula1>"Pre-Installation Inspection,Post-Installation Inspection,Random Inspection,""For Cause"" Inspection,Failed Inspection Follow Up"</formula1>
    </dataValidation>
    <dataValidation type="list" allowBlank="1" showInputMessage="1" showErrorMessage="1" sqref="AB43" xr:uid="{00000000-0002-0000-2A00-000001000000}">
      <formula1>"PASS,FAIL"</formula1>
    </dataValidation>
  </dataValidations>
  <hyperlinks>
    <hyperlink ref="B202" r:id="rId1" display="NIPSCO.Savings@LMCO.com" xr:uid="{00000000-0004-0000-2A00-000000000000}"/>
  </hyperlinks>
  <printOptions horizontalCentered="1" verticalCentered="1"/>
  <pageMargins left="0.3" right="0.3" top="0.3" bottom="0.3" header="0.25" footer="0.25"/>
  <pageSetup scale="76" orientation="portrait" r:id="rId2"/>
  <drawing r:id="rId3"/>
  <legacyDrawing r:id="rId4"/>
  <mc:AlternateContent xmlns:mc="http://schemas.openxmlformats.org/markup-compatibility/2006">
    <mc:Choice Requires="x14">
      <controls>
        <mc:AlternateContent xmlns:mc="http://schemas.openxmlformats.org/markup-compatibility/2006">
          <mc:Choice Requires="x14">
            <control shapeId="41986" r:id="rId5" name="Check Box 2">
              <controlPr defaultSize="0" autoFill="0" autoLine="0" autoPict="0">
                <anchor moveWithCells="1">
                  <from>
                    <xdr:col>10</xdr:col>
                    <xdr:colOff>9525</xdr:colOff>
                    <xdr:row>47</xdr:row>
                    <xdr:rowOff>0</xdr:rowOff>
                  </from>
                  <to>
                    <xdr:col>11</xdr:col>
                    <xdr:colOff>0</xdr:colOff>
                    <xdr:row>47</xdr:row>
                    <xdr:rowOff>190500</xdr:rowOff>
                  </to>
                </anchor>
              </controlPr>
            </control>
          </mc:Choice>
        </mc:AlternateContent>
        <mc:AlternateContent xmlns:mc="http://schemas.openxmlformats.org/markup-compatibility/2006">
          <mc:Choice Requires="x14">
            <control shapeId="41987" r:id="rId6" name="Check Box 3">
              <controlPr defaultSize="0" autoFill="0" autoLine="0" autoPict="0">
                <anchor moveWithCells="1">
                  <from>
                    <xdr:col>10</xdr:col>
                    <xdr:colOff>9525</xdr:colOff>
                    <xdr:row>48</xdr:row>
                    <xdr:rowOff>0</xdr:rowOff>
                  </from>
                  <to>
                    <xdr:col>11</xdr:col>
                    <xdr:colOff>0</xdr:colOff>
                    <xdr:row>48</xdr:row>
                    <xdr:rowOff>190500</xdr:rowOff>
                  </to>
                </anchor>
              </controlPr>
            </control>
          </mc:Choice>
        </mc:AlternateContent>
        <mc:AlternateContent xmlns:mc="http://schemas.openxmlformats.org/markup-compatibility/2006">
          <mc:Choice Requires="x14">
            <control shapeId="41991" r:id="rId7" name="Check Box 7">
              <controlPr defaultSize="0" autoFill="0" autoLine="0" autoPict="0">
                <anchor moveWithCells="1">
                  <from>
                    <xdr:col>10</xdr:col>
                    <xdr:colOff>9525</xdr:colOff>
                    <xdr:row>52</xdr:row>
                    <xdr:rowOff>0</xdr:rowOff>
                  </from>
                  <to>
                    <xdr:col>11</xdr:col>
                    <xdr:colOff>0</xdr:colOff>
                    <xdr:row>52</xdr:row>
                    <xdr:rowOff>190500</xdr:rowOff>
                  </to>
                </anchor>
              </controlPr>
            </control>
          </mc:Choice>
        </mc:AlternateContent>
        <mc:AlternateContent xmlns:mc="http://schemas.openxmlformats.org/markup-compatibility/2006">
          <mc:Choice Requires="x14">
            <control shapeId="41992" r:id="rId8" name="Check Box 8">
              <controlPr defaultSize="0" autoFill="0" autoLine="0" autoPict="0">
                <anchor moveWithCells="1">
                  <from>
                    <xdr:col>10</xdr:col>
                    <xdr:colOff>9525</xdr:colOff>
                    <xdr:row>53</xdr:row>
                    <xdr:rowOff>0</xdr:rowOff>
                  </from>
                  <to>
                    <xdr:col>11</xdr:col>
                    <xdr:colOff>0</xdr:colOff>
                    <xdr:row>53</xdr:row>
                    <xdr:rowOff>190500</xdr:rowOff>
                  </to>
                </anchor>
              </controlPr>
            </control>
          </mc:Choice>
        </mc:AlternateContent>
        <mc:AlternateContent xmlns:mc="http://schemas.openxmlformats.org/markup-compatibility/2006">
          <mc:Choice Requires="x14">
            <control shapeId="41993" r:id="rId9" name="Check Box 9">
              <controlPr defaultSize="0" autoFill="0" autoLine="0" autoPict="0">
                <anchor moveWithCells="1">
                  <from>
                    <xdr:col>10</xdr:col>
                    <xdr:colOff>9525</xdr:colOff>
                    <xdr:row>49</xdr:row>
                    <xdr:rowOff>0</xdr:rowOff>
                  </from>
                  <to>
                    <xdr:col>11</xdr:col>
                    <xdr:colOff>0</xdr:colOff>
                    <xdr:row>49</xdr:row>
                    <xdr:rowOff>190500</xdr:rowOff>
                  </to>
                </anchor>
              </controlPr>
            </control>
          </mc:Choice>
        </mc:AlternateContent>
        <mc:AlternateContent xmlns:mc="http://schemas.openxmlformats.org/markup-compatibility/2006">
          <mc:Choice Requires="x14">
            <control shapeId="41994" r:id="rId10" name="Check Box 10">
              <controlPr defaultSize="0" autoFill="0" autoLine="0" autoPict="0">
                <anchor moveWithCells="1">
                  <from>
                    <xdr:col>10</xdr:col>
                    <xdr:colOff>9525</xdr:colOff>
                    <xdr:row>50</xdr:row>
                    <xdr:rowOff>0</xdr:rowOff>
                  </from>
                  <to>
                    <xdr:col>11</xdr:col>
                    <xdr:colOff>0</xdr:colOff>
                    <xdr:row>50</xdr:row>
                    <xdr:rowOff>190500</xdr:rowOff>
                  </to>
                </anchor>
              </controlPr>
            </control>
          </mc:Choice>
        </mc:AlternateContent>
        <mc:AlternateContent xmlns:mc="http://schemas.openxmlformats.org/markup-compatibility/2006">
          <mc:Choice Requires="x14">
            <control shapeId="41995" r:id="rId11" name="Check Box 11">
              <controlPr defaultSize="0" autoFill="0" autoLine="0" autoPict="0">
                <anchor moveWithCells="1">
                  <from>
                    <xdr:col>10</xdr:col>
                    <xdr:colOff>9525</xdr:colOff>
                    <xdr:row>54</xdr:row>
                    <xdr:rowOff>0</xdr:rowOff>
                  </from>
                  <to>
                    <xdr:col>11</xdr:col>
                    <xdr:colOff>0</xdr:colOff>
                    <xdr:row>54</xdr:row>
                    <xdr:rowOff>190500</xdr:rowOff>
                  </to>
                </anchor>
              </controlPr>
            </control>
          </mc:Choice>
        </mc:AlternateContent>
        <mc:AlternateContent xmlns:mc="http://schemas.openxmlformats.org/markup-compatibility/2006">
          <mc:Choice Requires="x14">
            <control shapeId="41996" r:id="rId12" name="Check Box 12">
              <controlPr defaultSize="0" autoFill="0" autoLine="0" autoPict="0">
                <anchor moveWithCells="1">
                  <from>
                    <xdr:col>10</xdr:col>
                    <xdr:colOff>9525</xdr:colOff>
                    <xdr:row>55</xdr:row>
                    <xdr:rowOff>0</xdr:rowOff>
                  </from>
                  <to>
                    <xdr:col>11</xdr:col>
                    <xdr:colOff>0</xdr:colOff>
                    <xdr:row>55</xdr:row>
                    <xdr:rowOff>190500</xdr:rowOff>
                  </to>
                </anchor>
              </controlPr>
            </control>
          </mc:Choice>
        </mc:AlternateContent>
      </controls>
    </mc:Choice>
  </mc:AlternateConten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6">
    <pageSetUpPr fitToPage="1"/>
  </sheetPr>
  <dimension ref="A1:AS219"/>
  <sheetViews>
    <sheetView showGridLines="0" showRowColHeaders="0" topLeftCell="B10" zoomScale="85" zoomScaleNormal="85" workbookViewId="0">
      <selection activeCell="AI57" sqref="AI57:AQ57"/>
    </sheetView>
  </sheetViews>
  <sheetFormatPr defaultColWidth="0" defaultRowHeight="0" customHeight="1" zeroHeight="1"/>
  <cols>
    <col min="1" max="45" width="4.7109375" customWidth="1"/>
    <col min="46" max="78" width="9.140625" hidden="1" customWidth="1"/>
    <col min="79" max="16384" width="9.140625" hidden="1"/>
  </cols>
  <sheetData>
    <row r="1" spans="2:44" ht="15.95" customHeight="1">
      <c r="AH1" s="686" t="s">
        <v>471</v>
      </c>
      <c r="AI1" s="686"/>
      <c r="AJ1" s="686"/>
      <c r="AK1" s="686"/>
      <c r="AL1" s="687" t="s">
        <v>736</v>
      </c>
      <c r="AM1" s="687"/>
      <c r="AN1" s="687"/>
      <c r="AO1" s="687"/>
      <c r="AP1" s="687"/>
      <c r="AQ1" s="683" t="s">
        <v>474</v>
      </c>
      <c r="AR1" s="683"/>
    </row>
    <row r="2" spans="2:44" ht="15.95" customHeight="1">
      <c r="AH2" s="688" t="str">
        <f ca="1">INCENSTATUS</f>
        <v>---</v>
      </c>
      <c r="AI2" s="689"/>
      <c r="AJ2" s="689"/>
      <c r="AK2" s="689"/>
      <c r="AL2" s="690" t="str">
        <f ca="1">PROJSTATUS</f>
        <v>Enter Measures</v>
      </c>
      <c r="AM2" s="690"/>
      <c r="AN2" s="690"/>
      <c r="AO2" s="690"/>
      <c r="AP2" s="690"/>
      <c r="AQ2" s="684">
        <f ca="1">PROGRESSSTATUS</f>
        <v>2.8985507246376812E-2</v>
      </c>
      <c r="AR2" s="685"/>
    </row>
    <row r="3" spans="2:44" ht="15.95" customHeight="1">
      <c r="AH3" s="680"/>
      <c r="AI3" s="681"/>
      <c r="AJ3" s="681"/>
      <c r="AK3" s="681"/>
      <c r="AL3" s="673"/>
      <c r="AM3" s="673"/>
      <c r="AN3" s="673"/>
      <c r="AO3" s="673"/>
      <c r="AP3" s="673"/>
      <c r="AQ3" s="667"/>
      <c r="AR3" s="668"/>
    </row>
    <row r="4" spans="2:44" ht="15.95" customHeight="1">
      <c r="AR4" s="171"/>
    </row>
    <row r="5" spans="2:44" ht="15.95" customHeight="1"/>
    <row r="6" spans="2:44" ht="15.95" customHeight="1"/>
    <row r="7" spans="2:44" ht="15.95" customHeight="1"/>
    <row r="8" spans="2:44" ht="15.95" customHeight="1"/>
    <row r="9" spans="2:44" ht="15.95" customHeight="1">
      <c r="B9" s="59"/>
      <c r="C9" s="59"/>
      <c r="D9" s="59"/>
      <c r="E9" s="59"/>
      <c r="F9" s="59"/>
      <c r="G9" s="59"/>
      <c r="H9" s="59"/>
      <c r="I9" s="59"/>
      <c r="J9" s="59"/>
      <c r="K9" s="59"/>
      <c r="L9" s="59"/>
      <c r="M9" s="59"/>
      <c r="N9" s="59"/>
      <c r="O9" s="59"/>
      <c r="P9" s="59"/>
      <c r="Q9" s="59"/>
      <c r="R9" s="59"/>
      <c r="S9" s="59"/>
      <c r="T9" s="59"/>
      <c r="U9" s="59"/>
      <c r="V9" s="59"/>
      <c r="W9" s="59"/>
      <c r="X9" s="59"/>
      <c r="Y9" s="59"/>
      <c r="Z9" s="59"/>
      <c r="AA9" s="59"/>
      <c r="AB9" s="59"/>
      <c r="AC9" s="59"/>
      <c r="AD9" s="59"/>
      <c r="AE9" s="59"/>
      <c r="AF9" s="59"/>
      <c r="AG9" s="59"/>
      <c r="AH9" s="59"/>
      <c r="AI9" s="59"/>
      <c r="AJ9" s="59"/>
      <c r="AK9" s="59"/>
      <c r="AL9" s="59"/>
      <c r="AM9" s="59"/>
      <c r="AN9" s="59"/>
      <c r="AO9" s="59"/>
      <c r="AP9" s="59"/>
      <c r="AQ9" s="59"/>
      <c r="AR9" s="59"/>
    </row>
    <row r="10" spans="2:44" ht="15.95" customHeight="1">
      <c r="B10" s="59"/>
      <c r="C10" s="59"/>
      <c r="D10" s="59"/>
      <c r="E10" s="59"/>
      <c r="F10" s="691" t="s">
        <v>868</v>
      </c>
      <c r="G10" s="691"/>
      <c r="H10" s="691"/>
      <c r="I10" s="691"/>
      <c r="J10" s="691"/>
      <c r="K10" s="691"/>
      <c r="L10" s="691"/>
      <c r="M10" s="691"/>
      <c r="N10" s="691"/>
      <c r="O10" s="691"/>
      <c r="P10" s="691"/>
      <c r="Q10" s="691"/>
      <c r="R10" s="691"/>
      <c r="S10" s="691"/>
      <c r="T10" s="691"/>
      <c r="U10" s="691"/>
      <c r="V10" s="691"/>
      <c r="W10" s="691"/>
      <c r="X10" s="691"/>
      <c r="Y10" s="691"/>
      <c r="Z10" s="691"/>
      <c r="AA10" s="691"/>
      <c r="AB10" s="691"/>
      <c r="AC10" s="691"/>
      <c r="AD10" s="691"/>
      <c r="AE10" s="691"/>
      <c r="AF10" s="691"/>
      <c r="AG10" s="691"/>
      <c r="AH10" s="691"/>
      <c r="AI10" s="691"/>
      <c r="AJ10" s="691"/>
      <c r="AK10" s="691"/>
      <c r="AL10" s="691"/>
      <c r="AM10" s="691"/>
      <c r="AN10" s="691"/>
      <c r="AO10" s="59"/>
      <c r="AP10" s="59"/>
      <c r="AQ10" s="59"/>
      <c r="AR10" s="59"/>
    </row>
    <row r="11" spans="2:44" ht="15.95" customHeight="1">
      <c r="B11" s="59"/>
      <c r="C11" s="59"/>
      <c r="D11" s="59"/>
      <c r="E11" s="59"/>
      <c r="F11" s="306"/>
      <c r="G11" s="306"/>
      <c r="H11" s="306"/>
      <c r="I11" s="306"/>
      <c r="J11" s="306"/>
      <c r="K11" s="306"/>
      <c r="L11" s="306"/>
      <c r="M11" s="306"/>
      <c r="N11" s="306"/>
      <c r="O11" s="306"/>
      <c r="P11" s="306"/>
      <c r="Q11" s="306"/>
      <c r="R11" s="306"/>
      <c r="S11" s="306"/>
      <c r="T11" s="306"/>
      <c r="U11" s="306"/>
      <c r="V11" s="306"/>
      <c r="W11" s="306"/>
      <c r="X11" s="306"/>
      <c r="Y11" s="306"/>
      <c r="Z11" s="306"/>
      <c r="AA11" s="306"/>
      <c r="AB11" s="306"/>
      <c r="AC11" s="306"/>
      <c r="AD11" s="306"/>
      <c r="AE11" s="306"/>
      <c r="AF11" s="306"/>
      <c r="AG11" s="306"/>
      <c r="AH11" s="306"/>
      <c r="AI11" s="306"/>
      <c r="AJ11" s="306"/>
      <c r="AK11" s="306"/>
      <c r="AL11" s="306"/>
      <c r="AM11" s="306"/>
      <c r="AN11" s="306"/>
      <c r="AO11" s="59"/>
      <c r="AP11" s="59"/>
      <c r="AQ11" s="59"/>
      <c r="AR11" s="59"/>
    </row>
    <row r="12" spans="2:44" ht="15.95" customHeight="1" thickBot="1">
      <c r="B12" s="59"/>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59"/>
      <c r="AE12" s="59"/>
      <c r="AF12" s="59"/>
      <c r="AG12" s="59"/>
      <c r="AH12" s="59"/>
      <c r="AI12" s="59"/>
      <c r="AJ12" s="59"/>
      <c r="AK12" s="59"/>
      <c r="AL12" s="59"/>
      <c r="AM12" s="59"/>
      <c r="AN12" s="59"/>
      <c r="AO12" s="59"/>
      <c r="AP12" s="59"/>
      <c r="AQ12" s="59"/>
      <c r="AR12" s="59"/>
    </row>
    <row r="13" spans="2:44" ht="15.95" customHeight="1" thickBot="1">
      <c r="B13" s="59"/>
      <c r="C13" s="1427" t="s">
        <v>75</v>
      </c>
      <c r="D13" s="1427"/>
      <c r="E13" s="1427"/>
      <c r="F13" s="1427"/>
      <c r="G13" s="1427"/>
      <c r="H13" s="1427"/>
      <c r="I13" s="1427"/>
      <c r="J13" s="1427"/>
      <c r="K13" s="1427"/>
      <c r="L13" s="1427"/>
      <c r="M13" s="1427"/>
      <c r="N13" s="1427"/>
      <c r="O13" s="1427"/>
      <c r="P13" s="214"/>
      <c r="Q13" s="1427" t="s">
        <v>879</v>
      </c>
      <c r="R13" s="1427"/>
      <c r="S13" s="1427"/>
      <c r="T13" s="1427"/>
      <c r="U13" s="1427"/>
      <c r="V13" s="1427"/>
      <c r="W13" s="1427"/>
      <c r="X13" s="1427"/>
      <c r="Y13" s="1427"/>
      <c r="Z13" s="1427"/>
      <c r="AA13" s="1427"/>
      <c r="AB13" s="1427"/>
      <c r="AC13" s="1427"/>
      <c r="AD13" s="214"/>
      <c r="AE13" s="1427" t="s">
        <v>495</v>
      </c>
      <c r="AF13" s="1427"/>
      <c r="AG13" s="1427"/>
      <c r="AH13" s="1427"/>
      <c r="AI13" s="1427"/>
      <c r="AJ13" s="1427"/>
      <c r="AK13" s="1427"/>
      <c r="AL13" s="1427"/>
      <c r="AM13" s="1427"/>
      <c r="AN13" s="1427"/>
      <c r="AO13" s="1427"/>
      <c r="AP13" s="1427"/>
      <c r="AQ13" s="1427"/>
      <c r="AR13" s="59"/>
    </row>
    <row r="14" spans="2:44" ht="15.95" customHeight="1" thickBot="1">
      <c r="B14" s="59"/>
      <c r="C14" s="1433" t="s">
        <v>513</v>
      </c>
      <c r="D14" s="1433"/>
      <c r="E14" s="1433"/>
      <c r="F14" s="1433"/>
      <c r="G14" s="1432" t="str">
        <f>PROPER(M02S02F34)</f>
        <v/>
      </c>
      <c r="H14" s="1432"/>
      <c r="I14" s="1432"/>
      <c r="J14" s="1432"/>
      <c r="K14" s="1432"/>
      <c r="L14" s="1432"/>
      <c r="M14" s="1432"/>
      <c r="N14" s="1432"/>
      <c r="O14" s="1432"/>
      <c r="P14" s="214"/>
      <c r="Q14" s="1396" t="s">
        <v>1054</v>
      </c>
      <c r="R14" s="1396"/>
      <c r="S14" s="1396"/>
      <c r="T14" s="1396"/>
      <c r="U14" s="1413" t="str">
        <f ca="1">IF(TEMPLATE!A74/TEMPLATE!D74=1,"Completed",IF(TEMPLATE!A74/TEMPLATE!D74&gt;0.7,"Almost!","Incomplete"))</f>
        <v>Incomplete</v>
      </c>
      <c r="V14" s="1414"/>
      <c r="W14" s="1414"/>
      <c r="X14" s="1414"/>
      <c r="Y14" s="1437">
        <f>M05S02F01</f>
        <v>0</v>
      </c>
      <c r="Z14" s="1437"/>
      <c r="AA14" s="1437"/>
      <c r="AB14" s="1437"/>
      <c r="AC14" s="1438"/>
      <c r="AD14" s="214"/>
      <c r="AE14" s="1433" t="s">
        <v>497</v>
      </c>
      <c r="AF14" s="1433"/>
      <c r="AG14" s="1433"/>
      <c r="AH14" s="1433"/>
      <c r="AI14" s="1440"/>
      <c r="AJ14" s="1440"/>
      <c r="AK14" s="1440"/>
      <c r="AL14" s="1440"/>
      <c r="AM14" s="1440"/>
      <c r="AN14" s="1440"/>
      <c r="AO14" s="1440"/>
      <c r="AP14" s="1440"/>
      <c r="AQ14" s="1440"/>
      <c r="AR14" s="59"/>
    </row>
    <row r="15" spans="2:44" ht="15.95" customHeight="1" thickBot="1">
      <c r="B15" s="59"/>
      <c r="C15" s="1433" t="s">
        <v>549</v>
      </c>
      <c r="D15" s="1433"/>
      <c r="E15" s="1433"/>
      <c r="F15" s="1433"/>
      <c r="G15" s="1432">
        <f>M02S02F37</f>
        <v>0</v>
      </c>
      <c r="H15" s="1432"/>
      <c r="I15" s="1432"/>
      <c r="J15" s="1432"/>
      <c r="K15" s="1432"/>
      <c r="L15" s="1432">
        <f>M02S02F38</f>
        <v>0</v>
      </c>
      <c r="M15" s="1432"/>
      <c r="N15" s="1432"/>
      <c r="O15" s="1432"/>
      <c r="P15" s="214"/>
      <c r="Q15" s="1396" t="s">
        <v>880</v>
      </c>
      <c r="R15" s="1396"/>
      <c r="S15" s="1396"/>
      <c r="T15" s="1396"/>
      <c r="U15" s="1413" t="str">
        <f ca="1">IF(TEMPLATE!A81/TEMPLATE!D81=1,"Completed",IF(TEMPLATE!A81/TEMPLATE!D81&gt;0.7,"Almost!","Incomplete"))</f>
        <v>Incomplete</v>
      </c>
      <c r="V15" s="1414"/>
      <c r="W15" s="1414"/>
      <c r="X15" s="1414"/>
      <c r="Y15" s="1414"/>
      <c r="Z15" s="1414"/>
      <c r="AA15" s="1414"/>
      <c r="AB15" s="1414"/>
      <c r="AC15" s="1415"/>
      <c r="AD15" s="214"/>
      <c r="AE15" s="1433" t="s">
        <v>900</v>
      </c>
      <c r="AF15" s="1433"/>
      <c r="AG15" s="1433"/>
      <c r="AH15" s="1433"/>
      <c r="AI15" s="1439"/>
      <c r="AJ15" s="1439"/>
      <c r="AK15" s="1439"/>
      <c r="AL15" s="1439"/>
      <c r="AM15" s="1439"/>
      <c r="AN15" s="1439"/>
      <c r="AO15" s="1439"/>
      <c r="AP15" s="1439"/>
      <c r="AQ15" s="1439"/>
      <c r="AR15" s="59"/>
    </row>
    <row r="16" spans="2:44" ht="15.95" customHeight="1" thickBot="1">
      <c r="B16" s="59"/>
      <c r="C16" s="1433" t="s">
        <v>1199</v>
      </c>
      <c r="D16" s="1433"/>
      <c r="E16" s="1433"/>
      <c r="F16" s="1433"/>
      <c r="G16" s="1432">
        <f>M02S02F39</f>
        <v>0</v>
      </c>
      <c r="H16" s="1432"/>
      <c r="I16" s="1432"/>
      <c r="J16" s="1432"/>
      <c r="K16" s="1432"/>
      <c r="L16" s="1432">
        <f>M02S02F40</f>
        <v>0</v>
      </c>
      <c r="M16" s="1432"/>
      <c r="N16" s="1432"/>
      <c r="O16" s="1432"/>
      <c r="P16" s="214"/>
      <c r="Q16" s="1396" t="s">
        <v>881</v>
      </c>
      <c r="R16" s="1396"/>
      <c r="S16" s="1396"/>
      <c r="T16" s="1396"/>
      <c r="U16" s="1413" t="str">
        <f ca="1">IF(TEMPLATE!A134/TEMPLATE!D134=1,"Completed",IF(TEMPLATE!A134/TEMPLATE!D134&gt;0.7,"Almost!","Incomplete"))</f>
        <v>Incomplete</v>
      </c>
      <c r="V16" s="1414"/>
      <c r="W16" s="1414"/>
      <c r="X16" s="1414"/>
      <c r="Y16" s="1414"/>
      <c r="Z16" s="1414"/>
      <c r="AA16" s="1414"/>
      <c r="AB16" s="1414"/>
      <c r="AC16" s="1415"/>
      <c r="AD16" s="214"/>
      <c r="AE16" s="1433" t="s">
        <v>488</v>
      </c>
      <c r="AF16" s="1433"/>
      <c r="AG16" s="1433"/>
      <c r="AH16" s="1433"/>
      <c r="AI16" s="1439"/>
      <c r="AJ16" s="1439"/>
      <c r="AK16" s="1439"/>
      <c r="AL16" s="1439"/>
      <c r="AM16" s="1439"/>
      <c r="AN16" s="1439"/>
      <c r="AO16" s="1439"/>
      <c r="AP16" s="1439"/>
      <c r="AQ16" s="1439"/>
      <c r="AR16" s="59"/>
    </row>
    <row r="17" spans="2:44" ht="15.95" customHeight="1" thickBot="1">
      <c r="B17" s="59"/>
      <c r="C17" s="1433"/>
      <c r="D17" s="1433"/>
      <c r="E17" s="1433"/>
      <c r="F17" s="1433"/>
      <c r="G17" s="1432"/>
      <c r="H17" s="1432"/>
      <c r="I17" s="1432"/>
      <c r="J17" s="1432"/>
      <c r="K17" s="1432"/>
      <c r="L17" s="1432"/>
      <c r="M17" s="1432"/>
      <c r="N17" s="1432"/>
      <c r="O17" s="1432"/>
      <c r="P17" s="214"/>
      <c r="Q17" s="1396" t="s">
        <v>882</v>
      </c>
      <c r="R17" s="1396"/>
      <c r="S17" s="1396"/>
      <c r="T17" s="1396"/>
      <c r="U17" s="1413" t="str">
        <f ca="1">IF(TEMPLATE!A154/TEMPLATE!D154=1,"Completed",IF(TEMPLATE!A154/TEMPLATE!D154&gt;0.7,"Almost!","Incomplete"))</f>
        <v>Incomplete</v>
      </c>
      <c r="V17" s="1414"/>
      <c r="W17" s="1414"/>
      <c r="X17" s="1414"/>
      <c r="Y17" s="1414"/>
      <c r="Z17" s="1414"/>
      <c r="AA17" s="1414"/>
      <c r="AB17" s="1414"/>
      <c r="AC17" s="1415"/>
      <c r="AD17" s="214"/>
      <c r="AE17" s="1433" t="s">
        <v>489</v>
      </c>
      <c r="AF17" s="1433"/>
      <c r="AG17" s="1433"/>
      <c r="AH17" s="1433"/>
      <c r="AI17" s="1439"/>
      <c r="AJ17" s="1439"/>
      <c r="AK17" s="1439"/>
      <c r="AL17" s="1439"/>
      <c r="AM17" s="1439"/>
      <c r="AN17" s="1439"/>
      <c r="AO17" s="1439"/>
      <c r="AP17" s="1439"/>
      <c r="AQ17" s="1439"/>
      <c r="AR17" s="59"/>
    </row>
    <row r="18" spans="2:44" ht="15.95" customHeight="1" thickBot="1">
      <c r="B18" s="59"/>
      <c r="C18" s="1433" t="s">
        <v>0</v>
      </c>
      <c r="D18" s="1433"/>
      <c r="E18" s="1433"/>
      <c r="F18" s="1433"/>
      <c r="G18" s="1432">
        <f>M02S02F12</f>
        <v>0</v>
      </c>
      <c r="H18" s="1432"/>
      <c r="I18" s="1432"/>
      <c r="J18" s="1432"/>
      <c r="K18" s="1432"/>
      <c r="L18" s="1432"/>
      <c r="M18" s="1432"/>
      <c r="N18" s="1432"/>
      <c r="O18" s="1432"/>
      <c r="P18" s="214"/>
      <c r="Q18" s="1396" t="s">
        <v>249</v>
      </c>
      <c r="R18" s="1396"/>
      <c r="S18" s="1396"/>
      <c r="T18" s="1396"/>
      <c r="U18" s="1413" t="str">
        <f ca="1">IF(TEMPLATE!A173/TEMPLATE!D173=1,"Completed",IF(TEMPLATE!A173/TEMPLATE!D173&gt;0.7,"Almost!","Incomplete"))</f>
        <v>Incomplete</v>
      </c>
      <c r="V18" s="1414"/>
      <c r="W18" s="1414"/>
      <c r="X18" s="1414"/>
      <c r="Y18" s="1414"/>
      <c r="Z18" s="1414"/>
      <c r="AA18" s="1414"/>
      <c r="AB18" s="1414"/>
      <c r="AC18" s="1415"/>
      <c r="AD18" s="214"/>
      <c r="AE18" s="1433" t="s">
        <v>490</v>
      </c>
      <c r="AF18" s="1433"/>
      <c r="AG18" s="1433"/>
      <c r="AH18" s="1433"/>
      <c r="AI18" s="1436"/>
      <c r="AJ18" s="1436"/>
      <c r="AK18" s="1436"/>
      <c r="AL18" s="1436"/>
      <c r="AM18" s="1436"/>
      <c r="AN18" s="1436"/>
      <c r="AO18" s="1436"/>
      <c r="AP18" s="1436"/>
      <c r="AQ18" s="1436"/>
      <c r="AR18" s="59"/>
    </row>
    <row r="19" spans="2:44" ht="15.95" customHeight="1" thickBot="1">
      <c r="B19" s="59"/>
      <c r="C19" s="1433" t="s">
        <v>486</v>
      </c>
      <c r="D19" s="1433"/>
      <c r="E19" s="1433"/>
      <c r="F19" s="1433"/>
      <c r="G19" s="1432" t="str">
        <f>VERSION</f>
        <v>Custom Prescriptive Application v3.7.1</v>
      </c>
      <c r="H19" s="1432"/>
      <c r="I19" s="1432"/>
      <c r="J19" s="1432"/>
      <c r="K19" s="1432"/>
      <c r="L19" s="1432"/>
      <c r="M19" s="1432"/>
      <c r="N19" s="1432"/>
      <c r="O19" s="1432"/>
      <c r="P19" s="214"/>
      <c r="Q19" s="1396" t="s">
        <v>883</v>
      </c>
      <c r="R19" s="1396"/>
      <c r="S19" s="1396"/>
      <c r="T19" s="1396"/>
      <c r="U19" s="1413" t="str">
        <f ca="1">IFERROR(IF(TEMPLATE!A181/TEMPLATE!D181=1,"Completed",IF(TEMPLATE!A181/TEMPLATE!D181&gt;0.7,"Almost!","Incomplete")),"")</f>
        <v/>
      </c>
      <c r="V19" s="1414"/>
      <c r="W19" s="1414"/>
      <c r="X19" s="1414"/>
      <c r="Y19" s="1414"/>
      <c r="Z19" s="1414"/>
      <c r="AA19" s="1414"/>
      <c r="AB19" s="1414"/>
      <c r="AC19" s="1415"/>
      <c r="AD19" s="214"/>
      <c r="AE19" s="1433" t="s">
        <v>491</v>
      </c>
      <c r="AF19" s="1433"/>
      <c r="AG19" s="1433"/>
      <c r="AH19" s="1433"/>
      <c r="AI19" s="1436"/>
      <c r="AJ19" s="1436"/>
      <c r="AK19" s="1436"/>
      <c r="AL19" s="1436"/>
      <c r="AM19" s="1436"/>
      <c r="AN19" s="1436"/>
      <c r="AO19" s="1436"/>
      <c r="AP19" s="1436"/>
      <c r="AQ19" s="1436"/>
      <c r="AR19" s="59"/>
    </row>
    <row r="20" spans="2:44" ht="15.95" customHeight="1" thickBot="1">
      <c r="B20" s="59"/>
      <c r="C20" s="214"/>
      <c r="D20" s="214"/>
      <c r="E20" s="214"/>
      <c r="F20" s="214"/>
      <c r="G20" s="214"/>
      <c r="H20" s="214"/>
      <c r="I20" s="214"/>
      <c r="J20" s="214"/>
      <c r="K20" s="214"/>
      <c r="L20" s="214"/>
      <c r="M20" s="214"/>
      <c r="N20" s="214"/>
      <c r="O20" s="214"/>
      <c r="P20" s="214"/>
      <c r="Q20" s="214"/>
      <c r="R20" s="214"/>
      <c r="S20" s="214"/>
      <c r="T20" s="214"/>
      <c r="U20" s="214"/>
      <c r="V20" s="214"/>
      <c r="W20" s="214"/>
      <c r="X20" s="214"/>
      <c r="Y20" s="214"/>
      <c r="Z20" s="214"/>
      <c r="AA20" s="214"/>
      <c r="AB20" s="214"/>
      <c r="AC20" s="214"/>
      <c r="AD20" s="214"/>
      <c r="AE20" s="214"/>
      <c r="AF20" s="214"/>
      <c r="AG20" s="214"/>
      <c r="AH20" s="214"/>
      <c r="AI20" s="214"/>
      <c r="AJ20" s="214"/>
      <c r="AK20" s="214"/>
      <c r="AL20" s="214"/>
      <c r="AM20" s="214"/>
      <c r="AN20" s="214"/>
      <c r="AO20" s="214"/>
      <c r="AP20" s="214"/>
      <c r="AQ20" s="214"/>
      <c r="AR20" s="59"/>
    </row>
    <row r="21" spans="2:44" ht="15.95" customHeight="1" thickBot="1">
      <c r="B21" s="59"/>
      <c r="C21" s="1427" t="s">
        <v>493</v>
      </c>
      <c r="D21" s="1427"/>
      <c r="E21" s="1427"/>
      <c r="F21" s="1427"/>
      <c r="G21" s="1427"/>
      <c r="H21" s="1427"/>
      <c r="I21" s="1427"/>
      <c r="J21" s="1427"/>
      <c r="K21" s="1427"/>
      <c r="L21" s="1427"/>
      <c r="M21" s="1427"/>
      <c r="N21" s="1427"/>
      <c r="O21" s="1427"/>
      <c r="P21" s="214"/>
      <c r="Q21" s="1427" t="s">
        <v>492</v>
      </c>
      <c r="R21" s="1427"/>
      <c r="S21" s="1427"/>
      <c r="T21" s="1427"/>
      <c r="U21" s="1427"/>
      <c r="V21" s="1427"/>
      <c r="W21" s="1427"/>
      <c r="X21" s="1427"/>
      <c r="Y21" s="1427"/>
      <c r="Z21" s="1427"/>
      <c r="AA21" s="1427"/>
      <c r="AB21" s="1427"/>
      <c r="AC21" s="1427"/>
      <c r="AD21" s="214"/>
      <c r="AE21" s="1427" t="s">
        <v>494</v>
      </c>
      <c r="AF21" s="1427"/>
      <c r="AG21" s="1427"/>
      <c r="AH21" s="1427"/>
      <c r="AI21" s="1427"/>
      <c r="AJ21" s="1427"/>
      <c r="AK21" s="1427"/>
      <c r="AL21" s="1427"/>
      <c r="AM21" s="1427"/>
      <c r="AN21" s="1427"/>
      <c r="AO21" s="1427"/>
      <c r="AP21" s="1427"/>
      <c r="AQ21" s="1427"/>
      <c r="AR21" s="59"/>
    </row>
    <row r="22" spans="2:44" ht="15.95" customHeight="1" thickBot="1">
      <c r="B22" s="59"/>
      <c r="C22" s="1428" t="s">
        <v>117</v>
      </c>
      <c r="D22" s="1428"/>
      <c r="E22" s="1428"/>
      <c r="F22" s="1428"/>
      <c r="G22" s="1420" t="str">
        <f>PROPER(M02S02F01)</f>
        <v/>
      </c>
      <c r="H22" s="1420"/>
      <c r="I22" s="1420"/>
      <c r="J22" s="1420"/>
      <c r="K22" s="1420"/>
      <c r="L22" s="1420"/>
      <c r="M22" s="1420"/>
      <c r="N22" s="1420"/>
      <c r="O22" s="1420"/>
      <c r="P22" s="214"/>
      <c r="Q22" s="1434" t="s">
        <v>496</v>
      </c>
      <c r="R22" s="1434"/>
      <c r="S22" s="1434"/>
      <c r="T22" s="1434"/>
      <c r="U22" s="1422" t="str">
        <f>PROPER(M02S02F16)</f>
        <v/>
      </c>
      <c r="V22" s="1422"/>
      <c r="W22" s="1422"/>
      <c r="X22" s="1422"/>
      <c r="Y22" s="1422"/>
      <c r="Z22" s="1422" t="str">
        <f>PROPER(M02S02F17)</f>
        <v/>
      </c>
      <c r="AA22" s="1422"/>
      <c r="AB22" s="1422"/>
      <c r="AC22" s="1422"/>
      <c r="AD22" s="214"/>
      <c r="AE22" s="1421" t="s">
        <v>117</v>
      </c>
      <c r="AF22" s="1421"/>
      <c r="AG22" s="1421"/>
      <c r="AH22" s="1421"/>
      <c r="AI22" s="1424" t="str">
        <f>PROPER(M02S03F02)</f>
        <v/>
      </c>
      <c r="AJ22" s="1424"/>
      <c r="AK22" s="1424"/>
      <c r="AL22" s="1424"/>
      <c r="AM22" s="1424"/>
      <c r="AN22" s="1424"/>
      <c r="AO22" s="1424"/>
      <c r="AP22" s="1424"/>
      <c r="AQ22" s="1424"/>
      <c r="AR22" s="59"/>
    </row>
    <row r="23" spans="2:44" ht="15.95" customHeight="1" thickBot="1">
      <c r="B23" s="59"/>
      <c r="C23" s="1428" t="s">
        <v>507</v>
      </c>
      <c r="D23" s="1428"/>
      <c r="E23" s="1428"/>
      <c r="F23" s="1428"/>
      <c r="G23" s="1420" t="str">
        <f>PROPER(M02S02F02)</f>
        <v/>
      </c>
      <c r="H23" s="1420"/>
      <c r="I23" s="1420"/>
      <c r="J23" s="1420"/>
      <c r="K23" s="1420"/>
      <c r="L23" s="1420" t="str">
        <f>PROPER(M02S02F03)</f>
        <v/>
      </c>
      <c r="M23" s="1420"/>
      <c r="N23" s="1420"/>
      <c r="O23" s="1420"/>
      <c r="P23" s="214"/>
      <c r="Q23" s="1434" t="s">
        <v>78</v>
      </c>
      <c r="R23" s="1434"/>
      <c r="S23" s="1434"/>
      <c r="T23" s="1434"/>
      <c r="U23" s="1422" t="str">
        <f>PROPER(M02S02F18)</f>
        <v/>
      </c>
      <c r="V23" s="1422"/>
      <c r="W23" s="1422"/>
      <c r="X23" s="1422"/>
      <c r="Y23" s="1422"/>
      <c r="Z23" s="1422"/>
      <c r="AA23" s="1422"/>
      <c r="AB23" s="1422"/>
      <c r="AC23" s="1422"/>
      <c r="AD23" s="214"/>
      <c r="AE23" s="1421" t="s">
        <v>507</v>
      </c>
      <c r="AF23" s="1421"/>
      <c r="AG23" s="1421"/>
      <c r="AH23" s="1421"/>
      <c r="AI23" s="1424" t="str">
        <f>PROPER(M02S03F03)</f>
        <v/>
      </c>
      <c r="AJ23" s="1424"/>
      <c r="AK23" s="1424"/>
      <c r="AL23" s="1424"/>
      <c r="AM23" s="1424"/>
      <c r="AN23" s="1424" t="str">
        <f>PROPER(M02S03F04)</f>
        <v/>
      </c>
      <c r="AO23" s="1424"/>
      <c r="AP23" s="1424"/>
      <c r="AQ23" s="1424"/>
      <c r="AR23" s="59"/>
    </row>
    <row r="24" spans="2:44" ht="15.95" customHeight="1" thickBot="1">
      <c r="B24" s="59"/>
      <c r="C24" s="1428" t="s">
        <v>78</v>
      </c>
      <c r="D24" s="1428"/>
      <c r="E24" s="1428"/>
      <c r="F24" s="1428"/>
      <c r="G24" s="1420" t="str">
        <f>PROPER(M02S02F04)</f>
        <v/>
      </c>
      <c r="H24" s="1420"/>
      <c r="I24" s="1420"/>
      <c r="J24" s="1420"/>
      <c r="K24" s="1420"/>
      <c r="L24" s="1420"/>
      <c r="M24" s="1420"/>
      <c r="N24" s="1420"/>
      <c r="O24" s="1420"/>
      <c r="P24" s="214"/>
      <c r="Q24" s="1434" t="s">
        <v>500</v>
      </c>
      <c r="R24" s="1434"/>
      <c r="S24" s="1434"/>
      <c r="T24" s="1434"/>
      <c r="U24" s="1435" t="str">
        <f>M02S02F19</f>
        <v/>
      </c>
      <c r="V24" s="1435"/>
      <c r="W24" s="1435"/>
      <c r="X24" s="1435"/>
      <c r="Y24" s="1435"/>
      <c r="Z24" s="1435" t="str">
        <f>M02S02F20</f>
        <v/>
      </c>
      <c r="AA24" s="1435"/>
      <c r="AB24" s="1435"/>
      <c r="AC24" s="1435"/>
      <c r="AD24" s="214"/>
      <c r="AE24" s="1421" t="s">
        <v>78</v>
      </c>
      <c r="AF24" s="1421"/>
      <c r="AG24" s="1421"/>
      <c r="AH24" s="1421"/>
      <c r="AI24" s="1424" t="str">
        <f>PROPER(M02S03F05)</f>
        <v/>
      </c>
      <c r="AJ24" s="1424"/>
      <c r="AK24" s="1424"/>
      <c r="AL24" s="1424"/>
      <c r="AM24" s="1424"/>
      <c r="AN24" s="1424"/>
      <c r="AO24" s="1424"/>
      <c r="AP24" s="1424"/>
      <c r="AQ24" s="1424"/>
      <c r="AR24" s="59"/>
    </row>
    <row r="25" spans="2:44" ht="15.95" customHeight="1" thickBot="1">
      <c r="B25" s="59"/>
      <c r="C25" s="1428" t="s">
        <v>500</v>
      </c>
      <c r="D25" s="1428"/>
      <c r="E25" s="1428"/>
      <c r="F25" s="1428"/>
      <c r="G25" s="1441">
        <f>M02S02F05</f>
        <v>0</v>
      </c>
      <c r="H25" s="1441"/>
      <c r="I25" s="1441"/>
      <c r="J25" s="1441"/>
      <c r="K25" s="1441"/>
      <c r="L25" s="1441">
        <f>M02S02F06</f>
        <v>0</v>
      </c>
      <c r="M25" s="1441"/>
      <c r="N25" s="1441"/>
      <c r="O25" s="1441"/>
      <c r="P25" s="214"/>
      <c r="Q25" s="1434" t="s">
        <v>236</v>
      </c>
      <c r="R25" s="1434"/>
      <c r="S25" s="1434"/>
      <c r="T25" s="1434"/>
      <c r="U25" s="1422" t="str">
        <f>M02S02F21</f>
        <v/>
      </c>
      <c r="V25" s="1422"/>
      <c r="W25" s="1422"/>
      <c r="X25" s="1422"/>
      <c r="Y25" s="1422"/>
      <c r="Z25" s="1422"/>
      <c r="AA25" s="1422"/>
      <c r="AB25" s="1422"/>
      <c r="AC25" s="1422"/>
      <c r="AD25" s="214"/>
      <c r="AE25" s="1421" t="s">
        <v>500</v>
      </c>
      <c r="AF25" s="1421"/>
      <c r="AG25" s="1421"/>
      <c r="AH25" s="1421"/>
      <c r="AI25" s="1443">
        <f>M02S03F06</f>
        <v>0</v>
      </c>
      <c r="AJ25" s="1443"/>
      <c r="AK25" s="1443"/>
      <c r="AL25" s="1443"/>
      <c r="AM25" s="1443"/>
      <c r="AN25" s="1443">
        <f>M02S03F07</f>
        <v>0</v>
      </c>
      <c r="AO25" s="1443"/>
      <c r="AP25" s="1443"/>
      <c r="AQ25" s="1443"/>
      <c r="AR25" s="59"/>
    </row>
    <row r="26" spans="2:44" ht="15.95" customHeight="1" thickBot="1">
      <c r="B26" s="59"/>
      <c r="C26" s="1428" t="s">
        <v>236</v>
      </c>
      <c r="D26" s="1428"/>
      <c r="E26" s="1428"/>
      <c r="F26" s="1428"/>
      <c r="G26" s="1420">
        <f>M02S02F07</f>
        <v>0</v>
      </c>
      <c r="H26" s="1420"/>
      <c r="I26" s="1420"/>
      <c r="J26" s="1420"/>
      <c r="K26" s="1420"/>
      <c r="L26" s="1420"/>
      <c r="M26" s="1420"/>
      <c r="N26" s="1420"/>
      <c r="O26" s="1420"/>
      <c r="P26" s="214"/>
      <c r="Q26" s="1434"/>
      <c r="R26" s="1434"/>
      <c r="S26" s="1434"/>
      <c r="T26" s="1434"/>
      <c r="U26" s="1422"/>
      <c r="V26" s="1422"/>
      <c r="W26" s="1422"/>
      <c r="X26" s="1422"/>
      <c r="Y26" s="1422"/>
      <c r="Z26" s="1422"/>
      <c r="AA26" s="1422"/>
      <c r="AB26" s="1422"/>
      <c r="AC26" s="1422"/>
      <c r="AD26" s="214"/>
      <c r="AE26" s="1421" t="s">
        <v>236</v>
      </c>
      <c r="AF26" s="1421"/>
      <c r="AG26" s="1421"/>
      <c r="AH26" s="1421"/>
      <c r="AI26" s="1424">
        <f>M02S03F08</f>
        <v>0</v>
      </c>
      <c r="AJ26" s="1424"/>
      <c r="AK26" s="1424"/>
      <c r="AL26" s="1424"/>
      <c r="AM26" s="1424"/>
      <c r="AN26" s="1424"/>
      <c r="AO26" s="1424"/>
      <c r="AP26" s="1424"/>
      <c r="AQ26" s="1424"/>
      <c r="AR26" s="59"/>
    </row>
    <row r="27" spans="2:44" ht="15.95" customHeight="1" thickBot="1">
      <c r="B27" s="59"/>
      <c r="C27" s="1428" t="s">
        <v>237</v>
      </c>
      <c r="D27" s="1428"/>
      <c r="E27" s="1428"/>
      <c r="F27" s="1428"/>
      <c r="G27" s="1420" t="str">
        <f>PROPER(M02S02F08)</f>
        <v/>
      </c>
      <c r="H27" s="1420"/>
      <c r="I27" s="1420"/>
      <c r="J27" s="1420"/>
      <c r="K27" s="1420"/>
      <c r="L27" s="1420"/>
      <c r="M27" s="1420"/>
      <c r="N27" s="1420"/>
      <c r="O27" s="1420"/>
      <c r="P27" s="214"/>
      <c r="Q27" s="1434" t="s">
        <v>898</v>
      </c>
      <c r="R27" s="1434"/>
      <c r="S27" s="1434"/>
      <c r="T27" s="1434"/>
      <c r="U27" s="1423">
        <f>M05S02F04</f>
        <v>0</v>
      </c>
      <c r="V27" s="1423"/>
      <c r="W27" s="1423"/>
      <c r="X27" s="1423"/>
      <c r="Y27" s="1423"/>
      <c r="Z27" s="1423"/>
      <c r="AA27" s="1423"/>
      <c r="AB27" s="1423"/>
      <c r="AC27" s="1423"/>
      <c r="AD27" s="214"/>
      <c r="AE27" s="1421" t="s">
        <v>237</v>
      </c>
      <c r="AF27" s="1421"/>
      <c r="AG27" s="1421"/>
      <c r="AH27" s="1421"/>
      <c r="AI27" s="1424" t="str">
        <f>PROPER(M02S03F09)</f>
        <v/>
      </c>
      <c r="AJ27" s="1424"/>
      <c r="AK27" s="1424"/>
      <c r="AL27" s="1424"/>
      <c r="AM27" s="1424"/>
      <c r="AN27" s="1424"/>
      <c r="AO27" s="1424"/>
      <c r="AP27" s="1424"/>
      <c r="AQ27" s="1424"/>
      <c r="AR27" s="59"/>
    </row>
    <row r="28" spans="2:44" ht="15.95" customHeight="1" thickBot="1">
      <c r="B28" s="59"/>
      <c r="C28" s="1428" t="s">
        <v>499</v>
      </c>
      <c r="D28" s="1428"/>
      <c r="E28" s="1428"/>
      <c r="F28" s="1428"/>
      <c r="G28" s="1420" t="str">
        <f>PROPER(M02S02F09)</f>
        <v/>
      </c>
      <c r="H28" s="1420"/>
      <c r="I28" s="1420"/>
      <c r="J28" s="1420"/>
      <c r="K28" s="1420"/>
      <c r="L28" s="1420">
        <f>M02S02F10</f>
        <v>0</v>
      </c>
      <c r="M28" s="1420"/>
      <c r="N28" s="1449">
        <f>M02S02F11</f>
        <v>0</v>
      </c>
      <c r="O28" s="1449"/>
      <c r="P28" s="214"/>
      <c r="Q28" s="1434" t="s">
        <v>899</v>
      </c>
      <c r="R28" s="1434"/>
      <c r="S28" s="1434"/>
      <c r="T28" s="1434"/>
      <c r="U28" s="1423">
        <f>M05S03F01</f>
        <v>0</v>
      </c>
      <c r="V28" s="1423"/>
      <c r="W28" s="1423"/>
      <c r="X28" s="1423"/>
      <c r="Y28" s="1423"/>
      <c r="Z28" s="1423"/>
      <c r="AA28" s="1423"/>
      <c r="AB28" s="1423"/>
      <c r="AC28" s="1423"/>
      <c r="AD28" s="214"/>
      <c r="AE28" s="1421" t="s">
        <v>499</v>
      </c>
      <c r="AF28" s="1421"/>
      <c r="AG28" s="1421"/>
      <c r="AH28" s="1421"/>
      <c r="AI28" s="1424" t="str">
        <f>PROPER(M02S03F10)</f>
        <v/>
      </c>
      <c r="AJ28" s="1424"/>
      <c r="AK28" s="1424"/>
      <c r="AL28" s="1424"/>
      <c r="AM28" s="1424"/>
      <c r="AN28" s="1424">
        <f>M02S03F11</f>
        <v>0</v>
      </c>
      <c r="AO28" s="1424"/>
      <c r="AP28" s="1442">
        <f>M02S03F12</f>
        <v>0</v>
      </c>
      <c r="AQ28" s="1442"/>
      <c r="AR28" s="59"/>
    </row>
    <row r="29" spans="2:44" ht="15.95" customHeight="1" thickBot="1">
      <c r="B29" s="59"/>
      <c r="C29" s="1428" t="s">
        <v>313</v>
      </c>
      <c r="D29" s="1428"/>
      <c r="E29" s="1428"/>
      <c r="F29" s="1428"/>
      <c r="G29" s="1420">
        <f>M02S02F52</f>
        <v>0</v>
      </c>
      <c r="H29" s="1420"/>
      <c r="I29" s="1420"/>
      <c r="J29" s="1420"/>
      <c r="K29" s="1420"/>
      <c r="L29" s="1420"/>
      <c r="M29" s="1420"/>
      <c r="N29" s="1420"/>
      <c r="O29" s="1420"/>
      <c r="P29" s="214"/>
      <c r="Q29" s="1434"/>
      <c r="R29" s="1434"/>
      <c r="S29" s="1434"/>
      <c r="T29" s="1434"/>
      <c r="U29" s="1422"/>
      <c r="V29" s="1422"/>
      <c r="W29" s="1422"/>
      <c r="X29" s="1422"/>
      <c r="Y29" s="1422"/>
      <c r="Z29" s="1422"/>
      <c r="AA29" s="1422"/>
      <c r="AB29" s="1422"/>
      <c r="AC29" s="1422"/>
      <c r="AD29" s="214"/>
      <c r="AE29" s="1421"/>
      <c r="AF29" s="1421"/>
      <c r="AG29" s="1421"/>
      <c r="AH29" s="1421"/>
      <c r="AI29" s="1419"/>
      <c r="AJ29" s="1419"/>
      <c r="AK29" s="1419"/>
      <c r="AL29" s="1419"/>
      <c r="AM29" s="1419"/>
      <c r="AN29" s="1419"/>
      <c r="AO29" s="1419"/>
      <c r="AP29" s="1419"/>
      <c r="AQ29" s="1419"/>
      <c r="AR29" s="59"/>
    </row>
    <row r="30" spans="2:44" ht="15.95" customHeight="1" thickBot="1">
      <c r="B30" s="59"/>
      <c r="C30" s="1428" t="s">
        <v>1200</v>
      </c>
      <c r="D30" s="1428"/>
      <c r="E30" s="1428"/>
      <c r="F30" s="1428"/>
      <c r="G30" s="1420">
        <f>M02S02F11.1</f>
        <v>0</v>
      </c>
      <c r="H30" s="1420"/>
      <c r="I30" s="1420"/>
      <c r="J30" s="1420"/>
      <c r="K30" s="1420"/>
      <c r="L30" s="1420"/>
      <c r="M30" s="1420"/>
      <c r="N30" s="1420"/>
      <c r="O30" s="1420"/>
      <c r="P30" s="214"/>
      <c r="Q30" s="1450" t="s">
        <v>1053</v>
      </c>
      <c r="R30" s="1450"/>
      <c r="S30" s="1450"/>
      <c r="T30" s="1450"/>
      <c r="U30" s="1425">
        <f>M02S02F35</f>
        <v>0.10199999999999999</v>
      </c>
      <c r="V30" s="1425"/>
      <c r="W30" s="1425"/>
      <c r="X30" s="1425"/>
      <c r="Y30" s="1425"/>
      <c r="Z30" s="1425"/>
      <c r="AA30" s="1425"/>
      <c r="AB30" s="1425"/>
      <c r="AC30" s="1425"/>
      <c r="AD30" s="214"/>
      <c r="AE30" s="1421"/>
      <c r="AF30" s="1421"/>
      <c r="AG30" s="1421"/>
      <c r="AH30" s="1421"/>
      <c r="AI30" s="1419"/>
      <c r="AJ30" s="1419"/>
      <c r="AK30" s="1419"/>
      <c r="AL30" s="1419"/>
      <c r="AM30" s="1419"/>
      <c r="AN30" s="1419"/>
      <c r="AO30" s="1419"/>
      <c r="AP30" s="1419"/>
      <c r="AQ30" s="1419"/>
      <c r="AR30" s="59"/>
    </row>
    <row r="31" spans="2:44" ht="15.95" customHeight="1" thickBot="1">
      <c r="B31" s="59"/>
      <c r="C31" s="1428" t="s">
        <v>2100</v>
      </c>
      <c r="D31" s="1428"/>
      <c r="E31" s="1428"/>
      <c r="F31" s="1428"/>
      <c r="G31" s="1420">
        <f>M02S02F47</f>
        <v>0</v>
      </c>
      <c r="H31" s="1420"/>
      <c r="I31" s="1420"/>
      <c r="J31" s="1420"/>
      <c r="K31" s="1420"/>
      <c r="L31" s="1420"/>
      <c r="M31" s="1420"/>
      <c r="N31" s="1420"/>
      <c r="O31" s="1420"/>
      <c r="P31" s="214"/>
      <c r="Q31" s="1426" t="s">
        <v>1201</v>
      </c>
      <c r="R31" s="1426"/>
      <c r="S31" s="1426"/>
      <c r="T31" s="1426"/>
      <c r="U31" s="1444">
        <f>M02S02F36</f>
        <v>0.86829999999999996</v>
      </c>
      <c r="V31" s="1445"/>
      <c r="W31" s="1445"/>
      <c r="X31" s="1445"/>
      <c r="Y31" s="1445"/>
      <c r="Z31" s="1445"/>
      <c r="AA31" s="1445"/>
      <c r="AB31" s="1445"/>
      <c r="AC31" s="1445"/>
      <c r="AD31" s="214"/>
      <c r="AE31" s="1421" t="s">
        <v>2100</v>
      </c>
      <c r="AF31" s="1421"/>
      <c r="AG31" s="1421"/>
      <c r="AH31" s="1421"/>
      <c r="AI31" s="1419">
        <f>M02S03F13</f>
        <v>0</v>
      </c>
      <c r="AJ31" s="1419"/>
      <c r="AK31" s="1419"/>
      <c r="AL31" s="1419"/>
      <c r="AM31" s="1419"/>
      <c r="AN31" s="1419"/>
      <c r="AO31" s="1419"/>
      <c r="AP31" s="1419"/>
      <c r="AQ31" s="1419"/>
      <c r="AR31" s="59"/>
    </row>
    <row r="32" spans="2:44" ht="15.95" customHeight="1" thickBot="1">
      <c r="B32" s="59"/>
      <c r="C32" s="214"/>
      <c r="D32" s="214"/>
      <c r="E32" s="214"/>
      <c r="F32" s="214"/>
      <c r="G32" s="214"/>
      <c r="H32" s="214"/>
      <c r="I32" s="214"/>
      <c r="J32" s="214"/>
      <c r="K32" s="214"/>
      <c r="L32" s="214"/>
      <c r="M32" s="214"/>
      <c r="N32" s="214"/>
      <c r="O32" s="214"/>
      <c r="P32" s="214"/>
      <c r="Q32" s="214"/>
      <c r="R32" s="214"/>
      <c r="S32" s="214"/>
      <c r="T32" s="214"/>
      <c r="U32" s="214"/>
      <c r="V32" s="214"/>
      <c r="W32" s="214"/>
      <c r="X32" s="214"/>
      <c r="Y32" s="214"/>
      <c r="Z32" s="214"/>
      <c r="AA32" s="214"/>
      <c r="AB32" s="214"/>
      <c r="AC32" s="214"/>
      <c r="AD32" s="214"/>
      <c r="AE32" s="214"/>
      <c r="AF32" s="214"/>
      <c r="AG32" s="214"/>
      <c r="AH32" s="214"/>
      <c r="AI32" s="214"/>
      <c r="AJ32" s="214"/>
      <c r="AK32" s="214"/>
      <c r="AL32" s="214"/>
      <c r="AM32" s="214"/>
      <c r="AN32" s="214"/>
      <c r="AO32" s="214"/>
      <c r="AP32" s="214"/>
      <c r="AQ32" s="214"/>
      <c r="AR32" s="59"/>
    </row>
    <row r="33" spans="2:44" ht="15.95" customHeight="1" thickBot="1">
      <c r="B33" s="59"/>
      <c r="C33" s="1427" t="s">
        <v>132</v>
      </c>
      <c r="D33" s="1427"/>
      <c r="E33" s="1427"/>
      <c r="F33" s="1427"/>
      <c r="G33" s="1427"/>
      <c r="H33" s="1427"/>
      <c r="I33" s="1427"/>
      <c r="J33" s="1427"/>
      <c r="K33" s="1427"/>
      <c r="L33" s="1427"/>
      <c r="M33" s="1427"/>
      <c r="N33" s="1427"/>
      <c r="O33" s="1427"/>
      <c r="P33" s="214"/>
      <c r="Q33" s="1427" t="s">
        <v>509</v>
      </c>
      <c r="R33" s="1427"/>
      <c r="S33" s="1427"/>
      <c r="T33" s="1427"/>
      <c r="U33" s="1427"/>
      <c r="V33" s="1427"/>
      <c r="W33" s="1427"/>
      <c r="X33" s="1427"/>
      <c r="Y33" s="1427"/>
      <c r="Z33" s="1427"/>
      <c r="AA33" s="1427"/>
      <c r="AB33" s="1427"/>
      <c r="AC33" s="1427"/>
      <c r="AD33" s="214"/>
      <c r="AE33" s="1427" t="s">
        <v>514</v>
      </c>
      <c r="AF33" s="1427"/>
      <c r="AG33" s="1427"/>
      <c r="AH33" s="1427"/>
      <c r="AI33" s="1427"/>
      <c r="AJ33" s="1427"/>
      <c r="AK33" s="1427"/>
      <c r="AL33" s="1427"/>
      <c r="AM33" s="1427"/>
      <c r="AN33" s="1427"/>
      <c r="AO33" s="1427"/>
      <c r="AP33" s="1427"/>
      <c r="AQ33" s="1427"/>
      <c r="AR33" s="59"/>
    </row>
    <row r="34" spans="2:44" ht="15.95" customHeight="1" thickBot="1">
      <c r="B34" s="59"/>
      <c r="C34" s="1417" t="s">
        <v>888</v>
      </c>
      <c r="D34" s="1417"/>
      <c r="E34" s="1417"/>
      <c r="F34" s="1417"/>
      <c r="G34" s="1446">
        <f>M02S02F13</f>
        <v>0</v>
      </c>
      <c r="H34" s="1447"/>
      <c r="I34" s="1447"/>
      <c r="J34" s="1447"/>
      <c r="K34" s="1448"/>
      <c r="L34" s="1446" t="str">
        <f>PROPER(M02S02F34)</f>
        <v/>
      </c>
      <c r="M34" s="1447"/>
      <c r="N34" s="1447"/>
      <c r="O34" s="1448"/>
      <c r="P34" s="214"/>
      <c r="Q34" s="1416" t="s">
        <v>87</v>
      </c>
      <c r="R34" s="1416"/>
      <c r="S34" s="1416"/>
      <c r="T34" s="1416"/>
      <c r="U34" s="1391" t="str">
        <f>PROPER(M02S04F02)</f>
        <v/>
      </c>
      <c r="V34" s="1391"/>
      <c r="W34" s="1391"/>
      <c r="X34" s="1391"/>
      <c r="Y34" s="1391"/>
      <c r="Z34" s="1391"/>
      <c r="AA34" s="1391"/>
      <c r="AB34" s="1391"/>
      <c r="AC34" s="1391"/>
      <c r="AD34" s="214"/>
      <c r="AE34" s="1396" t="s">
        <v>487</v>
      </c>
      <c r="AF34" s="1396"/>
      <c r="AG34" s="1396"/>
      <c r="AH34" s="1396"/>
      <c r="AI34" s="1429">
        <f ca="1">SUM(EXPORT!R3:R644)</f>
        <v>0</v>
      </c>
      <c r="AJ34" s="1429"/>
      <c r="AK34" s="1429"/>
      <c r="AL34" s="1429"/>
      <c r="AM34" s="1429"/>
      <c r="AN34" s="1429"/>
      <c r="AO34" s="1429"/>
      <c r="AP34" s="1429"/>
      <c r="AQ34" s="1429"/>
      <c r="AR34" s="59"/>
    </row>
    <row r="35" spans="2:44" ht="15.95" customHeight="1" thickBot="1">
      <c r="B35" s="59"/>
      <c r="C35" s="1417" t="s">
        <v>498</v>
      </c>
      <c r="D35" s="1417"/>
      <c r="E35" s="1417"/>
      <c r="F35" s="1417"/>
      <c r="G35" s="1393" t="str">
        <f>PROPER(M02S02F22)</f>
        <v/>
      </c>
      <c r="H35" s="1393"/>
      <c r="I35" s="1393"/>
      <c r="J35" s="1393"/>
      <c r="K35" s="1393"/>
      <c r="L35" s="1393"/>
      <c r="M35" s="1393"/>
      <c r="N35" s="1393"/>
      <c r="O35" s="1393"/>
      <c r="P35" s="214"/>
      <c r="Q35" s="1416" t="s">
        <v>510</v>
      </c>
      <c r="R35" s="1416"/>
      <c r="S35" s="1416"/>
      <c r="T35" s="1416"/>
      <c r="U35" s="1391" t="str">
        <f>PROPER(M02S04F03)</f>
        <v/>
      </c>
      <c r="V35" s="1391"/>
      <c r="W35" s="1391"/>
      <c r="X35" s="1391"/>
      <c r="Y35" s="1391"/>
      <c r="Z35" s="1391" t="str">
        <f>PROPER(M02S04F04)</f>
        <v/>
      </c>
      <c r="AA35" s="1391"/>
      <c r="AB35" s="1391"/>
      <c r="AC35" s="1391"/>
      <c r="AD35" s="214"/>
      <c r="AE35" s="1396" t="s">
        <v>1433</v>
      </c>
      <c r="AF35" s="1396"/>
      <c r="AG35" s="1396"/>
      <c r="AH35" s="1396"/>
      <c r="AI35" s="1431">
        <f ca="1">SUM(EXPORT!N3:N644)</f>
        <v>0</v>
      </c>
      <c r="AJ35" s="1431"/>
      <c r="AK35" s="1431"/>
      <c r="AL35" s="1431"/>
      <c r="AM35" s="1431"/>
      <c r="AN35" s="1431"/>
      <c r="AO35" s="1431"/>
      <c r="AP35" s="1431"/>
      <c r="AQ35" s="1431"/>
      <c r="AR35" s="59"/>
    </row>
    <row r="36" spans="2:44" ht="15.95" customHeight="1" thickBot="1">
      <c r="B36" s="59"/>
      <c r="C36" s="1417" t="s">
        <v>499</v>
      </c>
      <c r="D36" s="1417"/>
      <c r="E36" s="1417"/>
      <c r="F36" s="1417"/>
      <c r="G36" s="1393" t="str">
        <f>PROPER(M02S02F23)</f>
        <v/>
      </c>
      <c r="H36" s="1393"/>
      <c r="I36" s="1393"/>
      <c r="J36" s="1393"/>
      <c r="K36" s="1393"/>
      <c r="L36" s="1393" t="str">
        <f>M02S02F24</f>
        <v>IN</v>
      </c>
      <c r="M36" s="1393"/>
      <c r="N36" s="1451" t="str">
        <f>M02S02F25</f>
        <v/>
      </c>
      <c r="O36" s="1451"/>
      <c r="P36" s="214"/>
      <c r="Q36" s="1416" t="s">
        <v>511</v>
      </c>
      <c r="R36" s="1416"/>
      <c r="S36" s="1416"/>
      <c r="T36" s="1416"/>
      <c r="U36" s="1391" t="str">
        <f>PROPER(M02S04F07)</f>
        <v/>
      </c>
      <c r="V36" s="1391"/>
      <c r="W36" s="1391"/>
      <c r="X36" s="1391"/>
      <c r="Y36" s="1391"/>
      <c r="Z36" s="1391"/>
      <c r="AA36" s="1391"/>
      <c r="AB36" s="1391"/>
      <c r="AC36" s="1391"/>
      <c r="AD36" s="214"/>
      <c r="AE36" s="1396" t="s">
        <v>1434</v>
      </c>
      <c r="AF36" s="1396"/>
      <c r="AG36" s="1396"/>
      <c r="AH36" s="1396"/>
      <c r="AI36" s="1405">
        <f ca="1">SUM(EXPORT!O3:O644)</f>
        <v>0</v>
      </c>
      <c r="AJ36" s="1405"/>
      <c r="AK36" s="1405"/>
      <c r="AL36" s="1405"/>
      <c r="AM36" s="1405"/>
      <c r="AN36" s="1405"/>
      <c r="AO36" s="1405"/>
      <c r="AP36" s="1405"/>
      <c r="AQ36" s="1405"/>
      <c r="AR36" s="59"/>
    </row>
    <row r="37" spans="2:44" ht="15.95" customHeight="1" thickBot="1">
      <c r="B37" s="59"/>
      <c r="C37" s="1417" t="s">
        <v>1324</v>
      </c>
      <c r="D37" s="1417"/>
      <c r="E37" s="1417"/>
      <c r="F37" s="1417"/>
      <c r="G37" s="1393">
        <f>M02S02F26</f>
        <v>0</v>
      </c>
      <c r="H37" s="1393"/>
      <c r="I37" s="1393"/>
      <c r="J37" s="1393"/>
      <c r="K37" s="1393"/>
      <c r="L37" s="1393"/>
      <c r="M37" s="1393"/>
      <c r="N37" s="1393"/>
      <c r="O37" s="1393"/>
      <c r="P37" s="214"/>
      <c r="Q37" s="1416" t="s">
        <v>499</v>
      </c>
      <c r="R37" s="1416"/>
      <c r="S37" s="1416"/>
      <c r="T37" s="1416"/>
      <c r="U37" s="1391" t="str">
        <f>PROPER(M02S04F08)</f>
        <v/>
      </c>
      <c r="V37" s="1391"/>
      <c r="W37" s="1391"/>
      <c r="X37" s="1391"/>
      <c r="Y37" s="1391"/>
      <c r="Z37" s="1391" t="str">
        <f>M02S04F09</f>
        <v/>
      </c>
      <c r="AA37" s="1391"/>
      <c r="AB37" s="1418" t="str">
        <f>M02S04F10</f>
        <v/>
      </c>
      <c r="AC37" s="1418"/>
      <c r="AD37" s="214"/>
      <c r="AE37" s="1396" t="s">
        <v>1435</v>
      </c>
      <c r="AF37" s="1396"/>
      <c r="AG37" s="1396"/>
      <c r="AH37" s="1396"/>
      <c r="AI37" s="1394">
        <f>SUM(EXPORT!P3:P644)</f>
        <v>0</v>
      </c>
      <c r="AJ37" s="1394"/>
      <c r="AK37" s="1394"/>
      <c r="AL37" s="1394"/>
      <c r="AM37" s="1394"/>
      <c r="AN37" s="1394"/>
      <c r="AO37" s="1394"/>
      <c r="AP37" s="1394"/>
      <c r="AQ37" s="1394"/>
      <c r="AR37" s="59"/>
    </row>
    <row r="38" spans="2:44" ht="15.95" customHeight="1" thickBot="1">
      <c r="B38" s="59"/>
      <c r="C38" s="1417" t="s">
        <v>167</v>
      </c>
      <c r="D38" s="1417"/>
      <c r="E38" s="1417"/>
      <c r="F38" s="1417"/>
      <c r="G38" s="1393">
        <f>M02S02F30</f>
        <v>0</v>
      </c>
      <c r="H38" s="1393"/>
      <c r="I38" s="1393"/>
      <c r="J38" s="1393"/>
      <c r="K38" s="1393"/>
      <c r="L38" s="1393"/>
      <c r="M38" s="1393"/>
      <c r="N38" s="1393"/>
      <c r="O38" s="1393"/>
      <c r="P38" s="214"/>
      <c r="Q38" s="1416" t="s">
        <v>140</v>
      </c>
      <c r="R38" s="1416"/>
      <c r="S38" s="1416"/>
      <c r="T38" s="1416"/>
      <c r="U38" s="1392" t="str">
        <f>M02S04F05</f>
        <v/>
      </c>
      <c r="V38" s="1392"/>
      <c r="W38" s="1392"/>
      <c r="X38" s="1392"/>
      <c r="Y38" s="1392"/>
      <c r="Z38" s="1392"/>
      <c r="AA38" s="1392"/>
      <c r="AB38" s="1392"/>
      <c r="AC38" s="1392"/>
      <c r="AD38" s="214"/>
      <c r="AE38" s="1396" t="s">
        <v>1436</v>
      </c>
      <c r="AF38" s="1396"/>
      <c r="AG38" s="1396"/>
      <c r="AH38" s="1396"/>
      <c r="AI38" s="1406">
        <f ca="1">SUM(EXPORT!M3:M644)</f>
        <v>0</v>
      </c>
      <c r="AJ38" s="1406"/>
      <c r="AK38" s="1406"/>
      <c r="AL38" s="1406"/>
      <c r="AM38" s="1406"/>
      <c r="AN38" s="1406"/>
      <c r="AO38" s="1406"/>
      <c r="AP38" s="1406"/>
      <c r="AQ38" s="1406"/>
      <c r="AR38" s="59"/>
    </row>
    <row r="39" spans="2:44" ht="15.95" customHeight="1" thickBot="1">
      <c r="B39" s="59"/>
      <c r="C39" s="1417" t="s">
        <v>505</v>
      </c>
      <c r="D39" s="1417"/>
      <c r="E39" s="1417"/>
      <c r="F39" s="1417"/>
      <c r="G39" s="1393">
        <f>M02S02F27</f>
        <v>0</v>
      </c>
      <c r="H39" s="1393"/>
      <c r="I39" s="1393"/>
      <c r="J39" s="1393"/>
      <c r="K39" s="1393"/>
      <c r="L39" s="1393"/>
      <c r="M39" s="1393"/>
      <c r="N39" s="1393"/>
      <c r="O39" s="1393"/>
      <c r="P39" s="214"/>
      <c r="Q39" s="1416" t="s">
        <v>139</v>
      </c>
      <c r="R39" s="1416"/>
      <c r="S39" s="1416"/>
      <c r="T39" s="1416"/>
      <c r="U39" s="1391" t="str">
        <f>M02S04F06</f>
        <v/>
      </c>
      <c r="V39" s="1391"/>
      <c r="W39" s="1391"/>
      <c r="X39" s="1391"/>
      <c r="Y39" s="1391"/>
      <c r="Z39" s="1391"/>
      <c r="AA39" s="1391"/>
      <c r="AB39" s="1391"/>
      <c r="AC39" s="1391"/>
      <c r="AD39" s="214"/>
      <c r="AE39" s="1410" t="s">
        <v>1439</v>
      </c>
      <c r="AF39" s="1411"/>
      <c r="AG39" s="1411"/>
      <c r="AH39" s="1412"/>
      <c r="AI39" s="1413">
        <f ca="1">SUM(EXPORT!I$3:I$644)</f>
        <v>0</v>
      </c>
      <c r="AJ39" s="1414"/>
      <c r="AK39" s="1414"/>
      <c r="AL39" s="1414"/>
      <c r="AM39" s="1414"/>
      <c r="AN39" s="1414"/>
      <c r="AO39" s="1414"/>
      <c r="AP39" s="1414"/>
      <c r="AQ39" s="1415"/>
      <c r="AR39" s="59"/>
    </row>
    <row r="40" spans="2:44" ht="15.95" customHeight="1" thickBot="1">
      <c r="B40" s="59"/>
      <c r="C40" s="1417" t="s">
        <v>506</v>
      </c>
      <c r="D40" s="1417"/>
      <c r="E40" s="1417"/>
      <c r="F40" s="1417"/>
      <c r="G40" s="1393">
        <f>M02S02F28</f>
        <v>0</v>
      </c>
      <c r="H40" s="1393"/>
      <c r="I40" s="1393"/>
      <c r="J40" s="1393"/>
      <c r="K40" s="1393"/>
      <c r="L40" s="1393"/>
      <c r="M40" s="1393"/>
      <c r="N40" s="1393"/>
      <c r="O40" s="1393"/>
      <c r="P40" s="214"/>
      <c r="Q40" s="1416" t="s">
        <v>447</v>
      </c>
      <c r="R40" s="1416"/>
      <c r="S40" s="1416"/>
      <c r="T40" s="1416"/>
      <c r="U40" s="1391">
        <f>M02S04F11</f>
        <v>0</v>
      </c>
      <c r="V40" s="1391"/>
      <c r="W40" s="1391"/>
      <c r="X40" s="1391"/>
      <c r="Y40" s="1391"/>
      <c r="Z40" s="1391"/>
      <c r="AA40" s="1391"/>
      <c r="AB40" s="1391"/>
      <c r="AC40" s="1391"/>
      <c r="AD40" s="214"/>
      <c r="AE40" s="1410" t="s">
        <v>1437</v>
      </c>
      <c r="AF40" s="1411"/>
      <c r="AG40" s="1411"/>
      <c r="AH40" s="1412"/>
      <c r="AI40" s="1413">
        <f ca="1">SUM(EXPORT!J3:J644)</f>
        <v>0</v>
      </c>
      <c r="AJ40" s="1414"/>
      <c r="AK40" s="1414"/>
      <c r="AL40" s="1414"/>
      <c r="AM40" s="1414"/>
      <c r="AN40" s="1414"/>
      <c r="AO40" s="1414"/>
      <c r="AP40" s="1414"/>
      <c r="AQ40" s="1415"/>
      <c r="AR40" s="59"/>
    </row>
    <row r="41" spans="2:44" ht="15.95" customHeight="1" thickBot="1">
      <c r="B41" s="59"/>
      <c r="C41" s="1417" t="s">
        <v>83</v>
      </c>
      <c r="D41" s="1417"/>
      <c r="E41" s="1417"/>
      <c r="F41" s="1417"/>
      <c r="G41" s="1393">
        <f>M02S02F29</f>
        <v>0</v>
      </c>
      <c r="H41" s="1393"/>
      <c r="I41" s="1393"/>
      <c r="J41" s="1393"/>
      <c r="K41" s="1393"/>
      <c r="L41" s="1393"/>
      <c r="M41" s="1393"/>
      <c r="N41" s="1393"/>
      <c r="O41" s="1393"/>
      <c r="P41" s="214"/>
      <c r="Q41" s="1416" t="s">
        <v>512</v>
      </c>
      <c r="R41" s="1416"/>
      <c r="S41" s="1416"/>
      <c r="T41" s="1416"/>
      <c r="U41" s="1391" t="str">
        <f>CONCATENATE(M02S04F12,"-",M02S04F12.1)</f>
        <v>-</v>
      </c>
      <c r="V41" s="1391"/>
      <c r="W41" s="1391"/>
      <c r="X41" s="1391"/>
      <c r="Y41" s="1391"/>
      <c r="Z41" s="1391"/>
      <c r="AA41" s="1391"/>
      <c r="AB41" s="1391"/>
      <c r="AC41" s="1391"/>
      <c r="AD41" s="214"/>
      <c r="AE41" s="1379" t="s">
        <v>1438</v>
      </c>
      <c r="AF41" s="1380"/>
      <c r="AG41" s="1380"/>
      <c r="AH41" s="1381"/>
      <c r="AI41" s="1382">
        <f ca="1">SUM(EXPORT!K4:K644)</f>
        <v>0</v>
      </c>
      <c r="AJ41" s="1383"/>
      <c r="AK41" s="1383"/>
      <c r="AL41" s="1383"/>
      <c r="AM41" s="1383"/>
      <c r="AN41" s="1383"/>
      <c r="AO41" s="1383"/>
      <c r="AP41" s="1383"/>
      <c r="AQ41" s="1384"/>
      <c r="AR41" s="59"/>
    </row>
    <row r="42" spans="2:44" ht="15.95" customHeight="1" thickBot="1">
      <c r="B42" s="59"/>
      <c r="C42" s="1417" t="s">
        <v>85</v>
      </c>
      <c r="D42" s="1417"/>
      <c r="E42" s="1417"/>
      <c r="F42" s="1417"/>
      <c r="G42" s="1393">
        <f>M02S02F31</f>
        <v>0</v>
      </c>
      <c r="H42" s="1393"/>
      <c r="I42" s="1393"/>
      <c r="J42" s="1393"/>
      <c r="K42" s="1393"/>
      <c r="L42" s="1393"/>
      <c r="M42" s="1393"/>
      <c r="N42" s="1393"/>
      <c r="O42" s="1393"/>
      <c r="P42" s="214"/>
      <c r="Q42" s="1416" t="s">
        <v>896</v>
      </c>
      <c r="R42" s="1416"/>
      <c r="S42" s="1416"/>
      <c r="T42" s="1416"/>
      <c r="U42" s="1391">
        <f>M02S04F06.1</f>
        <v>0</v>
      </c>
      <c r="V42" s="1391"/>
      <c r="W42" s="1391"/>
      <c r="X42" s="1391"/>
      <c r="Y42" s="1391"/>
      <c r="Z42" s="1391"/>
      <c r="AA42" s="1391"/>
      <c r="AB42" s="1391"/>
      <c r="AC42" s="1391"/>
      <c r="AD42" s="214"/>
      <c r="AE42" s="1407" t="s">
        <v>884</v>
      </c>
      <c r="AF42" s="1407"/>
      <c r="AG42" s="1407"/>
      <c r="AH42" s="1407"/>
      <c r="AI42" s="1408">
        <f ca="1">SUMIF(EXPORT!C$3:C$644,"000001",EXPORT!T3:T644)</f>
        <v>0</v>
      </c>
      <c r="AJ42" s="1408"/>
      <c r="AK42" s="1408"/>
      <c r="AL42" s="1408"/>
      <c r="AM42" s="1408"/>
      <c r="AN42" s="1408"/>
      <c r="AO42" s="1408"/>
      <c r="AP42" s="1408"/>
      <c r="AQ42" s="1408"/>
      <c r="AR42" s="59"/>
    </row>
    <row r="43" spans="2:44" ht="15.95" customHeight="1" thickBot="1">
      <c r="B43" s="59"/>
      <c r="C43" s="1417" t="s">
        <v>503</v>
      </c>
      <c r="D43" s="1417"/>
      <c r="E43" s="1417"/>
      <c r="F43" s="1417"/>
      <c r="G43" s="1393">
        <f>M02S02F32</f>
        <v>0</v>
      </c>
      <c r="H43" s="1393"/>
      <c r="I43" s="1393"/>
      <c r="J43" s="1393"/>
      <c r="K43" s="1393"/>
      <c r="L43" s="1393"/>
      <c r="M43" s="1393"/>
      <c r="N43" s="1393"/>
      <c r="O43" s="1393"/>
      <c r="P43" s="214"/>
      <c r="Q43" s="1416" t="s">
        <v>916</v>
      </c>
      <c r="R43" s="1416"/>
      <c r="S43" s="1416"/>
      <c r="T43" s="1416"/>
      <c r="U43" s="1391">
        <f>M02S04F01</f>
        <v>0</v>
      </c>
      <c r="V43" s="1391"/>
      <c r="W43" s="1391"/>
      <c r="X43" s="1391"/>
      <c r="Y43" s="1391"/>
      <c r="Z43" s="1391"/>
      <c r="AA43" s="1391"/>
      <c r="AB43" s="1391"/>
      <c r="AC43" s="1391"/>
      <c r="AD43" s="214"/>
      <c r="AE43" s="1396" t="s">
        <v>885</v>
      </c>
      <c r="AF43" s="1396"/>
      <c r="AG43" s="1396"/>
      <c r="AH43" s="1396"/>
      <c r="AI43" s="1409">
        <f ca="1">SUMIF(EXPORT!C$3:C$644,"000001",EXPORT!U3:U644)</f>
        <v>0</v>
      </c>
      <c r="AJ43" s="1409"/>
      <c r="AK43" s="1409"/>
      <c r="AL43" s="1409"/>
      <c r="AM43" s="1409"/>
      <c r="AN43" s="1409"/>
      <c r="AO43" s="1409"/>
      <c r="AP43" s="1409"/>
      <c r="AQ43" s="1409"/>
      <c r="AR43" s="59"/>
    </row>
    <row r="44" spans="2:44" ht="15.95" customHeight="1" thickBot="1">
      <c r="B44" s="59"/>
      <c r="C44" s="1417" t="s">
        <v>504</v>
      </c>
      <c r="D44" s="1417"/>
      <c r="E44" s="1417"/>
      <c r="F44" s="1417"/>
      <c r="G44" s="1393">
        <f>M02S02F33</f>
        <v>0</v>
      </c>
      <c r="H44" s="1393"/>
      <c r="I44" s="1393"/>
      <c r="J44" s="1393"/>
      <c r="K44" s="1393"/>
      <c r="L44" s="1393"/>
      <c r="M44" s="1393"/>
      <c r="N44" s="1393"/>
      <c r="O44" s="1393"/>
      <c r="P44" s="214"/>
      <c r="Q44" s="1416"/>
      <c r="R44" s="1416"/>
      <c r="S44" s="1416"/>
      <c r="T44" s="1416"/>
      <c r="U44" s="1465"/>
      <c r="V44" s="1465"/>
      <c r="W44" s="1465"/>
      <c r="X44" s="1465"/>
      <c r="Y44" s="1465"/>
      <c r="Z44" s="1465"/>
      <c r="AA44" s="1465"/>
      <c r="AB44" s="1465"/>
      <c r="AC44" s="1465"/>
      <c r="AD44" s="214"/>
      <c r="AE44" s="1396" t="s">
        <v>1202</v>
      </c>
      <c r="AF44" s="1396"/>
      <c r="AG44" s="1396"/>
      <c r="AH44" s="1396"/>
      <c r="AI44" s="1395">
        <f ca="1">SUMIF(EXPORT!C$3:C$644,"000001",EXPORT!V3:V644)</f>
        <v>0</v>
      </c>
      <c r="AJ44" s="1395"/>
      <c r="AK44" s="1395"/>
      <c r="AL44" s="1395"/>
      <c r="AM44" s="1395"/>
      <c r="AN44" s="1395"/>
      <c r="AO44" s="1395"/>
      <c r="AP44" s="1395"/>
      <c r="AQ44" s="1395"/>
      <c r="AR44" s="59"/>
    </row>
    <row r="45" spans="2:44" ht="15.95" customHeight="1" thickBot="1">
      <c r="B45" s="59"/>
      <c r="C45" s="214"/>
      <c r="D45" s="214"/>
      <c r="E45" s="214"/>
      <c r="F45" s="214"/>
      <c r="G45" s="214"/>
      <c r="H45" s="214"/>
      <c r="I45" s="214"/>
      <c r="J45" s="214"/>
      <c r="K45" s="214"/>
      <c r="L45" s="214"/>
      <c r="M45" s="214"/>
      <c r="N45" s="214"/>
      <c r="O45" s="214"/>
      <c r="P45" s="214"/>
      <c r="Q45" s="214"/>
      <c r="R45" s="214"/>
      <c r="S45" s="214"/>
      <c r="T45" s="214"/>
      <c r="U45" s="214"/>
      <c r="V45" s="214"/>
      <c r="W45" s="214"/>
      <c r="X45" s="214"/>
      <c r="Y45" s="214"/>
      <c r="Z45" s="214"/>
      <c r="AA45" s="214"/>
      <c r="AB45" s="214"/>
      <c r="AC45" s="214"/>
      <c r="AD45" s="214"/>
      <c r="AE45" s="1396" t="s">
        <v>1432</v>
      </c>
      <c r="AF45" s="1396"/>
      <c r="AG45" s="1396"/>
      <c r="AH45" s="1396"/>
      <c r="AI45" s="1406">
        <f ca="1">SUMIF(EXPORT!C$3:C$644,"000001",EXPORT!S$3:S$644)</f>
        <v>0</v>
      </c>
      <c r="AJ45" s="1406"/>
      <c r="AK45" s="1406"/>
      <c r="AL45" s="1406"/>
      <c r="AM45" s="1406"/>
      <c r="AN45" s="1406"/>
      <c r="AO45" s="1406"/>
      <c r="AP45" s="1406"/>
      <c r="AQ45" s="1406"/>
      <c r="AR45" s="59"/>
    </row>
    <row r="46" spans="2:44" ht="15.95" customHeight="1" thickBot="1">
      <c r="B46" s="59"/>
      <c r="C46" s="1397" t="s">
        <v>508</v>
      </c>
      <c r="D46" s="1398"/>
      <c r="E46" s="1398"/>
      <c r="F46" s="1398"/>
      <c r="G46" s="1398"/>
      <c r="H46" s="1398"/>
      <c r="I46" s="1398"/>
      <c r="J46" s="1398"/>
      <c r="K46" s="1398"/>
      <c r="L46" s="1398"/>
      <c r="M46" s="1398"/>
      <c r="N46" s="1398"/>
      <c r="O46" s="1398"/>
      <c r="P46" s="1398"/>
      <c r="Q46" s="1398"/>
      <c r="R46" s="1398"/>
      <c r="S46" s="1398"/>
      <c r="T46" s="1398"/>
      <c r="U46" s="1398"/>
      <c r="V46" s="1398"/>
      <c r="W46" s="1398"/>
      <c r="X46" s="1398"/>
      <c r="Y46" s="1398"/>
      <c r="Z46" s="1398"/>
      <c r="AA46" s="1398"/>
      <c r="AB46" s="1398"/>
      <c r="AC46" s="1398"/>
      <c r="AD46" s="218"/>
      <c r="AE46" s="1396" t="s">
        <v>1442</v>
      </c>
      <c r="AF46" s="1396"/>
      <c r="AG46" s="1396"/>
      <c r="AH46" s="1396"/>
      <c r="AI46" s="1413">
        <f ca="1">SUMIF(EXPORT!C$3:C$644,"000001",EXPORT!AL$3:AL$644)</f>
        <v>0</v>
      </c>
      <c r="AJ46" s="1414"/>
      <c r="AK46" s="1414"/>
      <c r="AL46" s="1414"/>
      <c r="AM46" s="1414"/>
      <c r="AN46" s="1414"/>
      <c r="AO46" s="1414"/>
      <c r="AP46" s="1414"/>
      <c r="AQ46" s="1415"/>
      <c r="AR46" s="59"/>
    </row>
    <row r="47" spans="2:44" ht="15.95" customHeight="1" thickBot="1">
      <c r="B47" s="59"/>
      <c r="C47" s="1399">
        <f>M02S02F45</f>
        <v>0</v>
      </c>
      <c r="D47" s="1400"/>
      <c r="E47" s="1400"/>
      <c r="F47" s="1400"/>
      <c r="G47" s="1400"/>
      <c r="H47" s="1400"/>
      <c r="I47" s="1400"/>
      <c r="J47" s="1400"/>
      <c r="K47" s="1400"/>
      <c r="L47" s="1400"/>
      <c r="M47" s="1400"/>
      <c r="N47" s="1400"/>
      <c r="O47" s="1400"/>
      <c r="P47" s="1400"/>
      <c r="Q47" s="1400"/>
      <c r="R47" s="1400"/>
      <c r="S47" s="1400"/>
      <c r="T47" s="1400"/>
      <c r="U47" s="1400"/>
      <c r="V47" s="1400"/>
      <c r="W47" s="1400"/>
      <c r="X47" s="1400"/>
      <c r="Y47" s="1400"/>
      <c r="Z47" s="1400"/>
      <c r="AA47" s="1400"/>
      <c r="AB47" s="1400"/>
      <c r="AC47" s="1400"/>
      <c r="AD47" s="218"/>
      <c r="AE47" s="1396" t="s">
        <v>1401</v>
      </c>
      <c r="AF47" s="1396"/>
      <c r="AG47" s="1396"/>
      <c r="AH47" s="1396"/>
      <c r="AI47" s="1413">
        <f ca="1">SUMIF(EXPORT!C$3:C$644,"000001",EXPORT!AM$3:AM$644)</f>
        <v>0</v>
      </c>
      <c r="AJ47" s="1414"/>
      <c r="AK47" s="1414"/>
      <c r="AL47" s="1414"/>
      <c r="AM47" s="1414"/>
      <c r="AN47" s="1414"/>
      <c r="AO47" s="1414"/>
      <c r="AP47" s="1414"/>
      <c r="AQ47" s="1415"/>
      <c r="AR47" s="59"/>
    </row>
    <row r="48" spans="2:44" ht="15.95" customHeight="1" thickBot="1">
      <c r="B48" s="59"/>
      <c r="C48" s="1401"/>
      <c r="D48" s="1402"/>
      <c r="E48" s="1402"/>
      <c r="F48" s="1402"/>
      <c r="G48" s="1402"/>
      <c r="H48" s="1402"/>
      <c r="I48" s="1402"/>
      <c r="J48" s="1402"/>
      <c r="K48" s="1402"/>
      <c r="L48" s="1402"/>
      <c r="M48" s="1402"/>
      <c r="N48" s="1402"/>
      <c r="O48" s="1402"/>
      <c r="P48" s="1402"/>
      <c r="Q48" s="1402"/>
      <c r="R48" s="1402"/>
      <c r="S48" s="1402"/>
      <c r="T48" s="1402"/>
      <c r="U48" s="1402"/>
      <c r="V48" s="1402"/>
      <c r="W48" s="1402"/>
      <c r="X48" s="1402"/>
      <c r="Y48" s="1402"/>
      <c r="Z48" s="1402"/>
      <c r="AA48" s="1402"/>
      <c r="AB48" s="1402"/>
      <c r="AC48" s="1402"/>
      <c r="AD48" s="218"/>
      <c r="AE48" s="1452" t="s">
        <v>1431</v>
      </c>
      <c r="AF48" s="1452"/>
      <c r="AG48" s="1452"/>
      <c r="AH48" s="1452"/>
      <c r="AI48" s="1453">
        <f ca="1">SUMIF(EXPORT!C$3:C$644,"000001",EXPORT!AN$3:AN$644)</f>
        <v>0</v>
      </c>
      <c r="AJ48" s="1454"/>
      <c r="AK48" s="1454"/>
      <c r="AL48" s="1454"/>
      <c r="AM48" s="1454"/>
      <c r="AN48" s="1454"/>
      <c r="AO48" s="1454"/>
      <c r="AP48" s="1454"/>
      <c r="AQ48" s="1455"/>
      <c r="AR48" s="59"/>
    </row>
    <row r="49" spans="2:44" ht="15.95" customHeight="1" thickBot="1">
      <c r="B49" s="59"/>
      <c r="C49" s="1401"/>
      <c r="D49" s="1402"/>
      <c r="E49" s="1402"/>
      <c r="F49" s="1402"/>
      <c r="G49" s="1402"/>
      <c r="H49" s="1402"/>
      <c r="I49" s="1402"/>
      <c r="J49" s="1402"/>
      <c r="K49" s="1402"/>
      <c r="L49" s="1402"/>
      <c r="M49" s="1402"/>
      <c r="N49" s="1402"/>
      <c r="O49" s="1402"/>
      <c r="P49" s="1402"/>
      <c r="Q49" s="1402"/>
      <c r="R49" s="1402"/>
      <c r="S49" s="1402"/>
      <c r="T49" s="1402"/>
      <c r="U49" s="1402"/>
      <c r="V49" s="1402"/>
      <c r="W49" s="1402"/>
      <c r="X49" s="1402"/>
      <c r="Y49" s="1402"/>
      <c r="Z49" s="1402"/>
      <c r="AA49" s="1402"/>
      <c r="AB49" s="1402"/>
      <c r="AC49" s="1402"/>
      <c r="AD49" s="218"/>
      <c r="AE49" s="1407" t="s">
        <v>1427</v>
      </c>
      <c r="AF49" s="1407"/>
      <c r="AG49" s="1407"/>
      <c r="AH49" s="1407"/>
      <c r="AI49" s="1430">
        <f t="shared" ref="AI49:AI51" ca="1" si="0">AI35+AI42</f>
        <v>0</v>
      </c>
      <c r="AJ49" s="1430"/>
      <c r="AK49" s="1430"/>
      <c r="AL49" s="1430"/>
      <c r="AM49" s="1430"/>
      <c r="AN49" s="1430"/>
      <c r="AO49" s="1430"/>
      <c r="AP49" s="1430"/>
      <c r="AQ49" s="1430"/>
      <c r="AR49" s="59"/>
    </row>
    <row r="50" spans="2:44" ht="15.95" customHeight="1" thickBot="1">
      <c r="B50" s="59"/>
      <c r="C50" s="1401"/>
      <c r="D50" s="1402"/>
      <c r="E50" s="1402"/>
      <c r="F50" s="1402"/>
      <c r="G50" s="1402"/>
      <c r="H50" s="1402"/>
      <c r="I50" s="1402"/>
      <c r="J50" s="1402"/>
      <c r="K50" s="1402"/>
      <c r="L50" s="1402"/>
      <c r="M50" s="1402"/>
      <c r="N50" s="1402"/>
      <c r="O50" s="1402"/>
      <c r="P50" s="1402"/>
      <c r="Q50" s="1402"/>
      <c r="R50" s="1402"/>
      <c r="S50" s="1402"/>
      <c r="T50" s="1402"/>
      <c r="U50" s="1402"/>
      <c r="V50" s="1402"/>
      <c r="W50" s="1402"/>
      <c r="X50" s="1402"/>
      <c r="Y50" s="1402"/>
      <c r="Z50" s="1402"/>
      <c r="AA50" s="1402"/>
      <c r="AB50" s="1402"/>
      <c r="AC50" s="1402"/>
      <c r="AD50" s="218"/>
      <c r="AE50" s="1396" t="s">
        <v>1428</v>
      </c>
      <c r="AF50" s="1396"/>
      <c r="AG50" s="1396"/>
      <c r="AH50" s="1396"/>
      <c r="AI50" s="1409">
        <f t="shared" ca="1" si="0"/>
        <v>0</v>
      </c>
      <c r="AJ50" s="1409"/>
      <c r="AK50" s="1409"/>
      <c r="AL50" s="1409"/>
      <c r="AM50" s="1409"/>
      <c r="AN50" s="1409"/>
      <c r="AO50" s="1409"/>
      <c r="AP50" s="1409"/>
      <c r="AQ50" s="1409"/>
      <c r="AR50" s="59"/>
    </row>
    <row r="51" spans="2:44" ht="15.95" customHeight="1" thickBot="1">
      <c r="B51" s="59"/>
      <c r="C51" s="1401"/>
      <c r="D51" s="1402"/>
      <c r="E51" s="1402"/>
      <c r="F51" s="1402"/>
      <c r="G51" s="1402"/>
      <c r="H51" s="1402"/>
      <c r="I51" s="1402"/>
      <c r="J51" s="1402"/>
      <c r="K51" s="1402"/>
      <c r="L51" s="1402"/>
      <c r="M51" s="1402"/>
      <c r="N51" s="1402"/>
      <c r="O51" s="1402"/>
      <c r="P51" s="1402"/>
      <c r="Q51" s="1402"/>
      <c r="R51" s="1402"/>
      <c r="S51" s="1402"/>
      <c r="T51" s="1402"/>
      <c r="U51" s="1402"/>
      <c r="V51" s="1402"/>
      <c r="W51" s="1402"/>
      <c r="X51" s="1402"/>
      <c r="Y51" s="1402"/>
      <c r="Z51" s="1402"/>
      <c r="AA51" s="1402"/>
      <c r="AB51" s="1402"/>
      <c r="AC51" s="1402"/>
      <c r="AD51" s="218"/>
      <c r="AE51" s="1396" t="s">
        <v>1429</v>
      </c>
      <c r="AF51" s="1396"/>
      <c r="AG51" s="1396"/>
      <c r="AH51" s="1396"/>
      <c r="AI51" s="1395">
        <f t="shared" ca="1" si="0"/>
        <v>0</v>
      </c>
      <c r="AJ51" s="1395"/>
      <c r="AK51" s="1395"/>
      <c r="AL51" s="1395"/>
      <c r="AM51" s="1395"/>
      <c r="AN51" s="1395"/>
      <c r="AO51" s="1395"/>
      <c r="AP51" s="1395"/>
      <c r="AQ51" s="1395"/>
      <c r="AR51" s="59"/>
    </row>
    <row r="52" spans="2:44" ht="15.95" customHeight="1" thickBot="1">
      <c r="B52" s="59"/>
      <c r="C52" s="1403"/>
      <c r="D52" s="1404"/>
      <c r="E52" s="1404"/>
      <c r="F52" s="1404"/>
      <c r="G52" s="1404"/>
      <c r="H52" s="1404"/>
      <c r="I52" s="1404"/>
      <c r="J52" s="1404"/>
      <c r="K52" s="1404"/>
      <c r="L52" s="1404"/>
      <c r="M52" s="1404"/>
      <c r="N52" s="1404"/>
      <c r="O52" s="1404"/>
      <c r="P52" s="1404"/>
      <c r="Q52" s="1404"/>
      <c r="R52" s="1404"/>
      <c r="S52" s="1404"/>
      <c r="T52" s="1404"/>
      <c r="U52" s="1404"/>
      <c r="V52" s="1404"/>
      <c r="W52" s="1404"/>
      <c r="X52" s="1404"/>
      <c r="Y52" s="1404"/>
      <c r="Z52" s="1404"/>
      <c r="AA52" s="1404"/>
      <c r="AB52" s="1404"/>
      <c r="AC52" s="1404"/>
      <c r="AD52" s="218"/>
      <c r="AE52" s="1396" t="s">
        <v>2381</v>
      </c>
      <c r="AF52" s="1396"/>
      <c r="AG52" s="1396"/>
      <c r="AH52" s="1396"/>
      <c r="AI52" s="1395">
        <f>SUM(EXPORT!Q3:Q659)</f>
        <v>0</v>
      </c>
      <c r="AJ52" s="1395"/>
      <c r="AK52" s="1395"/>
      <c r="AL52" s="1395"/>
      <c r="AM52" s="1395"/>
      <c r="AN52" s="1395"/>
      <c r="AO52" s="1395"/>
      <c r="AP52" s="1395"/>
      <c r="AQ52" s="1395"/>
      <c r="AR52" s="59"/>
    </row>
    <row r="53" spans="2:44" ht="15.95" customHeight="1" thickBot="1">
      <c r="B53" s="59"/>
      <c r="C53" s="214"/>
      <c r="D53" s="214"/>
      <c r="E53" s="214"/>
      <c r="F53" s="214"/>
      <c r="G53" s="214"/>
      <c r="H53" s="214"/>
      <c r="I53" s="214"/>
      <c r="J53" s="214"/>
      <c r="K53" s="214"/>
      <c r="L53" s="214"/>
      <c r="M53" s="214"/>
      <c r="N53" s="214"/>
      <c r="O53" s="214"/>
      <c r="P53" s="214"/>
      <c r="Q53" s="214"/>
      <c r="R53" s="214"/>
      <c r="S53" s="214"/>
      <c r="T53" s="214"/>
      <c r="U53" s="214"/>
      <c r="V53" s="214"/>
      <c r="W53" s="214"/>
      <c r="X53" s="214"/>
      <c r="Y53" s="214"/>
      <c r="Z53" s="214"/>
      <c r="AA53" s="214"/>
      <c r="AB53" s="214"/>
      <c r="AC53" s="214"/>
      <c r="AD53" s="214"/>
      <c r="AE53" s="1396" t="s">
        <v>1441</v>
      </c>
      <c r="AF53" s="1396"/>
      <c r="AG53" s="1396"/>
      <c r="AH53" s="1396"/>
      <c r="AI53" s="1406">
        <f ca="1">AI38+AI45</f>
        <v>0</v>
      </c>
      <c r="AJ53" s="1406"/>
      <c r="AK53" s="1406"/>
      <c r="AL53" s="1406"/>
      <c r="AM53" s="1406"/>
      <c r="AN53" s="1406"/>
      <c r="AO53" s="1406"/>
      <c r="AP53" s="1406"/>
      <c r="AQ53" s="1406"/>
      <c r="AR53" s="59"/>
    </row>
    <row r="54" spans="2:44" ht="15.95" customHeight="1" thickBot="1">
      <c r="B54" s="59"/>
      <c r="C54" s="214"/>
      <c r="D54" s="214"/>
      <c r="E54" s="214"/>
      <c r="F54" s="214"/>
      <c r="G54" s="214"/>
      <c r="H54" s="214"/>
      <c r="I54" s="214"/>
      <c r="J54" s="214"/>
      <c r="K54" s="214"/>
      <c r="L54" s="214"/>
      <c r="M54" s="214"/>
      <c r="N54" s="214"/>
      <c r="O54" s="214"/>
      <c r="P54" s="214"/>
      <c r="Q54" s="214"/>
      <c r="R54" s="214"/>
      <c r="S54" s="214"/>
      <c r="T54" s="214"/>
      <c r="U54" s="214"/>
      <c r="V54" s="214"/>
      <c r="W54" s="214"/>
      <c r="X54" s="214"/>
      <c r="Y54" s="214"/>
      <c r="Z54" s="214"/>
      <c r="AA54" s="214"/>
      <c r="AB54" s="214"/>
      <c r="AC54" s="214"/>
      <c r="AD54" s="214"/>
      <c r="AE54" s="1410" t="s">
        <v>1440</v>
      </c>
      <c r="AF54" s="1411"/>
      <c r="AG54" s="1411"/>
      <c r="AH54" s="1412"/>
      <c r="AI54" s="1413">
        <f ca="1">AI39+AI46</f>
        <v>0</v>
      </c>
      <c r="AJ54" s="1414"/>
      <c r="AK54" s="1414"/>
      <c r="AL54" s="1414"/>
      <c r="AM54" s="1414"/>
      <c r="AN54" s="1414"/>
      <c r="AO54" s="1414"/>
      <c r="AP54" s="1414"/>
      <c r="AQ54" s="1415"/>
      <c r="AR54" s="59"/>
    </row>
    <row r="55" spans="2:44" ht="15.95" customHeight="1" thickBot="1">
      <c r="B55" s="59"/>
      <c r="C55" s="214"/>
      <c r="D55" s="214"/>
      <c r="E55" s="214"/>
      <c r="F55" s="214"/>
      <c r="G55" s="214"/>
      <c r="H55" s="214"/>
      <c r="I55" s="214"/>
      <c r="J55" s="214"/>
      <c r="K55" s="214"/>
      <c r="L55" s="214"/>
      <c r="M55" s="214"/>
      <c r="N55" s="214"/>
      <c r="O55" s="214"/>
      <c r="P55" s="214"/>
      <c r="Q55" s="214"/>
      <c r="R55" s="214"/>
      <c r="S55" s="214"/>
      <c r="T55" s="214"/>
      <c r="U55" s="214"/>
      <c r="V55" s="214"/>
      <c r="W55" s="214"/>
      <c r="X55" s="214"/>
      <c r="Y55" s="214"/>
      <c r="Z55" s="214"/>
      <c r="AA55" s="214"/>
      <c r="AB55" s="214"/>
      <c r="AC55" s="214"/>
      <c r="AD55" s="214"/>
      <c r="AE55" s="1410" t="s">
        <v>1430</v>
      </c>
      <c r="AF55" s="1411"/>
      <c r="AG55" s="1411"/>
      <c r="AH55" s="1412"/>
      <c r="AI55" s="1413">
        <f ca="1">AI40+AI47</f>
        <v>0</v>
      </c>
      <c r="AJ55" s="1414"/>
      <c r="AK55" s="1414"/>
      <c r="AL55" s="1414"/>
      <c r="AM55" s="1414"/>
      <c r="AN55" s="1414"/>
      <c r="AO55" s="1414"/>
      <c r="AP55" s="1414"/>
      <c r="AQ55" s="1415"/>
      <c r="AR55" s="59"/>
    </row>
    <row r="56" spans="2:44" ht="15.95" customHeight="1" thickBot="1">
      <c r="B56" s="59"/>
      <c r="C56" s="59"/>
      <c r="D56" s="59"/>
      <c r="E56" s="59"/>
      <c r="F56" s="59"/>
      <c r="G56" s="59"/>
      <c r="H56" s="59"/>
      <c r="I56" s="59"/>
      <c r="J56" s="59"/>
      <c r="K56" s="59"/>
      <c r="L56" s="59"/>
      <c r="M56" s="59"/>
      <c r="N56" s="59"/>
      <c r="O56" s="59"/>
      <c r="P56" s="59"/>
      <c r="Q56" s="59"/>
      <c r="R56" s="59"/>
      <c r="S56" s="59"/>
      <c r="T56" s="59"/>
      <c r="U56" s="59"/>
      <c r="V56" s="59"/>
      <c r="W56" s="59"/>
      <c r="X56" s="59"/>
      <c r="Y56" s="59"/>
      <c r="Z56" s="59"/>
      <c r="AA56" s="59"/>
      <c r="AB56" s="59"/>
      <c r="AC56" s="59"/>
      <c r="AD56" s="59"/>
      <c r="AE56" s="1379" t="s">
        <v>1443</v>
      </c>
      <c r="AF56" s="1380"/>
      <c r="AG56" s="1380"/>
      <c r="AH56" s="1381"/>
      <c r="AI56" s="1382">
        <f ca="1">AI41+AI48</f>
        <v>0</v>
      </c>
      <c r="AJ56" s="1383"/>
      <c r="AK56" s="1383"/>
      <c r="AL56" s="1383"/>
      <c r="AM56" s="1383"/>
      <c r="AN56" s="1383"/>
      <c r="AO56" s="1383"/>
      <c r="AP56" s="1383"/>
      <c r="AQ56" s="1384"/>
      <c r="AR56" s="59"/>
    </row>
    <row r="57" spans="2:44" ht="15.95" customHeight="1" thickBot="1">
      <c r="B57" s="59"/>
      <c r="C57" s="59"/>
      <c r="D57" s="59"/>
      <c r="E57" s="59"/>
      <c r="F57" s="59"/>
      <c r="G57" s="59"/>
      <c r="H57" s="59"/>
      <c r="I57" s="59"/>
      <c r="J57" s="59"/>
      <c r="K57" s="59"/>
      <c r="L57" s="59"/>
      <c r="M57" s="59"/>
      <c r="N57" s="59"/>
      <c r="O57" s="59"/>
      <c r="P57" s="59"/>
      <c r="Q57" s="59"/>
      <c r="R57" s="59"/>
      <c r="S57" s="59"/>
      <c r="T57" s="59"/>
      <c r="U57" s="59"/>
      <c r="V57" s="59"/>
      <c r="W57" s="59"/>
      <c r="X57" s="59"/>
      <c r="Y57" s="59"/>
      <c r="Z57" s="59"/>
      <c r="AA57" s="59"/>
      <c r="AB57" s="59"/>
      <c r="AC57" s="59"/>
      <c r="AD57" s="59"/>
      <c r="AE57" s="1462" t="s">
        <v>1629</v>
      </c>
      <c r="AF57" s="1463"/>
      <c r="AG57" s="1463"/>
      <c r="AH57" s="1464"/>
      <c r="AI57" s="1459">
        <f ca="1">SUM(EXPORT!R3:R644)-(EXPORT!R53+EXPORT!R74+EXPORT!R125+EXPORT!R172+EXPORT!R197+EXPORT!R213+EXPORT!R307+EXPORT!R358+EXPORT!R434)</f>
        <v>0</v>
      </c>
      <c r="AJ57" s="1460"/>
      <c r="AK57" s="1460"/>
      <c r="AL57" s="1460"/>
      <c r="AM57" s="1460"/>
      <c r="AN57" s="1460"/>
      <c r="AO57" s="1460"/>
      <c r="AP57" s="1460"/>
      <c r="AQ57" s="1461"/>
      <c r="AR57" s="59"/>
    </row>
    <row r="58" spans="2:44" ht="15.95" customHeight="1" thickBot="1">
      <c r="B58" s="59"/>
      <c r="C58" s="59"/>
      <c r="D58" s="59"/>
      <c r="E58" s="59"/>
      <c r="F58" s="59"/>
      <c r="G58" s="59"/>
      <c r="H58" s="59"/>
      <c r="I58" s="59"/>
      <c r="J58" s="59"/>
      <c r="K58" s="59"/>
      <c r="L58" s="59"/>
      <c r="M58" s="59"/>
      <c r="N58" s="59"/>
      <c r="O58" s="59"/>
      <c r="P58" s="59"/>
      <c r="Q58" s="59"/>
      <c r="R58" s="59"/>
      <c r="S58" s="59"/>
      <c r="T58" s="59"/>
      <c r="U58" s="59"/>
      <c r="V58" s="59"/>
      <c r="W58" s="59"/>
      <c r="X58" s="59"/>
      <c r="Y58" s="59"/>
      <c r="Z58" s="59"/>
      <c r="AA58" s="59"/>
      <c r="AB58" s="59"/>
      <c r="AC58" s="59"/>
      <c r="AD58" s="59"/>
      <c r="AE58" s="1410" t="s">
        <v>1628</v>
      </c>
      <c r="AF58" s="1411"/>
      <c r="AG58" s="1411"/>
      <c r="AH58" s="1412"/>
      <c r="AI58" s="1456">
        <f ca="1">EXPORT!R53++EXPORT!R52+EXPORT!R74+EXPORT!R125+EXPORT!R172+EXPORT!R197+EXPORT!R213+EXPORT!R307</f>
        <v>0</v>
      </c>
      <c r="AJ58" s="1457"/>
      <c r="AK58" s="1457"/>
      <c r="AL58" s="1457"/>
      <c r="AM58" s="1457"/>
      <c r="AN58" s="1457"/>
      <c r="AO58" s="1457"/>
      <c r="AP58" s="1457"/>
      <c r="AQ58" s="1458"/>
      <c r="AR58" s="59"/>
    </row>
    <row r="59" spans="2:44" ht="15.95" customHeight="1" thickBot="1">
      <c r="B59" s="59"/>
      <c r="C59" s="59"/>
      <c r="D59" s="59"/>
      <c r="E59" s="59"/>
      <c r="F59" s="59"/>
      <c r="G59" s="59"/>
      <c r="H59" s="59"/>
      <c r="I59" s="59"/>
      <c r="J59" s="59"/>
      <c r="K59" s="59"/>
      <c r="L59" s="59"/>
      <c r="M59" s="59"/>
      <c r="N59" s="59"/>
      <c r="O59" s="59"/>
      <c r="P59" s="59"/>
      <c r="Q59" s="59"/>
      <c r="R59" s="59"/>
      <c r="S59" s="59"/>
      <c r="T59" s="59"/>
      <c r="U59" s="59"/>
      <c r="V59" s="59"/>
      <c r="W59" s="59"/>
      <c r="X59" s="59"/>
      <c r="Y59" s="59"/>
      <c r="Z59" s="59"/>
      <c r="AA59" s="59"/>
      <c r="AB59" s="59"/>
      <c r="AC59" s="59"/>
      <c r="AD59" s="59"/>
      <c r="AE59" s="475" t="s">
        <v>1626</v>
      </c>
      <c r="AF59" s="476"/>
      <c r="AG59" s="476"/>
      <c r="AH59" s="477"/>
      <c r="AI59" s="1456">
        <f ca="1">EXPORT!R358+EXPORT!R434</f>
        <v>0</v>
      </c>
      <c r="AJ59" s="1457"/>
      <c r="AK59" s="1457"/>
      <c r="AL59" s="1457"/>
      <c r="AM59" s="1457"/>
      <c r="AN59" s="1457"/>
      <c r="AO59" s="1457"/>
      <c r="AP59" s="1457"/>
      <c r="AQ59" s="1458"/>
      <c r="AR59" s="59"/>
    </row>
    <row r="60" spans="2:44" ht="15.95" customHeight="1" thickBot="1">
      <c r="B60" s="59"/>
      <c r="C60" s="59"/>
      <c r="D60" s="59"/>
      <c r="E60" s="59"/>
      <c r="F60" s="59"/>
      <c r="G60" s="59"/>
      <c r="H60" s="59"/>
      <c r="I60" s="59"/>
      <c r="J60" s="59"/>
      <c r="K60" s="59"/>
      <c r="L60" s="59"/>
      <c r="M60" s="59"/>
      <c r="N60" s="59"/>
      <c r="O60" s="59"/>
      <c r="P60" s="59"/>
      <c r="Q60" s="59"/>
      <c r="R60" s="59"/>
      <c r="S60" s="59"/>
      <c r="T60" s="59"/>
      <c r="U60" s="59"/>
      <c r="V60" s="59"/>
      <c r="W60" s="59"/>
      <c r="X60" s="59"/>
      <c r="Y60" s="59"/>
      <c r="Z60" s="59"/>
      <c r="AA60" s="59"/>
      <c r="AB60" s="59"/>
      <c r="AC60" s="59"/>
      <c r="AD60" s="59"/>
      <c r="AE60" s="475" t="s">
        <v>1627</v>
      </c>
      <c r="AF60" s="476"/>
      <c r="AG60" s="476"/>
      <c r="AH60" s="477"/>
      <c r="AI60" s="1456">
        <f>EXPORT!R366+EXPORT!R435</f>
        <v>0</v>
      </c>
      <c r="AJ60" s="1457"/>
      <c r="AK60" s="1457"/>
      <c r="AL60" s="1457"/>
      <c r="AM60" s="1457"/>
      <c r="AN60" s="1457"/>
      <c r="AO60" s="1457"/>
      <c r="AP60" s="1457"/>
      <c r="AQ60" s="1458"/>
      <c r="AR60" s="59"/>
    </row>
    <row r="61" spans="2:44" ht="15.95" customHeight="1" thickBot="1">
      <c r="B61" s="59"/>
      <c r="C61" s="59"/>
      <c r="D61" s="59"/>
      <c r="E61" s="59"/>
      <c r="F61" s="59"/>
      <c r="G61" s="59"/>
      <c r="H61" s="59"/>
      <c r="I61" s="59"/>
      <c r="J61" s="59"/>
      <c r="K61" s="59"/>
      <c r="L61" s="59"/>
      <c r="M61" s="59"/>
      <c r="N61" s="59"/>
      <c r="O61" s="59"/>
      <c r="P61" s="59"/>
      <c r="Q61" s="59"/>
      <c r="R61" s="59"/>
      <c r="S61" s="59"/>
      <c r="T61" s="59"/>
      <c r="U61" s="59"/>
      <c r="V61" s="59"/>
      <c r="W61" s="59"/>
      <c r="X61" s="59"/>
      <c r="Y61" s="59"/>
      <c r="Z61" s="59"/>
      <c r="AA61" s="59"/>
      <c r="AB61" s="59"/>
      <c r="AC61" s="59"/>
      <c r="AD61" s="59"/>
      <c r="AE61" s="1379" t="s">
        <v>1629</v>
      </c>
      <c r="AF61" s="1380"/>
      <c r="AG61" s="1380"/>
      <c r="AH61" s="1381"/>
      <c r="AI61" s="1382">
        <f ca="1">SUM(EXPORT!R7:R648)-(EXPORT!R57+EXPORT!R108+EXPORT!R159+EXPORT!R175+EXPORT!R201+EXPORT!R216+EXPORT!R362+EXPORT!R370+EXPORT!R438+EXPORT!R439)</f>
        <v>0</v>
      </c>
      <c r="AJ61" s="1383"/>
      <c r="AK61" s="1383"/>
      <c r="AL61" s="1383"/>
      <c r="AM61" s="1383"/>
      <c r="AN61" s="1383"/>
      <c r="AO61" s="1383"/>
      <c r="AP61" s="1383"/>
      <c r="AQ61" s="1384"/>
      <c r="AR61" s="59"/>
    </row>
    <row r="62" spans="2:44" ht="15.95" customHeight="1" thickBot="1">
      <c r="B62" s="59"/>
      <c r="C62" s="59"/>
      <c r="D62" s="59"/>
      <c r="E62" s="59"/>
      <c r="F62" s="59"/>
      <c r="G62" s="59"/>
      <c r="H62" s="59"/>
      <c r="I62" s="59"/>
      <c r="J62" s="59"/>
      <c r="K62" s="59"/>
      <c r="L62" s="59"/>
      <c r="M62" s="59"/>
      <c r="N62" s="59"/>
      <c r="O62" s="59"/>
      <c r="P62" s="59"/>
      <c r="Q62" s="59"/>
      <c r="R62" s="59"/>
      <c r="S62" s="59"/>
      <c r="T62" s="59"/>
      <c r="U62" s="59"/>
      <c r="V62" s="59"/>
      <c r="W62" s="59"/>
      <c r="X62" s="59"/>
      <c r="Y62" s="59"/>
      <c r="Z62" s="59"/>
      <c r="AA62" s="59"/>
      <c r="AB62" s="59"/>
      <c r="AC62" s="59"/>
      <c r="AD62" s="59"/>
      <c r="AE62" s="1385" t="s">
        <v>2143</v>
      </c>
      <c r="AF62" s="1386"/>
      <c r="AG62" s="1386"/>
      <c r="AH62" s="1387"/>
      <c r="AI62" s="1388" t="str">
        <f>IF(M05S02F07="","",M05S02F07)</f>
        <v/>
      </c>
      <c r="AJ62" s="1389"/>
      <c r="AK62" s="1389"/>
      <c r="AL62" s="1389"/>
      <c r="AM62" s="1389"/>
      <c r="AN62" s="1389"/>
      <c r="AO62" s="1389"/>
      <c r="AP62" s="1389"/>
      <c r="AQ62" s="1390"/>
      <c r="AR62" s="59"/>
    </row>
    <row r="63" spans="2:44" ht="15.95" customHeight="1">
      <c r="B63" s="59"/>
      <c r="C63" s="59"/>
      <c r="D63" s="59"/>
      <c r="E63" s="59"/>
      <c r="F63" s="59"/>
      <c r="G63" s="59"/>
      <c r="H63" s="59"/>
      <c r="I63" s="59"/>
      <c r="J63" s="59"/>
      <c r="K63" s="59"/>
      <c r="L63" s="59"/>
      <c r="M63" s="59"/>
      <c r="N63" s="59"/>
      <c r="O63" s="59"/>
      <c r="P63" s="59"/>
      <c r="Q63" s="59"/>
      <c r="R63" s="59"/>
      <c r="S63" s="59"/>
      <c r="T63" s="59"/>
      <c r="U63" s="59"/>
      <c r="V63" s="59"/>
      <c r="W63" s="59"/>
      <c r="X63" s="59"/>
      <c r="Y63" s="59"/>
      <c r="Z63" s="59"/>
      <c r="AA63" s="59"/>
      <c r="AB63" s="59"/>
      <c r="AC63" s="59"/>
      <c r="AD63" s="59"/>
      <c r="AE63" s="59"/>
      <c r="AF63" s="59"/>
      <c r="AG63" s="59"/>
      <c r="AH63" s="59"/>
      <c r="AI63" s="59"/>
      <c r="AJ63" s="59"/>
      <c r="AK63" s="59"/>
      <c r="AL63" s="59"/>
      <c r="AM63" s="59"/>
      <c r="AN63" s="59"/>
      <c r="AO63" s="59"/>
      <c r="AP63" s="59"/>
      <c r="AQ63" s="59"/>
      <c r="AR63" s="59"/>
    </row>
    <row r="64" spans="2:44" ht="15.95" hidden="1" customHeight="1">
      <c r="B64" s="59"/>
      <c r="C64" s="59"/>
      <c r="D64" s="59"/>
      <c r="E64" s="59"/>
      <c r="F64" s="59"/>
      <c r="G64" s="59"/>
      <c r="H64" s="59"/>
      <c r="I64" s="59"/>
      <c r="J64" s="59"/>
      <c r="K64" s="59"/>
      <c r="L64" s="59"/>
      <c r="M64" s="59"/>
      <c r="N64" s="59"/>
      <c r="O64" s="59"/>
      <c r="P64" s="59"/>
      <c r="Q64" s="59"/>
      <c r="R64" s="59"/>
      <c r="S64" s="59"/>
      <c r="T64" s="59"/>
      <c r="U64" s="59"/>
      <c r="V64" s="59"/>
      <c r="W64" s="59"/>
      <c r="X64" s="59"/>
      <c r="Y64" s="59"/>
      <c r="Z64" s="59"/>
      <c r="AA64" s="59"/>
      <c r="AB64" s="59"/>
      <c r="AC64" s="59"/>
      <c r="AD64" s="59"/>
      <c r="AE64" s="59"/>
      <c r="AF64" s="59"/>
      <c r="AG64" s="59"/>
      <c r="AH64" s="59"/>
      <c r="AI64" s="59"/>
      <c r="AJ64" s="59"/>
      <c r="AK64" s="59"/>
      <c r="AL64" s="59"/>
      <c r="AM64" s="59"/>
      <c r="AN64" s="59"/>
      <c r="AO64" s="59"/>
      <c r="AP64" s="59"/>
      <c r="AQ64" s="59"/>
      <c r="AR64" s="59"/>
    </row>
    <row r="65" spans="31:43" ht="15.95" hidden="1" customHeight="1">
      <c r="AE65" s="59"/>
      <c r="AF65" s="59"/>
      <c r="AG65" s="59"/>
      <c r="AH65" s="59"/>
      <c r="AI65" s="59"/>
      <c r="AJ65" s="59"/>
      <c r="AK65" s="59"/>
      <c r="AL65" s="59"/>
      <c r="AM65" s="59"/>
      <c r="AN65" s="59"/>
      <c r="AO65" s="59"/>
      <c r="AP65" s="59"/>
      <c r="AQ65" s="59"/>
    </row>
    <row r="66" spans="31:43" ht="15.95" hidden="1" customHeight="1"/>
    <row r="67" spans="31:43" ht="15.95" hidden="1" customHeight="1"/>
    <row r="68" spans="31:43" ht="15.95" hidden="1" customHeight="1"/>
    <row r="69" spans="31:43" ht="15.95" hidden="1" customHeight="1"/>
    <row r="70" spans="31:43" ht="15.95" hidden="1" customHeight="1"/>
    <row r="71" spans="31:43" ht="15.95" hidden="1" customHeight="1"/>
    <row r="72" spans="31:43" ht="15.95" hidden="1" customHeight="1"/>
    <row r="73" spans="31:43" ht="15.95" hidden="1" customHeight="1"/>
    <row r="74" spans="31:43" ht="15.95" hidden="1" customHeight="1"/>
    <row r="75" spans="31:43" ht="15.95" hidden="1" customHeight="1"/>
    <row r="76" spans="31:43" ht="15.95" hidden="1" customHeight="1"/>
    <row r="77" spans="31:43" ht="15.95" hidden="1" customHeight="1"/>
    <row r="78" spans="31:43" ht="15.95" hidden="1" customHeight="1"/>
    <row r="79" spans="31:43" ht="15.95" hidden="1" customHeight="1"/>
    <row r="80" spans="31:43" ht="15.95" hidden="1" customHeight="1"/>
    <row r="81" ht="15.95" hidden="1" customHeight="1"/>
    <row r="82" ht="15.95" hidden="1" customHeight="1"/>
    <row r="83" ht="15.95" hidden="1" customHeight="1"/>
    <row r="84" ht="15.95" hidden="1" customHeight="1"/>
    <row r="85" ht="15.95" hidden="1" customHeight="1"/>
    <row r="86" ht="15.95" hidden="1" customHeight="1"/>
    <row r="87" ht="15.95" hidden="1" customHeight="1"/>
    <row r="88" ht="15.95" hidden="1" customHeight="1"/>
    <row r="89" ht="15.95" hidden="1" customHeight="1"/>
    <row r="90" ht="15.95" hidden="1" customHeight="1"/>
    <row r="91" ht="15.95" hidden="1" customHeight="1"/>
    <row r="92" ht="15.95" hidden="1" customHeight="1"/>
    <row r="93" ht="15.95" hidden="1" customHeight="1"/>
    <row r="94" ht="15.95" hidden="1" customHeight="1"/>
    <row r="95" ht="15.95" hidden="1" customHeight="1"/>
    <row r="96" ht="15.95" hidden="1" customHeight="1"/>
    <row r="97" ht="15.95" hidden="1" customHeight="1"/>
    <row r="98" ht="15.95" hidden="1" customHeight="1"/>
    <row r="99" ht="15.95" hidden="1" customHeight="1"/>
    <row r="100" ht="15.95" hidden="1" customHeight="1"/>
    <row r="101" ht="15.95" hidden="1" customHeight="1"/>
    <row r="102" ht="15.95" hidden="1" customHeight="1"/>
    <row r="103" ht="15.95" hidden="1" customHeight="1"/>
    <row r="104" ht="15.95" hidden="1" customHeight="1"/>
    <row r="105" ht="15.95" hidden="1" customHeight="1"/>
    <row r="106" ht="15.95" hidden="1" customHeight="1"/>
    <row r="107" ht="15.95" hidden="1" customHeight="1"/>
    <row r="108" ht="15.95" hidden="1" customHeight="1"/>
    <row r="109" ht="15.95" hidden="1" customHeight="1"/>
    <row r="110" ht="15.95" hidden="1" customHeight="1"/>
    <row r="111" ht="15.95" hidden="1" customHeight="1"/>
    <row r="112" ht="15.95" hidden="1" customHeight="1"/>
    <row r="113" ht="15.95" hidden="1" customHeight="1"/>
    <row r="114" ht="15.95" hidden="1" customHeight="1"/>
    <row r="115" ht="15.95" hidden="1" customHeight="1"/>
    <row r="116" ht="15.95" hidden="1" customHeight="1"/>
    <row r="117" ht="15.95" hidden="1" customHeight="1"/>
    <row r="118" ht="15.95" hidden="1" customHeight="1"/>
    <row r="119" ht="15.95" hidden="1" customHeight="1"/>
    <row r="120" ht="15.95" hidden="1" customHeight="1"/>
    <row r="121" ht="15.95" hidden="1" customHeight="1"/>
    <row r="122" ht="15.95" hidden="1" customHeight="1"/>
    <row r="123" ht="15.95" hidden="1" customHeight="1"/>
    <row r="124" ht="15.95" hidden="1" customHeight="1"/>
    <row r="125" ht="15.95" hidden="1" customHeight="1"/>
    <row r="126" ht="15.95" hidden="1" customHeight="1"/>
    <row r="127" ht="15.95" hidden="1" customHeight="1"/>
    <row r="128" ht="15.95" hidden="1" customHeight="1"/>
    <row r="129" ht="15.95" hidden="1" customHeight="1"/>
    <row r="130" ht="15.95" hidden="1" customHeight="1"/>
    <row r="131" ht="15.95" hidden="1" customHeight="1"/>
    <row r="132" ht="15.95" hidden="1" customHeight="1"/>
    <row r="133" ht="15.95" hidden="1" customHeight="1"/>
    <row r="134" ht="15.95" hidden="1" customHeight="1"/>
    <row r="135" ht="15.95" hidden="1" customHeight="1"/>
    <row r="136" ht="15.95" hidden="1" customHeight="1"/>
    <row r="137" ht="15.95" hidden="1" customHeight="1"/>
    <row r="138" ht="15.95" hidden="1" customHeight="1"/>
    <row r="139" ht="15.95" hidden="1" customHeight="1"/>
    <row r="140" ht="15.95" hidden="1" customHeight="1"/>
    <row r="141" ht="15.95" hidden="1" customHeight="1"/>
    <row r="142" ht="15.95" hidden="1" customHeight="1"/>
    <row r="143" ht="15.95" hidden="1" customHeight="1"/>
    <row r="144" ht="15.95" hidden="1" customHeight="1"/>
    <row r="145" ht="15.95" hidden="1" customHeight="1"/>
    <row r="146" ht="15.95" hidden="1" customHeight="1"/>
    <row r="147" ht="15.95" hidden="1" customHeight="1"/>
    <row r="148" ht="15.95" hidden="1" customHeight="1"/>
    <row r="149" ht="15.95" hidden="1" customHeight="1"/>
    <row r="150" ht="15.95" hidden="1" customHeight="1"/>
    <row r="151" ht="15.95" hidden="1" customHeight="1"/>
    <row r="152" ht="15.95" hidden="1" customHeight="1"/>
    <row r="153" ht="15.95" hidden="1" customHeight="1"/>
    <row r="154" ht="15.95" hidden="1" customHeight="1"/>
    <row r="155" ht="15.95" hidden="1" customHeight="1"/>
    <row r="156" ht="15.95" hidden="1" customHeight="1"/>
    <row r="157" ht="15.95" hidden="1" customHeight="1"/>
    <row r="158" ht="15.95" hidden="1" customHeight="1"/>
    <row r="159" ht="15.95" hidden="1" customHeight="1"/>
    <row r="160" ht="15.95" hidden="1" customHeight="1"/>
    <row r="161" ht="15.95" hidden="1" customHeight="1"/>
    <row r="162" ht="15.95" hidden="1" customHeight="1"/>
    <row r="163" ht="15.95" hidden="1" customHeight="1"/>
    <row r="164" ht="15.95" hidden="1" customHeight="1"/>
    <row r="165" ht="15.95" hidden="1" customHeight="1"/>
    <row r="166" ht="15.95" hidden="1" customHeight="1"/>
    <row r="167" ht="15.95" hidden="1" customHeight="1"/>
    <row r="168" ht="15.95" hidden="1" customHeight="1"/>
    <row r="169" ht="15.95" hidden="1" customHeight="1"/>
    <row r="170" ht="15.95" hidden="1" customHeight="1"/>
    <row r="171" ht="15.95" hidden="1" customHeight="1"/>
    <row r="172" ht="15.95" hidden="1" customHeight="1"/>
    <row r="173" ht="15.95" hidden="1" customHeight="1"/>
    <row r="174" ht="15.95" hidden="1" customHeight="1"/>
    <row r="175" ht="15.95" hidden="1" customHeight="1"/>
    <row r="176" ht="15.95" hidden="1" customHeight="1"/>
    <row r="177" ht="15.95" hidden="1" customHeight="1"/>
    <row r="178" ht="15.95" hidden="1" customHeight="1"/>
    <row r="179" ht="15.95" hidden="1" customHeight="1"/>
    <row r="180" ht="15.95" hidden="1" customHeight="1"/>
    <row r="181" ht="15.95" hidden="1" customHeight="1"/>
    <row r="182" ht="15.95" hidden="1" customHeight="1"/>
    <row r="183" ht="15.95" hidden="1" customHeight="1"/>
    <row r="184" ht="15.95" hidden="1" customHeight="1"/>
    <row r="185" ht="15.95" hidden="1" customHeight="1"/>
    <row r="186" ht="15.95" hidden="1" customHeight="1"/>
    <row r="187" ht="15.95" hidden="1" customHeight="1"/>
    <row r="188" ht="15.95" hidden="1" customHeight="1"/>
    <row r="189" ht="15.95" hidden="1" customHeight="1"/>
    <row r="190" ht="15.95" hidden="1" customHeight="1"/>
    <row r="191" ht="15.95" hidden="1" customHeight="1"/>
    <row r="192" ht="15.95" hidden="1" customHeight="1"/>
    <row r="193" spans="2:44" ht="15.95" hidden="1" customHeight="1"/>
    <row r="194" spans="2:44" ht="15.95" hidden="1" customHeight="1"/>
    <row r="195" spans="2:44" ht="15.95" hidden="1" customHeight="1"/>
    <row r="196" spans="2:44" ht="15.95" hidden="1" customHeight="1"/>
    <row r="197" spans="2:44" ht="15.95" hidden="1" customHeight="1"/>
    <row r="198" spans="2:44" ht="15.95" hidden="1" customHeight="1"/>
    <row r="199" spans="2:44" ht="15.75" hidden="1" customHeight="1"/>
    <row r="200" spans="2:44" ht="15.95" customHeight="1">
      <c r="B200" s="272" t="str">
        <f>FOOT1</f>
        <v>NIPSCO Energy Efficiency Program</v>
      </c>
      <c r="C200" s="272"/>
      <c r="D200" s="272"/>
      <c r="E200" s="272"/>
      <c r="F200" s="272"/>
      <c r="G200" s="272"/>
      <c r="H200" s="272"/>
      <c r="I200" s="272"/>
      <c r="J200" s="272"/>
      <c r="K200" s="272"/>
      <c r="L200" s="272"/>
      <c r="M200" s="661" t="str">
        <f>FOOT4</f>
        <v>NIPSCO’s energy efficiency programs are administered by TRC, a third‐party implementation specialist that helps homes and businesses save energy.</v>
      </c>
      <c r="N200" s="661"/>
      <c r="O200" s="661"/>
      <c r="P200" s="661"/>
      <c r="Q200" s="661"/>
      <c r="R200" s="661"/>
      <c r="S200" s="661"/>
      <c r="T200" s="661"/>
      <c r="U200" s="661"/>
      <c r="V200" s="661"/>
      <c r="W200" s="661"/>
      <c r="X200" s="661"/>
      <c r="Y200" s="661"/>
      <c r="Z200" s="661"/>
      <c r="AA200" s="661"/>
      <c r="AB200" s="661"/>
      <c r="AC200" s="661"/>
      <c r="AD200" s="661"/>
      <c r="AE200" s="661"/>
      <c r="AF200" s="661"/>
      <c r="AG200" s="661"/>
      <c r="AH200" s="661"/>
      <c r="AI200" s="272"/>
      <c r="AJ200" s="272"/>
      <c r="AK200" s="272"/>
      <c r="AL200" s="272"/>
      <c r="AM200" s="272"/>
      <c r="AN200" s="272"/>
      <c r="AO200" s="272"/>
      <c r="AP200" s="272"/>
      <c r="AQ200" s="272"/>
      <c r="AR200" s="273" t="str">
        <f>FOOTDISCLAIM</f>
        <v/>
      </c>
    </row>
    <row r="201" spans="2:44" ht="15.95" customHeight="1">
      <c r="B201" s="272" t="str">
        <f>FOOT2</f>
        <v>Toll-Free 800-299-2501</v>
      </c>
      <c r="C201" s="272"/>
      <c r="D201" s="272"/>
      <c r="E201" s="272"/>
      <c r="F201" s="272"/>
      <c r="G201" s="272"/>
      <c r="H201" s="272"/>
      <c r="I201" s="272"/>
      <c r="J201" s="272"/>
      <c r="K201" s="272"/>
      <c r="L201" s="272"/>
      <c r="M201" s="661"/>
      <c r="N201" s="661"/>
      <c r="O201" s="661"/>
      <c r="P201" s="661"/>
      <c r="Q201" s="661"/>
      <c r="R201" s="661"/>
      <c r="S201" s="661"/>
      <c r="T201" s="661"/>
      <c r="U201" s="661"/>
      <c r="V201" s="661"/>
      <c r="W201" s="661"/>
      <c r="X201" s="661"/>
      <c r="Y201" s="661"/>
      <c r="Z201" s="661"/>
      <c r="AA201" s="661"/>
      <c r="AB201" s="661"/>
      <c r="AC201" s="661"/>
      <c r="AD201" s="661"/>
      <c r="AE201" s="661"/>
      <c r="AF201" s="661"/>
      <c r="AG201" s="661"/>
      <c r="AH201" s="661"/>
      <c r="AI201" s="272"/>
      <c r="AJ201" s="272"/>
      <c r="AK201" s="272"/>
      <c r="AL201" s="272"/>
      <c r="AM201" s="272"/>
      <c r="AN201" s="272"/>
      <c r="AO201" s="272"/>
      <c r="AP201" s="272"/>
      <c r="AQ201" s="272"/>
      <c r="AR201" s="273" t="str">
        <f>FOOT5</f>
        <v/>
      </c>
    </row>
    <row r="202" spans="2:44" ht="15.95" customHeight="1">
      <c r="B202" s="464" t="str">
        <f>FOOT3</f>
        <v>NIPSCO.Savings@TRCcompanies.com</v>
      </c>
      <c r="C202" s="272"/>
      <c r="D202" s="272"/>
      <c r="E202" s="272"/>
      <c r="F202" s="272"/>
      <c r="G202" s="272"/>
      <c r="H202" s="272"/>
      <c r="I202" s="272"/>
      <c r="J202" s="272"/>
      <c r="K202" s="272"/>
      <c r="L202" s="272"/>
      <c r="M202" s="274"/>
      <c r="N202" s="272"/>
      <c r="O202" s="272"/>
      <c r="P202" s="274"/>
      <c r="Q202" s="274"/>
      <c r="R202" s="274"/>
      <c r="S202" s="274"/>
      <c r="T202" s="274"/>
      <c r="U202" s="274"/>
      <c r="V202" s="274"/>
      <c r="W202" s="275" t="str">
        <f>VERSION</f>
        <v>Custom Prescriptive Application v3.7.1</v>
      </c>
      <c r="X202" s="274"/>
      <c r="Y202" s="274"/>
      <c r="Z202" s="274"/>
      <c r="AA202" s="274"/>
      <c r="AB202" s="274"/>
      <c r="AC202" s="274"/>
      <c r="AD202" s="274"/>
      <c r="AE202" s="272"/>
      <c r="AF202" s="272"/>
      <c r="AG202" s="272"/>
      <c r="AH202" s="272"/>
      <c r="AI202" s="272"/>
      <c r="AJ202" s="272"/>
      <c r="AK202" s="272"/>
      <c r="AL202" s="272"/>
      <c r="AM202" s="272"/>
      <c r="AN202" s="272"/>
      <c r="AO202" s="272"/>
      <c r="AP202" s="272"/>
      <c r="AQ202" s="272"/>
      <c r="AR202" s="273" t="str">
        <f>FOOT6</f>
        <v>Product of TRC</v>
      </c>
    </row>
    <row r="203" spans="2:44" ht="15" hidden="1" customHeight="1"/>
    <row r="204" spans="2:44" ht="15" hidden="1" customHeight="1"/>
    <row r="205" spans="2:44" ht="15" hidden="1" customHeight="1"/>
    <row r="206" spans="2:44" ht="15" hidden="1" customHeight="1"/>
    <row r="207" spans="2:44" ht="15" hidden="1" customHeight="1"/>
    <row r="208" spans="2:44" ht="15" hidden="1" customHeight="1"/>
    <row r="209" ht="15" hidden="1" customHeight="1"/>
    <row r="210" ht="15" hidden="1" customHeight="1"/>
    <row r="211" ht="15" hidden="1" customHeight="1"/>
    <row r="212" ht="15" hidden="1" customHeight="1"/>
    <row r="213" ht="15" hidden="1" customHeight="1"/>
    <row r="214" ht="15" hidden="1" customHeight="1"/>
    <row r="215" ht="15" hidden="1" customHeight="1"/>
    <row r="216" ht="15" hidden="1" customHeight="1"/>
    <row r="217" ht="15" hidden="1" customHeight="1"/>
    <row r="218" ht="15" hidden="1" customHeight="1"/>
    <row r="219" ht="15" hidden="1" customHeight="1"/>
  </sheetData>
  <sheetProtection algorithmName="SHA-512" hashValue="QQdbxAFGNO4n0+XR9qzd3O9EHYyCXuzCRec0+JrGH8UeYl6crNmHQ9C6dbw+1wwL1s2qXn1xNeDIahR6UV7gMQ==" saltValue="fbfqMUjudp/FGcM5hkboBg==" spinCount="100000" sheet="1" objects="1" scenarios="1"/>
  <mergeCells count="234">
    <mergeCell ref="AI60:AQ60"/>
    <mergeCell ref="AI58:AQ58"/>
    <mergeCell ref="AE58:AH58"/>
    <mergeCell ref="AI57:AQ57"/>
    <mergeCell ref="AE57:AH57"/>
    <mergeCell ref="AI59:AQ59"/>
    <mergeCell ref="AE52:AH52"/>
    <mergeCell ref="AI52:AQ52"/>
    <mergeCell ref="C42:F42"/>
    <mergeCell ref="C44:F44"/>
    <mergeCell ref="Q44:T44"/>
    <mergeCell ref="U44:AC44"/>
    <mergeCell ref="AE44:AH44"/>
    <mergeCell ref="AE45:AH45"/>
    <mergeCell ref="AI45:AQ45"/>
    <mergeCell ref="G39:O39"/>
    <mergeCell ref="U39:AC39"/>
    <mergeCell ref="U40:AC40"/>
    <mergeCell ref="N36:O36"/>
    <mergeCell ref="AE46:AH46"/>
    <mergeCell ref="AI46:AQ46"/>
    <mergeCell ref="AE47:AH47"/>
    <mergeCell ref="AI47:AQ47"/>
    <mergeCell ref="AE48:AH48"/>
    <mergeCell ref="AI48:AQ48"/>
    <mergeCell ref="C27:F27"/>
    <mergeCell ref="U31:AC31"/>
    <mergeCell ref="C28:F28"/>
    <mergeCell ref="C34:F34"/>
    <mergeCell ref="L34:O34"/>
    <mergeCell ref="G34:K34"/>
    <mergeCell ref="C29:F29"/>
    <mergeCell ref="C30:F30"/>
    <mergeCell ref="Q34:T34"/>
    <mergeCell ref="Q33:AC33"/>
    <mergeCell ref="U34:AC34"/>
    <mergeCell ref="L28:M28"/>
    <mergeCell ref="N28:O28"/>
    <mergeCell ref="G29:O29"/>
    <mergeCell ref="Q30:T30"/>
    <mergeCell ref="G23:K23"/>
    <mergeCell ref="AI29:AQ29"/>
    <mergeCell ref="L23:O23"/>
    <mergeCell ref="G25:K25"/>
    <mergeCell ref="L25:O25"/>
    <mergeCell ref="AE28:AH28"/>
    <mergeCell ref="Q23:T23"/>
    <mergeCell ref="AE24:AH24"/>
    <mergeCell ref="AE25:AH25"/>
    <mergeCell ref="AI27:AQ27"/>
    <mergeCell ref="AI28:AM28"/>
    <mergeCell ref="AN28:AO28"/>
    <mergeCell ref="AP28:AQ28"/>
    <mergeCell ref="G28:K28"/>
    <mergeCell ref="U28:AC28"/>
    <mergeCell ref="Q27:T27"/>
    <mergeCell ref="Q29:T29"/>
    <mergeCell ref="U29:AC29"/>
    <mergeCell ref="Q28:T28"/>
    <mergeCell ref="Q26:T26"/>
    <mergeCell ref="Q25:T25"/>
    <mergeCell ref="AN25:AQ25"/>
    <mergeCell ref="AI25:AM25"/>
    <mergeCell ref="AL1:AP1"/>
    <mergeCell ref="AH2:AK3"/>
    <mergeCell ref="AL2:AP3"/>
    <mergeCell ref="U14:X14"/>
    <mergeCell ref="Y14:AC14"/>
    <mergeCell ref="Q14:T14"/>
    <mergeCell ref="Q15:T15"/>
    <mergeCell ref="Q16:T16"/>
    <mergeCell ref="Q17:T17"/>
    <mergeCell ref="AH1:AK1"/>
    <mergeCell ref="AI17:AQ17"/>
    <mergeCell ref="AQ2:AR3"/>
    <mergeCell ref="U15:AC15"/>
    <mergeCell ref="U16:AC16"/>
    <mergeCell ref="U17:AC17"/>
    <mergeCell ref="AE14:AH14"/>
    <mergeCell ref="AE16:AH16"/>
    <mergeCell ref="AE17:AH17"/>
    <mergeCell ref="AQ1:AR1"/>
    <mergeCell ref="AI14:AQ14"/>
    <mergeCell ref="AI15:AQ15"/>
    <mergeCell ref="AI16:AQ16"/>
    <mergeCell ref="F10:AN10"/>
    <mergeCell ref="AE15:AH15"/>
    <mergeCell ref="C14:F14"/>
    <mergeCell ref="C16:F16"/>
    <mergeCell ref="G15:K15"/>
    <mergeCell ref="G16:K16"/>
    <mergeCell ref="L15:O15"/>
    <mergeCell ref="L16:O16"/>
    <mergeCell ref="G17:O17"/>
    <mergeCell ref="C15:F15"/>
    <mergeCell ref="G14:O14"/>
    <mergeCell ref="C17:F17"/>
    <mergeCell ref="Z22:AC22"/>
    <mergeCell ref="AI22:AQ22"/>
    <mergeCell ref="AI24:AQ24"/>
    <mergeCell ref="Q21:AC21"/>
    <mergeCell ref="U24:Y24"/>
    <mergeCell ref="Z24:AC24"/>
    <mergeCell ref="AN23:AQ23"/>
    <mergeCell ref="AE23:AH23"/>
    <mergeCell ref="AE18:AH18"/>
    <mergeCell ref="AI18:AQ18"/>
    <mergeCell ref="AI19:AQ19"/>
    <mergeCell ref="AE21:AQ21"/>
    <mergeCell ref="AI23:AM23"/>
    <mergeCell ref="AE19:AH19"/>
    <mergeCell ref="U18:AC18"/>
    <mergeCell ref="U19:AC19"/>
    <mergeCell ref="Q24:T24"/>
    <mergeCell ref="G19:O19"/>
    <mergeCell ref="C13:O13"/>
    <mergeCell ref="Q13:AC13"/>
    <mergeCell ref="AE13:AQ13"/>
    <mergeCell ref="C38:F38"/>
    <mergeCell ref="AE30:AH30"/>
    <mergeCell ref="C19:F19"/>
    <mergeCell ref="C21:O21"/>
    <mergeCell ref="C18:F18"/>
    <mergeCell ref="C25:F25"/>
    <mergeCell ref="G22:O22"/>
    <mergeCell ref="G24:O24"/>
    <mergeCell ref="C22:F22"/>
    <mergeCell ref="C23:F23"/>
    <mergeCell ref="U25:AC25"/>
    <mergeCell ref="Q19:T19"/>
    <mergeCell ref="U23:AC23"/>
    <mergeCell ref="C24:F24"/>
    <mergeCell ref="Q18:T18"/>
    <mergeCell ref="G18:O18"/>
    <mergeCell ref="AE33:AQ33"/>
    <mergeCell ref="Q22:T22"/>
    <mergeCell ref="AE22:AH22"/>
    <mergeCell ref="U22:Y22"/>
    <mergeCell ref="M200:AH201"/>
    <mergeCell ref="AI34:AQ34"/>
    <mergeCell ref="AE35:AH35"/>
    <mergeCell ref="AE49:AH49"/>
    <mergeCell ref="AE50:AH50"/>
    <mergeCell ref="AE51:AH51"/>
    <mergeCell ref="AE53:AH53"/>
    <mergeCell ref="AE54:AH54"/>
    <mergeCell ref="AE55:AH55"/>
    <mergeCell ref="AE56:AH56"/>
    <mergeCell ref="AI49:AQ49"/>
    <mergeCell ref="AI50:AQ50"/>
    <mergeCell ref="AI51:AQ51"/>
    <mergeCell ref="AI53:AQ53"/>
    <mergeCell ref="AI54:AQ54"/>
    <mergeCell ref="AI55:AQ55"/>
    <mergeCell ref="AI56:AQ56"/>
    <mergeCell ref="AI35:AQ35"/>
    <mergeCell ref="AI40:AQ40"/>
    <mergeCell ref="AE41:AH41"/>
    <mergeCell ref="AI41:AQ41"/>
    <mergeCell ref="G42:O42"/>
    <mergeCell ref="G43:O43"/>
    <mergeCell ref="Q42:T42"/>
    <mergeCell ref="AE34:AH34"/>
    <mergeCell ref="AI30:AQ30"/>
    <mergeCell ref="Q36:T36"/>
    <mergeCell ref="G26:O26"/>
    <mergeCell ref="G27:O27"/>
    <mergeCell ref="AE29:AH29"/>
    <mergeCell ref="U26:AC26"/>
    <mergeCell ref="U27:AC27"/>
    <mergeCell ref="AI26:AQ26"/>
    <mergeCell ref="AE26:AH26"/>
    <mergeCell ref="AE27:AH27"/>
    <mergeCell ref="U30:AC30"/>
    <mergeCell ref="Q31:T31"/>
    <mergeCell ref="C33:O33"/>
    <mergeCell ref="C26:F26"/>
    <mergeCell ref="C36:F36"/>
    <mergeCell ref="G36:K36"/>
    <mergeCell ref="L36:M36"/>
    <mergeCell ref="G30:O30"/>
    <mergeCell ref="Z35:AC35"/>
    <mergeCell ref="C31:F31"/>
    <mergeCell ref="G31:O31"/>
    <mergeCell ref="AE31:AH31"/>
    <mergeCell ref="AI31:AQ31"/>
    <mergeCell ref="U35:Y35"/>
    <mergeCell ref="Q35:T35"/>
    <mergeCell ref="G35:O35"/>
    <mergeCell ref="C35:F35"/>
    <mergeCell ref="U41:AC41"/>
    <mergeCell ref="U42:AC42"/>
    <mergeCell ref="U43:AC43"/>
    <mergeCell ref="U37:Y37"/>
    <mergeCell ref="Z37:AA37"/>
    <mergeCell ref="AB37:AC37"/>
    <mergeCell ref="Q41:T41"/>
    <mergeCell ref="C43:F43"/>
    <mergeCell ref="G41:O41"/>
    <mergeCell ref="G37:O37"/>
    <mergeCell ref="C39:F39"/>
    <mergeCell ref="C40:F40"/>
    <mergeCell ref="C41:F41"/>
    <mergeCell ref="G40:O40"/>
    <mergeCell ref="Q37:T37"/>
    <mergeCell ref="Q38:T38"/>
    <mergeCell ref="Q39:T39"/>
    <mergeCell ref="Q40:T40"/>
    <mergeCell ref="Q43:T43"/>
    <mergeCell ref="C37:F37"/>
    <mergeCell ref="AE61:AH61"/>
    <mergeCell ref="AI61:AQ61"/>
    <mergeCell ref="AE62:AH62"/>
    <mergeCell ref="AI62:AQ62"/>
    <mergeCell ref="U36:AC36"/>
    <mergeCell ref="U38:AC38"/>
    <mergeCell ref="G44:O44"/>
    <mergeCell ref="AI37:AQ37"/>
    <mergeCell ref="AI44:AQ44"/>
    <mergeCell ref="AE37:AH37"/>
    <mergeCell ref="C46:AC46"/>
    <mergeCell ref="C47:AC52"/>
    <mergeCell ref="AE36:AH36"/>
    <mergeCell ref="AI36:AQ36"/>
    <mergeCell ref="AE38:AH38"/>
    <mergeCell ref="AI38:AQ38"/>
    <mergeCell ref="AE42:AH42"/>
    <mergeCell ref="AI42:AQ42"/>
    <mergeCell ref="AE43:AH43"/>
    <mergeCell ref="AI43:AQ43"/>
    <mergeCell ref="AE39:AH39"/>
    <mergeCell ref="AI39:AQ39"/>
    <mergeCell ref="AE40:AH40"/>
    <mergeCell ref="G38:O38"/>
  </mergeCells>
  <conditionalFormatting sqref="U14 Y14">
    <cfRule type="containsText" dxfId="12" priority="7" operator="containsText" text="Almost">
      <formula>NOT(ISERROR(SEARCH("Almost",U14)))</formula>
    </cfRule>
    <cfRule type="containsText" dxfId="11" priority="9" operator="containsText" text="Incomplete">
      <formula>NOT(ISERROR(SEARCH("Incomplete",U14)))</formula>
    </cfRule>
  </conditionalFormatting>
  <conditionalFormatting sqref="U15:AC19">
    <cfRule type="containsText" dxfId="10" priority="1" operator="containsText" text="Almost">
      <formula>NOT(ISERROR(SEARCH("Almost",U15)))</formula>
    </cfRule>
    <cfRule type="containsText" dxfId="9" priority="2" operator="containsText" text="Incomplete">
      <formula>NOT(ISERROR(SEARCH("Incomplete",U15)))</formula>
    </cfRule>
  </conditionalFormatting>
  <conditionalFormatting sqref="AH2 AL2">
    <cfRule type="expression" dxfId="8" priority="11">
      <formula>PROJSTATUS=PROJSTATELI</formula>
    </cfRule>
    <cfRule type="expression" dxfId="7" priority="12">
      <formula>PROJSTATUS=PROJSTATREVIEW</formula>
    </cfRule>
    <cfRule type="expression" dxfId="6" priority="16">
      <formula>PROJSTATUS=PROJSTATPREAPPROVE</formula>
    </cfRule>
    <cfRule type="expression" dxfId="5" priority="17">
      <formula>PROJSTATUS=PROJSTATSTANDARD</formula>
    </cfRule>
    <cfRule type="expression" dxfId="4" priority="18">
      <formula>PROJSTATUS=PROJSTATEXP</formula>
    </cfRule>
  </conditionalFormatting>
  <conditionalFormatting sqref="AI14:AQ19">
    <cfRule type="containsBlanks" dxfId="3" priority="10">
      <formula>LEN(TRIM(AI14))=0</formula>
    </cfRule>
  </conditionalFormatting>
  <conditionalFormatting sqref="AQ2:AR3">
    <cfRule type="cellIs" dxfId="2" priority="13" operator="equal">
      <formula>1</formula>
    </cfRule>
    <cfRule type="cellIs" dxfId="1" priority="14" operator="between">
      <formula>0.51</formula>
      <formula>0.99</formula>
    </cfRule>
    <cfRule type="cellIs" dxfId="0" priority="15" operator="lessThanOrEqual">
      <formula>0.5</formula>
    </cfRule>
  </conditionalFormatting>
  <dataValidations disablePrompts="1" count="3">
    <dataValidation type="list" allowBlank="1" showInputMessage="1" sqref="AI15:AQ15" xr:uid="{00000000-0002-0000-2B00-000000000000}">
      <formula1>IMPLSPECNAME</formula1>
    </dataValidation>
    <dataValidation type="list" allowBlank="1" showInputMessage="1" sqref="AI16:AQ16" xr:uid="{00000000-0002-0000-2B00-000001000000}">
      <formula1>ENGINEERZNAME</formula1>
    </dataValidation>
    <dataValidation type="list" allowBlank="1" showInputMessage="1" showErrorMessage="1" sqref="AI17:AQ17" xr:uid="{00000000-0002-0000-2B00-000002000000}">
      <formula1>"Submitted,Reviewed,Final"</formula1>
    </dataValidation>
  </dataValidations>
  <hyperlinks>
    <hyperlink ref="B202" r:id="rId1" display="NIPSCO.Savings@LMCO.com" xr:uid="{00000000-0004-0000-2B00-000000000000}"/>
    <hyperlink ref="B202:H202" r:id="rId2" display="mailto:IM.EnergyEfficiency@TRCcompanies.com" xr:uid="{02FD868E-9E75-499F-9DC4-C50747713DA2}"/>
  </hyperlinks>
  <printOptions horizontalCentered="1" verticalCentered="1"/>
  <pageMargins left="0.3" right="0.3" top="0.3" bottom="0.3" header="0.25" footer="0.25"/>
  <pageSetup scale="68" fitToHeight="0" orientation="landscape" r:id="rId3"/>
  <drawing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2">
    <tabColor theme="0" tint="-0.249977111117893"/>
  </sheetPr>
  <dimension ref="A1:DK768"/>
  <sheetViews>
    <sheetView zoomScale="80" zoomScaleNormal="80" workbookViewId="0">
      <pane ySplit="1" topLeftCell="A384" activePane="bottomLeft" state="frozen"/>
      <selection activeCell="AU16" sqref="AU16:AU17"/>
      <selection pane="bottomLeft" activeCell="K386" sqref="K386"/>
    </sheetView>
  </sheetViews>
  <sheetFormatPr defaultColWidth="8.7109375" defaultRowHeight="15"/>
  <cols>
    <col min="1" max="3" width="8.7109375" style="57"/>
    <col min="4" max="4" width="11.7109375" customWidth="1"/>
    <col min="5" max="5" width="8.7109375" customWidth="1"/>
    <col min="6" max="6" width="8.7109375" style="111" customWidth="1"/>
    <col min="7" max="8" width="8.7109375" customWidth="1"/>
    <col min="9" max="12" width="8.7109375" style="52" customWidth="1"/>
    <col min="13" max="13" width="9.28515625" style="111" bestFit="1" customWidth="1"/>
    <col min="14" max="14" width="9.28515625" style="52" bestFit="1" customWidth="1"/>
    <col min="15" max="15" width="8.7109375" style="23" customWidth="1"/>
    <col min="16" max="18" width="8.7109375" style="52" customWidth="1"/>
    <col min="19" max="19" width="8.7109375" style="111" customWidth="1"/>
    <col min="20" max="20" width="8.7109375" style="52" customWidth="1"/>
    <col min="21" max="21" width="8.7109375" style="136" customWidth="1"/>
    <col min="22" max="22" width="8.7109375" style="52" customWidth="1"/>
    <col min="23" max="23" width="8.7109375" customWidth="1"/>
    <col min="24" max="24" width="9.5703125" style="52" bestFit="1" customWidth="1"/>
    <col min="25" max="25" width="8.7109375" style="52" customWidth="1"/>
    <col min="26" max="26" width="8.7109375" style="111" customWidth="1"/>
    <col min="27" max="27" width="11.85546875" customWidth="1"/>
    <col min="28" max="28" width="10.5703125" customWidth="1"/>
    <col min="29" max="30" width="8.7109375" customWidth="1"/>
    <col min="31" max="32" width="8.7109375" style="23" customWidth="1"/>
    <col min="33" max="36" width="8.7109375" style="111" customWidth="1"/>
    <col min="37" max="37" width="8.7109375" style="52" customWidth="1"/>
    <col min="38" max="38" width="14.7109375" style="98" customWidth="1"/>
    <col min="39" max="40" width="8.7109375" style="98" customWidth="1"/>
    <col min="41" max="41" width="10.5703125" style="98" bestFit="1" customWidth="1"/>
    <col min="42" max="46" width="8.7109375" style="98"/>
    <col min="47" max="47" width="9.5703125" style="98" customWidth="1"/>
    <col min="84" max="84" width="8.7109375" customWidth="1"/>
    <col min="94" max="94" width="8.7109375" customWidth="1"/>
    <col min="105" max="105" width="8.7109375" customWidth="1"/>
    <col min="113" max="113" width="12" customWidth="1"/>
  </cols>
  <sheetData>
    <row r="1" spans="1:115" ht="45" customHeight="1">
      <c r="A1" s="182" t="s">
        <v>536</v>
      </c>
      <c r="B1" s="266" t="s">
        <v>538</v>
      </c>
      <c r="C1" s="270" t="s">
        <v>537</v>
      </c>
      <c r="D1" s="267" t="s">
        <v>0</v>
      </c>
      <c r="E1" s="9"/>
      <c r="F1" s="264" t="s">
        <v>1254</v>
      </c>
      <c r="G1" s="265" t="s">
        <v>95</v>
      </c>
      <c r="H1" s="265" t="s">
        <v>2153</v>
      </c>
      <c r="I1" s="263" t="s">
        <v>1250</v>
      </c>
      <c r="J1" s="263" t="s">
        <v>1249</v>
      </c>
      <c r="K1" s="263" t="s">
        <v>1253</v>
      </c>
      <c r="L1" s="263" t="s">
        <v>2154</v>
      </c>
      <c r="M1" s="264" t="s">
        <v>688</v>
      </c>
      <c r="N1" s="263" t="s">
        <v>1265</v>
      </c>
      <c r="O1" s="465" t="s">
        <v>1266</v>
      </c>
      <c r="P1" s="263" t="s">
        <v>1267</v>
      </c>
      <c r="Q1" s="263" t="s">
        <v>2155</v>
      </c>
      <c r="R1" s="263" t="s">
        <v>1264</v>
      </c>
      <c r="S1" s="268" t="s">
        <v>1263</v>
      </c>
      <c r="T1" s="309" t="s">
        <v>1259</v>
      </c>
      <c r="U1" s="269" t="s">
        <v>1260</v>
      </c>
      <c r="V1" s="309" t="s">
        <v>1261</v>
      </c>
      <c r="W1" s="267" t="s">
        <v>1262</v>
      </c>
      <c r="X1" s="263" t="s">
        <v>1251</v>
      </c>
      <c r="Y1" s="263" t="s">
        <v>1252</v>
      </c>
      <c r="Z1" s="268" t="s">
        <v>547</v>
      </c>
      <c r="AA1" s="267" t="s">
        <v>1247</v>
      </c>
      <c r="AB1" s="267" t="s">
        <v>1246</v>
      </c>
      <c r="AC1" s="267" t="s">
        <v>1276</v>
      </c>
      <c r="AD1" s="267" t="s">
        <v>1248</v>
      </c>
      <c r="AE1" s="465" t="s">
        <v>1274</v>
      </c>
      <c r="AF1" s="465" t="s">
        <v>1275</v>
      </c>
      <c r="AG1" s="264" t="s">
        <v>1255</v>
      </c>
      <c r="AH1" s="264" t="s">
        <v>1256</v>
      </c>
      <c r="AI1" s="264" t="s">
        <v>1257</v>
      </c>
      <c r="AJ1" s="264" t="s">
        <v>1258</v>
      </c>
      <c r="AK1" s="309" t="s">
        <v>539</v>
      </c>
      <c r="AL1" s="263" t="s">
        <v>1444</v>
      </c>
      <c r="AM1" s="263" t="s">
        <v>1445</v>
      </c>
      <c r="AN1" s="263" t="s">
        <v>1446</v>
      </c>
      <c r="AO1" s="263" t="s">
        <v>1451</v>
      </c>
      <c r="AP1" s="97"/>
      <c r="AQ1" s="97"/>
      <c r="AR1" s="97"/>
      <c r="AS1" s="97"/>
      <c r="AT1" s="97"/>
      <c r="AU1" t="s">
        <v>441</v>
      </c>
      <c r="AV1" s="9" t="s">
        <v>902</v>
      </c>
      <c r="AW1" s="9" t="s">
        <v>840</v>
      </c>
      <c r="AX1" s="9" t="s">
        <v>841</v>
      </c>
      <c r="AY1" s="9" t="s">
        <v>1273</v>
      </c>
      <c r="AZ1" s="94" t="s">
        <v>842</v>
      </c>
      <c r="BA1" s="95"/>
      <c r="BB1" s="93" t="s">
        <v>540</v>
      </c>
      <c r="BC1" s="9" t="s">
        <v>541</v>
      </c>
      <c r="BD1" s="9" t="s">
        <v>542</v>
      </c>
      <c r="BE1" s="9" t="s">
        <v>543</v>
      </c>
      <c r="BF1" s="93" t="s">
        <v>544</v>
      </c>
      <c r="BG1" s="9" t="s">
        <v>545</v>
      </c>
      <c r="BH1" s="9" t="s">
        <v>546</v>
      </c>
      <c r="BI1" s="9" t="s">
        <v>1270</v>
      </c>
      <c r="BJ1" s="9" t="s">
        <v>1271</v>
      </c>
      <c r="BK1" s="9" t="s">
        <v>1269</v>
      </c>
      <c r="BL1" s="95"/>
      <c r="BM1" s="9" t="s">
        <v>908</v>
      </c>
      <c r="BN1" s="9" t="s">
        <v>167</v>
      </c>
      <c r="BO1" s="9" t="s">
        <v>843</v>
      </c>
      <c r="BP1" s="9" t="s">
        <v>844</v>
      </c>
      <c r="BQ1" s="9" t="s">
        <v>845</v>
      </c>
      <c r="BR1" s="9" t="s">
        <v>505</v>
      </c>
      <c r="BS1" s="9" t="s">
        <v>2385</v>
      </c>
      <c r="BT1" s="9" t="s">
        <v>2156</v>
      </c>
      <c r="BU1" s="9" t="s">
        <v>846</v>
      </c>
      <c r="BV1" s="9" t="s">
        <v>847</v>
      </c>
      <c r="BW1" s="9" t="s">
        <v>1268</v>
      </c>
      <c r="BX1" s="95"/>
      <c r="BY1" s="9" t="s">
        <v>874</v>
      </c>
      <c r="BZ1" s="9" t="s">
        <v>1272</v>
      </c>
      <c r="CA1" s="95"/>
      <c r="CB1" s="168" t="s">
        <v>550</v>
      </c>
      <c r="CC1" s="168" t="s">
        <v>551</v>
      </c>
      <c r="CD1" s="168" t="s">
        <v>552</v>
      </c>
      <c r="CE1" s="168" t="s">
        <v>553</v>
      </c>
      <c r="CF1" s="168" t="s">
        <v>554</v>
      </c>
      <c r="CG1" s="168" t="s">
        <v>555</v>
      </c>
      <c r="CH1" s="168" t="s">
        <v>556</v>
      </c>
      <c r="CI1" s="168" t="s">
        <v>557</v>
      </c>
      <c r="CJ1" s="168" t="s">
        <v>558</v>
      </c>
      <c r="CK1" s="168" t="s">
        <v>559</v>
      </c>
      <c r="CL1" s="168" t="s">
        <v>560</v>
      </c>
      <c r="CM1" s="168" t="s">
        <v>561</v>
      </c>
      <c r="CN1" s="168" t="s">
        <v>562</v>
      </c>
      <c r="CO1" s="168" t="s">
        <v>563</v>
      </c>
      <c r="CP1" s="168" t="s">
        <v>564</v>
      </c>
      <c r="CQ1" s="168" t="s">
        <v>565</v>
      </c>
      <c r="CR1" s="168" t="s">
        <v>566</v>
      </c>
      <c r="CS1" s="168" t="s">
        <v>567</v>
      </c>
      <c r="CT1" s="168" t="s">
        <v>568</v>
      </c>
      <c r="CU1" s="168" t="s">
        <v>569</v>
      </c>
      <c r="CV1" s="95"/>
      <c r="CW1" s="168" t="s">
        <v>570</v>
      </c>
      <c r="CX1" s="168" t="s">
        <v>571</v>
      </c>
      <c r="CY1" s="168" t="s">
        <v>572</v>
      </c>
      <c r="CZ1" s="168" t="s">
        <v>573</v>
      </c>
      <c r="DA1" s="168" t="s">
        <v>574</v>
      </c>
      <c r="DB1" s="168" t="s">
        <v>575</v>
      </c>
      <c r="DC1" s="168" t="s">
        <v>576</v>
      </c>
      <c r="DD1" s="168" t="s">
        <v>577</v>
      </c>
      <c r="DE1" s="168" t="s">
        <v>578</v>
      </c>
      <c r="DF1" s="168" t="s">
        <v>579</v>
      </c>
      <c r="DG1" s="168" t="s">
        <v>2087</v>
      </c>
      <c r="DH1" s="168" t="s">
        <v>2088</v>
      </c>
      <c r="DI1" s="168" t="s">
        <v>2157</v>
      </c>
      <c r="DJ1" s="168" t="s">
        <v>1057</v>
      </c>
      <c r="DK1" s="168" t="s">
        <v>1057</v>
      </c>
    </row>
    <row r="2" spans="1:115">
      <c r="A2" s="57">
        <f t="shared" ref="A2:A53" si="0">PROJID</f>
        <v>0</v>
      </c>
      <c r="AL2" s="52"/>
      <c r="AM2" s="52"/>
      <c r="AN2" s="52"/>
      <c r="AO2" s="52"/>
      <c r="AU2" t="str">
        <f>IF(M02S03F01="Yes","Contractor-Installed",IF(M02S03F01="No","Self-Installed",""))</f>
        <v/>
      </c>
      <c r="AV2" t="str">
        <f>IF(M05S07F02=0,"",M05S07F02)</f>
        <v/>
      </c>
      <c r="AW2" s="57">
        <f>PROJID</f>
        <v>0</v>
      </c>
      <c r="AX2">
        <f>M02S02F13</f>
        <v>0</v>
      </c>
      <c r="AY2" t="str">
        <f>VERSION</f>
        <v>Custom Prescriptive Application v3.7.1</v>
      </c>
      <c r="AZ2" t="s">
        <v>236</v>
      </c>
      <c r="BA2" s="92"/>
      <c r="BB2" t="str">
        <f>PROPER(M02S04F02)</f>
        <v/>
      </c>
      <c r="BC2" t="str">
        <f>PROPER(CONCATENATE(M02S04F03," ",M02S04F04))</f>
        <v xml:space="preserve"> </v>
      </c>
      <c r="BD2" t="str">
        <f>PROPER(M02S04F07)</f>
        <v/>
      </c>
      <c r="BE2" t="str">
        <f>PROPER(M02S04F08)</f>
        <v/>
      </c>
      <c r="BF2" t="str">
        <f>M02S04F09</f>
        <v/>
      </c>
      <c r="BG2" t="str">
        <f>M02S04F10</f>
        <v/>
      </c>
      <c r="BH2" s="51" t="str">
        <f>M02S04F05</f>
        <v/>
      </c>
      <c r="BI2" t="str">
        <f>IFERROR(INDEX(TAXENTITY[System Text],MATCH(M02S04F11,TAXENTITY[Tax Entity],0)),"")</f>
        <v/>
      </c>
      <c r="BJ2" t="str">
        <f>CONCATENATE(M02S04F12,"-",M02S04F12.1)</f>
        <v>-</v>
      </c>
      <c r="BK2" t="str">
        <f>IFERROR(INDEX(PAYMENT[Payment Preference],MATCH(M02S04F01,PAYMENT[Payment to],0)),"")</f>
        <v/>
      </c>
      <c r="BL2" s="92"/>
      <c r="BM2">
        <f>M02S02F12</f>
        <v>0</v>
      </c>
      <c r="BN2" s="111">
        <f>M02S02F30</f>
        <v>0</v>
      </c>
      <c r="BO2" s="111">
        <f>M02S02F28</f>
        <v>0</v>
      </c>
      <c r="BP2" s="111">
        <f>M02S02F29</f>
        <v>0</v>
      </c>
      <c r="BQ2" s="111">
        <f>M02S02F31</f>
        <v>0</v>
      </c>
      <c r="BR2">
        <f>M02S02F27</f>
        <v>0</v>
      </c>
      <c r="BS2">
        <f>M02S02F52</f>
        <v>0</v>
      </c>
      <c r="BT2">
        <f>M02S02F26</f>
        <v>0</v>
      </c>
      <c r="BU2">
        <f>M02S02F33</f>
        <v>0</v>
      </c>
      <c r="BV2">
        <f>M02S02F32</f>
        <v>0</v>
      </c>
      <c r="BW2">
        <f>M02S02F11.1</f>
        <v>0</v>
      </c>
      <c r="BX2" s="92"/>
      <c r="BY2" s="50" t="str">
        <f>IF(M05S02F04=0,"",M05S02F04)</f>
        <v/>
      </c>
      <c r="BZ2" s="50" t="str">
        <f>IF(M05S03F01=0,"",M05S03F01)</f>
        <v/>
      </c>
      <c r="CA2" s="92"/>
      <c r="CB2" s="169" t="str">
        <f>M02S02F16</f>
        <v/>
      </c>
      <c r="CC2" s="169" t="str">
        <f>M02S02F17</f>
        <v/>
      </c>
      <c r="CD2" s="169" t="str">
        <f>M02S02F18</f>
        <v/>
      </c>
      <c r="CE2" s="169" t="str">
        <f>M02S02F34</f>
        <v/>
      </c>
      <c r="CF2" s="170" t="str">
        <f>M02S02F19</f>
        <v/>
      </c>
      <c r="CG2" s="169" t="str">
        <f>M02S02F21</f>
        <v/>
      </c>
      <c r="CH2" s="169" t="str">
        <f>M02S02F22</f>
        <v/>
      </c>
      <c r="CI2" s="169" t="str">
        <f>M02S02F23</f>
        <v/>
      </c>
      <c r="CJ2" s="169" t="str">
        <f>M02S02F24</f>
        <v>IN</v>
      </c>
      <c r="CK2" s="169" t="str">
        <f>M02S02F25</f>
        <v/>
      </c>
      <c r="CL2" s="169">
        <f>M02S02F02</f>
        <v>0</v>
      </c>
      <c r="CM2" s="169">
        <f>M02S02F03</f>
        <v>0</v>
      </c>
      <c r="CN2" s="169">
        <f>M02S02F04</f>
        <v>0</v>
      </c>
      <c r="CO2" s="169">
        <f>M02S02F01</f>
        <v>0</v>
      </c>
      <c r="CP2" s="170">
        <f>M02S02F05</f>
        <v>0</v>
      </c>
      <c r="CQ2" s="169">
        <f>M02S02F07</f>
        <v>0</v>
      </c>
      <c r="CR2" s="169">
        <f>M02S02F08</f>
        <v>0</v>
      </c>
      <c r="CS2" s="169">
        <f>M02S02F09</f>
        <v>0</v>
      </c>
      <c r="CT2" s="169">
        <f>M02S02F10</f>
        <v>0</v>
      </c>
      <c r="CU2" s="169">
        <f>M02S02F11</f>
        <v>0</v>
      </c>
      <c r="CV2" s="92"/>
      <c r="CW2" s="169">
        <f>M02S03F03</f>
        <v>0</v>
      </c>
      <c r="CX2" s="169">
        <f>M02S03F04</f>
        <v>0</v>
      </c>
      <c r="CY2" s="169">
        <f>M02S03F05</f>
        <v>0</v>
      </c>
      <c r="CZ2" s="169">
        <f>M02S03F02</f>
        <v>0</v>
      </c>
      <c r="DA2" s="170">
        <f>M02S03F06</f>
        <v>0</v>
      </c>
      <c r="DB2" s="169">
        <f>M02S03F08</f>
        <v>0</v>
      </c>
      <c r="DC2" s="169">
        <f>M02S03F09</f>
        <v>0</v>
      </c>
      <c r="DD2" s="169">
        <f>M02S03F10</f>
        <v>0</v>
      </c>
      <c r="DE2" s="169">
        <f>M02S03F11</f>
        <v>0</v>
      </c>
      <c r="DF2" s="169">
        <f>M02S03F12</f>
        <v>0</v>
      </c>
      <c r="DG2" s="168">
        <f>M02S02F47</f>
        <v>0</v>
      </c>
      <c r="DH2" s="168">
        <f>M02S03F13</f>
        <v>0</v>
      </c>
      <c r="DI2" s="637" t="str">
        <f>IF(M05S02F07="","",M05S02F07)</f>
        <v/>
      </c>
      <c r="DJ2" s="168"/>
      <c r="DK2" s="168"/>
    </row>
    <row r="3" spans="1:115">
      <c r="A3" s="146" t="str">
        <f>CONCATENATE(MAIN3," ",M3S1)</f>
        <v>PRESCRIPTIVE MEASURES INPUT Lighting</v>
      </c>
      <c r="B3" s="147"/>
      <c r="C3" s="147"/>
      <c r="D3" s="120"/>
      <c r="E3" s="120"/>
      <c r="F3" s="121"/>
      <c r="G3" s="122"/>
      <c r="H3" s="122"/>
      <c r="I3" s="123"/>
      <c r="J3" s="123"/>
      <c r="K3" s="123"/>
      <c r="L3" s="123"/>
      <c r="M3" s="121"/>
      <c r="N3" s="123"/>
      <c r="O3" s="466"/>
      <c r="P3" s="123"/>
      <c r="Q3" s="123"/>
      <c r="R3" s="123"/>
      <c r="S3" s="121"/>
      <c r="T3" s="123"/>
      <c r="U3" s="137"/>
      <c r="V3" s="123"/>
      <c r="W3" s="122"/>
      <c r="X3" s="123"/>
      <c r="Y3" s="123"/>
      <c r="Z3" s="121"/>
      <c r="AA3" s="121"/>
      <c r="AB3" s="121"/>
      <c r="AC3" s="122"/>
      <c r="AD3" s="122"/>
      <c r="AE3" s="466"/>
      <c r="AF3" s="466"/>
      <c r="AG3" s="121"/>
      <c r="AH3" s="121"/>
      <c r="AI3" s="121"/>
      <c r="AJ3" s="121"/>
      <c r="AK3" s="123"/>
      <c r="AL3" s="123"/>
      <c r="AM3" s="123"/>
      <c r="AN3" s="123"/>
      <c r="AO3" s="123"/>
      <c r="AU3"/>
    </row>
    <row r="4" spans="1:115">
      <c r="A4" s="57">
        <f>PROJID</f>
        <v>0</v>
      </c>
      <c r="B4" s="183" t="str">
        <f t="shared" ref="B4:B51" si="1">IF(C4="","",CONCATENATE(ROW(),"-",C4))</f>
        <v/>
      </c>
      <c r="C4" t="str">
        <f>IFERROR(IF(R4&gt;0,INDEX(PMELIGHT[Measure '#],MATCH(AB4,PMELIGHT[Eff Desc 1],0)),""),"")</f>
        <v/>
      </c>
      <c r="D4" t="s">
        <v>947</v>
      </c>
      <c r="F4" s="185">
        <f>INDEX('M03-S01'!$AB$16:$AB$198,2*(ROWS($F$4:F4)-1)+1)</f>
        <v>0</v>
      </c>
      <c r="G4" s="186">
        <f>INDEX('M03-S01'!$Y$16:$Y$198,2*(ROWS($G$4:G4)-1)+1)</f>
        <v>0</v>
      </c>
      <c r="H4" s="186" t="str">
        <f>IF(ISNUMBER(INDEX('M03-S01'!$AN$16:$AN$198,2*(ROWS($R$4:R4)-1)+1)),"Total","")</f>
        <v/>
      </c>
      <c r="I4" s="184">
        <f>IFERROR(ROUND(INDEX('M03-S01'!$S$16:$S$198,2*(ROWS($I$4:I4)-1)+1)*INDEX('M03-S01'!$AE$16:$AE$198,2*(ROWS($I$4:I4)-1)+1),2),0)</f>
        <v>0</v>
      </c>
      <c r="J4" s="184">
        <f>IFERROR(ROUND(INDEX('M03-S01'!$S$16:$S$198,2*(ROWS($J$4:J4)-1)+1)*INDEX('M03-S01'!$AG$16:$AG$198,2*(ROWS($J$4:J4)-1)+1),2),0)</f>
        <v>0</v>
      </c>
      <c r="K4" s="52">
        <f>IFERROR(ROUND(INDEX('M03-S01'!$AU$16:$AU$198,2*(ROWS($K$4:K4)-1)+1),2),0)</f>
        <v>0</v>
      </c>
      <c r="L4" s="52" t="str">
        <f>IFERROR(IF(R4&gt;0,M4*INDEX(PMELIGHT[Incremental Cost],MATCH(AB4,PMELIGHT[Eff Desc 1],0)),""),"")</f>
        <v/>
      </c>
      <c r="M4" s="456">
        <f>IF(ISNUMBER(SEARCH("8ft",INDEX('M03-S01'!$K$16:$K$198,2*(ROWS($M$4:M4)-1)+1))),INDEX('M03-S01'!$S$16:$S$198,2*(ROWS($M$4:M4)-1)+1)*2,INDEX('M03-S01'!$S$16:$S$198,2*(ROWS($M$4:M4)-1)+1))</f>
        <v>0</v>
      </c>
      <c r="N4" s="184" t="str">
        <f>IF(ISNUMBER(INDEX('M03-S01'!$AN$16:$AN$198,2*(ROWS($R$4:R4)-1)+1)),INDEX('M03-S01'!$AK$16:$AK$198,2*(ROWS($N$4:N4)-1)+1),"")</f>
        <v/>
      </c>
      <c r="O4" s="456" t="str">
        <f>IFERROR(IF(ISNUMBER(INDEX('M03-S01'!$AN$16:$AN$198,2*(ROWS($R$4:R4)-1)+1)),INDEX('M03-S01'!$AV$16:$AV$198,2*(ROWS($O$4:O4)-1)+1),""),"")</f>
        <v/>
      </c>
      <c r="P4" s="459"/>
      <c r="Q4" s="184" t="str">
        <f>IFERROR(IF(ISNUMBER(INDEX('M03-S01'!$AN$16:$AN$198,2*(ROWS($R$4:R4)-1)+1)),INDEX('M03-S01'!$AY$16:$AY$198,2*(ROWS($Q$4:Q4)-1)+1),""),"")</f>
        <v/>
      </c>
      <c r="R4" s="184">
        <f>IF(ISNUMBER(INDEX('M03-S01'!$AN$16:$AN$198,2*(ROWS($R$4:R4)-1)+1)),INDEX('M03-S01'!$AN$16:$AN$198,2*(ROWS($R$4:R4)-1)+1),0)</f>
        <v>0</v>
      </c>
      <c r="S4" s="459"/>
      <c r="T4" s="113"/>
      <c r="U4" s="140"/>
      <c r="V4" s="113"/>
      <c r="W4" s="96" t="str">
        <f>IFERROR(IF(NOT(ISNUMBER(INDEX('M03-S01'!$AN$16:$AN$198,2*(ROWS($R$4:R4)-1)+1))),INDEX('M03-S01'!$BC$16:$BC$198,2*(ROWS($R$4:R4)-1)+1),""),"")</f>
        <v/>
      </c>
      <c r="X4" s="184" t="str">
        <f>IFERROR(ROUND(IF(ISNUMBER(SEARCH("8ft",INDEX('M03-S01'!$K$16:$K$198,2*(ROWS($X$4:X4)-1)+1))),INDEX('M03-S01'!$I$16:$I$198,2*(ROWS($X$4:X4)-1)+1)/2,INDEX('M03-S01'!$I$16:$I$198,2*(ROWS($X$4:X4)-1)+1)),3),"")</f>
        <v/>
      </c>
      <c r="Y4" s="184" t="str">
        <f>IFERROR(ROUND(IF(ISNUMBER(SEARCH("8ft",INDEX('M03-S01'!$K$16:$K$198,2*(ROWS($Y$4:Y4)-1)+1))),INDEX('M03-S01'!$Q$16:$Q$198,2*(ROWS($Y$4:Y4)-1)+1)/2,INDEX('M03-S01'!$Q$16:$Q$198,2*(ROWS($Y$4:Y4)-1)+1)),3),"")</f>
        <v/>
      </c>
      <c r="Z4" s="111">
        <f>INDEX('M03-S01'!$B$16:$B$198,2*(ROWS($Z$4:Z4)-1)+1)</f>
        <v>1</v>
      </c>
      <c r="AA4" s="111">
        <f>IF(ISNUMBER(SEARCH("8ft",INDEX('M03-S01'!$C$16:$C$199,2*(ROWS($Z$4:AA4)-1)+1))),SUBSTITUTE(INDEX('M03-S01'!$C$16:$C$199,2*(ROWS($Z$4:AA4)-1)+1),"8ft","4ft"),INDEX('M03-S01'!$C$16:$C$199,2*(ROWS($Z$4:AA4)-1)+1))</f>
        <v>0</v>
      </c>
      <c r="AB4" s="111">
        <f>IF(ISNUMBER(SEARCH("8ft",INDEX('M03-S01'!$K$16:$K$199,2*(ROWS($Z$4:AB4)-1)+1))),SUBSTITUTE(INDEX('M03-S01'!$K$16:$K$199,2*(ROWS($Z$4:AB4)-1)+1),"8ft","4ft"),INDEX('M03-S01'!$K$16:$K$199,2*(ROWS($Z$4:AB4)-1)+1))</f>
        <v>0</v>
      </c>
      <c r="AC4" s="96"/>
      <c r="AD4">
        <f>INDEX('M03-S01'!$U$16:$U$198,2*(ROWS($AD$4:AD4)-1)+1)</f>
        <v>0</v>
      </c>
      <c r="AE4" s="459"/>
      <c r="AF4" s="459"/>
      <c r="AG4" s="111" t="str">
        <f>INDEX('M03-S01'!$AW$16:$AW$198,2*(ROWS($AG$4:AG4)-1)+1)</f>
        <v/>
      </c>
      <c r="AH4" s="111" t="str">
        <f>INDEX('M03-S01'!$AX$16:$AX$198,2*(ROWS($AH$4:AH4)-1)+1)</f>
        <v/>
      </c>
      <c r="AI4" s="113"/>
      <c r="AJ4" s="113"/>
      <c r="AK4" s="113"/>
      <c r="AL4" s="113"/>
      <c r="AM4" s="113"/>
      <c r="AN4" s="113"/>
      <c r="AO4" s="52" t="str">
        <f>IFERROR(INDEX(PMELIGHT[Program Design],MATCH(AB4,PMELIGHT[Eff Desc 1])),"")</f>
        <v/>
      </c>
      <c r="AU4"/>
    </row>
    <row r="5" spans="1:115">
      <c r="A5" s="57">
        <f t="shared" si="0"/>
        <v>0</v>
      </c>
      <c r="B5" s="183" t="str">
        <f t="shared" si="1"/>
        <v/>
      </c>
      <c r="C5" t="str">
        <f>IFERROR(IF(R5&gt;0,INDEX(PMELIGHT[Measure '#],MATCH(AB5,PMELIGHT[Eff Desc 1],0)),""),"")</f>
        <v/>
      </c>
      <c r="D5" t="s">
        <v>947</v>
      </c>
      <c r="F5" s="185">
        <f>INDEX('M03-S01'!$AB$16:$AB$198,2*(ROWS($F$4:F5)-1)+1)</f>
        <v>0</v>
      </c>
      <c r="G5" s="186">
        <f>INDEX('M03-S01'!$Y$16:$Y$198,2*(ROWS($G$4:G5)-1)+1)</f>
        <v>0</v>
      </c>
      <c r="H5" s="186" t="str">
        <f>IF(ISNUMBER(INDEX('M03-S01'!$AN$16:$AN$198,2*(ROWS($R$4:R5)-1)+1)),"Total","")</f>
        <v/>
      </c>
      <c r="I5" s="184">
        <f>IFERROR(ROUND(INDEX('M03-S01'!$S$16:$S$198,2*(ROWS($I$4:I5)-1)+1)*INDEX('M03-S01'!$AE$16:$AE$198,2*(ROWS($I$4:I5)-1)+1),2),0)</f>
        <v>0</v>
      </c>
      <c r="J5" s="184">
        <f>IFERROR(ROUND(INDEX('M03-S01'!$S$16:$S$198,2*(ROWS($J$4:J5)-1)+1)*INDEX('M03-S01'!$AG$16:$AG$198,2*(ROWS($J$4:J5)-1)+1),2),0)</f>
        <v>0</v>
      </c>
      <c r="K5" s="52">
        <f>IFERROR(ROUND(INDEX('M03-S01'!$AU$16:$AU$198,2*(ROWS($K$4:K5)-1)+1),2),0)</f>
        <v>0</v>
      </c>
      <c r="L5" s="52" t="str">
        <f>IFERROR(IF(R5&gt;0,M5*INDEX(PMELIGHT[Incremental Cost],MATCH(AB5,PMELIGHT[Eff Desc 1],0)),""),"")</f>
        <v/>
      </c>
      <c r="M5" s="456">
        <f>IF(ISNUMBER(SEARCH("8ft",INDEX('M03-S01'!$K$16:$K$198,2*(ROWS($M$4:M5)-1)+1))),INDEX('M03-S01'!$S$16:$S$198,2*(ROWS($M$4:M5)-1)+1)*2,INDEX('M03-S01'!$S$16:$S$198,2*(ROWS($M$4:M5)-1)+1))</f>
        <v>0</v>
      </c>
      <c r="N5" s="184" t="str">
        <f>IF(ISNUMBER(INDEX('M03-S01'!$AN$16:$AN$198,2*(ROWS($R$4:R5)-1)+1)),INDEX('M03-S01'!$AK$16:$AK$198,2*(ROWS($N$4:N5)-1)+1),"")</f>
        <v/>
      </c>
      <c r="O5" s="456" t="str">
        <f>IFERROR(IF(ISNUMBER(INDEX('M03-S01'!$AN$16:$AN$198,2*(ROWS($R$4:R5)-1)+1)),INDEX('M03-S01'!$AV$16:$AV$198,2*(ROWS($O$4:O5)-1)+1),""),"")</f>
        <v/>
      </c>
      <c r="P5" s="459"/>
      <c r="Q5" s="184" t="str">
        <f>IFERROR(IF(ISNUMBER(INDEX('M03-S01'!$AN$16:$AN$198,2*(ROWS($R$4:R5)-1)+1)),INDEX('M03-S01'!$AY$16:$AY$198,2*(ROWS($Q$4:Q5)-1)+1),""),"")</f>
        <v/>
      </c>
      <c r="R5" s="184">
        <f>IF(ISNUMBER(INDEX('M03-S01'!$AN$16:$AN$198,2*(ROWS($R$4:R5)-1)+1)),INDEX('M03-S01'!$AN$16:$AN$198,2*(ROWS($R$4:R5)-1)+1),0)</f>
        <v>0</v>
      </c>
      <c r="S5" s="459"/>
      <c r="T5" s="113"/>
      <c r="U5" s="140"/>
      <c r="V5" s="113"/>
      <c r="W5" s="96" t="str">
        <f>IFERROR(IF(NOT(ISNUMBER(INDEX('M03-S01'!$AN$16:$AN$198,2*(ROWS($R$4:R5)-1)+1))),INDEX('M03-S01'!$BC$16:$BC$198,2*(ROWS($R$4:R5)-1)+1),""),"")</f>
        <v/>
      </c>
      <c r="X5" s="184" t="str">
        <f>IFERROR(ROUND(IF(ISNUMBER(SEARCH("8ft",INDEX('M03-S01'!$K$16:$K$198,2*(ROWS($X$4:X5)-1)+1))),INDEX('M03-S01'!$I$16:$I$198,2*(ROWS($X$4:X5)-1)+1)/2,INDEX('M03-S01'!$I$16:$I$198,2*(ROWS($X$4:X5)-1)+1)),3),"")</f>
        <v/>
      </c>
      <c r="Y5" s="184" t="str">
        <f>IFERROR(ROUND(IF(ISNUMBER(SEARCH("8ft",INDEX('M03-S01'!$K$16:$K$198,2*(ROWS($Y$4:Y5)-1)+1))),INDEX('M03-S01'!$Q$16:$Q$198,2*(ROWS($Y$4:Y5)-1)+1)/2,INDEX('M03-S01'!$Q$16:$Q$198,2*(ROWS($Y$4:Y5)-1)+1)),3),"")</f>
        <v/>
      </c>
      <c r="Z5" s="111">
        <f>INDEX('M03-S01'!$B$16:$B$198,2*(ROWS($Z$4:Z5)-1)+1)</f>
        <v>2</v>
      </c>
      <c r="AA5" s="111">
        <f>IF(ISNUMBER(SEARCH("8ft",INDEX('M03-S01'!$C$16:$C$199,2*(ROWS($Z$4:AA5)-1)+1))),SUBSTITUTE(INDEX('M03-S01'!$C$16:$C$199,2*(ROWS($Z$4:AA5)-1)+1),"8ft","4ft"),INDEX('M03-S01'!$C$16:$C$199,2*(ROWS($Z$4:AA5)-1)+1))</f>
        <v>0</v>
      </c>
      <c r="AB5" s="111">
        <f>IF(ISNUMBER(SEARCH("8ft",INDEX('M03-S01'!$K$16:$K$199,2*(ROWS($Z$4:AB5)-1)+1))),SUBSTITUTE(INDEX('M03-S01'!$K$16:$K$199,2*(ROWS($Z$4:AB5)-1)+1),"8ft","4ft"),INDEX('M03-S01'!$K$16:$K$199,2*(ROWS($Z$4:AB5)-1)+1))</f>
        <v>0</v>
      </c>
      <c r="AC5" s="96"/>
      <c r="AD5">
        <f>INDEX('M03-S01'!$U$16:$U$198,2*(ROWS($AD$4:AD5)-1)+1)</f>
        <v>0</v>
      </c>
      <c r="AE5" s="459"/>
      <c r="AF5" s="459"/>
      <c r="AG5" s="111" t="str">
        <f>INDEX('M03-S01'!$AW$16:$AW$198,2*(ROWS($AG$4:AG5)-1)+1)</f>
        <v/>
      </c>
      <c r="AH5" s="111" t="str">
        <f>INDEX('M03-S01'!$AX$16:$AX$198,2*(ROWS($AH$4:AH5)-1)+1)</f>
        <v/>
      </c>
      <c r="AI5" s="113"/>
      <c r="AJ5" s="113"/>
      <c r="AK5" s="113"/>
      <c r="AL5" s="113"/>
      <c r="AM5" s="113"/>
      <c r="AN5" s="113"/>
      <c r="AO5" s="52" t="str">
        <f>IFERROR(INDEX(PMELIGHT[Program Design],MATCH(AB5,PMELIGHT[Eff Desc 1])),"")</f>
        <v/>
      </c>
      <c r="AU5"/>
    </row>
    <row r="6" spans="1:115">
      <c r="A6" s="57">
        <f t="shared" si="0"/>
        <v>0</v>
      </c>
      <c r="B6" s="183" t="str">
        <f t="shared" si="1"/>
        <v/>
      </c>
      <c r="C6" t="str">
        <f>IFERROR(IF(R6&gt;0,INDEX(PMELIGHT[Measure '#],MATCH(AB6,PMELIGHT[Eff Desc 1],0)),""),"")</f>
        <v/>
      </c>
      <c r="D6" t="s">
        <v>947</v>
      </c>
      <c r="F6" s="185">
        <f>INDEX('M03-S01'!$AB$16:$AB$198,2*(ROWS($F$4:F6)-1)+1)</f>
        <v>0</v>
      </c>
      <c r="G6" s="186">
        <f>INDEX('M03-S01'!$Y$16:$Y$198,2*(ROWS($G$4:G6)-1)+1)</f>
        <v>0</v>
      </c>
      <c r="H6" s="186" t="str">
        <f>IF(ISNUMBER(INDEX('M03-S01'!$AN$16:$AN$198,2*(ROWS($R$4:R6)-1)+1)),"Total","")</f>
        <v/>
      </c>
      <c r="I6" s="184">
        <f>IFERROR(ROUND(INDEX('M03-S01'!$S$16:$S$198,2*(ROWS($I$4:I6)-1)+1)*INDEX('M03-S01'!$AE$16:$AE$198,2*(ROWS($I$4:I6)-1)+1),2),0)</f>
        <v>0</v>
      </c>
      <c r="J6" s="184">
        <f>IFERROR(ROUND(INDEX('M03-S01'!$S$16:$S$198,2*(ROWS($J$4:J6)-1)+1)*INDEX('M03-S01'!$AG$16:$AG$198,2*(ROWS($J$4:J6)-1)+1),2),0)</f>
        <v>0</v>
      </c>
      <c r="K6" s="52">
        <f>IFERROR(ROUND(INDEX('M03-S01'!$AU$16:$AU$198,2*(ROWS($K$4:K6)-1)+1),2),0)</f>
        <v>0</v>
      </c>
      <c r="L6" s="52" t="str">
        <f>IFERROR(IF(R6&gt;0,M6*INDEX(PMELIGHT[Incremental Cost],MATCH(AB6,PMELIGHT[Eff Desc 1],0)),""),"")</f>
        <v/>
      </c>
      <c r="M6" s="456">
        <f>IF(ISNUMBER(SEARCH("8ft",INDEX('M03-S01'!$K$16:$K$198,2*(ROWS($M$4:M6)-1)+1))),INDEX('M03-S01'!$S$16:$S$198,2*(ROWS($M$4:M6)-1)+1)*2,INDEX('M03-S01'!$S$16:$S$198,2*(ROWS($M$4:M6)-1)+1))</f>
        <v>0</v>
      </c>
      <c r="N6" s="184" t="str">
        <f>IF(ISNUMBER(INDEX('M03-S01'!$AN$16:$AN$198,2*(ROWS($R$4:R6)-1)+1)),INDEX('M03-S01'!$AK$16:$AK$198,2*(ROWS($N$4:N6)-1)+1),"")</f>
        <v/>
      </c>
      <c r="O6" s="456" t="str">
        <f>IFERROR(IF(ISNUMBER(INDEX('M03-S01'!$AN$16:$AN$198,2*(ROWS($R$4:R6)-1)+1)),INDEX('M03-S01'!$AV$16:$AV$198,2*(ROWS($O$4:O6)-1)+1),""),"")</f>
        <v/>
      </c>
      <c r="P6" s="459"/>
      <c r="Q6" s="184" t="str">
        <f>IFERROR(IF(ISNUMBER(INDEX('M03-S01'!$AN$16:$AN$198,2*(ROWS($R$4:R6)-1)+1)),INDEX('M03-S01'!$AY$16:$AY$198,2*(ROWS($Q$4:Q6)-1)+1),""),"")</f>
        <v/>
      </c>
      <c r="R6" s="184">
        <f>IF(ISNUMBER(INDEX('M03-S01'!$AN$16:$AN$198,2*(ROWS($R$4:R6)-1)+1)),INDEX('M03-S01'!$AN$16:$AN$198,2*(ROWS($R$4:R6)-1)+1),0)</f>
        <v>0</v>
      </c>
      <c r="S6" s="459"/>
      <c r="T6" s="113"/>
      <c r="U6" s="140"/>
      <c r="V6" s="113"/>
      <c r="W6" s="96" t="str">
        <f>IFERROR(IF(NOT(ISNUMBER(INDEX('M03-S01'!$AN$16:$AN$198,2*(ROWS($R$4:R6)-1)+1))),INDEX('M03-S01'!$BC$16:$BC$198,2*(ROWS($R$4:R6)-1)+1),""),"")</f>
        <v/>
      </c>
      <c r="X6" s="184" t="str">
        <f>IFERROR(ROUND(IF(ISNUMBER(SEARCH("8ft",INDEX('M03-S01'!$K$16:$K$198,2*(ROWS($X$4:X6)-1)+1))),INDEX('M03-S01'!$I$16:$I$198,2*(ROWS($X$4:X6)-1)+1)/2,INDEX('M03-S01'!$I$16:$I$198,2*(ROWS($X$4:X6)-1)+1)),3),"")</f>
        <v/>
      </c>
      <c r="Y6" s="184" t="str">
        <f>IFERROR(ROUND(IF(ISNUMBER(SEARCH("8ft",INDEX('M03-S01'!$K$16:$K$198,2*(ROWS($Y$4:Y6)-1)+1))),INDEX('M03-S01'!$Q$16:$Q$198,2*(ROWS($Y$4:Y6)-1)+1)/2,INDEX('M03-S01'!$Q$16:$Q$198,2*(ROWS($Y$4:Y6)-1)+1)),3),"")</f>
        <v/>
      </c>
      <c r="Z6" s="111">
        <f>INDEX('M03-S01'!$B$16:$B$198,2*(ROWS($Z$4:Z6)-1)+1)</f>
        <v>3</v>
      </c>
      <c r="AA6" s="111">
        <f>IF(ISNUMBER(SEARCH("8ft",INDEX('M03-S01'!$C$16:$C$199,2*(ROWS($Z$4:AA6)-1)+1))),SUBSTITUTE(INDEX('M03-S01'!$C$16:$C$199,2*(ROWS($Z$4:AA6)-1)+1),"8ft","4ft"),INDEX('M03-S01'!$C$16:$C$199,2*(ROWS($Z$4:AA6)-1)+1))</f>
        <v>0</v>
      </c>
      <c r="AB6" s="111">
        <f>IF(ISNUMBER(SEARCH("8ft",INDEX('M03-S01'!$K$16:$K$199,2*(ROWS($Z$4:AB6)-1)+1))),SUBSTITUTE(INDEX('M03-S01'!$K$16:$K$199,2*(ROWS($Z$4:AB6)-1)+1),"8ft","4ft"),INDEX('M03-S01'!$K$16:$K$199,2*(ROWS($Z$4:AB6)-1)+1))</f>
        <v>0</v>
      </c>
      <c r="AC6" s="96"/>
      <c r="AD6">
        <f>INDEX('M03-S01'!$U$16:$U$198,2*(ROWS($AD$4:AD6)-1)+1)</f>
        <v>0</v>
      </c>
      <c r="AE6" s="459"/>
      <c r="AF6" s="459"/>
      <c r="AG6" s="111" t="str">
        <f>INDEX('M03-S01'!$AW$16:$AW$198,2*(ROWS($AG$4:AG6)-1)+1)</f>
        <v/>
      </c>
      <c r="AH6" s="111" t="str">
        <f>INDEX('M03-S01'!$AX$16:$AX$198,2*(ROWS($AH$4:AH6)-1)+1)</f>
        <v/>
      </c>
      <c r="AI6" s="113"/>
      <c r="AJ6" s="113"/>
      <c r="AK6" s="113"/>
      <c r="AL6" s="113"/>
      <c r="AM6" s="113"/>
      <c r="AN6" s="113"/>
      <c r="AO6" s="52" t="str">
        <f>IFERROR(INDEX(PMELIGHT[Program Design],MATCH(AB6,PMELIGHT[Eff Desc 1])),"")</f>
        <v/>
      </c>
      <c r="AU6"/>
    </row>
    <row r="7" spans="1:115">
      <c r="A7" s="57">
        <f t="shared" si="0"/>
        <v>0</v>
      </c>
      <c r="B7" s="183" t="str">
        <f t="shared" si="1"/>
        <v/>
      </c>
      <c r="C7" t="str">
        <f>IFERROR(IF(R7&gt;0,INDEX(PMELIGHT[Measure '#],MATCH(AB7,PMELIGHT[Eff Desc 1],0)),""),"")</f>
        <v/>
      </c>
      <c r="D7" t="s">
        <v>947</v>
      </c>
      <c r="F7" s="185">
        <f>INDEX('M03-S01'!$AB$16:$AB$198,2*(ROWS($F$4:F7)-1)+1)</f>
        <v>0</v>
      </c>
      <c r="G7" s="186">
        <f>INDEX('M03-S01'!$Y$16:$Y$198,2*(ROWS($G$4:G7)-1)+1)</f>
        <v>0</v>
      </c>
      <c r="H7" s="186" t="str">
        <f>IF(ISNUMBER(INDEX('M03-S01'!$AN$16:$AN$198,2*(ROWS($R$4:R7)-1)+1)),"Total","")</f>
        <v/>
      </c>
      <c r="I7" s="184">
        <f>IFERROR(ROUND(INDEX('M03-S01'!$S$16:$S$198,2*(ROWS($I$4:I7)-1)+1)*INDEX('M03-S01'!$AE$16:$AE$198,2*(ROWS($I$4:I7)-1)+1),2),0)</f>
        <v>0</v>
      </c>
      <c r="J7" s="184">
        <f>IFERROR(ROUND(INDEX('M03-S01'!$S$16:$S$198,2*(ROWS($J$4:J7)-1)+1)*INDEX('M03-S01'!$AG$16:$AG$198,2*(ROWS($J$4:J7)-1)+1),2),0)</f>
        <v>0</v>
      </c>
      <c r="K7" s="52">
        <f>IFERROR(ROUND(INDEX('M03-S01'!$AU$16:$AU$198,2*(ROWS($K$4:K7)-1)+1),2),0)</f>
        <v>0</v>
      </c>
      <c r="L7" s="52" t="str">
        <f>IFERROR(IF(R7&gt;0,M7*INDEX(PMELIGHT[Incremental Cost],MATCH(AB7,PMELIGHT[Eff Desc 1],0)),""),"")</f>
        <v/>
      </c>
      <c r="M7" s="456">
        <f>IF(ISNUMBER(SEARCH("8ft",INDEX('M03-S01'!$K$16:$K$198,2*(ROWS($M$4:M7)-1)+1))),INDEX('M03-S01'!$S$16:$S$198,2*(ROWS($M$4:M7)-1)+1)*2,INDEX('M03-S01'!$S$16:$S$198,2*(ROWS($M$4:M7)-1)+1))</f>
        <v>0</v>
      </c>
      <c r="N7" s="184" t="str">
        <f>IF(ISNUMBER(INDEX('M03-S01'!$AN$16:$AN$198,2*(ROWS($R$4:R7)-1)+1)),INDEX('M03-S01'!$AK$16:$AK$198,2*(ROWS($N$4:N7)-1)+1),"")</f>
        <v/>
      </c>
      <c r="O7" s="456" t="str">
        <f>IFERROR(IF(ISNUMBER(INDEX('M03-S01'!$AN$16:$AN$198,2*(ROWS($R$4:R7)-1)+1)),INDEX('M03-S01'!$AV$16:$AV$198,2*(ROWS($O$4:O7)-1)+1),""),"")</f>
        <v/>
      </c>
      <c r="P7" s="459"/>
      <c r="Q7" s="184" t="str">
        <f>IFERROR(IF(ISNUMBER(INDEX('M03-S01'!$AN$16:$AN$198,2*(ROWS($R$4:R7)-1)+1)),INDEX('M03-S01'!$AY$16:$AY$198,2*(ROWS($Q$4:Q7)-1)+1),""),"")</f>
        <v/>
      </c>
      <c r="R7" s="184">
        <f>IF(ISNUMBER(INDEX('M03-S01'!$AN$16:$AN$198,2*(ROWS($R$4:R7)-1)+1)),INDEX('M03-S01'!$AN$16:$AN$198,2*(ROWS($R$4:R7)-1)+1),0)</f>
        <v>0</v>
      </c>
      <c r="S7" s="459"/>
      <c r="T7" s="113"/>
      <c r="U7" s="140"/>
      <c r="V7" s="113"/>
      <c r="W7" s="96" t="str">
        <f>IFERROR(IF(NOT(ISNUMBER(INDEX('M03-S01'!$AN$16:$AN$198,2*(ROWS($R$4:R7)-1)+1))),INDEX('M03-S01'!$BC$16:$BC$198,2*(ROWS($R$4:R7)-1)+1),""),"")</f>
        <v/>
      </c>
      <c r="X7" s="184" t="str">
        <f>IFERROR(ROUND(IF(ISNUMBER(SEARCH("8ft",INDEX('M03-S01'!$K$16:$K$198,2*(ROWS($X$4:X7)-1)+1))),INDEX('M03-S01'!$I$16:$I$198,2*(ROWS($X$4:X7)-1)+1)/2,INDEX('M03-S01'!$I$16:$I$198,2*(ROWS($X$4:X7)-1)+1)),3),"")</f>
        <v/>
      </c>
      <c r="Y7" s="184" t="str">
        <f>IFERROR(ROUND(IF(ISNUMBER(SEARCH("8ft",INDEX('M03-S01'!$K$16:$K$198,2*(ROWS($Y$4:Y7)-1)+1))),INDEX('M03-S01'!$Q$16:$Q$198,2*(ROWS($Y$4:Y7)-1)+1)/2,INDEX('M03-S01'!$Q$16:$Q$198,2*(ROWS($Y$4:Y7)-1)+1)),3),"")</f>
        <v/>
      </c>
      <c r="Z7" s="111">
        <f>INDEX('M03-S01'!$B$16:$B$198,2*(ROWS($Z$4:Z7)-1)+1)</f>
        <v>4</v>
      </c>
      <c r="AA7" s="111">
        <f>IF(ISNUMBER(SEARCH("8ft",INDEX('M03-S01'!$C$16:$C$199,2*(ROWS($Z$4:AA7)-1)+1))),SUBSTITUTE(INDEX('M03-S01'!$C$16:$C$199,2*(ROWS($Z$4:AA7)-1)+1),"8ft","4ft"),INDEX('M03-S01'!$C$16:$C$199,2*(ROWS($Z$4:AA7)-1)+1))</f>
        <v>0</v>
      </c>
      <c r="AB7" s="111">
        <f>IF(ISNUMBER(SEARCH("8ft",INDEX('M03-S01'!$K$16:$K$199,2*(ROWS($Z$4:AB7)-1)+1))),SUBSTITUTE(INDEX('M03-S01'!$K$16:$K$199,2*(ROWS($Z$4:AB7)-1)+1),"8ft","4ft"),INDEX('M03-S01'!$K$16:$K$199,2*(ROWS($Z$4:AB7)-1)+1))</f>
        <v>0</v>
      </c>
      <c r="AC7" s="96"/>
      <c r="AD7">
        <f>INDEX('M03-S01'!$U$16:$U$198,2*(ROWS($AD$4:AD7)-1)+1)</f>
        <v>0</v>
      </c>
      <c r="AE7" s="459"/>
      <c r="AF7" s="459"/>
      <c r="AG7" s="111" t="str">
        <f>INDEX('M03-S01'!$AW$16:$AW$198,2*(ROWS($AG$4:AG7)-1)+1)</f>
        <v/>
      </c>
      <c r="AH7" s="111" t="str">
        <f>INDEX('M03-S01'!$AX$16:$AX$198,2*(ROWS($AH$4:AH7)-1)+1)</f>
        <v/>
      </c>
      <c r="AI7" s="113"/>
      <c r="AJ7" s="113"/>
      <c r="AK7" s="113"/>
      <c r="AL7" s="113"/>
      <c r="AM7" s="113"/>
      <c r="AN7" s="113"/>
      <c r="AO7" s="52" t="str">
        <f>IFERROR(INDEX(PMELIGHT[Program Design],MATCH(AB7,PMELIGHT[Eff Desc 1])),"")</f>
        <v/>
      </c>
      <c r="AU7"/>
    </row>
    <row r="8" spans="1:115">
      <c r="A8" s="57">
        <f t="shared" si="0"/>
        <v>0</v>
      </c>
      <c r="B8" s="183" t="str">
        <f t="shared" si="1"/>
        <v/>
      </c>
      <c r="C8" t="str">
        <f>IFERROR(IF(R8&gt;0,INDEX(PMELIGHT[Measure '#],MATCH(AB8,PMELIGHT[Eff Desc 1],0)),""),"")</f>
        <v/>
      </c>
      <c r="D8" t="s">
        <v>947</v>
      </c>
      <c r="F8" s="185">
        <f>INDEX('M03-S01'!$AB$16:$AB$198,2*(ROWS($F$4:F8)-1)+1)</f>
        <v>0</v>
      </c>
      <c r="G8" s="186">
        <f>INDEX('M03-S01'!$Y$16:$Y$198,2*(ROWS($G$4:G8)-1)+1)</f>
        <v>0</v>
      </c>
      <c r="H8" s="186" t="str">
        <f>IF(ISNUMBER(INDEX('M03-S01'!$AN$16:$AN$198,2*(ROWS($R$4:R8)-1)+1)),"Total","")</f>
        <v/>
      </c>
      <c r="I8" s="184">
        <f>IFERROR(ROUND(INDEX('M03-S01'!$S$16:$S$198,2*(ROWS($I$4:I8)-1)+1)*INDEX('M03-S01'!$AE$16:$AE$198,2*(ROWS($I$4:I8)-1)+1),2),0)</f>
        <v>0</v>
      </c>
      <c r="J8" s="184">
        <f>IFERROR(ROUND(INDEX('M03-S01'!$S$16:$S$198,2*(ROWS($J$4:J8)-1)+1)*INDEX('M03-S01'!$AG$16:$AG$198,2*(ROWS($J$4:J8)-1)+1),2),0)</f>
        <v>0</v>
      </c>
      <c r="K8" s="52">
        <f>IFERROR(ROUND(INDEX('M03-S01'!$AU$16:$AU$198,2*(ROWS($K$4:K8)-1)+1),2),0)</f>
        <v>0</v>
      </c>
      <c r="L8" s="52" t="str">
        <f>IFERROR(IF(R8&gt;0,M8*INDEX(PMELIGHT[Incremental Cost],MATCH(AB8,PMELIGHT[Eff Desc 1],0)),""),"")</f>
        <v/>
      </c>
      <c r="M8" s="456">
        <f>IF(ISNUMBER(SEARCH("8ft",INDEX('M03-S01'!$K$16:$K$198,2*(ROWS($M$4:M8)-1)+1))),INDEX('M03-S01'!$S$16:$S$198,2*(ROWS($M$4:M8)-1)+1)*2,INDEX('M03-S01'!$S$16:$S$198,2*(ROWS($M$4:M8)-1)+1))</f>
        <v>0</v>
      </c>
      <c r="N8" s="184" t="str">
        <f>IF(ISNUMBER(INDEX('M03-S01'!$AN$16:$AN$198,2*(ROWS($R$4:R8)-1)+1)),INDEX('M03-S01'!$AK$16:$AK$198,2*(ROWS($N$4:N8)-1)+1),"")</f>
        <v/>
      </c>
      <c r="O8" s="456" t="str">
        <f>IFERROR(IF(ISNUMBER(INDEX('M03-S01'!$AN$16:$AN$198,2*(ROWS($R$4:R8)-1)+1)),INDEX('M03-S01'!$AV$16:$AV$198,2*(ROWS($O$4:O8)-1)+1),""),"")</f>
        <v/>
      </c>
      <c r="P8" s="459"/>
      <c r="Q8" s="184" t="str">
        <f>IFERROR(IF(ISNUMBER(INDEX('M03-S01'!$AN$16:$AN$198,2*(ROWS($R$4:R8)-1)+1)),INDEX('M03-S01'!$AY$16:$AY$198,2*(ROWS($Q$4:Q8)-1)+1),""),"")</f>
        <v/>
      </c>
      <c r="R8" s="184">
        <f>IF(ISNUMBER(INDEX('M03-S01'!$AN$16:$AN$198,2*(ROWS($R$4:R8)-1)+1)),INDEX('M03-S01'!$AN$16:$AN$198,2*(ROWS($R$4:R8)-1)+1),0)</f>
        <v>0</v>
      </c>
      <c r="S8" s="459"/>
      <c r="T8" s="113"/>
      <c r="U8" s="140"/>
      <c r="V8" s="113"/>
      <c r="W8" s="96" t="str">
        <f>IFERROR(IF(NOT(ISNUMBER(INDEX('M03-S01'!$AN$16:$AN$198,2*(ROWS($R$4:R8)-1)+1))),INDEX('M03-S01'!$BC$16:$BC$198,2*(ROWS($R$4:R8)-1)+1),""),"")</f>
        <v/>
      </c>
      <c r="X8" s="184" t="str">
        <f>IFERROR(ROUND(IF(ISNUMBER(SEARCH("8ft",INDEX('M03-S01'!$K$16:$K$198,2*(ROWS($X$4:X8)-1)+1))),INDEX('M03-S01'!$I$16:$I$198,2*(ROWS($X$4:X8)-1)+1)/2,INDEX('M03-S01'!$I$16:$I$198,2*(ROWS($X$4:X8)-1)+1)),3),"")</f>
        <v/>
      </c>
      <c r="Y8" s="184" t="str">
        <f>IFERROR(ROUND(IF(ISNUMBER(SEARCH("8ft",INDEX('M03-S01'!$K$16:$K$198,2*(ROWS($Y$4:Y8)-1)+1))),INDEX('M03-S01'!$Q$16:$Q$198,2*(ROWS($Y$4:Y8)-1)+1)/2,INDEX('M03-S01'!$Q$16:$Q$198,2*(ROWS($Y$4:Y8)-1)+1)),3),"")</f>
        <v/>
      </c>
      <c r="Z8" s="111">
        <f>INDEX('M03-S01'!$B$16:$B$198,2*(ROWS($Z$4:Z8)-1)+1)</f>
        <v>5</v>
      </c>
      <c r="AA8" s="111">
        <f>IF(ISNUMBER(SEARCH("8ft",INDEX('M03-S01'!$C$16:$C$199,2*(ROWS($Z$4:AA8)-1)+1))),SUBSTITUTE(INDEX('M03-S01'!$C$16:$C$199,2*(ROWS($Z$4:AA8)-1)+1),"8ft","4ft"),INDEX('M03-S01'!$C$16:$C$199,2*(ROWS($Z$4:AA8)-1)+1))</f>
        <v>0</v>
      </c>
      <c r="AB8" s="111">
        <f>IF(ISNUMBER(SEARCH("8ft",INDEX('M03-S01'!$K$16:$K$199,2*(ROWS($Z$4:AB8)-1)+1))),SUBSTITUTE(INDEX('M03-S01'!$K$16:$K$199,2*(ROWS($Z$4:AB8)-1)+1),"8ft","4ft"),INDEX('M03-S01'!$K$16:$K$199,2*(ROWS($Z$4:AB8)-1)+1))</f>
        <v>0</v>
      </c>
      <c r="AC8" s="96"/>
      <c r="AD8">
        <f>INDEX('M03-S01'!$U$16:$U$198,2*(ROWS($AD$4:AD8)-1)+1)</f>
        <v>0</v>
      </c>
      <c r="AE8" s="459"/>
      <c r="AF8" s="459"/>
      <c r="AG8" s="111" t="str">
        <f>INDEX('M03-S01'!$AW$16:$AW$198,2*(ROWS($AG$4:AG8)-1)+1)</f>
        <v/>
      </c>
      <c r="AH8" s="111" t="str">
        <f>INDEX('M03-S01'!$AX$16:$AX$198,2*(ROWS($AH$4:AH8)-1)+1)</f>
        <v/>
      </c>
      <c r="AI8" s="113"/>
      <c r="AJ8" s="113"/>
      <c r="AK8" s="113"/>
      <c r="AL8" s="113"/>
      <c r="AM8" s="113"/>
      <c r="AN8" s="113"/>
      <c r="AO8" s="52" t="str">
        <f>IFERROR(INDEX(PMELIGHT[Program Design],MATCH(AB8,PMELIGHT[Eff Desc 1])),"")</f>
        <v/>
      </c>
      <c r="AU8"/>
    </row>
    <row r="9" spans="1:115">
      <c r="A9" s="57">
        <f t="shared" si="0"/>
        <v>0</v>
      </c>
      <c r="B9" s="183" t="str">
        <f t="shared" si="1"/>
        <v/>
      </c>
      <c r="C9" t="str">
        <f>IFERROR(IF(R9&gt;0,INDEX(PMELIGHT[Measure '#],MATCH(AB9,PMELIGHT[Eff Desc 1],0)),""),"")</f>
        <v/>
      </c>
      <c r="D9" t="s">
        <v>947</v>
      </c>
      <c r="F9" s="185">
        <f>INDEX('M03-S01'!$AB$16:$AB$198,2*(ROWS($F$4:F9)-1)+1)</f>
        <v>0</v>
      </c>
      <c r="G9" s="186">
        <f>INDEX('M03-S01'!$Y$16:$Y$198,2*(ROWS($G$4:G9)-1)+1)</f>
        <v>0</v>
      </c>
      <c r="H9" s="186" t="str">
        <f>IF(ISNUMBER(INDEX('M03-S01'!$AN$16:$AN$198,2*(ROWS($R$4:R9)-1)+1)),"Total","")</f>
        <v/>
      </c>
      <c r="I9" s="184">
        <f>IFERROR(ROUND(INDEX('M03-S01'!$S$16:$S$198,2*(ROWS($I$4:I9)-1)+1)*INDEX('M03-S01'!$AE$16:$AE$198,2*(ROWS($I$4:I9)-1)+1),2),0)</f>
        <v>0</v>
      </c>
      <c r="J9" s="184">
        <f>IFERROR(ROUND(INDEX('M03-S01'!$S$16:$S$198,2*(ROWS($J$4:J9)-1)+1)*INDEX('M03-S01'!$AG$16:$AG$198,2*(ROWS($J$4:J9)-1)+1),2),0)</f>
        <v>0</v>
      </c>
      <c r="K9" s="52">
        <f>IFERROR(ROUND(INDEX('M03-S01'!$AU$16:$AU$198,2*(ROWS($K$4:K9)-1)+1),2),0)</f>
        <v>0</v>
      </c>
      <c r="L9" s="52" t="str">
        <f>IFERROR(IF(R9&gt;0,M9*INDEX(PMELIGHT[Incremental Cost],MATCH(AB9,PMELIGHT[Eff Desc 1],0)),""),"")</f>
        <v/>
      </c>
      <c r="M9" s="456">
        <f>IF(ISNUMBER(SEARCH("8ft",INDEX('M03-S01'!$K$16:$K$198,2*(ROWS($M$4:M9)-1)+1))),INDEX('M03-S01'!$S$16:$S$198,2*(ROWS($M$4:M9)-1)+1)*2,INDEX('M03-S01'!$S$16:$S$198,2*(ROWS($M$4:M9)-1)+1))</f>
        <v>0</v>
      </c>
      <c r="N9" s="184" t="str">
        <f>IF(ISNUMBER(INDEX('M03-S01'!$AN$16:$AN$198,2*(ROWS($R$4:R9)-1)+1)),INDEX('M03-S01'!$AK$16:$AK$198,2*(ROWS($N$4:N9)-1)+1),"")</f>
        <v/>
      </c>
      <c r="O9" s="456" t="str">
        <f>IFERROR(IF(ISNUMBER(INDEX('M03-S01'!$AN$16:$AN$198,2*(ROWS($R$4:R9)-1)+1)),INDEX('M03-S01'!$AV$16:$AV$198,2*(ROWS($O$4:O9)-1)+1),""),"")</f>
        <v/>
      </c>
      <c r="P9" s="459"/>
      <c r="Q9" s="184" t="str">
        <f>IFERROR(IF(ISNUMBER(INDEX('M03-S01'!$AN$16:$AN$198,2*(ROWS($R$4:R9)-1)+1)),INDEX('M03-S01'!$AY$16:$AY$198,2*(ROWS($Q$4:Q9)-1)+1),""),"")</f>
        <v/>
      </c>
      <c r="R9" s="184">
        <f>IF(ISNUMBER(INDEX('M03-S01'!$AN$16:$AN$198,2*(ROWS($R$4:R9)-1)+1)),INDEX('M03-S01'!$AN$16:$AN$198,2*(ROWS($R$4:R9)-1)+1),0)</f>
        <v>0</v>
      </c>
      <c r="S9" s="459"/>
      <c r="T9" s="113"/>
      <c r="U9" s="140"/>
      <c r="V9" s="113"/>
      <c r="W9" s="96" t="str">
        <f>IFERROR(IF(NOT(ISNUMBER(INDEX('M03-S01'!$AN$16:$AN$198,2*(ROWS($R$4:R9)-1)+1))),INDEX('M03-S01'!$BC$16:$BC$198,2*(ROWS($R$4:R9)-1)+1),""),"")</f>
        <v/>
      </c>
      <c r="X9" s="184" t="str">
        <f>IFERROR(ROUND(IF(ISNUMBER(SEARCH("8ft",INDEX('M03-S01'!$K$16:$K$198,2*(ROWS($X$4:X9)-1)+1))),INDEX('M03-S01'!$I$16:$I$198,2*(ROWS($X$4:X9)-1)+1)/2,INDEX('M03-S01'!$I$16:$I$198,2*(ROWS($X$4:X9)-1)+1)),3),"")</f>
        <v/>
      </c>
      <c r="Y9" s="184" t="str">
        <f>IFERROR(ROUND(IF(ISNUMBER(SEARCH("8ft",INDEX('M03-S01'!$K$16:$K$198,2*(ROWS($Y$4:Y9)-1)+1))),INDEX('M03-S01'!$Q$16:$Q$198,2*(ROWS($Y$4:Y9)-1)+1)/2,INDEX('M03-S01'!$Q$16:$Q$198,2*(ROWS($Y$4:Y9)-1)+1)),3),"")</f>
        <v/>
      </c>
      <c r="Z9" s="111">
        <f>INDEX('M03-S01'!$B$16:$B$198,2*(ROWS($Z$4:Z9)-1)+1)</f>
        <v>6</v>
      </c>
      <c r="AA9" s="111">
        <f>IF(ISNUMBER(SEARCH("8ft",INDEX('M03-S01'!$C$16:$C$199,2*(ROWS($Z$4:AA9)-1)+1))),SUBSTITUTE(INDEX('M03-S01'!$C$16:$C$199,2*(ROWS($Z$4:AA9)-1)+1),"8ft","4ft"),INDEX('M03-S01'!$C$16:$C$199,2*(ROWS($Z$4:AA9)-1)+1))</f>
        <v>0</v>
      </c>
      <c r="AB9" s="111">
        <f>IF(ISNUMBER(SEARCH("8ft",INDEX('M03-S01'!$K$16:$K$199,2*(ROWS($Z$4:AB9)-1)+1))),SUBSTITUTE(INDEX('M03-S01'!$K$16:$K$199,2*(ROWS($Z$4:AB9)-1)+1),"8ft","4ft"),INDEX('M03-S01'!$K$16:$K$199,2*(ROWS($Z$4:AB9)-1)+1))</f>
        <v>0</v>
      </c>
      <c r="AC9" s="96"/>
      <c r="AD9">
        <f>INDEX('M03-S01'!$U$16:$U$198,2*(ROWS($AD$4:AD9)-1)+1)</f>
        <v>0</v>
      </c>
      <c r="AE9" s="459"/>
      <c r="AF9" s="459"/>
      <c r="AG9" s="111" t="str">
        <f>INDEX('M03-S01'!$AW$16:$AW$198,2*(ROWS($AG$4:AG9)-1)+1)</f>
        <v/>
      </c>
      <c r="AH9" s="111" t="str">
        <f>INDEX('M03-S01'!$AX$16:$AX$198,2*(ROWS($AH$4:AH9)-1)+1)</f>
        <v/>
      </c>
      <c r="AI9" s="113"/>
      <c r="AJ9" s="113"/>
      <c r="AK9" s="113"/>
      <c r="AL9" s="113"/>
      <c r="AM9" s="113"/>
      <c r="AN9" s="113"/>
      <c r="AO9" s="52" t="str">
        <f>IFERROR(INDEX(PMELIGHT[Program Design],MATCH(AB9,PMELIGHT[Eff Desc 1])),"")</f>
        <v/>
      </c>
      <c r="AU9"/>
    </row>
    <row r="10" spans="1:115">
      <c r="A10" s="57">
        <f t="shared" si="0"/>
        <v>0</v>
      </c>
      <c r="B10" s="183" t="str">
        <f t="shared" si="1"/>
        <v/>
      </c>
      <c r="C10" t="str">
        <f>IFERROR(IF(R10&gt;0,INDEX(PMELIGHT[Measure '#],MATCH(AB10,PMELIGHT[Eff Desc 1],0)),""),"")</f>
        <v/>
      </c>
      <c r="D10" t="s">
        <v>947</v>
      </c>
      <c r="F10" s="185">
        <f>INDEX('M03-S01'!$AB$16:$AB$198,2*(ROWS($F$4:F10)-1)+1)</f>
        <v>0</v>
      </c>
      <c r="G10" s="186">
        <f>INDEX('M03-S01'!$Y$16:$Y$198,2*(ROWS($G$4:G10)-1)+1)</f>
        <v>0</v>
      </c>
      <c r="H10" s="186" t="str">
        <f>IF(ISNUMBER(INDEX('M03-S01'!$AN$16:$AN$198,2*(ROWS($R$4:R10)-1)+1)),"Total","")</f>
        <v/>
      </c>
      <c r="I10" s="184">
        <f>IFERROR(ROUND(INDEX('M03-S01'!$S$16:$S$198,2*(ROWS($I$4:I10)-1)+1)*INDEX('M03-S01'!$AE$16:$AE$198,2*(ROWS($I$4:I10)-1)+1),2),0)</f>
        <v>0</v>
      </c>
      <c r="J10" s="184">
        <f>IFERROR(ROUND(INDEX('M03-S01'!$S$16:$S$198,2*(ROWS($J$4:J10)-1)+1)*INDEX('M03-S01'!$AG$16:$AG$198,2*(ROWS($J$4:J10)-1)+1),2),0)</f>
        <v>0</v>
      </c>
      <c r="K10" s="52">
        <f>IFERROR(ROUND(INDEX('M03-S01'!$AU$16:$AU$198,2*(ROWS($K$4:K10)-1)+1),2),0)</f>
        <v>0</v>
      </c>
      <c r="L10" s="52" t="str">
        <f>IFERROR(IF(R10&gt;0,M10*INDEX(PMELIGHT[Incremental Cost],MATCH(AB10,PMELIGHT[Eff Desc 1],0)),""),"")</f>
        <v/>
      </c>
      <c r="M10" s="456">
        <f>IF(ISNUMBER(SEARCH("8ft",INDEX('M03-S01'!$K$16:$K$198,2*(ROWS($M$4:M10)-1)+1))),INDEX('M03-S01'!$S$16:$S$198,2*(ROWS($M$4:M10)-1)+1)*2,INDEX('M03-S01'!$S$16:$S$198,2*(ROWS($M$4:M10)-1)+1))</f>
        <v>0</v>
      </c>
      <c r="N10" s="184" t="str">
        <f>IF(ISNUMBER(INDEX('M03-S01'!$AN$16:$AN$198,2*(ROWS($R$4:R10)-1)+1)),INDEX('M03-S01'!$AK$16:$AK$198,2*(ROWS($N$4:N10)-1)+1),"")</f>
        <v/>
      </c>
      <c r="O10" s="456" t="str">
        <f>IFERROR(IF(ISNUMBER(INDEX('M03-S01'!$AN$16:$AN$198,2*(ROWS($R$4:R10)-1)+1)),INDEX('M03-S01'!$AV$16:$AV$198,2*(ROWS($O$4:O10)-1)+1),""),"")</f>
        <v/>
      </c>
      <c r="P10" s="459"/>
      <c r="Q10" s="184" t="str">
        <f>IFERROR(IF(ISNUMBER(INDEX('M03-S01'!$AN$16:$AN$198,2*(ROWS($R$4:R10)-1)+1)),INDEX('M03-S01'!$AY$16:$AY$198,2*(ROWS($Q$4:Q10)-1)+1),""),"")</f>
        <v/>
      </c>
      <c r="R10" s="184">
        <f>IF(ISNUMBER(INDEX('M03-S01'!$AN$16:$AN$198,2*(ROWS($R$4:R10)-1)+1)),INDEX('M03-S01'!$AN$16:$AN$198,2*(ROWS($R$4:R10)-1)+1),0)</f>
        <v>0</v>
      </c>
      <c r="S10" s="459"/>
      <c r="T10" s="113"/>
      <c r="U10" s="140"/>
      <c r="V10" s="113"/>
      <c r="W10" s="96" t="str">
        <f>IFERROR(IF(NOT(ISNUMBER(INDEX('M03-S01'!$AN$16:$AN$198,2*(ROWS($R$4:R10)-1)+1))),INDEX('M03-S01'!$BC$16:$BC$198,2*(ROWS($R$4:R10)-1)+1),""),"")</f>
        <v/>
      </c>
      <c r="X10" s="184" t="str">
        <f>IFERROR(ROUND(IF(ISNUMBER(SEARCH("8ft",INDEX('M03-S01'!$K$16:$K$198,2*(ROWS($X$4:X10)-1)+1))),INDEX('M03-S01'!$I$16:$I$198,2*(ROWS($X$4:X10)-1)+1)/2,INDEX('M03-S01'!$I$16:$I$198,2*(ROWS($X$4:X10)-1)+1)),3),"")</f>
        <v/>
      </c>
      <c r="Y10" s="184" t="str">
        <f>IFERROR(ROUND(IF(ISNUMBER(SEARCH("8ft",INDEX('M03-S01'!$K$16:$K$198,2*(ROWS($Y$4:Y10)-1)+1))),INDEX('M03-S01'!$Q$16:$Q$198,2*(ROWS($Y$4:Y10)-1)+1)/2,INDEX('M03-S01'!$Q$16:$Q$198,2*(ROWS($Y$4:Y10)-1)+1)),3),"")</f>
        <v/>
      </c>
      <c r="Z10" s="111">
        <f>INDEX('M03-S01'!$B$16:$B$198,2*(ROWS($Z$4:Z10)-1)+1)</f>
        <v>7</v>
      </c>
      <c r="AA10" s="111">
        <f>IF(ISNUMBER(SEARCH("8ft",INDEX('M03-S01'!$C$16:$C$199,2*(ROWS($Z$4:AA10)-1)+1))),SUBSTITUTE(INDEX('M03-S01'!$C$16:$C$199,2*(ROWS($Z$4:AA10)-1)+1),"8ft","4ft"),INDEX('M03-S01'!$C$16:$C$199,2*(ROWS($Z$4:AA10)-1)+1))</f>
        <v>0</v>
      </c>
      <c r="AB10" s="111">
        <f>IF(ISNUMBER(SEARCH("8ft",INDEX('M03-S01'!$K$16:$K$199,2*(ROWS($Z$4:AB10)-1)+1))),SUBSTITUTE(INDEX('M03-S01'!$K$16:$K$199,2*(ROWS($Z$4:AB10)-1)+1),"8ft","4ft"),INDEX('M03-S01'!$K$16:$K$199,2*(ROWS($Z$4:AB10)-1)+1))</f>
        <v>0</v>
      </c>
      <c r="AC10" s="96"/>
      <c r="AD10">
        <f>INDEX('M03-S01'!$U$16:$U$198,2*(ROWS($AD$4:AD10)-1)+1)</f>
        <v>0</v>
      </c>
      <c r="AE10" s="459"/>
      <c r="AF10" s="459"/>
      <c r="AG10" s="111" t="str">
        <f>INDEX('M03-S01'!$AW$16:$AW$198,2*(ROWS($AG$4:AG10)-1)+1)</f>
        <v/>
      </c>
      <c r="AH10" s="111" t="str">
        <f>INDEX('M03-S01'!$AX$16:$AX$198,2*(ROWS($AH$4:AH10)-1)+1)</f>
        <v/>
      </c>
      <c r="AI10" s="113"/>
      <c r="AJ10" s="113"/>
      <c r="AK10" s="113"/>
      <c r="AL10" s="113"/>
      <c r="AM10" s="113"/>
      <c r="AN10" s="113"/>
      <c r="AO10" s="52" t="str">
        <f>IFERROR(INDEX(PMELIGHT[Program Design],MATCH(AB10,PMELIGHT[Eff Desc 1])),"")</f>
        <v/>
      </c>
      <c r="AU10"/>
    </row>
    <row r="11" spans="1:115">
      <c r="A11" s="57">
        <f t="shared" si="0"/>
        <v>0</v>
      </c>
      <c r="B11" s="183" t="str">
        <f t="shared" si="1"/>
        <v/>
      </c>
      <c r="C11" t="str">
        <f>IFERROR(IF(R11&gt;0,INDEX(PMELIGHT[Measure '#],MATCH(AB11,PMELIGHT[Eff Desc 1],0)),""),"")</f>
        <v/>
      </c>
      <c r="D11" t="s">
        <v>947</v>
      </c>
      <c r="F11" s="185">
        <f>INDEX('M03-S01'!$AB$16:$AB$198,2*(ROWS($F$4:F11)-1)+1)</f>
        <v>0</v>
      </c>
      <c r="G11" s="186">
        <f>INDEX('M03-S01'!$Y$16:$Y$198,2*(ROWS($G$4:G11)-1)+1)</f>
        <v>0</v>
      </c>
      <c r="H11" s="186" t="str">
        <f>IF(ISNUMBER(INDEX('M03-S01'!$AN$16:$AN$198,2*(ROWS($R$4:R11)-1)+1)),"Total","")</f>
        <v/>
      </c>
      <c r="I11" s="184">
        <f>IFERROR(ROUND(INDEX('M03-S01'!$S$16:$S$198,2*(ROWS($I$4:I11)-1)+1)*INDEX('M03-S01'!$AE$16:$AE$198,2*(ROWS($I$4:I11)-1)+1),2),0)</f>
        <v>0</v>
      </c>
      <c r="J11" s="184">
        <f>IFERROR(ROUND(INDEX('M03-S01'!$S$16:$S$198,2*(ROWS($J$4:J11)-1)+1)*INDEX('M03-S01'!$AG$16:$AG$198,2*(ROWS($J$4:J11)-1)+1),2),0)</f>
        <v>0</v>
      </c>
      <c r="K11" s="52">
        <f>IFERROR(ROUND(INDEX('M03-S01'!$AU$16:$AU$198,2*(ROWS($K$4:K11)-1)+1),2),0)</f>
        <v>0</v>
      </c>
      <c r="L11" s="52" t="str">
        <f>IFERROR(IF(R11&gt;0,M11*INDEX(PMELIGHT[Incremental Cost],MATCH(AB11,PMELIGHT[Eff Desc 1],0)),""),"")</f>
        <v/>
      </c>
      <c r="M11" s="456">
        <f>IF(ISNUMBER(SEARCH("8ft",INDEX('M03-S01'!$K$16:$K$198,2*(ROWS($M$4:M11)-1)+1))),INDEX('M03-S01'!$S$16:$S$198,2*(ROWS($M$4:M11)-1)+1)*2,INDEX('M03-S01'!$S$16:$S$198,2*(ROWS($M$4:M11)-1)+1))</f>
        <v>0</v>
      </c>
      <c r="N11" s="184" t="str">
        <f>IF(ISNUMBER(INDEX('M03-S01'!$AN$16:$AN$198,2*(ROWS($R$4:R11)-1)+1)),INDEX('M03-S01'!$AK$16:$AK$198,2*(ROWS($N$4:N11)-1)+1),"")</f>
        <v/>
      </c>
      <c r="O11" s="456" t="str">
        <f>IFERROR(IF(ISNUMBER(INDEX('M03-S01'!$AN$16:$AN$198,2*(ROWS($R$4:R11)-1)+1)),INDEX('M03-S01'!$AV$16:$AV$198,2*(ROWS($O$4:O11)-1)+1),""),"")</f>
        <v/>
      </c>
      <c r="P11" s="459"/>
      <c r="Q11" s="184" t="str">
        <f>IFERROR(IF(ISNUMBER(INDEX('M03-S01'!$AN$16:$AN$198,2*(ROWS($R$4:R11)-1)+1)),INDEX('M03-S01'!$AY$16:$AY$198,2*(ROWS($Q$4:Q11)-1)+1),""),"")</f>
        <v/>
      </c>
      <c r="R11" s="184">
        <f>IF(ISNUMBER(INDEX('M03-S01'!$AN$16:$AN$198,2*(ROWS($R$4:R11)-1)+1)),INDEX('M03-S01'!$AN$16:$AN$198,2*(ROWS($R$4:R11)-1)+1),0)</f>
        <v>0</v>
      </c>
      <c r="S11" s="459"/>
      <c r="T11" s="113"/>
      <c r="U11" s="140"/>
      <c r="V11" s="113"/>
      <c r="W11" s="96" t="str">
        <f>IFERROR(IF(NOT(ISNUMBER(INDEX('M03-S01'!$AN$16:$AN$198,2*(ROWS($R$4:R11)-1)+1))),INDEX('M03-S01'!$BC$16:$BC$198,2*(ROWS($R$4:R11)-1)+1),""),"")</f>
        <v/>
      </c>
      <c r="X11" s="184" t="str">
        <f>IFERROR(ROUND(IF(ISNUMBER(SEARCH("8ft",INDEX('M03-S01'!$K$16:$K$198,2*(ROWS($X$4:X11)-1)+1))),INDEX('M03-S01'!$I$16:$I$198,2*(ROWS($X$4:X11)-1)+1)/2,INDEX('M03-S01'!$I$16:$I$198,2*(ROWS($X$4:X11)-1)+1)),3),"")</f>
        <v/>
      </c>
      <c r="Y11" s="184" t="str">
        <f>IFERROR(ROUND(IF(ISNUMBER(SEARCH("8ft",INDEX('M03-S01'!$K$16:$K$198,2*(ROWS($Y$4:Y11)-1)+1))),INDEX('M03-S01'!$Q$16:$Q$198,2*(ROWS($Y$4:Y11)-1)+1)/2,INDEX('M03-S01'!$Q$16:$Q$198,2*(ROWS($Y$4:Y11)-1)+1)),3),"")</f>
        <v/>
      </c>
      <c r="Z11" s="111">
        <f>INDEX('M03-S01'!$B$16:$B$198,2*(ROWS($Z$4:Z11)-1)+1)</f>
        <v>8</v>
      </c>
      <c r="AA11" s="111">
        <f>IF(ISNUMBER(SEARCH("8ft",INDEX('M03-S01'!$C$16:$C$199,2*(ROWS($Z$4:AA11)-1)+1))),SUBSTITUTE(INDEX('M03-S01'!$C$16:$C$199,2*(ROWS($Z$4:AA11)-1)+1),"8ft","4ft"),INDEX('M03-S01'!$C$16:$C$199,2*(ROWS($Z$4:AA11)-1)+1))</f>
        <v>0</v>
      </c>
      <c r="AB11" s="111">
        <f>IF(ISNUMBER(SEARCH("8ft",INDEX('M03-S01'!$K$16:$K$199,2*(ROWS($Z$4:AB11)-1)+1))),SUBSTITUTE(INDEX('M03-S01'!$K$16:$K$199,2*(ROWS($Z$4:AB11)-1)+1),"8ft","4ft"),INDEX('M03-S01'!$K$16:$K$199,2*(ROWS($Z$4:AB11)-1)+1))</f>
        <v>0</v>
      </c>
      <c r="AC11" s="96"/>
      <c r="AD11">
        <f>INDEX('M03-S01'!$U$16:$U$198,2*(ROWS($AD$4:AD11)-1)+1)</f>
        <v>0</v>
      </c>
      <c r="AE11" s="459"/>
      <c r="AF11" s="459"/>
      <c r="AG11" s="111" t="str">
        <f>INDEX('M03-S01'!$AW$16:$AW$198,2*(ROWS($AG$4:AG11)-1)+1)</f>
        <v/>
      </c>
      <c r="AH11" s="111" t="str">
        <f>INDEX('M03-S01'!$AX$16:$AX$198,2*(ROWS($AH$4:AH11)-1)+1)</f>
        <v/>
      </c>
      <c r="AI11" s="113"/>
      <c r="AJ11" s="113"/>
      <c r="AK11" s="113"/>
      <c r="AL11" s="113"/>
      <c r="AM11" s="113"/>
      <c r="AN11" s="113"/>
      <c r="AO11" s="52" t="str">
        <f>IFERROR(INDEX(PMELIGHT[Program Design],MATCH(AB11,PMELIGHT[Eff Desc 1])),"")</f>
        <v/>
      </c>
      <c r="AU11"/>
    </row>
    <row r="12" spans="1:115">
      <c r="A12" s="57">
        <f t="shared" si="0"/>
        <v>0</v>
      </c>
      <c r="B12" s="183" t="str">
        <f t="shared" si="1"/>
        <v/>
      </c>
      <c r="C12" t="str">
        <f>IFERROR(IF(R12&gt;0,INDEX(PMELIGHT[Measure '#],MATCH(AB12,PMELIGHT[Eff Desc 1],0)),""),"")</f>
        <v/>
      </c>
      <c r="D12" t="s">
        <v>947</v>
      </c>
      <c r="F12" s="185">
        <f>INDEX('M03-S01'!$AB$16:$AB$198,2*(ROWS($F$4:F12)-1)+1)</f>
        <v>0</v>
      </c>
      <c r="G12" s="186">
        <f>INDEX('M03-S01'!$Y$16:$Y$198,2*(ROWS($G$4:G12)-1)+1)</f>
        <v>0</v>
      </c>
      <c r="H12" s="186" t="str">
        <f>IF(ISNUMBER(INDEX('M03-S01'!$AN$16:$AN$198,2*(ROWS($R$4:R12)-1)+1)),"Total","")</f>
        <v/>
      </c>
      <c r="I12" s="184">
        <f>IFERROR(ROUND(INDEX('M03-S01'!$S$16:$S$198,2*(ROWS($I$4:I12)-1)+1)*INDEX('M03-S01'!$AE$16:$AE$198,2*(ROWS($I$4:I12)-1)+1),2),0)</f>
        <v>0</v>
      </c>
      <c r="J12" s="184">
        <f>IFERROR(ROUND(INDEX('M03-S01'!$S$16:$S$198,2*(ROWS($J$4:J12)-1)+1)*INDEX('M03-S01'!$AG$16:$AG$198,2*(ROWS($J$4:J12)-1)+1),2),0)</f>
        <v>0</v>
      </c>
      <c r="K12" s="52">
        <f>IFERROR(ROUND(INDEX('M03-S01'!$AU$16:$AU$198,2*(ROWS($K$4:K12)-1)+1),2),0)</f>
        <v>0</v>
      </c>
      <c r="L12" s="52" t="str">
        <f>IFERROR(IF(R12&gt;0,M12*INDEX(PMELIGHT[Incremental Cost],MATCH(AB12,PMELIGHT[Eff Desc 1],0)),""),"")</f>
        <v/>
      </c>
      <c r="M12" s="456">
        <f>IF(ISNUMBER(SEARCH("8ft",INDEX('M03-S01'!$K$16:$K$198,2*(ROWS($M$4:M12)-1)+1))),INDEX('M03-S01'!$S$16:$S$198,2*(ROWS($M$4:M12)-1)+1)*2,INDEX('M03-S01'!$S$16:$S$198,2*(ROWS($M$4:M12)-1)+1))</f>
        <v>0</v>
      </c>
      <c r="N12" s="184" t="str">
        <f>IF(ISNUMBER(INDEX('M03-S01'!$AN$16:$AN$198,2*(ROWS($R$4:R12)-1)+1)),INDEX('M03-S01'!$AK$16:$AK$198,2*(ROWS($N$4:N12)-1)+1),"")</f>
        <v/>
      </c>
      <c r="O12" s="456" t="str">
        <f>IFERROR(IF(ISNUMBER(INDEX('M03-S01'!$AN$16:$AN$198,2*(ROWS($R$4:R12)-1)+1)),INDEX('M03-S01'!$AV$16:$AV$198,2*(ROWS($O$4:O12)-1)+1),""),"")</f>
        <v/>
      </c>
      <c r="P12" s="459"/>
      <c r="Q12" s="184" t="str">
        <f>IFERROR(IF(ISNUMBER(INDEX('M03-S01'!$AN$16:$AN$198,2*(ROWS($R$4:R12)-1)+1)),INDEX('M03-S01'!$AY$16:$AY$198,2*(ROWS($Q$4:Q12)-1)+1),""),"")</f>
        <v/>
      </c>
      <c r="R12" s="184">
        <f>IF(ISNUMBER(INDEX('M03-S01'!$AN$16:$AN$198,2*(ROWS($R$4:R12)-1)+1)),INDEX('M03-S01'!$AN$16:$AN$198,2*(ROWS($R$4:R12)-1)+1),0)</f>
        <v>0</v>
      </c>
      <c r="S12" s="459"/>
      <c r="T12" s="113"/>
      <c r="U12" s="140"/>
      <c r="V12" s="113"/>
      <c r="W12" s="96" t="str">
        <f>IFERROR(IF(NOT(ISNUMBER(INDEX('M03-S01'!$AN$16:$AN$198,2*(ROWS($R$4:R12)-1)+1))),INDEX('M03-S01'!$BC$16:$BC$198,2*(ROWS($R$4:R12)-1)+1),""),"")</f>
        <v/>
      </c>
      <c r="X12" s="184" t="str">
        <f>IFERROR(ROUND(IF(ISNUMBER(SEARCH("8ft",INDEX('M03-S01'!$K$16:$K$198,2*(ROWS($X$4:X12)-1)+1))),INDEX('M03-S01'!$I$16:$I$198,2*(ROWS($X$4:X12)-1)+1)/2,INDEX('M03-S01'!$I$16:$I$198,2*(ROWS($X$4:X12)-1)+1)),3),"")</f>
        <v/>
      </c>
      <c r="Y12" s="184" t="str">
        <f>IFERROR(ROUND(IF(ISNUMBER(SEARCH("8ft",INDEX('M03-S01'!$K$16:$K$198,2*(ROWS($Y$4:Y12)-1)+1))),INDEX('M03-S01'!$Q$16:$Q$198,2*(ROWS($Y$4:Y12)-1)+1)/2,INDEX('M03-S01'!$Q$16:$Q$198,2*(ROWS($Y$4:Y12)-1)+1)),3),"")</f>
        <v/>
      </c>
      <c r="Z12" s="111">
        <f>INDEX('M03-S01'!$B$16:$B$198,2*(ROWS($Z$4:Z12)-1)+1)</f>
        <v>9</v>
      </c>
      <c r="AA12" s="111">
        <f>IF(ISNUMBER(SEARCH("8ft",INDEX('M03-S01'!$C$16:$C$199,2*(ROWS($Z$4:AA12)-1)+1))),SUBSTITUTE(INDEX('M03-S01'!$C$16:$C$199,2*(ROWS($Z$4:AA12)-1)+1),"8ft","4ft"),INDEX('M03-S01'!$C$16:$C$199,2*(ROWS($Z$4:AA12)-1)+1))</f>
        <v>0</v>
      </c>
      <c r="AB12" s="111">
        <f>IF(ISNUMBER(SEARCH("8ft",INDEX('M03-S01'!$K$16:$K$199,2*(ROWS($Z$4:AB12)-1)+1))),SUBSTITUTE(INDEX('M03-S01'!$K$16:$K$199,2*(ROWS($Z$4:AB12)-1)+1),"8ft","4ft"),INDEX('M03-S01'!$K$16:$K$199,2*(ROWS($Z$4:AB12)-1)+1))</f>
        <v>0</v>
      </c>
      <c r="AC12" s="96"/>
      <c r="AD12">
        <f>INDEX('M03-S01'!$U$16:$U$198,2*(ROWS($AD$4:AD12)-1)+1)</f>
        <v>0</v>
      </c>
      <c r="AE12" s="459"/>
      <c r="AF12" s="459"/>
      <c r="AG12" s="111" t="str">
        <f>INDEX('M03-S01'!$AW$16:$AW$198,2*(ROWS($AG$4:AG12)-1)+1)</f>
        <v/>
      </c>
      <c r="AH12" s="111" t="str">
        <f>INDEX('M03-S01'!$AX$16:$AX$198,2*(ROWS($AH$4:AH12)-1)+1)</f>
        <v/>
      </c>
      <c r="AI12" s="113"/>
      <c r="AJ12" s="113"/>
      <c r="AK12" s="113"/>
      <c r="AL12" s="113"/>
      <c r="AM12" s="113"/>
      <c r="AN12" s="113"/>
      <c r="AO12" s="52" t="str">
        <f>IFERROR(INDEX(PMELIGHT[Program Design],MATCH(AB12,PMELIGHT[Eff Desc 1])),"")</f>
        <v/>
      </c>
      <c r="AU12"/>
    </row>
    <row r="13" spans="1:115">
      <c r="A13" s="57">
        <f t="shared" si="0"/>
        <v>0</v>
      </c>
      <c r="B13" s="183" t="str">
        <f t="shared" si="1"/>
        <v/>
      </c>
      <c r="C13" t="str">
        <f>IFERROR(IF(R13&gt;0,INDEX(PMELIGHT[Measure '#],MATCH(AB13,PMELIGHT[Eff Desc 1],0)),""),"")</f>
        <v/>
      </c>
      <c r="D13" t="s">
        <v>947</v>
      </c>
      <c r="F13" s="185">
        <f>INDEX('M03-S01'!$AB$16:$AB$198,2*(ROWS($F$4:F13)-1)+1)</f>
        <v>0</v>
      </c>
      <c r="G13" s="186">
        <f>INDEX('M03-S01'!$Y$16:$Y$198,2*(ROWS($G$4:G13)-1)+1)</f>
        <v>0</v>
      </c>
      <c r="H13" s="186" t="str">
        <f>IF(ISNUMBER(INDEX('M03-S01'!$AN$16:$AN$198,2*(ROWS($R$4:R13)-1)+1)),"Total","")</f>
        <v/>
      </c>
      <c r="I13" s="184">
        <f>IFERROR(ROUND(INDEX('M03-S01'!$S$16:$S$198,2*(ROWS($I$4:I13)-1)+1)*INDEX('M03-S01'!$AE$16:$AE$198,2*(ROWS($I$4:I13)-1)+1),2),0)</f>
        <v>0</v>
      </c>
      <c r="J13" s="184">
        <f>IFERROR(ROUND(INDEX('M03-S01'!$S$16:$S$198,2*(ROWS($J$4:J13)-1)+1)*INDEX('M03-S01'!$AG$16:$AG$198,2*(ROWS($J$4:J13)-1)+1),2),0)</f>
        <v>0</v>
      </c>
      <c r="K13" s="52">
        <f>IFERROR(ROUND(INDEX('M03-S01'!$AU$16:$AU$198,2*(ROWS($K$4:K13)-1)+1),2),0)</f>
        <v>0</v>
      </c>
      <c r="L13" s="52" t="str">
        <f>IFERROR(IF(R13&gt;0,M13*INDEX(PMELIGHT[Incremental Cost],MATCH(AB13,PMELIGHT[Eff Desc 1],0)),""),"")</f>
        <v/>
      </c>
      <c r="M13" s="456">
        <f>IF(ISNUMBER(SEARCH("8ft",INDEX('M03-S01'!$K$16:$K$198,2*(ROWS($M$4:M13)-1)+1))),INDEX('M03-S01'!$S$16:$S$198,2*(ROWS($M$4:M13)-1)+1)*2,INDEX('M03-S01'!$S$16:$S$198,2*(ROWS($M$4:M13)-1)+1))</f>
        <v>0</v>
      </c>
      <c r="N13" s="184" t="str">
        <f>IF(ISNUMBER(INDEX('M03-S01'!$AN$16:$AN$198,2*(ROWS($R$4:R13)-1)+1)),INDEX('M03-S01'!$AK$16:$AK$198,2*(ROWS($N$4:N13)-1)+1),"")</f>
        <v/>
      </c>
      <c r="O13" s="456" t="str">
        <f>IFERROR(IF(ISNUMBER(INDEX('M03-S01'!$AN$16:$AN$198,2*(ROWS($R$4:R13)-1)+1)),INDEX('M03-S01'!$AV$16:$AV$198,2*(ROWS($O$4:O13)-1)+1),""),"")</f>
        <v/>
      </c>
      <c r="P13" s="459"/>
      <c r="Q13" s="184" t="str">
        <f>IFERROR(IF(ISNUMBER(INDEX('M03-S01'!$AN$16:$AN$198,2*(ROWS($R$4:R13)-1)+1)),INDEX('M03-S01'!$AY$16:$AY$198,2*(ROWS($Q$4:Q13)-1)+1),""),"")</f>
        <v/>
      </c>
      <c r="R13" s="184">
        <f>IF(ISNUMBER(INDEX('M03-S01'!$AN$16:$AN$198,2*(ROWS($R$4:R13)-1)+1)),INDEX('M03-S01'!$AN$16:$AN$198,2*(ROWS($R$4:R13)-1)+1),0)</f>
        <v>0</v>
      </c>
      <c r="S13" s="459"/>
      <c r="T13" s="113"/>
      <c r="U13" s="140"/>
      <c r="V13" s="113"/>
      <c r="W13" s="96" t="str">
        <f>IFERROR(IF(NOT(ISNUMBER(INDEX('M03-S01'!$AN$16:$AN$198,2*(ROWS($R$4:R13)-1)+1))),INDEX('M03-S01'!$BC$16:$BC$198,2*(ROWS($R$4:R13)-1)+1),""),"")</f>
        <v/>
      </c>
      <c r="X13" s="184" t="str">
        <f>IFERROR(ROUND(IF(ISNUMBER(SEARCH("8ft",INDEX('M03-S01'!$K$16:$K$198,2*(ROWS($X$4:X13)-1)+1))),INDEX('M03-S01'!$I$16:$I$198,2*(ROWS($X$4:X13)-1)+1)/2,INDEX('M03-S01'!$I$16:$I$198,2*(ROWS($X$4:X13)-1)+1)),3),"")</f>
        <v/>
      </c>
      <c r="Y13" s="184" t="str">
        <f>IFERROR(ROUND(IF(ISNUMBER(SEARCH("8ft",INDEX('M03-S01'!$K$16:$K$198,2*(ROWS($Y$4:Y13)-1)+1))),INDEX('M03-S01'!$Q$16:$Q$198,2*(ROWS($Y$4:Y13)-1)+1)/2,INDEX('M03-S01'!$Q$16:$Q$198,2*(ROWS($Y$4:Y13)-1)+1)),3),"")</f>
        <v/>
      </c>
      <c r="Z13" s="111">
        <f>INDEX('M03-S01'!$B$16:$B$198,2*(ROWS($Z$4:Z13)-1)+1)</f>
        <v>10</v>
      </c>
      <c r="AA13" s="111">
        <f>IF(ISNUMBER(SEARCH("8ft",INDEX('M03-S01'!$C$16:$C$199,2*(ROWS($Z$4:AA13)-1)+1))),SUBSTITUTE(INDEX('M03-S01'!$C$16:$C$199,2*(ROWS($Z$4:AA13)-1)+1),"8ft","4ft"),INDEX('M03-S01'!$C$16:$C$199,2*(ROWS($Z$4:AA13)-1)+1))</f>
        <v>0</v>
      </c>
      <c r="AB13" s="111">
        <f>IF(ISNUMBER(SEARCH("8ft",INDEX('M03-S01'!$K$16:$K$199,2*(ROWS($Z$4:AB13)-1)+1))),SUBSTITUTE(INDEX('M03-S01'!$K$16:$K$199,2*(ROWS($Z$4:AB13)-1)+1),"8ft","4ft"),INDEX('M03-S01'!$K$16:$K$199,2*(ROWS($Z$4:AB13)-1)+1))</f>
        <v>0</v>
      </c>
      <c r="AC13" s="96"/>
      <c r="AD13">
        <f>INDEX('M03-S01'!$U$16:$U$198,2*(ROWS($AD$4:AD13)-1)+1)</f>
        <v>0</v>
      </c>
      <c r="AE13" s="459"/>
      <c r="AF13" s="459"/>
      <c r="AG13" s="111" t="str">
        <f>INDEX('M03-S01'!$AW$16:$AW$198,2*(ROWS($AG$4:AG13)-1)+1)</f>
        <v/>
      </c>
      <c r="AH13" s="111" t="str">
        <f>INDEX('M03-S01'!$AX$16:$AX$198,2*(ROWS($AH$4:AH13)-1)+1)</f>
        <v/>
      </c>
      <c r="AI13" s="113"/>
      <c r="AJ13" s="113"/>
      <c r="AK13" s="113"/>
      <c r="AL13" s="113"/>
      <c r="AM13" s="113"/>
      <c r="AN13" s="113"/>
      <c r="AO13" s="52" t="str">
        <f>IFERROR(INDEX(PMELIGHT[Program Design],MATCH(AB13,PMELIGHT[Eff Desc 1])),"")</f>
        <v/>
      </c>
      <c r="AU13"/>
    </row>
    <row r="14" spans="1:115">
      <c r="A14" s="57">
        <f t="shared" si="0"/>
        <v>0</v>
      </c>
      <c r="B14" s="183" t="str">
        <f t="shared" si="1"/>
        <v/>
      </c>
      <c r="C14" t="str">
        <f>IFERROR(IF(R14&gt;0,INDEX(PMELIGHT[Measure '#],MATCH(AB14,PMELIGHT[Eff Desc 1],0)),""),"")</f>
        <v/>
      </c>
      <c r="D14" t="s">
        <v>947</v>
      </c>
      <c r="F14" s="185">
        <f>INDEX('M03-S01'!$AB$16:$AB$198,2*(ROWS($F$4:F14)-1)+1)</f>
        <v>0</v>
      </c>
      <c r="G14" s="186">
        <f>INDEX('M03-S01'!$Y$16:$Y$198,2*(ROWS($G$4:G14)-1)+1)</f>
        <v>0</v>
      </c>
      <c r="H14" s="186" t="str">
        <f>IF(ISNUMBER(INDEX('M03-S01'!$AN$16:$AN$198,2*(ROWS($R$4:R14)-1)+1)),"Total","")</f>
        <v/>
      </c>
      <c r="I14" s="184">
        <f>IFERROR(ROUND(INDEX('M03-S01'!$S$16:$S$198,2*(ROWS($I$4:I14)-1)+1)*INDEX('M03-S01'!$AE$16:$AE$198,2*(ROWS($I$4:I14)-1)+1),2),0)</f>
        <v>0</v>
      </c>
      <c r="J14" s="184">
        <f>IFERROR(ROUND(INDEX('M03-S01'!$S$16:$S$198,2*(ROWS($J$4:J14)-1)+1)*INDEX('M03-S01'!$AG$16:$AG$198,2*(ROWS($J$4:J14)-1)+1),2),0)</f>
        <v>0</v>
      </c>
      <c r="K14" s="52">
        <f>IFERROR(ROUND(INDEX('M03-S01'!$AU$16:$AU$198,2*(ROWS($K$4:K14)-1)+1),2),0)</f>
        <v>0</v>
      </c>
      <c r="L14" s="52" t="str">
        <f>IFERROR(IF(R14&gt;0,M14*INDEX(PMELIGHT[Incremental Cost],MATCH(AB14,PMELIGHT[Eff Desc 1],0)),""),"")</f>
        <v/>
      </c>
      <c r="M14" s="456">
        <f>IF(ISNUMBER(SEARCH("8ft",INDEX('M03-S01'!$K$16:$K$198,2*(ROWS($M$4:M14)-1)+1))),INDEX('M03-S01'!$S$16:$S$198,2*(ROWS($M$4:M14)-1)+1)*2,INDEX('M03-S01'!$S$16:$S$198,2*(ROWS($M$4:M14)-1)+1))</f>
        <v>0</v>
      </c>
      <c r="N14" s="184" t="str">
        <f>IF(ISNUMBER(INDEX('M03-S01'!$AN$16:$AN$198,2*(ROWS($R$4:R14)-1)+1)),INDEX('M03-S01'!$AK$16:$AK$198,2*(ROWS($N$4:N14)-1)+1),"")</f>
        <v/>
      </c>
      <c r="O14" s="456" t="str">
        <f>IFERROR(IF(ISNUMBER(INDEX('M03-S01'!$AN$16:$AN$198,2*(ROWS($R$4:R14)-1)+1)),INDEX('M03-S01'!$AV$16:$AV$198,2*(ROWS($O$4:O14)-1)+1),""),"")</f>
        <v/>
      </c>
      <c r="P14" s="459"/>
      <c r="Q14" s="184" t="str">
        <f>IFERROR(IF(ISNUMBER(INDEX('M03-S01'!$AN$16:$AN$198,2*(ROWS($R$4:R14)-1)+1)),INDEX('M03-S01'!$AY$16:$AY$198,2*(ROWS($Q$4:Q14)-1)+1),""),"")</f>
        <v/>
      </c>
      <c r="R14" s="184">
        <f>IF(ISNUMBER(INDEX('M03-S01'!$AN$16:$AN$198,2*(ROWS($R$4:R14)-1)+1)),INDEX('M03-S01'!$AN$16:$AN$198,2*(ROWS($R$4:R14)-1)+1),0)</f>
        <v>0</v>
      </c>
      <c r="S14" s="459"/>
      <c r="T14" s="113"/>
      <c r="U14" s="140"/>
      <c r="V14" s="113"/>
      <c r="W14" s="96" t="str">
        <f>IFERROR(IF(NOT(ISNUMBER(INDEX('M03-S01'!$AN$16:$AN$198,2*(ROWS($R$4:R14)-1)+1))),INDEX('M03-S01'!$BC$16:$BC$198,2*(ROWS($R$4:R14)-1)+1),""),"")</f>
        <v/>
      </c>
      <c r="X14" s="184" t="str">
        <f>IFERROR(ROUND(IF(ISNUMBER(SEARCH("8ft",INDEX('M03-S01'!$K$16:$K$198,2*(ROWS($X$4:X14)-1)+1))),INDEX('M03-S01'!$I$16:$I$198,2*(ROWS($X$4:X14)-1)+1)/2,INDEX('M03-S01'!$I$16:$I$198,2*(ROWS($X$4:X14)-1)+1)),3),"")</f>
        <v/>
      </c>
      <c r="Y14" s="184" t="str">
        <f>IFERROR(ROUND(IF(ISNUMBER(SEARCH("8ft",INDEX('M03-S01'!$K$16:$K$198,2*(ROWS($Y$4:Y14)-1)+1))),INDEX('M03-S01'!$Q$16:$Q$198,2*(ROWS($Y$4:Y14)-1)+1)/2,INDEX('M03-S01'!$Q$16:$Q$198,2*(ROWS($Y$4:Y14)-1)+1)),3),"")</f>
        <v/>
      </c>
      <c r="Z14" s="111">
        <f>INDEX('M03-S01'!$B$16:$B$198,2*(ROWS($Z$4:Z14)-1)+1)</f>
        <v>11</v>
      </c>
      <c r="AA14" s="111">
        <f>IF(ISNUMBER(SEARCH("8ft",INDEX('M03-S01'!$C$16:$C$199,2*(ROWS($Z$4:AA14)-1)+1))),SUBSTITUTE(INDEX('M03-S01'!$C$16:$C$199,2*(ROWS($Z$4:AA14)-1)+1),"8ft","4ft"),INDEX('M03-S01'!$C$16:$C$199,2*(ROWS($Z$4:AA14)-1)+1))</f>
        <v>0</v>
      </c>
      <c r="AB14" s="111">
        <f>IF(ISNUMBER(SEARCH("8ft",INDEX('M03-S01'!$K$16:$K$199,2*(ROWS($Z$4:AB14)-1)+1))),SUBSTITUTE(INDEX('M03-S01'!$K$16:$K$199,2*(ROWS($Z$4:AB14)-1)+1),"8ft","4ft"),INDEX('M03-S01'!$K$16:$K$199,2*(ROWS($Z$4:AB14)-1)+1))</f>
        <v>0</v>
      </c>
      <c r="AC14" s="96"/>
      <c r="AD14">
        <f>INDEX('M03-S01'!$U$16:$U$198,2*(ROWS($AD$4:AD14)-1)+1)</f>
        <v>0</v>
      </c>
      <c r="AE14" s="459"/>
      <c r="AF14" s="459"/>
      <c r="AG14" s="111" t="str">
        <f>INDEX('M03-S01'!$AW$16:$AW$198,2*(ROWS($AG$4:AG14)-1)+1)</f>
        <v/>
      </c>
      <c r="AH14" s="111" t="str">
        <f>INDEX('M03-S01'!$AX$16:$AX$198,2*(ROWS($AH$4:AH14)-1)+1)</f>
        <v/>
      </c>
      <c r="AI14" s="113"/>
      <c r="AJ14" s="113"/>
      <c r="AK14" s="113"/>
      <c r="AL14" s="113"/>
      <c r="AM14" s="113"/>
      <c r="AN14" s="113"/>
      <c r="AO14" s="52" t="str">
        <f>IFERROR(INDEX(PMELIGHT[Program Design],MATCH(AB14,PMELIGHT[Eff Desc 1])),"")</f>
        <v/>
      </c>
      <c r="AU14"/>
    </row>
    <row r="15" spans="1:115">
      <c r="A15" s="57">
        <f t="shared" si="0"/>
        <v>0</v>
      </c>
      <c r="B15" s="183" t="str">
        <f t="shared" si="1"/>
        <v/>
      </c>
      <c r="C15" t="str">
        <f>IFERROR(IF(R15&gt;0,INDEX(PMELIGHT[Measure '#],MATCH(AB15,PMELIGHT[Eff Desc 1],0)),""),"")</f>
        <v/>
      </c>
      <c r="D15" t="s">
        <v>947</v>
      </c>
      <c r="F15" s="185">
        <f>INDEX('M03-S01'!$AB$16:$AB$198,2*(ROWS($F$4:F15)-1)+1)</f>
        <v>0</v>
      </c>
      <c r="G15" s="186">
        <f>INDEX('M03-S01'!$Y$16:$Y$198,2*(ROWS($G$4:G15)-1)+1)</f>
        <v>0</v>
      </c>
      <c r="H15" s="186" t="str">
        <f>IF(ISNUMBER(INDEX('M03-S01'!$AN$16:$AN$198,2*(ROWS($R$4:R15)-1)+1)),"Total","")</f>
        <v/>
      </c>
      <c r="I15" s="184">
        <f>IFERROR(ROUND(INDEX('M03-S01'!$S$16:$S$198,2*(ROWS($I$4:I15)-1)+1)*INDEX('M03-S01'!$AE$16:$AE$198,2*(ROWS($I$4:I15)-1)+1),2),0)</f>
        <v>0</v>
      </c>
      <c r="J15" s="184">
        <f>IFERROR(ROUND(INDEX('M03-S01'!$S$16:$S$198,2*(ROWS($J$4:J15)-1)+1)*INDEX('M03-S01'!$AG$16:$AG$198,2*(ROWS($J$4:J15)-1)+1),2),0)</f>
        <v>0</v>
      </c>
      <c r="K15" s="52">
        <f>IFERROR(ROUND(INDEX('M03-S01'!$AU$16:$AU$198,2*(ROWS($K$4:K15)-1)+1),2),0)</f>
        <v>0</v>
      </c>
      <c r="L15" s="52" t="str">
        <f>IFERROR(IF(R15&gt;0,M15*INDEX(PMELIGHT[Incremental Cost],MATCH(AB15,PMELIGHT[Eff Desc 1],0)),""),"")</f>
        <v/>
      </c>
      <c r="M15" s="456">
        <f>IF(ISNUMBER(SEARCH("8ft",INDEX('M03-S01'!$K$16:$K$198,2*(ROWS($M$4:M15)-1)+1))),INDEX('M03-S01'!$S$16:$S$198,2*(ROWS($M$4:M15)-1)+1)*2,INDEX('M03-S01'!$S$16:$S$198,2*(ROWS($M$4:M15)-1)+1))</f>
        <v>0</v>
      </c>
      <c r="N15" s="184" t="str">
        <f>IF(ISNUMBER(INDEX('M03-S01'!$AN$16:$AN$198,2*(ROWS($R$4:R15)-1)+1)),INDEX('M03-S01'!$AK$16:$AK$198,2*(ROWS($N$4:N15)-1)+1),"")</f>
        <v/>
      </c>
      <c r="O15" s="456" t="str">
        <f>IFERROR(IF(ISNUMBER(INDEX('M03-S01'!$AN$16:$AN$198,2*(ROWS($R$4:R15)-1)+1)),INDEX('M03-S01'!$AV$16:$AV$198,2*(ROWS($O$4:O15)-1)+1),""),"")</f>
        <v/>
      </c>
      <c r="P15" s="459"/>
      <c r="Q15" s="184" t="str">
        <f>IFERROR(IF(ISNUMBER(INDEX('M03-S01'!$AN$16:$AN$198,2*(ROWS($R$4:R15)-1)+1)),INDEX('M03-S01'!$AY$16:$AY$198,2*(ROWS($Q$4:Q15)-1)+1),""),"")</f>
        <v/>
      </c>
      <c r="R15" s="184">
        <f>IF(ISNUMBER(INDEX('M03-S01'!$AN$16:$AN$198,2*(ROWS($R$4:R15)-1)+1)),INDEX('M03-S01'!$AN$16:$AN$198,2*(ROWS($R$4:R15)-1)+1),0)</f>
        <v>0</v>
      </c>
      <c r="S15" s="459"/>
      <c r="T15" s="113"/>
      <c r="U15" s="140"/>
      <c r="V15" s="113"/>
      <c r="W15" s="96" t="str">
        <f>IFERROR(IF(NOT(ISNUMBER(INDEX('M03-S01'!$AN$16:$AN$198,2*(ROWS($R$4:R15)-1)+1))),INDEX('M03-S01'!$BC$16:$BC$198,2*(ROWS($R$4:R15)-1)+1),""),"")</f>
        <v/>
      </c>
      <c r="X15" s="184" t="str">
        <f>IFERROR(ROUND(IF(ISNUMBER(SEARCH("8ft",INDEX('M03-S01'!$K$16:$K$198,2*(ROWS($X$4:X15)-1)+1))),INDEX('M03-S01'!$I$16:$I$198,2*(ROWS($X$4:X15)-1)+1)/2,INDEX('M03-S01'!$I$16:$I$198,2*(ROWS($X$4:X15)-1)+1)),3),"")</f>
        <v/>
      </c>
      <c r="Y15" s="184" t="str">
        <f>IFERROR(ROUND(IF(ISNUMBER(SEARCH("8ft",INDEX('M03-S01'!$K$16:$K$198,2*(ROWS($Y$4:Y15)-1)+1))),INDEX('M03-S01'!$Q$16:$Q$198,2*(ROWS($Y$4:Y15)-1)+1)/2,INDEX('M03-S01'!$Q$16:$Q$198,2*(ROWS($Y$4:Y15)-1)+1)),3),"")</f>
        <v/>
      </c>
      <c r="Z15" s="111">
        <f>INDEX('M03-S01'!$B$16:$B$198,2*(ROWS($Z$4:Z15)-1)+1)</f>
        <v>12</v>
      </c>
      <c r="AA15" s="111">
        <f>IF(ISNUMBER(SEARCH("8ft",INDEX('M03-S01'!$C$16:$C$199,2*(ROWS($Z$4:AA15)-1)+1))),SUBSTITUTE(INDEX('M03-S01'!$C$16:$C$199,2*(ROWS($Z$4:AA15)-1)+1),"8ft","4ft"),INDEX('M03-S01'!$C$16:$C$199,2*(ROWS($Z$4:AA15)-1)+1))</f>
        <v>0</v>
      </c>
      <c r="AB15" s="111">
        <f>IF(ISNUMBER(SEARCH("8ft",INDEX('M03-S01'!$K$16:$K$199,2*(ROWS($Z$4:AB15)-1)+1))),SUBSTITUTE(INDEX('M03-S01'!$K$16:$K$199,2*(ROWS($Z$4:AB15)-1)+1),"8ft","4ft"),INDEX('M03-S01'!$K$16:$K$199,2*(ROWS($Z$4:AB15)-1)+1))</f>
        <v>0</v>
      </c>
      <c r="AC15" s="96"/>
      <c r="AD15">
        <f>INDEX('M03-S01'!$U$16:$U$198,2*(ROWS($AD$4:AD15)-1)+1)</f>
        <v>0</v>
      </c>
      <c r="AE15" s="459"/>
      <c r="AF15" s="459"/>
      <c r="AG15" s="111" t="str">
        <f>INDEX('M03-S01'!$AW$16:$AW$198,2*(ROWS($AG$4:AG15)-1)+1)</f>
        <v/>
      </c>
      <c r="AH15" s="111" t="str">
        <f>INDEX('M03-S01'!$AX$16:$AX$198,2*(ROWS($AH$4:AH15)-1)+1)</f>
        <v/>
      </c>
      <c r="AI15" s="113"/>
      <c r="AJ15" s="113"/>
      <c r="AK15" s="113"/>
      <c r="AL15" s="113"/>
      <c r="AM15" s="113"/>
      <c r="AN15" s="113"/>
      <c r="AO15" s="52" t="str">
        <f>IFERROR(INDEX(PMELIGHT[Program Design],MATCH(AB15,PMELIGHT[Eff Desc 1])),"")</f>
        <v/>
      </c>
      <c r="AU15"/>
    </row>
    <row r="16" spans="1:115">
      <c r="A16" s="57">
        <f t="shared" si="0"/>
        <v>0</v>
      </c>
      <c r="B16" s="183" t="str">
        <f t="shared" si="1"/>
        <v/>
      </c>
      <c r="C16" t="str">
        <f>IFERROR(IF(R16&gt;0,INDEX(PMELIGHT[Measure '#],MATCH(AB16,PMELIGHT[Eff Desc 1],0)),""),"")</f>
        <v/>
      </c>
      <c r="D16" t="s">
        <v>947</v>
      </c>
      <c r="F16" s="185">
        <f>INDEX('M03-S01'!$AB$16:$AB$198,2*(ROWS($F$4:F16)-1)+1)</f>
        <v>0</v>
      </c>
      <c r="G16" s="186">
        <f>INDEX('M03-S01'!$Y$16:$Y$198,2*(ROWS($G$4:G16)-1)+1)</f>
        <v>0</v>
      </c>
      <c r="H16" s="186" t="str">
        <f>IF(ISNUMBER(INDEX('M03-S01'!$AN$16:$AN$198,2*(ROWS($R$4:R16)-1)+1)),"Total","")</f>
        <v/>
      </c>
      <c r="I16" s="184">
        <f>IFERROR(ROUND(INDEX('M03-S01'!$S$16:$S$198,2*(ROWS($I$4:I16)-1)+1)*INDEX('M03-S01'!$AE$16:$AE$198,2*(ROWS($I$4:I16)-1)+1),2),0)</f>
        <v>0</v>
      </c>
      <c r="J16" s="184">
        <f>IFERROR(ROUND(INDEX('M03-S01'!$S$16:$S$198,2*(ROWS($J$4:J16)-1)+1)*INDEX('M03-S01'!$AG$16:$AG$198,2*(ROWS($J$4:J16)-1)+1),2),0)</f>
        <v>0</v>
      </c>
      <c r="K16" s="52">
        <f>IFERROR(ROUND(INDEX('M03-S01'!$AU$16:$AU$198,2*(ROWS($K$4:K16)-1)+1),2),0)</f>
        <v>0</v>
      </c>
      <c r="L16" s="52" t="str">
        <f>IFERROR(IF(R16&gt;0,M16*INDEX(PMELIGHT[Incremental Cost],MATCH(AB16,PMELIGHT[Eff Desc 1],0)),""),"")</f>
        <v/>
      </c>
      <c r="M16" s="456">
        <f>IF(ISNUMBER(SEARCH("8ft",INDEX('M03-S01'!$K$16:$K$198,2*(ROWS($M$4:M16)-1)+1))),INDEX('M03-S01'!$S$16:$S$198,2*(ROWS($M$4:M16)-1)+1)*2,INDEX('M03-S01'!$S$16:$S$198,2*(ROWS($M$4:M16)-1)+1))</f>
        <v>0</v>
      </c>
      <c r="N16" s="184" t="str">
        <f>IF(ISNUMBER(INDEX('M03-S01'!$AN$16:$AN$198,2*(ROWS($R$4:R16)-1)+1)),INDEX('M03-S01'!$AK$16:$AK$198,2*(ROWS($N$4:N16)-1)+1),"")</f>
        <v/>
      </c>
      <c r="O16" s="456" t="str">
        <f>IFERROR(IF(ISNUMBER(INDEX('M03-S01'!$AN$16:$AN$198,2*(ROWS($R$4:R16)-1)+1)),INDEX('M03-S01'!$AV$16:$AV$198,2*(ROWS($O$4:O16)-1)+1),""),"")</f>
        <v/>
      </c>
      <c r="P16" s="459"/>
      <c r="Q16" s="184" t="str">
        <f>IFERROR(IF(ISNUMBER(INDEX('M03-S01'!$AN$16:$AN$198,2*(ROWS($R$4:R16)-1)+1)),INDEX('M03-S01'!$AY$16:$AY$198,2*(ROWS($Q$4:Q16)-1)+1),""),"")</f>
        <v/>
      </c>
      <c r="R16" s="184">
        <f>IF(ISNUMBER(INDEX('M03-S01'!$AN$16:$AN$198,2*(ROWS($R$4:R16)-1)+1)),INDEX('M03-S01'!$AN$16:$AN$198,2*(ROWS($R$4:R16)-1)+1),0)</f>
        <v>0</v>
      </c>
      <c r="S16" s="459"/>
      <c r="T16" s="113"/>
      <c r="U16" s="140"/>
      <c r="V16" s="113"/>
      <c r="W16" s="96" t="str">
        <f>IFERROR(IF(NOT(ISNUMBER(INDEX('M03-S01'!$AN$16:$AN$198,2*(ROWS($R$4:R16)-1)+1))),INDEX('M03-S01'!$BC$16:$BC$198,2*(ROWS($R$4:R16)-1)+1),""),"")</f>
        <v/>
      </c>
      <c r="X16" s="184" t="str">
        <f>IFERROR(ROUND(IF(ISNUMBER(SEARCH("8ft",INDEX('M03-S01'!$K$16:$K$198,2*(ROWS($X$4:X16)-1)+1))),INDEX('M03-S01'!$I$16:$I$198,2*(ROWS($X$4:X16)-1)+1)/2,INDEX('M03-S01'!$I$16:$I$198,2*(ROWS($X$4:X16)-1)+1)),3),"")</f>
        <v/>
      </c>
      <c r="Y16" s="184" t="str">
        <f>IFERROR(ROUND(IF(ISNUMBER(SEARCH("8ft",INDEX('M03-S01'!$K$16:$K$198,2*(ROWS($Y$4:Y16)-1)+1))),INDEX('M03-S01'!$Q$16:$Q$198,2*(ROWS($Y$4:Y16)-1)+1)/2,INDEX('M03-S01'!$Q$16:$Q$198,2*(ROWS($Y$4:Y16)-1)+1)),3),"")</f>
        <v/>
      </c>
      <c r="Z16" s="111">
        <f>INDEX('M03-S01'!$B$16:$B$198,2*(ROWS($Z$4:Z16)-1)+1)</f>
        <v>13</v>
      </c>
      <c r="AA16" s="111">
        <f>IF(ISNUMBER(SEARCH("8ft",INDEX('M03-S01'!$C$16:$C$199,2*(ROWS($Z$4:AA16)-1)+1))),SUBSTITUTE(INDEX('M03-S01'!$C$16:$C$199,2*(ROWS($Z$4:AA16)-1)+1),"8ft","4ft"),INDEX('M03-S01'!$C$16:$C$199,2*(ROWS($Z$4:AA16)-1)+1))</f>
        <v>0</v>
      </c>
      <c r="AB16" s="111">
        <f>IF(ISNUMBER(SEARCH("8ft",INDEX('M03-S01'!$K$16:$K$199,2*(ROWS($Z$4:AB16)-1)+1))),SUBSTITUTE(INDEX('M03-S01'!$K$16:$K$199,2*(ROWS($Z$4:AB16)-1)+1),"8ft","4ft"),INDEX('M03-S01'!$K$16:$K$199,2*(ROWS($Z$4:AB16)-1)+1))</f>
        <v>0</v>
      </c>
      <c r="AC16" s="96"/>
      <c r="AD16">
        <f>INDEX('M03-S01'!$U$16:$U$198,2*(ROWS($AD$4:AD16)-1)+1)</f>
        <v>0</v>
      </c>
      <c r="AE16" s="459"/>
      <c r="AF16" s="459"/>
      <c r="AG16" s="111" t="str">
        <f>INDEX('M03-S01'!$AW$16:$AW$198,2*(ROWS($AG$4:AG16)-1)+1)</f>
        <v/>
      </c>
      <c r="AH16" s="111" t="str">
        <f>INDEX('M03-S01'!$AX$16:$AX$198,2*(ROWS($AH$4:AH16)-1)+1)</f>
        <v/>
      </c>
      <c r="AI16" s="113"/>
      <c r="AJ16" s="113"/>
      <c r="AK16" s="113"/>
      <c r="AL16" s="113"/>
      <c r="AM16" s="113"/>
      <c r="AN16" s="113"/>
      <c r="AO16" s="52" t="str">
        <f>IFERROR(INDEX(PMELIGHT[Program Design],MATCH(AB16,PMELIGHT[Eff Desc 1])),"")</f>
        <v/>
      </c>
      <c r="AU16"/>
    </row>
    <row r="17" spans="1:47">
      <c r="A17" s="57">
        <f t="shared" si="0"/>
        <v>0</v>
      </c>
      <c r="B17" s="183" t="str">
        <f t="shared" si="1"/>
        <v/>
      </c>
      <c r="C17" t="str">
        <f>IFERROR(IF(R17&gt;0,INDEX(PMELIGHT[Measure '#],MATCH(AB17,PMELIGHT[Eff Desc 1],0)),""),"")</f>
        <v/>
      </c>
      <c r="D17" t="s">
        <v>947</v>
      </c>
      <c r="F17" s="185">
        <f>INDEX('M03-S01'!$AB$16:$AB$198,2*(ROWS($F$4:F17)-1)+1)</f>
        <v>0</v>
      </c>
      <c r="G17" s="186">
        <f>INDEX('M03-S01'!$Y$16:$Y$198,2*(ROWS($G$4:G17)-1)+1)</f>
        <v>0</v>
      </c>
      <c r="H17" s="186" t="str">
        <f>IF(ISNUMBER(INDEX('M03-S01'!$AN$16:$AN$198,2*(ROWS($R$4:R17)-1)+1)),"Total","")</f>
        <v/>
      </c>
      <c r="I17" s="184">
        <f>IFERROR(ROUND(INDEX('M03-S01'!$S$16:$S$198,2*(ROWS($I$4:I17)-1)+1)*INDEX('M03-S01'!$AE$16:$AE$198,2*(ROWS($I$4:I17)-1)+1),2),0)</f>
        <v>0</v>
      </c>
      <c r="J17" s="184">
        <f>IFERROR(ROUND(INDEX('M03-S01'!$S$16:$S$198,2*(ROWS($J$4:J17)-1)+1)*INDEX('M03-S01'!$AG$16:$AG$198,2*(ROWS($J$4:J17)-1)+1),2),0)</f>
        <v>0</v>
      </c>
      <c r="K17" s="52">
        <f>IFERROR(ROUND(INDEX('M03-S01'!$AU$16:$AU$198,2*(ROWS($K$4:K17)-1)+1),2),0)</f>
        <v>0</v>
      </c>
      <c r="L17" s="52" t="str">
        <f>IFERROR(IF(R17&gt;0,M17*INDEX(PMELIGHT[Incremental Cost],MATCH(AB17,PMELIGHT[Eff Desc 1],0)),""),"")</f>
        <v/>
      </c>
      <c r="M17" s="456">
        <f>IF(ISNUMBER(SEARCH("8ft",INDEX('M03-S01'!$K$16:$K$198,2*(ROWS($M$4:M17)-1)+1))),INDEX('M03-S01'!$S$16:$S$198,2*(ROWS($M$4:M17)-1)+1)*2,INDEX('M03-S01'!$S$16:$S$198,2*(ROWS($M$4:M17)-1)+1))</f>
        <v>0</v>
      </c>
      <c r="N17" s="184" t="str">
        <f>IF(ISNUMBER(INDEX('M03-S01'!$AN$16:$AN$198,2*(ROWS($R$4:R17)-1)+1)),INDEX('M03-S01'!$AK$16:$AK$198,2*(ROWS($N$4:N17)-1)+1),"")</f>
        <v/>
      </c>
      <c r="O17" s="456" t="str">
        <f>IFERROR(IF(ISNUMBER(INDEX('M03-S01'!$AN$16:$AN$198,2*(ROWS($R$4:R17)-1)+1)),INDEX('M03-S01'!$AV$16:$AV$198,2*(ROWS($O$4:O17)-1)+1),""),"")</f>
        <v/>
      </c>
      <c r="P17" s="459"/>
      <c r="Q17" s="184" t="str">
        <f>IFERROR(IF(ISNUMBER(INDEX('M03-S01'!$AN$16:$AN$198,2*(ROWS($R$4:R17)-1)+1)),INDEX('M03-S01'!$AY$16:$AY$198,2*(ROWS($Q$4:Q17)-1)+1),""),"")</f>
        <v/>
      </c>
      <c r="R17" s="184">
        <f>IF(ISNUMBER(INDEX('M03-S01'!$AN$16:$AN$198,2*(ROWS($R$4:R17)-1)+1)),INDEX('M03-S01'!$AN$16:$AN$198,2*(ROWS($R$4:R17)-1)+1),0)</f>
        <v>0</v>
      </c>
      <c r="S17" s="459"/>
      <c r="T17" s="113"/>
      <c r="U17" s="140"/>
      <c r="V17" s="113"/>
      <c r="W17" s="96" t="str">
        <f>IFERROR(IF(NOT(ISNUMBER(INDEX('M03-S01'!$AN$16:$AN$198,2*(ROWS($R$4:R17)-1)+1))),INDEX('M03-S01'!$BC$16:$BC$198,2*(ROWS($R$4:R17)-1)+1),""),"")</f>
        <v/>
      </c>
      <c r="X17" s="184" t="str">
        <f>IFERROR(ROUND(IF(ISNUMBER(SEARCH("8ft",INDEX('M03-S01'!$K$16:$K$198,2*(ROWS($X$4:X17)-1)+1))),INDEX('M03-S01'!$I$16:$I$198,2*(ROWS($X$4:X17)-1)+1)/2,INDEX('M03-S01'!$I$16:$I$198,2*(ROWS($X$4:X17)-1)+1)),3),"")</f>
        <v/>
      </c>
      <c r="Y17" s="184" t="str">
        <f>IFERROR(ROUND(IF(ISNUMBER(SEARCH("8ft",INDEX('M03-S01'!$K$16:$K$198,2*(ROWS($Y$4:Y17)-1)+1))),INDEX('M03-S01'!$Q$16:$Q$198,2*(ROWS($Y$4:Y17)-1)+1)/2,INDEX('M03-S01'!$Q$16:$Q$198,2*(ROWS($Y$4:Y17)-1)+1)),3),"")</f>
        <v/>
      </c>
      <c r="Z17" s="111">
        <f>INDEX('M03-S01'!$B$16:$B$198,2*(ROWS($Z$4:Z17)-1)+1)</f>
        <v>14</v>
      </c>
      <c r="AA17" s="111">
        <f>IF(ISNUMBER(SEARCH("8ft",INDEX('M03-S01'!$C$16:$C$199,2*(ROWS($Z$4:AA17)-1)+1))),SUBSTITUTE(INDEX('M03-S01'!$C$16:$C$199,2*(ROWS($Z$4:AA17)-1)+1),"8ft","4ft"),INDEX('M03-S01'!$C$16:$C$199,2*(ROWS($Z$4:AA17)-1)+1))</f>
        <v>0</v>
      </c>
      <c r="AB17" s="111">
        <f>IF(ISNUMBER(SEARCH("8ft",INDEX('M03-S01'!$K$16:$K$199,2*(ROWS($Z$4:AB17)-1)+1))),SUBSTITUTE(INDEX('M03-S01'!$K$16:$K$199,2*(ROWS($Z$4:AB17)-1)+1),"8ft","4ft"),INDEX('M03-S01'!$K$16:$K$199,2*(ROWS($Z$4:AB17)-1)+1))</f>
        <v>0</v>
      </c>
      <c r="AC17" s="96"/>
      <c r="AD17">
        <f>INDEX('M03-S01'!$U$16:$U$198,2*(ROWS($AD$4:AD17)-1)+1)</f>
        <v>0</v>
      </c>
      <c r="AE17" s="459"/>
      <c r="AF17" s="459"/>
      <c r="AG17" s="111" t="str">
        <f>INDEX('M03-S01'!$AW$16:$AW$198,2*(ROWS($AG$4:AG17)-1)+1)</f>
        <v/>
      </c>
      <c r="AH17" s="111" t="str">
        <f>INDEX('M03-S01'!$AX$16:$AX$198,2*(ROWS($AH$4:AH17)-1)+1)</f>
        <v/>
      </c>
      <c r="AI17" s="113"/>
      <c r="AJ17" s="113"/>
      <c r="AK17" s="113"/>
      <c r="AL17" s="113"/>
      <c r="AM17" s="113"/>
      <c r="AN17" s="113"/>
      <c r="AO17" s="52" t="str">
        <f>IFERROR(INDEX(PMELIGHT[Program Design],MATCH(AB17,PMELIGHT[Eff Desc 1])),"")</f>
        <v/>
      </c>
      <c r="AU17"/>
    </row>
    <row r="18" spans="1:47">
      <c r="A18" s="57">
        <f t="shared" si="0"/>
        <v>0</v>
      </c>
      <c r="B18" s="183" t="str">
        <f t="shared" si="1"/>
        <v/>
      </c>
      <c r="C18" t="str">
        <f>IFERROR(IF(R18&gt;0,INDEX(PMELIGHT[Measure '#],MATCH(AB18,PMELIGHT[Eff Desc 1],0)),""),"")</f>
        <v/>
      </c>
      <c r="D18" t="s">
        <v>947</v>
      </c>
      <c r="F18" s="185">
        <f>INDEX('M03-S01'!$AB$16:$AB$198,2*(ROWS($F$4:F18)-1)+1)</f>
        <v>0</v>
      </c>
      <c r="G18" s="186">
        <f>INDEX('M03-S01'!$Y$16:$Y$198,2*(ROWS($G$4:G18)-1)+1)</f>
        <v>0</v>
      </c>
      <c r="H18" s="186" t="str">
        <f>IF(ISNUMBER(INDEX('M03-S01'!$AN$16:$AN$198,2*(ROWS($R$4:R18)-1)+1)),"Total","")</f>
        <v/>
      </c>
      <c r="I18" s="184">
        <f>IFERROR(ROUND(INDEX('M03-S01'!$S$16:$S$198,2*(ROWS($I$4:I18)-1)+1)*INDEX('M03-S01'!$AE$16:$AE$198,2*(ROWS($I$4:I18)-1)+1),2),0)</f>
        <v>0</v>
      </c>
      <c r="J18" s="184">
        <f>IFERROR(ROUND(INDEX('M03-S01'!$S$16:$S$198,2*(ROWS($J$4:J18)-1)+1)*INDEX('M03-S01'!$AG$16:$AG$198,2*(ROWS($J$4:J18)-1)+1),2),0)</f>
        <v>0</v>
      </c>
      <c r="K18" s="52">
        <f>IFERROR(ROUND(INDEX('M03-S01'!$AU$16:$AU$198,2*(ROWS($K$4:K18)-1)+1),2),0)</f>
        <v>0</v>
      </c>
      <c r="L18" s="52" t="str">
        <f>IFERROR(IF(R18&gt;0,M18*INDEX(PMELIGHT[Incremental Cost],MATCH(AB18,PMELIGHT[Eff Desc 1],0)),""),"")</f>
        <v/>
      </c>
      <c r="M18" s="456">
        <f>IF(ISNUMBER(SEARCH("8ft",INDEX('M03-S01'!$K$16:$K$198,2*(ROWS($M$4:M18)-1)+1))),INDEX('M03-S01'!$S$16:$S$198,2*(ROWS($M$4:M18)-1)+1)*2,INDEX('M03-S01'!$S$16:$S$198,2*(ROWS($M$4:M18)-1)+1))</f>
        <v>0</v>
      </c>
      <c r="N18" s="184" t="str">
        <f>IF(ISNUMBER(INDEX('M03-S01'!$AN$16:$AN$198,2*(ROWS($R$4:R18)-1)+1)),INDEX('M03-S01'!$AK$16:$AK$198,2*(ROWS($N$4:N18)-1)+1),"")</f>
        <v/>
      </c>
      <c r="O18" s="456" t="str">
        <f>IFERROR(IF(ISNUMBER(INDEX('M03-S01'!$AN$16:$AN$198,2*(ROWS($R$4:R18)-1)+1)),INDEX('M03-S01'!$AV$16:$AV$198,2*(ROWS($O$4:O18)-1)+1),""),"")</f>
        <v/>
      </c>
      <c r="P18" s="459"/>
      <c r="Q18" s="184" t="str">
        <f>IFERROR(IF(ISNUMBER(INDEX('M03-S01'!$AN$16:$AN$198,2*(ROWS($R$4:R18)-1)+1)),INDEX('M03-S01'!$AY$16:$AY$198,2*(ROWS($Q$4:Q18)-1)+1),""),"")</f>
        <v/>
      </c>
      <c r="R18" s="184">
        <f>IF(ISNUMBER(INDEX('M03-S01'!$AN$16:$AN$198,2*(ROWS($R$4:R18)-1)+1)),INDEX('M03-S01'!$AN$16:$AN$198,2*(ROWS($R$4:R18)-1)+1),0)</f>
        <v>0</v>
      </c>
      <c r="S18" s="459"/>
      <c r="T18" s="113"/>
      <c r="U18" s="140"/>
      <c r="V18" s="113"/>
      <c r="W18" s="96" t="str">
        <f>IFERROR(IF(NOT(ISNUMBER(INDEX('M03-S01'!$AN$16:$AN$198,2*(ROWS($R$4:R18)-1)+1))),INDEX('M03-S01'!$BC$16:$BC$198,2*(ROWS($R$4:R18)-1)+1),""),"")</f>
        <v/>
      </c>
      <c r="X18" s="184" t="str">
        <f>IFERROR(ROUND(IF(ISNUMBER(SEARCH("8ft",INDEX('M03-S01'!$K$16:$K$198,2*(ROWS($X$4:X18)-1)+1))),INDEX('M03-S01'!$I$16:$I$198,2*(ROWS($X$4:X18)-1)+1)/2,INDEX('M03-S01'!$I$16:$I$198,2*(ROWS($X$4:X18)-1)+1)),3),"")</f>
        <v/>
      </c>
      <c r="Y18" s="184" t="str">
        <f>IFERROR(ROUND(IF(ISNUMBER(SEARCH("8ft",INDEX('M03-S01'!$K$16:$K$198,2*(ROWS($Y$4:Y18)-1)+1))),INDEX('M03-S01'!$Q$16:$Q$198,2*(ROWS($Y$4:Y18)-1)+1)/2,INDEX('M03-S01'!$Q$16:$Q$198,2*(ROWS($Y$4:Y18)-1)+1)),3),"")</f>
        <v/>
      </c>
      <c r="Z18" s="111">
        <f>INDEX('M03-S01'!$B$16:$B$198,2*(ROWS($Z$4:Z18)-1)+1)</f>
        <v>15</v>
      </c>
      <c r="AA18" s="111">
        <f>IF(ISNUMBER(SEARCH("8ft",INDEX('M03-S01'!$C$16:$C$199,2*(ROWS($Z$4:AA18)-1)+1))),SUBSTITUTE(INDEX('M03-S01'!$C$16:$C$199,2*(ROWS($Z$4:AA18)-1)+1),"8ft","4ft"),INDEX('M03-S01'!$C$16:$C$199,2*(ROWS($Z$4:AA18)-1)+1))</f>
        <v>0</v>
      </c>
      <c r="AB18" s="111">
        <f>IF(ISNUMBER(SEARCH("8ft",INDEX('M03-S01'!$K$16:$K$199,2*(ROWS($Z$4:AB18)-1)+1))),SUBSTITUTE(INDEX('M03-S01'!$K$16:$K$199,2*(ROWS($Z$4:AB18)-1)+1),"8ft","4ft"),INDEX('M03-S01'!$K$16:$K$199,2*(ROWS($Z$4:AB18)-1)+1))</f>
        <v>0</v>
      </c>
      <c r="AC18" s="96"/>
      <c r="AD18">
        <f>INDEX('M03-S01'!$U$16:$U$198,2*(ROWS($AD$4:AD18)-1)+1)</f>
        <v>0</v>
      </c>
      <c r="AE18" s="459"/>
      <c r="AF18" s="459"/>
      <c r="AG18" s="111" t="str">
        <f>INDEX('M03-S01'!$AW$16:$AW$198,2*(ROWS($AG$4:AG18)-1)+1)</f>
        <v/>
      </c>
      <c r="AH18" s="111" t="str">
        <f>INDEX('M03-S01'!$AX$16:$AX$198,2*(ROWS($AH$4:AH18)-1)+1)</f>
        <v/>
      </c>
      <c r="AI18" s="113"/>
      <c r="AJ18" s="113"/>
      <c r="AK18" s="113"/>
      <c r="AL18" s="113"/>
      <c r="AM18" s="113"/>
      <c r="AN18" s="113"/>
      <c r="AO18" s="52" t="str">
        <f>IFERROR(INDEX(PMELIGHT[Program Design],MATCH(AB18,PMELIGHT[Eff Desc 1])),"")</f>
        <v/>
      </c>
      <c r="AU18"/>
    </row>
    <row r="19" spans="1:47">
      <c r="A19" s="57">
        <f t="shared" si="0"/>
        <v>0</v>
      </c>
      <c r="B19" s="183" t="str">
        <f t="shared" si="1"/>
        <v/>
      </c>
      <c r="C19" t="str">
        <f>IFERROR(IF(R19&gt;0,INDEX(PMELIGHT[Measure '#],MATCH(AB19,PMELIGHT[Eff Desc 1],0)),""),"")</f>
        <v/>
      </c>
      <c r="D19" t="s">
        <v>947</v>
      </c>
      <c r="F19" s="185">
        <f>INDEX('M03-S01'!$AB$16:$AB$198,2*(ROWS($F$4:F19)-1)+1)</f>
        <v>0</v>
      </c>
      <c r="G19" s="186">
        <f>INDEX('M03-S01'!$Y$16:$Y$198,2*(ROWS($G$4:G19)-1)+1)</f>
        <v>0</v>
      </c>
      <c r="H19" s="186" t="str">
        <f>IF(ISNUMBER(INDEX('M03-S01'!$AN$16:$AN$198,2*(ROWS($R$4:R19)-1)+1)),"Total","")</f>
        <v/>
      </c>
      <c r="I19" s="184">
        <f>IFERROR(ROUND(INDEX('M03-S01'!$S$16:$S$198,2*(ROWS($I$4:I19)-1)+1)*INDEX('M03-S01'!$AE$16:$AE$198,2*(ROWS($I$4:I19)-1)+1),2),0)</f>
        <v>0</v>
      </c>
      <c r="J19" s="184">
        <f>IFERROR(ROUND(INDEX('M03-S01'!$S$16:$S$198,2*(ROWS($J$4:J19)-1)+1)*INDEX('M03-S01'!$AG$16:$AG$198,2*(ROWS($J$4:J19)-1)+1),2),0)</f>
        <v>0</v>
      </c>
      <c r="K19" s="52">
        <f>IFERROR(ROUND(INDEX('M03-S01'!$AU$16:$AU$198,2*(ROWS($K$4:K19)-1)+1),2),0)</f>
        <v>0</v>
      </c>
      <c r="L19" s="52" t="str">
        <f>IFERROR(IF(R19&gt;0,M19*INDEX(PMELIGHT[Incremental Cost],MATCH(AB19,PMELIGHT[Eff Desc 1],0)),""),"")</f>
        <v/>
      </c>
      <c r="M19" s="456">
        <f>IF(ISNUMBER(SEARCH("8ft",INDEX('M03-S01'!$K$16:$K$198,2*(ROWS($M$4:M19)-1)+1))),INDEX('M03-S01'!$S$16:$S$198,2*(ROWS($M$4:M19)-1)+1)*2,INDEX('M03-S01'!$S$16:$S$198,2*(ROWS($M$4:M19)-1)+1))</f>
        <v>0</v>
      </c>
      <c r="N19" s="184" t="str">
        <f>IF(ISNUMBER(INDEX('M03-S01'!$AN$16:$AN$198,2*(ROWS($R$4:R19)-1)+1)),INDEX('M03-S01'!$AK$16:$AK$198,2*(ROWS($N$4:N19)-1)+1),"")</f>
        <v/>
      </c>
      <c r="O19" s="456" t="str">
        <f>IFERROR(IF(ISNUMBER(INDEX('M03-S01'!$AN$16:$AN$198,2*(ROWS($R$4:R19)-1)+1)),INDEX('M03-S01'!$AV$16:$AV$198,2*(ROWS($O$4:O19)-1)+1),""),"")</f>
        <v/>
      </c>
      <c r="P19" s="459"/>
      <c r="Q19" s="184" t="str">
        <f>IFERROR(IF(ISNUMBER(INDEX('M03-S01'!$AN$16:$AN$198,2*(ROWS($R$4:R19)-1)+1)),INDEX('M03-S01'!$AY$16:$AY$198,2*(ROWS($Q$4:Q19)-1)+1),""),"")</f>
        <v/>
      </c>
      <c r="R19" s="184">
        <f>IF(ISNUMBER(INDEX('M03-S01'!$AN$16:$AN$198,2*(ROWS($R$4:R19)-1)+1)),INDEX('M03-S01'!$AN$16:$AN$198,2*(ROWS($R$4:R19)-1)+1),0)</f>
        <v>0</v>
      </c>
      <c r="S19" s="459"/>
      <c r="T19" s="113"/>
      <c r="U19" s="140"/>
      <c r="V19" s="113"/>
      <c r="W19" s="96" t="str">
        <f>IFERROR(IF(NOT(ISNUMBER(INDEX('M03-S01'!$AN$16:$AN$198,2*(ROWS($R$4:R19)-1)+1))),INDEX('M03-S01'!$BC$16:$BC$198,2*(ROWS($R$4:R19)-1)+1),""),"")</f>
        <v/>
      </c>
      <c r="X19" s="184" t="str">
        <f>IFERROR(ROUND(IF(ISNUMBER(SEARCH("8ft",INDEX('M03-S01'!$K$16:$K$198,2*(ROWS($X$4:X19)-1)+1))),INDEX('M03-S01'!$I$16:$I$198,2*(ROWS($X$4:X19)-1)+1)/2,INDEX('M03-S01'!$I$16:$I$198,2*(ROWS($X$4:X19)-1)+1)),3),"")</f>
        <v/>
      </c>
      <c r="Y19" s="184" t="str">
        <f>IFERROR(ROUND(IF(ISNUMBER(SEARCH("8ft",INDEX('M03-S01'!$K$16:$K$198,2*(ROWS($Y$4:Y19)-1)+1))),INDEX('M03-S01'!$Q$16:$Q$198,2*(ROWS($Y$4:Y19)-1)+1)/2,INDEX('M03-S01'!$Q$16:$Q$198,2*(ROWS($Y$4:Y19)-1)+1)),3),"")</f>
        <v/>
      </c>
      <c r="Z19" s="111">
        <f>INDEX('M03-S01'!$B$16:$B$198,2*(ROWS($Z$4:Z19)-1)+1)</f>
        <v>16</v>
      </c>
      <c r="AA19" s="111">
        <f>IF(ISNUMBER(SEARCH("8ft",INDEX('M03-S01'!$C$16:$C$199,2*(ROWS($Z$4:AA19)-1)+1))),SUBSTITUTE(INDEX('M03-S01'!$C$16:$C$199,2*(ROWS($Z$4:AA19)-1)+1),"8ft","4ft"),INDEX('M03-S01'!$C$16:$C$199,2*(ROWS($Z$4:AA19)-1)+1))</f>
        <v>0</v>
      </c>
      <c r="AB19" s="111">
        <f>IF(ISNUMBER(SEARCH("8ft",INDEX('M03-S01'!$K$16:$K$199,2*(ROWS($Z$4:AB19)-1)+1))),SUBSTITUTE(INDEX('M03-S01'!$K$16:$K$199,2*(ROWS($Z$4:AB19)-1)+1),"8ft","4ft"),INDEX('M03-S01'!$K$16:$K$199,2*(ROWS($Z$4:AB19)-1)+1))</f>
        <v>0</v>
      </c>
      <c r="AC19" s="96"/>
      <c r="AD19">
        <f>INDEX('M03-S01'!$U$16:$U$198,2*(ROWS($AD$4:AD19)-1)+1)</f>
        <v>0</v>
      </c>
      <c r="AE19" s="459"/>
      <c r="AF19" s="459"/>
      <c r="AG19" s="111" t="str">
        <f>INDEX('M03-S01'!$AW$16:$AW$198,2*(ROWS($AG$4:AG19)-1)+1)</f>
        <v/>
      </c>
      <c r="AH19" s="111" t="str">
        <f>INDEX('M03-S01'!$AX$16:$AX$198,2*(ROWS($AH$4:AH19)-1)+1)</f>
        <v/>
      </c>
      <c r="AI19" s="113"/>
      <c r="AJ19" s="113"/>
      <c r="AK19" s="113"/>
      <c r="AL19" s="113"/>
      <c r="AM19" s="113"/>
      <c r="AN19" s="113"/>
      <c r="AO19" s="52" t="str">
        <f>IFERROR(INDEX(PMELIGHT[Program Design],MATCH(AB19,PMELIGHT[Eff Desc 1])),"")</f>
        <v/>
      </c>
      <c r="AU19"/>
    </row>
    <row r="20" spans="1:47">
      <c r="A20" s="57">
        <f t="shared" si="0"/>
        <v>0</v>
      </c>
      <c r="B20" s="183" t="str">
        <f t="shared" si="1"/>
        <v/>
      </c>
      <c r="C20" t="str">
        <f>IFERROR(IF(R20&gt;0,INDEX(PMELIGHT[Measure '#],MATCH(AB20,PMELIGHT[Eff Desc 1],0)),""),"")</f>
        <v/>
      </c>
      <c r="D20" t="s">
        <v>947</v>
      </c>
      <c r="F20" s="185">
        <f>INDEX('M03-S01'!$AB$16:$AB$198,2*(ROWS($F$4:F20)-1)+1)</f>
        <v>0</v>
      </c>
      <c r="G20" s="186">
        <f>INDEX('M03-S01'!$Y$16:$Y$198,2*(ROWS($G$4:G20)-1)+1)</f>
        <v>0</v>
      </c>
      <c r="H20" s="186" t="str">
        <f>IF(ISNUMBER(INDEX('M03-S01'!$AN$16:$AN$198,2*(ROWS($R$4:R20)-1)+1)),"Total","")</f>
        <v/>
      </c>
      <c r="I20" s="184">
        <f>IFERROR(ROUND(INDEX('M03-S01'!$S$16:$S$198,2*(ROWS($I$4:I20)-1)+1)*INDEX('M03-S01'!$AE$16:$AE$198,2*(ROWS($I$4:I20)-1)+1),2),0)</f>
        <v>0</v>
      </c>
      <c r="J20" s="184">
        <f>IFERROR(ROUND(INDEX('M03-S01'!$S$16:$S$198,2*(ROWS($J$4:J20)-1)+1)*INDEX('M03-S01'!$AG$16:$AG$198,2*(ROWS($J$4:J20)-1)+1),2),0)</f>
        <v>0</v>
      </c>
      <c r="K20" s="52">
        <f>IFERROR(ROUND(INDEX('M03-S01'!$AU$16:$AU$198,2*(ROWS($K$4:K20)-1)+1),2),0)</f>
        <v>0</v>
      </c>
      <c r="L20" s="52" t="str">
        <f>IFERROR(IF(R20&gt;0,M20*INDEX(PMELIGHT[Incremental Cost],MATCH(AB20,PMELIGHT[Eff Desc 1],0)),""),"")</f>
        <v/>
      </c>
      <c r="M20" s="456">
        <f>IF(ISNUMBER(SEARCH("8ft",INDEX('M03-S01'!$K$16:$K$198,2*(ROWS($M$4:M20)-1)+1))),INDEX('M03-S01'!$S$16:$S$198,2*(ROWS($M$4:M20)-1)+1)*2,INDEX('M03-S01'!$S$16:$S$198,2*(ROWS($M$4:M20)-1)+1))</f>
        <v>0</v>
      </c>
      <c r="N20" s="184" t="str">
        <f>IF(ISNUMBER(INDEX('M03-S01'!$AN$16:$AN$198,2*(ROWS($R$4:R20)-1)+1)),INDEX('M03-S01'!$AK$16:$AK$198,2*(ROWS($N$4:N20)-1)+1),"")</f>
        <v/>
      </c>
      <c r="O20" s="456" t="str">
        <f>IFERROR(IF(ISNUMBER(INDEX('M03-S01'!$AN$16:$AN$198,2*(ROWS($R$4:R20)-1)+1)),INDEX('M03-S01'!$AV$16:$AV$198,2*(ROWS($O$4:O20)-1)+1),""),"")</f>
        <v/>
      </c>
      <c r="P20" s="459"/>
      <c r="Q20" s="184" t="str">
        <f>IFERROR(IF(ISNUMBER(INDEX('M03-S01'!$AN$16:$AN$198,2*(ROWS($R$4:R20)-1)+1)),INDEX('M03-S01'!$AY$16:$AY$198,2*(ROWS($Q$4:Q20)-1)+1),""),"")</f>
        <v/>
      </c>
      <c r="R20" s="184">
        <f>IF(ISNUMBER(INDEX('M03-S01'!$AN$16:$AN$198,2*(ROWS($R$4:R20)-1)+1)),INDEX('M03-S01'!$AN$16:$AN$198,2*(ROWS($R$4:R20)-1)+1),0)</f>
        <v>0</v>
      </c>
      <c r="S20" s="459"/>
      <c r="T20" s="113"/>
      <c r="U20" s="140"/>
      <c r="V20" s="113"/>
      <c r="W20" s="96" t="str">
        <f>IFERROR(IF(NOT(ISNUMBER(INDEX('M03-S01'!$AN$16:$AN$198,2*(ROWS($R$4:R20)-1)+1))),INDEX('M03-S01'!$BC$16:$BC$198,2*(ROWS($R$4:R20)-1)+1),""),"")</f>
        <v/>
      </c>
      <c r="X20" s="184" t="str">
        <f>IFERROR(ROUND(IF(ISNUMBER(SEARCH("8ft",INDEX('M03-S01'!$K$16:$K$198,2*(ROWS($X$4:X20)-1)+1))),INDEX('M03-S01'!$I$16:$I$198,2*(ROWS($X$4:X20)-1)+1)/2,INDEX('M03-S01'!$I$16:$I$198,2*(ROWS($X$4:X20)-1)+1)),3),"")</f>
        <v/>
      </c>
      <c r="Y20" s="184" t="str">
        <f>IFERROR(ROUND(IF(ISNUMBER(SEARCH("8ft",INDEX('M03-S01'!$K$16:$K$198,2*(ROWS($Y$4:Y20)-1)+1))),INDEX('M03-S01'!$Q$16:$Q$198,2*(ROWS($Y$4:Y20)-1)+1)/2,INDEX('M03-S01'!$Q$16:$Q$198,2*(ROWS($Y$4:Y20)-1)+1)),3),"")</f>
        <v/>
      </c>
      <c r="Z20" s="111">
        <f>INDEX('M03-S01'!$B$16:$B$198,2*(ROWS($Z$4:Z20)-1)+1)</f>
        <v>17</v>
      </c>
      <c r="AA20" s="111">
        <f>IF(ISNUMBER(SEARCH("8ft",INDEX('M03-S01'!$C$16:$C$199,2*(ROWS($Z$4:AA20)-1)+1))),SUBSTITUTE(INDEX('M03-S01'!$C$16:$C$199,2*(ROWS($Z$4:AA20)-1)+1),"8ft","4ft"),INDEX('M03-S01'!$C$16:$C$199,2*(ROWS($Z$4:AA20)-1)+1))</f>
        <v>0</v>
      </c>
      <c r="AB20" s="111">
        <f>IF(ISNUMBER(SEARCH("8ft",INDEX('M03-S01'!$K$16:$K$199,2*(ROWS($Z$4:AB20)-1)+1))),SUBSTITUTE(INDEX('M03-S01'!$K$16:$K$199,2*(ROWS($Z$4:AB20)-1)+1),"8ft","4ft"),INDEX('M03-S01'!$K$16:$K$199,2*(ROWS($Z$4:AB20)-1)+1))</f>
        <v>0</v>
      </c>
      <c r="AC20" s="96"/>
      <c r="AD20">
        <f>INDEX('M03-S01'!$U$16:$U$198,2*(ROWS($AD$4:AD20)-1)+1)</f>
        <v>0</v>
      </c>
      <c r="AE20" s="459"/>
      <c r="AF20" s="459"/>
      <c r="AG20" s="111" t="str">
        <f>INDEX('M03-S01'!$AW$16:$AW$198,2*(ROWS($AG$4:AG20)-1)+1)</f>
        <v/>
      </c>
      <c r="AH20" s="111" t="str">
        <f>INDEX('M03-S01'!$AX$16:$AX$198,2*(ROWS($AH$4:AH20)-1)+1)</f>
        <v/>
      </c>
      <c r="AI20" s="113"/>
      <c r="AJ20" s="113"/>
      <c r="AK20" s="113"/>
      <c r="AL20" s="113"/>
      <c r="AM20" s="113"/>
      <c r="AN20" s="113"/>
      <c r="AO20" s="52" t="str">
        <f>IFERROR(INDEX(PMELIGHT[Program Design],MATCH(AB20,PMELIGHT[Eff Desc 1])),"")</f>
        <v/>
      </c>
      <c r="AU20"/>
    </row>
    <row r="21" spans="1:47">
      <c r="A21" s="57">
        <f t="shared" si="0"/>
        <v>0</v>
      </c>
      <c r="B21" s="183" t="str">
        <f t="shared" si="1"/>
        <v/>
      </c>
      <c r="C21" t="str">
        <f>IFERROR(IF(R21&gt;0,INDEX(PMELIGHT[Measure '#],MATCH(AB21,PMELIGHT[Eff Desc 1],0)),""),"")</f>
        <v/>
      </c>
      <c r="D21" t="s">
        <v>947</v>
      </c>
      <c r="F21" s="185">
        <f>INDEX('M03-S01'!$AB$16:$AB$198,2*(ROWS($F$4:F21)-1)+1)</f>
        <v>0</v>
      </c>
      <c r="G21" s="186">
        <f>INDEX('M03-S01'!$Y$16:$Y$198,2*(ROWS($G$4:G21)-1)+1)</f>
        <v>0</v>
      </c>
      <c r="H21" s="186" t="str">
        <f>IF(ISNUMBER(INDEX('M03-S01'!$AN$16:$AN$198,2*(ROWS($R$4:R21)-1)+1)),"Total","")</f>
        <v/>
      </c>
      <c r="I21" s="184">
        <f>IFERROR(ROUND(INDEX('M03-S01'!$S$16:$S$198,2*(ROWS($I$4:I21)-1)+1)*INDEX('M03-S01'!$AE$16:$AE$198,2*(ROWS($I$4:I21)-1)+1),2),0)</f>
        <v>0</v>
      </c>
      <c r="J21" s="184">
        <f>IFERROR(ROUND(INDEX('M03-S01'!$S$16:$S$198,2*(ROWS($J$4:J21)-1)+1)*INDEX('M03-S01'!$AG$16:$AG$198,2*(ROWS($J$4:J21)-1)+1),2),0)</f>
        <v>0</v>
      </c>
      <c r="K21" s="52">
        <f>IFERROR(ROUND(INDEX('M03-S01'!$AU$16:$AU$198,2*(ROWS($K$4:K21)-1)+1),2),0)</f>
        <v>0</v>
      </c>
      <c r="L21" s="52" t="str">
        <f>IFERROR(IF(R21&gt;0,M21*INDEX(PMELIGHT[Incremental Cost],MATCH(AB21,PMELIGHT[Eff Desc 1],0)),""),"")</f>
        <v/>
      </c>
      <c r="M21" s="456">
        <f>IF(ISNUMBER(SEARCH("8ft",INDEX('M03-S01'!$K$16:$K$198,2*(ROWS($M$4:M21)-1)+1))),INDEX('M03-S01'!$S$16:$S$198,2*(ROWS($M$4:M21)-1)+1)*2,INDEX('M03-S01'!$S$16:$S$198,2*(ROWS($M$4:M21)-1)+1))</f>
        <v>0</v>
      </c>
      <c r="N21" s="184" t="str">
        <f>IF(ISNUMBER(INDEX('M03-S01'!$AN$16:$AN$198,2*(ROWS($R$4:R21)-1)+1)),INDEX('M03-S01'!$AK$16:$AK$198,2*(ROWS($N$4:N21)-1)+1),"")</f>
        <v/>
      </c>
      <c r="O21" s="456" t="str">
        <f>IFERROR(IF(ISNUMBER(INDEX('M03-S01'!$AN$16:$AN$198,2*(ROWS($R$4:R21)-1)+1)),INDEX('M03-S01'!$AV$16:$AV$198,2*(ROWS($O$4:O21)-1)+1),""),"")</f>
        <v/>
      </c>
      <c r="P21" s="459"/>
      <c r="Q21" s="184" t="str">
        <f>IFERROR(IF(ISNUMBER(INDEX('M03-S01'!$AN$16:$AN$198,2*(ROWS($R$4:R21)-1)+1)),INDEX('M03-S01'!$AY$16:$AY$198,2*(ROWS($Q$4:Q21)-1)+1),""),"")</f>
        <v/>
      </c>
      <c r="R21" s="184">
        <f>IF(ISNUMBER(INDEX('M03-S01'!$AN$16:$AN$198,2*(ROWS($R$4:R21)-1)+1)),INDEX('M03-S01'!$AN$16:$AN$198,2*(ROWS($R$4:R21)-1)+1),0)</f>
        <v>0</v>
      </c>
      <c r="S21" s="459"/>
      <c r="T21" s="113"/>
      <c r="U21" s="140"/>
      <c r="V21" s="113"/>
      <c r="W21" s="96" t="str">
        <f>IFERROR(IF(NOT(ISNUMBER(INDEX('M03-S01'!$AN$16:$AN$198,2*(ROWS($R$4:R21)-1)+1))),INDEX('M03-S01'!$BC$16:$BC$198,2*(ROWS($R$4:R21)-1)+1),""),"")</f>
        <v/>
      </c>
      <c r="X21" s="184" t="str">
        <f>IFERROR(ROUND(IF(ISNUMBER(SEARCH("8ft",INDEX('M03-S01'!$K$16:$K$198,2*(ROWS($X$4:X21)-1)+1))),INDEX('M03-S01'!$I$16:$I$198,2*(ROWS($X$4:X21)-1)+1)/2,INDEX('M03-S01'!$I$16:$I$198,2*(ROWS($X$4:X21)-1)+1)),3),"")</f>
        <v/>
      </c>
      <c r="Y21" s="184" t="str">
        <f>IFERROR(ROUND(IF(ISNUMBER(SEARCH("8ft",INDEX('M03-S01'!$K$16:$K$198,2*(ROWS($Y$4:Y21)-1)+1))),INDEX('M03-S01'!$Q$16:$Q$198,2*(ROWS($Y$4:Y21)-1)+1)/2,INDEX('M03-S01'!$Q$16:$Q$198,2*(ROWS($Y$4:Y21)-1)+1)),3),"")</f>
        <v/>
      </c>
      <c r="Z21" s="111">
        <f>INDEX('M03-S01'!$B$16:$B$198,2*(ROWS($Z$4:Z21)-1)+1)</f>
        <v>18</v>
      </c>
      <c r="AA21" s="111">
        <f>IF(ISNUMBER(SEARCH("8ft",INDEX('M03-S01'!$C$16:$C$199,2*(ROWS($Z$4:AA21)-1)+1))),SUBSTITUTE(INDEX('M03-S01'!$C$16:$C$199,2*(ROWS($Z$4:AA21)-1)+1),"8ft","4ft"),INDEX('M03-S01'!$C$16:$C$199,2*(ROWS($Z$4:AA21)-1)+1))</f>
        <v>0</v>
      </c>
      <c r="AB21" s="111">
        <f>IF(ISNUMBER(SEARCH("8ft",INDEX('M03-S01'!$K$16:$K$199,2*(ROWS($Z$4:AB21)-1)+1))),SUBSTITUTE(INDEX('M03-S01'!$K$16:$K$199,2*(ROWS($Z$4:AB21)-1)+1),"8ft","4ft"),INDEX('M03-S01'!$K$16:$K$199,2*(ROWS($Z$4:AB21)-1)+1))</f>
        <v>0</v>
      </c>
      <c r="AC21" s="96"/>
      <c r="AD21">
        <f>INDEX('M03-S01'!$U$16:$U$198,2*(ROWS($AD$4:AD21)-1)+1)</f>
        <v>0</v>
      </c>
      <c r="AE21" s="459"/>
      <c r="AF21" s="459"/>
      <c r="AG21" s="111" t="str">
        <f>INDEX('M03-S01'!$AW$16:$AW$198,2*(ROWS($AG$4:AG21)-1)+1)</f>
        <v/>
      </c>
      <c r="AH21" s="111" t="str">
        <f>INDEX('M03-S01'!$AX$16:$AX$198,2*(ROWS($AH$4:AH21)-1)+1)</f>
        <v/>
      </c>
      <c r="AI21" s="113"/>
      <c r="AJ21" s="113"/>
      <c r="AK21" s="113"/>
      <c r="AL21" s="113"/>
      <c r="AM21" s="113"/>
      <c r="AN21" s="113"/>
      <c r="AO21" s="52" t="str">
        <f>IFERROR(INDEX(PMELIGHT[Program Design],MATCH(AB21,PMELIGHT[Eff Desc 1])),"")</f>
        <v/>
      </c>
      <c r="AU21"/>
    </row>
    <row r="22" spans="1:47">
      <c r="A22" s="57">
        <f t="shared" si="0"/>
        <v>0</v>
      </c>
      <c r="B22" s="183" t="str">
        <f t="shared" ref="B22:B37" si="2">IF(C22="","",CONCATENATE(ROW(),"-",C22))</f>
        <v/>
      </c>
      <c r="C22" t="str">
        <f>IFERROR(IF(R22&gt;0,INDEX(PMELIGHT[Measure '#],MATCH(AB22,PMELIGHT[Eff Desc 1],0)),""),"")</f>
        <v/>
      </c>
      <c r="D22" t="s">
        <v>947</v>
      </c>
      <c r="F22" s="185">
        <f>INDEX('M03-S01'!$AB$16:$AB$198,2*(ROWS($F$4:F22)-1)+1)</f>
        <v>0</v>
      </c>
      <c r="G22" s="186">
        <f>INDEX('M03-S01'!$Y$16:$Y$198,2*(ROWS($G$4:G22)-1)+1)</f>
        <v>0</v>
      </c>
      <c r="H22" s="186" t="str">
        <f>IF(ISNUMBER(INDEX('M03-S01'!$AN$16:$AN$198,2*(ROWS($R$4:R22)-1)+1)),"Total","")</f>
        <v/>
      </c>
      <c r="I22" s="184">
        <f>IFERROR(ROUND(INDEX('M03-S01'!$S$16:$S$198,2*(ROWS($I$4:I22)-1)+1)*INDEX('M03-S01'!$AE$16:$AE$198,2*(ROWS($I$4:I22)-1)+1),2),0)</f>
        <v>0</v>
      </c>
      <c r="J22" s="184">
        <f>IFERROR(ROUND(INDEX('M03-S01'!$S$16:$S$198,2*(ROWS($J$4:J22)-1)+1)*INDEX('M03-S01'!$AG$16:$AG$198,2*(ROWS($J$4:J22)-1)+1),2),0)</f>
        <v>0</v>
      </c>
      <c r="K22" s="52">
        <f>IFERROR(ROUND(INDEX('M03-S01'!$AU$16:$AU$198,2*(ROWS($K$4:K22)-1)+1),2),0)</f>
        <v>0</v>
      </c>
      <c r="L22" s="52" t="str">
        <f>IFERROR(IF(R22&gt;0,M22*INDEX(PMELIGHT[Incremental Cost],MATCH(AB22,PMELIGHT[Eff Desc 1],0)),""),"")</f>
        <v/>
      </c>
      <c r="M22" s="456">
        <f>IF(ISNUMBER(SEARCH("8ft",INDEX('M03-S01'!$K$16:$K$198,2*(ROWS($M$4:M22)-1)+1))),INDEX('M03-S01'!$S$16:$S$198,2*(ROWS($M$4:M22)-1)+1)*2,INDEX('M03-S01'!$S$16:$S$198,2*(ROWS($M$4:M22)-1)+1))</f>
        <v>0</v>
      </c>
      <c r="N22" s="184" t="str">
        <f>IF(ISNUMBER(INDEX('M03-S01'!$AN$16:$AN$198,2*(ROWS($R$4:R22)-1)+1)),INDEX('M03-S01'!$AK$16:$AK$198,2*(ROWS($N$4:N22)-1)+1),"")</f>
        <v/>
      </c>
      <c r="O22" s="456" t="str">
        <f>IFERROR(IF(ISNUMBER(INDEX('M03-S01'!$AN$16:$AN$198,2*(ROWS($R$4:R22)-1)+1)),INDEX('M03-S01'!$AV$16:$AV$198,2*(ROWS($O$4:O22)-1)+1),""),"")</f>
        <v/>
      </c>
      <c r="P22" s="459"/>
      <c r="Q22" s="184" t="str">
        <f>IFERROR(IF(ISNUMBER(INDEX('M03-S01'!$AN$16:$AN$198,2*(ROWS($R$4:R22)-1)+1)),INDEX('M03-S01'!$AY$16:$AY$198,2*(ROWS($Q$4:Q22)-1)+1),""),"")</f>
        <v/>
      </c>
      <c r="R22" s="184">
        <f>IF(ISNUMBER(INDEX('M03-S01'!$AN$16:$AN$198,2*(ROWS($R$4:R22)-1)+1)),INDEX('M03-S01'!$AN$16:$AN$198,2*(ROWS($R$4:R22)-1)+1),0)</f>
        <v>0</v>
      </c>
      <c r="S22" s="459"/>
      <c r="T22" s="113"/>
      <c r="U22" s="140"/>
      <c r="V22" s="113"/>
      <c r="W22" s="96" t="str">
        <f>IFERROR(IF(NOT(ISNUMBER(INDEX('M03-S01'!$AN$16:$AN$198,2*(ROWS($R$4:R22)-1)+1))),INDEX('M03-S01'!$BC$16:$BC$198,2*(ROWS($R$4:R22)-1)+1),""),"")</f>
        <v/>
      </c>
      <c r="X22" s="184" t="str">
        <f>IFERROR(ROUND(IF(ISNUMBER(SEARCH("8ft",INDEX('M03-S01'!$K$16:$K$198,2*(ROWS($X$4:X22)-1)+1))),INDEX('M03-S01'!$I$16:$I$198,2*(ROWS($X$4:X22)-1)+1)/2,INDEX('M03-S01'!$I$16:$I$198,2*(ROWS($X$4:X22)-1)+1)),3),"")</f>
        <v/>
      </c>
      <c r="Y22" s="184" t="str">
        <f>IFERROR(ROUND(IF(ISNUMBER(SEARCH("8ft",INDEX('M03-S01'!$K$16:$K$198,2*(ROWS($Y$4:Y22)-1)+1))),INDEX('M03-S01'!$Q$16:$Q$198,2*(ROWS($Y$4:Y22)-1)+1)/2,INDEX('M03-S01'!$Q$16:$Q$198,2*(ROWS($Y$4:Y22)-1)+1)),3),"")</f>
        <v/>
      </c>
      <c r="Z22" s="111">
        <f>INDEX('M03-S01'!$B$16:$B$198,2*(ROWS($Z$4:Z22)-1)+1)</f>
        <v>19</v>
      </c>
      <c r="AA22" s="111">
        <f>IF(ISNUMBER(SEARCH("8ft",INDEX('M03-S01'!$C$16:$C$199,2*(ROWS($Z$4:AA22)-1)+1))),SUBSTITUTE(INDEX('M03-S01'!$C$16:$C$199,2*(ROWS($Z$4:AA22)-1)+1),"8ft","4ft"),INDEX('M03-S01'!$C$16:$C$199,2*(ROWS($Z$4:AA22)-1)+1))</f>
        <v>0</v>
      </c>
      <c r="AB22" s="111">
        <f>IF(ISNUMBER(SEARCH("8ft",INDEX('M03-S01'!$K$16:$K$199,2*(ROWS($Z$4:AB22)-1)+1))),SUBSTITUTE(INDEX('M03-S01'!$K$16:$K$199,2*(ROWS($Z$4:AB22)-1)+1),"8ft","4ft"),INDEX('M03-S01'!$K$16:$K$199,2*(ROWS($Z$4:AB22)-1)+1))</f>
        <v>0</v>
      </c>
      <c r="AC22" s="96"/>
      <c r="AD22">
        <f>INDEX('M03-S01'!$U$16:$U$198,2*(ROWS($AD$4:AD22)-1)+1)</f>
        <v>0</v>
      </c>
      <c r="AE22" s="459"/>
      <c r="AF22" s="459"/>
      <c r="AG22" s="111" t="str">
        <f>INDEX('M03-S01'!$AW$16:$AW$198,2*(ROWS($AG$4:AG22)-1)+1)</f>
        <v/>
      </c>
      <c r="AH22" s="111" t="str">
        <f>INDEX('M03-S01'!$AX$16:$AX$198,2*(ROWS($AH$4:AH22)-1)+1)</f>
        <v/>
      </c>
      <c r="AI22" s="113"/>
      <c r="AJ22" s="113"/>
      <c r="AK22" s="113"/>
      <c r="AL22" s="113"/>
      <c r="AM22" s="113"/>
      <c r="AN22" s="113"/>
      <c r="AO22" s="52" t="str">
        <f>IFERROR(INDEX(PMELIGHT[Program Design],MATCH(AB22,PMELIGHT[Eff Desc 1])),"")</f>
        <v/>
      </c>
      <c r="AU22"/>
    </row>
    <row r="23" spans="1:47">
      <c r="A23" s="57">
        <f t="shared" si="0"/>
        <v>0</v>
      </c>
      <c r="B23" s="183" t="str">
        <f t="shared" si="2"/>
        <v/>
      </c>
      <c r="C23" t="str">
        <f>IFERROR(IF(R23&gt;0,INDEX(PMELIGHT[Measure '#],MATCH(AB23,PMELIGHT[Eff Desc 1],0)),""),"")</f>
        <v/>
      </c>
      <c r="D23" t="s">
        <v>947</v>
      </c>
      <c r="F23" s="185">
        <f>INDEX('M03-S01'!$AB$16:$AB$198,2*(ROWS($F$4:F23)-1)+1)</f>
        <v>0</v>
      </c>
      <c r="G23" s="186">
        <f>INDEX('M03-S01'!$Y$16:$Y$198,2*(ROWS($G$4:G23)-1)+1)</f>
        <v>0</v>
      </c>
      <c r="H23" s="186" t="str">
        <f>IF(ISNUMBER(INDEX('M03-S01'!$AN$16:$AN$198,2*(ROWS($R$4:R23)-1)+1)),"Total","")</f>
        <v/>
      </c>
      <c r="I23" s="184">
        <f>IFERROR(ROUND(INDEX('M03-S01'!$S$16:$S$198,2*(ROWS($I$4:I23)-1)+1)*INDEX('M03-S01'!$AE$16:$AE$198,2*(ROWS($I$4:I23)-1)+1),2),0)</f>
        <v>0</v>
      </c>
      <c r="J23" s="184">
        <f>IFERROR(ROUND(INDEX('M03-S01'!$S$16:$S$198,2*(ROWS($J$4:J23)-1)+1)*INDEX('M03-S01'!$AG$16:$AG$198,2*(ROWS($J$4:J23)-1)+1),2),0)</f>
        <v>0</v>
      </c>
      <c r="K23" s="52">
        <f>IFERROR(ROUND(INDEX('M03-S01'!$AU$16:$AU$198,2*(ROWS($K$4:K23)-1)+1),2),0)</f>
        <v>0</v>
      </c>
      <c r="L23" s="52" t="str">
        <f>IFERROR(IF(R23&gt;0,M23*INDEX(PMELIGHT[Incremental Cost],MATCH(AB23,PMELIGHT[Eff Desc 1],0)),""),"")</f>
        <v/>
      </c>
      <c r="M23" s="456">
        <f>IF(ISNUMBER(SEARCH("8ft",INDEX('M03-S01'!$K$16:$K$198,2*(ROWS($M$4:M23)-1)+1))),INDEX('M03-S01'!$S$16:$S$198,2*(ROWS($M$4:M23)-1)+1)*2,INDEX('M03-S01'!$S$16:$S$198,2*(ROWS($M$4:M23)-1)+1))</f>
        <v>0</v>
      </c>
      <c r="N23" s="184" t="str">
        <f>IF(ISNUMBER(INDEX('M03-S01'!$AN$16:$AN$198,2*(ROWS($R$4:R23)-1)+1)),INDEX('M03-S01'!$AK$16:$AK$198,2*(ROWS($N$4:N23)-1)+1),"")</f>
        <v/>
      </c>
      <c r="O23" s="456" t="str">
        <f>IFERROR(IF(ISNUMBER(INDEX('M03-S01'!$AN$16:$AN$198,2*(ROWS($R$4:R23)-1)+1)),INDEX('M03-S01'!$AV$16:$AV$198,2*(ROWS($O$4:O23)-1)+1),""),"")</f>
        <v/>
      </c>
      <c r="P23" s="459"/>
      <c r="Q23" s="184" t="str">
        <f>IFERROR(IF(ISNUMBER(INDEX('M03-S01'!$AN$16:$AN$198,2*(ROWS($R$4:R23)-1)+1)),INDEX('M03-S01'!$AY$16:$AY$198,2*(ROWS($Q$4:Q23)-1)+1),""),"")</f>
        <v/>
      </c>
      <c r="R23" s="184">
        <f>IF(ISNUMBER(INDEX('M03-S01'!$AN$16:$AN$198,2*(ROWS($R$4:R23)-1)+1)),INDEX('M03-S01'!$AN$16:$AN$198,2*(ROWS($R$4:R23)-1)+1),0)</f>
        <v>0</v>
      </c>
      <c r="S23" s="459"/>
      <c r="T23" s="113"/>
      <c r="U23" s="140"/>
      <c r="V23" s="113"/>
      <c r="W23" s="96" t="str">
        <f>IFERROR(IF(NOT(ISNUMBER(INDEX('M03-S01'!$AN$16:$AN$198,2*(ROWS($R$4:R23)-1)+1))),INDEX('M03-S01'!$BC$16:$BC$198,2*(ROWS($R$4:R23)-1)+1),""),"")</f>
        <v/>
      </c>
      <c r="X23" s="184" t="str">
        <f>IFERROR(ROUND(IF(ISNUMBER(SEARCH("8ft",INDEX('M03-S01'!$K$16:$K$198,2*(ROWS($X$4:X23)-1)+1))),INDEX('M03-S01'!$I$16:$I$198,2*(ROWS($X$4:X23)-1)+1)/2,INDEX('M03-S01'!$I$16:$I$198,2*(ROWS($X$4:X23)-1)+1)),3),"")</f>
        <v/>
      </c>
      <c r="Y23" s="184" t="str">
        <f>IFERROR(ROUND(IF(ISNUMBER(SEARCH("8ft",INDEX('M03-S01'!$K$16:$K$198,2*(ROWS($Y$4:Y23)-1)+1))),INDEX('M03-S01'!$Q$16:$Q$198,2*(ROWS($Y$4:Y23)-1)+1)/2,INDEX('M03-S01'!$Q$16:$Q$198,2*(ROWS($Y$4:Y23)-1)+1)),3),"")</f>
        <v/>
      </c>
      <c r="Z23" s="111">
        <f>INDEX('M03-S01'!$B$16:$B$198,2*(ROWS($Z$4:Z23)-1)+1)</f>
        <v>20</v>
      </c>
      <c r="AA23" s="111">
        <f>IF(ISNUMBER(SEARCH("8ft",INDEX('M03-S01'!$C$16:$C$199,2*(ROWS($Z$4:AA23)-1)+1))),SUBSTITUTE(INDEX('M03-S01'!$C$16:$C$199,2*(ROWS($Z$4:AA23)-1)+1),"8ft","4ft"),INDEX('M03-S01'!$C$16:$C$199,2*(ROWS($Z$4:AA23)-1)+1))</f>
        <v>0</v>
      </c>
      <c r="AB23" s="111">
        <f>IF(ISNUMBER(SEARCH("8ft",INDEX('M03-S01'!$K$16:$K$199,2*(ROWS($Z$4:AB23)-1)+1))),SUBSTITUTE(INDEX('M03-S01'!$K$16:$K$199,2*(ROWS($Z$4:AB23)-1)+1),"8ft","4ft"),INDEX('M03-S01'!$K$16:$K$199,2*(ROWS($Z$4:AB23)-1)+1))</f>
        <v>0</v>
      </c>
      <c r="AC23" s="96"/>
      <c r="AD23">
        <f>INDEX('M03-S01'!$U$16:$U$198,2*(ROWS($AD$4:AD23)-1)+1)</f>
        <v>0</v>
      </c>
      <c r="AE23" s="459"/>
      <c r="AF23" s="459"/>
      <c r="AG23" s="111" t="str">
        <f>INDEX('M03-S01'!$AW$16:$AW$198,2*(ROWS($AG$4:AG23)-1)+1)</f>
        <v/>
      </c>
      <c r="AH23" s="111" t="str">
        <f>INDEX('M03-S01'!$AX$16:$AX$198,2*(ROWS($AH$4:AH23)-1)+1)</f>
        <v/>
      </c>
      <c r="AI23" s="113"/>
      <c r="AJ23" s="113"/>
      <c r="AK23" s="113"/>
      <c r="AL23" s="113"/>
      <c r="AM23" s="113"/>
      <c r="AN23" s="113"/>
      <c r="AO23" s="52" t="str">
        <f>IFERROR(INDEX(PMELIGHT[Program Design],MATCH(AB23,PMELIGHT[Eff Desc 1])),"")</f>
        <v/>
      </c>
      <c r="AU23"/>
    </row>
    <row r="24" spans="1:47">
      <c r="A24" s="57">
        <f t="shared" si="0"/>
        <v>0</v>
      </c>
      <c r="B24" s="183" t="str">
        <f t="shared" si="2"/>
        <v/>
      </c>
      <c r="C24" t="str">
        <f>IFERROR(IF(R24&gt;0,INDEX(PMELIGHT[Measure '#],MATCH(AB24,PMELIGHT[Eff Desc 1],0)),""),"")</f>
        <v/>
      </c>
      <c r="D24" t="s">
        <v>947</v>
      </c>
      <c r="F24" s="185">
        <f>INDEX('M03-S01'!$AB$16:$AB$198,2*(ROWS($F$4:F24)-1)+1)</f>
        <v>0</v>
      </c>
      <c r="G24" s="186">
        <f>INDEX('M03-S01'!$Y$16:$Y$198,2*(ROWS($G$4:G24)-1)+1)</f>
        <v>0</v>
      </c>
      <c r="H24" s="186" t="str">
        <f>IF(ISNUMBER(INDEX('M03-S01'!$AN$16:$AN$198,2*(ROWS($R$4:R24)-1)+1)),"Total","")</f>
        <v/>
      </c>
      <c r="I24" s="184">
        <f>IFERROR(ROUND(INDEX('M03-S01'!$S$16:$S$198,2*(ROWS($I$4:I24)-1)+1)*INDEX('M03-S01'!$AE$16:$AE$198,2*(ROWS($I$4:I24)-1)+1),2),0)</f>
        <v>0</v>
      </c>
      <c r="J24" s="184">
        <f>IFERROR(ROUND(INDEX('M03-S01'!$S$16:$S$198,2*(ROWS($J$4:J24)-1)+1)*INDEX('M03-S01'!$AG$16:$AG$198,2*(ROWS($J$4:J24)-1)+1),2),0)</f>
        <v>0</v>
      </c>
      <c r="K24" s="52">
        <f>IFERROR(ROUND(INDEX('M03-S01'!$AU$16:$AU$198,2*(ROWS($K$4:K24)-1)+1),2),0)</f>
        <v>0</v>
      </c>
      <c r="L24" s="52" t="str">
        <f>IFERROR(IF(R24&gt;0,M24*INDEX(PMELIGHT[Incremental Cost],MATCH(AB24,PMELIGHT[Eff Desc 1],0)),""),"")</f>
        <v/>
      </c>
      <c r="M24" s="456">
        <f>IF(ISNUMBER(SEARCH("8ft",INDEX('M03-S01'!$K$16:$K$198,2*(ROWS($M$4:M24)-1)+1))),INDEX('M03-S01'!$S$16:$S$198,2*(ROWS($M$4:M24)-1)+1)*2,INDEX('M03-S01'!$S$16:$S$198,2*(ROWS($M$4:M24)-1)+1))</f>
        <v>0</v>
      </c>
      <c r="N24" s="184" t="str">
        <f>IF(ISNUMBER(INDEX('M03-S01'!$AN$16:$AN$198,2*(ROWS($R$4:R24)-1)+1)),INDEX('M03-S01'!$AK$16:$AK$198,2*(ROWS($N$4:N24)-1)+1),"")</f>
        <v/>
      </c>
      <c r="O24" s="456" t="str">
        <f>IFERROR(IF(ISNUMBER(INDEX('M03-S01'!$AN$16:$AN$198,2*(ROWS($R$4:R24)-1)+1)),INDEX('M03-S01'!$AV$16:$AV$198,2*(ROWS($O$4:O24)-1)+1),""),"")</f>
        <v/>
      </c>
      <c r="P24" s="459"/>
      <c r="Q24" s="184" t="str">
        <f>IFERROR(IF(ISNUMBER(INDEX('M03-S01'!$AN$16:$AN$198,2*(ROWS($R$4:R24)-1)+1)),INDEX('M03-S01'!$AY$16:$AY$198,2*(ROWS($Q$4:Q24)-1)+1),""),"")</f>
        <v/>
      </c>
      <c r="R24" s="184">
        <f>IF(ISNUMBER(INDEX('M03-S01'!$AN$16:$AN$198,2*(ROWS($R$4:R24)-1)+1)),INDEX('M03-S01'!$AN$16:$AN$198,2*(ROWS($R$4:R24)-1)+1),0)</f>
        <v>0</v>
      </c>
      <c r="S24" s="459"/>
      <c r="T24" s="113"/>
      <c r="U24" s="140"/>
      <c r="V24" s="113"/>
      <c r="W24" s="96" t="str">
        <f>IFERROR(IF(NOT(ISNUMBER(INDEX('M03-S01'!$AN$16:$AN$198,2*(ROWS($R$4:R24)-1)+1))),INDEX('M03-S01'!$BC$16:$BC$198,2*(ROWS($R$4:R24)-1)+1),""),"")</f>
        <v/>
      </c>
      <c r="X24" s="184" t="str">
        <f>IFERROR(ROUND(IF(ISNUMBER(SEARCH("8ft",INDEX('M03-S01'!$K$16:$K$198,2*(ROWS($X$4:X24)-1)+1))),INDEX('M03-S01'!$I$16:$I$198,2*(ROWS($X$4:X24)-1)+1)/2,INDEX('M03-S01'!$I$16:$I$198,2*(ROWS($X$4:X24)-1)+1)),3),"")</f>
        <v/>
      </c>
      <c r="Y24" s="184" t="str">
        <f>IFERROR(ROUND(IF(ISNUMBER(SEARCH("8ft",INDEX('M03-S01'!$K$16:$K$198,2*(ROWS($Y$4:Y24)-1)+1))),INDEX('M03-S01'!$Q$16:$Q$198,2*(ROWS($Y$4:Y24)-1)+1)/2,INDEX('M03-S01'!$Q$16:$Q$198,2*(ROWS($Y$4:Y24)-1)+1)),3),"")</f>
        <v/>
      </c>
      <c r="Z24" s="111">
        <f>INDEX('M03-S01'!$B$16:$B$198,2*(ROWS($Z$4:Z24)-1)+1)</f>
        <v>21</v>
      </c>
      <c r="AA24" s="111">
        <f>IF(ISNUMBER(SEARCH("8ft",INDEX('M03-S01'!$C$16:$C$199,2*(ROWS($Z$4:AA24)-1)+1))),SUBSTITUTE(INDEX('M03-S01'!$C$16:$C$199,2*(ROWS($Z$4:AA24)-1)+1),"8ft","4ft"),INDEX('M03-S01'!$C$16:$C$199,2*(ROWS($Z$4:AA24)-1)+1))</f>
        <v>0</v>
      </c>
      <c r="AB24" s="111">
        <f>IF(ISNUMBER(SEARCH("8ft",INDEX('M03-S01'!$K$16:$K$199,2*(ROWS($Z$4:AB24)-1)+1))),SUBSTITUTE(INDEX('M03-S01'!$K$16:$K$199,2*(ROWS($Z$4:AB24)-1)+1),"8ft","4ft"),INDEX('M03-S01'!$K$16:$K$199,2*(ROWS($Z$4:AB24)-1)+1))</f>
        <v>0</v>
      </c>
      <c r="AC24" s="96"/>
      <c r="AD24">
        <f>INDEX('M03-S01'!$U$16:$U$198,2*(ROWS($AD$4:AD24)-1)+1)</f>
        <v>0</v>
      </c>
      <c r="AE24" s="459"/>
      <c r="AF24" s="459"/>
      <c r="AG24" s="111" t="str">
        <f>INDEX('M03-S01'!$AW$16:$AW$198,2*(ROWS($AG$4:AG24)-1)+1)</f>
        <v/>
      </c>
      <c r="AH24" s="111" t="str">
        <f>INDEX('M03-S01'!$AX$16:$AX$198,2*(ROWS($AH$4:AH24)-1)+1)</f>
        <v/>
      </c>
      <c r="AI24" s="113"/>
      <c r="AJ24" s="113"/>
      <c r="AK24" s="113"/>
      <c r="AL24" s="113"/>
      <c r="AM24" s="113"/>
      <c r="AN24" s="113"/>
      <c r="AO24" s="52" t="str">
        <f>IFERROR(INDEX(PMELIGHT[Program Design],MATCH(AB24,PMELIGHT[Eff Desc 1])),"")</f>
        <v/>
      </c>
      <c r="AU24"/>
    </row>
    <row r="25" spans="1:47">
      <c r="A25" s="57">
        <f t="shared" si="0"/>
        <v>0</v>
      </c>
      <c r="B25" s="183" t="str">
        <f t="shared" si="2"/>
        <v/>
      </c>
      <c r="C25" t="str">
        <f>IFERROR(IF(R25&gt;0,INDEX(PMELIGHT[Measure '#],MATCH(AB25,PMELIGHT[Eff Desc 1],0)),""),"")</f>
        <v/>
      </c>
      <c r="D25" t="s">
        <v>947</v>
      </c>
      <c r="F25" s="185">
        <f>INDEX('M03-S01'!$AB$16:$AB$198,2*(ROWS($F$4:F25)-1)+1)</f>
        <v>0</v>
      </c>
      <c r="G25" s="186">
        <f>INDEX('M03-S01'!$Y$16:$Y$198,2*(ROWS($G$4:G25)-1)+1)</f>
        <v>0</v>
      </c>
      <c r="H25" s="186" t="str">
        <f>IF(ISNUMBER(INDEX('M03-S01'!$AN$16:$AN$198,2*(ROWS($R$4:R25)-1)+1)),"Total","")</f>
        <v/>
      </c>
      <c r="I25" s="184">
        <f>IFERROR(ROUND(INDEX('M03-S01'!$S$16:$S$198,2*(ROWS($I$4:I25)-1)+1)*INDEX('M03-S01'!$AE$16:$AE$198,2*(ROWS($I$4:I25)-1)+1),2),0)</f>
        <v>0</v>
      </c>
      <c r="J25" s="184">
        <f>IFERROR(ROUND(INDEX('M03-S01'!$S$16:$S$198,2*(ROWS($J$4:J25)-1)+1)*INDEX('M03-S01'!$AG$16:$AG$198,2*(ROWS($J$4:J25)-1)+1),2),0)</f>
        <v>0</v>
      </c>
      <c r="K25" s="52">
        <f>IFERROR(ROUND(INDEX('M03-S01'!$AU$16:$AU$198,2*(ROWS($K$4:K25)-1)+1),2),0)</f>
        <v>0</v>
      </c>
      <c r="L25" s="52" t="str">
        <f>IFERROR(IF(R25&gt;0,M25*INDEX(PMELIGHT[Incremental Cost],MATCH(AB25,PMELIGHT[Eff Desc 1],0)),""),"")</f>
        <v/>
      </c>
      <c r="M25" s="456">
        <f>IF(ISNUMBER(SEARCH("8ft",INDEX('M03-S01'!$K$16:$K$198,2*(ROWS($M$4:M25)-1)+1))),INDEX('M03-S01'!$S$16:$S$198,2*(ROWS($M$4:M25)-1)+1)*2,INDEX('M03-S01'!$S$16:$S$198,2*(ROWS($M$4:M25)-1)+1))</f>
        <v>0</v>
      </c>
      <c r="N25" s="184" t="str">
        <f>IF(ISNUMBER(INDEX('M03-S01'!$AN$16:$AN$198,2*(ROWS($R$4:R25)-1)+1)),INDEX('M03-S01'!$AK$16:$AK$198,2*(ROWS($N$4:N25)-1)+1),"")</f>
        <v/>
      </c>
      <c r="O25" s="456" t="str">
        <f>IFERROR(IF(ISNUMBER(INDEX('M03-S01'!$AN$16:$AN$198,2*(ROWS($R$4:R25)-1)+1)),INDEX('M03-S01'!$AV$16:$AV$198,2*(ROWS($O$4:O25)-1)+1),""),"")</f>
        <v/>
      </c>
      <c r="P25" s="459"/>
      <c r="Q25" s="184" t="str">
        <f>IFERROR(IF(ISNUMBER(INDEX('M03-S01'!$AN$16:$AN$198,2*(ROWS($R$4:R25)-1)+1)),INDEX('M03-S01'!$AY$16:$AY$198,2*(ROWS($Q$4:Q25)-1)+1),""),"")</f>
        <v/>
      </c>
      <c r="R25" s="184">
        <f>IF(ISNUMBER(INDEX('M03-S01'!$AN$16:$AN$198,2*(ROWS($R$4:R25)-1)+1)),INDEX('M03-S01'!$AN$16:$AN$198,2*(ROWS($R$4:R25)-1)+1),0)</f>
        <v>0</v>
      </c>
      <c r="S25" s="459"/>
      <c r="T25" s="113"/>
      <c r="U25" s="140"/>
      <c r="V25" s="113"/>
      <c r="W25" s="96" t="str">
        <f>IFERROR(IF(NOT(ISNUMBER(INDEX('M03-S01'!$AN$16:$AN$198,2*(ROWS($R$4:R25)-1)+1))),INDEX('M03-S01'!$BC$16:$BC$198,2*(ROWS($R$4:R25)-1)+1),""),"")</f>
        <v/>
      </c>
      <c r="X25" s="184" t="str">
        <f>IFERROR(ROUND(IF(ISNUMBER(SEARCH("8ft",INDEX('M03-S01'!$K$16:$K$198,2*(ROWS($X$4:X25)-1)+1))),INDEX('M03-S01'!$I$16:$I$198,2*(ROWS($X$4:X25)-1)+1)/2,INDEX('M03-S01'!$I$16:$I$198,2*(ROWS($X$4:X25)-1)+1)),3),"")</f>
        <v/>
      </c>
      <c r="Y25" s="184" t="str">
        <f>IFERROR(ROUND(IF(ISNUMBER(SEARCH("8ft",INDEX('M03-S01'!$K$16:$K$198,2*(ROWS($Y$4:Y25)-1)+1))),INDEX('M03-S01'!$Q$16:$Q$198,2*(ROWS($Y$4:Y25)-1)+1)/2,INDEX('M03-S01'!$Q$16:$Q$198,2*(ROWS($Y$4:Y25)-1)+1)),3),"")</f>
        <v/>
      </c>
      <c r="Z25" s="111">
        <f>INDEX('M03-S01'!$B$16:$B$198,2*(ROWS($Z$4:Z25)-1)+1)</f>
        <v>22</v>
      </c>
      <c r="AA25" s="111">
        <f>IF(ISNUMBER(SEARCH("8ft",INDEX('M03-S01'!$C$16:$C$199,2*(ROWS($Z$4:AA25)-1)+1))),SUBSTITUTE(INDEX('M03-S01'!$C$16:$C$199,2*(ROWS($Z$4:AA25)-1)+1),"8ft","4ft"),INDEX('M03-S01'!$C$16:$C$199,2*(ROWS($Z$4:AA25)-1)+1))</f>
        <v>0</v>
      </c>
      <c r="AB25" s="111">
        <f>IF(ISNUMBER(SEARCH("8ft",INDEX('M03-S01'!$K$16:$K$199,2*(ROWS($Z$4:AB25)-1)+1))),SUBSTITUTE(INDEX('M03-S01'!$K$16:$K$199,2*(ROWS($Z$4:AB25)-1)+1),"8ft","4ft"),INDEX('M03-S01'!$K$16:$K$199,2*(ROWS($Z$4:AB25)-1)+1))</f>
        <v>0</v>
      </c>
      <c r="AC25" s="96"/>
      <c r="AD25">
        <f>INDEX('M03-S01'!$U$16:$U$198,2*(ROWS($AD$4:AD25)-1)+1)</f>
        <v>0</v>
      </c>
      <c r="AE25" s="459"/>
      <c r="AF25" s="459"/>
      <c r="AG25" s="111" t="str">
        <f>INDEX('M03-S01'!$AW$16:$AW$198,2*(ROWS($AG$4:AG25)-1)+1)</f>
        <v/>
      </c>
      <c r="AH25" s="111" t="str">
        <f>INDEX('M03-S01'!$AX$16:$AX$198,2*(ROWS($AH$4:AH25)-1)+1)</f>
        <v/>
      </c>
      <c r="AI25" s="113"/>
      <c r="AJ25" s="113"/>
      <c r="AK25" s="113"/>
      <c r="AL25" s="113"/>
      <c r="AM25" s="113"/>
      <c r="AN25" s="113"/>
      <c r="AO25" s="52" t="str">
        <f>IFERROR(INDEX(PMELIGHT[Program Design],MATCH(AB25,PMELIGHT[Eff Desc 1])),"")</f>
        <v/>
      </c>
      <c r="AU25"/>
    </row>
    <row r="26" spans="1:47">
      <c r="A26" s="57">
        <f t="shared" si="0"/>
        <v>0</v>
      </c>
      <c r="B26" s="183" t="str">
        <f t="shared" si="2"/>
        <v/>
      </c>
      <c r="C26" t="str">
        <f>IFERROR(IF(R26&gt;0,INDEX(PMELIGHT[Measure '#],MATCH(AB26,PMELIGHT[Eff Desc 1],0)),""),"")</f>
        <v/>
      </c>
      <c r="D26" t="s">
        <v>947</v>
      </c>
      <c r="F26" s="185">
        <f>INDEX('M03-S01'!$AB$16:$AB$198,2*(ROWS($F$4:F26)-1)+1)</f>
        <v>0</v>
      </c>
      <c r="G26" s="186">
        <f>INDEX('M03-S01'!$Y$16:$Y$198,2*(ROWS($G$4:G26)-1)+1)</f>
        <v>0</v>
      </c>
      <c r="H26" s="186" t="str">
        <f>IF(ISNUMBER(INDEX('M03-S01'!$AN$16:$AN$198,2*(ROWS($R$4:R26)-1)+1)),"Total","")</f>
        <v/>
      </c>
      <c r="I26" s="184">
        <f>IFERROR(ROUND(INDEX('M03-S01'!$S$16:$S$198,2*(ROWS($I$4:I26)-1)+1)*INDEX('M03-S01'!$AE$16:$AE$198,2*(ROWS($I$4:I26)-1)+1),2),0)</f>
        <v>0</v>
      </c>
      <c r="J26" s="184">
        <f>IFERROR(ROUND(INDEX('M03-S01'!$S$16:$S$198,2*(ROWS($J$4:J26)-1)+1)*INDEX('M03-S01'!$AG$16:$AG$198,2*(ROWS($J$4:J26)-1)+1),2),0)</f>
        <v>0</v>
      </c>
      <c r="K26" s="52">
        <f>IFERROR(ROUND(INDEX('M03-S01'!$AU$16:$AU$198,2*(ROWS($K$4:K26)-1)+1),2),0)</f>
        <v>0</v>
      </c>
      <c r="L26" s="52" t="str">
        <f>IFERROR(IF(R26&gt;0,M26*INDEX(PMELIGHT[Incremental Cost],MATCH(AB26,PMELIGHT[Eff Desc 1],0)),""),"")</f>
        <v/>
      </c>
      <c r="M26" s="456">
        <f>IF(ISNUMBER(SEARCH("8ft",INDEX('M03-S01'!$K$16:$K$198,2*(ROWS($M$4:M26)-1)+1))),INDEX('M03-S01'!$S$16:$S$198,2*(ROWS($M$4:M26)-1)+1)*2,INDEX('M03-S01'!$S$16:$S$198,2*(ROWS($M$4:M26)-1)+1))</f>
        <v>0</v>
      </c>
      <c r="N26" s="184" t="str">
        <f>IF(ISNUMBER(INDEX('M03-S01'!$AN$16:$AN$198,2*(ROWS($R$4:R26)-1)+1)),INDEX('M03-S01'!$AK$16:$AK$198,2*(ROWS($N$4:N26)-1)+1),"")</f>
        <v/>
      </c>
      <c r="O26" s="456" t="str">
        <f>IFERROR(IF(ISNUMBER(INDEX('M03-S01'!$AN$16:$AN$198,2*(ROWS($R$4:R26)-1)+1)),INDEX('M03-S01'!$AV$16:$AV$198,2*(ROWS($O$4:O26)-1)+1),""),"")</f>
        <v/>
      </c>
      <c r="P26" s="459"/>
      <c r="Q26" s="184" t="str">
        <f>IFERROR(IF(ISNUMBER(INDEX('M03-S01'!$AN$16:$AN$198,2*(ROWS($R$4:R26)-1)+1)),INDEX('M03-S01'!$AY$16:$AY$198,2*(ROWS($Q$4:Q26)-1)+1),""),"")</f>
        <v/>
      </c>
      <c r="R26" s="184">
        <f>IF(ISNUMBER(INDEX('M03-S01'!$AN$16:$AN$198,2*(ROWS($R$4:R26)-1)+1)),INDEX('M03-S01'!$AN$16:$AN$198,2*(ROWS($R$4:R26)-1)+1),0)</f>
        <v>0</v>
      </c>
      <c r="S26" s="459"/>
      <c r="T26" s="113"/>
      <c r="U26" s="140"/>
      <c r="V26" s="113"/>
      <c r="W26" s="96" t="str">
        <f>IFERROR(IF(NOT(ISNUMBER(INDEX('M03-S01'!$AN$16:$AN$198,2*(ROWS($R$4:R26)-1)+1))),INDEX('M03-S01'!$BC$16:$BC$198,2*(ROWS($R$4:R26)-1)+1),""),"")</f>
        <v/>
      </c>
      <c r="X26" s="184" t="str">
        <f>IFERROR(ROUND(IF(ISNUMBER(SEARCH("8ft",INDEX('M03-S01'!$K$16:$K$198,2*(ROWS($X$4:X26)-1)+1))),INDEX('M03-S01'!$I$16:$I$198,2*(ROWS($X$4:X26)-1)+1)/2,INDEX('M03-S01'!$I$16:$I$198,2*(ROWS($X$4:X26)-1)+1)),3),"")</f>
        <v/>
      </c>
      <c r="Y26" s="184" t="str">
        <f>IFERROR(ROUND(IF(ISNUMBER(SEARCH("8ft",INDEX('M03-S01'!$K$16:$K$198,2*(ROWS($Y$4:Y26)-1)+1))),INDEX('M03-S01'!$Q$16:$Q$198,2*(ROWS($Y$4:Y26)-1)+1)/2,INDEX('M03-S01'!$Q$16:$Q$198,2*(ROWS($Y$4:Y26)-1)+1)),3),"")</f>
        <v/>
      </c>
      <c r="Z26" s="111">
        <f>INDEX('M03-S01'!$B$16:$B$198,2*(ROWS($Z$4:Z26)-1)+1)</f>
        <v>23</v>
      </c>
      <c r="AA26" s="111">
        <f>IF(ISNUMBER(SEARCH("8ft",INDEX('M03-S01'!$C$16:$C$199,2*(ROWS($Z$4:AA26)-1)+1))),SUBSTITUTE(INDEX('M03-S01'!$C$16:$C$199,2*(ROWS($Z$4:AA26)-1)+1),"8ft","4ft"),INDEX('M03-S01'!$C$16:$C$199,2*(ROWS($Z$4:AA26)-1)+1))</f>
        <v>0</v>
      </c>
      <c r="AB26" s="111">
        <f>IF(ISNUMBER(SEARCH("8ft",INDEX('M03-S01'!$K$16:$K$199,2*(ROWS($Z$4:AB26)-1)+1))),SUBSTITUTE(INDEX('M03-S01'!$K$16:$K$199,2*(ROWS($Z$4:AB26)-1)+1),"8ft","4ft"),INDEX('M03-S01'!$K$16:$K$199,2*(ROWS($Z$4:AB26)-1)+1))</f>
        <v>0</v>
      </c>
      <c r="AC26" s="96"/>
      <c r="AD26">
        <f>INDEX('M03-S01'!$U$16:$U$198,2*(ROWS($AD$4:AD26)-1)+1)</f>
        <v>0</v>
      </c>
      <c r="AE26" s="459"/>
      <c r="AF26" s="459"/>
      <c r="AG26" s="111" t="str">
        <f>INDEX('M03-S01'!$AW$16:$AW$198,2*(ROWS($AG$4:AG26)-1)+1)</f>
        <v/>
      </c>
      <c r="AH26" s="111" t="str">
        <f>INDEX('M03-S01'!$AX$16:$AX$198,2*(ROWS($AH$4:AH26)-1)+1)</f>
        <v/>
      </c>
      <c r="AI26" s="113"/>
      <c r="AJ26" s="113"/>
      <c r="AK26" s="113"/>
      <c r="AL26" s="113"/>
      <c r="AM26" s="113"/>
      <c r="AN26" s="113"/>
      <c r="AO26" s="52" t="str">
        <f>IFERROR(INDEX(PMELIGHT[Program Design],MATCH(AB26,PMELIGHT[Eff Desc 1])),"")</f>
        <v/>
      </c>
      <c r="AU26"/>
    </row>
    <row r="27" spans="1:47">
      <c r="A27" s="57">
        <f t="shared" si="0"/>
        <v>0</v>
      </c>
      <c r="B27" s="183" t="str">
        <f t="shared" si="2"/>
        <v/>
      </c>
      <c r="C27" t="str">
        <f>IFERROR(IF(R27&gt;0,INDEX(PMELIGHT[Measure '#],MATCH(AB27,PMELIGHT[Eff Desc 1],0)),""),"")</f>
        <v/>
      </c>
      <c r="D27" t="s">
        <v>947</v>
      </c>
      <c r="F27" s="185">
        <f>INDEX('M03-S01'!$AB$16:$AB$198,2*(ROWS($F$4:F27)-1)+1)</f>
        <v>0</v>
      </c>
      <c r="G27" s="186">
        <f>INDEX('M03-S01'!$Y$16:$Y$198,2*(ROWS($G$4:G27)-1)+1)</f>
        <v>0</v>
      </c>
      <c r="H27" s="186" t="str">
        <f>IF(ISNUMBER(INDEX('M03-S01'!$AN$16:$AN$198,2*(ROWS($R$4:R27)-1)+1)),"Total","")</f>
        <v/>
      </c>
      <c r="I27" s="184">
        <f>IFERROR(ROUND(INDEX('M03-S01'!$S$16:$S$198,2*(ROWS($I$4:I27)-1)+1)*INDEX('M03-S01'!$AE$16:$AE$198,2*(ROWS($I$4:I27)-1)+1),2),0)</f>
        <v>0</v>
      </c>
      <c r="J27" s="184">
        <f>IFERROR(ROUND(INDEX('M03-S01'!$S$16:$S$198,2*(ROWS($J$4:J27)-1)+1)*INDEX('M03-S01'!$AG$16:$AG$198,2*(ROWS($J$4:J27)-1)+1),2),0)</f>
        <v>0</v>
      </c>
      <c r="K27" s="52">
        <f>IFERROR(ROUND(INDEX('M03-S01'!$AU$16:$AU$198,2*(ROWS($K$4:K27)-1)+1),2),0)</f>
        <v>0</v>
      </c>
      <c r="L27" s="52" t="str">
        <f>IFERROR(IF(R27&gt;0,M27*INDEX(PMELIGHT[Incremental Cost],MATCH(AB27,PMELIGHT[Eff Desc 1],0)),""),"")</f>
        <v/>
      </c>
      <c r="M27" s="456">
        <f>IF(ISNUMBER(SEARCH("8ft",INDEX('M03-S01'!$K$16:$K$198,2*(ROWS($M$4:M27)-1)+1))),INDEX('M03-S01'!$S$16:$S$198,2*(ROWS($M$4:M27)-1)+1)*2,INDEX('M03-S01'!$S$16:$S$198,2*(ROWS($M$4:M27)-1)+1))</f>
        <v>0</v>
      </c>
      <c r="N27" s="184" t="str">
        <f>IF(ISNUMBER(INDEX('M03-S01'!$AN$16:$AN$198,2*(ROWS($R$4:R27)-1)+1)),INDEX('M03-S01'!$AK$16:$AK$198,2*(ROWS($N$4:N27)-1)+1),"")</f>
        <v/>
      </c>
      <c r="O27" s="456" t="str">
        <f>IFERROR(IF(ISNUMBER(INDEX('M03-S01'!$AN$16:$AN$198,2*(ROWS($R$4:R27)-1)+1)),INDEX('M03-S01'!$AV$16:$AV$198,2*(ROWS($O$4:O27)-1)+1),""),"")</f>
        <v/>
      </c>
      <c r="P27" s="459"/>
      <c r="Q27" s="184" t="str">
        <f>IFERROR(IF(ISNUMBER(INDEX('M03-S01'!$AN$16:$AN$198,2*(ROWS($R$4:R27)-1)+1)),INDEX('M03-S01'!$AY$16:$AY$198,2*(ROWS($Q$4:Q27)-1)+1),""),"")</f>
        <v/>
      </c>
      <c r="R27" s="184">
        <f>IF(ISNUMBER(INDEX('M03-S01'!$AN$16:$AN$198,2*(ROWS($R$4:R27)-1)+1)),INDEX('M03-S01'!$AN$16:$AN$198,2*(ROWS($R$4:R27)-1)+1),0)</f>
        <v>0</v>
      </c>
      <c r="S27" s="459"/>
      <c r="T27" s="113"/>
      <c r="U27" s="140"/>
      <c r="V27" s="113"/>
      <c r="W27" s="96" t="str">
        <f>IFERROR(IF(NOT(ISNUMBER(INDEX('M03-S01'!$AN$16:$AN$198,2*(ROWS($R$4:R27)-1)+1))),INDEX('M03-S01'!$BC$16:$BC$198,2*(ROWS($R$4:R27)-1)+1),""),"")</f>
        <v/>
      </c>
      <c r="X27" s="184" t="str">
        <f>IFERROR(ROUND(IF(ISNUMBER(SEARCH("8ft",INDEX('M03-S01'!$K$16:$K$198,2*(ROWS($X$4:X27)-1)+1))),INDEX('M03-S01'!$I$16:$I$198,2*(ROWS($X$4:X27)-1)+1)/2,INDEX('M03-S01'!$I$16:$I$198,2*(ROWS($X$4:X27)-1)+1)),3),"")</f>
        <v/>
      </c>
      <c r="Y27" s="184" t="str">
        <f>IFERROR(ROUND(IF(ISNUMBER(SEARCH("8ft",INDEX('M03-S01'!$K$16:$K$198,2*(ROWS($Y$4:Y27)-1)+1))),INDEX('M03-S01'!$Q$16:$Q$198,2*(ROWS($Y$4:Y27)-1)+1)/2,INDEX('M03-S01'!$Q$16:$Q$198,2*(ROWS($Y$4:Y27)-1)+1)),3),"")</f>
        <v/>
      </c>
      <c r="Z27" s="111">
        <f>INDEX('M03-S01'!$B$16:$B$198,2*(ROWS($Z$4:Z27)-1)+1)</f>
        <v>24</v>
      </c>
      <c r="AA27" s="111">
        <f>IF(ISNUMBER(SEARCH("8ft",INDEX('M03-S01'!$C$16:$C$199,2*(ROWS($Z$4:AA27)-1)+1))),SUBSTITUTE(INDEX('M03-S01'!$C$16:$C$199,2*(ROWS($Z$4:AA27)-1)+1),"8ft","4ft"),INDEX('M03-S01'!$C$16:$C$199,2*(ROWS($Z$4:AA27)-1)+1))</f>
        <v>0</v>
      </c>
      <c r="AB27" s="111">
        <f>IF(ISNUMBER(SEARCH("8ft",INDEX('M03-S01'!$K$16:$K$199,2*(ROWS($Z$4:AB27)-1)+1))),SUBSTITUTE(INDEX('M03-S01'!$K$16:$K$199,2*(ROWS($Z$4:AB27)-1)+1),"8ft","4ft"),INDEX('M03-S01'!$K$16:$K$199,2*(ROWS($Z$4:AB27)-1)+1))</f>
        <v>0</v>
      </c>
      <c r="AC27" s="96"/>
      <c r="AD27">
        <f>INDEX('M03-S01'!$U$16:$U$198,2*(ROWS($AD$4:AD27)-1)+1)</f>
        <v>0</v>
      </c>
      <c r="AE27" s="459"/>
      <c r="AF27" s="459"/>
      <c r="AG27" s="111" t="str">
        <f>INDEX('M03-S01'!$AW$16:$AW$198,2*(ROWS($AG$4:AG27)-1)+1)</f>
        <v/>
      </c>
      <c r="AH27" s="111" t="str">
        <f>INDEX('M03-S01'!$AX$16:$AX$198,2*(ROWS($AH$4:AH27)-1)+1)</f>
        <v/>
      </c>
      <c r="AI27" s="113"/>
      <c r="AJ27" s="113"/>
      <c r="AK27" s="113"/>
      <c r="AL27" s="113"/>
      <c r="AM27" s="113"/>
      <c r="AN27" s="113"/>
      <c r="AO27" s="52" t="str">
        <f>IFERROR(INDEX(PMELIGHT[Program Design],MATCH(AB27,PMELIGHT[Eff Desc 1])),"")</f>
        <v/>
      </c>
      <c r="AU27"/>
    </row>
    <row r="28" spans="1:47">
      <c r="A28" s="57">
        <f t="shared" si="0"/>
        <v>0</v>
      </c>
      <c r="B28" s="183" t="str">
        <f t="shared" si="2"/>
        <v/>
      </c>
      <c r="C28" t="str">
        <f>IFERROR(IF(R28&gt;0,INDEX(PMELIGHT[Measure '#],MATCH(AB28,PMELIGHT[Eff Desc 1],0)),""),"")</f>
        <v/>
      </c>
      <c r="D28" t="s">
        <v>947</v>
      </c>
      <c r="F28" s="185">
        <f>INDEX('M03-S01'!$AB$16:$AB$198,2*(ROWS($F$4:F28)-1)+1)</f>
        <v>0</v>
      </c>
      <c r="G28" s="186">
        <f>INDEX('M03-S01'!$Y$16:$Y$198,2*(ROWS($G$4:G28)-1)+1)</f>
        <v>0</v>
      </c>
      <c r="H28" s="186" t="str">
        <f>IF(ISNUMBER(INDEX('M03-S01'!$AN$16:$AN$198,2*(ROWS($R$4:R28)-1)+1)),"Total","")</f>
        <v/>
      </c>
      <c r="I28" s="184">
        <f>IFERROR(ROUND(INDEX('M03-S01'!$S$16:$S$198,2*(ROWS($I$4:I28)-1)+1)*INDEX('M03-S01'!$AE$16:$AE$198,2*(ROWS($I$4:I28)-1)+1),2),0)</f>
        <v>0</v>
      </c>
      <c r="J28" s="184">
        <f>IFERROR(ROUND(INDEX('M03-S01'!$S$16:$S$198,2*(ROWS($J$4:J28)-1)+1)*INDEX('M03-S01'!$AG$16:$AG$198,2*(ROWS($J$4:J28)-1)+1),2),0)</f>
        <v>0</v>
      </c>
      <c r="K28" s="52">
        <f>IFERROR(ROUND(INDEX('M03-S01'!$AU$16:$AU$198,2*(ROWS($K$4:K28)-1)+1),2),0)</f>
        <v>0</v>
      </c>
      <c r="L28" s="52" t="str">
        <f>IFERROR(IF(R28&gt;0,M28*INDEX(PMELIGHT[Incremental Cost],MATCH(AB28,PMELIGHT[Eff Desc 1],0)),""),"")</f>
        <v/>
      </c>
      <c r="M28" s="456">
        <f>IF(ISNUMBER(SEARCH("8ft",INDEX('M03-S01'!$K$16:$K$198,2*(ROWS($M$4:M28)-1)+1))),INDEX('M03-S01'!$S$16:$S$198,2*(ROWS($M$4:M28)-1)+1)*2,INDEX('M03-S01'!$S$16:$S$198,2*(ROWS($M$4:M28)-1)+1))</f>
        <v>0</v>
      </c>
      <c r="N28" s="184" t="str">
        <f>IF(ISNUMBER(INDEX('M03-S01'!$AN$16:$AN$198,2*(ROWS($R$4:R28)-1)+1)),INDEX('M03-S01'!$AK$16:$AK$198,2*(ROWS($N$4:N28)-1)+1),"")</f>
        <v/>
      </c>
      <c r="O28" s="456" t="str">
        <f>IFERROR(IF(ISNUMBER(INDEX('M03-S01'!$AN$16:$AN$198,2*(ROWS($R$4:R28)-1)+1)),INDEX('M03-S01'!$AV$16:$AV$198,2*(ROWS($O$4:O28)-1)+1),""),"")</f>
        <v/>
      </c>
      <c r="P28" s="459"/>
      <c r="Q28" s="184" t="str">
        <f>IFERROR(IF(ISNUMBER(INDEX('M03-S01'!$AN$16:$AN$198,2*(ROWS($R$4:R28)-1)+1)),INDEX('M03-S01'!$AY$16:$AY$198,2*(ROWS($Q$4:Q28)-1)+1),""),"")</f>
        <v/>
      </c>
      <c r="R28" s="184">
        <f>IF(ISNUMBER(INDEX('M03-S01'!$AN$16:$AN$198,2*(ROWS($R$4:R28)-1)+1)),INDEX('M03-S01'!$AN$16:$AN$198,2*(ROWS($R$4:R28)-1)+1),0)</f>
        <v>0</v>
      </c>
      <c r="S28" s="459"/>
      <c r="T28" s="113"/>
      <c r="U28" s="140"/>
      <c r="V28" s="113"/>
      <c r="W28" s="96" t="str">
        <f>IFERROR(IF(NOT(ISNUMBER(INDEX('M03-S01'!$AN$16:$AN$198,2*(ROWS($R$4:R28)-1)+1))),INDEX('M03-S01'!$BC$16:$BC$198,2*(ROWS($R$4:R28)-1)+1),""),"")</f>
        <v/>
      </c>
      <c r="X28" s="184" t="str">
        <f>IFERROR(ROUND(IF(ISNUMBER(SEARCH("8ft",INDEX('M03-S01'!$K$16:$K$198,2*(ROWS($X$4:X28)-1)+1))),INDEX('M03-S01'!$I$16:$I$198,2*(ROWS($X$4:X28)-1)+1)/2,INDEX('M03-S01'!$I$16:$I$198,2*(ROWS($X$4:X28)-1)+1)),3),"")</f>
        <v/>
      </c>
      <c r="Y28" s="184" t="str">
        <f>IFERROR(ROUND(IF(ISNUMBER(SEARCH("8ft",INDEX('M03-S01'!$K$16:$K$198,2*(ROWS($Y$4:Y28)-1)+1))),INDEX('M03-S01'!$Q$16:$Q$198,2*(ROWS($Y$4:Y28)-1)+1)/2,INDEX('M03-S01'!$Q$16:$Q$198,2*(ROWS($Y$4:Y28)-1)+1)),3),"")</f>
        <v/>
      </c>
      <c r="Z28" s="111">
        <f>INDEX('M03-S01'!$B$16:$B$198,2*(ROWS($Z$4:Z28)-1)+1)</f>
        <v>25</v>
      </c>
      <c r="AA28" s="111">
        <f>IF(ISNUMBER(SEARCH("8ft",INDEX('M03-S01'!$C$16:$C$199,2*(ROWS($Z$4:AA28)-1)+1))),SUBSTITUTE(INDEX('M03-S01'!$C$16:$C$199,2*(ROWS($Z$4:AA28)-1)+1),"8ft","4ft"),INDEX('M03-S01'!$C$16:$C$199,2*(ROWS($Z$4:AA28)-1)+1))</f>
        <v>0</v>
      </c>
      <c r="AB28" s="111">
        <f>IF(ISNUMBER(SEARCH("8ft",INDEX('M03-S01'!$K$16:$K$199,2*(ROWS($Z$4:AB28)-1)+1))),SUBSTITUTE(INDEX('M03-S01'!$K$16:$K$199,2*(ROWS($Z$4:AB28)-1)+1),"8ft","4ft"),INDEX('M03-S01'!$K$16:$K$199,2*(ROWS($Z$4:AB28)-1)+1))</f>
        <v>0</v>
      </c>
      <c r="AC28" s="96"/>
      <c r="AD28">
        <f>INDEX('M03-S01'!$U$16:$U$198,2*(ROWS($AD$4:AD28)-1)+1)</f>
        <v>0</v>
      </c>
      <c r="AE28" s="459"/>
      <c r="AF28" s="459"/>
      <c r="AG28" s="111" t="str">
        <f>INDEX('M03-S01'!$AW$16:$AW$198,2*(ROWS($AG$4:AG28)-1)+1)</f>
        <v/>
      </c>
      <c r="AH28" s="111" t="str">
        <f>INDEX('M03-S01'!$AX$16:$AX$198,2*(ROWS($AH$4:AH28)-1)+1)</f>
        <v/>
      </c>
      <c r="AI28" s="113"/>
      <c r="AJ28" s="113"/>
      <c r="AK28" s="113"/>
      <c r="AL28" s="113"/>
      <c r="AM28" s="113"/>
      <c r="AN28" s="113"/>
      <c r="AO28" s="52" t="str">
        <f>IFERROR(INDEX(PMELIGHT[Program Design],MATCH(AB28,PMELIGHT[Eff Desc 1])),"")</f>
        <v/>
      </c>
      <c r="AU28"/>
    </row>
    <row r="29" spans="1:47">
      <c r="A29" s="57">
        <f t="shared" si="0"/>
        <v>0</v>
      </c>
      <c r="B29" s="183" t="str">
        <f t="shared" si="2"/>
        <v/>
      </c>
      <c r="C29" t="str">
        <f>IFERROR(IF(R29&gt;0,INDEX(PMELIGHT[Measure '#],MATCH(AB29,PMELIGHT[Eff Desc 1],0)),""),"")</f>
        <v/>
      </c>
      <c r="D29" t="s">
        <v>947</v>
      </c>
      <c r="F29" s="185">
        <f>INDEX('M03-S01'!$AB$16:$AB$198,2*(ROWS($F$4:F29)-1)+1)</f>
        <v>0</v>
      </c>
      <c r="G29" s="186">
        <f>INDEX('M03-S01'!$Y$16:$Y$198,2*(ROWS($G$4:G29)-1)+1)</f>
        <v>0</v>
      </c>
      <c r="H29" s="186" t="str">
        <f>IF(ISNUMBER(INDEX('M03-S01'!$AN$16:$AN$198,2*(ROWS($R$4:R29)-1)+1)),"Total","")</f>
        <v/>
      </c>
      <c r="I29" s="184">
        <f>IFERROR(ROUND(INDEX('M03-S01'!$S$16:$S$198,2*(ROWS($I$4:I29)-1)+1)*INDEX('M03-S01'!$AE$16:$AE$198,2*(ROWS($I$4:I29)-1)+1),2),0)</f>
        <v>0</v>
      </c>
      <c r="J29" s="184">
        <f>IFERROR(ROUND(INDEX('M03-S01'!$S$16:$S$198,2*(ROWS($J$4:J29)-1)+1)*INDEX('M03-S01'!$AG$16:$AG$198,2*(ROWS($J$4:J29)-1)+1),2),0)</f>
        <v>0</v>
      </c>
      <c r="K29" s="52">
        <f>IFERROR(ROUND(INDEX('M03-S01'!$AU$16:$AU$198,2*(ROWS($K$4:K29)-1)+1),2),0)</f>
        <v>0</v>
      </c>
      <c r="L29" s="52" t="str">
        <f>IFERROR(IF(R29&gt;0,M29*INDEX(PMELIGHT[Incremental Cost],MATCH(AB29,PMELIGHT[Eff Desc 1],0)),""),"")</f>
        <v/>
      </c>
      <c r="M29" s="456">
        <f>IF(ISNUMBER(SEARCH("8ft",INDEX('M03-S01'!$K$16:$K$198,2*(ROWS($M$4:M29)-1)+1))),INDEX('M03-S01'!$S$16:$S$198,2*(ROWS($M$4:M29)-1)+1)*2,INDEX('M03-S01'!$S$16:$S$198,2*(ROWS($M$4:M29)-1)+1))</f>
        <v>0</v>
      </c>
      <c r="N29" s="184" t="str">
        <f>IF(ISNUMBER(INDEX('M03-S01'!$AN$16:$AN$198,2*(ROWS($R$4:R29)-1)+1)),INDEX('M03-S01'!$AK$16:$AK$198,2*(ROWS($N$4:N29)-1)+1),"")</f>
        <v/>
      </c>
      <c r="O29" s="456" t="str">
        <f>IFERROR(IF(ISNUMBER(INDEX('M03-S01'!$AN$16:$AN$198,2*(ROWS($R$4:R29)-1)+1)),INDEX('M03-S01'!$AV$16:$AV$198,2*(ROWS($O$4:O29)-1)+1),""),"")</f>
        <v/>
      </c>
      <c r="P29" s="459"/>
      <c r="Q29" s="184" t="str">
        <f>IFERROR(IF(ISNUMBER(INDEX('M03-S01'!$AN$16:$AN$198,2*(ROWS($R$4:R29)-1)+1)),INDEX('M03-S01'!$AY$16:$AY$198,2*(ROWS($Q$4:Q29)-1)+1),""),"")</f>
        <v/>
      </c>
      <c r="R29" s="184">
        <f>IF(ISNUMBER(INDEX('M03-S01'!$AN$16:$AN$198,2*(ROWS($R$4:R29)-1)+1)),INDEX('M03-S01'!$AN$16:$AN$198,2*(ROWS($R$4:R29)-1)+1),0)</f>
        <v>0</v>
      </c>
      <c r="S29" s="459"/>
      <c r="T29" s="113"/>
      <c r="U29" s="140"/>
      <c r="V29" s="113"/>
      <c r="W29" s="96" t="str">
        <f>IFERROR(IF(NOT(ISNUMBER(INDEX('M03-S01'!$AN$16:$AN$198,2*(ROWS($R$4:R29)-1)+1))),INDEX('M03-S01'!$BC$16:$BC$198,2*(ROWS($R$4:R29)-1)+1),""),"")</f>
        <v/>
      </c>
      <c r="X29" s="184" t="str">
        <f>IFERROR(ROUND(IF(ISNUMBER(SEARCH("8ft",INDEX('M03-S01'!$K$16:$K$198,2*(ROWS($X$4:X29)-1)+1))),INDEX('M03-S01'!$I$16:$I$198,2*(ROWS($X$4:X29)-1)+1)/2,INDEX('M03-S01'!$I$16:$I$198,2*(ROWS($X$4:X29)-1)+1)),3),"")</f>
        <v/>
      </c>
      <c r="Y29" s="184" t="str">
        <f>IFERROR(ROUND(IF(ISNUMBER(SEARCH("8ft",INDEX('M03-S01'!$K$16:$K$198,2*(ROWS($Y$4:Y29)-1)+1))),INDEX('M03-S01'!$Q$16:$Q$198,2*(ROWS($Y$4:Y29)-1)+1)/2,INDEX('M03-S01'!$Q$16:$Q$198,2*(ROWS($Y$4:Y29)-1)+1)),3),"")</f>
        <v/>
      </c>
      <c r="Z29" s="111">
        <f>INDEX('M03-S01'!$B$16:$B$198,2*(ROWS($Z$4:Z29)-1)+1)</f>
        <v>26</v>
      </c>
      <c r="AA29" s="111">
        <f>IF(ISNUMBER(SEARCH("8ft",INDEX('M03-S01'!$C$16:$C$199,2*(ROWS($Z$4:AA29)-1)+1))),SUBSTITUTE(INDEX('M03-S01'!$C$16:$C$199,2*(ROWS($Z$4:AA29)-1)+1),"8ft","4ft"),INDEX('M03-S01'!$C$16:$C$199,2*(ROWS($Z$4:AA29)-1)+1))</f>
        <v>0</v>
      </c>
      <c r="AB29" s="111">
        <f>IF(ISNUMBER(SEARCH("8ft",INDEX('M03-S01'!$K$16:$K$199,2*(ROWS($Z$4:AB29)-1)+1))),SUBSTITUTE(INDEX('M03-S01'!$K$16:$K$199,2*(ROWS($Z$4:AB29)-1)+1),"8ft","4ft"),INDEX('M03-S01'!$K$16:$K$199,2*(ROWS($Z$4:AB29)-1)+1))</f>
        <v>0</v>
      </c>
      <c r="AC29" s="96"/>
      <c r="AD29">
        <f>INDEX('M03-S01'!$U$16:$U$198,2*(ROWS($AD$4:AD29)-1)+1)</f>
        <v>0</v>
      </c>
      <c r="AE29" s="459"/>
      <c r="AF29" s="459"/>
      <c r="AG29" s="111" t="str">
        <f>INDEX('M03-S01'!$AW$16:$AW$198,2*(ROWS($AG$4:AG29)-1)+1)</f>
        <v/>
      </c>
      <c r="AH29" s="111" t="str">
        <f>INDEX('M03-S01'!$AX$16:$AX$198,2*(ROWS($AH$4:AH29)-1)+1)</f>
        <v/>
      </c>
      <c r="AI29" s="113"/>
      <c r="AJ29" s="113"/>
      <c r="AK29" s="113"/>
      <c r="AL29" s="113"/>
      <c r="AM29" s="113"/>
      <c r="AN29" s="113"/>
      <c r="AO29" s="52" t="str">
        <f>IFERROR(INDEX(PMELIGHT[Program Design],MATCH(AB29,PMELIGHT[Eff Desc 1])),"")</f>
        <v/>
      </c>
      <c r="AU29"/>
    </row>
    <row r="30" spans="1:47">
      <c r="A30" s="57">
        <f t="shared" si="0"/>
        <v>0</v>
      </c>
      <c r="B30" s="183" t="str">
        <f t="shared" si="2"/>
        <v/>
      </c>
      <c r="C30" t="str">
        <f>IFERROR(IF(R30&gt;0,INDEX(PMELIGHT[Measure '#],MATCH(AB30,PMELIGHT[Eff Desc 1],0)),""),"")</f>
        <v/>
      </c>
      <c r="D30" t="s">
        <v>947</v>
      </c>
      <c r="F30" s="185">
        <f>INDEX('M03-S01'!$AB$16:$AB$198,2*(ROWS($F$4:F30)-1)+1)</f>
        <v>0</v>
      </c>
      <c r="G30" s="186">
        <f>INDEX('M03-S01'!$Y$16:$Y$198,2*(ROWS($G$4:G30)-1)+1)</f>
        <v>0</v>
      </c>
      <c r="H30" s="186" t="str">
        <f>IF(ISNUMBER(INDEX('M03-S01'!$AN$16:$AN$198,2*(ROWS($R$4:R30)-1)+1)),"Total","")</f>
        <v/>
      </c>
      <c r="I30" s="184">
        <f>IFERROR(ROUND(INDEX('M03-S01'!$S$16:$S$198,2*(ROWS($I$4:I30)-1)+1)*INDEX('M03-S01'!$AE$16:$AE$198,2*(ROWS($I$4:I30)-1)+1),2),0)</f>
        <v>0</v>
      </c>
      <c r="J30" s="184">
        <f>IFERROR(ROUND(INDEX('M03-S01'!$S$16:$S$198,2*(ROWS($J$4:J30)-1)+1)*INDEX('M03-S01'!$AG$16:$AG$198,2*(ROWS($J$4:J30)-1)+1),2),0)</f>
        <v>0</v>
      </c>
      <c r="K30" s="52">
        <f>IFERROR(ROUND(INDEX('M03-S01'!$AU$16:$AU$198,2*(ROWS($K$4:K30)-1)+1),2),0)</f>
        <v>0</v>
      </c>
      <c r="L30" s="52" t="str">
        <f>IFERROR(IF(R30&gt;0,M30*INDEX(PMELIGHT[Incremental Cost],MATCH(AB30,PMELIGHT[Eff Desc 1],0)),""),"")</f>
        <v/>
      </c>
      <c r="M30" s="456">
        <f>IF(ISNUMBER(SEARCH("8ft",INDEX('M03-S01'!$K$16:$K$198,2*(ROWS($M$4:M30)-1)+1))),INDEX('M03-S01'!$S$16:$S$198,2*(ROWS($M$4:M30)-1)+1)*2,INDEX('M03-S01'!$S$16:$S$198,2*(ROWS($M$4:M30)-1)+1))</f>
        <v>0</v>
      </c>
      <c r="N30" s="184" t="str">
        <f>IF(ISNUMBER(INDEX('M03-S01'!$AN$16:$AN$198,2*(ROWS($R$4:R30)-1)+1)),INDEX('M03-S01'!$AK$16:$AK$198,2*(ROWS($N$4:N30)-1)+1),"")</f>
        <v/>
      </c>
      <c r="O30" s="456" t="str">
        <f>IFERROR(IF(ISNUMBER(INDEX('M03-S01'!$AN$16:$AN$198,2*(ROWS($R$4:R30)-1)+1)),INDEX('M03-S01'!$AV$16:$AV$198,2*(ROWS($O$4:O30)-1)+1),""),"")</f>
        <v/>
      </c>
      <c r="P30" s="459"/>
      <c r="Q30" s="184" t="str">
        <f>IFERROR(IF(ISNUMBER(INDEX('M03-S01'!$AN$16:$AN$198,2*(ROWS($R$4:R30)-1)+1)),INDEX('M03-S01'!$AY$16:$AY$198,2*(ROWS($Q$4:Q30)-1)+1),""),"")</f>
        <v/>
      </c>
      <c r="R30" s="184">
        <f>IF(ISNUMBER(INDEX('M03-S01'!$AN$16:$AN$198,2*(ROWS($R$4:R30)-1)+1)),INDEX('M03-S01'!$AN$16:$AN$198,2*(ROWS($R$4:R30)-1)+1),0)</f>
        <v>0</v>
      </c>
      <c r="S30" s="459"/>
      <c r="T30" s="113"/>
      <c r="U30" s="140"/>
      <c r="V30" s="113"/>
      <c r="W30" s="96" t="str">
        <f>IFERROR(IF(NOT(ISNUMBER(INDEX('M03-S01'!$AN$16:$AN$198,2*(ROWS($R$4:R30)-1)+1))),INDEX('M03-S01'!$BC$16:$BC$198,2*(ROWS($R$4:R30)-1)+1),""),"")</f>
        <v/>
      </c>
      <c r="X30" s="184" t="str">
        <f>IFERROR(ROUND(IF(ISNUMBER(SEARCH("8ft",INDEX('M03-S01'!$K$16:$K$198,2*(ROWS($X$4:X30)-1)+1))),INDEX('M03-S01'!$I$16:$I$198,2*(ROWS($X$4:X30)-1)+1)/2,INDEX('M03-S01'!$I$16:$I$198,2*(ROWS($X$4:X30)-1)+1)),3),"")</f>
        <v/>
      </c>
      <c r="Y30" s="184" t="str">
        <f>IFERROR(ROUND(IF(ISNUMBER(SEARCH("8ft",INDEX('M03-S01'!$K$16:$K$198,2*(ROWS($Y$4:Y30)-1)+1))),INDEX('M03-S01'!$Q$16:$Q$198,2*(ROWS($Y$4:Y30)-1)+1)/2,INDEX('M03-S01'!$Q$16:$Q$198,2*(ROWS($Y$4:Y30)-1)+1)),3),"")</f>
        <v/>
      </c>
      <c r="Z30" s="111">
        <f>INDEX('M03-S01'!$B$16:$B$198,2*(ROWS($Z$4:Z30)-1)+1)</f>
        <v>27</v>
      </c>
      <c r="AA30" s="111">
        <f>IF(ISNUMBER(SEARCH("8ft",INDEX('M03-S01'!$C$16:$C$199,2*(ROWS($Z$4:AA30)-1)+1))),SUBSTITUTE(INDEX('M03-S01'!$C$16:$C$199,2*(ROWS($Z$4:AA30)-1)+1),"8ft","4ft"),INDEX('M03-S01'!$C$16:$C$199,2*(ROWS($Z$4:AA30)-1)+1))</f>
        <v>0</v>
      </c>
      <c r="AB30" s="111">
        <f>IF(ISNUMBER(SEARCH("8ft",INDEX('M03-S01'!$K$16:$K$199,2*(ROWS($Z$4:AB30)-1)+1))),SUBSTITUTE(INDEX('M03-S01'!$K$16:$K$199,2*(ROWS($Z$4:AB30)-1)+1),"8ft","4ft"),INDEX('M03-S01'!$K$16:$K$199,2*(ROWS($Z$4:AB30)-1)+1))</f>
        <v>0</v>
      </c>
      <c r="AC30" s="96"/>
      <c r="AD30">
        <f>INDEX('M03-S01'!$U$16:$U$198,2*(ROWS($AD$4:AD30)-1)+1)</f>
        <v>0</v>
      </c>
      <c r="AE30" s="459"/>
      <c r="AF30" s="459"/>
      <c r="AG30" s="111" t="str">
        <f>INDEX('M03-S01'!$AW$16:$AW$198,2*(ROWS($AG$4:AG30)-1)+1)</f>
        <v/>
      </c>
      <c r="AH30" s="111" t="str">
        <f>INDEX('M03-S01'!$AX$16:$AX$198,2*(ROWS($AH$4:AH30)-1)+1)</f>
        <v/>
      </c>
      <c r="AI30" s="113"/>
      <c r="AJ30" s="113"/>
      <c r="AK30" s="113"/>
      <c r="AL30" s="113"/>
      <c r="AM30" s="113"/>
      <c r="AN30" s="113"/>
      <c r="AO30" s="52" t="str">
        <f>IFERROR(INDEX(PMELIGHT[Program Design],MATCH(AB30,PMELIGHT[Eff Desc 1])),"")</f>
        <v/>
      </c>
      <c r="AU30"/>
    </row>
    <row r="31" spans="1:47">
      <c r="A31" s="57">
        <f t="shared" si="0"/>
        <v>0</v>
      </c>
      <c r="B31" s="183" t="str">
        <f t="shared" si="2"/>
        <v/>
      </c>
      <c r="C31" t="str">
        <f>IFERROR(IF(R31&gt;0,INDEX(PMELIGHT[Measure '#],MATCH(AB31,PMELIGHT[Eff Desc 1],0)),""),"")</f>
        <v/>
      </c>
      <c r="D31" t="s">
        <v>947</v>
      </c>
      <c r="F31" s="185">
        <f>INDEX('M03-S01'!$AB$16:$AB$198,2*(ROWS($F$4:F31)-1)+1)</f>
        <v>0</v>
      </c>
      <c r="G31" s="186">
        <f>INDEX('M03-S01'!$Y$16:$Y$198,2*(ROWS($G$4:G31)-1)+1)</f>
        <v>0</v>
      </c>
      <c r="H31" s="186" t="str">
        <f>IF(ISNUMBER(INDEX('M03-S01'!$AN$16:$AN$198,2*(ROWS($R$4:R31)-1)+1)),"Total","")</f>
        <v/>
      </c>
      <c r="I31" s="184">
        <f>IFERROR(ROUND(INDEX('M03-S01'!$S$16:$S$198,2*(ROWS($I$4:I31)-1)+1)*INDEX('M03-S01'!$AE$16:$AE$198,2*(ROWS($I$4:I31)-1)+1),2),0)</f>
        <v>0</v>
      </c>
      <c r="J31" s="184">
        <f>IFERROR(ROUND(INDEX('M03-S01'!$S$16:$S$198,2*(ROWS($J$4:J31)-1)+1)*INDEX('M03-S01'!$AG$16:$AG$198,2*(ROWS($J$4:J31)-1)+1),2),0)</f>
        <v>0</v>
      </c>
      <c r="K31" s="52">
        <f>IFERROR(ROUND(INDEX('M03-S01'!$AU$16:$AU$198,2*(ROWS($K$4:K31)-1)+1),2),0)</f>
        <v>0</v>
      </c>
      <c r="L31" s="52" t="str">
        <f>IFERROR(IF(R31&gt;0,M31*INDEX(PMELIGHT[Incremental Cost],MATCH(AB31,PMELIGHT[Eff Desc 1],0)),""),"")</f>
        <v/>
      </c>
      <c r="M31" s="456">
        <f>IF(ISNUMBER(SEARCH("8ft",INDEX('M03-S01'!$K$16:$K$198,2*(ROWS($M$4:M31)-1)+1))),INDEX('M03-S01'!$S$16:$S$198,2*(ROWS($M$4:M31)-1)+1)*2,INDEX('M03-S01'!$S$16:$S$198,2*(ROWS($M$4:M31)-1)+1))</f>
        <v>0</v>
      </c>
      <c r="N31" s="184" t="str">
        <f>IF(ISNUMBER(INDEX('M03-S01'!$AN$16:$AN$198,2*(ROWS($R$4:R31)-1)+1)),INDEX('M03-S01'!$AK$16:$AK$198,2*(ROWS($N$4:N31)-1)+1),"")</f>
        <v/>
      </c>
      <c r="O31" s="456" t="str">
        <f>IFERROR(IF(ISNUMBER(INDEX('M03-S01'!$AN$16:$AN$198,2*(ROWS($R$4:R31)-1)+1)),INDEX('M03-S01'!$AV$16:$AV$198,2*(ROWS($O$4:O31)-1)+1),""),"")</f>
        <v/>
      </c>
      <c r="P31" s="459"/>
      <c r="Q31" s="184" t="str">
        <f>IFERROR(IF(ISNUMBER(INDEX('M03-S01'!$AN$16:$AN$198,2*(ROWS($R$4:R31)-1)+1)),INDEX('M03-S01'!$AY$16:$AY$198,2*(ROWS($Q$4:Q31)-1)+1),""),"")</f>
        <v/>
      </c>
      <c r="R31" s="184">
        <f>IF(ISNUMBER(INDEX('M03-S01'!$AN$16:$AN$198,2*(ROWS($R$4:R31)-1)+1)),INDEX('M03-S01'!$AN$16:$AN$198,2*(ROWS($R$4:R31)-1)+1),0)</f>
        <v>0</v>
      </c>
      <c r="S31" s="459"/>
      <c r="T31" s="113"/>
      <c r="U31" s="140"/>
      <c r="V31" s="113"/>
      <c r="W31" s="96" t="str">
        <f>IFERROR(IF(NOT(ISNUMBER(INDEX('M03-S01'!$AN$16:$AN$198,2*(ROWS($R$4:R31)-1)+1))),INDEX('M03-S01'!$BC$16:$BC$198,2*(ROWS($R$4:R31)-1)+1),""),"")</f>
        <v/>
      </c>
      <c r="X31" s="184" t="str">
        <f>IFERROR(ROUND(IF(ISNUMBER(SEARCH("8ft",INDEX('M03-S01'!$K$16:$K$198,2*(ROWS($X$4:X31)-1)+1))),INDEX('M03-S01'!$I$16:$I$198,2*(ROWS($X$4:X31)-1)+1)/2,INDEX('M03-S01'!$I$16:$I$198,2*(ROWS($X$4:X31)-1)+1)),3),"")</f>
        <v/>
      </c>
      <c r="Y31" s="184" t="str">
        <f>IFERROR(ROUND(IF(ISNUMBER(SEARCH("8ft",INDEX('M03-S01'!$K$16:$K$198,2*(ROWS($Y$4:Y31)-1)+1))),INDEX('M03-S01'!$Q$16:$Q$198,2*(ROWS($Y$4:Y31)-1)+1)/2,INDEX('M03-S01'!$Q$16:$Q$198,2*(ROWS($Y$4:Y31)-1)+1)),3),"")</f>
        <v/>
      </c>
      <c r="Z31" s="111">
        <f>INDEX('M03-S01'!$B$16:$B$198,2*(ROWS($Z$4:Z31)-1)+1)</f>
        <v>28</v>
      </c>
      <c r="AA31" s="111">
        <f>IF(ISNUMBER(SEARCH("8ft",INDEX('M03-S01'!$C$16:$C$199,2*(ROWS($Z$4:AA31)-1)+1))),SUBSTITUTE(INDEX('M03-S01'!$C$16:$C$199,2*(ROWS($Z$4:AA31)-1)+1),"8ft","4ft"),INDEX('M03-S01'!$C$16:$C$199,2*(ROWS($Z$4:AA31)-1)+1))</f>
        <v>0</v>
      </c>
      <c r="AB31" s="111">
        <f>IF(ISNUMBER(SEARCH("8ft",INDEX('M03-S01'!$K$16:$K$199,2*(ROWS($Z$4:AB31)-1)+1))),SUBSTITUTE(INDEX('M03-S01'!$K$16:$K$199,2*(ROWS($Z$4:AB31)-1)+1),"8ft","4ft"),INDEX('M03-S01'!$K$16:$K$199,2*(ROWS($Z$4:AB31)-1)+1))</f>
        <v>0</v>
      </c>
      <c r="AC31" s="96"/>
      <c r="AD31">
        <f>INDEX('M03-S01'!$U$16:$U$198,2*(ROWS($AD$4:AD31)-1)+1)</f>
        <v>0</v>
      </c>
      <c r="AE31" s="459"/>
      <c r="AF31" s="459"/>
      <c r="AG31" s="111" t="str">
        <f>INDEX('M03-S01'!$AW$16:$AW$198,2*(ROWS($AG$4:AG31)-1)+1)</f>
        <v/>
      </c>
      <c r="AH31" s="111" t="str">
        <f>INDEX('M03-S01'!$AX$16:$AX$198,2*(ROWS($AH$4:AH31)-1)+1)</f>
        <v/>
      </c>
      <c r="AI31" s="113"/>
      <c r="AJ31" s="113"/>
      <c r="AK31" s="113"/>
      <c r="AL31" s="113"/>
      <c r="AM31" s="113"/>
      <c r="AN31" s="113"/>
      <c r="AO31" s="52" t="str">
        <f>IFERROR(INDEX(PMELIGHT[Program Design],MATCH(AB31,PMELIGHT[Eff Desc 1])),"")</f>
        <v/>
      </c>
      <c r="AU31"/>
    </row>
    <row r="32" spans="1:47">
      <c r="A32" s="57">
        <f t="shared" si="0"/>
        <v>0</v>
      </c>
      <c r="B32" s="183" t="str">
        <f t="shared" si="2"/>
        <v/>
      </c>
      <c r="C32" t="str">
        <f>IFERROR(IF(R32&gt;0,INDEX(PMELIGHT[Measure '#],MATCH(AB32,PMELIGHT[Eff Desc 1],0)),""),"")</f>
        <v/>
      </c>
      <c r="D32" t="s">
        <v>947</v>
      </c>
      <c r="F32" s="185">
        <f>INDEX('M03-S01'!$AB$16:$AB$198,2*(ROWS($F$4:F32)-1)+1)</f>
        <v>0</v>
      </c>
      <c r="G32" s="186">
        <f>INDEX('M03-S01'!$Y$16:$Y$198,2*(ROWS($G$4:G32)-1)+1)</f>
        <v>0</v>
      </c>
      <c r="H32" s="186" t="str">
        <f>IF(ISNUMBER(INDEX('M03-S01'!$AN$16:$AN$198,2*(ROWS($R$4:R32)-1)+1)),"Total","")</f>
        <v/>
      </c>
      <c r="I32" s="184">
        <f>IFERROR(ROUND(INDEX('M03-S01'!$S$16:$S$198,2*(ROWS($I$4:I32)-1)+1)*INDEX('M03-S01'!$AE$16:$AE$198,2*(ROWS($I$4:I32)-1)+1),2),0)</f>
        <v>0</v>
      </c>
      <c r="J32" s="184">
        <f>IFERROR(ROUND(INDEX('M03-S01'!$S$16:$S$198,2*(ROWS($J$4:J32)-1)+1)*INDEX('M03-S01'!$AG$16:$AG$198,2*(ROWS($J$4:J32)-1)+1),2),0)</f>
        <v>0</v>
      </c>
      <c r="K32" s="52">
        <f>IFERROR(ROUND(INDEX('M03-S01'!$AU$16:$AU$198,2*(ROWS($K$4:K32)-1)+1),2),0)</f>
        <v>0</v>
      </c>
      <c r="L32" s="52" t="str">
        <f>IFERROR(IF(R32&gt;0,M32*INDEX(PMELIGHT[Incremental Cost],MATCH(AB32,PMELIGHT[Eff Desc 1],0)),""),"")</f>
        <v/>
      </c>
      <c r="M32" s="456">
        <f>IF(ISNUMBER(SEARCH("8ft",INDEX('M03-S01'!$K$16:$K$198,2*(ROWS($M$4:M32)-1)+1))),INDEX('M03-S01'!$S$16:$S$198,2*(ROWS($M$4:M32)-1)+1)*2,INDEX('M03-S01'!$S$16:$S$198,2*(ROWS($M$4:M32)-1)+1))</f>
        <v>0</v>
      </c>
      <c r="N32" s="184" t="str">
        <f>IF(ISNUMBER(INDEX('M03-S01'!$AN$16:$AN$198,2*(ROWS($R$4:R32)-1)+1)),INDEX('M03-S01'!$AK$16:$AK$198,2*(ROWS($N$4:N32)-1)+1),"")</f>
        <v/>
      </c>
      <c r="O32" s="456" t="str">
        <f>IFERROR(IF(ISNUMBER(INDEX('M03-S01'!$AN$16:$AN$198,2*(ROWS($R$4:R32)-1)+1)),INDEX('M03-S01'!$AV$16:$AV$198,2*(ROWS($O$4:O32)-1)+1),""),"")</f>
        <v/>
      </c>
      <c r="P32" s="459"/>
      <c r="Q32" s="184" t="str">
        <f>IFERROR(IF(ISNUMBER(INDEX('M03-S01'!$AN$16:$AN$198,2*(ROWS($R$4:R32)-1)+1)),INDEX('M03-S01'!$AY$16:$AY$198,2*(ROWS($Q$4:Q32)-1)+1),""),"")</f>
        <v/>
      </c>
      <c r="R32" s="184">
        <f>IF(ISNUMBER(INDEX('M03-S01'!$AN$16:$AN$198,2*(ROWS($R$4:R32)-1)+1)),INDEX('M03-S01'!$AN$16:$AN$198,2*(ROWS($R$4:R32)-1)+1),0)</f>
        <v>0</v>
      </c>
      <c r="S32" s="459"/>
      <c r="T32" s="113"/>
      <c r="U32" s="140"/>
      <c r="V32" s="113"/>
      <c r="W32" s="96" t="str">
        <f>IFERROR(IF(NOT(ISNUMBER(INDEX('M03-S01'!$AN$16:$AN$198,2*(ROWS($R$4:R32)-1)+1))),INDEX('M03-S01'!$BC$16:$BC$198,2*(ROWS($R$4:R32)-1)+1),""),"")</f>
        <v/>
      </c>
      <c r="X32" s="184" t="str">
        <f>IFERROR(ROUND(IF(ISNUMBER(SEARCH("8ft",INDEX('M03-S01'!$K$16:$K$198,2*(ROWS($X$4:X32)-1)+1))),INDEX('M03-S01'!$I$16:$I$198,2*(ROWS($X$4:X32)-1)+1)/2,INDEX('M03-S01'!$I$16:$I$198,2*(ROWS($X$4:X32)-1)+1)),3),"")</f>
        <v/>
      </c>
      <c r="Y32" s="184" t="str">
        <f>IFERROR(ROUND(IF(ISNUMBER(SEARCH("8ft",INDEX('M03-S01'!$K$16:$K$198,2*(ROWS($Y$4:Y32)-1)+1))),INDEX('M03-S01'!$Q$16:$Q$198,2*(ROWS($Y$4:Y32)-1)+1)/2,INDEX('M03-S01'!$Q$16:$Q$198,2*(ROWS($Y$4:Y32)-1)+1)),3),"")</f>
        <v/>
      </c>
      <c r="Z32" s="111">
        <f>INDEX('M03-S01'!$B$16:$B$198,2*(ROWS($Z$4:Z32)-1)+1)</f>
        <v>29</v>
      </c>
      <c r="AA32" s="111">
        <f>IF(ISNUMBER(SEARCH("8ft",INDEX('M03-S01'!$C$16:$C$199,2*(ROWS($Z$4:AA32)-1)+1))),SUBSTITUTE(INDEX('M03-S01'!$C$16:$C$199,2*(ROWS($Z$4:AA32)-1)+1),"8ft","4ft"),INDEX('M03-S01'!$C$16:$C$199,2*(ROWS($Z$4:AA32)-1)+1))</f>
        <v>0</v>
      </c>
      <c r="AB32" s="111">
        <f>IF(ISNUMBER(SEARCH("8ft",INDEX('M03-S01'!$K$16:$K$199,2*(ROWS($Z$4:AB32)-1)+1))),SUBSTITUTE(INDEX('M03-S01'!$K$16:$K$199,2*(ROWS($Z$4:AB32)-1)+1),"8ft","4ft"),INDEX('M03-S01'!$K$16:$K$199,2*(ROWS($Z$4:AB32)-1)+1))</f>
        <v>0</v>
      </c>
      <c r="AC32" s="96"/>
      <c r="AD32">
        <f>INDEX('M03-S01'!$U$16:$U$198,2*(ROWS($AD$4:AD32)-1)+1)</f>
        <v>0</v>
      </c>
      <c r="AE32" s="459"/>
      <c r="AF32" s="459"/>
      <c r="AG32" s="111" t="str">
        <f>INDEX('M03-S01'!$AW$16:$AW$198,2*(ROWS($AG$4:AG32)-1)+1)</f>
        <v/>
      </c>
      <c r="AH32" s="111" t="str">
        <f>INDEX('M03-S01'!$AX$16:$AX$198,2*(ROWS($AH$4:AH32)-1)+1)</f>
        <v/>
      </c>
      <c r="AI32" s="113"/>
      <c r="AJ32" s="113"/>
      <c r="AK32" s="113"/>
      <c r="AL32" s="113"/>
      <c r="AM32" s="113"/>
      <c r="AN32" s="113"/>
      <c r="AO32" s="52" t="str">
        <f>IFERROR(INDEX(PMELIGHT[Program Design],MATCH(AB32,PMELIGHT[Eff Desc 1])),"")</f>
        <v/>
      </c>
      <c r="AU32"/>
    </row>
    <row r="33" spans="1:47">
      <c r="A33" s="57">
        <f t="shared" si="0"/>
        <v>0</v>
      </c>
      <c r="B33" s="183" t="str">
        <f t="shared" si="2"/>
        <v/>
      </c>
      <c r="C33" t="str">
        <f>IFERROR(IF(R33&gt;0,INDEX(PMELIGHT[Measure '#],MATCH(AB33,PMELIGHT[Eff Desc 1],0)),""),"")</f>
        <v/>
      </c>
      <c r="D33" t="s">
        <v>947</v>
      </c>
      <c r="F33" s="185">
        <f>INDEX('M03-S01'!$AB$16:$AB$198,2*(ROWS($F$4:F33)-1)+1)</f>
        <v>0</v>
      </c>
      <c r="G33" s="186">
        <f>INDEX('M03-S01'!$Y$16:$Y$198,2*(ROWS($G$4:G33)-1)+1)</f>
        <v>0</v>
      </c>
      <c r="H33" s="186" t="str">
        <f>IF(ISNUMBER(INDEX('M03-S01'!$AN$16:$AN$198,2*(ROWS($R$4:R33)-1)+1)),"Total","")</f>
        <v/>
      </c>
      <c r="I33" s="184">
        <f>IFERROR(ROUND(INDEX('M03-S01'!$S$16:$S$198,2*(ROWS($I$4:I33)-1)+1)*INDEX('M03-S01'!$AE$16:$AE$198,2*(ROWS($I$4:I33)-1)+1),2),0)</f>
        <v>0</v>
      </c>
      <c r="J33" s="184">
        <f>IFERROR(ROUND(INDEX('M03-S01'!$S$16:$S$198,2*(ROWS($J$4:J33)-1)+1)*INDEX('M03-S01'!$AG$16:$AG$198,2*(ROWS($J$4:J33)-1)+1),2),0)</f>
        <v>0</v>
      </c>
      <c r="K33" s="52">
        <f>IFERROR(ROUND(INDEX('M03-S01'!$AU$16:$AU$198,2*(ROWS($K$4:K33)-1)+1),2),0)</f>
        <v>0</v>
      </c>
      <c r="L33" s="52" t="str">
        <f>IFERROR(IF(R33&gt;0,M33*INDEX(PMELIGHT[Incremental Cost],MATCH(AB33,PMELIGHT[Eff Desc 1],0)),""),"")</f>
        <v/>
      </c>
      <c r="M33" s="456">
        <f>IF(ISNUMBER(SEARCH("8ft",INDEX('M03-S01'!$K$16:$K$198,2*(ROWS($M$4:M33)-1)+1))),INDEX('M03-S01'!$S$16:$S$198,2*(ROWS($M$4:M33)-1)+1)*2,INDEX('M03-S01'!$S$16:$S$198,2*(ROWS($M$4:M33)-1)+1))</f>
        <v>0</v>
      </c>
      <c r="N33" s="184" t="str">
        <f>IF(ISNUMBER(INDEX('M03-S01'!$AN$16:$AN$198,2*(ROWS($R$4:R33)-1)+1)),INDEX('M03-S01'!$AK$16:$AK$198,2*(ROWS($N$4:N33)-1)+1),"")</f>
        <v/>
      </c>
      <c r="O33" s="456" t="str">
        <f>IFERROR(IF(ISNUMBER(INDEX('M03-S01'!$AN$16:$AN$198,2*(ROWS($R$4:R33)-1)+1)),INDEX('M03-S01'!$AV$16:$AV$198,2*(ROWS($O$4:O33)-1)+1),""),"")</f>
        <v/>
      </c>
      <c r="P33" s="459"/>
      <c r="Q33" s="184" t="str">
        <f>IFERROR(IF(ISNUMBER(INDEX('M03-S01'!$AN$16:$AN$198,2*(ROWS($R$4:R33)-1)+1)),INDEX('M03-S01'!$AY$16:$AY$198,2*(ROWS($Q$4:Q33)-1)+1),""),"")</f>
        <v/>
      </c>
      <c r="R33" s="184">
        <f>IF(ISNUMBER(INDEX('M03-S01'!$AN$16:$AN$198,2*(ROWS($R$4:R33)-1)+1)),INDEX('M03-S01'!$AN$16:$AN$198,2*(ROWS($R$4:R33)-1)+1),0)</f>
        <v>0</v>
      </c>
      <c r="S33" s="459"/>
      <c r="T33" s="113"/>
      <c r="U33" s="140"/>
      <c r="V33" s="113"/>
      <c r="W33" s="96" t="str">
        <f>IFERROR(IF(NOT(ISNUMBER(INDEX('M03-S01'!$AN$16:$AN$198,2*(ROWS($R$4:R33)-1)+1))),INDEX('M03-S01'!$BC$16:$BC$198,2*(ROWS($R$4:R33)-1)+1),""),"")</f>
        <v/>
      </c>
      <c r="X33" s="184" t="str">
        <f>IFERROR(ROUND(IF(ISNUMBER(SEARCH("8ft",INDEX('M03-S01'!$K$16:$K$198,2*(ROWS($X$4:X33)-1)+1))),INDEX('M03-S01'!$I$16:$I$198,2*(ROWS($X$4:X33)-1)+1)/2,INDEX('M03-S01'!$I$16:$I$198,2*(ROWS($X$4:X33)-1)+1)),3),"")</f>
        <v/>
      </c>
      <c r="Y33" s="184" t="str">
        <f>IFERROR(ROUND(IF(ISNUMBER(SEARCH("8ft",INDEX('M03-S01'!$K$16:$K$198,2*(ROWS($Y$4:Y33)-1)+1))),INDEX('M03-S01'!$Q$16:$Q$198,2*(ROWS($Y$4:Y33)-1)+1)/2,INDEX('M03-S01'!$Q$16:$Q$198,2*(ROWS($Y$4:Y33)-1)+1)),3),"")</f>
        <v/>
      </c>
      <c r="Z33" s="111">
        <f>INDEX('M03-S01'!$B$16:$B$198,2*(ROWS($Z$4:Z33)-1)+1)</f>
        <v>30</v>
      </c>
      <c r="AA33" s="111">
        <f>IF(ISNUMBER(SEARCH("8ft",INDEX('M03-S01'!$C$16:$C$199,2*(ROWS($Z$4:AA33)-1)+1))),SUBSTITUTE(INDEX('M03-S01'!$C$16:$C$199,2*(ROWS($Z$4:AA33)-1)+1),"8ft","4ft"),INDEX('M03-S01'!$C$16:$C$199,2*(ROWS($Z$4:AA33)-1)+1))</f>
        <v>0</v>
      </c>
      <c r="AB33" s="111">
        <f>IF(ISNUMBER(SEARCH("8ft",INDEX('M03-S01'!$K$16:$K$199,2*(ROWS($Z$4:AB33)-1)+1))),SUBSTITUTE(INDEX('M03-S01'!$K$16:$K$199,2*(ROWS($Z$4:AB33)-1)+1),"8ft","4ft"),INDEX('M03-S01'!$K$16:$K$199,2*(ROWS($Z$4:AB33)-1)+1))</f>
        <v>0</v>
      </c>
      <c r="AC33" s="96"/>
      <c r="AD33">
        <f>INDEX('M03-S01'!$U$16:$U$198,2*(ROWS($AD$4:AD33)-1)+1)</f>
        <v>0</v>
      </c>
      <c r="AE33" s="459"/>
      <c r="AF33" s="459"/>
      <c r="AG33" s="111" t="str">
        <f>INDEX('M03-S01'!$AW$16:$AW$198,2*(ROWS($AG$4:AG33)-1)+1)</f>
        <v/>
      </c>
      <c r="AH33" s="111" t="str">
        <f>INDEX('M03-S01'!$AX$16:$AX$198,2*(ROWS($AH$4:AH33)-1)+1)</f>
        <v/>
      </c>
      <c r="AI33" s="113"/>
      <c r="AJ33" s="113"/>
      <c r="AK33" s="113"/>
      <c r="AL33" s="113"/>
      <c r="AM33" s="113"/>
      <c r="AN33" s="113"/>
      <c r="AO33" s="52" t="str">
        <f>IFERROR(INDEX(PMELIGHT[Program Design],MATCH(AB33,PMELIGHT[Eff Desc 1])),"")</f>
        <v/>
      </c>
      <c r="AU33"/>
    </row>
    <row r="34" spans="1:47">
      <c r="A34" s="57">
        <f t="shared" si="0"/>
        <v>0</v>
      </c>
      <c r="B34" s="183" t="str">
        <f t="shared" si="2"/>
        <v/>
      </c>
      <c r="C34" t="str">
        <f>IFERROR(IF(R34&gt;0,INDEX(PMELIGHT[Measure '#],MATCH(AB34,PMELIGHT[Eff Desc 1],0)),""),"")</f>
        <v/>
      </c>
      <c r="D34" t="s">
        <v>947</v>
      </c>
      <c r="F34" s="185">
        <f>INDEX('M03-S01'!$AB$16:$AB$198,2*(ROWS($F$4:F34)-1)+1)</f>
        <v>0</v>
      </c>
      <c r="G34" s="186">
        <f>INDEX('M03-S01'!$Y$16:$Y$198,2*(ROWS($G$4:G34)-1)+1)</f>
        <v>0</v>
      </c>
      <c r="H34" s="186" t="str">
        <f>IF(ISNUMBER(INDEX('M03-S01'!$AN$16:$AN$198,2*(ROWS($R$4:R34)-1)+1)),"Total","")</f>
        <v/>
      </c>
      <c r="I34" s="184">
        <f>IFERROR(ROUND(INDEX('M03-S01'!$S$16:$S$198,2*(ROWS($I$4:I34)-1)+1)*INDEX('M03-S01'!$AE$16:$AE$198,2*(ROWS($I$4:I34)-1)+1),2),0)</f>
        <v>0</v>
      </c>
      <c r="J34" s="184">
        <f>IFERROR(ROUND(INDEX('M03-S01'!$S$16:$S$198,2*(ROWS($J$4:J34)-1)+1)*INDEX('M03-S01'!$AG$16:$AG$198,2*(ROWS($J$4:J34)-1)+1),2),0)</f>
        <v>0</v>
      </c>
      <c r="K34" s="52">
        <f>IFERROR(ROUND(INDEX('M03-S01'!$AU$16:$AU$198,2*(ROWS($K$4:K34)-1)+1),2),0)</f>
        <v>0</v>
      </c>
      <c r="L34" s="52" t="str">
        <f>IFERROR(IF(R34&gt;0,M34*INDEX(PMELIGHT[Incremental Cost],MATCH(AB34,PMELIGHT[Eff Desc 1],0)),""),"")</f>
        <v/>
      </c>
      <c r="M34" s="456">
        <f>IF(ISNUMBER(SEARCH("8ft",INDEX('M03-S01'!$K$16:$K$198,2*(ROWS($M$4:M34)-1)+1))),INDEX('M03-S01'!$S$16:$S$198,2*(ROWS($M$4:M34)-1)+1)*2,INDEX('M03-S01'!$S$16:$S$198,2*(ROWS($M$4:M34)-1)+1))</f>
        <v>0</v>
      </c>
      <c r="N34" s="184" t="str">
        <f>IF(ISNUMBER(INDEX('M03-S01'!$AN$16:$AN$198,2*(ROWS($R$4:R34)-1)+1)),INDEX('M03-S01'!$AK$16:$AK$198,2*(ROWS($N$4:N34)-1)+1),"")</f>
        <v/>
      </c>
      <c r="O34" s="456" t="str">
        <f>IFERROR(IF(ISNUMBER(INDEX('M03-S01'!$AN$16:$AN$198,2*(ROWS($R$4:R34)-1)+1)),INDEX('M03-S01'!$AV$16:$AV$198,2*(ROWS($O$4:O34)-1)+1),""),"")</f>
        <v/>
      </c>
      <c r="P34" s="459"/>
      <c r="Q34" s="184" t="str">
        <f>IFERROR(IF(ISNUMBER(INDEX('M03-S01'!$AN$16:$AN$198,2*(ROWS($R$4:R34)-1)+1)),INDEX('M03-S01'!$AY$16:$AY$198,2*(ROWS($Q$4:Q34)-1)+1),""),"")</f>
        <v/>
      </c>
      <c r="R34" s="184">
        <f>IF(ISNUMBER(INDEX('M03-S01'!$AN$16:$AN$198,2*(ROWS($R$4:R34)-1)+1)),INDEX('M03-S01'!$AN$16:$AN$198,2*(ROWS($R$4:R34)-1)+1),0)</f>
        <v>0</v>
      </c>
      <c r="S34" s="459"/>
      <c r="T34" s="113"/>
      <c r="U34" s="140"/>
      <c r="V34" s="113"/>
      <c r="W34" s="96" t="str">
        <f>IFERROR(IF(NOT(ISNUMBER(INDEX('M03-S01'!$AN$16:$AN$198,2*(ROWS($R$4:R34)-1)+1))),INDEX('M03-S01'!$BC$16:$BC$198,2*(ROWS($R$4:R34)-1)+1),""),"")</f>
        <v/>
      </c>
      <c r="X34" s="184" t="str">
        <f>IFERROR(ROUND(IF(ISNUMBER(SEARCH("8ft",INDEX('M03-S01'!$K$16:$K$198,2*(ROWS($X$4:X34)-1)+1))),INDEX('M03-S01'!$I$16:$I$198,2*(ROWS($X$4:X34)-1)+1)/2,INDEX('M03-S01'!$I$16:$I$198,2*(ROWS($X$4:X34)-1)+1)),3),"")</f>
        <v/>
      </c>
      <c r="Y34" s="184" t="str">
        <f>IFERROR(ROUND(IF(ISNUMBER(SEARCH("8ft",INDEX('M03-S01'!$K$16:$K$198,2*(ROWS($Y$4:Y34)-1)+1))),INDEX('M03-S01'!$Q$16:$Q$198,2*(ROWS($Y$4:Y34)-1)+1)/2,INDEX('M03-S01'!$Q$16:$Q$198,2*(ROWS($Y$4:Y34)-1)+1)),3),"")</f>
        <v/>
      </c>
      <c r="Z34" s="111">
        <f>INDEX('M03-S01'!$B$16:$B$198,2*(ROWS($Z$4:Z34)-1)+1)</f>
        <v>31</v>
      </c>
      <c r="AA34" s="111">
        <f>IF(ISNUMBER(SEARCH("8ft",INDEX('M03-S01'!$C$16:$C$199,2*(ROWS($Z$4:AA34)-1)+1))),SUBSTITUTE(INDEX('M03-S01'!$C$16:$C$199,2*(ROWS($Z$4:AA34)-1)+1),"8ft","4ft"),INDEX('M03-S01'!$C$16:$C$199,2*(ROWS($Z$4:AA34)-1)+1))</f>
        <v>0</v>
      </c>
      <c r="AB34" s="111">
        <f>IF(ISNUMBER(SEARCH("8ft",INDEX('M03-S01'!$K$16:$K$199,2*(ROWS($Z$4:AB34)-1)+1))),SUBSTITUTE(INDEX('M03-S01'!$K$16:$K$199,2*(ROWS($Z$4:AB34)-1)+1),"8ft","4ft"),INDEX('M03-S01'!$K$16:$K$199,2*(ROWS($Z$4:AB34)-1)+1))</f>
        <v>0</v>
      </c>
      <c r="AC34" s="96"/>
      <c r="AD34">
        <f>INDEX('M03-S01'!$U$16:$U$198,2*(ROWS($AD$4:AD34)-1)+1)</f>
        <v>0</v>
      </c>
      <c r="AE34" s="459"/>
      <c r="AF34" s="459"/>
      <c r="AG34" s="111" t="str">
        <f>INDEX('M03-S01'!$AW$16:$AW$198,2*(ROWS($AG$4:AG34)-1)+1)</f>
        <v/>
      </c>
      <c r="AH34" s="111" t="str">
        <f>INDEX('M03-S01'!$AX$16:$AX$198,2*(ROWS($AH$4:AH34)-1)+1)</f>
        <v/>
      </c>
      <c r="AI34" s="113"/>
      <c r="AJ34" s="113"/>
      <c r="AK34" s="113"/>
      <c r="AL34" s="113"/>
      <c r="AM34" s="113"/>
      <c r="AN34" s="113"/>
      <c r="AO34" s="52" t="str">
        <f>IFERROR(INDEX(PMELIGHT[Program Design],MATCH(AB34,PMELIGHT[Eff Desc 1])),"")</f>
        <v/>
      </c>
      <c r="AU34"/>
    </row>
    <row r="35" spans="1:47">
      <c r="A35" s="57">
        <f t="shared" si="0"/>
        <v>0</v>
      </c>
      <c r="B35" s="183" t="str">
        <f t="shared" si="2"/>
        <v/>
      </c>
      <c r="C35" t="str">
        <f>IFERROR(IF(R35&gt;0,INDEX(PMELIGHT[Measure '#],MATCH(AB35,PMELIGHT[Eff Desc 1],0)),""),"")</f>
        <v/>
      </c>
      <c r="D35" t="s">
        <v>947</v>
      </c>
      <c r="F35" s="185">
        <f>INDEX('M03-S01'!$AB$16:$AB$198,2*(ROWS($F$4:F35)-1)+1)</f>
        <v>0</v>
      </c>
      <c r="G35" s="186">
        <f>INDEX('M03-S01'!$Y$16:$Y$198,2*(ROWS($G$4:G35)-1)+1)</f>
        <v>0</v>
      </c>
      <c r="H35" s="186" t="str">
        <f>IF(ISNUMBER(INDEX('M03-S01'!$AN$16:$AN$198,2*(ROWS($R$4:R35)-1)+1)),"Total","")</f>
        <v/>
      </c>
      <c r="I35" s="184">
        <f>IFERROR(ROUND(INDEX('M03-S01'!$S$16:$S$198,2*(ROWS($I$4:I35)-1)+1)*INDEX('M03-S01'!$AE$16:$AE$198,2*(ROWS($I$4:I35)-1)+1),2),0)</f>
        <v>0</v>
      </c>
      <c r="J35" s="184">
        <f>IFERROR(ROUND(INDEX('M03-S01'!$S$16:$S$198,2*(ROWS($J$4:J35)-1)+1)*INDEX('M03-S01'!$AG$16:$AG$198,2*(ROWS($J$4:J35)-1)+1),2),0)</f>
        <v>0</v>
      </c>
      <c r="K35" s="52">
        <f>IFERROR(ROUND(INDEX('M03-S01'!$AU$16:$AU$198,2*(ROWS($K$4:K35)-1)+1),2),0)</f>
        <v>0</v>
      </c>
      <c r="L35" s="52" t="str">
        <f>IFERROR(IF(R35&gt;0,M35*INDEX(PMELIGHT[Incremental Cost],MATCH(AB35,PMELIGHT[Eff Desc 1],0)),""),"")</f>
        <v/>
      </c>
      <c r="M35" s="456">
        <f>IF(ISNUMBER(SEARCH("8ft",INDEX('M03-S01'!$K$16:$K$198,2*(ROWS($M$4:M35)-1)+1))),INDEX('M03-S01'!$S$16:$S$198,2*(ROWS($M$4:M35)-1)+1)*2,INDEX('M03-S01'!$S$16:$S$198,2*(ROWS($M$4:M35)-1)+1))</f>
        <v>0</v>
      </c>
      <c r="N35" s="184" t="str">
        <f>IF(ISNUMBER(INDEX('M03-S01'!$AN$16:$AN$198,2*(ROWS($R$4:R35)-1)+1)),INDEX('M03-S01'!$AK$16:$AK$198,2*(ROWS($N$4:N35)-1)+1),"")</f>
        <v/>
      </c>
      <c r="O35" s="456" t="str">
        <f>IFERROR(IF(ISNUMBER(INDEX('M03-S01'!$AN$16:$AN$198,2*(ROWS($R$4:R35)-1)+1)),INDEX('M03-S01'!$AV$16:$AV$198,2*(ROWS($O$4:O35)-1)+1),""),"")</f>
        <v/>
      </c>
      <c r="P35" s="459"/>
      <c r="Q35" s="184" t="str">
        <f>IFERROR(IF(ISNUMBER(INDEX('M03-S01'!$AN$16:$AN$198,2*(ROWS($R$4:R35)-1)+1)),INDEX('M03-S01'!$AY$16:$AY$198,2*(ROWS($Q$4:Q35)-1)+1),""),"")</f>
        <v/>
      </c>
      <c r="R35" s="184">
        <f>IF(ISNUMBER(INDEX('M03-S01'!$AN$16:$AN$198,2*(ROWS($R$4:R35)-1)+1)),INDEX('M03-S01'!$AN$16:$AN$198,2*(ROWS($R$4:R35)-1)+1),0)</f>
        <v>0</v>
      </c>
      <c r="S35" s="459"/>
      <c r="T35" s="113"/>
      <c r="U35" s="140"/>
      <c r="V35" s="113"/>
      <c r="W35" s="96" t="str">
        <f>IFERROR(IF(NOT(ISNUMBER(INDEX('M03-S01'!$AN$16:$AN$198,2*(ROWS($R$4:R35)-1)+1))),INDEX('M03-S01'!$BC$16:$BC$198,2*(ROWS($R$4:R35)-1)+1),""),"")</f>
        <v/>
      </c>
      <c r="X35" s="184" t="str">
        <f>IFERROR(ROUND(IF(ISNUMBER(SEARCH("8ft",INDEX('M03-S01'!$K$16:$K$198,2*(ROWS($X$4:X35)-1)+1))),INDEX('M03-S01'!$I$16:$I$198,2*(ROWS($X$4:X35)-1)+1)/2,INDEX('M03-S01'!$I$16:$I$198,2*(ROWS($X$4:X35)-1)+1)),3),"")</f>
        <v/>
      </c>
      <c r="Y35" s="184" t="str">
        <f>IFERROR(ROUND(IF(ISNUMBER(SEARCH("8ft",INDEX('M03-S01'!$K$16:$K$198,2*(ROWS($Y$4:Y35)-1)+1))),INDEX('M03-S01'!$Q$16:$Q$198,2*(ROWS($Y$4:Y35)-1)+1)/2,INDEX('M03-S01'!$Q$16:$Q$198,2*(ROWS($Y$4:Y35)-1)+1)),3),"")</f>
        <v/>
      </c>
      <c r="Z35" s="111">
        <f>INDEX('M03-S01'!$B$16:$B$198,2*(ROWS($Z$4:Z35)-1)+1)</f>
        <v>32</v>
      </c>
      <c r="AA35" s="111">
        <f>IF(ISNUMBER(SEARCH("8ft",INDEX('M03-S01'!$C$16:$C$199,2*(ROWS($Z$4:AA35)-1)+1))),SUBSTITUTE(INDEX('M03-S01'!$C$16:$C$199,2*(ROWS($Z$4:AA35)-1)+1),"8ft","4ft"),INDEX('M03-S01'!$C$16:$C$199,2*(ROWS($Z$4:AA35)-1)+1))</f>
        <v>0</v>
      </c>
      <c r="AB35" s="111">
        <f>IF(ISNUMBER(SEARCH("8ft",INDEX('M03-S01'!$K$16:$K$199,2*(ROWS($Z$4:AB35)-1)+1))),SUBSTITUTE(INDEX('M03-S01'!$K$16:$K$199,2*(ROWS($Z$4:AB35)-1)+1),"8ft","4ft"),INDEX('M03-S01'!$K$16:$K$199,2*(ROWS($Z$4:AB35)-1)+1))</f>
        <v>0</v>
      </c>
      <c r="AC35" s="96"/>
      <c r="AD35">
        <f>INDEX('M03-S01'!$U$16:$U$198,2*(ROWS($AD$4:AD35)-1)+1)</f>
        <v>0</v>
      </c>
      <c r="AE35" s="459"/>
      <c r="AF35" s="459"/>
      <c r="AG35" s="111" t="str">
        <f>INDEX('M03-S01'!$AW$16:$AW$198,2*(ROWS($AG$4:AG35)-1)+1)</f>
        <v/>
      </c>
      <c r="AH35" s="111" t="str">
        <f>INDEX('M03-S01'!$AX$16:$AX$198,2*(ROWS($AH$4:AH35)-1)+1)</f>
        <v/>
      </c>
      <c r="AI35" s="113"/>
      <c r="AJ35" s="113"/>
      <c r="AK35" s="113"/>
      <c r="AL35" s="113"/>
      <c r="AM35" s="113"/>
      <c r="AN35" s="113"/>
      <c r="AO35" s="52" t="str">
        <f>IFERROR(INDEX(PMELIGHT[Program Design],MATCH(AB35,PMELIGHT[Eff Desc 1])),"")</f>
        <v/>
      </c>
      <c r="AU35"/>
    </row>
    <row r="36" spans="1:47">
      <c r="A36" s="57">
        <f t="shared" si="0"/>
        <v>0</v>
      </c>
      <c r="B36" s="183" t="str">
        <f t="shared" si="2"/>
        <v/>
      </c>
      <c r="C36" t="str">
        <f>IFERROR(IF(R36&gt;0,INDEX(PMELIGHT[Measure '#],MATCH(AB36,PMELIGHT[Eff Desc 1],0)),""),"")</f>
        <v/>
      </c>
      <c r="D36" t="s">
        <v>947</v>
      </c>
      <c r="F36" s="185">
        <f>INDEX('M03-S01'!$AB$16:$AB$198,2*(ROWS($F$4:F36)-1)+1)</f>
        <v>0</v>
      </c>
      <c r="G36" s="186">
        <f>INDEX('M03-S01'!$Y$16:$Y$198,2*(ROWS($G$4:G36)-1)+1)</f>
        <v>0</v>
      </c>
      <c r="H36" s="186" t="str">
        <f>IF(ISNUMBER(INDEX('M03-S01'!$AN$16:$AN$198,2*(ROWS($R$4:R36)-1)+1)),"Total","")</f>
        <v/>
      </c>
      <c r="I36" s="184">
        <f>IFERROR(ROUND(INDEX('M03-S01'!$S$16:$S$198,2*(ROWS($I$4:I36)-1)+1)*INDEX('M03-S01'!$AE$16:$AE$198,2*(ROWS($I$4:I36)-1)+1),2),0)</f>
        <v>0</v>
      </c>
      <c r="J36" s="184">
        <f>IFERROR(ROUND(INDEX('M03-S01'!$S$16:$S$198,2*(ROWS($J$4:J36)-1)+1)*INDEX('M03-S01'!$AG$16:$AG$198,2*(ROWS($J$4:J36)-1)+1),2),0)</f>
        <v>0</v>
      </c>
      <c r="K36" s="52">
        <f>IFERROR(ROUND(INDEX('M03-S01'!$AU$16:$AU$198,2*(ROWS($K$4:K36)-1)+1),2),0)</f>
        <v>0</v>
      </c>
      <c r="L36" s="52" t="str">
        <f>IFERROR(IF(R36&gt;0,M36*INDEX(PMELIGHT[Incremental Cost],MATCH(AB36,PMELIGHT[Eff Desc 1],0)),""),"")</f>
        <v/>
      </c>
      <c r="M36" s="456">
        <f>IF(ISNUMBER(SEARCH("8ft",INDEX('M03-S01'!$K$16:$K$198,2*(ROWS($M$4:M36)-1)+1))),INDEX('M03-S01'!$S$16:$S$198,2*(ROWS($M$4:M36)-1)+1)*2,INDEX('M03-S01'!$S$16:$S$198,2*(ROWS($M$4:M36)-1)+1))</f>
        <v>0</v>
      </c>
      <c r="N36" s="184" t="str">
        <f>IF(ISNUMBER(INDEX('M03-S01'!$AN$16:$AN$198,2*(ROWS($R$4:R36)-1)+1)),INDEX('M03-S01'!$AK$16:$AK$198,2*(ROWS($N$4:N36)-1)+1),"")</f>
        <v/>
      </c>
      <c r="O36" s="456" t="str">
        <f>IFERROR(IF(ISNUMBER(INDEX('M03-S01'!$AN$16:$AN$198,2*(ROWS($R$4:R36)-1)+1)),INDEX('M03-S01'!$AV$16:$AV$198,2*(ROWS($O$4:O36)-1)+1),""),"")</f>
        <v/>
      </c>
      <c r="P36" s="459"/>
      <c r="Q36" s="184" t="str">
        <f>IFERROR(IF(ISNUMBER(INDEX('M03-S01'!$AN$16:$AN$198,2*(ROWS($R$4:R36)-1)+1)),INDEX('M03-S01'!$AY$16:$AY$198,2*(ROWS($Q$4:Q36)-1)+1),""),"")</f>
        <v/>
      </c>
      <c r="R36" s="184">
        <f>IF(ISNUMBER(INDEX('M03-S01'!$AN$16:$AN$198,2*(ROWS($R$4:R36)-1)+1)),INDEX('M03-S01'!$AN$16:$AN$198,2*(ROWS($R$4:R36)-1)+1),0)</f>
        <v>0</v>
      </c>
      <c r="S36" s="459"/>
      <c r="T36" s="113"/>
      <c r="U36" s="140"/>
      <c r="V36" s="113"/>
      <c r="W36" s="96" t="str">
        <f>IFERROR(IF(NOT(ISNUMBER(INDEX('M03-S01'!$AN$16:$AN$198,2*(ROWS($R$4:R36)-1)+1))),INDEX('M03-S01'!$BC$16:$BC$198,2*(ROWS($R$4:R36)-1)+1),""),"")</f>
        <v/>
      </c>
      <c r="X36" s="184" t="str">
        <f>IFERROR(ROUND(IF(ISNUMBER(SEARCH("8ft",INDEX('M03-S01'!$K$16:$K$198,2*(ROWS($X$4:X36)-1)+1))),INDEX('M03-S01'!$I$16:$I$198,2*(ROWS($X$4:X36)-1)+1)/2,INDEX('M03-S01'!$I$16:$I$198,2*(ROWS($X$4:X36)-1)+1)),3),"")</f>
        <v/>
      </c>
      <c r="Y36" s="184" t="str">
        <f>IFERROR(ROUND(IF(ISNUMBER(SEARCH("8ft",INDEX('M03-S01'!$K$16:$K$198,2*(ROWS($Y$4:Y36)-1)+1))),INDEX('M03-S01'!$Q$16:$Q$198,2*(ROWS($Y$4:Y36)-1)+1)/2,INDEX('M03-S01'!$Q$16:$Q$198,2*(ROWS($Y$4:Y36)-1)+1)),3),"")</f>
        <v/>
      </c>
      <c r="Z36" s="111">
        <f>INDEX('M03-S01'!$B$16:$B$198,2*(ROWS($Z$4:Z36)-1)+1)</f>
        <v>33</v>
      </c>
      <c r="AA36" s="111">
        <f>IF(ISNUMBER(SEARCH("8ft",INDEX('M03-S01'!$C$16:$C$199,2*(ROWS($Z$4:AA36)-1)+1))),SUBSTITUTE(INDEX('M03-S01'!$C$16:$C$199,2*(ROWS($Z$4:AA36)-1)+1),"8ft","4ft"),INDEX('M03-S01'!$C$16:$C$199,2*(ROWS($Z$4:AA36)-1)+1))</f>
        <v>0</v>
      </c>
      <c r="AB36" s="111">
        <f>IF(ISNUMBER(SEARCH("8ft",INDEX('M03-S01'!$K$16:$K$199,2*(ROWS($Z$4:AB36)-1)+1))),SUBSTITUTE(INDEX('M03-S01'!$K$16:$K$199,2*(ROWS($Z$4:AB36)-1)+1),"8ft","4ft"),INDEX('M03-S01'!$K$16:$K$199,2*(ROWS($Z$4:AB36)-1)+1))</f>
        <v>0</v>
      </c>
      <c r="AC36" s="96"/>
      <c r="AD36">
        <f>INDEX('M03-S01'!$U$16:$U$198,2*(ROWS($AD$4:AD36)-1)+1)</f>
        <v>0</v>
      </c>
      <c r="AE36" s="459"/>
      <c r="AF36" s="459"/>
      <c r="AG36" s="111" t="str">
        <f>INDEX('M03-S01'!$AW$16:$AW$198,2*(ROWS($AG$4:AG36)-1)+1)</f>
        <v/>
      </c>
      <c r="AH36" s="111" t="str">
        <f>INDEX('M03-S01'!$AX$16:$AX$198,2*(ROWS($AH$4:AH36)-1)+1)</f>
        <v/>
      </c>
      <c r="AI36" s="113"/>
      <c r="AJ36" s="113"/>
      <c r="AK36" s="113"/>
      <c r="AL36" s="113"/>
      <c r="AM36" s="113"/>
      <c r="AN36" s="113"/>
      <c r="AO36" s="52" t="str">
        <f>IFERROR(INDEX(PMELIGHT[Program Design],MATCH(AB36,PMELIGHT[Eff Desc 1])),"")</f>
        <v/>
      </c>
      <c r="AU36"/>
    </row>
    <row r="37" spans="1:47">
      <c r="A37" s="57">
        <f t="shared" si="0"/>
        <v>0</v>
      </c>
      <c r="B37" s="183" t="str">
        <f t="shared" si="2"/>
        <v/>
      </c>
      <c r="C37" t="str">
        <f>IFERROR(IF(R37&gt;0,INDEX(PMELIGHT[Measure '#],MATCH(AB37,PMELIGHT[Eff Desc 1],0)),""),"")</f>
        <v/>
      </c>
      <c r="D37" t="s">
        <v>947</v>
      </c>
      <c r="F37" s="185">
        <f>INDEX('M03-S01'!$AB$16:$AB$198,2*(ROWS($F$4:F37)-1)+1)</f>
        <v>0</v>
      </c>
      <c r="G37" s="186">
        <f>INDEX('M03-S01'!$Y$16:$Y$198,2*(ROWS($G$4:G37)-1)+1)</f>
        <v>0</v>
      </c>
      <c r="H37" s="186" t="str">
        <f>IF(ISNUMBER(INDEX('M03-S01'!$AN$16:$AN$198,2*(ROWS($R$4:R37)-1)+1)),"Total","")</f>
        <v/>
      </c>
      <c r="I37" s="184">
        <f>IFERROR(ROUND(INDEX('M03-S01'!$S$16:$S$198,2*(ROWS($I$4:I37)-1)+1)*INDEX('M03-S01'!$AE$16:$AE$198,2*(ROWS($I$4:I37)-1)+1),2),0)</f>
        <v>0</v>
      </c>
      <c r="J37" s="184">
        <f>IFERROR(ROUND(INDEX('M03-S01'!$S$16:$S$198,2*(ROWS($J$4:J37)-1)+1)*INDEX('M03-S01'!$AG$16:$AG$198,2*(ROWS($J$4:J37)-1)+1),2),0)</f>
        <v>0</v>
      </c>
      <c r="K37" s="52">
        <f>IFERROR(ROUND(INDEX('M03-S01'!$AU$16:$AU$198,2*(ROWS($K$4:K37)-1)+1),2),0)</f>
        <v>0</v>
      </c>
      <c r="L37" s="52" t="str">
        <f>IFERROR(IF(R37&gt;0,M37*INDEX(PMELIGHT[Incremental Cost],MATCH(AB37,PMELIGHT[Eff Desc 1],0)),""),"")</f>
        <v/>
      </c>
      <c r="M37" s="456">
        <f>IF(ISNUMBER(SEARCH("8ft",INDEX('M03-S01'!$K$16:$K$198,2*(ROWS($M$4:M37)-1)+1))),INDEX('M03-S01'!$S$16:$S$198,2*(ROWS($M$4:M37)-1)+1)*2,INDEX('M03-S01'!$S$16:$S$198,2*(ROWS($M$4:M37)-1)+1))</f>
        <v>0</v>
      </c>
      <c r="N37" s="184" t="str">
        <f>IF(ISNUMBER(INDEX('M03-S01'!$AN$16:$AN$198,2*(ROWS($R$4:R37)-1)+1)),INDEX('M03-S01'!$AK$16:$AK$198,2*(ROWS($N$4:N37)-1)+1),"")</f>
        <v/>
      </c>
      <c r="O37" s="456" t="str">
        <f>IFERROR(IF(ISNUMBER(INDEX('M03-S01'!$AN$16:$AN$198,2*(ROWS($R$4:R37)-1)+1)),INDEX('M03-S01'!$AV$16:$AV$198,2*(ROWS($O$4:O37)-1)+1),""),"")</f>
        <v/>
      </c>
      <c r="P37" s="459"/>
      <c r="Q37" s="184" t="str">
        <f>IFERROR(IF(ISNUMBER(INDEX('M03-S01'!$AN$16:$AN$198,2*(ROWS($R$4:R37)-1)+1)),INDEX('M03-S01'!$AY$16:$AY$198,2*(ROWS($Q$4:Q37)-1)+1),""),"")</f>
        <v/>
      </c>
      <c r="R37" s="184">
        <f>IF(ISNUMBER(INDEX('M03-S01'!$AN$16:$AN$198,2*(ROWS($R$4:R37)-1)+1)),INDEX('M03-S01'!$AN$16:$AN$198,2*(ROWS($R$4:R37)-1)+1),0)</f>
        <v>0</v>
      </c>
      <c r="S37" s="459"/>
      <c r="T37" s="113"/>
      <c r="U37" s="140"/>
      <c r="V37" s="113"/>
      <c r="W37" s="96" t="str">
        <f>IFERROR(IF(NOT(ISNUMBER(INDEX('M03-S01'!$AN$16:$AN$198,2*(ROWS($R$4:R37)-1)+1))),INDEX('M03-S01'!$BC$16:$BC$198,2*(ROWS($R$4:R37)-1)+1),""),"")</f>
        <v/>
      </c>
      <c r="X37" s="184" t="str">
        <f>IFERROR(ROUND(IF(ISNUMBER(SEARCH("8ft",INDEX('M03-S01'!$K$16:$K$198,2*(ROWS($X$4:X37)-1)+1))),INDEX('M03-S01'!$I$16:$I$198,2*(ROWS($X$4:X37)-1)+1)/2,INDEX('M03-S01'!$I$16:$I$198,2*(ROWS($X$4:X37)-1)+1)),3),"")</f>
        <v/>
      </c>
      <c r="Y37" s="184" t="str">
        <f>IFERROR(ROUND(IF(ISNUMBER(SEARCH("8ft",INDEX('M03-S01'!$K$16:$K$198,2*(ROWS($Y$4:Y37)-1)+1))),INDEX('M03-S01'!$Q$16:$Q$198,2*(ROWS($Y$4:Y37)-1)+1)/2,INDEX('M03-S01'!$Q$16:$Q$198,2*(ROWS($Y$4:Y37)-1)+1)),3),"")</f>
        <v/>
      </c>
      <c r="Z37" s="111">
        <f>INDEX('M03-S01'!$B$16:$B$198,2*(ROWS($Z$4:Z37)-1)+1)</f>
        <v>34</v>
      </c>
      <c r="AA37" s="111">
        <f>IF(ISNUMBER(SEARCH("8ft",INDEX('M03-S01'!$C$16:$C$199,2*(ROWS($Z$4:AA37)-1)+1))),SUBSTITUTE(INDEX('M03-S01'!$C$16:$C$199,2*(ROWS($Z$4:AA37)-1)+1),"8ft","4ft"),INDEX('M03-S01'!$C$16:$C$199,2*(ROWS($Z$4:AA37)-1)+1))</f>
        <v>0</v>
      </c>
      <c r="AB37" s="111">
        <f>IF(ISNUMBER(SEARCH("8ft",INDEX('M03-S01'!$K$16:$K$199,2*(ROWS($Z$4:AB37)-1)+1))),SUBSTITUTE(INDEX('M03-S01'!$K$16:$K$199,2*(ROWS($Z$4:AB37)-1)+1),"8ft","4ft"),INDEX('M03-S01'!$K$16:$K$199,2*(ROWS($Z$4:AB37)-1)+1))</f>
        <v>0</v>
      </c>
      <c r="AC37" s="96"/>
      <c r="AD37">
        <f>INDEX('M03-S01'!$U$16:$U$198,2*(ROWS($AD$4:AD37)-1)+1)</f>
        <v>0</v>
      </c>
      <c r="AE37" s="459"/>
      <c r="AF37" s="459"/>
      <c r="AG37" s="111" t="str">
        <f>INDEX('M03-S01'!$AW$16:$AW$198,2*(ROWS($AG$4:AG37)-1)+1)</f>
        <v/>
      </c>
      <c r="AH37" s="111" t="str">
        <f>INDEX('M03-S01'!$AX$16:$AX$198,2*(ROWS($AH$4:AH37)-1)+1)</f>
        <v/>
      </c>
      <c r="AI37" s="113"/>
      <c r="AJ37" s="113"/>
      <c r="AK37" s="113"/>
      <c r="AL37" s="113"/>
      <c r="AM37" s="113"/>
      <c r="AN37" s="113"/>
      <c r="AO37" s="52" t="str">
        <f>IFERROR(INDEX(PMELIGHT[Program Design],MATCH(AB37,PMELIGHT[Eff Desc 1])),"")</f>
        <v/>
      </c>
      <c r="AU37"/>
    </row>
    <row r="38" spans="1:47">
      <c r="A38" s="57">
        <f t="shared" si="0"/>
        <v>0</v>
      </c>
      <c r="B38" s="183" t="str">
        <f t="shared" si="1"/>
        <v/>
      </c>
      <c r="C38" t="str">
        <f>IFERROR(IF(R38&gt;0,INDEX(PMELIGHT[Measure '#],MATCH(AB38,PMELIGHT[Eff Desc 1],0)),""),"")</f>
        <v/>
      </c>
      <c r="D38" t="s">
        <v>947</v>
      </c>
      <c r="F38" s="185">
        <f>INDEX('M03-S01'!$AB$16:$AB$198,2*(ROWS($F$4:F38)-1)+1)</f>
        <v>0</v>
      </c>
      <c r="G38" s="186">
        <f>INDEX('M03-S01'!$Y$16:$Y$198,2*(ROWS($G$4:G38)-1)+1)</f>
        <v>0</v>
      </c>
      <c r="H38" s="186" t="str">
        <f>IF(ISNUMBER(INDEX('M03-S01'!$AN$16:$AN$198,2*(ROWS($R$4:R38)-1)+1)),"Total","")</f>
        <v/>
      </c>
      <c r="I38" s="184">
        <f>IFERROR(ROUND(INDEX('M03-S01'!$S$16:$S$198,2*(ROWS($I$4:I38)-1)+1)*INDEX('M03-S01'!$AE$16:$AE$198,2*(ROWS($I$4:I38)-1)+1),2),0)</f>
        <v>0</v>
      </c>
      <c r="J38" s="184">
        <f>IFERROR(ROUND(INDEX('M03-S01'!$S$16:$S$198,2*(ROWS($J$4:J38)-1)+1)*INDEX('M03-S01'!$AG$16:$AG$198,2*(ROWS($J$4:J38)-1)+1),2),0)</f>
        <v>0</v>
      </c>
      <c r="K38" s="52">
        <f>IFERROR(ROUND(INDEX('M03-S01'!$AU$16:$AU$198,2*(ROWS($K$4:K38)-1)+1),2),0)</f>
        <v>0</v>
      </c>
      <c r="L38" s="52" t="str">
        <f>IFERROR(IF(R38&gt;0,M38*INDEX(PMELIGHT[Incremental Cost],MATCH(AB38,PMELIGHT[Eff Desc 1],0)),""),"")</f>
        <v/>
      </c>
      <c r="M38" s="456">
        <f>IF(ISNUMBER(SEARCH("8ft",INDEX('M03-S01'!$K$16:$K$198,2*(ROWS($M$4:M38)-1)+1))),INDEX('M03-S01'!$S$16:$S$198,2*(ROWS($M$4:M38)-1)+1)*2,INDEX('M03-S01'!$S$16:$S$198,2*(ROWS($M$4:M38)-1)+1))</f>
        <v>0</v>
      </c>
      <c r="N38" s="184" t="str">
        <f>IF(ISNUMBER(INDEX('M03-S01'!$AN$16:$AN$198,2*(ROWS($R$4:R38)-1)+1)),INDEX('M03-S01'!$AK$16:$AK$198,2*(ROWS($N$4:N38)-1)+1),"")</f>
        <v/>
      </c>
      <c r="O38" s="456" t="str">
        <f>IFERROR(IF(ISNUMBER(INDEX('M03-S01'!$AN$16:$AN$198,2*(ROWS($R$4:R38)-1)+1)),INDEX('M03-S01'!$AV$16:$AV$198,2*(ROWS($O$4:O38)-1)+1),""),"")</f>
        <v/>
      </c>
      <c r="P38" s="459"/>
      <c r="Q38" s="184" t="str">
        <f>IFERROR(IF(ISNUMBER(INDEX('M03-S01'!$AN$16:$AN$198,2*(ROWS($R$4:R38)-1)+1)),INDEX('M03-S01'!$AY$16:$AY$198,2*(ROWS($Q$4:Q38)-1)+1),""),"")</f>
        <v/>
      </c>
      <c r="R38" s="184">
        <f>IF(ISNUMBER(INDEX('M03-S01'!$AN$16:$AN$198,2*(ROWS($R$4:R38)-1)+1)),INDEX('M03-S01'!$AN$16:$AN$198,2*(ROWS($R$4:R38)-1)+1),0)</f>
        <v>0</v>
      </c>
      <c r="S38" s="459"/>
      <c r="T38" s="113"/>
      <c r="U38" s="140"/>
      <c r="V38" s="113"/>
      <c r="W38" s="96" t="str">
        <f>IFERROR(IF(NOT(ISNUMBER(INDEX('M03-S01'!$AN$16:$AN$198,2*(ROWS($R$4:R38)-1)+1))),INDEX('M03-S01'!$BC$16:$BC$198,2*(ROWS($R$4:R38)-1)+1),""),"")</f>
        <v/>
      </c>
      <c r="X38" s="184" t="str">
        <f>IFERROR(ROUND(IF(ISNUMBER(SEARCH("8ft",INDEX('M03-S01'!$K$16:$K$198,2*(ROWS($X$4:X38)-1)+1))),INDEX('M03-S01'!$I$16:$I$198,2*(ROWS($X$4:X38)-1)+1)/2,INDEX('M03-S01'!$I$16:$I$198,2*(ROWS($X$4:X38)-1)+1)),3),"")</f>
        <v/>
      </c>
      <c r="Y38" s="184" t="str">
        <f>IFERROR(ROUND(IF(ISNUMBER(SEARCH("8ft",INDEX('M03-S01'!$K$16:$K$198,2*(ROWS($Y$4:Y38)-1)+1))),INDEX('M03-S01'!$Q$16:$Q$198,2*(ROWS($Y$4:Y38)-1)+1)/2,INDEX('M03-S01'!$Q$16:$Q$198,2*(ROWS($Y$4:Y38)-1)+1)),3),"")</f>
        <v/>
      </c>
      <c r="Z38" s="111">
        <f>INDEX('M03-S01'!$B$16:$B$198,2*(ROWS($Z$4:Z38)-1)+1)</f>
        <v>35</v>
      </c>
      <c r="AA38" s="111">
        <f>IF(ISNUMBER(SEARCH("8ft",INDEX('M03-S01'!$C$16:$C$199,2*(ROWS($Z$4:AA38)-1)+1))),SUBSTITUTE(INDEX('M03-S01'!$C$16:$C$199,2*(ROWS($Z$4:AA38)-1)+1),"8ft","4ft"),INDEX('M03-S01'!$C$16:$C$199,2*(ROWS($Z$4:AA38)-1)+1))</f>
        <v>0</v>
      </c>
      <c r="AB38" s="111">
        <f>IF(ISNUMBER(SEARCH("8ft",INDEX('M03-S01'!$K$16:$K$199,2*(ROWS($Z$4:AB38)-1)+1))),SUBSTITUTE(INDEX('M03-S01'!$K$16:$K$199,2*(ROWS($Z$4:AB38)-1)+1),"8ft","4ft"),INDEX('M03-S01'!$K$16:$K$199,2*(ROWS($Z$4:AB38)-1)+1))</f>
        <v>0</v>
      </c>
      <c r="AC38" s="96"/>
      <c r="AD38">
        <f>INDEX('M03-S01'!$U$16:$U$198,2*(ROWS($AD$4:AD38)-1)+1)</f>
        <v>0</v>
      </c>
      <c r="AE38" s="459"/>
      <c r="AF38" s="459"/>
      <c r="AG38" s="111" t="str">
        <f>INDEX('M03-S01'!$AW$16:$AW$198,2*(ROWS($AG$4:AG38)-1)+1)</f>
        <v/>
      </c>
      <c r="AH38" s="111" t="str">
        <f>INDEX('M03-S01'!$AX$16:$AX$198,2*(ROWS($AH$4:AH38)-1)+1)</f>
        <v/>
      </c>
      <c r="AI38" s="113"/>
      <c r="AJ38" s="113"/>
      <c r="AK38" s="113"/>
      <c r="AL38" s="113"/>
      <c r="AM38" s="113"/>
      <c r="AN38" s="113"/>
      <c r="AO38" s="52" t="str">
        <f>IFERROR(INDEX(PMELIGHT[Program Design],MATCH(AB38,PMELIGHT[Eff Desc 1])),"")</f>
        <v/>
      </c>
      <c r="AU38"/>
    </row>
    <row r="39" spans="1:47">
      <c r="A39" s="57">
        <f t="shared" si="0"/>
        <v>0</v>
      </c>
      <c r="B39" s="183" t="str">
        <f t="shared" si="1"/>
        <v/>
      </c>
      <c r="C39" t="str">
        <f>IFERROR(IF(R39&gt;0,INDEX(PMELIGHT[Measure '#],MATCH(AB39,PMELIGHT[Eff Desc 1],0)),""),"")</f>
        <v/>
      </c>
      <c r="D39" t="s">
        <v>947</v>
      </c>
      <c r="F39" s="185">
        <f>INDEX('M03-S01'!$AB$16:$AB$198,2*(ROWS($F$4:F39)-1)+1)</f>
        <v>0</v>
      </c>
      <c r="G39" s="186">
        <f>INDEX('M03-S01'!$Y$16:$Y$198,2*(ROWS($G$4:G39)-1)+1)</f>
        <v>0</v>
      </c>
      <c r="H39" s="186" t="str">
        <f>IF(ISNUMBER(INDEX('M03-S01'!$AN$16:$AN$198,2*(ROWS($R$4:R39)-1)+1)),"Total","")</f>
        <v/>
      </c>
      <c r="I39" s="184">
        <f>IFERROR(ROUND(INDEX('M03-S01'!$S$16:$S$198,2*(ROWS($I$4:I39)-1)+1)*INDEX('M03-S01'!$AE$16:$AE$198,2*(ROWS($I$4:I39)-1)+1),2),0)</f>
        <v>0</v>
      </c>
      <c r="J39" s="184">
        <f>IFERROR(ROUND(INDEX('M03-S01'!$S$16:$S$198,2*(ROWS($J$4:J39)-1)+1)*INDEX('M03-S01'!$AG$16:$AG$198,2*(ROWS($J$4:J39)-1)+1),2),0)</f>
        <v>0</v>
      </c>
      <c r="K39" s="52">
        <f>IFERROR(ROUND(INDEX('M03-S01'!$AU$16:$AU$198,2*(ROWS($K$4:K39)-1)+1),2),0)</f>
        <v>0</v>
      </c>
      <c r="L39" s="52" t="str">
        <f>IFERROR(IF(R39&gt;0,M39*INDEX(PMELIGHT[Incremental Cost],MATCH(AB39,PMELIGHT[Eff Desc 1],0)),""),"")</f>
        <v/>
      </c>
      <c r="M39" s="456">
        <f>IF(ISNUMBER(SEARCH("8ft",INDEX('M03-S01'!$K$16:$K$198,2*(ROWS($M$4:M39)-1)+1))),INDEX('M03-S01'!$S$16:$S$198,2*(ROWS($M$4:M39)-1)+1)*2,INDEX('M03-S01'!$S$16:$S$198,2*(ROWS($M$4:M39)-1)+1))</f>
        <v>0</v>
      </c>
      <c r="N39" s="184" t="str">
        <f>IF(ISNUMBER(INDEX('M03-S01'!$AN$16:$AN$198,2*(ROWS($R$4:R39)-1)+1)),INDEX('M03-S01'!$AK$16:$AK$198,2*(ROWS($N$4:N39)-1)+1),"")</f>
        <v/>
      </c>
      <c r="O39" s="456" t="str">
        <f>IFERROR(IF(ISNUMBER(INDEX('M03-S01'!$AN$16:$AN$198,2*(ROWS($R$4:R39)-1)+1)),INDEX('M03-S01'!$AV$16:$AV$198,2*(ROWS($O$4:O39)-1)+1),""),"")</f>
        <v/>
      </c>
      <c r="P39" s="459"/>
      <c r="Q39" s="184" t="str">
        <f>IFERROR(IF(ISNUMBER(INDEX('M03-S01'!$AN$16:$AN$198,2*(ROWS($R$4:R39)-1)+1)),INDEX('M03-S01'!$AY$16:$AY$198,2*(ROWS($Q$4:Q39)-1)+1),""),"")</f>
        <v/>
      </c>
      <c r="R39" s="184">
        <f>IF(ISNUMBER(INDEX('M03-S01'!$AN$16:$AN$198,2*(ROWS($R$4:R39)-1)+1)),INDEX('M03-S01'!$AN$16:$AN$198,2*(ROWS($R$4:R39)-1)+1),0)</f>
        <v>0</v>
      </c>
      <c r="S39" s="459"/>
      <c r="T39" s="113"/>
      <c r="U39" s="140"/>
      <c r="V39" s="113"/>
      <c r="W39" s="96" t="str">
        <f>IFERROR(IF(NOT(ISNUMBER(INDEX('M03-S01'!$AN$16:$AN$198,2*(ROWS($R$4:R39)-1)+1))),INDEX('M03-S01'!$BC$16:$BC$198,2*(ROWS($R$4:R39)-1)+1),""),"")</f>
        <v/>
      </c>
      <c r="X39" s="184" t="str">
        <f>IFERROR(ROUND(IF(ISNUMBER(SEARCH("8ft",INDEX('M03-S01'!$K$16:$K$198,2*(ROWS($X$4:X39)-1)+1))),INDEX('M03-S01'!$I$16:$I$198,2*(ROWS($X$4:X39)-1)+1)/2,INDEX('M03-S01'!$I$16:$I$198,2*(ROWS($X$4:X39)-1)+1)),3),"")</f>
        <v/>
      </c>
      <c r="Y39" s="184" t="str">
        <f>IFERROR(ROUND(IF(ISNUMBER(SEARCH("8ft",INDEX('M03-S01'!$K$16:$K$198,2*(ROWS($Y$4:Y39)-1)+1))),INDEX('M03-S01'!$Q$16:$Q$198,2*(ROWS($Y$4:Y39)-1)+1)/2,INDEX('M03-S01'!$Q$16:$Q$198,2*(ROWS($Y$4:Y39)-1)+1)),3),"")</f>
        <v/>
      </c>
      <c r="Z39" s="111">
        <f>INDEX('M03-S01'!$B$16:$B$198,2*(ROWS($Z$4:Z39)-1)+1)</f>
        <v>36</v>
      </c>
      <c r="AA39" s="111">
        <f>IF(ISNUMBER(SEARCH("8ft",INDEX('M03-S01'!$C$16:$C$199,2*(ROWS($Z$4:AA39)-1)+1))),SUBSTITUTE(INDEX('M03-S01'!$C$16:$C$199,2*(ROWS($Z$4:AA39)-1)+1),"8ft","4ft"),INDEX('M03-S01'!$C$16:$C$199,2*(ROWS($Z$4:AA39)-1)+1))</f>
        <v>0</v>
      </c>
      <c r="AB39" s="111">
        <f>IF(ISNUMBER(SEARCH("8ft",INDEX('M03-S01'!$K$16:$K$199,2*(ROWS($Z$4:AB39)-1)+1))),SUBSTITUTE(INDEX('M03-S01'!$K$16:$K$199,2*(ROWS($Z$4:AB39)-1)+1),"8ft","4ft"),INDEX('M03-S01'!$K$16:$K$199,2*(ROWS($Z$4:AB39)-1)+1))</f>
        <v>0</v>
      </c>
      <c r="AC39" s="96"/>
      <c r="AD39">
        <f>INDEX('M03-S01'!$U$16:$U$198,2*(ROWS($AD$4:AD39)-1)+1)</f>
        <v>0</v>
      </c>
      <c r="AE39" s="459"/>
      <c r="AF39" s="459"/>
      <c r="AG39" s="111" t="str">
        <f>INDEX('M03-S01'!$AW$16:$AW$198,2*(ROWS($AG$4:AG39)-1)+1)</f>
        <v/>
      </c>
      <c r="AH39" s="111" t="str">
        <f>INDEX('M03-S01'!$AX$16:$AX$198,2*(ROWS($AH$4:AH39)-1)+1)</f>
        <v/>
      </c>
      <c r="AI39" s="113"/>
      <c r="AJ39" s="113"/>
      <c r="AK39" s="113"/>
      <c r="AL39" s="113"/>
      <c r="AM39" s="113"/>
      <c r="AN39" s="113"/>
      <c r="AO39" s="52" t="str">
        <f>IFERROR(INDEX(PMELIGHT[Program Design],MATCH(AB39,PMELIGHT[Eff Desc 1])),"")</f>
        <v/>
      </c>
      <c r="AU39"/>
    </row>
    <row r="40" spans="1:47">
      <c r="A40" s="57">
        <f t="shared" si="0"/>
        <v>0</v>
      </c>
      <c r="B40" s="183" t="str">
        <f t="shared" si="1"/>
        <v/>
      </c>
      <c r="C40" t="str">
        <f>IFERROR(IF(R40&gt;0,INDEX(PMELIGHT[Measure '#],MATCH(AB40,PMELIGHT[Eff Desc 1],0)),""),"")</f>
        <v/>
      </c>
      <c r="D40" t="s">
        <v>947</v>
      </c>
      <c r="F40" s="185">
        <f>INDEX('M03-S01'!$AB$16:$AB$198,2*(ROWS($F$4:F40)-1)+1)</f>
        <v>0</v>
      </c>
      <c r="G40" s="186">
        <f>INDEX('M03-S01'!$Y$16:$Y$198,2*(ROWS($G$4:G40)-1)+1)</f>
        <v>0</v>
      </c>
      <c r="H40" s="186" t="str">
        <f>IF(ISNUMBER(INDEX('M03-S01'!$AN$16:$AN$198,2*(ROWS($R$4:R40)-1)+1)),"Total","")</f>
        <v/>
      </c>
      <c r="I40" s="184">
        <f>IFERROR(ROUND(INDEX('M03-S01'!$S$16:$S$198,2*(ROWS($I$4:I40)-1)+1)*INDEX('M03-S01'!$AE$16:$AE$198,2*(ROWS($I$4:I40)-1)+1),2),0)</f>
        <v>0</v>
      </c>
      <c r="J40" s="184">
        <f>IFERROR(ROUND(INDEX('M03-S01'!$S$16:$S$198,2*(ROWS($J$4:J40)-1)+1)*INDEX('M03-S01'!$AG$16:$AG$198,2*(ROWS($J$4:J40)-1)+1),2),0)</f>
        <v>0</v>
      </c>
      <c r="K40" s="52">
        <f>IFERROR(ROUND(INDEX('M03-S01'!$AU$16:$AU$198,2*(ROWS($K$4:K40)-1)+1),2),0)</f>
        <v>0</v>
      </c>
      <c r="L40" s="52" t="str">
        <f>IFERROR(IF(R40&gt;0,M40*INDEX(PMELIGHT[Incremental Cost],MATCH(AB40,PMELIGHT[Eff Desc 1],0)),""),"")</f>
        <v/>
      </c>
      <c r="M40" s="456">
        <f>IF(ISNUMBER(SEARCH("8ft",INDEX('M03-S01'!$K$16:$K$198,2*(ROWS($M$4:M40)-1)+1))),INDEX('M03-S01'!$S$16:$S$198,2*(ROWS($M$4:M40)-1)+1)*2,INDEX('M03-S01'!$S$16:$S$198,2*(ROWS($M$4:M40)-1)+1))</f>
        <v>0</v>
      </c>
      <c r="N40" s="184" t="str">
        <f>IF(ISNUMBER(INDEX('M03-S01'!$AN$16:$AN$198,2*(ROWS($R$4:R40)-1)+1)),INDEX('M03-S01'!$AK$16:$AK$198,2*(ROWS($N$4:N40)-1)+1),"")</f>
        <v/>
      </c>
      <c r="O40" s="456" t="str">
        <f>IFERROR(IF(ISNUMBER(INDEX('M03-S01'!$AN$16:$AN$198,2*(ROWS($R$4:R40)-1)+1)),INDEX('M03-S01'!$AV$16:$AV$198,2*(ROWS($O$4:O40)-1)+1),""),"")</f>
        <v/>
      </c>
      <c r="P40" s="459"/>
      <c r="Q40" s="184" t="str">
        <f>IFERROR(IF(ISNUMBER(INDEX('M03-S01'!$AN$16:$AN$198,2*(ROWS($R$4:R40)-1)+1)),INDEX('M03-S01'!$AY$16:$AY$198,2*(ROWS($Q$4:Q40)-1)+1),""),"")</f>
        <v/>
      </c>
      <c r="R40" s="184">
        <f>IF(ISNUMBER(INDEX('M03-S01'!$AN$16:$AN$198,2*(ROWS($R$4:R40)-1)+1)),INDEX('M03-S01'!$AN$16:$AN$198,2*(ROWS($R$4:R40)-1)+1),0)</f>
        <v>0</v>
      </c>
      <c r="S40" s="459"/>
      <c r="T40" s="113"/>
      <c r="U40" s="140"/>
      <c r="V40" s="113"/>
      <c r="W40" s="96" t="str">
        <f>IFERROR(IF(NOT(ISNUMBER(INDEX('M03-S01'!$AN$16:$AN$198,2*(ROWS($R$4:R40)-1)+1))),INDEX('M03-S01'!$BC$16:$BC$198,2*(ROWS($R$4:R40)-1)+1),""),"")</f>
        <v/>
      </c>
      <c r="X40" s="184" t="str">
        <f>IFERROR(ROUND(IF(ISNUMBER(SEARCH("8ft",INDEX('M03-S01'!$K$16:$K$198,2*(ROWS($X$4:X40)-1)+1))),INDEX('M03-S01'!$I$16:$I$198,2*(ROWS($X$4:X40)-1)+1)/2,INDEX('M03-S01'!$I$16:$I$198,2*(ROWS($X$4:X40)-1)+1)),3),"")</f>
        <v/>
      </c>
      <c r="Y40" s="184" t="str">
        <f>IFERROR(ROUND(IF(ISNUMBER(SEARCH("8ft",INDEX('M03-S01'!$K$16:$K$198,2*(ROWS($Y$4:Y40)-1)+1))),INDEX('M03-S01'!$Q$16:$Q$198,2*(ROWS($Y$4:Y40)-1)+1)/2,INDEX('M03-S01'!$Q$16:$Q$198,2*(ROWS($Y$4:Y40)-1)+1)),3),"")</f>
        <v/>
      </c>
      <c r="Z40" s="111">
        <f>INDEX('M03-S01'!$B$16:$B$198,2*(ROWS($Z$4:Z40)-1)+1)</f>
        <v>37</v>
      </c>
      <c r="AA40" s="111">
        <f>IF(ISNUMBER(SEARCH("8ft",INDEX('M03-S01'!$C$16:$C$199,2*(ROWS($Z$4:AA40)-1)+1))),SUBSTITUTE(INDEX('M03-S01'!$C$16:$C$199,2*(ROWS($Z$4:AA40)-1)+1),"8ft","4ft"),INDEX('M03-S01'!$C$16:$C$199,2*(ROWS($Z$4:AA40)-1)+1))</f>
        <v>0</v>
      </c>
      <c r="AB40" s="111">
        <f>IF(ISNUMBER(SEARCH("8ft",INDEX('M03-S01'!$K$16:$K$199,2*(ROWS($Z$4:AB40)-1)+1))),SUBSTITUTE(INDEX('M03-S01'!$K$16:$K$199,2*(ROWS($Z$4:AB40)-1)+1),"8ft","4ft"),INDEX('M03-S01'!$K$16:$K$199,2*(ROWS($Z$4:AB40)-1)+1))</f>
        <v>0</v>
      </c>
      <c r="AC40" s="96"/>
      <c r="AD40">
        <f>INDEX('M03-S01'!$U$16:$U$198,2*(ROWS($AD$4:AD40)-1)+1)</f>
        <v>0</v>
      </c>
      <c r="AE40" s="459"/>
      <c r="AF40" s="459"/>
      <c r="AG40" s="111" t="str">
        <f>INDEX('M03-S01'!$AW$16:$AW$198,2*(ROWS($AG$4:AG40)-1)+1)</f>
        <v/>
      </c>
      <c r="AH40" s="111" t="str">
        <f>INDEX('M03-S01'!$AX$16:$AX$198,2*(ROWS($AH$4:AH40)-1)+1)</f>
        <v/>
      </c>
      <c r="AI40" s="113"/>
      <c r="AJ40" s="113"/>
      <c r="AK40" s="113"/>
      <c r="AL40" s="113"/>
      <c r="AM40" s="113"/>
      <c r="AN40" s="113"/>
      <c r="AO40" s="52" t="str">
        <f>IFERROR(INDEX(PMELIGHT[Program Design],MATCH(AB40,PMELIGHT[Eff Desc 1])),"")</f>
        <v/>
      </c>
      <c r="AU40"/>
    </row>
    <row r="41" spans="1:47">
      <c r="A41" s="57">
        <f t="shared" si="0"/>
        <v>0</v>
      </c>
      <c r="B41" s="183" t="str">
        <f t="shared" si="1"/>
        <v/>
      </c>
      <c r="C41" t="str">
        <f>IFERROR(IF(R41&gt;0,INDEX(PMELIGHT[Measure '#],MATCH(AB41,PMELIGHT[Eff Desc 1],0)),""),"")</f>
        <v/>
      </c>
      <c r="D41" t="s">
        <v>947</v>
      </c>
      <c r="F41" s="185">
        <f>INDEX('M03-S01'!$AB$16:$AB$198,2*(ROWS($F$4:F41)-1)+1)</f>
        <v>0</v>
      </c>
      <c r="G41" s="186">
        <f>INDEX('M03-S01'!$Y$16:$Y$198,2*(ROWS($G$4:G41)-1)+1)</f>
        <v>0</v>
      </c>
      <c r="H41" s="186" t="str">
        <f>IF(ISNUMBER(INDEX('M03-S01'!$AN$16:$AN$198,2*(ROWS($R$4:R41)-1)+1)),"Total","")</f>
        <v/>
      </c>
      <c r="I41" s="184">
        <f>IFERROR(ROUND(INDEX('M03-S01'!$S$16:$S$198,2*(ROWS($I$4:I41)-1)+1)*INDEX('M03-S01'!$AE$16:$AE$198,2*(ROWS($I$4:I41)-1)+1),2),0)</f>
        <v>0</v>
      </c>
      <c r="J41" s="184">
        <f>IFERROR(ROUND(INDEX('M03-S01'!$S$16:$S$198,2*(ROWS($J$4:J41)-1)+1)*INDEX('M03-S01'!$AG$16:$AG$198,2*(ROWS($J$4:J41)-1)+1),2),0)</f>
        <v>0</v>
      </c>
      <c r="K41" s="52">
        <f>IFERROR(ROUND(INDEX('M03-S01'!$AU$16:$AU$198,2*(ROWS($K$4:K41)-1)+1),2),0)</f>
        <v>0</v>
      </c>
      <c r="L41" s="52" t="str">
        <f>IFERROR(IF(R41&gt;0,M41*INDEX(PMELIGHT[Incremental Cost],MATCH(AB41,PMELIGHT[Eff Desc 1],0)),""),"")</f>
        <v/>
      </c>
      <c r="M41" s="456">
        <f>IF(ISNUMBER(SEARCH("8ft",INDEX('M03-S01'!$K$16:$K$198,2*(ROWS($M$4:M41)-1)+1))),INDEX('M03-S01'!$S$16:$S$198,2*(ROWS($M$4:M41)-1)+1)*2,INDEX('M03-S01'!$S$16:$S$198,2*(ROWS($M$4:M41)-1)+1))</f>
        <v>0</v>
      </c>
      <c r="N41" s="184" t="str">
        <f>IF(ISNUMBER(INDEX('M03-S01'!$AN$16:$AN$198,2*(ROWS($R$4:R41)-1)+1)),INDEX('M03-S01'!$AK$16:$AK$198,2*(ROWS($N$4:N41)-1)+1),"")</f>
        <v/>
      </c>
      <c r="O41" s="456" t="str">
        <f>IFERROR(IF(ISNUMBER(INDEX('M03-S01'!$AN$16:$AN$198,2*(ROWS($R$4:R41)-1)+1)),INDEX('M03-S01'!$AV$16:$AV$198,2*(ROWS($O$4:O41)-1)+1),""),"")</f>
        <v/>
      </c>
      <c r="P41" s="459"/>
      <c r="Q41" s="184" t="str">
        <f>IFERROR(IF(ISNUMBER(INDEX('M03-S01'!$AN$16:$AN$198,2*(ROWS($R$4:R41)-1)+1)),INDEX('M03-S01'!$AY$16:$AY$198,2*(ROWS($Q$4:Q41)-1)+1),""),"")</f>
        <v/>
      </c>
      <c r="R41" s="184">
        <f>IF(ISNUMBER(INDEX('M03-S01'!$AN$16:$AN$198,2*(ROWS($R$4:R41)-1)+1)),INDEX('M03-S01'!$AN$16:$AN$198,2*(ROWS($R$4:R41)-1)+1),0)</f>
        <v>0</v>
      </c>
      <c r="S41" s="459"/>
      <c r="T41" s="113"/>
      <c r="U41" s="140"/>
      <c r="V41" s="113"/>
      <c r="W41" s="96" t="str">
        <f>IFERROR(IF(NOT(ISNUMBER(INDEX('M03-S01'!$AN$16:$AN$198,2*(ROWS($R$4:R41)-1)+1))),INDEX('M03-S01'!$BC$16:$BC$198,2*(ROWS($R$4:R41)-1)+1),""),"")</f>
        <v/>
      </c>
      <c r="X41" s="184" t="str">
        <f>IFERROR(ROUND(IF(ISNUMBER(SEARCH("8ft",INDEX('M03-S01'!$K$16:$K$198,2*(ROWS($X$4:X41)-1)+1))),INDEX('M03-S01'!$I$16:$I$198,2*(ROWS($X$4:X41)-1)+1)/2,INDEX('M03-S01'!$I$16:$I$198,2*(ROWS($X$4:X41)-1)+1)),3),"")</f>
        <v/>
      </c>
      <c r="Y41" s="184" t="str">
        <f>IFERROR(ROUND(IF(ISNUMBER(SEARCH("8ft",INDEX('M03-S01'!$K$16:$K$198,2*(ROWS($Y$4:Y41)-1)+1))),INDEX('M03-S01'!$Q$16:$Q$198,2*(ROWS($Y$4:Y41)-1)+1)/2,INDEX('M03-S01'!$Q$16:$Q$198,2*(ROWS($Y$4:Y41)-1)+1)),3),"")</f>
        <v/>
      </c>
      <c r="Z41" s="111">
        <f>INDEX('M03-S01'!$B$16:$B$198,2*(ROWS($Z$4:Z41)-1)+1)</f>
        <v>38</v>
      </c>
      <c r="AA41" s="111">
        <f>IF(ISNUMBER(SEARCH("8ft",INDEX('M03-S01'!$C$16:$C$199,2*(ROWS($Z$4:AA41)-1)+1))),SUBSTITUTE(INDEX('M03-S01'!$C$16:$C$199,2*(ROWS($Z$4:AA41)-1)+1),"8ft","4ft"),INDEX('M03-S01'!$C$16:$C$199,2*(ROWS($Z$4:AA41)-1)+1))</f>
        <v>0</v>
      </c>
      <c r="AB41" s="111">
        <f>IF(ISNUMBER(SEARCH("8ft",INDEX('M03-S01'!$K$16:$K$199,2*(ROWS($Z$4:AB41)-1)+1))),SUBSTITUTE(INDEX('M03-S01'!$K$16:$K$199,2*(ROWS($Z$4:AB41)-1)+1),"8ft","4ft"),INDEX('M03-S01'!$K$16:$K$199,2*(ROWS($Z$4:AB41)-1)+1))</f>
        <v>0</v>
      </c>
      <c r="AC41" s="96"/>
      <c r="AD41">
        <f>INDEX('M03-S01'!$U$16:$U$198,2*(ROWS($AD$4:AD41)-1)+1)</f>
        <v>0</v>
      </c>
      <c r="AE41" s="459"/>
      <c r="AF41" s="459"/>
      <c r="AG41" s="111" t="str">
        <f>INDEX('M03-S01'!$AW$16:$AW$198,2*(ROWS($AG$4:AG41)-1)+1)</f>
        <v/>
      </c>
      <c r="AH41" s="111" t="str">
        <f>INDEX('M03-S01'!$AX$16:$AX$198,2*(ROWS($AH$4:AH41)-1)+1)</f>
        <v/>
      </c>
      <c r="AI41" s="113"/>
      <c r="AJ41" s="113"/>
      <c r="AK41" s="113"/>
      <c r="AL41" s="113"/>
      <c r="AM41" s="113"/>
      <c r="AN41" s="113"/>
      <c r="AO41" s="52" t="str">
        <f>IFERROR(INDEX(PMELIGHT[Program Design],MATCH(AB41,PMELIGHT[Eff Desc 1])),"")</f>
        <v/>
      </c>
      <c r="AU41"/>
    </row>
    <row r="42" spans="1:47">
      <c r="A42" s="57">
        <f t="shared" si="0"/>
        <v>0</v>
      </c>
      <c r="B42" s="183" t="str">
        <f t="shared" si="1"/>
        <v/>
      </c>
      <c r="C42" t="str">
        <f>IFERROR(IF(R42&gt;0,INDEX(PMELIGHT[Measure '#],MATCH(AB42,PMELIGHT[Eff Desc 1],0)),""),"")</f>
        <v/>
      </c>
      <c r="D42" t="s">
        <v>947</v>
      </c>
      <c r="F42" s="185">
        <f>INDEX('M03-S01'!$AB$16:$AB$198,2*(ROWS($F$4:F42)-1)+1)</f>
        <v>0</v>
      </c>
      <c r="G42" s="186">
        <f>INDEX('M03-S01'!$Y$16:$Y$198,2*(ROWS($G$4:G42)-1)+1)</f>
        <v>0</v>
      </c>
      <c r="H42" s="186" t="str">
        <f>IF(ISNUMBER(INDEX('M03-S01'!$AN$16:$AN$198,2*(ROWS($R$4:R42)-1)+1)),"Total","")</f>
        <v/>
      </c>
      <c r="I42" s="184">
        <f>IFERROR(ROUND(INDEX('M03-S01'!$S$16:$S$198,2*(ROWS($I$4:I42)-1)+1)*INDEX('M03-S01'!$AE$16:$AE$198,2*(ROWS($I$4:I42)-1)+1),2),0)</f>
        <v>0</v>
      </c>
      <c r="J42" s="184">
        <f>IFERROR(ROUND(INDEX('M03-S01'!$S$16:$S$198,2*(ROWS($J$4:J42)-1)+1)*INDEX('M03-S01'!$AG$16:$AG$198,2*(ROWS($J$4:J42)-1)+1),2),0)</f>
        <v>0</v>
      </c>
      <c r="K42" s="52">
        <f>IFERROR(ROUND(INDEX('M03-S01'!$AU$16:$AU$198,2*(ROWS($K$4:K42)-1)+1),2),0)</f>
        <v>0</v>
      </c>
      <c r="L42" s="52" t="str">
        <f>IFERROR(IF(R42&gt;0,M42*INDEX(PMELIGHT[Incremental Cost],MATCH(AB42,PMELIGHT[Eff Desc 1],0)),""),"")</f>
        <v/>
      </c>
      <c r="M42" s="456">
        <f>IF(ISNUMBER(SEARCH("8ft",INDEX('M03-S01'!$K$16:$K$198,2*(ROWS($M$4:M42)-1)+1))),INDEX('M03-S01'!$S$16:$S$198,2*(ROWS($M$4:M42)-1)+1)*2,INDEX('M03-S01'!$S$16:$S$198,2*(ROWS($M$4:M42)-1)+1))</f>
        <v>0</v>
      </c>
      <c r="N42" s="184" t="str">
        <f>IF(ISNUMBER(INDEX('M03-S01'!$AN$16:$AN$198,2*(ROWS($R$4:R42)-1)+1)),INDEX('M03-S01'!$AK$16:$AK$198,2*(ROWS($N$4:N42)-1)+1),"")</f>
        <v/>
      </c>
      <c r="O42" s="456" t="str">
        <f>IFERROR(IF(ISNUMBER(INDEX('M03-S01'!$AN$16:$AN$198,2*(ROWS($R$4:R42)-1)+1)),INDEX('M03-S01'!$AV$16:$AV$198,2*(ROWS($O$4:O42)-1)+1),""),"")</f>
        <v/>
      </c>
      <c r="P42" s="459"/>
      <c r="Q42" s="184" t="str">
        <f>IFERROR(IF(ISNUMBER(INDEX('M03-S01'!$AN$16:$AN$198,2*(ROWS($R$4:R42)-1)+1)),INDEX('M03-S01'!$AY$16:$AY$198,2*(ROWS($Q$4:Q42)-1)+1),""),"")</f>
        <v/>
      </c>
      <c r="R42" s="184">
        <f>IF(ISNUMBER(INDEX('M03-S01'!$AN$16:$AN$198,2*(ROWS($R$4:R42)-1)+1)),INDEX('M03-S01'!$AN$16:$AN$198,2*(ROWS($R$4:R42)-1)+1),0)</f>
        <v>0</v>
      </c>
      <c r="S42" s="459"/>
      <c r="T42" s="113"/>
      <c r="U42" s="140"/>
      <c r="V42" s="113"/>
      <c r="W42" s="96" t="str">
        <f>IFERROR(IF(NOT(ISNUMBER(INDEX('M03-S01'!$AN$16:$AN$198,2*(ROWS($R$4:R42)-1)+1))),INDEX('M03-S01'!$BC$16:$BC$198,2*(ROWS($R$4:R42)-1)+1),""),"")</f>
        <v/>
      </c>
      <c r="X42" s="184" t="str">
        <f>IFERROR(ROUND(IF(ISNUMBER(SEARCH("8ft",INDEX('M03-S01'!$K$16:$K$198,2*(ROWS($X$4:X42)-1)+1))),INDEX('M03-S01'!$I$16:$I$198,2*(ROWS($X$4:X42)-1)+1)/2,INDEX('M03-S01'!$I$16:$I$198,2*(ROWS($X$4:X42)-1)+1)),3),"")</f>
        <v/>
      </c>
      <c r="Y42" s="184" t="str">
        <f>IFERROR(ROUND(IF(ISNUMBER(SEARCH("8ft",INDEX('M03-S01'!$K$16:$K$198,2*(ROWS($Y$4:Y42)-1)+1))),INDEX('M03-S01'!$Q$16:$Q$198,2*(ROWS($Y$4:Y42)-1)+1)/2,INDEX('M03-S01'!$Q$16:$Q$198,2*(ROWS($Y$4:Y42)-1)+1)),3),"")</f>
        <v/>
      </c>
      <c r="Z42" s="111">
        <f>INDEX('M03-S01'!$B$16:$B$198,2*(ROWS($Z$4:Z42)-1)+1)</f>
        <v>39</v>
      </c>
      <c r="AA42" s="111">
        <f>IF(ISNUMBER(SEARCH("8ft",INDEX('M03-S01'!$C$16:$C$199,2*(ROWS($Z$4:AA42)-1)+1))),SUBSTITUTE(INDEX('M03-S01'!$C$16:$C$199,2*(ROWS($Z$4:AA42)-1)+1),"8ft","4ft"),INDEX('M03-S01'!$C$16:$C$199,2*(ROWS($Z$4:AA42)-1)+1))</f>
        <v>0</v>
      </c>
      <c r="AB42" s="111">
        <f>IF(ISNUMBER(SEARCH("8ft",INDEX('M03-S01'!$K$16:$K$199,2*(ROWS($Z$4:AB42)-1)+1))),SUBSTITUTE(INDEX('M03-S01'!$K$16:$K$199,2*(ROWS($Z$4:AB42)-1)+1),"8ft","4ft"),INDEX('M03-S01'!$K$16:$K$199,2*(ROWS($Z$4:AB42)-1)+1))</f>
        <v>0</v>
      </c>
      <c r="AC42" s="96"/>
      <c r="AD42">
        <f>INDEX('M03-S01'!$U$16:$U$198,2*(ROWS($AD$4:AD42)-1)+1)</f>
        <v>0</v>
      </c>
      <c r="AE42" s="459"/>
      <c r="AF42" s="459"/>
      <c r="AG42" s="111" t="str">
        <f>INDEX('M03-S01'!$AW$16:$AW$198,2*(ROWS($AG$4:AG42)-1)+1)</f>
        <v/>
      </c>
      <c r="AH42" s="111" t="str">
        <f>INDEX('M03-S01'!$AX$16:$AX$198,2*(ROWS($AH$4:AH42)-1)+1)</f>
        <v/>
      </c>
      <c r="AI42" s="113"/>
      <c r="AJ42" s="113"/>
      <c r="AK42" s="113"/>
      <c r="AL42" s="113"/>
      <c r="AM42" s="113"/>
      <c r="AN42" s="113"/>
      <c r="AO42" s="52" t="str">
        <f>IFERROR(INDEX(PMELIGHT[Program Design],MATCH(AB42,PMELIGHT[Eff Desc 1])),"")</f>
        <v/>
      </c>
      <c r="AU42"/>
    </row>
    <row r="43" spans="1:47">
      <c r="A43" s="57">
        <f t="shared" si="0"/>
        <v>0</v>
      </c>
      <c r="B43" s="183" t="str">
        <f t="shared" si="1"/>
        <v/>
      </c>
      <c r="C43" t="str">
        <f>IFERROR(IF(R43&gt;0,INDEX(PMELIGHT[Measure '#],MATCH(AB43,PMELIGHT[Eff Desc 1],0)),""),"")</f>
        <v/>
      </c>
      <c r="D43" t="s">
        <v>947</v>
      </c>
      <c r="F43" s="185">
        <f>INDEX('M03-S01'!$AB$16:$AB$198,2*(ROWS($F$4:F43)-1)+1)</f>
        <v>0</v>
      </c>
      <c r="G43" s="186">
        <f>INDEX('M03-S01'!$Y$16:$Y$198,2*(ROWS($G$4:G43)-1)+1)</f>
        <v>0</v>
      </c>
      <c r="H43" s="186" t="str">
        <f>IF(ISNUMBER(INDEX('M03-S01'!$AN$16:$AN$198,2*(ROWS($R$4:R43)-1)+1)),"Total","")</f>
        <v/>
      </c>
      <c r="I43" s="184">
        <f>IFERROR(ROUND(INDEX('M03-S01'!$S$16:$S$198,2*(ROWS($I$4:I43)-1)+1)*INDEX('M03-S01'!$AE$16:$AE$198,2*(ROWS($I$4:I43)-1)+1),2),0)</f>
        <v>0</v>
      </c>
      <c r="J43" s="184">
        <f>IFERROR(ROUND(INDEX('M03-S01'!$S$16:$S$198,2*(ROWS($J$4:J43)-1)+1)*INDEX('M03-S01'!$AG$16:$AG$198,2*(ROWS($J$4:J43)-1)+1),2),0)</f>
        <v>0</v>
      </c>
      <c r="K43" s="52">
        <f>IFERROR(ROUND(INDEX('M03-S01'!$AU$16:$AU$198,2*(ROWS($K$4:K43)-1)+1),2),0)</f>
        <v>0</v>
      </c>
      <c r="L43" s="52" t="str">
        <f>IFERROR(IF(R43&gt;0,M43*INDEX(PMELIGHT[Incremental Cost],MATCH(AB43,PMELIGHT[Eff Desc 1],0)),""),"")</f>
        <v/>
      </c>
      <c r="M43" s="456">
        <f>IF(ISNUMBER(SEARCH("8ft",INDEX('M03-S01'!$K$16:$K$198,2*(ROWS($M$4:M43)-1)+1))),INDEX('M03-S01'!$S$16:$S$198,2*(ROWS($M$4:M43)-1)+1)*2,INDEX('M03-S01'!$S$16:$S$198,2*(ROWS($M$4:M43)-1)+1))</f>
        <v>0</v>
      </c>
      <c r="N43" s="184" t="str">
        <f>IF(ISNUMBER(INDEX('M03-S01'!$AN$16:$AN$198,2*(ROWS($R$4:R43)-1)+1)),INDEX('M03-S01'!$AK$16:$AK$198,2*(ROWS($N$4:N43)-1)+1),"")</f>
        <v/>
      </c>
      <c r="O43" s="456" t="str">
        <f>IFERROR(IF(ISNUMBER(INDEX('M03-S01'!$AN$16:$AN$198,2*(ROWS($R$4:R43)-1)+1)),INDEX('M03-S01'!$AV$16:$AV$198,2*(ROWS($O$4:O43)-1)+1),""),"")</f>
        <v/>
      </c>
      <c r="P43" s="459"/>
      <c r="Q43" s="184" t="str">
        <f>IFERROR(IF(ISNUMBER(INDEX('M03-S01'!$AN$16:$AN$198,2*(ROWS($R$4:R43)-1)+1)),INDEX('M03-S01'!$AY$16:$AY$198,2*(ROWS($Q$4:Q43)-1)+1),""),"")</f>
        <v/>
      </c>
      <c r="R43" s="184">
        <f>IF(ISNUMBER(INDEX('M03-S01'!$AN$16:$AN$198,2*(ROWS($R$4:R43)-1)+1)),INDEX('M03-S01'!$AN$16:$AN$198,2*(ROWS($R$4:R43)-1)+1),0)</f>
        <v>0</v>
      </c>
      <c r="S43" s="459"/>
      <c r="T43" s="113"/>
      <c r="U43" s="140"/>
      <c r="V43" s="113"/>
      <c r="W43" s="96" t="str">
        <f>IFERROR(IF(NOT(ISNUMBER(INDEX('M03-S01'!$AN$16:$AN$198,2*(ROWS($R$4:R43)-1)+1))),INDEX('M03-S01'!$BC$16:$BC$198,2*(ROWS($R$4:R43)-1)+1),""),"")</f>
        <v/>
      </c>
      <c r="X43" s="184" t="str">
        <f>IFERROR(ROUND(IF(ISNUMBER(SEARCH("8ft",INDEX('M03-S01'!$K$16:$K$198,2*(ROWS($X$4:X43)-1)+1))),INDEX('M03-S01'!$I$16:$I$198,2*(ROWS($X$4:X43)-1)+1)/2,INDEX('M03-S01'!$I$16:$I$198,2*(ROWS($X$4:X43)-1)+1)),3),"")</f>
        <v/>
      </c>
      <c r="Y43" s="184" t="str">
        <f>IFERROR(ROUND(IF(ISNUMBER(SEARCH("8ft",INDEX('M03-S01'!$K$16:$K$198,2*(ROWS($Y$4:Y43)-1)+1))),INDEX('M03-S01'!$Q$16:$Q$198,2*(ROWS($Y$4:Y43)-1)+1)/2,INDEX('M03-S01'!$Q$16:$Q$198,2*(ROWS($Y$4:Y43)-1)+1)),3),"")</f>
        <v/>
      </c>
      <c r="Z43" s="111">
        <f>INDEX('M03-S01'!$B$16:$B$198,2*(ROWS($Z$4:Z43)-1)+1)</f>
        <v>40</v>
      </c>
      <c r="AA43" s="111">
        <f>IF(ISNUMBER(SEARCH("8ft",INDEX('M03-S01'!$C$16:$C$199,2*(ROWS($Z$4:AA43)-1)+1))),SUBSTITUTE(INDEX('M03-S01'!$C$16:$C$199,2*(ROWS($Z$4:AA43)-1)+1),"8ft","4ft"),INDEX('M03-S01'!$C$16:$C$199,2*(ROWS($Z$4:AA43)-1)+1))</f>
        <v>0</v>
      </c>
      <c r="AB43" s="111">
        <f>IF(ISNUMBER(SEARCH("8ft",INDEX('M03-S01'!$K$16:$K$199,2*(ROWS($Z$4:AB43)-1)+1))),SUBSTITUTE(INDEX('M03-S01'!$K$16:$K$199,2*(ROWS($Z$4:AB43)-1)+1),"8ft","4ft"),INDEX('M03-S01'!$K$16:$K$199,2*(ROWS($Z$4:AB43)-1)+1))</f>
        <v>0</v>
      </c>
      <c r="AC43" s="96"/>
      <c r="AD43">
        <f>INDEX('M03-S01'!$U$16:$U$198,2*(ROWS($AD$4:AD43)-1)+1)</f>
        <v>0</v>
      </c>
      <c r="AE43" s="459"/>
      <c r="AF43" s="459"/>
      <c r="AG43" s="111" t="str">
        <f>INDEX('M03-S01'!$AW$16:$AW$198,2*(ROWS($AG$4:AG43)-1)+1)</f>
        <v/>
      </c>
      <c r="AH43" s="111" t="str">
        <f>INDEX('M03-S01'!$AX$16:$AX$198,2*(ROWS($AH$4:AH43)-1)+1)</f>
        <v/>
      </c>
      <c r="AI43" s="113"/>
      <c r="AJ43" s="113"/>
      <c r="AK43" s="113"/>
      <c r="AL43" s="113"/>
      <c r="AM43" s="113"/>
      <c r="AN43" s="113"/>
      <c r="AO43" s="52" t="str">
        <f>IFERROR(INDEX(PMELIGHT[Program Design],MATCH(AB43,PMELIGHT[Eff Desc 1])),"")</f>
        <v/>
      </c>
      <c r="AU43"/>
    </row>
    <row r="44" spans="1:47">
      <c r="A44" s="57">
        <f t="shared" si="0"/>
        <v>0</v>
      </c>
      <c r="B44" s="183" t="str">
        <f t="shared" si="1"/>
        <v/>
      </c>
      <c r="C44" t="str">
        <f>IFERROR(IF(R44&gt;0,INDEX(PMELIGHT[Measure '#],MATCH(AB44,PMELIGHT[Eff Desc 1],0)),""),"")</f>
        <v/>
      </c>
      <c r="D44" t="s">
        <v>947</v>
      </c>
      <c r="F44" s="185">
        <f>INDEX('M03-S01'!$AB$16:$AB$198,2*(ROWS($F$4:F44)-1)+1)</f>
        <v>0</v>
      </c>
      <c r="G44" s="186">
        <f>INDEX('M03-S01'!$Y$16:$Y$198,2*(ROWS($G$4:G44)-1)+1)</f>
        <v>0</v>
      </c>
      <c r="H44" s="186" t="str">
        <f>IF(ISNUMBER(INDEX('M03-S01'!$AN$16:$AN$198,2*(ROWS($R$4:R44)-1)+1)),"Total","")</f>
        <v/>
      </c>
      <c r="I44" s="184">
        <f>IFERROR(ROUND(INDEX('M03-S01'!$S$16:$S$198,2*(ROWS($I$4:I44)-1)+1)*INDEX('M03-S01'!$AE$16:$AE$198,2*(ROWS($I$4:I44)-1)+1),2),0)</f>
        <v>0</v>
      </c>
      <c r="J44" s="184">
        <f>IFERROR(ROUND(INDEX('M03-S01'!$S$16:$S$198,2*(ROWS($J$4:J44)-1)+1)*INDEX('M03-S01'!$AG$16:$AG$198,2*(ROWS($J$4:J44)-1)+1),2),0)</f>
        <v>0</v>
      </c>
      <c r="K44" s="52">
        <f>IFERROR(ROUND(INDEX('M03-S01'!$AU$16:$AU$198,2*(ROWS($K$4:K44)-1)+1),2),0)</f>
        <v>0</v>
      </c>
      <c r="L44" s="52" t="str">
        <f>IFERROR(IF(R44&gt;0,M44*INDEX(PMELIGHT[Incremental Cost],MATCH(AB44,PMELIGHT[Eff Desc 1],0)),""),"")</f>
        <v/>
      </c>
      <c r="M44" s="456">
        <f>IF(ISNUMBER(SEARCH("8ft",INDEX('M03-S01'!$K$16:$K$198,2*(ROWS($M$4:M44)-1)+1))),INDEX('M03-S01'!$S$16:$S$198,2*(ROWS($M$4:M44)-1)+1)*2,INDEX('M03-S01'!$S$16:$S$198,2*(ROWS($M$4:M44)-1)+1))</f>
        <v>0</v>
      </c>
      <c r="N44" s="184" t="str">
        <f>IF(ISNUMBER(INDEX('M03-S01'!$AN$16:$AN$198,2*(ROWS($R$4:R44)-1)+1)),INDEX('M03-S01'!$AK$16:$AK$198,2*(ROWS($N$4:N44)-1)+1),"")</f>
        <v/>
      </c>
      <c r="O44" s="456" t="str">
        <f>IFERROR(IF(ISNUMBER(INDEX('M03-S01'!$AN$16:$AN$198,2*(ROWS($R$4:R44)-1)+1)),INDEX('M03-S01'!$AV$16:$AV$198,2*(ROWS($O$4:O44)-1)+1),""),"")</f>
        <v/>
      </c>
      <c r="P44" s="459"/>
      <c r="Q44" s="184" t="str">
        <f>IFERROR(IF(ISNUMBER(INDEX('M03-S01'!$AN$16:$AN$198,2*(ROWS($R$4:R44)-1)+1)),INDEX('M03-S01'!$AY$16:$AY$198,2*(ROWS($Q$4:Q44)-1)+1),""),"")</f>
        <v/>
      </c>
      <c r="R44" s="184">
        <f>IF(ISNUMBER(INDEX('M03-S01'!$AN$16:$AN$198,2*(ROWS($R$4:R44)-1)+1)),INDEX('M03-S01'!$AN$16:$AN$198,2*(ROWS($R$4:R44)-1)+1),0)</f>
        <v>0</v>
      </c>
      <c r="S44" s="459"/>
      <c r="T44" s="113"/>
      <c r="U44" s="140"/>
      <c r="V44" s="113"/>
      <c r="W44" s="96" t="str">
        <f>IFERROR(IF(NOT(ISNUMBER(INDEX('M03-S01'!$AN$16:$AN$198,2*(ROWS($R$4:R44)-1)+1))),INDEX('M03-S01'!$BC$16:$BC$198,2*(ROWS($R$4:R44)-1)+1),""),"")</f>
        <v/>
      </c>
      <c r="X44" s="184" t="str">
        <f>IFERROR(ROUND(IF(ISNUMBER(SEARCH("8ft",INDEX('M03-S01'!$K$16:$K$198,2*(ROWS($X$4:X44)-1)+1))),INDEX('M03-S01'!$I$16:$I$198,2*(ROWS($X$4:X44)-1)+1)/2,INDEX('M03-S01'!$I$16:$I$198,2*(ROWS($X$4:X44)-1)+1)),3),"")</f>
        <v/>
      </c>
      <c r="Y44" s="184" t="str">
        <f>IFERROR(ROUND(IF(ISNUMBER(SEARCH("8ft",INDEX('M03-S01'!$K$16:$K$198,2*(ROWS($Y$4:Y44)-1)+1))),INDEX('M03-S01'!$Q$16:$Q$198,2*(ROWS($Y$4:Y44)-1)+1)/2,INDEX('M03-S01'!$Q$16:$Q$198,2*(ROWS($Y$4:Y44)-1)+1)),3),"")</f>
        <v/>
      </c>
      <c r="Z44" s="111">
        <f>INDEX('M03-S01'!$B$16:$B$198,2*(ROWS($Z$4:Z44)-1)+1)</f>
        <v>41</v>
      </c>
      <c r="AA44" s="111">
        <f>IF(ISNUMBER(SEARCH("8ft",INDEX('M03-S01'!$C$16:$C$199,2*(ROWS($Z$4:AA44)-1)+1))),SUBSTITUTE(INDEX('M03-S01'!$C$16:$C$199,2*(ROWS($Z$4:AA44)-1)+1),"8ft","4ft"),INDEX('M03-S01'!$C$16:$C$199,2*(ROWS($Z$4:AA44)-1)+1))</f>
        <v>0</v>
      </c>
      <c r="AB44" s="111">
        <f>IF(ISNUMBER(SEARCH("8ft",INDEX('M03-S01'!$K$16:$K$199,2*(ROWS($Z$4:AB44)-1)+1))),SUBSTITUTE(INDEX('M03-S01'!$K$16:$K$199,2*(ROWS($Z$4:AB44)-1)+1),"8ft","4ft"),INDEX('M03-S01'!$K$16:$K$199,2*(ROWS($Z$4:AB44)-1)+1))</f>
        <v>0</v>
      </c>
      <c r="AC44" s="96"/>
      <c r="AD44">
        <f>INDEX('M03-S01'!$U$16:$U$198,2*(ROWS($AD$4:AD44)-1)+1)</f>
        <v>0</v>
      </c>
      <c r="AE44" s="459"/>
      <c r="AF44" s="459"/>
      <c r="AG44" s="111" t="str">
        <f>INDEX('M03-S01'!$AW$16:$AW$198,2*(ROWS($AG$4:AG44)-1)+1)</f>
        <v/>
      </c>
      <c r="AH44" s="111" t="str">
        <f>INDEX('M03-S01'!$AX$16:$AX$198,2*(ROWS($AH$4:AH44)-1)+1)</f>
        <v/>
      </c>
      <c r="AI44" s="113"/>
      <c r="AJ44" s="113"/>
      <c r="AK44" s="113"/>
      <c r="AL44" s="113"/>
      <c r="AM44" s="113"/>
      <c r="AN44" s="113"/>
      <c r="AO44" s="52" t="str">
        <f>IFERROR(INDEX(PMELIGHT[Program Design],MATCH(AB44,PMELIGHT[Eff Desc 1])),"")</f>
        <v/>
      </c>
      <c r="AU44"/>
    </row>
    <row r="45" spans="1:47">
      <c r="A45" s="57">
        <f t="shared" si="0"/>
        <v>0</v>
      </c>
      <c r="B45" s="183" t="str">
        <f t="shared" si="1"/>
        <v/>
      </c>
      <c r="C45" t="str">
        <f>IFERROR(IF(R45&gt;0,INDEX(PMELIGHT[Measure '#],MATCH(AB45,PMELIGHT[Eff Desc 1],0)),""),"")</f>
        <v/>
      </c>
      <c r="D45" t="s">
        <v>947</v>
      </c>
      <c r="F45" s="185">
        <f>INDEX('M03-S01'!$AB$16:$AB$198,2*(ROWS($F$4:F45)-1)+1)</f>
        <v>0</v>
      </c>
      <c r="G45" s="186">
        <f>INDEX('M03-S01'!$Y$16:$Y$198,2*(ROWS($G$4:G45)-1)+1)</f>
        <v>0</v>
      </c>
      <c r="H45" s="186" t="str">
        <f>IF(ISNUMBER(INDEX('M03-S01'!$AN$16:$AN$198,2*(ROWS($R$4:R45)-1)+1)),"Total","")</f>
        <v/>
      </c>
      <c r="I45" s="184">
        <f>IFERROR(ROUND(INDEX('M03-S01'!$S$16:$S$198,2*(ROWS($I$4:I45)-1)+1)*INDEX('M03-S01'!$AE$16:$AE$198,2*(ROWS($I$4:I45)-1)+1),2),0)</f>
        <v>0</v>
      </c>
      <c r="J45" s="184">
        <f>IFERROR(ROUND(INDEX('M03-S01'!$S$16:$S$198,2*(ROWS($J$4:J45)-1)+1)*INDEX('M03-S01'!$AG$16:$AG$198,2*(ROWS($J$4:J45)-1)+1),2),0)</f>
        <v>0</v>
      </c>
      <c r="K45" s="52">
        <f>IFERROR(ROUND(INDEX('M03-S01'!$AU$16:$AU$198,2*(ROWS($K$4:K45)-1)+1),2),0)</f>
        <v>0</v>
      </c>
      <c r="L45" s="52" t="str">
        <f>IFERROR(IF(R45&gt;0,M45*INDEX(PMELIGHT[Incremental Cost],MATCH(AB45,PMELIGHT[Eff Desc 1],0)),""),"")</f>
        <v/>
      </c>
      <c r="M45" s="456">
        <f>IF(ISNUMBER(SEARCH("8ft",INDEX('M03-S01'!$K$16:$K$198,2*(ROWS($M$4:M45)-1)+1))),INDEX('M03-S01'!$S$16:$S$198,2*(ROWS($M$4:M45)-1)+1)*2,INDEX('M03-S01'!$S$16:$S$198,2*(ROWS($M$4:M45)-1)+1))</f>
        <v>0</v>
      </c>
      <c r="N45" s="184" t="str">
        <f>IF(ISNUMBER(INDEX('M03-S01'!$AN$16:$AN$198,2*(ROWS($R$4:R45)-1)+1)),INDEX('M03-S01'!$AK$16:$AK$198,2*(ROWS($N$4:N45)-1)+1),"")</f>
        <v/>
      </c>
      <c r="O45" s="456" t="str">
        <f>IFERROR(IF(ISNUMBER(INDEX('M03-S01'!$AN$16:$AN$198,2*(ROWS($R$4:R45)-1)+1)),INDEX('M03-S01'!$AV$16:$AV$198,2*(ROWS($O$4:O45)-1)+1),""),"")</f>
        <v/>
      </c>
      <c r="P45" s="459"/>
      <c r="Q45" s="184" t="str">
        <f>IFERROR(IF(ISNUMBER(INDEX('M03-S01'!$AN$16:$AN$198,2*(ROWS($R$4:R45)-1)+1)),INDEX('M03-S01'!$AY$16:$AY$198,2*(ROWS($Q$4:Q45)-1)+1),""),"")</f>
        <v/>
      </c>
      <c r="R45" s="184">
        <f>IF(ISNUMBER(INDEX('M03-S01'!$AN$16:$AN$198,2*(ROWS($R$4:R45)-1)+1)),INDEX('M03-S01'!$AN$16:$AN$198,2*(ROWS($R$4:R45)-1)+1),0)</f>
        <v>0</v>
      </c>
      <c r="S45" s="459"/>
      <c r="T45" s="113"/>
      <c r="U45" s="140"/>
      <c r="V45" s="113"/>
      <c r="W45" s="96" t="str">
        <f>IFERROR(IF(NOT(ISNUMBER(INDEX('M03-S01'!$AN$16:$AN$198,2*(ROWS($R$4:R45)-1)+1))),INDEX('M03-S01'!$BC$16:$BC$198,2*(ROWS($R$4:R45)-1)+1),""),"")</f>
        <v/>
      </c>
      <c r="X45" s="184" t="str">
        <f>IFERROR(ROUND(IF(ISNUMBER(SEARCH("8ft",INDEX('M03-S01'!$K$16:$K$198,2*(ROWS($X$4:X45)-1)+1))),INDEX('M03-S01'!$I$16:$I$198,2*(ROWS($X$4:X45)-1)+1)/2,INDEX('M03-S01'!$I$16:$I$198,2*(ROWS($X$4:X45)-1)+1)),3),"")</f>
        <v/>
      </c>
      <c r="Y45" s="184" t="str">
        <f>IFERROR(ROUND(IF(ISNUMBER(SEARCH("8ft",INDEX('M03-S01'!$K$16:$K$198,2*(ROWS($Y$4:Y45)-1)+1))),INDEX('M03-S01'!$Q$16:$Q$198,2*(ROWS($Y$4:Y45)-1)+1)/2,INDEX('M03-S01'!$Q$16:$Q$198,2*(ROWS($Y$4:Y45)-1)+1)),3),"")</f>
        <v/>
      </c>
      <c r="Z45" s="111">
        <f>INDEX('M03-S01'!$B$16:$B$198,2*(ROWS($Z$4:Z45)-1)+1)</f>
        <v>42</v>
      </c>
      <c r="AA45" s="111">
        <f>IF(ISNUMBER(SEARCH("8ft",INDEX('M03-S01'!$C$16:$C$199,2*(ROWS($Z$4:AA45)-1)+1))),SUBSTITUTE(INDEX('M03-S01'!$C$16:$C$199,2*(ROWS($Z$4:AA45)-1)+1),"8ft","4ft"),INDEX('M03-S01'!$C$16:$C$199,2*(ROWS($Z$4:AA45)-1)+1))</f>
        <v>0</v>
      </c>
      <c r="AB45" s="111">
        <f>IF(ISNUMBER(SEARCH("8ft",INDEX('M03-S01'!$K$16:$K$199,2*(ROWS($Z$4:AB45)-1)+1))),SUBSTITUTE(INDEX('M03-S01'!$K$16:$K$199,2*(ROWS($Z$4:AB45)-1)+1),"8ft","4ft"),INDEX('M03-S01'!$K$16:$K$199,2*(ROWS($Z$4:AB45)-1)+1))</f>
        <v>0</v>
      </c>
      <c r="AC45" s="96"/>
      <c r="AD45">
        <f>INDEX('M03-S01'!$U$16:$U$198,2*(ROWS($AD$4:AD45)-1)+1)</f>
        <v>0</v>
      </c>
      <c r="AE45" s="459"/>
      <c r="AF45" s="459"/>
      <c r="AG45" s="111" t="str">
        <f>INDEX('M03-S01'!$AW$16:$AW$198,2*(ROWS($AG$4:AG45)-1)+1)</f>
        <v/>
      </c>
      <c r="AH45" s="111" t="str">
        <f>INDEX('M03-S01'!$AX$16:$AX$198,2*(ROWS($AH$4:AH45)-1)+1)</f>
        <v/>
      </c>
      <c r="AI45" s="113"/>
      <c r="AJ45" s="113"/>
      <c r="AK45" s="113"/>
      <c r="AL45" s="113"/>
      <c r="AM45" s="113"/>
      <c r="AN45" s="113"/>
      <c r="AO45" s="52" t="str">
        <f>IFERROR(INDEX(PMELIGHT[Program Design],MATCH(AB45,PMELIGHT[Eff Desc 1])),"")</f>
        <v/>
      </c>
      <c r="AU45"/>
    </row>
    <row r="46" spans="1:47">
      <c r="A46" s="57">
        <f t="shared" si="0"/>
        <v>0</v>
      </c>
      <c r="B46" s="183" t="str">
        <f t="shared" ref="B46:B49" si="3">IF(C46="","",CONCATENATE(ROW(),"-",C46))</f>
        <v/>
      </c>
      <c r="C46" t="str">
        <f>IFERROR(IF(R46&gt;0,INDEX(PMELIGHT[Measure '#],MATCH(AB46,PMELIGHT[Eff Desc 1],0)),""),"")</f>
        <v/>
      </c>
      <c r="D46" t="s">
        <v>947</v>
      </c>
      <c r="F46" s="185">
        <f>INDEX('M03-S01'!$AB$16:$AB$198,2*(ROWS($F$4:F46)-1)+1)</f>
        <v>0</v>
      </c>
      <c r="G46" s="186">
        <f>INDEX('M03-S01'!$Y$16:$Y$198,2*(ROWS($G$4:G46)-1)+1)</f>
        <v>0</v>
      </c>
      <c r="H46" s="186" t="str">
        <f>IF(ISNUMBER(INDEX('M03-S01'!$AN$16:$AN$198,2*(ROWS($R$4:R46)-1)+1)),"Total","")</f>
        <v/>
      </c>
      <c r="I46" s="184">
        <f>IFERROR(ROUND(INDEX('M03-S01'!$S$16:$S$198,2*(ROWS($I$4:I46)-1)+1)*INDEX('M03-S01'!$AE$16:$AE$198,2*(ROWS($I$4:I46)-1)+1),2),0)</f>
        <v>0</v>
      </c>
      <c r="J46" s="184">
        <f>IFERROR(ROUND(INDEX('M03-S01'!$S$16:$S$198,2*(ROWS($J$4:J46)-1)+1)*INDEX('M03-S01'!$AG$16:$AG$198,2*(ROWS($J$4:J46)-1)+1),2),0)</f>
        <v>0</v>
      </c>
      <c r="K46" s="52">
        <f>IFERROR(ROUND(INDEX('M03-S01'!$AU$16:$AU$198,2*(ROWS($K$4:K46)-1)+1),2),0)</f>
        <v>0</v>
      </c>
      <c r="L46" s="52" t="str">
        <f>IFERROR(IF(R46&gt;0,M46*INDEX(PMELIGHT[Incremental Cost],MATCH(AB46,PMELIGHT[Eff Desc 1],0)),""),"")</f>
        <v/>
      </c>
      <c r="M46" s="456">
        <f>IF(ISNUMBER(SEARCH("8ft",INDEX('M03-S01'!$K$16:$K$198,2*(ROWS($M$4:M46)-1)+1))),INDEX('M03-S01'!$S$16:$S$198,2*(ROWS($M$4:M46)-1)+1)*2,INDEX('M03-S01'!$S$16:$S$198,2*(ROWS($M$4:M46)-1)+1))</f>
        <v>0</v>
      </c>
      <c r="N46" s="184" t="str">
        <f>IF(ISNUMBER(INDEX('M03-S01'!$AN$16:$AN$198,2*(ROWS($R$4:R46)-1)+1)),INDEX('M03-S01'!$AK$16:$AK$198,2*(ROWS($N$4:N46)-1)+1),"")</f>
        <v/>
      </c>
      <c r="O46" s="456" t="str">
        <f>IFERROR(IF(ISNUMBER(INDEX('M03-S01'!$AN$16:$AN$198,2*(ROWS($R$4:R46)-1)+1)),INDEX('M03-S01'!$AV$16:$AV$198,2*(ROWS($O$4:O46)-1)+1),""),"")</f>
        <v/>
      </c>
      <c r="P46" s="459"/>
      <c r="Q46" s="184" t="str">
        <f>IFERROR(IF(ISNUMBER(INDEX('M03-S01'!$AN$16:$AN$198,2*(ROWS($R$4:R46)-1)+1)),INDEX('M03-S01'!$AY$16:$AY$198,2*(ROWS($Q$4:Q46)-1)+1),""),"")</f>
        <v/>
      </c>
      <c r="R46" s="184">
        <f>IF(ISNUMBER(INDEX('M03-S01'!$AN$16:$AN$198,2*(ROWS($R$4:R46)-1)+1)),INDEX('M03-S01'!$AN$16:$AN$198,2*(ROWS($R$4:R46)-1)+1),0)</f>
        <v>0</v>
      </c>
      <c r="S46" s="459"/>
      <c r="T46" s="113"/>
      <c r="U46" s="140"/>
      <c r="V46" s="113"/>
      <c r="W46" s="96" t="str">
        <f>IFERROR(IF(NOT(ISNUMBER(INDEX('M03-S01'!$AN$16:$AN$198,2*(ROWS($R$4:R46)-1)+1))),INDEX('M03-S01'!$BC$16:$BC$198,2*(ROWS($R$4:R46)-1)+1),""),"")</f>
        <v/>
      </c>
      <c r="X46" s="184" t="str">
        <f>IFERROR(ROUND(IF(ISNUMBER(SEARCH("8ft",INDEX('M03-S01'!$K$16:$K$198,2*(ROWS($X$4:X46)-1)+1))),INDEX('M03-S01'!$I$16:$I$198,2*(ROWS($X$4:X46)-1)+1)/2,INDEX('M03-S01'!$I$16:$I$198,2*(ROWS($X$4:X46)-1)+1)),3),"")</f>
        <v/>
      </c>
      <c r="Y46" s="184" t="str">
        <f>IFERROR(ROUND(IF(ISNUMBER(SEARCH("8ft",INDEX('M03-S01'!$K$16:$K$198,2*(ROWS($Y$4:Y46)-1)+1))),INDEX('M03-S01'!$Q$16:$Q$198,2*(ROWS($Y$4:Y46)-1)+1)/2,INDEX('M03-S01'!$Q$16:$Q$198,2*(ROWS($Y$4:Y46)-1)+1)),3),"")</f>
        <v/>
      </c>
      <c r="Z46" s="111">
        <f>INDEX('M03-S01'!$B$16:$B$198,2*(ROWS($Z$4:Z46)-1)+1)</f>
        <v>43</v>
      </c>
      <c r="AA46" s="111">
        <f>IF(ISNUMBER(SEARCH("8ft",INDEX('M03-S01'!$C$16:$C$199,2*(ROWS($Z$4:AA46)-1)+1))),SUBSTITUTE(INDEX('M03-S01'!$C$16:$C$199,2*(ROWS($Z$4:AA46)-1)+1),"8ft","4ft"),INDEX('M03-S01'!$C$16:$C$199,2*(ROWS($Z$4:AA46)-1)+1))</f>
        <v>0</v>
      </c>
      <c r="AB46" s="111">
        <f>IF(ISNUMBER(SEARCH("8ft",INDEX('M03-S01'!$K$16:$K$199,2*(ROWS($Z$4:AB46)-1)+1))),SUBSTITUTE(INDEX('M03-S01'!$K$16:$K$199,2*(ROWS($Z$4:AB46)-1)+1),"8ft","4ft"),INDEX('M03-S01'!$K$16:$K$199,2*(ROWS($Z$4:AB46)-1)+1))</f>
        <v>0</v>
      </c>
      <c r="AC46" s="96"/>
      <c r="AD46">
        <f>INDEX('M03-S01'!$U$16:$U$198,2*(ROWS($AD$4:AD46)-1)+1)</f>
        <v>0</v>
      </c>
      <c r="AE46" s="459"/>
      <c r="AF46" s="459"/>
      <c r="AG46" s="111" t="str">
        <f>INDEX('M03-S01'!$AW$16:$AW$198,2*(ROWS($AG$4:AG46)-1)+1)</f>
        <v/>
      </c>
      <c r="AH46" s="111" t="str">
        <f>INDEX('M03-S01'!$AX$16:$AX$198,2*(ROWS($AH$4:AH46)-1)+1)</f>
        <v/>
      </c>
      <c r="AI46" s="113"/>
      <c r="AJ46" s="113"/>
      <c r="AK46" s="113"/>
      <c r="AL46" s="113"/>
      <c r="AM46" s="113"/>
      <c r="AN46" s="113"/>
      <c r="AO46" s="52" t="str">
        <f>IFERROR(INDEX(PMELIGHT[Program Design],MATCH(AB46,PMELIGHT[Eff Desc 1])),"")</f>
        <v/>
      </c>
      <c r="AU46"/>
    </row>
    <row r="47" spans="1:47">
      <c r="A47" s="57">
        <f t="shared" si="0"/>
        <v>0</v>
      </c>
      <c r="B47" s="183" t="str">
        <f t="shared" si="3"/>
        <v/>
      </c>
      <c r="C47" t="str">
        <f>IFERROR(IF(R47&gt;0,INDEX(PMELIGHT[Measure '#],MATCH(AB47,PMELIGHT[Eff Desc 1],0)),""),"")</f>
        <v/>
      </c>
      <c r="D47" t="s">
        <v>947</v>
      </c>
      <c r="F47" s="185">
        <f>INDEX('M03-S01'!$AB$16:$AB$198,2*(ROWS($F$4:F47)-1)+1)</f>
        <v>0</v>
      </c>
      <c r="G47" s="186">
        <f>INDEX('M03-S01'!$Y$16:$Y$198,2*(ROWS($G$4:G47)-1)+1)</f>
        <v>0</v>
      </c>
      <c r="H47" s="186" t="str">
        <f>IF(ISNUMBER(INDEX('M03-S01'!$AN$16:$AN$198,2*(ROWS($R$4:R47)-1)+1)),"Total","")</f>
        <v/>
      </c>
      <c r="I47" s="184">
        <f>IFERROR(ROUND(INDEX('M03-S01'!$S$16:$S$198,2*(ROWS($I$4:I47)-1)+1)*INDEX('M03-S01'!$AE$16:$AE$198,2*(ROWS($I$4:I47)-1)+1),2),0)</f>
        <v>0</v>
      </c>
      <c r="J47" s="184">
        <f>IFERROR(ROUND(INDEX('M03-S01'!$S$16:$S$198,2*(ROWS($J$4:J47)-1)+1)*INDEX('M03-S01'!$AG$16:$AG$198,2*(ROWS($J$4:J47)-1)+1),2),0)</f>
        <v>0</v>
      </c>
      <c r="K47" s="52">
        <f>IFERROR(ROUND(INDEX('M03-S01'!$AU$16:$AU$198,2*(ROWS($K$4:K47)-1)+1),2),0)</f>
        <v>0</v>
      </c>
      <c r="L47" s="52" t="str">
        <f>IFERROR(IF(R47&gt;0,M47*INDEX(PMELIGHT[Incremental Cost],MATCH(AB47,PMELIGHT[Eff Desc 1],0)),""),"")</f>
        <v/>
      </c>
      <c r="M47" s="456">
        <f>IF(ISNUMBER(SEARCH("8ft",INDEX('M03-S01'!$K$16:$K$198,2*(ROWS($M$4:M47)-1)+1))),INDEX('M03-S01'!$S$16:$S$198,2*(ROWS($M$4:M47)-1)+1)*2,INDEX('M03-S01'!$S$16:$S$198,2*(ROWS($M$4:M47)-1)+1))</f>
        <v>0</v>
      </c>
      <c r="N47" s="184" t="str">
        <f>IF(ISNUMBER(INDEX('M03-S01'!$AN$16:$AN$198,2*(ROWS($R$4:R47)-1)+1)),INDEX('M03-S01'!$AK$16:$AK$198,2*(ROWS($N$4:N47)-1)+1),"")</f>
        <v/>
      </c>
      <c r="O47" s="456" t="str">
        <f>IFERROR(IF(ISNUMBER(INDEX('M03-S01'!$AN$16:$AN$198,2*(ROWS($R$4:R47)-1)+1)),INDEX('M03-S01'!$AV$16:$AV$198,2*(ROWS($O$4:O47)-1)+1),""),"")</f>
        <v/>
      </c>
      <c r="P47" s="459"/>
      <c r="Q47" s="184" t="str">
        <f>IFERROR(IF(ISNUMBER(INDEX('M03-S01'!$AN$16:$AN$198,2*(ROWS($R$4:R47)-1)+1)),INDEX('M03-S01'!$AY$16:$AY$198,2*(ROWS($Q$4:Q47)-1)+1),""),"")</f>
        <v/>
      </c>
      <c r="R47" s="184">
        <f>IF(ISNUMBER(INDEX('M03-S01'!$AN$16:$AN$198,2*(ROWS($R$4:R47)-1)+1)),INDEX('M03-S01'!$AN$16:$AN$198,2*(ROWS($R$4:R47)-1)+1),0)</f>
        <v>0</v>
      </c>
      <c r="S47" s="459"/>
      <c r="T47" s="113"/>
      <c r="U47" s="140"/>
      <c r="V47" s="113"/>
      <c r="W47" s="96" t="str">
        <f>IFERROR(IF(NOT(ISNUMBER(INDEX('M03-S01'!$AN$16:$AN$198,2*(ROWS($R$4:R47)-1)+1))),INDEX('M03-S01'!$BC$16:$BC$198,2*(ROWS($R$4:R47)-1)+1),""),"")</f>
        <v/>
      </c>
      <c r="X47" s="184" t="str">
        <f>IFERROR(ROUND(IF(ISNUMBER(SEARCH("8ft",INDEX('M03-S01'!$K$16:$K$198,2*(ROWS($X$4:X47)-1)+1))),INDEX('M03-S01'!$I$16:$I$198,2*(ROWS($X$4:X47)-1)+1)/2,INDEX('M03-S01'!$I$16:$I$198,2*(ROWS($X$4:X47)-1)+1)),3),"")</f>
        <v/>
      </c>
      <c r="Y47" s="184" t="str">
        <f>IFERROR(ROUND(IF(ISNUMBER(SEARCH("8ft",INDEX('M03-S01'!$K$16:$K$198,2*(ROWS($Y$4:Y47)-1)+1))),INDEX('M03-S01'!$Q$16:$Q$198,2*(ROWS($Y$4:Y47)-1)+1)/2,INDEX('M03-S01'!$Q$16:$Q$198,2*(ROWS($Y$4:Y47)-1)+1)),3),"")</f>
        <v/>
      </c>
      <c r="Z47" s="111">
        <f>INDEX('M03-S01'!$B$16:$B$198,2*(ROWS($Z$4:Z47)-1)+1)</f>
        <v>44</v>
      </c>
      <c r="AA47" s="111">
        <f>IF(ISNUMBER(SEARCH("8ft",INDEX('M03-S01'!$C$16:$C$199,2*(ROWS($Z$4:AA47)-1)+1))),SUBSTITUTE(INDEX('M03-S01'!$C$16:$C$199,2*(ROWS($Z$4:AA47)-1)+1),"8ft","4ft"),INDEX('M03-S01'!$C$16:$C$199,2*(ROWS($Z$4:AA47)-1)+1))</f>
        <v>0</v>
      </c>
      <c r="AB47" s="111">
        <f>IF(ISNUMBER(SEARCH("8ft",INDEX('M03-S01'!$K$16:$K$199,2*(ROWS($Z$4:AB47)-1)+1))),SUBSTITUTE(INDEX('M03-S01'!$K$16:$K$199,2*(ROWS($Z$4:AB47)-1)+1),"8ft","4ft"),INDEX('M03-S01'!$K$16:$K$199,2*(ROWS($Z$4:AB47)-1)+1))</f>
        <v>0</v>
      </c>
      <c r="AC47" s="96"/>
      <c r="AD47">
        <f>INDEX('M03-S01'!$U$16:$U$198,2*(ROWS($AD$4:AD47)-1)+1)</f>
        <v>0</v>
      </c>
      <c r="AE47" s="459"/>
      <c r="AF47" s="459"/>
      <c r="AG47" s="111" t="str">
        <f>INDEX('M03-S01'!$AW$16:$AW$198,2*(ROWS($AG$4:AG47)-1)+1)</f>
        <v/>
      </c>
      <c r="AH47" s="111" t="str">
        <f>INDEX('M03-S01'!$AX$16:$AX$198,2*(ROWS($AH$4:AH47)-1)+1)</f>
        <v/>
      </c>
      <c r="AI47" s="113"/>
      <c r="AJ47" s="113"/>
      <c r="AK47" s="113"/>
      <c r="AL47" s="113"/>
      <c r="AM47" s="113"/>
      <c r="AN47" s="113"/>
      <c r="AO47" s="52" t="str">
        <f>IFERROR(INDEX(PMELIGHT[Program Design],MATCH(AB47,PMELIGHT[Eff Desc 1])),"")</f>
        <v/>
      </c>
      <c r="AU47"/>
    </row>
    <row r="48" spans="1:47">
      <c r="A48" s="57">
        <f t="shared" si="0"/>
        <v>0</v>
      </c>
      <c r="B48" s="183" t="str">
        <f t="shared" si="3"/>
        <v/>
      </c>
      <c r="C48" t="str">
        <f>IFERROR(IF(R48&gt;0,INDEX(PMELIGHT[Measure '#],MATCH(AB48,PMELIGHT[Eff Desc 1],0)),""),"")</f>
        <v/>
      </c>
      <c r="D48" t="s">
        <v>947</v>
      </c>
      <c r="F48" s="185">
        <f>INDEX('M03-S01'!$AB$16:$AB$198,2*(ROWS($F$4:F48)-1)+1)</f>
        <v>0</v>
      </c>
      <c r="G48" s="186">
        <f>INDEX('M03-S01'!$Y$16:$Y$198,2*(ROWS($G$4:G48)-1)+1)</f>
        <v>0</v>
      </c>
      <c r="H48" s="186" t="str">
        <f>IF(ISNUMBER(INDEX('M03-S01'!$AN$16:$AN$198,2*(ROWS($R$4:R48)-1)+1)),"Total","")</f>
        <v/>
      </c>
      <c r="I48" s="184">
        <f>IFERROR(ROUND(INDEX('M03-S01'!$S$16:$S$198,2*(ROWS($I$4:I48)-1)+1)*INDEX('M03-S01'!$AE$16:$AE$198,2*(ROWS($I$4:I48)-1)+1),2),0)</f>
        <v>0</v>
      </c>
      <c r="J48" s="184">
        <f>IFERROR(ROUND(INDEX('M03-S01'!$S$16:$S$198,2*(ROWS($J$4:J48)-1)+1)*INDEX('M03-S01'!$AG$16:$AG$198,2*(ROWS($J$4:J48)-1)+1),2),0)</f>
        <v>0</v>
      </c>
      <c r="K48" s="52">
        <f>IFERROR(ROUND(INDEX('M03-S01'!$AU$16:$AU$198,2*(ROWS($K$4:K48)-1)+1),2),0)</f>
        <v>0</v>
      </c>
      <c r="L48" s="52" t="str">
        <f>IFERROR(IF(R48&gt;0,M48*INDEX(PMELIGHT[Incremental Cost],MATCH(AB48,PMELIGHT[Eff Desc 1],0)),""),"")</f>
        <v/>
      </c>
      <c r="M48" s="456">
        <f>IF(ISNUMBER(SEARCH("8ft",INDEX('M03-S01'!$K$16:$K$198,2*(ROWS($M$4:M48)-1)+1))),INDEX('M03-S01'!$S$16:$S$198,2*(ROWS($M$4:M48)-1)+1)*2,INDEX('M03-S01'!$S$16:$S$198,2*(ROWS($M$4:M48)-1)+1))</f>
        <v>0</v>
      </c>
      <c r="N48" s="184" t="str">
        <f>IF(ISNUMBER(INDEX('M03-S01'!$AN$16:$AN$198,2*(ROWS($R$4:R48)-1)+1)),INDEX('M03-S01'!$AK$16:$AK$198,2*(ROWS($N$4:N48)-1)+1),"")</f>
        <v/>
      </c>
      <c r="O48" s="456" t="str">
        <f>IFERROR(IF(ISNUMBER(INDEX('M03-S01'!$AN$16:$AN$198,2*(ROWS($R$4:R48)-1)+1)),INDEX('M03-S01'!$AV$16:$AV$198,2*(ROWS($O$4:O48)-1)+1),""),"")</f>
        <v/>
      </c>
      <c r="P48" s="459"/>
      <c r="Q48" s="184" t="str">
        <f>IFERROR(IF(ISNUMBER(INDEX('M03-S01'!$AN$16:$AN$198,2*(ROWS($R$4:R48)-1)+1)),INDEX('M03-S01'!$AY$16:$AY$198,2*(ROWS($Q$4:Q48)-1)+1),""),"")</f>
        <v/>
      </c>
      <c r="R48" s="184">
        <f>IF(ISNUMBER(INDEX('M03-S01'!$AN$16:$AN$198,2*(ROWS($R$4:R48)-1)+1)),INDEX('M03-S01'!$AN$16:$AN$198,2*(ROWS($R$4:R48)-1)+1),0)</f>
        <v>0</v>
      </c>
      <c r="S48" s="459"/>
      <c r="T48" s="113"/>
      <c r="U48" s="140"/>
      <c r="V48" s="113"/>
      <c r="W48" s="96" t="str">
        <f>IFERROR(IF(NOT(ISNUMBER(INDEX('M03-S01'!$AN$16:$AN$198,2*(ROWS($R$4:R48)-1)+1))),INDEX('M03-S01'!$BC$16:$BC$198,2*(ROWS($R$4:R48)-1)+1),""),"")</f>
        <v/>
      </c>
      <c r="X48" s="184" t="str">
        <f>IFERROR(ROUND(IF(ISNUMBER(SEARCH("8ft",INDEX('M03-S01'!$K$16:$K$198,2*(ROWS($X$4:X48)-1)+1))),INDEX('M03-S01'!$I$16:$I$198,2*(ROWS($X$4:X48)-1)+1)/2,INDEX('M03-S01'!$I$16:$I$198,2*(ROWS($X$4:X48)-1)+1)),3),"")</f>
        <v/>
      </c>
      <c r="Y48" s="184" t="str">
        <f>IFERROR(ROUND(IF(ISNUMBER(SEARCH("8ft",INDEX('M03-S01'!$K$16:$K$198,2*(ROWS($Y$4:Y48)-1)+1))),INDEX('M03-S01'!$Q$16:$Q$198,2*(ROWS($Y$4:Y48)-1)+1)/2,INDEX('M03-S01'!$Q$16:$Q$198,2*(ROWS($Y$4:Y48)-1)+1)),3),"")</f>
        <v/>
      </c>
      <c r="Z48" s="111">
        <f>INDEX('M03-S01'!$B$16:$B$198,2*(ROWS($Z$4:Z48)-1)+1)</f>
        <v>45</v>
      </c>
      <c r="AA48" s="111">
        <f>IF(ISNUMBER(SEARCH("8ft",INDEX('M03-S01'!$C$16:$C$199,2*(ROWS($Z$4:AA48)-1)+1))),SUBSTITUTE(INDEX('M03-S01'!$C$16:$C$199,2*(ROWS($Z$4:AA48)-1)+1),"8ft","4ft"),INDEX('M03-S01'!$C$16:$C$199,2*(ROWS($Z$4:AA48)-1)+1))</f>
        <v>0</v>
      </c>
      <c r="AB48" s="111">
        <f>IF(ISNUMBER(SEARCH("8ft",INDEX('M03-S01'!$K$16:$K$199,2*(ROWS($Z$4:AB48)-1)+1))),SUBSTITUTE(INDEX('M03-S01'!$K$16:$K$199,2*(ROWS($Z$4:AB48)-1)+1),"8ft","4ft"),INDEX('M03-S01'!$K$16:$K$199,2*(ROWS($Z$4:AB48)-1)+1))</f>
        <v>0</v>
      </c>
      <c r="AC48" s="96"/>
      <c r="AD48">
        <f>INDEX('M03-S01'!$U$16:$U$198,2*(ROWS($AD$4:AD48)-1)+1)</f>
        <v>0</v>
      </c>
      <c r="AE48" s="459"/>
      <c r="AF48" s="459"/>
      <c r="AG48" s="111" t="str">
        <f>INDEX('M03-S01'!$AW$16:$AW$198,2*(ROWS($AG$4:AG48)-1)+1)</f>
        <v/>
      </c>
      <c r="AH48" s="111" t="str">
        <f>INDEX('M03-S01'!$AX$16:$AX$198,2*(ROWS($AH$4:AH48)-1)+1)</f>
        <v/>
      </c>
      <c r="AI48" s="113"/>
      <c r="AJ48" s="113"/>
      <c r="AK48" s="113"/>
      <c r="AL48" s="113"/>
      <c r="AM48" s="113"/>
      <c r="AN48" s="113"/>
      <c r="AO48" s="52" t="str">
        <f>IFERROR(INDEX(PMELIGHT[Program Design],MATCH(AB48,PMELIGHT[Eff Desc 1])),"")</f>
        <v/>
      </c>
      <c r="AU48"/>
    </row>
    <row r="49" spans="1:47">
      <c r="A49" s="57">
        <f t="shared" si="0"/>
        <v>0</v>
      </c>
      <c r="B49" s="183" t="str">
        <f t="shared" si="3"/>
        <v/>
      </c>
      <c r="C49" t="str">
        <f>IFERROR(IF(R49&gt;0,INDEX(PMELIGHT[Measure '#],MATCH(AB49,PMELIGHT[Eff Desc 1],0)),""),"")</f>
        <v/>
      </c>
      <c r="D49" t="s">
        <v>947</v>
      </c>
      <c r="F49" s="185">
        <f>INDEX('M03-S01'!$AB$16:$AB$198,2*(ROWS($F$4:F49)-1)+1)</f>
        <v>0</v>
      </c>
      <c r="G49" s="186">
        <f>INDEX('M03-S01'!$Y$16:$Y$198,2*(ROWS($G$4:G49)-1)+1)</f>
        <v>0</v>
      </c>
      <c r="H49" s="186" t="str">
        <f>IF(ISNUMBER(INDEX('M03-S01'!$AN$16:$AN$198,2*(ROWS($R$4:R49)-1)+1)),"Total","")</f>
        <v/>
      </c>
      <c r="I49" s="184">
        <f>IFERROR(ROUND(INDEX('M03-S01'!$S$16:$S$198,2*(ROWS($I$4:I49)-1)+1)*INDEX('M03-S01'!$AE$16:$AE$198,2*(ROWS($I$4:I49)-1)+1),2),0)</f>
        <v>0</v>
      </c>
      <c r="J49" s="184">
        <f>IFERROR(ROUND(INDEX('M03-S01'!$S$16:$S$198,2*(ROWS($J$4:J49)-1)+1)*INDEX('M03-S01'!$AG$16:$AG$198,2*(ROWS($J$4:J49)-1)+1),2),0)</f>
        <v>0</v>
      </c>
      <c r="K49" s="52">
        <f>IFERROR(ROUND(INDEX('M03-S01'!$AU$16:$AU$198,2*(ROWS($K$4:K49)-1)+1),2),0)</f>
        <v>0</v>
      </c>
      <c r="L49" s="52" t="str">
        <f>IFERROR(IF(R49&gt;0,M49*INDEX(PMELIGHT[Incremental Cost],MATCH(AB49,PMELIGHT[Eff Desc 1],0)),""),"")</f>
        <v/>
      </c>
      <c r="M49" s="456">
        <f>IF(ISNUMBER(SEARCH("8ft",INDEX('M03-S01'!$K$16:$K$198,2*(ROWS($M$4:M49)-1)+1))),INDEX('M03-S01'!$S$16:$S$198,2*(ROWS($M$4:M49)-1)+1)*2,INDEX('M03-S01'!$S$16:$S$198,2*(ROWS($M$4:M49)-1)+1))</f>
        <v>0</v>
      </c>
      <c r="N49" s="184" t="str">
        <f>IF(ISNUMBER(INDEX('M03-S01'!$AN$16:$AN$198,2*(ROWS($R$4:R49)-1)+1)),INDEX('M03-S01'!$AK$16:$AK$198,2*(ROWS($N$4:N49)-1)+1),"")</f>
        <v/>
      </c>
      <c r="O49" s="456" t="str">
        <f>IFERROR(IF(ISNUMBER(INDEX('M03-S01'!$AN$16:$AN$198,2*(ROWS($R$4:R49)-1)+1)),INDEX('M03-S01'!$AV$16:$AV$198,2*(ROWS($O$4:O49)-1)+1),""),"")</f>
        <v/>
      </c>
      <c r="P49" s="459"/>
      <c r="Q49" s="184" t="str">
        <f>IFERROR(IF(ISNUMBER(INDEX('M03-S01'!$AN$16:$AN$198,2*(ROWS($R$4:R49)-1)+1)),INDEX('M03-S01'!$AY$16:$AY$198,2*(ROWS($Q$4:Q49)-1)+1),""),"")</f>
        <v/>
      </c>
      <c r="R49" s="184">
        <f>IF(ISNUMBER(INDEX('M03-S01'!$AN$16:$AN$198,2*(ROWS($R$4:R49)-1)+1)),INDEX('M03-S01'!$AN$16:$AN$198,2*(ROWS($R$4:R49)-1)+1),0)</f>
        <v>0</v>
      </c>
      <c r="S49" s="459"/>
      <c r="T49" s="113"/>
      <c r="U49" s="140"/>
      <c r="V49" s="113"/>
      <c r="W49" s="96" t="str">
        <f>IFERROR(IF(NOT(ISNUMBER(INDEX('M03-S01'!$AN$16:$AN$198,2*(ROWS($R$4:R49)-1)+1))),INDEX('M03-S01'!$BC$16:$BC$198,2*(ROWS($R$4:R49)-1)+1),""),"")</f>
        <v/>
      </c>
      <c r="X49" s="184" t="str">
        <f>IFERROR(ROUND(IF(ISNUMBER(SEARCH("8ft",INDEX('M03-S01'!$K$16:$K$198,2*(ROWS($X$4:X49)-1)+1))),INDEX('M03-S01'!$I$16:$I$198,2*(ROWS($X$4:X49)-1)+1)/2,INDEX('M03-S01'!$I$16:$I$198,2*(ROWS($X$4:X49)-1)+1)),3),"")</f>
        <v/>
      </c>
      <c r="Y49" s="184" t="str">
        <f>IFERROR(ROUND(IF(ISNUMBER(SEARCH("8ft",INDEX('M03-S01'!$K$16:$K$198,2*(ROWS($Y$4:Y49)-1)+1))),INDEX('M03-S01'!$Q$16:$Q$198,2*(ROWS($Y$4:Y49)-1)+1)/2,INDEX('M03-S01'!$Q$16:$Q$198,2*(ROWS($Y$4:Y49)-1)+1)),3),"")</f>
        <v/>
      </c>
      <c r="Z49" s="111">
        <f>INDEX('M03-S01'!$B$16:$B$198,2*(ROWS($Z$4:Z49)-1)+1)</f>
        <v>46</v>
      </c>
      <c r="AA49" s="111">
        <f>IF(ISNUMBER(SEARCH("8ft",INDEX('M03-S01'!$C$16:$C$199,2*(ROWS($Z$4:AA49)-1)+1))),SUBSTITUTE(INDEX('M03-S01'!$C$16:$C$199,2*(ROWS($Z$4:AA49)-1)+1),"8ft","4ft"),INDEX('M03-S01'!$C$16:$C$199,2*(ROWS($Z$4:AA49)-1)+1))</f>
        <v>0</v>
      </c>
      <c r="AB49" s="111">
        <f>IF(ISNUMBER(SEARCH("8ft",INDEX('M03-S01'!$K$16:$K$199,2*(ROWS($Z$4:AB49)-1)+1))),SUBSTITUTE(INDEX('M03-S01'!$K$16:$K$199,2*(ROWS($Z$4:AB49)-1)+1),"8ft","4ft"),INDEX('M03-S01'!$K$16:$K$199,2*(ROWS($Z$4:AB49)-1)+1))</f>
        <v>0</v>
      </c>
      <c r="AC49" s="96"/>
      <c r="AD49">
        <f>INDEX('M03-S01'!$U$16:$U$198,2*(ROWS($AD$4:AD49)-1)+1)</f>
        <v>0</v>
      </c>
      <c r="AE49" s="459"/>
      <c r="AF49" s="459"/>
      <c r="AG49" s="111" t="str">
        <f>INDEX('M03-S01'!$AW$16:$AW$198,2*(ROWS($AG$4:AG49)-1)+1)</f>
        <v/>
      </c>
      <c r="AH49" s="111" t="str">
        <f>INDEX('M03-S01'!$AX$16:$AX$198,2*(ROWS($AH$4:AH49)-1)+1)</f>
        <v/>
      </c>
      <c r="AI49" s="113"/>
      <c r="AJ49" s="113"/>
      <c r="AK49" s="113"/>
      <c r="AL49" s="113"/>
      <c r="AM49" s="113"/>
      <c r="AN49" s="113"/>
      <c r="AO49" s="52" t="str">
        <f>IFERROR(INDEX(PMELIGHT[Program Design],MATCH(AB49,PMELIGHT[Eff Desc 1])),"")</f>
        <v/>
      </c>
      <c r="AU49"/>
    </row>
    <row r="50" spans="1:47">
      <c r="A50" s="57">
        <f t="shared" si="0"/>
        <v>0</v>
      </c>
      <c r="B50" s="183" t="str">
        <f t="shared" si="1"/>
        <v/>
      </c>
      <c r="C50" t="str">
        <f>IFERROR(IF(R50&gt;0,INDEX(PMELIGHT[Measure '#],MATCH(AB50,PMELIGHT[Eff Desc 1],0)),""),"")</f>
        <v/>
      </c>
      <c r="D50" t="s">
        <v>947</v>
      </c>
      <c r="F50" s="185">
        <f>INDEX('M03-S01'!$AB$16:$AB$198,2*(ROWS($F$4:F50)-1)+1)</f>
        <v>0</v>
      </c>
      <c r="G50" s="186">
        <f>INDEX('M03-S01'!$Y$16:$Y$198,2*(ROWS($G$4:G50)-1)+1)</f>
        <v>0</v>
      </c>
      <c r="H50" s="186" t="str">
        <f>IF(ISNUMBER(INDEX('M03-S01'!$AN$16:$AN$198,2*(ROWS($R$4:R50)-1)+1)),"Total","")</f>
        <v/>
      </c>
      <c r="I50" s="184">
        <f>IFERROR(ROUND(INDEX('M03-S01'!$S$16:$S$198,2*(ROWS($I$4:I50)-1)+1)*INDEX('M03-S01'!$AE$16:$AE$198,2*(ROWS($I$4:I50)-1)+1),2),0)</f>
        <v>0</v>
      </c>
      <c r="J50" s="184">
        <f>IFERROR(ROUND(INDEX('M03-S01'!$S$16:$S$198,2*(ROWS($J$4:J50)-1)+1)*INDEX('M03-S01'!$AG$16:$AG$198,2*(ROWS($J$4:J50)-1)+1),2),0)</f>
        <v>0</v>
      </c>
      <c r="K50" s="52">
        <f>IFERROR(ROUND(INDEX('M03-S01'!$AU$16:$AU$198,2*(ROWS($K$4:K50)-1)+1),2),0)</f>
        <v>0</v>
      </c>
      <c r="L50" s="52" t="str">
        <f>IFERROR(IF(R50&gt;0,M50*INDEX(PMELIGHT[Incremental Cost],MATCH(AB50,PMELIGHT[Eff Desc 1],0)),""),"")</f>
        <v/>
      </c>
      <c r="M50" s="456">
        <f>IF(ISNUMBER(SEARCH("8ft",INDEX('M03-S01'!$K$16:$K$198,2*(ROWS($M$4:M50)-1)+1))),INDEX('M03-S01'!$S$16:$S$198,2*(ROWS($M$4:M50)-1)+1)*2,INDEX('M03-S01'!$S$16:$S$198,2*(ROWS($M$4:M50)-1)+1))</f>
        <v>0</v>
      </c>
      <c r="N50" s="184" t="str">
        <f>IF(ISNUMBER(INDEX('M03-S01'!$AN$16:$AN$198,2*(ROWS($R$4:R50)-1)+1)),INDEX('M03-S01'!$AK$16:$AK$198,2*(ROWS($N$4:N50)-1)+1),"")</f>
        <v/>
      </c>
      <c r="O50" s="456" t="str">
        <f>IFERROR(IF(ISNUMBER(INDEX('M03-S01'!$AN$16:$AN$198,2*(ROWS($R$4:R50)-1)+1)),INDEX('M03-S01'!$AV$16:$AV$198,2*(ROWS($O$4:O50)-1)+1),""),"")</f>
        <v/>
      </c>
      <c r="P50" s="459"/>
      <c r="Q50" s="184" t="str">
        <f>IFERROR(IF(ISNUMBER(INDEX('M03-S01'!$AN$16:$AN$198,2*(ROWS($R$4:R50)-1)+1)),INDEX('M03-S01'!$AY$16:$AY$198,2*(ROWS($Q$4:Q50)-1)+1),""),"")</f>
        <v/>
      </c>
      <c r="R50" s="184">
        <f>IF(ISNUMBER(INDEX('M03-S01'!$AN$16:$AN$198,2*(ROWS($R$4:R50)-1)+1)),INDEX('M03-S01'!$AN$16:$AN$198,2*(ROWS($R$4:R50)-1)+1),0)</f>
        <v>0</v>
      </c>
      <c r="S50" s="459"/>
      <c r="T50" s="113"/>
      <c r="U50" s="140"/>
      <c r="V50" s="113"/>
      <c r="W50" s="96" t="str">
        <f>IFERROR(IF(NOT(ISNUMBER(INDEX('M03-S01'!$AN$16:$AN$198,2*(ROWS($R$4:R50)-1)+1))),INDEX('M03-S01'!$BC$16:$BC$198,2*(ROWS($R$4:R50)-1)+1),""),"")</f>
        <v/>
      </c>
      <c r="X50" s="184" t="str">
        <f>IFERROR(ROUND(IF(ISNUMBER(SEARCH("8ft",INDEX('M03-S01'!$K$16:$K$198,2*(ROWS($X$4:X50)-1)+1))),INDEX('M03-S01'!$I$16:$I$198,2*(ROWS($X$4:X50)-1)+1)/2,INDEX('M03-S01'!$I$16:$I$198,2*(ROWS($X$4:X50)-1)+1)),3),"")</f>
        <v/>
      </c>
      <c r="Y50" s="184" t="str">
        <f>IFERROR(ROUND(IF(ISNUMBER(SEARCH("8ft",INDEX('M03-S01'!$K$16:$K$198,2*(ROWS($Y$4:Y50)-1)+1))),INDEX('M03-S01'!$Q$16:$Q$198,2*(ROWS($Y$4:Y50)-1)+1)/2,INDEX('M03-S01'!$Q$16:$Q$198,2*(ROWS($Y$4:Y50)-1)+1)),3),"")</f>
        <v/>
      </c>
      <c r="Z50" s="111">
        <f>INDEX('M03-S01'!$B$16:$B$198,2*(ROWS($Z$4:Z50)-1)+1)</f>
        <v>47</v>
      </c>
      <c r="AA50" s="111">
        <f>IF(ISNUMBER(SEARCH("8ft",INDEX('M03-S01'!$C$16:$C$199,2*(ROWS($Z$4:AA50)-1)+1))),SUBSTITUTE(INDEX('M03-S01'!$C$16:$C$199,2*(ROWS($Z$4:AA50)-1)+1),"8ft","4ft"),INDEX('M03-S01'!$C$16:$C$199,2*(ROWS($Z$4:AA50)-1)+1))</f>
        <v>0</v>
      </c>
      <c r="AB50" s="111">
        <f>IF(ISNUMBER(SEARCH("8ft",INDEX('M03-S01'!$K$16:$K$199,2*(ROWS($Z$4:AB50)-1)+1))),SUBSTITUTE(INDEX('M03-S01'!$K$16:$K$199,2*(ROWS($Z$4:AB50)-1)+1),"8ft","4ft"),INDEX('M03-S01'!$K$16:$K$199,2*(ROWS($Z$4:AB50)-1)+1))</f>
        <v>0</v>
      </c>
      <c r="AC50" s="96"/>
      <c r="AD50">
        <f>INDEX('M03-S01'!$U$16:$U$198,2*(ROWS($AD$4:AD50)-1)+1)</f>
        <v>0</v>
      </c>
      <c r="AE50" s="459"/>
      <c r="AF50" s="459"/>
      <c r="AG50" s="111" t="str">
        <f>INDEX('M03-S01'!$AW$16:$AW$198,2*(ROWS($AG$4:AG50)-1)+1)</f>
        <v/>
      </c>
      <c r="AH50" s="111" t="str">
        <f>INDEX('M03-S01'!$AX$16:$AX$198,2*(ROWS($AH$4:AH50)-1)+1)</f>
        <v/>
      </c>
      <c r="AI50" s="113"/>
      <c r="AJ50" s="113"/>
      <c r="AK50" s="113"/>
      <c r="AL50" s="113"/>
      <c r="AM50" s="113"/>
      <c r="AN50" s="113"/>
      <c r="AO50" s="52" t="str">
        <f>IFERROR(INDEX(PMELIGHT[Program Design],MATCH(AB50,PMELIGHT[Eff Desc 1])),"")</f>
        <v/>
      </c>
      <c r="AU50"/>
    </row>
    <row r="51" spans="1:47">
      <c r="A51" s="57">
        <f t="shared" si="0"/>
        <v>0</v>
      </c>
      <c r="B51" s="183" t="str">
        <f t="shared" ca="1" si="1"/>
        <v/>
      </c>
      <c r="C51" s="559" t="str">
        <f ca="1">IFERROR(IF(R51&gt;0,INDEX(PMEBONUS[Measure '#],MATCH(AB51,PMEBONUS[Eff Desc 1],0)),""),"")</f>
        <v/>
      </c>
      <c r="D51" t="s">
        <v>947</v>
      </c>
      <c r="F51" s="185">
        <f>INDEX('M03-S01'!$AB$16:$AB$198,2*(ROWS($F$4:F51)-1)+1)</f>
        <v>0</v>
      </c>
      <c r="G51" s="186">
        <f>INDEX('M03-S01'!$Y$16:$Y$198,2*(ROWS($G$4:G51)-1)+1)</f>
        <v>0</v>
      </c>
      <c r="H51" s="112"/>
      <c r="I51" s="184">
        <f ca="1">IFERROR(ROUND(INDEX('M03-S01'!$S$16:$S$198,2*(ROWS($I$4:I51)-1)+1)*INDEX('M03-S01'!$AE$16:$AE$198,2*(ROWS($I$4:I51)-1)+1),2),0)</f>
        <v>0</v>
      </c>
      <c r="J51" s="184">
        <f ca="1">IFERROR(ROUND(INDEX('M03-S01'!$S$16:$S$198,2*(ROWS($J$4:J51)-1)+1)*INDEX('M03-S01'!$AG$16:$AG$198,2*(ROWS($J$4:J51)-1)+1),2),0)</f>
        <v>0</v>
      </c>
      <c r="K51" s="52">
        <f ca="1">IFERROR(ROUND(INDEX('M03-S01'!$AU$16:$AU$198,2*(ROWS($K$4:K51)-1)+1),2),0)</f>
        <v>0</v>
      </c>
      <c r="L51" s="52" t="str">
        <f ca="1">IFERROR(IF(R51&gt;0,M51*INDEX(PMELIGHT[Incremental Cost],MATCH(AB51,PMELIGHT[Eff Desc 1],0)),""),"")</f>
        <v/>
      </c>
      <c r="M51" s="456">
        <f ca="1">IF(ISNUMBER(SEARCH("8ft",INDEX('M03-S01'!$K$16:$K$198,2*(ROWS($M$4:M51)-1)+1))),INDEX('M03-S01'!$S$16:$S$198,2*(ROWS($M$4:M51)-1)+1)*2,INDEX('M03-S01'!$S$16:$S$198,2*(ROWS($M$4:M51)-1)+1))</f>
        <v>0</v>
      </c>
      <c r="N51" s="184" t="str">
        <f ca="1">IF(ISNUMBER(INDEX('M03-S01'!$AN$16:$AN$198,2*(ROWS($R$4:R51)-1)+1)),INDEX('M03-S01'!$AK$16:$AK$198,2*(ROWS($N$4:N51)-1)+1),"")</f>
        <v/>
      </c>
      <c r="O51" s="456" t="str">
        <f ca="1">IFERROR(IF(ISNUMBER(INDEX('M03-S01'!$AN$16:$AN$198,2*(ROWS($R$4:R51)-1)+1)),INDEX('M03-S01'!$AV$16:$AV$198,2*(ROWS($O$4:O51)-1)+1),""),"")</f>
        <v/>
      </c>
      <c r="P51" s="459"/>
      <c r="Q51" s="184"/>
      <c r="R51" s="184">
        <f ca="1">IF(ISNUMBER(INDEX('M03-S01'!$AN$16:$AN$198,2*(ROWS($R$4:R51)-1)+1)),INDEX('M03-S01'!$AN$16:$AN$198,2*(ROWS($R$4:R51)-1)+1),0)</f>
        <v>0</v>
      </c>
      <c r="S51" s="459"/>
      <c r="T51" s="113"/>
      <c r="U51" s="140"/>
      <c r="V51" s="113"/>
      <c r="W51" s="96" t="str">
        <f ca="1">IFERROR(IF(NOT(ISNUMBER(INDEX('M03-S01'!$AN$16:$AN$198,2*(ROWS($R$4:R51)-1)+1))),INDEX('M03-S01'!$BC$16:$BC$198,2*(ROWS($R$4:R51)-1)+1),""),"")</f>
        <v/>
      </c>
      <c r="X51" s="184" t="str">
        <f ca="1">IFERROR(ROUND(IF(ISNUMBER(SEARCH("8ft",INDEX('M03-S01'!$K$16:$K$198,2*(ROWS($X$4:X51)-1)+1))),INDEX('M03-S01'!$I$16:$I$198,2*(ROWS($X$4:X51)-1)+1)/2,INDEX('M03-S01'!$I$16:$I$198,2*(ROWS($X$4:X51)-1)+1)),3),"")</f>
        <v/>
      </c>
      <c r="Y51" s="184" t="str">
        <f ca="1">IFERROR(ROUND(IF(ISNUMBER(SEARCH("8ft",INDEX('M03-S01'!$K$16:$K$198,2*(ROWS($Y$4:Y51)-1)+1))),INDEX('M03-S01'!$Q$16:$Q$198,2*(ROWS($Y$4:Y51)-1)+1)/2,INDEX('M03-S01'!$Q$16:$Q$198,2*(ROWS($Y$4:Y51)-1)+1)),3),"")</f>
        <v/>
      </c>
      <c r="Z51" s="111">
        <f>INDEX('M03-S01'!$B$16:$B$198,2*(ROWS($Z$4:Z51)-1)+1)</f>
        <v>48</v>
      </c>
      <c r="AA51" s="111">
        <f ca="1">IF(ISNUMBER(SEARCH("8ft",INDEX('M03-S01'!$K$16:$K$199,2*(ROWS($Z$4:AA51)-1)+1))),SUBSTITUTE(INDEX('M03-S01'!$K$16:$K$199,2*(ROWS($Z$4:AA51)-1)+1),"8ft","4ft"),INDEX('M03-S01'!$K$16:$K$199,2*(ROWS($Z$4:AA51)-1)+1))</f>
        <v>0</v>
      </c>
      <c r="AB51" s="111">
        <f ca="1">IF(ISNUMBER(SEARCH("8ft",INDEX('M03-S01'!$C$16:$C$199,2*(ROWS($Z$4:AB51)-1)+1))),SUBSTITUTE(INDEX('M03-S01'!$C$16:$C$199,2*(ROWS($Z$4:AB51)-1)+1),"8ft","4ft"),INDEX('M03-S01'!$C$16:$C$199,2*(ROWS($Z$4:AB51)-1)+1))</f>
        <v>0</v>
      </c>
      <c r="AC51" s="96"/>
      <c r="AD51">
        <f>INDEX('M03-S01'!$U$16:$U$198,2*(ROWS($AD$4:AD51)-1)+1)</f>
        <v>0</v>
      </c>
      <c r="AE51" s="459"/>
      <c r="AF51" s="459"/>
      <c r="AG51" s="111" t="str">
        <f ca="1">INDEX('M03-S01'!$AW$16:$AW$198,2*(ROWS($AG$4:AG51)-1)+1)</f>
        <v/>
      </c>
      <c r="AH51" s="111" t="str">
        <f ca="1">INDEX('M03-S01'!$AX$16:$AX$198,2*(ROWS($AH$4:AH51)-1)+1)</f>
        <v/>
      </c>
      <c r="AI51" s="113"/>
      <c r="AJ51" s="113"/>
      <c r="AK51" s="113"/>
      <c r="AL51" s="113"/>
      <c r="AM51" s="113"/>
      <c r="AN51" s="113"/>
      <c r="AO51" s="52" t="str">
        <f ca="1">IFERROR(INDEX(PMEBONUS[Program Design],MATCH(AB51,PMEBONUS[Eff Desc 1])),"")</f>
        <v/>
      </c>
      <c r="AU51"/>
    </row>
    <row r="52" spans="1:47">
      <c r="A52" s="57">
        <f t="shared" si="0"/>
        <v>0</v>
      </c>
      <c r="B52" s="183" t="str">
        <f t="shared" ref="B52:B53" ca="1" si="4">IF(C52="","",CONCATENATE(ROW(),"-",C52))</f>
        <v/>
      </c>
      <c r="C52" s="559" t="str">
        <f ca="1">IFERROR(IF(R52&gt;0,INDEX(PMEBONUS[Measure '#],MATCH(AB52,PMEBONUS[Eff Desc 1],0)),""),"")</f>
        <v/>
      </c>
      <c r="D52" t="s">
        <v>947</v>
      </c>
      <c r="F52" s="185">
        <f>INDEX('M03-S01'!$AB$16:$AB$198,2*(ROWS($F$4:F52)-1)+1)</f>
        <v>0</v>
      </c>
      <c r="G52" s="186">
        <f>INDEX('M03-S01'!$Y$16:$Y$198,2*(ROWS($G$4:G52)-1)+1)</f>
        <v>0</v>
      </c>
      <c r="H52" s="112"/>
      <c r="I52" s="184">
        <f ca="1">IFERROR(ROUND(INDEX('M03-S01'!$S$16:$S$198,2*(ROWS($I$4:I52)-1)+1)*INDEX('M03-S01'!$AE$16:$AE$198,2*(ROWS($I$4:I52)-1)+1),2),0)</f>
        <v>0</v>
      </c>
      <c r="J52" s="184">
        <f ca="1">IFERROR(ROUND(INDEX('M03-S01'!$S$16:$S$198,2*(ROWS($J$4:J52)-1)+1)*INDEX('M03-S01'!$AG$16:$AG$198,2*(ROWS($J$4:J52)-1)+1),2),0)</f>
        <v>0</v>
      </c>
      <c r="K52" s="52">
        <f ca="1">IFERROR(ROUND(INDEX('M03-S01'!$AU$16:$AU$198,2*(ROWS($K$4:K52)-1)+1),2),0)</f>
        <v>0</v>
      </c>
      <c r="M52" s="456">
        <f ca="1">IF(ISNUMBER(SEARCH("8ft",INDEX('M03-S01'!$K$16:$K$198,2*(ROWS($M$4:M52)-1)+1))),INDEX('M03-S01'!$S$16:$S$198,2*(ROWS($M$4:M52)-1)+1)*2,INDEX('M03-S01'!$S$16:$S$198,2*(ROWS($M$4:M52)-1)+1))</f>
        <v>0</v>
      </c>
      <c r="N52" s="184" t="str">
        <f ca="1">IF(ISNUMBER(INDEX('M03-S01'!$AN$16:$AN$198,2*(ROWS($R$4:R52)-1)+1)),INDEX('M03-S01'!$AK$16:$AK$198,2*(ROWS($N$4:N52)-1)+1),"")</f>
        <v/>
      </c>
      <c r="O52" s="456" t="str">
        <f ca="1">IFERROR(IF(ISNUMBER(INDEX('M03-S01'!$AN$16:$AN$198,2*(ROWS($R$4:R52)-1)+1)),INDEX('M03-S01'!$AV$16:$AV$198,2*(ROWS($O$4:O52)-1)+1),""),"")</f>
        <v/>
      </c>
      <c r="P52" s="459"/>
      <c r="Q52" s="184"/>
      <c r="R52" s="184">
        <f ca="1">IF(ISNUMBER(INDEX('M03-S01'!$AN$16:$AN$198,2*(ROWS($R$4:R52)-1)+1)),INDEX('M03-S01'!$AN$16:$AN$198,2*(ROWS($R$4:R52)-1)+1),0)</f>
        <v>0</v>
      </c>
      <c r="S52" s="459"/>
      <c r="T52" s="113"/>
      <c r="U52" s="140"/>
      <c r="V52" s="113"/>
      <c r="W52" s="96" t="str">
        <f ca="1">IFERROR(IF(NOT(ISNUMBER(INDEX('M03-S01'!$AN$16:$AN$198,2*(ROWS($R$4:R52)-1)+1))),INDEX('M03-S01'!$BC$16:$BC$198,2*(ROWS($R$4:R52)-1)+1),""),"")</f>
        <v/>
      </c>
      <c r="X52" s="184" t="str">
        <f ca="1">IFERROR(ROUND(IF(ISNUMBER(SEARCH("8ft",INDEX('M03-S01'!$K$16:$K$198,2*(ROWS($X$4:X52)-1)+1))),INDEX('M03-S01'!$I$16:$I$198,2*(ROWS($X$4:X52)-1)+1)/2,INDEX('M03-S01'!$I$16:$I$198,2*(ROWS($X$4:X52)-1)+1)),3),"")</f>
        <v/>
      </c>
      <c r="Y52" s="184" t="str">
        <f ca="1">IFERROR(ROUND(IF(ISNUMBER(SEARCH("8ft",INDEX('M03-S01'!$K$16:$K$198,2*(ROWS($Y$4:Y52)-1)+1))),INDEX('M03-S01'!$Q$16:$Q$198,2*(ROWS($Y$4:Y52)-1)+1)/2,INDEX('M03-S01'!$Q$16:$Q$198,2*(ROWS($Y$4:Y52)-1)+1)),3),"")</f>
        <v/>
      </c>
      <c r="Z52" s="111">
        <f>INDEX('M03-S01'!$B$16:$B$198,2*(ROWS($Z$4:Z52)-1)+1)</f>
        <v>49</v>
      </c>
      <c r="AA52" s="111">
        <f ca="1">IF(ISNUMBER(SEARCH("8ft",INDEX('M03-S01'!$K$16:$K$199,2*(ROWS($Z$4:AA52)-1)+1))),SUBSTITUTE(INDEX('M03-S01'!$K$16:$K$199,2*(ROWS($Z$4:AA52)-1)+1),"8ft","4ft"),INDEX('M03-S01'!$K$16:$K$199,2*(ROWS($Z$4:AA52)-1)+1))</f>
        <v>0</v>
      </c>
      <c r="AB52" s="111">
        <f ca="1">IF(ISNUMBER(SEARCH("8ft",INDEX('M03-S01'!$C$16:$C$199,2*(ROWS($Z$4:AB52)-1)+1))),SUBSTITUTE(INDEX('M03-S01'!$C$16:$C$199,2*(ROWS($Z$4:AB52)-1)+1),"8ft","4ft"),INDEX('M03-S01'!$C$16:$C$199,2*(ROWS($Z$4:AB52)-1)+1))</f>
        <v>0</v>
      </c>
      <c r="AC52" s="96"/>
      <c r="AD52">
        <f>INDEX('M03-S01'!$U$16:$U$198,2*(ROWS($AD$4:AD52)-1)+1)</f>
        <v>0</v>
      </c>
      <c r="AE52" s="459"/>
      <c r="AF52" s="459"/>
      <c r="AG52" s="111" t="str">
        <f ca="1">INDEX('M03-S01'!$AW$16:$AW$198,2*(ROWS($AG$4:AG52)-1)+1)</f>
        <v/>
      </c>
      <c r="AH52" s="111" t="str">
        <f ca="1">INDEX('M03-S01'!$AX$16:$AX$198,2*(ROWS($AH$4:AH52)-1)+1)</f>
        <v/>
      </c>
      <c r="AI52" s="113"/>
      <c r="AJ52" s="113"/>
      <c r="AK52" s="113"/>
      <c r="AL52" s="113"/>
      <c r="AM52" s="113"/>
      <c r="AN52" s="113"/>
      <c r="AO52" s="52" t="str">
        <f ca="1">IFERROR(INDEX(PMEBONUS[Program Design],MATCH(AB52,PMEBONUS[Eff Desc 1])),"")</f>
        <v/>
      </c>
      <c r="AU52"/>
    </row>
    <row r="53" spans="1:47">
      <c r="A53" s="57">
        <f t="shared" si="0"/>
        <v>0</v>
      </c>
      <c r="B53" s="183" t="str">
        <f t="shared" ca="1" si="4"/>
        <v/>
      </c>
      <c r="C53" s="559" t="str">
        <f ca="1">IFERROR(IF(R53&gt;0,INDEX(PMEBONUS[Measure '#],MATCH(AB53,PMEBONUS[Eff Desc 1],0)),""),"")</f>
        <v/>
      </c>
      <c r="D53" t="s">
        <v>947</v>
      </c>
      <c r="F53" s="185">
        <f>INDEX('M03-S01'!$AB$16:$AB$198,2*(ROWS($F$4:F53)-1)+1)</f>
        <v>0</v>
      </c>
      <c r="G53" s="186">
        <f>INDEX('M03-S01'!$Y$16:$Y$198,2*(ROWS($G$4:G53)-1)+1)</f>
        <v>0</v>
      </c>
      <c r="H53" s="112"/>
      <c r="I53" s="184">
        <f ca="1">IFERROR(ROUND(INDEX('M03-S01'!$S$16:$S$198,2*(ROWS($I$4:I53)-1)+1)*INDEX('M03-S01'!$AE$16:$AE$198,2*(ROWS($I$4:I53)-1)+1),2),0)</f>
        <v>0</v>
      </c>
      <c r="J53" s="184">
        <f ca="1">IFERROR(ROUND(INDEX('M03-S01'!$S$16:$S$198,2*(ROWS($J$4:J53)-1)+1)*INDEX('M03-S01'!$AG$16:$AG$198,2*(ROWS($J$4:J53)-1)+1),2),0)</f>
        <v>0</v>
      </c>
      <c r="K53" s="52">
        <f ca="1">IFERROR(ROUND(INDEX('M03-S01'!$AU$16:$AU$198,2*(ROWS($K$4:K53)-1)+1),2),0)</f>
        <v>0</v>
      </c>
      <c r="M53" s="456">
        <f ca="1">IF(ISNUMBER(SEARCH("8ft",INDEX('M03-S01'!$K$16:$K$198,2*(ROWS($M$4:M53)-1)+1))),INDEX('M03-S01'!$S$16:$S$198,2*(ROWS($M$4:M53)-1)+1)*2,INDEX('M03-S01'!$S$16:$S$198,2*(ROWS($M$4:M53)-1)+1))</f>
        <v>0</v>
      </c>
      <c r="N53" s="184" t="str">
        <f ca="1">IF(ISNUMBER(INDEX('M03-S01'!$AN$16:$AN$198,2*(ROWS($R$4:R53)-1)+1)),INDEX('M03-S01'!$AK$16:$AK$198,2*(ROWS($N$4:N53)-1)+1),"")</f>
        <v/>
      </c>
      <c r="O53" s="456" t="str">
        <f ca="1">IFERROR(IF(ISNUMBER(INDEX('M03-S01'!$AN$16:$AN$198,2*(ROWS($R$4:R53)-1)+1)),INDEX('M03-S01'!$AV$16:$AV$198,2*(ROWS($O$4:O53)-1)+1),""),"")</f>
        <v/>
      </c>
      <c r="P53" s="459"/>
      <c r="Q53" s="184"/>
      <c r="R53" s="184">
        <f ca="1">IF(ISNUMBER(INDEX('M03-S01'!$AN$16:$AN$198,2*(ROWS($R$4:R53)-1)+1)),INDEX('M03-S01'!$AN$16:$AN$198,2*(ROWS($R$4:R53)-1)+1),0)</f>
        <v>0</v>
      </c>
      <c r="S53" s="459"/>
      <c r="T53" s="113"/>
      <c r="U53" s="140"/>
      <c r="V53" s="113"/>
      <c r="W53" s="96" t="str">
        <f ca="1">IFERROR(IF(NOT(ISNUMBER(INDEX('M03-S01'!$AN$16:$AN$198,2*(ROWS($R$4:R53)-1)+1))),INDEX('M03-S01'!$BC$16:$BC$198,2*(ROWS($R$4:R53)-1)+1),""),"")</f>
        <v/>
      </c>
      <c r="X53" s="184" t="str">
        <f ca="1">IFERROR(ROUND(IF(ISNUMBER(SEARCH("8ft",INDEX('M03-S01'!$K$16:$K$198,2*(ROWS($X$4:X53)-1)+1))),INDEX('M03-S01'!$I$16:$I$198,2*(ROWS($X$4:X53)-1)+1)/2,INDEX('M03-S01'!$I$16:$I$198,2*(ROWS($X$4:X53)-1)+1)),3),"")</f>
        <v/>
      </c>
      <c r="Y53" s="184" t="str">
        <f ca="1">IFERROR(ROUND(IF(ISNUMBER(SEARCH("8ft",INDEX('M03-S01'!$K$16:$K$198,2*(ROWS($Y$4:Y53)-1)+1))),INDEX('M03-S01'!$Q$16:$Q$198,2*(ROWS($Y$4:Y53)-1)+1)/2,INDEX('M03-S01'!$Q$16:$Q$198,2*(ROWS($Y$4:Y53)-1)+1)),3),"")</f>
        <v/>
      </c>
      <c r="Z53" s="111">
        <f>INDEX('M03-S01'!$B$16:$B$198,2*(ROWS($Z$4:Z53)-1)+1)</f>
        <v>50</v>
      </c>
      <c r="AA53" s="111">
        <f ca="1">IF(ISNUMBER(SEARCH("8ft",INDEX('M03-S01'!$K$16:$K$199,2*(ROWS($Z$4:AA53)-1)+1))),SUBSTITUTE(INDEX('M03-S01'!$K$16:$K$199,2*(ROWS($Z$4:AA53)-1)+1),"8ft","4ft"),INDEX('M03-S01'!$K$16:$K$199,2*(ROWS($Z$4:AA53)-1)+1))</f>
        <v>0</v>
      </c>
      <c r="AB53" s="111">
        <f ca="1">IF(ISNUMBER(SEARCH("8ft",INDEX('M03-S01'!$C$16:$C$199,2*(ROWS($Z$4:AB53)-1)+1))),SUBSTITUTE(INDEX('M03-S01'!$C$16:$C$199,2*(ROWS($Z$4:AB53)-1)+1),"8ft","4ft"),INDEX('M03-S01'!$C$16:$C$199,2*(ROWS($Z$4:AB53)-1)+1))</f>
        <v>0</v>
      </c>
      <c r="AC53" s="96"/>
      <c r="AD53">
        <f>INDEX('M03-S01'!$U$16:$U$198,2*(ROWS($AD$4:AD53)-1)+1)</f>
        <v>0</v>
      </c>
      <c r="AE53" s="459"/>
      <c r="AF53" s="459"/>
      <c r="AG53" s="111" t="str">
        <f ca="1">INDEX('M03-S01'!$AW$16:$AW$198,2*(ROWS($AG$4:AG53)-1)+1)</f>
        <v/>
      </c>
      <c r="AH53" s="111" t="str">
        <f ca="1">INDEX('M03-S01'!$AX$16:$AX$198,2*(ROWS($AH$4:AH53)-1)+1)</f>
        <v/>
      </c>
      <c r="AI53" s="113"/>
      <c r="AJ53" s="113"/>
      <c r="AK53" s="113"/>
      <c r="AL53" s="113"/>
      <c r="AM53" s="113"/>
      <c r="AN53" s="113"/>
      <c r="AO53" s="52" t="str">
        <f ca="1">IFERROR(INDEX(PMEBONUS[Program Design],MATCH(AB53,PMEBONUS[Eff Desc 1])),"")</f>
        <v/>
      </c>
      <c r="AU53"/>
    </row>
    <row r="54" spans="1:47">
      <c r="A54" s="146" t="str">
        <f>CONCATENATE(MAIN3," ",M3S2)</f>
        <v>PRESCRIPTIVE MEASURES INPUT Lighting Controls</v>
      </c>
      <c r="B54" s="148"/>
      <c r="C54" s="148"/>
      <c r="D54" s="120"/>
      <c r="E54" s="120"/>
      <c r="F54" s="124"/>
      <c r="G54" s="120"/>
      <c r="H54" s="120"/>
      <c r="I54" s="125"/>
      <c r="J54" s="125"/>
      <c r="K54" s="125"/>
      <c r="L54" s="125"/>
      <c r="M54" s="457"/>
      <c r="N54" s="125"/>
      <c r="O54" s="457"/>
      <c r="P54" s="125"/>
      <c r="Q54" s="125"/>
      <c r="R54" s="125"/>
      <c r="S54" s="457"/>
      <c r="T54" s="125"/>
      <c r="U54" s="138"/>
      <c r="V54" s="125"/>
      <c r="W54" s="120"/>
      <c r="X54" s="125"/>
      <c r="Y54" s="125"/>
      <c r="Z54" s="124"/>
      <c r="AA54" s="124"/>
      <c r="AB54" s="124"/>
      <c r="AC54" s="120"/>
      <c r="AD54" s="120"/>
      <c r="AE54" s="457"/>
      <c r="AF54" s="457"/>
      <c r="AG54" s="124"/>
      <c r="AH54" s="124"/>
      <c r="AI54" s="124"/>
      <c r="AJ54" s="124"/>
      <c r="AK54" s="125"/>
      <c r="AL54" s="125"/>
      <c r="AM54" s="125"/>
      <c r="AN54" s="125"/>
      <c r="AO54" s="125"/>
      <c r="AU54"/>
    </row>
    <row r="55" spans="1:47">
      <c r="A55" s="57">
        <f t="shared" ref="A55:A104" si="5">PROJID</f>
        <v>0</v>
      </c>
      <c r="B55" s="183" t="str">
        <f t="shared" ref="B55:B103" si="6">IF(C55="","",CONCATENATE(ROW(),"-",C55))</f>
        <v/>
      </c>
      <c r="C55" t="str">
        <f>IFERROR(IF(R55&gt;0,INDEX(PMELIGHTCON[Measure '#],MATCH(AB55,PMELIGHTCON[Eff Desc 1],0)),""),"")</f>
        <v/>
      </c>
      <c r="D55" t="s">
        <v>947</v>
      </c>
      <c r="F55" s="112"/>
      <c r="G55" s="186">
        <f>INDEX('M03-S02'!$AB$16:$AB$198,2*(ROWS($G$55:G55)-1)+1)</f>
        <v>0</v>
      </c>
      <c r="H55" s="186" t="str">
        <f>IF(ISNUMBER(INDEX('M03-S02'!$AN$16:$AN$198,2*(ROWS($R$55:R55)-1)+1)),"Total","")</f>
        <v/>
      </c>
      <c r="I55" s="184">
        <f>ROUND(INDEX('M03-S02'!$AE$16:$AE$198,2*(ROWS($I$55:I55)-1)+1),2)</f>
        <v>0</v>
      </c>
      <c r="J55" s="184">
        <f>ROUND(INDEX('M03-S02'!$AG$16:$AG$198,2*(ROWS($J$55:J55)-1)+1),2)</f>
        <v>0</v>
      </c>
      <c r="K55" s="52">
        <f>IFERROR(ROUND(INDEX('M03-S02'!$AU$16:$AU$198,2*(ROWS($K$55:K55)-1)+1),2),0)</f>
        <v>0</v>
      </c>
      <c r="L55" s="52" t="str">
        <f>IFERROR(IF(R55&gt;0,M55*INDEX(PMELIGHTCON[Incremental Cost],MATCH(AB55,PMELIGHTCON[Eff Desc 1],0)),""),"")</f>
        <v/>
      </c>
      <c r="M55" s="456">
        <f>INDEX('M03-S02'!$Q$16:$Q$198,2*(ROWS($M$55:M55)-1)+1)</f>
        <v>0</v>
      </c>
      <c r="N55" s="184" t="str">
        <f>IFERROR(INDEX('M03-S02'!$AK$16:$AK$198,2*(ROWS($N$55:N55)-1)+1),"")</f>
        <v/>
      </c>
      <c r="O55" s="456" t="str">
        <f>IFERROR(INDEX('M03-S02'!$AV$16:$AV$198,2*(ROWS($O$55:O55)-1)+1),"")</f>
        <v/>
      </c>
      <c r="P55" s="459"/>
      <c r="Q55" s="184" t="str">
        <f>IFERROR(IF(ISNUMBER(INDEX('M03-S02'!$AN$16:$AN$198,2*(ROWS($R$55:R55)-1)+1)),INDEX('M03-S02'!$AX$16:$AX$198,2*(ROWS($Q$55:Q55)-1)+1),""),"")</f>
        <v/>
      </c>
      <c r="R55" s="184">
        <f>IF(ISNUMBER(INDEX('M03-S02'!$AN$16:$AN$198,2*(ROWS($R$55:R55)-1)+1)),INDEX('M03-S02'!$AN$16:$AN$198,2*(ROWS($R$55:R55)-1)+1),0)</f>
        <v>0</v>
      </c>
      <c r="S55" s="459"/>
      <c r="T55" s="113"/>
      <c r="U55" s="140"/>
      <c r="V55" s="113"/>
      <c r="W55" s="96" t="str">
        <f>IFERROR(IF(NOT(ISNUMBER(INDEX('M03-S02'!$AN$16:$AN$198,2*(ROWS($R$55:R55)-1)+1))),INDEX('M03-S02'!$BC$16:$BC$198,2*(ROWS($R$55:R55)-1)+1),""),"")</f>
        <v/>
      </c>
      <c r="X55" s="113"/>
      <c r="Y55" s="113"/>
      <c r="Z55" s="111">
        <f>INDEX('M03-S02'!$B$16:$B$198,2*(ROWS($Z$55:Z55)-1)+1)</f>
        <v>1</v>
      </c>
      <c r="AA55" s="111" t="str">
        <f>INDEX('M03-S02'!$I$16:$I$199,2*(ROWS($Z$55:AA55)-1)+1)</f>
        <v/>
      </c>
      <c r="AB55" s="111">
        <f>INDEX('M03-S02'!$C$16:$C$198,2*(ROWS($Z$55:AB55)-1)+1)</f>
        <v>0</v>
      </c>
      <c r="AC55" s="96"/>
      <c r="AD55">
        <f>INDEX('M03-S02'!$X$16:$X$198,2*(ROWS($AD$55:AD55)-1)+1)</f>
        <v>0</v>
      </c>
      <c r="AE55" s="459"/>
      <c r="AF55" s="459"/>
      <c r="AG55" s="112"/>
      <c r="AH55" s="112"/>
      <c r="AI55" s="112"/>
      <c r="AJ55" s="112"/>
      <c r="AK55" s="113"/>
      <c r="AL55" s="113"/>
      <c r="AM55" s="113"/>
      <c r="AN55" s="113"/>
      <c r="AO55" s="52" t="str">
        <f>IFERROR(INDEX(PMELIGHTCON[Program Design],MATCH(AB55,PMELIGHTCON[Eff Desc 1],0)),"")</f>
        <v/>
      </c>
      <c r="AU55"/>
    </row>
    <row r="56" spans="1:47">
      <c r="A56" s="57">
        <f t="shared" si="5"/>
        <v>0</v>
      </c>
      <c r="B56" s="183" t="str">
        <f t="shared" ref="B56:B90" si="7">IF(C56="","",CONCATENATE(ROW(),"-",C56))</f>
        <v/>
      </c>
      <c r="C56" t="str">
        <f>IFERROR(IF(R56&gt;0,INDEX(PMELIGHTCON[Measure '#],MATCH(AB56,PMELIGHTCON[Eff Desc 1],0)),""),"")</f>
        <v/>
      </c>
      <c r="D56" t="s">
        <v>947</v>
      </c>
      <c r="F56" s="112"/>
      <c r="G56" s="186">
        <f>INDEX('M03-S02'!$AB$16:$AB$198,2*(ROWS($G$55:G56)-1)+1)</f>
        <v>0</v>
      </c>
      <c r="H56" s="186" t="str">
        <f>IF(ISNUMBER(INDEX('M03-S02'!$AN$16:$AN$198,2*(ROWS($R$55:R56)-1)+1)),"Total","")</f>
        <v/>
      </c>
      <c r="I56" s="184">
        <f>ROUND(INDEX('M03-S02'!$AE$16:$AE$198,2*(ROWS($I$55:I56)-1)+1),2)</f>
        <v>0</v>
      </c>
      <c r="J56" s="184">
        <f>ROUND(INDEX('M03-S02'!$AG$16:$AG$198,2*(ROWS($J$55:J56)-1)+1),2)</f>
        <v>0</v>
      </c>
      <c r="K56" s="52">
        <f>IFERROR(ROUND(INDEX('M03-S02'!$AU$16:$AU$198,2*(ROWS($K$55:K56)-1)+1),2),0)</f>
        <v>0</v>
      </c>
      <c r="L56" s="52" t="str">
        <f>IFERROR(IF(R56&gt;0,M56*INDEX(PMELIGHTCON[Incremental Cost],MATCH(AB56,PMELIGHTCON[Eff Desc 1],0)),""),"")</f>
        <v/>
      </c>
      <c r="M56" s="456">
        <f>INDEX('M03-S02'!$Q$16:$Q$198,2*(ROWS($M$55:M56)-1)+1)</f>
        <v>0</v>
      </c>
      <c r="N56" s="184" t="str">
        <f>IFERROR(INDEX('M03-S02'!$AK$16:$AK$198,2*(ROWS($N$55:N56)-1)+1),"")</f>
        <v/>
      </c>
      <c r="O56" s="456" t="str">
        <f>IFERROR(INDEX('M03-S02'!$AV$16:$AV$198,2*(ROWS($O$55:O56)-1)+1),"")</f>
        <v/>
      </c>
      <c r="P56" s="459"/>
      <c r="Q56" s="184" t="str">
        <f>IFERROR(IF(ISNUMBER(INDEX('M03-S02'!$AN$16:$AN$198,2*(ROWS($R$55:R56)-1)+1)),INDEX('M03-S02'!$AX$16:$AX$198,2*(ROWS($Q$55:Q56)-1)+1),""),"")</f>
        <v/>
      </c>
      <c r="R56" s="184">
        <f>IF(ISNUMBER(INDEX('M03-S02'!$AN$16:$AN$198,2*(ROWS($R$55:R56)-1)+1)),INDEX('M03-S02'!$AN$16:$AN$198,2*(ROWS($R$55:R56)-1)+1),0)</f>
        <v>0</v>
      </c>
      <c r="S56" s="459"/>
      <c r="T56" s="113"/>
      <c r="U56" s="140"/>
      <c r="V56" s="113"/>
      <c r="W56" s="96" t="str">
        <f>IFERROR(IF(NOT(ISNUMBER(INDEX('M03-S02'!$AN$16:$AN$198,2*(ROWS($R$55:R56)-1)+1))),INDEX('M03-S02'!$BC$16:$BC$198,2*(ROWS($R$55:R56)-1)+1),""),"")</f>
        <v/>
      </c>
      <c r="X56" s="113"/>
      <c r="Y56" s="113"/>
      <c r="Z56" s="111">
        <f>INDEX('M03-S02'!$B$16:$B$198,2*(ROWS($Z$55:Z56)-1)+1)</f>
        <v>2</v>
      </c>
      <c r="AA56" s="111" t="str">
        <f>INDEX('M03-S02'!$I$16:$I$199,2*(ROWS($Z$55:AA56)-1)+1)</f>
        <v/>
      </c>
      <c r="AB56" s="111">
        <f>INDEX('M03-S02'!$C$16:$C$198,2*(ROWS($Z$55:AB56)-1)+1)</f>
        <v>0</v>
      </c>
      <c r="AC56" s="96"/>
      <c r="AD56">
        <f>INDEX('M03-S02'!$X$16:$X$198,2*(ROWS($AD$55:AD56)-1)+1)</f>
        <v>0</v>
      </c>
      <c r="AE56" s="459"/>
      <c r="AF56" s="459"/>
      <c r="AG56" s="112"/>
      <c r="AH56" s="112"/>
      <c r="AI56" s="112"/>
      <c r="AJ56" s="112"/>
      <c r="AK56" s="113"/>
      <c r="AL56" s="113"/>
      <c r="AM56" s="113"/>
      <c r="AN56" s="113"/>
      <c r="AO56" s="52" t="str">
        <f>IFERROR(INDEX(PMELIGHTCON[Program Design],MATCH(AB56,PMELIGHTCON[Eff Desc 1],0)),"")</f>
        <v/>
      </c>
      <c r="AU56"/>
    </row>
    <row r="57" spans="1:47">
      <c r="A57" s="57">
        <f t="shared" si="5"/>
        <v>0</v>
      </c>
      <c r="B57" s="183" t="str">
        <f t="shared" si="7"/>
        <v/>
      </c>
      <c r="C57" t="str">
        <f>IFERROR(IF(R57&gt;0,INDEX(PMELIGHTCON[Measure '#],MATCH(AB57,PMELIGHTCON[Eff Desc 1],0)),""),"")</f>
        <v/>
      </c>
      <c r="D57" t="s">
        <v>947</v>
      </c>
      <c r="F57" s="112"/>
      <c r="G57" s="186">
        <f>INDEX('M03-S02'!$AB$16:$AB$198,2*(ROWS($G$55:G57)-1)+1)</f>
        <v>0</v>
      </c>
      <c r="H57" s="186" t="str">
        <f>IF(ISNUMBER(INDEX('M03-S02'!$AN$16:$AN$198,2*(ROWS($R$55:R57)-1)+1)),"Total","")</f>
        <v/>
      </c>
      <c r="I57" s="184">
        <f>ROUND(INDEX('M03-S02'!$AE$16:$AE$198,2*(ROWS($I$55:I57)-1)+1),2)</f>
        <v>0</v>
      </c>
      <c r="J57" s="184">
        <f>ROUND(INDEX('M03-S02'!$AG$16:$AG$198,2*(ROWS($J$55:J57)-1)+1),2)</f>
        <v>0</v>
      </c>
      <c r="K57" s="52">
        <f>IFERROR(ROUND(INDEX('M03-S02'!$AU$16:$AU$198,2*(ROWS($K$55:K57)-1)+1),2),0)</f>
        <v>0</v>
      </c>
      <c r="L57" s="52" t="str">
        <f>IFERROR(IF(R57&gt;0,M57*INDEX(PMELIGHTCON[Incremental Cost],MATCH(AB57,PMELIGHTCON[Eff Desc 1],0)),""),"")</f>
        <v/>
      </c>
      <c r="M57" s="456">
        <f>INDEX('M03-S02'!$Q$16:$Q$198,2*(ROWS($M$55:M57)-1)+1)</f>
        <v>0</v>
      </c>
      <c r="N57" s="184" t="str">
        <f>IFERROR(INDEX('M03-S02'!$AK$16:$AK$198,2*(ROWS($N$55:N57)-1)+1),"")</f>
        <v/>
      </c>
      <c r="O57" s="456" t="str">
        <f>IFERROR(INDEX('M03-S02'!$AV$16:$AV$198,2*(ROWS($O$55:O57)-1)+1),"")</f>
        <v/>
      </c>
      <c r="P57" s="459"/>
      <c r="Q57" s="184" t="str">
        <f>IFERROR(IF(ISNUMBER(INDEX('M03-S02'!$AN$16:$AN$198,2*(ROWS($R$55:R57)-1)+1)),INDEX('M03-S02'!$AX$16:$AX$198,2*(ROWS($Q$55:Q57)-1)+1),""),"")</f>
        <v/>
      </c>
      <c r="R57" s="184">
        <f>IF(ISNUMBER(INDEX('M03-S02'!$AN$16:$AN$198,2*(ROWS($R$55:R57)-1)+1)),INDEX('M03-S02'!$AN$16:$AN$198,2*(ROWS($R$55:R57)-1)+1),0)</f>
        <v>0</v>
      </c>
      <c r="S57" s="459"/>
      <c r="T57" s="113"/>
      <c r="U57" s="140"/>
      <c r="V57" s="113"/>
      <c r="W57" s="96" t="str">
        <f>IFERROR(IF(NOT(ISNUMBER(INDEX('M03-S02'!$AN$16:$AN$198,2*(ROWS($R$55:R57)-1)+1))),INDEX('M03-S02'!$BC$16:$BC$198,2*(ROWS($R$55:R57)-1)+1),""),"")</f>
        <v/>
      </c>
      <c r="X57" s="113"/>
      <c r="Y57" s="113"/>
      <c r="Z57" s="111">
        <f>INDEX('M03-S02'!$B$16:$B$198,2*(ROWS($Z$55:Z57)-1)+1)</f>
        <v>3</v>
      </c>
      <c r="AA57" s="111" t="str">
        <f>INDEX('M03-S02'!$I$16:$I$199,2*(ROWS($Z$55:AA57)-1)+1)</f>
        <v/>
      </c>
      <c r="AB57" s="111">
        <f>INDEX('M03-S02'!$C$16:$C$198,2*(ROWS($Z$55:AB57)-1)+1)</f>
        <v>0</v>
      </c>
      <c r="AC57" s="96"/>
      <c r="AD57">
        <f>INDEX('M03-S02'!$X$16:$X$198,2*(ROWS($AD$55:AD57)-1)+1)</f>
        <v>0</v>
      </c>
      <c r="AE57" s="459"/>
      <c r="AF57" s="459"/>
      <c r="AG57" s="112"/>
      <c r="AH57" s="112"/>
      <c r="AI57" s="112"/>
      <c r="AJ57" s="112"/>
      <c r="AK57" s="113"/>
      <c r="AL57" s="113"/>
      <c r="AM57" s="113"/>
      <c r="AN57" s="113"/>
      <c r="AO57" s="52" t="str">
        <f>IFERROR(INDEX(PMELIGHTCON[Program Design],MATCH(AB57,PMELIGHTCON[Eff Desc 1],0)),"")</f>
        <v/>
      </c>
      <c r="AU57"/>
    </row>
    <row r="58" spans="1:47">
      <c r="A58" s="57">
        <f t="shared" si="5"/>
        <v>0</v>
      </c>
      <c r="B58" s="183" t="str">
        <f t="shared" si="7"/>
        <v/>
      </c>
      <c r="C58" t="str">
        <f>IFERROR(IF(R58&gt;0,INDEX(PMELIGHTCON[Measure '#],MATCH(AB58,PMELIGHTCON[Eff Desc 1],0)),""),"")</f>
        <v/>
      </c>
      <c r="D58" t="s">
        <v>947</v>
      </c>
      <c r="F58" s="112"/>
      <c r="G58" s="186">
        <f>INDEX('M03-S02'!$AB$16:$AB$198,2*(ROWS($G$55:G58)-1)+1)</f>
        <v>0</v>
      </c>
      <c r="H58" s="186" t="str">
        <f>IF(ISNUMBER(INDEX('M03-S02'!$AN$16:$AN$198,2*(ROWS($R$55:R58)-1)+1)),"Total","")</f>
        <v/>
      </c>
      <c r="I58" s="184">
        <f>ROUND(INDEX('M03-S02'!$AE$16:$AE$198,2*(ROWS($I$55:I58)-1)+1),2)</f>
        <v>0</v>
      </c>
      <c r="J58" s="184">
        <f>ROUND(INDEX('M03-S02'!$AG$16:$AG$198,2*(ROWS($J$55:J58)-1)+1),2)</f>
        <v>0</v>
      </c>
      <c r="K58" s="52">
        <f>IFERROR(ROUND(INDEX('M03-S02'!$AU$16:$AU$198,2*(ROWS($K$55:K58)-1)+1),2),0)</f>
        <v>0</v>
      </c>
      <c r="L58" s="52" t="str">
        <f>IFERROR(IF(R58&gt;0,M58*INDEX(PMELIGHTCON[Incremental Cost],MATCH(AB58,PMELIGHTCON[Eff Desc 1],0)),""),"")</f>
        <v/>
      </c>
      <c r="M58" s="456">
        <f>INDEX('M03-S02'!$Q$16:$Q$198,2*(ROWS($M$55:M58)-1)+1)</f>
        <v>0</v>
      </c>
      <c r="N58" s="184" t="str">
        <f>IFERROR(INDEX('M03-S02'!$AK$16:$AK$198,2*(ROWS($N$55:N58)-1)+1),"")</f>
        <v/>
      </c>
      <c r="O58" s="456" t="str">
        <f>IFERROR(INDEX('M03-S02'!$AV$16:$AV$198,2*(ROWS($O$55:O58)-1)+1),"")</f>
        <v/>
      </c>
      <c r="P58" s="459"/>
      <c r="Q58" s="184" t="str">
        <f>IFERROR(IF(ISNUMBER(INDEX('M03-S02'!$AN$16:$AN$198,2*(ROWS($R$55:R58)-1)+1)),INDEX('M03-S02'!$AX$16:$AX$198,2*(ROWS($Q$55:Q58)-1)+1),""),"")</f>
        <v/>
      </c>
      <c r="R58" s="184">
        <f>IF(ISNUMBER(INDEX('M03-S02'!$AN$16:$AN$198,2*(ROWS($R$55:R58)-1)+1)),INDEX('M03-S02'!$AN$16:$AN$198,2*(ROWS($R$55:R58)-1)+1),0)</f>
        <v>0</v>
      </c>
      <c r="S58" s="459"/>
      <c r="T58" s="113"/>
      <c r="U58" s="140"/>
      <c r="V58" s="113"/>
      <c r="W58" s="96" t="str">
        <f>IFERROR(IF(NOT(ISNUMBER(INDEX('M03-S02'!$AN$16:$AN$198,2*(ROWS($R$55:R58)-1)+1))),INDEX('M03-S02'!$BC$16:$BC$198,2*(ROWS($R$55:R58)-1)+1),""),"")</f>
        <v/>
      </c>
      <c r="X58" s="113"/>
      <c r="Y58" s="113"/>
      <c r="Z58" s="111">
        <f>INDEX('M03-S02'!$B$16:$B$198,2*(ROWS($Z$55:Z58)-1)+1)</f>
        <v>4</v>
      </c>
      <c r="AA58" s="111" t="str">
        <f>INDEX('M03-S02'!$I$16:$I$199,2*(ROWS($Z$55:AA58)-1)+1)</f>
        <v/>
      </c>
      <c r="AB58" s="111">
        <f>INDEX('M03-S02'!$C$16:$C$198,2*(ROWS($Z$55:AB58)-1)+1)</f>
        <v>0</v>
      </c>
      <c r="AC58" s="96"/>
      <c r="AD58">
        <f>INDEX('M03-S02'!$X$16:$X$198,2*(ROWS($AD$55:AD58)-1)+1)</f>
        <v>0</v>
      </c>
      <c r="AE58" s="459"/>
      <c r="AF58" s="459"/>
      <c r="AG58" s="112"/>
      <c r="AH58" s="112"/>
      <c r="AI58" s="112"/>
      <c r="AJ58" s="112"/>
      <c r="AK58" s="113"/>
      <c r="AL58" s="113"/>
      <c r="AM58" s="113"/>
      <c r="AN58" s="113"/>
      <c r="AO58" s="52" t="str">
        <f>IFERROR(INDEX(PMELIGHTCON[Program Design],MATCH(AB58,PMELIGHTCON[Eff Desc 1],0)),"")</f>
        <v/>
      </c>
      <c r="AU58"/>
    </row>
    <row r="59" spans="1:47">
      <c r="A59" s="57">
        <f t="shared" si="5"/>
        <v>0</v>
      </c>
      <c r="B59" s="183" t="str">
        <f t="shared" si="7"/>
        <v/>
      </c>
      <c r="C59" t="str">
        <f>IFERROR(IF(R59&gt;0,INDEX(PMELIGHTCON[Measure '#],MATCH(AB59,PMELIGHTCON[Eff Desc 1],0)),""),"")</f>
        <v/>
      </c>
      <c r="D59" t="s">
        <v>947</v>
      </c>
      <c r="F59" s="112"/>
      <c r="G59" s="186">
        <f>INDEX('M03-S02'!$AB$16:$AB$198,2*(ROWS($G$55:G59)-1)+1)</f>
        <v>0</v>
      </c>
      <c r="H59" s="186" t="str">
        <f>IF(ISNUMBER(INDEX('M03-S02'!$AN$16:$AN$198,2*(ROWS($R$55:R59)-1)+1)),"Total","")</f>
        <v/>
      </c>
      <c r="I59" s="184">
        <f>ROUND(INDEX('M03-S02'!$AE$16:$AE$198,2*(ROWS($I$55:I59)-1)+1),2)</f>
        <v>0</v>
      </c>
      <c r="J59" s="184">
        <f>ROUND(INDEX('M03-S02'!$AG$16:$AG$198,2*(ROWS($J$55:J59)-1)+1),2)</f>
        <v>0</v>
      </c>
      <c r="K59" s="52">
        <f>IFERROR(ROUND(INDEX('M03-S02'!$AU$16:$AU$198,2*(ROWS($K$55:K59)-1)+1),2),0)</f>
        <v>0</v>
      </c>
      <c r="L59" s="52" t="str">
        <f>IFERROR(IF(R59&gt;0,M59*INDEX(PMELIGHTCON[Incremental Cost],MATCH(AB59,PMELIGHTCON[Eff Desc 1],0)),""),"")</f>
        <v/>
      </c>
      <c r="M59" s="456">
        <f>INDEX('M03-S02'!$Q$16:$Q$198,2*(ROWS($M$55:M59)-1)+1)</f>
        <v>0</v>
      </c>
      <c r="N59" s="184" t="str">
        <f>IFERROR(INDEX('M03-S02'!$AK$16:$AK$198,2*(ROWS($N$55:N59)-1)+1),"")</f>
        <v/>
      </c>
      <c r="O59" s="456" t="str">
        <f>IFERROR(INDEX('M03-S02'!$AV$16:$AV$198,2*(ROWS($O$55:O59)-1)+1),"")</f>
        <v/>
      </c>
      <c r="P59" s="459"/>
      <c r="Q59" s="184" t="str">
        <f>IFERROR(IF(ISNUMBER(INDEX('M03-S02'!$AN$16:$AN$198,2*(ROWS($R$55:R59)-1)+1)),INDEX('M03-S02'!$AX$16:$AX$198,2*(ROWS($Q$55:Q59)-1)+1),""),"")</f>
        <v/>
      </c>
      <c r="R59" s="184">
        <f>IF(ISNUMBER(INDEX('M03-S02'!$AN$16:$AN$198,2*(ROWS($R$55:R59)-1)+1)),INDEX('M03-S02'!$AN$16:$AN$198,2*(ROWS($R$55:R59)-1)+1),0)</f>
        <v>0</v>
      </c>
      <c r="S59" s="459"/>
      <c r="T59" s="113"/>
      <c r="U59" s="140"/>
      <c r="V59" s="113"/>
      <c r="W59" s="96" t="str">
        <f>IFERROR(IF(NOT(ISNUMBER(INDEX('M03-S02'!$AN$16:$AN$198,2*(ROWS($R$55:R59)-1)+1))),INDEX('M03-S02'!$BC$16:$BC$198,2*(ROWS($R$55:R59)-1)+1),""),"")</f>
        <v/>
      </c>
      <c r="X59" s="113"/>
      <c r="Y59" s="113"/>
      <c r="Z59" s="111">
        <f>INDEX('M03-S02'!$B$16:$B$198,2*(ROWS($Z$55:Z59)-1)+1)</f>
        <v>5</v>
      </c>
      <c r="AA59" s="111" t="str">
        <f>INDEX('M03-S02'!$I$16:$I$199,2*(ROWS($Z$55:AA59)-1)+1)</f>
        <v/>
      </c>
      <c r="AB59" s="111">
        <f>INDEX('M03-S02'!$C$16:$C$198,2*(ROWS($Z$55:AB59)-1)+1)</f>
        <v>0</v>
      </c>
      <c r="AC59" s="96"/>
      <c r="AD59">
        <f>INDEX('M03-S02'!$X$16:$X$198,2*(ROWS($AD$55:AD59)-1)+1)</f>
        <v>0</v>
      </c>
      <c r="AE59" s="459"/>
      <c r="AF59" s="459"/>
      <c r="AG59" s="112"/>
      <c r="AH59" s="112"/>
      <c r="AI59" s="112"/>
      <c r="AJ59" s="112"/>
      <c r="AK59" s="113"/>
      <c r="AL59" s="113"/>
      <c r="AM59" s="113"/>
      <c r="AN59" s="113"/>
      <c r="AO59" s="52" t="str">
        <f>IFERROR(INDEX(PMELIGHTCON[Program Design],MATCH(AB59,PMELIGHTCON[Eff Desc 1],0)),"")</f>
        <v/>
      </c>
      <c r="AU59"/>
    </row>
    <row r="60" spans="1:47">
      <c r="A60" s="57">
        <f t="shared" si="5"/>
        <v>0</v>
      </c>
      <c r="B60" s="183" t="str">
        <f t="shared" si="7"/>
        <v/>
      </c>
      <c r="C60" t="str">
        <f>IFERROR(IF(R60&gt;0,INDEX(PMELIGHTCON[Measure '#],MATCH(AB60,PMELIGHTCON[Eff Desc 1],0)),""),"")</f>
        <v/>
      </c>
      <c r="D60" t="s">
        <v>947</v>
      </c>
      <c r="F60" s="112"/>
      <c r="G60" s="186">
        <f>INDEX('M03-S02'!$AB$16:$AB$198,2*(ROWS($G$55:G60)-1)+1)</f>
        <v>0</v>
      </c>
      <c r="H60" s="186" t="str">
        <f>IF(ISNUMBER(INDEX('M03-S02'!$AN$16:$AN$198,2*(ROWS($R$55:R60)-1)+1)),"Total","")</f>
        <v/>
      </c>
      <c r="I60" s="184">
        <f>ROUND(INDEX('M03-S02'!$AE$16:$AE$198,2*(ROWS($I$55:I60)-1)+1),2)</f>
        <v>0</v>
      </c>
      <c r="J60" s="184">
        <f>ROUND(INDEX('M03-S02'!$AG$16:$AG$198,2*(ROWS($J$55:J60)-1)+1),2)</f>
        <v>0</v>
      </c>
      <c r="K60" s="52">
        <f>IFERROR(ROUND(INDEX('M03-S02'!$AU$16:$AU$198,2*(ROWS($K$55:K60)-1)+1),2),0)</f>
        <v>0</v>
      </c>
      <c r="L60" s="52" t="str">
        <f>IFERROR(IF(R60&gt;0,M60*INDEX(PMELIGHTCON[Incremental Cost],MATCH(AB60,PMELIGHTCON[Eff Desc 1],0)),""),"")</f>
        <v/>
      </c>
      <c r="M60" s="456">
        <f>INDEX('M03-S02'!$Q$16:$Q$198,2*(ROWS($M$55:M60)-1)+1)</f>
        <v>0</v>
      </c>
      <c r="N60" s="184" t="str">
        <f>IFERROR(INDEX('M03-S02'!$AK$16:$AK$198,2*(ROWS($N$55:N60)-1)+1),"")</f>
        <v/>
      </c>
      <c r="O60" s="456" t="str">
        <f>IFERROR(INDEX('M03-S02'!$AV$16:$AV$198,2*(ROWS($O$55:O60)-1)+1),"")</f>
        <v/>
      </c>
      <c r="P60" s="459"/>
      <c r="Q60" s="184" t="str">
        <f>IFERROR(IF(ISNUMBER(INDEX('M03-S02'!$AN$16:$AN$198,2*(ROWS($R$55:R60)-1)+1)),INDEX('M03-S02'!$AX$16:$AX$198,2*(ROWS($Q$55:Q60)-1)+1),""),"")</f>
        <v/>
      </c>
      <c r="R60" s="184">
        <f>IF(ISNUMBER(INDEX('M03-S02'!$AN$16:$AN$198,2*(ROWS($R$55:R60)-1)+1)),INDEX('M03-S02'!$AN$16:$AN$198,2*(ROWS($R$55:R60)-1)+1),0)</f>
        <v>0</v>
      </c>
      <c r="S60" s="459"/>
      <c r="T60" s="113"/>
      <c r="U60" s="140"/>
      <c r="V60" s="113"/>
      <c r="W60" s="96" t="str">
        <f>IFERROR(IF(NOT(ISNUMBER(INDEX('M03-S02'!$AN$16:$AN$198,2*(ROWS($R$55:R60)-1)+1))),INDEX('M03-S02'!$BC$16:$BC$198,2*(ROWS($R$55:R60)-1)+1),""),"")</f>
        <v/>
      </c>
      <c r="X60" s="113"/>
      <c r="Y60" s="113"/>
      <c r="Z60" s="111">
        <f>INDEX('M03-S02'!$B$16:$B$198,2*(ROWS($Z$55:Z60)-1)+1)</f>
        <v>6</v>
      </c>
      <c r="AA60" s="111" t="str">
        <f>INDEX('M03-S02'!$I$16:$I$199,2*(ROWS($Z$55:AA60)-1)+1)</f>
        <v/>
      </c>
      <c r="AB60" s="111">
        <f>INDEX('M03-S02'!$C$16:$C$198,2*(ROWS($Z$55:AB60)-1)+1)</f>
        <v>0</v>
      </c>
      <c r="AC60" s="96"/>
      <c r="AD60">
        <f>INDEX('M03-S02'!$X$16:$X$198,2*(ROWS($AD$55:AD60)-1)+1)</f>
        <v>0</v>
      </c>
      <c r="AE60" s="459"/>
      <c r="AF60" s="459"/>
      <c r="AG60" s="112"/>
      <c r="AH60" s="112"/>
      <c r="AI60" s="112"/>
      <c r="AJ60" s="112"/>
      <c r="AK60" s="113"/>
      <c r="AL60" s="113"/>
      <c r="AM60" s="113"/>
      <c r="AN60" s="113"/>
      <c r="AO60" s="52" t="str">
        <f>IFERROR(INDEX(PMELIGHTCON[Program Design],MATCH(AB60,PMELIGHTCON[Eff Desc 1],0)),"")</f>
        <v/>
      </c>
      <c r="AU60"/>
    </row>
    <row r="61" spans="1:47">
      <c r="A61" s="57">
        <f t="shared" si="5"/>
        <v>0</v>
      </c>
      <c r="B61" s="183" t="str">
        <f t="shared" si="7"/>
        <v/>
      </c>
      <c r="C61" t="str">
        <f>IFERROR(IF(R61&gt;0,INDEX(PMELIGHTCON[Measure '#],MATCH(AB61,PMELIGHTCON[Eff Desc 1],0)),""),"")</f>
        <v/>
      </c>
      <c r="D61" t="s">
        <v>947</v>
      </c>
      <c r="F61" s="112"/>
      <c r="G61" s="186">
        <f>INDEX('M03-S02'!$AB$16:$AB$198,2*(ROWS($G$55:G61)-1)+1)</f>
        <v>0</v>
      </c>
      <c r="H61" s="186" t="str">
        <f>IF(ISNUMBER(INDEX('M03-S02'!$AN$16:$AN$198,2*(ROWS($R$55:R61)-1)+1)),"Total","")</f>
        <v/>
      </c>
      <c r="I61" s="184">
        <f>ROUND(INDEX('M03-S02'!$AE$16:$AE$198,2*(ROWS($I$55:I61)-1)+1),2)</f>
        <v>0</v>
      </c>
      <c r="J61" s="184">
        <f>ROUND(INDEX('M03-S02'!$AG$16:$AG$198,2*(ROWS($J$55:J61)-1)+1),2)</f>
        <v>0</v>
      </c>
      <c r="K61" s="52">
        <f>IFERROR(ROUND(INDEX('M03-S02'!$AU$16:$AU$198,2*(ROWS($K$55:K61)-1)+1),2),0)</f>
        <v>0</v>
      </c>
      <c r="L61" s="52" t="str">
        <f>IFERROR(IF(R61&gt;0,M61*INDEX(PMELIGHTCON[Incremental Cost],MATCH(AB61,PMELIGHTCON[Eff Desc 1],0)),""),"")</f>
        <v/>
      </c>
      <c r="M61" s="456">
        <f>INDEX('M03-S02'!$Q$16:$Q$198,2*(ROWS($M$55:M61)-1)+1)</f>
        <v>0</v>
      </c>
      <c r="N61" s="184" t="str">
        <f>IFERROR(INDEX('M03-S02'!$AK$16:$AK$198,2*(ROWS($N$55:N61)-1)+1),"")</f>
        <v/>
      </c>
      <c r="O61" s="456" t="str">
        <f>IFERROR(INDEX('M03-S02'!$AV$16:$AV$198,2*(ROWS($O$55:O61)-1)+1),"")</f>
        <v/>
      </c>
      <c r="P61" s="459"/>
      <c r="Q61" s="184" t="str">
        <f>IFERROR(IF(ISNUMBER(INDEX('M03-S02'!$AN$16:$AN$198,2*(ROWS($R$55:R61)-1)+1)),INDEX('M03-S02'!$AX$16:$AX$198,2*(ROWS($Q$55:Q61)-1)+1),""),"")</f>
        <v/>
      </c>
      <c r="R61" s="184">
        <f>IF(ISNUMBER(INDEX('M03-S02'!$AN$16:$AN$198,2*(ROWS($R$55:R61)-1)+1)),INDEX('M03-S02'!$AN$16:$AN$198,2*(ROWS($R$55:R61)-1)+1),0)</f>
        <v>0</v>
      </c>
      <c r="S61" s="459"/>
      <c r="T61" s="113"/>
      <c r="U61" s="140"/>
      <c r="V61" s="113"/>
      <c r="W61" s="96" t="str">
        <f>IFERROR(IF(NOT(ISNUMBER(INDEX('M03-S02'!$AN$16:$AN$198,2*(ROWS($R$55:R61)-1)+1))),INDEX('M03-S02'!$BC$16:$BC$198,2*(ROWS($R$55:R61)-1)+1),""),"")</f>
        <v/>
      </c>
      <c r="X61" s="113"/>
      <c r="Y61" s="113"/>
      <c r="Z61" s="111">
        <f>INDEX('M03-S02'!$B$16:$B$198,2*(ROWS($Z$55:Z61)-1)+1)</f>
        <v>7</v>
      </c>
      <c r="AA61" s="111" t="str">
        <f>INDEX('M03-S02'!$I$16:$I$199,2*(ROWS($Z$55:AA61)-1)+1)</f>
        <v/>
      </c>
      <c r="AB61" s="111">
        <f>INDEX('M03-S02'!$C$16:$C$198,2*(ROWS($Z$55:AB61)-1)+1)</f>
        <v>0</v>
      </c>
      <c r="AC61" s="96"/>
      <c r="AD61">
        <f>INDEX('M03-S02'!$X$16:$X$198,2*(ROWS($AD$55:AD61)-1)+1)</f>
        <v>0</v>
      </c>
      <c r="AE61" s="459"/>
      <c r="AF61" s="459"/>
      <c r="AG61" s="112"/>
      <c r="AH61" s="112"/>
      <c r="AI61" s="112"/>
      <c r="AJ61" s="112"/>
      <c r="AK61" s="113"/>
      <c r="AL61" s="113"/>
      <c r="AM61" s="113"/>
      <c r="AN61" s="113"/>
      <c r="AO61" s="52" t="str">
        <f>IFERROR(INDEX(PMELIGHTCON[Program Design],MATCH(AB61,PMELIGHTCON[Eff Desc 1],0)),"")</f>
        <v/>
      </c>
      <c r="AU61"/>
    </row>
    <row r="62" spans="1:47">
      <c r="A62" s="57">
        <f t="shared" si="5"/>
        <v>0</v>
      </c>
      <c r="B62" s="183" t="str">
        <f t="shared" si="7"/>
        <v/>
      </c>
      <c r="C62" t="str">
        <f>IFERROR(IF(R62&gt;0,INDEX(PMELIGHTCON[Measure '#],MATCH(AB62,PMELIGHTCON[Eff Desc 1],0)),""),"")</f>
        <v/>
      </c>
      <c r="D62" t="s">
        <v>947</v>
      </c>
      <c r="F62" s="112"/>
      <c r="G62" s="186">
        <f>INDEX('M03-S02'!$AB$16:$AB$198,2*(ROWS($G$55:G62)-1)+1)</f>
        <v>0</v>
      </c>
      <c r="H62" s="186" t="str">
        <f>IF(ISNUMBER(INDEX('M03-S02'!$AN$16:$AN$198,2*(ROWS($R$55:R62)-1)+1)),"Total","")</f>
        <v/>
      </c>
      <c r="I62" s="184">
        <f>ROUND(INDEX('M03-S02'!$AE$16:$AE$198,2*(ROWS($I$55:I62)-1)+1),2)</f>
        <v>0</v>
      </c>
      <c r="J62" s="184">
        <f>ROUND(INDEX('M03-S02'!$AG$16:$AG$198,2*(ROWS($J$55:J62)-1)+1),2)</f>
        <v>0</v>
      </c>
      <c r="K62" s="52">
        <f>IFERROR(ROUND(INDEX('M03-S02'!$AU$16:$AU$198,2*(ROWS($K$55:K62)-1)+1),2),0)</f>
        <v>0</v>
      </c>
      <c r="L62" s="52" t="str">
        <f>IFERROR(IF(R62&gt;0,M62*INDEX(PMELIGHTCON[Incremental Cost],MATCH(AB62,PMELIGHTCON[Eff Desc 1],0)),""),"")</f>
        <v/>
      </c>
      <c r="M62" s="456">
        <f>INDEX('M03-S02'!$Q$16:$Q$198,2*(ROWS($M$55:M62)-1)+1)</f>
        <v>0</v>
      </c>
      <c r="N62" s="184" t="str">
        <f>IFERROR(INDEX('M03-S02'!$AK$16:$AK$198,2*(ROWS($N$55:N62)-1)+1),"")</f>
        <v/>
      </c>
      <c r="O62" s="456" t="str">
        <f>IFERROR(INDEX('M03-S02'!$AV$16:$AV$198,2*(ROWS($O$55:O62)-1)+1),"")</f>
        <v/>
      </c>
      <c r="P62" s="459"/>
      <c r="Q62" s="184" t="str">
        <f>IFERROR(IF(ISNUMBER(INDEX('M03-S02'!$AN$16:$AN$198,2*(ROWS($R$55:R62)-1)+1)),INDEX('M03-S02'!$AX$16:$AX$198,2*(ROWS($Q$55:Q62)-1)+1),""),"")</f>
        <v/>
      </c>
      <c r="R62" s="184">
        <f>IF(ISNUMBER(INDEX('M03-S02'!$AN$16:$AN$198,2*(ROWS($R$55:R62)-1)+1)),INDEX('M03-S02'!$AN$16:$AN$198,2*(ROWS($R$55:R62)-1)+1),0)</f>
        <v>0</v>
      </c>
      <c r="S62" s="459"/>
      <c r="T62" s="113"/>
      <c r="U62" s="140"/>
      <c r="V62" s="113"/>
      <c r="W62" s="96" t="str">
        <f>IFERROR(IF(NOT(ISNUMBER(INDEX('M03-S02'!$AN$16:$AN$198,2*(ROWS($R$55:R62)-1)+1))),INDEX('M03-S02'!$BC$16:$BC$198,2*(ROWS($R$55:R62)-1)+1),""),"")</f>
        <v/>
      </c>
      <c r="X62" s="113"/>
      <c r="Y62" s="113"/>
      <c r="Z62" s="111">
        <f>INDEX('M03-S02'!$B$16:$B$198,2*(ROWS($Z$55:Z62)-1)+1)</f>
        <v>8</v>
      </c>
      <c r="AA62" s="111" t="str">
        <f>INDEX('M03-S02'!$I$16:$I$199,2*(ROWS($Z$55:AA62)-1)+1)</f>
        <v/>
      </c>
      <c r="AB62" s="111">
        <f>INDEX('M03-S02'!$C$16:$C$198,2*(ROWS($Z$55:AB62)-1)+1)</f>
        <v>0</v>
      </c>
      <c r="AC62" s="96"/>
      <c r="AD62">
        <f>INDEX('M03-S02'!$X$16:$X$198,2*(ROWS($AD$55:AD62)-1)+1)</f>
        <v>0</v>
      </c>
      <c r="AE62" s="459"/>
      <c r="AF62" s="459"/>
      <c r="AG62" s="112"/>
      <c r="AH62" s="112"/>
      <c r="AI62" s="112"/>
      <c r="AJ62" s="112"/>
      <c r="AK62" s="113"/>
      <c r="AL62" s="113"/>
      <c r="AM62" s="113"/>
      <c r="AN62" s="113"/>
      <c r="AO62" s="52" t="str">
        <f>IFERROR(INDEX(PMELIGHTCON[Program Design],MATCH(AB62,PMELIGHTCON[Eff Desc 1],0)),"")</f>
        <v/>
      </c>
      <c r="AU62"/>
    </row>
    <row r="63" spans="1:47">
      <c r="A63" s="57">
        <f t="shared" si="5"/>
        <v>0</v>
      </c>
      <c r="B63" s="183" t="str">
        <f t="shared" si="7"/>
        <v/>
      </c>
      <c r="C63" t="str">
        <f>IFERROR(IF(R63&gt;0,INDEX(PMELIGHTCON[Measure '#],MATCH(AB63,PMELIGHTCON[Eff Desc 1],0)),""),"")</f>
        <v/>
      </c>
      <c r="D63" t="s">
        <v>947</v>
      </c>
      <c r="F63" s="112"/>
      <c r="G63" s="186">
        <f>INDEX('M03-S02'!$AB$16:$AB$198,2*(ROWS($G$55:G63)-1)+1)</f>
        <v>0</v>
      </c>
      <c r="H63" s="186" t="str">
        <f>IF(ISNUMBER(INDEX('M03-S02'!$AN$16:$AN$198,2*(ROWS($R$55:R63)-1)+1)),"Total","")</f>
        <v/>
      </c>
      <c r="I63" s="184">
        <f>ROUND(INDEX('M03-S02'!$AE$16:$AE$198,2*(ROWS($I$55:I63)-1)+1),2)</f>
        <v>0</v>
      </c>
      <c r="J63" s="184">
        <f>ROUND(INDEX('M03-S02'!$AG$16:$AG$198,2*(ROWS($J$55:J63)-1)+1),2)</f>
        <v>0</v>
      </c>
      <c r="K63" s="52">
        <f>IFERROR(ROUND(INDEX('M03-S02'!$AU$16:$AU$198,2*(ROWS($K$55:K63)-1)+1),2),0)</f>
        <v>0</v>
      </c>
      <c r="L63" s="52" t="str">
        <f>IFERROR(IF(R63&gt;0,M63*INDEX(PMELIGHTCON[Incremental Cost],MATCH(AB63,PMELIGHTCON[Eff Desc 1],0)),""),"")</f>
        <v/>
      </c>
      <c r="M63" s="456">
        <f>INDEX('M03-S02'!$Q$16:$Q$198,2*(ROWS($M$55:M63)-1)+1)</f>
        <v>0</v>
      </c>
      <c r="N63" s="184" t="str">
        <f>IFERROR(INDEX('M03-S02'!$AK$16:$AK$198,2*(ROWS($N$55:N63)-1)+1),"")</f>
        <v/>
      </c>
      <c r="O63" s="456" t="str">
        <f>IFERROR(INDEX('M03-S02'!$AV$16:$AV$198,2*(ROWS($O$55:O63)-1)+1),"")</f>
        <v/>
      </c>
      <c r="P63" s="459"/>
      <c r="Q63" s="184" t="str">
        <f>IFERROR(IF(ISNUMBER(INDEX('M03-S02'!$AN$16:$AN$198,2*(ROWS($R$55:R63)-1)+1)),INDEX('M03-S02'!$AX$16:$AX$198,2*(ROWS($Q$55:Q63)-1)+1),""),"")</f>
        <v/>
      </c>
      <c r="R63" s="184">
        <f>IF(ISNUMBER(INDEX('M03-S02'!$AN$16:$AN$198,2*(ROWS($R$55:R63)-1)+1)),INDEX('M03-S02'!$AN$16:$AN$198,2*(ROWS($R$55:R63)-1)+1),0)</f>
        <v>0</v>
      </c>
      <c r="S63" s="459"/>
      <c r="T63" s="113"/>
      <c r="U63" s="140"/>
      <c r="V63" s="113"/>
      <c r="W63" s="96" t="str">
        <f>IFERROR(IF(NOT(ISNUMBER(INDEX('M03-S02'!$AN$16:$AN$198,2*(ROWS($R$55:R63)-1)+1))),INDEX('M03-S02'!$BC$16:$BC$198,2*(ROWS($R$55:R63)-1)+1),""),"")</f>
        <v/>
      </c>
      <c r="X63" s="113"/>
      <c r="Y63" s="113"/>
      <c r="Z63" s="111">
        <f>INDEX('M03-S02'!$B$16:$B$198,2*(ROWS($Z$55:Z63)-1)+1)</f>
        <v>9</v>
      </c>
      <c r="AA63" s="111" t="str">
        <f>INDEX('M03-S02'!$I$16:$I$199,2*(ROWS($Z$55:AA63)-1)+1)</f>
        <v/>
      </c>
      <c r="AB63" s="111">
        <f>INDEX('M03-S02'!$C$16:$C$198,2*(ROWS($Z$55:AB63)-1)+1)</f>
        <v>0</v>
      </c>
      <c r="AC63" s="96"/>
      <c r="AD63">
        <f>INDEX('M03-S02'!$X$16:$X$198,2*(ROWS($AD$55:AD63)-1)+1)</f>
        <v>0</v>
      </c>
      <c r="AE63" s="459"/>
      <c r="AF63" s="459"/>
      <c r="AG63" s="112"/>
      <c r="AH63" s="112"/>
      <c r="AI63" s="112"/>
      <c r="AJ63" s="112"/>
      <c r="AK63" s="113"/>
      <c r="AL63" s="113"/>
      <c r="AM63" s="113"/>
      <c r="AN63" s="113"/>
      <c r="AO63" s="52" t="str">
        <f>IFERROR(INDEX(PMELIGHTCON[Program Design],MATCH(AB63,PMELIGHTCON[Eff Desc 1],0)),"")</f>
        <v/>
      </c>
      <c r="AU63"/>
    </row>
    <row r="64" spans="1:47">
      <c r="A64" s="57">
        <f t="shared" si="5"/>
        <v>0</v>
      </c>
      <c r="B64" s="183" t="str">
        <f t="shared" si="7"/>
        <v/>
      </c>
      <c r="C64" t="str">
        <f>IFERROR(IF(R64&gt;0,INDEX(PMELIGHTCON[Measure '#],MATCH(AB64,PMELIGHTCON[Eff Desc 1],0)),""),"")</f>
        <v/>
      </c>
      <c r="D64" t="s">
        <v>947</v>
      </c>
      <c r="F64" s="112"/>
      <c r="G64" s="186">
        <f>INDEX('M03-S02'!$AB$16:$AB$198,2*(ROWS($G$55:G64)-1)+1)</f>
        <v>0</v>
      </c>
      <c r="H64" s="186" t="str">
        <f>IF(ISNUMBER(INDEX('M03-S02'!$AN$16:$AN$198,2*(ROWS($R$55:R64)-1)+1)),"Total","")</f>
        <v/>
      </c>
      <c r="I64" s="184">
        <f>ROUND(INDEX('M03-S02'!$AE$16:$AE$198,2*(ROWS($I$55:I64)-1)+1),2)</f>
        <v>0</v>
      </c>
      <c r="J64" s="184">
        <f>ROUND(INDEX('M03-S02'!$AG$16:$AG$198,2*(ROWS($J$55:J64)-1)+1),2)</f>
        <v>0</v>
      </c>
      <c r="K64" s="52">
        <f>IFERROR(ROUND(INDEX('M03-S02'!$AU$16:$AU$198,2*(ROWS($K$55:K64)-1)+1),2),0)</f>
        <v>0</v>
      </c>
      <c r="L64" s="52" t="str">
        <f>IFERROR(IF(R64&gt;0,M64*INDEX(PMELIGHTCON[Incremental Cost],MATCH(AB64,PMELIGHTCON[Eff Desc 1],0)),""),"")</f>
        <v/>
      </c>
      <c r="M64" s="456">
        <f>INDEX('M03-S02'!$Q$16:$Q$198,2*(ROWS($M$55:M64)-1)+1)</f>
        <v>0</v>
      </c>
      <c r="N64" s="184" t="str">
        <f>IFERROR(INDEX('M03-S02'!$AK$16:$AK$198,2*(ROWS($N$55:N64)-1)+1),"")</f>
        <v/>
      </c>
      <c r="O64" s="456" t="str">
        <f>IFERROR(INDEX('M03-S02'!$AV$16:$AV$198,2*(ROWS($O$55:O64)-1)+1),"")</f>
        <v/>
      </c>
      <c r="P64" s="459"/>
      <c r="Q64" s="184" t="str">
        <f>IFERROR(IF(ISNUMBER(INDEX('M03-S02'!$AN$16:$AN$198,2*(ROWS($R$55:R64)-1)+1)),INDEX('M03-S02'!$AX$16:$AX$198,2*(ROWS($Q$55:Q64)-1)+1),""),"")</f>
        <v/>
      </c>
      <c r="R64" s="184">
        <f>IF(ISNUMBER(INDEX('M03-S02'!$AN$16:$AN$198,2*(ROWS($R$55:R64)-1)+1)),INDEX('M03-S02'!$AN$16:$AN$198,2*(ROWS($R$55:R64)-1)+1),0)</f>
        <v>0</v>
      </c>
      <c r="S64" s="459"/>
      <c r="T64" s="113"/>
      <c r="U64" s="140"/>
      <c r="V64" s="113"/>
      <c r="W64" s="96" t="str">
        <f>IFERROR(IF(NOT(ISNUMBER(INDEX('M03-S02'!$AN$16:$AN$198,2*(ROWS($R$55:R64)-1)+1))),INDEX('M03-S02'!$BC$16:$BC$198,2*(ROWS($R$55:R64)-1)+1),""),"")</f>
        <v/>
      </c>
      <c r="X64" s="113"/>
      <c r="Y64" s="113"/>
      <c r="Z64" s="111">
        <f>INDEX('M03-S02'!$B$16:$B$198,2*(ROWS($Z$55:Z64)-1)+1)</f>
        <v>10</v>
      </c>
      <c r="AA64" s="111" t="str">
        <f>INDEX('M03-S02'!$I$16:$I$199,2*(ROWS($Z$55:AA64)-1)+1)</f>
        <v/>
      </c>
      <c r="AB64" s="111">
        <f>INDEX('M03-S02'!$C$16:$C$198,2*(ROWS($Z$55:AB64)-1)+1)</f>
        <v>0</v>
      </c>
      <c r="AC64" s="96"/>
      <c r="AD64">
        <f>INDEX('M03-S02'!$X$16:$X$198,2*(ROWS($AD$55:AD64)-1)+1)</f>
        <v>0</v>
      </c>
      <c r="AE64" s="459"/>
      <c r="AF64" s="459"/>
      <c r="AG64" s="112"/>
      <c r="AH64" s="112"/>
      <c r="AI64" s="112"/>
      <c r="AJ64" s="112"/>
      <c r="AK64" s="113"/>
      <c r="AL64" s="113"/>
      <c r="AM64" s="113"/>
      <c r="AN64" s="113"/>
      <c r="AO64" s="52" t="str">
        <f>IFERROR(INDEX(PMELIGHTCON[Program Design],MATCH(AB64,PMELIGHTCON[Eff Desc 1],0)),"")</f>
        <v/>
      </c>
      <c r="AU64"/>
    </row>
    <row r="65" spans="1:47">
      <c r="A65" s="57">
        <f t="shared" si="5"/>
        <v>0</v>
      </c>
      <c r="B65" s="183" t="str">
        <f t="shared" si="7"/>
        <v/>
      </c>
      <c r="C65" t="str">
        <f>IFERROR(IF(R65&gt;0,INDEX(PMELIGHTCON[Measure '#],MATCH(AB65,PMELIGHTCON[Eff Desc 1],0)),""),"")</f>
        <v/>
      </c>
      <c r="D65" t="s">
        <v>947</v>
      </c>
      <c r="F65" s="112"/>
      <c r="G65" s="186">
        <f>INDEX('M03-S02'!$AB$16:$AB$198,2*(ROWS($G$55:G65)-1)+1)</f>
        <v>0</v>
      </c>
      <c r="H65" s="186" t="str">
        <f>IF(ISNUMBER(INDEX('M03-S02'!$AN$16:$AN$198,2*(ROWS($R$55:R65)-1)+1)),"Total","")</f>
        <v/>
      </c>
      <c r="I65" s="184">
        <f>ROUND(INDEX('M03-S02'!$AE$16:$AE$198,2*(ROWS($I$55:I65)-1)+1),2)</f>
        <v>0</v>
      </c>
      <c r="J65" s="184">
        <f>ROUND(INDEX('M03-S02'!$AG$16:$AG$198,2*(ROWS($J$55:J65)-1)+1),2)</f>
        <v>0</v>
      </c>
      <c r="K65" s="52">
        <f>IFERROR(ROUND(INDEX('M03-S02'!$AU$16:$AU$198,2*(ROWS($K$55:K65)-1)+1),2),0)</f>
        <v>0</v>
      </c>
      <c r="L65" s="52" t="str">
        <f>IFERROR(IF(R65&gt;0,M65*INDEX(PMELIGHTCON[Incremental Cost],MATCH(AB65,PMELIGHTCON[Eff Desc 1],0)),""),"")</f>
        <v/>
      </c>
      <c r="M65" s="456">
        <f>INDEX('M03-S02'!$Q$16:$Q$198,2*(ROWS($M$55:M65)-1)+1)</f>
        <v>0</v>
      </c>
      <c r="N65" s="184" t="str">
        <f>IFERROR(INDEX('M03-S02'!$AK$16:$AK$198,2*(ROWS($N$55:N65)-1)+1),"")</f>
        <v/>
      </c>
      <c r="O65" s="456" t="str">
        <f>IFERROR(INDEX('M03-S02'!$AV$16:$AV$198,2*(ROWS($O$55:O65)-1)+1),"")</f>
        <v/>
      </c>
      <c r="P65" s="459"/>
      <c r="Q65" s="184" t="str">
        <f>IFERROR(IF(ISNUMBER(INDEX('M03-S02'!$AN$16:$AN$198,2*(ROWS($R$55:R65)-1)+1)),INDEX('M03-S02'!$AX$16:$AX$198,2*(ROWS($Q$55:Q65)-1)+1),""),"")</f>
        <v/>
      </c>
      <c r="R65" s="184">
        <f>IF(ISNUMBER(INDEX('M03-S02'!$AN$16:$AN$198,2*(ROWS($R$55:R65)-1)+1)),INDEX('M03-S02'!$AN$16:$AN$198,2*(ROWS($R$55:R65)-1)+1),0)</f>
        <v>0</v>
      </c>
      <c r="S65" s="459"/>
      <c r="T65" s="113"/>
      <c r="U65" s="140"/>
      <c r="V65" s="113"/>
      <c r="W65" s="96">
        <f>IFERROR(IF(NOT(ISNUMBER(INDEX('M03-S02'!$AN$16:$AN$198,2*(ROWS($R$55:R65)-1)+1))),INDEX('M03-S02'!$BC$16:$BC$198,2*(ROWS($R$55:R65)-1)+1),""),"")</f>
        <v>0</v>
      </c>
      <c r="X65" s="113"/>
      <c r="Y65" s="113"/>
      <c r="Z65" s="111">
        <f>INDEX('M03-S02'!$B$16:$B$198,2*(ROWS($Z$55:Z65)-1)+1)</f>
        <v>11</v>
      </c>
      <c r="AA65" s="111" t="str">
        <f>INDEX('M03-S02'!$I$16:$I$199,2*(ROWS($Z$55:AA65)-1)+1)</f>
        <v/>
      </c>
      <c r="AB65" s="111">
        <f>INDEX('M03-S02'!$C$16:$C$198,2*(ROWS($Z$55:AB65)-1)+1)</f>
        <v>0</v>
      </c>
      <c r="AC65" s="96"/>
      <c r="AD65">
        <f>INDEX('M03-S02'!$X$16:$X$198,2*(ROWS($AD$55:AD65)-1)+1)</f>
        <v>0</v>
      </c>
      <c r="AE65" s="459"/>
      <c r="AF65" s="459"/>
      <c r="AG65" s="112"/>
      <c r="AH65" s="112"/>
      <c r="AI65" s="112"/>
      <c r="AJ65" s="112"/>
      <c r="AK65" s="113"/>
      <c r="AL65" s="113"/>
      <c r="AM65" s="113"/>
      <c r="AN65" s="113"/>
      <c r="AO65" s="52" t="str">
        <f>IFERROR(INDEX(PMELIGHTCON[Program Design],MATCH(AB65,PMELIGHTCON[Eff Desc 1],0)),"")</f>
        <v/>
      </c>
      <c r="AU65"/>
    </row>
    <row r="66" spans="1:47">
      <c r="A66" s="57">
        <f t="shared" si="5"/>
        <v>0</v>
      </c>
      <c r="B66" s="183" t="str">
        <f t="shared" si="7"/>
        <v/>
      </c>
      <c r="C66" t="str">
        <f>IFERROR(IF(R66&gt;0,INDEX(PMELIGHTCON[Measure '#],MATCH(AB66,PMELIGHTCON[Eff Desc 1],0)),""),"")</f>
        <v/>
      </c>
      <c r="D66" t="s">
        <v>947</v>
      </c>
      <c r="F66" s="112"/>
      <c r="G66" s="186">
        <f>INDEX('M03-S02'!$AB$16:$AB$198,2*(ROWS($G$55:G66)-1)+1)</f>
        <v>0</v>
      </c>
      <c r="H66" s="186" t="str">
        <f>IF(ISNUMBER(INDEX('M03-S02'!$AN$16:$AN$198,2*(ROWS($R$55:R66)-1)+1)),"Total","")</f>
        <v/>
      </c>
      <c r="I66" s="184">
        <f>ROUND(INDEX('M03-S02'!$AE$16:$AE$198,2*(ROWS($I$55:I66)-1)+1),2)</f>
        <v>0</v>
      </c>
      <c r="J66" s="184">
        <f>ROUND(INDEX('M03-S02'!$AG$16:$AG$198,2*(ROWS($J$55:J66)-1)+1),2)</f>
        <v>0</v>
      </c>
      <c r="K66" s="52">
        <f>IFERROR(ROUND(INDEX('M03-S02'!$AU$16:$AU$198,2*(ROWS($K$55:K66)-1)+1),2),0)</f>
        <v>0</v>
      </c>
      <c r="L66" s="52" t="str">
        <f>IFERROR(IF(R66&gt;0,M66*INDEX(PMELIGHTCON[Incremental Cost],MATCH(AB66,PMELIGHTCON[Eff Desc 1],0)),""),"")</f>
        <v/>
      </c>
      <c r="M66" s="456">
        <f>INDEX('M03-S02'!$Q$16:$Q$198,2*(ROWS($M$55:M66)-1)+1)</f>
        <v>0</v>
      </c>
      <c r="N66" s="184" t="str">
        <f>IFERROR(INDEX('M03-S02'!$AK$16:$AK$198,2*(ROWS($N$55:N66)-1)+1),"")</f>
        <v/>
      </c>
      <c r="O66" s="456" t="str">
        <f>IFERROR(INDEX('M03-S02'!$AV$16:$AV$198,2*(ROWS($O$55:O66)-1)+1),"")</f>
        <v/>
      </c>
      <c r="P66" s="459"/>
      <c r="Q66" s="184" t="str">
        <f>IFERROR(IF(ISNUMBER(INDEX('M03-S02'!$AN$16:$AN$198,2*(ROWS($R$55:R66)-1)+1)),INDEX('M03-S02'!$AX$16:$AX$198,2*(ROWS($Q$55:Q66)-1)+1),""),"")</f>
        <v/>
      </c>
      <c r="R66" s="184">
        <f>IF(ISNUMBER(INDEX('M03-S02'!$AN$16:$AN$198,2*(ROWS($R$55:R66)-1)+1)),INDEX('M03-S02'!$AN$16:$AN$198,2*(ROWS($R$55:R66)-1)+1),0)</f>
        <v>0</v>
      </c>
      <c r="S66" s="459"/>
      <c r="T66" s="113"/>
      <c r="U66" s="140"/>
      <c r="V66" s="113"/>
      <c r="W66" s="96">
        <f>IFERROR(IF(NOT(ISNUMBER(INDEX('M03-S02'!$AN$16:$AN$198,2*(ROWS($R$55:R66)-1)+1))),INDEX('M03-S02'!$BC$16:$BC$198,2*(ROWS($R$55:R66)-1)+1),""),"")</f>
        <v>0</v>
      </c>
      <c r="X66" s="113"/>
      <c r="Y66" s="113"/>
      <c r="Z66" s="111">
        <f>INDEX('M03-S02'!$B$16:$B$198,2*(ROWS($Z$55:Z66)-1)+1)</f>
        <v>12</v>
      </c>
      <c r="AA66" s="111" t="str">
        <f>INDEX('M03-S02'!$I$16:$I$199,2*(ROWS($Z$55:AA66)-1)+1)</f>
        <v/>
      </c>
      <c r="AB66" s="111">
        <f>INDEX('M03-S02'!$C$16:$C$198,2*(ROWS($Z$55:AB66)-1)+1)</f>
        <v>0</v>
      </c>
      <c r="AC66" s="96"/>
      <c r="AD66">
        <f>INDEX('M03-S02'!$X$16:$X$198,2*(ROWS($AD$55:AD66)-1)+1)</f>
        <v>0</v>
      </c>
      <c r="AE66" s="459"/>
      <c r="AF66" s="459"/>
      <c r="AG66" s="112"/>
      <c r="AH66" s="112"/>
      <c r="AI66" s="112"/>
      <c r="AJ66" s="112"/>
      <c r="AK66" s="113"/>
      <c r="AL66" s="113"/>
      <c r="AM66" s="113"/>
      <c r="AN66" s="113"/>
      <c r="AO66" s="52" t="str">
        <f>IFERROR(INDEX(PMELIGHTCON[Program Design],MATCH(AB66,PMELIGHTCON[Eff Desc 1],0)),"")</f>
        <v/>
      </c>
      <c r="AU66"/>
    </row>
    <row r="67" spans="1:47">
      <c r="A67" s="57">
        <f t="shared" si="5"/>
        <v>0</v>
      </c>
      <c r="B67" s="183" t="str">
        <f t="shared" si="7"/>
        <v/>
      </c>
      <c r="C67" t="str">
        <f>IFERROR(IF(R67&gt;0,INDEX(PMELIGHTCON[Measure '#],MATCH(AB67,PMELIGHTCON[Eff Desc 1],0)),""),"")</f>
        <v/>
      </c>
      <c r="D67" t="s">
        <v>947</v>
      </c>
      <c r="F67" s="112"/>
      <c r="G67" s="186">
        <f>INDEX('M03-S02'!$AB$16:$AB$198,2*(ROWS($G$55:G67)-1)+1)</f>
        <v>0</v>
      </c>
      <c r="H67" s="186" t="str">
        <f>IF(ISNUMBER(INDEX('M03-S02'!$AN$16:$AN$198,2*(ROWS($R$55:R67)-1)+1)),"Total","")</f>
        <v/>
      </c>
      <c r="I67" s="184">
        <f>ROUND(INDEX('M03-S02'!$AE$16:$AE$198,2*(ROWS($I$55:I67)-1)+1),2)</f>
        <v>0</v>
      </c>
      <c r="J67" s="184">
        <f>ROUND(INDEX('M03-S02'!$AG$16:$AG$198,2*(ROWS($J$55:J67)-1)+1),2)</f>
        <v>0</v>
      </c>
      <c r="K67" s="52">
        <f>IFERROR(ROUND(INDEX('M03-S02'!$AU$16:$AU$198,2*(ROWS($K$55:K67)-1)+1),2),0)</f>
        <v>0</v>
      </c>
      <c r="L67" s="52" t="str">
        <f>IFERROR(IF(R67&gt;0,M67*INDEX(PMELIGHTCON[Incremental Cost],MATCH(AB67,PMELIGHTCON[Eff Desc 1],0)),""),"")</f>
        <v/>
      </c>
      <c r="M67" s="456">
        <f>INDEX('M03-S02'!$Q$16:$Q$198,2*(ROWS($M$55:M67)-1)+1)</f>
        <v>0</v>
      </c>
      <c r="N67" s="184" t="str">
        <f>IFERROR(INDEX('M03-S02'!$AK$16:$AK$198,2*(ROWS($N$55:N67)-1)+1),"")</f>
        <v/>
      </c>
      <c r="O67" s="456" t="str">
        <f>IFERROR(INDEX('M03-S02'!$AV$16:$AV$198,2*(ROWS($O$55:O67)-1)+1),"")</f>
        <v/>
      </c>
      <c r="P67" s="459"/>
      <c r="Q67" s="184" t="str">
        <f>IFERROR(IF(ISNUMBER(INDEX('M03-S02'!$AN$16:$AN$198,2*(ROWS($R$55:R67)-1)+1)),INDEX('M03-S02'!$AX$16:$AX$198,2*(ROWS($Q$55:Q67)-1)+1),""),"")</f>
        <v/>
      </c>
      <c r="R67" s="184">
        <f>IF(ISNUMBER(INDEX('M03-S02'!$AN$16:$AN$198,2*(ROWS($R$55:R67)-1)+1)),INDEX('M03-S02'!$AN$16:$AN$198,2*(ROWS($R$55:R67)-1)+1),0)</f>
        <v>0</v>
      </c>
      <c r="S67" s="459"/>
      <c r="T67" s="113"/>
      <c r="U67" s="140"/>
      <c r="V67" s="113"/>
      <c r="W67" s="96">
        <f>IFERROR(IF(NOT(ISNUMBER(INDEX('M03-S02'!$AN$16:$AN$198,2*(ROWS($R$55:R67)-1)+1))),INDEX('M03-S02'!$BC$16:$BC$198,2*(ROWS($R$55:R67)-1)+1),""),"")</f>
        <v>0</v>
      </c>
      <c r="X67" s="113"/>
      <c r="Y67" s="113"/>
      <c r="Z67" s="111">
        <f>INDEX('M03-S02'!$B$16:$B$198,2*(ROWS($Z$55:Z67)-1)+1)</f>
        <v>13</v>
      </c>
      <c r="AA67" s="111" t="str">
        <f>INDEX('M03-S02'!$I$16:$I$199,2*(ROWS($Z$55:AA67)-1)+1)</f>
        <v/>
      </c>
      <c r="AB67" s="111">
        <f>INDEX('M03-S02'!$C$16:$C$198,2*(ROWS($Z$55:AB67)-1)+1)</f>
        <v>0</v>
      </c>
      <c r="AC67" s="96"/>
      <c r="AD67">
        <f>INDEX('M03-S02'!$X$16:$X$198,2*(ROWS($AD$55:AD67)-1)+1)</f>
        <v>0</v>
      </c>
      <c r="AE67" s="459"/>
      <c r="AF67" s="459"/>
      <c r="AG67" s="112"/>
      <c r="AH67" s="112"/>
      <c r="AI67" s="112"/>
      <c r="AJ67" s="112"/>
      <c r="AK67" s="113"/>
      <c r="AL67" s="113"/>
      <c r="AM67" s="113"/>
      <c r="AN67" s="113"/>
      <c r="AO67" s="52" t="str">
        <f>IFERROR(INDEX(PMELIGHTCON[Program Design],MATCH(AB67,PMELIGHTCON[Eff Desc 1],0)),"")</f>
        <v/>
      </c>
      <c r="AU67"/>
    </row>
    <row r="68" spans="1:47">
      <c r="A68" s="57">
        <f t="shared" si="5"/>
        <v>0</v>
      </c>
      <c r="B68" s="183" t="str">
        <f t="shared" si="7"/>
        <v/>
      </c>
      <c r="C68" t="str">
        <f>IFERROR(IF(R68&gt;0,INDEX(PMELIGHTCON[Measure '#],MATCH(AB68,PMELIGHTCON[Eff Desc 1],0)),""),"")</f>
        <v/>
      </c>
      <c r="D68" t="s">
        <v>947</v>
      </c>
      <c r="F68" s="112"/>
      <c r="G68" s="186">
        <f>INDEX('M03-S02'!$AB$16:$AB$198,2*(ROWS($G$55:G68)-1)+1)</f>
        <v>0</v>
      </c>
      <c r="H68" s="186" t="str">
        <f>IF(ISNUMBER(INDEX('M03-S02'!$AN$16:$AN$198,2*(ROWS($R$55:R68)-1)+1)),"Total","")</f>
        <v/>
      </c>
      <c r="I68" s="184">
        <f>ROUND(INDEX('M03-S02'!$AE$16:$AE$198,2*(ROWS($I$55:I68)-1)+1),2)</f>
        <v>0</v>
      </c>
      <c r="J68" s="184">
        <f>ROUND(INDEX('M03-S02'!$AG$16:$AG$198,2*(ROWS($J$55:J68)-1)+1),2)</f>
        <v>0</v>
      </c>
      <c r="K68" s="52">
        <f>IFERROR(ROUND(INDEX('M03-S02'!$AU$16:$AU$198,2*(ROWS($K$55:K68)-1)+1),2),0)</f>
        <v>0</v>
      </c>
      <c r="L68" s="52" t="str">
        <f>IFERROR(IF(R68&gt;0,M68*INDEX(PMELIGHTCON[Incremental Cost],MATCH(AB68,PMELIGHTCON[Eff Desc 1],0)),""),"")</f>
        <v/>
      </c>
      <c r="M68" s="456">
        <f>INDEX('M03-S02'!$Q$16:$Q$198,2*(ROWS($M$55:M68)-1)+1)</f>
        <v>0</v>
      </c>
      <c r="N68" s="184" t="str">
        <f>IFERROR(INDEX('M03-S02'!$AK$16:$AK$198,2*(ROWS($N$55:N68)-1)+1),"")</f>
        <v/>
      </c>
      <c r="O68" s="456" t="str">
        <f>IFERROR(INDEX('M03-S02'!$AV$16:$AV$198,2*(ROWS($O$55:O68)-1)+1),"")</f>
        <v/>
      </c>
      <c r="P68" s="459"/>
      <c r="Q68" s="184" t="str">
        <f>IFERROR(IF(ISNUMBER(INDEX('M03-S02'!$AN$16:$AN$198,2*(ROWS($R$55:R68)-1)+1)),INDEX('M03-S02'!$AX$16:$AX$198,2*(ROWS($Q$55:Q68)-1)+1),""),"")</f>
        <v/>
      </c>
      <c r="R68" s="184">
        <f>IF(ISNUMBER(INDEX('M03-S02'!$AN$16:$AN$198,2*(ROWS($R$55:R68)-1)+1)),INDEX('M03-S02'!$AN$16:$AN$198,2*(ROWS($R$55:R68)-1)+1),0)</f>
        <v>0</v>
      </c>
      <c r="S68" s="459"/>
      <c r="T68" s="113"/>
      <c r="U68" s="140"/>
      <c r="V68" s="113"/>
      <c r="W68" s="96">
        <f>IFERROR(IF(NOT(ISNUMBER(INDEX('M03-S02'!$AN$16:$AN$198,2*(ROWS($R$55:R68)-1)+1))),INDEX('M03-S02'!$BC$16:$BC$198,2*(ROWS($R$55:R68)-1)+1),""),"")</f>
        <v>0</v>
      </c>
      <c r="X68" s="113"/>
      <c r="Y68" s="113"/>
      <c r="Z68" s="111">
        <f>INDEX('M03-S02'!$B$16:$B$198,2*(ROWS($Z$55:Z68)-1)+1)</f>
        <v>14</v>
      </c>
      <c r="AA68" s="111" t="str">
        <f>INDEX('M03-S02'!$I$16:$I$199,2*(ROWS($Z$55:AA68)-1)+1)</f>
        <v/>
      </c>
      <c r="AB68" s="111">
        <f>INDEX('M03-S02'!$C$16:$C$198,2*(ROWS($Z$55:AB68)-1)+1)</f>
        <v>0</v>
      </c>
      <c r="AC68" s="96"/>
      <c r="AD68">
        <f>INDEX('M03-S02'!$X$16:$X$198,2*(ROWS($AD$55:AD68)-1)+1)</f>
        <v>0</v>
      </c>
      <c r="AE68" s="459"/>
      <c r="AF68" s="459"/>
      <c r="AG68" s="112"/>
      <c r="AH68" s="112"/>
      <c r="AI68" s="112"/>
      <c r="AJ68" s="112"/>
      <c r="AK68" s="113"/>
      <c r="AL68" s="113"/>
      <c r="AM68" s="113"/>
      <c r="AN68" s="113"/>
      <c r="AO68" s="52" t="str">
        <f>IFERROR(INDEX(PMELIGHTCON[Program Design],MATCH(AB68,PMELIGHTCON[Eff Desc 1],0)),"")</f>
        <v/>
      </c>
      <c r="AU68"/>
    </row>
    <row r="69" spans="1:47">
      <c r="A69" s="57">
        <f t="shared" si="5"/>
        <v>0</v>
      </c>
      <c r="B69" s="183" t="str">
        <f t="shared" si="7"/>
        <v/>
      </c>
      <c r="C69" t="str">
        <f>IFERROR(IF(R69&gt;0,INDEX(PMELIGHTCON[Measure '#],MATCH(AB69,PMELIGHTCON[Eff Desc 1],0)),""),"")</f>
        <v/>
      </c>
      <c r="D69" t="s">
        <v>947</v>
      </c>
      <c r="F69" s="112"/>
      <c r="G69" s="186">
        <f>INDEX('M03-S02'!$AB$16:$AB$198,2*(ROWS($G$55:G69)-1)+1)</f>
        <v>0</v>
      </c>
      <c r="H69" s="186" t="str">
        <f>IF(ISNUMBER(INDEX('M03-S02'!$AN$16:$AN$198,2*(ROWS($R$55:R69)-1)+1)),"Total","")</f>
        <v/>
      </c>
      <c r="I69" s="184">
        <f>ROUND(INDEX('M03-S02'!$AE$16:$AE$198,2*(ROWS($I$55:I69)-1)+1),2)</f>
        <v>0</v>
      </c>
      <c r="J69" s="184">
        <f>ROUND(INDEX('M03-S02'!$AG$16:$AG$198,2*(ROWS($J$55:J69)-1)+1),2)</f>
        <v>0</v>
      </c>
      <c r="K69" s="52">
        <f>IFERROR(ROUND(INDEX('M03-S02'!$AU$16:$AU$198,2*(ROWS($K$55:K69)-1)+1),2),0)</f>
        <v>0</v>
      </c>
      <c r="L69" s="52" t="str">
        <f>IFERROR(IF(R69&gt;0,M69*INDEX(PMELIGHTCON[Incremental Cost],MATCH(AB69,PMELIGHTCON[Eff Desc 1],0)),""),"")</f>
        <v/>
      </c>
      <c r="M69" s="456">
        <f>INDEX('M03-S02'!$Q$16:$Q$198,2*(ROWS($M$55:M69)-1)+1)</f>
        <v>0</v>
      </c>
      <c r="N69" s="184" t="str">
        <f>IFERROR(INDEX('M03-S02'!$AK$16:$AK$198,2*(ROWS($N$55:N69)-1)+1),"")</f>
        <v/>
      </c>
      <c r="O69" s="456" t="str">
        <f>IFERROR(INDEX('M03-S02'!$AV$16:$AV$198,2*(ROWS($O$55:O69)-1)+1),"")</f>
        <v/>
      </c>
      <c r="P69" s="459"/>
      <c r="Q69" s="184" t="str">
        <f>IFERROR(IF(ISNUMBER(INDEX('M03-S02'!$AN$16:$AN$198,2*(ROWS($R$55:R69)-1)+1)),INDEX('M03-S02'!$AX$16:$AX$198,2*(ROWS($Q$55:Q69)-1)+1),""),"")</f>
        <v/>
      </c>
      <c r="R69" s="184">
        <f>IF(ISNUMBER(INDEX('M03-S02'!$AN$16:$AN$198,2*(ROWS($R$55:R69)-1)+1)),INDEX('M03-S02'!$AN$16:$AN$198,2*(ROWS($R$55:R69)-1)+1),0)</f>
        <v>0</v>
      </c>
      <c r="S69" s="459"/>
      <c r="T69" s="113"/>
      <c r="U69" s="140"/>
      <c r="V69" s="113"/>
      <c r="W69" s="96">
        <f>IFERROR(IF(NOT(ISNUMBER(INDEX('M03-S02'!$AN$16:$AN$198,2*(ROWS($R$55:R69)-1)+1))),INDEX('M03-S02'!$BC$16:$BC$198,2*(ROWS($R$55:R69)-1)+1),""),"")</f>
        <v>0</v>
      </c>
      <c r="X69" s="113"/>
      <c r="Y69" s="113"/>
      <c r="Z69" s="111">
        <f>INDEX('M03-S02'!$B$16:$B$198,2*(ROWS($Z$55:Z69)-1)+1)</f>
        <v>15</v>
      </c>
      <c r="AA69" s="111" t="str">
        <f>INDEX('M03-S02'!$I$16:$I$199,2*(ROWS($Z$55:AA69)-1)+1)</f>
        <v/>
      </c>
      <c r="AB69" s="111">
        <f>INDEX('M03-S02'!$C$16:$C$198,2*(ROWS($Z$55:AB69)-1)+1)</f>
        <v>0</v>
      </c>
      <c r="AC69" s="96"/>
      <c r="AD69">
        <f>INDEX('M03-S02'!$X$16:$X$198,2*(ROWS($AD$55:AD69)-1)+1)</f>
        <v>0</v>
      </c>
      <c r="AE69" s="459"/>
      <c r="AF69" s="459"/>
      <c r="AG69" s="112"/>
      <c r="AH69" s="112"/>
      <c r="AI69" s="112"/>
      <c r="AJ69" s="112"/>
      <c r="AK69" s="113"/>
      <c r="AL69" s="113"/>
      <c r="AM69" s="113"/>
      <c r="AN69" s="113"/>
      <c r="AO69" s="52" t="str">
        <f>IFERROR(INDEX(PMELIGHTCON[Program Design],MATCH(AB69,PMELIGHTCON[Eff Desc 1],0)),"")</f>
        <v/>
      </c>
      <c r="AU69"/>
    </row>
    <row r="70" spans="1:47">
      <c r="A70" s="57">
        <f t="shared" si="5"/>
        <v>0</v>
      </c>
      <c r="B70" s="183" t="str">
        <f t="shared" si="7"/>
        <v/>
      </c>
      <c r="C70" t="str">
        <f>IFERROR(IF(R70&gt;0,INDEX(PMELIGHTCON[Measure '#],MATCH(AB70,PMELIGHTCON[Eff Desc 1],0)),""),"")</f>
        <v/>
      </c>
      <c r="D70" t="s">
        <v>947</v>
      </c>
      <c r="F70" s="112"/>
      <c r="G70" s="186">
        <f>INDEX('M03-S02'!$AB$16:$AB$198,2*(ROWS($G$55:G70)-1)+1)</f>
        <v>0</v>
      </c>
      <c r="H70" s="186" t="str">
        <f>IF(ISNUMBER(INDEX('M03-S02'!$AN$16:$AN$198,2*(ROWS($R$55:R70)-1)+1)),"Total","")</f>
        <v/>
      </c>
      <c r="I70" s="184">
        <f>ROUND(INDEX('M03-S02'!$AE$16:$AE$198,2*(ROWS($I$55:I70)-1)+1),2)</f>
        <v>0</v>
      </c>
      <c r="J70" s="184">
        <f>ROUND(INDEX('M03-S02'!$AG$16:$AG$198,2*(ROWS($J$55:J70)-1)+1),2)</f>
        <v>0</v>
      </c>
      <c r="K70" s="52">
        <f>IFERROR(ROUND(INDEX('M03-S02'!$AU$16:$AU$198,2*(ROWS($K$55:K70)-1)+1),2),0)</f>
        <v>0</v>
      </c>
      <c r="L70" s="52" t="str">
        <f>IFERROR(IF(R70&gt;0,M70*INDEX(PMELIGHTCON[Incremental Cost],MATCH(AB70,PMELIGHTCON[Eff Desc 1],0)),""),"")</f>
        <v/>
      </c>
      <c r="M70" s="456">
        <f>INDEX('M03-S02'!$Q$16:$Q$198,2*(ROWS($M$55:M70)-1)+1)</f>
        <v>0</v>
      </c>
      <c r="N70" s="184" t="str">
        <f>IFERROR(INDEX('M03-S02'!$AK$16:$AK$198,2*(ROWS($N$55:N70)-1)+1),"")</f>
        <v/>
      </c>
      <c r="O70" s="456" t="str">
        <f>IFERROR(INDEX('M03-S02'!$AV$16:$AV$198,2*(ROWS($O$55:O70)-1)+1),"")</f>
        <v/>
      </c>
      <c r="P70" s="459"/>
      <c r="Q70" s="184" t="str">
        <f>IFERROR(IF(ISNUMBER(INDEX('M03-S02'!$AN$16:$AN$198,2*(ROWS($R$55:R70)-1)+1)),INDEX('M03-S02'!$AX$16:$AX$198,2*(ROWS($Q$55:Q70)-1)+1),""),"")</f>
        <v/>
      </c>
      <c r="R70" s="184">
        <f>IF(ISNUMBER(INDEX('M03-S02'!$AN$16:$AN$198,2*(ROWS($R$55:R70)-1)+1)),INDEX('M03-S02'!$AN$16:$AN$198,2*(ROWS($R$55:R70)-1)+1),0)</f>
        <v>0</v>
      </c>
      <c r="S70" s="459"/>
      <c r="T70" s="113"/>
      <c r="U70" s="140"/>
      <c r="V70" s="113"/>
      <c r="W70" s="96">
        <f>IFERROR(IF(NOT(ISNUMBER(INDEX('M03-S02'!$AN$16:$AN$198,2*(ROWS($R$55:R70)-1)+1))),INDEX('M03-S02'!$BC$16:$BC$198,2*(ROWS($R$55:R70)-1)+1),""),"")</f>
        <v>0</v>
      </c>
      <c r="X70" s="113"/>
      <c r="Y70" s="113"/>
      <c r="Z70" s="111">
        <f>INDEX('M03-S02'!$B$16:$B$198,2*(ROWS($Z$55:Z70)-1)+1)</f>
        <v>16</v>
      </c>
      <c r="AA70" s="111" t="str">
        <f>INDEX('M03-S02'!$I$16:$I$199,2*(ROWS($Z$55:AA70)-1)+1)</f>
        <v/>
      </c>
      <c r="AB70" s="111">
        <f>INDEX('M03-S02'!$C$16:$C$198,2*(ROWS($Z$55:AB70)-1)+1)</f>
        <v>0</v>
      </c>
      <c r="AC70" s="96"/>
      <c r="AD70">
        <f>INDEX('M03-S02'!$X$16:$X$198,2*(ROWS($AD$55:AD70)-1)+1)</f>
        <v>0</v>
      </c>
      <c r="AE70" s="459"/>
      <c r="AF70" s="459"/>
      <c r="AG70" s="112"/>
      <c r="AH70" s="112"/>
      <c r="AI70" s="112"/>
      <c r="AJ70" s="112"/>
      <c r="AK70" s="113"/>
      <c r="AL70" s="113"/>
      <c r="AM70" s="113"/>
      <c r="AN70" s="113"/>
      <c r="AO70" s="52" t="str">
        <f>IFERROR(INDEX(PMELIGHTCON[Program Design],MATCH(AB70,PMELIGHTCON[Eff Desc 1],0)),"")</f>
        <v/>
      </c>
      <c r="AU70"/>
    </row>
    <row r="71" spans="1:47">
      <c r="A71" s="57">
        <f t="shared" si="5"/>
        <v>0</v>
      </c>
      <c r="B71" s="183" t="str">
        <f t="shared" si="7"/>
        <v/>
      </c>
      <c r="C71" t="str">
        <f>IFERROR(IF(R71&gt;0,INDEX(PMELIGHTCON[Measure '#],MATCH(AB71,PMELIGHTCON[Eff Desc 1],0)),""),"")</f>
        <v/>
      </c>
      <c r="D71" t="s">
        <v>947</v>
      </c>
      <c r="F71" s="112"/>
      <c r="G71" s="186">
        <f>INDEX('M03-S02'!$AB$16:$AB$198,2*(ROWS($G$55:G71)-1)+1)</f>
        <v>0</v>
      </c>
      <c r="H71" s="186" t="str">
        <f>IF(ISNUMBER(INDEX('M03-S02'!$AN$16:$AN$198,2*(ROWS($R$55:R71)-1)+1)),"Total","")</f>
        <v/>
      </c>
      <c r="I71" s="184">
        <f>ROUND(INDEX('M03-S02'!$AE$16:$AE$198,2*(ROWS($I$55:I71)-1)+1),2)</f>
        <v>0</v>
      </c>
      <c r="J71" s="184">
        <f>ROUND(INDEX('M03-S02'!$AG$16:$AG$198,2*(ROWS($J$55:J71)-1)+1),2)</f>
        <v>0</v>
      </c>
      <c r="K71" s="52">
        <f>IFERROR(ROUND(INDEX('M03-S02'!$AU$16:$AU$198,2*(ROWS($K$55:K71)-1)+1),2),0)</f>
        <v>0</v>
      </c>
      <c r="L71" s="52" t="str">
        <f>IFERROR(IF(R71&gt;0,M71*INDEX(PMELIGHTCON[Incremental Cost],MATCH(AB71,PMELIGHTCON[Eff Desc 1],0)),""),"")</f>
        <v/>
      </c>
      <c r="M71" s="456">
        <f>INDEX('M03-S02'!$Q$16:$Q$198,2*(ROWS($M$55:M71)-1)+1)</f>
        <v>0</v>
      </c>
      <c r="N71" s="184" t="str">
        <f>IFERROR(INDEX('M03-S02'!$AK$16:$AK$198,2*(ROWS($N$55:N71)-1)+1),"")</f>
        <v/>
      </c>
      <c r="O71" s="456" t="str">
        <f>IFERROR(INDEX('M03-S02'!$AV$16:$AV$198,2*(ROWS($O$55:O71)-1)+1),"")</f>
        <v/>
      </c>
      <c r="P71" s="459"/>
      <c r="Q71" s="184" t="str">
        <f>IFERROR(IF(ISNUMBER(INDEX('M03-S02'!$AN$16:$AN$198,2*(ROWS($R$55:R71)-1)+1)),INDEX('M03-S02'!$AX$16:$AX$198,2*(ROWS($Q$55:Q71)-1)+1),""),"")</f>
        <v/>
      </c>
      <c r="R71" s="184">
        <f>IF(ISNUMBER(INDEX('M03-S02'!$AN$16:$AN$198,2*(ROWS($R$55:R71)-1)+1)),INDEX('M03-S02'!$AN$16:$AN$198,2*(ROWS($R$55:R71)-1)+1),0)</f>
        <v>0</v>
      </c>
      <c r="S71" s="459"/>
      <c r="T71" s="113"/>
      <c r="U71" s="140"/>
      <c r="V71" s="113"/>
      <c r="W71" s="96">
        <f>IFERROR(IF(NOT(ISNUMBER(INDEX('M03-S02'!$AN$16:$AN$198,2*(ROWS($R$55:R71)-1)+1))),INDEX('M03-S02'!$BC$16:$BC$198,2*(ROWS($R$55:R71)-1)+1),""),"")</f>
        <v>0</v>
      </c>
      <c r="X71" s="113"/>
      <c r="Y71" s="113"/>
      <c r="Z71" s="111">
        <f>INDEX('M03-S02'!$B$16:$B$198,2*(ROWS($Z$55:Z71)-1)+1)</f>
        <v>17</v>
      </c>
      <c r="AA71" s="111" t="str">
        <f>INDEX('M03-S02'!$I$16:$I$199,2*(ROWS($Z$55:AA71)-1)+1)</f>
        <v/>
      </c>
      <c r="AB71" s="111">
        <f>INDEX('M03-S02'!$C$16:$C$198,2*(ROWS($Z$55:AB71)-1)+1)</f>
        <v>0</v>
      </c>
      <c r="AC71" s="96"/>
      <c r="AD71">
        <f>INDEX('M03-S02'!$X$16:$X$198,2*(ROWS($AD$55:AD71)-1)+1)</f>
        <v>0</v>
      </c>
      <c r="AE71" s="459"/>
      <c r="AF71" s="459"/>
      <c r="AG71" s="112"/>
      <c r="AH71" s="112"/>
      <c r="AI71" s="112"/>
      <c r="AJ71" s="112"/>
      <c r="AK71" s="113"/>
      <c r="AL71" s="113"/>
      <c r="AM71" s="113"/>
      <c r="AN71" s="113"/>
      <c r="AO71" s="52" t="str">
        <f>IFERROR(INDEX(PMELIGHTCON[Program Design],MATCH(AB71,PMELIGHTCON[Eff Desc 1],0)),"")</f>
        <v/>
      </c>
      <c r="AU71"/>
    </row>
    <row r="72" spans="1:47">
      <c r="A72" s="57">
        <f t="shared" si="5"/>
        <v>0</v>
      </c>
      <c r="B72" s="183" t="str">
        <f t="shared" si="7"/>
        <v/>
      </c>
      <c r="C72" t="str">
        <f>IFERROR(IF(R72&gt;0,INDEX(PMELIGHTCON[Measure '#],MATCH(AB72,PMELIGHTCON[Eff Desc 1],0)),""),"")</f>
        <v/>
      </c>
      <c r="D72" t="s">
        <v>947</v>
      </c>
      <c r="F72" s="112"/>
      <c r="G72" s="186">
        <f>INDEX('M03-S02'!$AB$16:$AB$198,2*(ROWS($G$55:G72)-1)+1)</f>
        <v>0</v>
      </c>
      <c r="H72" s="186" t="str">
        <f>IF(ISNUMBER(INDEX('M03-S02'!$AN$16:$AN$198,2*(ROWS($R$55:R72)-1)+1)),"Total","")</f>
        <v/>
      </c>
      <c r="I72" s="184">
        <f>ROUND(INDEX('M03-S02'!$AE$16:$AE$198,2*(ROWS($I$55:I72)-1)+1),2)</f>
        <v>0</v>
      </c>
      <c r="J72" s="184">
        <f>ROUND(INDEX('M03-S02'!$AG$16:$AG$198,2*(ROWS($J$55:J72)-1)+1),2)</f>
        <v>0</v>
      </c>
      <c r="K72" s="52">
        <f>IFERROR(ROUND(INDEX('M03-S02'!$AU$16:$AU$198,2*(ROWS($K$55:K72)-1)+1),2),0)</f>
        <v>0</v>
      </c>
      <c r="L72" s="52" t="str">
        <f>IFERROR(IF(R72&gt;0,M72*INDEX(PMELIGHTCON[Incremental Cost],MATCH(AB72,PMELIGHTCON[Eff Desc 1],0)),""),"")</f>
        <v/>
      </c>
      <c r="M72" s="456">
        <f>INDEX('M03-S02'!$Q$16:$Q$198,2*(ROWS($M$55:M72)-1)+1)</f>
        <v>0</v>
      </c>
      <c r="N72" s="184" t="str">
        <f>IFERROR(INDEX('M03-S02'!$AK$16:$AK$198,2*(ROWS($N$55:N72)-1)+1),"")</f>
        <v/>
      </c>
      <c r="O72" s="456" t="str">
        <f>IFERROR(INDEX('M03-S02'!$AV$16:$AV$198,2*(ROWS($O$55:O72)-1)+1),"")</f>
        <v/>
      </c>
      <c r="P72" s="459"/>
      <c r="Q72" s="184" t="str">
        <f>IFERROR(IF(ISNUMBER(INDEX('M03-S02'!$AN$16:$AN$198,2*(ROWS($R$55:R72)-1)+1)),INDEX('M03-S02'!$AX$16:$AX$198,2*(ROWS($Q$55:Q72)-1)+1),""),"")</f>
        <v/>
      </c>
      <c r="R72" s="184">
        <f>IF(ISNUMBER(INDEX('M03-S02'!$AN$16:$AN$198,2*(ROWS($R$55:R72)-1)+1)),INDEX('M03-S02'!$AN$16:$AN$198,2*(ROWS($R$55:R72)-1)+1),0)</f>
        <v>0</v>
      </c>
      <c r="S72" s="459"/>
      <c r="T72" s="113"/>
      <c r="U72" s="140"/>
      <c r="V72" s="113"/>
      <c r="W72" s="96">
        <f>IFERROR(IF(NOT(ISNUMBER(INDEX('M03-S02'!$AN$16:$AN$198,2*(ROWS($R$55:R72)-1)+1))),INDEX('M03-S02'!$BC$16:$BC$198,2*(ROWS($R$55:R72)-1)+1),""),"")</f>
        <v>0</v>
      </c>
      <c r="X72" s="113"/>
      <c r="Y72" s="113"/>
      <c r="Z72" s="111">
        <f>INDEX('M03-S02'!$B$16:$B$198,2*(ROWS($Z$55:Z72)-1)+1)</f>
        <v>18</v>
      </c>
      <c r="AA72" s="111" t="str">
        <f>INDEX('M03-S02'!$I$16:$I$199,2*(ROWS($Z$55:AA72)-1)+1)</f>
        <v/>
      </c>
      <c r="AB72" s="111">
        <f>INDEX('M03-S02'!$C$16:$C$198,2*(ROWS($Z$55:AB72)-1)+1)</f>
        <v>0</v>
      </c>
      <c r="AC72" s="96"/>
      <c r="AD72">
        <f>INDEX('M03-S02'!$X$16:$X$198,2*(ROWS($AD$55:AD72)-1)+1)</f>
        <v>0</v>
      </c>
      <c r="AE72" s="459"/>
      <c r="AF72" s="459"/>
      <c r="AG72" s="112"/>
      <c r="AH72" s="112"/>
      <c r="AI72" s="112"/>
      <c r="AJ72" s="112"/>
      <c r="AK72" s="113"/>
      <c r="AL72" s="113"/>
      <c r="AM72" s="113"/>
      <c r="AN72" s="113"/>
      <c r="AO72" s="52" t="str">
        <f>IFERROR(INDEX(PMELIGHTCON[Program Design],MATCH(AB72,PMELIGHTCON[Eff Desc 1],0)),"")</f>
        <v/>
      </c>
      <c r="AU72"/>
    </row>
    <row r="73" spans="1:47">
      <c r="A73" s="57">
        <f t="shared" si="5"/>
        <v>0</v>
      </c>
      <c r="B73" s="183" t="str">
        <f t="shared" si="7"/>
        <v/>
      </c>
      <c r="C73" t="str">
        <f>IFERROR(IF(R73&gt;0,INDEX(PMELIGHTCON[Measure '#],MATCH(AB73,PMELIGHTCON[Eff Desc 1],0)),""),"")</f>
        <v/>
      </c>
      <c r="D73" t="s">
        <v>947</v>
      </c>
      <c r="F73" s="112"/>
      <c r="G73" s="186">
        <f>INDEX('M03-S02'!$AB$16:$AB$198,2*(ROWS($G$55:G73)-1)+1)</f>
        <v>0</v>
      </c>
      <c r="H73" s="186" t="str">
        <f>IF(ISNUMBER(INDEX('M03-S02'!$AN$16:$AN$198,2*(ROWS($R$55:R73)-1)+1)),"Total","")</f>
        <v/>
      </c>
      <c r="I73" s="184">
        <f>ROUND(INDEX('M03-S02'!$AE$16:$AE$198,2*(ROWS($I$55:I73)-1)+1),2)</f>
        <v>0</v>
      </c>
      <c r="J73" s="184">
        <f>ROUND(INDEX('M03-S02'!$AG$16:$AG$198,2*(ROWS($J$55:J73)-1)+1),2)</f>
        <v>0</v>
      </c>
      <c r="K73" s="52">
        <f>IFERROR(ROUND(INDEX('M03-S02'!$AU$16:$AU$198,2*(ROWS($K$55:K73)-1)+1),2),0)</f>
        <v>0</v>
      </c>
      <c r="L73" s="52" t="str">
        <f>IFERROR(IF(R73&gt;0,M73*INDEX(PMELIGHTCON[Incremental Cost],MATCH(AB73,PMELIGHTCON[Eff Desc 1],0)),""),"")</f>
        <v/>
      </c>
      <c r="M73" s="456">
        <f>INDEX('M03-S02'!$Q$16:$Q$198,2*(ROWS($M$55:M73)-1)+1)</f>
        <v>0</v>
      </c>
      <c r="N73" s="184" t="str">
        <f>IFERROR(INDEX('M03-S02'!$AK$16:$AK$198,2*(ROWS($N$55:N73)-1)+1),"")</f>
        <v/>
      </c>
      <c r="O73" s="456" t="str">
        <f>IFERROR(INDEX('M03-S02'!$AV$16:$AV$198,2*(ROWS($O$55:O73)-1)+1),"")</f>
        <v/>
      </c>
      <c r="P73" s="459"/>
      <c r="Q73" s="184" t="str">
        <f>IFERROR(IF(ISNUMBER(INDEX('M03-S02'!$AN$16:$AN$198,2*(ROWS($R$55:R73)-1)+1)),INDEX('M03-S02'!$AX$16:$AX$198,2*(ROWS($Q$55:Q73)-1)+1),""),"")</f>
        <v/>
      </c>
      <c r="R73" s="184">
        <f>IF(ISNUMBER(INDEX('M03-S02'!$AN$16:$AN$198,2*(ROWS($R$55:R73)-1)+1)),INDEX('M03-S02'!$AN$16:$AN$198,2*(ROWS($R$55:R73)-1)+1),0)</f>
        <v>0</v>
      </c>
      <c r="S73" s="459"/>
      <c r="T73" s="113"/>
      <c r="U73" s="140"/>
      <c r="V73" s="113"/>
      <c r="W73" s="96">
        <f>IFERROR(IF(NOT(ISNUMBER(INDEX('M03-S02'!$AN$16:$AN$198,2*(ROWS($R$55:R73)-1)+1))),INDEX('M03-S02'!$BC$16:$BC$198,2*(ROWS($R$55:R73)-1)+1),""),"")</f>
        <v>0</v>
      </c>
      <c r="X73" s="113"/>
      <c r="Y73" s="113"/>
      <c r="Z73" s="111">
        <f>INDEX('M03-S02'!$B$16:$B$198,2*(ROWS($Z$55:Z73)-1)+1)</f>
        <v>19</v>
      </c>
      <c r="AA73" s="111" t="str">
        <f>INDEX('M03-S02'!$I$16:$I$199,2*(ROWS($Z$55:AA73)-1)+1)</f>
        <v/>
      </c>
      <c r="AB73" s="111">
        <f>INDEX('M03-S02'!$C$16:$C$198,2*(ROWS($Z$55:AB73)-1)+1)</f>
        <v>0</v>
      </c>
      <c r="AC73" s="96"/>
      <c r="AD73">
        <f>INDEX('M03-S02'!$X$16:$X$198,2*(ROWS($AD$55:AD73)-1)+1)</f>
        <v>0</v>
      </c>
      <c r="AE73" s="459"/>
      <c r="AF73" s="459"/>
      <c r="AG73" s="112"/>
      <c r="AH73" s="112"/>
      <c r="AI73" s="112"/>
      <c r="AJ73" s="112"/>
      <c r="AK73" s="113"/>
      <c r="AL73" s="113"/>
      <c r="AM73" s="113"/>
      <c r="AN73" s="113"/>
      <c r="AO73" s="52" t="str">
        <f>IFERROR(INDEX(PMELIGHTCON[Program Design],MATCH(AB73,PMELIGHTCON[Eff Desc 1],0)),"")</f>
        <v/>
      </c>
      <c r="AU73"/>
    </row>
    <row r="74" spans="1:47">
      <c r="A74" s="57">
        <f t="shared" si="5"/>
        <v>0</v>
      </c>
      <c r="B74" s="183" t="str">
        <f t="shared" ca="1" si="7"/>
        <v/>
      </c>
      <c r="C74" s="559" t="str">
        <f ca="1">IFERROR(IF(R74&gt;0,INDEX(PMEBONUS[Measure '#],MATCH(AB74,PMEBONUS[Eff Desc 1],0)),""),"")</f>
        <v/>
      </c>
      <c r="D74" t="s">
        <v>947</v>
      </c>
      <c r="F74" s="112"/>
      <c r="G74" s="186">
        <f>INDEX('M03-S02'!$AB$16:$AB$198,2*(ROWS($G$55:G74)-1)+1)</f>
        <v>0</v>
      </c>
      <c r="H74" s="112"/>
      <c r="I74" s="184">
        <f>ROUND(INDEX('M03-S02'!$AE$16:$AE$198,2*(ROWS($I$55:I74)-1)+1),2)</f>
        <v>0</v>
      </c>
      <c r="J74" s="184">
        <f>ROUND(INDEX('M03-S02'!$AG$16:$AG$198,2*(ROWS($J$55:J74)-1)+1),2)</f>
        <v>0</v>
      </c>
      <c r="K74" s="52">
        <f ca="1">IFERROR(ROUND(INDEX('M03-S02'!$AU$16:$AU$198,2*(ROWS($K$55:K74)-1)+1),2),0)</f>
        <v>0</v>
      </c>
      <c r="M74" s="456">
        <f ca="1">INDEX('M03-S02'!$Q$16:$Q$198,2*(ROWS($M$55:M74)-1)+1)</f>
        <v>0</v>
      </c>
      <c r="N74" s="184" t="str">
        <f ca="1">IFERROR(INDEX('M03-S02'!$AK$16:$AK$198,2*(ROWS($N$55:N74)-1)+1),"")</f>
        <v/>
      </c>
      <c r="O74" s="456" t="str">
        <f ca="1">IFERROR(INDEX('M03-S02'!$AV$16:$AV$198,2*(ROWS($O$55:O74)-1)+1),"")</f>
        <v/>
      </c>
      <c r="P74" s="184"/>
      <c r="Q74" s="184"/>
      <c r="R74" s="184">
        <f ca="1">IF(ISNUMBER(INDEX('M03-S02'!$AN$16:$AN$198,2*(ROWS($R$55:R74)-1)+1)),INDEX('M03-S02'!$AN$16:$AN$198,2*(ROWS($R$55:R74)-1)+1),0)</f>
        <v>0</v>
      </c>
      <c r="S74" s="459"/>
      <c r="T74" s="113"/>
      <c r="U74" s="140"/>
      <c r="V74" s="113"/>
      <c r="W74" s="96">
        <f ca="1">IFERROR(IF(NOT(ISNUMBER(INDEX('M03-S02'!$AN$16:$AN$198,2*(ROWS($R$55:R74)-1)+1))),INDEX('M03-S02'!$BC$16:$BC$198,2*(ROWS($R$55:R74)-1)+1),""),"")</f>
        <v>0</v>
      </c>
      <c r="X74" s="113"/>
      <c r="Y74" s="113"/>
      <c r="Z74" s="111">
        <f>INDEX('M03-S02'!$B$16:$B$198,2*(ROWS($Z$55:Z74)-1)+1)</f>
        <v>20</v>
      </c>
      <c r="AA74" s="111" t="str">
        <f ca="1">INDEX('M03-S02'!$I$16:$I$199,2*(ROWS($Z$55:AA74)-1)+1)</f>
        <v/>
      </c>
      <c r="AB74" s="111">
        <f ca="1">INDEX('M03-S02'!$C$16:$C$198,2*(ROWS($Z$55:AB74)-1)+1)</f>
        <v>0</v>
      </c>
      <c r="AC74" s="96"/>
      <c r="AD74">
        <f>INDEX('M03-S02'!$X$16:$X$198,2*(ROWS($AD$55:AD74)-1)+1)</f>
        <v>0</v>
      </c>
      <c r="AE74" s="459"/>
      <c r="AF74" s="459"/>
      <c r="AG74" s="112"/>
      <c r="AH74" s="112"/>
      <c r="AI74" s="112"/>
      <c r="AJ74" s="112"/>
      <c r="AK74" s="113"/>
      <c r="AL74" s="113"/>
      <c r="AM74" s="113"/>
      <c r="AN74" s="113"/>
      <c r="AO74" s="52" t="str">
        <f ca="1">IFERROR(INDEX(PMEBONUS[Program Design],MATCH(AB74,PMEBONUS[Eff Desc 1])),"")</f>
        <v/>
      </c>
      <c r="AU74"/>
    </row>
    <row r="75" spans="1:47">
      <c r="A75" s="57">
        <f t="shared" si="5"/>
        <v>0</v>
      </c>
      <c r="B75" s="183" t="str">
        <f t="shared" si="7"/>
        <v/>
      </c>
      <c r="C75" t="str">
        <f>IFERROR(IF(R75&gt;0,INDEX(PMELIGHTCON[Measure '#],MATCH(AB75,PMELIGHTCON[Eff Desc 1],0)),""),"")</f>
        <v/>
      </c>
      <c r="D75" t="s">
        <v>947</v>
      </c>
      <c r="F75" s="112"/>
      <c r="G75" s="186">
        <f>INDEX('M03-S02'!$AB$16:$AB$198,2*(ROWS($G$55:G75)-1)+1)</f>
        <v>0</v>
      </c>
      <c r="H75" s="186"/>
      <c r="I75" s="184">
        <f>ROUND(INDEX('M03-S02'!$AE$16:$AE$198,2*(ROWS($I$55:I75)-1)+1),2)</f>
        <v>0</v>
      </c>
      <c r="J75" s="184">
        <f>ROUND(INDEX('M03-S02'!$AG$16:$AG$198,2*(ROWS($J$55:J75)-1)+1),2)</f>
        <v>0</v>
      </c>
      <c r="K75" s="52">
        <f>IFERROR(ROUND(INDEX('M03-S02'!$AU$16:$AU$198,2*(ROWS($K$55:K75)-1)+1),2),0)</f>
        <v>0</v>
      </c>
      <c r="M75" s="456">
        <f>INDEX('M03-S02'!$Q$16:$Q$198,2*(ROWS($M$55:M75)-1)+1)</f>
        <v>0</v>
      </c>
      <c r="N75" s="184" t="str">
        <f>IFERROR(INDEX('M03-S02'!$AK$16:$AK$198,2*(ROWS($N$55:N75)-1)+1),"")</f>
        <v/>
      </c>
      <c r="O75" s="456" t="str">
        <f>IFERROR(INDEX('M03-S02'!$AV$16:$AV$198,2*(ROWS($O$55:O75)-1)+1),"")</f>
        <v/>
      </c>
      <c r="P75" s="184" t="str">
        <f>IFERROR(IF(ISNUMBER(INDEX('M03-S02'!$AN$16:$AN$198,2*(ROWS($R$55:R75)-1)+1)),INDEX('M03-S02'!$AX$16:$AX$198,2*(ROWS($P$55:P75)-1)+1),""),"")</f>
        <v/>
      </c>
      <c r="Q75" s="184"/>
      <c r="R75" s="184">
        <f>IF(ISNUMBER(INDEX('M03-S02'!$AN$16:$AN$198,2*(ROWS($R$55:R75)-1)+1)),INDEX('M03-S02'!$AN$16:$AN$198,2*(ROWS($R$55:R75)-1)+1),0)</f>
        <v>0</v>
      </c>
      <c r="S75" s="459"/>
      <c r="T75" s="113"/>
      <c r="U75" s="140"/>
      <c r="V75" s="113"/>
      <c r="W75" s="96">
        <f>IFERROR(IF(NOT(ISNUMBER(INDEX('M03-S02'!$AN$16:$AN$198,2*(ROWS($R$55:R75)-1)+1))),INDEX('M03-S02'!$BC$16:$BC$198,2*(ROWS($R$55:R75)-1)+1),""),"")</f>
        <v>0</v>
      </c>
      <c r="X75" s="113"/>
      <c r="Y75" s="113"/>
      <c r="Z75" s="111">
        <f>INDEX('M03-S02'!$B$16:$B$198,2*(ROWS($Z$55:Z75)-1)+1)</f>
        <v>21</v>
      </c>
      <c r="AA75" s="111" t="str">
        <f>INDEX('M03-S02'!$I$16:$I$199,2*(ROWS($Z$55:AA75)-1)+1)</f>
        <v/>
      </c>
      <c r="AB75" s="111">
        <f>INDEX('M03-S02'!$C$16:$C$198,2*(ROWS($Z$55:AB75)-1)+1)</f>
        <v>0</v>
      </c>
      <c r="AC75" s="96"/>
      <c r="AD75">
        <f>INDEX('M03-S02'!$X$16:$X$198,2*(ROWS($AD$55:AD75)-1)+1)</f>
        <v>0</v>
      </c>
      <c r="AE75" s="459"/>
      <c r="AF75" s="459"/>
      <c r="AG75" s="112"/>
      <c r="AH75" s="112"/>
      <c r="AI75" s="112"/>
      <c r="AJ75" s="112"/>
      <c r="AK75" s="113"/>
      <c r="AL75" s="113"/>
      <c r="AM75" s="113"/>
      <c r="AN75" s="113"/>
      <c r="AO75" s="52" t="str">
        <f>IFERROR(INDEX(PMELIGHTCON[Program Design],MATCH(AB75,PMELIGHTCON[Eff Desc 1],0)),"")</f>
        <v/>
      </c>
      <c r="AU75"/>
    </row>
    <row r="76" spans="1:47">
      <c r="A76" s="57">
        <f t="shared" si="5"/>
        <v>0</v>
      </c>
      <c r="B76" s="183" t="str">
        <f t="shared" si="7"/>
        <v/>
      </c>
      <c r="C76" t="str">
        <f>IFERROR(IF(R76&gt;0,INDEX(PMELIGHTCON[Measure '#],MATCH(AB76,PMELIGHTCON[Eff Desc 1],0)),""),"")</f>
        <v/>
      </c>
      <c r="D76" t="s">
        <v>947</v>
      </c>
      <c r="F76" s="112"/>
      <c r="G76" s="186">
        <f>INDEX('M03-S02'!$AB$16:$AB$198,2*(ROWS($G$55:G76)-1)+1)</f>
        <v>0</v>
      </c>
      <c r="H76" s="186"/>
      <c r="I76" s="184">
        <f>ROUND(INDEX('M03-S02'!$AE$16:$AE$198,2*(ROWS($I$55:I76)-1)+1),2)</f>
        <v>0</v>
      </c>
      <c r="J76" s="184">
        <f>ROUND(INDEX('M03-S02'!$AG$16:$AG$198,2*(ROWS($J$55:J76)-1)+1),2)</f>
        <v>0</v>
      </c>
      <c r="K76" s="52">
        <f>IFERROR(ROUND(INDEX('M03-S02'!$AU$16:$AU$198,2*(ROWS($K$55:K76)-1)+1),2),0)</f>
        <v>0</v>
      </c>
      <c r="M76" s="456">
        <f>INDEX('M03-S02'!$Q$16:$Q$198,2*(ROWS($M$55:M76)-1)+1)</f>
        <v>0</v>
      </c>
      <c r="N76" s="184" t="str">
        <f>IFERROR(INDEX('M03-S02'!$AK$16:$AK$198,2*(ROWS($N$55:N76)-1)+1),"")</f>
        <v/>
      </c>
      <c r="O76" s="456" t="str">
        <f>IFERROR(INDEX('M03-S02'!$AV$16:$AV$198,2*(ROWS($O$55:O76)-1)+1),"")</f>
        <v/>
      </c>
      <c r="P76" s="184" t="str">
        <f>IFERROR(IF(ISNUMBER(INDEX('M03-S02'!$AN$16:$AN$198,2*(ROWS($R$55:R76)-1)+1)),INDEX('M03-S02'!$AX$16:$AX$198,2*(ROWS($P$55:P76)-1)+1),""),"")</f>
        <v/>
      </c>
      <c r="Q76" s="184"/>
      <c r="R76" s="184">
        <f>IF(ISNUMBER(INDEX('M03-S02'!$AN$16:$AN$198,2*(ROWS($R$55:R76)-1)+1)),INDEX('M03-S02'!$AN$16:$AN$198,2*(ROWS($R$55:R76)-1)+1),0)</f>
        <v>0</v>
      </c>
      <c r="S76" s="459"/>
      <c r="T76" s="113"/>
      <c r="U76" s="140"/>
      <c r="V76" s="113"/>
      <c r="W76" s="96">
        <f>IFERROR(IF(NOT(ISNUMBER(INDEX('M03-S02'!$AN$16:$AN$198,2*(ROWS($R$55:R76)-1)+1))),INDEX('M03-S02'!$BC$16:$BC$198,2*(ROWS($R$55:R76)-1)+1),""),"")</f>
        <v>0</v>
      </c>
      <c r="X76" s="113"/>
      <c r="Y76" s="113"/>
      <c r="Z76" s="111">
        <f>INDEX('M03-S02'!$B$16:$B$198,2*(ROWS($Z$55:Z76)-1)+1)</f>
        <v>22</v>
      </c>
      <c r="AA76" s="111" t="str">
        <f>INDEX('M03-S02'!$I$16:$I$199,2*(ROWS($Z$55:AA76)-1)+1)</f>
        <v/>
      </c>
      <c r="AB76" s="111">
        <f>INDEX('M03-S02'!$C$16:$C$198,2*(ROWS($Z$55:AB76)-1)+1)</f>
        <v>0</v>
      </c>
      <c r="AC76" s="96"/>
      <c r="AD76">
        <f>INDEX('M03-S02'!$X$16:$X$198,2*(ROWS($AD$55:AD76)-1)+1)</f>
        <v>0</v>
      </c>
      <c r="AE76" s="459"/>
      <c r="AF76" s="459"/>
      <c r="AG76" s="112"/>
      <c r="AH76" s="112"/>
      <c r="AI76" s="112"/>
      <c r="AJ76" s="112"/>
      <c r="AK76" s="113"/>
      <c r="AL76" s="113"/>
      <c r="AM76" s="113"/>
      <c r="AN76" s="113"/>
      <c r="AO76" s="52" t="str">
        <f>IFERROR(INDEX(PMELIGHTCON[Program Design],MATCH(AB76,PMELIGHTCON[Eff Desc 1],0)),"")</f>
        <v/>
      </c>
      <c r="AU76"/>
    </row>
    <row r="77" spans="1:47">
      <c r="A77" s="57">
        <f t="shared" si="5"/>
        <v>0</v>
      </c>
      <c r="B77" s="183" t="str">
        <f t="shared" si="7"/>
        <v/>
      </c>
      <c r="C77" t="str">
        <f>IFERROR(IF(R77&gt;0,INDEX(PMELIGHTCON[Measure '#],MATCH(AB77,PMELIGHTCON[Eff Desc 1],0)),""),"")</f>
        <v/>
      </c>
      <c r="D77" t="s">
        <v>947</v>
      </c>
      <c r="F77" s="112"/>
      <c r="G77" s="186">
        <f>INDEX('M03-S02'!$AB$16:$AB$198,2*(ROWS($G$55:G77)-1)+1)</f>
        <v>0</v>
      </c>
      <c r="H77" s="186"/>
      <c r="I77" s="184">
        <f>ROUND(INDEX('M03-S02'!$AE$16:$AE$198,2*(ROWS($I$55:I77)-1)+1),2)</f>
        <v>0</v>
      </c>
      <c r="J77" s="184">
        <f>ROUND(INDEX('M03-S02'!$AG$16:$AG$198,2*(ROWS($J$55:J77)-1)+1),2)</f>
        <v>0</v>
      </c>
      <c r="K77" s="52">
        <f>IFERROR(ROUND(INDEX('M03-S02'!$AU$16:$AU$198,2*(ROWS($K$55:K77)-1)+1),2),0)</f>
        <v>0</v>
      </c>
      <c r="M77" s="456">
        <f>INDEX('M03-S02'!$Q$16:$Q$198,2*(ROWS($M$55:M77)-1)+1)</f>
        <v>0</v>
      </c>
      <c r="N77" s="184" t="str">
        <f>IFERROR(INDEX('M03-S02'!$AK$16:$AK$198,2*(ROWS($N$55:N77)-1)+1),"")</f>
        <v/>
      </c>
      <c r="O77" s="456" t="str">
        <f>IFERROR(INDEX('M03-S02'!$AV$16:$AV$198,2*(ROWS($O$55:O77)-1)+1),"")</f>
        <v/>
      </c>
      <c r="P77" s="184" t="str">
        <f>IFERROR(IF(ISNUMBER(INDEX('M03-S02'!$AN$16:$AN$198,2*(ROWS($R$55:R77)-1)+1)),INDEX('M03-S02'!$AX$16:$AX$198,2*(ROWS($P$55:P77)-1)+1),""),"")</f>
        <v/>
      </c>
      <c r="Q77" s="184"/>
      <c r="R77" s="184">
        <f>IF(ISNUMBER(INDEX('M03-S02'!$AN$16:$AN$198,2*(ROWS($R$55:R77)-1)+1)),INDEX('M03-S02'!$AN$16:$AN$198,2*(ROWS($R$55:R77)-1)+1),0)</f>
        <v>0</v>
      </c>
      <c r="S77" s="459"/>
      <c r="T77" s="113"/>
      <c r="U77" s="140"/>
      <c r="V77" s="113"/>
      <c r="W77" s="96">
        <f>IFERROR(IF(NOT(ISNUMBER(INDEX('M03-S02'!$AN$16:$AN$198,2*(ROWS($R$55:R77)-1)+1))),INDEX('M03-S02'!$BC$16:$BC$198,2*(ROWS($R$55:R77)-1)+1),""),"")</f>
        <v>0</v>
      </c>
      <c r="X77" s="113"/>
      <c r="Y77" s="113"/>
      <c r="Z77" s="111">
        <f>INDEX('M03-S02'!$B$16:$B$198,2*(ROWS($Z$55:Z77)-1)+1)</f>
        <v>23</v>
      </c>
      <c r="AA77" s="111" t="str">
        <f>INDEX('M03-S02'!$I$16:$I$199,2*(ROWS($Z$55:AA77)-1)+1)</f>
        <v/>
      </c>
      <c r="AB77" s="111">
        <f>INDEX('M03-S02'!$C$16:$C$198,2*(ROWS($Z$55:AB77)-1)+1)</f>
        <v>0</v>
      </c>
      <c r="AC77" s="96"/>
      <c r="AD77">
        <f>INDEX('M03-S02'!$X$16:$X$198,2*(ROWS($AD$55:AD77)-1)+1)</f>
        <v>0</v>
      </c>
      <c r="AE77" s="459"/>
      <c r="AF77" s="459"/>
      <c r="AG77" s="112"/>
      <c r="AH77" s="112"/>
      <c r="AI77" s="112"/>
      <c r="AJ77" s="112"/>
      <c r="AK77" s="113"/>
      <c r="AL77" s="113"/>
      <c r="AM77" s="113"/>
      <c r="AN77" s="113"/>
      <c r="AO77" s="52" t="str">
        <f>IFERROR(INDEX(PMELIGHTCON[Program Design],MATCH(AB77,PMELIGHTCON[Eff Desc 1],0)),"")</f>
        <v/>
      </c>
      <c r="AU77"/>
    </row>
    <row r="78" spans="1:47">
      <c r="A78" s="57">
        <f t="shared" si="5"/>
        <v>0</v>
      </c>
      <c r="B78" s="183" t="str">
        <f t="shared" si="7"/>
        <v/>
      </c>
      <c r="C78" t="str">
        <f>IFERROR(IF(R78&gt;0,INDEX(PMELIGHTCON[Measure '#],MATCH(AB78,PMELIGHTCON[Eff Desc 1],0)),""),"")</f>
        <v/>
      </c>
      <c r="D78" t="s">
        <v>947</v>
      </c>
      <c r="F78" s="112"/>
      <c r="G78" s="186">
        <f>INDEX('M03-S02'!$AB$16:$AB$198,2*(ROWS($G$55:G78)-1)+1)</f>
        <v>0</v>
      </c>
      <c r="H78" s="186"/>
      <c r="I78" s="184">
        <f>ROUND(INDEX('M03-S02'!$AE$16:$AE$198,2*(ROWS($I$55:I78)-1)+1),2)</f>
        <v>0</v>
      </c>
      <c r="J78" s="184">
        <f>ROUND(INDEX('M03-S02'!$AG$16:$AG$198,2*(ROWS($J$55:J78)-1)+1),2)</f>
        <v>0</v>
      </c>
      <c r="K78" s="52">
        <f>IFERROR(ROUND(INDEX('M03-S02'!$AU$16:$AU$198,2*(ROWS($K$55:K78)-1)+1),2),0)</f>
        <v>0</v>
      </c>
      <c r="M78" s="456">
        <f>INDEX('M03-S02'!$Q$16:$Q$198,2*(ROWS($M$55:M78)-1)+1)</f>
        <v>0</v>
      </c>
      <c r="N78" s="184" t="str">
        <f>IFERROR(INDEX('M03-S02'!$AK$16:$AK$198,2*(ROWS($N$55:N78)-1)+1),"")</f>
        <v/>
      </c>
      <c r="O78" s="456" t="str">
        <f>IFERROR(INDEX('M03-S02'!$AV$16:$AV$198,2*(ROWS($O$55:O78)-1)+1),"")</f>
        <v/>
      </c>
      <c r="P78" s="184" t="str">
        <f>IFERROR(IF(ISNUMBER(INDEX('M03-S02'!$AN$16:$AN$198,2*(ROWS($R$55:R78)-1)+1)),INDEX('M03-S02'!$AX$16:$AX$198,2*(ROWS($P$55:P78)-1)+1),""),"")</f>
        <v/>
      </c>
      <c r="Q78" s="184"/>
      <c r="R78" s="184">
        <f>IF(ISNUMBER(INDEX('M03-S02'!$AN$16:$AN$198,2*(ROWS($R$55:R78)-1)+1)),INDEX('M03-S02'!$AN$16:$AN$198,2*(ROWS($R$55:R78)-1)+1),0)</f>
        <v>0</v>
      </c>
      <c r="S78" s="459"/>
      <c r="T78" s="113"/>
      <c r="U78" s="140"/>
      <c r="V78" s="113"/>
      <c r="W78" s="96">
        <f>IFERROR(IF(NOT(ISNUMBER(INDEX('M03-S02'!$AN$16:$AN$198,2*(ROWS($R$55:R78)-1)+1))),INDEX('M03-S02'!$BC$16:$BC$198,2*(ROWS($R$55:R78)-1)+1),""),"")</f>
        <v>0</v>
      </c>
      <c r="X78" s="113"/>
      <c r="Y78" s="113"/>
      <c r="Z78" s="111">
        <f>INDEX('M03-S02'!$B$16:$B$198,2*(ROWS($Z$55:Z78)-1)+1)</f>
        <v>24</v>
      </c>
      <c r="AA78" s="111" t="str">
        <f>INDEX('M03-S02'!$I$16:$I$199,2*(ROWS($Z$55:AA78)-1)+1)</f>
        <v/>
      </c>
      <c r="AB78" s="111">
        <f>INDEX('M03-S02'!$C$16:$C$198,2*(ROWS($Z$55:AB78)-1)+1)</f>
        <v>0</v>
      </c>
      <c r="AC78" s="96"/>
      <c r="AD78">
        <f>INDEX('M03-S02'!$X$16:$X$198,2*(ROWS($AD$55:AD78)-1)+1)</f>
        <v>0</v>
      </c>
      <c r="AE78" s="459"/>
      <c r="AF78" s="459"/>
      <c r="AG78" s="112"/>
      <c r="AH78" s="112"/>
      <c r="AI78" s="112"/>
      <c r="AJ78" s="112"/>
      <c r="AK78" s="113"/>
      <c r="AL78" s="113"/>
      <c r="AM78" s="113"/>
      <c r="AN78" s="113"/>
      <c r="AO78" s="52" t="str">
        <f>IFERROR(INDEX(PMELIGHTCON[Program Design],MATCH(AB78,PMELIGHTCON[Eff Desc 1],0)),"")</f>
        <v/>
      </c>
      <c r="AU78"/>
    </row>
    <row r="79" spans="1:47">
      <c r="A79" s="57">
        <f t="shared" si="5"/>
        <v>0</v>
      </c>
      <c r="B79" s="183" t="str">
        <f t="shared" si="7"/>
        <v/>
      </c>
      <c r="C79" t="str">
        <f>IFERROR(IF(R79&gt;0,INDEX(PMELIGHTCON[Measure '#],MATCH(AB79,PMELIGHTCON[Eff Desc 1],0)),""),"")</f>
        <v/>
      </c>
      <c r="D79" t="s">
        <v>947</v>
      </c>
      <c r="F79" s="112"/>
      <c r="G79" s="186">
        <f>INDEX('M03-S02'!$AB$16:$AB$198,2*(ROWS($G$55:G79)-1)+1)</f>
        <v>0</v>
      </c>
      <c r="H79" s="186"/>
      <c r="I79" s="184">
        <f>ROUND(INDEX('M03-S02'!$AE$16:$AE$198,2*(ROWS($I$55:I79)-1)+1),2)</f>
        <v>0</v>
      </c>
      <c r="J79" s="184">
        <f>ROUND(INDEX('M03-S02'!$AG$16:$AG$198,2*(ROWS($J$55:J79)-1)+1),2)</f>
        <v>0</v>
      </c>
      <c r="K79" s="52">
        <f>IFERROR(ROUND(INDEX('M03-S02'!$AU$16:$AU$198,2*(ROWS($K$55:K79)-1)+1),2),0)</f>
        <v>0</v>
      </c>
      <c r="M79" s="456">
        <f>INDEX('M03-S02'!$Q$16:$Q$198,2*(ROWS($M$55:M79)-1)+1)</f>
        <v>0</v>
      </c>
      <c r="N79" s="184" t="str">
        <f>IFERROR(INDEX('M03-S02'!$AK$16:$AK$198,2*(ROWS($N$55:N79)-1)+1),"")</f>
        <v/>
      </c>
      <c r="O79" s="456" t="str">
        <f>IFERROR(INDEX('M03-S02'!$AV$16:$AV$198,2*(ROWS($O$55:O79)-1)+1),"")</f>
        <v/>
      </c>
      <c r="P79" s="184" t="str">
        <f>IFERROR(IF(ISNUMBER(INDEX('M03-S02'!$AN$16:$AN$198,2*(ROWS($R$55:R79)-1)+1)),INDEX('M03-S02'!$AX$16:$AX$198,2*(ROWS($P$55:P79)-1)+1),""),"")</f>
        <v/>
      </c>
      <c r="Q79" s="184"/>
      <c r="R79" s="184">
        <f>IF(ISNUMBER(INDEX('M03-S02'!$AN$16:$AN$198,2*(ROWS($R$55:R79)-1)+1)),INDEX('M03-S02'!$AN$16:$AN$198,2*(ROWS($R$55:R79)-1)+1),0)</f>
        <v>0</v>
      </c>
      <c r="S79" s="459"/>
      <c r="T79" s="113"/>
      <c r="U79" s="140"/>
      <c r="V79" s="113"/>
      <c r="W79" s="96">
        <f>IFERROR(IF(NOT(ISNUMBER(INDEX('M03-S02'!$AN$16:$AN$198,2*(ROWS($R$55:R79)-1)+1))),INDEX('M03-S02'!$BC$16:$BC$198,2*(ROWS($R$55:R79)-1)+1),""),"")</f>
        <v>0</v>
      </c>
      <c r="X79" s="113"/>
      <c r="Y79" s="113"/>
      <c r="Z79" s="111">
        <f>INDEX('M03-S02'!$B$16:$B$198,2*(ROWS($Z$55:Z79)-1)+1)</f>
        <v>25</v>
      </c>
      <c r="AA79" s="111" t="str">
        <f>INDEX('M03-S02'!$I$16:$I$199,2*(ROWS($Z$55:AA79)-1)+1)</f>
        <v/>
      </c>
      <c r="AB79" s="111">
        <f>INDEX('M03-S02'!$C$16:$C$198,2*(ROWS($Z$55:AB79)-1)+1)</f>
        <v>0</v>
      </c>
      <c r="AC79" s="96"/>
      <c r="AD79">
        <f>INDEX('M03-S02'!$X$16:$X$198,2*(ROWS($AD$55:AD79)-1)+1)</f>
        <v>0</v>
      </c>
      <c r="AE79" s="459"/>
      <c r="AF79" s="459"/>
      <c r="AG79" s="112"/>
      <c r="AH79" s="112"/>
      <c r="AI79" s="112"/>
      <c r="AJ79" s="112"/>
      <c r="AK79" s="113"/>
      <c r="AL79" s="113"/>
      <c r="AM79" s="113"/>
      <c r="AN79" s="113"/>
      <c r="AO79" s="52" t="str">
        <f>IFERROR(INDEX(PMELIGHTCON[Program Design],MATCH(AB79,PMELIGHTCON[Eff Desc 1],0)),"")</f>
        <v/>
      </c>
      <c r="AU79"/>
    </row>
    <row r="80" spans="1:47">
      <c r="A80" s="57">
        <f t="shared" si="5"/>
        <v>0</v>
      </c>
      <c r="B80" s="183" t="str">
        <f t="shared" si="7"/>
        <v/>
      </c>
      <c r="C80" t="str">
        <f>IFERROR(IF(R80&gt;0,INDEX(PMELIGHTCON[Measure '#],MATCH(AB80,PMELIGHTCON[Eff Desc 1],0)),""),"")</f>
        <v/>
      </c>
      <c r="D80" t="s">
        <v>947</v>
      </c>
      <c r="F80" s="112"/>
      <c r="G80" s="186">
        <f>INDEX('M03-S02'!$AB$16:$AB$198,2*(ROWS($G$55:G80)-1)+1)</f>
        <v>0</v>
      </c>
      <c r="H80" s="186"/>
      <c r="I80" s="184">
        <f>ROUND(INDEX('M03-S02'!$AE$16:$AE$198,2*(ROWS($I$55:I80)-1)+1),2)</f>
        <v>0</v>
      </c>
      <c r="J80" s="184">
        <f>ROUND(INDEX('M03-S02'!$AG$16:$AG$198,2*(ROWS($J$55:J80)-1)+1),2)</f>
        <v>0</v>
      </c>
      <c r="K80" s="52">
        <f>IFERROR(ROUND(INDEX('M03-S02'!$AU$16:$AU$198,2*(ROWS($K$55:K80)-1)+1),2),0)</f>
        <v>0</v>
      </c>
      <c r="M80" s="456">
        <f>INDEX('M03-S02'!$Q$16:$Q$198,2*(ROWS($M$55:M80)-1)+1)</f>
        <v>0</v>
      </c>
      <c r="N80" s="184" t="str">
        <f>IFERROR(INDEX('M03-S02'!$AK$16:$AK$198,2*(ROWS($N$55:N80)-1)+1),"")</f>
        <v/>
      </c>
      <c r="O80" s="456" t="str">
        <f>IFERROR(INDEX('M03-S02'!$AV$16:$AV$198,2*(ROWS($O$55:O80)-1)+1),"")</f>
        <v/>
      </c>
      <c r="P80" s="184" t="str">
        <f>IFERROR(IF(ISNUMBER(INDEX('M03-S02'!$AN$16:$AN$198,2*(ROWS($R$55:R80)-1)+1)),INDEX('M03-S02'!$AX$16:$AX$198,2*(ROWS($P$55:P80)-1)+1),""),"")</f>
        <v/>
      </c>
      <c r="Q80" s="184"/>
      <c r="R80" s="184">
        <f>IF(ISNUMBER(INDEX('M03-S02'!$AN$16:$AN$198,2*(ROWS($R$55:R80)-1)+1)),INDEX('M03-S02'!$AN$16:$AN$198,2*(ROWS($R$55:R80)-1)+1),0)</f>
        <v>0</v>
      </c>
      <c r="S80" s="459"/>
      <c r="T80" s="113"/>
      <c r="U80" s="140"/>
      <c r="V80" s="113"/>
      <c r="W80" s="96">
        <f>IFERROR(IF(NOT(ISNUMBER(INDEX('M03-S02'!$AN$16:$AN$198,2*(ROWS($R$55:R80)-1)+1))),INDEX('M03-S02'!$BC$16:$BC$198,2*(ROWS($R$55:R80)-1)+1),""),"")</f>
        <v>0</v>
      </c>
      <c r="X80" s="113"/>
      <c r="Y80" s="113"/>
      <c r="Z80" s="111">
        <f>INDEX('M03-S02'!$B$16:$B$198,2*(ROWS($Z$55:Z80)-1)+1)</f>
        <v>26</v>
      </c>
      <c r="AA80" s="111" t="str">
        <f>INDEX('M03-S02'!$I$16:$I$199,2*(ROWS($Z$55:AA80)-1)+1)</f>
        <v/>
      </c>
      <c r="AB80" s="111">
        <f>INDEX('M03-S02'!$C$16:$C$198,2*(ROWS($Z$55:AB80)-1)+1)</f>
        <v>0</v>
      </c>
      <c r="AC80" s="96"/>
      <c r="AD80">
        <f>INDEX('M03-S02'!$X$16:$X$198,2*(ROWS($AD$55:AD80)-1)+1)</f>
        <v>0</v>
      </c>
      <c r="AE80" s="459"/>
      <c r="AF80" s="459"/>
      <c r="AG80" s="112"/>
      <c r="AH80" s="112"/>
      <c r="AI80" s="112"/>
      <c r="AJ80" s="112"/>
      <c r="AK80" s="113"/>
      <c r="AL80" s="113"/>
      <c r="AM80" s="113"/>
      <c r="AN80" s="113"/>
      <c r="AO80" s="52" t="str">
        <f>IFERROR(INDEX(PMELIGHTCON[Program Design],MATCH(AB80,PMELIGHTCON[Eff Desc 1],0)),"")</f>
        <v/>
      </c>
      <c r="AU80"/>
    </row>
    <row r="81" spans="1:47">
      <c r="A81" s="57">
        <f t="shared" si="5"/>
        <v>0</v>
      </c>
      <c r="B81" s="183" t="str">
        <f t="shared" si="7"/>
        <v/>
      </c>
      <c r="C81" t="str">
        <f>IFERROR(IF(R81&gt;0,INDEX(PMELIGHTCON[Measure '#],MATCH(AB81,PMELIGHTCON[Eff Desc 1],0)),""),"")</f>
        <v/>
      </c>
      <c r="D81" t="s">
        <v>947</v>
      </c>
      <c r="F81" s="112"/>
      <c r="G81" s="186">
        <f>INDEX('M03-S02'!$AB$16:$AB$198,2*(ROWS($G$55:G81)-1)+1)</f>
        <v>0</v>
      </c>
      <c r="H81" s="186"/>
      <c r="I81" s="184">
        <f>ROUND(INDEX('M03-S02'!$AE$16:$AE$198,2*(ROWS($I$55:I81)-1)+1),2)</f>
        <v>0</v>
      </c>
      <c r="J81" s="184">
        <f>ROUND(INDEX('M03-S02'!$AG$16:$AG$198,2*(ROWS($J$55:J81)-1)+1),2)</f>
        <v>0</v>
      </c>
      <c r="K81" s="52">
        <f>IFERROR(ROUND(INDEX('M03-S02'!$AU$16:$AU$198,2*(ROWS($K$55:K81)-1)+1),2),0)</f>
        <v>0</v>
      </c>
      <c r="M81" s="456">
        <f>INDEX('M03-S02'!$Q$16:$Q$198,2*(ROWS($M$55:M81)-1)+1)</f>
        <v>0</v>
      </c>
      <c r="N81" s="184" t="str">
        <f>IFERROR(INDEX('M03-S02'!$AK$16:$AK$198,2*(ROWS($N$55:N81)-1)+1),"")</f>
        <v/>
      </c>
      <c r="O81" s="456" t="str">
        <f>IFERROR(INDEX('M03-S02'!$AV$16:$AV$198,2*(ROWS($O$55:O81)-1)+1),"")</f>
        <v/>
      </c>
      <c r="P81" s="184" t="str">
        <f>IFERROR(IF(ISNUMBER(INDEX('M03-S02'!$AN$16:$AN$198,2*(ROWS($R$55:R81)-1)+1)),INDEX('M03-S02'!$AX$16:$AX$198,2*(ROWS($P$55:P81)-1)+1),""),"")</f>
        <v/>
      </c>
      <c r="Q81" s="184"/>
      <c r="R81" s="184">
        <f>IF(ISNUMBER(INDEX('M03-S02'!$AN$16:$AN$198,2*(ROWS($R$55:R81)-1)+1)),INDEX('M03-S02'!$AN$16:$AN$198,2*(ROWS($R$55:R81)-1)+1),0)</f>
        <v>0</v>
      </c>
      <c r="S81" s="459"/>
      <c r="T81" s="113"/>
      <c r="U81" s="140"/>
      <c r="V81" s="113"/>
      <c r="W81" s="96">
        <f>IFERROR(IF(NOT(ISNUMBER(INDEX('M03-S02'!$AN$16:$AN$198,2*(ROWS($R$55:R81)-1)+1))),INDEX('M03-S02'!$BC$16:$BC$198,2*(ROWS($R$55:R81)-1)+1),""),"")</f>
        <v>0</v>
      </c>
      <c r="X81" s="113"/>
      <c r="Y81" s="113"/>
      <c r="Z81" s="111">
        <f>INDEX('M03-S02'!$B$16:$B$198,2*(ROWS($Z$55:Z81)-1)+1)</f>
        <v>27</v>
      </c>
      <c r="AA81" s="111" t="str">
        <f>INDEX('M03-S02'!$I$16:$I$199,2*(ROWS($Z$55:AA81)-1)+1)</f>
        <v/>
      </c>
      <c r="AB81" s="111">
        <f>INDEX('M03-S02'!$C$16:$C$198,2*(ROWS($Z$55:AB81)-1)+1)</f>
        <v>0</v>
      </c>
      <c r="AC81" s="96"/>
      <c r="AD81">
        <f>INDEX('M03-S02'!$X$16:$X$198,2*(ROWS($AD$55:AD81)-1)+1)</f>
        <v>0</v>
      </c>
      <c r="AE81" s="459"/>
      <c r="AF81" s="459"/>
      <c r="AG81" s="112"/>
      <c r="AH81" s="112"/>
      <c r="AI81" s="112"/>
      <c r="AJ81" s="112"/>
      <c r="AK81" s="113"/>
      <c r="AL81" s="113"/>
      <c r="AM81" s="113"/>
      <c r="AN81" s="113"/>
      <c r="AO81" s="52" t="str">
        <f>IFERROR(INDEX(PMELIGHTCON[Program Design],MATCH(AB81,PMELIGHTCON[Eff Desc 1],0)),"")</f>
        <v/>
      </c>
      <c r="AU81"/>
    </row>
    <row r="82" spans="1:47">
      <c r="A82" s="57">
        <f t="shared" si="5"/>
        <v>0</v>
      </c>
      <c r="B82" s="183" t="str">
        <f t="shared" si="7"/>
        <v/>
      </c>
      <c r="C82" t="str">
        <f>IFERROR(IF(R82&gt;0,INDEX(PMELIGHTCON[Measure '#],MATCH(AB82,PMELIGHTCON[Eff Desc 1],0)),""),"")</f>
        <v/>
      </c>
      <c r="D82" t="s">
        <v>947</v>
      </c>
      <c r="F82" s="112"/>
      <c r="G82" s="186">
        <f>INDEX('M03-S02'!$AB$16:$AB$198,2*(ROWS($G$55:G82)-1)+1)</f>
        <v>0</v>
      </c>
      <c r="H82" s="186"/>
      <c r="I82" s="184">
        <f>ROUND(INDEX('M03-S02'!$AE$16:$AE$198,2*(ROWS($I$55:I82)-1)+1),2)</f>
        <v>0</v>
      </c>
      <c r="J82" s="184">
        <f>ROUND(INDEX('M03-S02'!$AG$16:$AG$198,2*(ROWS($J$55:J82)-1)+1),2)</f>
        <v>0</v>
      </c>
      <c r="K82" s="52">
        <f>IFERROR(ROUND(INDEX('M03-S02'!$AU$16:$AU$198,2*(ROWS($K$55:K82)-1)+1),2),0)</f>
        <v>0</v>
      </c>
      <c r="M82" s="456">
        <f>INDEX('M03-S02'!$Q$16:$Q$198,2*(ROWS($M$55:M82)-1)+1)</f>
        <v>0</v>
      </c>
      <c r="N82" s="184" t="str">
        <f>IFERROR(INDEX('M03-S02'!$AK$16:$AK$198,2*(ROWS($N$55:N82)-1)+1),"")</f>
        <v/>
      </c>
      <c r="O82" s="456" t="str">
        <f>IFERROR(INDEX('M03-S02'!$AV$16:$AV$198,2*(ROWS($O$55:O82)-1)+1),"")</f>
        <v/>
      </c>
      <c r="P82" s="184" t="str">
        <f>IFERROR(IF(ISNUMBER(INDEX('M03-S02'!$AN$16:$AN$198,2*(ROWS($R$55:R82)-1)+1)),INDEX('M03-S02'!$AX$16:$AX$198,2*(ROWS($P$55:P82)-1)+1),""),"")</f>
        <v/>
      </c>
      <c r="Q82" s="184"/>
      <c r="R82" s="184">
        <f>IF(ISNUMBER(INDEX('M03-S02'!$AN$16:$AN$198,2*(ROWS($R$55:R82)-1)+1)),INDEX('M03-S02'!$AN$16:$AN$198,2*(ROWS($R$55:R82)-1)+1),0)</f>
        <v>0</v>
      </c>
      <c r="S82" s="459"/>
      <c r="T82" s="113"/>
      <c r="U82" s="140"/>
      <c r="V82" s="113"/>
      <c r="W82" s="96">
        <f>IFERROR(IF(NOT(ISNUMBER(INDEX('M03-S02'!$AN$16:$AN$198,2*(ROWS($R$55:R82)-1)+1))),INDEX('M03-S02'!$BC$16:$BC$198,2*(ROWS($R$55:R82)-1)+1),""),"")</f>
        <v>0</v>
      </c>
      <c r="X82" s="113"/>
      <c r="Y82" s="113"/>
      <c r="Z82" s="111">
        <f>INDEX('M03-S02'!$B$16:$B$198,2*(ROWS($Z$55:Z82)-1)+1)</f>
        <v>28</v>
      </c>
      <c r="AA82" s="111" t="str">
        <f>INDEX('M03-S02'!$I$16:$I$199,2*(ROWS($Z$55:AA82)-1)+1)</f>
        <v/>
      </c>
      <c r="AB82" s="111">
        <f>INDEX('M03-S02'!$C$16:$C$198,2*(ROWS($Z$55:AB82)-1)+1)</f>
        <v>0</v>
      </c>
      <c r="AC82" s="96"/>
      <c r="AD82">
        <f>INDEX('M03-S02'!$X$16:$X$198,2*(ROWS($AD$55:AD82)-1)+1)</f>
        <v>0</v>
      </c>
      <c r="AE82" s="459"/>
      <c r="AF82" s="459"/>
      <c r="AG82" s="112"/>
      <c r="AH82" s="112"/>
      <c r="AI82" s="112"/>
      <c r="AJ82" s="112"/>
      <c r="AK82" s="113"/>
      <c r="AL82" s="113"/>
      <c r="AM82" s="113"/>
      <c r="AN82" s="113"/>
      <c r="AO82" s="52" t="str">
        <f>IFERROR(INDEX(PMELIGHTCON[Program Design],MATCH(AB82,PMELIGHTCON[Eff Desc 1],0)),"")</f>
        <v/>
      </c>
      <c r="AU82"/>
    </row>
    <row r="83" spans="1:47">
      <c r="A83" s="57">
        <f t="shared" si="5"/>
        <v>0</v>
      </c>
      <c r="B83" s="183" t="str">
        <f t="shared" si="7"/>
        <v/>
      </c>
      <c r="C83" t="str">
        <f>IFERROR(IF(R83&gt;0,INDEX(PMELIGHTCON[Measure '#],MATCH(AB83,PMELIGHTCON[Eff Desc 1],0)),""),"")</f>
        <v/>
      </c>
      <c r="D83" t="s">
        <v>947</v>
      </c>
      <c r="F83" s="112"/>
      <c r="G83" s="186">
        <f>INDEX('M03-S02'!$AB$16:$AB$198,2*(ROWS($G$55:G83)-1)+1)</f>
        <v>0</v>
      </c>
      <c r="H83" s="186"/>
      <c r="I83" s="184">
        <f>ROUND(INDEX('M03-S02'!$AE$16:$AE$198,2*(ROWS($I$55:I83)-1)+1),2)</f>
        <v>0</v>
      </c>
      <c r="J83" s="184">
        <f>ROUND(INDEX('M03-S02'!$AG$16:$AG$198,2*(ROWS($J$55:J83)-1)+1),2)</f>
        <v>0</v>
      </c>
      <c r="K83" s="52">
        <f>IFERROR(ROUND(INDEX('M03-S02'!$AU$16:$AU$198,2*(ROWS($K$55:K83)-1)+1),2),0)</f>
        <v>0</v>
      </c>
      <c r="M83" s="456">
        <f>INDEX('M03-S02'!$Q$16:$Q$198,2*(ROWS($M$55:M83)-1)+1)</f>
        <v>0</v>
      </c>
      <c r="N83" s="184" t="str">
        <f>IFERROR(INDEX('M03-S02'!$AK$16:$AK$198,2*(ROWS($N$55:N83)-1)+1),"")</f>
        <v/>
      </c>
      <c r="O83" s="456" t="str">
        <f>IFERROR(INDEX('M03-S02'!$AV$16:$AV$198,2*(ROWS($O$55:O83)-1)+1),"")</f>
        <v/>
      </c>
      <c r="P83" s="184" t="str">
        <f>IFERROR(IF(ISNUMBER(INDEX('M03-S02'!$AN$16:$AN$198,2*(ROWS($R$55:R83)-1)+1)),INDEX('M03-S02'!$AX$16:$AX$198,2*(ROWS($P$55:P83)-1)+1),""),"")</f>
        <v/>
      </c>
      <c r="Q83" s="184"/>
      <c r="R83" s="184">
        <f>IF(ISNUMBER(INDEX('M03-S02'!$AN$16:$AN$198,2*(ROWS($R$55:R83)-1)+1)),INDEX('M03-S02'!$AN$16:$AN$198,2*(ROWS($R$55:R83)-1)+1),0)</f>
        <v>0</v>
      </c>
      <c r="S83" s="459"/>
      <c r="T83" s="113"/>
      <c r="U83" s="140"/>
      <c r="V83" s="113"/>
      <c r="W83" s="96">
        <f>IFERROR(IF(NOT(ISNUMBER(INDEX('M03-S02'!$AN$16:$AN$198,2*(ROWS($R$55:R83)-1)+1))),INDEX('M03-S02'!$BC$16:$BC$198,2*(ROWS($R$55:R83)-1)+1),""),"")</f>
        <v>0</v>
      </c>
      <c r="X83" s="113"/>
      <c r="Y83" s="113"/>
      <c r="Z83" s="111">
        <f>INDEX('M03-S02'!$B$16:$B$198,2*(ROWS($Z$55:Z83)-1)+1)</f>
        <v>29</v>
      </c>
      <c r="AA83" s="111" t="str">
        <f>INDEX('M03-S02'!$I$16:$I$199,2*(ROWS($Z$55:AA83)-1)+1)</f>
        <v/>
      </c>
      <c r="AB83" s="111">
        <f>INDEX('M03-S02'!$C$16:$C$198,2*(ROWS($Z$55:AB83)-1)+1)</f>
        <v>0</v>
      </c>
      <c r="AC83" s="96"/>
      <c r="AD83">
        <f>INDEX('M03-S02'!$X$16:$X$198,2*(ROWS($AD$55:AD83)-1)+1)</f>
        <v>0</v>
      </c>
      <c r="AE83" s="459"/>
      <c r="AF83" s="459"/>
      <c r="AG83" s="112"/>
      <c r="AH83" s="112"/>
      <c r="AI83" s="112"/>
      <c r="AJ83" s="112"/>
      <c r="AK83" s="113"/>
      <c r="AL83" s="113"/>
      <c r="AM83" s="113"/>
      <c r="AN83" s="113"/>
      <c r="AO83" s="52" t="str">
        <f>IFERROR(INDEX(PMELIGHTCON[Program Design],MATCH(AB83,PMELIGHTCON[Eff Desc 1],0)),"")</f>
        <v/>
      </c>
      <c r="AU83"/>
    </row>
    <row r="84" spans="1:47">
      <c r="A84" s="57">
        <f t="shared" si="5"/>
        <v>0</v>
      </c>
      <c r="B84" s="183" t="str">
        <f t="shared" si="7"/>
        <v/>
      </c>
      <c r="C84" t="str">
        <f>IFERROR(IF(R84&gt;0,INDEX(PMELIGHTCON[Measure '#],MATCH(AB84,PMELIGHTCON[Eff Desc 1],0)),""),"")</f>
        <v/>
      </c>
      <c r="D84" t="s">
        <v>947</v>
      </c>
      <c r="F84" s="112"/>
      <c r="G84" s="186">
        <f>INDEX('M03-S02'!$AB$16:$AB$198,2*(ROWS($G$55:G84)-1)+1)</f>
        <v>0</v>
      </c>
      <c r="H84" s="186"/>
      <c r="I84" s="184">
        <f>ROUND(INDEX('M03-S02'!$AE$16:$AE$198,2*(ROWS($I$55:I84)-1)+1),2)</f>
        <v>0</v>
      </c>
      <c r="J84" s="184">
        <f>ROUND(INDEX('M03-S02'!$AG$16:$AG$198,2*(ROWS($J$55:J84)-1)+1),2)</f>
        <v>0</v>
      </c>
      <c r="K84" s="52">
        <f>IFERROR(ROUND(INDEX('M03-S02'!$AU$16:$AU$198,2*(ROWS($K$55:K84)-1)+1),2),0)</f>
        <v>0</v>
      </c>
      <c r="M84" s="456">
        <f>INDEX('M03-S02'!$Q$16:$Q$198,2*(ROWS($M$55:M84)-1)+1)</f>
        <v>0</v>
      </c>
      <c r="N84" s="184" t="str">
        <f>IFERROR(INDEX('M03-S02'!$AK$16:$AK$198,2*(ROWS($N$55:N84)-1)+1),"")</f>
        <v/>
      </c>
      <c r="O84" s="456" t="str">
        <f>IFERROR(INDEX('M03-S02'!$AV$16:$AV$198,2*(ROWS($O$55:O84)-1)+1),"")</f>
        <v/>
      </c>
      <c r="P84" s="184" t="str">
        <f>IFERROR(IF(ISNUMBER(INDEX('M03-S02'!$AN$16:$AN$198,2*(ROWS($R$55:R84)-1)+1)),INDEX('M03-S02'!$AX$16:$AX$198,2*(ROWS($P$55:P84)-1)+1),""),"")</f>
        <v/>
      </c>
      <c r="Q84" s="184"/>
      <c r="R84" s="184">
        <f>IF(ISNUMBER(INDEX('M03-S02'!$AN$16:$AN$198,2*(ROWS($R$55:R84)-1)+1)),INDEX('M03-S02'!$AN$16:$AN$198,2*(ROWS($R$55:R84)-1)+1),0)</f>
        <v>0</v>
      </c>
      <c r="S84" s="459"/>
      <c r="T84" s="113"/>
      <c r="U84" s="140"/>
      <c r="V84" s="113"/>
      <c r="W84" s="96">
        <f>IFERROR(IF(NOT(ISNUMBER(INDEX('M03-S02'!$AN$16:$AN$198,2*(ROWS($R$55:R84)-1)+1))),INDEX('M03-S02'!$BC$16:$BC$198,2*(ROWS($R$55:R84)-1)+1),""),"")</f>
        <v>0</v>
      </c>
      <c r="X84" s="113"/>
      <c r="Y84" s="113"/>
      <c r="Z84" s="111">
        <f>INDEX('M03-S02'!$B$16:$B$198,2*(ROWS($Z$55:Z84)-1)+1)</f>
        <v>30</v>
      </c>
      <c r="AA84" s="111" t="str">
        <f>INDEX('M03-S02'!$I$16:$I$199,2*(ROWS($Z$55:AA84)-1)+1)</f>
        <v/>
      </c>
      <c r="AB84" s="111">
        <f>INDEX('M03-S02'!$C$16:$C$198,2*(ROWS($Z$55:AB84)-1)+1)</f>
        <v>0</v>
      </c>
      <c r="AC84" s="96"/>
      <c r="AD84">
        <f>INDEX('M03-S02'!$X$16:$X$198,2*(ROWS($AD$55:AD84)-1)+1)</f>
        <v>0</v>
      </c>
      <c r="AE84" s="459"/>
      <c r="AF84" s="459"/>
      <c r="AG84" s="112"/>
      <c r="AH84" s="112"/>
      <c r="AI84" s="112"/>
      <c r="AJ84" s="112"/>
      <c r="AK84" s="113"/>
      <c r="AL84" s="113"/>
      <c r="AM84" s="113"/>
      <c r="AN84" s="113"/>
      <c r="AO84" s="52" t="str">
        <f>IFERROR(INDEX(PMELIGHTCON[Program Design],MATCH(AB84,PMELIGHTCON[Eff Desc 1],0)),"")</f>
        <v/>
      </c>
      <c r="AU84"/>
    </row>
    <row r="85" spans="1:47">
      <c r="A85" s="57">
        <f t="shared" si="5"/>
        <v>0</v>
      </c>
      <c r="B85" s="183" t="str">
        <f t="shared" si="7"/>
        <v/>
      </c>
      <c r="C85" t="str">
        <f>IFERROR(IF(R85&gt;0,INDEX(PMELIGHTCON[Measure '#],MATCH(AB85,PMELIGHTCON[Eff Desc 1],0)),""),"")</f>
        <v/>
      </c>
      <c r="D85" t="s">
        <v>947</v>
      </c>
      <c r="F85" s="112"/>
      <c r="G85" s="186">
        <f>INDEX('M03-S02'!$AB$16:$AB$198,2*(ROWS($G$55:G85)-1)+1)</f>
        <v>0</v>
      </c>
      <c r="H85" s="186"/>
      <c r="I85" s="184">
        <f>ROUND(INDEX('M03-S02'!$AE$16:$AE$198,2*(ROWS($I$55:I85)-1)+1),2)</f>
        <v>0</v>
      </c>
      <c r="J85" s="184">
        <f>ROUND(INDEX('M03-S02'!$AG$16:$AG$198,2*(ROWS($J$55:J85)-1)+1),2)</f>
        <v>0</v>
      </c>
      <c r="K85" s="52">
        <f>IFERROR(ROUND(INDEX('M03-S02'!$AU$16:$AU$198,2*(ROWS($K$55:K85)-1)+1),2),0)</f>
        <v>0</v>
      </c>
      <c r="M85" s="456">
        <f>INDEX('M03-S02'!$Q$16:$Q$198,2*(ROWS($M$55:M85)-1)+1)</f>
        <v>0</v>
      </c>
      <c r="N85" s="184" t="str">
        <f>IFERROR(INDEX('M03-S02'!$AK$16:$AK$198,2*(ROWS($N$55:N85)-1)+1),"")</f>
        <v/>
      </c>
      <c r="O85" s="456" t="str">
        <f>IFERROR(INDEX('M03-S02'!$AV$16:$AV$198,2*(ROWS($O$55:O85)-1)+1),"")</f>
        <v/>
      </c>
      <c r="P85" s="184" t="str">
        <f>IFERROR(IF(ISNUMBER(INDEX('M03-S02'!$AN$16:$AN$198,2*(ROWS($R$55:R85)-1)+1)),INDEX('M03-S02'!$AX$16:$AX$198,2*(ROWS($P$55:P85)-1)+1),""),"")</f>
        <v/>
      </c>
      <c r="Q85" s="184"/>
      <c r="R85" s="184">
        <f>IF(ISNUMBER(INDEX('M03-S02'!$AN$16:$AN$198,2*(ROWS($R$55:R85)-1)+1)),INDEX('M03-S02'!$AN$16:$AN$198,2*(ROWS($R$55:R85)-1)+1),0)</f>
        <v>0</v>
      </c>
      <c r="S85" s="459"/>
      <c r="T85" s="113"/>
      <c r="U85" s="140"/>
      <c r="V85" s="113"/>
      <c r="W85" s="96">
        <f>IFERROR(IF(NOT(ISNUMBER(INDEX('M03-S02'!$AN$16:$AN$198,2*(ROWS($R$55:R85)-1)+1))),INDEX('M03-S02'!$BC$16:$BC$198,2*(ROWS($R$55:R85)-1)+1),""),"")</f>
        <v>0</v>
      </c>
      <c r="X85" s="113"/>
      <c r="Y85" s="113"/>
      <c r="Z85" s="111">
        <f>INDEX('M03-S02'!$B$16:$B$198,2*(ROWS($Z$55:Z85)-1)+1)</f>
        <v>31</v>
      </c>
      <c r="AA85" s="111" t="str">
        <f>INDEX('M03-S02'!$I$16:$I$199,2*(ROWS($Z$55:AA85)-1)+1)</f>
        <v/>
      </c>
      <c r="AB85" s="111">
        <f>INDEX('M03-S02'!$C$16:$C$198,2*(ROWS($Z$55:AB85)-1)+1)</f>
        <v>0</v>
      </c>
      <c r="AC85" s="96"/>
      <c r="AD85">
        <f>INDEX('M03-S02'!$X$16:$X$198,2*(ROWS($AD$55:AD85)-1)+1)</f>
        <v>0</v>
      </c>
      <c r="AE85" s="459"/>
      <c r="AF85" s="459"/>
      <c r="AG85" s="112"/>
      <c r="AH85" s="112"/>
      <c r="AI85" s="112"/>
      <c r="AJ85" s="112"/>
      <c r="AK85" s="113"/>
      <c r="AL85" s="113"/>
      <c r="AM85" s="113"/>
      <c r="AN85" s="113"/>
      <c r="AO85" s="52" t="str">
        <f>IFERROR(INDEX(PMELIGHTCON[Program Design],MATCH(AB85,PMELIGHTCON[Eff Desc 1],0)),"")</f>
        <v/>
      </c>
      <c r="AU85"/>
    </row>
    <row r="86" spans="1:47">
      <c r="A86" s="57">
        <f t="shared" si="5"/>
        <v>0</v>
      </c>
      <c r="B86" s="183" t="str">
        <f t="shared" si="7"/>
        <v/>
      </c>
      <c r="C86" t="str">
        <f>IFERROR(IF(R86&gt;0,INDEX(PMELIGHTCON[Measure '#],MATCH(AB86,PMELIGHTCON[Eff Desc 1],0)),""),"")</f>
        <v/>
      </c>
      <c r="D86" t="s">
        <v>947</v>
      </c>
      <c r="F86" s="112"/>
      <c r="G86" s="186">
        <f>INDEX('M03-S02'!$AB$16:$AB$198,2*(ROWS($G$55:G86)-1)+1)</f>
        <v>0</v>
      </c>
      <c r="H86" s="186"/>
      <c r="I86" s="184">
        <f>ROUND(INDEX('M03-S02'!$AE$16:$AE$198,2*(ROWS($I$55:I86)-1)+1),2)</f>
        <v>0</v>
      </c>
      <c r="J86" s="184">
        <f>ROUND(INDEX('M03-S02'!$AG$16:$AG$198,2*(ROWS($J$55:J86)-1)+1),2)</f>
        <v>0</v>
      </c>
      <c r="K86" s="52">
        <f>IFERROR(ROUND(INDEX('M03-S02'!$AU$16:$AU$198,2*(ROWS($K$55:K86)-1)+1),2),0)</f>
        <v>0</v>
      </c>
      <c r="M86" s="456">
        <f>INDEX('M03-S02'!$Q$16:$Q$198,2*(ROWS($M$55:M86)-1)+1)</f>
        <v>0</v>
      </c>
      <c r="N86" s="184" t="str">
        <f>IFERROR(INDEX('M03-S02'!$AK$16:$AK$198,2*(ROWS($N$55:N86)-1)+1),"")</f>
        <v/>
      </c>
      <c r="O86" s="456" t="str">
        <f>IFERROR(INDEX('M03-S02'!$AV$16:$AV$198,2*(ROWS($O$55:O86)-1)+1),"")</f>
        <v/>
      </c>
      <c r="P86" s="184" t="str">
        <f>IFERROR(IF(ISNUMBER(INDEX('M03-S02'!$AN$16:$AN$198,2*(ROWS($R$55:R86)-1)+1)),INDEX('M03-S02'!$AX$16:$AX$198,2*(ROWS($P$55:P86)-1)+1),""),"")</f>
        <v/>
      </c>
      <c r="Q86" s="184"/>
      <c r="R86" s="184">
        <f>IF(ISNUMBER(INDEX('M03-S02'!$AN$16:$AN$198,2*(ROWS($R$55:R86)-1)+1)),INDEX('M03-S02'!$AN$16:$AN$198,2*(ROWS($R$55:R86)-1)+1),0)</f>
        <v>0</v>
      </c>
      <c r="S86" s="459"/>
      <c r="T86" s="113"/>
      <c r="U86" s="140"/>
      <c r="V86" s="113"/>
      <c r="W86" s="96">
        <f>IFERROR(IF(NOT(ISNUMBER(INDEX('M03-S02'!$AN$16:$AN$198,2*(ROWS($R$55:R86)-1)+1))),INDEX('M03-S02'!$BC$16:$BC$198,2*(ROWS($R$55:R86)-1)+1),""),"")</f>
        <v>0</v>
      </c>
      <c r="X86" s="113"/>
      <c r="Y86" s="113"/>
      <c r="Z86" s="111">
        <f>INDEX('M03-S02'!$B$16:$B$198,2*(ROWS($Z$55:Z86)-1)+1)</f>
        <v>32</v>
      </c>
      <c r="AA86" s="111" t="str">
        <f>INDEX('M03-S02'!$I$16:$I$199,2*(ROWS($Z$55:AA86)-1)+1)</f>
        <v/>
      </c>
      <c r="AB86" s="111">
        <f>INDEX('M03-S02'!$C$16:$C$198,2*(ROWS($Z$55:AB86)-1)+1)</f>
        <v>0</v>
      </c>
      <c r="AC86" s="96"/>
      <c r="AD86">
        <f>INDEX('M03-S02'!$X$16:$X$198,2*(ROWS($AD$55:AD86)-1)+1)</f>
        <v>0</v>
      </c>
      <c r="AE86" s="459"/>
      <c r="AF86" s="459"/>
      <c r="AG86" s="112"/>
      <c r="AH86" s="112"/>
      <c r="AI86" s="112"/>
      <c r="AJ86" s="112"/>
      <c r="AK86" s="113"/>
      <c r="AL86" s="113"/>
      <c r="AM86" s="113"/>
      <c r="AN86" s="113"/>
      <c r="AO86" s="52" t="str">
        <f>IFERROR(INDEX(PMELIGHTCON[Program Design],MATCH(AB86,PMELIGHTCON[Eff Desc 1],0)),"")</f>
        <v/>
      </c>
      <c r="AU86"/>
    </row>
    <row r="87" spans="1:47">
      <c r="A87" s="57">
        <f t="shared" si="5"/>
        <v>0</v>
      </c>
      <c r="B87" s="183" t="str">
        <f t="shared" si="7"/>
        <v/>
      </c>
      <c r="C87" t="str">
        <f>IFERROR(IF(R87&gt;0,INDEX(PMELIGHTCON[Measure '#],MATCH(AB87,PMELIGHTCON[Eff Desc 1],0)),""),"")</f>
        <v/>
      </c>
      <c r="D87" t="s">
        <v>947</v>
      </c>
      <c r="F87" s="112"/>
      <c r="G87" s="186">
        <f>INDEX('M03-S02'!$AB$16:$AB$198,2*(ROWS($G$55:G87)-1)+1)</f>
        <v>0</v>
      </c>
      <c r="H87" s="186"/>
      <c r="I87" s="184">
        <f>ROUND(INDEX('M03-S02'!$AE$16:$AE$198,2*(ROWS($I$55:I87)-1)+1),2)</f>
        <v>0</v>
      </c>
      <c r="J87" s="184">
        <f>ROUND(INDEX('M03-S02'!$AG$16:$AG$198,2*(ROWS($J$55:J87)-1)+1),2)</f>
        <v>0</v>
      </c>
      <c r="K87" s="52">
        <f>IFERROR(ROUND(INDEX('M03-S02'!$AU$16:$AU$198,2*(ROWS($K$55:K87)-1)+1),2),0)</f>
        <v>0</v>
      </c>
      <c r="M87" s="456">
        <f>INDEX('M03-S02'!$Q$16:$Q$198,2*(ROWS($M$55:M87)-1)+1)</f>
        <v>0</v>
      </c>
      <c r="N87" s="184" t="str">
        <f>IFERROR(INDEX('M03-S02'!$AK$16:$AK$198,2*(ROWS($N$55:N87)-1)+1),"")</f>
        <v/>
      </c>
      <c r="O87" s="456" t="str">
        <f>IFERROR(INDEX('M03-S02'!$AV$16:$AV$198,2*(ROWS($O$55:O87)-1)+1),"")</f>
        <v/>
      </c>
      <c r="P87" s="184" t="str">
        <f>IFERROR(IF(ISNUMBER(INDEX('M03-S02'!$AN$16:$AN$198,2*(ROWS($R$55:R87)-1)+1)),INDEX('M03-S02'!$AX$16:$AX$198,2*(ROWS($P$55:P87)-1)+1),""),"")</f>
        <v/>
      </c>
      <c r="Q87" s="184"/>
      <c r="R87" s="184">
        <f>IF(ISNUMBER(INDEX('M03-S02'!$AN$16:$AN$198,2*(ROWS($R$55:R87)-1)+1)),INDEX('M03-S02'!$AN$16:$AN$198,2*(ROWS($R$55:R87)-1)+1),0)</f>
        <v>0</v>
      </c>
      <c r="S87" s="459"/>
      <c r="T87" s="113"/>
      <c r="U87" s="140"/>
      <c r="V87" s="113"/>
      <c r="W87" s="96">
        <f>IFERROR(IF(NOT(ISNUMBER(INDEX('M03-S02'!$AN$16:$AN$198,2*(ROWS($R$55:R87)-1)+1))),INDEX('M03-S02'!$BC$16:$BC$198,2*(ROWS($R$55:R87)-1)+1),""),"")</f>
        <v>0</v>
      </c>
      <c r="X87" s="113"/>
      <c r="Y87" s="113"/>
      <c r="Z87" s="111">
        <f>INDEX('M03-S02'!$B$16:$B$198,2*(ROWS($Z$55:Z87)-1)+1)</f>
        <v>33</v>
      </c>
      <c r="AA87" s="111" t="str">
        <f>INDEX('M03-S02'!$I$16:$I$199,2*(ROWS($Z$55:AA87)-1)+1)</f>
        <v/>
      </c>
      <c r="AB87" s="111">
        <f>INDEX('M03-S02'!$C$16:$C$198,2*(ROWS($Z$55:AB87)-1)+1)</f>
        <v>0</v>
      </c>
      <c r="AC87" s="96"/>
      <c r="AD87">
        <f>INDEX('M03-S02'!$X$16:$X$198,2*(ROWS($AD$55:AD87)-1)+1)</f>
        <v>0</v>
      </c>
      <c r="AE87" s="459"/>
      <c r="AF87" s="459"/>
      <c r="AG87" s="112"/>
      <c r="AH87" s="112"/>
      <c r="AI87" s="112"/>
      <c r="AJ87" s="112"/>
      <c r="AK87" s="113"/>
      <c r="AL87" s="113"/>
      <c r="AM87" s="113"/>
      <c r="AN87" s="113"/>
      <c r="AO87" s="52" t="str">
        <f>IFERROR(INDEX(PMELIGHTCON[Program Design],MATCH(AB87,PMELIGHTCON[Eff Desc 1],0)),"")</f>
        <v/>
      </c>
      <c r="AU87"/>
    </row>
    <row r="88" spans="1:47">
      <c r="A88" s="57">
        <f t="shared" si="5"/>
        <v>0</v>
      </c>
      <c r="B88" s="183" t="str">
        <f t="shared" si="7"/>
        <v/>
      </c>
      <c r="C88" t="str">
        <f>IFERROR(IF(R88&gt;0,INDEX(PMELIGHTCON[Measure '#],MATCH(AB88,PMELIGHTCON[Eff Desc 1],0)),""),"")</f>
        <v/>
      </c>
      <c r="D88" t="s">
        <v>947</v>
      </c>
      <c r="F88" s="112"/>
      <c r="G88" s="186">
        <f>INDEX('M03-S02'!$AB$16:$AB$198,2*(ROWS($G$55:G88)-1)+1)</f>
        <v>0</v>
      </c>
      <c r="H88" s="186"/>
      <c r="I88" s="184">
        <f>ROUND(INDEX('M03-S02'!$AE$16:$AE$198,2*(ROWS($I$55:I88)-1)+1),2)</f>
        <v>0</v>
      </c>
      <c r="J88" s="184">
        <f>ROUND(INDEX('M03-S02'!$AG$16:$AG$198,2*(ROWS($J$55:J88)-1)+1),2)</f>
        <v>0</v>
      </c>
      <c r="K88" s="52">
        <f>IFERROR(ROUND(INDEX('M03-S02'!$AU$16:$AU$198,2*(ROWS($K$55:K88)-1)+1),2),0)</f>
        <v>0</v>
      </c>
      <c r="M88" s="456">
        <f>INDEX('M03-S02'!$Q$16:$Q$198,2*(ROWS($M$55:M88)-1)+1)</f>
        <v>0</v>
      </c>
      <c r="N88" s="184" t="str">
        <f>IFERROR(INDEX('M03-S02'!$AK$16:$AK$198,2*(ROWS($N$55:N88)-1)+1),"")</f>
        <v/>
      </c>
      <c r="O88" s="456" t="str">
        <f>IFERROR(INDEX('M03-S02'!$AV$16:$AV$198,2*(ROWS($O$55:O88)-1)+1),"")</f>
        <v/>
      </c>
      <c r="P88" s="184" t="str">
        <f>IFERROR(IF(ISNUMBER(INDEX('M03-S02'!$AN$16:$AN$198,2*(ROWS($R$55:R88)-1)+1)),INDEX('M03-S02'!$AX$16:$AX$198,2*(ROWS($P$55:P88)-1)+1),""),"")</f>
        <v/>
      </c>
      <c r="Q88" s="184"/>
      <c r="R88" s="184">
        <f>IF(ISNUMBER(INDEX('M03-S02'!$AN$16:$AN$198,2*(ROWS($R$55:R88)-1)+1)),INDEX('M03-S02'!$AN$16:$AN$198,2*(ROWS($R$55:R88)-1)+1),0)</f>
        <v>0</v>
      </c>
      <c r="S88" s="459"/>
      <c r="T88" s="113"/>
      <c r="U88" s="140"/>
      <c r="V88" s="113"/>
      <c r="W88" s="96">
        <f>IFERROR(IF(NOT(ISNUMBER(INDEX('M03-S02'!$AN$16:$AN$198,2*(ROWS($R$55:R88)-1)+1))),INDEX('M03-S02'!$BC$16:$BC$198,2*(ROWS($R$55:R88)-1)+1),""),"")</f>
        <v>0</v>
      </c>
      <c r="X88" s="113"/>
      <c r="Y88" s="113"/>
      <c r="Z88" s="111">
        <f>INDEX('M03-S02'!$B$16:$B$198,2*(ROWS($Z$55:Z88)-1)+1)</f>
        <v>34</v>
      </c>
      <c r="AA88" s="111" t="str">
        <f>INDEX('M03-S02'!$I$16:$I$199,2*(ROWS($Z$55:AA88)-1)+1)</f>
        <v/>
      </c>
      <c r="AB88" s="111">
        <f>INDEX('M03-S02'!$C$16:$C$198,2*(ROWS($Z$55:AB88)-1)+1)</f>
        <v>0</v>
      </c>
      <c r="AC88" s="96"/>
      <c r="AD88">
        <f>INDEX('M03-S02'!$X$16:$X$198,2*(ROWS($AD$55:AD88)-1)+1)</f>
        <v>0</v>
      </c>
      <c r="AE88" s="459"/>
      <c r="AF88" s="459"/>
      <c r="AG88" s="112"/>
      <c r="AH88" s="112"/>
      <c r="AI88" s="112"/>
      <c r="AJ88" s="112"/>
      <c r="AK88" s="113"/>
      <c r="AL88" s="113"/>
      <c r="AM88" s="113"/>
      <c r="AN88" s="113"/>
      <c r="AO88" s="52" t="str">
        <f>IFERROR(INDEX(PMELIGHTCON[Program Design],MATCH(AB88,PMELIGHTCON[Eff Desc 1],0)),"")</f>
        <v/>
      </c>
      <c r="AU88"/>
    </row>
    <row r="89" spans="1:47">
      <c r="A89" s="57">
        <f t="shared" si="5"/>
        <v>0</v>
      </c>
      <c r="B89" s="183" t="str">
        <f t="shared" si="7"/>
        <v/>
      </c>
      <c r="C89" t="str">
        <f>IFERROR(IF(R89&gt;0,INDEX(PMELIGHTCON[Measure '#],MATCH(AB89,PMELIGHTCON[Eff Desc 1],0)),""),"")</f>
        <v/>
      </c>
      <c r="D89" t="s">
        <v>947</v>
      </c>
      <c r="F89" s="112"/>
      <c r="G89" s="186">
        <f>INDEX('M03-S02'!$AB$16:$AB$198,2*(ROWS($G$55:G89)-1)+1)</f>
        <v>0</v>
      </c>
      <c r="H89" s="186"/>
      <c r="I89" s="184">
        <f>ROUND(INDEX('M03-S02'!$AE$16:$AE$198,2*(ROWS($I$55:I89)-1)+1),2)</f>
        <v>0</v>
      </c>
      <c r="J89" s="184">
        <f>ROUND(INDEX('M03-S02'!$AG$16:$AG$198,2*(ROWS($J$55:J89)-1)+1),2)</f>
        <v>0</v>
      </c>
      <c r="K89" s="52">
        <f>IFERROR(ROUND(INDEX('M03-S02'!$AU$16:$AU$198,2*(ROWS($K$55:K89)-1)+1),2),0)</f>
        <v>0</v>
      </c>
      <c r="M89" s="456">
        <f>INDEX('M03-S02'!$Q$16:$Q$198,2*(ROWS($M$55:M89)-1)+1)</f>
        <v>0</v>
      </c>
      <c r="N89" s="184" t="str">
        <f>IFERROR(INDEX('M03-S02'!$AK$16:$AK$198,2*(ROWS($N$55:N89)-1)+1),"")</f>
        <v/>
      </c>
      <c r="O89" s="456" t="str">
        <f>IFERROR(INDEX('M03-S02'!$AV$16:$AV$198,2*(ROWS($O$55:O89)-1)+1),"")</f>
        <v/>
      </c>
      <c r="P89" s="184" t="str">
        <f>IFERROR(IF(ISNUMBER(INDEX('M03-S02'!$AN$16:$AN$198,2*(ROWS($R$55:R89)-1)+1)),INDEX('M03-S02'!$AX$16:$AX$198,2*(ROWS($P$55:P89)-1)+1),""),"")</f>
        <v/>
      </c>
      <c r="Q89" s="184"/>
      <c r="R89" s="184">
        <f>IF(ISNUMBER(INDEX('M03-S02'!$AN$16:$AN$198,2*(ROWS($R$55:R89)-1)+1)),INDEX('M03-S02'!$AN$16:$AN$198,2*(ROWS($R$55:R89)-1)+1),0)</f>
        <v>0</v>
      </c>
      <c r="S89" s="459"/>
      <c r="T89" s="113"/>
      <c r="U89" s="140"/>
      <c r="V89" s="113"/>
      <c r="W89" s="96">
        <f>IFERROR(IF(NOT(ISNUMBER(INDEX('M03-S02'!$AN$16:$AN$198,2*(ROWS($R$55:R89)-1)+1))),INDEX('M03-S02'!$BC$16:$BC$198,2*(ROWS($R$55:R89)-1)+1),""),"")</f>
        <v>0</v>
      </c>
      <c r="X89" s="113"/>
      <c r="Y89" s="113"/>
      <c r="Z89" s="111">
        <f>INDEX('M03-S02'!$B$16:$B$198,2*(ROWS($Z$55:Z89)-1)+1)</f>
        <v>35</v>
      </c>
      <c r="AA89" s="111" t="str">
        <f>INDEX('M03-S02'!$I$16:$I$199,2*(ROWS($Z$55:AA89)-1)+1)</f>
        <v/>
      </c>
      <c r="AB89" s="111">
        <f>INDEX('M03-S02'!$C$16:$C$198,2*(ROWS($Z$55:AB89)-1)+1)</f>
        <v>0</v>
      </c>
      <c r="AC89" s="96"/>
      <c r="AD89">
        <f>INDEX('M03-S02'!$X$16:$X$198,2*(ROWS($AD$55:AD89)-1)+1)</f>
        <v>0</v>
      </c>
      <c r="AE89" s="459"/>
      <c r="AF89" s="459"/>
      <c r="AG89" s="112"/>
      <c r="AH89" s="112"/>
      <c r="AI89" s="112"/>
      <c r="AJ89" s="112"/>
      <c r="AK89" s="113"/>
      <c r="AL89" s="113"/>
      <c r="AM89" s="113"/>
      <c r="AN89" s="113"/>
      <c r="AO89" s="52" t="str">
        <f>IFERROR(INDEX(PMELIGHTCON[Program Design],MATCH(AB89,PMELIGHTCON[Eff Desc 1],0)),"")</f>
        <v/>
      </c>
      <c r="AU89"/>
    </row>
    <row r="90" spans="1:47">
      <c r="A90" s="57">
        <f t="shared" si="5"/>
        <v>0</v>
      </c>
      <c r="B90" s="183" t="str">
        <f t="shared" si="7"/>
        <v/>
      </c>
      <c r="C90" t="str">
        <f>IFERROR(IF(R90&gt;0,INDEX(PMELIGHTCON[Measure '#],MATCH(AB90,PMELIGHTCON[Eff Desc 1],0)),""),"")</f>
        <v/>
      </c>
      <c r="D90" t="s">
        <v>947</v>
      </c>
      <c r="F90" s="112"/>
      <c r="G90" s="186">
        <f>INDEX('M03-S02'!$AB$16:$AB$198,2*(ROWS($G$55:G90)-1)+1)</f>
        <v>0</v>
      </c>
      <c r="H90" s="186"/>
      <c r="I90" s="184">
        <f>ROUND(INDEX('M03-S02'!$AE$16:$AE$198,2*(ROWS($I$55:I90)-1)+1),2)</f>
        <v>0</v>
      </c>
      <c r="J90" s="184">
        <f>ROUND(INDEX('M03-S02'!$AG$16:$AG$198,2*(ROWS($J$55:J90)-1)+1),2)</f>
        <v>0</v>
      </c>
      <c r="K90" s="52">
        <f>IFERROR(ROUND(INDEX('M03-S02'!$AU$16:$AU$198,2*(ROWS($K$55:K90)-1)+1),2),0)</f>
        <v>0</v>
      </c>
      <c r="M90" s="456">
        <f>INDEX('M03-S02'!$Q$16:$Q$198,2*(ROWS($M$55:M90)-1)+1)</f>
        <v>0</v>
      </c>
      <c r="N90" s="184" t="str">
        <f>IFERROR(INDEX('M03-S02'!$AK$16:$AK$198,2*(ROWS($N$55:N90)-1)+1),"")</f>
        <v/>
      </c>
      <c r="O90" s="456" t="str">
        <f>IFERROR(INDEX('M03-S02'!$AV$16:$AV$198,2*(ROWS($O$55:O90)-1)+1),"")</f>
        <v/>
      </c>
      <c r="P90" s="184" t="str">
        <f>IFERROR(IF(ISNUMBER(INDEX('M03-S02'!$AN$16:$AN$198,2*(ROWS($R$55:R90)-1)+1)),INDEX('M03-S02'!$AX$16:$AX$198,2*(ROWS($P$55:P90)-1)+1),""),"")</f>
        <v/>
      </c>
      <c r="Q90" s="184"/>
      <c r="R90" s="184">
        <f>IF(ISNUMBER(INDEX('M03-S02'!$AN$16:$AN$198,2*(ROWS($R$55:R90)-1)+1)),INDEX('M03-S02'!$AN$16:$AN$198,2*(ROWS($R$55:R90)-1)+1),0)</f>
        <v>0</v>
      </c>
      <c r="S90" s="459"/>
      <c r="T90" s="113"/>
      <c r="U90" s="140"/>
      <c r="V90" s="113"/>
      <c r="W90" s="96">
        <f>IFERROR(IF(NOT(ISNUMBER(INDEX('M03-S02'!$AN$16:$AN$198,2*(ROWS($R$55:R90)-1)+1))),INDEX('M03-S02'!$BC$16:$BC$198,2*(ROWS($R$55:R90)-1)+1),""),"")</f>
        <v>0</v>
      </c>
      <c r="X90" s="113"/>
      <c r="Y90" s="113"/>
      <c r="Z90" s="111">
        <f>INDEX('M03-S02'!$B$16:$B$198,2*(ROWS($Z$55:Z90)-1)+1)</f>
        <v>36</v>
      </c>
      <c r="AA90" s="111" t="str">
        <f>INDEX('M03-S02'!$I$16:$I$199,2*(ROWS($Z$55:AA90)-1)+1)</f>
        <v/>
      </c>
      <c r="AB90" s="111">
        <f>INDEX('M03-S02'!$C$16:$C$198,2*(ROWS($Z$55:AB90)-1)+1)</f>
        <v>0</v>
      </c>
      <c r="AC90" s="96"/>
      <c r="AD90">
        <f>INDEX('M03-S02'!$X$16:$X$198,2*(ROWS($AD$55:AD90)-1)+1)</f>
        <v>0</v>
      </c>
      <c r="AE90" s="459"/>
      <c r="AF90" s="459"/>
      <c r="AG90" s="112"/>
      <c r="AH90" s="112"/>
      <c r="AI90" s="112"/>
      <c r="AJ90" s="112"/>
      <c r="AK90" s="113"/>
      <c r="AL90" s="113"/>
      <c r="AM90" s="113"/>
      <c r="AN90" s="113"/>
      <c r="AO90" s="52" t="str">
        <f>IFERROR(INDEX(PMELIGHTCON[Program Design],MATCH(AB90,PMELIGHTCON[Eff Desc 1],0)),"")</f>
        <v/>
      </c>
      <c r="AU90"/>
    </row>
    <row r="91" spans="1:47">
      <c r="A91" s="57">
        <f t="shared" si="5"/>
        <v>0</v>
      </c>
      <c r="B91" s="183" t="str">
        <f t="shared" si="6"/>
        <v/>
      </c>
      <c r="C91" t="str">
        <f>IFERROR(IF(R91&gt;0,INDEX(PMELIGHTCON[Measure '#],MATCH(AB91,PMELIGHTCON[Eff Desc 1],0)),""),"")</f>
        <v/>
      </c>
      <c r="D91" t="s">
        <v>947</v>
      </c>
      <c r="F91" s="112"/>
      <c r="G91" s="186">
        <f>INDEX('M03-S02'!$AB$16:$AB$198,2*(ROWS($G$55:G91)-1)+1)</f>
        <v>0</v>
      </c>
      <c r="H91" s="186"/>
      <c r="I91" s="184">
        <f>ROUND(INDEX('M03-S02'!$AE$16:$AE$198,2*(ROWS($I$55:I91)-1)+1),2)</f>
        <v>0</v>
      </c>
      <c r="J91" s="184">
        <f>ROUND(INDEX('M03-S02'!$AG$16:$AG$198,2*(ROWS($J$55:J91)-1)+1),2)</f>
        <v>0</v>
      </c>
      <c r="K91" s="52">
        <f>IFERROR(ROUND(INDEX('M03-S02'!$AU$16:$AU$198,2*(ROWS($K$55:K91)-1)+1),2),0)</f>
        <v>0</v>
      </c>
      <c r="M91" s="456">
        <f>INDEX('M03-S02'!$Q$16:$Q$198,2*(ROWS($M$55:M91)-1)+1)</f>
        <v>0</v>
      </c>
      <c r="N91" s="184" t="str">
        <f>IFERROR(INDEX('M03-S02'!$AK$16:$AK$198,2*(ROWS($N$55:N91)-1)+1),"")</f>
        <v/>
      </c>
      <c r="O91" s="456" t="str">
        <f>IFERROR(INDEX('M03-S02'!$AV$16:$AV$198,2*(ROWS($O$55:O91)-1)+1),"")</f>
        <v/>
      </c>
      <c r="P91" s="184" t="str">
        <f>IFERROR(IF(ISNUMBER(INDEX('M03-S02'!$AN$16:$AN$198,2*(ROWS($R$55:R91)-1)+1)),INDEX('M03-S02'!$AX$16:$AX$198,2*(ROWS($P$55:P91)-1)+1),""),"")</f>
        <v/>
      </c>
      <c r="Q91" s="184"/>
      <c r="R91" s="184">
        <f>IF(ISNUMBER(INDEX('M03-S02'!$AN$16:$AN$198,2*(ROWS($R$55:R91)-1)+1)),INDEX('M03-S02'!$AN$16:$AN$198,2*(ROWS($R$55:R91)-1)+1),0)</f>
        <v>0</v>
      </c>
      <c r="S91" s="459"/>
      <c r="T91" s="113"/>
      <c r="U91" s="140"/>
      <c r="V91" s="113"/>
      <c r="W91" s="96">
        <f>IFERROR(IF(NOT(ISNUMBER(INDEX('M03-S02'!$AN$16:$AN$198,2*(ROWS($R$55:R91)-1)+1))),INDEX('M03-S02'!$BC$16:$BC$198,2*(ROWS($R$55:R91)-1)+1),""),"")</f>
        <v>0</v>
      </c>
      <c r="X91" s="113"/>
      <c r="Y91" s="113"/>
      <c r="Z91" s="111">
        <f>INDEX('M03-S02'!$B$16:$B$198,2*(ROWS($Z$55:Z91)-1)+1)</f>
        <v>37</v>
      </c>
      <c r="AA91" s="111" t="str">
        <f>INDEX('M03-S02'!$I$16:$I$199,2*(ROWS($Z$55:AA91)-1)+1)</f>
        <v/>
      </c>
      <c r="AB91" s="111">
        <f>INDEX('M03-S02'!$C$16:$C$198,2*(ROWS($Z$55:AB91)-1)+1)</f>
        <v>0</v>
      </c>
      <c r="AC91" s="96"/>
      <c r="AD91">
        <f>INDEX('M03-S02'!$X$16:$X$198,2*(ROWS($AD$55:AD91)-1)+1)</f>
        <v>0</v>
      </c>
      <c r="AE91" s="459"/>
      <c r="AF91" s="459"/>
      <c r="AG91" s="112"/>
      <c r="AH91" s="112"/>
      <c r="AI91" s="112"/>
      <c r="AJ91" s="112"/>
      <c r="AK91" s="113"/>
      <c r="AL91" s="113"/>
      <c r="AM91" s="113"/>
      <c r="AN91" s="113"/>
      <c r="AO91" s="52" t="str">
        <f>IFERROR(INDEX(PMELIGHTCON[Program Design],MATCH(AB91,PMELIGHTCON[Eff Desc 1],0)),"")</f>
        <v/>
      </c>
      <c r="AU91"/>
    </row>
    <row r="92" spans="1:47">
      <c r="A92" s="57">
        <f t="shared" si="5"/>
        <v>0</v>
      </c>
      <c r="B92" s="183" t="str">
        <f t="shared" si="6"/>
        <v/>
      </c>
      <c r="C92" t="str">
        <f>IFERROR(IF(R92&gt;0,INDEX(PMELIGHTCON[Measure '#],MATCH(AB92,PMELIGHTCON[Eff Desc 1],0)),""),"")</f>
        <v/>
      </c>
      <c r="D92" t="s">
        <v>947</v>
      </c>
      <c r="F92" s="112"/>
      <c r="G92" s="186">
        <f>INDEX('M03-S02'!$AB$16:$AB$198,2*(ROWS($G$55:G92)-1)+1)</f>
        <v>0</v>
      </c>
      <c r="H92" s="186"/>
      <c r="I92" s="184">
        <f>ROUND(INDEX('M03-S02'!$AE$16:$AE$198,2*(ROWS($I$55:I92)-1)+1),2)</f>
        <v>0</v>
      </c>
      <c r="J92" s="184">
        <f>ROUND(INDEX('M03-S02'!$AG$16:$AG$198,2*(ROWS($J$55:J92)-1)+1),2)</f>
        <v>0</v>
      </c>
      <c r="K92" s="52">
        <f>IFERROR(ROUND(INDEX('M03-S02'!$AU$16:$AU$198,2*(ROWS($K$55:K92)-1)+1),2),0)</f>
        <v>0</v>
      </c>
      <c r="M92" s="456">
        <f>INDEX('M03-S02'!$Q$16:$Q$198,2*(ROWS($M$55:M92)-1)+1)</f>
        <v>0</v>
      </c>
      <c r="N92" s="184" t="str">
        <f>IFERROR(INDEX('M03-S02'!$AK$16:$AK$198,2*(ROWS($N$55:N92)-1)+1),"")</f>
        <v/>
      </c>
      <c r="O92" s="456" t="str">
        <f>IFERROR(INDEX('M03-S02'!$AV$16:$AV$198,2*(ROWS($O$55:O92)-1)+1),"")</f>
        <v/>
      </c>
      <c r="P92" s="184" t="str">
        <f>IFERROR(IF(ISNUMBER(INDEX('M03-S02'!$AN$16:$AN$198,2*(ROWS($R$55:R92)-1)+1)),INDEX('M03-S02'!$AX$16:$AX$198,2*(ROWS($P$55:P92)-1)+1),""),"")</f>
        <v/>
      </c>
      <c r="Q92" s="184"/>
      <c r="R92" s="184">
        <f>IF(ISNUMBER(INDEX('M03-S02'!$AN$16:$AN$198,2*(ROWS($R$55:R92)-1)+1)),INDEX('M03-S02'!$AN$16:$AN$198,2*(ROWS($R$55:R92)-1)+1),0)</f>
        <v>0</v>
      </c>
      <c r="S92" s="459"/>
      <c r="T92" s="113"/>
      <c r="U92" s="140"/>
      <c r="V92" s="113"/>
      <c r="W92" s="96">
        <f>IFERROR(IF(NOT(ISNUMBER(INDEX('M03-S02'!$AN$16:$AN$198,2*(ROWS($R$55:R92)-1)+1))),INDEX('M03-S02'!$BC$16:$BC$198,2*(ROWS($R$55:R92)-1)+1),""),"")</f>
        <v>0</v>
      </c>
      <c r="X92" s="113"/>
      <c r="Y92" s="113"/>
      <c r="Z92" s="111">
        <f>INDEX('M03-S02'!$B$16:$B$198,2*(ROWS($Z$55:Z92)-1)+1)</f>
        <v>38</v>
      </c>
      <c r="AA92" s="111" t="str">
        <f>INDEX('M03-S02'!$I$16:$I$199,2*(ROWS($Z$55:AA92)-1)+1)</f>
        <v/>
      </c>
      <c r="AB92" s="111">
        <f>INDEX('M03-S02'!$C$16:$C$198,2*(ROWS($Z$55:AB92)-1)+1)</f>
        <v>0</v>
      </c>
      <c r="AC92" s="96"/>
      <c r="AD92">
        <f>INDEX('M03-S02'!$X$16:$X$198,2*(ROWS($AD$55:AD92)-1)+1)</f>
        <v>0</v>
      </c>
      <c r="AE92" s="459"/>
      <c r="AF92" s="459"/>
      <c r="AG92" s="112"/>
      <c r="AH92" s="112"/>
      <c r="AI92" s="112"/>
      <c r="AJ92" s="112"/>
      <c r="AK92" s="113"/>
      <c r="AL92" s="113"/>
      <c r="AM92" s="113"/>
      <c r="AN92" s="113"/>
      <c r="AO92" s="52" t="str">
        <f>IFERROR(INDEX(PMELIGHTCON[Program Design],MATCH(AB92,PMELIGHTCON[Eff Desc 1],0)),"")</f>
        <v/>
      </c>
      <c r="AU92"/>
    </row>
    <row r="93" spans="1:47">
      <c r="A93" s="57">
        <f t="shared" si="5"/>
        <v>0</v>
      </c>
      <c r="B93" s="183" t="str">
        <f t="shared" si="6"/>
        <v/>
      </c>
      <c r="C93" t="str">
        <f>IFERROR(IF(R93&gt;0,INDEX(PMELIGHTCON[Measure '#],MATCH(AB93,PMELIGHTCON[Eff Desc 1],0)),""),"")</f>
        <v/>
      </c>
      <c r="D93" t="s">
        <v>947</v>
      </c>
      <c r="F93" s="112"/>
      <c r="G93" s="186">
        <f>INDEX('M03-S02'!$AB$16:$AB$198,2*(ROWS($G$55:G93)-1)+1)</f>
        <v>0</v>
      </c>
      <c r="H93" s="186"/>
      <c r="I93" s="184">
        <f>ROUND(INDEX('M03-S02'!$AE$16:$AE$198,2*(ROWS($I$55:I93)-1)+1),2)</f>
        <v>0</v>
      </c>
      <c r="J93" s="184">
        <f>ROUND(INDEX('M03-S02'!$AG$16:$AG$198,2*(ROWS($J$55:J93)-1)+1),2)</f>
        <v>0</v>
      </c>
      <c r="K93" s="52">
        <f>IFERROR(ROUND(INDEX('M03-S02'!$AU$16:$AU$198,2*(ROWS($K$55:K93)-1)+1),2),0)</f>
        <v>0</v>
      </c>
      <c r="M93" s="456">
        <f>INDEX('M03-S02'!$Q$16:$Q$198,2*(ROWS($M$55:M93)-1)+1)</f>
        <v>0</v>
      </c>
      <c r="N93" s="184" t="str">
        <f>IFERROR(INDEX('M03-S02'!$AK$16:$AK$198,2*(ROWS($N$55:N93)-1)+1),"")</f>
        <v/>
      </c>
      <c r="O93" s="456" t="str">
        <f>IFERROR(INDEX('M03-S02'!$AV$16:$AV$198,2*(ROWS($O$55:O93)-1)+1),"")</f>
        <v/>
      </c>
      <c r="P93" s="184" t="str">
        <f>IFERROR(IF(ISNUMBER(INDEX('M03-S02'!$AN$16:$AN$198,2*(ROWS($R$55:R93)-1)+1)),INDEX('M03-S02'!$AX$16:$AX$198,2*(ROWS($P$55:P93)-1)+1),""),"")</f>
        <v/>
      </c>
      <c r="Q93" s="184"/>
      <c r="R93" s="184">
        <f>IF(ISNUMBER(INDEX('M03-S02'!$AN$16:$AN$198,2*(ROWS($R$55:R93)-1)+1)),INDEX('M03-S02'!$AN$16:$AN$198,2*(ROWS($R$55:R93)-1)+1),0)</f>
        <v>0</v>
      </c>
      <c r="S93" s="459"/>
      <c r="T93" s="113"/>
      <c r="U93" s="140"/>
      <c r="V93" s="113"/>
      <c r="W93" s="96">
        <f>IFERROR(IF(NOT(ISNUMBER(INDEX('M03-S02'!$AN$16:$AN$198,2*(ROWS($R$55:R93)-1)+1))),INDEX('M03-S02'!$BC$16:$BC$198,2*(ROWS($R$55:R93)-1)+1),""),"")</f>
        <v>0</v>
      </c>
      <c r="X93" s="113"/>
      <c r="Y93" s="113"/>
      <c r="Z93" s="111">
        <f>INDEX('M03-S02'!$B$16:$B$198,2*(ROWS($Z$55:Z93)-1)+1)</f>
        <v>39</v>
      </c>
      <c r="AA93" s="111" t="str">
        <f>INDEX('M03-S02'!$I$16:$I$199,2*(ROWS($Z$55:AA93)-1)+1)</f>
        <v/>
      </c>
      <c r="AB93" s="111">
        <f>INDEX('M03-S02'!$C$16:$C$198,2*(ROWS($Z$55:AB93)-1)+1)</f>
        <v>0</v>
      </c>
      <c r="AC93" s="96"/>
      <c r="AD93">
        <f>INDEX('M03-S02'!$X$16:$X$198,2*(ROWS($AD$55:AD93)-1)+1)</f>
        <v>0</v>
      </c>
      <c r="AE93" s="459"/>
      <c r="AF93" s="459"/>
      <c r="AG93" s="112"/>
      <c r="AH93" s="112"/>
      <c r="AI93" s="112"/>
      <c r="AJ93" s="112"/>
      <c r="AK93" s="113"/>
      <c r="AL93" s="113"/>
      <c r="AM93" s="113"/>
      <c r="AN93" s="113"/>
      <c r="AO93" s="52" t="str">
        <f>IFERROR(INDEX(PMELIGHTCON[Program Design],MATCH(AB93,PMELIGHTCON[Eff Desc 1],0)),"")</f>
        <v/>
      </c>
      <c r="AU93"/>
    </row>
    <row r="94" spans="1:47">
      <c r="A94" s="57">
        <f t="shared" si="5"/>
        <v>0</v>
      </c>
      <c r="B94" s="183" t="str">
        <f t="shared" si="6"/>
        <v/>
      </c>
      <c r="C94" t="str">
        <f>IFERROR(IF(R94&gt;0,INDEX(PMELIGHTCON[Measure '#],MATCH(AB94,PMELIGHTCON[Eff Desc 1],0)),""),"")</f>
        <v/>
      </c>
      <c r="D94" t="s">
        <v>947</v>
      </c>
      <c r="F94" s="112"/>
      <c r="G94" s="186">
        <f>INDEX('M03-S02'!$AB$16:$AB$198,2*(ROWS($G$55:G94)-1)+1)</f>
        <v>0</v>
      </c>
      <c r="H94" s="186"/>
      <c r="I94" s="184">
        <f>ROUND(INDEX('M03-S02'!$AE$16:$AE$198,2*(ROWS($I$55:I94)-1)+1),2)</f>
        <v>0</v>
      </c>
      <c r="J94" s="184">
        <f>ROUND(INDEX('M03-S02'!$AG$16:$AG$198,2*(ROWS($J$55:J94)-1)+1),2)</f>
        <v>0</v>
      </c>
      <c r="K94" s="52">
        <f>IFERROR(ROUND(INDEX('M03-S02'!$AU$16:$AU$198,2*(ROWS($K$55:K94)-1)+1),2),0)</f>
        <v>0</v>
      </c>
      <c r="M94" s="456">
        <f>INDEX('M03-S02'!$Q$16:$Q$198,2*(ROWS($M$55:M94)-1)+1)</f>
        <v>0</v>
      </c>
      <c r="N94" s="184" t="str">
        <f>IFERROR(INDEX('M03-S02'!$AK$16:$AK$198,2*(ROWS($N$55:N94)-1)+1),"")</f>
        <v/>
      </c>
      <c r="O94" s="456" t="str">
        <f>IFERROR(INDEX('M03-S02'!$AV$16:$AV$198,2*(ROWS($O$55:O94)-1)+1),"")</f>
        <v/>
      </c>
      <c r="P94" s="184" t="str">
        <f>IFERROR(IF(ISNUMBER(INDEX('M03-S02'!$AN$16:$AN$198,2*(ROWS($R$55:R94)-1)+1)),INDEX('M03-S02'!$AX$16:$AX$198,2*(ROWS($P$55:P94)-1)+1),""),"")</f>
        <v/>
      </c>
      <c r="Q94" s="184"/>
      <c r="R94" s="184">
        <f>IF(ISNUMBER(INDEX('M03-S02'!$AN$16:$AN$198,2*(ROWS($R$55:R94)-1)+1)),INDEX('M03-S02'!$AN$16:$AN$198,2*(ROWS($R$55:R94)-1)+1),0)</f>
        <v>0</v>
      </c>
      <c r="S94" s="459"/>
      <c r="T94" s="113"/>
      <c r="U94" s="140"/>
      <c r="V94" s="113"/>
      <c r="W94" s="96">
        <f>IFERROR(IF(NOT(ISNUMBER(INDEX('M03-S02'!$AN$16:$AN$198,2*(ROWS($R$55:R94)-1)+1))),INDEX('M03-S02'!$BC$16:$BC$198,2*(ROWS($R$55:R94)-1)+1),""),"")</f>
        <v>0</v>
      </c>
      <c r="X94" s="113"/>
      <c r="Y94" s="113"/>
      <c r="Z94" s="111">
        <f>INDEX('M03-S02'!$B$16:$B$198,2*(ROWS($Z$55:Z94)-1)+1)</f>
        <v>40</v>
      </c>
      <c r="AA94" s="111" t="str">
        <f>INDEX('M03-S02'!$I$16:$I$199,2*(ROWS($Z$55:AA94)-1)+1)</f>
        <v/>
      </c>
      <c r="AB94" s="111">
        <f>INDEX('M03-S02'!$C$16:$C$198,2*(ROWS($Z$55:AB94)-1)+1)</f>
        <v>0</v>
      </c>
      <c r="AC94" s="96"/>
      <c r="AD94">
        <f>INDEX('M03-S02'!$X$16:$X$198,2*(ROWS($AD$55:AD94)-1)+1)</f>
        <v>0</v>
      </c>
      <c r="AE94" s="459"/>
      <c r="AF94" s="459"/>
      <c r="AG94" s="112"/>
      <c r="AH94" s="112"/>
      <c r="AI94" s="112"/>
      <c r="AJ94" s="112"/>
      <c r="AK94" s="113"/>
      <c r="AL94" s="113"/>
      <c r="AM94" s="113"/>
      <c r="AN94" s="113"/>
      <c r="AO94" s="52" t="str">
        <f>IFERROR(INDEX(PMELIGHTCON[Program Design],MATCH(AB94,PMELIGHTCON[Eff Desc 1],0)),"")</f>
        <v/>
      </c>
      <c r="AU94"/>
    </row>
    <row r="95" spans="1:47">
      <c r="A95" s="57">
        <f t="shared" si="5"/>
        <v>0</v>
      </c>
      <c r="B95" s="183" t="str">
        <f t="shared" si="6"/>
        <v/>
      </c>
      <c r="C95" t="str">
        <f>IFERROR(IF(R95&gt;0,INDEX(PMELIGHTCON[Measure '#],MATCH(AB95,PMELIGHTCON[Eff Desc 1],0)),""),"")</f>
        <v/>
      </c>
      <c r="D95" t="s">
        <v>947</v>
      </c>
      <c r="F95" s="112"/>
      <c r="G95" s="186">
        <f>INDEX('M03-S02'!$AB$16:$AB$198,2*(ROWS($G$55:G95)-1)+1)</f>
        <v>0</v>
      </c>
      <c r="H95" s="186"/>
      <c r="I95" s="184">
        <f>ROUND(INDEX('M03-S02'!$AE$16:$AE$198,2*(ROWS($I$55:I95)-1)+1),2)</f>
        <v>0</v>
      </c>
      <c r="J95" s="184">
        <f>ROUND(INDEX('M03-S02'!$AG$16:$AG$198,2*(ROWS($J$55:J95)-1)+1),2)</f>
        <v>0</v>
      </c>
      <c r="K95" s="52">
        <f>IFERROR(ROUND(INDEX('M03-S02'!$AU$16:$AU$198,2*(ROWS($K$55:K95)-1)+1),2),0)</f>
        <v>0</v>
      </c>
      <c r="M95" s="456">
        <f>INDEX('M03-S02'!$Q$16:$Q$198,2*(ROWS($M$55:M95)-1)+1)</f>
        <v>0</v>
      </c>
      <c r="N95" s="184" t="str">
        <f>IFERROR(INDEX('M03-S02'!$AK$16:$AK$198,2*(ROWS($N$55:N95)-1)+1),"")</f>
        <v/>
      </c>
      <c r="O95" s="456" t="str">
        <f>IFERROR(INDEX('M03-S02'!$AV$16:$AV$198,2*(ROWS($O$55:O95)-1)+1),"")</f>
        <v/>
      </c>
      <c r="P95" s="184" t="str">
        <f>IFERROR(IF(ISNUMBER(INDEX('M03-S02'!$AN$16:$AN$198,2*(ROWS($R$55:R95)-1)+1)),INDEX('M03-S02'!$AX$16:$AX$198,2*(ROWS($P$55:P95)-1)+1),""),"")</f>
        <v/>
      </c>
      <c r="Q95" s="184"/>
      <c r="R95" s="184">
        <f>IF(ISNUMBER(INDEX('M03-S02'!$AN$16:$AN$198,2*(ROWS($R$55:R95)-1)+1)),INDEX('M03-S02'!$AN$16:$AN$198,2*(ROWS($R$55:R95)-1)+1),0)</f>
        <v>0</v>
      </c>
      <c r="S95" s="459"/>
      <c r="T95" s="113"/>
      <c r="U95" s="140"/>
      <c r="V95" s="113"/>
      <c r="W95" s="96">
        <f>IFERROR(IF(NOT(ISNUMBER(INDEX('M03-S02'!$AN$16:$AN$198,2*(ROWS($R$55:R95)-1)+1))),INDEX('M03-S02'!$BC$16:$BC$198,2*(ROWS($R$55:R95)-1)+1),""),"")</f>
        <v>0</v>
      </c>
      <c r="X95" s="113"/>
      <c r="Y95" s="113"/>
      <c r="Z95" s="111">
        <f>INDEX('M03-S02'!$B$16:$B$198,2*(ROWS($Z$55:Z95)-1)+1)</f>
        <v>41</v>
      </c>
      <c r="AA95" s="111" t="str">
        <f>INDEX('M03-S02'!$I$16:$I$199,2*(ROWS($Z$55:AA95)-1)+1)</f>
        <v/>
      </c>
      <c r="AB95" s="111">
        <f>INDEX('M03-S02'!$C$16:$C$198,2*(ROWS($Z$55:AB95)-1)+1)</f>
        <v>0</v>
      </c>
      <c r="AC95" s="96"/>
      <c r="AD95">
        <f>INDEX('M03-S02'!$X$16:$X$198,2*(ROWS($AD$55:AD95)-1)+1)</f>
        <v>0</v>
      </c>
      <c r="AE95" s="459"/>
      <c r="AF95" s="459"/>
      <c r="AG95" s="112"/>
      <c r="AH95" s="112"/>
      <c r="AI95" s="112"/>
      <c r="AJ95" s="112"/>
      <c r="AK95" s="113"/>
      <c r="AL95" s="113"/>
      <c r="AM95" s="113"/>
      <c r="AN95" s="113"/>
      <c r="AO95" s="52" t="str">
        <f>IFERROR(INDEX(PMELIGHTCON[Program Design],MATCH(AB95,PMELIGHTCON[Eff Desc 1],0)),"")</f>
        <v/>
      </c>
      <c r="AU95"/>
    </row>
    <row r="96" spans="1:47">
      <c r="A96" s="57">
        <f t="shared" si="5"/>
        <v>0</v>
      </c>
      <c r="B96" s="183" t="str">
        <f t="shared" si="6"/>
        <v/>
      </c>
      <c r="C96" t="str">
        <f>IFERROR(IF(R96&gt;0,INDEX(PMELIGHTCON[Measure '#],MATCH(AB96,PMELIGHTCON[Eff Desc 1],0)),""),"")</f>
        <v/>
      </c>
      <c r="D96" t="s">
        <v>947</v>
      </c>
      <c r="F96" s="112"/>
      <c r="G96" s="186">
        <f>INDEX('M03-S02'!$AB$16:$AB$198,2*(ROWS($G$55:G96)-1)+1)</f>
        <v>0</v>
      </c>
      <c r="H96" s="186"/>
      <c r="I96" s="184">
        <f>ROUND(INDEX('M03-S02'!$AE$16:$AE$198,2*(ROWS($I$55:I96)-1)+1),2)</f>
        <v>0</v>
      </c>
      <c r="J96" s="184">
        <f>ROUND(INDEX('M03-S02'!$AG$16:$AG$198,2*(ROWS($J$55:J96)-1)+1),2)</f>
        <v>0</v>
      </c>
      <c r="K96" s="52">
        <f>IFERROR(ROUND(INDEX('M03-S02'!$AU$16:$AU$198,2*(ROWS($K$55:K96)-1)+1),2),0)</f>
        <v>0</v>
      </c>
      <c r="M96" s="456">
        <f>INDEX('M03-S02'!$Q$16:$Q$198,2*(ROWS($M$55:M96)-1)+1)</f>
        <v>0</v>
      </c>
      <c r="N96" s="184" t="str">
        <f>IFERROR(INDEX('M03-S02'!$AK$16:$AK$198,2*(ROWS($N$55:N96)-1)+1),"")</f>
        <v/>
      </c>
      <c r="O96" s="456" t="str">
        <f>IFERROR(INDEX('M03-S02'!$AV$16:$AV$198,2*(ROWS($O$55:O96)-1)+1),"")</f>
        <v/>
      </c>
      <c r="P96" s="184" t="str">
        <f>IFERROR(IF(ISNUMBER(INDEX('M03-S02'!$AN$16:$AN$198,2*(ROWS($R$55:R96)-1)+1)),INDEX('M03-S02'!$AX$16:$AX$198,2*(ROWS($P$55:P96)-1)+1),""),"")</f>
        <v/>
      </c>
      <c r="Q96" s="184"/>
      <c r="R96" s="184">
        <f>IF(ISNUMBER(INDEX('M03-S02'!$AN$16:$AN$198,2*(ROWS($R$55:R96)-1)+1)),INDEX('M03-S02'!$AN$16:$AN$198,2*(ROWS($R$55:R96)-1)+1),0)</f>
        <v>0</v>
      </c>
      <c r="S96" s="459"/>
      <c r="T96" s="113"/>
      <c r="U96" s="140"/>
      <c r="V96" s="113"/>
      <c r="W96" s="96">
        <f>IFERROR(IF(NOT(ISNUMBER(INDEX('M03-S02'!$AN$16:$AN$198,2*(ROWS($R$55:R96)-1)+1))),INDEX('M03-S02'!$BC$16:$BC$198,2*(ROWS($R$55:R96)-1)+1),""),"")</f>
        <v>0</v>
      </c>
      <c r="X96" s="113"/>
      <c r="Y96" s="113"/>
      <c r="Z96" s="111">
        <f>INDEX('M03-S02'!$B$16:$B$198,2*(ROWS($Z$55:Z96)-1)+1)</f>
        <v>42</v>
      </c>
      <c r="AA96" s="111" t="str">
        <f>INDEX('M03-S02'!$I$16:$I$199,2*(ROWS($Z$55:AA96)-1)+1)</f>
        <v/>
      </c>
      <c r="AB96" s="111">
        <f>INDEX('M03-S02'!$C$16:$C$198,2*(ROWS($Z$55:AB96)-1)+1)</f>
        <v>0</v>
      </c>
      <c r="AC96" s="96"/>
      <c r="AD96">
        <f>INDEX('M03-S02'!$X$16:$X$198,2*(ROWS($AD$55:AD96)-1)+1)</f>
        <v>0</v>
      </c>
      <c r="AE96" s="459"/>
      <c r="AF96" s="459"/>
      <c r="AG96" s="112"/>
      <c r="AH96" s="112"/>
      <c r="AI96" s="112"/>
      <c r="AJ96" s="112"/>
      <c r="AK96" s="113"/>
      <c r="AL96" s="113"/>
      <c r="AM96" s="113"/>
      <c r="AN96" s="113"/>
      <c r="AO96" s="52" t="str">
        <f>IFERROR(INDEX(PMELIGHTCON[Program Design],MATCH(AB96,PMELIGHTCON[Eff Desc 1],0)),"")</f>
        <v/>
      </c>
      <c r="AU96"/>
    </row>
    <row r="97" spans="1:47">
      <c r="A97" s="57">
        <f t="shared" si="5"/>
        <v>0</v>
      </c>
      <c r="B97" s="183" t="str">
        <f t="shared" si="6"/>
        <v/>
      </c>
      <c r="C97" t="str">
        <f>IFERROR(IF(R97&gt;0,INDEX(PMELIGHTCON[Measure '#],MATCH(AB97,PMELIGHTCON[Eff Desc 1],0)),""),"")</f>
        <v/>
      </c>
      <c r="D97" t="s">
        <v>947</v>
      </c>
      <c r="F97" s="112"/>
      <c r="G97" s="186">
        <f>INDEX('M03-S02'!$AB$16:$AB$198,2*(ROWS($G$55:G97)-1)+1)</f>
        <v>0</v>
      </c>
      <c r="H97" s="186"/>
      <c r="I97" s="184">
        <f>ROUND(INDEX('M03-S02'!$AE$16:$AE$198,2*(ROWS($I$55:I97)-1)+1),2)</f>
        <v>0</v>
      </c>
      <c r="J97" s="184">
        <f>ROUND(INDEX('M03-S02'!$AG$16:$AG$198,2*(ROWS($J$55:J97)-1)+1),2)</f>
        <v>0</v>
      </c>
      <c r="K97" s="52">
        <f>IFERROR(ROUND(INDEX('M03-S02'!$AU$16:$AU$198,2*(ROWS($K$55:K97)-1)+1),2),0)</f>
        <v>0</v>
      </c>
      <c r="M97" s="456">
        <f>INDEX('M03-S02'!$Q$16:$Q$198,2*(ROWS($M$55:M97)-1)+1)</f>
        <v>0</v>
      </c>
      <c r="N97" s="184" t="str">
        <f>IFERROR(INDEX('M03-S02'!$AK$16:$AK$198,2*(ROWS($N$55:N97)-1)+1),"")</f>
        <v/>
      </c>
      <c r="O97" s="456" t="str">
        <f>IFERROR(INDEX('M03-S02'!$AV$16:$AV$198,2*(ROWS($O$55:O97)-1)+1),"")</f>
        <v/>
      </c>
      <c r="P97" s="184" t="str">
        <f>IFERROR(IF(ISNUMBER(INDEX('M03-S02'!$AN$16:$AN$198,2*(ROWS($R$55:R97)-1)+1)),INDEX('M03-S02'!$AX$16:$AX$198,2*(ROWS($P$55:P97)-1)+1),""),"")</f>
        <v/>
      </c>
      <c r="Q97" s="184"/>
      <c r="R97" s="184">
        <f>IF(ISNUMBER(INDEX('M03-S02'!$AN$16:$AN$198,2*(ROWS($R$55:R97)-1)+1)),INDEX('M03-S02'!$AN$16:$AN$198,2*(ROWS($R$55:R97)-1)+1),0)</f>
        <v>0</v>
      </c>
      <c r="S97" s="459"/>
      <c r="T97" s="113"/>
      <c r="U97" s="140"/>
      <c r="V97" s="113"/>
      <c r="W97" s="96">
        <f>IFERROR(IF(NOT(ISNUMBER(INDEX('M03-S02'!$AN$16:$AN$198,2*(ROWS($R$55:R97)-1)+1))),INDEX('M03-S02'!$BC$16:$BC$198,2*(ROWS($R$55:R97)-1)+1),""),"")</f>
        <v>0</v>
      </c>
      <c r="X97" s="113"/>
      <c r="Y97" s="113"/>
      <c r="Z97" s="111">
        <f>INDEX('M03-S02'!$B$16:$B$198,2*(ROWS($Z$55:Z97)-1)+1)</f>
        <v>43</v>
      </c>
      <c r="AA97" s="111" t="str">
        <f>INDEX('M03-S02'!$I$16:$I$199,2*(ROWS($Z$55:AA97)-1)+1)</f>
        <v/>
      </c>
      <c r="AB97" s="111">
        <f>INDEX('M03-S02'!$C$16:$C$198,2*(ROWS($Z$55:AB97)-1)+1)</f>
        <v>0</v>
      </c>
      <c r="AC97" s="96"/>
      <c r="AD97">
        <f>INDEX('M03-S02'!$X$16:$X$198,2*(ROWS($AD$55:AD97)-1)+1)</f>
        <v>0</v>
      </c>
      <c r="AE97" s="459"/>
      <c r="AF97" s="459"/>
      <c r="AG97" s="112"/>
      <c r="AH97" s="112"/>
      <c r="AI97" s="112"/>
      <c r="AJ97" s="112"/>
      <c r="AK97" s="113"/>
      <c r="AL97" s="113"/>
      <c r="AM97" s="113"/>
      <c r="AN97" s="113"/>
      <c r="AO97" s="52" t="str">
        <f>IFERROR(INDEX(PMELIGHTCON[Program Design],MATCH(AB97,PMELIGHTCON[Eff Desc 1],0)),"")</f>
        <v/>
      </c>
      <c r="AU97"/>
    </row>
    <row r="98" spans="1:47">
      <c r="A98" s="57">
        <f t="shared" si="5"/>
        <v>0</v>
      </c>
      <c r="B98" s="183" t="str">
        <f t="shared" si="6"/>
        <v/>
      </c>
      <c r="C98" t="str">
        <f>IFERROR(IF(R98&gt;0,INDEX(PMELIGHTCON[Measure '#],MATCH(AB98,PMELIGHTCON[Eff Desc 1],0)),""),"")</f>
        <v/>
      </c>
      <c r="D98" t="s">
        <v>947</v>
      </c>
      <c r="F98" s="112"/>
      <c r="G98" s="186">
        <f>INDEX('M03-S02'!$AB$16:$AB$198,2*(ROWS($G$55:G98)-1)+1)</f>
        <v>0</v>
      </c>
      <c r="H98" s="186"/>
      <c r="I98" s="184">
        <f>ROUND(INDEX('M03-S02'!$AE$16:$AE$198,2*(ROWS($I$55:I98)-1)+1),2)</f>
        <v>0</v>
      </c>
      <c r="J98" s="184">
        <f>ROUND(INDEX('M03-S02'!$AG$16:$AG$198,2*(ROWS($J$55:J98)-1)+1),2)</f>
        <v>0</v>
      </c>
      <c r="K98" s="52">
        <f>IFERROR(ROUND(INDEX('M03-S02'!$AU$16:$AU$198,2*(ROWS($K$55:K98)-1)+1),2),0)</f>
        <v>0</v>
      </c>
      <c r="M98" s="456">
        <f>INDEX('M03-S02'!$Q$16:$Q$198,2*(ROWS($M$55:M98)-1)+1)</f>
        <v>0</v>
      </c>
      <c r="N98" s="184" t="str">
        <f>IFERROR(INDEX('M03-S02'!$AK$16:$AK$198,2*(ROWS($N$55:N98)-1)+1),"")</f>
        <v/>
      </c>
      <c r="O98" s="456" t="str">
        <f>IFERROR(INDEX('M03-S02'!$AV$16:$AV$198,2*(ROWS($O$55:O98)-1)+1),"")</f>
        <v/>
      </c>
      <c r="P98" s="184" t="str">
        <f>IFERROR(IF(ISNUMBER(INDEX('M03-S02'!$AN$16:$AN$198,2*(ROWS($R$55:R98)-1)+1)),INDEX('M03-S02'!$AX$16:$AX$198,2*(ROWS($P$55:P98)-1)+1),""),"")</f>
        <v/>
      </c>
      <c r="Q98" s="184"/>
      <c r="R98" s="184">
        <f>IF(ISNUMBER(INDEX('M03-S02'!$AN$16:$AN$198,2*(ROWS($R$55:R98)-1)+1)),INDEX('M03-S02'!$AN$16:$AN$198,2*(ROWS($R$55:R98)-1)+1),0)</f>
        <v>0</v>
      </c>
      <c r="S98" s="459"/>
      <c r="T98" s="113"/>
      <c r="U98" s="140"/>
      <c r="V98" s="113"/>
      <c r="W98" s="96">
        <f>IFERROR(IF(NOT(ISNUMBER(INDEX('M03-S02'!$AN$16:$AN$198,2*(ROWS($R$55:R98)-1)+1))),INDEX('M03-S02'!$BC$16:$BC$198,2*(ROWS($R$55:R98)-1)+1),""),"")</f>
        <v>0</v>
      </c>
      <c r="X98" s="113"/>
      <c r="Y98" s="113"/>
      <c r="Z98" s="111">
        <f>INDEX('M03-S02'!$B$16:$B$198,2*(ROWS($Z$55:Z98)-1)+1)</f>
        <v>44</v>
      </c>
      <c r="AA98" s="111" t="str">
        <f>INDEX('M03-S02'!$I$16:$I$199,2*(ROWS($Z$55:AA98)-1)+1)</f>
        <v/>
      </c>
      <c r="AB98" s="111">
        <f>INDEX('M03-S02'!$C$16:$C$198,2*(ROWS($Z$55:AB98)-1)+1)</f>
        <v>0</v>
      </c>
      <c r="AC98" s="96"/>
      <c r="AD98">
        <f>INDEX('M03-S02'!$X$16:$X$198,2*(ROWS($AD$55:AD98)-1)+1)</f>
        <v>0</v>
      </c>
      <c r="AE98" s="459"/>
      <c r="AF98" s="459"/>
      <c r="AG98" s="112"/>
      <c r="AH98" s="112"/>
      <c r="AI98" s="112"/>
      <c r="AJ98" s="112"/>
      <c r="AK98" s="113"/>
      <c r="AL98" s="113"/>
      <c r="AM98" s="113"/>
      <c r="AN98" s="113"/>
      <c r="AO98" s="52" t="str">
        <f>IFERROR(INDEX(PMELIGHTCON[Program Design],MATCH(AB98,PMELIGHTCON[Eff Desc 1],0)),"")</f>
        <v/>
      </c>
      <c r="AU98"/>
    </row>
    <row r="99" spans="1:47">
      <c r="A99" s="57">
        <f t="shared" si="5"/>
        <v>0</v>
      </c>
      <c r="B99" s="183" t="str">
        <f t="shared" si="6"/>
        <v/>
      </c>
      <c r="C99" t="str">
        <f>IFERROR(IF(R99&gt;0,INDEX(PMELIGHTCON[Measure '#],MATCH(AB99,PMELIGHTCON[Eff Desc 1],0)),""),"")</f>
        <v/>
      </c>
      <c r="D99" t="s">
        <v>947</v>
      </c>
      <c r="F99" s="112"/>
      <c r="G99" s="186">
        <f>INDEX('M03-S02'!$AB$16:$AB$198,2*(ROWS($G$55:G99)-1)+1)</f>
        <v>0</v>
      </c>
      <c r="H99" s="186"/>
      <c r="I99" s="184">
        <f>ROUND(INDEX('M03-S02'!$AE$16:$AE$198,2*(ROWS($I$55:I99)-1)+1),2)</f>
        <v>0</v>
      </c>
      <c r="J99" s="184">
        <f>ROUND(INDEX('M03-S02'!$AG$16:$AG$198,2*(ROWS($J$55:J99)-1)+1),2)</f>
        <v>0</v>
      </c>
      <c r="K99" s="52">
        <f>IFERROR(ROUND(INDEX('M03-S02'!$AU$16:$AU$198,2*(ROWS($K$55:K99)-1)+1),2),0)</f>
        <v>0</v>
      </c>
      <c r="M99" s="456">
        <f>INDEX('M03-S02'!$Q$16:$Q$198,2*(ROWS($M$55:M99)-1)+1)</f>
        <v>0</v>
      </c>
      <c r="N99" s="184" t="str">
        <f>IFERROR(INDEX('M03-S02'!$AK$16:$AK$198,2*(ROWS($N$55:N99)-1)+1),"")</f>
        <v/>
      </c>
      <c r="O99" s="456" t="str">
        <f>IFERROR(INDEX('M03-S02'!$AV$16:$AV$198,2*(ROWS($O$55:O99)-1)+1),"")</f>
        <v/>
      </c>
      <c r="P99" s="184" t="str">
        <f>IFERROR(IF(ISNUMBER(INDEX('M03-S02'!$AN$16:$AN$198,2*(ROWS($R$55:R99)-1)+1)),INDEX('M03-S02'!$AX$16:$AX$198,2*(ROWS($P$55:P99)-1)+1),""),"")</f>
        <v/>
      </c>
      <c r="Q99" s="184"/>
      <c r="R99" s="184">
        <f>IF(ISNUMBER(INDEX('M03-S02'!$AN$16:$AN$198,2*(ROWS($R$55:R99)-1)+1)),INDEX('M03-S02'!$AN$16:$AN$198,2*(ROWS($R$55:R99)-1)+1),0)</f>
        <v>0</v>
      </c>
      <c r="S99" s="459"/>
      <c r="T99" s="113"/>
      <c r="U99" s="140"/>
      <c r="V99" s="113"/>
      <c r="W99" s="96">
        <f>IFERROR(IF(NOT(ISNUMBER(INDEX('M03-S02'!$AN$16:$AN$198,2*(ROWS($R$55:R99)-1)+1))),INDEX('M03-S02'!$BC$16:$BC$198,2*(ROWS($R$55:R99)-1)+1),""),"")</f>
        <v>0</v>
      </c>
      <c r="X99" s="113"/>
      <c r="Y99" s="113"/>
      <c r="Z99" s="111">
        <f>INDEX('M03-S02'!$B$16:$B$198,2*(ROWS($Z$55:Z99)-1)+1)</f>
        <v>45</v>
      </c>
      <c r="AA99" s="111" t="str">
        <f>INDEX('M03-S02'!$I$16:$I$199,2*(ROWS($Z$55:AA99)-1)+1)</f>
        <v/>
      </c>
      <c r="AB99" s="111">
        <f>INDEX('M03-S02'!$C$16:$C$198,2*(ROWS($Z$55:AB99)-1)+1)</f>
        <v>0</v>
      </c>
      <c r="AC99" s="96"/>
      <c r="AD99">
        <f>INDEX('M03-S02'!$X$16:$X$198,2*(ROWS($AD$55:AD99)-1)+1)</f>
        <v>0</v>
      </c>
      <c r="AE99" s="459"/>
      <c r="AF99" s="459"/>
      <c r="AG99" s="112"/>
      <c r="AH99" s="112"/>
      <c r="AI99" s="112"/>
      <c r="AJ99" s="112"/>
      <c r="AK99" s="113"/>
      <c r="AL99" s="113"/>
      <c r="AM99" s="113"/>
      <c r="AN99" s="113"/>
      <c r="AO99" s="52" t="str">
        <f>IFERROR(INDEX(PMELIGHTCON[Program Design],MATCH(AB99,PMELIGHTCON[Eff Desc 1],0)),"")</f>
        <v/>
      </c>
      <c r="AU99"/>
    </row>
    <row r="100" spans="1:47">
      <c r="A100" s="57">
        <f t="shared" si="5"/>
        <v>0</v>
      </c>
      <c r="B100" s="183" t="str">
        <f t="shared" si="6"/>
        <v/>
      </c>
      <c r="C100" t="str">
        <f>IFERROR(IF(R100&gt;0,INDEX(PMELIGHTCON[Measure '#],MATCH(AB100,PMELIGHTCON[Eff Desc 1],0)),""),"")</f>
        <v/>
      </c>
      <c r="D100" t="s">
        <v>947</v>
      </c>
      <c r="F100" s="112"/>
      <c r="G100" s="186">
        <f>INDEX('M03-S02'!$AB$16:$AB$198,2*(ROWS($G$55:G100)-1)+1)</f>
        <v>0</v>
      </c>
      <c r="H100" s="186"/>
      <c r="I100" s="184">
        <f>ROUND(INDEX('M03-S02'!$AE$16:$AE$198,2*(ROWS($I$55:I100)-1)+1),2)</f>
        <v>0</v>
      </c>
      <c r="J100" s="184">
        <f>ROUND(INDEX('M03-S02'!$AG$16:$AG$198,2*(ROWS($J$55:J100)-1)+1),2)</f>
        <v>0</v>
      </c>
      <c r="K100" s="52">
        <f>IFERROR(ROUND(INDEX('M03-S02'!$AU$16:$AU$198,2*(ROWS($K$55:K100)-1)+1),2),0)</f>
        <v>0</v>
      </c>
      <c r="M100" s="456">
        <f>INDEX('M03-S02'!$Q$16:$Q$198,2*(ROWS($M$55:M100)-1)+1)</f>
        <v>0</v>
      </c>
      <c r="N100" s="184" t="str">
        <f>IFERROR(INDEX('M03-S02'!$AK$16:$AK$198,2*(ROWS($N$55:N100)-1)+1),"")</f>
        <v/>
      </c>
      <c r="O100" s="456" t="str">
        <f>IFERROR(INDEX('M03-S02'!$AV$16:$AV$198,2*(ROWS($O$55:O100)-1)+1),"")</f>
        <v/>
      </c>
      <c r="P100" s="184" t="str">
        <f>IFERROR(IF(ISNUMBER(INDEX('M03-S02'!$AN$16:$AN$198,2*(ROWS($R$55:R100)-1)+1)),INDEX('M03-S02'!$AX$16:$AX$198,2*(ROWS($P$55:P100)-1)+1),""),"")</f>
        <v/>
      </c>
      <c r="Q100" s="184"/>
      <c r="R100" s="184">
        <f>IF(ISNUMBER(INDEX('M03-S02'!$AN$16:$AN$198,2*(ROWS($R$55:R100)-1)+1)),INDEX('M03-S02'!$AN$16:$AN$198,2*(ROWS($R$55:R100)-1)+1),0)</f>
        <v>0</v>
      </c>
      <c r="S100" s="459"/>
      <c r="T100" s="113"/>
      <c r="U100" s="140"/>
      <c r="V100" s="113"/>
      <c r="W100" s="96">
        <f>IFERROR(IF(NOT(ISNUMBER(INDEX('M03-S02'!$AN$16:$AN$198,2*(ROWS($R$55:R100)-1)+1))),INDEX('M03-S02'!$BC$16:$BC$198,2*(ROWS($R$55:R100)-1)+1),""),"")</f>
        <v>0</v>
      </c>
      <c r="X100" s="113"/>
      <c r="Y100" s="113"/>
      <c r="Z100" s="111">
        <f>INDEX('M03-S02'!$B$16:$B$198,2*(ROWS($Z$55:Z100)-1)+1)</f>
        <v>46</v>
      </c>
      <c r="AA100" s="111" t="str">
        <f>INDEX('M03-S02'!$I$16:$I$199,2*(ROWS($Z$55:AA100)-1)+1)</f>
        <v/>
      </c>
      <c r="AB100" s="111">
        <f>INDEX('M03-S02'!$C$16:$C$198,2*(ROWS($Z$55:AB100)-1)+1)</f>
        <v>0</v>
      </c>
      <c r="AC100" s="96"/>
      <c r="AD100">
        <f>INDEX('M03-S02'!$X$16:$X$198,2*(ROWS($AD$55:AD100)-1)+1)</f>
        <v>0</v>
      </c>
      <c r="AE100" s="459"/>
      <c r="AF100" s="459"/>
      <c r="AG100" s="112"/>
      <c r="AH100" s="112"/>
      <c r="AI100" s="112"/>
      <c r="AJ100" s="112"/>
      <c r="AK100" s="113"/>
      <c r="AL100" s="113"/>
      <c r="AM100" s="113"/>
      <c r="AN100" s="113"/>
      <c r="AO100" s="52" t="str">
        <f>IFERROR(INDEX(PMELIGHTCON[Program Design],MATCH(AB100,PMELIGHTCON[Eff Desc 1],0)),"")</f>
        <v/>
      </c>
      <c r="AU100"/>
    </row>
    <row r="101" spans="1:47">
      <c r="A101" s="57">
        <f t="shared" si="5"/>
        <v>0</v>
      </c>
      <c r="B101" s="183" t="str">
        <f t="shared" si="6"/>
        <v/>
      </c>
      <c r="C101" t="str">
        <f>IFERROR(IF(R101&gt;0,INDEX(PMELIGHTCON[Measure '#],MATCH(AB101,PMELIGHTCON[Eff Desc 1],0)),""),"")</f>
        <v/>
      </c>
      <c r="D101" t="s">
        <v>947</v>
      </c>
      <c r="F101" s="112"/>
      <c r="G101" s="186">
        <f>INDEX('M03-S02'!$AB$16:$AB$198,2*(ROWS($G$55:G101)-1)+1)</f>
        <v>0</v>
      </c>
      <c r="H101" s="186"/>
      <c r="I101" s="184">
        <f>ROUND(INDEX('M03-S02'!$AE$16:$AE$198,2*(ROWS($I$55:I101)-1)+1),2)</f>
        <v>0</v>
      </c>
      <c r="J101" s="184">
        <f>ROUND(INDEX('M03-S02'!$AG$16:$AG$198,2*(ROWS($J$55:J101)-1)+1),2)</f>
        <v>0</v>
      </c>
      <c r="K101" s="52">
        <f>IFERROR(ROUND(INDEX('M03-S02'!$AU$16:$AU$198,2*(ROWS($K$55:K101)-1)+1),2),0)</f>
        <v>0</v>
      </c>
      <c r="M101" s="456">
        <f>INDEX('M03-S02'!$Q$16:$Q$198,2*(ROWS($M$55:M101)-1)+1)</f>
        <v>0</v>
      </c>
      <c r="N101" s="184" t="str">
        <f>IFERROR(INDEX('M03-S02'!$AK$16:$AK$198,2*(ROWS($N$55:N101)-1)+1),"")</f>
        <v/>
      </c>
      <c r="O101" s="456" t="str">
        <f>IFERROR(INDEX('M03-S02'!$AV$16:$AV$198,2*(ROWS($O$55:O101)-1)+1),"")</f>
        <v/>
      </c>
      <c r="P101" s="184" t="str">
        <f>IFERROR(IF(ISNUMBER(INDEX('M03-S02'!$AN$16:$AN$198,2*(ROWS($R$55:R101)-1)+1)),INDEX('M03-S02'!$AX$16:$AX$198,2*(ROWS($P$55:P101)-1)+1),""),"")</f>
        <v/>
      </c>
      <c r="Q101" s="184"/>
      <c r="R101" s="184">
        <f>IF(ISNUMBER(INDEX('M03-S02'!$AN$16:$AN$198,2*(ROWS($R$55:R101)-1)+1)),INDEX('M03-S02'!$AN$16:$AN$198,2*(ROWS($R$55:R101)-1)+1),0)</f>
        <v>0</v>
      </c>
      <c r="S101" s="459"/>
      <c r="T101" s="113"/>
      <c r="U101" s="140"/>
      <c r="V101" s="113"/>
      <c r="W101" s="96">
        <f>IFERROR(IF(NOT(ISNUMBER(INDEX('M03-S02'!$AN$16:$AN$198,2*(ROWS($R$55:R101)-1)+1))),INDEX('M03-S02'!$BC$16:$BC$198,2*(ROWS($R$55:R101)-1)+1),""),"")</f>
        <v>0</v>
      </c>
      <c r="X101" s="113"/>
      <c r="Y101" s="113"/>
      <c r="Z101" s="111">
        <f>INDEX('M03-S02'!$B$16:$B$198,2*(ROWS($Z$55:Z101)-1)+1)</f>
        <v>47</v>
      </c>
      <c r="AA101" s="111" t="str">
        <f>INDEX('M03-S02'!$I$16:$I$199,2*(ROWS($Z$55:AA101)-1)+1)</f>
        <v/>
      </c>
      <c r="AB101" s="111">
        <f>INDEX('M03-S02'!$C$16:$C$198,2*(ROWS($Z$55:AB101)-1)+1)</f>
        <v>0</v>
      </c>
      <c r="AC101" s="96"/>
      <c r="AD101">
        <f>INDEX('M03-S02'!$X$16:$X$198,2*(ROWS($AD$55:AD101)-1)+1)</f>
        <v>0</v>
      </c>
      <c r="AE101" s="459"/>
      <c r="AF101" s="459"/>
      <c r="AG101" s="112"/>
      <c r="AH101" s="112"/>
      <c r="AI101" s="112"/>
      <c r="AJ101" s="112"/>
      <c r="AK101" s="113"/>
      <c r="AL101" s="113"/>
      <c r="AM101" s="113"/>
      <c r="AN101" s="113"/>
      <c r="AO101" s="52" t="str">
        <f>IFERROR(INDEX(PMELIGHTCON[Program Design],MATCH(AB101,PMELIGHTCON[Eff Desc 1],0)),"")</f>
        <v/>
      </c>
      <c r="AU101"/>
    </row>
    <row r="102" spans="1:47">
      <c r="A102" s="57">
        <f t="shared" si="5"/>
        <v>0</v>
      </c>
      <c r="B102" s="183" t="str">
        <f t="shared" si="6"/>
        <v/>
      </c>
      <c r="C102" t="str">
        <f>IFERROR(IF(R102&gt;0,INDEX(PMELIGHTCON[Measure '#],MATCH(AB102,PMELIGHTCON[Eff Desc 1],0)),""),"")</f>
        <v/>
      </c>
      <c r="D102" t="s">
        <v>947</v>
      </c>
      <c r="F102" s="112"/>
      <c r="G102" s="186">
        <f>INDEX('M03-S02'!$AB$16:$AB$198,2*(ROWS($G$55:G102)-1)+1)</f>
        <v>0</v>
      </c>
      <c r="H102" s="186"/>
      <c r="I102" s="184">
        <f>ROUND(INDEX('M03-S02'!$AE$16:$AE$198,2*(ROWS($I$55:I102)-1)+1),2)</f>
        <v>0</v>
      </c>
      <c r="J102" s="184">
        <f>ROUND(INDEX('M03-S02'!$AG$16:$AG$198,2*(ROWS($J$55:J102)-1)+1),2)</f>
        <v>0</v>
      </c>
      <c r="K102" s="52">
        <f>IFERROR(ROUND(INDEX('M03-S02'!$AU$16:$AU$198,2*(ROWS($K$55:K102)-1)+1),2),0)</f>
        <v>0</v>
      </c>
      <c r="M102" s="456">
        <f>INDEX('M03-S02'!$Q$16:$Q$198,2*(ROWS($M$55:M102)-1)+1)</f>
        <v>0</v>
      </c>
      <c r="N102" s="184" t="str">
        <f>IFERROR(INDEX('M03-S02'!$AK$16:$AK$198,2*(ROWS($N$55:N102)-1)+1),"")</f>
        <v/>
      </c>
      <c r="O102" s="456" t="str">
        <f>IFERROR(INDEX('M03-S02'!$AV$16:$AV$198,2*(ROWS($O$55:O102)-1)+1),"")</f>
        <v/>
      </c>
      <c r="P102" s="184" t="str">
        <f>IFERROR(IF(ISNUMBER(INDEX('M03-S02'!$AN$16:$AN$198,2*(ROWS($R$55:R102)-1)+1)),INDEX('M03-S02'!$AX$16:$AX$198,2*(ROWS($P$55:P102)-1)+1),""),"")</f>
        <v/>
      </c>
      <c r="Q102" s="184"/>
      <c r="R102" s="184">
        <f>IF(ISNUMBER(INDEX('M03-S02'!$AN$16:$AN$198,2*(ROWS($R$55:R102)-1)+1)),INDEX('M03-S02'!$AN$16:$AN$198,2*(ROWS($R$55:R102)-1)+1),0)</f>
        <v>0</v>
      </c>
      <c r="S102" s="459"/>
      <c r="T102" s="113"/>
      <c r="U102" s="140"/>
      <c r="V102" s="113"/>
      <c r="W102" s="96">
        <f>IFERROR(IF(NOT(ISNUMBER(INDEX('M03-S02'!$AN$16:$AN$198,2*(ROWS($R$55:R102)-1)+1))),INDEX('M03-S02'!$BC$16:$BC$198,2*(ROWS($R$55:R102)-1)+1),""),"")</f>
        <v>0</v>
      </c>
      <c r="X102" s="113"/>
      <c r="Y102" s="113"/>
      <c r="Z102" s="111">
        <f>INDEX('M03-S02'!$B$16:$B$198,2*(ROWS($Z$55:Z102)-1)+1)</f>
        <v>48</v>
      </c>
      <c r="AA102" s="111" t="str">
        <f>INDEX('M03-S02'!$I$16:$I$199,2*(ROWS($Z$55:AA102)-1)+1)</f>
        <v/>
      </c>
      <c r="AB102" s="111">
        <f>INDEX('M03-S02'!$C$16:$C$198,2*(ROWS($Z$55:AB102)-1)+1)</f>
        <v>0</v>
      </c>
      <c r="AC102" s="96"/>
      <c r="AD102">
        <f>INDEX('M03-S02'!$X$16:$X$198,2*(ROWS($AD$55:AD102)-1)+1)</f>
        <v>0</v>
      </c>
      <c r="AE102" s="459"/>
      <c r="AF102" s="459"/>
      <c r="AG102" s="112"/>
      <c r="AH102" s="112"/>
      <c r="AI102" s="112"/>
      <c r="AJ102" s="112"/>
      <c r="AK102" s="113"/>
      <c r="AL102" s="113"/>
      <c r="AM102" s="113"/>
      <c r="AN102" s="113"/>
      <c r="AO102" s="52" t="str">
        <f>IFERROR(INDEX(PMELIGHTCON[Program Design],MATCH(AB102,PMELIGHTCON[Eff Desc 1],0)),"")</f>
        <v/>
      </c>
      <c r="AU102"/>
    </row>
    <row r="103" spans="1:47">
      <c r="A103" s="57">
        <f t="shared" si="5"/>
        <v>0</v>
      </c>
      <c r="B103" s="183" t="str">
        <f t="shared" si="6"/>
        <v/>
      </c>
      <c r="C103" t="str">
        <f>IFERROR(IF(R103&gt;0,INDEX(PMELIGHTCON[Measure '#],MATCH(AB103,PMELIGHTCON[Eff Desc 1],0)),""),"")</f>
        <v/>
      </c>
      <c r="D103" t="s">
        <v>947</v>
      </c>
      <c r="F103" s="112"/>
      <c r="G103" s="186">
        <f>INDEX('M03-S02'!$AB$16:$AB$198,2*(ROWS($G$55:G103)-1)+1)</f>
        <v>0</v>
      </c>
      <c r="H103" s="186"/>
      <c r="I103" s="184">
        <f>ROUND(INDEX('M03-S02'!$AE$16:$AE$198,2*(ROWS($I$55:I103)-1)+1),2)</f>
        <v>0</v>
      </c>
      <c r="J103" s="184">
        <f>ROUND(INDEX('M03-S02'!$AG$16:$AG$198,2*(ROWS($J$55:J103)-1)+1),2)</f>
        <v>0</v>
      </c>
      <c r="K103" s="52">
        <f>IFERROR(ROUND(INDEX('M03-S02'!$AU$16:$AU$198,2*(ROWS($K$55:K103)-1)+1),2),0)</f>
        <v>0</v>
      </c>
      <c r="M103" s="456">
        <f>INDEX('M03-S02'!$Q$16:$Q$198,2*(ROWS($M$55:M103)-1)+1)</f>
        <v>0</v>
      </c>
      <c r="N103" s="184" t="str">
        <f>IFERROR(INDEX('M03-S02'!$AK$16:$AK$198,2*(ROWS($N$55:N103)-1)+1),"")</f>
        <v/>
      </c>
      <c r="O103" s="456" t="str">
        <f>IFERROR(INDEX('M03-S02'!$AV$16:$AV$198,2*(ROWS($O$55:O103)-1)+1),"")</f>
        <v/>
      </c>
      <c r="P103" s="184" t="str">
        <f>IFERROR(IF(ISNUMBER(INDEX('M03-S02'!$AN$16:$AN$198,2*(ROWS($R$55:R103)-1)+1)),INDEX('M03-S02'!$AX$16:$AX$198,2*(ROWS($P$55:P103)-1)+1),""),"")</f>
        <v/>
      </c>
      <c r="Q103" s="184"/>
      <c r="R103" s="184">
        <f>IF(ISNUMBER(INDEX('M03-S02'!$AN$16:$AN$198,2*(ROWS($R$55:R103)-1)+1)),INDEX('M03-S02'!$AN$16:$AN$198,2*(ROWS($R$55:R103)-1)+1),0)</f>
        <v>0</v>
      </c>
      <c r="S103" s="459"/>
      <c r="T103" s="113"/>
      <c r="U103" s="140"/>
      <c r="V103" s="113"/>
      <c r="W103" s="96">
        <f>IFERROR(IF(NOT(ISNUMBER(INDEX('M03-S02'!$AN$16:$AN$198,2*(ROWS($R$55:R103)-1)+1))),INDEX('M03-S02'!$BC$16:$BC$198,2*(ROWS($R$55:R103)-1)+1),""),"")</f>
        <v>0</v>
      </c>
      <c r="X103" s="113"/>
      <c r="Y103" s="113"/>
      <c r="Z103" s="111">
        <f>INDEX('M03-S02'!$B$16:$B$198,2*(ROWS($Z$55:Z103)-1)+1)</f>
        <v>49</v>
      </c>
      <c r="AA103" s="111" t="str">
        <f>INDEX('M03-S02'!$I$16:$I$199,2*(ROWS($Z$55:AA103)-1)+1)</f>
        <v/>
      </c>
      <c r="AB103" s="111">
        <f>INDEX('M03-S02'!$C$16:$C$198,2*(ROWS($Z$55:AB103)-1)+1)</f>
        <v>0</v>
      </c>
      <c r="AC103" s="96"/>
      <c r="AD103">
        <f>INDEX('M03-S02'!$X$16:$X$198,2*(ROWS($AD$55:AD103)-1)+1)</f>
        <v>0</v>
      </c>
      <c r="AE103" s="459"/>
      <c r="AF103" s="459"/>
      <c r="AG103" s="112"/>
      <c r="AH103" s="112"/>
      <c r="AI103" s="112"/>
      <c r="AJ103" s="112"/>
      <c r="AK103" s="113"/>
      <c r="AL103" s="113"/>
      <c r="AM103" s="113"/>
      <c r="AN103" s="113"/>
      <c r="AO103" s="52" t="str">
        <f>IFERROR(INDEX(PMELIGHTCON[Program Design],MATCH(AB103,PMELIGHTCON[Eff Desc 1],0)),"")</f>
        <v/>
      </c>
      <c r="AU103"/>
    </row>
    <row r="104" spans="1:47">
      <c r="A104" s="57">
        <f t="shared" si="5"/>
        <v>0</v>
      </c>
      <c r="B104" s="183" t="str">
        <f t="shared" ref="B104" si="8">IF(C104="","",CONCATENATE(ROW(),"-",C104))</f>
        <v/>
      </c>
      <c r="C104" t="str">
        <f>IFERROR(IF(R104&gt;0,INDEX(PMELIGHTCON[Measure '#],MATCH(AB104,PMELIGHTCON[Eff Desc 1],0)),""),"")</f>
        <v/>
      </c>
      <c r="D104" t="s">
        <v>947</v>
      </c>
      <c r="F104" s="112"/>
      <c r="G104" s="186">
        <f>INDEX('M03-S02'!$AB$16:$AB$198,2*(ROWS($G$55:G104)-1)+1)</f>
        <v>0</v>
      </c>
      <c r="H104" s="186"/>
      <c r="I104" s="184">
        <f>ROUND(INDEX('M03-S02'!$AE$16:$AE$198,2*(ROWS($I$55:I104)-1)+1),2)</f>
        <v>0</v>
      </c>
      <c r="J104" s="184">
        <f>ROUND(INDEX('M03-S02'!$AG$16:$AG$198,2*(ROWS($J$55:J104)-1)+1),2)</f>
        <v>0</v>
      </c>
      <c r="K104" s="52">
        <f>IFERROR(ROUND(INDEX('M03-S02'!$AU$16:$AU$198,2*(ROWS($K$55:K104)-1)+1),2),0)</f>
        <v>0</v>
      </c>
      <c r="M104" s="456">
        <f>INDEX('M03-S02'!$Q$16:$Q$198,2*(ROWS($M$55:M104)-1)+1)</f>
        <v>0</v>
      </c>
      <c r="N104" s="184" t="str">
        <f>IFERROR(INDEX('M03-S02'!$AK$16:$AK$198,2*(ROWS($N$55:N104)-1)+1),"")</f>
        <v/>
      </c>
      <c r="O104" s="456" t="str">
        <f>IFERROR(INDEX('M03-S02'!$AV$16:$AV$198,2*(ROWS($O$55:O104)-1)+1),"")</f>
        <v/>
      </c>
      <c r="P104" s="184" t="str">
        <f>IFERROR(IF(ISNUMBER(INDEX('M03-S02'!$AN$16:$AN$198,2*(ROWS($R$55:R104)-1)+1)),INDEX('M03-S02'!$AX$16:$AX$198,2*(ROWS($P$55:P104)-1)+1),""),"")</f>
        <v/>
      </c>
      <c r="Q104" s="184"/>
      <c r="R104" s="184">
        <f>IF(ISNUMBER(INDEX('M03-S02'!$AN$16:$AN$198,2*(ROWS($R$55:R104)-1)+1)),INDEX('M03-S02'!$AN$16:$AN$198,2*(ROWS($R$55:R104)-1)+1),0)</f>
        <v>0</v>
      </c>
      <c r="S104" s="459"/>
      <c r="T104" s="113"/>
      <c r="U104" s="140"/>
      <c r="V104" s="113"/>
      <c r="W104" s="96">
        <f>IFERROR(IF(NOT(ISNUMBER(INDEX('M03-S02'!$AN$16:$AN$198,2*(ROWS($R$55:R104)-1)+1))),INDEX('M03-S02'!$BC$16:$BC$198,2*(ROWS($R$55:R104)-1)+1),""),"")</f>
        <v>0</v>
      </c>
      <c r="X104" s="113"/>
      <c r="Y104" s="113"/>
      <c r="Z104" s="111">
        <f>INDEX('M03-S02'!$B$16:$B$198,2*(ROWS($Z$55:Z104)-1)+1)</f>
        <v>50</v>
      </c>
      <c r="AA104" s="111" t="str">
        <f>INDEX('M03-S02'!$I$16:$I$199,2*(ROWS($Z$55:AA104)-1)+1)</f>
        <v/>
      </c>
      <c r="AB104" s="111">
        <f>INDEX('M03-S02'!$C$16:$C$198,2*(ROWS($Z$55:AB104)-1)+1)</f>
        <v>0</v>
      </c>
      <c r="AC104" s="96"/>
      <c r="AD104">
        <f>INDEX('M03-S02'!$X$16:$X$198,2*(ROWS($AD$55:AD104)-1)+1)</f>
        <v>0</v>
      </c>
      <c r="AE104" s="459"/>
      <c r="AF104" s="459"/>
      <c r="AG104" s="112"/>
      <c r="AH104" s="112"/>
      <c r="AI104" s="112"/>
      <c r="AJ104" s="112"/>
      <c r="AK104" s="113"/>
      <c r="AL104" s="113"/>
      <c r="AM104" s="113"/>
      <c r="AN104" s="113"/>
      <c r="AO104" s="52" t="str">
        <f>IFERROR(INDEX(PMELIGHTCON[Program Design],MATCH(AB104,PMELIGHTCON[Eff Desc 1],0)),"")</f>
        <v/>
      </c>
      <c r="AU104"/>
    </row>
    <row r="105" spans="1:47">
      <c r="A105" s="146" t="str">
        <f>CONCATENATE(MAIN3," ",M3S3)</f>
        <v>PRESCRIPTIVE MEASURES INPUT HVAC (Electric)</v>
      </c>
      <c r="B105" s="148"/>
      <c r="C105" s="148"/>
      <c r="D105" s="120"/>
      <c r="E105" s="120"/>
      <c r="F105" s="124"/>
      <c r="G105" s="120"/>
      <c r="H105" s="120"/>
      <c r="I105" s="125"/>
      <c r="J105" s="125"/>
      <c r="K105" s="125"/>
      <c r="L105" s="125"/>
      <c r="M105" s="457"/>
      <c r="N105" s="125"/>
      <c r="O105" s="457"/>
      <c r="P105" s="125"/>
      <c r="Q105" s="125"/>
      <c r="R105" s="125"/>
      <c r="S105" s="457"/>
      <c r="T105" s="125"/>
      <c r="U105" s="138"/>
      <c r="V105" s="125"/>
      <c r="W105" s="120"/>
      <c r="X105" s="125"/>
      <c r="Y105" s="125"/>
      <c r="Z105" s="124"/>
      <c r="AA105" s="124"/>
      <c r="AB105" s="124"/>
      <c r="AC105" s="126"/>
      <c r="AD105" s="120"/>
      <c r="AE105" s="457"/>
      <c r="AF105" s="457"/>
      <c r="AG105" s="124"/>
      <c r="AH105" s="124"/>
      <c r="AI105" s="124"/>
      <c r="AJ105" s="124"/>
      <c r="AK105" s="127"/>
      <c r="AL105" s="127"/>
      <c r="AM105" s="127"/>
      <c r="AN105" s="127"/>
      <c r="AO105" s="127"/>
      <c r="AU105"/>
    </row>
    <row r="106" spans="1:47">
      <c r="A106" s="57">
        <f t="shared" ref="A106:A155" si="9">PROJID</f>
        <v>0</v>
      </c>
      <c r="B106" s="183" t="str">
        <f t="shared" ref="B106:B154" si="10">IF(C106="","",CONCATENATE(ROW(),"-",C106))</f>
        <v/>
      </c>
      <c r="C106" t="str">
        <f>IFERROR(IF(R106&gt;0,INDEX(PMEHVAC[Measure '#],MATCH(AB106,PMEHVAC[Eff Desc 1],0)),""),"")</f>
        <v/>
      </c>
      <c r="D106" t="s">
        <v>947</v>
      </c>
      <c r="F106" s="112"/>
      <c r="G106" s="186" t="str">
        <f>INDEX('M03-S03'!$N$16:$N$198,2*(ROWS($G$106:G106)-1)+1)</f>
        <v/>
      </c>
      <c r="H106" s="186" t="str">
        <f>IF(ISNUMBER(INDEX('M03-S03'!$AO$16:$AO$198,2*(ROWS($R$106:R106)-1)+1)),"Total","")</f>
        <v/>
      </c>
      <c r="I106" s="184">
        <f>IFERROR(ROUND(INDEX('M03-S03'!$AA$16:$AA$198,2*(ROWS($I$106:I106)-1)+1),2),0)</f>
        <v>0</v>
      </c>
      <c r="J106" s="184">
        <f>IFERROR(ROUND(INDEX('M03-S03'!$AC$16:$AC$198,2*(ROWS($J$106:J106)-1)+1),2),0)</f>
        <v>0</v>
      </c>
      <c r="K106" s="52">
        <f>IFERROR(ROUND(INDEX('M03-S03'!$AU$16:$AU$198,2*(ROWS($K$106:K106)-1)+1),2),0)</f>
        <v>0</v>
      </c>
      <c r="L106" s="52" t="str">
        <f>IFERROR(IF(R106&gt;0,M106*INDEX(PMEHVAC[Incremental Cost],MATCH(AB106,PMEHVAC[Eff Desc 1],0)),""),"")</f>
        <v/>
      </c>
      <c r="M106" s="456">
        <f>INDEX('M03-S03'!$V$16:$V$198,2*(ROWS($M$106:M106)-1)+1)</f>
        <v>0</v>
      </c>
      <c r="N106" s="184" t="str">
        <f>IF(ISNUMBER(INDEX('M03-S03'!$AO$16:$AO$198,2*(ROWS($R$106:R106)-1)+1)),INDEX('M03-S03'!$AK$16:$AK$198,2*(ROWS($N$106:N106)-1)+1),"")</f>
        <v/>
      </c>
      <c r="O106" s="456" t="str">
        <f>IFERROR(IF(ISNUMBER(INDEX('M03-S03'!$AO$16:$AO$198,2*(ROWS($R$106:R106)-1)+1)),INDEX('M03-S03'!$AV$16:$AV$198,2*(ROWS($O$106:O106)-1)+1),""),"")</f>
        <v/>
      </c>
      <c r="P106" s="456" t="str">
        <f>IFERROR(IF(ISNUMBER(INDEX('M03-S03'!$AO$16:$AO$198,2*(ROWS($R$106:R106)-1)+1)),INDEX('M03-S03'!$AY$16:$AY$198,2*(ROWS($O$106:P106)-1)+1),""),"")</f>
        <v/>
      </c>
      <c r="Q106" s="113"/>
      <c r="R106" s="184">
        <f>IF(ISNUMBER(INDEX('M03-S03'!$AO$16:$AO$198,2*(ROWS($R$106:R106)-1)+1)),INDEX('M03-S03'!$AO$16:$AO$198,2*(ROWS($R$106:R106)-1)+1),0)</f>
        <v>0</v>
      </c>
      <c r="S106" s="459"/>
      <c r="T106" s="113"/>
      <c r="U106" s="140"/>
      <c r="V106" s="113"/>
      <c r="W106" s="96" t="str">
        <f>IFERROR(IF(NOT(ISNUMBER(INDEX('M03-S03'!$AN$16:$AN$198,2*(ROWS($R$106:R106)-1)+1))),INDEX('M03-S03'!$BC$16:$BC$198,2*(ROWS($R$106:R106)-1)+1),""),"")</f>
        <v/>
      </c>
      <c r="X106" s="113"/>
      <c r="Y106" s="113"/>
      <c r="Z106" s="111">
        <f>INDEX('M03-S03'!$B$16:$B$198,2*(ROWS($Z$106:Z106)-1)+1)</f>
        <v>1</v>
      </c>
      <c r="AA106" s="111" t="str">
        <f>INDEX('M03-S03'!$L$16:$L$199,2*(ROWS($Z$106:AA106)-1)+1)</f>
        <v/>
      </c>
      <c r="AB106" s="111">
        <f>INDEX('M03-S03'!$C$16:$C$198,2*(ROWS($Z$106:AB106)-1)+1)</f>
        <v>0</v>
      </c>
      <c r="AC106" t="str">
        <f>IFERROR(INDEX('M03-S03'!$J$16:$J$199,2*(ROWS(AC$106:AC106)-1)+1)&amp;" "&amp;INDEX('M03-S03'!$L$16:$L$199,2*(ROWS(AC$106:AC106)-1)+1)&amp;", "&amp;INDEX('M03-S03'!$P$16:$P$199,2*(ROWS(AC$106:AC106)-1)+1)&amp;" "&amp;INDEX('M03-S03'!$R$16:$R$199,2*(ROWS(AC$106:AC106)-1)+1),"")</f>
        <v xml:space="preserve"> ,  </v>
      </c>
      <c r="AD106" t="str">
        <f>IFERROR(INDEX('M03-S03'!$J$16:$J$199,2*(ROWS(AD$106:AD106)-1)+1)&amp;" "&amp;ROUND(INDEX('M03-S03'!$N$16:$N$199,2*(ROWS(AD$106:AD106)-1)+1),3),"")&amp;", "&amp;IFERROR(INDEX('M03-S03'!$P$16:$P$199,2*(ROWS(AD$106:AD106)-1)+1)&amp;" "&amp;ROUND(INDEX('M03-S03'!$T$16:$T$199,2*(ROWS(AD$106:AD106)-1)+1),3),"")</f>
        <v xml:space="preserve">, </v>
      </c>
      <c r="AE106" s="459"/>
      <c r="AF106" s="459"/>
      <c r="AG106" s="112"/>
      <c r="AH106" s="112"/>
      <c r="AI106" s="112"/>
      <c r="AJ106" s="112"/>
      <c r="AK106" s="113"/>
      <c r="AL106" s="113"/>
      <c r="AM106" s="113"/>
      <c r="AN106" s="113"/>
      <c r="AO106" s="52" t="str">
        <f>IFERROR(INDEX(PMEHVAC[Program Design],MATCH(AB106,PMEHVAC[Eff Desc 1],0)),"")</f>
        <v/>
      </c>
      <c r="AU106"/>
    </row>
    <row r="107" spans="1:47">
      <c r="A107" s="57">
        <f t="shared" si="9"/>
        <v>0</v>
      </c>
      <c r="B107" s="183" t="str">
        <f t="shared" ref="B107:B141" si="11">IF(C107="","",CONCATENATE(ROW(),"-",C107))</f>
        <v/>
      </c>
      <c r="C107" t="str">
        <f>IFERROR(IF(R107&gt;0,INDEX(PMEHVAC[Measure '#],MATCH(AB107,PMEHVAC[Eff Desc 1],0)),""),"")</f>
        <v/>
      </c>
      <c r="D107" t="s">
        <v>947</v>
      </c>
      <c r="F107" s="112"/>
      <c r="G107" s="186" t="str">
        <f>INDEX('M03-S03'!$N$16:$N$198,2*(ROWS($G$106:G107)-1)+1)</f>
        <v/>
      </c>
      <c r="H107" s="186" t="str">
        <f>IF(ISNUMBER(INDEX('M03-S03'!$AO$16:$AO$198,2*(ROWS($R$106:R107)-1)+1)),"Total","")</f>
        <v/>
      </c>
      <c r="I107" s="184">
        <f>IFERROR(ROUND(INDEX('M03-S03'!$AA$16:$AA$198,2*(ROWS($I$106:I107)-1)+1),2),0)</f>
        <v>0</v>
      </c>
      <c r="J107" s="184">
        <f>IFERROR(ROUND(INDEX('M03-S03'!$AC$16:$AC$198,2*(ROWS($J$106:J107)-1)+1),2),0)</f>
        <v>0</v>
      </c>
      <c r="K107" s="52">
        <f>IFERROR(ROUND(INDEX('M03-S03'!$AU$16:$AU$198,2*(ROWS($K$106:K107)-1)+1),2),0)</f>
        <v>0</v>
      </c>
      <c r="L107" s="52" t="str">
        <f>IFERROR(IF(R107&gt;0,M107*INDEX(PMEHVAC[Incremental Cost],MATCH(AB107,PMEHVAC[Eff Desc 1],0)),""),"")</f>
        <v/>
      </c>
      <c r="M107" s="456">
        <f>INDEX('M03-S03'!$V$16:$V$198,2*(ROWS($M$106:M107)-1)+1)</f>
        <v>0</v>
      </c>
      <c r="N107" s="184" t="str">
        <f>IF(ISNUMBER(INDEX('M03-S03'!$AO$16:$AO$198,2*(ROWS($R$106:R107)-1)+1)),INDEX('M03-S03'!$AK$16:$AK$198,2*(ROWS($N$106:N107)-1)+1),"")</f>
        <v/>
      </c>
      <c r="O107" s="456" t="str">
        <f>IFERROR(IF(ISNUMBER(INDEX('M03-S03'!$AO$16:$AO$198,2*(ROWS($R$106:R107)-1)+1)),INDEX('M03-S03'!$AV$16:$AV$198,2*(ROWS($O$106:O107)-1)+1),""),"")</f>
        <v/>
      </c>
      <c r="P107" s="456" t="str">
        <f>IFERROR(IF(ISNUMBER(INDEX('M03-S03'!$AO$16:$AO$198,2*(ROWS($R$106:R107)-1)+1)),INDEX('M03-S03'!$AY$16:$AY$198,2*(ROWS($O$106:P107)-1)+1),""),"")</f>
        <v/>
      </c>
      <c r="Q107" s="113"/>
      <c r="R107" s="184">
        <f>IF(ISNUMBER(INDEX('M03-S03'!$AO$16:$AO$198,2*(ROWS($R$106:R107)-1)+1)),INDEX('M03-S03'!$AO$16:$AO$198,2*(ROWS($R$106:R107)-1)+1),0)</f>
        <v>0</v>
      </c>
      <c r="S107" s="459"/>
      <c r="T107" s="113"/>
      <c r="U107" s="140"/>
      <c r="V107" s="113"/>
      <c r="W107" s="96" t="str">
        <f>IFERROR(IF(NOT(ISNUMBER(INDEX('M03-S03'!$AN$16:$AN$198,2*(ROWS($R$106:R107)-1)+1))),INDEX('M03-S03'!$BC$16:$BC$198,2*(ROWS($R$106:R107)-1)+1),""),"")</f>
        <v/>
      </c>
      <c r="X107" s="113"/>
      <c r="Y107" s="113"/>
      <c r="Z107" s="111">
        <f>INDEX('M03-S03'!$B$16:$B$198,2*(ROWS($Z$106:Z107)-1)+1)</f>
        <v>2</v>
      </c>
      <c r="AA107" s="111" t="str">
        <f>INDEX('M03-S03'!$L$16:$L$199,2*(ROWS($Z$106:AA107)-1)+1)</f>
        <v/>
      </c>
      <c r="AB107" s="111">
        <f>INDEX('M03-S03'!$C$16:$C$198,2*(ROWS($Z$106:AB107)-1)+1)</f>
        <v>0</v>
      </c>
      <c r="AC107" t="str">
        <f>IFERROR(INDEX('M03-S03'!$J$16:$J$199,2*(ROWS(AC$106:AC107)-1)+1)&amp;" "&amp;INDEX('M03-S03'!$L$16:$L$199,2*(ROWS(AC$106:AC107)-1)+1)&amp;", "&amp;INDEX('M03-S03'!$P$16:$P$199,2*(ROWS(AC$106:AC107)-1)+1)&amp;" "&amp;INDEX('M03-S03'!$R$16:$R$199,2*(ROWS(AC$106:AC107)-1)+1),"")</f>
        <v xml:space="preserve"> ,  </v>
      </c>
      <c r="AD107" t="str">
        <f>IFERROR(INDEX('M03-S03'!$J$16:$J$199,2*(ROWS(AD$106:AD107)-1)+1)&amp;" "&amp;ROUND(INDEX('M03-S03'!$N$16:$N$199,2*(ROWS(AD$106:AD107)-1)+1),3),"")&amp;", "&amp;IFERROR(INDEX('M03-S03'!$P$16:$P$199,2*(ROWS(AD$106:AD107)-1)+1)&amp;" "&amp;ROUND(INDEX('M03-S03'!$T$16:$T$199,2*(ROWS(AD$106:AD107)-1)+1),3),"")</f>
        <v xml:space="preserve">, </v>
      </c>
      <c r="AE107" s="459"/>
      <c r="AF107" s="459"/>
      <c r="AG107" s="112"/>
      <c r="AH107" s="112"/>
      <c r="AI107" s="112"/>
      <c r="AJ107" s="112"/>
      <c r="AK107" s="113"/>
      <c r="AL107" s="113"/>
      <c r="AM107" s="113"/>
      <c r="AN107" s="113"/>
      <c r="AO107" s="52" t="str">
        <f>IFERROR(INDEX(PMEHVAC[Program Design],MATCH(AB107,PMEHVAC[Eff Desc 1],0)),"")</f>
        <v/>
      </c>
      <c r="AU107"/>
    </row>
    <row r="108" spans="1:47">
      <c r="A108" s="57">
        <f t="shared" si="9"/>
        <v>0</v>
      </c>
      <c r="B108" s="183" t="str">
        <f t="shared" si="11"/>
        <v/>
      </c>
      <c r="C108" t="str">
        <f>IFERROR(IF(R108&gt;0,INDEX(PMEHVAC[Measure '#],MATCH(AB108,PMEHVAC[Eff Desc 1],0)),""),"")</f>
        <v/>
      </c>
      <c r="D108" t="s">
        <v>947</v>
      </c>
      <c r="F108" s="112"/>
      <c r="G108" s="186" t="str">
        <f>INDEX('M03-S03'!$N$16:$N$198,2*(ROWS($G$106:G108)-1)+1)</f>
        <v/>
      </c>
      <c r="H108" s="186" t="str">
        <f>IF(ISNUMBER(INDEX('M03-S03'!$AO$16:$AO$198,2*(ROWS($R$106:R108)-1)+1)),"Total","")</f>
        <v/>
      </c>
      <c r="I108" s="184">
        <f>IFERROR(ROUND(INDEX('M03-S03'!$AA$16:$AA$198,2*(ROWS($I$106:I108)-1)+1),2),0)</f>
        <v>0</v>
      </c>
      <c r="J108" s="184">
        <f>IFERROR(ROUND(INDEX('M03-S03'!$AC$16:$AC$198,2*(ROWS($J$106:J108)-1)+1),2),0)</f>
        <v>0</v>
      </c>
      <c r="K108" s="52">
        <f>IFERROR(ROUND(INDEX('M03-S03'!$AU$16:$AU$198,2*(ROWS($K$106:K108)-1)+1),2),0)</f>
        <v>0</v>
      </c>
      <c r="L108" s="52" t="str">
        <f>IFERROR(IF(R108&gt;0,M108*INDEX(PMEHVAC[Incremental Cost],MATCH(AB108,PMEHVAC[Eff Desc 1],0)),""),"")</f>
        <v/>
      </c>
      <c r="M108" s="456">
        <f>INDEX('M03-S03'!$V$16:$V$198,2*(ROWS($M$106:M108)-1)+1)</f>
        <v>0</v>
      </c>
      <c r="N108" s="184" t="str">
        <f>IF(ISNUMBER(INDEX('M03-S03'!$AO$16:$AO$198,2*(ROWS($R$106:R108)-1)+1)),INDEX('M03-S03'!$AK$16:$AK$198,2*(ROWS($N$106:N108)-1)+1),"")</f>
        <v/>
      </c>
      <c r="O108" s="456" t="str">
        <f>IFERROR(IF(ISNUMBER(INDEX('M03-S03'!$AO$16:$AO$198,2*(ROWS($R$106:R108)-1)+1)),INDEX('M03-S03'!$AV$16:$AV$198,2*(ROWS($O$106:O108)-1)+1),""),"")</f>
        <v/>
      </c>
      <c r="P108" s="456" t="str">
        <f>IFERROR(IF(ISNUMBER(INDEX('M03-S03'!$AO$16:$AO$198,2*(ROWS($R$106:R108)-1)+1)),INDEX('M03-S03'!$AY$16:$AY$198,2*(ROWS($O$106:P108)-1)+1),""),"")</f>
        <v/>
      </c>
      <c r="Q108" s="113"/>
      <c r="R108" s="184">
        <f>IF(ISNUMBER(INDEX('M03-S03'!$AO$16:$AO$198,2*(ROWS($R$106:R108)-1)+1)),INDEX('M03-S03'!$AO$16:$AO$198,2*(ROWS($R$106:R108)-1)+1),0)</f>
        <v>0</v>
      </c>
      <c r="S108" s="459"/>
      <c r="T108" s="113"/>
      <c r="U108" s="140"/>
      <c r="V108" s="113"/>
      <c r="W108" s="96" t="str">
        <f>IFERROR(IF(NOT(ISNUMBER(INDEX('M03-S03'!$AO$16:$AO$198,2*(ROWS($R$106:R108)-1)+1))),INDEX('M03-S03'!$BC$16:$BC$198,2*(ROWS($R$106:R108)-1)+1),""),"")</f>
        <v/>
      </c>
      <c r="X108" s="113"/>
      <c r="Y108" s="113"/>
      <c r="Z108" s="111">
        <f>INDEX('M03-S03'!$B$16:$B$198,2*(ROWS($Z$106:Z108)-1)+1)</f>
        <v>3</v>
      </c>
      <c r="AA108" s="111" t="str">
        <f>INDEX('M03-S03'!$L$16:$L$199,2*(ROWS($Z$106:AA108)-1)+1)</f>
        <v/>
      </c>
      <c r="AB108" s="111">
        <f>INDEX('M03-S03'!$C$16:$C$198,2*(ROWS($Z$106:AB108)-1)+1)</f>
        <v>0</v>
      </c>
      <c r="AC108" t="str">
        <f>IFERROR(INDEX('M03-S03'!$J$16:$J$199,2*(ROWS(AC$106:AC108)-1)+1)&amp;" "&amp;INDEX('M03-S03'!$L$16:$L$199,2*(ROWS(AC$106:AC108)-1)+1)&amp;", "&amp;INDEX('M03-S03'!$P$16:$P$199,2*(ROWS(AC$106:AC108)-1)+1)&amp;" "&amp;INDEX('M03-S03'!$R$16:$R$199,2*(ROWS(AC$106:AC108)-1)+1),"")</f>
        <v xml:space="preserve"> ,  </v>
      </c>
      <c r="AD108" t="str">
        <f>IFERROR(INDEX('M03-S03'!$J$16:$J$199,2*(ROWS(AD$106:AD108)-1)+1)&amp;" "&amp;ROUND(INDEX('M03-S03'!$N$16:$N$199,2*(ROWS(AD$106:AD108)-1)+1),3),"")&amp;", "&amp;IFERROR(INDEX('M03-S03'!$P$16:$P$199,2*(ROWS(AD$106:AD108)-1)+1)&amp;" "&amp;ROUND(INDEX('M03-S03'!$T$16:$T$199,2*(ROWS(AD$106:AD108)-1)+1),3),"")</f>
        <v xml:space="preserve">, </v>
      </c>
      <c r="AE108" s="459"/>
      <c r="AF108" s="459"/>
      <c r="AG108" s="112"/>
      <c r="AH108" s="112"/>
      <c r="AI108" s="112"/>
      <c r="AJ108" s="112"/>
      <c r="AK108" s="113"/>
      <c r="AL108" s="113"/>
      <c r="AM108" s="113"/>
      <c r="AN108" s="113"/>
      <c r="AO108" s="52" t="str">
        <f>IFERROR(INDEX(PMEHVAC[Program Design],MATCH(AB108,PMEHVAC[Eff Desc 1],0)),"")</f>
        <v/>
      </c>
      <c r="AU108"/>
    </row>
    <row r="109" spans="1:47">
      <c r="A109" s="57">
        <f t="shared" si="9"/>
        <v>0</v>
      </c>
      <c r="B109" s="183" t="str">
        <f t="shared" si="11"/>
        <v/>
      </c>
      <c r="C109" t="str">
        <f>IFERROR(IF(R109&gt;0,INDEX(PMEHVAC[Measure '#],MATCH(AB109,PMEHVAC[Eff Desc 1],0)),""),"")</f>
        <v/>
      </c>
      <c r="D109" t="s">
        <v>947</v>
      </c>
      <c r="F109" s="112"/>
      <c r="G109" s="186" t="str">
        <f>INDEX('M03-S03'!$N$16:$N$198,2*(ROWS($G$106:G109)-1)+1)</f>
        <v/>
      </c>
      <c r="H109" s="186" t="str">
        <f>IF(ISNUMBER(INDEX('M03-S03'!$AO$16:$AO$198,2*(ROWS($R$106:R109)-1)+1)),"Total","")</f>
        <v/>
      </c>
      <c r="I109" s="184">
        <f>IFERROR(ROUND(INDEX('M03-S03'!$AA$16:$AA$198,2*(ROWS($I$106:I109)-1)+1),2),0)</f>
        <v>0</v>
      </c>
      <c r="J109" s="184">
        <f>IFERROR(ROUND(INDEX('M03-S03'!$AC$16:$AC$198,2*(ROWS($J$106:J109)-1)+1),2),0)</f>
        <v>0</v>
      </c>
      <c r="K109" s="52">
        <f>IFERROR(ROUND(INDEX('M03-S03'!$AU$16:$AU$198,2*(ROWS($K$106:K109)-1)+1),2),0)</f>
        <v>0</v>
      </c>
      <c r="L109" s="52" t="str">
        <f>IFERROR(IF(R109&gt;0,M109*INDEX(PMEHVAC[Incremental Cost],MATCH(AB109,PMEHVAC[Eff Desc 1],0)),""),"")</f>
        <v/>
      </c>
      <c r="M109" s="456">
        <f>INDEX('M03-S03'!$V$16:$V$198,2*(ROWS($M$106:M109)-1)+1)</f>
        <v>0</v>
      </c>
      <c r="N109" s="184" t="str">
        <f>IF(ISNUMBER(INDEX('M03-S03'!$AO$16:$AO$198,2*(ROWS($R$106:R109)-1)+1)),INDEX('M03-S03'!$AK$16:$AK$198,2*(ROWS($N$106:N109)-1)+1),"")</f>
        <v/>
      </c>
      <c r="O109" s="456" t="str">
        <f>IFERROR(IF(ISNUMBER(INDEX('M03-S03'!$AO$16:$AO$198,2*(ROWS($R$106:R109)-1)+1)),INDEX('M03-S03'!$AV$16:$AV$198,2*(ROWS($O$106:O109)-1)+1),""),"")</f>
        <v/>
      </c>
      <c r="P109" s="456" t="str">
        <f>IFERROR(IF(ISNUMBER(INDEX('M03-S03'!$AO$16:$AO$198,2*(ROWS($R$106:R109)-1)+1)),INDEX('M03-S03'!$AY$16:$AY$198,2*(ROWS($O$106:P109)-1)+1),""),"")</f>
        <v/>
      </c>
      <c r="Q109" s="113"/>
      <c r="R109" s="184">
        <f>IF(ISNUMBER(INDEX('M03-S03'!$AO$16:$AO$198,2*(ROWS($R$106:R109)-1)+1)),INDEX('M03-S03'!$AO$16:$AO$198,2*(ROWS($R$106:R109)-1)+1),0)</f>
        <v>0</v>
      </c>
      <c r="S109" s="459"/>
      <c r="T109" s="113"/>
      <c r="U109" s="140"/>
      <c r="V109" s="113"/>
      <c r="W109" s="96" t="str">
        <f>IFERROR(IF(NOT(ISNUMBER(INDEX('M03-S03'!$AO$16:$AO$198,2*(ROWS($R$106:R109)-1)+1))),INDEX('M03-S03'!$BC$16:$BC$198,2*(ROWS($R$106:R109)-1)+1),""),"")</f>
        <v/>
      </c>
      <c r="X109" s="113"/>
      <c r="Y109" s="113"/>
      <c r="Z109" s="111">
        <f>INDEX('M03-S03'!$B$16:$B$198,2*(ROWS($Z$106:Z109)-1)+1)</f>
        <v>4</v>
      </c>
      <c r="AA109" s="111" t="str">
        <f>INDEX('M03-S03'!$L$16:$L$199,2*(ROWS($Z$106:AA109)-1)+1)</f>
        <v/>
      </c>
      <c r="AB109" s="111">
        <f>INDEX('M03-S03'!$C$16:$C$198,2*(ROWS($Z$106:AB109)-1)+1)</f>
        <v>0</v>
      </c>
      <c r="AC109" t="str">
        <f>IFERROR(INDEX('M03-S03'!$J$16:$J$199,2*(ROWS(AC$106:AC109)-1)+1)&amp;" "&amp;INDEX('M03-S03'!$L$16:$L$199,2*(ROWS(AC$106:AC109)-1)+1)&amp;", "&amp;INDEX('M03-S03'!$P$16:$P$199,2*(ROWS(AC$106:AC109)-1)+1)&amp;" "&amp;INDEX('M03-S03'!$R$16:$R$199,2*(ROWS(AC$106:AC109)-1)+1),"")</f>
        <v xml:space="preserve"> ,  </v>
      </c>
      <c r="AD109" t="str">
        <f>IFERROR(INDEX('M03-S03'!$J$16:$J$199,2*(ROWS(AD$106:AD109)-1)+1)&amp;" "&amp;ROUND(INDEX('M03-S03'!$N$16:$N$199,2*(ROWS(AD$106:AD109)-1)+1),3),"")&amp;", "&amp;IFERROR(INDEX('M03-S03'!$P$16:$P$199,2*(ROWS(AD$106:AD109)-1)+1)&amp;" "&amp;ROUND(INDEX('M03-S03'!$T$16:$T$199,2*(ROWS(AD$106:AD109)-1)+1),3),"")</f>
        <v xml:space="preserve">, </v>
      </c>
      <c r="AE109" s="459"/>
      <c r="AF109" s="459"/>
      <c r="AG109" s="112"/>
      <c r="AH109" s="112"/>
      <c r="AI109" s="112"/>
      <c r="AJ109" s="112"/>
      <c r="AK109" s="113"/>
      <c r="AL109" s="113"/>
      <c r="AM109" s="113"/>
      <c r="AN109" s="113"/>
      <c r="AO109" s="52" t="str">
        <f>IFERROR(INDEX(PMEHVAC[Program Design],MATCH(AB109,PMEHVAC[Eff Desc 1],0)),"")</f>
        <v/>
      </c>
      <c r="AU109"/>
    </row>
    <row r="110" spans="1:47">
      <c r="A110" s="57">
        <f t="shared" si="9"/>
        <v>0</v>
      </c>
      <c r="B110" s="183" t="str">
        <f t="shared" si="11"/>
        <v/>
      </c>
      <c r="C110" t="str">
        <f>IFERROR(IF(R110&gt;0,INDEX(PMEHVAC[Measure '#],MATCH(AB110,PMEHVAC[Eff Desc 1],0)),""),"")</f>
        <v/>
      </c>
      <c r="D110" t="s">
        <v>947</v>
      </c>
      <c r="F110" s="112"/>
      <c r="G110" s="186" t="str">
        <f>INDEX('M03-S03'!$N$16:$N$198,2*(ROWS($G$106:G110)-1)+1)</f>
        <v/>
      </c>
      <c r="H110" s="186" t="str">
        <f>IF(ISNUMBER(INDEX('M03-S03'!$AO$16:$AO$198,2*(ROWS($R$106:R110)-1)+1)),"Total","")</f>
        <v/>
      </c>
      <c r="I110" s="184">
        <f>IFERROR(ROUND(INDEX('M03-S03'!$AA$16:$AA$198,2*(ROWS($I$106:I110)-1)+1),2),0)</f>
        <v>0</v>
      </c>
      <c r="J110" s="184">
        <f>IFERROR(ROUND(INDEX('M03-S03'!$AC$16:$AC$198,2*(ROWS($J$106:J110)-1)+1),2),0)</f>
        <v>0</v>
      </c>
      <c r="K110" s="52">
        <f>IFERROR(ROUND(INDEX('M03-S03'!$AU$16:$AU$198,2*(ROWS($K$106:K110)-1)+1),2),0)</f>
        <v>0</v>
      </c>
      <c r="L110" s="52" t="str">
        <f>IFERROR(IF(R110&gt;0,M110*INDEX(PMEHVAC[Incremental Cost],MATCH(AB110,PMEHVAC[Eff Desc 1],0)),""),"")</f>
        <v/>
      </c>
      <c r="M110" s="456">
        <f>INDEX('M03-S03'!$V$16:$V$198,2*(ROWS($M$106:M110)-1)+1)</f>
        <v>0</v>
      </c>
      <c r="N110" s="184" t="str">
        <f>IF(ISNUMBER(INDEX('M03-S03'!$AO$16:$AO$198,2*(ROWS($R$106:R110)-1)+1)),INDEX('M03-S03'!$AK$16:$AK$198,2*(ROWS($N$106:N110)-1)+1),"")</f>
        <v/>
      </c>
      <c r="O110" s="456" t="str">
        <f>IFERROR(IF(ISNUMBER(INDEX('M03-S03'!$AO$16:$AO$198,2*(ROWS($R$106:R110)-1)+1)),INDEX('M03-S03'!$AV$16:$AV$198,2*(ROWS($O$106:O110)-1)+1),""),"")</f>
        <v/>
      </c>
      <c r="P110" s="456" t="str">
        <f>IFERROR(IF(ISNUMBER(INDEX('M03-S03'!$AO$16:$AO$198,2*(ROWS($R$106:R110)-1)+1)),INDEX('M03-S03'!$AY$16:$AY$198,2*(ROWS($O$106:P110)-1)+1),""),"")</f>
        <v/>
      </c>
      <c r="Q110" s="113"/>
      <c r="R110" s="184">
        <f>IF(ISNUMBER(INDEX('M03-S03'!$AO$16:$AO$198,2*(ROWS($R$106:R110)-1)+1)),INDEX('M03-S03'!$AO$16:$AO$198,2*(ROWS($R$106:R110)-1)+1),0)</f>
        <v>0</v>
      </c>
      <c r="S110" s="459"/>
      <c r="T110" s="113"/>
      <c r="U110" s="140"/>
      <c r="V110" s="113"/>
      <c r="W110" s="96" t="str">
        <f>IFERROR(IF(NOT(ISNUMBER(INDEX('M03-S03'!$AO$16:$AO$198,2*(ROWS($R$106:R110)-1)+1))),INDEX('M03-S03'!$BC$16:$BC$198,2*(ROWS($R$106:R110)-1)+1),""),"")</f>
        <v/>
      </c>
      <c r="X110" s="113"/>
      <c r="Y110" s="113"/>
      <c r="Z110" s="111">
        <f>INDEX('M03-S03'!$B$16:$B$198,2*(ROWS($Z$106:Z110)-1)+1)</f>
        <v>5</v>
      </c>
      <c r="AA110" s="111" t="str">
        <f>INDEX('M03-S03'!$L$16:$L$199,2*(ROWS($Z$106:AA110)-1)+1)</f>
        <v/>
      </c>
      <c r="AB110" s="111">
        <f>INDEX('M03-S03'!$C$16:$C$198,2*(ROWS($Z$106:AB110)-1)+1)</f>
        <v>0</v>
      </c>
      <c r="AC110" t="str">
        <f>IFERROR(INDEX('M03-S03'!$J$16:$J$199,2*(ROWS(AC$106:AC110)-1)+1)&amp;" "&amp;INDEX('M03-S03'!$L$16:$L$199,2*(ROWS(AC$106:AC110)-1)+1)&amp;", "&amp;INDEX('M03-S03'!$P$16:$P$199,2*(ROWS(AC$106:AC110)-1)+1)&amp;" "&amp;INDEX('M03-S03'!$R$16:$R$199,2*(ROWS(AC$106:AC110)-1)+1),"")</f>
        <v xml:space="preserve"> ,  </v>
      </c>
      <c r="AD110" t="str">
        <f>IFERROR(INDEX('M03-S03'!$J$16:$J$199,2*(ROWS(AD$106:AD110)-1)+1)&amp;" "&amp;ROUND(INDEX('M03-S03'!$N$16:$N$199,2*(ROWS(AD$106:AD110)-1)+1),3),"")&amp;", "&amp;IFERROR(INDEX('M03-S03'!$P$16:$P$199,2*(ROWS(AD$106:AD110)-1)+1)&amp;" "&amp;ROUND(INDEX('M03-S03'!$T$16:$T$199,2*(ROWS(AD$106:AD110)-1)+1),3),"")</f>
        <v xml:space="preserve">, </v>
      </c>
      <c r="AE110" s="459"/>
      <c r="AF110" s="459"/>
      <c r="AG110" s="112"/>
      <c r="AH110" s="112"/>
      <c r="AI110" s="112"/>
      <c r="AJ110" s="112"/>
      <c r="AK110" s="113"/>
      <c r="AL110" s="113"/>
      <c r="AM110" s="113"/>
      <c r="AN110" s="113"/>
      <c r="AO110" s="52" t="str">
        <f>IFERROR(INDEX(PMEHVAC[Program Design],MATCH(AB110,PMEHVAC[Eff Desc 1],0)),"")</f>
        <v/>
      </c>
      <c r="AU110"/>
    </row>
    <row r="111" spans="1:47">
      <c r="A111" s="57">
        <f t="shared" si="9"/>
        <v>0</v>
      </c>
      <c r="B111" s="183" t="str">
        <f t="shared" si="11"/>
        <v/>
      </c>
      <c r="C111" t="str">
        <f>IFERROR(IF(R111&gt;0,INDEX(PMEHVAC[Measure '#],MATCH(AB111,PMEHVAC[Eff Desc 1],0)),""),"")</f>
        <v/>
      </c>
      <c r="D111" t="s">
        <v>947</v>
      </c>
      <c r="F111" s="112"/>
      <c r="G111" s="186" t="str">
        <f>INDEX('M03-S03'!$N$16:$N$198,2*(ROWS($G$106:G111)-1)+1)</f>
        <v/>
      </c>
      <c r="H111" s="186" t="str">
        <f>IF(ISNUMBER(INDEX('M03-S03'!$AO$16:$AO$198,2*(ROWS($R$106:R111)-1)+1)),"Total","")</f>
        <v/>
      </c>
      <c r="I111" s="184">
        <f>IFERROR(ROUND(INDEX('M03-S03'!$AA$16:$AA$198,2*(ROWS($I$106:I111)-1)+1),2),0)</f>
        <v>0</v>
      </c>
      <c r="J111" s="184">
        <f>IFERROR(ROUND(INDEX('M03-S03'!$AC$16:$AC$198,2*(ROWS($J$106:J111)-1)+1),2),0)</f>
        <v>0</v>
      </c>
      <c r="K111" s="52">
        <f>IFERROR(ROUND(INDEX('M03-S03'!$AU$16:$AU$198,2*(ROWS($K$106:K111)-1)+1),2),0)</f>
        <v>0</v>
      </c>
      <c r="L111" s="52" t="str">
        <f>IFERROR(IF(R111&gt;0,M111*INDEX(PMEHVAC[Incremental Cost],MATCH(AB111,PMEHVAC[Eff Desc 1],0)),""),"")</f>
        <v/>
      </c>
      <c r="M111" s="456">
        <f>INDEX('M03-S03'!$V$16:$V$198,2*(ROWS($M$106:M111)-1)+1)</f>
        <v>0</v>
      </c>
      <c r="N111" s="184" t="str">
        <f>IF(ISNUMBER(INDEX('M03-S03'!$AO$16:$AO$198,2*(ROWS($R$106:R111)-1)+1)),INDEX('M03-S03'!$AK$16:$AK$198,2*(ROWS($N$106:N111)-1)+1),"")</f>
        <v/>
      </c>
      <c r="O111" s="456" t="str">
        <f>IFERROR(IF(ISNUMBER(INDEX('M03-S03'!$AO$16:$AO$198,2*(ROWS($R$106:R111)-1)+1)),INDEX('M03-S03'!$AV$16:$AV$198,2*(ROWS($O$106:O111)-1)+1),""),"")</f>
        <v/>
      </c>
      <c r="P111" s="456" t="str">
        <f>IFERROR(IF(ISNUMBER(INDEX('M03-S03'!$AO$16:$AO$198,2*(ROWS($R$106:R111)-1)+1)),INDEX('M03-S03'!$AY$16:$AY$198,2*(ROWS($O$106:P111)-1)+1),""),"")</f>
        <v/>
      </c>
      <c r="Q111" s="113"/>
      <c r="R111" s="184">
        <f>IF(ISNUMBER(INDEX('M03-S03'!$AO$16:$AO$198,2*(ROWS($R$106:R111)-1)+1)),INDEX('M03-S03'!$AO$16:$AO$198,2*(ROWS($R$106:R111)-1)+1),0)</f>
        <v>0</v>
      </c>
      <c r="S111" s="459"/>
      <c r="T111" s="113"/>
      <c r="U111" s="140"/>
      <c r="V111" s="113"/>
      <c r="W111" s="96" t="str">
        <f>IFERROR(IF(NOT(ISNUMBER(INDEX('M03-S03'!$AO$16:$AO$198,2*(ROWS($R$106:R111)-1)+1))),INDEX('M03-S03'!$BC$16:$BC$198,2*(ROWS($R$106:R111)-1)+1),""),"")</f>
        <v/>
      </c>
      <c r="X111" s="113"/>
      <c r="Y111" s="113"/>
      <c r="Z111" s="111">
        <f>INDEX('M03-S03'!$B$16:$B$198,2*(ROWS($Z$106:Z111)-1)+1)</f>
        <v>6</v>
      </c>
      <c r="AA111" s="111" t="str">
        <f>INDEX('M03-S03'!$L$16:$L$199,2*(ROWS($Z$106:AA111)-1)+1)</f>
        <v/>
      </c>
      <c r="AB111" s="111">
        <f>INDEX('M03-S03'!$C$16:$C$198,2*(ROWS($Z$106:AB111)-1)+1)</f>
        <v>0</v>
      </c>
      <c r="AC111" t="str">
        <f>IFERROR(INDEX('M03-S03'!$J$16:$J$199,2*(ROWS(AC$106:AC111)-1)+1)&amp;" "&amp;INDEX('M03-S03'!$L$16:$L$199,2*(ROWS(AC$106:AC111)-1)+1)&amp;", "&amp;INDEX('M03-S03'!$P$16:$P$199,2*(ROWS(AC$106:AC111)-1)+1)&amp;" "&amp;INDEX('M03-S03'!$R$16:$R$199,2*(ROWS(AC$106:AC111)-1)+1),"")</f>
        <v xml:space="preserve"> ,  </v>
      </c>
      <c r="AD111" t="str">
        <f>IFERROR(INDEX('M03-S03'!$J$16:$J$199,2*(ROWS(AD$106:AD111)-1)+1)&amp;" "&amp;ROUND(INDEX('M03-S03'!$N$16:$N$199,2*(ROWS(AD$106:AD111)-1)+1),3),"")&amp;", "&amp;IFERROR(INDEX('M03-S03'!$P$16:$P$199,2*(ROWS(AD$106:AD111)-1)+1)&amp;" "&amp;ROUND(INDEX('M03-S03'!$T$16:$T$199,2*(ROWS(AD$106:AD111)-1)+1),3),"")</f>
        <v xml:space="preserve">, </v>
      </c>
      <c r="AE111" s="459"/>
      <c r="AF111" s="459"/>
      <c r="AG111" s="112"/>
      <c r="AH111" s="112"/>
      <c r="AI111" s="112"/>
      <c r="AJ111" s="112"/>
      <c r="AK111" s="113"/>
      <c r="AL111" s="113"/>
      <c r="AM111" s="113"/>
      <c r="AN111" s="113"/>
      <c r="AO111" s="52" t="str">
        <f>IFERROR(INDEX(PMEHVAC[Program Design],MATCH(AB111,PMEHVAC[Eff Desc 1],0)),"")</f>
        <v/>
      </c>
      <c r="AU111"/>
    </row>
    <row r="112" spans="1:47">
      <c r="A112" s="57">
        <f t="shared" si="9"/>
        <v>0</v>
      </c>
      <c r="B112" s="183" t="str">
        <f t="shared" si="11"/>
        <v/>
      </c>
      <c r="C112" t="str">
        <f>IFERROR(IF(R112&gt;0,INDEX(PMEHVAC[Measure '#],MATCH(AB112,PMEHVAC[Eff Desc 1],0)),""),"")</f>
        <v/>
      </c>
      <c r="D112" t="s">
        <v>947</v>
      </c>
      <c r="F112" s="112"/>
      <c r="G112" s="186" t="str">
        <f>INDEX('M03-S03'!$N$16:$N$198,2*(ROWS($G$106:G112)-1)+1)</f>
        <v/>
      </c>
      <c r="H112" s="186" t="str">
        <f>IF(ISNUMBER(INDEX('M03-S03'!$AO$16:$AO$198,2*(ROWS($R$106:R112)-1)+1)),"Total","")</f>
        <v/>
      </c>
      <c r="I112" s="184">
        <f>IFERROR(ROUND(INDEX('M03-S03'!$AA$16:$AA$198,2*(ROWS($I$106:I112)-1)+1),2),0)</f>
        <v>0</v>
      </c>
      <c r="J112" s="184">
        <f>IFERROR(ROUND(INDEX('M03-S03'!$AC$16:$AC$198,2*(ROWS($J$106:J112)-1)+1),2),0)</f>
        <v>0</v>
      </c>
      <c r="K112" s="52">
        <f>IFERROR(ROUND(INDEX('M03-S03'!$AU$16:$AU$198,2*(ROWS($K$106:K112)-1)+1),2),0)</f>
        <v>0</v>
      </c>
      <c r="L112" s="52" t="str">
        <f>IFERROR(IF(R112&gt;0,M112*INDEX(PMEHVAC[Incremental Cost],MATCH(AB112,PMEHVAC[Eff Desc 1],0)),""),"")</f>
        <v/>
      </c>
      <c r="M112" s="456">
        <f>INDEX('M03-S03'!$V$16:$V$198,2*(ROWS($M$106:M112)-1)+1)</f>
        <v>0</v>
      </c>
      <c r="N112" s="184" t="str">
        <f>IF(ISNUMBER(INDEX('M03-S03'!$AO$16:$AO$198,2*(ROWS($R$106:R112)-1)+1)),INDEX('M03-S03'!$AK$16:$AK$198,2*(ROWS($N$106:N112)-1)+1),"")</f>
        <v/>
      </c>
      <c r="O112" s="456" t="str">
        <f>IFERROR(IF(ISNUMBER(INDEX('M03-S03'!$AO$16:$AO$198,2*(ROWS($R$106:R112)-1)+1)),INDEX('M03-S03'!$AV$16:$AV$198,2*(ROWS($O$106:O112)-1)+1),""),"")</f>
        <v/>
      </c>
      <c r="P112" s="456" t="str">
        <f>IFERROR(IF(ISNUMBER(INDEX('M03-S03'!$AO$16:$AO$198,2*(ROWS($R$106:R112)-1)+1)),INDEX('M03-S03'!$AY$16:$AY$198,2*(ROWS($O$106:P112)-1)+1),""),"")</f>
        <v/>
      </c>
      <c r="Q112" s="113"/>
      <c r="R112" s="184">
        <f>IF(ISNUMBER(INDEX('M03-S03'!$AO$16:$AO$198,2*(ROWS($R$106:R112)-1)+1)),INDEX('M03-S03'!$AO$16:$AO$198,2*(ROWS($R$106:R112)-1)+1),0)</f>
        <v>0</v>
      </c>
      <c r="S112" s="459"/>
      <c r="T112" s="113"/>
      <c r="U112" s="140"/>
      <c r="V112" s="113"/>
      <c r="W112" s="96" t="str">
        <f>IFERROR(IF(NOT(ISNUMBER(INDEX('M03-S03'!$AO$16:$AO$198,2*(ROWS($R$106:R112)-1)+1))),INDEX('M03-S03'!$BC$16:$BC$198,2*(ROWS($R$106:R112)-1)+1),""),"")</f>
        <v/>
      </c>
      <c r="X112" s="113"/>
      <c r="Y112" s="113"/>
      <c r="Z112" s="111">
        <f>INDEX('M03-S03'!$B$16:$B$198,2*(ROWS($Z$106:Z112)-1)+1)</f>
        <v>7</v>
      </c>
      <c r="AA112" s="111" t="str">
        <f>INDEX('M03-S03'!$L$16:$L$199,2*(ROWS($Z$106:AA112)-1)+1)</f>
        <v/>
      </c>
      <c r="AB112" s="111">
        <f>INDEX('M03-S03'!$C$16:$C$198,2*(ROWS($Z$106:AB112)-1)+1)</f>
        <v>0</v>
      </c>
      <c r="AC112" t="str">
        <f>IFERROR(INDEX('M03-S03'!$J$16:$J$199,2*(ROWS(AC$106:AC112)-1)+1)&amp;" "&amp;INDEX('M03-S03'!$L$16:$L$199,2*(ROWS(AC$106:AC112)-1)+1)&amp;", "&amp;INDEX('M03-S03'!$P$16:$P$199,2*(ROWS(AC$106:AC112)-1)+1)&amp;" "&amp;INDEX('M03-S03'!$R$16:$R$199,2*(ROWS(AC$106:AC112)-1)+1),"")</f>
        <v xml:space="preserve"> ,  </v>
      </c>
      <c r="AD112" t="str">
        <f>IFERROR(INDEX('M03-S03'!$J$16:$J$199,2*(ROWS(AD$106:AD112)-1)+1)&amp;" "&amp;ROUND(INDEX('M03-S03'!$N$16:$N$199,2*(ROWS(AD$106:AD112)-1)+1),3),"")&amp;", "&amp;IFERROR(INDEX('M03-S03'!$P$16:$P$199,2*(ROWS(AD$106:AD112)-1)+1)&amp;" "&amp;ROUND(INDEX('M03-S03'!$T$16:$T$199,2*(ROWS(AD$106:AD112)-1)+1),3),"")</f>
        <v xml:space="preserve">, </v>
      </c>
      <c r="AE112" s="459"/>
      <c r="AF112" s="459"/>
      <c r="AG112" s="112"/>
      <c r="AH112" s="112"/>
      <c r="AI112" s="112"/>
      <c r="AJ112" s="112"/>
      <c r="AK112" s="113"/>
      <c r="AL112" s="113"/>
      <c r="AM112" s="113"/>
      <c r="AN112" s="113"/>
      <c r="AO112" s="52" t="str">
        <f>IFERROR(INDEX(PMEHVAC[Program Design],MATCH(AB112,PMEHVAC[Eff Desc 1],0)),"")</f>
        <v/>
      </c>
      <c r="AU112"/>
    </row>
    <row r="113" spans="1:47">
      <c r="A113" s="57">
        <f t="shared" si="9"/>
        <v>0</v>
      </c>
      <c r="B113" s="183" t="str">
        <f t="shared" si="11"/>
        <v/>
      </c>
      <c r="C113" t="str">
        <f>IFERROR(IF(R113&gt;0,INDEX(PMEHVAC[Measure '#],MATCH(AB113,PMEHVAC[Eff Desc 1],0)),""),"")</f>
        <v/>
      </c>
      <c r="D113" t="s">
        <v>947</v>
      </c>
      <c r="F113" s="112"/>
      <c r="G113" s="186" t="str">
        <f>INDEX('M03-S03'!$N$16:$N$198,2*(ROWS($G$106:G113)-1)+1)</f>
        <v/>
      </c>
      <c r="H113" s="186" t="str">
        <f>IF(ISNUMBER(INDEX('M03-S03'!$AO$16:$AO$198,2*(ROWS($R$106:R113)-1)+1)),"Total","")</f>
        <v/>
      </c>
      <c r="I113" s="184">
        <f>IFERROR(ROUND(INDEX('M03-S03'!$AA$16:$AA$198,2*(ROWS($I$106:I113)-1)+1),2),0)</f>
        <v>0</v>
      </c>
      <c r="J113" s="184">
        <f>IFERROR(ROUND(INDEX('M03-S03'!$AC$16:$AC$198,2*(ROWS($J$106:J113)-1)+1),2),0)</f>
        <v>0</v>
      </c>
      <c r="K113" s="52">
        <f>IFERROR(ROUND(INDEX('M03-S03'!$AU$16:$AU$198,2*(ROWS($K$106:K113)-1)+1),2),0)</f>
        <v>0</v>
      </c>
      <c r="L113" s="52" t="str">
        <f>IFERROR(IF(R113&gt;0,M113*INDEX(PMEHVAC[Incremental Cost],MATCH(AB113,PMEHVAC[Eff Desc 1],0)),""),"")</f>
        <v/>
      </c>
      <c r="M113" s="456">
        <f>INDEX('M03-S03'!$V$16:$V$198,2*(ROWS($M$106:M113)-1)+1)</f>
        <v>0</v>
      </c>
      <c r="N113" s="184" t="str">
        <f>IF(ISNUMBER(INDEX('M03-S03'!$AO$16:$AO$198,2*(ROWS($R$106:R113)-1)+1)),INDEX('M03-S03'!$AK$16:$AK$198,2*(ROWS($N$106:N113)-1)+1),"")</f>
        <v/>
      </c>
      <c r="O113" s="456" t="str">
        <f>IFERROR(IF(ISNUMBER(INDEX('M03-S03'!$AO$16:$AO$198,2*(ROWS($R$106:R113)-1)+1)),INDEX('M03-S03'!$AV$16:$AV$198,2*(ROWS($O$106:O113)-1)+1),""),"")</f>
        <v/>
      </c>
      <c r="P113" s="456" t="str">
        <f>IFERROR(IF(ISNUMBER(INDEX('M03-S03'!$AO$16:$AO$198,2*(ROWS($R$106:R113)-1)+1)),INDEX('M03-S03'!$AY$16:$AY$198,2*(ROWS($O$106:P113)-1)+1),""),"")</f>
        <v/>
      </c>
      <c r="Q113" s="113"/>
      <c r="R113" s="184">
        <f>IF(ISNUMBER(INDEX('M03-S03'!$AO$16:$AO$198,2*(ROWS($R$106:R113)-1)+1)),INDEX('M03-S03'!$AO$16:$AO$198,2*(ROWS($R$106:R113)-1)+1),0)</f>
        <v>0</v>
      </c>
      <c r="S113" s="459"/>
      <c r="T113" s="113"/>
      <c r="U113" s="140"/>
      <c r="V113" s="113"/>
      <c r="W113" s="96" t="str">
        <f>IFERROR(IF(NOT(ISNUMBER(INDEX('M03-S03'!$AO$16:$AO$198,2*(ROWS($R$106:R113)-1)+1))),INDEX('M03-S03'!$BC$16:$BC$198,2*(ROWS($R$106:R113)-1)+1),""),"")</f>
        <v/>
      </c>
      <c r="X113" s="113"/>
      <c r="Y113" s="113"/>
      <c r="Z113" s="111">
        <f>INDEX('M03-S03'!$B$16:$B$198,2*(ROWS($Z$106:Z113)-1)+1)</f>
        <v>8</v>
      </c>
      <c r="AA113" s="111" t="str">
        <f>INDEX('M03-S03'!$L$16:$L$199,2*(ROWS($Z$106:AA113)-1)+1)</f>
        <v/>
      </c>
      <c r="AB113" s="111">
        <f>INDEX('M03-S03'!$C$16:$C$198,2*(ROWS($Z$106:AB113)-1)+1)</f>
        <v>0</v>
      </c>
      <c r="AC113" t="str">
        <f>IFERROR(INDEX('M03-S03'!$J$16:$J$199,2*(ROWS(AC$106:AC113)-1)+1)&amp;" "&amp;INDEX('M03-S03'!$L$16:$L$199,2*(ROWS(AC$106:AC113)-1)+1)&amp;", "&amp;INDEX('M03-S03'!$P$16:$P$199,2*(ROWS(AC$106:AC113)-1)+1)&amp;" "&amp;INDEX('M03-S03'!$R$16:$R$199,2*(ROWS(AC$106:AC113)-1)+1),"")</f>
        <v xml:space="preserve"> ,  </v>
      </c>
      <c r="AD113" t="str">
        <f>IFERROR(INDEX('M03-S03'!$J$16:$J$199,2*(ROWS(AD$106:AD113)-1)+1)&amp;" "&amp;ROUND(INDEX('M03-S03'!$N$16:$N$199,2*(ROWS(AD$106:AD113)-1)+1),3),"")&amp;", "&amp;IFERROR(INDEX('M03-S03'!$P$16:$P$199,2*(ROWS(AD$106:AD113)-1)+1)&amp;" "&amp;ROUND(INDEX('M03-S03'!$T$16:$T$199,2*(ROWS(AD$106:AD113)-1)+1),3),"")</f>
        <v xml:space="preserve">, </v>
      </c>
      <c r="AE113" s="459"/>
      <c r="AF113" s="459"/>
      <c r="AG113" s="112"/>
      <c r="AH113" s="112"/>
      <c r="AI113" s="112"/>
      <c r="AJ113" s="112"/>
      <c r="AK113" s="113"/>
      <c r="AL113" s="113"/>
      <c r="AM113" s="113"/>
      <c r="AN113" s="113"/>
      <c r="AO113" s="52" t="str">
        <f>IFERROR(INDEX(PMEHVAC[Program Design],MATCH(AB113,PMEHVAC[Eff Desc 1],0)),"")</f>
        <v/>
      </c>
      <c r="AU113"/>
    </row>
    <row r="114" spans="1:47">
      <c r="A114" s="57">
        <f t="shared" si="9"/>
        <v>0</v>
      </c>
      <c r="B114" s="183" t="str">
        <f t="shared" si="11"/>
        <v/>
      </c>
      <c r="C114" t="str">
        <f>IFERROR(IF(R114&gt;0,INDEX(PMEHVAC[Measure '#],MATCH(AB114,PMEHVAC[Eff Desc 1],0)),""),"")</f>
        <v/>
      </c>
      <c r="D114" t="s">
        <v>947</v>
      </c>
      <c r="F114" s="112"/>
      <c r="G114" s="186" t="str">
        <f>INDEX('M03-S03'!$N$16:$N$198,2*(ROWS($G$106:G114)-1)+1)</f>
        <v/>
      </c>
      <c r="H114" s="186" t="str">
        <f>IF(ISNUMBER(INDEX('M03-S03'!$AO$16:$AO$198,2*(ROWS($R$106:R114)-1)+1)),"Total","")</f>
        <v/>
      </c>
      <c r="I114" s="184">
        <f>IFERROR(ROUND(INDEX('M03-S03'!$AA$16:$AA$198,2*(ROWS($I$106:I114)-1)+1),2),0)</f>
        <v>0</v>
      </c>
      <c r="J114" s="184">
        <f>IFERROR(ROUND(INDEX('M03-S03'!$AC$16:$AC$198,2*(ROWS($J$106:J114)-1)+1),2),0)</f>
        <v>0</v>
      </c>
      <c r="K114" s="52">
        <f>IFERROR(ROUND(INDEX('M03-S03'!$AU$16:$AU$198,2*(ROWS($K$106:K114)-1)+1),2),0)</f>
        <v>0</v>
      </c>
      <c r="L114" s="52" t="str">
        <f>IFERROR(IF(R114&gt;0,M114*INDEX(PMEHVAC[Incremental Cost],MATCH(AB114,PMEHVAC[Eff Desc 1],0)),""),"")</f>
        <v/>
      </c>
      <c r="M114" s="456">
        <f>INDEX('M03-S03'!$V$16:$V$198,2*(ROWS($M$106:M114)-1)+1)</f>
        <v>0</v>
      </c>
      <c r="N114" s="184" t="str">
        <f>IF(ISNUMBER(INDEX('M03-S03'!$AO$16:$AO$198,2*(ROWS($R$106:R114)-1)+1)),INDEX('M03-S03'!$AK$16:$AK$198,2*(ROWS($N$106:N114)-1)+1),"")</f>
        <v/>
      </c>
      <c r="O114" s="456" t="str">
        <f>IFERROR(IF(ISNUMBER(INDEX('M03-S03'!$AO$16:$AO$198,2*(ROWS($R$106:R114)-1)+1)),INDEX('M03-S03'!$AV$16:$AV$198,2*(ROWS($O$106:O114)-1)+1),""),"")</f>
        <v/>
      </c>
      <c r="P114" s="456" t="str">
        <f>IFERROR(IF(ISNUMBER(INDEX('M03-S03'!$AO$16:$AO$198,2*(ROWS($R$106:R114)-1)+1)),INDEX('M03-S03'!$AY$16:$AY$198,2*(ROWS($O$106:P114)-1)+1),""),"")</f>
        <v/>
      </c>
      <c r="Q114" s="113"/>
      <c r="R114" s="184">
        <f>IF(ISNUMBER(INDEX('M03-S03'!$AO$16:$AO$198,2*(ROWS($R$106:R114)-1)+1)),INDEX('M03-S03'!$AO$16:$AO$198,2*(ROWS($R$106:R114)-1)+1),0)</f>
        <v>0</v>
      </c>
      <c r="S114" s="459"/>
      <c r="T114" s="113"/>
      <c r="U114" s="140"/>
      <c r="V114" s="113"/>
      <c r="W114" s="96" t="str">
        <f>IFERROR(IF(NOT(ISNUMBER(INDEX('M03-S03'!$AO$16:$AO$198,2*(ROWS($R$106:R114)-1)+1))),INDEX('M03-S03'!$BC$16:$BC$198,2*(ROWS($R$106:R114)-1)+1),""),"")</f>
        <v/>
      </c>
      <c r="X114" s="113"/>
      <c r="Y114" s="113"/>
      <c r="Z114" s="111">
        <f>INDEX('M03-S03'!$B$16:$B$198,2*(ROWS($Z$106:Z114)-1)+1)</f>
        <v>9</v>
      </c>
      <c r="AA114" s="111" t="str">
        <f>INDEX('M03-S03'!$L$16:$L$199,2*(ROWS($Z$106:AA114)-1)+1)</f>
        <v/>
      </c>
      <c r="AB114" s="111">
        <f>INDEX('M03-S03'!$C$16:$C$198,2*(ROWS($Z$106:AB114)-1)+1)</f>
        <v>0</v>
      </c>
      <c r="AC114" t="str">
        <f>IFERROR(INDEX('M03-S03'!$J$16:$J$199,2*(ROWS(AC$106:AC114)-1)+1)&amp;" "&amp;INDEX('M03-S03'!$L$16:$L$199,2*(ROWS(AC$106:AC114)-1)+1)&amp;", "&amp;INDEX('M03-S03'!$P$16:$P$199,2*(ROWS(AC$106:AC114)-1)+1)&amp;" "&amp;INDEX('M03-S03'!$R$16:$R$199,2*(ROWS(AC$106:AC114)-1)+1),"")</f>
        <v xml:space="preserve"> ,  </v>
      </c>
      <c r="AD114" t="str">
        <f>IFERROR(INDEX('M03-S03'!$J$16:$J$199,2*(ROWS(AD$106:AD114)-1)+1)&amp;" "&amp;ROUND(INDEX('M03-S03'!$N$16:$N$199,2*(ROWS(AD$106:AD114)-1)+1),3),"")&amp;", "&amp;IFERROR(INDEX('M03-S03'!$P$16:$P$199,2*(ROWS(AD$106:AD114)-1)+1)&amp;" "&amp;ROUND(INDEX('M03-S03'!$T$16:$T$199,2*(ROWS(AD$106:AD114)-1)+1),3),"")</f>
        <v xml:space="preserve">, </v>
      </c>
      <c r="AE114" s="459"/>
      <c r="AF114" s="459"/>
      <c r="AG114" s="112"/>
      <c r="AH114" s="112"/>
      <c r="AI114" s="112"/>
      <c r="AJ114" s="112"/>
      <c r="AK114" s="113"/>
      <c r="AL114" s="113"/>
      <c r="AM114" s="113"/>
      <c r="AN114" s="113"/>
      <c r="AO114" s="52" t="str">
        <f>IFERROR(INDEX(PMEHVAC[Program Design],MATCH(AB114,PMEHVAC[Eff Desc 1],0)),"")</f>
        <v/>
      </c>
      <c r="AU114"/>
    </row>
    <row r="115" spans="1:47">
      <c r="A115" s="57">
        <f t="shared" si="9"/>
        <v>0</v>
      </c>
      <c r="B115" s="183" t="str">
        <f t="shared" si="11"/>
        <v/>
      </c>
      <c r="C115" t="str">
        <f>IFERROR(IF(R115&gt;0,INDEX(PMEHVAC[Measure '#],MATCH(AB115,PMEHVAC[Eff Desc 1],0)),""),"")</f>
        <v/>
      </c>
      <c r="D115" t="s">
        <v>947</v>
      </c>
      <c r="F115" s="112"/>
      <c r="G115" s="186" t="str">
        <f>INDEX('M03-S03'!$N$16:$N$198,2*(ROWS($G$106:G115)-1)+1)</f>
        <v/>
      </c>
      <c r="H115" s="186" t="str">
        <f>IF(ISNUMBER(INDEX('M03-S03'!$AO$16:$AO$198,2*(ROWS($R$106:R115)-1)+1)),"Total","")</f>
        <v/>
      </c>
      <c r="I115" s="184">
        <f>IFERROR(ROUND(INDEX('M03-S03'!$AA$16:$AA$198,2*(ROWS($I$106:I115)-1)+1),2),0)</f>
        <v>0</v>
      </c>
      <c r="J115" s="184">
        <f>IFERROR(ROUND(INDEX('M03-S03'!$AC$16:$AC$198,2*(ROWS($J$106:J115)-1)+1),2),0)</f>
        <v>0</v>
      </c>
      <c r="K115" s="52">
        <f>IFERROR(ROUND(INDEX('M03-S03'!$AU$16:$AU$198,2*(ROWS($K$106:K115)-1)+1),2),0)</f>
        <v>0</v>
      </c>
      <c r="L115" s="52" t="str">
        <f>IFERROR(IF(R115&gt;0,M115*INDEX(PMEHVAC[Incremental Cost],MATCH(AB115,PMEHVAC[Eff Desc 1],0)),""),"")</f>
        <v/>
      </c>
      <c r="M115" s="456">
        <f>INDEX('M03-S03'!$V$16:$V$198,2*(ROWS($M$106:M115)-1)+1)</f>
        <v>0</v>
      </c>
      <c r="N115" s="184" t="str">
        <f>IF(ISNUMBER(INDEX('M03-S03'!$AO$16:$AO$198,2*(ROWS($R$106:R115)-1)+1)),INDEX('M03-S03'!$AK$16:$AK$198,2*(ROWS($N$106:N115)-1)+1),"")</f>
        <v/>
      </c>
      <c r="O115" s="456" t="str">
        <f>IFERROR(IF(ISNUMBER(INDEX('M03-S03'!$AO$16:$AO$198,2*(ROWS($R$106:R115)-1)+1)),INDEX('M03-S03'!$AV$16:$AV$198,2*(ROWS($O$106:O115)-1)+1),""),"")</f>
        <v/>
      </c>
      <c r="P115" s="456" t="str">
        <f>IFERROR(IF(ISNUMBER(INDEX('M03-S03'!$AO$16:$AO$198,2*(ROWS($R$106:R115)-1)+1)),INDEX('M03-S03'!$AY$16:$AY$198,2*(ROWS($O$106:P115)-1)+1),""),"")</f>
        <v/>
      </c>
      <c r="Q115" s="113"/>
      <c r="R115" s="184">
        <f>IF(ISNUMBER(INDEX('M03-S03'!$AO$16:$AO$198,2*(ROWS($R$106:R115)-1)+1)),INDEX('M03-S03'!$AO$16:$AO$198,2*(ROWS($R$106:R115)-1)+1),0)</f>
        <v>0</v>
      </c>
      <c r="S115" s="459"/>
      <c r="T115" s="113"/>
      <c r="U115" s="140"/>
      <c r="V115" s="113"/>
      <c r="W115" s="96" t="str">
        <f>IFERROR(IF(NOT(ISNUMBER(INDEX('M03-S03'!$AO$16:$AO$198,2*(ROWS($R$106:R115)-1)+1))),INDEX('M03-S03'!$BC$16:$BC$198,2*(ROWS($R$106:R115)-1)+1),""),"")</f>
        <v/>
      </c>
      <c r="X115" s="113"/>
      <c r="Y115" s="113"/>
      <c r="Z115" s="111">
        <f>INDEX('M03-S03'!$B$16:$B$198,2*(ROWS($Z$106:Z115)-1)+1)</f>
        <v>10</v>
      </c>
      <c r="AA115" s="111" t="str">
        <f>INDEX('M03-S03'!$L$16:$L$199,2*(ROWS($Z$106:AA115)-1)+1)</f>
        <v/>
      </c>
      <c r="AB115" s="111">
        <f>INDEX('M03-S03'!$C$16:$C$198,2*(ROWS($Z$106:AB115)-1)+1)</f>
        <v>0</v>
      </c>
      <c r="AC115" t="str">
        <f>IFERROR(INDEX('M03-S03'!$J$16:$J$199,2*(ROWS(AC$106:AC115)-1)+1)&amp;" "&amp;INDEX('M03-S03'!$L$16:$L$199,2*(ROWS(AC$106:AC115)-1)+1)&amp;", "&amp;INDEX('M03-S03'!$P$16:$P$199,2*(ROWS(AC$106:AC115)-1)+1)&amp;" "&amp;INDEX('M03-S03'!$R$16:$R$199,2*(ROWS(AC$106:AC115)-1)+1),"")</f>
        <v xml:space="preserve"> ,  </v>
      </c>
      <c r="AD115" t="str">
        <f>IFERROR(INDEX('M03-S03'!$J$16:$J$199,2*(ROWS(AD$106:AD115)-1)+1)&amp;" "&amp;ROUND(INDEX('M03-S03'!$N$16:$N$199,2*(ROWS(AD$106:AD115)-1)+1),3),"")&amp;", "&amp;IFERROR(INDEX('M03-S03'!$P$16:$P$199,2*(ROWS(AD$106:AD115)-1)+1)&amp;" "&amp;ROUND(INDEX('M03-S03'!$T$16:$T$199,2*(ROWS(AD$106:AD115)-1)+1),3),"")</f>
        <v xml:space="preserve">, </v>
      </c>
      <c r="AE115" s="459"/>
      <c r="AF115" s="459"/>
      <c r="AG115" s="112"/>
      <c r="AH115" s="112"/>
      <c r="AI115" s="112"/>
      <c r="AJ115" s="112"/>
      <c r="AK115" s="113"/>
      <c r="AL115" s="113"/>
      <c r="AM115" s="113"/>
      <c r="AN115" s="113"/>
      <c r="AO115" s="52" t="str">
        <f>IFERROR(INDEX(PMEHVAC[Program Design],MATCH(AB115,PMEHVAC[Eff Desc 1],0)),"")</f>
        <v/>
      </c>
      <c r="AU115"/>
    </row>
    <row r="116" spans="1:47">
      <c r="A116" s="57">
        <f t="shared" si="9"/>
        <v>0</v>
      </c>
      <c r="B116" s="183" t="str">
        <f t="shared" si="11"/>
        <v/>
      </c>
      <c r="C116" t="str">
        <f>IFERROR(IF(R116&gt;0,INDEX(PMEHVAC[Measure '#],MATCH(AB116,PMEHVAC[Eff Desc 1],0)),""),"")</f>
        <v/>
      </c>
      <c r="D116" t="s">
        <v>947</v>
      </c>
      <c r="F116" s="112"/>
      <c r="G116" s="186">
        <f>INDEX('M03-S03'!$N$16:$N$198,2*(ROWS($G$106:G116)-1)+1)</f>
        <v>0</v>
      </c>
      <c r="H116" s="186" t="str">
        <f>IF(ISNUMBER(INDEX('M03-S03'!$AO$16:$AO$198,2*(ROWS($R$106:R116)-1)+1)),"Total","")</f>
        <v/>
      </c>
      <c r="I116" s="184">
        <f>IFERROR(ROUND(INDEX('M03-S03'!$AA$16:$AA$198,2*(ROWS($I$106:I116)-1)+1),2),0)</f>
        <v>0</v>
      </c>
      <c r="J116" s="184">
        <f>IFERROR(ROUND(INDEX('M03-S03'!$AC$16:$AC$198,2*(ROWS($J$106:J116)-1)+1),2),0)</f>
        <v>0</v>
      </c>
      <c r="K116" s="52">
        <f>IFERROR(ROUND(INDEX('M03-S03'!$AU$16:$AU$198,2*(ROWS($K$106:K116)-1)+1),2),0)</f>
        <v>0</v>
      </c>
      <c r="L116" s="52" t="str">
        <f>IFERROR(IF(R116&gt;0,M116*INDEX(PMEHVAC[Incremental Cost],MATCH(AB116,PMEHVAC[Eff Desc 1],0)),""),"")</f>
        <v/>
      </c>
      <c r="M116" s="456">
        <f>INDEX('M03-S03'!$V$16:$V$198,2*(ROWS($M$106:M116)-1)+1)</f>
        <v>0</v>
      </c>
      <c r="N116" s="184" t="str">
        <f>IF(ISNUMBER(INDEX('M03-S03'!$AO$16:$AO$198,2*(ROWS($R$106:R116)-1)+1)),INDEX('M03-S03'!$AK$16:$AK$198,2*(ROWS($N$106:N116)-1)+1),"")</f>
        <v/>
      </c>
      <c r="O116" s="456" t="str">
        <f>IFERROR(IF(ISNUMBER(INDEX('M03-S03'!$AO$16:$AO$198,2*(ROWS($R$106:R116)-1)+1)),INDEX('M03-S03'!$AV$16:$AV$198,2*(ROWS($O$106:O116)-1)+1),""),"")</f>
        <v/>
      </c>
      <c r="P116" s="456" t="str">
        <f>IFERROR(IF(ISNUMBER(INDEX('M03-S03'!$AO$16:$AO$198,2*(ROWS($R$106:R116)-1)+1)),INDEX('M03-S03'!$AY$16:$AY$198,2*(ROWS($O$106:P116)-1)+1),""),"")</f>
        <v/>
      </c>
      <c r="Q116" s="113"/>
      <c r="R116" s="184">
        <f>IF(ISNUMBER(INDEX('M03-S03'!$AO$16:$AO$198,2*(ROWS($R$106:R116)-1)+1)),INDEX('M03-S03'!$AO$16:$AO$198,2*(ROWS($R$106:R116)-1)+1),0)</f>
        <v>0</v>
      </c>
      <c r="S116" s="459"/>
      <c r="T116" s="113"/>
      <c r="U116" s="140"/>
      <c r="V116" s="113"/>
      <c r="W116" s="96">
        <f>IFERROR(IF(NOT(ISNUMBER(INDEX('M03-S03'!$AO$16:$AO$198,2*(ROWS($R$106:R116)-1)+1))),INDEX('M03-S03'!$BC$16:$BC$198,2*(ROWS($R$106:R116)-1)+1),""),"")</f>
        <v>0</v>
      </c>
      <c r="X116" s="113"/>
      <c r="Y116" s="113"/>
      <c r="Z116" s="111">
        <f>INDEX('M03-S03'!$B$16:$B$198,2*(ROWS($Z$106:Z116)-1)+1)</f>
        <v>11</v>
      </c>
      <c r="AA116" s="111" t="str">
        <f>INDEX('M03-S03'!$L$16:$L$199,2*(ROWS($Z$106:AA116)-1)+1)</f>
        <v/>
      </c>
      <c r="AB116" s="111">
        <f>INDEX('M03-S03'!$C$16:$C$198,2*(ROWS($Z$106:AB116)-1)+1)</f>
        <v>0</v>
      </c>
      <c r="AC116" t="str">
        <f>IFERROR(INDEX('M03-S03'!$J$16:$J$199,2*(ROWS(AC$106:AC116)-1)+1)&amp;" "&amp;INDEX('M03-S03'!$L$16:$L$199,2*(ROWS(AC$106:AC116)-1)+1)&amp;", "&amp;INDEX('M03-S03'!$P$16:$P$199,2*(ROWS(AC$106:AC116)-1)+1)&amp;" "&amp;INDEX('M03-S03'!$R$16:$R$199,2*(ROWS(AC$106:AC116)-1)+1),"")</f>
        <v xml:space="preserve"> ,  </v>
      </c>
      <c r="AD116" t="str">
        <f>IFERROR(INDEX('M03-S03'!$J$16:$J$199,2*(ROWS(AD$106:AD116)-1)+1)&amp;" "&amp;ROUND(INDEX('M03-S03'!$N$16:$N$199,2*(ROWS(AD$106:AD116)-1)+1),3),"")&amp;", "&amp;IFERROR(INDEX('M03-S03'!$P$16:$P$199,2*(ROWS(AD$106:AD116)-1)+1)&amp;" "&amp;ROUND(INDEX('M03-S03'!$T$16:$T$199,2*(ROWS(AD$106:AD116)-1)+1),3),"")</f>
        <v xml:space="preserve"> 0,  0</v>
      </c>
      <c r="AE116" s="459"/>
      <c r="AF116" s="459"/>
      <c r="AG116" s="112"/>
      <c r="AH116" s="112"/>
      <c r="AI116" s="112"/>
      <c r="AJ116" s="112"/>
      <c r="AK116" s="113"/>
      <c r="AL116" s="113"/>
      <c r="AM116" s="113"/>
      <c r="AN116" s="113"/>
      <c r="AO116" s="52" t="str">
        <f>IFERROR(INDEX(PMEHVAC[Program Design],MATCH(AB116,PMEHVAC[Eff Desc 1],0)),"")</f>
        <v/>
      </c>
      <c r="AU116"/>
    </row>
    <row r="117" spans="1:47">
      <c r="A117" s="57">
        <f t="shared" si="9"/>
        <v>0</v>
      </c>
      <c r="B117" s="183" t="str">
        <f t="shared" si="11"/>
        <v/>
      </c>
      <c r="C117" t="str">
        <f>IFERROR(IF(R117&gt;0,INDEX(PMEHVAC[Measure '#],MATCH(AB117,PMEHVAC[Eff Desc 1],0)),""),"")</f>
        <v/>
      </c>
      <c r="D117" t="s">
        <v>947</v>
      </c>
      <c r="F117" s="112"/>
      <c r="G117" s="186">
        <f>INDEX('M03-S03'!$N$16:$N$198,2*(ROWS($G$106:G117)-1)+1)</f>
        <v>0</v>
      </c>
      <c r="H117" s="186" t="str">
        <f>IF(ISNUMBER(INDEX('M03-S03'!$AO$16:$AO$198,2*(ROWS($R$106:R117)-1)+1)),"Total","")</f>
        <v/>
      </c>
      <c r="I117" s="184">
        <f>IFERROR(ROUND(INDEX('M03-S03'!$AA$16:$AA$198,2*(ROWS($I$106:I117)-1)+1),2),0)</f>
        <v>0</v>
      </c>
      <c r="J117" s="184">
        <f>IFERROR(ROUND(INDEX('M03-S03'!$AC$16:$AC$198,2*(ROWS($J$106:J117)-1)+1),2),0)</f>
        <v>0</v>
      </c>
      <c r="K117" s="52">
        <f>IFERROR(ROUND(INDEX('M03-S03'!$AU$16:$AU$198,2*(ROWS($K$106:K117)-1)+1),2),0)</f>
        <v>0</v>
      </c>
      <c r="L117" s="52" t="str">
        <f>IFERROR(IF(R117&gt;0,M117*INDEX(PMEHVAC[Incremental Cost],MATCH(AB117,PMEHVAC[Eff Desc 1],0)),""),"")</f>
        <v/>
      </c>
      <c r="M117" s="456">
        <f>INDEX('M03-S03'!$V$16:$V$198,2*(ROWS($M$106:M117)-1)+1)</f>
        <v>0</v>
      </c>
      <c r="N117" s="184" t="str">
        <f>IF(ISNUMBER(INDEX('M03-S03'!$AO$16:$AO$198,2*(ROWS($R$106:R117)-1)+1)),INDEX('M03-S03'!$AK$16:$AK$198,2*(ROWS($N$106:N117)-1)+1),"")</f>
        <v/>
      </c>
      <c r="O117" s="456" t="str">
        <f>IFERROR(IF(ISNUMBER(INDEX('M03-S03'!$AO$16:$AO$198,2*(ROWS($R$106:R117)-1)+1)),INDEX('M03-S03'!$AV$16:$AV$198,2*(ROWS($O$106:O117)-1)+1),""),"")</f>
        <v/>
      </c>
      <c r="P117" s="456" t="str">
        <f>IFERROR(IF(ISNUMBER(INDEX('M03-S03'!$AO$16:$AO$198,2*(ROWS($R$106:R117)-1)+1)),INDEX('M03-S03'!$AY$16:$AY$198,2*(ROWS($O$106:P117)-1)+1),""),"")</f>
        <v/>
      </c>
      <c r="Q117" s="113"/>
      <c r="R117" s="184">
        <f>IF(ISNUMBER(INDEX('M03-S03'!$AO$16:$AO$198,2*(ROWS($R$106:R117)-1)+1)),INDEX('M03-S03'!$AO$16:$AO$198,2*(ROWS($R$106:R117)-1)+1),0)</f>
        <v>0</v>
      </c>
      <c r="S117" s="459"/>
      <c r="T117" s="113"/>
      <c r="U117" s="140"/>
      <c r="V117" s="113"/>
      <c r="W117" s="96">
        <f>IFERROR(IF(NOT(ISNUMBER(INDEX('M03-S03'!$AO$16:$AO$198,2*(ROWS($R$106:R117)-1)+1))),INDEX('M03-S03'!$BC$16:$BC$198,2*(ROWS($R$106:R117)-1)+1),""),"")</f>
        <v>0</v>
      </c>
      <c r="X117" s="113"/>
      <c r="Y117" s="113"/>
      <c r="Z117" s="111">
        <f>INDEX('M03-S03'!$B$16:$B$198,2*(ROWS($Z$106:Z117)-1)+1)</f>
        <v>12</v>
      </c>
      <c r="AA117" s="111" t="str">
        <f>INDEX('M03-S03'!$L$16:$L$199,2*(ROWS($Z$106:AA117)-1)+1)</f>
        <v/>
      </c>
      <c r="AB117" s="111">
        <f>INDEX('M03-S03'!$C$16:$C$198,2*(ROWS($Z$106:AB117)-1)+1)</f>
        <v>0</v>
      </c>
      <c r="AC117" t="str">
        <f>IFERROR(INDEX('M03-S03'!$J$16:$J$199,2*(ROWS(AC$106:AC117)-1)+1)&amp;" "&amp;INDEX('M03-S03'!$L$16:$L$199,2*(ROWS(AC$106:AC117)-1)+1)&amp;", "&amp;INDEX('M03-S03'!$P$16:$P$199,2*(ROWS(AC$106:AC117)-1)+1)&amp;" "&amp;INDEX('M03-S03'!$R$16:$R$199,2*(ROWS(AC$106:AC117)-1)+1),"")</f>
        <v xml:space="preserve"> ,  </v>
      </c>
      <c r="AD117" t="str">
        <f>IFERROR(INDEX('M03-S03'!$J$16:$J$199,2*(ROWS(AD$106:AD117)-1)+1)&amp;" "&amp;ROUND(INDEX('M03-S03'!$N$16:$N$199,2*(ROWS(AD$106:AD117)-1)+1),3),"")&amp;", "&amp;IFERROR(INDEX('M03-S03'!$P$16:$P$199,2*(ROWS(AD$106:AD117)-1)+1)&amp;" "&amp;ROUND(INDEX('M03-S03'!$T$16:$T$199,2*(ROWS(AD$106:AD117)-1)+1),3),"")</f>
        <v xml:space="preserve"> 0,  0</v>
      </c>
      <c r="AE117" s="459"/>
      <c r="AF117" s="459"/>
      <c r="AG117" s="112"/>
      <c r="AH117" s="112"/>
      <c r="AI117" s="112"/>
      <c r="AJ117" s="112"/>
      <c r="AK117" s="113"/>
      <c r="AL117" s="113"/>
      <c r="AM117" s="113"/>
      <c r="AN117" s="113"/>
      <c r="AO117" s="52" t="str">
        <f>IFERROR(INDEX(PMEHVAC[Program Design],MATCH(AB117,PMEHVAC[Eff Desc 1],0)),"")</f>
        <v/>
      </c>
      <c r="AU117"/>
    </row>
    <row r="118" spans="1:47">
      <c r="A118" s="57">
        <f t="shared" si="9"/>
        <v>0</v>
      </c>
      <c r="B118" s="183" t="str">
        <f t="shared" si="11"/>
        <v/>
      </c>
      <c r="C118" t="str">
        <f>IFERROR(IF(R118&gt;0,INDEX(PMEHVAC[Measure '#],MATCH(AB118,PMEHVAC[Eff Desc 1],0)),""),"")</f>
        <v/>
      </c>
      <c r="D118" t="s">
        <v>947</v>
      </c>
      <c r="F118" s="112"/>
      <c r="G118" s="186">
        <f>INDEX('M03-S03'!$N$16:$N$198,2*(ROWS($G$106:G118)-1)+1)</f>
        <v>0</v>
      </c>
      <c r="H118" s="186" t="str">
        <f>IF(ISNUMBER(INDEX('M03-S03'!$AO$16:$AO$198,2*(ROWS($R$106:R118)-1)+1)),"Total","")</f>
        <v/>
      </c>
      <c r="I118" s="184">
        <f>IFERROR(ROUND(INDEX('M03-S03'!$AA$16:$AA$198,2*(ROWS($I$106:I118)-1)+1),2),0)</f>
        <v>0</v>
      </c>
      <c r="J118" s="184">
        <f>IFERROR(ROUND(INDEX('M03-S03'!$AC$16:$AC$198,2*(ROWS($J$106:J118)-1)+1),2),0)</f>
        <v>0</v>
      </c>
      <c r="K118" s="52">
        <f>IFERROR(ROUND(INDEX('M03-S03'!$AU$16:$AU$198,2*(ROWS($K$106:K118)-1)+1),2),0)</f>
        <v>0</v>
      </c>
      <c r="L118" s="52" t="str">
        <f>IFERROR(IF(R118&gt;0,M118*INDEX(PMEHVAC[Incremental Cost],MATCH(AB118,PMEHVAC[Eff Desc 1],0)),""),"")</f>
        <v/>
      </c>
      <c r="M118" s="456">
        <f>INDEX('M03-S03'!$V$16:$V$198,2*(ROWS($M$106:M118)-1)+1)</f>
        <v>0</v>
      </c>
      <c r="N118" s="184" t="str">
        <f>IF(ISNUMBER(INDEX('M03-S03'!$AO$16:$AO$198,2*(ROWS($R$106:R118)-1)+1)),INDEX('M03-S03'!$AK$16:$AK$198,2*(ROWS($N$106:N118)-1)+1),"")</f>
        <v/>
      </c>
      <c r="O118" s="456" t="str">
        <f>IFERROR(IF(ISNUMBER(INDEX('M03-S03'!$AO$16:$AO$198,2*(ROWS($R$106:R118)-1)+1)),INDEX('M03-S03'!$AV$16:$AV$198,2*(ROWS($O$106:O118)-1)+1),""),"")</f>
        <v/>
      </c>
      <c r="P118" s="456" t="str">
        <f>IFERROR(IF(ISNUMBER(INDEX('M03-S03'!$AO$16:$AO$198,2*(ROWS($R$106:R118)-1)+1)),INDEX('M03-S03'!$AY$16:$AY$198,2*(ROWS($O$106:P118)-1)+1),""),"")</f>
        <v/>
      </c>
      <c r="Q118" s="113"/>
      <c r="R118" s="184">
        <f>IF(ISNUMBER(INDEX('M03-S03'!$AO$16:$AO$198,2*(ROWS($R$106:R118)-1)+1)),INDEX('M03-S03'!$AO$16:$AO$198,2*(ROWS($R$106:R118)-1)+1),0)</f>
        <v>0</v>
      </c>
      <c r="S118" s="459"/>
      <c r="T118" s="113"/>
      <c r="U118" s="140"/>
      <c r="V118" s="113"/>
      <c r="W118" s="96">
        <f>IFERROR(IF(NOT(ISNUMBER(INDEX('M03-S03'!$AO$16:$AO$198,2*(ROWS($R$106:R118)-1)+1))),INDEX('M03-S03'!$BC$16:$BC$198,2*(ROWS($R$106:R118)-1)+1),""),"")</f>
        <v>0</v>
      </c>
      <c r="X118" s="113"/>
      <c r="Y118" s="113"/>
      <c r="Z118" s="111">
        <f>INDEX('M03-S03'!$B$16:$B$198,2*(ROWS($Z$106:Z118)-1)+1)</f>
        <v>13</v>
      </c>
      <c r="AA118" s="111" t="str">
        <f>INDEX('M03-S03'!$L$16:$L$199,2*(ROWS($Z$106:AA118)-1)+1)</f>
        <v/>
      </c>
      <c r="AB118" s="111">
        <f>INDEX('M03-S03'!$C$16:$C$198,2*(ROWS($Z$106:AB118)-1)+1)</f>
        <v>0</v>
      </c>
      <c r="AC118" t="str">
        <f>IFERROR(INDEX('M03-S03'!$J$16:$J$199,2*(ROWS(AC$106:AC118)-1)+1)&amp;" "&amp;INDEX('M03-S03'!$L$16:$L$199,2*(ROWS(AC$106:AC118)-1)+1)&amp;", "&amp;INDEX('M03-S03'!$P$16:$P$199,2*(ROWS(AC$106:AC118)-1)+1)&amp;" "&amp;INDEX('M03-S03'!$R$16:$R$199,2*(ROWS(AC$106:AC118)-1)+1),"")</f>
        <v xml:space="preserve"> ,  </v>
      </c>
      <c r="AD118" t="str">
        <f>IFERROR(INDEX('M03-S03'!$J$16:$J$199,2*(ROWS(AD$106:AD118)-1)+1)&amp;" "&amp;ROUND(INDEX('M03-S03'!$N$16:$N$199,2*(ROWS(AD$106:AD118)-1)+1),3),"")&amp;", "&amp;IFERROR(INDEX('M03-S03'!$P$16:$P$199,2*(ROWS(AD$106:AD118)-1)+1)&amp;" "&amp;ROUND(INDEX('M03-S03'!$T$16:$T$199,2*(ROWS(AD$106:AD118)-1)+1),3),"")</f>
        <v xml:space="preserve"> 0,  0</v>
      </c>
      <c r="AE118" s="459"/>
      <c r="AF118" s="459"/>
      <c r="AG118" s="112"/>
      <c r="AH118" s="112"/>
      <c r="AI118" s="112"/>
      <c r="AJ118" s="112"/>
      <c r="AK118" s="113"/>
      <c r="AL118" s="113"/>
      <c r="AM118" s="113"/>
      <c r="AN118" s="113"/>
      <c r="AO118" s="52" t="str">
        <f>IFERROR(INDEX(PMEHVAC[Program Design],MATCH(AB118,PMEHVAC[Eff Desc 1],0)),"")</f>
        <v/>
      </c>
      <c r="AU118"/>
    </row>
    <row r="119" spans="1:47">
      <c r="A119" s="57">
        <f t="shared" si="9"/>
        <v>0</v>
      </c>
      <c r="B119" s="183" t="str">
        <f t="shared" si="11"/>
        <v/>
      </c>
      <c r="C119" t="str">
        <f>IFERROR(IF(R119&gt;0,INDEX(PMEHVAC[Measure '#],MATCH(AB119,PMEHVAC[Eff Desc 1],0)),""),"")</f>
        <v/>
      </c>
      <c r="D119" t="s">
        <v>947</v>
      </c>
      <c r="F119" s="112"/>
      <c r="G119" s="186">
        <f>INDEX('M03-S03'!$N$16:$N$198,2*(ROWS($G$106:G119)-1)+1)</f>
        <v>0</v>
      </c>
      <c r="H119" s="186" t="str">
        <f>IF(ISNUMBER(INDEX('M03-S03'!$AO$16:$AO$198,2*(ROWS($R$106:R119)-1)+1)),"Total","")</f>
        <v/>
      </c>
      <c r="I119" s="184">
        <f>IFERROR(ROUND(INDEX('M03-S03'!$AA$16:$AA$198,2*(ROWS($I$106:I119)-1)+1),2),0)</f>
        <v>0</v>
      </c>
      <c r="J119" s="184">
        <f>IFERROR(ROUND(INDEX('M03-S03'!$AC$16:$AC$198,2*(ROWS($J$106:J119)-1)+1),2),0)</f>
        <v>0</v>
      </c>
      <c r="K119" s="52">
        <f>IFERROR(ROUND(INDEX('M03-S03'!$AU$16:$AU$198,2*(ROWS($K$106:K119)-1)+1),2),0)</f>
        <v>0</v>
      </c>
      <c r="L119" s="52" t="str">
        <f>IFERROR(IF(R119&gt;0,M119*INDEX(PMEHVAC[Incremental Cost],MATCH(AB119,PMEHVAC[Eff Desc 1],0)),""),"")</f>
        <v/>
      </c>
      <c r="M119" s="456">
        <f>INDEX('M03-S03'!$V$16:$V$198,2*(ROWS($M$106:M119)-1)+1)</f>
        <v>0</v>
      </c>
      <c r="N119" s="184" t="str">
        <f>IF(ISNUMBER(INDEX('M03-S03'!$AO$16:$AO$198,2*(ROWS($R$106:R119)-1)+1)),INDEX('M03-S03'!$AK$16:$AK$198,2*(ROWS($N$106:N119)-1)+1),"")</f>
        <v/>
      </c>
      <c r="O119" s="456" t="str">
        <f>IFERROR(IF(ISNUMBER(INDEX('M03-S03'!$AO$16:$AO$198,2*(ROWS($R$106:R119)-1)+1)),INDEX('M03-S03'!$AV$16:$AV$198,2*(ROWS($O$106:O119)-1)+1),""),"")</f>
        <v/>
      </c>
      <c r="P119" s="456" t="str">
        <f>IFERROR(IF(ISNUMBER(INDEX('M03-S03'!$AO$16:$AO$198,2*(ROWS($R$106:R119)-1)+1)),INDEX('M03-S03'!$AY$16:$AY$198,2*(ROWS($O$106:P119)-1)+1),""),"")</f>
        <v/>
      </c>
      <c r="Q119" s="113"/>
      <c r="R119" s="184">
        <f>IF(ISNUMBER(INDEX('M03-S03'!$AO$16:$AO$198,2*(ROWS($R$106:R119)-1)+1)),INDEX('M03-S03'!$AO$16:$AO$198,2*(ROWS($R$106:R119)-1)+1),0)</f>
        <v>0</v>
      </c>
      <c r="S119" s="459"/>
      <c r="T119" s="113"/>
      <c r="U119" s="140"/>
      <c r="V119" s="113"/>
      <c r="W119" s="96">
        <f>IFERROR(IF(NOT(ISNUMBER(INDEX('M03-S03'!$AO$16:$AO$198,2*(ROWS($R$106:R119)-1)+1))),INDEX('M03-S03'!$BC$16:$BC$198,2*(ROWS($R$106:R119)-1)+1),""),"")</f>
        <v>0</v>
      </c>
      <c r="X119" s="113"/>
      <c r="Y119" s="113"/>
      <c r="Z119" s="111">
        <f>INDEX('M03-S03'!$B$16:$B$198,2*(ROWS($Z$106:Z119)-1)+1)</f>
        <v>14</v>
      </c>
      <c r="AA119" s="111" t="str">
        <f>INDEX('M03-S03'!$L$16:$L$199,2*(ROWS($Z$106:AA119)-1)+1)</f>
        <v/>
      </c>
      <c r="AB119" s="111">
        <f>INDEX('M03-S03'!$C$16:$C$198,2*(ROWS($Z$106:AB119)-1)+1)</f>
        <v>0</v>
      </c>
      <c r="AC119" t="str">
        <f>IFERROR(INDEX('M03-S03'!$J$16:$J$199,2*(ROWS(AC$106:AC119)-1)+1)&amp;" "&amp;INDEX('M03-S03'!$L$16:$L$199,2*(ROWS(AC$106:AC119)-1)+1)&amp;", "&amp;INDEX('M03-S03'!$P$16:$P$199,2*(ROWS(AC$106:AC119)-1)+1)&amp;" "&amp;INDEX('M03-S03'!$R$16:$R$199,2*(ROWS(AC$106:AC119)-1)+1),"")</f>
        <v xml:space="preserve"> ,  </v>
      </c>
      <c r="AD119" t="str">
        <f>IFERROR(INDEX('M03-S03'!$J$16:$J$199,2*(ROWS(AD$106:AD119)-1)+1)&amp;" "&amp;ROUND(INDEX('M03-S03'!$N$16:$N$199,2*(ROWS(AD$106:AD119)-1)+1),3),"")&amp;", "&amp;IFERROR(INDEX('M03-S03'!$P$16:$P$199,2*(ROWS(AD$106:AD119)-1)+1)&amp;" "&amp;ROUND(INDEX('M03-S03'!$T$16:$T$199,2*(ROWS(AD$106:AD119)-1)+1),3),"")</f>
        <v xml:space="preserve"> 0,  0</v>
      </c>
      <c r="AE119" s="459"/>
      <c r="AF119" s="459"/>
      <c r="AG119" s="112"/>
      <c r="AH119" s="112"/>
      <c r="AI119" s="112"/>
      <c r="AJ119" s="112"/>
      <c r="AK119" s="113"/>
      <c r="AL119" s="113"/>
      <c r="AM119" s="113"/>
      <c r="AN119" s="113"/>
      <c r="AO119" s="52" t="str">
        <f>IFERROR(INDEX(PMEHVAC[Program Design],MATCH(AB119,PMEHVAC[Eff Desc 1],0)),"")</f>
        <v/>
      </c>
      <c r="AU119"/>
    </row>
    <row r="120" spans="1:47">
      <c r="A120" s="57">
        <f t="shared" si="9"/>
        <v>0</v>
      </c>
      <c r="B120" s="183" t="str">
        <f t="shared" si="11"/>
        <v/>
      </c>
      <c r="C120" t="str">
        <f>IFERROR(IF(R120&gt;0,INDEX(PMEHVAC[Measure '#],MATCH(AB120,PMEHVAC[Eff Desc 1],0)),""),"")</f>
        <v/>
      </c>
      <c r="D120" t="s">
        <v>947</v>
      </c>
      <c r="F120" s="112"/>
      <c r="G120" s="186">
        <f>INDEX('M03-S03'!$N$16:$N$198,2*(ROWS($G$106:G120)-1)+1)</f>
        <v>0</v>
      </c>
      <c r="H120" s="186" t="str">
        <f>IF(ISNUMBER(INDEX('M03-S03'!$AO$16:$AO$198,2*(ROWS($R$106:R120)-1)+1)),"Total","")</f>
        <v/>
      </c>
      <c r="I120" s="184">
        <f>IFERROR(ROUND(INDEX('M03-S03'!$AA$16:$AA$198,2*(ROWS($I$106:I120)-1)+1),2),0)</f>
        <v>0</v>
      </c>
      <c r="J120" s="184">
        <f>IFERROR(ROUND(INDEX('M03-S03'!$AC$16:$AC$198,2*(ROWS($J$106:J120)-1)+1),2),0)</f>
        <v>0</v>
      </c>
      <c r="K120" s="52">
        <f>IFERROR(ROUND(INDEX('M03-S03'!$AU$16:$AU$198,2*(ROWS($K$106:K120)-1)+1),2),0)</f>
        <v>0</v>
      </c>
      <c r="L120" s="52" t="str">
        <f>IFERROR(IF(R120&gt;0,M120*INDEX(PMEHVAC[Incremental Cost],MATCH(AB120,PMEHVAC[Eff Desc 1],0)),""),"")</f>
        <v/>
      </c>
      <c r="M120" s="456">
        <f>INDEX('M03-S03'!$V$16:$V$198,2*(ROWS($M$106:M120)-1)+1)</f>
        <v>0</v>
      </c>
      <c r="N120" s="184" t="str">
        <f>IF(ISNUMBER(INDEX('M03-S03'!$AO$16:$AO$198,2*(ROWS($R$106:R120)-1)+1)),INDEX('M03-S03'!$AK$16:$AK$198,2*(ROWS($N$106:N120)-1)+1),"")</f>
        <v/>
      </c>
      <c r="O120" s="456" t="str">
        <f>IFERROR(IF(ISNUMBER(INDEX('M03-S03'!$AO$16:$AO$198,2*(ROWS($R$106:R120)-1)+1)),INDEX('M03-S03'!$AV$16:$AV$198,2*(ROWS($O$106:O120)-1)+1),""),"")</f>
        <v/>
      </c>
      <c r="P120" s="456" t="str">
        <f>IFERROR(IF(ISNUMBER(INDEX('M03-S03'!$AO$16:$AO$198,2*(ROWS($R$106:R120)-1)+1)),INDEX('M03-S03'!$AY$16:$AY$198,2*(ROWS($O$106:P120)-1)+1),""),"")</f>
        <v/>
      </c>
      <c r="Q120" s="113"/>
      <c r="R120" s="184">
        <f>IF(ISNUMBER(INDEX('M03-S03'!$AO$16:$AO$198,2*(ROWS($R$106:R120)-1)+1)),INDEX('M03-S03'!$AO$16:$AO$198,2*(ROWS($R$106:R120)-1)+1),0)</f>
        <v>0</v>
      </c>
      <c r="S120" s="459"/>
      <c r="T120" s="113"/>
      <c r="U120" s="140"/>
      <c r="V120" s="113"/>
      <c r="W120" s="96">
        <f>IFERROR(IF(NOT(ISNUMBER(INDEX('M03-S03'!$AO$16:$AO$198,2*(ROWS($R$106:R120)-1)+1))),INDEX('M03-S03'!$BC$16:$BC$198,2*(ROWS($R$106:R120)-1)+1),""),"")</f>
        <v>0</v>
      </c>
      <c r="X120" s="113"/>
      <c r="Y120" s="113"/>
      <c r="Z120" s="111">
        <f>INDEX('M03-S03'!$B$16:$B$198,2*(ROWS($Z$106:Z120)-1)+1)</f>
        <v>15</v>
      </c>
      <c r="AA120" s="111" t="str">
        <f>INDEX('M03-S03'!$L$16:$L$199,2*(ROWS($Z$106:AA120)-1)+1)</f>
        <v/>
      </c>
      <c r="AB120" s="111">
        <f>INDEX('M03-S03'!$C$16:$C$198,2*(ROWS($Z$106:AB120)-1)+1)</f>
        <v>0</v>
      </c>
      <c r="AC120" t="str">
        <f>IFERROR(INDEX('M03-S03'!$J$16:$J$199,2*(ROWS(AC$106:AC120)-1)+1)&amp;" "&amp;INDEX('M03-S03'!$L$16:$L$199,2*(ROWS(AC$106:AC120)-1)+1)&amp;", "&amp;INDEX('M03-S03'!$P$16:$P$199,2*(ROWS(AC$106:AC120)-1)+1)&amp;" "&amp;INDEX('M03-S03'!$R$16:$R$199,2*(ROWS(AC$106:AC120)-1)+1),"")</f>
        <v xml:space="preserve"> ,  </v>
      </c>
      <c r="AD120" t="str">
        <f>IFERROR(INDEX('M03-S03'!$J$16:$J$199,2*(ROWS(AD$106:AD120)-1)+1)&amp;" "&amp;ROUND(INDEX('M03-S03'!$N$16:$N$199,2*(ROWS(AD$106:AD120)-1)+1),3),"")&amp;", "&amp;IFERROR(INDEX('M03-S03'!$P$16:$P$199,2*(ROWS(AD$106:AD120)-1)+1)&amp;" "&amp;ROUND(INDEX('M03-S03'!$T$16:$T$199,2*(ROWS(AD$106:AD120)-1)+1),3),"")</f>
        <v xml:space="preserve"> 0,  0</v>
      </c>
      <c r="AE120" s="459"/>
      <c r="AF120" s="459"/>
      <c r="AG120" s="112"/>
      <c r="AH120" s="112"/>
      <c r="AI120" s="112"/>
      <c r="AJ120" s="112"/>
      <c r="AK120" s="113"/>
      <c r="AL120" s="113"/>
      <c r="AM120" s="113"/>
      <c r="AN120" s="113"/>
      <c r="AO120" s="52" t="str">
        <f>IFERROR(INDEX(PMEHVAC[Program Design],MATCH(AB120,PMEHVAC[Eff Desc 1],0)),"")</f>
        <v/>
      </c>
      <c r="AU120"/>
    </row>
    <row r="121" spans="1:47">
      <c r="A121" s="57">
        <f t="shared" si="9"/>
        <v>0</v>
      </c>
      <c r="B121" s="183" t="str">
        <f t="shared" si="11"/>
        <v/>
      </c>
      <c r="C121" t="str">
        <f>IFERROR(IF(R121&gt;0,INDEX(PMEHVAC[Measure '#],MATCH(AB121,PMEHVAC[Eff Desc 1],0)),""),"")</f>
        <v/>
      </c>
      <c r="D121" t="s">
        <v>947</v>
      </c>
      <c r="F121" s="112"/>
      <c r="G121" s="186">
        <f>INDEX('M03-S03'!$N$16:$N$198,2*(ROWS($G$106:G121)-1)+1)</f>
        <v>0</v>
      </c>
      <c r="H121" s="186" t="str">
        <f>IF(ISNUMBER(INDEX('M03-S03'!$AO$16:$AO$198,2*(ROWS($R$106:R121)-1)+1)),"Total","")</f>
        <v/>
      </c>
      <c r="I121" s="184">
        <f>IFERROR(ROUND(INDEX('M03-S03'!$AA$16:$AA$198,2*(ROWS($I$106:I121)-1)+1),2),0)</f>
        <v>0</v>
      </c>
      <c r="J121" s="184">
        <f>IFERROR(ROUND(INDEX('M03-S03'!$AC$16:$AC$198,2*(ROWS($J$106:J121)-1)+1),2),0)</f>
        <v>0</v>
      </c>
      <c r="K121" s="52">
        <f>IFERROR(ROUND(INDEX('M03-S03'!$AU$16:$AU$198,2*(ROWS($K$106:K121)-1)+1),2),0)</f>
        <v>0</v>
      </c>
      <c r="L121" s="52" t="str">
        <f>IFERROR(IF(R121&gt;0,M121*INDEX(PMEHVAC[Incremental Cost],MATCH(AB121,PMEHVAC[Eff Desc 1],0)),""),"")</f>
        <v/>
      </c>
      <c r="M121" s="456">
        <f>INDEX('M03-S03'!$V$16:$V$198,2*(ROWS($M$106:M121)-1)+1)</f>
        <v>0</v>
      </c>
      <c r="N121" s="184" t="str">
        <f>IF(ISNUMBER(INDEX('M03-S03'!$AO$16:$AO$198,2*(ROWS($R$106:R121)-1)+1)),INDEX('M03-S03'!$AK$16:$AK$198,2*(ROWS($N$106:N121)-1)+1),"")</f>
        <v/>
      </c>
      <c r="O121" s="456" t="str">
        <f>IFERROR(IF(ISNUMBER(INDEX('M03-S03'!$AO$16:$AO$198,2*(ROWS($R$106:R121)-1)+1)),INDEX('M03-S03'!$AV$16:$AV$198,2*(ROWS($O$106:O121)-1)+1),""),"")</f>
        <v/>
      </c>
      <c r="P121" s="456" t="str">
        <f>IFERROR(IF(ISNUMBER(INDEX('M03-S03'!$AO$16:$AO$198,2*(ROWS($R$106:R121)-1)+1)),INDEX('M03-S03'!$AY$16:$AY$198,2*(ROWS($O$106:P121)-1)+1),""),"")</f>
        <v/>
      </c>
      <c r="Q121" s="113"/>
      <c r="R121" s="184">
        <f>IF(ISNUMBER(INDEX('M03-S03'!$AO$16:$AO$198,2*(ROWS($R$106:R121)-1)+1)),INDEX('M03-S03'!$AO$16:$AO$198,2*(ROWS($R$106:R121)-1)+1),0)</f>
        <v>0</v>
      </c>
      <c r="S121" s="459"/>
      <c r="T121" s="113"/>
      <c r="U121" s="140"/>
      <c r="V121" s="113"/>
      <c r="W121" s="96">
        <f>IFERROR(IF(NOT(ISNUMBER(INDEX('M03-S03'!$AO$16:$AO$198,2*(ROWS($R$106:R121)-1)+1))),INDEX('M03-S03'!$BC$16:$BC$198,2*(ROWS($R$106:R121)-1)+1),""),"")</f>
        <v>0</v>
      </c>
      <c r="X121" s="113"/>
      <c r="Y121" s="113"/>
      <c r="Z121" s="111">
        <f>INDEX('M03-S03'!$B$16:$B$198,2*(ROWS($Z$106:Z121)-1)+1)</f>
        <v>16</v>
      </c>
      <c r="AA121" s="111" t="str">
        <f>INDEX('M03-S03'!$L$16:$L$199,2*(ROWS($Z$106:AA121)-1)+1)</f>
        <v/>
      </c>
      <c r="AB121" s="111">
        <f>INDEX('M03-S03'!$C$16:$C$198,2*(ROWS($Z$106:AB121)-1)+1)</f>
        <v>0</v>
      </c>
      <c r="AC121" t="str">
        <f>IFERROR(INDEX('M03-S03'!$J$16:$J$199,2*(ROWS(AC$106:AC121)-1)+1)&amp;" "&amp;INDEX('M03-S03'!$L$16:$L$199,2*(ROWS(AC$106:AC121)-1)+1)&amp;", "&amp;INDEX('M03-S03'!$P$16:$P$199,2*(ROWS(AC$106:AC121)-1)+1)&amp;" "&amp;INDEX('M03-S03'!$R$16:$R$199,2*(ROWS(AC$106:AC121)-1)+1),"")</f>
        <v xml:space="preserve"> ,  </v>
      </c>
      <c r="AD121" t="str">
        <f>IFERROR(INDEX('M03-S03'!$J$16:$J$199,2*(ROWS(AD$106:AD121)-1)+1)&amp;" "&amp;ROUND(INDEX('M03-S03'!$N$16:$N$199,2*(ROWS(AD$106:AD121)-1)+1),3),"")&amp;", "&amp;IFERROR(INDEX('M03-S03'!$P$16:$P$199,2*(ROWS(AD$106:AD121)-1)+1)&amp;" "&amp;ROUND(INDEX('M03-S03'!$T$16:$T$199,2*(ROWS(AD$106:AD121)-1)+1),3),"")</f>
        <v xml:space="preserve"> 0,  0</v>
      </c>
      <c r="AE121" s="459"/>
      <c r="AF121" s="459"/>
      <c r="AG121" s="112"/>
      <c r="AH121" s="112"/>
      <c r="AI121" s="112"/>
      <c r="AJ121" s="112"/>
      <c r="AK121" s="113"/>
      <c r="AL121" s="113"/>
      <c r="AM121" s="113"/>
      <c r="AN121" s="113"/>
      <c r="AO121" s="52" t="str">
        <f>IFERROR(INDEX(PMEHVAC[Program Design],MATCH(AB121,PMEHVAC[Eff Desc 1],0)),"")</f>
        <v/>
      </c>
      <c r="AU121"/>
    </row>
    <row r="122" spans="1:47">
      <c r="A122" s="57">
        <f t="shared" si="9"/>
        <v>0</v>
      </c>
      <c r="B122" s="183" t="str">
        <f t="shared" si="11"/>
        <v/>
      </c>
      <c r="C122" t="str">
        <f>IFERROR(IF(R122&gt;0,INDEX(PMEHVAC[Measure '#],MATCH(AB122,PMEHVAC[Eff Desc 1],0)),""),"")</f>
        <v/>
      </c>
      <c r="D122" t="s">
        <v>947</v>
      </c>
      <c r="F122" s="112"/>
      <c r="G122" s="186">
        <f>INDEX('M03-S03'!$N$16:$N$198,2*(ROWS($G$106:G122)-1)+1)</f>
        <v>0</v>
      </c>
      <c r="H122" s="186" t="str">
        <f>IF(ISNUMBER(INDEX('M03-S03'!$AO$16:$AO$198,2*(ROWS($R$106:R122)-1)+1)),"Total","")</f>
        <v/>
      </c>
      <c r="I122" s="184">
        <f>IFERROR(ROUND(INDEX('M03-S03'!$AA$16:$AA$198,2*(ROWS($I$106:I122)-1)+1),2),0)</f>
        <v>0</v>
      </c>
      <c r="J122" s="184">
        <f>IFERROR(ROUND(INDEX('M03-S03'!$AC$16:$AC$198,2*(ROWS($J$106:J122)-1)+1),2),0)</f>
        <v>0</v>
      </c>
      <c r="K122" s="52">
        <f>IFERROR(ROUND(INDEX('M03-S03'!$AU$16:$AU$198,2*(ROWS($K$106:K122)-1)+1),2),0)</f>
        <v>0</v>
      </c>
      <c r="L122" s="52" t="str">
        <f>IFERROR(IF(R122&gt;0,M122*INDEX(PMEHVAC[Incremental Cost],MATCH(AB122,PMEHVAC[Eff Desc 1],0)),""),"")</f>
        <v/>
      </c>
      <c r="M122" s="456">
        <f>INDEX('M03-S03'!$V$16:$V$198,2*(ROWS($M$106:M122)-1)+1)</f>
        <v>0</v>
      </c>
      <c r="N122" s="184" t="str">
        <f>IF(ISNUMBER(INDEX('M03-S03'!$AO$16:$AO$198,2*(ROWS($R$106:R122)-1)+1)),INDEX('M03-S03'!$AK$16:$AK$198,2*(ROWS($N$106:N122)-1)+1),"")</f>
        <v/>
      </c>
      <c r="O122" s="456" t="str">
        <f>IFERROR(IF(ISNUMBER(INDEX('M03-S03'!$AO$16:$AO$198,2*(ROWS($R$106:R122)-1)+1)),INDEX('M03-S03'!$AV$16:$AV$198,2*(ROWS($O$106:O122)-1)+1),""),"")</f>
        <v/>
      </c>
      <c r="P122" s="456" t="str">
        <f>IFERROR(IF(ISNUMBER(INDEX('M03-S03'!$AO$16:$AO$198,2*(ROWS($R$106:R122)-1)+1)),INDEX('M03-S03'!$AY$16:$AY$198,2*(ROWS($O$106:P122)-1)+1),""),"")</f>
        <v/>
      </c>
      <c r="Q122" s="113"/>
      <c r="R122" s="184">
        <f>IF(ISNUMBER(INDEX('M03-S03'!$AO$16:$AO$198,2*(ROWS($R$106:R122)-1)+1)),INDEX('M03-S03'!$AO$16:$AO$198,2*(ROWS($R$106:R122)-1)+1),0)</f>
        <v>0</v>
      </c>
      <c r="S122" s="459"/>
      <c r="T122" s="113"/>
      <c r="U122" s="140"/>
      <c r="V122" s="113"/>
      <c r="W122" s="96">
        <f>IFERROR(IF(NOT(ISNUMBER(INDEX('M03-S03'!$AO$16:$AO$198,2*(ROWS($R$106:R122)-1)+1))),INDEX('M03-S03'!$BC$16:$BC$198,2*(ROWS($R$106:R122)-1)+1),""),"")</f>
        <v>0</v>
      </c>
      <c r="X122" s="113"/>
      <c r="Y122" s="113"/>
      <c r="Z122" s="111">
        <f>INDEX('M03-S03'!$B$16:$B$198,2*(ROWS($Z$106:Z122)-1)+1)</f>
        <v>17</v>
      </c>
      <c r="AA122" s="111" t="str">
        <f>INDEX('M03-S03'!$L$16:$L$199,2*(ROWS($Z$106:AA122)-1)+1)</f>
        <v/>
      </c>
      <c r="AB122" s="111">
        <f>INDEX('M03-S03'!$C$16:$C$198,2*(ROWS($Z$106:AB122)-1)+1)</f>
        <v>0</v>
      </c>
      <c r="AC122" t="str">
        <f>IFERROR(INDEX('M03-S03'!$J$16:$J$199,2*(ROWS(AC$106:AC122)-1)+1)&amp;" "&amp;INDEX('M03-S03'!$L$16:$L$199,2*(ROWS(AC$106:AC122)-1)+1)&amp;", "&amp;INDEX('M03-S03'!$P$16:$P$199,2*(ROWS(AC$106:AC122)-1)+1)&amp;" "&amp;INDEX('M03-S03'!$R$16:$R$199,2*(ROWS(AC$106:AC122)-1)+1),"")</f>
        <v xml:space="preserve"> ,  </v>
      </c>
      <c r="AD122" t="str">
        <f>IFERROR(INDEX('M03-S03'!$J$16:$J$199,2*(ROWS(AD$106:AD122)-1)+1)&amp;" "&amp;ROUND(INDEX('M03-S03'!$N$16:$N$199,2*(ROWS(AD$106:AD122)-1)+1),3),"")&amp;", "&amp;IFERROR(INDEX('M03-S03'!$P$16:$P$199,2*(ROWS(AD$106:AD122)-1)+1)&amp;" "&amp;ROUND(INDEX('M03-S03'!$T$16:$T$199,2*(ROWS(AD$106:AD122)-1)+1),3),"")</f>
        <v xml:space="preserve"> 0,  0</v>
      </c>
      <c r="AE122" s="459"/>
      <c r="AF122" s="459"/>
      <c r="AG122" s="112"/>
      <c r="AH122" s="112"/>
      <c r="AI122" s="112"/>
      <c r="AJ122" s="112"/>
      <c r="AK122" s="113"/>
      <c r="AL122" s="113"/>
      <c r="AM122" s="113"/>
      <c r="AN122" s="113"/>
      <c r="AO122" s="52" t="str">
        <f>IFERROR(INDEX(PMEHVAC[Program Design],MATCH(AB122,PMEHVAC[Eff Desc 1],0)),"")</f>
        <v/>
      </c>
      <c r="AU122"/>
    </row>
    <row r="123" spans="1:47">
      <c r="A123" s="57">
        <f t="shared" si="9"/>
        <v>0</v>
      </c>
      <c r="B123" s="183" t="str">
        <f t="shared" si="11"/>
        <v/>
      </c>
      <c r="C123" t="str">
        <f>IFERROR(IF(R123&gt;0,INDEX(PMEHVAC[Measure '#],MATCH(AB123,PMEHVAC[Eff Desc 1],0)),""),"")</f>
        <v/>
      </c>
      <c r="D123" t="s">
        <v>947</v>
      </c>
      <c r="F123" s="112"/>
      <c r="G123" s="186">
        <f>INDEX('M03-S03'!$N$16:$N$198,2*(ROWS($G$106:G123)-1)+1)</f>
        <v>0</v>
      </c>
      <c r="H123" s="186" t="str">
        <f>IF(ISNUMBER(INDEX('M03-S03'!$AO$16:$AO$198,2*(ROWS($R$106:R123)-1)+1)),"Total","")</f>
        <v/>
      </c>
      <c r="I123" s="184">
        <f>IFERROR(ROUND(INDEX('M03-S03'!$AA$16:$AA$198,2*(ROWS($I$106:I123)-1)+1),2),0)</f>
        <v>0</v>
      </c>
      <c r="J123" s="184">
        <f>IFERROR(ROUND(INDEX('M03-S03'!$AC$16:$AC$198,2*(ROWS($J$106:J123)-1)+1),2),0)</f>
        <v>0</v>
      </c>
      <c r="K123" s="52">
        <f>IFERROR(ROUND(INDEX('M03-S03'!$AU$16:$AU$198,2*(ROWS($K$106:K123)-1)+1),2),0)</f>
        <v>0</v>
      </c>
      <c r="L123" s="52" t="str">
        <f>IFERROR(IF(R123&gt;0,M123*INDEX(PMEHVAC[Incremental Cost],MATCH(AB123,PMEHVAC[Eff Desc 1],0)),""),"")</f>
        <v/>
      </c>
      <c r="M123" s="456">
        <f>INDEX('M03-S03'!$V$16:$V$198,2*(ROWS($M$106:M123)-1)+1)</f>
        <v>0</v>
      </c>
      <c r="N123" s="184" t="str">
        <f>IF(ISNUMBER(INDEX('M03-S03'!$AO$16:$AO$198,2*(ROWS($R$106:R123)-1)+1)),INDEX('M03-S03'!$AK$16:$AK$198,2*(ROWS($N$106:N123)-1)+1),"")</f>
        <v/>
      </c>
      <c r="O123" s="456" t="str">
        <f>IFERROR(IF(ISNUMBER(INDEX('M03-S03'!$AO$16:$AO$198,2*(ROWS($R$106:R123)-1)+1)),INDEX('M03-S03'!$AV$16:$AV$198,2*(ROWS($O$106:O123)-1)+1),""),"")</f>
        <v/>
      </c>
      <c r="P123" s="456" t="str">
        <f>IFERROR(IF(ISNUMBER(INDEX('M03-S03'!$AO$16:$AO$198,2*(ROWS($R$106:R123)-1)+1)),INDEX('M03-S03'!$AY$16:$AY$198,2*(ROWS($O$106:P123)-1)+1),""),"")</f>
        <v/>
      </c>
      <c r="Q123" s="113"/>
      <c r="R123" s="184">
        <f>IF(ISNUMBER(INDEX('M03-S03'!$AO$16:$AO$198,2*(ROWS($R$106:R123)-1)+1)),INDEX('M03-S03'!$AO$16:$AO$198,2*(ROWS($R$106:R123)-1)+1),0)</f>
        <v>0</v>
      </c>
      <c r="S123" s="459"/>
      <c r="T123" s="113"/>
      <c r="U123" s="140"/>
      <c r="V123" s="113"/>
      <c r="W123" s="96">
        <f>IFERROR(IF(NOT(ISNUMBER(INDEX('M03-S03'!$AO$16:$AO$198,2*(ROWS($R$106:R123)-1)+1))),INDEX('M03-S03'!$BC$16:$BC$198,2*(ROWS($R$106:R123)-1)+1),""),"")</f>
        <v>0</v>
      </c>
      <c r="X123" s="113"/>
      <c r="Y123" s="113"/>
      <c r="Z123" s="111">
        <f>INDEX('M03-S03'!$B$16:$B$198,2*(ROWS($Z$106:Z123)-1)+1)</f>
        <v>18</v>
      </c>
      <c r="AA123" s="111" t="str">
        <f>INDEX('M03-S03'!$L$16:$L$199,2*(ROWS($Z$106:AA123)-1)+1)</f>
        <v/>
      </c>
      <c r="AB123" s="111">
        <f>INDEX('M03-S03'!$C$16:$C$198,2*(ROWS($Z$106:AB123)-1)+1)</f>
        <v>0</v>
      </c>
      <c r="AC123" t="str">
        <f>IFERROR(INDEX('M03-S03'!$J$16:$J$199,2*(ROWS(AC$106:AC123)-1)+1)&amp;" "&amp;INDEX('M03-S03'!$L$16:$L$199,2*(ROWS(AC$106:AC123)-1)+1)&amp;", "&amp;INDEX('M03-S03'!$P$16:$P$199,2*(ROWS(AC$106:AC123)-1)+1)&amp;" "&amp;INDEX('M03-S03'!$R$16:$R$199,2*(ROWS(AC$106:AC123)-1)+1),"")</f>
        <v xml:space="preserve"> ,  </v>
      </c>
      <c r="AD123" t="str">
        <f>IFERROR(INDEX('M03-S03'!$J$16:$J$199,2*(ROWS(AD$106:AD123)-1)+1)&amp;" "&amp;ROUND(INDEX('M03-S03'!$N$16:$N$199,2*(ROWS(AD$106:AD123)-1)+1),3),"")&amp;", "&amp;IFERROR(INDEX('M03-S03'!$P$16:$P$199,2*(ROWS(AD$106:AD123)-1)+1)&amp;" "&amp;ROUND(INDEX('M03-S03'!$T$16:$T$199,2*(ROWS(AD$106:AD123)-1)+1),3),"")</f>
        <v xml:space="preserve"> 0,  0</v>
      </c>
      <c r="AE123" s="459"/>
      <c r="AF123" s="459"/>
      <c r="AG123" s="112"/>
      <c r="AH123" s="112"/>
      <c r="AI123" s="112"/>
      <c r="AJ123" s="112"/>
      <c r="AK123" s="113"/>
      <c r="AL123" s="113"/>
      <c r="AM123" s="113"/>
      <c r="AN123" s="113"/>
      <c r="AO123" s="52" t="str">
        <f>IFERROR(INDEX(PMEHVAC[Program Design],MATCH(AB123,PMEHVAC[Eff Desc 1],0)),"")</f>
        <v/>
      </c>
      <c r="AU123"/>
    </row>
    <row r="124" spans="1:47">
      <c r="A124" s="57">
        <f t="shared" si="9"/>
        <v>0</v>
      </c>
      <c r="B124" s="183" t="str">
        <f t="shared" si="11"/>
        <v/>
      </c>
      <c r="C124" t="str">
        <f>IFERROR(IF(R124&gt;0,INDEX(PMEHVAC[Measure '#],MATCH(AB124,PMEHVAC[Eff Desc 1],0)),""),"")</f>
        <v/>
      </c>
      <c r="D124" t="s">
        <v>947</v>
      </c>
      <c r="F124" s="112"/>
      <c r="G124" s="186">
        <f>INDEX('M03-S03'!$N$16:$N$198,2*(ROWS($G$106:G124)-1)+1)</f>
        <v>0</v>
      </c>
      <c r="H124" s="186" t="str">
        <f>IF(ISNUMBER(INDEX('M03-S03'!$AO$16:$AO$198,2*(ROWS($R$106:R124)-1)+1)),"Total","")</f>
        <v/>
      </c>
      <c r="I124" s="184">
        <f>IFERROR(ROUND(INDEX('M03-S03'!$AA$16:$AA$198,2*(ROWS($I$106:I124)-1)+1),2),0)</f>
        <v>0</v>
      </c>
      <c r="J124" s="184">
        <f>IFERROR(ROUND(INDEX('M03-S03'!$AC$16:$AC$198,2*(ROWS($J$106:J124)-1)+1),2),0)</f>
        <v>0</v>
      </c>
      <c r="K124" s="52">
        <f>IFERROR(ROUND(INDEX('M03-S03'!$AU$16:$AU$198,2*(ROWS($K$106:K124)-1)+1),2),0)</f>
        <v>0</v>
      </c>
      <c r="L124" s="52" t="str">
        <f>IFERROR(IF(R124&gt;0,M124*INDEX(PMEHVAC[Incremental Cost],MATCH(AB124,PMEHVAC[Eff Desc 1],0)),""),"")</f>
        <v/>
      </c>
      <c r="M124" s="456">
        <f>INDEX('M03-S03'!$V$16:$V$198,2*(ROWS($M$106:M124)-1)+1)</f>
        <v>0</v>
      </c>
      <c r="N124" s="184" t="str">
        <f>IF(ISNUMBER(INDEX('M03-S03'!$AO$16:$AO$198,2*(ROWS($R$106:R124)-1)+1)),INDEX('M03-S03'!$AK$16:$AK$198,2*(ROWS($N$106:N124)-1)+1),"")</f>
        <v/>
      </c>
      <c r="O124" s="456" t="str">
        <f>IFERROR(IF(ISNUMBER(INDEX('M03-S03'!$AO$16:$AO$198,2*(ROWS($R$106:R124)-1)+1)),INDEX('M03-S03'!$AV$16:$AV$198,2*(ROWS($O$106:O124)-1)+1),""),"")</f>
        <v/>
      </c>
      <c r="P124" s="456" t="str">
        <f>IFERROR(IF(ISNUMBER(INDEX('M03-S03'!$AO$16:$AO$198,2*(ROWS($R$106:R124)-1)+1)),INDEX('M03-S03'!$AY$16:$AY$198,2*(ROWS($O$106:P124)-1)+1),""),"")</f>
        <v/>
      </c>
      <c r="Q124" s="113"/>
      <c r="R124" s="184">
        <f>IF(ISNUMBER(INDEX('M03-S03'!$AO$16:$AO$198,2*(ROWS($R$106:R124)-1)+1)),INDEX('M03-S03'!$AO$16:$AO$198,2*(ROWS($R$106:R124)-1)+1),0)</f>
        <v>0</v>
      </c>
      <c r="S124" s="459"/>
      <c r="T124" s="113"/>
      <c r="U124" s="140"/>
      <c r="V124" s="113"/>
      <c r="W124" s="96">
        <f>IFERROR(IF(NOT(ISNUMBER(INDEX('M03-S03'!$AO$16:$AO$198,2*(ROWS($R$106:R124)-1)+1))),INDEX('M03-S03'!$BC$16:$BC$198,2*(ROWS($R$106:R124)-1)+1),""),"")</f>
        <v>0</v>
      </c>
      <c r="X124" s="113"/>
      <c r="Y124" s="113"/>
      <c r="Z124" s="111">
        <f>INDEX('M03-S03'!$B$16:$B$198,2*(ROWS($Z$106:Z124)-1)+1)</f>
        <v>19</v>
      </c>
      <c r="AA124" s="111" t="str">
        <f>INDEX('M03-S03'!$L$16:$L$199,2*(ROWS($Z$106:AA124)-1)+1)</f>
        <v/>
      </c>
      <c r="AB124" s="111">
        <f>INDEX('M03-S03'!$C$16:$C$198,2*(ROWS($Z$106:AB124)-1)+1)</f>
        <v>0</v>
      </c>
      <c r="AC124" t="str">
        <f>IFERROR(INDEX('M03-S03'!$J$16:$J$199,2*(ROWS(AC$106:AC124)-1)+1)&amp;" "&amp;INDEX('M03-S03'!$L$16:$L$199,2*(ROWS(AC$106:AC124)-1)+1)&amp;", "&amp;INDEX('M03-S03'!$P$16:$P$199,2*(ROWS(AC$106:AC124)-1)+1)&amp;" "&amp;INDEX('M03-S03'!$R$16:$R$199,2*(ROWS(AC$106:AC124)-1)+1),"")</f>
        <v xml:space="preserve"> ,  </v>
      </c>
      <c r="AD124" t="str">
        <f>IFERROR(INDEX('M03-S03'!$J$16:$J$199,2*(ROWS(AD$106:AD124)-1)+1)&amp;" "&amp;ROUND(INDEX('M03-S03'!$N$16:$N$199,2*(ROWS(AD$106:AD124)-1)+1),3),"")&amp;", "&amp;IFERROR(INDEX('M03-S03'!$P$16:$P$199,2*(ROWS(AD$106:AD124)-1)+1)&amp;" "&amp;ROUND(INDEX('M03-S03'!$T$16:$T$199,2*(ROWS(AD$106:AD124)-1)+1),3),"")</f>
        <v xml:space="preserve"> 0,  0</v>
      </c>
      <c r="AE124" s="459"/>
      <c r="AF124" s="459"/>
      <c r="AG124" s="112"/>
      <c r="AH124" s="112"/>
      <c r="AI124" s="112"/>
      <c r="AJ124" s="112"/>
      <c r="AK124" s="113"/>
      <c r="AL124" s="113"/>
      <c r="AM124" s="113"/>
      <c r="AN124" s="113"/>
      <c r="AO124" s="52" t="str">
        <f>IFERROR(INDEX(PMEHVAC[Program Design],MATCH(AB124,PMEHVAC[Eff Desc 1],0)),"")</f>
        <v/>
      </c>
      <c r="AU124"/>
    </row>
    <row r="125" spans="1:47">
      <c r="A125" s="57">
        <f t="shared" si="9"/>
        <v>0</v>
      </c>
      <c r="B125" s="183" t="str">
        <f t="shared" ca="1" si="11"/>
        <v/>
      </c>
      <c r="C125" s="559" t="str">
        <f ca="1">IFERROR(IF(R125&gt;0,INDEX(PMEBONUS[Measure '#],MATCH(AB125,PMEBONUS[Eff Desc 1],0)),""),"")</f>
        <v/>
      </c>
      <c r="D125" t="s">
        <v>947</v>
      </c>
      <c r="F125" s="112"/>
      <c r="G125" s="186">
        <f>INDEX('M03-S03'!$N$16:$N$198,2*(ROWS($G$106:G125)-1)+1)</f>
        <v>0</v>
      </c>
      <c r="H125" s="112"/>
      <c r="I125" s="184">
        <f>IFERROR(ROUND(INDEX('M03-S03'!$AA$16:$AA$198,2*(ROWS($I$106:I125)-1)+1),2),0)</f>
        <v>0</v>
      </c>
      <c r="J125" s="184">
        <f>IFERROR(ROUND(INDEX('M03-S03'!$AC$16:$AC$198,2*(ROWS($J$106:J125)-1)+1),2),0)</f>
        <v>0</v>
      </c>
      <c r="K125" s="52">
        <f>IFERROR(ROUND(INDEX('M03-S03'!$AU$16:$AU$198,2*(ROWS($K$106:K125)-1)+1),2),0)</f>
        <v>0</v>
      </c>
      <c r="M125" s="456">
        <f ca="1">INDEX('M03-S03'!$V$16:$V$198,2*(ROWS($M$106:M125)-1)+1)</f>
        <v>0</v>
      </c>
      <c r="N125" s="184" t="str">
        <f ca="1">IF(ISNUMBER(INDEX('M03-S03'!$AO$16:$AO$198,2*(ROWS($R$106:R125)-1)+1)),INDEX('M03-S03'!$AK$16:$AK$198,2*(ROWS($N$106:N125)-1)+1),"")</f>
        <v/>
      </c>
      <c r="O125" s="456"/>
      <c r="P125" s="456"/>
      <c r="Q125" s="113"/>
      <c r="R125" s="184">
        <f ca="1">IF(ISNUMBER(INDEX('M03-S03'!$AO$16:$AO$198,2*(ROWS($R$106:R125)-1)+1)),INDEX('M03-S03'!$AO$16:$AO$198,2*(ROWS($R$106:R125)-1)+1),0)</f>
        <v>0</v>
      </c>
      <c r="S125" s="459"/>
      <c r="T125" s="113"/>
      <c r="U125" s="140"/>
      <c r="V125" s="113"/>
      <c r="W125" s="96">
        <f ca="1">IFERROR(IF(NOT(ISNUMBER(INDEX('M03-S03'!$AO$16:$AO$198,2*(ROWS($R$106:R125)-1)+1))),INDEX('M03-S03'!$BC$16:$BC$198,2*(ROWS($R$106:R125)-1)+1),""),"")</f>
        <v>0</v>
      </c>
      <c r="X125" s="113"/>
      <c r="Y125" s="113"/>
      <c r="Z125" s="111">
        <f>INDEX('M03-S03'!$B$16:$B$198,2*(ROWS($Z$106:Z125)-1)+1)</f>
        <v>20</v>
      </c>
      <c r="AA125" s="111" t="str">
        <f ca="1">INDEX('M03-S03'!$L$16:$L$199,2*(ROWS($Z$106:AA125)-1)+1)</f>
        <v/>
      </c>
      <c r="AB125" s="111">
        <f ca="1">INDEX('M03-S03'!$C$16:$C$198,2*(ROWS($Z$106:AB125)-1)+1)</f>
        <v>0</v>
      </c>
      <c r="AC125" t="str">
        <f ca="1">IFERROR(INDEX('M03-S03'!$J$16:$J$199,2*(ROWS(AC$106:AC125)-1)+1)&amp;" "&amp;INDEX('M03-S03'!$L$16:$L$199,2*(ROWS(AC$106:AC125)-1)+1)&amp;", "&amp;INDEX('M03-S03'!$P$16:$P$199,2*(ROWS(AC$106:AC125)-1)+1)&amp;" "&amp;INDEX('M03-S03'!$R$16:$R$199,2*(ROWS(AC$106:AC125)-1)+1),"")</f>
        <v xml:space="preserve"> ,  </v>
      </c>
      <c r="AD125" t="str">
        <f>IFERROR(INDEX('M03-S03'!$J$16:$J$199,2*(ROWS(AD$106:AD125)-1)+1)&amp;" "&amp;ROUND(INDEX('M03-S03'!$N$16:$N$199,2*(ROWS(AD$106:AD125)-1)+1),3),"")&amp;", "&amp;IFERROR(INDEX('M03-S03'!$P$16:$P$199,2*(ROWS(AD$106:AD125)-1)+1)&amp;" "&amp;ROUND(INDEX('M03-S03'!$T$16:$T$199,2*(ROWS(AD$106:AD125)-1)+1),3),"")</f>
        <v xml:space="preserve"> 0,  0</v>
      </c>
      <c r="AE125" s="459"/>
      <c r="AF125" s="459"/>
      <c r="AG125" s="112"/>
      <c r="AH125" s="112"/>
      <c r="AI125" s="112"/>
      <c r="AJ125" s="112"/>
      <c r="AK125" s="113"/>
      <c r="AL125" s="113"/>
      <c r="AM125" s="113"/>
      <c r="AN125" s="113"/>
      <c r="AO125" s="52" t="str">
        <f ca="1">IFERROR(INDEX(PMEBONUS[Program Design],MATCH(AB125,PMEBONUS[Eff Desc 1])),"")</f>
        <v/>
      </c>
      <c r="AU125"/>
    </row>
    <row r="126" spans="1:47">
      <c r="A126" s="57">
        <f t="shared" si="9"/>
        <v>0</v>
      </c>
      <c r="B126" s="183" t="str">
        <f t="shared" si="11"/>
        <v/>
      </c>
      <c r="C126" t="str">
        <f>IFERROR(IF(R126&gt;0,INDEX(PMEHVAC[Measure '#],MATCH(AB126,PMEHVAC[Eff Desc 1],0)),""),"")</f>
        <v/>
      </c>
      <c r="D126" t="s">
        <v>947</v>
      </c>
      <c r="F126" s="112"/>
      <c r="G126" s="186">
        <f>INDEX('M03-S03'!$N$16:$N$198,2*(ROWS($G$106:G126)-1)+1)</f>
        <v>0</v>
      </c>
      <c r="H126" s="186"/>
      <c r="I126" s="184">
        <f>IFERROR(ROUND(INDEX('M03-S03'!$AA$16:$AA$198,2*(ROWS($I$106:I126)-1)+1),2),0)</f>
        <v>0</v>
      </c>
      <c r="J126" s="184">
        <f>IFERROR(ROUND(INDEX('M03-S03'!$AC$16:$AC$198,2*(ROWS($J$106:J126)-1)+1),2),0)</f>
        <v>0</v>
      </c>
      <c r="K126" s="52">
        <f>IFERROR(ROUND(INDEX('M03-S03'!$AU$16:$AU$198,2*(ROWS($K$106:K126)-1)+1),2),0)</f>
        <v>0</v>
      </c>
      <c r="M126" s="456">
        <f>INDEX('M03-S03'!$V$16:$V$198,2*(ROWS($M$106:M126)-1)+1)</f>
        <v>0</v>
      </c>
      <c r="N126" s="184" t="str">
        <f>IF(ISNUMBER(INDEX('M03-S03'!$AO$16:$AO$198,2*(ROWS($R$106:R126)-1)+1)),INDEX('M03-S03'!$AK$16:$AK$198,2*(ROWS($N$106:N126)-1)+1),"")</f>
        <v/>
      </c>
      <c r="O126" s="456" t="str">
        <f>IFERROR(IF(ISNUMBER(INDEX('M03-S03'!$AO$16:$AO$198,2*(ROWS($R$106:R126)-1)+1)),INDEX('M03-S03'!$AV$16:$AV$198,2*(ROWS($O$106:O126)-1)+1),""),"")</f>
        <v/>
      </c>
      <c r="P126" s="456" t="str">
        <f>IFERROR(IF(ISNUMBER(INDEX('M03-S03'!$AO$16:$AO$198,2*(ROWS($R$106:R126)-1)+1)),INDEX('M03-S03'!$AY$16:$AY$198,2*(ROWS($O$106:P126)-1)+1),""),"")</f>
        <v/>
      </c>
      <c r="Q126" s="113"/>
      <c r="R126" s="184">
        <f>IF(ISNUMBER(INDEX('M03-S03'!$AO$16:$AO$198,2*(ROWS($R$106:R126)-1)+1)),INDEX('M03-S03'!$AO$16:$AO$198,2*(ROWS($R$106:R126)-1)+1),0)</f>
        <v>0</v>
      </c>
      <c r="S126" s="459"/>
      <c r="T126" s="113"/>
      <c r="U126" s="140"/>
      <c r="V126" s="113"/>
      <c r="W126" s="96">
        <f>IFERROR(IF(NOT(ISNUMBER(INDEX('M03-S03'!$AO$16:$AO$198,2*(ROWS($R$106:R126)-1)+1))),INDEX('M03-S03'!$BC$16:$BC$198,2*(ROWS($R$106:R126)-1)+1),""),"")</f>
        <v>0</v>
      </c>
      <c r="X126" s="113"/>
      <c r="Y126" s="113"/>
      <c r="Z126" s="111">
        <f>INDEX('M03-S03'!$B$16:$B$198,2*(ROWS($Z$106:Z126)-1)+1)</f>
        <v>21</v>
      </c>
      <c r="AA126" s="111" t="str">
        <f>INDEX('M03-S03'!$L$16:$L$199,2*(ROWS($Z$106:AA126)-1)+1)</f>
        <v/>
      </c>
      <c r="AB126" s="111">
        <f>INDEX('M03-S03'!$C$16:$C$198,2*(ROWS($Z$106:AB126)-1)+1)</f>
        <v>0</v>
      </c>
      <c r="AC126" t="str">
        <f>IFERROR(INDEX('M03-S03'!$J$16:$J$199,2*(ROWS(AC$106:AC126)-1)+1)&amp;" "&amp;INDEX('M03-S03'!$L$16:$L$199,2*(ROWS(AC$106:AC126)-1)+1)&amp;", "&amp;INDEX('M03-S03'!$P$16:$P$199,2*(ROWS(AC$106:AC126)-1)+1)&amp;" "&amp;INDEX('M03-S03'!$R$16:$R$199,2*(ROWS(AC$106:AC126)-1)+1),"")</f>
        <v xml:space="preserve"> ,  </v>
      </c>
      <c r="AD126" t="str">
        <f>IFERROR(INDEX('M03-S03'!$J$16:$J$199,2*(ROWS(AD$106:AD126)-1)+1)&amp;" "&amp;ROUND(INDEX('M03-S03'!$N$16:$N$199,2*(ROWS(AD$106:AD126)-1)+1),3),"")&amp;", "&amp;IFERROR(INDEX('M03-S03'!$P$16:$P$199,2*(ROWS(AD$106:AD126)-1)+1)&amp;" "&amp;ROUND(INDEX('M03-S03'!$T$16:$T$199,2*(ROWS(AD$106:AD126)-1)+1),3),"")</f>
        <v xml:space="preserve"> 0,  0</v>
      </c>
      <c r="AE126" s="459"/>
      <c r="AF126" s="459"/>
      <c r="AG126" s="112"/>
      <c r="AH126" s="112"/>
      <c r="AI126" s="112"/>
      <c r="AJ126" s="112"/>
      <c r="AK126" s="113"/>
      <c r="AL126" s="113"/>
      <c r="AM126" s="113"/>
      <c r="AN126" s="113"/>
      <c r="AO126" s="52" t="str">
        <f>IFERROR(INDEX(PMEHVAC[Program Design],MATCH(AB126,PMEHVAC[Eff Desc 1],0)),"")</f>
        <v/>
      </c>
      <c r="AU126"/>
    </row>
    <row r="127" spans="1:47">
      <c r="A127" s="57">
        <f t="shared" si="9"/>
        <v>0</v>
      </c>
      <c r="B127" s="183" t="str">
        <f t="shared" si="11"/>
        <v/>
      </c>
      <c r="C127" t="str">
        <f>IFERROR(IF(R127&gt;0,INDEX(PMEHVAC[Measure '#],MATCH(AB127,PMEHVAC[Eff Desc 1],0)),""),"")</f>
        <v/>
      </c>
      <c r="D127" t="s">
        <v>947</v>
      </c>
      <c r="F127" s="112"/>
      <c r="G127" s="186">
        <f>INDEX('M03-S03'!$N$16:$N$198,2*(ROWS($G$106:G127)-1)+1)</f>
        <v>0</v>
      </c>
      <c r="H127" s="186"/>
      <c r="I127" s="184">
        <f>IFERROR(ROUND(INDEX('M03-S03'!$AA$16:$AA$198,2*(ROWS($I$106:I127)-1)+1),2),0)</f>
        <v>0</v>
      </c>
      <c r="J127" s="184">
        <f>IFERROR(ROUND(INDEX('M03-S03'!$AC$16:$AC$198,2*(ROWS($J$106:J127)-1)+1),2),0)</f>
        <v>0</v>
      </c>
      <c r="K127" s="52">
        <f>IFERROR(ROUND(INDEX('M03-S03'!$AU$16:$AU$198,2*(ROWS($K$106:K127)-1)+1),2),0)</f>
        <v>0</v>
      </c>
      <c r="M127" s="456">
        <f>INDEX('M03-S03'!$V$16:$V$198,2*(ROWS($M$106:M127)-1)+1)</f>
        <v>0</v>
      </c>
      <c r="N127" s="184" t="str">
        <f>IF(ISNUMBER(INDEX('M03-S03'!$AO$16:$AO$198,2*(ROWS($R$106:R127)-1)+1)),INDEX('M03-S03'!$AK$16:$AK$198,2*(ROWS($N$106:N127)-1)+1),"")</f>
        <v/>
      </c>
      <c r="O127" s="456" t="str">
        <f>IFERROR(IF(ISNUMBER(INDEX('M03-S03'!$AO$16:$AO$198,2*(ROWS($R$106:R127)-1)+1)),INDEX('M03-S03'!$AV$16:$AV$198,2*(ROWS($O$106:O127)-1)+1),""),"")</f>
        <v/>
      </c>
      <c r="P127" s="456" t="str">
        <f>IFERROR(IF(ISNUMBER(INDEX('M03-S03'!$AO$16:$AO$198,2*(ROWS($R$106:R127)-1)+1)),INDEX('M03-S03'!$AY$16:$AY$198,2*(ROWS($O$106:P127)-1)+1),""),"")</f>
        <v/>
      </c>
      <c r="Q127" s="113"/>
      <c r="R127" s="184">
        <f>IF(ISNUMBER(INDEX('M03-S03'!$AO$16:$AO$198,2*(ROWS($R$106:R127)-1)+1)),INDEX('M03-S03'!$AO$16:$AO$198,2*(ROWS($R$106:R127)-1)+1),0)</f>
        <v>0</v>
      </c>
      <c r="S127" s="459"/>
      <c r="T127" s="113"/>
      <c r="U127" s="140"/>
      <c r="V127" s="113"/>
      <c r="W127" s="96">
        <f>IFERROR(IF(NOT(ISNUMBER(INDEX('M03-S03'!$AO$16:$AO$198,2*(ROWS($R$106:R127)-1)+1))),INDEX('M03-S03'!$BC$16:$BC$198,2*(ROWS($R$106:R127)-1)+1),""),"")</f>
        <v>0</v>
      </c>
      <c r="X127" s="113"/>
      <c r="Y127" s="113"/>
      <c r="Z127" s="111">
        <f>INDEX('M03-S03'!$B$16:$B$198,2*(ROWS($Z$106:Z127)-1)+1)</f>
        <v>22</v>
      </c>
      <c r="AA127" s="111" t="str">
        <f>INDEX('M03-S03'!$L$16:$L$199,2*(ROWS($Z$106:AA127)-1)+1)</f>
        <v/>
      </c>
      <c r="AB127" s="111">
        <f>INDEX('M03-S03'!$C$16:$C$198,2*(ROWS($Z$106:AB127)-1)+1)</f>
        <v>0</v>
      </c>
      <c r="AC127" t="str">
        <f>IFERROR(INDEX('M03-S03'!$J$16:$J$199,2*(ROWS(AC$106:AC127)-1)+1)&amp;" "&amp;INDEX('M03-S03'!$L$16:$L$199,2*(ROWS(AC$106:AC127)-1)+1)&amp;", "&amp;INDEX('M03-S03'!$P$16:$P$199,2*(ROWS(AC$106:AC127)-1)+1)&amp;" "&amp;INDEX('M03-S03'!$R$16:$R$199,2*(ROWS(AC$106:AC127)-1)+1),"")</f>
        <v xml:space="preserve"> ,  </v>
      </c>
      <c r="AD127" t="str">
        <f>IFERROR(INDEX('M03-S03'!$J$16:$J$199,2*(ROWS(AD$106:AD127)-1)+1)&amp;" "&amp;ROUND(INDEX('M03-S03'!$N$16:$N$199,2*(ROWS(AD$106:AD127)-1)+1),3),"")&amp;", "&amp;IFERROR(INDEX('M03-S03'!$P$16:$P$199,2*(ROWS(AD$106:AD127)-1)+1)&amp;" "&amp;ROUND(INDEX('M03-S03'!$T$16:$T$199,2*(ROWS(AD$106:AD127)-1)+1),3),"")</f>
        <v xml:space="preserve"> 0,  0</v>
      </c>
      <c r="AE127" s="459"/>
      <c r="AF127" s="459"/>
      <c r="AG127" s="112"/>
      <c r="AH127" s="112"/>
      <c r="AI127" s="112"/>
      <c r="AJ127" s="112"/>
      <c r="AK127" s="113"/>
      <c r="AL127" s="113"/>
      <c r="AM127" s="113"/>
      <c r="AN127" s="113"/>
      <c r="AO127" s="52" t="str">
        <f>IFERROR(INDEX(PMEHVAC[Program Design],MATCH(AB127,PMEHVAC[Eff Desc 1],0)),"")</f>
        <v/>
      </c>
      <c r="AU127"/>
    </row>
    <row r="128" spans="1:47">
      <c r="A128" s="57">
        <f t="shared" si="9"/>
        <v>0</v>
      </c>
      <c r="B128" s="183" t="str">
        <f t="shared" si="11"/>
        <v/>
      </c>
      <c r="C128" t="str">
        <f>IFERROR(IF(R128&gt;0,INDEX(PMEHVAC[Measure '#],MATCH(AB128,PMEHVAC[Eff Desc 1],0)),""),"")</f>
        <v/>
      </c>
      <c r="D128" t="s">
        <v>947</v>
      </c>
      <c r="F128" s="112"/>
      <c r="G128" s="186">
        <f>INDEX('M03-S03'!$N$16:$N$198,2*(ROWS($G$106:G128)-1)+1)</f>
        <v>0</v>
      </c>
      <c r="H128" s="186"/>
      <c r="I128" s="184">
        <f>IFERROR(ROUND(INDEX('M03-S03'!$AA$16:$AA$198,2*(ROWS($I$106:I128)-1)+1),2),0)</f>
        <v>0</v>
      </c>
      <c r="J128" s="184">
        <f>IFERROR(ROUND(INDEX('M03-S03'!$AC$16:$AC$198,2*(ROWS($J$106:J128)-1)+1),2),0)</f>
        <v>0</v>
      </c>
      <c r="K128" s="52">
        <f>IFERROR(ROUND(INDEX('M03-S03'!$AU$16:$AU$198,2*(ROWS($K$106:K128)-1)+1),2),0)</f>
        <v>0</v>
      </c>
      <c r="M128" s="456">
        <f>INDEX('M03-S03'!$V$16:$V$198,2*(ROWS($M$106:M128)-1)+1)</f>
        <v>0</v>
      </c>
      <c r="N128" s="184" t="str">
        <f>IF(ISNUMBER(INDEX('M03-S03'!$AO$16:$AO$198,2*(ROWS($R$106:R128)-1)+1)),INDEX('M03-S03'!$AK$16:$AK$198,2*(ROWS($N$106:N128)-1)+1),"")</f>
        <v/>
      </c>
      <c r="O128" s="456" t="str">
        <f>IFERROR(IF(ISNUMBER(INDEX('M03-S03'!$AO$16:$AO$198,2*(ROWS($R$106:R128)-1)+1)),INDEX('M03-S03'!$AV$16:$AV$198,2*(ROWS($O$106:O128)-1)+1),""),"")</f>
        <v/>
      </c>
      <c r="P128" s="456" t="str">
        <f>IFERROR(IF(ISNUMBER(INDEX('M03-S03'!$AO$16:$AO$198,2*(ROWS($R$106:R128)-1)+1)),INDEX('M03-S03'!$AY$16:$AY$198,2*(ROWS($O$106:P128)-1)+1),""),"")</f>
        <v/>
      </c>
      <c r="Q128" s="113"/>
      <c r="R128" s="184">
        <f>IF(ISNUMBER(INDEX('M03-S03'!$AO$16:$AO$198,2*(ROWS($R$106:R128)-1)+1)),INDEX('M03-S03'!$AO$16:$AO$198,2*(ROWS($R$106:R128)-1)+1),0)</f>
        <v>0</v>
      </c>
      <c r="S128" s="459"/>
      <c r="T128" s="113"/>
      <c r="U128" s="140"/>
      <c r="V128" s="113"/>
      <c r="W128" s="96">
        <f>IFERROR(IF(NOT(ISNUMBER(INDEX('M03-S03'!$AO$16:$AO$198,2*(ROWS($R$106:R128)-1)+1))),INDEX('M03-S03'!$BC$16:$BC$198,2*(ROWS($R$106:R128)-1)+1),""),"")</f>
        <v>0</v>
      </c>
      <c r="X128" s="113"/>
      <c r="Y128" s="113"/>
      <c r="Z128" s="111">
        <f>INDEX('M03-S03'!$B$16:$B$198,2*(ROWS($Z$106:Z128)-1)+1)</f>
        <v>23</v>
      </c>
      <c r="AA128" s="111" t="str">
        <f>INDEX('M03-S03'!$L$16:$L$199,2*(ROWS($Z$106:AA128)-1)+1)</f>
        <v/>
      </c>
      <c r="AB128" s="111">
        <f>INDEX('M03-S03'!$C$16:$C$198,2*(ROWS($Z$106:AB128)-1)+1)</f>
        <v>0</v>
      </c>
      <c r="AC128" t="str">
        <f>IFERROR(INDEX('M03-S03'!$J$16:$J$199,2*(ROWS(AC$106:AC128)-1)+1)&amp;" "&amp;INDEX('M03-S03'!$L$16:$L$199,2*(ROWS(AC$106:AC128)-1)+1)&amp;", "&amp;INDEX('M03-S03'!$P$16:$P$199,2*(ROWS(AC$106:AC128)-1)+1)&amp;" "&amp;INDEX('M03-S03'!$R$16:$R$199,2*(ROWS(AC$106:AC128)-1)+1),"")</f>
        <v xml:space="preserve"> ,  </v>
      </c>
      <c r="AD128" t="str">
        <f>IFERROR(INDEX('M03-S03'!$J$16:$J$199,2*(ROWS(AD$106:AD128)-1)+1)&amp;" "&amp;ROUND(INDEX('M03-S03'!$N$16:$N$199,2*(ROWS(AD$106:AD128)-1)+1),3),"")&amp;", "&amp;IFERROR(INDEX('M03-S03'!$P$16:$P$199,2*(ROWS(AD$106:AD128)-1)+1)&amp;" "&amp;ROUND(INDEX('M03-S03'!$T$16:$T$199,2*(ROWS(AD$106:AD128)-1)+1),3),"")</f>
        <v xml:space="preserve"> 0,  0</v>
      </c>
      <c r="AE128" s="459"/>
      <c r="AF128" s="459"/>
      <c r="AG128" s="112"/>
      <c r="AH128" s="112"/>
      <c r="AI128" s="112"/>
      <c r="AJ128" s="112"/>
      <c r="AK128" s="113"/>
      <c r="AL128" s="113"/>
      <c r="AM128" s="113"/>
      <c r="AN128" s="113"/>
      <c r="AO128" s="52" t="str">
        <f>IFERROR(INDEX(PMEHVAC[Program Design],MATCH(AB128,PMEHVAC[Eff Desc 1],0)),"")</f>
        <v/>
      </c>
      <c r="AU128"/>
    </row>
    <row r="129" spans="1:47">
      <c r="A129" s="57">
        <f t="shared" si="9"/>
        <v>0</v>
      </c>
      <c r="B129" s="183" t="str">
        <f t="shared" si="11"/>
        <v/>
      </c>
      <c r="C129" t="str">
        <f>IFERROR(IF(R129&gt;0,INDEX(PMEHVAC[Measure '#],MATCH(AB129,PMEHVAC[Eff Desc 1],0)),""),"")</f>
        <v/>
      </c>
      <c r="D129" t="s">
        <v>947</v>
      </c>
      <c r="F129" s="112"/>
      <c r="G129" s="186">
        <f>INDEX('M03-S03'!$N$16:$N$198,2*(ROWS($G$106:G129)-1)+1)</f>
        <v>0</v>
      </c>
      <c r="H129" s="186"/>
      <c r="I129" s="184">
        <f>IFERROR(ROUND(INDEX('M03-S03'!$AA$16:$AA$198,2*(ROWS($I$106:I129)-1)+1),2),0)</f>
        <v>0</v>
      </c>
      <c r="J129" s="184">
        <f>IFERROR(ROUND(INDEX('M03-S03'!$AC$16:$AC$198,2*(ROWS($J$106:J129)-1)+1),2),0)</f>
        <v>0</v>
      </c>
      <c r="K129" s="52">
        <f>IFERROR(ROUND(INDEX('M03-S03'!$AU$16:$AU$198,2*(ROWS($K$106:K129)-1)+1),2),0)</f>
        <v>0</v>
      </c>
      <c r="M129" s="456">
        <f>INDEX('M03-S03'!$V$16:$V$198,2*(ROWS($M$106:M129)-1)+1)</f>
        <v>0</v>
      </c>
      <c r="N129" s="184" t="str">
        <f>IF(ISNUMBER(INDEX('M03-S03'!$AO$16:$AO$198,2*(ROWS($R$106:R129)-1)+1)),INDEX('M03-S03'!$AK$16:$AK$198,2*(ROWS($N$106:N129)-1)+1),"")</f>
        <v/>
      </c>
      <c r="O129" s="456" t="str">
        <f>IFERROR(IF(ISNUMBER(INDEX('M03-S03'!$AO$16:$AO$198,2*(ROWS($R$106:R129)-1)+1)),INDEX('M03-S03'!$AV$16:$AV$198,2*(ROWS($O$106:O129)-1)+1),""),"")</f>
        <v/>
      </c>
      <c r="P129" s="456" t="str">
        <f>IFERROR(IF(ISNUMBER(INDEX('M03-S03'!$AO$16:$AO$198,2*(ROWS($R$106:R129)-1)+1)),INDEX('M03-S03'!$AY$16:$AY$198,2*(ROWS($O$106:P129)-1)+1),""),"")</f>
        <v/>
      </c>
      <c r="Q129" s="113"/>
      <c r="R129" s="184">
        <f>IF(ISNUMBER(INDEX('M03-S03'!$AO$16:$AO$198,2*(ROWS($R$106:R129)-1)+1)),INDEX('M03-S03'!$AO$16:$AO$198,2*(ROWS($R$106:R129)-1)+1),0)</f>
        <v>0</v>
      </c>
      <c r="S129" s="459"/>
      <c r="T129" s="113"/>
      <c r="U129" s="140"/>
      <c r="V129" s="113"/>
      <c r="W129" s="96">
        <f>IFERROR(IF(NOT(ISNUMBER(INDEX('M03-S03'!$AO$16:$AO$198,2*(ROWS($R$106:R129)-1)+1))),INDEX('M03-S03'!$BC$16:$BC$198,2*(ROWS($R$106:R129)-1)+1),""),"")</f>
        <v>0</v>
      </c>
      <c r="X129" s="113"/>
      <c r="Y129" s="113"/>
      <c r="Z129" s="111">
        <f>INDEX('M03-S03'!$B$16:$B$198,2*(ROWS($Z$106:Z129)-1)+1)</f>
        <v>24</v>
      </c>
      <c r="AA129" s="111" t="str">
        <f>INDEX('M03-S03'!$L$16:$L$199,2*(ROWS($Z$106:AA129)-1)+1)</f>
        <v/>
      </c>
      <c r="AB129" s="111">
        <f>INDEX('M03-S03'!$C$16:$C$198,2*(ROWS($Z$106:AB129)-1)+1)</f>
        <v>0</v>
      </c>
      <c r="AC129" t="str">
        <f>IFERROR(INDEX('M03-S03'!$J$16:$J$199,2*(ROWS(AC$106:AC129)-1)+1)&amp;" "&amp;INDEX('M03-S03'!$L$16:$L$199,2*(ROWS(AC$106:AC129)-1)+1)&amp;", "&amp;INDEX('M03-S03'!$P$16:$P$199,2*(ROWS(AC$106:AC129)-1)+1)&amp;" "&amp;INDEX('M03-S03'!$R$16:$R$199,2*(ROWS(AC$106:AC129)-1)+1),"")</f>
        <v xml:space="preserve"> ,  </v>
      </c>
      <c r="AD129" t="str">
        <f>IFERROR(INDEX('M03-S03'!$J$16:$J$199,2*(ROWS(AD$106:AD129)-1)+1)&amp;" "&amp;ROUND(INDEX('M03-S03'!$N$16:$N$199,2*(ROWS(AD$106:AD129)-1)+1),3),"")&amp;", "&amp;IFERROR(INDEX('M03-S03'!$P$16:$P$199,2*(ROWS(AD$106:AD129)-1)+1)&amp;" "&amp;ROUND(INDEX('M03-S03'!$T$16:$T$199,2*(ROWS(AD$106:AD129)-1)+1),3),"")</f>
        <v xml:space="preserve"> 0,  0</v>
      </c>
      <c r="AE129" s="459"/>
      <c r="AF129" s="459"/>
      <c r="AG129" s="112"/>
      <c r="AH129" s="112"/>
      <c r="AI129" s="112"/>
      <c r="AJ129" s="112"/>
      <c r="AK129" s="113"/>
      <c r="AL129" s="113"/>
      <c r="AM129" s="113"/>
      <c r="AN129" s="113"/>
      <c r="AO129" s="52" t="str">
        <f>IFERROR(INDEX(PMEHVAC[Program Design],MATCH(AB129,PMEHVAC[Eff Desc 1],0)),"")</f>
        <v/>
      </c>
      <c r="AU129"/>
    </row>
    <row r="130" spans="1:47">
      <c r="A130" s="57">
        <f t="shared" si="9"/>
        <v>0</v>
      </c>
      <c r="B130" s="183" t="str">
        <f t="shared" si="11"/>
        <v/>
      </c>
      <c r="C130" t="str">
        <f>IFERROR(IF(R130&gt;0,INDEX(PMEHVAC[Measure '#],MATCH(AB130,PMEHVAC[Eff Desc 1],0)),""),"")</f>
        <v/>
      </c>
      <c r="D130" t="s">
        <v>947</v>
      </c>
      <c r="F130" s="112"/>
      <c r="G130" s="186">
        <f>INDEX('M03-S03'!$N$16:$N$198,2*(ROWS($G$106:G130)-1)+1)</f>
        <v>0</v>
      </c>
      <c r="H130" s="186"/>
      <c r="I130" s="184">
        <f>IFERROR(ROUND(INDEX('M03-S03'!$AA$16:$AA$198,2*(ROWS($I$106:I130)-1)+1),2),0)</f>
        <v>0</v>
      </c>
      <c r="J130" s="184">
        <f>IFERROR(ROUND(INDEX('M03-S03'!$AC$16:$AC$198,2*(ROWS($J$106:J130)-1)+1),2),0)</f>
        <v>0</v>
      </c>
      <c r="K130" s="52">
        <f>IFERROR(ROUND(INDEX('M03-S03'!$AU$16:$AU$198,2*(ROWS($K$106:K130)-1)+1),2),0)</f>
        <v>0</v>
      </c>
      <c r="M130" s="456">
        <f>INDEX('M03-S03'!$V$16:$V$198,2*(ROWS($M$106:M130)-1)+1)</f>
        <v>0</v>
      </c>
      <c r="N130" s="184" t="str">
        <f>IF(ISNUMBER(INDEX('M03-S03'!$AO$16:$AO$198,2*(ROWS($R$106:R130)-1)+1)),INDEX('M03-S03'!$AK$16:$AK$198,2*(ROWS($N$106:N130)-1)+1),"")</f>
        <v/>
      </c>
      <c r="O130" s="456" t="str">
        <f>IFERROR(IF(ISNUMBER(INDEX('M03-S03'!$AO$16:$AO$198,2*(ROWS($R$106:R130)-1)+1)),INDEX('M03-S03'!$AV$16:$AV$198,2*(ROWS($O$106:O130)-1)+1),""),"")</f>
        <v/>
      </c>
      <c r="P130" s="456" t="str">
        <f>IFERROR(IF(ISNUMBER(INDEX('M03-S03'!$AO$16:$AO$198,2*(ROWS($R$106:R130)-1)+1)),INDEX('M03-S03'!$AY$16:$AY$198,2*(ROWS($O$106:P130)-1)+1),""),"")</f>
        <v/>
      </c>
      <c r="Q130" s="113"/>
      <c r="R130" s="184">
        <f>IF(ISNUMBER(INDEX('M03-S03'!$AO$16:$AO$198,2*(ROWS($R$106:R130)-1)+1)),INDEX('M03-S03'!$AO$16:$AO$198,2*(ROWS($R$106:R130)-1)+1),0)</f>
        <v>0</v>
      </c>
      <c r="S130" s="459"/>
      <c r="T130" s="113"/>
      <c r="U130" s="140"/>
      <c r="V130" s="113"/>
      <c r="W130" s="96">
        <f>IFERROR(IF(NOT(ISNUMBER(INDEX('M03-S03'!$AO$16:$AO$198,2*(ROWS($R$106:R130)-1)+1))),INDEX('M03-S03'!$BC$16:$BC$198,2*(ROWS($R$106:R130)-1)+1),""),"")</f>
        <v>0</v>
      </c>
      <c r="X130" s="113"/>
      <c r="Y130" s="113"/>
      <c r="Z130" s="111">
        <f>INDEX('M03-S03'!$B$16:$B$198,2*(ROWS($Z$106:Z130)-1)+1)</f>
        <v>25</v>
      </c>
      <c r="AA130" s="111" t="str">
        <f>INDEX('M03-S03'!$L$16:$L$199,2*(ROWS($Z$106:AA130)-1)+1)</f>
        <v/>
      </c>
      <c r="AB130" s="111">
        <f>INDEX('M03-S03'!$C$16:$C$198,2*(ROWS($Z$106:AB130)-1)+1)</f>
        <v>0</v>
      </c>
      <c r="AC130" t="str">
        <f>IFERROR(INDEX('M03-S03'!$J$16:$J$199,2*(ROWS(AC$106:AC130)-1)+1)&amp;" "&amp;INDEX('M03-S03'!$L$16:$L$199,2*(ROWS(AC$106:AC130)-1)+1)&amp;", "&amp;INDEX('M03-S03'!$P$16:$P$199,2*(ROWS(AC$106:AC130)-1)+1)&amp;" "&amp;INDEX('M03-S03'!$R$16:$R$199,2*(ROWS(AC$106:AC130)-1)+1),"")</f>
        <v xml:space="preserve"> ,  </v>
      </c>
      <c r="AD130" t="str">
        <f>IFERROR(INDEX('M03-S03'!$J$16:$J$199,2*(ROWS(AD$106:AD130)-1)+1)&amp;" "&amp;ROUND(INDEX('M03-S03'!$N$16:$N$199,2*(ROWS(AD$106:AD130)-1)+1),3),"")&amp;", "&amp;IFERROR(INDEX('M03-S03'!$P$16:$P$199,2*(ROWS(AD$106:AD130)-1)+1)&amp;" "&amp;ROUND(INDEX('M03-S03'!$T$16:$T$199,2*(ROWS(AD$106:AD130)-1)+1),3),"")</f>
        <v xml:space="preserve"> 0,  0</v>
      </c>
      <c r="AE130" s="459"/>
      <c r="AF130" s="459"/>
      <c r="AG130" s="112"/>
      <c r="AH130" s="112"/>
      <c r="AI130" s="112"/>
      <c r="AJ130" s="112"/>
      <c r="AK130" s="113"/>
      <c r="AL130" s="113"/>
      <c r="AM130" s="113"/>
      <c r="AN130" s="113"/>
      <c r="AO130" s="52" t="str">
        <f>IFERROR(INDEX(PMEHVAC[Program Design],MATCH(AB130,PMEHVAC[Eff Desc 1],0)),"")</f>
        <v/>
      </c>
      <c r="AU130"/>
    </row>
    <row r="131" spans="1:47">
      <c r="A131" s="57">
        <f t="shared" si="9"/>
        <v>0</v>
      </c>
      <c r="B131" s="183" t="str">
        <f t="shared" si="11"/>
        <v/>
      </c>
      <c r="C131" t="str">
        <f>IFERROR(IF(R131&gt;0,INDEX(PMEHVAC[Measure '#],MATCH(AB131,PMEHVAC[Eff Desc 1],0)),""),"")</f>
        <v/>
      </c>
      <c r="D131" t="s">
        <v>947</v>
      </c>
      <c r="F131" s="112"/>
      <c r="G131" s="186">
        <f>INDEX('M03-S03'!$N$16:$N$198,2*(ROWS($G$106:G131)-1)+1)</f>
        <v>0</v>
      </c>
      <c r="H131" s="186"/>
      <c r="I131" s="184">
        <f>IFERROR(ROUND(INDEX('M03-S03'!$AA$16:$AA$198,2*(ROWS($I$106:I131)-1)+1),2),0)</f>
        <v>0</v>
      </c>
      <c r="J131" s="184">
        <f>IFERROR(ROUND(INDEX('M03-S03'!$AC$16:$AC$198,2*(ROWS($J$106:J131)-1)+1),2),0)</f>
        <v>0</v>
      </c>
      <c r="K131" s="52">
        <f>IFERROR(ROUND(INDEX('M03-S03'!$AU$16:$AU$198,2*(ROWS($K$106:K131)-1)+1),2),0)</f>
        <v>0</v>
      </c>
      <c r="M131" s="456">
        <f>INDEX('M03-S03'!$V$16:$V$198,2*(ROWS($M$106:M131)-1)+1)</f>
        <v>0</v>
      </c>
      <c r="N131" s="184" t="str">
        <f>IF(ISNUMBER(INDEX('M03-S03'!$AO$16:$AO$198,2*(ROWS($R$106:R131)-1)+1)),INDEX('M03-S03'!$AK$16:$AK$198,2*(ROWS($N$106:N131)-1)+1),"")</f>
        <v/>
      </c>
      <c r="O131" s="456" t="str">
        <f>IFERROR(IF(ISNUMBER(INDEX('M03-S03'!$AO$16:$AO$198,2*(ROWS($R$106:R131)-1)+1)),INDEX('M03-S03'!$AV$16:$AV$198,2*(ROWS($O$106:O131)-1)+1),""),"")</f>
        <v/>
      </c>
      <c r="P131" s="456" t="str">
        <f>IFERROR(IF(ISNUMBER(INDEX('M03-S03'!$AO$16:$AO$198,2*(ROWS($R$106:R131)-1)+1)),INDEX('M03-S03'!$AY$16:$AY$198,2*(ROWS($O$106:P131)-1)+1),""),"")</f>
        <v/>
      </c>
      <c r="Q131" s="113"/>
      <c r="R131" s="184">
        <f>IF(ISNUMBER(INDEX('M03-S03'!$AO$16:$AO$198,2*(ROWS($R$106:R131)-1)+1)),INDEX('M03-S03'!$AO$16:$AO$198,2*(ROWS($R$106:R131)-1)+1),0)</f>
        <v>0</v>
      </c>
      <c r="S131" s="459"/>
      <c r="T131" s="113"/>
      <c r="U131" s="140"/>
      <c r="V131" s="113"/>
      <c r="W131" s="96">
        <f>IFERROR(IF(NOT(ISNUMBER(INDEX('M03-S03'!$AO$16:$AO$198,2*(ROWS($R$106:R131)-1)+1))),INDEX('M03-S03'!$BC$16:$BC$198,2*(ROWS($R$106:R131)-1)+1),""),"")</f>
        <v>0</v>
      </c>
      <c r="X131" s="113"/>
      <c r="Y131" s="113"/>
      <c r="Z131" s="111">
        <f>INDEX('M03-S03'!$B$16:$B$198,2*(ROWS($Z$106:Z131)-1)+1)</f>
        <v>26</v>
      </c>
      <c r="AA131" s="111" t="str">
        <f>INDEX('M03-S03'!$L$16:$L$199,2*(ROWS($Z$106:AA131)-1)+1)</f>
        <v/>
      </c>
      <c r="AB131" s="111">
        <f>INDEX('M03-S03'!$C$16:$C$198,2*(ROWS($Z$106:AB131)-1)+1)</f>
        <v>0</v>
      </c>
      <c r="AC131" t="str">
        <f>IFERROR(INDEX('M03-S03'!$J$16:$J$199,2*(ROWS(AC$106:AC131)-1)+1)&amp;" "&amp;INDEX('M03-S03'!$L$16:$L$199,2*(ROWS(AC$106:AC131)-1)+1)&amp;", "&amp;INDEX('M03-S03'!$P$16:$P$199,2*(ROWS(AC$106:AC131)-1)+1)&amp;" "&amp;INDEX('M03-S03'!$R$16:$R$199,2*(ROWS(AC$106:AC131)-1)+1),"")</f>
        <v xml:space="preserve"> ,  </v>
      </c>
      <c r="AD131" t="str">
        <f>IFERROR(INDEX('M03-S03'!$J$16:$J$199,2*(ROWS(AD$106:AD131)-1)+1)&amp;" "&amp;ROUND(INDEX('M03-S03'!$N$16:$N$199,2*(ROWS(AD$106:AD131)-1)+1),3),"")&amp;", "&amp;IFERROR(INDEX('M03-S03'!$P$16:$P$199,2*(ROWS(AD$106:AD131)-1)+1)&amp;" "&amp;ROUND(INDEX('M03-S03'!$T$16:$T$199,2*(ROWS(AD$106:AD131)-1)+1),3),"")</f>
        <v xml:space="preserve"> 0,  0</v>
      </c>
      <c r="AE131" s="459"/>
      <c r="AF131" s="459"/>
      <c r="AG131" s="112"/>
      <c r="AH131" s="112"/>
      <c r="AI131" s="112"/>
      <c r="AJ131" s="112"/>
      <c r="AK131" s="113"/>
      <c r="AL131" s="113"/>
      <c r="AM131" s="113"/>
      <c r="AN131" s="113"/>
      <c r="AO131" s="52" t="str">
        <f>IFERROR(INDEX(PMEHVAC[Program Design],MATCH(AB131,PMEHVAC[Eff Desc 1],0)),"")</f>
        <v/>
      </c>
      <c r="AU131"/>
    </row>
    <row r="132" spans="1:47">
      <c r="A132" s="57">
        <f t="shared" si="9"/>
        <v>0</v>
      </c>
      <c r="B132" s="183" t="str">
        <f t="shared" si="11"/>
        <v/>
      </c>
      <c r="C132" t="str">
        <f>IFERROR(IF(R132&gt;0,INDEX(PMEHVAC[Measure '#],MATCH(AB132,PMEHVAC[Eff Desc 1],0)),""),"")</f>
        <v/>
      </c>
      <c r="D132" t="s">
        <v>947</v>
      </c>
      <c r="F132" s="112"/>
      <c r="G132" s="186">
        <f>INDEX('M03-S03'!$N$16:$N$198,2*(ROWS($G$106:G132)-1)+1)</f>
        <v>0</v>
      </c>
      <c r="H132" s="186"/>
      <c r="I132" s="184">
        <f>IFERROR(ROUND(INDEX('M03-S03'!$AA$16:$AA$198,2*(ROWS($I$106:I132)-1)+1),2),0)</f>
        <v>0</v>
      </c>
      <c r="J132" s="184">
        <f>IFERROR(ROUND(INDEX('M03-S03'!$AC$16:$AC$198,2*(ROWS($J$106:J132)-1)+1),2),0)</f>
        <v>0</v>
      </c>
      <c r="K132" s="52">
        <f>IFERROR(ROUND(INDEX('M03-S03'!$AU$16:$AU$198,2*(ROWS($K$106:K132)-1)+1),2),0)</f>
        <v>0</v>
      </c>
      <c r="M132" s="456">
        <f>INDEX('M03-S03'!$V$16:$V$198,2*(ROWS($M$106:M132)-1)+1)</f>
        <v>0</v>
      </c>
      <c r="N132" s="184" t="str">
        <f>IF(ISNUMBER(INDEX('M03-S03'!$AO$16:$AO$198,2*(ROWS($R$106:R132)-1)+1)),INDEX('M03-S03'!$AK$16:$AK$198,2*(ROWS($N$106:N132)-1)+1),"")</f>
        <v/>
      </c>
      <c r="O132" s="456" t="str">
        <f>IFERROR(IF(ISNUMBER(INDEX('M03-S03'!$AO$16:$AO$198,2*(ROWS($R$106:R132)-1)+1)),INDEX('M03-S03'!$AV$16:$AV$198,2*(ROWS($O$106:O132)-1)+1),""),"")</f>
        <v/>
      </c>
      <c r="P132" s="456" t="str">
        <f>IFERROR(IF(ISNUMBER(INDEX('M03-S03'!$AO$16:$AO$198,2*(ROWS($R$106:R132)-1)+1)),INDEX('M03-S03'!$AY$16:$AY$198,2*(ROWS($O$106:P132)-1)+1),""),"")</f>
        <v/>
      </c>
      <c r="Q132" s="113"/>
      <c r="R132" s="184">
        <f>IF(ISNUMBER(INDEX('M03-S03'!$AO$16:$AO$198,2*(ROWS($R$106:R132)-1)+1)),INDEX('M03-S03'!$AO$16:$AO$198,2*(ROWS($R$106:R132)-1)+1),0)</f>
        <v>0</v>
      </c>
      <c r="S132" s="459"/>
      <c r="T132" s="113"/>
      <c r="U132" s="140"/>
      <c r="V132" s="113"/>
      <c r="W132" s="96">
        <f>IFERROR(IF(NOT(ISNUMBER(INDEX('M03-S03'!$AO$16:$AO$198,2*(ROWS($R$106:R132)-1)+1))),INDEX('M03-S03'!$BC$16:$BC$198,2*(ROWS($R$106:R132)-1)+1),""),"")</f>
        <v>0</v>
      </c>
      <c r="X132" s="113"/>
      <c r="Y132" s="113"/>
      <c r="Z132" s="111">
        <f>INDEX('M03-S03'!$B$16:$B$198,2*(ROWS($Z$106:Z132)-1)+1)</f>
        <v>27</v>
      </c>
      <c r="AA132" s="111" t="str">
        <f>INDEX('M03-S03'!$L$16:$L$199,2*(ROWS($Z$106:AA132)-1)+1)</f>
        <v/>
      </c>
      <c r="AB132" s="111">
        <f>INDEX('M03-S03'!$C$16:$C$198,2*(ROWS($Z$106:AB132)-1)+1)</f>
        <v>0</v>
      </c>
      <c r="AC132" t="str">
        <f>IFERROR(INDEX('M03-S03'!$J$16:$J$199,2*(ROWS(AC$106:AC132)-1)+1)&amp;" "&amp;INDEX('M03-S03'!$L$16:$L$199,2*(ROWS(AC$106:AC132)-1)+1)&amp;", "&amp;INDEX('M03-S03'!$P$16:$P$199,2*(ROWS(AC$106:AC132)-1)+1)&amp;" "&amp;INDEX('M03-S03'!$R$16:$R$199,2*(ROWS(AC$106:AC132)-1)+1),"")</f>
        <v xml:space="preserve"> ,  </v>
      </c>
      <c r="AD132" t="str">
        <f>IFERROR(INDEX('M03-S03'!$J$16:$J$199,2*(ROWS(AD$106:AD132)-1)+1)&amp;" "&amp;ROUND(INDEX('M03-S03'!$N$16:$N$199,2*(ROWS(AD$106:AD132)-1)+1),3),"")&amp;", "&amp;IFERROR(INDEX('M03-S03'!$P$16:$P$199,2*(ROWS(AD$106:AD132)-1)+1)&amp;" "&amp;ROUND(INDEX('M03-S03'!$T$16:$T$199,2*(ROWS(AD$106:AD132)-1)+1),3),"")</f>
        <v xml:space="preserve"> 0,  0</v>
      </c>
      <c r="AE132" s="459"/>
      <c r="AF132" s="459"/>
      <c r="AG132" s="112"/>
      <c r="AH132" s="112"/>
      <c r="AI132" s="112"/>
      <c r="AJ132" s="112"/>
      <c r="AK132" s="113"/>
      <c r="AL132" s="113"/>
      <c r="AM132" s="113"/>
      <c r="AN132" s="113"/>
      <c r="AO132" s="52" t="str">
        <f>IFERROR(INDEX(PMEHVAC[Program Design],MATCH(AB132,PMEHVAC[Eff Desc 1],0)),"")</f>
        <v/>
      </c>
      <c r="AU132"/>
    </row>
    <row r="133" spans="1:47">
      <c r="A133" s="57">
        <f t="shared" si="9"/>
        <v>0</v>
      </c>
      <c r="B133" s="183" t="str">
        <f t="shared" si="11"/>
        <v/>
      </c>
      <c r="C133" t="str">
        <f>IFERROR(IF(R133&gt;0,INDEX(PMEHVAC[Measure '#],MATCH(AB133,PMEHVAC[Eff Desc 1],0)),""),"")</f>
        <v/>
      </c>
      <c r="D133" t="s">
        <v>947</v>
      </c>
      <c r="F133" s="112"/>
      <c r="G133" s="186">
        <f>INDEX('M03-S03'!$N$16:$N$198,2*(ROWS($G$106:G133)-1)+1)</f>
        <v>0</v>
      </c>
      <c r="H133" s="186"/>
      <c r="I133" s="184">
        <f>IFERROR(ROUND(INDEX('M03-S03'!$AA$16:$AA$198,2*(ROWS($I$106:I133)-1)+1),2),0)</f>
        <v>0</v>
      </c>
      <c r="J133" s="184">
        <f>IFERROR(ROUND(INDEX('M03-S03'!$AC$16:$AC$198,2*(ROWS($J$106:J133)-1)+1),2),0)</f>
        <v>0</v>
      </c>
      <c r="K133" s="52">
        <f>IFERROR(ROUND(INDEX('M03-S03'!$AU$16:$AU$198,2*(ROWS($K$106:K133)-1)+1),2),0)</f>
        <v>0</v>
      </c>
      <c r="M133" s="456">
        <f>INDEX('M03-S03'!$V$16:$V$198,2*(ROWS($M$106:M133)-1)+1)</f>
        <v>0</v>
      </c>
      <c r="N133" s="184" t="str">
        <f>IF(ISNUMBER(INDEX('M03-S03'!$AO$16:$AO$198,2*(ROWS($R$106:R133)-1)+1)),INDEX('M03-S03'!$AK$16:$AK$198,2*(ROWS($N$106:N133)-1)+1),"")</f>
        <v/>
      </c>
      <c r="O133" s="456" t="str">
        <f>IFERROR(IF(ISNUMBER(INDEX('M03-S03'!$AO$16:$AO$198,2*(ROWS($R$106:R133)-1)+1)),INDEX('M03-S03'!$AV$16:$AV$198,2*(ROWS($O$106:O133)-1)+1),""),"")</f>
        <v/>
      </c>
      <c r="P133" s="456" t="str">
        <f>IFERROR(IF(ISNUMBER(INDEX('M03-S03'!$AO$16:$AO$198,2*(ROWS($R$106:R133)-1)+1)),INDEX('M03-S03'!$AY$16:$AY$198,2*(ROWS($O$106:P133)-1)+1),""),"")</f>
        <v/>
      </c>
      <c r="Q133" s="113"/>
      <c r="R133" s="184">
        <f>IF(ISNUMBER(INDEX('M03-S03'!$AO$16:$AO$198,2*(ROWS($R$106:R133)-1)+1)),INDEX('M03-S03'!$AO$16:$AO$198,2*(ROWS($R$106:R133)-1)+1),0)</f>
        <v>0</v>
      </c>
      <c r="S133" s="459"/>
      <c r="T133" s="113"/>
      <c r="U133" s="140"/>
      <c r="V133" s="113"/>
      <c r="W133" s="96">
        <f>IFERROR(IF(NOT(ISNUMBER(INDEX('M03-S03'!$AO$16:$AO$198,2*(ROWS($R$106:R133)-1)+1))),INDEX('M03-S03'!$BC$16:$BC$198,2*(ROWS($R$106:R133)-1)+1),""),"")</f>
        <v>0</v>
      </c>
      <c r="X133" s="113"/>
      <c r="Y133" s="113"/>
      <c r="Z133" s="111">
        <f>INDEX('M03-S03'!$B$16:$B$198,2*(ROWS($Z$106:Z133)-1)+1)</f>
        <v>28</v>
      </c>
      <c r="AA133" s="111" t="str">
        <f>INDEX('M03-S03'!$L$16:$L$199,2*(ROWS($Z$106:AA133)-1)+1)</f>
        <v/>
      </c>
      <c r="AB133" s="111">
        <f>INDEX('M03-S03'!$C$16:$C$198,2*(ROWS($Z$106:AB133)-1)+1)</f>
        <v>0</v>
      </c>
      <c r="AC133" t="str">
        <f>IFERROR(INDEX('M03-S03'!$J$16:$J$199,2*(ROWS(AC$106:AC133)-1)+1)&amp;" "&amp;INDEX('M03-S03'!$L$16:$L$199,2*(ROWS(AC$106:AC133)-1)+1)&amp;", "&amp;INDEX('M03-S03'!$P$16:$P$199,2*(ROWS(AC$106:AC133)-1)+1)&amp;" "&amp;INDEX('M03-S03'!$R$16:$R$199,2*(ROWS(AC$106:AC133)-1)+1),"")</f>
        <v xml:space="preserve"> ,  </v>
      </c>
      <c r="AD133" t="str">
        <f>IFERROR(INDEX('M03-S03'!$J$16:$J$199,2*(ROWS(AD$106:AD133)-1)+1)&amp;" "&amp;ROUND(INDEX('M03-S03'!$N$16:$N$199,2*(ROWS(AD$106:AD133)-1)+1),3),"")&amp;", "&amp;IFERROR(INDEX('M03-S03'!$P$16:$P$199,2*(ROWS(AD$106:AD133)-1)+1)&amp;" "&amp;ROUND(INDEX('M03-S03'!$T$16:$T$199,2*(ROWS(AD$106:AD133)-1)+1),3),"")</f>
        <v xml:space="preserve"> 0,  0</v>
      </c>
      <c r="AE133" s="459"/>
      <c r="AF133" s="459"/>
      <c r="AG133" s="112"/>
      <c r="AH133" s="112"/>
      <c r="AI133" s="112"/>
      <c r="AJ133" s="112"/>
      <c r="AK133" s="113"/>
      <c r="AL133" s="113"/>
      <c r="AM133" s="113"/>
      <c r="AN133" s="113"/>
      <c r="AO133" s="52" t="str">
        <f>IFERROR(INDEX(PMEHVAC[Program Design],MATCH(AB133,PMEHVAC[Eff Desc 1],0)),"")</f>
        <v/>
      </c>
      <c r="AU133"/>
    </row>
    <row r="134" spans="1:47">
      <c r="A134" s="57">
        <f t="shared" si="9"/>
        <v>0</v>
      </c>
      <c r="B134" s="183" t="str">
        <f t="shared" si="11"/>
        <v/>
      </c>
      <c r="C134" t="str">
        <f>IFERROR(IF(R134&gt;0,INDEX(PMEHVAC[Measure '#],MATCH(AB134,PMEHVAC[Eff Desc 1],0)),""),"")</f>
        <v/>
      </c>
      <c r="D134" t="s">
        <v>947</v>
      </c>
      <c r="F134" s="112"/>
      <c r="G134" s="186">
        <f>INDEX('M03-S03'!$N$16:$N$198,2*(ROWS($G$106:G134)-1)+1)</f>
        <v>0</v>
      </c>
      <c r="H134" s="186"/>
      <c r="I134" s="184">
        <f>IFERROR(ROUND(INDEX('M03-S03'!$AA$16:$AA$198,2*(ROWS($I$106:I134)-1)+1),2),0)</f>
        <v>0</v>
      </c>
      <c r="J134" s="184">
        <f>IFERROR(ROUND(INDEX('M03-S03'!$AC$16:$AC$198,2*(ROWS($J$106:J134)-1)+1),2),0)</f>
        <v>0</v>
      </c>
      <c r="K134" s="52">
        <f>IFERROR(ROUND(INDEX('M03-S03'!$AU$16:$AU$198,2*(ROWS($K$106:K134)-1)+1),2),0)</f>
        <v>0</v>
      </c>
      <c r="M134" s="456">
        <f>INDEX('M03-S03'!$V$16:$V$198,2*(ROWS($M$106:M134)-1)+1)</f>
        <v>0</v>
      </c>
      <c r="N134" s="184" t="str">
        <f>IF(ISNUMBER(INDEX('M03-S03'!$AO$16:$AO$198,2*(ROWS($R$106:R134)-1)+1)),INDEX('M03-S03'!$AK$16:$AK$198,2*(ROWS($N$106:N134)-1)+1),"")</f>
        <v/>
      </c>
      <c r="O134" s="456" t="str">
        <f>IFERROR(IF(ISNUMBER(INDEX('M03-S03'!$AO$16:$AO$198,2*(ROWS($R$106:R134)-1)+1)),INDEX('M03-S03'!$AV$16:$AV$198,2*(ROWS($O$106:O134)-1)+1),""),"")</f>
        <v/>
      </c>
      <c r="P134" s="456" t="str">
        <f>IFERROR(IF(ISNUMBER(INDEX('M03-S03'!$AO$16:$AO$198,2*(ROWS($R$106:R134)-1)+1)),INDEX('M03-S03'!$AY$16:$AY$198,2*(ROWS($O$106:P134)-1)+1),""),"")</f>
        <v/>
      </c>
      <c r="Q134" s="113"/>
      <c r="R134" s="184">
        <f>IF(ISNUMBER(INDEX('M03-S03'!$AO$16:$AO$198,2*(ROWS($R$106:R134)-1)+1)),INDEX('M03-S03'!$AO$16:$AO$198,2*(ROWS($R$106:R134)-1)+1),0)</f>
        <v>0</v>
      </c>
      <c r="S134" s="459"/>
      <c r="T134" s="113"/>
      <c r="U134" s="140"/>
      <c r="V134" s="113"/>
      <c r="W134" s="96">
        <f>IFERROR(IF(NOT(ISNUMBER(INDEX('M03-S03'!$AO$16:$AO$198,2*(ROWS($R$106:R134)-1)+1))),INDEX('M03-S03'!$BC$16:$BC$198,2*(ROWS($R$106:R134)-1)+1),""),"")</f>
        <v>0</v>
      </c>
      <c r="X134" s="113"/>
      <c r="Y134" s="113"/>
      <c r="Z134" s="111">
        <f>INDEX('M03-S03'!$B$16:$B$198,2*(ROWS($Z$106:Z134)-1)+1)</f>
        <v>29</v>
      </c>
      <c r="AA134" s="111" t="str">
        <f>INDEX('M03-S03'!$L$16:$L$199,2*(ROWS($Z$106:AA134)-1)+1)</f>
        <v/>
      </c>
      <c r="AB134" s="111">
        <f>INDEX('M03-S03'!$C$16:$C$198,2*(ROWS($Z$106:AB134)-1)+1)</f>
        <v>0</v>
      </c>
      <c r="AC134" t="str">
        <f>IFERROR(INDEX('M03-S03'!$J$16:$J$199,2*(ROWS(AC$106:AC134)-1)+1)&amp;" "&amp;INDEX('M03-S03'!$L$16:$L$199,2*(ROWS(AC$106:AC134)-1)+1)&amp;", "&amp;INDEX('M03-S03'!$P$16:$P$199,2*(ROWS(AC$106:AC134)-1)+1)&amp;" "&amp;INDEX('M03-S03'!$R$16:$R$199,2*(ROWS(AC$106:AC134)-1)+1),"")</f>
        <v xml:space="preserve"> ,  </v>
      </c>
      <c r="AD134" t="str">
        <f>IFERROR(INDEX('M03-S03'!$J$16:$J$199,2*(ROWS(AD$106:AD134)-1)+1)&amp;" "&amp;ROUND(INDEX('M03-S03'!$N$16:$N$199,2*(ROWS(AD$106:AD134)-1)+1),3),"")&amp;", "&amp;IFERROR(INDEX('M03-S03'!$P$16:$P$199,2*(ROWS(AD$106:AD134)-1)+1)&amp;" "&amp;ROUND(INDEX('M03-S03'!$T$16:$T$199,2*(ROWS(AD$106:AD134)-1)+1),3),"")</f>
        <v xml:space="preserve"> 0,  0</v>
      </c>
      <c r="AE134" s="459"/>
      <c r="AF134" s="459"/>
      <c r="AG134" s="112"/>
      <c r="AH134" s="112"/>
      <c r="AI134" s="112"/>
      <c r="AJ134" s="112"/>
      <c r="AK134" s="113"/>
      <c r="AL134" s="113"/>
      <c r="AM134" s="113"/>
      <c r="AN134" s="113"/>
      <c r="AO134" s="52" t="str">
        <f>IFERROR(INDEX(PMEHVAC[Program Design],MATCH(AB134,PMEHVAC[Eff Desc 1],0)),"")</f>
        <v/>
      </c>
      <c r="AU134"/>
    </row>
    <row r="135" spans="1:47">
      <c r="A135" s="57">
        <f t="shared" si="9"/>
        <v>0</v>
      </c>
      <c r="B135" s="183" t="str">
        <f t="shared" si="11"/>
        <v/>
      </c>
      <c r="C135" t="str">
        <f>IFERROR(IF(R135&gt;0,INDEX(PMEHVAC[Measure '#],MATCH(AB135,PMEHVAC[Eff Desc 1],0)),""),"")</f>
        <v/>
      </c>
      <c r="D135" t="s">
        <v>947</v>
      </c>
      <c r="F135" s="112"/>
      <c r="G135" s="186">
        <f>INDEX('M03-S03'!$N$16:$N$198,2*(ROWS($G$106:G135)-1)+1)</f>
        <v>0</v>
      </c>
      <c r="H135" s="186"/>
      <c r="I135" s="184">
        <f>IFERROR(ROUND(INDEX('M03-S03'!$AA$16:$AA$198,2*(ROWS($I$106:I135)-1)+1),2),0)</f>
        <v>0</v>
      </c>
      <c r="J135" s="184">
        <f>IFERROR(ROUND(INDEX('M03-S03'!$AC$16:$AC$198,2*(ROWS($J$106:J135)-1)+1),2),0)</f>
        <v>0</v>
      </c>
      <c r="K135" s="52">
        <f>IFERROR(ROUND(INDEX('M03-S03'!$AU$16:$AU$198,2*(ROWS($K$106:K135)-1)+1),2),0)</f>
        <v>0</v>
      </c>
      <c r="M135" s="456">
        <f>INDEX('M03-S03'!$V$16:$V$198,2*(ROWS($M$106:M135)-1)+1)</f>
        <v>0</v>
      </c>
      <c r="N135" s="184" t="str">
        <f>IF(ISNUMBER(INDEX('M03-S03'!$AO$16:$AO$198,2*(ROWS($R$106:R135)-1)+1)),INDEX('M03-S03'!$AK$16:$AK$198,2*(ROWS($N$106:N135)-1)+1),"")</f>
        <v/>
      </c>
      <c r="O135" s="456" t="str">
        <f>IFERROR(IF(ISNUMBER(INDEX('M03-S03'!$AO$16:$AO$198,2*(ROWS($R$106:R135)-1)+1)),INDEX('M03-S03'!$AV$16:$AV$198,2*(ROWS($O$106:O135)-1)+1),""),"")</f>
        <v/>
      </c>
      <c r="P135" s="456" t="str">
        <f>IFERROR(IF(ISNUMBER(INDEX('M03-S03'!$AO$16:$AO$198,2*(ROWS($R$106:R135)-1)+1)),INDEX('M03-S03'!$AY$16:$AY$198,2*(ROWS($O$106:P135)-1)+1),""),"")</f>
        <v/>
      </c>
      <c r="Q135" s="113"/>
      <c r="R135" s="184">
        <f>IF(ISNUMBER(INDEX('M03-S03'!$AO$16:$AO$198,2*(ROWS($R$106:R135)-1)+1)),INDEX('M03-S03'!$AO$16:$AO$198,2*(ROWS($R$106:R135)-1)+1),0)</f>
        <v>0</v>
      </c>
      <c r="S135" s="459"/>
      <c r="T135" s="113"/>
      <c r="U135" s="140"/>
      <c r="V135" s="113"/>
      <c r="W135" s="96">
        <f>IFERROR(IF(NOT(ISNUMBER(INDEX('M03-S03'!$AO$16:$AO$198,2*(ROWS($R$106:R135)-1)+1))),INDEX('M03-S03'!$BC$16:$BC$198,2*(ROWS($R$106:R135)-1)+1),""),"")</f>
        <v>0</v>
      </c>
      <c r="X135" s="113"/>
      <c r="Y135" s="113"/>
      <c r="Z135" s="111">
        <f>INDEX('M03-S03'!$B$16:$B$198,2*(ROWS($Z$106:Z135)-1)+1)</f>
        <v>30</v>
      </c>
      <c r="AA135" s="111" t="str">
        <f>INDEX('M03-S03'!$L$16:$L$199,2*(ROWS($Z$106:AA135)-1)+1)</f>
        <v/>
      </c>
      <c r="AB135" s="111">
        <f>INDEX('M03-S03'!$C$16:$C$198,2*(ROWS($Z$106:AB135)-1)+1)</f>
        <v>0</v>
      </c>
      <c r="AC135" t="str">
        <f>IFERROR(INDEX('M03-S03'!$J$16:$J$199,2*(ROWS(AC$106:AC135)-1)+1)&amp;" "&amp;INDEX('M03-S03'!$L$16:$L$199,2*(ROWS(AC$106:AC135)-1)+1)&amp;", "&amp;INDEX('M03-S03'!$P$16:$P$199,2*(ROWS(AC$106:AC135)-1)+1)&amp;" "&amp;INDEX('M03-S03'!$R$16:$R$199,2*(ROWS(AC$106:AC135)-1)+1),"")</f>
        <v xml:space="preserve"> ,  </v>
      </c>
      <c r="AD135" t="str">
        <f>IFERROR(INDEX('M03-S03'!$J$16:$J$199,2*(ROWS(AD$106:AD135)-1)+1)&amp;" "&amp;ROUND(INDEX('M03-S03'!$N$16:$N$199,2*(ROWS(AD$106:AD135)-1)+1),3),"")&amp;", "&amp;IFERROR(INDEX('M03-S03'!$P$16:$P$199,2*(ROWS(AD$106:AD135)-1)+1)&amp;" "&amp;ROUND(INDEX('M03-S03'!$T$16:$T$199,2*(ROWS(AD$106:AD135)-1)+1),3),"")</f>
        <v xml:space="preserve"> 0,  0</v>
      </c>
      <c r="AE135" s="459"/>
      <c r="AF135" s="459"/>
      <c r="AG135" s="112"/>
      <c r="AH135" s="112"/>
      <c r="AI135" s="112"/>
      <c r="AJ135" s="112"/>
      <c r="AK135" s="113"/>
      <c r="AL135" s="113"/>
      <c r="AM135" s="113"/>
      <c r="AN135" s="113"/>
      <c r="AO135" s="52" t="str">
        <f>IFERROR(INDEX(PMEHVAC[Program Design],MATCH(AB135,PMEHVAC[Eff Desc 1],0)),"")</f>
        <v/>
      </c>
      <c r="AU135"/>
    </row>
    <row r="136" spans="1:47">
      <c r="A136" s="57">
        <f t="shared" si="9"/>
        <v>0</v>
      </c>
      <c r="B136" s="183" t="str">
        <f t="shared" si="11"/>
        <v/>
      </c>
      <c r="C136" t="str">
        <f>IFERROR(IF(R136&gt;0,INDEX(PMEHVAC[Measure '#],MATCH(AB136,PMEHVAC[Eff Desc 1],0)),""),"")</f>
        <v/>
      </c>
      <c r="D136" t="s">
        <v>947</v>
      </c>
      <c r="F136" s="112"/>
      <c r="G136" s="186">
        <f>INDEX('M03-S03'!$N$16:$N$198,2*(ROWS($G$106:G136)-1)+1)</f>
        <v>0</v>
      </c>
      <c r="H136" s="186"/>
      <c r="I136" s="184">
        <f>IFERROR(ROUND(INDEX('M03-S03'!$AA$16:$AA$198,2*(ROWS($I$106:I136)-1)+1),2),0)</f>
        <v>0</v>
      </c>
      <c r="J136" s="184">
        <f>IFERROR(ROUND(INDEX('M03-S03'!$AC$16:$AC$198,2*(ROWS($J$106:J136)-1)+1),2),0)</f>
        <v>0</v>
      </c>
      <c r="K136" s="52">
        <f>IFERROR(ROUND(INDEX('M03-S03'!$AU$16:$AU$198,2*(ROWS($K$106:K136)-1)+1),2),0)</f>
        <v>0</v>
      </c>
      <c r="M136" s="456">
        <f>INDEX('M03-S03'!$V$16:$V$198,2*(ROWS($M$106:M136)-1)+1)</f>
        <v>0</v>
      </c>
      <c r="N136" s="184" t="str">
        <f>IF(ISNUMBER(INDEX('M03-S03'!$AO$16:$AO$198,2*(ROWS($R$106:R136)-1)+1)),INDEX('M03-S03'!$AK$16:$AK$198,2*(ROWS($N$106:N136)-1)+1),"")</f>
        <v/>
      </c>
      <c r="O136" s="456" t="str">
        <f>IFERROR(IF(ISNUMBER(INDEX('M03-S03'!$AO$16:$AO$198,2*(ROWS($R$106:R136)-1)+1)),INDEX('M03-S03'!$AV$16:$AV$198,2*(ROWS($O$106:O136)-1)+1),""),"")</f>
        <v/>
      </c>
      <c r="P136" s="456" t="str">
        <f>IFERROR(IF(ISNUMBER(INDEX('M03-S03'!$AO$16:$AO$198,2*(ROWS($R$106:R136)-1)+1)),INDEX('M03-S03'!$AY$16:$AY$198,2*(ROWS($O$106:P136)-1)+1),""),"")</f>
        <v/>
      </c>
      <c r="Q136" s="113"/>
      <c r="R136" s="184">
        <f>IF(ISNUMBER(INDEX('M03-S03'!$AO$16:$AO$198,2*(ROWS($R$106:R136)-1)+1)),INDEX('M03-S03'!$AO$16:$AO$198,2*(ROWS($R$106:R136)-1)+1),0)</f>
        <v>0</v>
      </c>
      <c r="S136" s="459"/>
      <c r="T136" s="113"/>
      <c r="U136" s="140"/>
      <c r="V136" s="113"/>
      <c r="W136" s="96">
        <f>IFERROR(IF(NOT(ISNUMBER(INDEX('M03-S03'!$AO$16:$AO$198,2*(ROWS($R$106:R136)-1)+1))),INDEX('M03-S03'!$BC$16:$BC$198,2*(ROWS($R$106:R136)-1)+1),""),"")</f>
        <v>0</v>
      </c>
      <c r="X136" s="113"/>
      <c r="Y136" s="113"/>
      <c r="Z136" s="111">
        <f>INDEX('M03-S03'!$B$16:$B$198,2*(ROWS($Z$106:Z136)-1)+1)</f>
        <v>31</v>
      </c>
      <c r="AA136" s="111" t="str">
        <f>INDEX('M03-S03'!$L$16:$L$199,2*(ROWS($Z$106:AA136)-1)+1)</f>
        <v/>
      </c>
      <c r="AB136" s="111">
        <f>INDEX('M03-S03'!$C$16:$C$198,2*(ROWS($Z$106:AB136)-1)+1)</f>
        <v>0</v>
      </c>
      <c r="AC136" t="str">
        <f>IFERROR(INDEX('M03-S03'!$J$16:$J$199,2*(ROWS(AC$106:AC136)-1)+1)&amp;" "&amp;INDEX('M03-S03'!$L$16:$L$199,2*(ROWS(AC$106:AC136)-1)+1)&amp;", "&amp;INDEX('M03-S03'!$P$16:$P$199,2*(ROWS(AC$106:AC136)-1)+1)&amp;" "&amp;INDEX('M03-S03'!$R$16:$R$199,2*(ROWS(AC$106:AC136)-1)+1),"")</f>
        <v xml:space="preserve"> ,  </v>
      </c>
      <c r="AD136" t="str">
        <f>IFERROR(INDEX('M03-S03'!$J$16:$J$199,2*(ROWS(AD$106:AD136)-1)+1)&amp;" "&amp;ROUND(INDEX('M03-S03'!$N$16:$N$199,2*(ROWS(AD$106:AD136)-1)+1),3),"")&amp;", "&amp;IFERROR(INDEX('M03-S03'!$P$16:$P$199,2*(ROWS(AD$106:AD136)-1)+1)&amp;" "&amp;ROUND(INDEX('M03-S03'!$T$16:$T$199,2*(ROWS(AD$106:AD136)-1)+1),3),"")</f>
        <v xml:space="preserve"> 0,  0</v>
      </c>
      <c r="AE136" s="459"/>
      <c r="AF136" s="459"/>
      <c r="AG136" s="112"/>
      <c r="AH136" s="112"/>
      <c r="AI136" s="112"/>
      <c r="AJ136" s="112"/>
      <c r="AK136" s="113"/>
      <c r="AL136" s="113"/>
      <c r="AM136" s="113"/>
      <c r="AN136" s="113"/>
      <c r="AO136" s="52" t="str">
        <f>IFERROR(INDEX(PMEHVAC[Program Design],MATCH(AB136,PMEHVAC[Eff Desc 1],0)),"")</f>
        <v/>
      </c>
      <c r="AU136"/>
    </row>
    <row r="137" spans="1:47">
      <c r="A137" s="57">
        <f t="shared" si="9"/>
        <v>0</v>
      </c>
      <c r="B137" s="183" t="str">
        <f t="shared" si="11"/>
        <v/>
      </c>
      <c r="C137" t="str">
        <f>IFERROR(IF(R137&gt;0,INDEX(PMEHVAC[Measure '#],MATCH(AB137,PMEHVAC[Eff Desc 1],0)),""),"")</f>
        <v/>
      </c>
      <c r="D137" t="s">
        <v>947</v>
      </c>
      <c r="F137" s="112"/>
      <c r="G137" s="186">
        <f>INDEX('M03-S03'!$N$16:$N$198,2*(ROWS($G$106:G137)-1)+1)</f>
        <v>0</v>
      </c>
      <c r="H137" s="186"/>
      <c r="I137" s="184">
        <f>IFERROR(ROUND(INDEX('M03-S03'!$AA$16:$AA$198,2*(ROWS($I$106:I137)-1)+1),2),0)</f>
        <v>0</v>
      </c>
      <c r="J137" s="184">
        <f>IFERROR(ROUND(INDEX('M03-S03'!$AC$16:$AC$198,2*(ROWS($J$106:J137)-1)+1),2),0)</f>
        <v>0</v>
      </c>
      <c r="K137" s="52">
        <f>IFERROR(ROUND(INDEX('M03-S03'!$AU$16:$AU$198,2*(ROWS($K$106:K137)-1)+1),2),0)</f>
        <v>0</v>
      </c>
      <c r="M137" s="456">
        <f>INDEX('M03-S03'!$V$16:$V$198,2*(ROWS($M$106:M137)-1)+1)</f>
        <v>0</v>
      </c>
      <c r="N137" s="184" t="str">
        <f>IF(ISNUMBER(INDEX('M03-S03'!$AO$16:$AO$198,2*(ROWS($R$106:R137)-1)+1)),INDEX('M03-S03'!$AK$16:$AK$198,2*(ROWS($N$106:N137)-1)+1),"")</f>
        <v/>
      </c>
      <c r="O137" s="456" t="str">
        <f>IFERROR(IF(ISNUMBER(INDEX('M03-S03'!$AO$16:$AO$198,2*(ROWS($R$106:R137)-1)+1)),INDEX('M03-S03'!$AV$16:$AV$198,2*(ROWS($O$106:O137)-1)+1),""),"")</f>
        <v/>
      </c>
      <c r="P137" s="456" t="str">
        <f>IFERROR(IF(ISNUMBER(INDEX('M03-S03'!$AO$16:$AO$198,2*(ROWS($R$106:R137)-1)+1)),INDEX('M03-S03'!$AY$16:$AY$198,2*(ROWS($O$106:P137)-1)+1),""),"")</f>
        <v/>
      </c>
      <c r="Q137" s="113"/>
      <c r="R137" s="184">
        <f>IF(ISNUMBER(INDEX('M03-S03'!$AO$16:$AO$198,2*(ROWS($R$106:R137)-1)+1)),INDEX('M03-S03'!$AO$16:$AO$198,2*(ROWS($R$106:R137)-1)+1),0)</f>
        <v>0</v>
      </c>
      <c r="S137" s="459"/>
      <c r="T137" s="113"/>
      <c r="U137" s="140"/>
      <c r="V137" s="113"/>
      <c r="W137" s="96">
        <f>IFERROR(IF(NOT(ISNUMBER(INDEX('M03-S03'!$AO$16:$AO$198,2*(ROWS($R$106:R137)-1)+1))),INDEX('M03-S03'!$BC$16:$BC$198,2*(ROWS($R$106:R137)-1)+1),""),"")</f>
        <v>0</v>
      </c>
      <c r="X137" s="113"/>
      <c r="Y137" s="113"/>
      <c r="Z137" s="111">
        <f>INDEX('M03-S03'!$B$16:$B$198,2*(ROWS($Z$106:Z137)-1)+1)</f>
        <v>32</v>
      </c>
      <c r="AA137" s="111" t="str">
        <f>INDEX('M03-S03'!$L$16:$L$199,2*(ROWS($Z$106:AA137)-1)+1)</f>
        <v/>
      </c>
      <c r="AB137" s="111">
        <f>INDEX('M03-S03'!$C$16:$C$198,2*(ROWS($Z$106:AB137)-1)+1)</f>
        <v>0</v>
      </c>
      <c r="AC137" t="str">
        <f>IFERROR(INDEX('M03-S03'!$J$16:$J$199,2*(ROWS(AC$106:AC137)-1)+1)&amp;" "&amp;INDEX('M03-S03'!$L$16:$L$199,2*(ROWS(AC$106:AC137)-1)+1)&amp;", "&amp;INDEX('M03-S03'!$P$16:$P$199,2*(ROWS(AC$106:AC137)-1)+1)&amp;" "&amp;INDEX('M03-S03'!$R$16:$R$199,2*(ROWS(AC$106:AC137)-1)+1),"")</f>
        <v xml:space="preserve"> ,  </v>
      </c>
      <c r="AD137" t="str">
        <f>IFERROR(INDEX('M03-S03'!$J$16:$J$199,2*(ROWS(AD$106:AD137)-1)+1)&amp;" "&amp;ROUND(INDEX('M03-S03'!$N$16:$N$199,2*(ROWS(AD$106:AD137)-1)+1),3),"")&amp;", "&amp;IFERROR(INDEX('M03-S03'!$P$16:$P$199,2*(ROWS(AD$106:AD137)-1)+1)&amp;" "&amp;ROUND(INDEX('M03-S03'!$T$16:$T$199,2*(ROWS(AD$106:AD137)-1)+1),3),"")</f>
        <v xml:space="preserve"> 0,  0</v>
      </c>
      <c r="AE137" s="459"/>
      <c r="AF137" s="459"/>
      <c r="AG137" s="112"/>
      <c r="AH137" s="112"/>
      <c r="AI137" s="112"/>
      <c r="AJ137" s="112"/>
      <c r="AK137" s="113"/>
      <c r="AL137" s="113"/>
      <c r="AM137" s="113"/>
      <c r="AN137" s="113"/>
      <c r="AO137" s="52" t="str">
        <f>IFERROR(INDEX(PMEHVAC[Program Design],MATCH(AB137,PMEHVAC[Eff Desc 1],0)),"")</f>
        <v/>
      </c>
      <c r="AU137"/>
    </row>
    <row r="138" spans="1:47">
      <c r="A138" s="57">
        <f t="shared" si="9"/>
        <v>0</v>
      </c>
      <c r="B138" s="183" t="str">
        <f t="shared" si="11"/>
        <v/>
      </c>
      <c r="C138" t="str">
        <f>IFERROR(IF(R138&gt;0,INDEX(PMEHVAC[Measure '#],MATCH(AB138,PMEHVAC[Eff Desc 1],0)),""),"")</f>
        <v/>
      </c>
      <c r="D138" t="s">
        <v>947</v>
      </c>
      <c r="F138" s="112"/>
      <c r="G138" s="186">
        <f>INDEX('M03-S03'!$N$16:$N$198,2*(ROWS($G$106:G138)-1)+1)</f>
        <v>0</v>
      </c>
      <c r="H138" s="186"/>
      <c r="I138" s="184">
        <f>IFERROR(ROUND(INDEX('M03-S03'!$AA$16:$AA$198,2*(ROWS($I$106:I138)-1)+1),2),0)</f>
        <v>0</v>
      </c>
      <c r="J138" s="184">
        <f>IFERROR(ROUND(INDEX('M03-S03'!$AC$16:$AC$198,2*(ROWS($J$106:J138)-1)+1),2),0)</f>
        <v>0</v>
      </c>
      <c r="K138" s="52">
        <f>IFERROR(ROUND(INDEX('M03-S03'!$AU$16:$AU$198,2*(ROWS($K$106:K138)-1)+1),2),0)</f>
        <v>0</v>
      </c>
      <c r="M138" s="456">
        <f>INDEX('M03-S03'!$V$16:$V$198,2*(ROWS($M$106:M138)-1)+1)</f>
        <v>0</v>
      </c>
      <c r="N138" s="184" t="str">
        <f>IF(ISNUMBER(INDEX('M03-S03'!$AO$16:$AO$198,2*(ROWS($R$106:R138)-1)+1)),INDEX('M03-S03'!$AK$16:$AK$198,2*(ROWS($N$106:N138)-1)+1),"")</f>
        <v/>
      </c>
      <c r="O138" s="456" t="str">
        <f>IFERROR(IF(ISNUMBER(INDEX('M03-S03'!$AO$16:$AO$198,2*(ROWS($R$106:R138)-1)+1)),INDEX('M03-S03'!$AV$16:$AV$198,2*(ROWS($O$106:O138)-1)+1),""),"")</f>
        <v/>
      </c>
      <c r="P138" s="456" t="str">
        <f>IFERROR(IF(ISNUMBER(INDEX('M03-S03'!$AO$16:$AO$198,2*(ROWS($R$106:R138)-1)+1)),INDEX('M03-S03'!$AY$16:$AY$198,2*(ROWS($O$106:P138)-1)+1),""),"")</f>
        <v/>
      </c>
      <c r="Q138" s="113"/>
      <c r="R138" s="184">
        <f>IF(ISNUMBER(INDEX('M03-S03'!$AO$16:$AO$198,2*(ROWS($R$106:R138)-1)+1)),INDEX('M03-S03'!$AO$16:$AO$198,2*(ROWS($R$106:R138)-1)+1),0)</f>
        <v>0</v>
      </c>
      <c r="S138" s="459"/>
      <c r="T138" s="113"/>
      <c r="U138" s="140"/>
      <c r="V138" s="113"/>
      <c r="W138" s="96">
        <f>IFERROR(IF(NOT(ISNUMBER(INDEX('M03-S03'!$AO$16:$AO$198,2*(ROWS($R$106:R138)-1)+1))),INDEX('M03-S03'!$BC$16:$BC$198,2*(ROWS($R$106:R138)-1)+1),""),"")</f>
        <v>0</v>
      </c>
      <c r="X138" s="113"/>
      <c r="Y138" s="113"/>
      <c r="Z138" s="111">
        <f>INDEX('M03-S03'!$B$16:$B$198,2*(ROWS($Z$106:Z138)-1)+1)</f>
        <v>33</v>
      </c>
      <c r="AA138" s="111" t="str">
        <f>INDEX('M03-S03'!$L$16:$L$199,2*(ROWS($Z$106:AA138)-1)+1)</f>
        <v/>
      </c>
      <c r="AB138" s="111">
        <f>INDEX('M03-S03'!$C$16:$C$198,2*(ROWS($Z$106:AB138)-1)+1)</f>
        <v>0</v>
      </c>
      <c r="AC138" t="str">
        <f>IFERROR(INDEX('M03-S03'!$J$16:$J$199,2*(ROWS(AC$106:AC138)-1)+1)&amp;" "&amp;INDEX('M03-S03'!$L$16:$L$199,2*(ROWS(AC$106:AC138)-1)+1)&amp;", "&amp;INDEX('M03-S03'!$P$16:$P$199,2*(ROWS(AC$106:AC138)-1)+1)&amp;" "&amp;INDEX('M03-S03'!$R$16:$R$199,2*(ROWS(AC$106:AC138)-1)+1),"")</f>
        <v xml:space="preserve"> ,  </v>
      </c>
      <c r="AD138" t="str">
        <f>IFERROR(INDEX('M03-S03'!$J$16:$J$199,2*(ROWS(AD$106:AD138)-1)+1)&amp;" "&amp;ROUND(INDEX('M03-S03'!$N$16:$N$199,2*(ROWS(AD$106:AD138)-1)+1),3),"")&amp;", "&amp;IFERROR(INDEX('M03-S03'!$P$16:$P$199,2*(ROWS(AD$106:AD138)-1)+1)&amp;" "&amp;ROUND(INDEX('M03-S03'!$T$16:$T$199,2*(ROWS(AD$106:AD138)-1)+1),3),"")</f>
        <v xml:space="preserve"> 0,  0</v>
      </c>
      <c r="AE138" s="459"/>
      <c r="AF138" s="459"/>
      <c r="AG138" s="112"/>
      <c r="AH138" s="112"/>
      <c r="AI138" s="112"/>
      <c r="AJ138" s="112"/>
      <c r="AK138" s="113"/>
      <c r="AL138" s="113"/>
      <c r="AM138" s="113"/>
      <c r="AN138" s="113"/>
      <c r="AO138" s="52" t="str">
        <f>IFERROR(INDEX(PMEHVAC[Program Design],MATCH(AB138,PMEHVAC[Eff Desc 1],0)),"")</f>
        <v/>
      </c>
      <c r="AU138"/>
    </row>
    <row r="139" spans="1:47">
      <c r="A139" s="57">
        <f t="shared" si="9"/>
        <v>0</v>
      </c>
      <c r="B139" s="183" t="str">
        <f t="shared" si="11"/>
        <v/>
      </c>
      <c r="C139" t="str">
        <f>IFERROR(IF(R139&gt;0,INDEX(PMEHVAC[Measure '#],MATCH(AB139,PMEHVAC[Eff Desc 1],0)),""),"")</f>
        <v/>
      </c>
      <c r="D139" t="s">
        <v>947</v>
      </c>
      <c r="F139" s="112"/>
      <c r="G139" s="186">
        <f>INDEX('M03-S03'!$N$16:$N$198,2*(ROWS($G$106:G139)-1)+1)</f>
        <v>0</v>
      </c>
      <c r="H139" s="186"/>
      <c r="I139" s="184">
        <f>IFERROR(ROUND(INDEX('M03-S03'!$AA$16:$AA$198,2*(ROWS($I$106:I139)-1)+1),2),0)</f>
        <v>0</v>
      </c>
      <c r="J139" s="184">
        <f>IFERROR(ROUND(INDEX('M03-S03'!$AC$16:$AC$198,2*(ROWS($J$106:J139)-1)+1),2),0)</f>
        <v>0</v>
      </c>
      <c r="K139" s="52">
        <f>IFERROR(ROUND(INDEX('M03-S03'!$AU$16:$AU$198,2*(ROWS($K$106:K139)-1)+1),2),0)</f>
        <v>0</v>
      </c>
      <c r="M139" s="456">
        <f>INDEX('M03-S03'!$V$16:$V$198,2*(ROWS($M$106:M139)-1)+1)</f>
        <v>0</v>
      </c>
      <c r="N139" s="184" t="str">
        <f>IF(ISNUMBER(INDEX('M03-S03'!$AO$16:$AO$198,2*(ROWS($R$106:R139)-1)+1)),INDEX('M03-S03'!$AK$16:$AK$198,2*(ROWS($N$106:N139)-1)+1),"")</f>
        <v/>
      </c>
      <c r="O139" s="456" t="str">
        <f>IFERROR(IF(ISNUMBER(INDEX('M03-S03'!$AO$16:$AO$198,2*(ROWS($R$106:R139)-1)+1)),INDEX('M03-S03'!$AV$16:$AV$198,2*(ROWS($O$106:O139)-1)+1),""),"")</f>
        <v/>
      </c>
      <c r="P139" s="456" t="str">
        <f>IFERROR(IF(ISNUMBER(INDEX('M03-S03'!$AO$16:$AO$198,2*(ROWS($R$106:R139)-1)+1)),INDEX('M03-S03'!$AY$16:$AY$198,2*(ROWS($O$106:P139)-1)+1),""),"")</f>
        <v/>
      </c>
      <c r="Q139" s="113"/>
      <c r="R139" s="184">
        <f>IF(ISNUMBER(INDEX('M03-S03'!$AO$16:$AO$198,2*(ROWS($R$106:R139)-1)+1)),INDEX('M03-S03'!$AO$16:$AO$198,2*(ROWS($R$106:R139)-1)+1),0)</f>
        <v>0</v>
      </c>
      <c r="S139" s="459"/>
      <c r="T139" s="113"/>
      <c r="U139" s="140"/>
      <c r="V139" s="113"/>
      <c r="W139" s="96">
        <f>IFERROR(IF(NOT(ISNUMBER(INDEX('M03-S03'!$AO$16:$AO$198,2*(ROWS($R$106:R139)-1)+1))),INDEX('M03-S03'!$BC$16:$BC$198,2*(ROWS($R$106:R139)-1)+1),""),"")</f>
        <v>0</v>
      </c>
      <c r="X139" s="113"/>
      <c r="Y139" s="113"/>
      <c r="Z139" s="111">
        <f>INDEX('M03-S03'!$B$16:$B$198,2*(ROWS($Z$106:Z139)-1)+1)</f>
        <v>34</v>
      </c>
      <c r="AA139" s="111" t="str">
        <f>INDEX('M03-S03'!$L$16:$L$199,2*(ROWS($Z$106:AA139)-1)+1)</f>
        <v/>
      </c>
      <c r="AB139" s="111">
        <f>INDEX('M03-S03'!$C$16:$C$198,2*(ROWS($Z$106:AB139)-1)+1)</f>
        <v>0</v>
      </c>
      <c r="AC139" t="str">
        <f>IFERROR(INDEX('M03-S03'!$J$16:$J$199,2*(ROWS(AC$106:AC139)-1)+1)&amp;" "&amp;INDEX('M03-S03'!$L$16:$L$199,2*(ROWS(AC$106:AC139)-1)+1)&amp;", "&amp;INDEX('M03-S03'!$P$16:$P$199,2*(ROWS(AC$106:AC139)-1)+1)&amp;" "&amp;INDEX('M03-S03'!$R$16:$R$199,2*(ROWS(AC$106:AC139)-1)+1),"")</f>
        <v xml:space="preserve"> ,  </v>
      </c>
      <c r="AD139" t="str">
        <f>IFERROR(INDEX('M03-S03'!$J$16:$J$199,2*(ROWS(AD$106:AD139)-1)+1)&amp;" "&amp;ROUND(INDEX('M03-S03'!$N$16:$N$199,2*(ROWS(AD$106:AD139)-1)+1),3),"")&amp;", "&amp;IFERROR(INDEX('M03-S03'!$P$16:$P$199,2*(ROWS(AD$106:AD139)-1)+1)&amp;" "&amp;ROUND(INDEX('M03-S03'!$T$16:$T$199,2*(ROWS(AD$106:AD139)-1)+1),3),"")</f>
        <v xml:space="preserve"> 0,  0</v>
      </c>
      <c r="AE139" s="459"/>
      <c r="AF139" s="459"/>
      <c r="AG139" s="112"/>
      <c r="AH139" s="112"/>
      <c r="AI139" s="112"/>
      <c r="AJ139" s="112"/>
      <c r="AK139" s="113"/>
      <c r="AL139" s="113"/>
      <c r="AM139" s="113"/>
      <c r="AN139" s="113"/>
      <c r="AO139" s="52" t="str">
        <f>IFERROR(INDEX(PMEHVAC[Program Design],MATCH(AB139,PMEHVAC[Eff Desc 1],0)),"")</f>
        <v/>
      </c>
      <c r="AU139"/>
    </row>
    <row r="140" spans="1:47">
      <c r="A140" s="57">
        <f t="shared" si="9"/>
        <v>0</v>
      </c>
      <c r="B140" s="183" t="str">
        <f t="shared" si="11"/>
        <v/>
      </c>
      <c r="C140" t="str">
        <f>IFERROR(IF(R140&gt;0,INDEX(PMEHVAC[Measure '#],MATCH(AB140,PMEHVAC[Eff Desc 1],0)),""),"")</f>
        <v/>
      </c>
      <c r="D140" t="s">
        <v>947</v>
      </c>
      <c r="F140" s="112"/>
      <c r="G140" s="186">
        <f>INDEX('M03-S03'!$N$16:$N$198,2*(ROWS($G$106:G140)-1)+1)</f>
        <v>0</v>
      </c>
      <c r="H140" s="186"/>
      <c r="I140" s="184">
        <f>IFERROR(ROUND(INDEX('M03-S03'!$AA$16:$AA$198,2*(ROWS($I$106:I140)-1)+1),2),0)</f>
        <v>0</v>
      </c>
      <c r="J140" s="184">
        <f>IFERROR(ROUND(INDEX('M03-S03'!$AC$16:$AC$198,2*(ROWS($J$106:J140)-1)+1),2),0)</f>
        <v>0</v>
      </c>
      <c r="K140" s="52">
        <f>IFERROR(ROUND(INDEX('M03-S03'!$AU$16:$AU$198,2*(ROWS($K$106:K140)-1)+1),2),0)</f>
        <v>0</v>
      </c>
      <c r="M140" s="456">
        <f>INDEX('M03-S03'!$V$16:$V$198,2*(ROWS($M$106:M140)-1)+1)</f>
        <v>0</v>
      </c>
      <c r="N140" s="184" t="str">
        <f>IF(ISNUMBER(INDEX('M03-S03'!$AO$16:$AO$198,2*(ROWS($R$106:R140)-1)+1)),INDEX('M03-S03'!$AK$16:$AK$198,2*(ROWS($N$106:N140)-1)+1),"")</f>
        <v/>
      </c>
      <c r="O140" s="456" t="str">
        <f>IFERROR(IF(ISNUMBER(INDEX('M03-S03'!$AO$16:$AO$198,2*(ROWS($R$106:R140)-1)+1)),INDEX('M03-S03'!$AV$16:$AV$198,2*(ROWS($O$106:O140)-1)+1),""),"")</f>
        <v/>
      </c>
      <c r="P140" s="456" t="str">
        <f>IFERROR(IF(ISNUMBER(INDEX('M03-S03'!$AO$16:$AO$198,2*(ROWS($R$106:R140)-1)+1)),INDEX('M03-S03'!$AY$16:$AY$198,2*(ROWS($O$106:P140)-1)+1),""),"")</f>
        <v/>
      </c>
      <c r="Q140" s="113"/>
      <c r="R140" s="184">
        <f>IF(ISNUMBER(INDEX('M03-S03'!$AO$16:$AO$198,2*(ROWS($R$106:R140)-1)+1)),INDEX('M03-S03'!$AO$16:$AO$198,2*(ROWS($R$106:R140)-1)+1),0)</f>
        <v>0</v>
      </c>
      <c r="S140" s="459"/>
      <c r="T140" s="113"/>
      <c r="U140" s="140"/>
      <c r="V140" s="113"/>
      <c r="W140" s="96">
        <f>IFERROR(IF(NOT(ISNUMBER(INDEX('M03-S03'!$AO$16:$AO$198,2*(ROWS($R$106:R140)-1)+1))),INDEX('M03-S03'!$BC$16:$BC$198,2*(ROWS($R$106:R140)-1)+1),""),"")</f>
        <v>0</v>
      </c>
      <c r="X140" s="113"/>
      <c r="Y140" s="113"/>
      <c r="Z140" s="111">
        <f>INDEX('M03-S03'!$B$16:$B$198,2*(ROWS($Z$106:Z140)-1)+1)</f>
        <v>35</v>
      </c>
      <c r="AA140" s="111" t="str">
        <f>INDEX('M03-S03'!$L$16:$L$199,2*(ROWS($Z$106:AA140)-1)+1)</f>
        <v/>
      </c>
      <c r="AB140" s="111">
        <f>INDEX('M03-S03'!$C$16:$C$198,2*(ROWS($Z$106:AB140)-1)+1)</f>
        <v>0</v>
      </c>
      <c r="AC140" t="str">
        <f>IFERROR(INDEX('M03-S03'!$J$16:$J$199,2*(ROWS(AC$106:AC140)-1)+1)&amp;" "&amp;INDEX('M03-S03'!$L$16:$L$199,2*(ROWS(AC$106:AC140)-1)+1)&amp;", "&amp;INDEX('M03-S03'!$P$16:$P$199,2*(ROWS(AC$106:AC140)-1)+1)&amp;" "&amp;INDEX('M03-S03'!$R$16:$R$199,2*(ROWS(AC$106:AC140)-1)+1),"")</f>
        <v xml:space="preserve"> ,  </v>
      </c>
      <c r="AD140" t="str">
        <f>IFERROR(INDEX('M03-S03'!$J$16:$J$199,2*(ROWS(AD$106:AD140)-1)+1)&amp;" "&amp;ROUND(INDEX('M03-S03'!$N$16:$N$199,2*(ROWS(AD$106:AD140)-1)+1),3),"")&amp;", "&amp;IFERROR(INDEX('M03-S03'!$P$16:$P$199,2*(ROWS(AD$106:AD140)-1)+1)&amp;" "&amp;ROUND(INDEX('M03-S03'!$T$16:$T$199,2*(ROWS(AD$106:AD140)-1)+1),3),"")</f>
        <v xml:space="preserve"> 0,  0</v>
      </c>
      <c r="AE140" s="459"/>
      <c r="AF140" s="459"/>
      <c r="AG140" s="112"/>
      <c r="AH140" s="112"/>
      <c r="AI140" s="112"/>
      <c r="AJ140" s="112"/>
      <c r="AK140" s="113"/>
      <c r="AL140" s="113"/>
      <c r="AM140" s="113"/>
      <c r="AN140" s="113"/>
      <c r="AO140" s="52" t="str">
        <f>IFERROR(INDEX(PMEHVAC[Program Design],MATCH(AB140,PMEHVAC[Eff Desc 1],0)),"")</f>
        <v/>
      </c>
      <c r="AU140"/>
    </row>
    <row r="141" spans="1:47">
      <c r="A141" s="57">
        <f t="shared" si="9"/>
        <v>0</v>
      </c>
      <c r="B141" s="183" t="str">
        <f t="shared" si="11"/>
        <v/>
      </c>
      <c r="C141" t="str">
        <f>IFERROR(IF(R141&gt;0,INDEX(PMEHVAC[Measure '#],MATCH(AB141,PMEHVAC[Eff Desc 1],0)),""),"")</f>
        <v/>
      </c>
      <c r="D141" t="s">
        <v>947</v>
      </c>
      <c r="F141" s="112"/>
      <c r="G141" s="186">
        <f>INDEX('M03-S03'!$N$16:$N$198,2*(ROWS($G$106:G141)-1)+1)</f>
        <v>0</v>
      </c>
      <c r="H141" s="186"/>
      <c r="I141" s="184">
        <f>IFERROR(ROUND(INDEX('M03-S03'!$AA$16:$AA$198,2*(ROWS($I$106:I141)-1)+1),2),0)</f>
        <v>0</v>
      </c>
      <c r="J141" s="184">
        <f>IFERROR(ROUND(INDEX('M03-S03'!$AC$16:$AC$198,2*(ROWS($J$106:J141)-1)+1),2),0)</f>
        <v>0</v>
      </c>
      <c r="K141" s="52">
        <f>IFERROR(ROUND(INDEX('M03-S03'!$AU$16:$AU$198,2*(ROWS($K$106:K141)-1)+1),2),0)</f>
        <v>0</v>
      </c>
      <c r="M141" s="456">
        <f>INDEX('M03-S03'!$V$16:$V$198,2*(ROWS($M$106:M141)-1)+1)</f>
        <v>0</v>
      </c>
      <c r="N141" s="184" t="str">
        <f>IF(ISNUMBER(INDEX('M03-S03'!$AO$16:$AO$198,2*(ROWS($R$106:R141)-1)+1)),INDEX('M03-S03'!$AK$16:$AK$198,2*(ROWS($N$106:N141)-1)+1),"")</f>
        <v/>
      </c>
      <c r="O141" s="456" t="str">
        <f>IFERROR(IF(ISNUMBER(INDEX('M03-S03'!$AO$16:$AO$198,2*(ROWS($R$106:R141)-1)+1)),INDEX('M03-S03'!$AV$16:$AV$198,2*(ROWS($O$106:O141)-1)+1),""),"")</f>
        <v/>
      </c>
      <c r="P141" s="456" t="str">
        <f>IFERROR(IF(ISNUMBER(INDEX('M03-S03'!$AO$16:$AO$198,2*(ROWS($R$106:R141)-1)+1)),INDEX('M03-S03'!$AY$16:$AY$198,2*(ROWS($O$106:P141)-1)+1),""),"")</f>
        <v/>
      </c>
      <c r="Q141" s="113"/>
      <c r="R141" s="184">
        <f>IF(ISNUMBER(INDEX('M03-S03'!$AO$16:$AO$198,2*(ROWS($R$106:R141)-1)+1)),INDEX('M03-S03'!$AO$16:$AO$198,2*(ROWS($R$106:R141)-1)+1),0)</f>
        <v>0</v>
      </c>
      <c r="S141" s="459"/>
      <c r="T141" s="113"/>
      <c r="U141" s="140"/>
      <c r="V141" s="113"/>
      <c r="W141" s="96">
        <f>IFERROR(IF(NOT(ISNUMBER(INDEX('M03-S03'!$AO$16:$AO$198,2*(ROWS($R$106:R141)-1)+1))),INDEX('M03-S03'!$BC$16:$BC$198,2*(ROWS($R$106:R141)-1)+1),""),"")</f>
        <v>0</v>
      </c>
      <c r="X141" s="113"/>
      <c r="Y141" s="113"/>
      <c r="Z141" s="111">
        <f>INDEX('M03-S03'!$B$16:$B$198,2*(ROWS($Z$106:Z141)-1)+1)</f>
        <v>36</v>
      </c>
      <c r="AA141" s="111" t="str">
        <f>INDEX('M03-S03'!$L$16:$L$199,2*(ROWS($Z$106:AA141)-1)+1)</f>
        <v/>
      </c>
      <c r="AB141" s="111">
        <f>INDEX('M03-S03'!$C$16:$C$198,2*(ROWS($Z$106:AB141)-1)+1)</f>
        <v>0</v>
      </c>
      <c r="AC141" t="str">
        <f>IFERROR(INDEX('M03-S03'!$J$16:$J$199,2*(ROWS(AC$106:AC141)-1)+1)&amp;" "&amp;INDEX('M03-S03'!$L$16:$L$199,2*(ROWS(AC$106:AC141)-1)+1)&amp;", "&amp;INDEX('M03-S03'!$P$16:$P$199,2*(ROWS(AC$106:AC141)-1)+1)&amp;" "&amp;INDEX('M03-S03'!$R$16:$R$199,2*(ROWS(AC$106:AC141)-1)+1),"")</f>
        <v xml:space="preserve"> ,  </v>
      </c>
      <c r="AD141" t="str">
        <f>IFERROR(INDEX('M03-S03'!$J$16:$J$199,2*(ROWS(AD$106:AD141)-1)+1)&amp;" "&amp;ROUND(INDEX('M03-S03'!$N$16:$N$199,2*(ROWS(AD$106:AD141)-1)+1),3),"")&amp;", "&amp;IFERROR(INDEX('M03-S03'!$P$16:$P$199,2*(ROWS(AD$106:AD141)-1)+1)&amp;" "&amp;ROUND(INDEX('M03-S03'!$T$16:$T$199,2*(ROWS(AD$106:AD141)-1)+1),3),"")</f>
        <v xml:space="preserve"> 0,  0</v>
      </c>
      <c r="AE141" s="459"/>
      <c r="AF141" s="459"/>
      <c r="AG141" s="112"/>
      <c r="AH141" s="112"/>
      <c r="AI141" s="112"/>
      <c r="AJ141" s="112"/>
      <c r="AK141" s="113"/>
      <c r="AL141" s="113"/>
      <c r="AM141" s="113"/>
      <c r="AN141" s="113"/>
      <c r="AO141" s="52" t="str">
        <f>IFERROR(INDEX(PMEHVAC[Program Design],MATCH(AB141,PMEHVAC[Eff Desc 1],0)),"")</f>
        <v/>
      </c>
      <c r="AU141"/>
    </row>
    <row r="142" spans="1:47">
      <c r="A142" s="57">
        <f t="shared" si="9"/>
        <v>0</v>
      </c>
      <c r="B142" s="183" t="str">
        <f t="shared" si="10"/>
        <v/>
      </c>
      <c r="C142" t="str">
        <f>IFERROR(IF(R142&gt;0,INDEX(PMEHVAC[Measure '#],MATCH(AB142,PMEHVAC[Eff Desc 1],0)),""),"")</f>
        <v/>
      </c>
      <c r="D142" t="s">
        <v>947</v>
      </c>
      <c r="F142" s="112"/>
      <c r="G142" s="186">
        <f>INDEX('M03-S03'!$N$16:$N$198,2*(ROWS($G$106:G142)-1)+1)</f>
        <v>0</v>
      </c>
      <c r="H142" s="186"/>
      <c r="I142" s="184">
        <f>IFERROR(ROUND(INDEX('M03-S03'!$AA$16:$AA$198,2*(ROWS($I$106:I142)-1)+1),2),0)</f>
        <v>0</v>
      </c>
      <c r="J142" s="184">
        <f>IFERROR(ROUND(INDEX('M03-S03'!$AC$16:$AC$198,2*(ROWS($J$106:J142)-1)+1),2),0)</f>
        <v>0</v>
      </c>
      <c r="K142" s="52">
        <f>IFERROR(ROUND(INDEX('M03-S03'!$AU$16:$AU$198,2*(ROWS($K$106:K142)-1)+1),2),0)</f>
        <v>0</v>
      </c>
      <c r="M142" s="456">
        <f>INDEX('M03-S03'!$V$16:$V$198,2*(ROWS($M$106:M142)-1)+1)</f>
        <v>0</v>
      </c>
      <c r="N142" s="184" t="str">
        <f>IF(ISNUMBER(INDEX('M03-S03'!$AO$16:$AO$198,2*(ROWS($R$106:R142)-1)+1)),INDEX('M03-S03'!$AK$16:$AK$198,2*(ROWS($N$106:N142)-1)+1),"")</f>
        <v/>
      </c>
      <c r="O142" s="456" t="str">
        <f>IFERROR(IF(ISNUMBER(INDEX('M03-S03'!$AO$16:$AO$198,2*(ROWS($R$106:R142)-1)+1)),INDEX('M03-S03'!$AV$16:$AV$198,2*(ROWS($O$106:O142)-1)+1),""),"")</f>
        <v/>
      </c>
      <c r="P142" s="456" t="str">
        <f>IFERROR(IF(ISNUMBER(INDEX('M03-S03'!$AO$16:$AO$198,2*(ROWS($R$106:R142)-1)+1)),INDEX('M03-S03'!$AY$16:$AY$198,2*(ROWS($O$106:P142)-1)+1),""),"")</f>
        <v/>
      </c>
      <c r="Q142" s="113"/>
      <c r="R142" s="184">
        <f>IF(ISNUMBER(INDEX('M03-S03'!$AO$16:$AO$198,2*(ROWS($R$106:R142)-1)+1)),INDEX('M03-S03'!$AO$16:$AO$198,2*(ROWS($R$106:R142)-1)+1),0)</f>
        <v>0</v>
      </c>
      <c r="S142" s="459"/>
      <c r="T142" s="113"/>
      <c r="U142" s="140"/>
      <c r="V142" s="113"/>
      <c r="W142" s="96">
        <f>IFERROR(IF(NOT(ISNUMBER(INDEX('M03-S03'!$AO$16:$AO$198,2*(ROWS($R$106:R142)-1)+1))),INDEX('M03-S03'!$BC$16:$BC$198,2*(ROWS($R$106:R142)-1)+1),""),"")</f>
        <v>0</v>
      </c>
      <c r="X142" s="113"/>
      <c r="Y142" s="113"/>
      <c r="Z142" s="111">
        <f>INDEX('M03-S03'!$B$16:$B$198,2*(ROWS($Z$106:Z142)-1)+1)</f>
        <v>37</v>
      </c>
      <c r="AA142" s="111" t="str">
        <f>INDEX('M03-S03'!$L$16:$L$199,2*(ROWS($Z$106:AA142)-1)+1)</f>
        <v/>
      </c>
      <c r="AB142" s="111">
        <f>INDEX('M03-S03'!$C$16:$C$198,2*(ROWS($Z$106:AB142)-1)+1)</f>
        <v>0</v>
      </c>
      <c r="AC142" t="str">
        <f>IFERROR(INDEX('M03-S03'!$J$16:$J$199,2*(ROWS(AC$106:AC142)-1)+1)&amp;" "&amp;INDEX('M03-S03'!$L$16:$L$199,2*(ROWS(AC$106:AC142)-1)+1)&amp;", "&amp;INDEX('M03-S03'!$P$16:$P$199,2*(ROWS(AC$106:AC142)-1)+1)&amp;" "&amp;INDEX('M03-S03'!$R$16:$R$199,2*(ROWS(AC$106:AC142)-1)+1),"")</f>
        <v xml:space="preserve"> ,  </v>
      </c>
      <c r="AD142" t="str">
        <f>IFERROR(INDEX('M03-S03'!$J$16:$J$199,2*(ROWS(AD$106:AD142)-1)+1)&amp;" "&amp;ROUND(INDEX('M03-S03'!$N$16:$N$199,2*(ROWS(AD$106:AD142)-1)+1),3),"")&amp;", "&amp;IFERROR(INDEX('M03-S03'!$P$16:$P$199,2*(ROWS(AD$106:AD142)-1)+1)&amp;" "&amp;ROUND(INDEX('M03-S03'!$T$16:$T$199,2*(ROWS(AD$106:AD142)-1)+1),3),"")</f>
        <v xml:space="preserve"> 0,  0</v>
      </c>
      <c r="AE142" s="459"/>
      <c r="AF142" s="459"/>
      <c r="AG142" s="112"/>
      <c r="AH142" s="112"/>
      <c r="AI142" s="112"/>
      <c r="AJ142" s="112"/>
      <c r="AK142" s="113"/>
      <c r="AL142" s="113"/>
      <c r="AM142" s="113"/>
      <c r="AN142" s="113"/>
      <c r="AO142" s="52" t="str">
        <f>IFERROR(INDEX(PMEHVAC[Program Design],MATCH(AB142,PMEHVAC[Eff Desc 1],0)),"")</f>
        <v/>
      </c>
      <c r="AU142"/>
    </row>
    <row r="143" spans="1:47">
      <c r="A143" s="57">
        <f t="shared" si="9"/>
        <v>0</v>
      </c>
      <c r="B143" s="183" t="str">
        <f t="shared" si="10"/>
        <v/>
      </c>
      <c r="C143" t="str">
        <f>IFERROR(IF(R143&gt;0,INDEX(PMEHVAC[Measure '#],MATCH(AB143,PMEHVAC[Eff Desc 1],0)),""),"")</f>
        <v/>
      </c>
      <c r="D143" t="s">
        <v>947</v>
      </c>
      <c r="F143" s="112"/>
      <c r="G143" s="186">
        <f>INDEX('M03-S03'!$N$16:$N$198,2*(ROWS($G$106:G143)-1)+1)</f>
        <v>0</v>
      </c>
      <c r="H143" s="186"/>
      <c r="I143" s="184">
        <f>IFERROR(ROUND(INDEX('M03-S03'!$AA$16:$AA$198,2*(ROWS($I$106:I143)-1)+1),2),0)</f>
        <v>0</v>
      </c>
      <c r="J143" s="184">
        <f>IFERROR(ROUND(INDEX('M03-S03'!$AC$16:$AC$198,2*(ROWS($J$106:J143)-1)+1),2),0)</f>
        <v>0</v>
      </c>
      <c r="K143" s="52">
        <f>IFERROR(ROUND(INDEX('M03-S03'!$AU$16:$AU$198,2*(ROWS($K$106:K143)-1)+1),2),0)</f>
        <v>0</v>
      </c>
      <c r="M143" s="456">
        <f>INDEX('M03-S03'!$V$16:$V$198,2*(ROWS($M$106:M143)-1)+1)</f>
        <v>0</v>
      </c>
      <c r="N143" s="184" t="str">
        <f>IF(ISNUMBER(INDEX('M03-S03'!$AO$16:$AO$198,2*(ROWS($R$106:R143)-1)+1)),INDEX('M03-S03'!$AK$16:$AK$198,2*(ROWS($N$106:N143)-1)+1),"")</f>
        <v/>
      </c>
      <c r="O143" s="456" t="str">
        <f>IFERROR(IF(ISNUMBER(INDEX('M03-S03'!$AO$16:$AO$198,2*(ROWS($R$106:R143)-1)+1)),INDEX('M03-S03'!$AV$16:$AV$198,2*(ROWS($O$106:O143)-1)+1),""),"")</f>
        <v/>
      </c>
      <c r="P143" s="456" t="str">
        <f>IFERROR(IF(ISNUMBER(INDEX('M03-S03'!$AO$16:$AO$198,2*(ROWS($R$106:R143)-1)+1)),INDEX('M03-S03'!$AY$16:$AY$198,2*(ROWS($O$106:P143)-1)+1),""),"")</f>
        <v/>
      </c>
      <c r="Q143" s="113"/>
      <c r="R143" s="184">
        <f>IF(ISNUMBER(INDEX('M03-S03'!$AO$16:$AO$198,2*(ROWS($R$106:R143)-1)+1)),INDEX('M03-S03'!$AO$16:$AO$198,2*(ROWS($R$106:R143)-1)+1),0)</f>
        <v>0</v>
      </c>
      <c r="S143" s="459"/>
      <c r="T143" s="113"/>
      <c r="U143" s="140"/>
      <c r="V143" s="113"/>
      <c r="W143" s="96">
        <f>IFERROR(IF(NOT(ISNUMBER(INDEX('M03-S03'!$AO$16:$AO$198,2*(ROWS($R$106:R143)-1)+1))),INDEX('M03-S03'!$BC$16:$BC$198,2*(ROWS($R$106:R143)-1)+1),""),"")</f>
        <v>0</v>
      </c>
      <c r="X143" s="113"/>
      <c r="Y143" s="113"/>
      <c r="Z143" s="111">
        <f>INDEX('M03-S03'!$B$16:$B$198,2*(ROWS($Z$106:Z143)-1)+1)</f>
        <v>38</v>
      </c>
      <c r="AA143" s="111" t="str">
        <f>INDEX('M03-S03'!$L$16:$L$199,2*(ROWS($Z$106:AA143)-1)+1)</f>
        <v/>
      </c>
      <c r="AB143" s="111">
        <f>INDEX('M03-S03'!$C$16:$C$198,2*(ROWS($Z$106:AB143)-1)+1)</f>
        <v>0</v>
      </c>
      <c r="AC143" t="str">
        <f>IFERROR(INDEX('M03-S03'!$J$16:$J$199,2*(ROWS(AC$106:AC143)-1)+1)&amp;" "&amp;INDEX('M03-S03'!$L$16:$L$199,2*(ROWS(AC$106:AC143)-1)+1)&amp;", "&amp;INDEX('M03-S03'!$P$16:$P$199,2*(ROWS(AC$106:AC143)-1)+1)&amp;" "&amp;INDEX('M03-S03'!$R$16:$R$199,2*(ROWS(AC$106:AC143)-1)+1),"")</f>
        <v xml:space="preserve"> ,  </v>
      </c>
      <c r="AD143" t="str">
        <f>IFERROR(INDEX('M03-S03'!$J$16:$J$199,2*(ROWS(AD$106:AD143)-1)+1)&amp;" "&amp;ROUND(INDEX('M03-S03'!$N$16:$N$199,2*(ROWS(AD$106:AD143)-1)+1),3),"")&amp;", "&amp;IFERROR(INDEX('M03-S03'!$P$16:$P$199,2*(ROWS(AD$106:AD143)-1)+1)&amp;" "&amp;ROUND(INDEX('M03-S03'!$T$16:$T$199,2*(ROWS(AD$106:AD143)-1)+1),3),"")</f>
        <v xml:space="preserve"> 0,  0</v>
      </c>
      <c r="AE143" s="459"/>
      <c r="AF143" s="459"/>
      <c r="AG143" s="112"/>
      <c r="AH143" s="112"/>
      <c r="AI143" s="112"/>
      <c r="AJ143" s="112"/>
      <c r="AK143" s="113"/>
      <c r="AL143" s="113"/>
      <c r="AM143" s="113"/>
      <c r="AN143" s="113"/>
      <c r="AO143" s="52" t="str">
        <f>IFERROR(INDEX(PMEHVAC[Program Design],MATCH(AB143,PMEHVAC[Eff Desc 1],0)),"")</f>
        <v/>
      </c>
      <c r="AU143"/>
    </row>
    <row r="144" spans="1:47">
      <c r="A144" s="57">
        <f t="shared" si="9"/>
        <v>0</v>
      </c>
      <c r="B144" s="183" t="str">
        <f t="shared" si="10"/>
        <v/>
      </c>
      <c r="C144" t="str">
        <f>IFERROR(IF(R144&gt;0,INDEX(PMEHVAC[Measure '#],MATCH(AB144,PMEHVAC[Eff Desc 1],0)),""),"")</f>
        <v/>
      </c>
      <c r="D144" t="s">
        <v>947</v>
      </c>
      <c r="F144" s="112"/>
      <c r="G144" s="186">
        <f>INDEX('M03-S03'!$N$16:$N$198,2*(ROWS($G$106:G144)-1)+1)</f>
        <v>0</v>
      </c>
      <c r="H144" s="186"/>
      <c r="I144" s="184">
        <f>IFERROR(ROUND(INDEX('M03-S03'!$AA$16:$AA$198,2*(ROWS($I$106:I144)-1)+1),2),0)</f>
        <v>0</v>
      </c>
      <c r="J144" s="184">
        <f>IFERROR(ROUND(INDEX('M03-S03'!$AC$16:$AC$198,2*(ROWS($J$106:J144)-1)+1),2),0)</f>
        <v>0</v>
      </c>
      <c r="K144" s="52">
        <f>IFERROR(ROUND(INDEX('M03-S03'!$AU$16:$AU$198,2*(ROWS($K$106:K144)-1)+1),2),0)</f>
        <v>0</v>
      </c>
      <c r="M144" s="456">
        <f>INDEX('M03-S03'!$V$16:$V$198,2*(ROWS($M$106:M144)-1)+1)</f>
        <v>0</v>
      </c>
      <c r="N144" s="184" t="str">
        <f>IF(ISNUMBER(INDEX('M03-S03'!$AO$16:$AO$198,2*(ROWS($R$106:R144)-1)+1)),INDEX('M03-S03'!$AK$16:$AK$198,2*(ROWS($N$106:N144)-1)+1),"")</f>
        <v/>
      </c>
      <c r="O144" s="456" t="str">
        <f>IFERROR(IF(ISNUMBER(INDEX('M03-S03'!$AO$16:$AO$198,2*(ROWS($R$106:R144)-1)+1)),INDEX('M03-S03'!$AV$16:$AV$198,2*(ROWS($O$106:O144)-1)+1),""),"")</f>
        <v/>
      </c>
      <c r="P144" s="456" t="str">
        <f>IFERROR(IF(ISNUMBER(INDEX('M03-S03'!$AO$16:$AO$198,2*(ROWS($R$106:R144)-1)+1)),INDEX('M03-S03'!$AY$16:$AY$198,2*(ROWS($O$106:P144)-1)+1),""),"")</f>
        <v/>
      </c>
      <c r="Q144" s="113"/>
      <c r="R144" s="184">
        <f>IF(ISNUMBER(INDEX('M03-S03'!$AO$16:$AO$198,2*(ROWS($R$106:R144)-1)+1)),INDEX('M03-S03'!$AO$16:$AO$198,2*(ROWS($R$106:R144)-1)+1),0)</f>
        <v>0</v>
      </c>
      <c r="S144" s="459"/>
      <c r="T144" s="113"/>
      <c r="U144" s="140"/>
      <c r="V144" s="113"/>
      <c r="W144" s="96">
        <f>IFERROR(IF(NOT(ISNUMBER(INDEX('M03-S03'!$AO$16:$AO$198,2*(ROWS($R$106:R144)-1)+1))),INDEX('M03-S03'!$BC$16:$BC$198,2*(ROWS($R$106:R144)-1)+1),""),"")</f>
        <v>0</v>
      </c>
      <c r="X144" s="113"/>
      <c r="Y144" s="113"/>
      <c r="Z144" s="111">
        <f>INDEX('M03-S03'!$B$16:$B$198,2*(ROWS($Z$106:Z144)-1)+1)</f>
        <v>39</v>
      </c>
      <c r="AA144" s="111" t="str">
        <f>INDEX('M03-S03'!$L$16:$L$199,2*(ROWS($Z$106:AA144)-1)+1)</f>
        <v/>
      </c>
      <c r="AB144" s="111">
        <f>INDEX('M03-S03'!$C$16:$C$198,2*(ROWS($Z$106:AB144)-1)+1)</f>
        <v>0</v>
      </c>
      <c r="AC144" t="str">
        <f>IFERROR(INDEX('M03-S03'!$J$16:$J$199,2*(ROWS(AC$106:AC144)-1)+1)&amp;" "&amp;INDEX('M03-S03'!$L$16:$L$199,2*(ROWS(AC$106:AC144)-1)+1)&amp;", "&amp;INDEX('M03-S03'!$P$16:$P$199,2*(ROWS(AC$106:AC144)-1)+1)&amp;" "&amp;INDEX('M03-S03'!$R$16:$R$199,2*(ROWS(AC$106:AC144)-1)+1),"")</f>
        <v xml:space="preserve"> ,  </v>
      </c>
      <c r="AD144" t="str">
        <f>IFERROR(INDEX('M03-S03'!$J$16:$J$199,2*(ROWS(AD$106:AD144)-1)+1)&amp;" "&amp;ROUND(INDEX('M03-S03'!$N$16:$N$199,2*(ROWS(AD$106:AD144)-1)+1),3),"")&amp;", "&amp;IFERROR(INDEX('M03-S03'!$P$16:$P$199,2*(ROWS(AD$106:AD144)-1)+1)&amp;" "&amp;ROUND(INDEX('M03-S03'!$T$16:$T$199,2*(ROWS(AD$106:AD144)-1)+1),3),"")</f>
        <v xml:space="preserve"> 0,  0</v>
      </c>
      <c r="AE144" s="459"/>
      <c r="AF144" s="459"/>
      <c r="AG144" s="112"/>
      <c r="AH144" s="112"/>
      <c r="AI144" s="112"/>
      <c r="AJ144" s="112"/>
      <c r="AK144" s="113"/>
      <c r="AL144" s="113"/>
      <c r="AM144" s="113"/>
      <c r="AN144" s="113"/>
      <c r="AO144" s="52" t="str">
        <f>IFERROR(INDEX(PMEHVAC[Program Design],MATCH(AB144,PMEHVAC[Eff Desc 1],0)),"")</f>
        <v/>
      </c>
      <c r="AU144"/>
    </row>
    <row r="145" spans="1:47">
      <c r="A145" s="57">
        <f t="shared" si="9"/>
        <v>0</v>
      </c>
      <c r="B145" s="183" t="str">
        <f t="shared" si="10"/>
        <v/>
      </c>
      <c r="C145" t="str">
        <f>IFERROR(IF(R145&gt;0,INDEX(PMEHVAC[Measure '#],MATCH(AB145,PMEHVAC[Eff Desc 1],0)),""),"")</f>
        <v/>
      </c>
      <c r="D145" t="s">
        <v>947</v>
      </c>
      <c r="F145" s="112"/>
      <c r="G145" s="186">
        <f>INDEX('M03-S03'!$N$16:$N$198,2*(ROWS($G$106:G145)-1)+1)</f>
        <v>0</v>
      </c>
      <c r="H145" s="186"/>
      <c r="I145" s="184">
        <f>IFERROR(ROUND(INDEX('M03-S03'!$AA$16:$AA$198,2*(ROWS($I$106:I145)-1)+1),2),0)</f>
        <v>0</v>
      </c>
      <c r="J145" s="184">
        <f>IFERROR(ROUND(INDEX('M03-S03'!$AC$16:$AC$198,2*(ROWS($J$106:J145)-1)+1),2),0)</f>
        <v>0</v>
      </c>
      <c r="K145" s="52">
        <f>IFERROR(ROUND(INDEX('M03-S03'!$AU$16:$AU$198,2*(ROWS($K$106:K145)-1)+1),2),0)</f>
        <v>0</v>
      </c>
      <c r="M145" s="456">
        <f>INDEX('M03-S03'!$V$16:$V$198,2*(ROWS($M$106:M145)-1)+1)</f>
        <v>0</v>
      </c>
      <c r="N145" s="184" t="str">
        <f>IF(ISNUMBER(INDEX('M03-S03'!$AO$16:$AO$198,2*(ROWS($R$106:R145)-1)+1)),INDEX('M03-S03'!$AK$16:$AK$198,2*(ROWS($N$106:N145)-1)+1),"")</f>
        <v/>
      </c>
      <c r="O145" s="456" t="str">
        <f>IFERROR(IF(ISNUMBER(INDEX('M03-S03'!$AO$16:$AO$198,2*(ROWS($R$106:R145)-1)+1)),INDEX('M03-S03'!$AV$16:$AV$198,2*(ROWS($O$106:O145)-1)+1),""),"")</f>
        <v/>
      </c>
      <c r="P145" s="456" t="str">
        <f>IFERROR(IF(ISNUMBER(INDEX('M03-S03'!$AO$16:$AO$198,2*(ROWS($R$106:R145)-1)+1)),INDEX('M03-S03'!$AY$16:$AY$198,2*(ROWS($O$106:P145)-1)+1),""),"")</f>
        <v/>
      </c>
      <c r="Q145" s="113"/>
      <c r="R145" s="184">
        <f>IF(ISNUMBER(INDEX('M03-S03'!$AO$16:$AO$198,2*(ROWS($R$106:R145)-1)+1)),INDEX('M03-S03'!$AO$16:$AO$198,2*(ROWS($R$106:R145)-1)+1),0)</f>
        <v>0</v>
      </c>
      <c r="S145" s="459"/>
      <c r="T145" s="113"/>
      <c r="U145" s="140"/>
      <c r="V145" s="113"/>
      <c r="W145" s="96">
        <f>IFERROR(IF(NOT(ISNUMBER(INDEX('M03-S03'!$AO$16:$AO$198,2*(ROWS($R$106:R145)-1)+1))),INDEX('M03-S03'!$BC$16:$BC$198,2*(ROWS($R$106:R145)-1)+1),""),"")</f>
        <v>0</v>
      </c>
      <c r="X145" s="113"/>
      <c r="Y145" s="113"/>
      <c r="Z145" s="111">
        <f>INDEX('M03-S03'!$B$16:$B$198,2*(ROWS($Z$106:Z145)-1)+1)</f>
        <v>40</v>
      </c>
      <c r="AA145" s="111" t="str">
        <f>INDEX('M03-S03'!$L$16:$L$199,2*(ROWS($Z$106:AA145)-1)+1)</f>
        <v/>
      </c>
      <c r="AB145" s="111">
        <f>INDEX('M03-S03'!$C$16:$C$198,2*(ROWS($Z$106:AB145)-1)+1)</f>
        <v>0</v>
      </c>
      <c r="AC145" t="str">
        <f>IFERROR(INDEX('M03-S03'!$J$16:$J$199,2*(ROWS(AC$106:AC145)-1)+1)&amp;" "&amp;INDEX('M03-S03'!$L$16:$L$199,2*(ROWS(AC$106:AC145)-1)+1)&amp;", "&amp;INDEX('M03-S03'!$P$16:$P$199,2*(ROWS(AC$106:AC145)-1)+1)&amp;" "&amp;INDEX('M03-S03'!$R$16:$R$199,2*(ROWS(AC$106:AC145)-1)+1),"")</f>
        <v xml:space="preserve"> ,  </v>
      </c>
      <c r="AD145" t="str">
        <f>IFERROR(INDEX('M03-S03'!$J$16:$J$199,2*(ROWS(AD$106:AD145)-1)+1)&amp;" "&amp;ROUND(INDEX('M03-S03'!$N$16:$N$199,2*(ROWS(AD$106:AD145)-1)+1),3),"")&amp;", "&amp;IFERROR(INDEX('M03-S03'!$P$16:$P$199,2*(ROWS(AD$106:AD145)-1)+1)&amp;" "&amp;ROUND(INDEX('M03-S03'!$T$16:$T$199,2*(ROWS(AD$106:AD145)-1)+1),3),"")</f>
        <v xml:space="preserve"> 0,  0</v>
      </c>
      <c r="AE145" s="459"/>
      <c r="AF145" s="459"/>
      <c r="AG145" s="112"/>
      <c r="AH145" s="112"/>
      <c r="AI145" s="112"/>
      <c r="AJ145" s="112"/>
      <c r="AK145" s="113"/>
      <c r="AL145" s="113"/>
      <c r="AM145" s="113"/>
      <c r="AN145" s="113"/>
      <c r="AO145" s="52" t="str">
        <f>IFERROR(INDEX(PMEHVAC[Program Design],MATCH(AB145,PMEHVAC[Eff Desc 1],0)),"")</f>
        <v/>
      </c>
      <c r="AU145"/>
    </row>
    <row r="146" spans="1:47">
      <c r="A146" s="57">
        <f t="shared" si="9"/>
        <v>0</v>
      </c>
      <c r="B146" s="183" t="str">
        <f t="shared" si="10"/>
        <v/>
      </c>
      <c r="C146" t="str">
        <f>IFERROR(IF(R146&gt;0,INDEX(PMEHVAC[Measure '#],MATCH(AB146,PMEHVAC[Eff Desc 1],0)),""),"")</f>
        <v/>
      </c>
      <c r="D146" t="s">
        <v>947</v>
      </c>
      <c r="F146" s="112"/>
      <c r="G146" s="186">
        <f>INDEX('M03-S03'!$N$16:$N$198,2*(ROWS($G$106:G146)-1)+1)</f>
        <v>0</v>
      </c>
      <c r="H146" s="186"/>
      <c r="I146" s="184">
        <f>IFERROR(ROUND(INDEX('M03-S03'!$AA$16:$AA$198,2*(ROWS($I$106:I146)-1)+1),2),0)</f>
        <v>0</v>
      </c>
      <c r="J146" s="184">
        <f>IFERROR(ROUND(INDEX('M03-S03'!$AC$16:$AC$198,2*(ROWS($J$106:J146)-1)+1),2),0)</f>
        <v>0</v>
      </c>
      <c r="K146" s="52">
        <f>IFERROR(ROUND(INDEX('M03-S03'!$AU$16:$AU$198,2*(ROWS($K$106:K146)-1)+1),2),0)</f>
        <v>0</v>
      </c>
      <c r="M146" s="456">
        <f>INDEX('M03-S03'!$V$16:$V$198,2*(ROWS($M$106:M146)-1)+1)</f>
        <v>0</v>
      </c>
      <c r="N146" s="184" t="str">
        <f>IF(ISNUMBER(INDEX('M03-S03'!$AO$16:$AO$198,2*(ROWS($R$106:R146)-1)+1)),INDEX('M03-S03'!$AK$16:$AK$198,2*(ROWS($N$106:N146)-1)+1),"")</f>
        <v/>
      </c>
      <c r="O146" s="456" t="str">
        <f>IFERROR(IF(ISNUMBER(INDEX('M03-S03'!$AO$16:$AO$198,2*(ROWS($R$106:R146)-1)+1)),INDEX('M03-S03'!$AV$16:$AV$198,2*(ROWS($O$106:O146)-1)+1),""),"")</f>
        <v/>
      </c>
      <c r="P146" s="456" t="str">
        <f>IFERROR(IF(ISNUMBER(INDEX('M03-S03'!$AO$16:$AO$198,2*(ROWS($R$106:R146)-1)+1)),INDEX('M03-S03'!$AY$16:$AY$198,2*(ROWS($O$106:P146)-1)+1),""),"")</f>
        <v/>
      </c>
      <c r="Q146" s="113"/>
      <c r="R146" s="184">
        <f>IF(ISNUMBER(INDEX('M03-S03'!$AO$16:$AO$198,2*(ROWS($R$106:R146)-1)+1)),INDEX('M03-S03'!$AO$16:$AO$198,2*(ROWS($R$106:R146)-1)+1),0)</f>
        <v>0</v>
      </c>
      <c r="S146" s="459"/>
      <c r="T146" s="113"/>
      <c r="U146" s="140"/>
      <c r="V146" s="113"/>
      <c r="W146" s="96">
        <f>IFERROR(IF(NOT(ISNUMBER(INDEX('M03-S03'!$AO$16:$AO$198,2*(ROWS($R$106:R146)-1)+1))),INDEX('M03-S03'!$BC$16:$BC$198,2*(ROWS($R$106:R146)-1)+1),""),"")</f>
        <v>0</v>
      </c>
      <c r="X146" s="113"/>
      <c r="Y146" s="113"/>
      <c r="Z146" s="111">
        <f>INDEX('M03-S03'!$B$16:$B$198,2*(ROWS($Z$106:Z146)-1)+1)</f>
        <v>41</v>
      </c>
      <c r="AA146" s="111" t="str">
        <f>INDEX('M03-S03'!$L$16:$L$199,2*(ROWS($Z$106:AA146)-1)+1)</f>
        <v/>
      </c>
      <c r="AB146" s="111">
        <f>INDEX('M03-S03'!$C$16:$C$198,2*(ROWS($Z$106:AB146)-1)+1)</f>
        <v>0</v>
      </c>
      <c r="AC146" t="str">
        <f>IFERROR(INDEX('M03-S03'!$J$16:$J$199,2*(ROWS(AC$106:AC146)-1)+1)&amp;" "&amp;INDEX('M03-S03'!$L$16:$L$199,2*(ROWS(AC$106:AC146)-1)+1)&amp;", "&amp;INDEX('M03-S03'!$P$16:$P$199,2*(ROWS(AC$106:AC146)-1)+1)&amp;" "&amp;INDEX('M03-S03'!$R$16:$R$199,2*(ROWS(AC$106:AC146)-1)+1),"")</f>
        <v xml:space="preserve"> ,  </v>
      </c>
      <c r="AD146" t="str">
        <f>IFERROR(INDEX('M03-S03'!$J$16:$J$199,2*(ROWS(AD$106:AD146)-1)+1)&amp;" "&amp;ROUND(INDEX('M03-S03'!$N$16:$N$199,2*(ROWS(AD$106:AD146)-1)+1),3),"")&amp;", "&amp;IFERROR(INDEX('M03-S03'!$P$16:$P$199,2*(ROWS(AD$106:AD146)-1)+1)&amp;" "&amp;ROUND(INDEX('M03-S03'!$T$16:$T$199,2*(ROWS(AD$106:AD146)-1)+1),3),"")</f>
        <v xml:space="preserve"> 0,  0</v>
      </c>
      <c r="AE146" s="459"/>
      <c r="AF146" s="459"/>
      <c r="AG146" s="112"/>
      <c r="AH146" s="112"/>
      <c r="AI146" s="112"/>
      <c r="AJ146" s="112"/>
      <c r="AK146" s="113"/>
      <c r="AL146" s="113"/>
      <c r="AM146" s="113"/>
      <c r="AN146" s="113"/>
      <c r="AO146" s="52" t="str">
        <f>IFERROR(INDEX(PMEHVAC[Program Design],MATCH(AB146,PMEHVAC[Eff Desc 1],0)),"")</f>
        <v/>
      </c>
      <c r="AU146"/>
    </row>
    <row r="147" spans="1:47">
      <c r="A147" s="57">
        <f t="shared" si="9"/>
        <v>0</v>
      </c>
      <c r="B147" s="183" t="str">
        <f t="shared" si="10"/>
        <v/>
      </c>
      <c r="C147" t="str">
        <f>IFERROR(IF(R147&gt;0,INDEX(PMEHVAC[Measure '#],MATCH(AB147,PMEHVAC[Eff Desc 1],0)),""),"")</f>
        <v/>
      </c>
      <c r="D147" t="s">
        <v>947</v>
      </c>
      <c r="F147" s="112"/>
      <c r="G147" s="186">
        <f>INDEX('M03-S03'!$N$16:$N$198,2*(ROWS($G$106:G147)-1)+1)</f>
        <v>0</v>
      </c>
      <c r="H147" s="186"/>
      <c r="I147" s="184">
        <f>IFERROR(ROUND(INDEX('M03-S03'!$AA$16:$AA$198,2*(ROWS($I$106:I147)-1)+1),2),0)</f>
        <v>0</v>
      </c>
      <c r="J147" s="184">
        <f>IFERROR(ROUND(INDEX('M03-S03'!$AC$16:$AC$198,2*(ROWS($J$106:J147)-1)+1),2),0)</f>
        <v>0</v>
      </c>
      <c r="K147" s="52">
        <f>IFERROR(ROUND(INDEX('M03-S03'!$AU$16:$AU$198,2*(ROWS($K$106:K147)-1)+1),2),0)</f>
        <v>0</v>
      </c>
      <c r="M147" s="456">
        <f>INDEX('M03-S03'!$V$16:$V$198,2*(ROWS($M$106:M147)-1)+1)</f>
        <v>0</v>
      </c>
      <c r="N147" s="184" t="str">
        <f>IF(ISNUMBER(INDEX('M03-S03'!$AO$16:$AO$198,2*(ROWS($R$106:R147)-1)+1)),INDEX('M03-S03'!$AK$16:$AK$198,2*(ROWS($N$106:N147)-1)+1),"")</f>
        <v/>
      </c>
      <c r="O147" s="456" t="str">
        <f>IFERROR(IF(ISNUMBER(INDEX('M03-S03'!$AO$16:$AO$198,2*(ROWS($R$106:R147)-1)+1)),INDEX('M03-S03'!$AV$16:$AV$198,2*(ROWS($O$106:O147)-1)+1),""),"")</f>
        <v/>
      </c>
      <c r="P147" s="456" t="str">
        <f>IFERROR(IF(ISNUMBER(INDEX('M03-S03'!$AO$16:$AO$198,2*(ROWS($R$106:R147)-1)+1)),INDEX('M03-S03'!$AY$16:$AY$198,2*(ROWS($O$106:P147)-1)+1),""),"")</f>
        <v/>
      </c>
      <c r="Q147" s="113"/>
      <c r="R147" s="184">
        <f>IF(ISNUMBER(INDEX('M03-S03'!$AO$16:$AO$198,2*(ROWS($R$106:R147)-1)+1)),INDEX('M03-S03'!$AO$16:$AO$198,2*(ROWS($R$106:R147)-1)+1),0)</f>
        <v>0</v>
      </c>
      <c r="S147" s="459"/>
      <c r="T147" s="113"/>
      <c r="U147" s="140"/>
      <c r="V147" s="113"/>
      <c r="W147" s="96">
        <f>IFERROR(IF(NOT(ISNUMBER(INDEX('M03-S03'!$AO$16:$AO$198,2*(ROWS($R$106:R147)-1)+1))),INDEX('M03-S03'!$BC$16:$BC$198,2*(ROWS($R$106:R147)-1)+1),""),"")</f>
        <v>0</v>
      </c>
      <c r="X147" s="113"/>
      <c r="Y147" s="113"/>
      <c r="Z147" s="111">
        <f>INDEX('M03-S03'!$B$16:$B$198,2*(ROWS($Z$106:Z147)-1)+1)</f>
        <v>42</v>
      </c>
      <c r="AA147" s="111" t="str">
        <f>INDEX('M03-S03'!$L$16:$L$199,2*(ROWS($Z$106:AA147)-1)+1)</f>
        <v/>
      </c>
      <c r="AB147" s="111">
        <f>INDEX('M03-S03'!$C$16:$C$198,2*(ROWS($Z$106:AB147)-1)+1)</f>
        <v>0</v>
      </c>
      <c r="AC147" t="str">
        <f>IFERROR(INDEX('M03-S03'!$J$16:$J$199,2*(ROWS(AC$106:AC147)-1)+1)&amp;" "&amp;INDEX('M03-S03'!$L$16:$L$199,2*(ROWS(AC$106:AC147)-1)+1)&amp;", "&amp;INDEX('M03-S03'!$P$16:$P$199,2*(ROWS(AC$106:AC147)-1)+1)&amp;" "&amp;INDEX('M03-S03'!$R$16:$R$199,2*(ROWS(AC$106:AC147)-1)+1),"")</f>
        <v xml:space="preserve"> ,  </v>
      </c>
      <c r="AD147" t="str">
        <f>IFERROR(INDEX('M03-S03'!$J$16:$J$199,2*(ROWS(AD$106:AD147)-1)+1)&amp;" "&amp;ROUND(INDEX('M03-S03'!$N$16:$N$199,2*(ROWS(AD$106:AD147)-1)+1),3),"")&amp;", "&amp;IFERROR(INDEX('M03-S03'!$P$16:$P$199,2*(ROWS(AD$106:AD147)-1)+1)&amp;" "&amp;ROUND(INDEX('M03-S03'!$T$16:$T$199,2*(ROWS(AD$106:AD147)-1)+1),3),"")</f>
        <v xml:space="preserve"> 0,  0</v>
      </c>
      <c r="AE147" s="459"/>
      <c r="AF147" s="459"/>
      <c r="AG147" s="112"/>
      <c r="AH147" s="112"/>
      <c r="AI147" s="112"/>
      <c r="AJ147" s="112"/>
      <c r="AK147" s="113"/>
      <c r="AL147" s="113"/>
      <c r="AM147" s="113"/>
      <c r="AN147" s="113"/>
      <c r="AO147" s="52" t="str">
        <f>IFERROR(INDEX(PMEHVAC[Program Design],MATCH(AB147,PMEHVAC[Eff Desc 1],0)),"")</f>
        <v/>
      </c>
      <c r="AU147"/>
    </row>
    <row r="148" spans="1:47">
      <c r="A148" s="57">
        <f t="shared" si="9"/>
        <v>0</v>
      </c>
      <c r="B148" s="183" t="str">
        <f t="shared" si="10"/>
        <v/>
      </c>
      <c r="C148" t="str">
        <f>IFERROR(IF(R148&gt;0,INDEX(PMEHVAC[Measure '#],MATCH(AB148,PMEHVAC[Eff Desc 1],0)),""),"")</f>
        <v/>
      </c>
      <c r="D148" t="s">
        <v>947</v>
      </c>
      <c r="F148" s="112"/>
      <c r="G148" s="186">
        <f>INDEX('M03-S03'!$N$16:$N$198,2*(ROWS($G$106:G148)-1)+1)</f>
        <v>0</v>
      </c>
      <c r="H148" s="186"/>
      <c r="I148" s="184">
        <f>IFERROR(ROUND(INDEX('M03-S03'!$AA$16:$AA$198,2*(ROWS($I$106:I148)-1)+1),2),0)</f>
        <v>0</v>
      </c>
      <c r="J148" s="184">
        <f>IFERROR(ROUND(INDEX('M03-S03'!$AC$16:$AC$198,2*(ROWS($J$106:J148)-1)+1),2),0)</f>
        <v>0</v>
      </c>
      <c r="K148" s="52">
        <f>IFERROR(ROUND(INDEX('M03-S03'!$AU$16:$AU$198,2*(ROWS($K$106:K148)-1)+1),2),0)</f>
        <v>0</v>
      </c>
      <c r="M148" s="456">
        <f>INDEX('M03-S03'!$V$16:$V$198,2*(ROWS($M$106:M148)-1)+1)</f>
        <v>0</v>
      </c>
      <c r="N148" s="184" t="str">
        <f>IF(ISNUMBER(INDEX('M03-S03'!$AO$16:$AO$198,2*(ROWS($R$106:R148)-1)+1)),INDEX('M03-S03'!$AK$16:$AK$198,2*(ROWS($N$106:N148)-1)+1),"")</f>
        <v/>
      </c>
      <c r="O148" s="456" t="str">
        <f>IFERROR(IF(ISNUMBER(INDEX('M03-S03'!$AO$16:$AO$198,2*(ROWS($R$106:R148)-1)+1)),INDEX('M03-S03'!$AV$16:$AV$198,2*(ROWS($O$106:O148)-1)+1),""),"")</f>
        <v/>
      </c>
      <c r="P148" s="456" t="str">
        <f>IFERROR(IF(ISNUMBER(INDEX('M03-S03'!$AO$16:$AO$198,2*(ROWS($R$106:R148)-1)+1)),INDEX('M03-S03'!$AY$16:$AY$198,2*(ROWS($O$106:P148)-1)+1),""),"")</f>
        <v/>
      </c>
      <c r="Q148" s="113"/>
      <c r="R148" s="184">
        <f>IF(ISNUMBER(INDEX('M03-S03'!$AO$16:$AO$198,2*(ROWS($R$106:R148)-1)+1)),INDEX('M03-S03'!$AO$16:$AO$198,2*(ROWS($R$106:R148)-1)+1),0)</f>
        <v>0</v>
      </c>
      <c r="S148" s="459"/>
      <c r="T148" s="113"/>
      <c r="U148" s="140"/>
      <c r="V148" s="113"/>
      <c r="W148" s="96">
        <f>IFERROR(IF(NOT(ISNUMBER(INDEX('M03-S03'!$AO$16:$AO$198,2*(ROWS($R$106:R148)-1)+1))),INDEX('M03-S03'!$BC$16:$BC$198,2*(ROWS($R$106:R148)-1)+1),""),"")</f>
        <v>0</v>
      </c>
      <c r="X148" s="113"/>
      <c r="Y148" s="113"/>
      <c r="Z148" s="111">
        <f>INDEX('M03-S03'!$B$16:$B$198,2*(ROWS($Z$106:Z148)-1)+1)</f>
        <v>43</v>
      </c>
      <c r="AA148" s="111" t="str">
        <f>INDEX('M03-S03'!$L$16:$L$199,2*(ROWS($Z$106:AA148)-1)+1)</f>
        <v/>
      </c>
      <c r="AB148" s="111">
        <f>INDEX('M03-S03'!$C$16:$C$198,2*(ROWS($Z$106:AB148)-1)+1)</f>
        <v>0</v>
      </c>
      <c r="AC148" t="str">
        <f>IFERROR(INDEX('M03-S03'!$J$16:$J$199,2*(ROWS(AC$106:AC148)-1)+1)&amp;" "&amp;INDEX('M03-S03'!$L$16:$L$199,2*(ROWS(AC$106:AC148)-1)+1)&amp;", "&amp;INDEX('M03-S03'!$P$16:$P$199,2*(ROWS(AC$106:AC148)-1)+1)&amp;" "&amp;INDEX('M03-S03'!$R$16:$R$199,2*(ROWS(AC$106:AC148)-1)+1),"")</f>
        <v xml:space="preserve"> ,  </v>
      </c>
      <c r="AD148" t="str">
        <f>IFERROR(INDEX('M03-S03'!$J$16:$J$199,2*(ROWS(AD$106:AD148)-1)+1)&amp;" "&amp;ROUND(INDEX('M03-S03'!$N$16:$N$199,2*(ROWS(AD$106:AD148)-1)+1),3),"")&amp;", "&amp;IFERROR(INDEX('M03-S03'!$P$16:$P$199,2*(ROWS(AD$106:AD148)-1)+1)&amp;" "&amp;ROUND(INDEX('M03-S03'!$T$16:$T$199,2*(ROWS(AD$106:AD148)-1)+1),3),"")</f>
        <v xml:space="preserve"> 0,  0</v>
      </c>
      <c r="AE148" s="459"/>
      <c r="AF148" s="459"/>
      <c r="AG148" s="112"/>
      <c r="AH148" s="112"/>
      <c r="AI148" s="112"/>
      <c r="AJ148" s="112"/>
      <c r="AK148" s="113"/>
      <c r="AL148" s="113"/>
      <c r="AM148" s="113"/>
      <c r="AN148" s="113"/>
      <c r="AO148" s="52" t="str">
        <f>IFERROR(INDEX(PMEHVAC[Program Design],MATCH(AB148,PMEHVAC[Eff Desc 1],0)),"")</f>
        <v/>
      </c>
      <c r="AU148"/>
    </row>
    <row r="149" spans="1:47">
      <c r="A149" s="57">
        <f t="shared" si="9"/>
        <v>0</v>
      </c>
      <c r="B149" s="183" t="str">
        <f t="shared" si="10"/>
        <v/>
      </c>
      <c r="C149" t="str">
        <f>IFERROR(IF(R149&gt;0,INDEX(PMEHVAC[Measure '#],MATCH(AB149,PMEHVAC[Eff Desc 1],0)),""),"")</f>
        <v/>
      </c>
      <c r="D149" t="s">
        <v>947</v>
      </c>
      <c r="F149" s="112"/>
      <c r="G149" s="186">
        <f>INDEX('M03-S03'!$N$16:$N$198,2*(ROWS($G$106:G149)-1)+1)</f>
        <v>0</v>
      </c>
      <c r="H149" s="186"/>
      <c r="I149" s="184">
        <f>IFERROR(ROUND(INDEX('M03-S03'!$AA$16:$AA$198,2*(ROWS($I$106:I149)-1)+1),2),0)</f>
        <v>0</v>
      </c>
      <c r="J149" s="184">
        <f>IFERROR(ROUND(INDEX('M03-S03'!$AC$16:$AC$198,2*(ROWS($J$106:J149)-1)+1),2),0)</f>
        <v>0</v>
      </c>
      <c r="K149" s="52">
        <f>IFERROR(ROUND(INDEX('M03-S03'!$AU$16:$AU$198,2*(ROWS($K$106:K149)-1)+1),2),0)</f>
        <v>0</v>
      </c>
      <c r="M149" s="456">
        <f>INDEX('M03-S03'!$V$16:$V$198,2*(ROWS($M$106:M149)-1)+1)</f>
        <v>0</v>
      </c>
      <c r="N149" s="184" t="str">
        <f>IF(ISNUMBER(INDEX('M03-S03'!$AO$16:$AO$198,2*(ROWS($R$106:R149)-1)+1)),INDEX('M03-S03'!$AK$16:$AK$198,2*(ROWS($N$106:N149)-1)+1),"")</f>
        <v/>
      </c>
      <c r="O149" s="456" t="str">
        <f>IFERROR(IF(ISNUMBER(INDEX('M03-S03'!$AO$16:$AO$198,2*(ROWS($R$106:R149)-1)+1)),INDEX('M03-S03'!$AV$16:$AV$198,2*(ROWS($O$106:O149)-1)+1),""),"")</f>
        <v/>
      </c>
      <c r="P149" s="456" t="str">
        <f>IFERROR(IF(ISNUMBER(INDEX('M03-S03'!$AO$16:$AO$198,2*(ROWS($R$106:R149)-1)+1)),INDEX('M03-S03'!$AY$16:$AY$198,2*(ROWS($O$106:P149)-1)+1),""),"")</f>
        <v/>
      </c>
      <c r="Q149" s="113"/>
      <c r="R149" s="184">
        <f>IF(ISNUMBER(INDEX('M03-S03'!$AO$16:$AO$198,2*(ROWS($R$106:R149)-1)+1)),INDEX('M03-S03'!$AO$16:$AO$198,2*(ROWS($R$106:R149)-1)+1),0)</f>
        <v>0</v>
      </c>
      <c r="S149" s="459"/>
      <c r="T149" s="113"/>
      <c r="U149" s="140"/>
      <c r="V149" s="113"/>
      <c r="W149" s="96">
        <f>IFERROR(IF(NOT(ISNUMBER(INDEX('M03-S03'!$AO$16:$AO$198,2*(ROWS($R$106:R149)-1)+1))),INDEX('M03-S03'!$BC$16:$BC$198,2*(ROWS($R$106:R149)-1)+1),""),"")</f>
        <v>0</v>
      </c>
      <c r="X149" s="113"/>
      <c r="Y149" s="113"/>
      <c r="Z149" s="111">
        <f>INDEX('M03-S03'!$B$16:$B$198,2*(ROWS($Z$106:Z149)-1)+1)</f>
        <v>44</v>
      </c>
      <c r="AA149" s="111" t="str">
        <f>INDEX('M03-S03'!$L$16:$L$199,2*(ROWS($Z$106:AA149)-1)+1)</f>
        <v/>
      </c>
      <c r="AB149" s="111">
        <f>INDEX('M03-S03'!$C$16:$C$198,2*(ROWS($Z$106:AB149)-1)+1)</f>
        <v>0</v>
      </c>
      <c r="AC149" t="str">
        <f>IFERROR(INDEX('M03-S03'!$J$16:$J$199,2*(ROWS(AC$106:AC149)-1)+1)&amp;" "&amp;INDEX('M03-S03'!$L$16:$L$199,2*(ROWS(AC$106:AC149)-1)+1)&amp;", "&amp;INDEX('M03-S03'!$P$16:$P$199,2*(ROWS(AC$106:AC149)-1)+1)&amp;" "&amp;INDEX('M03-S03'!$R$16:$R$199,2*(ROWS(AC$106:AC149)-1)+1),"")</f>
        <v xml:space="preserve"> ,  </v>
      </c>
      <c r="AD149" t="str">
        <f>IFERROR(INDEX('M03-S03'!$J$16:$J$199,2*(ROWS(AD$106:AD149)-1)+1)&amp;" "&amp;ROUND(INDEX('M03-S03'!$N$16:$N$199,2*(ROWS(AD$106:AD149)-1)+1),3),"")&amp;", "&amp;IFERROR(INDEX('M03-S03'!$P$16:$P$199,2*(ROWS(AD$106:AD149)-1)+1)&amp;" "&amp;ROUND(INDEX('M03-S03'!$T$16:$T$199,2*(ROWS(AD$106:AD149)-1)+1),3),"")</f>
        <v xml:space="preserve"> 0,  0</v>
      </c>
      <c r="AE149" s="459"/>
      <c r="AF149" s="459"/>
      <c r="AG149" s="112"/>
      <c r="AH149" s="112"/>
      <c r="AI149" s="112"/>
      <c r="AJ149" s="112"/>
      <c r="AK149" s="113"/>
      <c r="AL149" s="113"/>
      <c r="AM149" s="113"/>
      <c r="AN149" s="113"/>
      <c r="AO149" s="52" t="str">
        <f>IFERROR(INDEX(PMEHVAC[Program Design],MATCH(AB149,PMEHVAC[Eff Desc 1],0)),"")</f>
        <v/>
      </c>
      <c r="AU149"/>
    </row>
    <row r="150" spans="1:47">
      <c r="A150" s="57">
        <f t="shared" si="9"/>
        <v>0</v>
      </c>
      <c r="B150" s="183" t="str">
        <f t="shared" si="10"/>
        <v/>
      </c>
      <c r="C150" t="str">
        <f>IFERROR(IF(R150&gt;0,INDEX(PMEHVAC[Measure '#],MATCH(AB150,PMEHVAC[Eff Desc 1],0)),""),"")</f>
        <v/>
      </c>
      <c r="D150" t="s">
        <v>947</v>
      </c>
      <c r="F150" s="112"/>
      <c r="G150" s="186">
        <f>INDEX('M03-S03'!$N$16:$N$198,2*(ROWS($G$106:G150)-1)+1)</f>
        <v>0</v>
      </c>
      <c r="H150" s="186"/>
      <c r="I150" s="184">
        <f>IFERROR(ROUND(INDEX('M03-S03'!$AA$16:$AA$198,2*(ROWS($I$106:I150)-1)+1),2),0)</f>
        <v>0</v>
      </c>
      <c r="J150" s="184">
        <f>IFERROR(ROUND(INDEX('M03-S03'!$AC$16:$AC$198,2*(ROWS($J$106:J150)-1)+1),2),0)</f>
        <v>0</v>
      </c>
      <c r="K150" s="52">
        <f>IFERROR(ROUND(INDEX('M03-S03'!$AU$16:$AU$198,2*(ROWS($K$106:K150)-1)+1),2),0)</f>
        <v>0</v>
      </c>
      <c r="M150" s="456">
        <f>INDEX('M03-S03'!$V$16:$V$198,2*(ROWS($M$106:M150)-1)+1)</f>
        <v>0</v>
      </c>
      <c r="N150" s="184" t="str">
        <f>IF(ISNUMBER(INDEX('M03-S03'!$AO$16:$AO$198,2*(ROWS($R$106:R150)-1)+1)),INDEX('M03-S03'!$AK$16:$AK$198,2*(ROWS($N$106:N150)-1)+1),"")</f>
        <v/>
      </c>
      <c r="O150" s="456" t="str">
        <f>IFERROR(IF(ISNUMBER(INDEX('M03-S03'!$AO$16:$AO$198,2*(ROWS($R$106:R150)-1)+1)),INDEX('M03-S03'!$AV$16:$AV$198,2*(ROWS($O$106:O150)-1)+1),""),"")</f>
        <v/>
      </c>
      <c r="P150" s="456" t="str">
        <f>IFERROR(IF(ISNUMBER(INDEX('M03-S03'!$AO$16:$AO$198,2*(ROWS($R$106:R150)-1)+1)),INDEX('M03-S03'!$AY$16:$AY$198,2*(ROWS($O$106:P150)-1)+1),""),"")</f>
        <v/>
      </c>
      <c r="Q150" s="113"/>
      <c r="R150" s="184">
        <f>IF(ISNUMBER(INDEX('M03-S03'!$AO$16:$AO$198,2*(ROWS($R$106:R150)-1)+1)),INDEX('M03-S03'!$AO$16:$AO$198,2*(ROWS($R$106:R150)-1)+1),0)</f>
        <v>0</v>
      </c>
      <c r="S150" s="459"/>
      <c r="T150" s="113"/>
      <c r="U150" s="140"/>
      <c r="V150" s="113"/>
      <c r="W150" s="96">
        <f>IFERROR(IF(NOT(ISNUMBER(INDEX('M03-S03'!$AO$16:$AO$198,2*(ROWS($R$106:R150)-1)+1))),INDEX('M03-S03'!$BC$16:$BC$198,2*(ROWS($R$106:R150)-1)+1),""),"")</f>
        <v>0</v>
      </c>
      <c r="X150" s="113"/>
      <c r="Y150" s="113"/>
      <c r="Z150" s="111">
        <f>INDEX('M03-S03'!$B$16:$B$198,2*(ROWS($Z$106:Z150)-1)+1)</f>
        <v>45</v>
      </c>
      <c r="AA150" s="111" t="str">
        <f>INDEX('M03-S03'!$L$16:$L$199,2*(ROWS($Z$106:AA150)-1)+1)</f>
        <v/>
      </c>
      <c r="AB150" s="111">
        <f>INDEX('M03-S03'!$C$16:$C$198,2*(ROWS($Z$106:AB150)-1)+1)</f>
        <v>0</v>
      </c>
      <c r="AC150" t="str">
        <f>IFERROR(INDEX('M03-S03'!$J$16:$J$199,2*(ROWS(AC$106:AC150)-1)+1)&amp;" "&amp;INDEX('M03-S03'!$L$16:$L$199,2*(ROWS(AC$106:AC150)-1)+1)&amp;", "&amp;INDEX('M03-S03'!$P$16:$P$199,2*(ROWS(AC$106:AC150)-1)+1)&amp;" "&amp;INDEX('M03-S03'!$R$16:$R$199,2*(ROWS(AC$106:AC150)-1)+1),"")</f>
        <v xml:space="preserve"> ,  </v>
      </c>
      <c r="AD150" t="str">
        <f>IFERROR(INDEX('M03-S03'!$J$16:$J$199,2*(ROWS(AD$106:AD150)-1)+1)&amp;" "&amp;ROUND(INDEX('M03-S03'!$N$16:$N$199,2*(ROWS(AD$106:AD150)-1)+1),3),"")&amp;", "&amp;IFERROR(INDEX('M03-S03'!$P$16:$P$199,2*(ROWS(AD$106:AD150)-1)+1)&amp;" "&amp;ROUND(INDEX('M03-S03'!$T$16:$T$199,2*(ROWS(AD$106:AD150)-1)+1),3),"")</f>
        <v xml:space="preserve"> 0,  0</v>
      </c>
      <c r="AE150" s="459"/>
      <c r="AF150" s="459"/>
      <c r="AG150" s="112"/>
      <c r="AH150" s="112"/>
      <c r="AI150" s="112"/>
      <c r="AJ150" s="112"/>
      <c r="AK150" s="113"/>
      <c r="AL150" s="113"/>
      <c r="AM150" s="113"/>
      <c r="AN150" s="113"/>
      <c r="AO150" s="52" t="str">
        <f>IFERROR(INDEX(PMEHVAC[Program Design],MATCH(AB150,PMEHVAC[Eff Desc 1],0)),"")</f>
        <v/>
      </c>
      <c r="AU150"/>
    </row>
    <row r="151" spans="1:47">
      <c r="A151" s="57">
        <f t="shared" si="9"/>
        <v>0</v>
      </c>
      <c r="B151" s="183" t="str">
        <f t="shared" si="10"/>
        <v/>
      </c>
      <c r="C151" t="str">
        <f>IFERROR(IF(R151&gt;0,INDEX(PMEHVAC[Measure '#],MATCH(AB151,PMEHVAC[Eff Desc 1],0)),""),"")</f>
        <v/>
      </c>
      <c r="D151" t="s">
        <v>947</v>
      </c>
      <c r="F151" s="112"/>
      <c r="G151" s="186">
        <f>INDEX('M03-S03'!$N$16:$N$198,2*(ROWS($G$106:G151)-1)+1)</f>
        <v>0</v>
      </c>
      <c r="H151" s="186"/>
      <c r="I151" s="184">
        <f>IFERROR(ROUND(INDEX('M03-S03'!$AA$16:$AA$198,2*(ROWS($I$106:I151)-1)+1),2),0)</f>
        <v>0</v>
      </c>
      <c r="J151" s="184">
        <f>IFERROR(ROUND(INDEX('M03-S03'!$AC$16:$AC$198,2*(ROWS($J$106:J151)-1)+1),2),0)</f>
        <v>0</v>
      </c>
      <c r="K151" s="52">
        <f>IFERROR(ROUND(INDEX('M03-S03'!$AU$16:$AU$198,2*(ROWS($K$106:K151)-1)+1),2),0)</f>
        <v>0</v>
      </c>
      <c r="M151" s="456">
        <f>INDEX('M03-S03'!$V$16:$V$198,2*(ROWS($M$106:M151)-1)+1)</f>
        <v>0</v>
      </c>
      <c r="N151" s="184" t="str">
        <f>IF(ISNUMBER(INDEX('M03-S03'!$AO$16:$AO$198,2*(ROWS($R$106:R151)-1)+1)),INDEX('M03-S03'!$AK$16:$AK$198,2*(ROWS($N$106:N151)-1)+1),"")</f>
        <v/>
      </c>
      <c r="O151" s="456" t="str">
        <f>IFERROR(IF(ISNUMBER(INDEX('M03-S03'!$AO$16:$AO$198,2*(ROWS($R$106:R151)-1)+1)),INDEX('M03-S03'!$AV$16:$AV$198,2*(ROWS($O$106:O151)-1)+1),""),"")</f>
        <v/>
      </c>
      <c r="P151" s="456" t="str">
        <f>IFERROR(IF(ISNUMBER(INDEX('M03-S03'!$AO$16:$AO$198,2*(ROWS($R$106:R151)-1)+1)),INDEX('M03-S03'!$AY$16:$AY$198,2*(ROWS($O$106:P151)-1)+1),""),"")</f>
        <v/>
      </c>
      <c r="Q151" s="113"/>
      <c r="R151" s="184">
        <f>IF(ISNUMBER(INDEX('M03-S03'!$AO$16:$AO$198,2*(ROWS($R$106:R151)-1)+1)),INDEX('M03-S03'!$AO$16:$AO$198,2*(ROWS($R$106:R151)-1)+1),0)</f>
        <v>0</v>
      </c>
      <c r="S151" s="459"/>
      <c r="T151" s="113"/>
      <c r="U151" s="140"/>
      <c r="V151" s="113"/>
      <c r="W151" s="96">
        <f>IFERROR(IF(NOT(ISNUMBER(INDEX('M03-S03'!$AO$16:$AO$198,2*(ROWS($R$106:R151)-1)+1))),INDEX('M03-S03'!$BC$16:$BC$198,2*(ROWS($R$106:R151)-1)+1),""),"")</f>
        <v>0</v>
      </c>
      <c r="X151" s="113"/>
      <c r="Y151" s="113"/>
      <c r="Z151" s="111">
        <f>INDEX('M03-S03'!$B$16:$B$198,2*(ROWS($Z$106:Z151)-1)+1)</f>
        <v>46</v>
      </c>
      <c r="AA151" s="111" t="str">
        <f>INDEX('M03-S03'!$L$16:$L$199,2*(ROWS($Z$106:AA151)-1)+1)</f>
        <v/>
      </c>
      <c r="AB151" s="111">
        <f>INDEX('M03-S03'!$C$16:$C$198,2*(ROWS($Z$106:AB151)-1)+1)</f>
        <v>0</v>
      </c>
      <c r="AC151" t="str">
        <f>IFERROR(INDEX('M03-S03'!$J$16:$J$199,2*(ROWS(AC$106:AC151)-1)+1)&amp;" "&amp;INDEX('M03-S03'!$L$16:$L$199,2*(ROWS(AC$106:AC151)-1)+1)&amp;", "&amp;INDEX('M03-S03'!$P$16:$P$199,2*(ROWS(AC$106:AC151)-1)+1)&amp;" "&amp;INDEX('M03-S03'!$R$16:$R$199,2*(ROWS(AC$106:AC151)-1)+1),"")</f>
        <v xml:space="preserve"> ,  </v>
      </c>
      <c r="AD151" t="str">
        <f>IFERROR(INDEX('M03-S03'!$J$16:$J$199,2*(ROWS(AD$106:AD151)-1)+1)&amp;" "&amp;ROUND(INDEX('M03-S03'!$N$16:$N$199,2*(ROWS(AD$106:AD151)-1)+1),3),"")&amp;", "&amp;IFERROR(INDEX('M03-S03'!$P$16:$P$199,2*(ROWS(AD$106:AD151)-1)+1)&amp;" "&amp;ROUND(INDEX('M03-S03'!$T$16:$T$199,2*(ROWS(AD$106:AD151)-1)+1),3),"")</f>
        <v xml:space="preserve"> 0,  0</v>
      </c>
      <c r="AE151" s="459"/>
      <c r="AF151" s="459"/>
      <c r="AG151" s="112"/>
      <c r="AH151" s="112"/>
      <c r="AI151" s="112"/>
      <c r="AJ151" s="112"/>
      <c r="AK151" s="113"/>
      <c r="AL151" s="113"/>
      <c r="AM151" s="113"/>
      <c r="AN151" s="113"/>
      <c r="AO151" s="52" t="str">
        <f>IFERROR(INDEX(PMEHVAC[Program Design],MATCH(AB151,PMEHVAC[Eff Desc 1],0)),"")</f>
        <v/>
      </c>
      <c r="AU151"/>
    </row>
    <row r="152" spans="1:47">
      <c r="A152" s="57">
        <f t="shared" si="9"/>
        <v>0</v>
      </c>
      <c r="B152" s="183" t="str">
        <f t="shared" si="10"/>
        <v/>
      </c>
      <c r="C152" t="str">
        <f>IFERROR(IF(R152&gt;0,INDEX(PMEHVAC[Measure '#],MATCH(AB152,PMEHVAC[Eff Desc 1],0)),""),"")</f>
        <v/>
      </c>
      <c r="D152" t="s">
        <v>947</v>
      </c>
      <c r="F152" s="112"/>
      <c r="G152" s="186">
        <f>INDEX('M03-S03'!$N$16:$N$198,2*(ROWS($G$106:G152)-1)+1)</f>
        <v>0</v>
      </c>
      <c r="H152" s="186"/>
      <c r="I152" s="184">
        <f>IFERROR(ROUND(INDEX('M03-S03'!$AA$16:$AA$198,2*(ROWS($I$106:I152)-1)+1),2),0)</f>
        <v>0</v>
      </c>
      <c r="J152" s="184">
        <f>IFERROR(ROUND(INDEX('M03-S03'!$AC$16:$AC$198,2*(ROWS($J$106:J152)-1)+1),2),0)</f>
        <v>0</v>
      </c>
      <c r="K152" s="52">
        <f>IFERROR(ROUND(INDEX('M03-S03'!$AU$16:$AU$198,2*(ROWS($K$106:K152)-1)+1),2),0)</f>
        <v>0</v>
      </c>
      <c r="M152" s="456">
        <f>INDEX('M03-S03'!$V$16:$V$198,2*(ROWS($M$106:M152)-1)+1)</f>
        <v>0</v>
      </c>
      <c r="N152" s="184" t="str">
        <f>IF(ISNUMBER(INDEX('M03-S03'!$AO$16:$AO$198,2*(ROWS($R$106:R152)-1)+1)),INDEX('M03-S03'!$AK$16:$AK$198,2*(ROWS($N$106:N152)-1)+1),"")</f>
        <v/>
      </c>
      <c r="O152" s="456" t="str">
        <f>IFERROR(IF(ISNUMBER(INDEX('M03-S03'!$AO$16:$AO$198,2*(ROWS($R$106:R152)-1)+1)),INDEX('M03-S03'!$AV$16:$AV$198,2*(ROWS($O$106:O152)-1)+1),""),"")</f>
        <v/>
      </c>
      <c r="P152" s="456" t="str">
        <f>IFERROR(IF(ISNUMBER(INDEX('M03-S03'!$AO$16:$AO$198,2*(ROWS($R$106:R152)-1)+1)),INDEX('M03-S03'!$AY$16:$AY$198,2*(ROWS($O$106:P152)-1)+1),""),"")</f>
        <v/>
      </c>
      <c r="Q152" s="113"/>
      <c r="R152" s="184">
        <f>IF(ISNUMBER(INDEX('M03-S03'!$AO$16:$AO$198,2*(ROWS($R$106:R152)-1)+1)),INDEX('M03-S03'!$AO$16:$AO$198,2*(ROWS($R$106:R152)-1)+1),0)</f>
        <v>0</v>
      </c>
      <c r="S152" s="459"/>
      <c r="T152" s="113"/>
      <c r="U152" s="140"/>
      <c r="V152" s="113"/>
      <c r="W152" s="96">
        <f>IFERROR(IF(NOT(ISNUMBER(INDEX('M03-S03'!$AO$16:$AO$198,2*(ROWS($R$106:R152)-1)+1))),INDEX('M03-S03'!$BC$16:$BC$198,2*(ROWS($R$106:R152)-1)+1),""),"")</f>
        <v>0</v>
      </c>
      <c r="X152" s="113"/>
      <c r="Y152" s="113"/>
      <c r="Z152" s="111">
        <f>INDEX('M03-S03'!$B$16:$B$198,2*(ROWS($Z$106:Z152)-1)+1)</f>
        <v>47</v>
      </c>
      <c r="AA152" s="111" t="str">
        <f>INDEX('M03-S03'!$L$16:$L$199,2*(ROWS($Z$106:AA152)-1)+1)</f>
        <v/>
      </c>
      <c r="AB152" s="111">
        <f>INDEX('M03-S03'!$C$16:$C$198,2*(ROWS($Z$106:AB152)-1)+1)</f>
        <v>0</v>
      </c>
      <c r="AC152" t="str">
        <f>IFERROR(INDEX('M03-S03'!$J$16:$J$199,2*(ROWS(AC$106:AC152)-1)+1)&amp;" "&amp;INDEX('M03-S03'!$L$16:$L$199,2*(ROWS(AC$106:AC152)-1)+1)&amp;", "&amp;INDEX('M03-S03'!$P$16:$P$199,2*(ROWS(AC$106:AC152)-1)+1)&amp;" "&amp;INDEX('M03-S03'!$R$16:$R$199,2*(ROWS(AC$106:AC152)-1)+1),"")</f>
        <v xml:space="preserve"> ,  </v>
      </c>
      <c r="AD152" t="str">
        <f>IFERROR(INDEX('M03-S03'!$J$16:$J$199,2*(ROWS(AD$106:AD152)-1)+1)&amp;" "&amp;ROUND(INDEX('M03-S03'!$N$16:$N$199,2*(ROWS(AD$106:AD152)-1)+1),3),"")&amp;", "&amp;IFERROR(INDEX('M03-S03'!$P$16:$P$199,2*(ROWS(AD$106:AD152)-1)+1)&amp;" "&amp;ROUND(INDEX('M03-S03'!$T$16:$T$199,2*(ROWS(AD$106:AD152)-1)+1),3),"")</f>
        <v xml:space="preserve"> 0,  0</v>
      </c>
      <c r="AE152" s="459"/>
      <c r="AF152" s="459"/>
      <c r="AG152" s="112"/>
      <c r="AH152" s="112"/>
      <c r="AI152" s="112"/>
      <c r="AJ152" s="112"/>
      <c r="AK152" s="113"/>
      <c r="AL152" s="113"/>
      <c r="AM152" s="113"/>
      <c r="AN152" s="113"/>
      <c r="AO152" s="52" t="str">
        <f>IFERROR(INDEX(PMEHVAC[Program Design],MATCH(AB152,PMEHVAC[Eff Desc 1],0)),"")</f>
        <v/>
      </c>
      <c r="AU152"/>
    </row>
    <row r="153" spans="1:47">
      <c r="A153" s="57">
        <f t="shared" si="9"/>
        <v>0</v>
      </c>
      <c r="B153" s="183" t="str">
        <f t="shared" si="10"/>
        <v/>
      </c>
      <c r="C153" t="str">
        <f>IFERROR(IF(R153&gt;0,INDEX(PMEHVAC[Measure '#],MATCH(AB153,PMEHVAC[Eff Desc 1],0)),""),"")</f>
        <v/>
      </c>
      <c r="D153" t="s">
        <v>947</v>
      </c>
      <c r="F153" s="112"/>
      <c r="G153" s="186">
        <f>INDEX('M03-S03'!$N$16:$N$198,2*(ROWS($G$106:G153)-1)+1)</f>
        <v>0</v>
      </c>
      <c r="H153" s="186"/>
      <c r="I153" s="184">
        <f>IFERROR(ROUND(INDEX('M03-S03'!$AA$16:$AA$198,2*(ROWS($I$106:I153)-1)+1),2),0)</f>
        <v>0</v>
      </c>
      <c r="J153" s="184">
        <f>IFERROR(ROUND(INDEX('M03-S03'!$AC$16:$AC$198,2*(ROWS($J$106:J153)-1)+1),2),0)</f>
        <v>0</v>
      </c>
      <c r="K153" s="52">
        <f>IFERROR(ROUND(INDEX('M03-S03'!$AU$16:$AU$198,2*(ROWS($K$106:K153)-1)+1),2),0)</f>
        <v>0</v>
      </c>
      <c r="M153" s="456">
        <f>INDEX('M03-S03'!$V$16:$V$198,2*(ROWS($M$106:M153)-1)+1)</f>
        <v>0</v>
      </c>
      <c r="N153" s="184" t="str">
        <f>IF(ISNUMBER(INDEX('M03-S03'!$AO$16:$AO$198,2*(ROWS($R$106:R153)-1)+1)),INDEX('M03-S03'!$AK$16:$AK$198,2*(ROWS($N$106:N153)-1)+1),"")</f>
        <v/>
      </c>
      <c r="O153" s="456" t="str">
        <f>IFERROR(IF(ISNUMBER(INDEX('M03-S03'!$AO$16:$AO$198,2*(ROWS($R$106:R153)-1)+1)),INDEX('M03-S03'!$AV$16:$AV$198,2*(ROWS($O$106:O153)-1)+1),""),"")</f>
        <v/>
      </c>
      <c r="P153" s="456" t="str">
        <f>IFERROR(IF(ISNUMBER(INDEX('M03-S03'!$AO$16:$AO$198,2*(ROWS($R$106:R153)-1)+1)),INDEX('M03-S03'!$AY$16:$AY$198,2*(ROWS($O$106:P153)-1)+1),""),"")</f>
        <v/>
      </c>
      <c r="Q153" s="113"/>
      <c r="R153" s="184">
        <f>IF(ISNUMBER(INDEX('M03-S03'!$AO$16:$AO$198,2*(ROWS($R$106:R153)-1)+1)),INDEX('M03-S03'!$AO$16:$AO$198,2*(ROWS($R$106:R153)-1)+1),0)</f>
        <v>0</v>
      </c>
      <c r="S153" s="459"/>
      <c r="T153" s="113"/>
      <c r="U153" s="140"/>
      <c r="V153" s="113"/>
      <c r="W153" s="96">
        <f>IFERROR(IF(NOT(ISNUMBER(INDEX('M03-S03'!$AO$16:$AO$198,2*(ROWS($R$106:R153)-1)+1))),INDEX('M03-S03'!$BC$16:$BC$198,2*(ROWS($R$106:R153)-1)+1),""),"")</f>
        <v>0</v>
      </c>
      <c r="X153" s="113"/>
      <c r="Y153" s="113"/>
      <c r="Z153" s="111">
        <f>INDEX('M03-S03'!$B$16:$B$198,2*(ROWS($Z$106:Z153)-1)+1)</f>
        <v>48</v>
      </c>
      <c r="AA153" s="111" t="str">
        <f>INDEX('M03-S03'!$L$16:$L$199,2*(ROWS($Z$106:AA153)-1)+1)</f>
        <v/>
      </c>
      <c r="AB153" s="111">
        <f>INDEX('M03-S03'!$C$16:$C$198,2*(ROWS($Z$106:AB153)-1)+1)</f>
        <v>0</v>
      </c>
      <c r="AC153" t="str">
        <f>IFERROR(INDEX('M03-S03'!$J$16:$J$199,2*(ROWS(AC$106:AC153)-1)+1)&amp;" "&amp;INDEX('M03-S03'!$L$16:$L$199,2*(ROWS(AC$106:AC153)-1)+1)&amp;", "&amp;INDEX('M03-S03'!$P$16:$P$199,2*(ROWS(AC$106:AC153)-1)+1)&amp;" "&amp;INDEX('M03-S03'!$R$16:$R$199,2*(ROWS(AC$106:AC153)-1)+1),"")</f>
        <v xml:space="preserve"> ,  </v>
      </c>
      <c r="AD153" t="str">
        <f>IFERROR(INDEX('M03-S03'!$J$16:$J$199,2*(ROWS(AD$106:AD153)-1)+1)&amp;" "&amp;ROUND(INDEX('M03-S03'!$N$16:$N$199,2*(ROWS(AD$106:AD153)-1)+1),3),"")&amp;", "&amp;IFERROR(INDEX('M03-S03'!$P$16:$P$199,2*(ROWS(AD$106:AD153)-1)+1)&amp;" "&amp;ROUND(INDEX('M03-S03'!$T$16:$T$199,2*(ROWS(AD$106:AD153)-1)+1),3),"")</f>
        <v xml:space="preserve"> 0,  0</v>
      </c>
      <c r="AE153" s="459"/>
      <c r="AF153" s="459"/>
      <c r="AG153" s="112"/>
      <c r="AH153" s="112"/>
      <c r="AI153" s="112"/>
      <c r="AJ153" s="112"/>
      <c r="AK153" s="113"/>
      <c r="AL153" s="113"/>
      <c r="AM153" s="113"/>
      <c r="AN153" s="113"/>
      <c r="AO153" s="52" t="str">
        <f>IFERROR(INDEX(PMEHVAC[Program Design],MATCH(AB153,PMEHVAC[Eff Desc 1],0)),"")</f>
        <v/>
      </c>
      <c r="AU153"/>
    </row>
    <row r="154" spans="1:47">
      <c r="A154" s="57">
        <f t="shared" si="9"/>
        <v>0</v>
      </c>
      <c r="B154" s="183" t="str">
        <f t="shared" si="10"/>
        <v/>
      </c>
      <c r="C154" t="str">
        <f>IFERROR(IF(R154&gt;0,INDEX(PMEHVAC[Measure '#],MATCH(AB154,PMEHVAC[Eff Desc 1],0)),""),"")</f>
        <v/>
      </c>
      <c r="D154" t="s">
        <v>947</v>
      </c>
      <c r="F154" s="112"/>
      <c r="G154" s="186">
        <f>INDEX('M03-S03'!$N$16:$N$198,2*(ROWS($G$106:G154)-1)+1)</f>
        <v>0</v>
      </c>
      <c r="H154" s="186"/>
      <c r="I154" s="184">
        <f>IFERROR(ROUND(INDEX('M03-S03'!$AA$16:$AA$198,2*(ROWS($I$106:I154)-1)+1),2),0)</f>
        <v>0</v>
      </c>
      <c r="J154" s="184">
        <f>IFERROR(ROUND(INDEX('M03-S03'!$AC$16:$AC$198,2*(ROWS($J$106:J154)-1)+1),2),0)</f>
        <v>0</v>
      </c>
      <c r="K154" s="52">
        <f>IFERROR(ROUND(INDEX('M03-S03'!$AU$16:$AU$198,2*(ROWS($K$106:K154)-1)+1),2),0)</f>
        <v>0</v>
      </c>
      <c r="M154" s="456">
        <f>INDEX('M03-S03'!$V$16:$V$198,2*(ROWS($M$106:M154)-1)+1)</f>
        <v>0</v>
      </c>
      <c r="N154" s="184" t="str">
        <f>IF(ISNUMBER(INDEX('M03-S03'!$AO$16:$AO$198,2*(ROWS($R$106:R154)-1)+1)),INDEX('M03-S03'!$AK$16:$AK$198,2*(ROWS($N$106:N154)-1)+1),"")</f>
        <v/>
      </c>
      <c r="O154" s="456" t="str">
        <f>IFERROR(IF(ISNUMBER(INDEX('M03-S03'!$AO$16:$AO$198,2*(ROWS($R$106:R154)-1)+1)),INDEX('M03-S03'!$AV$16:$AV$198,2*(ROWS($O$106:O154)-1)+1),""),"")</f>
        <v/>
      </c>
      <c r="P154" s="456" t="str">
        <f>IFERROR(IF(ISNUMBER(INDEX('M03-S03'!$AO$16:$AO$198,2*(ROWS($R$106:R154)-1)+1)),INDEX('M03-S03'!$AY$16:$AY$198,2*(ROWS($O$106:P154)-1)+1),""),"")</f>
        <v/>
      </c>
      <c r="Q154" s="113"/>
      <c r="R154" s="184">
        <f>IF(ISNUMBER(INDEX('M03-S03'!$AO$16:$AO$198,2*(ROWS($R$106:R154)-1)+1)),INDEX('M03-S03'!$AO$16:$AO$198,2*(ROWS($R$106:R154)-1)+1),0)</f>
        <v>0</v>
      </c>
      <c r="S154" s="459"/>
      <c r="T154" s="113"/>
      <c r="U154" s="140"/>
      <c r="V154" s="113"/>
      <c r="W154" s="96">
        <f>IFERROR(IF(NOT(ISNUMBER(INDEX('M03-S03'!$AO$16:$AO$198,2*(ROWS($R$106:R154)-1)+1))),INDEX('M03-S03'!$BC$16:$BC$198,2*(ROWS($R$106:R154)-1)+1),""),"")</f>
        <v>0</v>
      </c>
      <c r="X154" s="113"/>
      <c r="Y154" s="113"/>
      <c r="Z154" s="111">
        <f>INDEX('M03-S03'!$B$16:$B$198,2*(ROWS($Z$106:Z154)-1)+1)</f>
        <v>49</v>
      </c>
      <c r="AA154" s="111" t="str">
        <f>INDEX('M03-S03'!$L$16:$L$199,2*(ROWS($Z$106:AA154)-1)+1)</f>
        <v/>
      </c>
      <c r="AB154" s="111">
        <f>INDEX('M03-S03'!$C$16:$C$198,2*(ROWS($Z$106:AB154)-1)+1)</f>
        <v>0</v>
      </c>
      <c r="AC154" t="str">
        <f>IFERROR(INDEX('M03-S03'!$J$16:$J$199,2*(ROWS(AC$106:AC154)-1)+1)&amp;" "&amp;INDEX('M03-S03'!$L$16:$L$199,2*(ROWS(AC$106:AC154)-1)+1)&amp;", "&amp;INDEX('M03-S03'!$P$16:$P$199,2*(ROWS(AC$106:AC154)-1)+1)&amp;" "&amp;INDEX('M03-S03'!$R$16:$R$199,2*(ROWS(AC$106:AC154)-1)+1),"")</f>
        <v xml:space="preserve"> ,  </v>
      </c>
      <c r="AD154" t="str">
        <f>IFERROR(INDEX('M03-S03'!$J$16:$J$199,2*(ROWS(AD$106:AD154)-1)+1)&amp;" "&amp;ROUND(INDEX('M03-S03'!$N$16:$N$199,2*(ROWS(AD$106:AD154)-1)+1),3),"")&amp;", "&amp;IFERROR(INDEX('M03-S03'!$P$16:$P$199,2*(ROWS(AD$106:AD154)-1)+1)&amp;" "&amp;ROUND(INDEX('M03-S03'!$T$16:$T$199,2*(ROWS(AD$106:AD154)-1)+1),3),"")</f>
        <v xml:space="preserve"> 0,  0</v>
      </c>
      <c r="AE154" s="459"/>
      <c r="AF154" s="459"/>
      <c r="AG154" s="112"/>
      <c r="AH154" s="112"/>
      <c r="AI154" s="112"/>
      <c r="AJ154" s="112"/>
      <c r="AK154" s="113"/>
      <c r="AL154" s="113"/>
      <c r="AM154" s="113"/>
      <c r="AN154" s="113"/>
      <c r="AO154" s="52" t="str">
        <f>IFERROR(INDEX(PMEHVAC[Program Design],MATCH(AB154,PMEHVAC[Eff Desc 1],0)),"")</f>
        <v/>
      </c>
      <c r="AU154"/>
    </row>
    <row r="155" spans="1:47">
      <c r="A155" s="57">
        <f t="shared" si="9"/>
        <v>0</v>
      </c>
      <c r="B155" s="183" t="str">
        <f t="shared" ref="B155" si="12">IF(C155="","",CONCATENATE(ROW(),"-",C155))</f>
        <v/>
      </c>
      <c r="C155" t="str">
        <f>IFERROR(IF(R155&gt;0,INDEX(PMEHVAC[Measure '#],MATCH(AB155,PMEHVAC[Eff Desc 1],0)),""),"")</f>
        <v/>
      </c>
      <c r="D155" t="s">
        <v>947</v>
      </c>
      <c r="F155" s="112"/>
      <c r="G155" s="186">
        <f>INDEX('M03-S03'!$N$16:$N$198,2*(ROWS($G$106:G155)-1)+1)</f>
        <v>0</v>
      </c>
      <c r="H155" s="186"/>
      <c r="I155" s="184">
        <f>IFERROR(ROUND(INDEX('M03-S03'!$AA$16:$AA$198,2*(ROWS($I$106:I155)-1)+1),2),0)</f>
        <v>0</v>
      </c>
      <c r="J155" s="184">
        <f>IFERROR(ROUND(INDEX('M03-S03'!$AC$16:$AC$198,2*(ROWS($J$106:J155)-1)+1),2),0)</f>
        <v>0</v>
      </c>
      <c r="K155" s="52">
        <f>IFERROR(ROUND(INDEX('M03-S03'!$AU$16:$AU$198,2*(ROWS($K$106:K155)-1)+1),2),0)</f>
        <v>0</v>
      </c>
      <c r="M155" s="456">
        <f>INDEX('M03-S03'!$V$16:$V$198,2*(ROWS($M$106:M155)-1)+1)</f>
        <v>0</v>
      </c>
      <c r="N155" s="184" t="str">
        <f>IF(ISNUMBER(INDEX('M03-S03'!$AO$16:$AO$198,2*(ROWS($R$106:R155)-1)+1)),INDEX('M03-S03'!$AK$16:$AK$198,2*(ROWS($N$106:N155)-1)+1),"")</f>
        <v/>
      </c>
      <c r="O155" s="456" t="str">
        <f>IFERROR(IF(ISNUMBER(INDEX('M03-S03'!$AO$16:$AO$198,2*(ROWS($R$106:R155)-1)+1)),INDEX('M03-S03'!$AV$16:$AV$198,2*(ROWS($O$106:O155)-1)+1),""),"")</f>
        <v/>
      </c>
      <c r="P155" s="456" t="str">
        <f>IFERROR(IF(ISNUMBER(INDEX('M03-S03'!$AO$16:$AO$198,2*(ROWS($R$106:R155)-1)+1)),INDEX('M03-S03'!$AY$16:$AY$198,2*(ROWS($O$106:P155)-1)+1),""),"")</f>
        <v/>
      </c>
      <c r="Q155" s="113"/>
      <c r="R155" s="184">
        <f>IF(ISNUMBER(INDEX('M03-S03'!$AO$16:$AO$198,2*(ROWS($R$106:R155)-1)+1)),INDEX('M03-S03'!$AO$16:$AO$198,2*(ROWS($R$106:R155)-1)+1),0)</f>
        <v>0</v>
      </c>
      <c r="S155" s="459"/>
      <c r="T155" s="113"/>
      <c r="U155" s="140"/>
      <c r="V155" s="113"/>
      <c r="W155" s="96">
        <f>IFERROR(IF(NOT(ISNUMBER(INDEX('M03-S03'!$AO$16:$AO$198,2*(ROWS($R$106:R155)-1)+1))),INDEX('M03-S03'!$BC$16:$BC$198,2*(ROWS($R$106:R155)-1)+1),""),"")</f>
        <v>0</v>
      </c>
      <c r="X155" s="113"/>
      <c r="Y155" s="113"/>
      <c r="Z155" s="111">
        <f>INDEX('M03-S03'!$B$16:$B$198,2*(ROWS($Z$106:Z155)-1)+1)</f>
        <v>50</v>
      </c>
      <c r="AA155" s="111" t="str">
        <f>INDEX('M03-S03'!$L$16:$L$199,2*(ROWS($Z$106:AA155)-1)+1)</f>
        <v/>
      </c>
      <c r="AB155" s="111">
        <f>INDEX('M03-S03'!$C$16:$C$198,2*(ROWS($Z$106:AB155)-1)+1)</f>
        <v>0</v>
      </c>
      <c r="AC155" t="str">
        <f>IFERROR(INDEX('M03-S03'!$J$16:$J$199,2*(ROWS(AC$106:AC155)-1)+1)&amp;" "&amp;INDEX('M03-S03'!$L$16:$L$199,2*(ROWS(AC$106:AC155)-1)+1)&amp;", "&amp;INDEX('M03-S03'!$P$16:$P$199,2*(ROWS(AC$106:AC155)-1)+1)&amp;" "&amp;INDEX('M03-S03'!$R$16:$R$199,2*(ROWS(AC$106:AC155)-1)+1),"")</f>
        <v xml:space="preserve"> ,  </v>
      </c>
      <c r="AD155" t="str">
        <f>IFERROR(INDEX('M03-S03'!$J$16:$J$199,2*(ROWS(AD$106:AD155)-1)+1)&amp;" "&amp;ROUND(INDEX('M03-S03'!$N$16:$N$199,2*(ROWS(AD$106:AD155)-1)+1),3),"")&amp;", "&amp;IFERROR(INDEX('M03-S03'!$P$16:$P$199,2*(ROWS(AD$106:AD155)-1)+1)&amp;" "&amp;ROUND(INDEX('M03-S03'!$T$16:$T$199,2*(ROWS(AD$106:AD155)-1)+1),3),"")</f>
        <v xml:space="preserve"> 0,  0</v>
      </c>
      <c r="AE155" s="459"/>
      <c r="AF155" s="459"/>
      <c r="AG155" s="112"/>
      <c r="AH155" s="112"/>
      <c r="AI155" s="112"/>
      <c r="AJ155" s="112"/>
      <c r="AK155" s="113"/>
      <c r="AL155" s="113"/>
      <c r="AM155" s="113"/>
      <c r="AN155" s="113"/>
      <c r="AO155" s="52" t="str">
        <f>IFERROR(INDEX(PMEHVAC[Program Design],MATCH(AB155,PMEHVAC[Eff Desc 1],0)),"")</f>
        <v/>
      </c>
      <c r="AU155"/>
    </row>
    <row r="156" spans="1:47">
      <c r="A156" s="146" t="str">
        <f>CONCATENATE(MAIN3," ",M3S4)</f>
        <v>PRESCRIPTIVE MEASURES INPUT Refrigeration</v>
      </c>
      <c r="B156" s="148"/>
      <c r="C156" s="148"/>
      <c r="D156" s="120"/>
      <c r="E156" s="120"/>
      <c r="F156" s="124"/>
      <c r="G156" s="120"/>
      <c r="H156" s="120"/>
      <c r="I156" s="125"/>
      <c r="J156" s="125"/>
      <c r="K156" s="125"/>
      <c r="L156" s="125"/>
      <c r="M156" s="457"/>
      <c r="N156" s="125"/>
      <c r="O156" s="457"/>
      <c r="P156" s="125"/>
      <c r="Q156" s="125"/>
      <c r="R156" s="125"/>
      <c r="S156" s="460"/>
      <c r="T156" s="127"/>
      <c r="U156" s="141"/>
      <c r="V156" s="127"/>
      <c r="W156" s="126"/>
      <c r="X156" s="127"/>
      <c r="Y156" s="127"/>
      <c r="Z156" s="124"/>
      <c r="AA156" s="124"/>
      <c r="AB156" s="124"/>
      <c r="AC156" s="126"/>
      <c r="AD156" s="120"/>
      <c r="AE156" s="457"/>
      <c r="AF156" s="457"/>
      <c r="AG156" s="128"/>
      <c r="AH156" s="128"/>
      <c r="AI156" s="128"/>
      <c r="AJ156" s="128"/>
      <c r="AK156" s="127"/>
      <c r="AL156" s="127"/>
      <c r="AM156" s="127"/>
      <c r="AN156" s="127"/>
      <c r="AO156" s="127"/>
      <c r="AU156"/>
    </row>
    <row r="157" spans="1:47">
      <c r="A157" s="57">
        <f t="shared" ref="A157:A172" si="13">PROJID</f>
        <v>0</v>
      </c>
      <c r="B157" s="183" t="str">
        <f t="shared" ref="B157:B168" si="14">IF(C157="","",CONCATENATE(ROW(),"-",C157))</f>
        <v/>
      </c>
      <c r="C157" t="str">
        <f>IFERROR(IF(R157&gt;0,INDEX(PMEREFRI[Measure '#],MATCH(AB157,PMEREFRI[Eff Desc 1],0)),""),"")</f>
        <v/>
      </c>
      <c r="D157" t="s">
        <v>947</v>
      </c>
      <c r="F157" s="112"/>
      <c r="G157" s="186">
        <f>INDEX('M03-S04'!$AB$16:$AB$198,2*(ROWS($G$157:G157)-1)+1)</f>
        <v>0</v>
      </c>
      <c r="H157" s="186" t="str">
        <f>IF(ISNUMBER(INDEX('M03-S04'!$AN$16:$AN$198,2*(ROWS($R$157:R157)-1)+1)),"Total","")</f>
        <v/>
      </c>
      <c r="I157" s="184">
        <f>IFERROR(ROUND(INDEX('M03-S04'!$AE$16:$AE$198,2*(ROWS($I$157:I157)-1)+1),2),0)</f>
        <v>0</v>
      </c>
      <c r="J157" s="184">
        <f>IFERROR(ROUND(INDEX('M03-S04'!$AG$16:$AG$198,2*(ROWS($J$157:J157)-1)+1),2),0)</f>
        <v>0</v>
      </c>
      <c r="K157" s="52">
        <f>IFERROR(ROUND(INDEX('M03-S04'!$AU$16:$AU$198,2*(ROWS($K$157:K157)-1)+1),2),0)</f>
        <v>0</v>
      </c>
      <c r="L157" s="52" t="str">
        <f>IFERROR(IF(R157&gt;0,M157*INDEX(PMEREFRI[Incremental Cost],MATCH(AB157,PMEREFRI[Eff Desc 1],0)),""),"")</f>
        <v/>
      </c>
      <c r="M157" s="456">
        <f>INDEX('M03-S04'!$V$16:$V$198,2*(ROWS($M$157:M157)-1)+1)</f>
        <v>0</v>
      </c>
      <c r="N157" s="184" t="str">
        <f>IF(ISNUMBER(INDEX('M03-S04'!$AN$16:$AN$198,2*(ROWS($R$157:R157)-1)+1)),INDEX('M03-S04'!$AK$16:$AK$198,2*(ROWS($N$157:N157)-1)+1),"")</f>
        <v/>
      </c>
      <c r="O157" s="456" t="str">
        <f>IFERROR(IF(ISNUMBER(INDEX('M03-S04'!$AN$16:$AN$198,2*(ROWS($R$157:R157)-1)+1)),INDEX('M03-S04'!$AV$16:$AV$198,2*(ROWS($O$157:O157)-1)+1),""),"")</f>
        <v/>
      </c>
      <c r="P157" s="113"/>
      <c r="Q157" s="113"/>
      <c r="R157" s="184">
        <f>IF(ISNUMBER(INDEX('M03-S04'!$AN$16:$AN$198,2*(ROWS($R$157:R157)-1)+1)),INDEX('M03-S04'!$AN$16:$AN$198,2*(ROWS($R$157:R157)-1)+1),0)</f>
        <v>0</v>
      </c>
      <c r="S157" s="459"/>
      <c r="T157" s="113"/>
      <c r="U157" s="140"/>
      <c r="V157" s="113"/>
      <c r="W157" s="96" t="str">
        <f>IFERROR(IF(NOT(ISNUMBER(INDEX('M03-S04'!$AN$16:$AN$198,2*(ROWS($R$157:R157)-1)+1))),INDEX('M03-S04'!$BC$16:$BC$198,2*(ROWS($R$157:R157)-1)+1),""),"")</f>
        <v/>
      </c>
      <c r="X157" s="113"/>
      <c r="Y157" s="113"/>
      <c r="Z157" s="111">
        <f>INDEX('M03-S04'!$B$16:$B$198,2*(ROWS($Z$157:Z157)-1)+1)</f>
        <v>1</v>
      </c>
      <c r="AA157" s="111" t="str">
        <f>INDEX('M03-S04'!$N$16:$N$198,2*(ROWS($Z$157:AA157)-1)+1)</f>
        <v/>
      </c>
      <c r="AB157" s="111">
        <f>INDEX('M03-S04'!$C$16:$C$198,2*(ROWS($Z$157:AB157)-1)+1)</f>
        <v>0</v>
      </c>
      <c r="AC157" s="96"/>
      <c r="AD157">
        <f>INDEX('M03-S04'!$X$16:$X$198,2*(ROWS($AD$157:AD157)-1)+1)</f>
        <v>0</v>
      </c>
      <c r="AE157" s="459"/>
      <c r="AF157" s="459"/>
      <c r="AG157" s="112"/>
      <c r="AH157" s="112"/>
      <c r="AI157" s="112"/>
      <c r="AJ157" s="112"/>
      <c r="AK157" s="113"/>
      <c r="AL157" s="113"/>
      <c r="AM157" s="113"/>
      <c r="AN157" s="113"/>
      <c r="AO157" s="52" t="str">
        <f>IFERROR(INDEX(PMEREFRI[Program Design],MATCH(AB157,PMEREFRI[Eff Desc 1],0)),"")</f>
        <v/>
      </c>
      <c r="AU157"/>
    </row>
    <row r="158" spans="1:47">
      <c r="A158" s="57">
        <f t="shared" si="13"/>
        <v>0</v>
      </c>
      <c r="B158" s="183" t="str">
        <f t="shared" si="14"/>
        <v/>
      </c>
      <c r="C158" t="str">
        <f>IFERROR(IF(R158&gt;0,INDEX(PMEREFRI[Measure '#],MATCH(AB158,PMEREFRI[Eff Desc 1],0)),""),"")</f>
        <v/>
      </c>
      <c r="D158" t="s">
        <v>947</v>
      </c>
      <c r="F158" s="112"/>
      <c r="G158" s="186">
        <f>INDEX('M03-S04'!$AB$16:$AB$198,2*(ROWS($G$157:G158)-1)+1)</f>
        <v>0</v>
      </c>
      <c r="H158" s="186" t="str">
        <f>IF(ISNUMBER(INDEX('M03-S04'!$AN$16:$AN$198,2*(ROWS($R$157:R158)-1)+1)),"Total","")</f>
        <v/>
      </c>
      <c r="I158" s="184">
        <f>IFERROR(ROUND(INDEX('M03-S04'!$AE$16:$AE$198,2*(ROWS($I$157:I158)-1)+1),2),0)</f>
        <v>0</v>
      </c>
      <c r="J158" s="184">
        <f>IFERROR(ROUND(INDEX('M03-S04'!$AG$16:$AG$198,2*(ROWS($J$157:J158)-1)+1),2),0)</f>
        <v>0</v>
      </c>
      <c r="K158" s="52">
        <f>IFERROR(ROUND(INDEX('M03-S04'!$AU$16:$AU$198,2*(ROWS($K$157:K158)-1)+1),2),0)</f>
        <v>0</v>
      </c>
      <c r="L158" s="52" t="str">
        <f>IFERROR(IF(R158&gt;0,M158*INDEX(PMEREFRI[Incremental Cost],MATCH(AB158,PMEREFRI[Eff Desc 1],0)),""),"")</f>
        <v/>
      </c>
      <c r="M158" s="456">
        <f>INDEX('M03-S04'!$V$16:$V$198,2*(ROWS($M$157:M158)-1)+1)</f>
        <v>0</v>
      </c>
      <c r="N158" s="184" t="str">
        <f>IF(ISNUMBER(INDEX('M03-S04'!$AN$16:$AN$198,2*(ROWS($R$157:R158)-1)+1)),INDEX('M03-S04'!$AK$16:$AK$198,2*(ROWS($N$157:N158)-1)+1),"")</f>
        <v/>
      </c>
      <c r="O158" s="456" t="str">
        <f>IFERROR(IF(ISNUMBER(INDEX('M03-S04'!$AN$16:$AN$198,2*(ROWS($R$157:R158)-1)+1)),INDEX('M03-S04'!$AV$16:$AV$198,2*(ROWS($O$157:O158)-1)+1),""),"")</f>
        <v/>
      </c>
      <c r="P158" s="113"/>
      <c r="Q158" s="113"/>
      <c r="R158" s="184">
        <f>IF(ISNUMBER(INDEX('M03-S04'!$AN$16:$AN$198,2*(ROWS($R$157:R158)-1)+1)),INDEX('M03-S04'!$AN$16:$AN$198,2*(ROWS($R$157:R158)-1)+1),0)</f>
        <v>0</v>
      </c>
      <c r="S158" s="459"/>
      <c r="T158" s="113"/>
      <c r="U158" s="140"/>
      <c r="V158" s="113"/>
      <c r="W158" s="96" t="str">
        <f>IFERROR(IF(NOT(ISNUMBER(INDEX('M03-S04'!$AN$16:$AN$198,2*(ROWS($R$157:R158)-1)+1))),INDEX('M03-S04'!$BC$16:$BC$198,2*(ROWS($R$157:R158)-1)+1),""),"")</f>
        <v/>
      </c>
      <c r="X158" s="113"/>
      <c r="Y158" s="113"/>
      <c r="Z158" s="111">
        <f>INDEX('M03-S04'!$B$16:$B$198,2*(ROWS($Z$157:Z158)-1)+1)</f>
        <v>2</v>
      </c>
      <c r="AA158" s="111" t="str">
        <f>INDEX('M03-S04'!$N$16:$N$198,2*(ROWS($Z$157:AA158)-1)+1)</f>
        <v/>
      </c>
      <c r="AB158" s="111">
        <f>INDEX('M03-S04'!$C$16:$C$198,2*(ROWS($Z$157:AB158)-1)+1)</f>
        <v>0</v>
      </c>
      <c r="AC158" s="96"/>
      <c r="AD158">
        <f>INDEX('M03-S04'!$X$16:$X$198,2*(ROWS($AD$157:AD158)-1)+1)</f>
        <v>0</v>
      </c>
      <c r="AE158" s="459"/>
      <c r="AF158" s="459"/>
      <c r="AG158" s="112"/>
      <c r="AH158" s="112"/>
      <c r="AI158" s="112"/>
      <c r="AJ158" s="112"/>
      <c r="AK158" s="113"/>
      <c r="AL158" s="113"/>
      <c r="AM158" s="113"/>
      <c r="AN158" s="113"/>
      <c r="AO158" s="52" t="str">
        <f>IFERROR(INDEX(PMEREFRI[Program Design],MATCH(AB158,PMEREFRI[Eff Desc 1],0)),"")</f>
        <v/>
      </c>
      <c r="AU158"/>
    </row>
    <row r="159" spans="1:47">
      <c r="A159" s="57">
        <f t="shared" si="13"/>
        <v>0</v>
      </c>
      <c r="B159" s="183" t="str">
        <f t="shared" si="14"/>
        <v/>
      </c>
      <c r="C159" t="str">
        <f>IFERROR(IF(R159&gt;0,INDEX(PMEREFRI[Measure '#],MATCH(AB159,PMEREFRI[Eff Desc 1],0)),""),"")</f>
        <v/>
      </c>
      <c r="D159" t="s">
        <v>947</v>
      </c>
      <c r="F159" s="112"/>
      <c r="G159" s="186">
        <f>INDEX('M03-S04'!$AB$16:$AB$198,2*(ROWS($G$157:G159)-1)+1)</f>
        <v>0</v>
      </c>
      <c r="H159" s="186" t="str">
        <f>IF(ISNUMBER(INDEX('M03-S04'!$AN$16:$AN$198,2*(ROWS($R$157:R159)-1)+1)),"Total","")</f>
        <v/>
      </c>
      <c r="I159" s="184">
        <f>IFERROR(ROUND(INDEX('M03-S04'!$AE$16:$AE$198,2*(ROWS($I$157:I159)-1)+1),2),0)</f>
        <v>0</v>
      </c>
      <c r="J159" s="184">
        <f>IFERROR(ROUND(INDEX('M03-S04'!$AG$16:$AG$198,2*(ROWS($J$157:J159)-1)+1),2),0)</f>
        <v>0</v>
      </c>
      <c r="K159" s="52">
        <f>IFERROR(ROUND(INDEX('M03-S04'!$AU$16:$AU$198,2*(ROWS($K$157:K159)-1)+1),2),0)</f>
        <v>0</v>
      </c>
      <c r="L159" s="52" t="str">
        <f>IFERROR(IF(R159&gt;0,M159*INDEX(PMEREFRI[Incremental Cost],MATCH(AB159,PMEREFRI[Eff Desc 1],0)),""),"")</f>
        <v/>
      </c>
      <c r="M159" s="456">
        <f>INDEX('M03-S04'!$V$16:$V$198,2*(ROWS($M$157:M159)-1)+1)</f>
        <v>0</v>
      </c>
      <c r="N159" s="184" t="str">
        <f>IF(ISNUMBER(INDEX('M03-S04'!$AN$16:$AN$198,2*(ROWS($R$157:R159)-1)+1)),INDEX('M03-S04'!$AK$16:$AK$198,2*(ROWS($N$157:N159)-1)+1),"")</f>
        <v/>
      </c>
      <c r="O159" s="456" t="str">
        <f>IFERROR(IF(ISNUMBER(INDEX('M03-S04'!$AN$16:$AN$198,2*(ROWS($R$157:R159)-1)+1)),INDEX('M03-S04'!$AV$16:$AV$198,2*(ROWS($O$157:O159)-1)+1),""),"")</f>
        <v/>
      </c>
      <c r="P159" s="113"/>
      <c r="Q159" s="113"/>
      <c r="R159" s="184">
        <f>IF(ISNUMBER(INDEX('M03-S04'!$AN$16:$AN$198,2*(ROWS($R$157:R159)-1)+1)),INDEX('M03-S04'!$AN$16:$AN$198,2*(ROWS($R$157:R159)-1)+1),0)</f>
        <v>0</v>
      </c>
      <c r="S159" s="459"/>
      <c r="T159" s="113"/>
      <c r="U159" s="140"/>
      <c r="V159" s="113"/>
      <c r="W159" s="96" t="str">
        <f>IFERROR(IF(NOT(ISNUMBER(INDEX('M03-S04'!$AN$16:$AN$198,2*(ROWS($R$157:R159)-1)+1))),INDEX('M03-S04'!$BC$16:$BC$198,2*(ROWS($R$157:R159)-1)+1),""),"")</f>
        <v/>
      </c>
      <c r="X159" s="113"/>
      <c r="Y159" s="113"/>
      <c r="Z159" s="111">
        <f>INDEX('M03-S04'!$B$16:$B$198,2*(ROWS($Z$157:Z159)-1)+1)</f>
        <v>3</v>
      </c>
      <c r="AA159" s="111" t="str">
        <f>INDEX('M03-S04'!$N$16:$N$198,2*(ROWS($Z$157:AA159)-1)+1)</f>
        <v/>
      </c>
      <c r="AB159" s="111">
        <f>INDEX('M03-S04'!$C$16:$C$198,2*(ROWS($Z$157:AB159)-1)+1)</f>
        <v>0</v>
      </c>
      <c r="AC159" s="96"/>
      <c r="AD159">
        <f>INDEX('M03-S04'!$X$16:$X$198,2*(ROWS($AD$157:AD159)-1)+1)</f>
        <v>0</v>
      </c>
      <c r="AE159" s="459"/>
      <c r="AF159" s="459"/>
      <c r="AG159" s="112"/>
      <c r="AH159" s="112"/>
      <c r="AI159" s="112"/>
      <c r="AJ159" s="112"/>
      <c r="AK159" s="113"/>
      <c r="AL159" s="113"/>
      <c r="AM159" s="113"/>
      <c r="AN159" s="113"/>
      <c r="AO159" s="52" t="str">
        <f>IFERROR(INDEX(PMEREFRI[Program Design],MATCH(AB159,PMEREFRI[Eff Desc 1],0)),"")</f>
        <v/>
      </c>
      <c r="AU159"/>
    </row>
    <row r="160" spans="1:47">
      <c r="A160" s="57">
        <f t="shared" si="13"/>
        <v>0</v>
      </c>
      <c r="B160" s="183" t="str">
        <f t="shared" si="14"/>
        <v/>
      </c>
      <c r="C160" t="str">
        <f>IFERROR(IF(R160&gt;0,INDEX(PMEREFRI[Measure '#],MATCH(AB160,PMEREFRI[Eff Desc 1],0)),""),"")</f>
        <v/>
      </c>
      <c r="D160" t="s">
        <v>947</v>
      </c>
      <c r="F160" s="112"/>
      <c r="G160" s="186">
        <f>INDEX('M03-S04'!$AB$16:$AB$198,2*(ROWS($G$157:G160)-1)+1)</f>
        <v>0</v>
      </c>
      <c r="H160" s="186" t="str">
        <f>IF(ISNUMBER(INDEX('M03-S04'!$AN$16:$AN$198,2*(ROWS($R$157:R160)-1)+1)),"Total","")</f>
        <v/>
      </c>
      <c r="I160" s="184">
        <f>IFERROR(ROUND(INDEX('M03-S04'!$AE$16:$AE$198,2*(ROWS($I$157:I160)-1)+1),2),0)</f>
        <v>0</v>
      </c>
      <c r="J160" s="184">
        <f>IFERROR(ROUND(INDEX('M03-S04'!$AG$16:$AG$198,2*(ROWS($J$157:J160)-1)+1),2),0)</f>
        <v>0</v>
      </c>
      <c r="K160" s="52">
        <f>IFERROR(ROUND(INDEX('M03-S04'!$AU$16:$AU$198,2*(ROWS($K$157:K160)-1)+1),2),0)</f>
        <v>0</v>
      </c>
      <c r="L160" s="52" t="str">
        <f>IFERROR(IF(R160&gt;0,M160*INDEX(PMEREFRI[Incremental Cost],MATCH(AB160,PMEREFRI[Eff Desc 1],0)),""),"")</f>
        <v/>
      </c>
      <c r="M160" s="456">
        <f>INDEX('M03-S04'!$V$16:$V$198,2*(ROWS($M$157:M160)-1)+1)</f>
        <v>0</v>
      </c>
      <c r="N160" s="184" t="str">
        <f>IF(ISNUMBER(INDEX('M03-S04'!$AN$16:$AN$198,2*(ROWS($R$157:R160)-1)+1)),INDEX('M03-S04'!$AK$16:$AK$198,2*(ROWS($N$157:N160)-1)+1),"")</f>
        <v/>
      </c>
      <c r="O160" s="456" t="str">
        <f>IFERROR(IF(ISNUMBER(INDEX('M03-S04'!$AN$16:$AN$198,2*(ROWS($R$157:R160)-1)+1)),INDEX('M03-S04'!$AV$16:$AV$198,2*(ROWS($O$157:O160)-1)+1),""),"")</f>
        <v/>
      </c>
      <c r="P160" s="113"/>
      <c r="Q160" s="113"/>
      <c r="R160" s="184">
        <f>IF(ISNUMBER(INDEX('M03-S04'!$AN$16:$AN$198,2*(ROWS($R$157:R160)-1)+1)),INDEX('M03-S04'!$AN$16:$AN$198,2*(ROWS($R$157:R160)-1)+1),0)</f>
        <v>0</v>
      </c>
      <c r="S160" s="459"/>
      <c r="T160" s="113"/>
      <c r="U160" s="140"/>
      <c r="V160" s="113"/>
      <c r="W160" s="96" t="str">
        <f>IFERROR(IF(NOT(ISNUMBER(INDEX('M03-S04'!$AN$16:$AN$198,2*(ROWS($R$157:R160)-1)+1))),INDEX('M03-S04'!$BC$16:$BC$198,2*(ROWS($R$157:R160)-1)+1),""),"")</f>
        <v/>
      </c>
      <c r="X160" s="113"/>
      <c r="Y160" s="113"/>
      <c r="Z160" s="111">
        <f>INDEX('M03-S04'!$B$16:$B$198,2*(ROWS($Z$157:Z160)-1)+1)</f>
        <v>4</v>
      </c>
      <c r="AA160" s="111" t="str">
        <f>INDEX('M03-S04'!$N$16:$N$198,2*(ROWS($Z$157:AA160)-1)+1)</f>
        <v/>
      </c>
      <c r="AB160" s="111">
        <f>INDEX('M03-S04'!$C$16:$C$198,2*(ROWS($Z$157:AB160)-1)+1)</f>
        <v>0</v>
      </c>
      <c r="AC160" s="96"/>
      <c r="AD160">
        <f>INDEX('M03-S04'!$X$16:$X$198,2*(ROWS($AD$157:AD160)-1)+1)</f>
        <v>0</v>
      </c>
      <c r="AE160" s="459"/>
      <c r="AF160" s="459"/>
      <c r="AG160" s="112"/>
      <c r="AH160" s="112"/>
      <c r="AI160" s="112"/>
      <c r="AJ160" s="112"/>
      <c r="AK160" s="113"/>
      <c r="AL160" s="113"/>
      <c r="AM160" s="113"/>
      <c r="AN160" s="113"/>
      <c r="AO160" s="52" t="str">
        <f>IFERROR(INDEX(PMEREFRI[Program Design],MATCH(AB160,PMEREFRI[Eff Desc 1],0)),"")</f>
        <v/>
      </c>
      <c r="AU160"/>
    </row>
    <row r="161" spans="1:47">
      <c r="A161" s="57">
        <f t="shared" si="13"/>
        <v>0</v>
      </c>
      <c r="B161" s="183" t="str">
        <f t="shared" si="14"/>
        <v/>
      </c>
      <c r="C161" t="str">
        <f>IFERROR(IF(R161&gt;0,INDEX(PMEREFRI[Measure '#],MATCH(AB161,PMEREFRI[Eff Desc 1],0)),""),"")</f>
        <v/>
      </c>
      <c r="D161" t="s">
        <v>947</v>
      </c>
      <c r="F161" s="112"/>
      <c r="G161" s="186">
        <f>INDEX('M03-S04'!$AB$16:$AB$198,2*(ROWS($G$157:G161)-1)+1)</f>
        <v>0</v>
      </c>
      <c r="H161" s="186" t="str">
        <f>IF(ISNUMBER(INDEX('M03-S04'!$AN$16:$AN$198,2*(ROWS($R$157:R161)-1)+1)),"Total","")</f>
        <v/>
      </c>
      <c r="I161" s="184">
        <f>IFERROR(ROUND(INDEX('M03-S04'!$AE$16:$AE$198,2*(ROWS($I$157:I161)-1)+1),2),0)</f>
        <v>0</v>
      </c>
      <c r="J161" s="184">
        <f>IFERROR(ROUND(INDEX('M03-S04'!$AG$16:$AG$198,2*(ROWS($J$157:J161)-1)+1),2),0)</f>
        <v>0</v>
      </c>
      <c r="K161" s="52">
        <f>IFERROR(ROUND(INDEX('M03-S04'!$AU$16:$AU$198,2*(ROWS($K$157:K161)-1)+1),2),0)</f>
        <v>0</v>
      </c>
      <c r="L161" s="52" t="str">
        <f>IFERROR(IF(R161&gt;0,M161*INDEX(PMEREFRI[Incremental Cost],MATCH(AB161,PMEREFRI[Eff Desc 1],0)),""),"")</f>
        <v/>
      </c>
      <c r="M161" s="456">
        <f>INDEX('M03-S04'!$V$16:$V$198,2*(ROWS($M$157:M161)-1)+1)</f>
        <v>0</v>
      </c>
      <c r="N161" s="184" t="str">
        <f>IF(ISNUMBER(INDEX('M03-S04'!$AN$16:$AN$198,2*(ROWS($R$157:R161)-1)+1)),INDEX('M03-S04'!$AK$16:$AK$198,2*(ROWS($N$157:N161)-1)+1),"")</f>
        <v/>
      </c>
      <c r="O161" s="456" t="str">
        <f>IFERROR(IF(ISNUMBER(INDEX('M03-S04'!$AN$16:$AN$198,2*(ROWS($R$157:R161)-1)+1)),INDEX('M03-S04'!$AV$16:$AV$198,2*(ROWS($O$157:O161)-1)+1),""),"")</f>
        <v/>
      </c>
      <c r="P161" s="113"/>
      <c r="Q161" s="113"/>
      <c r="R161" s="184">
        <f>IF(ISNUMBER(INDEX('M03-S04'!$AN$16:$AN$198,2*(ROWS($R$157:R161)-1)+1)),INDEX('M03-S04'!$AN$16:$AN$198,2*(ROWS($R$157:R161)-1)+1),0)</f>
        <v>0</v>
      </c>
      <c r="S161" s="459"/>
      <c r="T161" s="113"/>
      <c r="U161" s="140"/>
      <c r="V161" s="113"/>
      <c r="W161" s="96" t="str">
        <f>IFERROR(IF(NOT(ISNUMBER(INDEX('M03-S04'!$AN$16:$AN$198,2*(ROWS($R$157:R161)-1)+1))),INDEX('M03-S04'!$BC$16:$BC$198,2*(ROWS($R$157:R161)-1)+1),""),"")</f>
        <v/>
      </c>
      <c r="X161" s="113"/>
      <c r="Y161" s="113"/>
      <c r="Z161" s="111">
        <f>INDEX('M03-S04'!$B$16:$B$198,2*(ROWS($Z$157:Z161)-1)+1)</f>
        <v>5</v>
      </c>
      <c r="AA161" s="111" t="str">
        <f>INDEX('M03-S04'!$N$16:$N$198,2*(ROWS($Z$157:AA161)-1)+1)</f>
        <v/>
      </c>
      <c r="AB161" s="111">
        <f>INDEX('M03-S04'!$C$16:$C$198,2*(ROWS($Z$157:AB161)-1)+1)</f>
        <v>0</v>
      </c>
      <c r="AC161" s="96"/>
      <c r="AD161">
        <f>INDEX('M03-S04'!$X$16:$X$198,2*(ROWS($AD$157:AD161)-1)+1)</f>
        <v>0</v>
      </c>
      <c r="AE161" s="459"/>
      <c r="AF161" s="459"/>
      <c r="AG161" s="112"/>
      <c r="AH161" s="112"/>
      <c r="AI161" s="112"/>
      <c r="AJ161" s="112"/>
      <c r="AK161" s="113"/>
      <c r="AL161" s="113"/>
      <c r="AM161" s="113"/>
      <c r="AN161" s="113"/>
      <c r="AO161" s="52" t="str">
        <f>IFERROR(INDEX(PMEREFRI[Program Design],MATCH(AB161,PMEREFRI[Eff Desc 1],0)),"")</f>
        <v/>
      </c>
      <c r="AU161"/>
    </row>
    <row r="162" spans="1:47">
      <c r="A162" s="57">
        <f t="shared" si="13"/>
        <v>0</v>
      </c>
      <c r="B162" s="183" t="str">
        <f t="shared" si="14"/>
        <v/>
      </c>
      <c r="C162" t="str">
        <f>IFERROR(IF(R162&gt;0,INDEX(PMEREFRI[Measure '#],MATCH(AB162,PMEREFRI[Eff Desc 1],0)),""),"")</f>
        <v/>
      </c>
      <c r="D162" t="s">
        <v>947</v>
      </c>
      <c r="F162" s="112"/>
      <c r="G162" s="186">
        <f>INDEX('M03-S04'!$AB$16:$AB$198,2*(ROWS($G$157:G162)-1)+1)</f>
        <v>0</v>
      </c>
      <c r="H162" s="186" t="str">
        <f>IF(ISNUMBER(INDEX('M03-S04'!$AN$16:$AN$198,2*(ROWS($R$157:R162)-1)+1)),"Total","")</f>
        <v/>
      </c>
      <c r="I162" s="184">
        <f>IFERROR(ROUND(INDEX('M03-S04'!$AE$16:$AE$198,2*(ROWS($I$157:I162)-1)+1),2),0)</f>
        <v>0</v>
      </c>
      <c r="J162" s="184">
        <f>IFERROR(ROUND(INDEX('M03-S04'!$AG$16:$AG$198,2*(ROWS($J$157:J162)-1)+1),2),0)</f>
        <v>0</v>
      </c>
      <c r="K162" s="52">
        <f>IFERROR(ROUND(INDEX('M03-S04'!$AU$16:$AU$198,2*(ROWS($K$157:K162)-1)+1),2),0)</f>
        <v>0</v>
      </c>
      <c r="L162" s="52" t="str">
        <f>IFERROR(IF(R162&gt;0,M162*INDEX(PMEREFRI[Incremental Cost],MATCH(AB162,PMEREFRI[Eff Desc 1],0)),""),"")</f>
        <v/>
      </c>
      <c r="M162" s="456">
        <f>INDEX('M03-S04'!$V$16:$V$198,2*(ROWS($M$157:M162)-1)+1)</f>
        <v>0</v>
      </c>
      <c r="N162" s="184" t="str">
        <f>IF(ISNUMBER(INDEX('M03-S04'!$AN$16:$AN$198,2*(ROWS($R$157:R162)-1)+1)),INDEX('M03-S04'!$AK$16:$AK$198,2*(ROWS($N$157:N162)-1)+1),"")</f>
        <v/>
      </c>
      <c r="O162" s="456" t="str">
        <f>IFERROR(IF(ISNUMBER(INDEX('M03-S04'!$AN$16:$AN$198,2*(ROWS($R$157:R162)-1)+1)),INDEX('M03-S04'!$AV$16:$AV$198,2*(ROWS($O$157:O162)-1)+1),""),"")</f>
        <v/>
      </c>
      <c r="P162" s="113"/>
      <c r="Q162" s="113"/>
      <c r="R162" s="184">
        <f>IF(ISNUMBER(INDEX('M03-S04'!$AN$16:$AN$198,2*(ROWS($R$157:R162)-1)+1)),INDEX('M03-S04'!$AN$16:$AN$198,2*(ROWS($R$157:R162)-1)+1),0)</f>
        <v>0</v>
      </c>
      <c r="S162" s="459"/>
      <c r="T162" s="113"/>
      <c r="U162" s="140"/>
      <c r="V162" s="113"/>
      <c r="W162" s="96" t="str">
        <f>IFERROR(IF(NOT(ISNUMBER(INDEX('M03-S04'!$AN$16:$AN$198,2*(ROWS($R$157:R162)-1)+1))),INDEX('M03-S04'!$BC$16:$BC$198,2*(ROWS($R$157:R162)-1)+1),""),"")</f>
        <v/>
      </c>
      <c r="X162" s="113"/>
      <c r="Y162" s="113"/>
      <c r="Z162" s="111">
        <f>INDEX('M03-S04'!$B$16:$B$198,2*(ROWS($Z$157:Z162)-1)+1)</f>
        <v>6</v>
      </c>
      <c r="AA162" s="111" t="str">
        <f>INDEX('M03-S04'!$N$16:$N$198,2*(ROWS($Z$157:AA162)-1)+1)</f>
        <v/>
      </c>
      <c r="AB162" s="111">
        <f>INDEX('M03-S04'!$C$16:$C$198,2*(ROWS($Z$157:AB162)-1)+1)</f>
        <v>0</v>
      </c>
      <c r="AC162" s="96"/>
      <c r="AD162">
        <f>INDEX('M03-S04'!$X$16:$X$198,2*(ROWS($AD$157:AD162)-1)+1)</f>
        <v>0</v>
      </c>
      <c r="AE162" s="459"/>
      <c r="AF162" s="459"/>
      <c r="AG162" s="112"/>
      <c r="AH162" s="112"/>
      <c r="AI162" s="112"/>
      <c r="AJ162" s="112"/>
      <c r="AK162" s="113"/>
      <c r="AL162" s="113"/>
      <c r="AM162" s="113"/>
      <c r="AN162" s="113"/>
      <c r="AO162" s="52" t="str">
        <f>IFERROR(INDEX(PMEREFRI[Program Design],MATCH(AB162,PMEREFRI[Eff Desc 1],0)),"")</f>
        <v/>
      </c>
      <c r="AU162"/>
    </row>
    <row r="163" spans="1:47">
      <c r="A163" s="57">
        <f t="shared" si="13"/>
        <v>0</v>
      </c>
      <c r="B163" s="183" t="str">
        <f t="shared" si="14"/>
        <v/>
      </c>
      <c r="C163" t="str">
        <f>IFERROR(IF(R163&gt;0,INDEX(PMEREFRI[Measure '#],MATCH(AB163,PMEREFRI[Eff Desc 1],0)),""),"")</f>
        <v/>
      </c>
      <c r="D163" t="s">
        <v>947</v>
      </c>
      <c r="F163" s="112"/>
      <c r="G163" s="186">
        <f>INDEX('M03-S04'!$AB$16:$AB$198,2*(ROWS($G$157:G163)-1)+1)</f>
        <v>0</v>
      </c>
      <c r="H163" s="186" t="str">
        <f>IF(ISNUMBER(INDEX('M03-S04'!$AN$16:$AN$198,2*(ROWS($R$157:R163)-1)+1)),"Total","")</f>
        <v/>
      </c>
      <c r="I163" s="184">
        <f>IFERROR(ROUND(INDEX('M03-S04'!$AE$16:$AE$198,2*(ROWS($I$157:I163)-1)+1),2),0)</f>
        <v>0</v>
      </c>
      <c r="J163" s="184">
        <f>IFERROR(ROUND(INDEX('M03-S04'!$AG$16:$AG$198,2*(ROWS($J$157:J163)-1)+1),2),0)</f>
        <v>0</v>
      </c>
      <c r="K163" s="52">
        <f>IFERROR(ROUND(INDEX('M03-S04'!$AU$16:$AU$198,2*(ROWS($K$157:K163)-1)+1),2),0)</f>
        <v>0</v>
      </c>
      <c r="L163" s="52" t="str">
        <f>IFERROR(IF(R163&gt;0,M163*INDEX(PMEREFRI[Incremental Cost],MATCH(AB163,PMEREFRI[Eff Desc 1],0)),""),"")</f>
        <v/>
      </c>
      <c r="M163" s="456">
        <f>INDEX('M03-S04'!$V$16:$V$198,2*(ROWS($M$157:M163)-1)+1)</f>
        <v>0</v>
      </c>
      <c r="N163" s="184" t="str">
        <f>IF(ISNUMBER(INDEX('M03-S04'!$AN$16:$AN$198,2*(ROWS($R$157:R163)-1)+1)),INDEX('M03-S04'!$AK$16:$AK$198,2*(ROWS($N$157:N163)-1)+1),"")</f>
        <v/>
      </c>
      <c r="O163" s="456" t="str">
        <f>IFERROR(IF(ISNUMBER(INDEX('M03-S04'!$AN$16:$AN$198,2*(ROWS($R$157:R163)-1)+1)),INDEX('M03-S04'!$AV$16:$AV$198,2*(ROWS($O$157:O163)-1)+1),""),"")</f>
        <v/>
      </c>
      <c r="P163" s="113"/>
      <c r="Q163" s="113"/>
      <c r="R163" s="184">
        <f>IF(ISNUMBER(INDEX('M03-S04'!$AN$16:$AN$198,2*(ROWS($R$157:R163)-1)+1)),INDEX('M03-S04'!$AN$16:$AN$198,2*(ROWS($R$157:R163)-1)+1),0)</f>
        <v>0</v>
      </c>
      <c r="S163" s="459"/>
      <c r="T163" s="113"/>
      <c r="U163" s="140"/>
      <c r="V163" s="113"/>
      <c r="W163" s="96" t="str">
        <f>IFERROR(IF(NOT(ISNUMBER(INDEX('M03-S04'!$AN$16:$AN$198,2*(ROWS($R$157:R163)-1)+1))),INDEX('M03-S04'!$BC$16:$BC$198,2*(ROWS($R$157:R163)-1)+1),""),"")</f>
        <v/>
      </c>
      <c r="X163" s="113"/>
      <c r="Y163" s="113"/>
      <c r="Z163" s="111">
        <f>INDEX('M03-S04'!$B$16:$B$198,2*(ROWS($Z$157:Z163)-1)+1)</f>
        <v>7</v>
      </c>
      <c r="AA163" s="111" t="str">
        <f>INDEX('M03-S04'!$N$16:$N$198,2*(ROWS($Z$157:AA163)-1)+1)</f>
        <v/>
      </c>
      <c r="AB163" s="111">
        <f>INDEX('M03-S04'!$C$16:$C$198,2*(ROWS($Z$157:AB163)-1)+1)</f>
        <v>0</v>
      </c>
      <c r="AC163" s="96"/>
      <c r="AD163">
        <f>INDEX('M03-S04'!$X$16:$X$198,2*(ROWS($AD$157:AD163)-1)+1)</f>
        <v>0</v>
      </c>
      <c r="AE163" s="459"/>
      <c r="AF163" s="459"/>
      <c r="AG163" s="112"/>
      <c r="AH163" s="112"/>
      <c r="AI163" s="112"/>
      <c r="AJ163" s="112"/>
      <c r="AK163" s="113"/>
      <c r="AL163" s="113"/>
      <c r="AM163" s="113"/>
      <c r="AN163" s="113"/>
      <c r="AO163" s="52" t="str">
        <f>IFERROR(INDEX(PMEREFRI[Program Design],MATCH(AB163,PMEREFRI[Eff Desc 1],0)),"")</f>
        <v/>
      </c>
      <c r="AU163"/>
    </row>
    <row r="164" spans="1:47">
      <c r="A164" s="57">
        <f t="shared" si="13"/>
        <v>0</v>
      </c>
      <c r="B164" s="183" t="str">
        <f t="shared" si="14"/>
        <v/>
      </c>
      <c r="C164" t="str">
        <f>IFERROR(IF(R164&gt;0,INDEX(PMEREFRI[Measure '#],MATCH(AB164,PMEREFRI[Eff Desc 1],0)),""),"")</f>
        <v/>
      </c>
      <c r="D164" t="s">
        <v>947</v>
      </c>
      <c r="F164" s="112"/>
      <c r="G164" s="186">
        <f>INDEX('M03-S04'!$AB$16:$AB$198,2*(ROWS($G$157:G164)-1)+1)</f>
        <v>0</v>
      </c>
      <c r="H164" s="186" t="str">
        <f>IF(ISNUMBER(INDEX('M03-S04'!$AN$16:$AN$198,2*(ROWS($R$157:R164)-1)+1)),"Total","")</f>
        <v/>
      </c>
      <c r="I164" s="184">
        <f>IFERROR(ROUND(INDEX('M03-S04'!$AE$16:$AE$198,2*(ROWS($I$157:I164)-1)+1),2),0)</f>
        <v>0</v>
      </c>
      <c r="J164" s="184">
        <f>IFERROR(ROUND(INDEX('M03-S04'!$AG$16:$AG$198,2*(ROWS($J$157:J164)-1)+1),2),0)</f>
        <v>0</v>
      </c>
      <c r="K164" s="52">
        <f>IFERROR(ROUND(INDEX('M03-S04'!$AU$16:$AU$198,2*(ROWS($K$157:K164)-1)+1),2),0)</f>
        <v>0</v>
      </c>
      <c r="L164" s="52" t="str">
        <f>IFERROR(IF(R164&gt;0,M164*INDEX(PMEREFRI[Incremental Cost],MATCH(AB164,PMEREFRI[Eff Desc 1],0)),""),"")</f>
        <v/>
      </c>
      <c r="M164" s="456">
        <f>INDEX('M03-S04'!$V$16:$V$198,2*(ROWS($M$157:M164)-1)+1)</f>
        <v>0</v>
      </c>
      <c r="N164" s="184" t="str">
        <f>IF(ISNUMBER(INDEX('M03-S04'!$AN$16:$AN$198,2*(ROWS($R$157:R164)-1)+1)),INDEX('M03-S04'!$AK$16:$AK$198,2*(ROWS($N$157:N164)-1)+1),"")</f>
        <v/>
      </c>
      <c r="O164" s="456" t="str">
        <f>IFERROR(IF(ISNUMBER(INDEX('M03-S04'!$AN$16:$AN$198,2*(ROWS($R$157:R164)-1)+1)),INDEX('M03-S04'!$AV$16:$AV$198,2*(ROWS($O$157:O164)-1)+1),""),"")</f>
        <v/>
      </c>
      <c r="P164" s="113"/>
      <c r="Q164" s="113"/>
      <c r="R164" s="184">
        <f>IF(ISNUMBER(INDEX('M03-S04'!$AN$16:$AN$198,2*(ROWS($R$157:R164)-1)+1)),INDEX('M03-S04'!$AN$16:$AN$198,2*(ROWS($R$157:R164)-1)+1),0)</f>
        <v>0</v>
      </c>
      <c r="S164" s="459"/>
      <c r="T164" s="113"/>
      <c r="U164" s="140"/>
      <c r="V164" s="113"/>
      <c r="W164" s="96" t="str">
        <f>IFERROR(IF(NOT(ISNUMBER(INDEX('M03-S04'!$AN$16:$AN$198,2*(ROWS($R$157:R164)-1)+1))),INDEX('M03-S04'!$BC$16:$BC$198,2*(ROWS($R$157:R164)-1)+1),""),"")</f>
        <v/>
      </c>
      <c r="X164" s="113"/>
      <c r="Y164" s="113"/>
      <c r="Z164" s="111">
        <f>INDEX('M03-S04'!$B$16:$B$198,2*(ROWS($Z$157:Z164)-1)+1)</f>
        <v>8</v>
      </c>
      <c r="AA164" s="111" t="str">
        <f>INDEX('M03-S04'!$N$16:$N$198,2*(ROWS($Z$157:AA164)-1)+1)</f>
        <v/>
      </c>
      <c r="AB164" s="111">
        <f>INDEX('M03-S04'!$C$16:$C$198,2*(ROWS($Z$157:AB164)-1)+1)</f>
        <v>0</v>
      </c>
      <c r="AC164" s="96"/>
      <c r="AD164">
        <f>INDEX('M03-S04'!$X$16:$X$198,2*(ROWS($AD$157:AD164)-1)+1)</f>
        <v>0</v>
      </c>
      <c r="AE164" s="459"/>
      <c r="AF164" s="459"/>
      <c r="AG164" s="112"/>
      <c r="AH164" s="112"/>
      <c r="AI164" s="112"/>
      <c r="AJ164" s="112"/>
      <c r="AK164" s="113"/>
      <c r="AL164" s="113"/>
      <c r="AM164" s="113"/>
      <c r="AN164" s="113"/>
      <c r="AO164" s="52" t="str">
        <f>IFERROR(INDEX(PMEREFRI[Program Design],MATCH(AB164,PMEREFRI[Eff Desc 1],0)),"")</f>
        <v/>
      </c>
      <c r="AU164"/>
    </row>
    <row r="165" spans="1:47">
      <c r="A165" s="57">
        <f t="shared" si="13"/>
        <v>0</v>
      </c>
      <c r="B165" s="183" t="str">
        <f t="shared" si="14"/>
        <v/>
      </c>
      <c r="C165" t="str">
        <f>IFERROR(IF(R165&gt;0,INDEX(PMEREFRI[Measure '#],MATCH(AB165,PMEREFRI[Eff Desc 1],0)),""),"")</f>
        <v/>
      </c>
      <c r="D165" t="s">
        <v>947</v>
      </c>
      <c r="F165" s="112"/>
      <c r="G165" s="186">
        <f>INDEX('M03-S04'!$AB$16:$AB$198,2*(ROWS($G$157:G165)-1)+1)</f>
        <v>0</v>
      </c>
      <c r="H165" s="186" t="str">
        <f>IF(ISNUMBER(INDEX('M03-S04'!$AN$16:$AN$198,2*(ROWS($R$157:R165)-1)+1)),"Total","")</f>
        <v/>
      </c>
      <c r="I165" s="184">
        <f>IFERROR(ROUND(INDEX('M03-S04'!$AE$16:$AE$198,2*(ROWS($I$157:I165)-1)+1),2),0)</f>
        <v>0</v>
      </c>
      <c r="J165" s="184">
        <f>IFERROR(ROUND(INDEX('M03-S04'!$AG$16:$AG$198,2*(ROWS($J$157:J165)-1)+1),2),0)</f>
        <v>0</v>
      </c>
      <c r="K165" s="52">
        <f>IFERROR(ROUND(INDEX('M03-S04'!$AU$16:$AU$198,2*(ROWS($K$157:K165)-1)+1),2),0)</f>
        <v>0</v>
      </c>
      <c r="L165" s="52" t="str">
        <f>IFERROR(IF(R165&gt;0,M165*INDEX(PMEREFRI[Incremental Cost],MATCH(AB165,PMEREFRI[Eff Desc 1],0)),""),"")</f>
        <v/>
      </c>
      <c r="M165" s="456">
        <f>INDEX('M03-S04'!$V$16:$V$198,2*(ROWS($M$157:M165)-1)+1)</f>
        <v>0</v>
      </c>
      <c r="N165" s="184" t="str">
        <f>IF(ISNUMBER(INDEX('M03-S04'!$AN$16:$AN$198,2*(ROWS($R$157:R165)-1)+1)),INDEX('M03-S04'!$AK$16:$AK$198,2*(ROWS($N$157:N165)-1)+1),"")</f>
        <v/>
      </c>
      <c r="O165" s="456" t="str">
        <f>IFERROR(IF(ISNUMBER(INDEX('M03-S04'!$AN$16:$AN$198,2*(ROWS($R$157:R165)-1)+1)),INDEX('M03-S04'!$AV$16:$AV$198,2*(ROWS($O$157:O165)-1)+1),""),"")</f>
        <v/>
      </c>
      <c r="P165" s="113"/>
      <c r="Q165" s="113"/>
      <c r="R165" s="184">
        <f>IF(ISNUMBER(INDEX('M03-S04'!$AN$16:$AN$198,2*(ROWS($R$157:R165)-1)+1)),INDEX('M03-S04'!$AN$16:$AN$198,2*(ROWS($R$157:R165)-1)+1),0)</f>
        <v>0</v>
      </c>
      <c r="S165" s="459"/>
      <c r="T165" s="113"/>
      <c r="U165" s="140"/>
      <c r="V165" s="113"/>
      <c r="W165" s="96" t="str">
        <f>IFERROR(IF(NOT(ISNUMBER(INDEX('M03-S04'!$AN$16:$AN$198,2*(ROWS($R$157:R165)-1)+1))),INDEX('M03-S04'!$BC$16:$BC$198,2*(ROWS($R$157:R165)-1)+1),""),"")</f>
        <v/>
      </c>
      <c r="X165" s="113"/>
      <c r="Y165" s="113"/>
      <c r="Z165" s="111">
        <f>INDEX('M03-S04'!$B$16:$B$198,2*(ROWS($Z$157:Z165)-1)+1)</f>
        <v>9</v>
      </c>
      <c r="AA165" s="111" t="str">
        <f>INDEX('M03-S04'!$N$16:$N$198,2*(ROWS($Z$157:AA165)-1)+1)</f>
        <v/>
      </c>
      <c r="AB165" s="111">
        <f>INDEX('M03-S04'!$C$16:$C$198,2*(ROWS($Z$157:AB165)-1)+1)</f>
        <v>0</v>
      </c>
      <c r="AC165" s="96"/>
      <c r="AD165">
        <f>INDEX('M03-S04'!$X$16:$X$198,2*(ROWS($AD$157:AD165)-1)+1)</f>
        <v>0</v>
      </c>
      <c r="AE165" s="459"/>
      <c r="AF165" s="459"/>
      <c r="AG165" s="112"/>
      <c r="AH165" s="112"/>
      <c r="AI165" s="112"/>
      <c r="AJ165" s="112"/>
      <c r="AK165" s="113"/>
      <c r="AL165" s="113"/>
      <c r="AM165" s="113"/>
      <c r="AN165" s="113"/>
      <c r="AO165" s="52" t="str">
        <f>IFERROR(INDEX(PMEREFRI[Program Design],MATCH(AB165,PMEREFRI[Eff Desc 1],0)),"")</f>
        <v/>
      </c>
      <c r="AU165"/>
    </row>
    <row r="166" spans="1:47">
      <c r="A166" s="57">
        <f t="shared" si="13"/>
        <v>0</v>
      </c>
      <c r="B166" s="183" t="str">
        <f t="shared" si="14"/>
        <v/>
      </c>
      <c r="C166" t="str">
        <f>IFERROR(IF(R166&gt;0,INDEX(PMEREFRI[Measure '#],MATCH(AB166,PMEREFRI[Eff Desc 1],0)),""),"")</f>
        <v/>
      </c>
      <c r="D166" t="s">
        <v>947</v>
      </c>
      <c r="F166" s="112"/>
      <c r="G166" s="186">
        <f>INDEX('M03-S04'!$AB$16:$AB$198,2*(ROWS($G$157:G166)-1)+1)</f>
        <v>0</v>
      </c>
      <c r="H166" s="186" t="str">
        <f>IF(ISNUMBER(INDEX('M03-S04'!$AN$16:$AN$198,2*(ROWS($R$157:R166)-1)+1)),"Total","")</f>
        <v/>
      </c>
      <c r="I166" s="184">
        <f>IFERROR(ROUND(INDEX('M03-S04'!$AE$16:$AE$198,2*(ROWS($I$157:I166)-1)+1),2),0)</f>
        <v>0</v>
      </c>
      <c r="J166" s="184">
        <f>IFERROR(ROUND(INDEX('M03-S04'!$AG$16:$AG$198,2*(ROWS($J$157:J166)-1)+1),2),0)</f>
        <v>0</v>
      </c>
      <c r="K166" s="52">
        <f>IFERROR(ROUND(INDEX('M03-S04'!$AU$16:$AU$198,2*(ROWS($K$157:K166)-1)+1),2),0)</f>
        <v>0</v>
      </c>
      <c r="L166" s="52" t="str">
        <f>IFERROR(IF(R166&gt;0,M166*INDEX(PMEREFRI[Incremental Cost],MATCH(AB166,PMEREFRI[Eff Desc 1],0)),""),"")</f>
        <v/>
      </c>
      <c r="M166" s="456">
        <f>INDEX('M03-S04'!$V$16:$V$198,2*(ROWS($M$157:M166)-1)+1)</f>
        <v>0</v>
      </c>
      <c r="N166" s="184" t="str">
        <f>IF(ISNUMBER(INDEX('M03-S04'!$AN$16:$AN$198,2*(ROWS($R$157:R166)-1)+1)),INDEX('M03-S04'!$AK$16:$AK$198,2*(ROWS($N$157:N166)-1)+1),"")</f>
        <v/>
      </c>
      <c r="O166" s="456" t="str">
        <f>IFERROR(IF(ISNUMBER(INDEX('M03-S04'!$AN$16:$AN$198,2*(ROWS($R$157:R166)-1)+1)),INDEX('M03-S04'!$AV$16:$AV$198,2*(ROWS($O$157:O166)-1)+1),""),"")</f>
        <v/>
      </c>
      <c r="P166" s="113"/>
      <c r="Q166" s="113"/>
      <c r="R166" s="184">
        <f>IF(ISNUMBER(INDEX('M03-S04'!$AN$16:$AN$198,2*(ROWS($R$157:R166)-1)+1)),INDEX('M03-S04'!$AN$16:$AN$198,2*(ROWS($R$157:R166)-1)+1),0)</f>
        <v>0</v>
      </c>
      <c r="S166" s="459"/>
      <c r="T166" s="113"/>
      <c r="U166" s="140"/>
      <c r="V166" s="113"/>
      <c r="W166" s="96" t="str">
        <f>IFERROR(IF(NOT(ISNUMBER(INDEX('M03-S04'!$AN$16:$AN$198,2*(ROWS($R$157:R166)-1)+1))),INDEX('M03-S04'!$BC$16:$BC$198,2*(ROWS($R$157:R166)-1)+1),""),"")</f>
        <v/>
      </c>
      <c r="X166" s="113"/>
      <c r="Y166" s="113"/>
      <c r="Z166" s="111">
        <f>INDEX('M03-S04'!$B$16:$B$198,2*(ROWS($Z$157:Z166)-1)+1)</f>
        <v>10</v>
      </c>
      <c r="AA166" s="111" t="str">
        <f>INDEX('M03-S04'!$N$16:$N$198,2*(ROWS($Z$157:AA166)-1)+1)</f>
        <v/>
      </c>
      <c r="AB166" s="111">
        <f>INDEX('M03-S04'!$C$16:$C$198,2*(ROWS($Z$157:AB166)-1)+1)</f>
        <v>0</v>
      </c>
      <c r="AC166" s="96"/>
      <c r="AD166">
        <f>INDEX('M03-S04'!$X$16:$X$198,2*(ROWS($AD$157:AD166)-1)+1)</f>
        <v>0</v>
      </c>
      <c r="AE166" s="459"/>
      <c r="AF166" s="459"/>
      <c r="AG166" s="112"/>
      <c r="AH166" s="112"/>
      <c r="AI166" s="112"/>
      <c r="AJ166" s="112"/>
      <c r="AK166" s="113"/>
      <c r="AL166" s="113"/>
      <c r="AM166" s="113"/>
      <c r="AN166" s="113"/>
      <c r="AO166" s="52" t="str">
        <f>IFERROR(INDEX(PMEREFRI[Program Design],MATCH(AB166,PMEREFRI[Eff Desc 1],0)),"")</f>
        <v/>
      </c>
      <c r="AU166"/>
    </row>
    <row r="167" spans="1:47">
      <c r="A167" s="57">
        <f t="shared" si="13"/>
        <v>0</v>
      </c>
      <c r="B167" s="183" t="str">
        <f t="shared" si="14"/>
        <v/>
      </c>
      <c r="C167" t="str">
        <f>IFERROR(IF(R167&gt;0,INDEX(PMEREFRI[Measure '#],MATCH(AB167,PMEREFRI[Eff Desc 1],0)),""),"")</f>
        <v/>
      </c>
      <c r="D167" t="s">
        <v>947</v>
      </c>
      <c r="F167" s="112"/>
      <c r="G167" s="186">
        <f>INDEX('M03-S04'!$AB$16:$AB$198,2*(ROWS($G$157:G167)-1)+1)</f>
        <v>0</v>
      </c>
      <c r="H167" s="186" t="str">
        <f>IF(ISNUMBER(INDEX('M03-S04'!$AN$16:$AN$198,2*(ROWS($R$157:R167)-1)+1)),"Total","")</f>
        <v/>
      </c>
      <c r="I167" s="184">
        <f>IFERROR(ROUND(INDEX('M03-S04'!$AE$16:$AE$198,2*(ROWS($I$157:I167)-1)+1),2),0)</f>
        <v>0</v>
      </c>
      <c r="J167" s="184">
        <f>IFERROR(ROUND(INDEX('M03-S04'!$AG$16:$AG$198,2*(ROWS($J$157:J167)-1)+1),2),0)</f>
        <v>0</v>
      </c>
      <c r="K167" s="52">
        <f>IFERROR(ROUND(INDEX('M03-S04'!$AU$16:$AU$198,2*(ROWS($K$157:K167)-1)+1),2),0)</f>
        <v>0</v>
      </c>
      <c r="L167" s="52" t="str">
        <f>IFERROR(IF(R167&gt;0,M167*INDEX(PMEREFRI[Incremental Cost],MATCH(AB167,PMEREFRI[Eff Desc 1],0)),""),"")</f>
        <v/>
      </c>
      <c r="M167" s="456">
        <f>INDEX('M03-S04'!$V$16:$V$198,2*(ROWS($M$157:M167)-1)+1)</f>
        <v>0</v>
      </c>
      <c r="N167" s="184" t="str">
        <f>IF(ISNUMBER(INDEX('M03-S04'!$AN$16:$AN$198,2*(ROWS($R$157:R167)-1)+1)),INDEX('M03-S04'!$AK$16:$AK$198,2*(ROWS($N$157:N167)-1)+1),"")</f>
        <v/>
      </c>
      <c r="O167" s="456" t="str">
        <f>IFERROR(IF(ISNUMBER(INDEX('M03-S04'!$AN$16:$AN$198,2*(ROWS($R$157:R167)-1)+1)),INDEX('M03-S04'!$AV$16:$AV$198,2*(ROWS($O$157:O167)-1)+1),""),"")</f>
        <v/>
      </c>
      <c r="P167" s="113"/>
      <c r="Q167" s="113"/>
      <c r="R167" s="184">
        <f>IF(ISNUMBER(INDEX('M03-S04'!$AN$16:$AN$198,2*(ROWS($R$157:R167)-1)+1)),INDEX('M03-S04'!$AN$16:$AN$198,2*(ROWS($R$157:R167)-1)+1),0)</f>
        <v>0</v>
      </c>
      <c r="S167" s="459"/>
      <c r="T167" s="113"/>
      <c r="U167" s="140"/>
      <c r="V167" s="113"/>
      <c r="W167" s="96">
        <f>IFERROR(IF(NOT(ISNUMBER(INDEX('M03-S04'!$AN$16:$AN$198,2*(ROWS($R$157:R167)-1)+1))),INDEX('M03-S04'!$BC$16:$BC$198,2*(ROWS($R$157:R167)-1)+1),""),"")</f>
        <v>0</v>
      </c>
      <c r="X167" s="113"/>
      <c r="Y167" s="113"/>
      <c r="Z167" s="111">
        <f>INDEX('M03-S04'!$B$16:$B$198,2*(ROWS($Z$157:Z167)-1)+1)</f>
        <v>11</v>
      </c>
      <c r="AA167" s="111"/>
      <c r="AB167" s="111">
        <v>0</v>
      </c>
      <c r="AC167" s="96"/>
      <c r="AD167">
        <f>INDEX('M03-S04'!$X$16:$X$198,2*(ROWS($AD$157:AD167)-1)+1)</f>
        <v>0</v>
      </c>
      <c r="AE167" s="459"/>
      <c r="AF167" s="459"/>
      <c r="AG167" s="112"/>
      <c r="AH167" s="112"/>
      <c r="AI167" s="112"/>
      <c r="AJ167" s="112"/>
      <c r="AK167" s="113"/>
      <c r="AL167" s="113"/>
      <c r="AM167" s="113"/>
      <c r="AN167" s="113"/>
      <c r="AO167" s="52" t="str">
        <f>IFERROR(INDEX(PMEREFRI[Program Design],MATCH(AB167,PMEREFRI[Eff Desc 1],0)),"")</f>
        <v/>
      </c>
      <c r="AU167"/>
    </row>
    <row r="168" spans="1:47">
      <c r="A168" s="57">
        <f t="shared" si="13"/>
        <v>0</v>
      </c>
      <c r="B168" s="183" t="str">
        <f t="shared" si="14"/>
        <v/>
      </c>
      <c r="C168" t="str">
        <f>IFERROR(IF(R168&gt;0,INDEX(AHSD[Measure '#],MATCH(AB168,AHSD[Type],0)),""),"")</f>
        <v/>
      </c>
      <c r="D168" t="s">
        <v>947</v>
      </c>
      <c r="F168" s="112"/>
      <c r="G168" s="186">
        <f>INDEX('M03-S04'!$AB$16:$AB$198,2*(ROWS($G$157:G168)-1)+1)</f>
        <v>0</v>
      </c>
      <c r="H168" s="186" t="str">
        <f>IF(ISNUMBER(INDEX('M03-S04'!$AN$16:$AN$198,2*(ROWS($R$157:R168)-1)+1)),"Total","")</f>
        <v/>
      </c>
      <c r="I168" s="184">
        <f>IFERROR(ROUND(INDEX('M03-S04'!$AE$16:$AE$198,2*(ROWS($I$157:I168)-1)+1),2),0)</f>
        <v>0</v>
      </c>
      <c r="J168" s="184">
        <f>IFERROR(ROUND(INDEX('M03-S04'!$AG$16:$AG$198,2*(ROWS($J$157:J168)-1)+1),2),0)</f>
        <v>0</v>
      </c>
      <c r="K168" s="52">
        <f>IFERROR(ROUND(INDEX('M03-S04'!$AU$16:$AU$198,2*(ROWS($K$157:K168)-1)+1),2),0)</f>
        <v>0</v>
      </c>
      <c r="L168" s="52" t="str">
        <f>IFERROR(IF(R168&gt;0,M168*INDEX(AHSD[Incremental Cost],MATCH(AB168,AHSD[Type],0)),""),"")</f>
        <v/>
      </c>
      <c r="M168" s="456" t="str">
        <f>INDEX('M03-S04'!$AY$16:$AY$198,2*(ROWS($M$157:M168)-1)+1)</f>
        <v/>
      </c>
      <c r="N168" s="184" t="str">
        <f>IF(ISNUMBER(INDEX('M03-S04'!$AN$16:$AN$198,2*(ROWS($R$157:R168)-1)+1)),INDEX('M03-S04'!$AK$16:$AK$198,2*(ROWS($N$157:N168)-1)+1),"")</f>
        <v/>
      </c>
      <c r="O168" s="456" t="str">
        <f>IFERROR(IF(ISNUMBER(INDEX('M03-S04'!$AN$16:$AN$198,2*(ROWS($R$157:R168)-1)+1)),INDEX('M03-S04'!$AV$16:$AV$198,2*(ROWS($O$157:O168)-1)+1),""),"")</f>
        <v/>
      </c>
      <c r="P168" s="113"/>
      <c r="Q168" s="113"/>
      <c r="R168" s="184">
        <f>IF(ISNUMBER(INDEX('M03-S04'!$AN$16:$AN$198,2*(ROWS($R$157:R168)-1)+1)),INDEX('M03-S04'!$AN$16:$AN$198,2*(ROWS($R$157:R168)-1)+1),0)</f>
        <v>0</v>
      </c>
      <c r="S168" s="459"/>
      <c r="T168" s="113"/>
      <c r="U168" s="140"/>
      <c r="V168" s="113"/>
      <c r="W168" s="96" t="str">
        <f>IFERROR(IF(NOT(ISNUMBER(INDEX('M03-S04'!$AN$16:$AN$198,2*(ROWS($R$157:R168)-1)+1))),INDEX('M03-S04'!$BC$16:$BC$198,2*(ROWS($R$157:R168)-1)+1),""),"")</f>
        <v/>
      </c>
      <c r="X168" s="113"/>
      <c r="Y168" s="113"/>
      <c r="Z168" s="111">
        <f>INDEX('M03-S04'!$B$16:$B$198,2*(ROWS($Z$157:Z168)-1)+1)</f>
        <v>12</v>
      </c>
      <c r="AA168" s="111" t="str">
        <f>INDEX('M03-S04'!$N$16:$N$198,2*(ROWS($Z$157:AA168)-1)+1)</f>
        <v/>
      </c>
      <c r="AB168" s="111">
        <f>INDEX('M03-S04'!$C$16:$C$198,2*(ROWS($Z$157:AB168)-1)+1)</f>
        <v>0</v>
      </c>
      <c r="AC168" s="96"/>
      <c r="AD168">
        <f>INDEX('M03-S04'!$X$16:$X$198,2*(ROWS($AD$157:AD168)-1)+1)</f>
        <v>0</v>
      </c>
      <c r="AE168" s="459"/>
      <c r="AF168" s="459"/>
      <c r="AG168" s="112"/>
      <c r="AH168" s="112"/>
      <c r="AI168" s="112"/>
      <c r="AJ168" s="112"/>
      <c r="AK168" s="113"/>
      <c r="AL168" s="113"/>
      <c r="AM168" s="113"/>
      <c r="AN168" s="113"/>
      <c r="AO168" s="52" t="str">
        <f>IFERROR(INDEX(AHSD[Program Design],MATCH(AB168,AHSD[Type],0)),"")</f>
        <v/>
      </c>
      <c r="AU168"/>
    </row>
    <row r="169" spans="1:47">
      <c r="A169" s="57">
        <f t="shared" si="13"/>
        <v>0</v>
      </c>
      <c r="B169" s="183" t="str">
        <f t="shared" ref="B169:B171" si="15">IF(C169="","",CONCATENATE(ROW(),"-",C169))</f>
        <v/>
      </c>
      <c r="C169" t="str">
        <f>IFERROR(IF(R169&gt;0,INDEX(AHSD[Measure '#],MATCH(AB169,AHSD[Type],0)),""),"")</f>
        <v/>
      </c>
      <c r="D169" t="s">
        <v>947</v>
      </c>
      <c r="F169" s="112"/>
      <c r="G169" s="186">
        <f>INDEX('M03-S04'!$AB$16:$AB$198,2*(ROWS($G$157:G169)-1)+1)</f>
        <v>0</v>
      </c>
      <c r="H169" s="186" t="str">
        <f>IF(ISNUMBER(INDEX('M03-S04'!$AN$16:$AN$198,2*(ROWS($R$157:R169)-1)+1)),"Total","")</f>
        <v/>
      </c>
      <c r="I169" s="184">
        <f>IFERROR(ROUND(INDEX('M03-S04'!$AE$16:$AE$198,2*(ROWS($I$157:I169)-1)+1),2),0)</f>
        <v>0</v>
      </c>
      <c r="J169" s="184">
        <f>IFERROR(ROUND(INDEX('M03-S04'!$AG$16:$AG$198,2*(ROWS($J$157:J169)-1)+1),2),0)</f>
        <v>0</v>
      </c>
      <c r="K169" s="52">
        <f>IFERROR(ROUND(INDEX('M03-S04'!$AU$16:$AU$198,2*(ROWS($K$157:K169)-1)+1),2),0)</f>
        <v>0</v>
      </c>
      <c r="L169" s="52" t="str">
        <f>IFERROR(IF(R169&gt;0,M169*INDEX(AHSD[Incremental Cost],MATCH(AB169,AHSD[Type],0)),""),"")</f>
        <v/>
      </c>
      <c r="M169" s="456" t="str">
        <f>INDEX('M03-S04'!$AY$16:$AY$198,2*(ROWS($M$157:M169)-1)+1)</f>
        <v/>
      </c>
      <c r="N169" s="184" t="str">
        <f>IF(ISNUMBER(INDEX('M03-S04'!$AN$16:$AN$198,2*(ROWS($R$157:R169)-1)+1)),INDEX('M03-S04'!$AK$16:$AK$198,2*(ROWS($N$157:N169)-1)+1),"")</f>
        <v/>
      </c>
      <c r="O169" s="456" t="str">
        <f>IFERROR(IF(ISNUMBER(INDEX('M03-S04'!$AN$16:$AN$198,2*(ROWS($R$157:R169)-1)+1)),INDEX('M03-S04'!$AV$16:$AV$198,2*(ROWS($O$157:O169)-1)+1),""),"")</f>
        <v/>
      </c>
      <c r="P169" s="113"/>
      <c r="Q169" s="113"/>
      <c r="R169" s="184">
        <f>IF(ISNUMBER(INDEX('M03-S04'!$AN$16:$AN$198,2*(ROWS($R$157:R169)-1)+1)),INDEX('M03-S04'!$AN$16:$AN$198,2*(ROWS($R$157:R169)-1)+1),0)</f>
        <v>0</v>
      </c>
      <c r="S169" s="459"/>
      <c r="T169" s="113"/>
      <c r="U169" s="140"/>
      <c r="V169" s="113"/>
      <c r="W169" s="96" t="str">
        <f>IFERROR(IF(NOT(ISNUMBER(INDEX('M03-S04'!$AN$16:$AN$198,2*(ROWS($R$157:R169)-1)+1))),INDEX('M03-S04'!$BC$16:$BC$198,2*(ROWS($R$157:R169)-1)+1),""),"")</f>
        <v/>
      </c>
      <c r="X169" s="113"/>
      <c r="Y169" s="113"/>
      <c r="Z169" s="111">
        <f>INDEX('M03-S04'!$B$16:$B$198,2*(ROWS($Z$157:Z169)-1)+1)</f>
        <v>13</v>
      </c>
      <c r="AA169" s="111" t="str">
        <f>INDEX('M03-S04'!$N$16:$N$198,2*(ROWS($Z$157:AA169)-1)+1)</f>
        <v/>
      </c>
      <c r="AB169" s="111">
        <f>INDEX('M03-S04'!$C$16:$C$198,2*(ROWS($Z$157:AB169)-1)+1)</f>
        <v>0</v>
      </c>
      <c r="AC169" s="96"/>
      <c r="AD169">
        <f>INDEX('M03-S04'!$X$16:$X$198,2*(ROWS($AD$157:AD169)-1)+1)</f>
        <v>0</v>
      </c>
      <c r="AE169" s="459"/>
      <c r="AF169" s="459"/>
      <c r="AG169" s="112"/>
      <c r="AH169" s="112"/>
      <c r="AI169" s="112"/>
      <c r="AJ169" s="112"/>
      <c r="AK169" s="113"/>
      <c r="AL169" s="113"/>
      <c r="AM169" s="113"/>
      <c r="AN169" s="113"/>
      <c r="AO169" s="52" t="str">
        <f>IFERROR(INDEX(AHSD[Program Design],MATCH(AB169,AHSD[Type],0)),"")</f>
        <v/>
      </c>
      <c r="AU169"/>
    </row>
    <row r="170" spans="1:47">
      <c r="A170" s="57">
        <f t="shared" si="13"/>
        <v>0</v>
      </c>
      <c r="B170" s="183" t="str">
        <f t="shared" si="15"/>
        <v/>
      </c>
      <c r="C170" t="str">
        <f>IFERROR(IF(R170&gt;0,INDEX(AHSD[Measure '#],MATCH(AB170,AHSD[Type],0)),""),"")</f>
        <v/>
      </c>
      <c r="D170" t="s">
        <v>947</v>
      </c>
      <c r="F170" s="112"/>
      <c r="G170" s="186">
        <f>INDEX('M03-S04'!$AB$16:$AB$198,2*(ROWS($G$157:G170)-1)+1)</f>
        <v>0</v>
      </c>
      <c r="H170" s="186" t="str">
        <f>IF(ISNUMBER(INDEX('M03-S04'!$AN$16:$AN$198,2*(ROWS($R$157:R170)-1)+1)),"Total","")</f>
        <v/>
      </c>
      <c r="I170" s="184">
        <f>IFERROR(ROUND(INDEX('M03-S04'!$AE$16:$AE$198,2*(ROWS($I$157:I170)-1)+1),2),0)</f>
        <v>0</v>
      </c>
      <c r="J170" s="184">
        <f>IFERROR(ROUND(INDEX('M03-S04'!$AG$16:$AG$198,2*(ROWS($J$157:J170)-1)+1),2),0)</f>
        <v>0</v>
      </c>
      <c r="K170" s="52">
        <f>IFERROR(ROUND(INDEX('M03-S04'!$AU$16:$AU$198,2*(ROWS($K$157:K170)-1)+1),2),0)</f>
        <v>0</v>
      </c>
      <c r="L170" s="52" t="str">
        <f>IFERROR(IF(R170&gt;0,M170*INDEX(AHSD[Incremental Cost],MATCH(AB170,AHSD[Type],0)),""),"")</f>
        <v/>
      </c>
      <c r="M170" s="456" t="str">
        <f>INDEX('M03-S04'!$AY$16:$AY$198,2*(ROWS($M$157:M170)-1)+1)</f>
        <v/>
      </c>
      <c r="N170" s="184" t="str">
        <f>IF(ISNUMBER(INDEX('M03-S04'!$AN$16:$AN$198,2*(ROWS($R$157:R170)-1)+1)),INDEX('M03-S04'!$AK$16:$AK$198,2*(ROWS($N$157:N170)-1)+1),"")</f>
        <v/>
      </c>
      <c r="O170" s="456" t="str">
        <f>IFERROR(IF(ISNUMBER(INDEX('M03-S04'!$AN$16:$AN$198,2*(ROWS($R$157:R170)-1)+1)),INDEX('M03-S04'!$AV$16:$AV$198,2*(ROWS($O$157:O170)-1)+1),""),"")</f>
        <v/>
      </c>
      <c r="P170" s="113"/>
      <c r="Q170" s="113"/>
      <c r="R170" s="184">
        <f>IF(ISNUMBER(INDEX('M03-S04'!$AN$16:$AN$198,2*(ROWS($R$157:R170)-1)+1)),INDEX('M03-S04'!$AN$16:$AN$198,2*(ROWS($R$157:R170)-1)+1),0)</f>
        <v>0</v>
      </c>
      <c r="S170" s="459"/>
      <c r="T170" s="113"/>
      <c r="U170" s="140"/>
      <c r="V170" s="113"/>
      <c r="W170" s="96" t="str">
        <f>IFERROR(IF(NOT(ISNUMBER(INDEX('M03-S04'!$AN$16:$AN$198,2*(ROWS($R$157:R170)-1)+1))),INDEX('M03-S04'!$BC$16:$BC$198,2*(ROWS($R$157:R170)-1)+1),""),"")</f>
        <v/>
      </c>
      <c r="X170" s="113"/>
      <c r="Y170" s="113"/>
      <c r="Z170" s="111">
        <f>INDEX('M03-S04'!$B$16:$B$198,2*(ROWS($Z$157:Z170)-1)+1)</f>
        <v>14</v>
      </c>
      <c r="AA170" s="111" t="str">
        <f>INDEX('M03-S04'!$N$16:$N$198,2*(ROWS($Z$157:AA170)-1)+1)</f>
        <v/>
      </c>
      <c r="AB170" s="111">
        <f>INDEX('M03-S04'!$C$16:$C$198,2*(ROWS($Z$157:AB170)-1)+1)</f>
        <v>0</v>
      </c>
      <c r="AC170" s="96"/>
      <c r="AD170">
        <f>INDEX('M03-S04'!$X$16:$X$198,2*(ROWS($AD$157:AD170)-1)+1)</f>
        <v>0</v>
      </c>
      <c r="AE170" s="459"/>
      <c r="AF170" s="459"/>
      <c r="AG170" s="112"/>
      <c r="AH170" s="112"/>
      <c r="AI170" s="112"/>
      <c r="AJ170" s="112"/>
      <c r="AK170" s="113"/>
      <c r="AL170" s="113"/>
      <c r="AM170" s="113"/>
      <c r="AN170" s="113"/>
      <c r="AO170" s="52" t="str">
        <f>IFERROR(INDEX(AHSD[Program Design],MATCH(AB170,AHSD[Type],0)),"")</f>
        <v/>
      </c>
      <c r="AU170"/>
    </row>
    <row r="171" spans="1:47">
      <c r="A171" s="57">
        <f t="shared" si="13"/>
        <v>0</v>
      </c>
      <c r="B171" s="183" t="str">
        <f t="shared" si="15"/>
        <v/>
      </c>
      <c r="C171" t="str">
        <f>IFERROR(IF(R171&gt;0,INDEX(AHSD[Measure '#],MATCH(AB171,AHSD[Type],0)),""),"")</f>
        <v/>
      </c>
      <c r="D171" t="s">
        <v>947</v>
      </c>
      <c r="F171" s="112"/>
      <c r="G171" s="186">
        <f>INDEX('M03-S04'!$AB$16:$AB$198,2*(ROWS($G$157:G171)-1)+1)</f>
        <v>0</v>
      </c>
      <c r="H171" s="186" t="str">
        <f>IF(ISNUMBER(INDEX('M03-S04'!$AN$16:$AN$198,2*(ROWS($R$157:R171)-1)+1)),"Total","")</f>
        <v/>
      </c>
      <c r="I171" s="184">
        <f>IFERROR(ROUND(INDEX('M03-S04'!$AE$16:$AE$198,2*(ROWS($I$157:I171)-1)+1),2),0)</f>
        <v>0</v>
      </c>
      <c r="J171" s="184">
        <f>IFERROR(ROUND(INDEX('M03-S04'!$AG$16:$AG$198,2*(ROWS($J$157:J171)-1)+1),2),0)</f>
        <v>0</v>
      </c>
      <c r="K171" s="52">
        <f>IFERROR(ROUND(INDEX('M03-S04'!$AU$16:$AU$198,2*(ROWS($K$157:K171)-1)+1),2),0)</f>
        <v>0</v>
      </c>
      <c r="L171" s="52" t="str">
        <f>IFERROR(IF(R171&gt;0,M171*INDEX(AHSD[Incremental Cost],MATCH(AB171,AHSD[Type],0)),""),"")</f>
        <v/>
      </c>
      <c r="M171" s="456" t="str">
        <f>INDEX('M03-S04'!$AY$16:$AY$198,2*(ROWS($M$157:M171)-1)+1)</f>
        <v/>
      </c>
      <c r="N171" s="184" t="str">
        <f>IF(ISNUMBER(INDEX('M03-S04'!$AN$16:$AN$198,2*(ROWS($R$157:R171)-1)+1)),INDEX('M03-S04'!$AK$16:$AK$198,2*(ROWS($N$157:N171)-1)+1),"")</f>
        <v/>
      </c>
      <c r="O171" s="456" t="str">
        <f>IFERROR(IF(ISNUMBER(INDEX('M03-S04'!$AN$16:$AN$198,2*(ROWS($R$157:R171)-1)+1)),INDEX('M03-S04'!$AV$16:$AV$198,2*(ROWS($O$157:O171)-1)+1),""),"")</f>
        <v/>
      </c>
      <c r="P171" s="113"/>
      <c r="Q171" s="113"/>
      <c r="R171" s="184">
        <f>IF(ISNUMBER(INDEX('M03-S04'!$AN$16:$AN$198,2*(ROWS($R$157:R171)-1)+1)),INDEX('M03-S04'!$AN$16:$AN$198,2*(ROWS($R$157:R171)-1)+1),0)</f>
        <v>0</v>
      </c>
      <c r="S171" s="459"/>
      <c r="T171" s="113"/>
      <c r="U171" s="140"/>
      <c r="V171" s="113"/>
      <c r="W171" s="96" t="str">
        <f>IFERROR(IF(NOT(ISNUMBER(INDEX('M03-S04'!$AN$16:$AN$198,2*(ROWS($R$157:R171)-1)+1))),INDEX('M03-S04'!$BC$16:$BC$198,2*(ROWS($R$157:R171)-1)+1),""),"")</f>
        <v/>
      </c>
      <c r="X171" s="113"/>
      <c r="Y171" s="113"/>
      <c r="Z171" s="111">
        <f>INDEX('M03-S04'!$B$16:$B$198,2*(ROWS($Z$157:Z171)-1)+1)</f>
        <v>15</v>
      </c>
      <c r="AA171" s="111" t="str">
        <f>INDEX('M03-S04'!$N$16:$N$198,2*(ROWS($Z$157:AA171)-1)+1)</f>
        <v/>
      </c>
      <c r="AB171" s="111">
        <f>INDEX('M03-S04'!$C$16:$C$198,2*(ROWS($Z$157:AB171)-1)+1)</f>
        <v>0</v>
      </c>
      <c r="AC171" s="96"/>
      <c r="AD171">
        <f>INDEX('M03-S04'!$X$16:$X$198,2*(ROWS($AD$157:AD171)-1)+1)</f>
        <v>0</v>
      </c>
      <c r="AE171" s="459"/>
      <c r="AF171" s="459"/>
      <c r="AG171" s="112"/>
      <c r="AH171" s="112"/>
      <c r="AI171" s="112"/>
      <c r="AJ171" s="112"/>
      <c r="AK171" s="113"/>
      <c r="AL171" s="113"/>
      <c r="AM171" s="113"/>
      <c r="AN171" s="113"/>
      <c r="AO171" s="52" t="str">
        <f>IFERROR(INDEX(AHSD[Program Design],MATCH(AB171,AHSD[Type],0)),"")</f>
        <v/>
      </c>
      <c r="AU171"/>
    </row>
    <row r="172" spans="1:47">
      <c r="A172" s="57">
        <f t="shared" si="13"/>
        <v>0</v>
      </c>
      <c r="B172" s="183" t="str">
        <f t="shared" ref="B172" ca="1" si="16">IF(C172="","",CONCATENATE(ROW(),"-",C172))</f>
        <v/>
      </c>
      <c r="C172" s="559" t="str">
        <f ca="1">IFERROR(IF(R172&gt;0,INDEX(PMEBONUS[Measure '#],MATCH(AB172,PMEBONUS[Eff Desc 1],0)),""),"")</f>
        <v/>
      </c>
      <c r="D172" t="s">
        <v>947</v>
      </c>
      <c r="F172" s="112"/>
      <c r="G172" s="186">
        <f>INDEX('M03-S04'!$AB$16:$AB$198,2*(ROWS($G$157:G172)-1)+1)</f>
        <v>0</v>
      </c>
      <c r="H172" s="112"/>
      <c r="I172" s="184">
        <f>IFERROR(ROUND(INDEX('M03-S04'!$AE$16:$AE$198,2*(ROWS($I$157:I172)-1)+1),2),0)</f>
        <v>0</v>
      </c>
      <c r="J172" s="184">
        <f>IFERROR(ROUND(INDEX('M03-S04'!$AG$16:$AG$198,2*(ROWS($J$157:J172)-1)+1),2),0)</f>
        <v>0</v>
      </c>
      <c r="K172" s="52">
        <f>IFERROR(ROUND(INDEX('M03-S04'!$AU$16:$AU$198,2*(ROWS($K$157:K172)-1)+1),2),0)</f>
        <v>0</v>
      </c>
      <c r="M172" s="456">
        <f ca="1">INDEX('M03-S04'!$V$16:$V$198,2*(ROWS($M$157:M172)-1)+1)</f>
        <v>0</v>
      </c>
      <c r="N172" s="184"/>
      <c r="O172" s="456"/>
      <c r="P172" s="113"/>
      <c r="Q172" s="113"/>
      <c r="R172" s="184">
        <f ca="1">IF(ISNUMBER(INDEX('M03-S04'!$AN$16:$AN$198,2*(ROWS($R$157:R172)-1)+1)),INDEX('M03-S04'!$AN$16:$AN$198,2*(ROWS($R$157:R172)-1)+1),0)</f>
        <v>0</v>
      </c>
      <c r="S172" s="459"/>
      <c r="T172" s="113"/>
      <c r="U172" s="140"/>
      <c r="V172" s="113"/>
      <c r="W172" s="96">
        <f ca="1">IFERROR(IF(NOT(ISNUMBER(INDEX('M03-S04'!$AN$16:$AN$198,2*(ROWS($R$157:R172)-1)+1))),INDEX('M03-S04'!$BC$16:$BC$198,2*(ROWS($R$157:R172)-1)+1),""),"")</f>
        <v>0</v>
      </c>
      <c r="X172" s="113"/>
      <c r="Y172" s="113"/>
      <c r="Z172" s="111">
        <f>INDEX('M03-S04'!$B$16:$B$198,2*(ROWS($Z$157:Z172)-1)+1)</f>
        <v>16</v>
      </c>
      <c r="AA172" s="111" t="str">
        <f ca="1">INDEX('M03-S04'!$N$16:$N$198,2*(ROWS($Z$157:AA172)-1)+1)</f>
        <v/>
      </c>
      <c r="AB172" s="111">
        <f ca="1">INDEX('M03-S04'!$C$16:$C$198,2*(ROWS($Z$157:AB172)-1)+1)</f>
        <v>0</v>
      </c>
      <c r="AC172" s="96"/>
      <c r="AD172">
        <f>INDEX('M03-S04'!$X$16:$X$198,2*(ROWS($AD$157:AD172)-1)+1)</f>
        <v>0</v>
      </c>
      <c r="AE172" s="459"/>
      <c r="AF172" s="459"/>
      <c r="AG172" s="112"/>
      <c r="AH172" s="112"/>
      <c r="AI172" s="112"/>
      <c r="AJ172" s="112"/>
      <c r="AK172" s="113"/>
      <c r="AL172" s="113"/>
      <c r="AM172" s="113"/>
      <c r="AN172" s="113"/>
      <c r="AO172" s="111" t="str">
        <f ca="1">IFERROR(INDEX(PMEBONUS[Program Design],MATCH(AB172,PMEBONUS[Eff Desc 1],0)),"")</f>
        <v/>
      </c>
      <c r="AU172"/>
    </row>
    <row r="173" spans="1:47" ht="14.25" customHeight="1">
      <c r="A173" s="146" t="str">
        <f>CONCATENATE(MAIN3," ",M3S5)</f>
        <v>PRESCRIPTIVE MEASURES INPUT Commercial Cooking (Elec/Gas)</v>
      </c>
      <c r="B173" s="148"/>
      <c r="C173" s="148"/>
      <c r="D173" s="120"/>
      <c r="E173" s="120"/>
      <c r="F173" s="124"/>
      <c r="G173" s="120"/>
      <c r="H173" s="120"/>
      <c r="I173" s="125"/>
      <c r="J173" s="125"/>
      <c r="K173" s="125"/>
      <c r="L173" s="125"/>
      <c r="M173" s="457"/>
      <c r="N173" s="125"/>
      <c r="O173" s="457"/>
      <c r="P173" s="125"/>
      <c r="Q173" s="125"/>
      <c r="R173" s="125"/>
      <c r="S173" s="460"/>
      <c r="T173" s="127"/>
      <c r="U173" s="141"/>
      <c r="V173" s="127"/>
      <c r="W173" s="126"/>
      <c r="X173" s="127"/>
      <c r="Y173" s="127"/>
      <c r="Z173" s="124"/>
      <c r="AA173" s="124"/>
      <c r="AB173" s="124"/>
      <c r="AC173" s="126"/>
      <c r="AD173" s="120"/>
      <c r="AE173" s="457"/>
      <c r="AF173" s="457"/>
      <c r="AG173" s="128"/>
      <c r="AH173" s="128"/>
      <c r="AI173" s="128"/>
      <c r="AJ173" s="128"/>
      <c r="AK173" s="127"/>
      <c r="AL173" s="127"/>
      <c r="AM173" s="127"/>
      <c r="AN173" s="127"/>
      <c r="AO173" s="127"/>
      <c r="AU173"/>
    </row>
    <row r="174" spans="1:47">
      <c r="A174" s="57">
        <f t="shared" ref="A174:A280" si="17">PROJID</f>
        <v>0</v>
      </c>
      <c r="B174" s="183" t="str">
        <f t="shared" ref="B174:B207" si="18">IF(C174="","",CONCATENATE(ROW(),"-",C174))</f>
        <v/>
      </c>
      <c r="C174" t="str">
        <f>IFERROR(IF(R174&gt;0,INDEX(PMEKITCHEN[Measure '#],MATCH(AB174,PMEKITCHEN[Eff Desc 1],0)),""),"")</f>
        <v/>
      </c>
      <c r="D174" t="s">
        <v>947</v>
      </c>
      <c r="F174" s="112"/>
      <c r="G174" s="186">
        <f>INDEX('M03-S05'!$AB$16:$AB$198,2*(ROWS($G$174:G174)-1)+1)</f>
        <v>0</v>
      </c>
      <c r="H174" s="186" t="str">
        <f>IF(ISNUMBER(INDEX('M03-S05'!$AN$16:$AN$198,2*(ROWS($R$174:R174)-1)+1)),"Total","")</f>
        <v/>
      </c>
      <c r="I174" s="184">
        <f>IFERROR(ROUND(INDEX('M03-S05'!$V$16:$V$198,2*(ROWS($I$174:I174)-1)+1)*INDEX('M03-S05'!$AE$16:$AE$198,2*(ROWS($I$174:I174)-1)+1),2),0)</f>
        <v>0</v>
      </c>
      <c r="J174" s="184">
        <f>IFERROR(ROUND(INDEX('M03-S05'!$V$16:$V$198,2*(ROWS($J$174:J174)-1)+1)*INDEX('M03-S05'!$AG$16:$AG$198,2*(ROWS($J$174:J174)-1)+1),2),0)</f>
        <v>0</v>
      </c>
      <c r="K174" s="52">
        <f>IFERROR(ROUND(INDEX('M03-S05'!$AU$16:$AU$198,2*(ROWS($K$174:K174)-1)+1),2),0)</f>
        <v>0</v>
      </c>
      <c r="L174" s="52" t="str">
        <f>IFERROR(IF(R174&gt;0,M174*INDEX(PMEKITCHEN[Incremental Cost],MATCH(AB174,PMEKITCHEN[Eff Desc 1],0)),""),"")</f>
        <v/>
      </c>
      <c r="M174" s="456">
        <f>INDEX('M03-S05'!$V$16:$V$198,2*(ROWS($M$174:M174)-1)+1)</f>
        <v>0</v>
      </c>
      <c r="N174" s="184" t="str">
        <f>IF(ISNUMBER(INDEX('M03-S05'!$AN$16:$AN$198,2*(ROWS($R$174:R174)-1)+1)),INDEX('M03-S05'!$AK$16:$AK$198,2*(ROWS($N$174:N174)-1)+1),"")</f>
        <v/>
      </c>
      <c r="O174" s="456" t="str">
        <f>IFERROR(IF(ISNUMBER(INDEX('M03-S05'!$AN$16:$AN$198,2*(ROWS($R$174:R174)-1)+1)),INDEX('M03-S05'!$AV$16:$AV$198,2*(ROWS($O$174:O174)-1)+1),""),"")</f>
        <v/>
      </c>
      <c r="P174" s="113"/>
      <c r="Q174" s="113"/>
      <c r="R174" s="184">
        <f>IF(ISNUMBER(INDEX('M03-S05'!$AN$16:$AN$198,2*(ROWS($R$174:R174)-1)+1)),INDEX('M03-S05'!$AN$16:$AN$198,2*(ROWS($R$174:R174)-1)+1),0)</f>
        <v>0</v>
      </c>
      <c r="S174" s="459"/>
      <c r="T174" s="113"/>
      <c r="U174" s="140"/>
      <c r="V174" s="113"/>
      <c r="W174" s="96" t="str">
        <f>IFERROR(IF(NOT(ISNUMBER(INDEX('M03-S05'!$AN$16:$AN$198,2*(ROWS($R$174:R174)-1)+1))),INDEX('M03-S05'!$BC$16:$BC$198,2*(ROWS($R$174:R174)-1)+1),""),"")</f>
        <v/>
      </c>
      <c r="X174" s="113"/>
      <c r="Y174" s="113"/>
      <c r="Z174" s="111">
        <f>INDEX('M03-S05'!$B$16:$B$198,2*(ROWS($Z$174:Z174)-1)+1)</f>
        <v>1</v>
      </c>
      <c r="AA174" s="111" t="str">
        <f>INDEX('M03-S05'!$N$16:$N$198,2*(ROWS($Z$174:AA174)-1)+1)</f>
        <v/>
      </c>
      <c r="AB174" s="111">
        <f>INDEX('M03-S05'!$C$16:$C$198,2*(ROWS($Z$174:AB174)-1)+1)</f>
        <v>0</v>
      </c>
      <c r="AC174" s="96"/>
      <c r="AD174">
        <f>INDEX('M03-S05'!$X$16:$X$198,2*(ROWS($AD$174:AD174)-1)+1)</f>
        <v>0</v>
      </c>
      <c r="AE174" s="459"/>
      <c r="AF174" s="459"/>
      <c r="AG174" s="112"/>
      <c r="AH174" s="112"/>
      <c r="AI174" s="112"/>
      <c r="AJ174" s="112"/>
      <c r="AK174" s="112"/>
      <c r="AL174" s="112"/>
      <c r="AM174" s="112"/>
      <c r="AN174" s="112"/>
      <c r="AO174" s="111" t="str">
        <f>IFERROR(INDEX(PMEKITCHEN[Program Design],MATCH(AB174,PMEKITCHEN[Eff Desc 1],0)),"")</f>
        <v/>
      </c>
      <c r="AU174"/>
    </row>
    <row r="175" spans="1:47">
      <c r="A175" s="57">
        <f t="shared" si="17"/>
        <v>0</v>
      </c>
      <c r="B175" s="183" t="str">
        <f t="shared" si="18"/>
        <v/>
      </c>
      <c r="C175" t="str">
        <f>IFERROR(IF(R175&gt;0,INDEX(PMEKITCHEN[Measure '#],MATCH(AB175,PMEKITCHEN[Eff Desc 1],0)),""),"")</f>
        <v/>
      </c>
      <c r="D175" t="s">
        <v>947</v>
      </c>
      <c r="F175" s="112"/>
      <c r="G175" s="186">
        <f>INDEX('M03-S05'!$AB$16:$AB$198,2*(ROWS($G$174:G175)-1)+1)</f>
        <v>0</v>
      </c>
      <c r="H175" s="186" t="str">
        <f>IF(ISNUMBER(INDEX('M03-S05'!$AN$16:$AN$198,2*(ROWS($R$174:R175)-1)+1)),"Total","")</f>
        <v/>
      </c>
      <c r="I175" s="184">
        <f>IFERROR(ROUND(INDEX('M03-S05'!$V$16:$V$198,2*(ROWS($I$174:I175)-1)+1)*INDEX('M03-S05'!$AE$16:$AE$198,2*(ROWS($I$174:I175)-1)+1),2),0)</f>
        <v>0</v>
      </c>
      <c r="J175" s="184">
        <f>IFERROR(ROUND(INDEX('M03-S05'!$V$16:$V$198,2*(ROWS($J$174:J175)-1)+1)*INDEX('M03-S05'!$AG$16:$AG$198,2*(ROWS($J$174:J175)-1)+1),2),0)</f>
        <v>0</v>
      </c>
      <c r="K175" s="52">
        <f>IFERROR(ROUND(INDEX('M03-S05'!$AU$16:$AU$198,2*(ROWS($K$174:K175)-1)+1),2),0)</f>
        <v>0</v>
      </c>
      <c r="L175" s="52" t="str">
        <f>IFERROR(IF(R175&gt;0,M175*INDEX(PMEKITCHEN[Incremental Cost],MATCH(AB175,PMEKITCHEN[Eff Desc 1],0)),""),"")</f>
        <v/>
      </c>
      <c r="M175" s="456">
        <f>INDEX('M03-S05'!$V$16:$V$198,2*(ROWS($M$174:M175)-1)+1)</f>
        <v>0</v>
      </c>
      <c r="N175" s="184" t="str">
        <f>IF(ISNUMBER(INDEX('M03-S05'!$AN$16:$AN$198,2*(ROWS($R$174:R175)-1)+1)),INDEX('M03-S05'!$AK$16:$AK$198,2*(ROWS($N$174:N175)-1)+1),"")</f>
        <v/>
      </c>
      <c r="O175" s="456" t="str">
        <f>IFERROR(IF(ISNUMBER(INDEX('M03-S05'!$AN$16:$AN$198,2*(ROWS($R$174:R175)-1)+1)),INDEX('M03-S05'!$AV$16:$AV$198,2*(ROWS($O$174:O175)-1)+1),""),"")</f>
        <v/>
      </c>
      <c r="P175" s="113"/>
      <c r="Q175" s="113"/>
      <c r="R175" s="184">
        <f>IF(ISNUMBER(INDEX('M03-S05'!$AN$16:$AN$198,2*(ROWS($R$174:R175)-1)+1)),INDEX('M03-S05'!$AN$16:$AN$198,2*(ROWS($R$174:R175)-1)+1),0)</f>
        <v>0</v>
      </c>
      <c r="S175" s="459"/>
      <c r="T175" s="113"/>
      <c r="U175" s="140"/>
      <c r="V175" s="113"/>
      <c r="W175" s="96" t="str">
        <f>IFERROR(IF(NOT(ISNUMBER(INDEX('M03-S05'!$AN$16:$AN$198,2*(ROWS($R$174:R175)-1)+1))),INDEX('M03-S05'!$BC$16:$BC$198,2*(ROWS($R$174:R175)-1)+1),""),"")</f>
        <v/>
      </c>
      <c r="X175" s="113"/>
      <c r="Y175" s="113"/>
      <c r="Z175" s="111">
        <f>INDEX('M03-S05'!$B$16:$B$198,2*(ROWS($Z$174:Z175)-1)+1)</f>
        <v>2</v>
      </c>
      <c r="AA175" s="111" t="str">
        <f>INDEX('M03-S05'!$N$16:$N$198,2*(ROWS($Z$174:AA175)-1)+1)</f>
        <v/>
      </c>
      <c r="AB175" s="111">
        <f>INDEX('M03-S05'!$C$16:$C$198,2*(ROWS($Z$174:AB175)-1)+1)</f>
        <v>0</v>
      </c>
      <c r="AC175" s="96"/>
      <c r="AD175">
        <f>INDEX('M03-S05'!$X$16:$X$198,2*(ROWS($AD$174:AD175)-1)+1)</f>
        <v>0</v>
      </c>
      <c r="AE175" s="459"/>
      <c r="AF175" s="459"/>
      <c r="AG175" s="112"/>
      <c r="AH175" s="112"/>
      <c r="AI175" s="112"/>
      <c r="AJ175" s="112"/>
      <c r="AK175" s="112"/>
      <c r="AL175" s="112"/>
      <c r="AM175" s="112"/>
      <c r="AN175" s="112"/>
      <c r="AO175" s="111" t="str">
        <f>IFERROR(INDEX(PMEKITCHEN[Program Design],MATCH(AB175,PMEKITCHEN[Eff Desc 1],0)),"")</f>
        <v/>
      </c>
      <c r="AU175"/>
    </row>
    <row r="176" spans="1:47">
      <c r="A176" s="57">
        <f t="shared" si="17"/>
        <v>0</v>
      </c>
      <c r="B176" s="183" t="str">
        <f t="shared" si="18"/>
        <v/>
      </c>
      <c r="C176" t="str">
        <f>IFERROR(IF(R176&gt;0,INDEX(PMEKITCHEN[Measure '#],MATCH(AB176,PMEKITCHEN[Eff Desc 1],0)),""),"")</f>
        <v/>
      </c>
      <c r="D176" t="s">
        <v>947</v>
      </c>
      <c r="F176" s="112"/>
      <c r="G176" s="186">
        <f>INDEX('M03-S05'!$AB$16:$AB$198,2*(ROWS($G$174:G176)-1)+1)</f>
        <v>0</v>
      </c>
      <c r="H176" s="186" t="str">
        <f>IF(ISNUMBER(INDEX('M03-S05'!$AN$16:$AN$198,2*(ROWS($R$174:R176)-1)+1)),"Total","")</f>
        <v/>
      </c>
      <c r="I176" s="184">
        <f>IFERROR(ROUND(INDEX('M03-S05'!$V$16:$V$198,2*(ROWS($I$174:I176)-1)+1)*INDEX('M03-S05'!$AE$16:$AE$198,2*(ROWS($I$174:I176)-1)+1),2),0)</f>
        <v>0</v>
      </c>
      <c r="J176" s="184">
        <f>IFERROR(ROUND(INDEX('M03-S05'!$V$16:$V$198,2*(ROWS($J$174:J176)-1)+1)*INDEX('M03-S05'!$AG$16:$AG$198,2*(ROWS($J$174:J176)-1)+1),2),0)</f>
        <v>0</v>
      </c>
      <c r="K176" s="52">
        <f>IFERROR(ROUND(INDEX('M03-S05'!$AU$16:$AU$198,2*(ROWS($K$174:K176)-1)+1),2),0)</f>
        <v>0</v>
      </c>
      <c r="L176" s="52" t="str">
        <f>IFERROR(IF(R176&gt;0,M176*INDEX(PMEKITCHEN[Incremental Cost],MATCH(AB176,PMEKITCHEN[Eff Desc 1],0)),""),"")</f>
        <v/>
      </c>
      <c r="M176" s="456">
        <f>INDEX('M03-S05'!$V$16:$V$198,2*(ROWS($M$174:M176)-1)+1)</f>
        <v>0</v>
      </c>
      <c r="N176" s="184" t="str">
        <f>IF(ISNUMBER(INDEX('M03-S05'!$AN$16:$AN$198,2*(ROWS($R$174:R176)-1)+1)),INDEX('M03-S05'!$AK$16:$AK$198,2*(ROWS($N$174:N176)-1)+1),"")</f>
        <v/>
      </c>
      <c r="O176" s="456" t="str">
        <f>IFERROR(IF(ISNUMBER(INDEX('M03-S05'!$AN$16:$AN$198,2*(ROWS($R$174:R176)-1)+1)),INDEX('M03-S05'!$AV$16:$AV$198,2*(ROWS($O$174:O176)-1)+1),""),"")</f>
        <v/>
      </c>
      <c r="P176" s="113"/>
      <c r="Q176" s="113"/>
      <c r="R176" s="184">
        <f>IF(ISNUMBER(INDEX('M03-S05'!$AN$16:$AN$198,2*(ROWS($R$174:R176)-1)+1)),INDEX('M03-S05'!$AN$16:$AN$198,2*(ROWS($R$174:R176)-1)+1),0)</f>
        <v>0</v>
      </c>
      <c r="S176" s="459"/>
      <c r="T176" s="113"/>
      <c r="U176" s="140"/>
      <c r="V176" s="113"/>
      <c r="W176" s="96" t="str">
        <f>IFERROR(IF(NOT(ISNUMBER(INDEX('M03-S05'!$AN$16:$AN$198,2*(ROWS($R$174:R176)-1)+1))),INDEX('M03-S05'!$BC$16:$BC$198,2*(ROWS($R$174:R176)-1)+1),""),"")</f>
        <v/>
      </c>
      <c r="X176" s="113"/>
      <c r="Y176" s="113"/>
      <c r="Z176" s="111">
        <f>INDEX('M03-S05'!$B$16:$B$198,2*(ROWS($Z$174:Z176)-1)+1)</f>
        <v>3</v>
      </c>
      <c r="AA176" s="111" t="str">
        <f>INDEX('M03-S05'!$N$16:$N$198,2*(ROWS($Z$174:AA176)-1)+1)</f>
        <v/>
      </c>
      <c r="AB176" s="111">
        <f>INDEX('M03-S05'!$C$16:$C$198,2*(ROWS($Z$174:AB176)-1)+1)</f>
        <v>0</v>
      </c>
      <c r="AC176" s="96"/>
      <c r="AD176">
        <f>INDEX('M03-S05'!$X$16:$X$198,2*(ROWS($AD$174:AD176)-1)+1)</f>
        <v>0</v>
      </c>
      <c r="AE176" s="459"/>
      <c r="AF176" s="459"/>
      <c r="AG176" s="112"/>
      <c r="AH176" s="112"/>
      <c r="AI176" s="112"/>
      <c r="AJ176" s="112"/>
      <c r="AK176" s="112"/>
      <c r="AL176" s="112"/>
      <c r="AM176" s="112"/>
      <c r="AN176" s="112"/>
      <c r="AO176" s="111" t="str">
        <f>IFERROR(INDEX(PMEKITCHEN[Program Design],MATCH(AB176,PMEKITCHEN[Eff Desc 1],0)),"")</f>
        <v/>
      </c>
      <c r="AU176"/>
    </row>
    <row r="177" spans="1:47">
      <c r="A177" s="57">
        <f t="shared" si="17"/>
        <v>0</v>
      </c>
      <c r="B177" s="183" t="str">
        <f t="shared" si="18"/>
        <v/>
      </c>
      <c r="C177" t="str">
        <f>IFERROR(IF(R177&gt;0,INDEX(PMEKITCHEN[Measure '#],MATCH(AB177,PMEKITCHEN[Eff Desc 1],0)),""),"")</f>
        <v/>
      </c>
      <c r="D177" t="s">
        <v>947</v>
      </c>
      <c r="F177" s="112"/>
      <c r="G177" s="186">
        <f>INDEX('M03-S05'!$AB$16:$AB$198,2*(ROWS($G$174:G177)-1)+1)</f>
        <v>0</v>
      </c>
      <c r="H177" s="186" t="str">
        <f>IF(ISNUMBER(INDEX('M03-S05'!$AN$16:$AN$198,2*(ROWS($R$174:R177)-1)+1)),"Total","")</f>
        <v/>
      </c>
      <c r="I177" s="184">
        <f>IFERROR(ROUND(INDEX('M03-S05'!$V$16:$V$198,2*(ROWS($I$174:I177)-1)+1)*INDEX('M03-S05'!$AE$16:$AE$198,2*(ROWS($I$174:I177)-1)+1),2),0)</f>
        <v>0</v>
      </c>
      <c r="J177" s="184">
        <f>IFERROR(ROUND(INDEX('M03-S05'!$V$16:$V$198,2*(ROWS($J$174:J177)-1)+1)*INDEX('M03-S05'!$AG$16:$AG$198,2*(ROWS($J$174:J177)-1)+1),2),0)</f>
        <v>0</v>
      </c>
      <c r="K177" s="52">
        <f>IFERROR(ROUND(INDEX('M03-S05'!$AU$16:$AU$198,2*(ROWS($K$174:K177)-1)+1),2),0)</f>
        <v>0</v>
      </c>
      <c r="L177" s="52" t="str">
        <f>IFERROR(IF(R177&gt;0,M177*INDEX(PMEKITCHEN[Incremental Cost],MATCH(AB177,PMEKITCHEN[Eff Desc 1],0)),""),"")</f>
        <v/>
      </c>
      <c r="M177" s="456">
        <f>INDEX('M03-S05'!$V$16:$V$198,2*(ROWS($M$174:M177)-1)+1)</f>
        <v>0</v>
      </c>
      <c r="N177" s="184" t="str">
        <f>IF(ISNUMBER(INDEX('M03-S05'!$AN$16:$AN$198,2*(ROWS($R$174:R177)-1)+1)),INDEX('M03-S05'!$AK$16:$AK$198,2*(ROWS($N$174:N177)-1)+1),"")</f>
        <v/>
      </c>
      <c r="O177" s="456" t="str">
        <f>IFERROR(IF(ISNUMBER(INDEX('M03-S05'!$AN$16:$AN$198,2*(ROWS($R$174:R177)-1)+1)),INDEX('M03-S05'!$AV$16:$AV$198,2*(ROWS($O$174:O177)-1)+1),""),"")</f>
        <v/>
      </c>
      <c r="P177" s="113"/>
      <c r="Q177" s="113"/>
      <c r="R177" s="184">
        <f>IF(ISNUMBER(INDEX('M03-S05'!$AN$16:$AN$198,2*(ROWS($R$174:R177)-1)+1)),INDEX('M03-S05'!$AN$16:$AN$198,2*(ROWS($R$174:R177)-1)+1),0)</f>
        <v>0</v>
      </c>
      <c r="S177" s="459"/>
      <c r="T177" s="113"/>
      <c r="U177" s="140"/>
      <c r="V177" s="113"/>
      <c r="W177" s="96" t="str">
        <f>IFERROR(IF(NOT(ISNUMBER(INDEX('M03-S05'!$AN$16:$AN$198,2*(ROWS($R$174:R177)-1)+1))),INDEX('M03-S05'!$BC$16:$BC$198,2*(ROWS($R$174:R177)-1)+1),""),"")</f>
        <v/>
      </c>
      <c r="X177" s="113"/>
      <c r="Y177" s="113"/>
      <c r="Z177" s="111">
        <f>INDEX('M03-S05'!$B$16:$B$198,2*(ROWS($Z$174:Z177)-1)+1)</f>
        <v>4</v>
      </c>
      <c r="AA177" s="111" t="str">
        <f>INDEX('M03-S05'!$N$16:$N$198,2*(ROWS($Z$174:AA177)-1)+1)</f>
        <v/>
      </c>
      <c r="AB177" s="111">
        <f>INDEX('M03-S05'!$C$16:$C$198,2*(ROWS($Z$174:AB177)-1)+1)</f>
        <v>0</v>
      </c>
      <c r="AC177" s="96"/>
      <c r="AD177">
        <f>INDEX('M03-S05'!$X$16:$X$198,2*(ROWS($AD$174:AD177)-1)+1)</f>
        <v>0</v>
      </c>
      <c r="AE177" s="459"/>
      <c r="AF177" s="459"/>
      <c r="AG177" s="112"/>
      <c r="AH177" s="112"/>
      <c r="AI177" s="112"/>
      <c r="AJ177" s="112"/>
      <c r="AK177" s="112"/>
      <c r="AL177" s="112"/>
      <c r="AM177" s="112"/>
      <c r="AN177" s="112"/>
      <c r="AO177" s="111" t="str">
        <f>IFERROR(INDEX(PMEKITCHEN[Program Design],MATCH(AB177,PMEKITCHEN[Eff Desc 1],0)),"")</f>
        <v/>
      </c>
      <c r="AU177"/>
    </row>
    <row r="178" spans="1:47">
      <c r="A178" s="57">
        <f t="shared" si="17"/>
        <v>0</v>
      </c>
      <c r="B178" s="183" t="str">
        <f t="shared" si="18"/>
        <v/>
      </c>
      <c r="C178" t="str">
        <f>IFERROR(IF(R178&gt;0,INDEX(PMEKITCHEN[Measure '#],MATCH(AB178,PMEKITCHEN[Eff Desc 1],0)),""),"")</f>
        <v/>
      </c>
      <c r="D178" t="s">
        <v>947</v>
      </c>
      <c r="F178" s="112"/>
      <c r="G178" s="186">
        <f>INDEX('M03-S05'!$AB$16:$AB$198,2*(ROWS($G$174:G178)-1)+1)</f>
        <v>0</v>
      </c>
      <c r="H178" s="186" t="str">
        <f>IF(ISNUMBER(INDEX('M03-S05'!$AN$16:$AN$198,2*(ROWS($R$174:R178)-1)+1)),"Total","")</f>
        <v/>
      </c>
      <c r="I178" s="184">
        <f>IFERROR(ROUND(INDEX('M03-S05'!$V$16:$V$198,2*(ROWS($I$174:I178)-1)+1)*INDEX('M03-S05'!$AE$16:$AE$198,2*(ROWS($I$174:I178)-1)+1),2),0)</f>
        <v>0</v>
      </c>
      <c r="J178" s="184">
        <f>IFERROR(ROUND(INDEX('M03-S05'!$V$16:$V$198,2*(ROWS($J$174:J178)-1)+1)*INDEX('M03-S05'!$AG$16:$AG$198,2*(ROWS($J$174:J178)-1)+1),2),0)</f>
        <v>0</v>
      </c>
      <c r="K178" s="52">
        <f>IFERROR(ROUND(INDEX('M03-S05'!$AU$16:$AU$198,2*(ROWS($K$174:K178)-1)+1),2),0)</f>
        <v>0</v>
      </c>
      <c r="L178" s="52" t="str">
        <f>IFERROR(IF(R178&gt;0,M178*INDEX(PMEKITCHEN[Incremental Cost],MATCH(AB178,PMEKITCHEN[Eff Desc 1],0)),""),"")</f>
        <v/>
      </c>
      <c r="M178" s="456">
        <f>INDEX('M03-S05'!$V$16:$V$198,2*(ROWS($M$174:M178)-1)+1)</f>
        <v>0</v>
      </c>
      <c r="N178" s="184" t="str">
        <f>IF(ISNUMBER(INDEX('M03-S05'!$AN$16:$AN$198,2*(ROWS($R$174:R178)-1)+1)),INDEX('M03-S05'!$AK$16:$AK$198,2*(ROWS($N$174:N178)-1)+1),"")</f>
        <v/>
      </c>
      <c r="O178" s="456" t="str">
        <f>IFERROR(IF(ISNUMBER(INDEX('M03-S05'!$AN$16:$AN$198,2*(ROWS($R$174:R178)-1)+1)),INDEX('M03-S05'!$AV$16:$AV$198,2*(ROWS($O$174:O178)-1)+1),""),"")</f>
        <v/>
      </c>
      <c r="P178" s="113"/>
      <c r="Q178" s="113"/>
      <c r="R178" s="184">
        <f>IF(ISNUMBER(INDEX('M03-S05'!$AN$16:$AN$198,2*(ROWS($R$174:R178)-1)+1)),INDEX('M03-S05'!$AN$16:$AN$198,2*(ROWS($R$174:R178)-1)+1),0)</f>
        <v>0</v>
      </c>
      <c r="S178" s="459"/>
      <c r="T178" s="113"/>
      <c r="U178" s="140"/>
      <c r="V178" s="113"/>
      <c r="W178" s="96" t="str">
        <f>IFERROR(IF(NOT(ISNUMBER(INDEX('M03-S05'!$AN$16:$AN$198,2*(ROWS($R$174:R178)-1)+1))),INDEX('M03-S05'!$BC$16:$BC$198,2*(ROWS($R$174:R178)-1)+1),""),"")</f>
        <v/>
      </c>
      <c r="X178" s="113"/>
      <c r="Y178" s="113"/>
      <c r="Z178" s="111">
        <f>INDEX('M03-S05'!$B$16:$B$198,2*(ROWS($Z$174:Z178)-1)+1)</f>
        <v>5</v>
      </c>
      <c r="AA178" s="111" t="str">
        <f>INDEX('M03-S05'!$N$16:$N$198,2*(ROWS($Z$174:AA178)-1)+1)</f>
        <v/>
      </c>
      <c r="AB178" s="111">
        <f>INDEX('M03-S05'!$C$16:$C$198,2*(ROWS($Z$174:AB178)-1)+1)</f>
        <v>0</v>
      </c>
      <c r="AC178" s="96"/>
      <c r="AD178">
        <f>INDEX('M03-S05'!$X$16:$X$198,2*(ROWS($AD$174:AD178)-1)+1)</f>
        <v>0</v>
      </c>
      <c r="AE178" s="459"/>
      <c r="AF178" s="459"/>
      <c r="AG178" s="112"/>
      <c r="AH178" s="112"/>
      <c r="AI178" s="112"/>
      <c r="AJ178" s="112"/>
      <c r="AK178" s="112"/>
      <c r="AL178" s="112"/>
      <c r="AM178" s="112"/>
      <c r="AN178" s="112"/>
      <c r="AO178" s="111" t="str">
        <f>IFERROR(INDEX(PMEKITCHEN[Program Design],MATCH(AB178,PMEKITCHEN[Eff Desc 1],0)),"")</f>
        <v/>
      </c>
      <c r="AU178"/>
    </row>
    <row r="179" spans="1:47">
      <c r="A179" s="57">
        <f t="shared" si="17"/>
        <v>0</v>
      </c>
      <c r="B179" s="183" t="str">
        <f t="shared" si="18"/>
        <v/>
      </c>
      <c r="C179" t="str">
        <f>IFERROR(IF(R179&gt;0,INDEX(PMEKITCHEN[Measure '#],MATCH(AB179,PMEKITCHEN[Eff Desc 1],0)),""),"")</f>
        <v/>
      </c>
      <c r="D179" t="s">
        <v>947</v>
      </c>
      <c r="F179" s="112"/>
      <c r="G179" s="186">
        <f>INDEX('M03-S05'!$AB$16:$AB$198,2*(ROWS($G$174:G179)-1)+1)</f>
        <v>0</v>
      </c>
      <c r="H179" s="186" t="str">
        <f>IF(ISNUMBER(INDEX('M03-S05'!$AN$16:$AN$198,2*(ROWS($R$174:R179)-1)+1)),"Total","")</f>
        <v/>
      </c>
      <c r="I179" s="184">
        <f>IFERROR(ROUND(INDEX('M03-S05'!$V$16:$V$198,2*(ROWS($I$174:I179)-1)+1)*INDEX('M03-S05'!$AE$16:$AE$198,2*(ROWS($I$174:I179)-1)+1),2),0)</f>
        <v>0</v>
      </c>
      <c r="J179" s="184">
        <f>IFERROR(ROUND(INDEX('M03-S05'!$V$16:$V$198,2*(ROWS($J$174:J179)-1)+1)*INDEX('M03-S05'!$AG$16:$AG$198,2*(ROWS($J$174:J179)-1)+1),2),0)</f>
        <v>0</v>
      </c>
      <c r="K179" s="52">
        <f>IFERROR(ROUND(INDEX('M03-S05'!$AU$16:$AU$198,2*(ROWS($K$174:K179)-1)+1),2),0)</f>
        <v>0</v>
      </c>
      <c r="L179" s="52" t="str">
        <f>IFERROR(IF(R179&gt;0,M179*INDEX(PMEKITCHEN[Incremental Cost],MATCH(AB179,PMEKITCHEN[Eff Desc 1],0)),""),"")</f>
        <v/>
      </c>
      <c r="M179" s="456">
        <f>INDEX('M03-S05'!$V$16:$V$198,2*(ROWS($M$174:M179)-1)+1)</f>
        <v>0</v>
      </c>
      <c r="N179" s="184" t="str">
        <f>IF(ISNUMBER(INDEX('M03-S05'!$AN$16:$AN$198,2*(ROWS($R$174:R179)-1)+1)),INDEX('M03-S05'!$AK$16:$AK$198,2*(ROWS($N$174:N179)-1)+1),"")</f>
        <v/>
      </c>
      <c r="O179" s="456" t="str">
        <f>IFERROR(IF(ISNUMBER(INDEX('M03-S05'!$AN$16:$AN$198,2*(ROWS($R$174:R179)-1)+1)),INDEX('M03-S05'!$AV$16:$AV$198,2*(ROWS($O$174:O179)-1)+1),""),"")</f>
        <v/>
      </c>
      <c r="P179" s="113"/>
      <c r="Q179" s="113"/>
      <c r="R179" s="184">
        <f>IF(ISNUMBER(INDEX('M03-S05'!$AN$16:$AN$198,2*(ROWS($R$174:R179)-1)+1)),INDEX('M03-S05'!$AN$16:$AN$198,2*(ROWS($R$174:R179)-1)+1),0)</f>
        <v>0</v>
      </c>
      <c r="S179" s="459"/>
      <c r="T179" s="113"/>
      <c r="U179" s="140"/>
      <c r="V179" s="113"/>
      <c r="W179" s="96" t="str">
        <f>IFERROR(IF(NOT(ISNUMBER(INDEX('M03-S05'!$AN$16:$AN$198,2*(ROWS($R$174:R179)-1)+1))),INDEX('M03-S05'!$BC$16:$BC$198,2*(ROWS($R$174:R179)-1)+1),""),"")</f>
        <v/>
      </c>
      <c r="X179" s="113"/>
      <c r="Y179" s="113"/>
      <c r="Z179" s="111">
        <f>INDEX('M03-S05'!$B$16:$B$198,2*(ROWS($Z$174:Z179)-1)+1)</f>
        <v>6</v>
      </c>
      <c r="AA179" s="111" t="str">
        <f>INDEX('M03-S05'!$N$16:$N$198,2*(ROWS($Z$174:AA179)-1)+1)</f>
        <v/>
      </c>
      <c r="AB179" s="111">
        <f>INDEX('M03-S05'!$C$16:$C$198,2*(ROWS($Z$174:AB179)-1)+1)</f>
        <v>0</v>
      </c>
      <c r="AC179" s="96"/>
      <c r="AD179">
        <f>INDEX('M03-S05'!$X$16:$X$198,2*(ROWS($AD$174:AD179)-1)+1)</f>
        <v>0</v>
      </c>
      <c r="AE179" s="459"/>
      <c r="AF179" s="459"/>
      <c r="AG179" s="112"/>
      <c r="AH179" s="112"/>
      <c r="AI179" s="112"/>
      <c r="AJ179" s="112"/>
      <c r="AK179" s="112"/>
      <c r="AL179" s="112"/>
      <c r="AM179" s="112"/>
      <c r="AN179" s="112"/>
      <c r="AO179" s="111" t="str">
        <f>IFERROR(INDEX(PMEKITCHEN[Program Design],MATCH(AB179,PMEKITCHEN[Eff Desc 1],0)),"")</f>
        <v/>
      </c>
      <c r="AU179"/>
    </row>
    <row r="180" spans="1:47">
      <c r="A180" s="57">
        <f t="shared" si="17"/>
        <v>0</v>
      </c>
      <c r="B180" s="183" t="str">
        <f t="shared" si="18"/>
        <v/>
      </c>
      <c r="C180" t="str">
        <f>IFERROR(IF(R180&gt;0,INDEX(PMEKITCHEN[Measure '#],MATCH(AB180,PMEKITCHEN[Eff Desc 1],0)),""),"")</f>
        <v/>
      </c>
      <c r="D180" t="s">
        <v>947</v>
      </c>
      <c r="F180" s="112"/>
      <c r="G180" s="186">
        <f>INDEX('M03-S05'!$AB$16:$AB$198,2*(ROWS($G$174:G180)-1)+1)</f>
        <v>0</v>
      </c>
      <c r="H180" s="186" t="str">
        <f>IF(ISNUMBER(INDEX('M03-S05'!$AN$16:$AN$198,2*(ROWS($R$174:R180)-1)+1)),"Total","")</f>
        <v/>
      </c>
      <c r="I180" s="184">
        <f>IFERROR(ROUND(INDEX('M03-S05'!$V$16:$V$198,2*(ROWS($I$174:I180)-1)+1)*INDEX('M03-S05'!$AE$16:$AE$198,2*(ROWS($I$174:I180)-1)+1),2),0)</f>
        <v>0</v>
      </c>
      <c r="J180" s="184">
        <f>IFERROR(ROUND(INDEX('M03-S05'!$V$16:$V$198,2*(ROWS($J$174:J180)-1)+1)*INDEX('M03-S05'!$AG$16:$AG$198,2*(ROWS($J$174:J180)-1)+1),2),0)</f>
        <v>0</v>
      </c>
      <c r="K180" s="52">
        <f>IFERROR(ROUND(INDEX('M03-S05'!$AU$16:$AU$198,2*(ROWS($K$174:K180)-1)+1),2),0)</f>
        <v>0</v>
      </c>
      <c r="L180" s="52" t="str">
        <f>IFERROR(IF(R180&gt;0,M180*INDEX(PMEKITCHEN[Incremental Cost],MATCH(AB180,PMEKITCHEN[Eff Desc 1],0)),""),"")</f>
        <v/>
      </c>
      <c r="M180" s="456">
        <f>INDEX('M03-S05'!$V$16:$V$198,2*(ROWS($M$174:M180)-1)+1)</f>
        <v>0</v>
      </c>
      <c r="N180" s="184" t="str">
        <f>IF(ISNUMBER(INDEX('M03-S05'!$AN$16:$AN$198,2*(ROWS($R$174:R180)-1)+1)),INDEX('M03-S05'!$AK$16:$AK$198,2*(ROWS($N$174:N180)-1)+1),"")</f>
        <v/>
      </c>
      <c r="O180" s="456" t="str">
        <f>IFERROR(IF(ISNUMBER(INDEX('M03-S05'!$AN$16:$AN$198,2*(ROWS($R$174:R180)-1)+1)),INDEX('M03-S05'!$AV$16:$AV$198,2*(ROWS($O$174:O180)-1)+1),""),"")</f>
        <v/>
      </c>
      <c r="P180" s="113"/>
      <c r="Q180" s="113"/>
      <c r="R180" s="184">
        <f>IF(ISNUMBER(INDEX('M03-S05'!$AN$16:$AN$198,2*(ROWS($R$174:R180)-1)+1)),INDEX('M03-S05'!$AN$16:$AN$198,2*(ROWS($R$174:R180)-1)+1),0)</f>
        <v>0</v>
      </c>
      <c r="S180" s="459"/>
      <c r="T180" s="113"/>
      <c r="U180" s="140"/>
      <c r="V180" s="113"/>
      <c r="W180" s="96" t="str">
        <f>IFERROR(IF(NOT(ISNUMBER(INDEX('M03-S05'!$AN$16:$AN$198,2*(ROWS($R$174:R180)-1)+1))),INDEX('M03-S05'!$BC$16:$BC$198,2*(ROWS($R$174:R180)-1)+1),""),"")</f>
        <v/>
      </c>
      <c r="X180" s="113"/>
      <c r="Y180" s="113"/>
      <c r="Z180" s="111">
        <f>INDEX('M03-S05'!$B$16:$B$198,2*(ROWS($Z$174:Z180)-1)+1)</f>
        <v>7</v>
      </c>
      <c r="AA180" s="111" t="str">
        <f>INDEX('M03-S05'!$N$16:$N$198,2*(ROWS($Z$174:AA180)-1)+1)</f>
        <v/>
      </c>
      <c r="AB180" s="111">
        <f>INDEX('M03-S05'!$C$16:$C$198,2*(ROWS($Z$174:AB180)-1)+1)</f>
        <v>0</v>
      </c>
      <c r="AC180" s="96"/>
      <c r="AD180">
        <f>INDEX('M03-S05'!$X$16:$X$198,2*(ROWS($AD$174:AD180)-1)+1)</f>
        <v>0</v>
      </c>
      <c r="AE180" s="459"/>
      <c r="AF180" s="459"/>
      <c r="AG180" s="112"/>
      <c r="AH180" s="112"/>
      <c r="AI180" s="112"/>
      <c r="AJ180" s="112"/>
      <c r="AK180" s="112"/>
      <c r="AL180" s="112"/>
      <c r="AM180" s="112"/>
      <c r="AN180" s="112"/>
      <c r="AO180" s="111" t="str">
        <f>IFERROR(INDEX(PMEKITCHEN[Program Design],MATCH(AB180,PMEKITCHEN[Eff Desc 1],0)),"")</f>
        <v/>
      </c>
      <c r="AU180"/>
    </row>
    <row r="181" spans="1:47">
      <c r="A181" s="57">
        <f t="shared" si="17"/>
        <v>0</v>
      </c>
      <c r="B181" s="183" t="str">
        <f t="shared" si="18"/>
        <v/>
      </c>
      <c r="C181" t="str">
        <f>IFERROR(IF(R181&gt;0,INDEX(PMEKITCHEN[Measure '#],MATCH(AB181,PMEKITCHEN[Eff Desc 1],0)),""),"")</f>
        <v/>
      </c>
      <c r="D181" t="s">
        <v>947</v>
      </c>
      <c r="F181" s="112"/>
      <c r="G181" s="186">
        <f>INDEX('M03-S05'!$AB$16:$AB$198,2*(ROWS($G$174:G181)-1)+1)</f>
        <v>0</v>
      </c>
      <c r="H181" s="186" t="str">
        <f>IF(ISNUMBER(INDEX('M03-S05'!$AN$16:$AN$198,2*(ROWS($R$174:R181)-1)+1)),"Total","")</f>
        <v/>
      </c>
      <c r="I181" s="184">
        <f>IFERROR(ROUND(INDEX('M03-S05'!$V$16:$V$198,2*(ROWS($I$174:I181)-1)+1)*INDEX('M03-S05'!$AE$16:$AE$198,2*(ROWS($I$174:I181)-1)+1),2),0)</f>
        <v>0</v>
      </c>
      <c r="J181" s="184">
        <f>IFERROR(ROUND(INDEX('M03-S05'!$V$16:$V$198,2*(ROWS($J$174:J181)-1)+1)*INDEX('M03-S05'!$AG$16:$AG$198,2*(ROWS($J$174:J181)-1)+1),2),0)</f>
        <v>0</v>
      </c>
      <c r="K181" s="52">
        <f>IFERROR(ROUND(INDEX('M03-S05'!$AU$16:$AU$198,2*(ROWS($K$174:K181)-1)+1),2),0)</f>
        <v>0</v>
      </c>
      <c r="L181" s="52" t="str">
        <f>IFERROR(IF(R181&gt;0,M181*INDEX(PMEKITCHEN[Incremental Cost],MATCH(AB181,PMEKITCHEN[Eff Desc 1],0)),""),"")</f>
        <v/>
      </c>
      <c r="M181" s="456">
        <f>INDEX('M03-S05'!$V$16:$V$198,2*(ROWS($M$174:M181)-1)+1)</f>
        <v>0</v>
      </c>
      <c r="N181" s="184" t="str">
        <f>IF(ISNUMBER(INDEX('M03-S05'!$AN$16:$AN$198,2*(ROWS($R$174:R181)-1)+1)),INDEX('M03-S05'!$AK$16:$AK$198,2*(ROWS($N$174:N181)-1)+1),"")</f>
        <v/>
      </c>
      <c r="O181" s="456" t="str">
        <f>IFERROR(IF(ISNUMBER(INDEX('M03-S05'!$AN$16:$AN$198,2*(ROWS($R$174:R181)-1)+1)),INDEX('M03-S05'!$AV$16:$AV$198,2*(ROWS($O$174:O181)-1)+1),""),"")</f>
        <v/>
      </c>
      <c r="P181" s="113"/>
      <c r="Q181" s="113"/>
      <c r="R181" s="184">
        <f>IF(ISNUMBER(INDEX('M03-S05'!$AN$16:$AN$198,2*(ROWS($R$174:R181)-1)+1)),INDEX('M03-S05'!$AN$16:$AN$198,2*(ROWS($R$174:R181)-1)+1),0)</f>
        <v>0</v>
      </c>
      <c r="S181" s="459"/>
      <c r="T181" s="113"/>
      <c r="U181" s="140"/>
      <c r="V181" s="113"/>
      <c r="W181" s="96" t="str">
        <f>IFERROR(IF(NOT(ISNUMBER(INDEX('M03-S05'!$AN$16:$AN$198,2*(ROWS($R$174:R181)-1)+1))),INDEX('M03-S05'!$BC$16:$BC$198,2*(ROWS($R$174:R181)-1)+1),""),"")</f>
        <v/>
      </c>
      <c r="X181" s="113"/>
      <c r="Y181" s="113"/>
      <c r="Z181" s="111">
        <f>INDEX('M03-S05'!$B$16:$B$198,2*(ROWS($Z$174:Z181)-1)+1)</f>
        <v>8</v>
      </c>
      <c r="AA181" s="111" t="str">
        <f>INDEX('M03-S05'!$N$16:$N$198,2*(ROWS($Z$174:AA181)-1)+1)</f>
        <v/>
      </c>
      <c r="AB181" s="111">
        <f>INDEX('M03-S05'!$C$16:$C$198,2*(ROWS($Z$174:AB181)-1)+1)</f>
        <v>0</v>
      </c>
      <c r="AC181" s="96"/>
      <c r="AD181">
        <f>INDEX('M03-S05'!$X$16:$X$198,2*(ROWS($AD$174:AD181)-1)+1)</f>
        <v>0</v>
      </c>
      <c r="AE181" s="459"/>
      <c r="AF181" s="459"/>
      <c r="AG181" s="112"/>
      <c r="AH181" s="112"/>
      <c r="AI181" s="112"/>
      <c r="AJ181" s="112"/>
      <c r="AK181" s="112"/>
      <c r="AL181" s="112"/>
      <c r="AM181" s="112"/>
      <c r="AN181" s="112"/>
      <c r="AO181" s="111" t="str">
        <f>IFERROR(INDEX(PMEKITCHEN[Program Design],MATCH(AB181,PMEKITCHEN[Eff Desc 1],0)),"")</f>
        <v/>
      </c>
      <c r="AU181"/>
    </row>
    <row r="182" spans="1:47">
      <c r="A182" s="57">
        <f t="shared" si="17"/>
        <v>0</v>
      </c>
      <c r="B182" s="183" t="str">
        <f t="shared" si="18"/>
        <v/>
      </c>
      <c r="C182" t="str">
        <f>IFERROR(IF(R182&gt;0,INDEX(PMEKITCHEN[Measure '#],MATCH(AB182,PMEKITCHEN[Eff Desc 1],0)),""),"")</f>
        <v/>
      </c>
      <c r="D182" t="s">
        <v>947</v>
      </c>
      <c r="F182" s="112"/>
      <c r="G182" s="186">
        <f>INDEX('M03-S05'!$AB$16:$AB$198,2*(ROWS($G$174:G182)-1)+1)</f>
        <v>0</v>
      </c>
      <c r="H182" s="186" t="str">
        <f>IF(ISNUMBER(INDEX('M03-S05'!$AN$16:$AN$198,2*(ROWS($R$174:R182)-1)+1)),"Total","")</f>
        <v/>
      </c>
      <c r="I182" s="184">
        <f>IFERROR(ROUND(INDEX('M03-S05'!$V$16:$V$198,2*(ROWS($I$174:I182)-1)+1)*INDEX('M03-S05'!$AE$16:$AE$198,2*(ROWS($I$174:I182)-1)+1),2),0)</f>
        <v>0</v>
      </c>
      <c r="J182" s="184">
        <f>IFERROR(ROUND(INDEX('M03-S05'!$V$16:$V$198,2*(ROWS($J$174:J182)-1)+1)*INDEX('M03-S05'!$AG$16:$AG$198,2*(ROWS($J$174:J182)-1)+1),2),0)</f>
        <v>0</v>
      </c>
      <c r="K182" s="52">
        <f>IFERROR(ROUND(INDEX('M03-S05'!$AU$16:$AU$198,2*(ROWS($K$174:K182)-1)+1),2),0)</f>
        <v>0</v>
      </c>
      <c r="L182" s="52" t="str">
        <f>IFERROR(IF(R182&gt;0,M182*INDEX(PMEKITCHEN[Incremental Cost],MATCH(AB182,PMEKITCHEN[Eff Desc 1],0)),""),"")</f>
        <v/>
      </c>
      <c r="M182" s="456">
        <f>INDEX('M03-S05'!$V$16:$V$198,2*(ROWS($M$174:M182)-1)+1)</f>
        <v>0</v>
      </c>
      <c r="N182" s="184" t="str">
        <f>IF(ISNUMBER(INDEX('M03-S05'!$AN$16:$AN$198,2*(ROWS($R$174:R182)-1)+1)),INDEX('M03-S05'!$AK$16:$AK$198,2*(ROWS($N$174:N182)-1)+1),"")</f>
        <v/>
      </c>
      <c r="O182" s="456" t="str">
        <f>IFERROR(IF(ISNUMBER(INDEX('M03-S05'!$AN$16:$AN$198,2*(ROWS($R$174:R182)-1)+1)),INDEX('M03-S05'!$AV$16:$AV$198,2*(ROWS($O$174:O182)-1)+1),""),"")</f>
        <v/>
      </c>
      <c r="P182" s="113"/>
      <c r="Q182" s="113"/>
      <c r="R182" s="184">
        <f>IF(ISNUMBER(INDEX('M03-S05'!$AN$16:$AN$198,2*(ROWS($R$174:R182)-1)+1)),INDEX('M03-S05'!$AN$16:$AN$198,2*(ROWS($R$174:R182)-1)+1),0)</f>
        <v>0</v>
      </c>
      <c r="S182" s="459"/>
      <c r="T182" s="113"/>
      <c r="U182" s="140"/>
      <c r="V182" s="113"/>
      <c r="W182" s="96" t="str">
        <f>IFERROR(IF(NOT(ISNUMBER(INDEX('M03-S05'!$AN$16:$AN$198,2*(ROWS($R$174:R182)-1)+1))),INDEX('M03-S05'!$BC$16:$BC$198,2*(ROWS($R$174:R182)-1)+1),""),"")</f>
        <v/>
      </c>
      <c r="X182" s="113"/>
      <c r="Y182" s="113"/>
      <c r="Z182" s="111">
        <f>INDEX('M03-S05'!$B$16:$B$198,2*(ROWS($Z$174:Z182)-1)+1)</f>
        <v>9</v>
      </c>
      <c r="AA182" s="111" t="str">
        <f>INDEX('M03-S05'!$N$16:$N$198,2*(ROWS($Z$174:AA182)-1)+1)</f>
        <v/>
      </c>
      <c r="AB182" s="111">
        <f>INDEX('M03-S05'!$C$16:$C$198,2*(ROWS($Z$174:AB182)-1)+1)</f>
        <v>0</v>
      </c>
      <c r="AC182" s="96"/>
      <c r="AD182">
        <f>INDEX('M03-S05'!$X$16:$X$198,2*(ROWS($AD$174:AD182)-1)+1)</f>
        <v>0</v>
      </c>
      <c r="AE182" s="459"/>
      <c r="AF182" s="459"/>
      <c r="AG182" s="112"/>
      <c r="AH182" s="112"/>
      <c r="AI182" s="112"/>
      <c r="AJ182" s="112"/>
      <c r="AK182" s="112"/>
      <c r="AL182" s="112"/>
      <c r="AM182" s="112"/>
      <c r="AN182" s="112"/>
      <c r="AO182" s="111" t="str">
        <f>IFERROR(INDEX(PMEKITCHEN[Program Design],MATCH(AB182,PMEKITCHEN[Eff Desc 1],0)),"")</f>
        <v/>
      </c>
      <c r="AU182"/>
    </row>
    <row r="183" spans="1:47">
      <c r="A183" s="57">
        <f t="shared" si="17"/>
        <v>0</v>
      </c>
      <c r="B183" s="183" t="str">
        <f t="shared" si="18"/>
        <v/>
      </c>
      <c r="C183" t="str">
        <f>IFERROR(IF(R183&gt;0,INDEX(PMEKITCHEN[Measure '#],MATCH(AB183,PMEKITCHEN[Eff Desc 1],0)),""),"")</f>
        <v/>
      </c>
      <c r="D183" t="s">
        <v>947</v>
      </c>
      <c r="F183" s="112"/>
      <c r="G183" s="186">
        <f>INDEX('M03-S05'!$AB$16:$AB$198,2*(ROWS($G$174:G183)-1)+1)</f>
        <v>0</v>
      </c>
      <c r="H183" s="186" t="str">
        <f>IF(ISNUMBER(INDEX('M03-S05'!$AN$16:$AN$198,2*(ROWS($R$174:R183)-1)+1)),"Total","")</f>
        <v/>
      </c>
      <c r="I183" s="184">
        <f>IFERROR(ROUND(INDEX('M03-S05'!$V$16:$V$198,2*(ROWS($I$174:I183)-1)+1)*INDEX('M03-S05'!$AE$16:$AE$198,2*(ROWS($I$174:I183)-1)+1),2),0)</f>
        <v>0</v>
      </c>
      <c r="J183" s="184">
        <f>IFERROR(ROUND(INDEX('M03-S05'!$V$16:$V$198,2*(ROWS($J$174:J183)-1)+1)*INDEX('M03-S05'!$AG$16:$AG$198,2*(ROWS($J$174:J183)-1)+1),2),0)</f>
        <v>0</v>
      </c>
      <c r="K183" s="52">
        <f>IFERROR(ROUND(INDEX('M03-S05'!$AU$16:$AU$198,2*(ROWS($K$174:K183)-1)+1),2),0)</f>
        <v>0</v>
      </c>
      <c r="L183" s="52" t="str">
        <f>IFERROR(IF(R183&gt;0,M183*INDEX(PMEKITCHEN[Incremental Cost],MATCH(AB183,PMEKITCHEN[Eff Desc 1],0)),""),"")</f>
        <v/>
      </c>
      <c r="M183" s="456">
        <f>INDEX('M03-S05'!$V$16:$V$198,2*(ROWS($M$174:M183)-1)+1)</f>
        <v>0</v>
      </c>
      <c r="N183" s="184" t="str">
        <f>IF(ISNUMBER(INDEX('M03-S05'!$AN$16:$AN$198,2*(ROWS($R$174:R183)-1)+1)),INDEX('M03-S05'!$AK$16:$AK$198,2*(ROWS($N$174:N183)-1)+1),"")</f>
        <v/>
      </c>
      <c r="O183" s="456" t="str">
        <f>IFERROR(IF(ISNUMBER(INDEX('M03-S05'!$AN$16:$AN$198,2*(ROWS($R$174:R183)-1)+1)),INDEX('M03-S05'!$AV$16:$AV$198,2*(ROWS($O$174:O183)-1)+1),""),"")</f>
        <v/>
      </c>
      <c r="P183" s="113"/>
      <c r="Q183" s="113"/>
      <c r="R183" s="184">
        <f>IF(ISNUMBER(INDEX('M03-S05'!$AN$16:$AN$198,2*(ROWS($R$174:R183)-1)+1)),INDEX('M03-S05'!$AN$16:$AN$198,2*(ROWS($R$174:R183)-1)+1),0)</f>
        <v>0</v>
      </c>
      <c r="S183" s="459"/>
      <c r="T183" s="113"/>
      <c r="U183" s="140"/>
      <c r="V183" s="113"/>
      <c r="W183" s="96" t="str">
        <f>IFERROR(IF(NOT(ISNUMBER(INDEX('M03-S05'!$AN$16:$AN$198,2*(ROWS($R$174:R183)-1)+1))),INDEX('M03-S05'!$BC$16:$BC$198,2*(ROWS($R$174:R183)-1)+1),""),"")</f>
        <v/>
      </c>
      <c r="X183" s="113"/>
      <c r="Y183" s="113"/>
      <c r="Z183" s="111">
        <f>INDEX('M03-S05'!$B$16:$B$198,2*(ROWS($Z$174:Z183)-1)+1)</f>
        <v>10</v>
      </c>
      <c r="AA183" s="111" t="str">
        <f>INDEX('M03-S05'!$N$16:$N$198,2*(ROWS($Z$174:AA183)-1)+1)</f>
        <v/>
      </c>
      <c r="AB183" s="111">
        <f>INDEX('M03-S05'!$C$16:$C$198,2*(ROWS($Z$174:AB183)-1)+1)</f>
        <v>0</v>
      </c>
      <c r="AC183" s="96"/>
      <c r="AD183">
        <f>INDEX('M03-S05'!$X$16:$X$198,2*(ROWS($AD$174:AD183)-1)+1)</f>
        <v>0</v>
      </c>
      <c r="AE183" s="459"/>
      <c r="AF183" s="459"/>
      <c r="AG183" s="112"/>
      <c r="AH183" s="112"/>
      <c r="AI183" s="112"/>
      <c r="AJ183" s="112"/>
      <c r="AK183" s="112"/>
      <c r="AL183" s="112"/>
      <c r="AM183" s="112"/>
      <c r="AN183" s="112"/>
      <c r="AO183" s="111" t="str">
        <f>IFERROR(INDEX(PMEKITCHEN[Program Design],MATCH(AB183,PMEKITCHEN[Eff Desc 1],0)),"")</f>
        <v/>
      </c>
      <c r="AU183"/>
    </row>
    <row r="184" spans="1:47">
      <c r="A184" s="112"/>
      <c r="B184" s="112"/>
      <c r="C184" s="112"/>
      <c r="D184" s="112"/>
      <c r="E184" s="112"/>
      <c r="F184" s="112"/>
      <c r="G184" s="112"/>
      <c r="H184" s="112"/>
      <c r="I184" s="112"/>
      <c r="J184" s="112"/>
      <c r="K184" s="112"/>
      <c r="L184" s="112"/>
      <c r="M184" s="112"/>
      <c r="N184" s="112"/>
      <c r="O184" s="112"/>
      <c r="P184" s="112"/>
      <c r="Q184" s="112"/>
      <c r="R184" s="112"/>
      <c r="S184" s="112"/>
      <c r="T184" s="112"/>
      <c r="U184" s="112"/>
      <c r="V184" s="112"/>
      <c r="W184" s="112"/>
      <c r="X184" s="112"/>
      <c r="Y184" s="112"/>
      <c r="Z184" s="112"/>
      <c r="AA184" s="112"/>
      <c r="AB184" s="112"/>
      <c r="AC184" s="112"/>
      <c r="AD184" s="112"/>
      <c r="AE184" s="112"/>
      <c r="AF184" s="112"/>
      <c r="AG184" s="112"/>
      <c r="AH184" s="112"/>
      <c r="AI184" s="112"/>
      <c r="AJ184" s="112"/>
      <c r="AK184" s="112"/>
      <c r="AL184" s="112"/>
      <c r="AM184" s="112"/>
      <c r="AN184" s="112"/>
      <c r="AO184" s="112"/>
      <c r="AU184"/>
    </row>
    <row r="185" spans="1:47">
      <c r="A185" s="112"/>
      <c r="B185" s="112"/>
      <c r="C185" s="112"/>
      <c r="D185" s="112"/>
      <c r="E185" s="112"/>
      <c r="F185" s="112"/>
      <c r="G185" s="112"/>
      <c r="H185" s="112"/>
      <c r="I185" s="112"/>
      <c r="J185" s="112"/>
      <c r="K185" s="112"/>
      <c r="L185" s="112"/>
      <c r="M185" s="112"/>
      <c r="N185" s="112"/>
      <c r="O185" s="112"/>
      <c r="P185" s="112"/>
      <c r="Q185" s="112"/>
      <c r="R185" s="112"/>
      <c r="S185" s="112"/>
      <c r="T185" s="112"/>
      <c r="U185" s="112"/>
      <c r="V185" s="112"/>
      <c r="W185" s="112"/>
      <c r="X185" s="112"/>
      <c r="Y185" s="112"/>
      <c r="Z185" s="112"/>
      <c r="AA185" s="112"/>
      <c r="AB185" s="112"/>
      <c r="AC185" s="112"/>
      <c r="AD185" s="112"/>
      <c r="AE185" s="112"/>
      <c r="AF185" s="112"/>
      <c r="AG185" s="112"/>
      <c r="AH185" s="112"/>
      <c r="AI185" s="112"/>
      <c r="AJ185" s="112"/>
      <c r="AK185" s="112"/>
      <c r="AL185" s="112"/>
      <c r="AM185" s="112"/>
      <c r="AN185" s="112"/>
      <c r="AO185" s="112"/>
      <c r="AU185"/>
    </row>
    <row r="186" spans="1:47">
      <c r="A186" s="57">
        <f t="shared" si="17"/>
        <v>0</v>
      </c>
      <c r="B186" s="183" t="str">
        <f t="shared" si="18"/>
        <v/>
      </c>
      <c r="C186" t="str">
        <f>IFERROR(IF(R186&gt;0,INDEX(PMGKITCHEN[Measure '#],MATCH(AB186,PMGKITCHEN[Eff Desc 1],0)),""),"")</f>
        <v/>
      </c>
      <c r="D186" t="s">
        <v>947</v>
      </c>
      <c r="F186" s="112"/>
      <c r="G186" s="186">
        <f>INDEX('M03-S05'!$AB$16:$AB$198,2*(ROWS($G$174:G186)-1)+1)</f>
        <v>0</v>
      </c>
      <c r="H186" s="186" t="str">
        <f>IF(ISNUMBER(INDEX('M03-S05'!$AN$16:$AN$198,2*(ROWS($R$174:R186)-1)+1)),"Total","")</f>
        <v/>
      </c>
      <c r="I186" s="184">
        <f>IFERROR(ROUND(INDEX('M03-S05'!$V$16:$V$198,2*(ROWS($I$174:I186)-1)+1)*INDEX('M03-S05'!$AE$16:$AE$198,2*(ROWS($I$174:I186)-1)+1),2),0)</f>
        <v>0</v>
      </c>
      <c r="J186" s="184">
        <f>IFERROR(ROUND(INDEX('M03-S05'!$V$16:$V$198,2*(ROWS($J$174:J186)-1)+1)*INDEX('M03-S05'!$AG$16:$AG$198,2*(ROWS($J$174:J186)-1)+1),2),0)</f>
        <v>0</v>
      </c>
      <c r="K186" s="52">
        <f>IFERROR(ROUND(INDEX('M03-S05'!$AU$16:$AU$198,2*(ROWS($K$174:K186)-1)+1),2),0)</f>
        <v>0</v>
      </c>
      <c r="L186" s="52" t="str">
        <f>IFERROR(IF(R186&gt;0,M186*INDEX(PMGKITCHEN[Incremental Cost],MATCH(AB186,PMGKITCHEN[Eff Desc 1],0)),""),"")</f>
        <v/>
      </c>
      <c r="M186" s="456">
        <f>INDEX('M03-S05'!$V$16:$V$198,2*(ROWS($M$174:M186)-1)+1)</f>
        <v>0</v>
      </c>
      <c r="N186" s="113"/>
      <c r="O186" s="113"/>
      <c r="P186" s="184" t="str">
        <f>IF(ISNUMBER(INDEX('M03-S05'!$AN$40:$AN$198,2*(ROWS($R$186:R186)-1)+1)),INDEX('M03-S05'!$AK$40:$AK$198,2*(ROWS($P$186:P186)-1)+1),"")</f>
        <v/>
      </c>
      <c r="Q186" s="113"/>
      <c r="R186" s="184">
        <f>IF(ISNUMBER(INDEX('M03-S05'!$AN$16:$AN$198,2*(ROWS($R$174:R186)-1)+1)),INDEX('M03-S05'!$AN$16:$AN$198,2*(ROWS($R$174:R186)-1)+1),0)</f>
        <v>0</v>
      </c>
      <c r="S186" s="459"/>
      <c r="T186" s="113"/>
      <c r="U186" s="140"/>
      <c r="V186" s="113"/>
      <c r="W186" s="96" t="str">
        <f>IFERROR(IF(NOT(ISNUMBER(INDEX('M03-S05'!$AN$16:$AN$198,2*(ROWS($R$174:R186)-1)+1))),INDEX('M03-S05'!$BC$16:$BC$198,2*(ROWS($R$174:R186)-1)+1),""),"")</f>
        <v/>
      </c>
      <c r="X186" s="113"/>
      <c r="Y186" s="113"/>
      <c r="Z186" s="111">
        <f>INDEX('M03-S05'!$B$16:$B$198,2*(ROWS($Z$174:Z186)-1)+1)</f>
        <v>13</v>
      </c>
      <c r="AA186" s="111" t="str">
        <f>INDEX('M03-S05'!$N$16:$N$198,2*(ROWS($Z$174:AA186)-1)+1)</f>
        <v/>
      </c>
      <c r="AB186" s="111">
        <f>INDEX('M03-S05'!$C$16:$C$198,2*(ROWS($Z$174:AB186)-1)+1)</f>
        <v>0</v>
      </c>
      <c r="AC186" s="96"/>
      <c r="AD186">
        <f>INDEX('M03-S05'!$X$16:$X$198,2*(ROWS($AD$174:AD186)-1)+1)</f>
        <v>0</v>
      </c>
      <c r="AE186" s="459"/>
      <c r="AF186" s="459"/>
      <c r="AG186" s="112"/>
      <c r="AH186" s="112"/>
      <c r="AI186" s="112"/>
      <c r="AJ186" s="112"/>
      <c r="AK186" s="112"/>
      <c r="AL186" s="112"/>
      <c r="AM186" s="112"/>
      <c r="AN186" s="112"/>
      <c r="AO186" s="111" t="str">
        <f>IFERROR(INDEX(PMGKITCHEN[Program Design],MATCH(AB186,PMGKITCHEN[Eff Desc 1],0)),"")</f>
        <v/>
      </c>
      <c r="AU186"/>
    </row>
    <row r="187" spans="1:47">
      <c r="A187" s="57">
        <f t="shared" si="17"/>
        <v>0</v>
      </c>
      <c r="B187" s="183" t="str">
        <f t="shared" ref="B187:B194" si="19">IF(C187="","",CONCATENATE(ROW(),"-",C187))</f>
        <v/>
      </c>
      <c r="C187" t="str">
        <f>IFERROR(IF(R187&gt;0,INDEX(PMGKITCHEN[Measure '#],MATCH(AB187,PMGKITCHEN[Eff Desc 1],0)),""),"")</f>
        <v/>
      </c>
      <c r="D187" t="s">
        <v>947</v>
      </c>
      <c r="F187" s="112"/>
      <c r="G187" s="186">
        <f>INDEX('M03-S05'!$AB$16:$AB$198,2*(ROWS($G$174:G187)-1)+1)</f>
        <v>0</v>
      </c>
      <c r="H187" s="186" t="str">
        <f>IF(ISNUMBER(INDEX('M03-S05'!$AN$16:$AN$198,2*(ROWS($R$174:R187)-1)+1)),"Total","")</f>
        <v/>
      </c>
      <c r="I187" s="184">
        <f>IFERROR(ROUND(INDEX('M03-S05'!$V$16:$V$198,2*(ROWS($I$174:I187)-1)+1)*INDEX('M03-S05'!$AE$16:$AE$198,2*(ROWS($I$174:I187)-1)+1),2),0)</f>
        <v>0</v>
      </c>
      <c r="J187" s="184">
        <f>IFERROR(ROUND(INDEX('M03-S05'!$V$16:$V$198,2*(ROWS($J$174:J187)-1)+1)*INDEX('M03-S05'!$AG$16:$AG$198,2*(ROWS($J$174:J187)-1)+1),2),0)</f>
        <v>0</v>
      </c>
      <c r="K187" s="52">
        <f>IFERROR(ROUND(INDEX('M03-S05'!$AU$16:$AU$198,2*(ROWS($K$174:K187)-1)+1),2),0)</f>
        <v>0</v>
      </c>
      <c r="L187" s="52" t="str">
        <f>IFERROR(IF(R187&gt;0,M187*INDEX(PMGKITCHEN[Incremental Cost],MATCH(AB187,PMGKITCHEN[Eff Desc 1],0)),""),"")</f>
        <v/>
      </c>
      <c r="M187" s="456">
        <f>INDEX('M03-S05'!$V$16:$V$198,2*(ROWS($M$174:M187)-1)+1)</f>
        <v>0</v>
      </c>
      <c r="N187" s="113"/>
      <c r="O187" s="113"/>
      <c r="P187" s="184" t="str">
        <f>IF(ISNUMBER(INDEX('M03-S05'!$AN$40:$AN$198,2*(ROWS($R$186:R187)-1)+1)),INDEX('M03-S05'!$AK$40:$AK$198,2*(ROWS($P$186:P187)-1)+1),"")</f>
        <v/>
      </c>
      <c r="Q187" s="113"/>
      <c r="R187" s="184">
        <f>IF(ISNUMBER(INDEX('M03-S05'!$AN$16:$AN$198,2*(ROWS($R$174:R187)-1)+1)),INDEX('M03-S05'!$AN$16:$AN$198,2*(ROWS($R$174:R187)-1)+1),0)</f>
        <v>0</v>
      </c>
      <c r="S187" s="459"/>
      <c r="T187" s="113"/>
      <c r="U187" s="140"/>
      <c r="V187" s="113"/>
      <c r="W187" s="96" t="str">
        <f>IFERROR(IF(NOT(ISNUMBER(INDEX('M03-S05'!$AN$16:$AN$198,2*(ROWS($R$174:R187)-1)+1))),INDEX('M03-S05'!$BC$16:$BC$198,2*(ROWS($R$174:R187)-1)+1),""),"")</f>
        <v/>
      </c>
      <c r="X187" s="113"/>
      <c r="Y187" s="113"/>
      <c r="Z187" s="111">
        <f>INDEX('M03-S05'!$B$16:$B$198,2*(ROWS($Z$174:Z187)-1)+1)</f>
        <v>14</v>
      </c>
      <c r="AA187" s="111" t="str">
        <f>INDEX('M03-S05'!$N$16:$N$198,2*(ROWS($Z$174:AA187)-1)+1)</f>
        <v/>
      </c>
      <c r="AB187" s="111">
        <f>INDEX('M03-S05'!$C$16:$C$198,2*(ROWS($Z$174:AB187)-1)+1)</f>
        <v>0</v>
      </c>
      <c r="AC187" s="96"/>
      <c r="AD187">
        <f>INDEX('M03-S05'!$X$16:$X$198,2*(ROWS($AD$174:AD187)-1)+1)</f>
        <v>0</v>
      </c>
      <c r="AE187" s="459"/>
      <c r="AF187" s="459"/>
      <c r="AG187" s="112"/>
      <c r="AH187" s="112"/>
      <c r="AI187" s="112"/>
      <c r="AJ187" s="112"/>
      <c r="AK187" s="112"/>
      <c r="AL187" s="112"/>
      <c r="AM187" s="112"/>
      <c r="AN187" s="112"/>
      <c r="AO187" s="111" t="str">
        <f>IFERROR(INDEX(PMGKITCHEN[Program Design],MATCH(AB187,PMGKITCHEN[Eff Desc 1],0)),"")</f>
        <v/>
      </c>
      <c r="AU187"/>
    </row>
    <row r="188" spans="1:47">
      <c r="A188" s="57">
        <f t="shared" si="17"/>
        <v>0</v>
      </c>
      <c r="B188" s="183" t="str">
        <f t="shared" si="19"/>
        <v/>
      </c>
      <c r="C188" t="str">
        <f>IFERROR(IF(R188&gt;0,INDEX(PMGKITCHEN[Measure '#],MATCH(AB188,PMGKITCHEN[Eff Desc 1],0)),""),"")</f>
        <v/>
      </c>
      <c r="D188" t="s">
        <v>947</v>
      </c>
      <c r="F188" s="112"/>
      <c r="G188" s="186">
        <f>INDEX('M03-S05'!$AB$16:$AB$198,2*(ROWS($G$174:G188)-1)+1)</f>
        <v>0</v>
      </c>
      <c r="H188" s="186" t="str">
        <f>IF(ISNUMBER(INDEX('M03-S05'!$AN$16:$AN$198,2*(ROWS($R$174:R188)-1)+1)),"Total","")</f>
        <v/>
      </c>
      <c r="I188" s="184">
        <f>IFERROR(ROUND(INDEX('M03-S05'!$V$16:$V$198,2*(ROWS($I$174:I188)-1)+1)*INDEX('M03-S05'!$AE$16:$AE$198,2*(ROWS($I$174:I188)-1)+1),2),0)</f>
        <v>0</v>
      </c>
      <c r="J188" s="184">
        <f>IFERROR(ROUND(INDEX('M03-S05'!$V$16:$V$198,2*(ROWS($J$174:J188)-1)+1)*INDEX('M03-S05'!$AG$16:$AG$198,2*(ROWS($J$174:J188)-1)+1),2),0)</f>
        <v>0</v>
      </c>
      <c r="K188" s="52">
        <f>IFERROR(ROUND(INDEX('M03-S05'!$AU$16:$AU$198,2*(ROWS($K$174:K188)-1)+1),2),0)</f>
        <v>0</v>
      </c>
      <c r="L188" s="52" t="str">
        <f>IFERROR(IF(R188&gt;0,M188*INDEX(PMGKITCHEN[Incremental Cost],MATCH(AB188,PMGKITCHEN[Eff Desc 1],0)),""),"")</f>
        <v/>
      </c>
      <c r="M188" s="456">
        <f>INDEX('M03-S05'!$V$16:$V$198,2*(ROWS($M$174:M188)-1)+1)</f>
        <v>0</v>
      </c>
      <c r="N188" s="113"/>
      <c r="O188" s="113"/>
      <c r="P188" s="184" t="str">
        <f>IF(ISNUMBER(INDEX('M03-S05'!$AN$40:$AN$198,2*(ROWS($R$186:R188)-1)+1)),INDEX('M03-S05'!$AK$40:$AK$198,2*(ROWS($P$186:P188)-1)+1),"")</f>
        <v/>
      </c>
      <c r="Q188" s="113"/>
      <c r="R188" s="184">
        <f>IF(ISNUMBER(INDEX('M03-S05'!$AN$16:$AN$198,2*(ROWS($R$174:R188)-1)+1)),INDEX('M03-S05'!$AN$16:$AN$198,2*(ROWS($R$174:R188)-1)+1),0)</f>
        <v>0</v>
      </c>
      <c r="S188" s="459"/>
      <c r="T188" s="113"/>
      <c r="U188" s="140"/>
      <c r="V188" s="113"/>
      <c r="W188" s="96" t="str">
        <f>IFERROR(IF(NOT(ISNUMBER(INDEX('M03-S05'!$AN$16:$AN$198,2*(ROWS($R$174:R188)-1)+1))),INDEX('M03-S05'!$BC$16:$BC$198,2*(ROWS($R$174:R188)-1)+1),""),"")</f>
        <v/>
      </c>
      <c r="X188" s="113"/>
      <c r="Y188" s="113"/>
      <c r="Z188" s="111">
        <f>INDEX('M03-S05'!$B$16:$B$198,2*(ROWS($Z$174:Z188)-1)+1)</f>
        <v>15</v>
      </c>
      <c r="AA188" s="111" t="str">
        <f>INDEX('M03-S05'!$N$16:$N$198,2*(ROWS($Z$174:AA188)-1)+1)</f>
        <v/>
      </c>
      <c r="AB188" s="111">
        <f>INDEX('M03-S05'!$C$16:$C$198,2*(ROWS($Z$174:AB188)-1)+1)</f>
        <v>0</v>
      </c>
      <c r="AC188" s="96"/>
      <c r="AD188">
        <f>INDEX('M03-S05'!$X$16:$X$198,2*(ROWS($AD$174:AD188)-1)+1)</f>
        <v>0</v>
      </c>
      <c r="AE188" s="459"/>
      <c r="AF188" s="459"/>
      <c r="AG188" s="112"/>
      <c r="AH188" s="112"/>
      <c r="AI188" s="112"/>
      <c r="AJ188" s="112"/>
      <c r="AK188" s="112"/>
      <c r="AL188" s="112"/>
      <c r="AM188" s="112"/>
      <c r="AN188" s="112"/>
      <c r="AO188" s="111" t="str">
        <f>IFERROR(INDEX(PMGKITCHEN[Program Design],MATCH(AB188,PMGKITCHEN[Eff Desc 1],0)),"")</f>
        <v/>
      </c>
      <c r="AU188"/>
    </row>
    <row r="189" spans="1:47">
      <c r="A189" s="57">
        <f t="shared" si="17"/>
        <v>0</v>
      </c>
      <c r="B189" s="183" t="str">
        <f t="shared" si="19"/>
        <v/>
      </c>
      <c r="C189" t="str">
        <f>IFERROR(IF(R189&gt;0,INDEX(PMGKITCHEN[Measure '#],MATCH(AB189,PMGKITCHEN[Eff Desc 1],0)),""),"")</f>
        <v/>
      </c>
      <c r="D189" t="s">
        <v>947</v>
      </c>
      <c r="F189" s="112"/>
      <c r="G189" s="186">
        <f>INDEX('M03-S05'!$AB$16:$AB$198,2*(ROWS($G$174:G189)-1)+1)</f>
        <v>0</v>
      </c>
      <c r="H189" s="186" t="str">
        <f>IF(ISNUMBER(INDEX('M03-S05'!$AN$16:$AN$198,2*(ROWS($R$174:R189)-1)+1)),"Total","")</f>
        <v/>
      </c>
      <c r="I189" s="184">
        <f>IFERROR(ROUND(INDEX('M03-S05'!$V$16:$V$198,2*(ROWS($I$174:I189)-1)+1)*INDEX('M03-S05'!$AE$16:$AE$198,2*(ROWS($I$174:I189)-1)+1),2),0)</f>
        <v>0</v>
      </c>
      <c r="J189" s="184">
        <f>IFERROR(ROUND(INDEX('M03-S05'!$V$16:$V$198,2*(ROWS($J$174:J189)-1)+1)*INDEX('M03-S05'!$AG$16:$AG$198,2*(ROWS($J$174:J189)-1)+1),2),0)</f>
        <v>0</v>
      </c>
      <c r="K189" s="52">
        <f>IFERROR(ROUND(INDEX('M03-S05'!$AU$16:$AU$198,2*(ROWS($K$174:K189)-1)+1),2),0)</f>
        <v>0</v>
      </c>
      <c r="L189" s="52" t="str">
        <f>IFERROR(IF(R189&gt;0,M189*INDEX(PMGKITCHEN[Incremental Cost],MATCH(AB189,PMGKITCHEN[Eff Desc 1],0)),""),"")</f>
        <v/>
      </c>
      <c r="M189" s="456">
        <f>INDEX('M03-S05'!$V$16:$V$198,2*(ROWS($M$174:M189)-1)+1)</f>
        <v>0</v>
      </c>
      <c r="N189" s="113"/>
      <c r="O189" s="113"/>
      <c r="P189" s="184" t="str">
        <f>IF(ISNUMBER(INDEX('M03-S05'!$AN$40:$AN$198,2*(ROWS($R$186:R189)-1)+1)),INDEX('M03-S05'!$AK$40:$AK$198,2*(ROWS($P$186:P189)-1)+1),"")</f>
        <v/>
      </c>
      <c r="Q189" s="113"/>
      <c r="R189" s="184">
        <f>IF(ISNUMBER(INDEX('M03-S05'!$AN$16:$AN$198,2*(ROWS($R$174:R189)-1)+1)),INDEX('M03-S05'!$AN$16:$AN$198,2*(ROWS($R$174:R189)-1)+1),0)</f>
        <v>0</v>
      </c>
      <c r="S189" s="459"/>
      <c r="T189" s="113"/>
      <c r="U189" s="140"/>
      <c r="V189" s="113"/>
      <c r="W189" s="96" t="str">
        <f>IFERROR(IF(NOT(ISNUMBER(INDEX('M03-S05'!$AN$16:$AN$198,2*(ROWS($R$174:R189)-1)+1))),INDEX('M03-S05'!$BC$16:$BC$198,2*(ROWS($R$174:R189)-1)+1),""),"")</f>
        <v/>
      </c>
      <c r="X189" s="113"/>
      <c r="Y189" s="113"/>
      <c r="Z189" s="111">
        <f>INDEX('M03-S05'!$B$16:$B$198,2*(ROWS($Z$174:Z189)-1)+1)</f>
        <v>16</v>
      </c>
      <c r="AA189" s="111" t="str">
        <f>INDEX('M03-S05'!$N$16:$N$198,2*(ROWS($Z$174:AA189)-1)+1)</f>
        <v/>
      </c>
      <c r="AB189" s="111">
        <f>INDEX('M03-S05'!$C$16:$C$198,2*(ROWS($Z$174:AB189)-1)+1)</f>
        <v>0</v>
      </c>
      <c r="AC189" s="96"/>
      <c r="AD189">
        <f>INDEX('M03-S05'!$X$16:$X$198,2*(ROWS($AD$174:AD189)-1)+1)</f>
        <v>0</v>
      </c>
      <c r="AE189" s="459"/>
      <c r="AF189" s="459"/>
      <c r="AG189" s="112"/>
      <c r="AH189" s="112"/>
      <c r="AI189" s="112"/>
      <c r="AJ189" s="112"/>
      <c r="AK189" s="112"/>
      <c r="AL189" s="112"/>
      <c r="AM189" s="112"/>
      <c r="AN189" s="112"/>
      <c r="AO189" s="111" t="str">
        <f>IFERROR(INDEX(PMGKITCHEN[Program Design],MATCH(AB189,PMGKITCHEN[Eff Desc 1],0)),"")</f>
        <v/>
      </c>
      <c r="AU189"/>
    </row>
    <row r="190" spans="1:47">
      <c r="A190" s="57">
        <f t="shared" si="17"/>
        <v>0</v>
      </c>
      <c r="B190" s="183" t="str">
        <f t="shared" si="19"/>
        <v/>
      </c>
      <c r="C190" t="str">
        <f>IFERROR(IF(R190&gt;0,INDEX(PMGKITCHEN[Measure '#],MATCH(AB190,PMGKITCHEN[Eff Desc 1],0)),""),"")</f>
        <v/>
      </c>
      <c r="D190" t="s">
        <v>947</v>
      </c>
      <c r="F190" s="112"/>
      <c r="G190" s="186">
        <f>INDEX('M03-S05'!$AB$16:$AB$198,2*(ROWS($G$174:G190)-1)+1)</f>
        <v>0</v>
      </c>
      <c r="H190" s="186" t="str">
        <f>IF(ISNUMBER(INDEX('M03-S05'!$AN$16:$AN$198,2*(ROWS($R$174:R190)-1)+1)),"Total","")</f>
        <v/>
      </c>
      <c r="I190" s="184">
        <f>IFERROR(ROUND(INDEX('M03-S05'!$V$16:$V$198,2*(ROWS($I$174:I190)-1)+1)*INDEX('M03-S05'!$AE$16:$AE$198,2*(ROWS($I$174:I190)-1)+1),2),0)</f>
        <v>0</v>
      </c>
      <c r="J190" s="184">
        <f>IFERROR(ROUND(INDEX('M03-S05'!$V$16:$V$198,2*(ROWS($J$174:J190)-1)+1)*INDEX('M03-S05'!$AG$16:$AG$198,2*(ROWS($J$174:J190)-1)+1),2),0)</f>
        <v>0</v>
      </c>
      <c r="K190" s="52">
        <f>IFERROR(ROUND(INDEX('M03-S05'!$AU$16:$AU$198,2*(ROWS($K$174:K190)-1)+1),2),0)</f>
        <v>0</v>
      </c>
      <c r="L190" s="52" t="str">
        <f>IFERROR(IF(R190&gt;0,M190*INDEX(PMGKITCHEN[Incremental Cost],MATCH(AB190,PMGKITCHEN[Eff Desc 1],0)),""),"")</f>
        <v/>
      </c>
      <c r="M190" s="456">
        <f>INDEX('M03-S05'!$V$16:$V$198,2*(ROWS($M$174:M190)-1)+1)</f>
        <v>0</v>
      </c>
      <c r="N190" s="113"/>
      <c r="O190" s="113"/>
      <c r="P190" s="184" t="str">
        <f>IF(ISNUMBER(INDEX('M03-S05'!$AN$40:$AN$198,2*(ROWS($R$186:R190)-1)+1)),INDEX('M03-S05'!$AK$40:$AK$198,2*(ROWS($P$186:P190)-1)+1),"")</f>
        <v/>
      </c>
      <c r="Q190" s="113"/>
      <c r="R190" s="184">
        <f>IF(ISNUMBER(INDEX('M03-S05'!$AN$16:$AN$198,2*(ROWS($R$174:R190)-1)+1)),INDEX('M03-S05'!$AN$16:$AN$198,2*(ROWS($R$174:R190)-1)+1),0)</f>
        <v>0</v>
      </c>
      <c r="S190" s="459"/>
      <c r="T190" s="113"/>
      <c r="U190" s="140"/>
      <c r="V190" s="113"/>
      <c r="W190" s="96" t="str">
        <f>IFERROR(IF(NOT(ISNUMBER(INDEX('M03-S05'!$AN$16:$AN$198,2*(ROWS($R$174:R190)-1)+1))),INDEX('M03-S05'!$BC$16:$BC$198,2*(ROWS($R$174:R190)-1)+1),""),"")</f>
        <v/>
      </c>
      <c r="X190" s="113"/>
      <c r="Y190" s="113"/>
      <c r="Z190" s="111">
        <f>INDEX('M03-S05'!$B$16:$B$198,2*(ROWS($Z$174:Z190)-1)+1)</f>
        <v>17</v>
      </c>
      <c r="AA190" s="111" t="str">
        <f>INDEX('M03-S05'!$N$16:$N$198,2*(ROWS($Z$174:AA190)-1)+1)</f>
        <v/>
      </c>
      <c r="AB190" s="111">
        <f>INDEX('M03-S05'!$C$16:$C$198,2*(ROWS($Z$174:AB190)-1)+1)</f>
        <v>0</v>
      </c>
      <c r="AC190" s="96"/>
      <c r="AD190">
        <f>INDEX('M03-S05'!$X$16:$X$198,2*(ROWS($AD$174:AD190)-1)+1)</f>
        <v>0</v>
      </c>
      <c r="AE190" s="459"/>
      <c r="AF190" s="459"/>
      <c r="AG190" s="112"/>
      <c r="AH190" s="112"/>
      <c r="AI190" s="112"/>
      <c r="AJ190" s="112"/>
      <c r="AK190" s="112"/>
      <c r="AL190" s="112"/>
      <c r="AM190" s="112"/>
      <c r="AN190" s="112"/>
      <c r="AO190" s="111" t="str">
        <f>IFERROR(INDEX(PMGKITCHEN[Program Design],MATCH(AB190,PMGKITCHEN[Eff Desc 1],0)),"")</f>
        <v/>
      </c>
      <c r="AU190"/>
    </row>
    <row r="191" spans="1:47">
      <c r="A191" s="57">
        <f t="shared" si="17"/>
        <v>0</v>
      </c>
      <c r="B191" s="183" t="str">
        <f t="shared" si="19"/>
        <v/>
      </c>
      <c r="C191" t="str">
        <f>IFERROR(IF(R191&gt;0,INDEX(PMGKITCHEN[Measure '#],MATCH(AB191,PMGKITCHEN[Eff Desc 1],0)),""),"")</f>
        <v/>
      </c>
      <c r="D191" t="s">
        <v>947</v>
      </c>
      <c r="F191" s="112"/>
      <c r="G191" s="186">
        <f>INDEX('M03-S05'!$AB$16:$AB$198,2*(ROWS($G$174:G191)-1)+1)</f>
        <v>0</v>
      </c>
      <c r="H191" s="186" t="str">
        <f>IF(ISNUMBER(INDEX('M03-S05'!$AN$16:$AN$198,2*(ROWS($R$174:R191)-1)+1)),"Total","")</f>
        <v/>
      </c>
      <c r="I191" s="184">
        <f>IFERROR(ROUND(INDEX('M03-S05'!$V$16:$V$198,2*(ROWS($I$174:I191)-1)+1)*INDEX('M03-S05'!$AE$16:$AE$198,2*(ROWS($I$174:I191)-1)+1),2),0)</f>
        <v>0</v>
      </c>
      <c r="J191" s="184">
        <f>IFERROR(ROUND(INDEX('M03-S05'!$V$16:$V$198,2*(ROWS($J$174:J191)-1)+1)*INDEX('M03-S05'!$AG$16:$AG$198,2*(ROWS($J$174:J191)-1)+1),2),0)</f>
        <v>0</v>
      </c>
      <c r="K191" s="52">
        <f>IFERROR(ROUND(INDEX('M03-S05'!$AU$16:$AU$198,2*(ROWS($K$174:K191)-1)+1),2),0)</f>
        <v>0</v>
      </c>
      <c r="L191" s="52" t="str">
        <f>IFERROR(IF(R191&gt;0,M191*INDEX(PMGKITCHEN[Incremental Cost],MATCH(AB191,PMGKITCHEN[Eff Desc 1],0)),""),"")</f>
        <v/>
      </c>
      <c r="M191" s="456">
        <f>INDEX('M03-S05'!$V$16:$V$198,2*(ROWS($M$174:M191)-1)+1)</f>
        <v>0</v>
      </c>
      <c r="N191" s="113"/>
      <c r="O191" s="113"/>
      <c r="P191" s="184" t="str">
        <f>IF(ISNUMBER(INDEX('M03-S05'!$AN$40:$AN$198,2*(ROWS($R$186:R191)-1)+1)),INDEX('M03-S05'!$AK$40:$AK$198,2*(ROWS($P$186:P191)-1)+1),"")</f>
        <v/>
      </c>
      <c r="Q191" s="113"/>
      <c r="R191" s="184">
        <f>IF(ISNUMBER(INDEX('M03-S05'!$AN$16:$AN$198,2*(ROWS($R$174:R191)-1)+1)),INDEX('M03-S05'!$AN$16:$AN$198,2*(ROWS($R$174:R191)-1)+1),0)</f>
        <v>0</v>
      </c>
      <c r="S191" s="459"/>
      <c r="T191" s="113"/>
      <c r="U191" s="140"/>
      <c r="V191" s="113"/>
      <c r="W191" s="96" t="str">
        <f>IFERROR(IF(NOT(ISNUMBER(INDEX('M03-S05'!$AN$16:$AN$198,2*(ROWS($R$174:R191)-1)+1))),INDEX('M03-S05'!$BC$16:$BC$198,2*(ROWS($R$174:R191)-1)+1),""),"")</f>
        <v/>
      </c>
      <c r="X191" s="113"/>
      <c r="Y191" s="113"/>
      <c r="Z191" s="111">
        <f>INDEX('M03-S05'!$B$16:$B$198,2*(ROWS($Z$174:Z191)-1)+1)</f>
        <v>18</v>
      </c>
      <c r="AA191" s="111" t="str">
        <f>INDEX('M03-S05'!$N$16:$N$198,2*(ROWS($Z$174:AA191)-1)+1)</f>
        <v/>
      </c>
      <c r="AB191" s="111">
        <f>INDEX('M03-S05'!$C$16:$C$198,2*(ROWS($Z$174:AB191)-1)+1)</f>
        <v>0</v>
      </c>
      <c r="AC191" s="96"/>
      <c r="AD191">
        <f>INDEX('M03-S05'!$X$16:$X$198,2*(ROWS($AD$174:AD191)-1)+1)</f>
        <v>0</v>
      </c>
      <c r="AE191" s="459"/>
      <c r="AF191" s="459"/>
      <c r="AG191" s="112"/>
      <c r="AH191" s="112"/>
      <c r="AI191" s="112"/>
      <c r="AJ191" s="112"/>
      <c r="AK191" s="112"/>
      <c r="AL191" s="112"/>
      <c r="AM191" s="112"/>
      <c r="AN191" s="112"/>
      <c r="AO191" s="111" t="str">
        <f>IFERROR(INDEX(PMGKITCHEN[Program Design],MATCH(AB191,PMGKITCHEN[Eff Desc 1],0)),"")</f>
        <v/>
      </c>
      <c r="AU191"/>
    </row>
    <row r="192" spans="1:47">
      <c r="A192" s="57">
        <f t="shared" si="17"/>
        <v>0</v>
      </c>
      <c r="B192" s="183" t="str">
        <f t="shared" si="19"/>
        <v/>
      </c>
      <c r="C192" t="str">
        <f>IFERROR(IF(R192&gt;0,INDEX(PMGKITCHEN[Measure '#],MATCH(AB192,PMGKITCHEN[Eff Desc 1],0)),""),"")</f>
        <v/>
      </c>
      <c r="D192" t="s">
        <v>947</v>
      </c>
      <c r="F192" s="112"/>
      <c r="G192" s="186">
        <f>INDEX('M03-S05'!$AB$16:$AB$198,2*(ROWS($G$174:G192)-1)+1)</f>
        <v>0</v>
      </c>
      <c r="H192" s="186" t="str">
        <f>IF(ISNUMBER(INDEX('M03-S05'!$AN$16:$AN$198,2*(ROWS($R$174:R192)-1)+1)),"Total","")</f>
        <v/>
      </c>
      <c r="I192" s="184">
        <f>IFERROR(ROUND(INDEX('M03-S05'!$V$16:$V$198,2*(ROWS($I$174:I192)-1)+1)*INDEX('M03-S05'!$AE$16:$AE$198,2*(ROWS($I$174:I192)-1)+1),2),0)</f>
        <v>0</v>
      </c>
      <c r="J192" s="184">
        <f>IFERROR(ROUND(INDEX('M03-S05'!$V$16:$V$198,2*(ROWS($J$174:J192)-1)+1)*INDEX('M03-S05'!$AG$16:$AG$198,2*(ROWS($J$174:J192)-1)+1),2),0)</f>
        <v>0</v>
      </c>
      <c r="K192" s="52">
        <f>IFERROR(ROUND(INDEX('M03-S05'!$AU$16:$AU$198,2*(ROWS($K$174:K192)-1)+1),2),0)</f>
        <v>0</v>
      </c>
      <c r="L192" s="52" t="str">
        <f>IFERROR(IF(R192&gt;0,M192*INDEX(PMGKITCHEN[Incremental Cost],MATCH(AB192,PMGKITCHEN[Eff Desc 1],0)),""),"")</f>
        <v/>
      </c>
      <c r="M192" s="456">
        <f>INDEX('M03-S05'!$V$16:$V$198,2*(ROWS($M$174:M192)-1)+1)</f>
        <v>0</v>
      </c>
      <c r="N192" s="113"/>
      <c r="O192" s="113"/>
      <c r="P192" s="184" t="str">
        <f>IF(ISNUMBER(INDEX('M03-S05'!$AN$40:$AN$198,2*(ROWS($R$186:R192)-1)+1)),INDEX('M03-S05'!$AK$40:$AK$198,2*(ROWS($P$186:P192)-1)+1),"")</f>
        <v/>
      </c>
      <c r="Q192" s="113"/>
      <c r="R192" s="184">
        <f>IF(ISNUMBER(INDEX('M03-S05'!$AN$16:$AN$198,2*(ROWS($R$174:R192)-1)+1)),INDEX('M03-S05'!$AN$16:$AN$198,2*(ROWS($R$174:R192)-1)+1),0)</f>
        <v>0</v>
      </c>
      <c r="S192" s="459"/>
      <c r="T192" s="113"/>
      <c r="U192" s="140"/>
      <c r="V192" s="113"/>
      <c r="W192" s="96" t="str">
        <f>IFERROR(IF(NOT(ISNUMBER(INDEX('M03-S05'!$AN$16:$AN$198,2*(ROWS($R$174:R192)-1)+1))),INDEX('M03-S05'!$BC$16:$BC$198,2*(ROWS($R$174:R192)-1)+1),""),"")</f>
        <v/>
      </c>
      <c r="X192" s="113"/>
      <c r="Y192" s="113"/>
      <c r="Z192" s="111">
        <f>INDEX('M03-S05'!$B$16:$B$198,2*(ROWS($Z$174:Z192)-1)+1)</f>
        <v>19</v>
      </c>
      <c r="AA192" s="111" t="str">
        <f>INDEX('M03-S05'!$N$16:$N$198,2*(ROWS($Z$174:AA192)-1)+1)</f>
        <v/>
      </c>
      <c r="AB192" s="111">
        <f>INDEX('M03-S05'!$C$16:$C$198,2*(ROWS($Z$174:AB192)-1)+1)</f>
        <v>0</v>
      </c>
      <c r="AC192" s="96"/>
      <c r="AD192">
        <f>INDEX('M03-S05'!$X$16:$X$198,2*(ROWS($AD$174:AD192)-1)+1)</f>
        <v>0</v>
      </c>
      <c r="AE192" s="459"/>
      <c r="AF192" s="459"/>
      <c r="AG192" s="112"/>
      <c r="AH192" s="112"/>
      <c r="AI192" s="112"/>
      <c r="AJ192" s="112"/>
      <c r="AK192" s="112"/>
      <c r="AL192" s="112"/>
      <c r="AM192" s="112"/>
      <c r="AN192" s="112"/>
      <c r="AO192" s="111" t="str">
        <f>IFERROR(INDEX(PMGKITCHEN[Program Design],MATCH(AB192,PMGKITCHEN[Eff Desc 1],0)),"")</f>
        <v/>
      </c>
      <c r="AU192"/>
    </row>
    <row r="193" spans="1:47">
      <c r="A193" s="57">
        <f t="shared" si="17"/>
        <v>0</v>
      </c>
      <c r="B193" s="183" t="str">
        <f t="shared" si="19"/>
        <v/>
      </c>
      <c r="C193" t="str">
        <f>IFERROR(IF(R193&gt;0,INDEX(PMGKITCHEN[Measure '#],MATCH(AB193,PMGKITCHEN[Eff Desc 1],0)),""),"")</f>
        <v/>
      </c>
      <c r="D193" t="s">
        <v>947</v>
      </c>
      <c r="F193" s="112"/>
      <c r="G193" s="186">
        <f>INDEX('M03-S05'!$AB$16:$AB$198,2*(ROWS($G$174:G193)-1)+1)</f>
        <v>0</v>
      </c>
      <c r="H193" s="186" t="str">
        <f>IF(ISNUMBER(INDEX('M03-S05'!$AN$16:$AN$198,2*(ROWS($R$174:R193)-1)+1)),"Total","")</f>
        <v/>
      </c>
      <c r="I193" s="184">
        <f>IFERROR(ROUND(INDEX('M03-S05'!$V$16:$V$198,2*(ROWS($I$174:I193)-1)+1)*INDEX('M03-S05'!$AE$16:$AE$198,2*(ROWS($I$174:I193)-1)+1),2),0)</f>
        <v>0</v>
      </c>
      <c r="J193" s="184">
        <f>IFERROR(ROUND(INDEX('M03-S05'!$V$16:$V$198,2*(ROWS($J$174:J193)-1)+1)*INDEX('M03-S05'!$AG$16:$AG$198,2*(ROWS($J$174:J193)-1)+1),2),0)</f>
        <v>0</v>
      </c>
      <c r="K193" s="52">
        <f>IFERROR(ROUND(INDEX('M03-S05'!$AU$16:$AU$198,2*(ROWS($K$174:K193)-1)+1),2),0)</f>
        <v>0</v>
      </c>
      <c r="L193" s="52" t="str">
        <f>IFERROR(IF(R193&gt;0,M193*INDEX(PMGKITCHEN[Incremental Cost],MATCH(AB193,PMGKITCHEN[Eff Desc 1],0)),""),"")</f>
        <v/>
      </c>
      <c r="M193" s="456">
        <f>INDEX('M03-S05'!$V$16:$V$198,2*(ROWS($M$174:M193)-1)+1)</f>
        <v>0</v>
      </c>
      <c r="N193" s="113"/>
      <c r="O193" s="113"/>
      <c r="P193" s="184" t="str">
        <f>IF(ISNUMBER(INDEX('M03-S05'!$AN$40:$AN$198,2*(ROWS($R$186:R193)-1)+1)),INDEX('M03-S05'!$AK$40:$AK$198,2*(ROWS($P$186:P193)-1)+1),"")</f>
        <v/>
      </c>
      <c r="Q193" s="113"/>
      <c r="R193" s="184">
        <f>IF(ISNUMBER(INDEX('M03-S05'!$AN$16:$AN$198,2*(ROWS($R$174:R193)-1)+1)),INDEX('M03-S05'!$AN$16:$AN$198,2*(ROWS($R$174:R193)-1)+1),0)</f>
        <v>0</v>
      </c>
      <c r="S193" s="459"/>
      <c r="T193" s="113"/>
      <c r="U193" s="140"/>
      <c r="V193" s="113"/>
      <c r="W193" s="96" t="str">
        <f>IFERROR(IF(NOT(ISNUMBER(INDEX('M03-S05'!$AN$16:$AN$198,2*(ROWS($R$174:R193)-1)+1))),INDEX('M03-S05'!$BC$16:$BC$198,2*(ROWS($R$174:R193)-1)+1),""),"")</f>
        <v/>
      </c>
      <c r="X193" s="113"/>
      <c r="Y193" s="113"/>
      <c r="Z193" s="111">
        <f>INDEX('M03-S05'!$B$16:$B$198,2*(ROWS($Z$174:Z193)-1)+1)</f>
        <v>20</v>
      </c>
      <c r="AA193" s="111" t="str">
        <f>INDEX('M03-S05'!$N$16:$N$198,2*(ROWS($Z$174:AA193)-1)+1)</f>
        <v/>
      </c>
      <c r="AB193" s="111">
        <f>INDEX('M03-S05'!$C$16:$C$198,2*(ROWS($Z$174:AB193)-1)+1)</f>
        <v>0</v>
      </c>
      <c r="AC193" s="96"/>
      <c r="AD193">
        <f>INDEX('M03-S05'!$X$16:$X$198,2*(ROWS($AD$174:AD193)-1)+1)</f>
        <v>0</v>
      </c>
      <c r="AE193" s="459"/>
      <c r="AF193" s="459"/>
      <c r="AG193" s="112"/>
      <c r="AH193" s="112"/>
      <c r="AI193" s="112"/>
      <c r="AJ193" s="112"/>
      <c r="AK193" s="112"/>
      <c r="AL193" s="112"/>
      <c r="AM193" s="112"/>
      <c r="AN193" s="112"/>
      <c r="AO193" s="111" t="str">
        <f>IFERROR(INDEX(PMGKITCHEN[Program Design],MATCH(AB193,PMGKITCHEN[Eff Desc 1],0)),"")</f>
        <v/>
      </c>
      <c r="AU193"/>
    </row>
    <row r="194" spans="1:47">
      <c r="A194" s="57">
        <f t="shared" si="17"/>
        <v>0</v>
      </c>
      <c r="B194" s="183" t="str">
        <f t="shared" si="19"/>
        <v/>
      </c>
      <c r="C194" t="str">
        <f>IFERROR(IF(R194&gt;0,INDEX(PMGKITCHEN[Measure '#],MATCH(AB194,PMGKITCHEN[Eff Desc 1],0)),""),"")</f>
        <v/>
      </c>
      <c r="D194" t="s">
        <v>947</v>
      </c>
      <c r="F194" s="112"/>
      <c r="G194" s="186">
        <f>INDEX('M03-S05'!$AB$16:$AB$198,2*(ROWS($G$174:G194)-1)+1)</f>
        <v>0</v>
      </c>
      <c r="H194" s="186" t="str">
        <f>IF(ISNUMBER(INDEX('M03-S05'!$AN$16:$AN$198,2*(ROWS($R$174:R194)-1)+1)),"Total","")</f>
        <v/>
      </c>
      <c r="I194" s="184">
        <f>IFERROR(ROUND(INDEX('M03-S05'!$V$16:$V$198,2*(ROWS($I$174:I194)-1)+1)*INDEX('M03-S05'!$AE$16:$AE$198,2*(ROWS($I$174:I194)-1)+1),2),0)</f>
        <v>0</v>
      </c>
      <c r="J194" s="184">
        <f>IFERROR(ROUND(INDEX('M03-S05'!$V$16:$V$198,2*(ROWS($J$174:J194)-1)+1)*INDEX('M03-S05'!$AG$16:$AG$198,2*(ROWS($J$174:J194)-1)+1),2),0)</f>
        <v>0</v>
      </c>
      <c r="K194" s="52">
        <f>IFERROR(ROUND(INDEX('M03-S05'!$AU$16:$AU$198,2*(ROWS($K$174:K194)-1)+1),2),0)</f>
        <v>0</v>
      </c>
      <c r="L194" s="52" t="str">
        <f>IFERROR(IF(R194&gt;0,M194*INDEX(PMGKITCHEN[Incremental Cost],MATCH(AB194,PMGKITCHEN[Eff Desc 1],0)),""),"")</f>
        <v/>
      </c>
      <c r="M194" s="456">
        <f>INDEX('M03-S05'!$V$16:$V$198,2*(ROWS($M$174:M194)-1)+1)</f>
        <v>0</v>
      </c>
      <c r="N194" s="113"/>
      <c r="O194" s="113"/>
      <c r="P194" s="184" t="str">
        <f>IF(ISNUMBER(INDEX('M03-S05'!$AN$40:$AN$198,2*(ROWS($R$186:R194)-1)+1)),INDEX('M03-S05'!$AK$40:$AK$198,2*(ROWS($P$186:P194)-1)+1),"")</f>
        <v/>
      </c>
      <c r="Q194" s="113"/>
      <c r="R194" s="184">
        <f>IF(ISNUMBER(INDEX('M03-S05'!$AN$16:$AN$198,2*(ROWS($R$174:R194)-1)+1)),INDEX('M03-S05'!$AN$16:$AN$198,2*(ROWS($R$174:R194)-1)+1),0)</f>
        <v>0</v>
      </c>
      <c r="S194" s="459"/>
      <c r="T194" s="113"/>
      <c r="U194" s="140"/>
      <c r="V194" s="113"/>
      <c r="W194" s="96" t="str">
        <f>IFERROR(IF(NOT(ISNUMBER(INDEX('M03-S05'!$AN$16:$AN$198,2*(ROWS($R$174:R194)-1)+1))),INDEX('M03-S05'!$BC$16:$BC$198,2*(ROWS($R$174:R194)-1)+1),""),"")</f>
        <v/>
      </c>
      <c r="X194" s="113"/>
      <c r="Y194" s="113"/>
      <c r="Z194" s="111">
        <f>INDEX('M03-S05'!$B$16:$B$198,2*(ROWS($Z$174:Z194)-1)+1)</f>
        <v>21</v>
      </c>
      <c r="AA194" s="111" t="str">
        <f>INDEX('M03-S05'!$N$16:$N$198,2*(ROWS($Z$174:AA194)-1)+1)</f>
        <v/>
      </c>
      <c r="AB194" s="111">
        <f>INDEX('M03-S05'!$C$16:$C$198,2*(ROWS($Z$174:AB194)-1)+1)</f>
        <v>0</v>
      </c>
      <c r="AC194" s="96"/>
      <c r="AD194">
        <f>INDEX('M03-S05'!$X$16:$X$198,2*(ROWS($AD$174:AD194)-1)+1)</f>
        <v>0</v>
      </c>
      <c r="AE194" s="459"/>
      <c r="AF194" s="459"/>
      <c r="AG194" s="112"/>
      <c r="AH194" s="112"/>
      <c r="AI194" s="112"/>
      <c r="AJ194" s="112"/>
      <c r="AK194" s="112"/>
      <c r="AL194" s="112"/>
      <c r="AM194" s="112"/>
      <c r="AN194" s="112"/>
      <c r="AO194" s="111" t="str">
        <f>IFERROR(INDEX(PMGKITCHEN[Program Design],MATCH(AB194,PMGKITCHEN[Eff Desc 1],0)),"")</f>
        <v/>
      </c>
      <c r="AU194"/>
    </row>
    <row r="195" spans="1:47">
      <c r="A195" s="57">
        <f t="shared" si="17"/>
        <v>0</v>
      </c>
      <c r="B195" s="183" t="str">
        <f t="shared" ref="B195:B196" si="20">IF(C195="","",CONCATENATE(ROW(),"-",C195))</f>
        <v/>
      </c>
      <c r="C195" t="str">
        <f>IFERROR(IF(R195&gt;0,INDEX(PMGKITCHEN[Measure '#],MATCH(AB195,PMGKITCHEN[Eff Desc 1],0)),""),"")</f>
        <v/>
      </c>
      <c r="D195" t="s">
        <v>947</v>
      </c>
      <c r="F195" s="112"/>
      <c r="G195" s="186">
        <f>INDEX('M03-S05'!$AB$16:$AB$198,2*(ROWS($G$174:G195)-1)+1)</f>
        <v>0</v>
      </c>
      <c r="H195" s="186" t="str">
        <f>IF(ISNUMBER(INDEX('M03-S05'!$AN$16:$AN$198,2*(ROWS($R$174:R195)-1)+1)),"Total","")</f>
        <v/>
      </c>
      <c r="I195" s="184">
        <f>IFERROR(ROUND(INDEX('M03-S05'!$V$16:$V$198,2*(ROWS($I$174:I195)-1)+1)*INDEX('M03-S05'!$AE$16:$AE$198,2*(ROWS($I$174:I195)-1)+1),2),0)</f>
        <v>0</v>
      </c>
      <c r="J195" s="184">
        <f>IFERROR(ROUND(INDEX('M03-S05'!$V$16:$V$198,2*(ROWS($J$174:J195)-1)+1)*INDEX('M03-S05'!$AG$16:$AG$198,2*(ROWS($J$174:J195)-1)+1),2),0)</f>
        <v>0</v>
      </c>
      <c r="K195" s="52">
        <f>IFERROR(ROUND(INDEX('M03-S05'!$AU$16:$AU$198,2*(ROWS($K$174:K195)-1)+1),2),0)</f>
        <v>0</v>
      </c>
      <c r="L195" s="52" t="str">
        <f>IFERROR(IF(R195&gt;0,M195*INDEX(PMGKITCHEN[Incremental Cost],MATCH(AB195,PMGKITCHEN[Eff Desc 1],0)),""),"")</f>
        <v/>
      </c>
      <c r="M195" s="456">
        <f>INDEX('M03-S05'!$V$16:$V$198,2*(ROWS($M$174:M195)-1)+1)</f>
        <v>0</v>
      </c>
      <c r="N195" s="113"/>
      <c r="O195" s="113"/>
      <c r="P195" s="184" t="str">
        <f>IF(ISNUMBER(INDEX('M03-S05'!$AN$40:$AN$198,2*(ROWS($R$186:R195)-1)+1)),INDEX('M03-S05'!$AK$40:$AK$198,2*(ROWS($P$186:P195)-1)+1),"")</f>
        <v/>
      </c>
      <c r="Q195" s="113"/>
      <c r="R195" s="184">
        <f>IF(ISNUMBER(INDEX('M03-S05'!$AN$16:$AN$198,2*(ROWS($R$174:R195)-1)+1)),INDEX('M03-S05'!$AN$16:$AN$198,2*(ROWS($R$174:R195)-1)+1),0)</f>
        <v>0</v>
      </c>
      <c r="S195" s="459"/>
      <c r="T195" s="113"/>
      <c r="U195" s="140"/>
      <c r="V195" s="113"/>
      <c r="W195" s="96" t="str">
        <f>IFERROR(IF(NOT(ISNUMBER(INDEX('M03-S05'!$AN$16:$AN$198,2*(ROWS($R$174:R195)-1)+1))),INDEX('M03-S05'!$BC$16:$BC$198,2*(ROWS($R$174:R195)-1)+1),""),"")</f>
        <v/>
      </c>
      <c r="X195" s="113"/>
      <c r="Y195" s="113"/>
      <c r="Z195" s="111">
        <f>INDEX('M03-S05'!$B$16:$B$198,2*(ROWS($Z$174:Z195)-1)+1)</f>
        <v>22</v>
      </c>
      <c r="AA195" s="111" t="str">
        <f>INDEX('M03-S05'!$N$16:$N$198,2*(ROWS($Z$174:AA195)-1)+1)</f>
        <v/>
      </c>
      <c r="AB195" s="111">
        <f>INDEX('M03-S05'!$C$16:$C$198,2*(ROWS($Z$174:AB195)-1)+1)</f>
        <v>0</v>
      </c>
      <c r="AC195" s="96"/>
      <c r="AD195">
        <f>INDEX('M03-S05'!$X$16:$X$198,2*(ROWS($AD$174:AD195)-1)+1)</f>
        <v>0</v>
      </c>
      <c r="AE195" s="459"/>
      <c r="AF195" s="459"/>
      <c r="AG195" s="112"/>
      <c r="AH195" s="112"/>
      <c r="AI195" s="112"/>
      <c r="AJ195" s="112"/>
      <c r="AK195" s="112"/>
      <c r="AL195" s="112"/>
      <c r="AM195" s="112"/>
      <c r="AN195" s="112"/>
      <c r="AO195" s="111" t="str">
        <f>IFERROR(INDEX(PMGKITCHEN[Program Design],MATCH(AB195,PMGKITCHEN[Eff Desc 1],0)),"")</f>
        <v/>
      </c>
      <c r="AU195"/>
    </row>
    <row r="196" spans="1:47">
      <c r="A196" s="57">
        <f t="shared" si="17"/>
        <v>0</v>
      </c>
      <c r="B196" s="183" t="str">
        <f t="shared" si="20"/>
        <v/>
      </c>
      <c r="C196" t="str">
        <f>IFERROR(IF(R196&gt;0,INDEX(PMGKITCHEN[Measure '#],MATCH(AB196,PMGKITCHEN[Eff Desc 1],0)),""),"")</f>
        <v/>
      </c>
      <c r="D196" t="s">
        <v>947</v>
      </c>
      <c r="F196" s="112"/>
      <c r="G196" s="186">
        <f>INDEX('M03-S05'!$AB$16:$AB$198,2*(ROWS($G$174:G196)-1)+1)</f>
        <v>0</v>
      </c>
      <c r="H196" s="186" t="str">
        <f>IF(ISNUMBER(INDEX('M03-S05'!$AN$16:$AN$198,2*(ROWS($R$174:R196)-1)+1)),"Total","")</f>
        <v/>
      </c>
      <c r="I196" s="184">
        <f>IFERROR(ROUND(INDEX('M03-S05'!$V$16:$V$198,2*(ROWS($I$174:I196)-1)+1)*INDEX('M03-S05'!$AE$16:$AE$198,2*(ROWS($I$174:I196)-1)+1),2),0)</f>
        <v>0</v>
      </c>
      <c r="J196" s="184">
        <f>IFERROR(ROUND(INDEX('M03-S05'!$V$16:$V$198,2*(ROWS($J$174:J196)-1)+1)*INDEX('M03-S05'!$AG$16:$AG$198,2*(ROWS($J$174:J196)-1)+1),2),0)</f>
        <v>0</v>
      </c>
      <c r="K196" s="52">
        <f>IFERROR(ROUND(INDEX('M03-S05'!$AU$16:$AU$198,2*(ROWS($K$174:K196)-1)+1),2),0)</f>
        <v>0</v>
      </c>
      <c r="L196" s="52" t="str">
        <f>IFERROR(IF(R196&gt;0,M196*INDEX(PMGKITCHEN[Incremental Cost],MATCH(AB196,PMGKITCHEN[Eff Desc 1],0)),""),"")</f>
        <v/>
      </c>
      <c r="M196" s="456">
        <f>INDEX('M03-S05'!$V$16:$V$198,2*(ROWS($M$174:M196)-1)+1)</f>
        <v>0</v>
      </c>
      <c r="N196" s="113"/>
      <c r="O196" s="113"/>
      <c r="P196" s="184" t="str">
        <f>IF(ISNUMBER(INDEX('M03-S05'!$AN$40:$AN$198,2*(ROWS($R$186:R196)-1)+1)),INDEX('M03-S05'!$AK$40:$AK$198,2*(ROWS($P$186:P196)-1)+1),"")</f>
        <v/>
      </c>
      <c r="Q196" s="113"/>
      <c r="R196" s="184">
        <f>IF(ISNUMBER(INDEX('M03-S05'!$AN$16:$AN$198,2*(ROWS($R$174:R196)-1)+1)),INDEX('M03-S05'!$AN$16:$AN$198,2*(ROWS($R$174:R196)-1)+1),0)</f>
        <v>0</v>
      </c>
      <c r="S196" s="459"/>
      <c r="T196" s="113"/>
      <c r="U196" s="140"/>
      <c r="V196" s="113"/>
      <c r="W196" s="96" t="str">
        <f>IFERROR(IF(NOT(ISNUMBER(INDEX('M03-S05'!$AN$16:$AN$198,2*(ROWS($R$174:R196)-1)+1))),INDEX('M03-S05'!$BC$16:$BC$198,2*(ROWS($R$174:R196)-1)+1),""),"")</f>
        <v/>
      </c>
      <c r="X196" s="113"/>
      <c r="Y196" s="113"/>
      <c r="Z196" s="111">
        <f>INDEX('M03-S05'!$B$16:$B$198,2*(ROWS($Z$174:Z196)-1)+1)</f>
        <v>23</v>
      </c>
      <c r="AA196" s="111" t="str">
        <f>INDEX('M03-S05'!$N$16:$N$198,2*(ROWS($Z$174:AA196)-1)+1)</f>
        <v/>
      </c>
      <c r="AB196" s="111">
        <f>INDEX('M03-S05'!$C$16:$C$198,2*(ROWS($Z$174:AB196)-1)+1)</f>
        <v>0</v>
      </c>
      <c r="AC196" s="96"/>
      <c r="AD196">
        <f>INDEX('M03-S05'!$X$16:$X$198,2*(ROWS($AD$174:AD196)-1)+1)</f>
        <v>0</v>
      </c>
      <c r="AE196" s="459"/>
      <c r="AF196" s="459"/>
      <c r="AG196" s="112"/>
      <c r="AH196" s="112"/>
      <c r="AI196" s="112"/>
      <c r="AJ196" s="112"/>
      <c r="AK196" s="112"/>
      <c r="AL196" s="112"/>
      <c r="AM196" s="112"/>
      <c r="AN196" s="112"/>
      <c r="AO196" s="111" t="str">
        <f>IFERROR(INDEX(PMGKITCHEN[Program Design],MATCH(AB196,PMGKITCHEN[Eff Desc 1],0)),"")</f>
        <v/>
      </c>
      <c r="AU196"/>
    </row>
    <row r="197" spans="1:47">
      <c r="A197" s="57">
        <f t="shared" si="17"/>
        <v>0</v>
      </c>
      <c r="B197" s="183" t="str">
        <f t="shared" ref="B197" ca="1" si="21">IF(C197="","",CONCATENATE(ROW(),"-",C197))</f>
        <v/>
      </c>
      <c r="C197" s="559" t="str">
        <f ca="1">IFERROR(IF(R197&gt;0,INDEX(PMEBONUS[Measure '#],MATCH(AB197,PMEBONUS[Eff Desc 1],0)),""),"")</f>
        <v/>
      </c>
      <c r="D197" t="s">
        <v>947</v>
      </c>
      <c r="F197" s="112"/>
      <c r="G197" s="186">
        <f>INDEX('M03-S05'!$AB$16:$AB$198,2*(ROWS($G$174:G197)-1)+1)</f>
        <v>0</v>
      </c>
      <c r="H197" s="112"/>
      <c r="I197" s="184">
        <f ca="1">IFERROR(ROUND(INDEX('M03-S05'!$V$16:$V$198,2*(ROWS($I$174:I197)-1)+1)*INDEX('M03-S05'!$AE$16:$AE$198,2*(ROWS($I$174:I197)-1)+1),2),0)</f>
        <v>0</v>
      </c>
      <c r="J197" s="184">
        <f ca="1">IFERROR(ROUND(INDEX('M03-S05'!$V$16:$V$198,2*(ROWS($J$174:J197)-1)+1)*INDEX('M03-S05'!$AG$16:$AG$198,2*(ROWS($J$174:J197)-1)+1),2),0)</f>
        <v>0</v>
      </c>
      <c r="K197" s="52">
        <f>IFERROR(ROUND(INDEX('M03-S05'!$AU$16:$AU$198,2*(ROWS($K$174:K197)-1)+1),2),0)</f>
        <v>0</v>
      </c>
      <c r="L197" s="52" t="str">
        <f ca="1">IFERROR(IF(R197&gt;0,M197*INDEX(PMGKITCHEN[Incremental Cost],MATCH(AB197,PMGKITCHEN[Eff Desc 1],0)),""),"")</f>
        <v/>
      </c>
      <c r="M197" s="456">
        <f ca="1">INDEX('M03-S05'!$V$16:$V$198,2*(ROWS($M$174:M197)-1)+1)</f>
        <v>0</v>
      </c>
      <c r="N197" s="113"/>
      <c r="O197" s="113"/>
      <c r="P197" s="184"/>
      <c r="Q197" s="113"/>
      <c r="R197" s="184">
        <f ca="1">IF(ISNUMBER(INDEX('M03-S05'!$AN$16:$AN$198,2*(ROWS($R$174:R197)-1)+1)),INDEX('M03-S05'!$AN$16:$AN$198,2*(ROWS($R$174:R197)-1)+1),0)</f>
        <v>0</v>
      </c>
      <c r="S197" s="459"/>
      <c r="T197" s="113"/>
      <c r="U197" s="140"/>
      <c r="V197" s="113"/>
      <c r="W197" s="96">
        <f ca="1">IFERROR(IF(NOT(ISNUMBER(INDEX('M03-S05'!$AN$16:$AN$198,2*(ROWS($R$174:R197)-1)+1))),INDEX('M03-S05'!$BC$16:$BC$198,2*(ROWS($R$174:R197)-1)+1),""),"")</f>
        <v>0</v>
      </c>
      <c r="X197" s="113"/>
      <c r="Y197" s="113"/>
      <c r="Z197" s="111">
        <f>INDEX('M03-S05'!$B$16:$B$198,2*(ROWS($Z$174:Z197)-1)+1)</f>
        <v>24</v>
      </c>
      <c r="AA197" s="111" t="str">
        <f ca="1">INDEX('M03-S05'!$N$16:$N$198,2*(ROWS($Z$174:AA197)-1)+1)</f>
        <v/>
      </c>
      <c r="AB197" s="111">
        <f ca="1">INDEX('M03-S05'!$C$16:$C$198,2*(ROWS($Z$174:AB197)-1)+1)</f>
        <v>0</v>
      </c>
      <c r="AC197" s="96"/>
      <c r="AD197">
        <f>INDEX('M03-S05'!$X$16:$X$198,2*(ROWS($AD$174:AD197)-1)+1)</f>
        <v>0</v>
      </c>
      <c r="AE197" s="459"/>
      <c r="AF197" s="459"/>
      <c r="AG197" s="112"/>
      <c r="AH197" s="112"/>
      <c r="AI197" s="112"/>
      <c r="AJ197" s="112"/>
      <c r="AK197" s="112"/>
      <c r="AL197" s="112"/>
      <c r="AM197" s="112"/>
      <c r="AN197" s="112"/>
      <c r="AO197" s="111" t="str">
        <f ca="1">IFERROR(INDEX(PMEBONUS[Program Design],MATCH(AB197,PMEBONUS[Eff Desc 1],0)),"")</f>
        <v/>
      </c>
      <c r="AU197"/>
    </row>
    <row r="198" spans="1:47">
      <c r="A198" s="146" t="str">
        <f>CONCATENATE(MAIN3," ",M3S8)</f>
        <v>PRESCRIPTIVE MEASURES INPUT Misc / Compressed Air / VFDs</v>
      </c>
      <c r="B198" s="148"/>
      <c r="C198" s="148"/>
      <c r="D198" s="120"/>
      <c r="E198" s="120"/>
      <c r="F198" s="124"/>
      <c r="G198" s="120"/>
      <c r="H198" s="120"/>
      <c r="I198" s="125"/>
      <c r="J198" s="125"/>
      <c r="K198" s="125"/>
      <c r="L198" s="125"/>
      <c r="M198" s="457"/>
      <c r="N198" s="125"/>
      <c r="O198" s="457"/>
      <c r="P198" s="125"/>
      <c r="Q198" s="125"/>
      <c r="R198" s="125"/>
      <c r="S198" s="460"/>
      <c r="T198" s="127"/>
      <c r="U198" s="141"/>
      <c r="V198" s="127"/>
      <c r="W198" s="126"/>
      <c r="X198" s="127"/>
      <c r="Y198" s="127"/>
      <c r="Z198" s="124"/>
      <c r="AA198" s="124"/>
      <c r="AB198" s="124"/>
      <c r="AC198" s="126"/>
      <c r="AD198" s="120"/>
      <c r="AE198" s="457"/>
      <c r="AF198" s="457"/>
      <c r="AG198" s="128"/>
      <c r="AH198" s="128"/>
      <c r="AI198" s="128"/>
      <c r="AJ198" s="128"/>
      <c r="AK198" s="127"/>
      <c r="AL198" s="127"/>
      <c r="AM198" s="127"/>
      <c r="AN198" s="127"/>
      <c r="AO198" s="127"/>
      <c r="AU198"/>
    </row>
    <row r="199" spans="1:47">
      <c r="A199" s="57">
        <f t="shared" si="17"/>
        <v>0</v>
      </c>
      <c r="B199" s="183" t="str">
        <f t="shared" si="18"/>
        <v/>
      </c>
      <c r="C199" t="str">
        <f>IFERROR(IF(R199&gt;0,INDEX(PMECA[Measure '#],MATCH(AB199,PMECA[Eff Desc 1],0)),""),"")</f>
        <v/>
      </c>
      <c r="D199" t="s">
        <v>947</v>
      </c>
      <c r="F199" s="112"/>
      <c r="G199" s="112"/>
      <c r="H199" s="186" t="str">
        <f>IF(ISNUMBER(INDEX('M03-S08'!$AO$16:$AO$198,2*(ROWS($R$199:R199)-1)+1)),"Total","")</f>
        <v/>
      </c>
      <c r="I199" s="184">
        <f>IFERROR(ROUND(INDEX('M03-S08'!$AA$16:$AA$198,2*(ROWS($I$199:I199)-1)+1),2),0)</f>
        <v>0</v>
      </c>
      <c r="J199" s="184">
        <f>IFERROR(ROUND(INDEX('M03-S08'!$AC$16:$AC$198,2*(ROWS($J$199:J199)-1)+1),2),0)</f>
        <v>0</v>
      </c>
      <c r="K199" s="52">
        <f>IFERROR(ROUND(INDEX('M03-S08'!$AU$16:$AU$198,2*(ROWS($K$199:K199)-1)+1),2),0)</f>
        <v>0</v>
      </c>
      <c r="L199" s="52" t="str">
        <f>IFERROR(IF(R199&gt;0,M199*INDEX(PMECA[Incremental Cost],MATCH(AB199,PMECA[Eff Desc 1],0)),""),"")</f>
        <v/>
      </c>
      <c r="M199" s="456">
        <f>INDEX('M03-S08'!$V$16:$V$198,2*(ROWS($M$199:M199)-1)+1)</f>
        <v>0</v>
      </c>
      <c r="N199" s="184" t="str">
        <f>IF(ISNUMBER(INDEX('M03-S08'!$AO$16:$AO$198,2*(ROWS($R$199:R199)-1)+1)),INDEX('M03-S08'!$AV$16:$AV$198,2*(ROWS($N$199:N199)-1)+1),"")</f>
        <v/>
      </c>
      <c r="O199" s="456" t="str">
        <f>IFERROR(IF(ISNUMBER(INDEX('M03-S08'!$AO$16:$AO$198,2*(ROWS($R$199:R199)-1)+1)),INDEX('M03-S08'!$AW$16:$AW$198,2*(ROWS($O$199:O199)-1)+1),""),"")</f>
        <v/>
      </c>
      <c r="P199" s="113"/>
      <c r="Q199" s="113"/>
      <c r="R199" s="184">
        <f>IF(ISNUMBER(INDEX('M03-S08'!$AO$16:$AO$198,2*(ROWS($R$199:R199)-1)+1)),INDEX('M03-S08'!$AO$16:$AO$198,2*(ROWS($R$199:R199)-1)+1),0)</f>
        <v>0</v>
      </c>
      <c r="S199" s="459"/>
      <c r="T199" s="113"/>
      <c r="U199" s="140"/>
      <c r="V199" s="113"/>
      <c r="W199" s="96" t="str">
        <f>IFERROR(IF(NOT(ISNUMBER(INDEX('M03-S08'!$AO$16:$AO$198,2*(ROWS($R$199:R199)-1)+1))),INDEX('M03-S08'!$BC$16:$BC$198,2*(ROWS($R$199:R199)-1)+1),""),"")</f>
        <v/>
      </c>
      <c r="X199" s="113"/>
      <c r="Y199" s="113"/>
      <c r="Z199" s="111">
        <f>INDEX('M03-S08'!$B$16:$B$198,2*(ROWS($Z$199:Z199)-1)+1)</f>
        <v>1</v>
      </c>
      <c r="AA199" s="111">
        <f>INDEX('M03-S08'!$J$16:$J$198,2*(ROWS($Z$199:AA199)-1)+1)</f>
        <v>0</v>
      </c>
      <c r="AB199" s="111">
        <f>INDEX('M03-S08'!$C$16:$C$198,2*(ROWS($Z$199:AB199)-1)+1)</f>
        <v>0</v>
      </c>
      <c r="AC199" s="96"/>
      <c r="AD199">
        <f>INDEX('M03-S08'!$X$16:$X$198,2*(ROWS($AD$199:AD199)-1)+1)</f>
        <v>0</v>
      </c>
      <c r="AE199" s="459"/>
      <c r="AF199" s="459"/>
      <c r="AG199" s="112"/>
      <c r="AH199" s="112"/>
      <c r="AI199" s="112"/>
      <c r="AJ199" s="112"/>
      <c r="AK199" s="112"/>
      <c r="AL199" s="112"/>
      <c r="AM199" s="112"/>
      <c r="AN199" s="112"/>
      <c r="AO199" s="111" t="str">
        <f>IFERROR(INDEX(PMECA[Program Design],MATCH(AB199,PMECA[Eff Desc 1],0)),"")</f>
        <v/>
      </c>
      <c r="AU199"/>
    </row>
    <row r="200" spans="1:47">
      <c r="A200" s="57">
        <f t="shared" si="17"/>
        <v>0</v>
      </c>
      <c r="B200" s="183" t="str">
        <f t="shared" si="18"/>
        <v/>
      </c>
      <c r="C200" t="str">
        <f>IFERROR(IF(R200&gt;0,INDEX(PMECA[Measure '#],MATCH(AB200,PMECA[Eff Desc 1],0)),""),"")</f>
        <v/>
      </c>
      <c r="D200" t="s">
        <v>947</v>
      </c>
      <c r="F200" s="112"/>
      <c r="G200" s="112"/>
      <c r="H200" s="186" t="str">
        <f>IF(ISNUMBER(INDEX('M03-S08'!$AO$16:$AO$198,2*(ROWS($R$199:R200)-1)+1)),"Total","")</f>
        <v/>
      </c>
      <c r="I200" s="184">
        <f>IFERROR(ROUND(INDEX('M03-S08'!$AA$16:$AA$198,2*(ROWS($I$199:I200)-1)+1),2),0)</f>
        <v>0</v>
      </c>
      <c r="J200" s="184">
        <f>IFERROR(ROUND(INDEX('M03-S08'!$AC$16:$AC$198,2*(ROWS($J$199:J200)-1)+1),2),0)</f>
        <v>0</v>
      </c>
      <c r="K200" s="52">
        <f>IFERROR(ROUND(INDEX('M03-S08'!$AU$16:$AU$198,2*(ROWS($K$199:K200)-1)+1),2),0)</f>
        <v>0</v>
      </c>
      <c r="L200" s="52" t="str">
        <f>IFERROR(IF(R200&gt;0,M200*INDEX(PMECA[Incremental Cost],MATCH(AB200,PMECA[Eff Desc 1],0)),""),"")</f>
        <v/>
      </c>
      <c r="M200" s="456">
        <f>INDEX('M03-S08'!$V$16:$V$198,2*(ROWS($M$199:M200)-1)+1)</f>
        <v>0</v>
      </c>
      <c r="N200" s="184" t="str">
        <f>IF(ISNUMBER(INDEX('M03-S08'!$AO$16:$AO$198,2*(ROWS($R$199:R200)-1)+1)),INDEX('M03-S08'!$AV$16:$AV$198,2*(ROWS($N$199:N200)-1)+1),"")</f>
        <v/>
      </c>
      <c r="O200" s="456" t="str">
        <f>IFERROR(IF(ISNUMBER(INDEX('M03-S08'!$AO$16:$AO$198,2*(ROWS($R$199:R200)-1)+1)),INDEX('M03-S08'!$AW$16:$AW$198,2*(ROWS($O$199:O200)-1)+1),""),"")</f>
        <v/>
      </c>
      <c r="P200" s="113"/>
      <c r="Q200" s="113"/>
      <c r="R200" s="184">
        <f>IF(ISNUMBER(INDEX('M03-S08'!$AO$16:$AO$198,2*(ROWS($R$199:R200)-1)+1)),INDEX('M03-S08'!$AO$16:$AO$198,2*(ROWS($R$199:R200)-1)+1),0)</f>
        <v>0</v>
      </c>
      <c r="S200" s="459"/>
      <c r="T200" s="113"/>
      <c r="U200" s="140"/>
      <c r="V200" s="113"/>
      <c r="W200" s="96" t="str">
        <f>IFERROR(IF(NOT(ISNUMBER(INDEX('M03-S08'!$AO$16:$AO$198,2*(ROWS($R$199:R200)-1)+1))),INDEX('M03-S08'!$BC$16:$BC$198,2*(ROWS($R$199:R200)-1)+1),""),"")</f>
        <v/>
      </c>
      <c r="X200" s="113"/>
      <c r="Y200" s="113"/>
      <c r="Z200" s="111">
        <f>INDEX('M03-S08'!$B$16:$B$198,2*(ROWS($Z$199:Z200)-1)+1)</f>
        <v>2</v>
      </c>
      <c r="AA200" s="111">
        <f>INDEX('M03-S08'!$J$16:$J$198,2*(ROWS($Z$199:AA200)-1)+1)</f>
        <v>0</v>
      </c>
      <c r="AB200" s="111">
        <f>INDEX('M03-S08'!$C$16:$C$198,2*(ROWS($Z$199:AB200)-1)+1)</f>
        <v>0</v>
      </c>
      <c r="AC200" s="96"/>
      <c r="AD200">
        <f>INDEX('M03-S08'!$X$16:$X$198,2*(ROWS($AD$199:AD200)-1)+1)</f>
        <v>0</v>
      </c>
      <c r="AE200" s="459"/>
      <c r="AF200" s="459"/>
      <c r="AG200" s="112"/>
      <c r="AH200" s="112"/>
      <c r="AI200" s="112"/>
      <c r="AJ200" s="112"/>
      <c r="AK200" s="112"/>
      <c r="AL200" s="112"/>
      <c r="AM200" s="112"/>
      <c r="AN200" s="112"/>
      <c r="AO200" s="111" t="str">
        <f>IFERROR(INDEX(PMECA[Program Design],MATCH(AB200,PMECA[Eff Desc 1],0)),"")</f>
        <v/>
      </c>
      <c r="AU200"/>
    </row>
    <row r="201" spans="1:47">
      <c r="A201" s="57">
        <f t="shared" si="17"/>
        <v>0</v>
      </c>
      <c r="B201" s="183" t="str">
        <f t="shared" si="18"/>
        <v/>
      </c>
      <c r="C201" t="str">
        <f>IFERROR(IF(R201&gt;0,INDEX(PMECA[Measure '#],MATCH(AB201,PMECA[Eff Desc 1],0)),""),"")</f>
        <v/>
      </c>
      <c r="D201" t="s">
        <v>947</v>
      </c>
      <c r="F201" s="112"/>
      <c r="G201" s="112"/>
      <c r="H201" s="186" t="str">
        <f>IF(ISNUMBER(INDEX('M03-S08'!$AO$16:$AO$198,2*(ROWS($R$199:R201)-1)+1)),"Total","")</f>
        <v/>
      </c>
      <c r="I201" s="184">
        <f>IFERROR(ROUND(INDEX('M03-S08'!$AA$16:$AA$198,2*(ROWS($I$199:I201)-1)+1),2),0)</f>
        <v>0</v>
      </c>
      <c r="J201" s="184">
        <f>IFERROR(ROUND(INDEX('M03-S08'!$AC$16:$AC$198,2*(ROWS($J$199:J201)-1)+1),2),0)</f>
        <v>0</v>
      </c>
      <c r="K201" s="52">
        <f>IFERROR(ROUND(INDEX('M03-S08'!$AU$16:$AU$198,2*(ROWS($K$199:K201)-1)+1),2),0)</f>
        <v>0</v>
      </c>
      <c r="L201" s="52" t="str">
        <f>IFERROR(IF(R201&gt;0,M201*INDEX(PMECA[Incremental Cost],MATCH(AB201,PMECA[Eff Desc 1],0)),""),"")</f>
        <v/>
      </c>
      <c r="M201" s="456">
        <f>INDEX('M03-S08'!$V$16:$V$198,2*(ROWS($M$199:M201)-1)+1)</f>
        <v>0</v>
      </c>
      <c r="N201" s="184" t="str">
        <f>IF(ISNUMBER(INDEX('M03-S08'!$AO$16:$AO$198,2*(ROWS($R$199:R201)-1)+1)),INDEX('M03-S08'!$AV$16:$AV$198,2*(ROWS($N$199:N201)-1)+1),"")</f>
        <v/>
      </c>
      <c r="O201" s="456" t="str">
        <f>IFERROR(IF(ISNUMBER(INDEX('M03-S08'!$AO$16:$AO$198,2*(ROWS($R$199:R201)-1)+1)),INDEX('M03-S08'!$AW$16:$AW$198,2*(ROWS($O$199:O201)-1)+1),""),"")</f>
        <v/>
      </c>
      <c r="P201" s="113"/>
      <c r="Q201" s="113"/>
      <c r="R201" s="184">
        <f>IF(ISNUMBER(INDEX('M03-S08'!$AO$16:$AO$198,2*(ROWS($R$199:R201)-1)+1)),INDEX('M03-S08'!$AO$16:$AO$198,2*(ROWS($R$199:R201)-1)+1),0)</f>
        <v>0</v>
      </c>
      <c r="S201" s="459"/>
      <c r="T201" s="113"/>
      <c r="U201" s="140"/>
      <c r="V201" s="113"/>
      <c r="W201" s="96" t="str">
        <f>IFERROR(IF(NOT(ISNUMBER(INDEX('M03-S08'!$AO$16:$AO$198,2*(ROWS($R$199:R201)-1)+1))),INDEX('M03-S08'!$BC$16:$BC$198,2*(ROWS($R$199:R201)-1)+1),""),"")</f>
        <v/>
      </c>
      <c r="X201" s="113"/>
      <c r="Y201" s="113"/>
      <c r="Z201" s="111">
        <f>INDEX('M03-S08'!$B$16:$B$198,2*(ROWS($Z$199:Z201)-1)+1)</f>
        <v>3</v>
      </c>
      <c r="AA201" s="111">
        <f>INDEX('M03-S08'!$J$16:$J$198,2*(ROWS($Z$199:AA201)-1)+1)</f>
        <v>0</v>
      </c>
      <c r="AB201" s="111">
        <f>INDEX('M03-S08'!$C$16:$C$198,2*(ROWS($Z$199:AB201)-1)+1)</f>
        <v>0</v>
      </c>
      <c r="AC201" s="96"/>
      <c r="AD201">
        <f>INDEX('M03-S08'!$X$16:$X$198,2*(ROWS($AD$199:AD201)-1)+1)</f>
        <v>0</v>
      </c>
      <c r="AE201" s="459"/>
      <c r="AF201" s="459"/>
      <c r="AG201" s="112"/>
      <c r="AH201" s="112"/>
      <c r="AI201" s="112"/>
      <c r="AJ201" s="112"/>
      <c r="AK201" s="112"/>
      <c r="AL201" s="112"/>
      <c r="AM201" s="112"/>
      <c r="AN201" s="112"/>
      <c r="AO201" s="111" t="str">
        <f>IFERROR(INDEX(PMECA[Program Design],MATCH(AB201,PMECA[Eff Desc 1],0)),"")</f>
        <v/>
      </c>
      <c r="AU201"/>
    </row>
    <row r="202" spans="1:47">
      <c r="A202" s="57">
        <f t="shared" si="17"/>
        <v>0</v>
      </c>
      <c r="B202" s="183" t="str">
        <f t="shared" si="18"/>
        <v/>
      </c>
      <c r="C202" t="str">
        <f>IFERROR(IF(R202&gt;0,INDEX(PMECA[Measure '#],MATCH(AB202,PMECA[Eff Desc 1],0)),""),"")</f>
        <v/>
      </c>
      <c r="D202" t="s">
        <v>947</v>
      </c>
      <c r="F202" s="112"/>
      <c r="G202" s="112"/>
      <c r="H202" s="186" t="str">
        <f>IF(ISNUMBER(INDEX('M03-S08'!$AO$16:$AO$198,2*(ROWS($R$199:R202)-1)+1)),"Total","")</f>
        <v/>
      </c>
      <c r="I202" s="184">
        <f>IFERROR(ROUND(INDEX('M03-S08'!$AA$16:$AA$198,2*(ROWS($I$199:I202)-1)+1),2),0)</f>
        <v>0</v>
      </c>
      <c r="J202" s="184">
        <f>IFERROR(ROUND(INDEX('M03-S08'!$AC$16:$AC$198,2*(ROWS($J$199:J202)-1)+1),2),0)</f>
        <v>0</v>
      </c>
      <c r="K202" s="52">
        <f>IFERROR(ROUND(INDEX('M03-S08'!$AU$16:$AU$198,2*(ROWS($K$199:K202)-1)+1),2),0)</f>
        <v>0</v>
      </c>
      <c r="L202" s="52" t="str">
        <f>IFERROR(IF(R202&gt;0,M202*INDEX(PMECA[Incremental Cost],MATCH(AB202,PMECA[Eff Desc 1],0)),""),"")</f>
        <v/>
      </c>
      <c r="M202" s="456">
        <f>INDEX('M03-S08'!$V$16:$V$198,2*(ROWS($M$199:M202)-1)+1)</f>
        <v>0</v>
      </c>
      <c r="N202" s="184" t="str">
        <f>IF(ISNUMBER(INDEX('M03-S08'!$AO$16:$AO$198,2*(ROWS($R$199:R202)-1)+1)),INDEX('M03-S08'!$AV$16:$AV$198,2*(ROWS($N$199:N202)-1)+1),"")</f>
        <v/>
      </c>
      <c r="O202" s="456" t="str">
        <f>IFERROR(IF(ISNUMBER(INDEX('M03-S08'!$AO$16:$AO$198,2*(ROWS($R$199:R202)-1)+1)),INDEX('M03-S08'!$AW$16:$AW$198,2*(ROWS($O$199:O202)-1)+1),""),"")</f>
        <v/>
      </c>
      <c r="P202" s="113"/>
      <c r="Q202" s="113"/>
      <c r="R202" s="184">
        <f>IF(ISNUMBER(INDEX('M03-S08'!$AO$16:$AO$198,2*(ROWS($R$199:R202)-1)+1)),INDEX('M03-S08'!$AO$16:$AO$198,2*(ROWS($R$199:R202)-1)+1),0)</f>
        <v>0</v>
      </c>
      <c r="S202" s="459"/>
      <c r="T202" s="113"/>
      <c r="U202" s="140"/>
      <c r="V202" s="113"/>
      <c r="W202" s="96" t="str">
        <f>IFERROR(IF(NOT(ISNUMBER(INDEX('M03-S08'!$AO$16:$AO$198,2*(ROWS($R$199:R202)-1)+1))),INDEX('M03-S08'!$BC$16:$BC$198,2*(ROWS($R$199:R202)-1)+1),""),"")</f>
        <v/>
      </c>
      <c r="X202" s="113"/>
      <c r="Y202" s="113"/>
      <c r="Z202" s="111">
        <f>INDEX('M03-S08'!$B$16:$B$198,2*(ROWS($Z$199:Z202)-1)+1)</f>
        <v>4</v>
      </c>
      <c r="AA202" s="111">
        <f>INDEX('M03-S08'!$J$16:$J$198,2*(ROWS($Z$199:AA202)-1)+1)</f>
        <v>0</v>
      </c>
      <c r="AB202" s="111">
        <f>INDEX('M03-S08'!$C$16:$C$198,2*(ROWS($Z$199:AB202)-1)+1)</f>
        <v>0</v>
      </c>
      <c r="AC202" s="96"/>
      <c r="AD202">
        <f>INDEX('M03-S08'!$X$16:$X$198,2*(ROWS($AD$199:AD202)-1)+1)</f>
        <v>0</v>
      </c>
      <c r="AE202" s="459"/>
      <c r="AF202" s="459"/>
      <c r="AG202" s="112"/>
      <c r="AH202" s="112"/>
      <c r="AI202" s="112"/>
      <c r="AJ202" s="112"/>
      <c r="AK202" s="112"/>
      <c r="AL202" s="112"/>
      <c r="AM202" s="112"/>
      <c r="AN202" s="112"/>
      <c r="AO202" s="111" t="str">
        <f>IFERROR(INDEX(PMECA[Program Design],MATCH(AB202,PMECA[Eff Desc 1],0)),"")</f>
        <v/>
      </c>
      <c r="AU202"/>
    </row>
    <row r="203" spans="1:47">
      <c r="A203" s="57">
        <f t="shared" si="17"/>
        <v>0</v>
      </c>
      <c r="B203" s="183" t="str">
        <f t="shared" si="18"/>
        <v/>
      </c>
      <c r="C203" t="str">
        <f>IFERROR(IF(R203&gt;0,INDEX(PMECA[Measure '#],MATCH(AB203,PMECA[Eff Desc 1],0)),""),"")</f>
        <v/>
      </c>
      <c r="D203" t="s">
        <v>947</v>
      </c>
      <c r="F203" s="112"/>
      <c r="G203" s="112"/>
      <c r="H203" s="186" t="str">
        <f>IF(ISNUMBER(INDEX('M03-S08'!$AO$16:$AO$198,2*(ROWS($R$199:R203)-1)+1)),"Total","")</f>
        <v/>
      </c>
      <c r="I203" s="184">
        <f>IFERROR(ROUND(INDEX('M03-S08'!$AA$16:$AA$198,2*(ROWS($I$199:I203)-1)+1),2),0)</f>
        <v>0</v>
      </c>
      <c r="J203" s="184">
        <f>IFERROR(ROUND(INDEX('M03-S08'!$AC$16:$AC$198,2*(ROWS($J$199:J203)-1)+1),2),0)</f>
        <v>0</v>
      </c>
      <c r="K203" s="52">
        <f>IFERROR(ROUND(INDEX('M03-S08'!$AU$16:$AU$198,2*(ROWS($K$199:K203)-1)+1),2),0)</f>
        <v>0</v>
      </c>
      <c r="L203" s="52" t="str">
        <f>IFERROR(IF(R203&gt;0,M203*INDEX(PMECA[Incremental Cost],MATCH(AB203,PMECA[Eff Desc 1],0)),""),"")</f>
        <v/>
      </c>
      <c r="M203" s="456">
        <f>INDEX('M03-S08'!$V$16:$V$198,2*(ROWS($M$199:M203)-1)+1)</f>
        <v>0</v>
      </c>
      <c r="N203" s="184" t="str">
        <f>IF(ISNUMBER(INDEX('M03-S08'!$AO$16:$AO$198,2*(ROWS($R$199:R203)-1)+1)),INDEX('M03-S08'!$AV$16:$AV$198,2*(ROWS($N$199:N203)-1)+1),"")</f>
        <v/>
      </c>
      <c r="O203" s="456" t="str">
        <f>IFERROR(IF(ISNUMBER(INDEX('M03-S08'!$AO$16:$AO$198,2*(ROWS($R$199:R203)-1)+1)),INDEX('M03-S08'!$AW$16:$AW$198,2*(ROWS($O$199:O203)-1)+1),""),"")</f>
        <v/>
      </c>
      <c r="P203" s="113"/>
      <c r="Q203" s="113"/>
      <c r="R203" s="184">
        <f>IF(ISNUMBER(INDEX('M03-S08'!$AO$16:$AO$198,2*(ROWS($R$199:R203)-1)+1)),INDEX('M03-S08'!$AO$16:$AO$198,2*(ROWS($R$199:R203)-1)+1),0)</f>
        <v>0</v>
      </c>
      <c r="S203" s="459"/>
      <c r="T203" s="113"/>
      <c r="U203" s="140"/>
      <c r="V203" s="113"/>
      <c r="W203" s="96" t="str">
        <f>IFERROR(IF(NOT(ISNUMBER(INDEX('M03-S08'!$AO$16:$AO$198,2*(ROWS($R$199:R203)-1)+1))),INDEX('M03-S08'!$BC$16:$BC$198,2*(ROWS($R$199:R203)-1)+1),""),"")</f>
        <v/>
      </c>
      <c r="X203" s="113"/>
      <c r="Y203" s="113"/>
      <c r="Z203" s="111">
        <f>INDEX('M03-S08'!$B$16:$B$198,2*(ROWS($Z$199:Z203)-1)+1)</f>
        <v>5</v>
      </c>
      <c r="AA203" s="111">
        <f>INDEX('M03-S08'!$J$16:$J$198,2*(ROWS($Z$199:AA203)-1)+1)</f>
        <v>0</v>
      </c>
      <c r="AB203" s="111">
        <f>INDEX('M03-S08'!$C$16:$C$198,2*(ROWS($Z$199:AB203)-1)+1)</f>
        <v>0</v>
      </c>
      <c r="AC203" s="96"/>
      <c r="AD203">
        <f>INDEX('M03-S08'!$X$16:$X$198,2*(ROWS($AD$199:AD203)-1)+1)</f>
        <v>0</v>
      </c>
      <c r="AE203" s="459"/>
      <c r="AF203" s="459"/>
      <c r="AG203" s="112"/>
      <c r="AH203" s="112"/>
      <c r="AI203" s="112"/>
      <c r="AJ203" s="112"/>
      <c r="AK203" s="112"/>
      <c r="AL203" s="112"/>
      <c r="AM203" s="112"/>
      <c r="AN203" s="112"/>
      <c r="AO203" s="111" t="str">
        <f>IFERROR(INDEX(PMECA[Program Design],MATCH(AB203,PMECA[Eff Desc 1],0)),"")</f>
        <v/>
      </c>
      <c r="AU203"/>
    </row>
    <row r="204" spans="1:47">
      <c r="A204" s="57">
        <f t="shared" si="17"/>
        <v>0</v>
      </c>
      <c r="B204" s="183" t="str">
        <f t="shared" si="18"/>
        <v/>
      </c>
      <c r="C204" t="str">
        <f>IFERROR(IF(R204&gt;0,INDEX(PMECA[Measure '#],MATCH(AB204,PMECA[Eff Desc 1],0)),""),"")</f>
        <v/>
      </c>
      <c r="D204" t="s">
        <v>947</v>
      </c>
      <c r="F204" s="112"/>
      <c r="G204" s="112"/>
      <c r="H204" s="186" t="str">
        <f>IF(ISNUMBER(INDEX('M03-S08'!$AO$16:$AO$198,2*(ROWS($R$199:R204)-1)+1)),"Total","")</f>
        <v/>
      </c>
      <c r="I204" s="184">
        <f>IFERROR(ROUND(INDEX('M03-S08'!$AA$16:$AA$198,2*(ROWS($I$199:I204)-1)+1),2),0)</f>
        <v>0</v>
      </c>
      <c r="J204" s="184">
        <f>IFERROR(ROUND(INDEX('M03-S08'!$AC$16:$AC$198,2*(ROWS($J$199:J204)-1)+1),2),0)</f>
        <v>0</v>
      </c>
      <c r="K204" s="52">
        <f>IFERROR(ROUND(INDEX('M03-S08'!$AU$16:$AU$198,2*(ROWS($K$199:K204)-1)+1),2),0)</f>
        <v>0</v>
      </c>
      <c r="L204" s="52" t="str">
        <f>IFERROR(IF(R204&gt;0,M204*INDEX(PMECA[Incremental Cost],MATCH(AB204,PMECA[Eff Desc 1],0)),""),"")</f>
        <v/>
      </c>
      <c r="M204" s="456">
        <f>INDEX('M03-S08'!$V$16:$V$198,2*(ROWS($M$199:M204)-1)+1)</f>
        <v>0</v>
      </c>
      <c r="N204" s="184" t="str">
        <f>IF(ISNUMBER(INDEX('M03-S08'!$AO$16:$AO$198,2*(ROWS($R$199:R204)-1)+1)),INDEX('M03-S08'!$AV$16:$AV$198,2*(ROWS($N$199:N204)-1)+1),"")</f>
        <v/>
      </c>
      <c r="O204" s="456" t="str">
        <f>IFERROR(IF(ISNUMBER(INDEX('M03-S08'!$AO$16:$AO$198,2*(ROWS($R$199:R204)-1)+1)),INDEX('M03-S08'!$AW$16:$AW$198,2*(ROWS($O$199:O204)-1)+1),""),"")</f>
        <v/>
      </c>
      <c r="P204" s="113"/>
      <c r="Q204" s="113"/>
      <c r="R204" s="184">
        <f>IF(ISNUMBER(INDEX('M03-S08'!$AO$16:$AO$198,2*(ROWS($R$199:R204)-1)+1)),INDEX('M03-S08'!$AO$16:$AO$198,2*(ROWS($R$199:R204)-1)+1),0)</f>
        <v>0</v>
      </c>
      <c r="S204" s="459"/>
      <c r="T204" s="113"/>
      <c r="U204" s="140"/>
      <c r="V204" s="113"/>
      <c r="W204" s="96" t="str">
        <f>IFERROR(IF(NOT(ISNUMBER(INDEX('M03-S08'!$AO$16:$AO$198,2*(ROWS($R$199:R204)-1)+1))),INDEX('M03-S08'!$BC$16:$BC$198,2*(ROWS($R$199:R204)-1)+1),""),"")</f>
        <v/>
      </c>
      <c r="X204" s="113"/>
      <c r="Y204" s="113"/>
      <c r="Z204" s="111">
        <f>INDEX('M03-S08'!$B$16:$B$198,2*(ROWS($Z$199:Z204)-1)+1)</f>
        <v>6</v>
      </c>
      <c r="AA204" s="111">
        <f>INDEX('M03-S08'!$J$16:$J$198,2*(ROWS($Z$199:AA204)-1)+1)</f>
        <v>0</v>
      </c>
      <c r="AB204" s="111">
        <f>INDEX('M03-S08'!$C$16:$C$198,2*(ROWS($Z$199:AB204)-1)+1)</f>
        <v>0</v>
      </c>
      <c r="AC204" s="96"/>
      <c r="AD204">
        <f>INDEX('M03-S08'!$X$16:$X$198,2*(ROWS($AD$199:AD204)-1)+1)</f>
        <v>0</v>
      </c>
      <c r="AE204" s="459"/>
      <c r="AF204" s="459"/>
      <c r="AG204" s="112"/>
      <c r="AH204" s="112"/>
      <c r="AI204" s="112"/>
      <c r="AJ204" s="112"/>
      <c r="AK204" s="112"/>
      <c r="AL204" s="112"/>
      <c r="AM204" s="112"/>
      <c r="AN204" s="112"/>
      <c r="AO204" s="111" t="str">
        <f>IFERROR(INDEX(PMECA[Program Design],MATCH(AB204,PMECA[Eff Desc 1],0)),"")</f>
        <v/>
      </c>
      <c r="AU204"/>
    </row>
    <row r="205" spans="1:47">
      <c r="A205" s="57">
        <f t="shared" si="17"/>
        <v>0</v>
      </c>
      <c r="B205" s="183" t="str">
        <f t="shared" si="18"/>
        <v/>
      </c>
      <c r="C205" t="str">
        <f>IFERROR(IF(R205&gt;0,INDEX(PMECA[Measure '#],MATCH(AB205,PMECA[Eff Desc 1],0)),""),"")</f>
        <v/>
      </c>
      <c r="D205" t="s">
        <v>947</v>
      </c>
      <c r="F205" s="112"/>
      <c r="G205" s="112"/>
      <c r="H205" s="186" t="str">
        <f>IF(ISNUMBER(INDEX('M03-S08'!$AO$16:$AO$198,2*(ROWS($R$199:R205)-1)+1)),"Total","")</f>
        <v/>
      </c>
      <c r="I205" s="184">
        <f>IFERROR(ROUND(INDEX('M03-S08'!$AA$16:$AA$198,2*(ROWS($I$199:I205)-1)+1),2),0)</f>
        <v>0</v>
      </c>
      <c r="J205" s="184">
        <f>IFERROR(ROUND(INDEX('M03-S08'!$AC$16:$AC$198,2*(ROWS($J$199:J205)-1)+1),2),0)</f>
        <v>0</v>
      </c>
      <c r="K205" s="52">
        <f>IFERROR(ROUND(INDEX('M03-S08'!$AU$16:$AU$198,2*(ROWS($K$199:K205)-1)+1),2),0)</f>
        <v>0</v>
      </c>
      <c r="L205" s="52" t="str">
        <f>IFERROR(IF(R205&gt;0,M205*INDEX(PMECA[Incremental Cost],MATCH(AB205,PMECA[Eff Desc 1],0)),""),"")</f>
        <v/>
      </c>
      <c r="M205" s="456">
        <f>INDEX('M03-S08'!$V$16:$V$198,2*(ROWS($M$199:M205)-1)+1)</f>
        <v>0</v>
      </c>
      <c r="N205" s="184" t="str">
        <f>IF(ISNUMBER(INDEX('M03-S08'!$AO$16:$AO$198,2*(ROWS($R$199:R205)-1)+1)),INDEX('M03-S08'!$AV$16:$AV$198,2*(ROWS($N$199:N205)-1)+1),"")</f>
        <v/>
      </c>
      <c r="O205" s="456" t="str">
        <f>IFERROR(IF(ISNUMBER(INDEX('M03-S08'!$AO$16:$AO$198,2*(ROWS($R$199:R205)-1)+1)),INDEX('M03-S08'!$AW$16:$AW$198,2*(ROWS($O$199:O205)-1)+1),""),"")</f>
        <v/>
      </c>
      <c r="P205" s="113"/>
      <c r="Q205" s="113"/>
      <c r="R205" s="184">
        <f>IF(ISNUMBER(INDEX('M03-S08'!$AO$16:$AO$198,2*(ROWS($R$199:R205)-1)+1)),INDEX('M03-S08'!$AO$16:$AO$198,2*(ROWS($R$199:R205)-1)+1),0)</f>
        <v>0</v>
      </c>
      <c r="S205" s="459"/>
      <c r="T205" s="113"/>
      <c r="U205" s="140"/>
      <c r="V205" s="113"/>
      <c r="W205" s="96" t="str">
        <f>IFERROR(IF(NOT(ISNUMBER(INDEX('M03-S08'!$AO$16:$AO$198,2*(ROWS($R$199:R205)-1)+1))),INDEX('M03-S08'!$BC$16:$BC$198,2*(ROWS($R$199:R205)-1)+1),""),"")</f>
        <v/>
      </c>
      <c r="X205" s="113"/>
      <c r="Y205" s="113"/>
      <c r="Z205" s="111">
        <f>INDEX('M03-S08'!$B$16:$B$198,2*(ROWS($Z$199:Z205)-1)+1)</f>
        <v>7</v>
      </c>
      <c r="AA205" s="111">
        <f>INDEX('M03-S08'!$J$16:$J$198,2*(ROWS($Z$199:AA205)-1)+1)</f>
        <v>0</v>
      </c>
      <c r="AB205" s="111">
        <f>INDEX('M03-S08'!$C$16:$C$198,2*(ROWS($Z$199:AB205)-1)+1)</f>
        <v>0</v>
      </c>
      <c r="AC205" s="96"/>
      <c r="AD205">
        <f>INDEX('M03-S08'!$X$16:$X$198,2*(ROWS($AD$199:AD205)-1)+1)</f>
        <v>0</v>
      </c>
      <c r="AE205" s="459"/>
      <c r="AF205" s="459"/>
      <c r="AG205" s="112"/>
      <c r="AH205" s="112"/>
      <c r="AI205" s="112"/>
      <c r="AJ205" s="112"/>
      <c r="AK205" s="112"/>
      <c r="AL205" s="112"/>
      <c r="AM205" s="112"/>
      <c r="AN205" s="112"/>
      <c r="AO205" s="111" t="str">
        <f>IFERROR(INDEX(PMECA[Program Design],MATCH(AB205,PMECA[Eff Desc 1],0)),"")</f>
        <v/>
      </c>
      <c r="AU205"/>
    </row>
    <row r="206" spans="1:47">
      <c r="A206" s="57">
        <f t="shared" si="17"/>
        <v>0</v>
      </c>
      <c r="B206" s="183" t="str">
        <f t="shared" si="18"/>
        <v/>
      </c>
      <c r="C206" t="str">
        <f>IFERROR(IF(R206&gt;0,INDEX(PMECA[Measure '#],MATCH(AB206,PMECA[Eff Desc 1],0)),""),"")</f>
        <v/>
      </c>
      <c r="D206" t="s">
        <v>947</v>
      </c>
      <c r="F206" s="112"/>
      <c r="G206" s="112"/>
      <c r="H206" s="186" t="str">
        <f>IF(ISNUMBER(INDEX('M03-S08'!$AO$16:$AO$198,2*(ROWS($R$199:R206)-1)+1)),"Total","")</f>
        <v/>
      </c>
      <c r="I206" s="184">
        <f>IFERROR(ROUND(INDEX('M03-S08'!$AA$16:$AA$198,2*(ROWS($I$199:I206)-1)+1),2),0)</f>
        <v>0</v>
      </c>
      <c r="J206" s="184">
        <f>IFERROR(ROUND(INDEX('M03-S08'!$AC$16:$AC$198,2*(ROWS($J$199:J206)-1)+1),2),0)</f>
        <v>0</v>
      </c>
      <c r="K206" s="52">
        <f>IFERROR(ROUND(INDEX('M03-S08'!$AU$16:$AU$198,2*(ROWS($K$199:K206)-1)+1),2),0)</f>
        <v>0</v>
      </c>
      <c r="L206" s="52" t="str">
        <f>IFERROR(IF(R206&gt;0,M206*INDEX(PMECA[Incremental Cost],MATCH(AB206,PMECA[Eff Desc 1],0)),""),"")</f>
        <v/>
      </c>
      <c r="M206" s="456">
        <f>INDEX('M03-S08'!$V$16:$V$198,2*(ROWS($M$199:M206)-1)+1)</f>
        <v>0</v>
      </c>
      <c r="N206" s="184" t="str">
        <f>IF(ISNUMBER(INDEX('M03-S08'!$AO$16:$AO$198,2*(ROWS($R$199:R206)-1)+1)),INDEX('M03-S08'!$AV$16:$AV$198,2*(ROWS($N$199:N206)-1)+1),"")</f>
        <v/>
      </c>
      <c r="O206" s="456" t="str">
        <f>IFERROR(IF(ISNUMBER(INDEX('M03-S08'!$AO$16:$AO$198,2*(ROWS($R$199:R206)-1)+1)),INDEX('M03-S08'!$AW$16:$AW$198,2*(ROWS($O$199:O206)-1)+1),""),"")</f>
        <v/>
      </c>
      <c r="P206" s="113"/>
      <c r="Q206" s="113"/>
      <c r="R206" s="184">
        <f>IF(ISNUMBER(INDEX('M03-S08'!$AO$16:$AO$198,2*(ROWS($R$199:R206)-1)+1)),INDEX('M03-S08'!$AO$16:$AO$198,2*(ROWS($R$199:R206)-1)+1),0)</f>
        <v>0</v>
      </c>
      <c r="S206" s="459"/>
      <c r="T206" s="113"/>
      <c r="U206" s="140"/>
      <c r="V206" s="113"/>
      <c r="W206" s="96" t="str">
        <f>IFERROR(IF(NOT(ISNUMBER(INDEX('M03-S08'!$AO$16:$AO$198,2*(ROWS($R$199:R206)-1)+1))),INDEX('M03-S08'!$BC$16:$BC$198,2*(ROWS($R$199:R206)-1)+1),""),"")</f>
        <v/>
      </c>
      <c r="X206" s="113"/>
      <c r="Y206" s="113"/>
      <c r="Z206" s="111">
        <f>INDEX('M03-S08'!$B$16:$B$198,2*(ROWS($Z$199:Z206)-1)+1)</f>
        <v>8</v>
      </c>
      <c r="AA206" s="111">
        <f>INDEX('M03-S08'!$J$16:$J$198,2*(ROWS($Z$199:AA206)-1)+1)</f>
        <v>0</v>
      </c>
      <c r="AB206" s="111">
        <f>INDEX('M03-S08'!$C$16:$C$198,2*(ROWS($Z$199:AB206)-1)+1)</f>
        <v>0</v>
      </c>
      <c r="AC206" s="96"/>
      <c r="AD206">
        <f>INDEX('M03-S08'!$X$16:$X$198,2*(ROWS($AD$199:AD206)-1)+1)</f>
        <v>0</v>
      </c>
      <c r="AE206" s="459"/>
      <c r="AF206" s="459"/>
      <c r="AG206" s="112"/>
      <c r="AH206" s="112"/>
      <c r="AI206" s="112"/>
      <c r="AJ206" s="112"/>
      <c r="AK206" s="112"/>
      <c r="AL206" s="112"/>
      <c r="AM206" s="112"/>
      <c r="AN206" s="112"/>
      <c r="AO206" s="111" t="str">
        <f>IFERROR(INDEX(PMECA[Program Design],MATCH(AB206,PMECA[Eff Desc 1],0)),"")</f>
        <v/>
      </c>
      <c r="AU206"/>
    </row>
    <row r="207" spans="1:47">
      <c r="A207" s="57">
        <f t="shared" si="17"/>
        <v>0</v>
      </c>
      <c r="B207" s="183" t="str">
        <f t="shared" si="18"/>
        <v/>
      </c>
      <c r="C207" t="str">
        <f>IFERROR(IF(R207&gt;0,INDEX(PMECA[Measure '#],MATCH(AB207,PMECA[Eff Desc 1],0)),""),"")</f>
        <v/>
      </c>
      <c r="D207" t="s">
        <v>947</v>
      </c>
      <c r="F207" s="112"/>
      <c r="G207" s="112"/>
      <c r="H207" s="186" t="str">
        <f>IF(ISNUMBER(INDEX('M03-S08'!$AO$16:$AO$198,2*(ROWS($R$199:R207)-1)+1)),"Total","")</f>
        <v/>
      </c>
      <c r="I207" s="184">
        <f>IFERROR(ROUND(INDEX('M03-S08'!$AA$16:$AA$198,2*(ROWS($I$199:I207)-1)+1),2),0)</f>
        <v>0</v>
      </c>
      <c r="J207" s="184">
        <f>IFERROR(ROUND(INDEX('M03-S08'!$AC$16:$AC$198,2*(ROWS($J$199:J207)-1)+1),2),0)</f>
        <v>0</v>
      </c>
      <c r="K207" s="52">
        <f>IFERROR(ROUND(INDEX('M03-S08'!$AU$16:$AU$198,2*(ROWS($K$199:K207)-1)+1),2),0)</f>
        <v>0</v>
      </c>
      <c r="L207" s="52" t="str">
        <f>IFERROR(IF(R207&gt;0,M207*INDEX(PMECA[Incremental Cost],MATCH(AB207,PMECA[Eff Desc 1],0)),""),"")</f>
        <v/>
      </c>
      <c r="M207" s="456">
        <f>INDEX('M03-S08'!$V$16:$V$198,2*(ROWS($M$199:M207)-1)+1)</f>
        <v>0</v>
      </c>
      <c r="N207" s="184" t="str">
        <f>IF(ISNUMBER(INDEX('M03-S08'!$AO$16:$AO$198,2*(ROWS($R$199:R207)-1)+1)),INDEX('M03-S08'!$AV$16:$AV$198,2*(ROWS($N$199:N207)-1)+1),"")</f>
        <v/>
      </c>
      <c r="O207" s="456" t="str">
        <f>IFERROR(IF(ISNUMBER(INDEX('M03-S08'!$AO$16:$AO$198,2*(ROWS($R$199:R207)-1)+1)),INDEX('M03-S08'!$AW$16:$AW$198,2*(ROWS($O$199:O207)-1)+1),""),"")</f>
        <v/>
      </c>
      <c r="P207" s="113"/>
      <c r="Q207" s="113"/>
      <c r="R207" s="184">
        <f>IF(ISNUMBER(INDEX('M03-S08'!$AO$16:$AO$198,2*(ROWS($R$199:R207)-1)+1)),INDEX('M03-S08'!$AO$16:$AO$198,2*(ROWS($R$199:R207)-1)+1),0)</f>
        <v>0</v>
      </c>
      <c r="S207" s="459"/>
      <c r="T207" s="113"/>
      <c r="U207" s="140"/>
      <c r="V207" s="113"/>
      <c r="W207" s="96" t="str">
        <f>IFERROR(IF(NOT(ISNUMBER(INDEX('M03-S08'!$AO$16:$AO$198,2*(ROWS($R$199:R207)-1)+1))),INDEX('M03-S08'!$BC$16:$BC$198,2*(ROWS($R$199:R207)-1)+1),""),"")</f>
        <v/>
      </c>
      <c r="X207" s="113"/>
      <c r="Y207" s="113"/>
      <c r="Z207" s="111">
        <f>INDEX('M03-S08'!$B$16:$B$198,2*(ROWS($Z$199:Z207)-1)+1)</f>
        <v>9</v>
      </c>
      <c r="AA207" s="111">
        <f>INDEX('M03-S08'!$J$16:$J$198,2*(ROWS($Z$199:AA207)-1)+1)</f>
        <v>0</v>
      </c>
      <c r="AB207" s="111">
        <f>INDEX('M03-S08'!$C$16:$C$198,2*(ROWS($Z$199:AB207)-1)+1)</f>
        <v>0</v>
      </c>
      <c r="AC207" s="96"/>
      <c r="AD207">
        <f>INDEX('M03-S08'!$X$16:$X$198,2*(ROWS($AD$199:AD207)-1)+1)</f>
        <v>0</v>
      </c>
      <c r="AE207" s="459"/>
      <c r="AF207" s="459"/>
      <c r="AG207" s="112"/>
      <c r="AH207" s="112"/>
      <c r="AI207" s="112"/>
      <c r="AJ207" s="112"/>
      <c r="AK207" s="112"/>
      <c r="AL207" s="112"/>
      <c r="AM207" s="112"/>
      <c r="AN207" s="112"/>
      <c r="AO207" s="111" t="str">
        <f>IFERROR(INDEX(PMECA[Program Design],MATCH(AB207,PMECA[Eff Desc 1],0)),"")</f>
        <v/>
      </c>
      <c r="AU207"/>
    </row>
    <row r="208" spans="1:47">
      <c r="A208" s="112"/>
      <c r="B208" s="112"/>
      <c r="C208" s="112"/>
      <c r="D208" s="112"/>
      <c r="E208" s="112"/>
      <c r="F208" s="112"/>
      <c r="G208" s="112"/>
      <c r="H208" s="112"/>
      <c r="I208" s="112"/>
      <c r="J208" s="112"/>
      <c r="K208" s="112"/>
      <c r="L208" s="112"/>
      <c r="M208" s="112"/>
      <c r="N208" s="112"/>
      <c r="O208" s="112"/>
      <c r="P208" s="112"/>
      <c r="Q208" s="112"/>
      <c r="R208" s="112"/>
      <c r="S208" s="112"/>
      <c r="T208" s="112"/>
      <c r="U208" s="112"/>
      <c r="V208" s="112"/>
      <c r="W208" s="112"/>
      <c r="X208" s="112"/>
      <c r="Y208" s="112"/>
      <c r="Z208" s="112"/>
      <c r="AA208" s="112"/>
      <c r="AB208" s="112"/>
      <c r="AC208" s="112"/>
      <c r="AD208" s="112"/>
      <c r="AE208" s="112"/>
      <c r="AF208" s="112"/>
      <c r="AG208" s="112"/>
      <c r="AH208" s="112"/>
      <c r="AI208" s="112"/>
      <c r="AJ208" s="112"/>
      <c r="AK208" s="112"/>
      <c r="AL208" s="112"/>
      <c r="AM208" s="112"/>
      <c r="AN208" s="112"/>
      <c r="AO208" s="112"/>
      <c r="AU208"/>
    </row>
    <row r="209" spans="1:47">
      <c r="A209" s="112"/>
      <c r="B209" s="112"/>
      <c r="C209" s="112"/>
      <c r="D209" s="112"/>
      <c r="E209" s="112"/>
      <c r="F209" s="112"/>
      <c r="G209" s="112"/>
      <c r="H209" s="112"/>
      <c r="I209" s="112"/>
      <c r="J209" s="112"/>
      <c r="K209" s="112"/>
      <c r="L209" s="112"/>
      <c r="M209" s="112"/>
      <c r="N209" s="112"/>
      <c r="O209" s="112"/>
      <c r="P209" s="112"/>
      <c r="Q209" s="112"/>
      <c r="R209" s="112"/>
      <c r="S209" s="112"/>
      <c r="T209" s="112"/>
      <c r="U209" s="112"/>
      <c r="V209" s="112"/>
      <c r="W209" s="112"/>
      <c r="X209" s="112"/>
      <c r="Y209" s="112"/>
      <c r="Z209" s="112"/>
      <c r="AA209" s="112"/>
      <c r="AB209" s="112"/>
      <c r="AC209" s="112"/>
      <c r="AD209" s="112"/>
      <c r="AE209" s="112"/>
      <c r="AF209" s="112"/>
      <c r="AG209" s="112"/>
      <c r="AH209" s="112"/>
      <c r="AI209" s="112"/>
      <c r="AJ209" s="112"/>
      <c r="AK209" s="112"/>
      <c r="AL209" s="112"/>
      <c r="AM209" s="112"/>
      <c r="AN209" s="112"/>
      <c r="AO209" s="112"/>
      <c r="AU209"/>
    </row>
    <row r="210" spans="1:47">
      <c r="A210" s="57">
        <f t="shared" si="17"/>
        <v>0</v>
      </c>
      <c r="B210" s="183" t="str">
        <f t="shared" ref="B210:B212" si="22">IF(C210="","",CONCATENATE(ROW(),"-",C210))</f>
        <v/>
      </c>
      <c r="C210" t="str">
        <f>IFERROR(IF(R210&gt;0,INDEX(PMECA[Measure '#],MATCH(AB210,PMECA[Eff Desc 1],0)),""),"")</f>
        <v/>
      </c>
      <c r="D210" t="s">
        <v>947</v>
      </c>
      <c r="F210" s="112"/>
      <c r="G210" s="112"/>
      <c r="H210" s="186" t="str">
        <f>IF(ISNUMBER(INDEX('M03-S08'!$AO$16:$AO$198,2*(ROWS($R$199:R210)-1)+1)),"Total","")</f>
        <v/>
      </c>
      <c r="I210" s="184">
        <f>IFERROR(ROUND(INDEX('M03-S08'!$AA$16:$AA$198,2*(ROWS($I$199:I210)-1)+1),2),0)</f>
        <v>0</v>
      </c>
      <c r="J210" s="184">
        <f>IFERROR(ROUND(INDEX('M03-S08'!$AC$16:$AC$198,2*(ROWS($J$199:J210)-1)+1),2),0)</f>
        <v>0</v>
      </c>
      <c r="K210" s="52">
        <f>IFERROR(ROUND(INDEX('M03-S08'!$AU$16:$AU$198,2*(ROWS($K$199:K210)-1)+1),2),0)</f>
        <v>0</v>
      </c>
      <c r="L210" s="52" t="str">
        <f>IFERROR(IF(R210&gt;0,M210*INDEX(PMECA[Incremental Cost],MATCH(AB210,PMECA[Eff Desc 1],0)),""),"")</f>
        <v/>
      </c>
      <c r="M210" s="456">
        <f>INDEX('M03-S08'!$V$16:$V$198,2*(ROWS($M$199:M210)-1)+1)</f>
        <v>0</v>
      </c>
      <c r="N210" s="184" t="str">
        <f>IF(ISNUMBER(INDEX('M03-S08'!$AO$16:$AO$198,2*(ROWS($R$199:R210)-1)+1)),INDEX('M03-S08'!$AV$16:$AV$198,2*(ROWS($N$199:N210)-1)+1),"")</f>
        <v/>
      </c>
      <c r="O210" s="456" t="str">
        <f>IFERROR(IF(ISNUMBER(INDEX('M03-S08'!$AO$16:$AO$198,2*(ROWS($R$199:R210)-1)+1)),INDEX('M03-S08'!$AW$16:$AW$198,2*(ROWS($O$199:O210)-1)+1),""),"")</f>
        <v/>
      </c>
      <c r="P210" s="113"/>
      <c r="Q210" s="113"/>
      <c r="R210" s="184">
        <f>IF(ISNUMBER(INDEX('M03-S08'!$AO$16:$AO$198,2*(ROWS($R$199:R210)-1)+1)),INDEX('M03-S08'!$AO$16:$AO$198,2*(ROWS($R$199:R210)-1)+1),0)</f>
        <v>0</v>
      </c>
      <c r="S210" s="459"/>
      <c r="T210" s="113"/>
      <c r="U210" s="140"/>
      <c r="V210" s="113"/>
      <c r="W210" s="96" t="str">
        <f>IFERROR(IF(NOT(ISNUMBER(INDEX('M03-S08'!$AO$16:$AO$198,2*(ROWS($R$199:R210)-1)+1))),INDEX('M03-S08'!$BC$16:$BC$198,2*(ROWS($R$199:R210)-1)+1),""),"")</f>
        <v/>
      </c>
      <c r="X210" s="113"/>
      <c r="Y210" s="113"/>
      <c r="Z210" s="111">
        <f>INDEX('M03-S08'!$B$16:$B$198,2*(ROWS($Z$199:Z210)-1)+1)</f>
        <v>12</v>
      </c>
      <c r="AA210" s="111">
        <f>INDEX('M03-S08'!$J$16:$J$198,2*(ROWS($Z$199:AA210)-1)+1)</f>
        <v>0</v>
      </c>
      <c r="AB210" s="111">
        <f>INDEX('M03-S08'!$C$16:$C$198,2*(ROWS($Z$199:AB210)-1)+1)</f>
        <v>0</v>
      </c>
      <c r="AC210" s="96"/>
      <c r="AD210">
        <f>INDEX('M03-S08'!$X$16:$X$198,2*(ROWS($AD$199:AD210)-1)+1)</f>
        <v>0</v>
      </c>
      <c r="AE210" s="459"/>
      <c r="AF210" s="459"/>
      <c r="AG210" s="112"/>
      <c r="AH210" s="112"/>
      <c r="AI210" s="112"/>
      <c r="AJ210" s="112"/>
      <c r="AK210" s="112"/>
      <c r="AL210" s="112"/>
      <c r="AM210" s="112"/>
      <c r="AN210" s="112"/>
      <c r="AO210" s="111" t="str">
        <f>IFERROR(INDEX(PMECA[Program Design],MATCH(AB210,PMECA[Eff Desc 1],0)),"")</f>
        <v/>
      </c>
      <c r="AU210"/>
    </row>
    <row r="211" spans="1:47">
      <c r="A211" s="57">
        <f t="shared" si="17"/>
        <v>0</v>
      </c>
      <c r="B211" s="183" t="str">
        <f t="shared" si="22"/>
        <v/>
      </c>
      <c r="C211" t="str">
        <f>IFERROR(IF(R211&gt;0,INDEX(PMECA[Measure '#],MATCH(AB211,PMECA[Eff Desc 1],0)),""),"")</f>
        <v/>
      </c>
      <c r="D211" t="s">
        <v>947</v>
      </c>
      <c r="F211" s="112"/>
      <c r="G211" s="112"/>
      <c r="H211" s="186" t="str">
        <f>IF(ISNUMBER(INDEX('M03-S08'!$AO$16:$AO$198,2*(ROWS($R$199:R211)-1)+1)),"Total","")</f>
        <v/>
      </c>
      <c r="I211" s="184">
        <f>IFERROR(ROUND(INDEX('M03-S08'!$AA$16:$AA$198,2*(ROWS($I$199:I211)-1)+1),2),0)</f>
        <v>0</v>
      </c>
      <c r="J211" s="184">
        <f>IFERROR(ROUND(INDEX('M03-S08'!$AC$16:$AC$198,2*(ROWS($J$199:J211)-1)+1),2),0)</f>
        <v>0</v>
      </c>
      <c r="K211" s="52">
        <f>IFERROR(ROUND(INDEX('M03-S08'!$AU$16:$AU$198,2*(ROWS($K$199:K211)-1)+1),2),0)</f>
        <v>0</v>
      </c>
      <c r="L211" s="52" t="str">
        <f>IFERROR(IF(R211&gt;0,M211*INDEX(PMECA[Incremental Cost],MATCH(AB211,PMECA[Eff Desc 1],0)),""),"")</f>
        <v/>
      </c>
      <c r="M211" s="456">
        <f>INDEX('M03-S08'!$V$16:$V$198,2*(ROWS($M$199:M211)-1)+1)</f>
        <v>0</v>
      </c>
      <c r="N211" s="184" t="str">
        <f>IF(ISNUMBER(INDEX('M03-S08'!$AO$16:$AO$198,2*(ROWS($R$199:R211)-1)+1)),INDEX('M03-S08'!$AV$16:$AV$198,2*(ROWS($N$199:N211)-1)+1),"")</f>
        <v/>
      </c>
      <c r="O211" s="456" t="str">
        <f>IFERROR(IF(ISNUMBER(INDEX('M03-S08'!$AO$16:$AO$198,2*(ROWS($R$199:R211)-1)+1)),INDEX('M03-S08'!$AW$16:$AW$198,2*(ROWS($O$199:O211)-1)+1),""),"")</f>
        <v/>
      </c>
      <c r="P211" s="113"/>
      <c r="Q211" s="113"/>
      <c r="R211" s="184">
        <f>IF(ISNUMBER(INDEX('M03-S08'!$AO$16:$AO$198,2*(ROWS($R$199:R211)-1)+1)),INDEX('M03-S08'!$AO$16:$AO$198,2*(ROWS($R$199:R211)-1)+1),0)</f>
        <v>0</v>
      </c>
      <c r="S211" s="459"/>
      <c r="T211" s="113"/>
      <c r="U211" s="140"/>
      <c r="V211" s="113"/>
      <c r="W211" s="96" t="str">
        <f>IFERROR(IF(NOT(ISNUMBER(INDEX('M03-S08'!$AO$16:$AO$198,2*(ROWS($R$199:R211)-1)+1))),INDEX('M03-S08'!$BC$16:$BC$198,2*(ROWS($R$199:R211)-1)+1),""),"")</f>
        <v/>
      </c>
      <c r="X211" s="113"/>
      <c r="Y211" s="113"/>
      <c r="Z211" s="111">
        <f>INDEX('M03-S08'!$B$16:$B$198,2*(ROWS($Z$199:Z211)-1)+1)</f>
        <v>13</v>
      </c>
      <c r="AA211" s="111">
        <f>INDEX('M03-S08'!$J$16:$J$198,2*(ROWS($Z$199:AA211)-1)+1)</f>
        <v>0</v>
      </c>
      <c r="AB211" s="111">
        <f>INDEX('M03-S08'!$C$16:$C$198,2*(ROWS($Z$199:AB211)-1)+1)</f>
        <v>0</v>
      </c>
      <c r="AC211" s="96"/>
      <c r="AD211">
        <f>INDEX('M03-S08'!$X$16:$X$198,2*(ROWS($AD$199:AD211)-1)+1)</f>
        <v>0</v>
      </c>
      <c r="AE211" s="459"/>
      <c r="AF211" s="459"/>
      <c r="AG211" s="112"/>
      <c r="AH211" s="112"/>
      <c r="AI211" s="112"/>
      <c r="AJ211" s="112"/>
      <c r="AK211" s="112"/>
      <c r="AL211" s="112"/>
      <c r="AM211" s="112"/>
      <c r="AN211" s="112"/>
      <c r="AO211" s="111" t="str">
        <f>IFERROR(INDEX(PMECA[Program Design],MATCH(AB211,PMECA[Eff Desc 1],0)),"")</f>
        <v/>
      </c>
      <c r="AU211"/>
    </row>
    <row r="212" spans="1:47">
      <c r="A212" s="57">
        <f t="shared" si="17"/>
        <v>0</v>
      </c>
      <c r="B212" s="183" t="str">
        <f t="shared" si="22"/>
        <v/>
      </c>
      <c r="C212" t="str">
        <f>IFERROR(IF(R212&gt;0,INDEX(PMECA[Measure '#],MATCH(AB212,PMECA[Eff Desc 1],0)),""),"")</f>
        <v/>
      </c>
      <c r="D212" t="s">
        <v>947</v>
      </c>
      <c r="F212" s="112"/>
      <c r="G212" s="112"/>
      <c r="H212" s="186" t="str">
        <f>IF(ISNUMBER(INDEX('M03-S08'!$AO$16:$AO$198,2*(ROWS($R$199:R212)-1)+1)),"Total","")</f>
        <v/>
      </c>
      <c r="I212" s="184">
        <f>IFERROR(ROUND(INDEX('M03-S08'!$AA$16:$AA$198,2*(ROWS($I$199:I212)-1)+1),2),0)</f>
        <v>0</v>
      </c>
      <c r="J212" s="184">
        <f>IFERROR(ROUND(INDEX('M03-S08'!$AC$16:$AC$198,2*(ROWS($J$199:J212)-1)+1),2),0)</f>
        <v>0</v>
      </c>
      <c r="K212" s="52">
        <f>IFERROR(ROUND(INDEX('M03-S08'!$AU$16:$AU$198,2*(ROWS($K$199:K212)-1)+1),2),0)</f>
        <v>0</v>
      </c>
      <c r="L212" s="52" t="str">
        <f>IFERROR(IF(R212&gt;0,M212*INDEX(PMECA[Incremental Cost],MATCH(AB212,PMECA[Eff Desc 1],0)),""),"")</f>
        <v/>
      </c>
      <c r="M212" s="456">
        <f>INDEX('M03-S08'!$V$16:$V$198,2*(ROWS($M$199:M212)-1)+1)</f>
        <v>0</v>
      </c>
      <c r="N212" s="184" t="str">
        <f>IF(ISNUMBER(INDEX('M03-S08'!$AO$16:$AO$198,2*(ROWS($R$199:R212)-1)+1)),INDEX('M03-S08'!$AV$16:$AV$198,2*(ROWS($N$199:N212)-1)+1),"")</f>
        <v/>
      </c>
      <c r="O212" s="456" t="str">
        <f>IFERROR(IF(ISNUMBER(INDEX('M03-S08'!$AO$16:$AO$198,2*(ROWS($R$199:R212)-1)+1)),INDEX('M03-S08'!$AW$16:$AW$198,2*(ROWS($O$199:O212)-1)+1),""),"")</f>
        <v/>
      </c>
      <c r="P212" s="113"/>
      <c r="Q212" s="113"/>
      <c r="R212" s="184">
        <f>IF(ISNUMBER(INDEX('M03-S08'!$AO$16:$AO$198,2*(ROWS($R$199:R212)-1)+1)),INDEX('M03-S08'!$AO$16:$AO$198,2*(ROWS($R$199:R212)-1)+1),0)</f>
        <v>0</v>
      </c>
      <c r="S212" s="459"/>
      <c r="T212" s="113"/>
      <c r="U212" s="140"/>
      <c r="V212" s="113"/>
      <c r="W212" s="96" t="str">
        <f>IFERROR(IF(NOT(ISNUMBER(INDEX('M03-S08'!$AO$16:$AO$198,2*(ROWS($R$199:R212)-1)+1))),INDEX('M03-S08'!$BC$16:$BC$198,2*(ROWS($R$199:R212)-1)+1),""),"")</f>
        <v/>
      </c>
      <c r="X212" s="113"/>
      <c r="Y212" s="113"/>
      <c r="Z212" s="111">
        <f>INDEX('M03-S08'!$B$16:$B$198,2*(ROWS($Z$199:Z212)-1)+1)</f>
        <v>14</v>
      </c>
      <c r="AA212" s="111">
        <f>INDEX('M03-S08'!$J$16:$J$198,2*(ROWS($Z$199:AA212)-1)+1)</f>
        <v>0</v>
      </c>
      <c r="AB212" s="111">
        <f>INDEX('M03-S08'!$C$16:$C$198,2*(ROWS($Z$199:AB212)-1)+1)</f>
        <v>0</v>
      </c>
      <c r="AC212" s="96"/>
      <c r="AD212">
        <f>INDEX('M03-S08'!$X$16:$X$198,2*(ROWS($AD$199:AD212)-1)+1)</f>
        <v>0</v>
      </c>
      <c r="AE212" s="459"/>
      <c r="AF212" s="459"/>
      <c r="AG212" s="112"/>
      <c r="AH212" s="112"/>
      <c r="AI212" s="112"/>
      <c r="AJ212" s="112"/>
      <c r="AK212" s="112"/>
      <c r="AL212" s="112"/>
      <c r="AM212" s="112"/>
      <c r="AN212" s="112"/>
      <c r="AO212" s="111" t="str">
        <f>IFERROR(INDEX(PMECA[Program Design],MATCH(AB212,PMECA[Eff Desc 1],0)),"")</f>
        <v/>
      </c>
      <c r="AU212"/>
    </row>
    <row r="213" spans="1:47">
      <c r="A213" s="57">
        <f t="shared" si="17"/>
        <v>0</v>
      </c>
      <c r="B213" s="183" t="str">
        <f t="shared" ref="B213" ca="1" si="23">IF(C213="","",CONCATENATE(ROW(),"-",C213))</f>
        <v/>
      </c>
      <c r="C213" s="559" t="str">
        <f ca="1">IFERROR(IF(R213&gt;0,INDEX(PMEBONUS[Measure '#],MATCH(AB213,PMEBONUS[Eff Desc 1],0)),""),"")</f>
        <v/>
      </c>
      <c r="D213" t="s">
        <v>947</v>
      </c>
      <c r="F213" s="112"/>
      <c r="G213" s="112"/>
      <c r="H213" s="112"/>
      <c r="I213" s="184">
        <f>IFERROR(ROUND(INDEX('M03-S08'!$AA$16:$AA$198,2*(ROWS($I$199:I213)-1)+1),2),0)</f>
        <v>0</v>
      </c>
      <c r="J213" s="184">
        <f>IFERROR(ROUND(INDEX('M03-S08'!$AC$16:$AC$198,2*(ROWS($J$199:J213)-1)+1),2),0)</f>
        <v>0</v>
      </c>
      <c r="K213" s="52">
        <f>IFERROR(ROUND(INDEX('M03-S08'!$AU$16:$AU$198,2*(ROWS($K$199:K213)-1)+1),2),0)</f>
        <v>0</v>
      </c>
      <c r="M213" s="456">
        <f ca="1">INDEX('M03-S08'!$V$16:$V$198,2*(ROWS($M$199:M213)-1)+1)</f>
        <v>0</v>
      </c>
      <c r="N213" s="184"/>
      <c r="O213" s="456"/>
      <c r="P213" s="112"/>
      <c r="Q213" s="112"/>
      <c r="R213" s="184">
        <f ca="1">IF(ISNUMBER(INDEX('M03-S08'!$AO$16:$AO$198,2*(ROWS($R$199:R213)-1)+1)),INDEX('M03-S08'!$AO$16:$AO$198,2*(ROWS($R$199:R213)-1)+1),0)</f>
        <v>0</v>
      </c>
      <c r="S213" s="459"/>
      <c r="T213" s="113"/>
      <c r="U213" s="140"/>
      <c r="V213" s="113"/>
      <c r="W213" s="96">
        <f ca="1">IFERROR(IF(NOT(ISNUMBER(INDEX('M03-S08'!$AO$16:$AO$198,2*(ROWS($R$199:R213)-1)+1))),INDEX('M03-S08'!$BC$16:$BC$198,2*(ROWS($R$199:R213)-1)+1),""),"")</f>
        <v>0</v>
      </c>
      <c r="X213" s="113"/>
      <c r="Y213" s="113"/>
      <c r="Z213" s="111">
        <f>INDEX('M03-S08'!$B$16:$B$198,2*(ROWS($Z$199:Z213)-1)+1)</f>
        <v>15</v>
      </c>
      <c r="AA213" s="111">
        <f ca="1">INDEX('M03-S08'!$J$16:$J$198,2*(ROWS($Z$199:AA213)-1)+1)</f>
        <v>0</v>
      </c>
      <c r="AB213" s="111">
        <f ca="1">INDEX('M03-S08'!$C$16:$C$198,2*(ROWS($Z$199:AB213)-1)+1)</f>
        <v>0</v>
      </c>
      <c r="AC213" s="96"/>
      <c r="AD213">
        <f>INDEX('M03-S08'!$X$16:$X$198,2*(ROWS($AD$199:AD213)-1)+1)</f>
        <v>0</v>
      </c>
      <c r="AE213" s="459"/>
      <c r="AF213" s="459"/>
      <c r="AG213" s="112"/>
      <c r="AH213" s="112"/>
      <c r="AI213" s="112"/>
      <c r="AJ213" s="112"/>
      <c r="AK213" s="112"/>
      <c r="AL213" s="112"/>
      <c r="AM213" s="112"/>
      <c r="AN213" s="112"/>
      <c r="AO213" s="111" t="str">
        <f ca="1">IFERROR(INDEX(PMEBONUS[Program Design],MATCH(AB213,PMEBONUS[Eff Desc 1],0)),"")</f>
        <v/>
      </c>
      <c r="AU213"/>
    </row>
    <row r="214" spans="1:47">
      <c r="A214" s="146" t="str">
        <f>CONCATENATE(MAIN3," ",M3S6)</f>
        <v>PRESCRIPTIVE MEASURES INPUT HVAC 
(Gas)</v>
      </c>
      <c r="B214" s="148"/>
      <c r="C214" s="148"/>
      <c r="D214" s="120"/>
      <c r="E214" s="120"/>
      <c r="F214" s="124"/>
      <c r="G214" s="120"/>
      <c r="H214" s="120"/>
      <c r="I214" s="125"/>
      <c r="J214" s="125"/>
      <c r="K214" s="125"/>
      <c r="L214" s="125"/>
      <c r="M214" s="457"/>
      <c r="N214" s="125"/>
      <c r="O214" s="457"/>
      <c r="P214" s="125"/>
      <c r="Q214" s="125"/>
      <c r="R214" s="125"/>
      <c r="S214" s="460"/>
      <c r="T214" s="127"/>
      <c r="U214" s="141"/>
      <c r="V214" s="127"/>
      <c r="W214" s="126"/>
      <c r="X214" s="127"/>
      <c r="Y214" s="127"/>
      <c r="Z214" s="124"/>
      <c r="AA214" s="124"/>
      <c r="AB214" s="124"/>
      <c r="AC214" s="126"/>
      <c r="AD214" s="120"/>
      <c r="AE214" s="457"/>
      <c r="AF214" s="457"/>
      <c r="AG214" s="128"/>
      <c r="AH214" s="128"/>
      <c r="AI214" s="128"/>
      <c r="AJ214" s="128"/>
      <c r="AK214" s="127"/>
      <c r="AL214" s="127"/>
      <c r="AM214" s="127"/>
      <c r="AN214" s="127"/>
      <c r="AO214" s="127"/>
      <c r="AU214"/>
    </row>
    <row r="215" spans="1:47">
      <c r="A215" s="57">
        <f t="shared" si="17"/>
        <v>0</v>
      </c>
      <c r="B215" s="183" t="str">
        <f t="shared" ref="B215:B280" si="24">IF(C215="","",CONCATENATE(ROW(),"-",C215))</f>
        <v/>
      </c>
      <c r="C215" t="str">
        <f>IFERROR(IF(R215&gt;0,INDEX(PMGHVAC[Measure '#],MATCH(AB215,PMGHVAC[Eff Desc 1],0)),""),"")</f>
        <v/>
      </c>
      <c r="D215" t="s">
        <v>947</v>
      </c>
      <c r="F215" s="112"/>
      <c r="G215" s="186">
        <f>INDEX('M03-S06'!$AB$16:$AB$196,2*(ROWS($G$215:G215)-1)+1)</f>
        <v>0</v>
      </c>
      <c r="H215" s="186" t="str">
        <f>IF(ISNUMBER(INDEX('M03-S06'!$AN$16:$AN$198,2*(ROWS($R$215:R215)-1)+1)),"Total","")</f>
        <v/>
      </c>
      <c r="I215" s="184">
        <f>IFERROR(ROUND(INDEX('M03-S06'!$AE$16:$AE$198,2*(ROWS($I$215:I215)-1)+1),2),0)</f>
        <v>0</v>
      </c>
      <c r="J215" s="184">
        <f>IFERROR(ROUND(INDEX('M03-S06'!$AG$16:$AG$198,2*(ROWS($J$215:J215)-1)+1),2),0)</f>
        <v>0</v>
      </c>
      <c r="K215" s="52">
        <f>IFERROR(ROUND(INDEX('M03-S06'!$AU$16:$AU$198,2*(ROWS($K$215:K215)-1)+1),2),0)</f>
        <v>0</v>
      </c>
      <c r="L215" s="52" t="str">
        <f>IFERROR(IF(R215&gt;0,M215*INDEX(PMGHVAC[Incremental Cost],MATCH(AB215,PMGHVAC[Eff Desc 1],0)),""),"")</f>
        <v/>
      </c>
      <c r="M215" s="456">
        <f>INDEX('M03-S06'!$V$16:$V$198,2*(ROWS($M$215:M215)-1)+1)</f>
        <v>0</v>
      </c>
      <c r="N215" s="113"/>
      <c r="O215" s="459"/>
      <c r="P215" s="184" t="str">
        <f>IFERROR(IF(ISNUMBER(INDEX('M03-S06'!$AN$16:$AN$198,2*(ROWS($R$215:R215)-1)+1)),INDEX('M03-S06'!$AK$16:$AK$198,2*(ROWS($P$215:P215)-1)+1),""),"")</f>
        <v/>
      </c>
      <c r="Q215" s="184"/>
      <c r="R215" s="184">
        <f>IF(ISNUMBER(INDEX('M03-S06'!$AN$16:$AN$198,2*(ROWS($R$215:R215)-1)+1)),INDEX('M03-S06'!$AN$16:$AN$198,2*(ROWS($R$215:R215)-1)+1),0)</f>
        <v>0</v>
      </c>
      <c r="S215" s="459"/>
      <c r="T215" s="113"/>
      <c r="U215" s="140"/>
      <c r="V215" s="113"/>
      <c r="W215" s="96">
        <f>IFERROR(IF(NOT(ISNUMBER(INDEX('M03-S06'!$AN$16:$AN$198,2*(ROWS($R$215:R215)-1)+1))),INDEX('M03-S06'!$BC$16:$BC$198,2*(ROWS($R$215:R215)-1)+1),""),"")</f>
        <v>0</v>
      </c>
      <c r="X215" s="113"/>
      <c r="Y215" s="113"/>
      <c r="Z215" s="111">
        <f>INDEX('M03-S06'!$B$16:$B$196,2*(ROWS($Z$215:Z215)-1)+1)</f>
        <v>1</v>
      </c>
      <c r="AA215" s="111" t="str">
        <f>INDEX('M03-S06'!$N$16:$N$198,2*(ROWS($Z$215:AA215)-1)+1)</f>
        <v/>
      </c>
      <c r="AB215" s="111">
        <f>INDEX('M03-S06'!$C$16:$C$198,2*(ROWS($Z$215:AB215)-1)+1)</f>
        <v>0</v>
      </c>
      <c r="AC215" s="96"/>
      <c r="AD215">
        <f>INDEX('M03-S06'!$X$16:$X$198,2*(ROWS($AD$215:AD215)-1)+1)</f>
        <v>0</v>
      </c>
      <c r="AE215" s="459"/>
      <c r="AF215" s="459"/>
      <c r="AG215" s="112"/>
      <c r="AH215" s="112"/>
      <c r="AI215" s="112"/>
      <c r="AJ215" s="112"/>
      <c r="AK215" s="113"/>
      <c r="AL215" s="113"/>
      <c r="AM215" s="113"/>
      <c r="AN215" s="113"/>
      <c r="AO215" s="52" t="str">
        <f>IFERROR(INDEX(PMGHVAC[Program Design],MATCH(AB215,PMGHVAC[Eff Desc 1])),"")</f>
        <v/>
      </c>
      <c r="AU215"/>
    </row>
    <row r="216" spans="1:47">
      <c r="A216" s="57">
        <f t="shared" si="17"/>
        <v>0</v>
      </c>
      <c r="B216" s="183" t="str">
        <f t="shared" ref="B216:B250" si="25">IF(C216="","",CONCATENATE(ROW(),"-",C216))</f>
        <v/>
      </c>
      <c r="C216" t="str">
        <f>IFERROR(IF(R216&gt;0,INDEX(PMGHVAC[Measure '#],MATCH(AB216,PMGHVAC[Eff Desc 1],0)),""),"")</f>
        <v/>
      </c>
      <c r="D216" t="s">
        <v>947</v>
      </c>
      <c r="F216" s="112"/>
      <c r="G216" s="186">
        <f>INDEX('M03-S06'!$AB$16:$AB$196,2*(ROWS($G$215:G216)-1)+1)</f>
        <v>0</v>
      </c>
      <c r="H216" s="186" t="str">
        <f>IF(ISNUMBER(INDEX('M03-S06'!$AN$16:$AN$198,2*(ROWS($R$215:R216)-1)+1)),"Total","")</f>
        <v/>
      </c>
      <c r="I216" s="184">
        <f>IFERROR(ROUND(INDEX('M03-S06'!$AE$16:$AE$198,2*(ROWS($I$215:I216)-1)+1),2),0)</f>
        <v>0</v>
      </c>
      <c r="J216" s="184">
        <f>IFERROR(ROUND(INDEX('M03-S06'!$AG$16:$AG$198,2*(ROWS($J$215:J216)-1)+1),2),0)</f>
        <v>0</v>
      </c>
      <c r="K216" s="52">
        <f>IFERROR(ROUND(INDEX('M03-S06'!$AU$16:$AU$198,2*(ROWS($K$215:K216)-1)+1),2),0)</f>
        <v>0</v>
      </c>
      <c r="L216" s="52" t="str">
        <f>IFERROR(IF(R216&gt;0,M216*INDEX(PMGHVAC[Incremental Cost],MATCH(AB216,PMGHVAC[Eff Desc 1],0)),""),"")</f>
        <v/>
      </c>
      <c r="M216" s="456">
        <f>INDEX('M03-S06'!$V$16:$V$198,2*(ROWS($M$215:M216)-1)+1)</f>
        <v>0</v>
      </c>
      <c r="N216" s="113"/>
      <c r="O216" s="459"/>
      <c r="P216" s="184" t="str">
        <f>IFERROR(IF(ISNUMBER(INDEX('M03-S06'!$AN$16:$AN$198,2*(ROWS($R$215:R216)-1)+1)),INDEX('M03-S06'!$AK$16:$AK$198,2*(ROWS($P$215:P216)-1)+1),""),"")</f>
        <v/>
      </c>
      <c r="Q216" s="184"/>
      <c r="R216" s="184">
        <f>IF(ISNUMBER(INDEX('M03-S06'!$AN$16:$AN$198,2*(ROWS($R$215:R216)-1)+1)),INDEX('M03-S06'!$AN$16:$AN$198,2*(ROWS($R$215:R216)-1)+1),0)</f>
        <v>0</v>
      </c>
      <c r="S216" s="459"/>
      <c r="T216" s="113"/>
      <c r="U216" s="140"/>
      <c r="V216" s="113"/>
      <c r="W216" s="96">
        <f>IFERROR(IF(NOT(ISNUMBER(INDEX('M03-S06'!$AN$16:$AN$198,2*(ROWS($R$215:R216)-1)+1))),INDEX('M03-S06'!$BC$16:$BC$198,2*(ROWS($R$215:R216)-1)+1),""),"")</f>
        <v>0</v>
      </c>
      <c r="X216" s="113"/>
      <c r="Y216" s="113"/>
      <c r="Z216" s="111">
        <f>INDEX('M03-S06'!$B$16:$B$196,2*(ROWS($Z$215:Z216)-1)+1)</f>
        <v>2</v>
      </c>
      <c r="AA216" s="111" t="str">
        <f>INDEX('M03-S06'!$N$16:$N$198,2*(ROWS($Z$215:AA216)-1)+1)</f>
        <v/>
      </c>
      <c r="AB216" s="111">
        <f>INDEX('M03-S06'!$C$16:$C$198,2*(ROWS($Z$215:AB216)-1)+1)</f>
        <v>0</v>
      </c>
      <c r="AC216" s="96"/>
      <c r="AD216">
        <f>INDEX('M03-S06'!$X$16:$X$198,2*(ROWS($AD$215:AD216)-1)+1)</f>
        <v>0</v>
      </c>
      <c r="AE216" s="459"/>
      <c r="AF216" s="459"/>
      <c r="AG216" s="112"/>
      <c r="AH216" s="112"/>
      <c r="AI216" s="112"/>
      <c r="AJ216" s="112"/>
      <c r="AK216" s="113"/>
      <c r="AL216" s="113"/>
      <c r="AM216" s="113"/>
      <c r="AN216" s="113"/>
      <c r="AO216" s="52" t="str">
        <f>IFERROR(INDEX(PMGHVAC[Program Design],MATCH(AB216,PMGHVAC[Eff Desc 1])),"")</f>
        <v/>
      </c>
      <c r="AU216"/>
    </row>
    <row r="217" spans="1:47">
      <c r="A217" s="57">
        <f t="shared" si="17"/>
        <v>0</v>
      </c>
      <c r="B217" s="183" t="str">
        <f t="shared" si="25"/>
        <v/>
      </c>
      <c r="C217" t="str">
        <f>IFERROR(IF(R217&gt;0,INDEX(PMGHVAC[Measure '#],MATCH(AB217,PMGHVAC[Eff Desc 1],0)),""),"")</f>
        <v/>
      </c>
      <c r="D217" t="s">
        <v>947</v>
      </c>
      <c r="F217" s="112"/>
      <c r="G217" s="186">
        <f>INDEX('M03-S06'!$AB$16:$AB$196,2*(ROWS($G$215:G217)-1)+1)</f>
        <v>0</v>
      </c>
      <c r="H217" s="186" t="str">
        <f>IF(ISNUMBER(INDEX('M03-S06'!$AN$16:$AN$198,2*(ROWS($R$215:R217)-1)+1)),"Total","")</f>
        <v/>
      </c>
      <c r="I217" s="184">
        <f>IFERROR(ROUND(INDEX('M03-S06'!$AE$16:$AE$198,2*(ROWS($I$215:I217)-1)+1),2),0)</f>
        <v>0</v>
      </c>
      <c r="J217" s="184">
        <f>IFERROR(ROUND(INDEX('M03-S06'!$AG$16:$AG$198,2*(ROWS($J$215:J217)-1)+1),2),0)</f>
        <v>0</v>
      </c>
      <c r="K217" s="52">
        <f>IFERROR(ROUND(INDEX('M03-S06'!$AU$16:$AU$198,2*(ROWS($K$215:K217)-1)+1),2),0)</f>
        <v>0</v>
      </c>
      <c r="L217" s="52" t="str">
        <f>IFERROR(IF(R217&gt;0,M217*INDEX(PMGHVAC[Incremental Cost],MATCH(AB217,PMGHVAC[Eff Desc 1],0)),""),"")</f>
        <v/>
      </c>
      <c r="M217" s="456">
        <f>INDEX('M03-S06'!$V$16:$V$198,2*(ROWS($M$215:M217)-1)+1)</f>
        <v>0</v>
      </c>
      <c r="N217" s="113"/>
      <c r="O217" s="459"/>
      <c r="P217" s="184" t="str">
        <f>IFERROR(IF(ISNUMBER(INDEX('M03-S06'!$AN$16:$AN$198,2*(ROWS($R$215:R217)-1)+1)),INDEX('M03-S06'!$AK$16:$AK$198,2*(ROWS($P$215:P217)-1)+1),""),"")</f>
        <v/>
      </c>
      <c r="Q217" s="184"/>
      <c r="R217" s="184">
        <f>IF(ISNUMBER(INDEX('M03-S06'!$AN$16:$AN$198,2*(ROWS($R$215:R217)-1)+1)),INDEX('M03-S06'!$AN$16:$AN$198,2*(ROWS($R$215:R217)-1)+1),0)</f>
        <v>0</v>
      </c>
      <c r="S217" s="459"/>
      <c r="T217" s="113"/>
      <c r="U217" s="140"/>
      <c r="V217" s="113"/>
      <c r="W217" s="96">
        <f>IFERROR(IF(NOT(ISNUMBER(INDEX('M03-S06'!$AN$16:$AN$198,2*(ROWS($R$215:R217)-1)+1))),INDEX('M03-S06'!$BC$16:$BC$198,2*(ROWS($R$215:R217)-1)+1),""),"")</f>
        <v>0</v>
      </c>
      <c r="X217" s="113"/>
      <c r="Y217" s="113"/>
      <c r="Z217" s="111">
        <f>INDEX('M03-S06'!$B$16:$B$196,2*(ROWS($Z$215:Z217)-1)+1)</f>
        <v>3</v>
      </c>
      <c r="AA217" s="111" t="str">
        <f>INDEX('M03-S06'!$N$16:$N$198,2*(ROWS($Z$215:AA217)-1)+1)</f>
        <v/>
      </c>
      <c r="AB217" s="111">
        <f>INDEX('M03-S06'!$C$16:$C$198,2*(ROWS($Z$215:AB217)-1)+1)</f>
        <v>0</v>
      </c>
      <c r="AC217" s="96"/>
      <c r="AD217">
        <f>INDEX('M03-S06'!$X$16:$X$198,2*(ROWS($AD$215:AD217)-1)+1)</f>
        <v>0</v>
      </c>
      <c r="AE217" s="459"/>
      <c r="AF217" s="459"/>
      <c r="AG217" s="112"/>
      <c r="AH217" s="112"/>
      <c r="AI217" s="112"/>
      <c r="AJ217" s="112"/>
      <c r="AK217" s="113"/>
      <c r="AL217" s="113"/>
      <c r="AM217" s="113"/>
      <c r="AN217" s="113"/>
      <c r="AO217" s="52" t="str">
        <f>IFERROR(INDEX(PMGHVAC[Program Design],MATCH(AB217,PMGHVAC[Eff Desc 1])),"")</f>
        <v/>
      </c>
      <c r="AU217"/>
    </row>
    <row r="218" spans="1:47">
      <c r="A218" s="57">
        <f t="shared" si="17"/>
        <v>0</v>
      </c>
      <c r="B218" s="183" t="str">
        <f t="shared" si="25"/>
        <v/>
      </c>
      <c r="C218" t="str">
        <f>IFERROR(IF(R218&gt;0,INDEX(PMGHVAC[Measure '#],MATCH(AB218,PMGHVAC[Eff Desc 1],0)),""),"")</f>
        <v/>
      </c>
      <c r="D218" t="s">
        <v>947</v>
      </c>
      <c r="F218" s="112"/>
      <c r="G218" s="186">
        <f>INDEX('M03-S06'!$AB$16:$AB$196,2*(ROWS($G$215:G218)-1)+1)</f>
        <v>0</v>
      </c>
      <c r="H218" s="186" t="str">
        <f>IF(ISNUMBER(INDEX('M03-S06'!$AN$16:$AN$198,2*(ROWS($R$215:R218)-1)+1)),"Total","")</f>
        <v/>
      </c>
      <c r="I218" s="184">
        <f>IFERROR(ROUND(INDEX('M03-S06'!$AE$16:$AE$198,2*(ROWS($I$215:I218)-1)+1),2),0)</f>
        <v>0</v>
      </c>
      <c r="J218" s="184">
        <f>IFERROR(ROUND(INDEX('M03-S06'!$AG$16:$AG$198,2*(ROWS($J$215:J218)-1)+1),2),0)</f>
        <v>0</v>
      </c>
      <c r="K218" s="52">
        <f>IFERROR(ROUND(INDEX('M03-S06'!$AU$16:$AU$198,2*(ROWS($K$215:K218)-1)+1),2),0)</f>
        <v>0</v>
      </c>
      <c r="L218" s="52" t="str">
        <f>IFERROR(IF(R218&gt;0,M218*INDEX(PMGHVAC[Incremental Cost],MATCH(AB218,PMGHVAC[Eff Desc 1],0)),""),"")</f>
        <v/>
      </c>
      <c r="M218" s="456">
        <f>INDEX('M03-S06'!$V$16:$V$198,2*(ROWS($M$215:M218)-1)+1)</f>
        <v>0</v>
      </c>
      <c r="N218" s="113"/>
      <c r="O218" s="459"/>
      <c r="P218" s="184" t="str">
        <f>IFERROR(IF(ISNUMBER(INDEX('M03-S06'!$AN$16:$AN$198,2*(ROWS($R$215:R218)-1)+1)),INDEX('M03-S06'!$AK$16:$AK$198,2*(ROWS($P$215:P218)-1)+1),""),"")</f>
        <v/>
      </c>
      <c r="Q218" s="184"/>
      <c r="R218" s="184">
        <f>IF(ISNUMBER(INDEX('M03-S06'!$AN$16:$AN$198,2*(ROWS($R$215:R218)-1)+1)),INDEX('M03-S06'!$AN$16:$AN$198,2*(ROWS($R$215:R218)-1)+1),0)</f>
        <v>0</v>
      </c>
      <c r="S218" s="459"/>
      <c r="T218" s="113"/>
      <c r="U218" s="140"/>
      <c r="V218" s="113"/>
      <c r="W218" s="96">
        <f>IFERROR(IF(NOT(ISNUMBER(INDEX('M03-S06'!$AN$16:$AN$198,2*(ROWS($R$215:R218)-1)+1))),INDEX('M03-S06'!$BC$16:$BC$198,2*(ROWS($R$215:R218)-1)+1),""),"")</f>
        <v>0</v>
      </c>
      <c r="X218" s="113"/>
      <c r="Y218" s="113"/>
      <c r="Z218" s="111">
        <f>INDEX('M03-S06'!$B$16:$B$196,2*(ROWS($Z$215:Z218)-1)+1)</f>
        <v>4</v>
      </c>
      <c r="AA218" s="111" t="str">
        <f>INDEX('M03-S06'!$N$16:$N$198,2*(ROWS($Z$215:AA218)-1)+1)</f>
        <v/>
      </c>
      <c r="AB218" s="111">
        <f>INDEX('M03-S06'!$C$16:$C$198,2*(ROWS($Z$215:AB218)-1)+1)</f>
        <v>0</v>
      </c>
      <c r="AC218" s="96"/>
      <c r="AD218">
        <f>INDEX('M03-S06'!$X$16:$X$198,2*(ROWS($AD$215:AD218)-1)+1)</f>
        <v>0</v>
      </c>
      <c r="AE218" s="459"/>
      <c r="AF218" s="459"/>
      <c r="AG218" s="112"/>
      <c r="AH218" s="112"/>
      <c r="AI218" s="112"/>
      <c r="AJ218" s="112"/>
      <c r="AK218" s="113"/>
      <c r="AL218" s="113"/>
      <c r="AM218" s="113"/>
      <c r="AN218" s="113"/>
      <c r="AO218" s="52" t="str">
        <f>IFERROR(INDEX(PMGHVAC[Program Design],MATCH(AB218,PMGHVAC[Eff Desc 1])),"")</f>
        <v/>
      </c>
      <c r="AU218"/>
    </row>
    <row r="219" spans="1:47">
      <c r="A219" s="57">
        <f t="shared" si="17"/>
        <v>0</v>
      </c>
      <c r="B219" s="183" t="str">
        <f t="shared" si="25"/>
        <v/>
      </c>
      <c r="C219" t="str">
        <f>IFERROR(IF(R219&gt;0,INDEX(PMGHVAC[Measure '#],MATCH(AB219,PMGHVAC[Eff Desc 1],0)),""),"")</f>
        <v/>
      </c>
      <c r="D219" t="s">
        <v>947</v>
      </c>
      <c r="F219" s="112"/>
      <c r="G219" s="186">
        <f>INDEX('M03-S06'!$AB$16:$AB$196,2*(ROWS($G$215:G219)-1)+1)</f>
        <v>0</v>
      </c>
      <c r="H219" s="186" t="str">
        <f>IF(ISNUMBER(INDEX('M03-S06'!$AN$16:$AN$198,2*(ROWS($R$215:R219)-1)+1)),"Total","")</f>
        <v/>
      </c>
      <c r="I219" s="184">
        <f>IFERROR(ROUND(INDEX('M03-S06'!$AE$16:$AE$198,2*(ROWS($I$215:I219)-1)+1),2),0)</f>
        <v>0</v>
      </c>
      <c r="J219" s="184">
        <f>IFERROR(ROUND(INDEX('M03-S06'!$AG$16:$AG$198,2*(ROWS($J$215:J219)-1)+1),2),0)</f>
        <v>0</v>
      </c>
      <c r="K219" s="52">
        <f>IFERROR(ROUND(INDEX('M03-S06'!$AU$16:$AU$198,2*(ROWS($K$215:K219)-1)+1),2),0)</f>
        <v>0</v>
      </c>
      <c r="L219" s="52" t="str">
        <f>IFERROR(IF(R219&gt;0,M219*INDEX(PMGHVAC[Incremental Cost],MATCH(AB219,PMGHVAC[Eff Desc 1],0)),""),"")</f>
        <v/>
      </c>
      <c r="M219" s="456">
        <f>INDEX('M03-S06'!$V$16:$V$198,2*(ROWS($M$215:M219)-1)+1)</f>
        <v>0</v>
      </c>
      <c r="N219" s="113"/>
      <c r="O219" s="459"/>
      <c r="P219" s="184" t="str">
        <f>IFERROR(IF(ISNUMBER(INDEX('M03-S06'!$AN$16:$AN$198,2*(ROWS($R$215:R219)-1)+1)),INDEX('M03-S06'!$AK$16:$AK$198,2*(ROWS($P$215:P219)-1)+1),""),"")</f>
        <v/>
      </c>
      <c r="Q219" s="184"/>
      <c r="R219" s="184">
        <f>IF(ISNUMBER(INDEX('M03-S06'!$AN$16:$AN$198,2*(ROWS($R$215:R219)-1)+1)),INDEX('M03-S06'!$AN$16:$AN$198,2*(ROWS($R$215:R219)-1)+1),0)</f>
        <v>0</v>
      </c>
      <c r="S219" s="459"/>
      <c r="T219" s="113"/>
      <c r="U219" s="140"/>
      <c r="V219" s="113"/>
      <c r="W219" s="96">
        <f>IFERROR(IF(NOT(ISNUMBER(INDEX('M03-S06'!$AN$16:$AN$198,2*(ROWS($R$215:R219)-1)+1))),INDEX('M03-S06'!$BC$16:$BC$198,2*(ROWS($R$215:R219)-1)+1),""),"")</f>
        <v>0</v>
      </c>
      <c r="X219" s="113"/>
      <c r="Y219" s="113"/>
      <c r="Z219" s="111">
        <f>INDEX('M03-S06'!$B$16:$B$196,2*(ROWS($Z$215:Z219)-1)+1)</f>
        <v>5</v>
      </c>
      <c r="AA219" s="111" t="str">
        <f>INDEX('M03-S06'!$N$16:$N$198,2*(ROWS($Z$215:AA219)-1)+1)</f>
        <v/>
      </c>
      <c r="AB219" s="111">
        <f>INDEX('M03-S06'!$C$16:$C$198,2*(ROWS($Z$215:AB219)-1)+1)</f>
        <v>0</v>
      </c>
      <c r="AC219" s="96"/>
      <c r="AD219">
        <f>INDEX('M03-S06'!$X$16:$X$198,2*(ROWS($AD$215:AD219)-1)+1)</f>
        <v>0</v>
      </c>
      <c r="AE219" s="459"/>
      <c r="AF219" s="459"/>
      <c r="AG219" s="112"/>
      <c r="AH219" s="112"/>
      <c r="AI219" s="112"/>
      <c r="AJ219" s="112"/>
      <c r="AK219" s="113"/>
      <c r="AL219" s="113"/>
      <c r="AM219" s="113"/>
      <c r="AN219" s="113"/>
      <c r="AO219" s="52" t="str">
        <f>IFERROR(INDEX(PMGHVAC[Program Design],MATCH(AB219,PMGHVAC[Eff Desc 1])),"")</f>
        <v/>
      </c>
      <c r="AU219"/>
    </row>
    <row r="220" spans="1:47">
      <c r="A220" s="57">
        <f t="shared" si="17"/>
        <v>0</v>
      </c>
      <c r="B220" s="183" t="str">
        <f t="shared" si="25"/>
        <v/>
      </c>
      <c r="C220" t="str">
        <f>IFERROR(IF(R220&gt;0,INDEX(PMGHVAC[Measure '#],MATCH(AB220,PMGHVAC[Eff Desc 1],0)),""),"")</f>
        <v/>
      </c>
      <c r="D220" t="s">
        <v>947</v>
      </c>
      <c r="F220" s="112"/>
      <c r="G220" s="186">
        <f>INDEX('M03-S06'!$AB$16:$AB$196,2*(ROWS($G$215:G220)-1)+1)</f>
        <v>0</v>
      </c>
      <c r="H220" s="186" t="str">
        <f>IF(ISNUMBER(INDEX('M03-S06'!$AN$16:$AN$198,2*(ROWS($R$215:R220)-1)+1)),"Total","")</f>
        <v/>
      </c>
      <c r="I220" s="184">
        <f>IFERROR(ROUND(INDEX('M03-S06'!$AE$16:$AE$198,2*(ROWS($I$215:I220)-1)+1),2),0)</f>
        <v>0</v>
      </c>
      <c r="J220" s="184">
        <f>IFERROR(ROUND(INDEX('M03-S06'!$AG$16:$AG$198,2*(ROWS($J$215:J220)-1)+1),2),0)</f>
        <v>0</v>
      </c>
      <c r="K220" s="52">
        <f>IFERROR(ROUND(INDEX('M03-S06'!$AU$16:$AU$198,2*(ROWS($K$215:K220)-1)+1),2),0)</f>
        <v>0</v>
      </c>
      <c r="L220" s="52" t="str">
        <f>IFERROR(IF(R220&gt;0,M220*INDEX(PMGHVAC[Incremental Cost],MATCH(AB220,PMGHVAC[Eff Desc 1],0)),""),"")</f>
        <v/>
      </c>
      <c r="M220" s="456">
        <f>INDEX('M03-S06'!$V$16:$V$198,2*(ROWS($M$215:M220)-1)+1)</f>
        <v>0</v>
      </c>
      <c r="N220" s="113"/>
      <c r="O220" s="459"/>
      <c r="P220" s="184" t="str">
        <f>IFERROR(IF(ISNUMBER(INDEX('M03-S06'!$AN$16:$AN$198,2*(ROWS($R$215:R220)-1)+1)),INDEX('M03-S06'!$AK$16:$AK$198,2*(ROWS($P$215:P220)-1)+1),""),"")</f>
        <v/>
      </c>
      <c r="Q220" s="184"/>
      <c r="R220" s="184">
        <f>IF(ISNUMBER(INDEX('M03-S06'!$AN$16:$AN$198,2*(ROWS($R$215:R220)-1)+1)),INDEX('M03-S06'!$AN$16:$AN$198,2*(ROWS($R$215:R220)-1)+1),0)</f>
        <v>0</v>
      </c>
      <c r="S220" s="459"/>
      <c r="T220" s="113"/>
      <c r="U220" s="140"/>
      <c r="V220" s="113"/>
      <c r="W220" s="96">
        <f>IFERROR(IF(NOT(ISNUMBER(INDEX('M03-S06'!$AN$16:$AN$198,2*(ROWS($R$215:R220)-1)+1))),INDEX('M03-S06'!$BC$16:$BC$198,2*(ROWS($R$215:R220)-1)+1),""),"")</f>
        <v>0</v>
      </c>
      <c r="X220" s="113"/>
      <c r="Y220" s="113"/>
      <c r="Z220" s="111">
        <f>INDEX('M03-S06'!$B$16:$B$196,2*(ROWS($Z$215:Z220)-1)+1)</f>
        <v>6</v>
      </c>
      <c r="AA220" s="111" t="str">
        <f>INDEX('M03-S06'!$N$16:$N$198,2*(ROWS($Z$215:AA220)-1)+1)</f>
        <v/>
      </c>
      <c r="AB220" s="111">
        <f>INDEX('M03-S06'!$C$16:$C$198,2*(ROWS($Z$215:AB220)-1)+1)</f>
        <v>0</v>
      </c>
      <c r="AC220" s="96"/>
      <c r="AD220">
        <f>INDEX('M03-S06'!$X$16:$X$198,2*(ROWS($AD$215:AD220)-1)+1)</f>
        <v>0</v>
      </c>
      <c r="AE220" s="459"/>
      <c r="AF220" s="459"/>
      <c r="AG220" s="112"/>
      <c r="AH220" s="112"/>
      <c r="AI220" s="112"/>
      <c r="AJ220" s="112"/>
      <c r="AK220" s="113"/>
      <c r="AL220" s="113"/>
      <c r="AM220" s="113"/>
      <c r="AN220" s="113"/>
      <c r="AO220" s="52" t="str">
        <f>IFERROR(INDEX(PMGHVAC[Program Design],MATCH(AB220,PMGHVAC[Eff Desc 1])),"")</f>
        <v/>
      </c>
      <c r="AU220"/>
    </row>
    <row r="221" spans="1:47">
      <c r="A221" s="57">
        <f t="shared" si="17"/>
        <v>0</v>
      </c>
      <c r="B221" s="183" t="str">
        <f t="shared" si="25"/>
        <v/>
      </c>
      <c r="C221" t="str">
        <f>IFERROR(IF(R221&gt;0,INDEX(PMGHVAC[Measure '#],MATCH(AB221,PMGHVAC[Eff Desc 1],0)),""),"")</f>
        <v/>
      </c>
      <c r="D221" t="s">
        <v>947</v>
      </c>
      <c r="F221" s="112"/>
      <c r="G221" s="186">
        <f>INDEX('M03-S06'!$AB$16:$AB$196,2*(ROWS($G$215:G221)-1)+1)</f>
        <v>0</v>
      </c>
      <c r="H221" s="186" t="str">
        <f>IF(ISNUMBER(INDEX('M03-S06'!$AN$16:$AN$198,2*(ROWS($R$215:R221)-1)+1)),"Total","")</f>
        <v/>
      </c>
      <c r="I221" s="184">
        <f>IFERROR(ROUND(INDEX('M03-S06'!$AE$16:$AE$198,2*(ROWS($I$215:I221)-1)+1),2),0)</f>
        <v>0</v>
      </c>
      <c r="J221" s="184">
        <f>IFERROR(ROUND(INDEX('M03-S06'!$AG$16:$AG$198,2*(ROWS($J$215:J221)-1)+1),2),0)</f>
        <v>0</v>
      </c>
      <c r="K221" s="52">
        <f>IFERROR(ROUND(INDEX('M03-S06'!$AU$16:$AU$198,2*(ROWS($K$215:K221)-1)+1),2),0)</f>
        <v>0</v>
      </c>
      <c r="L221" s="52" t="str">
        <f>IFERROR(IF(R221&gt;0,M221*INDEX(PMGHVAC[Incremental Cost],MATCH(AB221,PMGHVAC[Eff Desc 1],0)),""),"")</f>
        <v/>
      </c>
      <c r="M221" s="456">
        <f>INDEX('M03-S06'!$V$16:$V$198,2*(ROWS($M$215:M221)-1)+1)</f>
        <v>0</v>
      </c>
      <c r="N221" s="113"/>
      <c r="O221" s="459"/>
      <c r="P221" s="184" t="str">
        <f>IFERROR(IF(ISNUMBER(INDEX('M03-S06'!$AN$16:$AN$198,2*(ROWS($R$215:R221)-1)+1)),INDEX('M03-S06'!$AK$16:$AK$198,2*(ROWS($P$215:P221)-1)+1),""),"")</f>
        <v/>
      </c>
      <c r="Q221" s="184"/>
      <c r="R221" s="184">
        <f>IF(ISNUMBER(INDEX('M03-S06'!$AN$16:$AN$198,2*(ROWS($R$215:R221)-1)+1)),INDEX('M03-S06'!$AN$16:$AN$198,2*(ROWS($R$215:R221)-1)+1),0)</f>
        <v>0</v>
      </c>
      <c r="S221" s="459"/>
      <c r="T221" s="113"/>
      <c r="U221" s="140"/>
      <c r="V221" s="113"/>
      <c r="W221" s="96">
        <f>IFERROR(IF(NOT(ISNUMBER(INDEX('M03-S06'!$AN$16:$AN$198,2*(ROWS($R$215:R221)-1)+1))),INDEX('M03-S06'!$BC$16:$BC$198,2*(ROWS($R$215:R221)-1)+1),""),"")</f>
        <v>0</v>
      </c>
      <c r="X221" s="113"/>
      <c r="Y221" s="113"/>
      <c r="Z221" s="111">
        <f>INDEX('M03-S06'!$B$16:$B$196,2*(ROWS($Z$215:Z221)-1)+1)</f>
        <v>7</v>
      </c>
      <c r="AA221" s="111" t="str">
        <f>INDEX('M03-S06'!$N$16:$N$198,2*(ROWS($Z$215:AA221)-1)+1)</f>
        <v/>
      </c>
      <c r="AB221" s="111">
        <f>INDEX('M03-S06'!$C$16:$C$198,2*(ROWS($Z$215:AB221)-1)+1)</f>
        <v>0</v>
      </c>
      <c r="AC221" s="96"/>
      <c r="AD221">
        <f>INDEX('M03-S06'!$X$16:$X$198,2*(ROWS($AD$215:AD221)-1)+1)</f>
        <v>0</v>
      </c>
      <c r="AE221" s="459"/>
      <c r="AF221" s="459"/>
      <c r="AG221" s="112"/>
      <c r="AH221" s="112"/>
      <c r="AI221" s="112"/>
      <c r="AJ221" s="112"/>
      <c r="AK221" s="113"/>
      <c r="AL221" s="113"/>
      <c r="AM221" s="113"/>
      <c r="AN221" s="113"/>
      <c r="AO221" s="52" t="str">
        <f>IFERROR(INDEX(PMGHVAC[Program Design],MATCH(AB221,PMGHVAC[Eff Desc 1])),"")</f>
        <v/>
      </c>
      <c r="AU221"/>
    </row>
    <row r="222" spans="1:47">
      <c r="A222" s="57">
        <f t="shared" si="17"/>
        <v>0</v>
      </c>
      <c r="B222" s="183" t="str">
        <f t="shared" si="25"/>
        <v/>
      </c>
      <c r="C222" t="str">
        <f>IFERROR(IF(R222&gt;0,INDEX(PMGHVAC[Measure '#],MATCH(AB222,PMGHVAC[Eff Desc 1],0)),""),"")</f>
        <v/>
      </c>
      <c r="D222" t="s">
        <v>947</v>
      </c>
      <c r="F222" s="112"/>
      <c r="G222" s="186">
        <f>INDEX('M03-S06'!$AB$16:$AB$196,2*(ROWS($G$215:G222)-1)+1)</f>
        <v>0</v>
      </c>
      <c r="H222" s="186" t="str">
        <f>IF(ISNUMBER(INDEX('M03-S06'!$AN$16:$AN$198,2*(ROWS($R$215:R222)-1)+1)),"Total","")</f>
        <v/>
      </c>
      <c r="I222" s="184">
        <f>IFERROR(ROUND(INDEX('M03-S06'!$AE$16:$AE$198,2*(ROWS($I$215:I222)-1)+1),2),0)</f>
        <v>0</v>
      </c>
      <c r="J222" s="184">
        <f>IFERROR(ROUND(INDEX('M03-S06'!$AG$16:$AG$198,2*(ROWS($J$215:J222)-1)+1),2),0)</f>
        <v>0</v>
      </c>
      <c r="K222" s="52">
        <f>IFERROR(ROUND(INDEX('M03-S06'!$AU$16:$AU$198,2*(ROWS($K$215:K222)-1)+1),2),0)</f>
        <v>0</v>
      </c>
      <c r="L222" s="52" t="str">
        <f>IFERROR(IF(R222&gt;0,M222*INDEX(PMGHVAC[Incremental Cost],MATCH(AB222,PMGHVAC[Eff Desc 1],0)),""),"")</f>
        <v/>
      </c>
      <c r="M222" s="456">
        <f>INDEX('M03-S06'!$V$16:$V$198,2*(ROWS($M$215:M222)-1)+1)</f>
        <v>0</v>
      </c>
      <c r="N222" s="113"/>
      <c r="O222" s="459"/>
      <c r="P222" s="184" t="str">
        <f>IFERROR(IF(ISNUMBER(INDEX('M03-S06'!$AN$16:$AN$198,2*(ROWS($R$215:R222)-1)+1)),INDEX('M03-S06'!$AK$16:$AK$198,2*(ROWS($P$215:P222)-1)+1),""),"")</f>
        <v/>
      </c>
      <c r="Q222" s="184"/>
      <c r="R222" s="184">
        <f>IF(ISNUMBER(INDEX('M03-S06'!$AN$16:$AN$198,2*(ROWS($R$215:R222)-1)+1)),INDEX('M03-S06'!$AN$16:$AN$198,2*(ROWS($R$215:R222)-1)+1),0)</f>
        <v>0</v>
      </c>
      <c r="S222" s="459"/>
      <c r="T222" s="113"/>
      <c r="U222" s="140"/>
      <c r="V222" s="113"/>
      <c r="W222" s="96">
        <f>IFERROR(IF(NOT(ISNUMBER(INDEX('M03-S06'!$AN$16:$AN$198,2*(ROWS($R$215:R222)-1)+1))),INDEX('M03-S06'!$BC$16:$BC$198,2*(ROWS($R$215:R222)-1)+1),""),"")</f>
        <v>0</v>
      </c>
      <c r="X222" s="113"/>
      <c r="Y222" s="113"/>
      <c r="Z222" s="111">
        <f>INDEX('M03-S06'!$B$16:$B$196,2*(ROWS($Z$215:Z222)-1)+1)</f>
        <v>8</v>
      </c>
      <c r="AA222" s="111" t="str">
        <f>INDEX('M03-S06'!$N$16:$N$198,2*(ROWS($Z$215:AA222)-1)+1)</f>
        <v/>
      </c>
      <c r="AB222" s="111">
        <f>INDEX('M03-S06'!$C$16:$C$198,2*(ROWS($Z$215:AB222)-1)+1)</f>
        <v>0</v>
      </c>
      <c r="AC222" s="96"/>
      <c r="AD222">
        <f>INDEX('M03-S06'!$X$16:$X$198,2*(ROWS($AD$215:AD222)-1)+1)</f>
        <v>0</v>
      </c>
      <c r="AE222" s="459"/>
      <c r="AF222" s="459"/>
      <c r="AG222" s="112"/>
      <c r="AH222" s="112"/>
      <c r="AI222" s="112"/>
      <c r="AJ222" s="112"/>
      <c r="AK222" s="113"/>
      <c r="AL222" s="113"/>
      <c r="AM222" s="113"/>
      <c r="AN222" s="113"/>
      <c r="AO222" s="52" t="str">
        <f>IFERROR(INDEX(PMGHVAC[Program Design],MATCH(AB222,PMGHVAC[Eff Desc 1])),"")</f>
        <v/>
      </c>
      <c r="AU222"/>
    </row>
    <row r="223" spans="1:47">
      <c r="A223" s="57">
        <f t="shared" si="17"/>
        <v>0</v>
      </c>
      <c r="B223" s="183" t="str">
        <f t="shared" si="25"/>
        <v/>
      </c>
      <c r="C223" t="str">
        <f>IFERROR(IF(R223&gt;0,INDEX(PMGHVAC[Measure '#],MATCH(AB223,PMGHVAC[Eff Desc 1],0)),""),"")</f>
        <v/>
      </c>
      <c r="D223" t="s">
        <v>947</v>
      </c>
      <c r="F223" s="112"/>
      <c r="G223" s="186">
        <f>INDEX('M03-S06'!$AB$16:$AB$196,2*(ROWS($G$215:G223)-1)+1)</f>
        <v>0</v>
      </c>
      <c r="H223" s="186" t="str">
        <f>IF(ISNUMBER(INDEX('M03-S06'!$AN$16:$AN$198,2*(ROWS($R$215:R223)-1)+1)),"Total","")</f>
        <v/>
      </c>
      <c r="I223" s="184">
        <f>IFERROR(ROUND(INDEX('M03-S06'!$AE$16:$AE$198,2*(ROWS($I$215:I223)-1)+1),2),0)</f>
        <v>0</v>
      </c>
      <c r="J223" s="184">
        <f>IFERROR(ROUND(INDEX('M03-S06'!$AG$16:$AG$198,2*(ROWS($J$215:J223)-1)+1),2),0)</f>
        <v>0</v>
      </c>
      <c r="K223" s="52">
        <f>IFERROR(ROUND(INDEX('M03-S06'!$AU$16:$AU$198,2*(ROWS($K$215:K223)-1)+1),2),0)</f>
        <v>0</v>
      </c>
      <c r="L223" s="52" t="str">
        <f>IFERROR(IF(R223&gt;0,M223*INDEX(PMGHVAC[Incremental Cost],MATCH(AB223,PMGHVAC[Eff Desc 1],0)),""),"")</f>
        <v/>
      </c>
      <c r="M223" s="456">
        <f>INDEX('M03-S06'!$V$16:$V$198,2*(ROWS($M$215:M223)-1)+1)</f>
        <v>0</v>
      </c>
      <c r="N223" s="113"/>
      <c r="O223" s="459"/>
      <c r="P223" s="184" t="str">
        <f>IFERROR(IF(ISNUMBER(INDEX('M03-S06'!$AN$16:$AN$198,2*(ROWS($R$215:R223)-1)+1)),INDEX('M03-S06'!$AK$16:$AK$198,2*(ROWS($P$215:P223)-1)+1),""),"")</f>
        <v/>
      </c>
      <c r="Q223" s="184"/>
      <c r="R223" s="184">
        <f>IF(ISNUMBER(INDEX('M03-S06'!$AN$16:$AN$198,2*(ROWS($R$215:R223)-1)+1)),INDEX('M03-S06'!$AN$16:$AN$198,2*(ROWS($R$215:R223)-1)+1),0)</f>
        <v>0</v>
      </c>
      <c r="S223" s="459"/>
      <c r="T223" s="113"/>
      <c r="U223" s="140"/>
      <c r="V223" s="113"/>
      <c r="W223" s="96">
        <f>IFERROR(IF(NOT(ISNUMBER(INDEX('M03-S06'!$AN$16:$AN$198,2*(ROWS($R$215:R223)-1)+1))),INDEX('M03-S06'!$BC$16:$BC$198,2*(ROWS($R$215:R223)-1)+1),""),"")</f>
        <v>0</v>
      </c>
      <c r="X223" s="113"/>
      <c r="Y223" s="113"/>
      <c r="Z223" s="111">
        <f>INDEX('M03-S06'!$B$16:$B$196,2*(ROWS($Z$215:Z223)-1)+1)</f>
        <v>9</v>
      </c>
      <c r="AA223" s="111" t="str">
        <f>INDEX('M03-S06'!$N$16:$N$198,2*(ROWS($Z$215:AA223)-1)+1)</f>
        <v/>
      </c>
      <c r="AB223" s="111">
        <f>INDEX('M03-S06'!$C$16:$C$198,2*(ROWS($Z$215:AB223)-1)+1)</f>
        <v>0</v>
      </c>
      <c r="AC223" s="96"/>
      <c r="AD223">
        <f>INDEX('M03-S06'!$X$16:$X$198,2*(ROWS($AD$215:AD223)-1)+1)</f>
        <v>0</v>
      </c>
      <c r="AE223" s="459"/>
      <c r="AF223" s="459"/>
      <c r="AG223" s="112"/>
      <c r="AH223" s="112"/>
      <c r="AI223" s="112"/>
      <c r="AJ223" s="112"/>
      <c r="AK223" s="113"/>
      <c r="AL223" s="113"/>
      <c r="AM223" s="113"/>
      <c r="AN223" s="113"/>
      <c r="AO223" s="52" t="str">
        <f>IFERROR(INDEX(PMGHVAC[Program Design],MATCH(AB223,PMGHVAC[Eff Desc 1])),"")</f>
        <v/>
      </c>
      <c r="AU223"/>
    </row>
    <row r="224" spans="1:47">
      <c r="A224" s="57">
        <f t="shared" si="17"/>
        <v>0</v>
      </c>
      <c r="B224" s="183" t="str">
        <f t="shared" si="25"/>
        <v/>
      </c>
      <c r="C224" t="str">
        <f>IFERROR(IF(R224&gt;0,INDEX(PMGHVAC[Measure '#],MATCH(AB224,PMGHVAC[Eff Desc 1],0)),""),"")</f>
        <v/>
      </c>
      <c r="D224" t="s">
        <v>947</v>
      </c>
      <c r="F224" s="112"/>
      <c r="G224" s="186">
        <f>INDEX('M03-S06'!$AB$16:$AB$196,2*(ROWS($G$215:G224)-1)+1)</f>
        <v>0</v>
      </c>
      <c r="H224" s="186" t="str">
        <f>IF(ISNUMBER(INDEX('M03-S06'!$AN$16:$AN$198,2*(ROWS($R$215:R224)-1)+1)),"Total","")</f>
        <v/>
      </c>
      <c r="I224" s="184">
        <f>IFERROR(ROUND(INDEX('M03-S06'!$AE$16:$AE$198,2*(ROWS($I$215:I224)-1)+1),2),0)</f>
        <v>0</v>
      </c>
      <c r="J224" s="184">
        <f>IFERROR(ROUND(INDEX('M03-S06'!$AG$16:$AG$198,2*(ROWS($J$215:J224)-1)+1),2),0)</f>
        <v>0</v>
      </c>
      <c r="K224" s="52">
        <f>IFERROR(ROUND(INDEX('M03-S06'!$AU$16:$AU$198,2*(ROWS($K$215:K224)-1)+1),2),0)</f>
        <v>0</v>
      </c>
      <c r="L224" s="52" t="str">
        <f>IFERROR(IF(R224&gt;0,M224*INDEX(PMGHVAC[Incremental Cost],MATCH(AB224,PMGHVAC[Eff Desc 1],0)),""),"")</f>
        <v/>
      </c>
      <c r="M224" s="456">
        <f>INDEX('M03-S06'!$V$16:$V$198,2*(ROWS($M$215:M224)-1)+1)</f>
        <v>0</v>
      </c>
      <c r="N224" s="113"/>
      <c r="O224" s="459"/>
      <c r="P224" s="184" t="str">
        <f>IFERROR(IF(ISNUMBER(INDEX('M03-S06'!$AN$16:$AN$198,2*(ROWS($R$215:R224)-1)+1)),INDEX('M03-S06'!$AK$16:$AK$198,2*(ROWS($P$215:P224)-1)+1),""),"")</f>
        <v/>
      </c>
      <c r="Q224" s="184"/>
      <c r="R224" s="184">
        <f>IF(ISNUMBER(INDEX('M03-S06'!$AN$16:$AN$198,2*(ROWS($R$215:R224)-1)+1)),INDEX('M03-S06'!$AN$16:$AN$198,2*(ROWS($R$215:R224)-1)+1),0)</f>
        <v>0</v>
      </c>
      <c r="S224" s="459"/>
      <c r="T224" s="113"/>
      <c r="U224" s="140"/>
      <c r="V224" s="113"/>
      <c r="W224" s="96">
        <f>IFERROR(IF(NOT(ISNUMBER(INDEX('M03-S06'!$AN$16:$AN$198,2*(ROWS($R$215:R224)-1)+1))),INDEX('M03-S06'!$BC$16:$BC$198,2*(ROWS($R$215:R224)-1)+1),""),"")</f>
        <v>0</v>
      </c>
      <c r="X224" s="113"/>
      <c r="Y224" s="113"/>
      <c r="Z224" s="111">
        <f>INDEX('M03-S06'!$B$16:$B$196,2*(ROWS($Z$215:Z224)-1)+1)</f>
        <v>10</v>
      </c>
      <c r="AA224" s="111" t="str">
        <f>INDEX('M03-S06'!$N$16:$N$198,2*(ROWS($Z$215:AA224)-1)+1)</f>
        <v/>
      </c>
      <c r="AB224" s="111">
        <f>INDEX('M03-S06'!$C$16:$C$198,2*(ROWS($Z$215:AB224)-1)+1)</f>
        <v>0</v>
      </c>
      <c r="AC224" s="96"/>
      <c r="AD224">
        <f>INDEX('M03-S06'!$X$16:$X$198,2*(ROWS($AD$215:AD224)-1)+1)</f>
        <v>0</v>
      </c>
      <c r="AE224" s="459"/>
      <c r="AF224" s="459"/>
      <c r="AG224" s="112"/>
      <c r="AH224" s="112"/>
      <c r="AI224" s="112"/>
      <c r="AJ224" s="112"/>
      <c r="AK224" s="113"/>
      <c r="AL224" s="113"/>
      <c r="AM224" s="113"/>
      <c r="AN224" s="113"/>
      <c r="AO224" s="52" t="str">
        <f>IFERROR(INDEX(PMGHVAC[Program Design],MATCH(AB224,PMGHVAC[Eff Desc 1])),"")</f>
        <v/>
      </c>
      <c r="AU224"/>
    </row>
    <row r="225" spans="1:47">
      <c r="A225" s="57">
        <f t="shared" si="17"/>
        <v>0</v>
      </c>
      <c r="B225" s="183" t="str">
        <f t="shared" si="25"/>
        <v/>
      </c>
      <c r="C225" t="str">
        <f>IFERROR(IF(R225&gt;0,INDEX(PMGHVAC[Measure '#],MATCH(AB225,PMGHVAC[Eff Desc 1],0)),""),"")</f>
        <v/>
      </c>
      <c r="D225" t="s">
        <v>947</v>
      </c>
      <c r="F225" s="112"/>
      <c r="G225" s="186">
        <f>INDEX('M03-S06'!$AB$16:$AB$196,2*(ROWS($G$215:G225)-1)+1)</f>
        <v>0</v>
      </c>
      <c r="H225" s="186" t="str">
        <f>IF(ISNUMBER(INDEX('M03-S06'!$AN$16:$AN$198,2*(ROWS($R$215:R225)-1)+1)),"Total","")</f>
        <v/>
      </c>
      <c r="I225" s="184">
        <f>IFERROR(ROUND(INDEX('M03-S06'!$AE$16:$AE$198,2*(ROWS($I$215:I225)-1)+1),2),0)</f>
        <v>0</v>
      </c>
      <c r="J225" s="184">
        <f>IFERROR(ROUND(INDEX('M03-S06'!$AG$16:$AG$198,2*(ROWS($J$215:J225)-1)+1),2),0)</f>
        <v>0</v>
      </c>
      <c r="K225" s="52">
        <f>IFERROR(ROUND(INDEX('M03-S06'!$AU$16:$AU$198,2*(ROWS($K$215:K225)-1)+1),2),0)</f>
        <v>0</v>
      </c>
      <c r="L225" s="52" t="str">
        <f>IFERROR(IF(R225&gt;0,M225*INDEX(PMGHVAC[Incremental Cost],MATCH(AB225,PMGHVAC[Eff Desc 1],0)),""),"")</f>
        <v/>
      </c>
      <c r="M225" s="456">
        <f>INDEX('M03-S06'!$V$16:$V$198,2*(ROWS($M$215:M225)-1)+1)</f>
        <v>0</v>
      </c>
      <c r="N225" s="113"/>
      <c r="O225" s="459"/>
      <c r="P225" s="184" t="str">
        <f>IFERROR(IF(ISNUMBER(INDEX('M03-S06'!$AN$16:$AN$198,2*(ROWS($R$215:R225)-1)+1)),INDEX('M03-S06'!$AK$16:$AK$198,2*(ROWS($P$215:P225)-1)+1),""),"")</f>
        <v/>
      </c>
      <c r="Q225" s="184"/>
      <c r="R225" s="184">
        <f>IF(ISNUMBER(INDEX('M03-S06'!$AN$16:$AN$198,2*(ROWS($R$215:R225)-1)+1)),INDEX('M03-S06'!$AN$16:$AN$198,2*(ROWS($R$215:R225)-1)+1),0)</f>
        <v>0</v>
      </c>
      <c r="S225" s="459"/>
      <c r="T225" s="113"/>
      <c r="U225" s="140"/>
      <c r="V225" s="113"/>
      <c r="W225" s="96">
        <f>IFERROR(IF(NOT(ISNUMBER(INDEX('M03-S06'!$AN$16:$AN$198,2*(ROWS($R$215:R225)-1)+1))),INDEX('M03-S06'!$BC$16:$BC$198,2*(ROWS($R$215:R225)-1)+1),""),"")</f>
        <v>0</v>
      </c>
      <c r="X225" s="113"/>
      <c r="Y225" s="113"/>
      <c r="Z225" s="111">
        <f>INDEX('M03-S06'!$B$16:$B$196,2*(ROWS($Z$215:Z225)-1)+1)</f>
        <v>11</v>
      </c>
      <c r="AA225" s="111" t="str">
        <f>INDEX('M03-S06'!$N$16:$N$198,2*(ROWS($Z$215:AA225)-1)+1)</f>
        <v/>
      </c>
      <c r="AB225" s="111">
        <f>INDEX('M03-S06'!$C$16:$C$198,2*(ROWS($Z$215:AB225)-1)+1)</f>
        <v>0</v>
      </c>
      <c r="AC225" s="96"/>
      <c r="AD225">
        <f>INDEX('M03-S06'!$X$16:$X$198,2*(ROWS($AD$215:AD225)-1)+1)</f>
        <v>0</v>
      </c>
      <c r="AE225" s="459"/>
      <c r="AF225" s="459"/>
      <c r="AG225" s="112"/>
      <c r="AH225" s="112"/>
      <c r="AI225" s="112"/>
      <c r="AJ225" s="112"/>
      <c r="AK225" s="113"/>
      <c r="AL225" s="113"/>
      <c r="AM225" s="113"/>
      <c r="AN225" s="113"/>
      <c r="AO225" s="52" t="str">
        <f>IFERROR(INDEX(PMGHVAC[Program Design],MATCH(AB225,PMGHVAC[Eff Desc 1])),"")</f>
        <v/>
      </c>
      <c r="AU225"/>
    </row>
    <row r="226" spans="1:47">
      <c r="A226" s="57">
        <f t="shared" si="17"/>
        <v>0</v>
      </c>
      <c r="B226" s="183" t="str">
        <f t="shared" si="25"/>
        <v/>
      </c>
      <c r="C226" t="str">
        <f>IFERROR(IF(R226&gt;0,INDEX(PMGHVAC[Measure '#],MATCH(AB226,PMGHVAC[Eff Desc 1],0)),""),"")</f>
        <v/>
      </c>
      <c r="D226" t="s">
        <v>947</v>
      </c>
      <c r="F226" s="112"/>
      <c r="G226" s="186">
        <f>INDEX('M03-S06'!$AB$16:$AB$196,2*(ROWS($G$215:G226)-1)+1)</f>
        <v>0</v>
      </c>
      <c r="H226" s="186" t="str">
        <f>IF(ISNUMBER(INDEX('M03-S06'!$AN$16:$AN$198,2*(ROWS($R$215:R226)-1)+1)),"Total","")</f>
        <v/>
      </c>
      <c r="I226" s="184">
        <f>IFERROR(ROUND(INDEX('M03-S06'!$AE$16:$AE$198,2*(ROWS($I$215:I226)-1)+1),2),0)</f>
        <v>0</v>
      </c>
      <c r="J226" s="184">
        <f>IFERROR(ROUND(INDEX('M03-S06'!$AG$16:$AG$198,2*(ROWS($J$215:J226)-1)+1),2),0)</f>
        <v>0</v>
      </c>
      <c r="K226" s="52">
        <f>IFERROR(ROUND(INDEX('M03-S06'!$AU$16:$AU$198,2*(ROWS($K$215:K226)-1)+1),2),0)</f>
        <v>0</v>
      </c>
      <c r="L226" s="52" t="str">
        <f>IFERROR(IF(R226&gt;0,M226*INDEX(PMGHVAC[Incremental Cost],MATCH(AB226,PMGHVAC[Eff Desc 1],0)),""),"")</f>
        <v/>
      </c>
      <c r="M226" s="456">
        <f>INDEX('M03-S06'!$V$16:$V$198,2*(ROWS($M$215:M226)-1)+1)</f>
        <v>0</v>
      </c>
      <c r="N226" s="113"/>
      <c r="O226" s="459"/>
      <c r="P226" s="184" t="str">
        <f>IFERROR(IF(ISNUMBER(INDEX('M03-S06'!$AN$16:$AN$198,2*(ROWS($R$215:R226)-1)+1)),INDEX('M03-S06'!$AK$16:$AK$198,2*(ROWS($P$215:P226)-1)+1),""),"")</f>
        <v/>
      </c>
      <c r="Q226" s="184"/>
      <c r="R226" s="184">
        <f>IF(ISNUMBER(INDEX('M03-S06'!$AN$16:$AN$198,2*(ROWS($R$215:R226)-1)+1)),INDEX('M03-S06'!$AN$16:$AN$198,2*(ROWS($R$215:R226)-1)+1),0)</f>
        <v>0</v>
      </c>
      <c r="S226" s="459"/>
      <c r="T226" s="113"/>
      <c r="U226" s="140"/>
      <c r="V226" s="113"/>
      <c r="W226" s="96">
        <f>IFERROR(IF(NOT(ISNUMBER(INDEX('M03-S06'!$AN$16:$AN$198,2*(ROWS($R$215:R226)-1)+1))),INDEX('M03-S06'!$BC$16:$BC$198,2*(ROWS($R$215:R226)-1)+1),""),"")</f>
        <v>0</v>
      </c>
      <c r="X226" s="113"/>
      <c r="Y226" s="113"/>
      <c r="Z226" s="111">
        <f>INDEX('M03-S06'!$B$16:$B$196,2*(ROWS($Z$215:Z226)-1)+1)</f>
        <v>12</v>
      </c>
      <c r="AA226" s="111" t="str">
        <f>INDEX('M03-S06'!$N$16:$N$198,2*(ROWS($Z$215:AA226)-1)+1)</f>
        <v/>
      </c>
      <c r="AB226" s="111">
        <f>INDEX('M03-S06'!$C$16:$C$198,2*(ROWS($Z$215:AB226)-1)+1)</f>
        <v>0</v>
      </c>
      <c r="AC226" s="96"/>
      <c r="AD226">
        <f>INDEX('M03-S06'!$X$16:$X$198,2*(ROWS($AD$215:AD226)-1)+1)</f>
        <v>0</v>
      </c>
      <c r="AE226" s="459"/>
      <c r="AF226" s="459"/>
      <c r="AG226" s="112"/>
      <c r="AH226" s="112"/>
      <c r="AI226" s="112"/>
      <c r="AJ226" s="112"/>
      <c r="AK226" s="113"/>
      <c r="AL226" s="113"/>
      <c r="AM226" s="113"/>
      <c r="AN226" s="113"/>
      <c r="AO226" s="52" t="str">
        <f>IFERROR(INDEX(PMGHVAC[Program Design],MATCH(AB226,PMGHVAC[Eff Desc 1])),"")</f>
        <v/>
      </c>
      <c r="AU226"/>
    </row>
    <row r="227" spans="1:47">
      <c r="A227" s="57">
        <f t="shared" si="17"/>
        <v>0</v>
      </c>
      <c r="B227" s="183" t="str">
        <f t="shared" si="25"/>
        <v/>
      </c>
      <c r="C227" t="str">
        <f>IFERROR(IF(R227&gt;0,INDEX(PMGHVAC[Measure '#],MATCH(AB227,PMGHVAC[Eff Desc 1],0)),""),"")</f>
        <v/>
      </c>
      <c r="D227" t="s">
        <v>947</v>
      </c>
      <c r="F227" s="112"/>
      <c r="G227" s="186">
        <f>INDEX('M03-S06'!$AB$16:$AB$196,2*(ROWS($G$215:G227)-1)+1)</f>
        <v>0</v>
      </c>
      <c r="H227" s="186" t="str">
        <f>IF(ISNUMBER(INDEX('M03-S06'!$AN$16:$AN$198,2*(ROWS($R$215:R227)-1)+1)),"Total","")</f>
        <v/>
      </c>
      <c r="I227" s="184">
        <f>IFERROR(ROUND(INDEX('M03-S06'!$AE$16:$AE$198,2*(ROWS($I$215:I227)-1)+1),2),0)</f>
        <v>0</v>
      </c>
      <c r="J227" s="184">
        <f>IFERROR(ROUND(INDEX('M03-S06'!$AG$16:$AG$198,2*(ROWS($J$215:J227)-1)+1),2),0)</f>
        <v>0</v>
      </c>
      <c r="K227" s="52">
        <f>IFERROR(ROUND(INDEX('M03-S06'!$AU$16:$AU$198,2*(ROWS($K$215:K227)-1)+1),2),0)</f>
        <v>0</v>
      </c>
      <c r="L227" s="52" t="str">
        <f>IFERROR(IF(R227&gt;0,M227*INDEX(PMGHVAC[Incremental Cost],MATCH(AB227,PMGHVAC[Eff Desc 1],0)),""),"")</f>
        <v/>
      </c>
      <c r="M227" s="456">
        <f>INDEX('M03-S06'!$V$16:$V$198,2*(ROWS($M$215:M227)-1)+1)</f>
        <v>0</v>
      </c>
      <c r="N227" s="113"/>
      <c r="O227" s="459"/>
      <c r="P227" s="184" t="str">
        <f>IFERROR(IF(ISNUMBER(INDEX('M03-S06'!$AN$16:$AN$198,2*(ROWS($R$215:R227)-1)+1)),INDEX('M03-S06'!$AK$16:$AK$198,2*(ROWS($P$215:P227)-1)+1),""),"")</f>
        <v/>
      </c>
      <c r="Q227" s="184"/>
      <c r="R227" s="184">
        <f>IF(ISNUMBER(INDEX('M03-S06'!$AN$16:$AN$198,2*(ROWS($R$215:R227)-1)+1)),INDEX('M03-S06'!$AN$16:$AN$198,2*(ROWS($R$215:R227)-1)+1),0)</f>
        <v>0</v>
      </c>
      <c r="S227" s="459"/>
      <c r="T227" s="113"/>
      <c r="U227" s="140"/>
      <c r="V227" s="113"/>
      <c r="W227" s="96">
        <f>IFERROR(IF(NOT(ISNUMBER(INDEX('M03-S06'!$AN$16:$AN$198,2*(ROWS($R$215:R227)-1)+1))),INDEX('M03-S06'!$BC$16:$BC$198,2*(ROWS($R$215:R227)-1)+1),""),"")</f>
        <v>0</v>
      </c>
      <c r="X227" s="113"/>
      <c r="Y227" s="113"/>
      <c r="Z227" s="111">
        <f>INDEX('M03-S06'!$B$16:$B$196,2*(ROWS($Z$215:Z227)-1)+1)</f>
        <v>13</v>
      </c>
      <c r="AA227" s="111" t="str">
        <f>INDEX('M03-S06'!$N$16:$N$198,2*(ROWS($Z$215:AA227)-1)+1)</f>
        <v/>
      </c>
      <c r="AB227" s="111">
        <f>INDEX('M03-S06'!$C$16:$C$198,2*(ROWS($Z$215:AB227)-1)+1)</f>
        <v>0</v>
      </c>
      <c r="AC227" s="96"/>
      <c r="AD227">
        <f>INDEX('M03-S06'!$X$16:$X$198,2*(ROWS($AD$215:AD227)-1)+1)</f>
        <v>0</v>
      </c>
      <c r="AE227" s="459"/>
      <c r="AF227" s="459"/>
      <c r="AG227" s="112"/>
      <c r="AH227" s="112"/>
      <c r="AI227" s="112"/>
      <c r="AJ227" s="112"/>
      <c r="AK227" s="113"/>
      <c r="AL227" s="113"/>
      <c r="AM227" s="113"/>
      <c r="AN227" s="113"/>
      <c r="AO227" s="52" t="str">
        <f>IFERROR(INDEX(PMGHVAC[Program Design],MATCH(AB227,PMGHVAC[Eff Desc 1])),"")</f>
        <v/>
      </c>
      <c r="AU227"/>
    </row>
    <row r="228" spans="1:47">
      <c r="A228" s="57">
        <f t="shared" si="17"/>
        <v>0</v>
      </c>
      <c r="B228" s="183" t="str">
        <f t="shared" si="25"/>
        <v/>
      </c>
      <c r="C228" t="str">
        <f>IFERROR(IF(R228&gt;0,INDEX(PMGHVAC[Measure '#],MATCH(AB228,PMGHVAC[Eff Desc 1],0)),""),"")</f>
        <v/>
      </c>
      <c r="D228" t="s">
        <v>947</v>
      </c>
      <c r="F228" s="112"/>
      <c r="G228" s="186">
        <f>INDEX('M03-S06'!$AB$16:$AB$196,2*(ROWS($G$215:G228)-1)+1)</f>
        <v>0</v>
      </c>
      <c r="H228" s="186" t="str">
        <f>IF(ISNUMBER(INDEX('M03-S06'!$AN$16:$AN$198,2*(ROWS($R$215:R228)-1)+1)),"Total","")</f>
        <v/>
      </c>
      <c r="I228" s="184">
        <f>IFERROR(ROUND(INDEX('M03-S06'!$AE$16:$AE$198,2*(ROWS($I$215:I228)-1)+1),2),0)</f>
        <v>0</v>
      </c>
      <c r="J228" s="184">
        <f>IFERROR(ROUND(INDEX('M03-S06'!$AG$16:$AG$198,2*(ROWS($J$215:J228)-1)+1),2),0)</f>
        <v>0</v>
      </c>
      <c r="K228" s="52">
        <f>IFERROR(ROUND(INDEX('M03-S06'!$AU$16:$AU$198,2*(ROWS($K$215:K228)-1)+1),2),0)</f>
        <v>0</v>
      </c>
      <c r="L228" s="52" t="str">
        <f>IFERROR(IF(R228&gt;0,M228*INDEX(PMGHVAC[Incremental Cost],MATCH(AB228,PMGHVAC[Eff Desc 1],0)),""),"")</f>
        <v/>
      </c>
      <c r="M228" s="456">
        <f>INDEX('M03-S06'!$V$16:$V$198,2*(ROWS($M$215:M228)-1)+1)</f>
        <v>0</v>
      </c>
      <c r="N228" s="113"/>
      <c r="O228" s="459"/>
      <c r="P228" s="184" t="str">
        <f>IFERROR(IF(ISNUMBER(INDEX('M03-S06'!$AN$16:$AN$198,2*(ROWS($R$215:R228)-1)+1)),INDEX('M03-S06'!$AK$16:$AK$198,2*(ROWS($P$215:P228)-1)+1),""),"")</f>
        <v/>
      </c>
      <c r="Q228" s="184"/>
      <c r="R228" s="184">
        <f>IF(ISNUMBER(INDEX('M03-S06'!$AN$16:$AN$198,2*(ROWS($R$215:R228)-1)+1)),INDEX('M03-S06'!$AN$16:$AN$198,2*(ROWS($R$215:R228)-1)+1),0)</f>
        <v>0</v>
      </c>
      <c r="S228" s="459"/>
      <c r="T228" s="113"/>
      <c r="U228" s="140"/>
      <c r="V228" s="113"/>
      <c r="W228" s="96">
        <f>IFERROR(IF(NOT(ISNUMBER(INDEX('M03-S06'!$AN$16:$AN$198,2*(ROWS($R$215:R228)-1)+1))),INDEX('M03-S06'!$BC$16:$BC$198,2*(ROWS($R$215:R228)-1)+1),""),"")</f>
        <v>0</v>
      </c>
      <c r="X228" s="113"/>
      <c r="Y228" s="113"/>
      <c r="Z228" s="111">
        <f>INDEX('M03-S06'!$B$16:$B$196,2*(ROWS($Z$215:Z228)-1)+1)</f>
        <v>14</v>
      </c>
      <c r="AA228" s="111" t="str">
        <f>INDEX('M03-S06'!$N$16:$N$198,2*(ROWS($Z$215:AA228)-1)+1)</f>
        <v/>
      </c>
      <c r="AB228" s="111">
        <f>INDEX('M03-S06'!$C$16:$C$198,2*(ROWS($Z$215:AB228)-1)+1)</f>
        <v>0</v>
      </c>
      <c r="AC228" s="96"/>
      <c r="AD228">
        <f>INDEX('M03-S06'!$X$16:$X$198,2*(ROWS($AD$215:AD228)-1)+1)</f>
        <v>0</v>
      </c>
      <c r="AE228" s="459"/>
      <c r="AF228" s="459"/>
      <c r="AG228" s="112"/>
      <c r="AH228" s="112"/>
      <c r="AI228" s="112"/>
      <c r="AJ228" s="112"/>
      <c r="AK228" s="113"/>
      <c r="AL228" s="113"/>
      <c r="AM228" s="113"/>
      <c r="AN228" s="113"/>
      <c r="AO228" s="52" t="str">
        <f>IFERROR(INDEX(PMGHVAC[Program Design],MATCH(AB228,PMGHVAC[Eff Desc 1])),"")</f>
        <v/>
      </c>
      <c r="AU228"/>
    </row>
    <row r="229" spans="1:47">
      <c r="A229" s="57">
        <f t="shared" si="17"/>
        <v>0</v>
      </c>
      <c r="B229" s="183" t="str">
        <f t="shared" si="25"/>
        <v/>
      </c>
      <c r="C229" t="str">
        <f>IFERROR(IF(R229&gt;0,INDEX(PMGHVAC[Measure '#],MATCH(AB229,PMGHVAC[Eff Desc 1],0)),""),"")</f>
        <v/>
      </c>
      <c r="D229" t="s">
        <v>947</v>
      </c>
      <c r="F229" s="112"/>
      <c r="G229" s="186">
        <f>INDEX('M03-S06'!$AB$16:$AB$196,2*(ROWS($G$215:G229)-1)+1)</f>
        <v>0</v>
      </c>
      <c r="H229" s="186" t="str">
        <f>IF(ISNUMBER(INDEX('M03-S06'!$AN$16:$AN$198,2*(ROWS($R$215:R229)-1)+1)),"Total","")</f>
        <v/>
      </c>
      <c r="I229" s="184">
        <f>IFERROR(ROUND(INDEX('M03-S06'!$AE$16:$AE$198,2*(ROWS($I$215:I229)-1)+1),2),0)</f>
        <v>0</v>
      </c>
      <c r="J229" s="184">
        <f>IFERROR(ROUND(INDEX('M03-S06'!$AG$16:$AG$198,2*(ROWS($J$215:J229)-1)+1),2),0)</f>
        <v>0</v>
      </c>
      <c r="K229" s="52">
        <f>IFERROR(ROUND(INDEX('M03-S06'!$AU$16:$AU$198,2*(ROWS($K$215:K229)-1)+1),2),0)</f>
        <v>0</v>
      </c>
      <c r="L229" s="52" t="str">
        <f>IFERROR(IF(R229&gt;0,M229*INDEX(PMGHVAC[Incremental Cost],MATCH(AB229,PMGHVAC[Eff Desc 1],0)),""),"")</f>
        <v/>
      </c>
      <c r="M229" s="456">
        <f>INDEX('M03-S06'!$V$16:$V$198,2*(ROWS($M$215:M229)-1)+1)</f>
        <v>0</v>
      </c>
      <c r="N229" s="113"/>
      <c r="O229" s="459"/>
      <c r="P229" s="184" t="str">
        <f>IFERROR(IF(ISNUMBER(INDEX('M03-S06'!$AN$16:$AN$198,2*(ROWS($R$215:R229)-1)+1)),INDEX('M03-S06'!$AK$16:$AK$198,2*(ROWS($P$215:P229)-1)+1),""),"")</f>
        <v/>
      </c>
      <c r="Q229" s="184"/>
      <c r="R229" s="184">
        <f>IF(ISNUMBER(INDEX('M03-S06'!$AN$16:$AN$198,2*(ROWS($R$215:R229)-1)+1)),INDEX('M03-S06'!$AN$16:$AN$198,2*(ROWS($R$215:R229)-1)+1),0)</f>
        <v>0</v>
      </c>
      <c r="S229" s="459"/>
      <c r="T229" s="113"/>
      <c r="U229" s="140"/>
      <c r="V229" s="113"/>
      <c r="W229" s="96">
        <f>IFERROR(IF(NOT(ISNUMBER(INDEX('M03-S06'!$AN$16:$AN$198,2*(ROWS($R$215:R229)-1)+1))),INDEX('M03-S06'!$BC$16:$BC$198,2*(ROWS($R$215:R229)-1)+1),""),"")</f>
        <v>0</v>
      </c>
      <c r="X229" s="113"/>
      <c r="Y229" s="113"/>
      <c r="Z229" s="111">
        <f>INDEX('M03-S06'!$B$16:$B$196,2*(ROWS($Z$215:Z229)-1)+1)</f>
        <v>15</v>
      </c>
      <c r="AA229" s="111" t="str">
        <f>INDEX('M03-S06'!$N$16:$N$198,2*(ROWS($Z$215:AA229)-1)+1)</f>
        <v/>
      </c>
      <c r="AB229" s="111">
        <f>INDEX('M03-S06'!$C$16:$C$198,2*(ROWS($Z$215:AB229)-1)+1)</f>
        <v>0</v>
      </c>
      <c r="AC229" s="96"/>
      <c r="AD229">
        <f>INDEX('M03-S06'!$X$16:$X$198,2*(ROWS($AD$215:AD229)-1)+1)</f>
        <v>0</v>
      </c>
      <c r="AE229" s="459"/>
      <c r="AF229" s="459"/>
      <c r="AG229" s="112"/>
      <c r="AH229" s="112"/>
      <c r="AI229" s="112"/>
      <c r="AJ229" s="112"/>
      <c r="AK229" s="113"/>
      <c r="AL229" s="113"/>
      <c r="AM229" s="113"/>
      <c r="AN229" s="113"/>
      <c r="AO229" s="52" t="str">
        <f>IFERROR(INDEX(PMGHVAC[Program Design],MATCH(AB229,PMGHVAC[Eff Desc 1])),"")</f>
        <v/>
      </c>
      <c r="AU229"/>
    </row>
    <row r="230" spans="1:47">
      <c r="A230" s="57">
        <f t="shared" si="17"/>
        <v>0</v>
      </c>
      <c r="B230" s="183" t="str">
        <f t="shared" si="25"/>
        <v/>
      </c>
      <c r="C230" t="str">
        <f>IFERROR(IF(R230&gt;0,INDEX(PMGHVAC[Measure '#],MATCH(AB230,PMGHVAC[Eff Desc 1],0)),""),"")</f>
        <v/>
      </c>
      <c r="D230" t="s">
        <v>947</v>
      </c>
      <c r="F230" s="112"/>
      <c r="G230" s="186">
        <f>INDEX('M03-S06'!$AB$16:$AB$196,2*(ROWS($G$215:G230)-1)+1)</f>
        <v>0</v>
      </c>
      <c r="H230" s="186" t="str">
        <f>IF(ISNUMBER(INDEX('M03-S06'!$AN$16:$AN$198,2*(ROWS($R$215:R230)-1)+1)),"Total","")</f>
        <v/>
      </c>
      <c r="I230" s="184">
        <f>IFERROR(ROUND(INDEX('M03-S06'!$AE$16:$AE$198,2*(ROWS($I$215:I230)-1)+1),2),0)</f>
        <v>0</v>
      </c>
      <c r="J230" s="184">
        <f>IFERROR(ROUND(INDEX('M03-S06'!$AG$16:$AG$198,2*(ROWS($J$215:J230)-1)+1),2),0)</f>
        <v>0</v>
      </c>
      <c r="K230" s="52">
        <f>IFERROR(ROUND(INDEX('M03-S06'!$AU$16:$AU$198,2*(ROWS($K$215:K230)-1)+1),2),0)</f>
        <v>0</v>
      </c>
      <c r="L230" s="52" t="str">
        <f>IFERROR(IF(R230&gt;0,M230*INDEX(PMGHVAC[Incremental Cost],MATCH(AB230,PMGHVAC[Eff Desc 1],0)),""),"")</f>
        <v/>
      </c>
      <c r="M230" s="456">
        <f>INDEX('M03-S06'!$V$16:$V$198,2*(ROWS($M$215:M230)-1)+1)</f>
        <v>0</v>
      </c>
      <c r="N230" s="113"/>
      <c r="O230" s="459"/>
      <c r="P230" s="184" t="str">
        <f>IFERROR(IF(ISNUMBER(INDEX('M03-S06'!$AN$16:$AN$198,2*(ROWS($R$215:R230)-1)+1)),INDEX('M03-S06'!$AK$16:$AK$198,2*(ROWS($P$215:P230)-1)+1),""),"")</f>
        <v/>
      </c>
      <c r="Q230" s="184"/>
      <c r="R230" s="184">
        <f>IF(ISNUMBER(INDEX('M03-S06'!$AN$16:$AN$198,2*(ROWS($R$215:R230)-1)+1)),INDEX('M03-S06'!$AN$16:$AN$198,2*(ROWS($R$215:R230)-1)+1),0)</f>
        <v>0</v>
      </c>
      <c r="S230" s="459"/>
      <c r="T230" s="113"/>
      <c r="U230" s="140"/>
      <c r="V230" s="113"/>
      <c r="W230" s="96">
        <f>IFERROR(IF(NOT(ISNUMBER(INDEX('M03-S06'!$AN$16:$AN$198,2*(ROWS($R$215:R230)-1)+1))),INDEX('M03-S06'!$BC$16:$BC$198,2*(ROWS($R$215:R230)-1)+1),""),"")</f>
        <v>0</v>
      </c>
      <c r="X230" s="113"/>
      <c r="Y230" s="113"/>
      <c r="Z230" s="111">
        <f>INDEX('M03-S06'!$B$16:$B$196,2*(ROWS($Z$215:Z230)-1)+1)</f>
        <v>16</v>
      </c>
      <c r="AA230" s="111" t="str">
        <f>INDEX('M03-S06'!$N$16:$N$198,2*(ROWS($Z$215:AA230)-1)+1)</f>
        <v/>
      </c>
      <c r="AB230" s="111">
        <f>INDEX('M03-S06'!$C$16:$C$198,2*(ROWS($Z$215:AB230)-1)+1)</f>
        <v>0</v>
      </c>
      <c r="AC230" s="96"/>
      <c r="AD230">
        <f>INDEX('M03-S06'!$X$16:$X$198,2*(ROWS($AD$215:AD230)-1)+1)</f>
        <v>0</v>
      </c>
      <c r="AE230" s="459"/>
      <c r="AF230" s="459"/>
      <c r="AG230" s="112"/>
      <c r="AH230" s="112"/>
      <c r="AI230" s="112"/>
      <c r="AJ230" s="112"/>
      <c r="AK230" s="113"/>
      <c r="AL230" s="113"/>
      <c r="AM230" s="113"/>
      <c r="AN230" s="113"/>
      <c r="AO230" s="52" t="str">
        <f>IFERROR(INDEX(PMGHVAC[Program Design],MATCH(AB230,PMGHVAC[Eff Desc 1])),"")</f>
        <v/>
      </c>
      <c r="AU230"/>
    </row>
    <row r="231" spans="1:47">
      <c r="A231" s="57">
        <f t="shared" si="17"/>
        <v>0</v>
      </c>
      <c r="B231" s="183" t="str">
        <f t="shared" si="25"/>
        <v/>
      </c>
      <c r="C231" t="str">
        <f>IFERROR(IF(R231&gt;0,INDEX(PMGHVAC[Measure '#],MATCH(AB231,PMGHVAC[Eff Desc 1],0)),""),"")</f>
        <v/>
      </c>
      <c r="D231" t="s">
        <v>947</v>
      </c>
      <c r="F231" s="112"/>
      <c r="G231" s="186">
        <f>INDEX('M03-S06'!$AB$16:$AB$196,2*(ROWS($G$215:G231)-1)+1)</f>
        <v>0</v>
      </c>
      <c r="H231" s="186" t="str">
        <f>IF(ISNUMBER(INDEX('M03-S06'!$AN$16:$AN$198,2*(ROWS($R$215:R231)-1)+1)),"Total","")</f>
        <v/>
      </c>
      <c r="I231" s="184">
        <f>IFERROR(ROUND(INDEX('M03-S06'!$AE$16:$AE$198,2*(ROWS($I$215:I231)-1)+1),2),0)</f>
        <v>0</v>
      </c>
      <c r="J231" s="184">
        <f>IFERROR(ROUND(INDEX('M03-S06'!$AG$16:$AG$198,2*(ROWS($J$215:J231)-1)+1),2),0)</f>
        <v>0</v>
      </c>
      <c r="K231" s="52">
        <f>IFERROR(ROUND(INDEX('M03-S06'!$AU$16:$AU$198,2*(ROWS($K$215:K231)-1)+1),2),0)</f>
        <v>0</v>
      </c>
      <c r="L231" s="52" t="str">
        <f>IFERROR(IF(R231&gt;0,M231*INDEX(PMGHVAC[Incremental Cost],MATCH(AB231,PMGHVAC[Eff Desc 1],0)),""),"")</f>
        <v/>
      </c>
      <c r="M231" s="456">
        <f>INDEX('M03-S06'!$V$16:$V$198,2*(ROWS($M$215:M231)-1)+1)</f>
        <v>0</v>
      </c>
      <c r="N231" s="113"/>
      <c r="O231" s="459"/>
      <c r="P231" s="184" t="str">
        <f>IFERROR(IF(ISNUMBER(INDEX('M03-S06'!$AN$16:$AN$198,2*(ROWS($R$215:R231)-1)+1)),INDEX('M03-S06'!$AK$16:$AK$198,2*(ROWS($P$215:P231)-1)+1),""),"")</f>
        <v/>
      </c>
      <c r="Q231" s="184"/>
      <c r="R231" s="184">
        <f>IF(ISNUMBER(INDEX('M03-S06'!$AN$16:$AN$198,2*(ROWS($R$215:R231)-1)+1)),INDEX('M03-S06'!$AN$16:$AN$198,2*(ROWS($R$215:R231)-1)+1),0)</f>
        <v>0</v>
      </c>
      <c r="S231" s="459"/>
      <c r="T231" s="113"/>
      <c r="U231" s="140"/>
      <c r="V231" s="113"/>
      <c r="W231" s="96">
        <f>IFERROR(IF(NOT(ISNUMBER(INDEX('M03-S06'!$AN$16:$AN$198,2*(ROWS($R$215:R231)-1)+1))),INDEX('M03-S06'!$BC$16:$BC$198,2*(ROWS($R$215:R231)-1)+1),""),"")</f>
        <v>0</v>
      </c>
      <c r="X231" s="113"/>
      <c r="Y231" s="113"/>
      <c r="Z231" s="111">
        <f>INDEX('M03-S06'!$B$16:$B$196,2*(ROWS($Z$215:Z231)-1)+1)</f>
        <v>17</v>
      </c>
      <c r="AA231" s="111" t="str">
        <f>INDEX('M03-S06'!$N$16:$N$198,2*(ROWS($Z$215:AA231)-1)+1)</f>
        <v/>
      </c>
      <c r="AB231" s="111">
        <f>INDEX('M03-S06'!$C$16:$C$198,2*(ROWS($Z$215:AB231)-1)+1)</f>
        <v>0</v>
      </c>
      <c r="AC231" s="96"/>
      <c r="AD231">
        <f>INDEX('M03-S06'!$X$16:$X$198,2*(ROWS($AD$215:AD231)-1)+1)</f>
        <v>0</v>
      </c>
      <c r="AE231" s="459"/>
      <c r="AF231" s="459"/>
      <c r="AG231" s="112"/>
      <c r="AH231" s="112"/>
      <c r="AI231" s="112"/>
      <c r="AJ231" s="112"/>
      <c r="AK231" s="113"/>
      <c r="AL231" s="113"/>
      <c r="AM231" s="113"/>
      <c r="AN231" s="113"/>
      <c r="AO231" s="52" t="str">
        <f>IFERROR(INDEX(PMGHVAC[Program Design],MATCH(AB231,PMGHVAC[Eff Desc 1])),"")</f>
        <v/>
      </c>
      <c r="AU231"/>
    </row>
    <row r="232" spans="1:47">
      <c r="A232" s="57">
        <f t="shared" si="17"/>
        <v>0</v>
      </c>
      <c r="B232" s="183" t="str">
        <f t="shared" si="25"/>
        <v/>
      </c>
      <c r="C232" t="str">
        <f>IFERROR(IF(R232&gt;0,INDEX(PMGHVAC[Measure '#],MATCH(AB232,PMGHVAC[Eff Desc 1],0)),""),"")</f>
        <v/>
      </c>
      <c r="D232" t="s">
        <v>947</v>
      </c>
      <c r="F232" s="112"/>
      <c r="G232" s="186">
        <f>INDEX('M03-S06'!$AB$16:$AB$196,2*(ROWS($G$215:G232)-1)+1)</f>
        <v>0</v>
      </c>
      <c r="H232" s="186" t="str">
        <f>IF(ISNUMBER(INDEX('M03-S06'!$AN$16:$AN$198,2*(ROWS($R$215:R232)-1)+1)),"Total","")</f>
        <v/>
      </c>
      <c r="I232" s="184">
        <f>IFERROR(ROUND(INDEX('M03-S06'!$AE$16:$AE$198,2*(ROWS($I$215:I232)-1)+1),2),0)</f>
        <v>0</v>
      </c>
      <c r="J232" s="184">
        <f>IFERROR(ROUND(INDEX('M03-S06'!$AG$16:$AG$198,2*(ROWS($J$215:J232)-1)+1),2),0)</f>
        <v>0</v>
      </c>
      <c r="K232" s="52">
        <f>IFERROR(ROUND(INDEX('M03-S06'!$AU$16:$AU$198,2*(ROWS($K$215:K232)-1)+1),2),0)</f>
        <v>0</v>
      </c>
      <c r="L232" s="52" t="str">
        <f>IFERROR(IF(R232&gt;0,M232*INDEX(PMGHVAC[Incremental Cost],MATCH(AB232,PMGHVAC[Eff Desc 1],0)),""),"")</f>
        <v/>
      </c>
      <c r="M232" s="456">
        <f>INDEX('M03-S06'!$V$16:$V$198,2*(ROWS($M$215:M232)-1)+1)</f>
        <v>0</v>
      </c>
      <c r="N232" s="113"/>
      <c r="O232" s="459"/>
      <c r="P232" s="184" t="str">
        <f>IFERROR(IF(ISNUMBER(INDEX('M03-S06'!$AN$16:$AN$198,2*(ROWS($R$215:R232)-1)+1)),INDEX('M03-S06'!$AK$16:$AK$198,2*(ROWS($P$215:P232)-1)+1),""),"")</f>
        <v/>
      </c>
      <c r="Q232" s="184"/>
      <c r="R232" s="184">
        <f>IF(ISNUMBER(INDEX('M03-S06'!$AN$16:$AN$198,2*(ROWS($R$215:R232)-1)+1)),INDEX('M03-S06'!$AN$16:$AN$198,2*(ROWS($R$215:R232)-1)+1),0)</f>
        <v>0</v>
      </c>
      <c r="S232" s="459"/>
      <c r="T232" s="113"/>
      <c r="U232" s="140"/>
      <c r="V232" s="113"/>
      <c r="W232" s="96">
        <f>IFERROR(IF(NOT(ISNUMBER(INDEX('M03-S06'!$AN$16:$AN$198,2*(ROWS($R$215:R232)-1)+1))),INDEX('M03-S06'!$BC$16:$BC$198,2*(ROWS($R$215:R232)-1)+1),""),"")</f>
        <v>0</v>
      </c>
      <c r="X232" s="113"/>
      <c r="Y232" s="113"/>
      <c r="Z232" s="111">
        <f>INDEX('M03-S06'!$B$16:$B$196,2*(ROWS($Z$215:Z232)-1)+1)</f>
        <v>18</v>
      </c>
      <c r="AA232" s="111" t="str">
        <f>INDEX('M03-S06'!$N$16:$N$198,2*(ROWS($Z$215:AA232)-1)+1)</f>
        <v/>
      </c>
      <c r="AB232" s="111">
        <f>INDEX('M03-S06'!$C$16:$C$198,2*(ROWS($Z$215:AB232)-1)+1)</f>
        <v>0</v>
      </c>
      <c r="AC232" s="96"/>
      <c r="AD232">
        <f>INDEX('M03-S06'!$X$16:$X$198,2*(ROWS($AD$215:AD232)-1)+1)</f>
        <v>0</v>
      </c>
      <c r="AE232" s="459"/>
      <c r="AF232" s="459"/>
      <c r="AG232" s="112"/>
      <c r="AH232" s="112"/>
      <c r="AI232" s="112"/>
      <c r="AJ232" s="112"/>
      <c r="AK232" s="113"/>
      <c r="AL232" s="113"/>
      <c r="AM232" s="113"/>
      <c r="AN232" s="113"/>
      <c r="AO232" s="52" t="str">
        <f>IFERROR(INDEX(PMGHVAC[Program Design],MATCH(AB232,PMGHVAC[Eff Desc 1])),"")</f>
        <v/>
      </c>
      <c r="AU232"/>
    </row>
    <row r="233" spans="1:47">
      <c r="A233" s="57">
        <f t="shared" si="17"/>
        <v>0</v>
      </c>
      <c r="B233" s="183" t="str">
        <f t="shared" si="25"/>
        <v/>
      </c>
      <c r="C233" t="str">
        <f>IFERROR(IF(R233&gt;0,INDEX(PMGHVAC[Measure '#],MATCH(AB233,PMGHVAC[Eff Desc 1],0)),""),"")</f>
        <v/>
      </c>
      <c r="D233" t="s">
        <v>947</v>
      </c>
      <c r="F233" s="112"/>
      <c r="G233" s="186">
        <f>INDEX('M03-S06'!$AB$16:$AB$196,2*(ROWS($G$215:G233)-1)+1)</f>
        <v>0</v>
      </c>
      <c r="H233" s="186" t="str">
        <f>IF(ISNUMBER(INDEX('M03-S06'!$AN$16:$AN$198,2*(ROWS($R$215:R233)-1)+1)),"Total","")</f>
        <v/>
      </c>
      <c r="I233" s="184">
        <f>IFERROR(ROUND(INDEX('M03-S06'!$AE$16:$AE$198,2*(ROWS($I$215:I233)-1)+1),2),0)</f>
        <v>0</v>
      </c>
      <c r="J233" s="184">
        <f>IFERROR(ROUND(INDEX('M03-S06'!$AG$16:$AG$198,2*(ROWS($J$215:J233)-1)+1),2),0)</f>
        <v>0</v>
      </c>
      <c r="K233" s="52">
        <f>IFERROR(ROUND(INDEX('M03-S06'!$AU$16:$AU$198,2*(ROWS($K$215:K233)-1)+1),2),0)</f>
        <v>0</v>
      </c>
      <c r="L233" s="52" t="str">
        <f>IFERROR(IF(R233&gt;0,M233*INDEX(PMGHVAC[Incremental Cost],MATCH(AB233,PMGHVAC[Eff Desc 1],0)),""),"")</f>
        <v/>
      </c>
      <c r="M233" s="456">
        <f>INDEX('M03-S06'!$V$16:$V$198,2*(ROWS($M$215:M233)-1)+1)</f>
        <v>0</v>
      </c>
      <c r="N233" s="113"/>
      <c r="O233" s="459"/>
      <c r="P233" s="184" t="str">
        <f>IFERROR(IF(ISNUMBER(INDEX('M03-S06'!$AN$16:$AN$198,2*(ROWS($R$215:R233)-1)+1)),INDEX('M03-S06'!$AK$16:$AK$198,2*(ROWS($P$215:P233)-1)+1),""),"")</f>
        <v/>
      </c>
      <c r="Q233" s="184"/>
      <c r="R233" s="184">
        <f>IF(ISNUMBER(INDEX('M03-S06'!$AN$16:$AN$198,2*(ROWS($R$215:R233)-1)+1)),INDEX('M03-S06'!$AN$16:$AN$198,2*(ROWS($R$215:R233)-1)+1),0)</f>
        <v>0</v>
      </c>
      <c r="S233" s="459"/>
      <c r="T233" s="113"/>
      <c r="U233" s="140"/>
      <c r="V233" s="113"/>
      <c r="W233" s="96">
        <f>IFERROR(IF(NOT(ISNUMBER(INDEX('M03-S06'!$AN$16:$AN$198,2*(ROWS($R$215:R233)-1)+1))),INDEX('M03-S06'!$BC$16:$BC$198,2*(ROWS($R$215:R233)-1)+1),""),"")</f>
        <v>0</v>
      </c>
      <c r="X233" s="113"/>
      <c r="Y233" s="113"/>
      <c r="Z233" s="111">
        <f>INDEX('M03-S06'!$B$16:$B$196,2*(ROWS($Z$215:Z233)-1)+1)</f>
        <v>19</v>
      </c>
      <c r="AA233" s="111" t="str">
        <f>INDEX('M03-S06'!$N$16:$N$198,2*(ROWS($Z$215:AA233)-1)+1)</f>
        <v/>
      </c>
      <c r="AB233" s="111">
        <f>INDEX('M03-S06'!$C$16:$C$198,2*(ROWS($Z$215:AB233)-1)+1)</f>
        <v>0</v>
      </c>
      <c r="AC233" s="96"/>
      <c r="AD233">
        <f>INDEX('M03-S06'!$X$16:$X$198,2*(ROWS($AD$215:AD233)-1)+1)</f>
        <v>0</v>
      </c>
      <c r="AE233" s="459"/>
      <c r="AF233" s="459"/>
      <c r="AG233" s="112"/>
      <c r="AH233" s="112"/>
      <c r="AI233" s="112"/>
      <c r="AJ233" s="112"/>
      <c r="AK233" s="113"/>
      <c r="AL233" s="113"/>
      <c r="AM233" s="113"/>
      <c r="AN233" s="113"/>
      <c r="AO233" s="52" t="str">
        <f>IFERROR(INDEX(PMGHVAC[Program Design],MATCH(AB233,PMGHVAC[Eff Desc 1])),"")</f>
        <v/>
      </c>
      <c r="AU233"/>
    </row>
    <row r="234" spans="1:47">
      <c r="A234" s="57">
        <f t="shared" si="17"/>
        <v>0</v>
      </c>
      <c r="B234" s="183" t="str">
        <f t="shared" si="25"/>
        <v/>
      </c>
      <c r="C234" t="str">
        <f>IFERROR(IF(R234&gt;0,INDEX(PMGHVAC[Measure '#],MATCH(AB234,PMGHVAC[Eff Desc 1],0)),""),"")</f>
        <v/>
      </c>
      <c r="D234" t="s">
        <v>947</v>
      </c>
      <c r="F234" s="112"/>
      <c r="G234" s="186">
        <f>INDEX('M03-S06'!$AB$16:$AB$196,2*(ROWS($G$215:G234)-1)+1)</f>
        <v>0</v>
      </c>
      <c r="H234" s="186" t="str">
        <f>IF(ISNUMBER(INDEX('M03-S06'!$AN$16:$AN$198,2*(ROWS($R$215:R234)-1)+1)),"Total","")</f>
        <v/>
      </c>
      <c r="I234" s="184">
        <f>IFERROR(ROUND(INDEX('M03-S06'!$AE$16:$AE$198,2*(ROWS($I$215:I234)-1)+1),2),0)</f>
        <v>0</v>
      </c>
      <c r="J234" s="184">
        <f>IFERROR(ROUND(INDEX('M03-S06'!$AG$16:$AG$198,2*(ROWS($J$215:J234)-1)+1),2),0)</f>
        <v>0</v>
      </c>
      <c r="K234" s="52">
        <f>IFERROR(ROUND(INDEX('M03-S06'!$AU$16:$AU$198,2*(ROWS($K$215:K234)-1)+1),2),0)</f>
        <v>0</v>
      </c>
      <c r="L234" s="52" t="str">
        <f>IFERROR(IF(R234&gt;0,M234*INDEX(PMGHVAC[Incremental Cost],MATCH(AB234,PMGHVAC[Eff Desc 1],0)),""),"")</f>
        <v/>
      </c>
      <c r="M234" s="456">
        <f>INDEX('M03-S06'!$V$16:$V$198,2*(ROWS($M$215:M234)-1)+1)</f>
        <v>0</v>
      </c>
      <c r="N234" s="113"/>
      <c r="O234" s="459"/>
      <c r="P234" s="184" t="str">
        <f>IFERROR(IF(ISNUMBER(INDEX('M03-S06'!$AN$16:$AN$198,2*(ROWS($R$215:R234)-1)+1)),INDEX('M03-S06'!$AK$16:$AK$198,2*(ROWS($P$215:P234)-1)+1),""),"")</f>
        <v/>
      </c>
      <c r="Q234" s="184"/>
      <c r="R234" s="184">
        <f>IF(ISNUMBER(INDEX('M03-S06'!$AN$16:$AN$198,2*(ROWS($R$215:R234)-1)+1)),INDEX('M03-S06'!$AN$16:$AN$198,2*(ROWS($R$215:R234)-1)+1),0)</f>
        <v>0</v>
      </c>
      <c r="S234" s="459"/>
      <c r="T234" s="113"/>
      <c r="U234" s="140"/>
      <c r="V234" s="113"/>
      <c r="W234" s="96">
        <f>IFERROR(IF(NOT(ISNUMBER(INDEX('M03-S06'!$AN$16:$AN$198,2*(ROWS($R$215:R234)-1)+1))),INDEX('M03-S06'!$BC$16:$BC$198,2*(ROWS($R$215:R234)-1)+1),""),"")</f>
        <v>0</v>
      </c>
      <c r="X234" s="113"/>
      <c r="Y234" s="113"/>
      <c r="Z234" s="111">
        <f>INDEX('M03-S06'!$B$16:$B$196,2*(ROWS($Z$215:Z234)-1)+1)</f>
        <v>20</v>
      </c>
      <c r="AA234" s="111" t="str">
        <f>INDEX('M03-S06'!$N$16:$N$198,2*(ROWS($Z$215:AA234)-1)+1)</f>
        <v/>
      </c>
      <c r="AB234" s="111">
        <f>INDEX('M03-S06'!$C$16:$C$198,2*(ROWS($Z$215:AB234)-1)+1)</f>
        <v>0</v>
      </c>
      <c r="AC234" s="96"/>
      <c r="AD234">
        <f>INDEX('M03-S06'!$X$16:$X$198,2*(ROWS($AD$215:AD234)-1)+1)</f>
        <v>0</v>
      </c>
      <c r="AE234" s="459"/>
      <c r="AF234" s="459"/>
      <c r="AG234" s="112"/>
      <c r="AH234" s="112"/>
      <c r="AI234" s="112"/>
      <c r="AJ234" s="112"/>
      <c r="AK234" s="113"/>
      <c r="AL234" s="113"/>
      <c r="AM234" s="113"/>
      <c r="AN234" s="113"/>
      <c r="AO234" s="52" t="str">
        <f>IFERROR(INDEX(PMGHVAC[Program Design],MATCH(AB234,PMGHVAC[Eff Desc 1])),"")</f>
        <v/>
      </c>
      <c r="AU234"/>
    </row>
    <row r="235" spans="1:47">
      <c r="A235" s="57">
        <f t="shared" si="17"/>
        <v>0</v>
      </c>
      <c r="B235" s="183" t="str">
        <f t="shared" si="25"/>
        <v/>
      </c>
      <c r="C235" t="str">
        <f>IFERROR(IF(R235&gt;0,INDEX(PMGHVAC[Measure '#],MATCH(AB235,PMGHVAC[Eff Desc 1],0)),""),"")</f>
        <v/>
      </c>
      <c r="D235" t="s">
        <v>947</v>
      </c>
      <c r="F235" s="112"/>
      <c r="G235" s="186">
        <f>INDEX('M03-S06'!$AB$16:$AB$196,2*(ROWS($G$215:G235)-1)+1)</f>
        <v>0</v>
      </c>
      <c r="H235" s="186" t="str">
        <f>IF(ISNUMBER(INDEX('M03-S06'!$AN$16:$AN$198,2*(ROWS($R$215:R235)-1)+1)),"Total","")</f>
        <v/>
      </c>
      <c r="I235" s="184">
        <f>IFERROR(ROUND(INDEX('M03-S06'!$AE$16:$AE$198,2*(ROWS($I$215:I235)-1)+1),2),0)</f>
        <v>0</v>
      </c>
      <c r="J235" s="184">
        <f>IFERROR(ROUND(INDEX('M03-S06'!$AG$16:$AG$198,2*(ROWS($J$215:J235)-1)+1),2),0)</f>
        <v>0</v>
      </c>
      <c r="K235" s="52">
        <f>IFERROR(ROUND(INDEX('M03-S06'!$AU$16:$AU$198,2*(ROWS($K$215:K235)-1)+1),2),0)</f>
        <v>0</v>
      </c>
      <c r="L235" s="52" t="str">
        <f>IFERROR(IF(R235&gt;0,M235*INDEX(PMGHVAC[Incremental Cost],MATCH(AB235,PMGHVAC[Eff Desc 1],0)),""),"")</f>
        <v/>
      </c>
      <c r="M235" s="456">
        <f>INDEX('M03-S06'!$V$16:$V$198,2*(ROWS($M$215:M235)-1)+1)</f>
        <v>0</v>
      </c>
      <c r="N235" s="113"/>
      <c r="O235" s="459"/>
      <c r="P235" s="184" t="str">
        <f>IFERROR(IF(ISNUMBER(INDEX('M03-S06'!$AN$16:$AN$198,2*(ROWS($R$215:R235)-1)+1)),INDEX('M03-S06'!$AK$16:$AK$198,2*(ROWS($P$215:P235)-1)+1),""),"")</f>
        <v/>
      </c>
      <c r="Q235" s="184"/>
      <c r="R235" s="184">
        <f>IF(ISNUMBER(INDEX('M03-S06'!$AN$16:$AN$198,2*(ROWS($R$215:R235)-1)+1)),INDEX('M03-S06'!$AN$16:$AN$198,2*(ROWS($R$215:R235)-1)+1),0)</f>
        <v>0</v>
      </c>
      <c r="S235" s="459"/>
      <c r="T235" s="113"/>
      <c r="U235" s="140"/>
      <c r="V235" s="113"/>
      <c r="W235" s="96">
        <f>IFERROR(IF(NOT(ISNUMBER(INDEX('M03-S06'!$AN$16:$AN$198,2*(ROWS($R$215:R235)-1)+1))),INDEX('M03-S06'!$BC$16:$BC$198,2*(ROWS($R$215:R235)-1)+1),""),"")</f>
        <v>0</v>
      </c>
      <c r="X235" s="113"/>
      <c r="Y235" s="113"/>
      <c r="Z235" s="111">
        <f>INDEX('M03-S06'!$B$16:$B$196,2*(ROWS($Z$215:Z235)-1)+1)</f>
        <v>21</v>
      </c>
      <c r="AA235" s="111" t="str">
        <f>INDEX('M03-S06'!$N$16:$N$198,2*(ROWS($Z$215:AA235)-1)+1)</f>
        <v/>
      </c>
      <c r="AB235" s="111">
        <f>INDEX('M03-S06'!$C$16:$C$198,2*(ROWS($Z$215:AB235)-1)+1)</f>
        <v>0</v>
      </c>
      <c r="AC235" s="96"/>
      <c r="AD235">
        <f>INDEX('M03-S06'!$X$16:$X$198,2*(ROWS($AD$215:AD235)-1)+1)</f>
        <v>0</v>
      </c>
      <c r="AE235" s="459"/>
      <c r="AF235" s="459"/>
      <c r="AG235" s="112"/>
      <c r="AH235" s="112"/>
      <c r="AI235" s="112"/>
      <c r="AJ235" s="112"/>
      <c r="AK235" s="113"/>
      <c r="AL235" s="113"/>
      <c r="AM235" s="113"/>
      <c r="AN235" s="113"/>
      <c r="AO235" s="52" t="str">
        <f>IFERROR(INDEX(PMGHVAC[Program Design],MATCH(AB235,PMGHVAC[Eff Desc 1])),"")</f>
        <v/>
      </c>
      <c r="AU235"/>
    </row>
    <row r="236" spans="1:47">
      <c r="A236" s="57">
        <f t="shared" si="17"/>
        <v>0</v>
      </c>
      <c r="B236" s="183" t="str">
        <f t="shared" si="25"/>
        <v/>
      </c>
      <c r="C236" t="str">
        <f>IFERROR(IF(R236&gt;0,INDEX(PMGHVAC[Measure '#],MATCH(AB236,PMGHVAC[Eff Desc 1],0)),""),"")</f>
        <v/>
      </c>
      <c r="D236" t="s">
        <v>947</v>
      </c>
      <c r="F236" s="112"/>
      <c r="G236" s="186">
        <f>INDEX('M03-S06'!$AB$16:$AB$196,2*(ROWS($G$215:G236)-1)+1)</f>
        <v>0</v>
      </c>
      <c r="H236" s="186" t="str">
        <f>IF(ISNUMBER(INDEX('M03-S06'!$AN$16:$AN$198,2*(ROWS($R$215:R236)-1)+1)),"Total","")</f>
        <v/>
      </c>
      <c r="I236" s="184">
        <f>IFERROR(ROUND(INDEX('M03-S06'!$AE$16:$AE$198,2*(ROWS($I$215:I236)-1)+1),2),0)</f>
        <v>0</v>
      </c>
      <c r="J236" s="184">
        <f>IFERROR(ROUND(INDEX('M03-S06'!$AG$16:$AG$198,2*(ROWS($J$215:J236)-1)+1),2),0)</f>
        <v>0</v>
      </c>
      <c r="K236" s="52">
        <f>IFERROR(ROUND(INDEX('M03-S06'!$AU$16:$AU$198,2*(ROWS($K$215:K236)-1)+1),2),0)</f>
        <v>0</v>
      </c>
      <c r="L236" s="52" t="str">
        <f>IFERROR(IF(R236&gt;0,M236*INDEX(PMGHVAC[Incremental Cost],MATCH(AB236,PMGHVAC[Eff Desc 1],0)),""),"")</f>
        <v/>
      </c>
      <c r="M236" s="456">
        <f>INDEX('M03-S06'!$V$16:$V$198,2*(ROWS($M$215:M236)-1)+1)</f>
        <v>0</v>
      </c>
      <c r="N236" s="113"/>
      <c r="O236" s="459"/>
      <c r="P236" s="184" t="str">
        <f>IFERROR(IF(ISNUMBER(INDEX('M03-S06'!$AN$16:$AN$198,2*(ROWS($R$215:R236)-1)+1)),INDEX('M03-S06'!$AK$16:$AK$198,2*(ROWS($P$215:P236)-1)+1),""),"")</f>
        <v/>
      </c>
      <c r="Q236" s="184"/>
      <c r="R236" s="184">
        <f>IF(ISNUMBER(INDEX('M03-S06'!$AN$16:$AN$198,2*(ROWS($R$215:R236)-1)+1)),INDEX('M03-S06'!$AN$16:$AN$198,2*(ROWS($R$215:R236)-1)+1),0)</f>
        <v>0</v>
      </c>
      <c r="S236" s="459"/>
      <c r="T236" s="113"/>
      <c r="U236" s="140"/>
      <c r="V236" s="113"/>
      <c r="W236" s="96">
        <f>IFERROR(IF(NOT(ISNUMBER(INDEX('M03-S06'!$AN$16:$AN$198,2*(ROWS($R$215:R236)-1)+1))),INDEX('M03-S06'!$BC$16:$BC$198,2*(ROWS($R$215:R236)-1)+1),""),"")</f>
        <v>0</v>
      </c>
      <c r="X236" s="113"/>
      <c r="Y236" s="113"/>
      <c r="Z236" s="111">
        <f>INDEX('M03-S06'!$B$16:$B$196,2*(ROWS($Z$215:Z236)-1)+1)</f>
        <v>22</v>
      </c>
      <c r="AA236" s="111" t="str">
        <f>INDEX('M03-S06'!$N$16:$N$198,2*(ROWS($Z$215:AA236)-1)+1)</f>
        <v/>
      </c>
      <c r="AB236" s="111">
        <f>INDEX('M03-S06'!$C$16:$C$198,2*(ROWS($Z$215:AB236)-1)+1)</f>
        <v>0</v>
      </c>
      <c r="AC236" s="96"/>
      <c r="AD236">
        <f>INDEX('M03-S06'!$X$16:$X$198,2*(ROWS($AD$215:AD236)-1)+1)</f>
        <v>0</v>
      </c>
      <c r="AE236" s="459"/>
      <c r="AF236" s="459"/>
      <c r="AG236" s="112"/>
      <c r="AH236" s="112"/>
      <c r="AI236" s="112"/>
      <c r="AJ236" s="112"/>
      <c r="AK236" s="113"/>
      <c r="AL236" s="113"/>
      <c r="AM236" s="113"/>
      <c r="AN236" s="113"/>
      <c r="AO236" s="52" t="str">
        <f>IFERROR(INDEX(PMGHVAC[Program Design],MATCH(AB236,PMGHVAC[Eff Desc 1])),"")</f>
        <v/>
      </c>
      <c r="AU236"/>
    </row>
    <row r="237" spans="1:47">
      <c r="A237" s="57">
        <f t="shared" si="17"/>
        <v>0</v>
      </c>
      <c r="B237" s="183" t="str">
        <f t="shared" si="25"/>
        <v/>
      </c>
      <c r="C237" t="str">
        <f>IFERROR(IF(R237&gt;0,INDEX(PMGHVAC[Measure '#],MATCH(AB237,PMGHVAC[Eff Desc 1],0)),""),"")</f>
        <v/>
      </c>
      <c r="D237" t="s">
        <v>947</v>
      </c>
      <c r="F237" s="112"/>
      <c r="G237" s="186">
        <f>INDEX('M03-S06'!$AB$16:$AB$196,2*(ROWS($G$215:G237)-1)+1)</f>
        <v>0</v>
      </c>
      <c r="H237" s="186" t="str">
        <f>IF(ISNUMBER(INDEX('M03-S06'!$AN$16:$AN$198,2*(ROWS($R$215:R237)-1)+1)),"Total","")</f>
        <v/>
      </c>
      <c r="I237" s="184">
        <f>IFERROR(ROUND(INDEX('M03-S06'!$AE$16:$AE$198,2*(ROWS($I$215:I237)-1)+1),2),0)</f>
        <v>0</v>
      </c>
      <c r="J237" s="184">
        <f>IFERROR(ROUND(INDEX('M03-S06'!$AG$16:$AG$198,2*(ROWS($J$215:J237)-1)+1),2),0)</f>
        <v>0</v>
      </c>
      <c r="K237" s="52">
        <f>IFERROR(ROUND(INDEX('M03-S06'!$AU$16:$AU$198,2*(ROWS($K$215:K237)-1)+1),2),0)</f>
        <v>0</v>
      </c>
      <c r="L237" s="52" t="str">
        <f>IFERROR(IF(R237&gt;0,M237*INDEX(PMGHVAC[Incremental Cost],MATCH(AB237,PMGHVAC[Eff Desc 1],0)),""),"")</f>
        <v/>
      </c>
      <c r="M237" s="456">
        <f>INDEX('M03-S06'!$V$16:$V$198,2*(ROWS($M$215:M237)-1)+1)</f>
        <v>0</v>
      </c>
      <c r="N237" s="113"/>
      <c r="O237" s="459"/>
      <c r="P237" s="184" t="str">
        <f>IFERROR(IF(ISNUMBER(INDEX('M03-S06'!$AN$16:$AN$198,2*(ROWS($R$215:R237)-1)+1)),INDEX('M03-S06'!$AK$16:$AK$198,2*(ROWS($P$215:P237)-1)+1),""),"")</f>
        <v/>
      </c>
      <c r="Q237" s="184"/>
      <c r="R237" s="184">
        <f>IF(ISNUMBER(INDEX('M03-S06'!$AN$16:$AN$198,2*(ROWS($R$215:R237)-1)+1)),INDEX('M03-S06'!$AN$16:$AN$198,2*(ROWS($R$215:R237)-1)+1),0)</f>
        <v>0</v>
      </c>
      <c r="S237" s="459"/>
      <c r="T237" s="113"/>
      <c r="U237" s="140"/>
      <c r="V237" s="113"/>
      <c r="W237" s="96">
        <f>IFERROR(IF(NOT(ISNUMBER(INDEX('M03-S06'!$AN$16:$AN$198,2*(ROWS($R$215:R237)-1)+1))),INDEX('M03-S06'!$BC$16:$BC$198,2*(ROWS($R$215:R237)-1)+1),""),"")</f>
        <v>0</v>
      </c>
      <c r="X237" s="113"/>
      <c r="Y237" s="113"/>
      <c r="Z237" s="111">
        <f>INDEX('M03-S06'!$B$16:$B$196,2*(ROWS($Z$215:Z237)-1)+1)</f>
        <v>23</v>
      </c>
      <c r="AA237" s="111" t="str">
        <f>INDEX('M03-S06'!$N$16:$N$198,2*(ROWS($Z$215:AA237)-1)+1)</f>
        <v/>
      </c>
      <c r="AB237" s="111">
        <f>INDEX('M03-S06'!$C$16:$C$198,2*(ROWS($Z$215:AB237)-1)+1)</f>
        <v>0</v>
      </c>
      <c r="AC237" s="96"/>
      <c r="AD237">
        <f>INDEX('M03-S06'!$X$16:$X$198,2*(ROWS($AD$215:AD237)-1)+1)</f>
        <v>0</v>
      </c>
      <c r="AE237" s="459"/>
      <c r="AF237" s="459"/>
      <c r="AG237" s="112"/>
      <c r="AH237" s="112"/>
      <c r="AI237" s="112"/>
      <c r="AJ237" s="112"/>
      <c r="AK237" s="113"/>
      <c r="AL237" s="113"/>
      <c r="AM237" s="113"/>
      <c r="AN237" s="113"/>
      <c r="AO237" s="52" t="str">
        <f>IFERROR(INDEX(PMGHVAC[Program Design],MATCH(AB237,PMGHVAC[Eff Desc 1])),"")</f>
        <v/>
      </c>
      <c r="AU237"/>
    </row>
    <row r="238" spans="1:47">
      <c r="A238" s="57">
        <f t="shared" si="17"/>
        <v>0</v>
      </c>
      <c r="B238" s="183" t="str">
        <f t="shared" si="25"/>
        <v/>
      </c>
      <c r="C238" t="str">
        <f>IFERROR(IF(R238&gt;0,INDEX(PMGHVAC[Measure '#],MATCH(AB238,PMGHVAC[Eff Desc 1],0)),""),"")</f>
        <v/>
      </c>
      <c r="D238" t="s">
        <v>947</v>
      </c>
      <c r="F238" s="112"/>
      <c r="G238" s="186">
        <f>INDEX('M03-S06'!$AB$16:$AB$196,2*(ROWS($G$215:G238)-1)+1)</f>
        <v>0</v>
      </c>
      <c r="H238" s="186" t="str">
        <f>IF(ISNUMBER(INDEX('M03-S06'!$AN$16:$AN$198,2*(ROWS($R$215:R238)-1)+1)),"Total","")</f>
        <v/>
      </c>
      <c r="I238" s="184">
        <f>IFERROR(ROUND(INDEX('M03-S06'!$AE$16:$AE$198,2*(ROWS($I$215:I238)-1)+1),2),0)</f>
        <v>0</v>
      </c>
      <c r="J238" s="184">
        <f>IFERROR(ROUND(INDEX('M03-S06'!$AG$16:$AG$198,2*(ROWS($J$215:J238)-1)+1),2),0)</f>
        <v>0</v>
      </c>
      <c r="K238" s="52">
        <f>IFERROR(ROUND(INDEX('M03-S06'!$AU$16:$AU$198,2*(ROWS($K$215:K238)-1)+1),2),0)</f>
        <v>0</v>
      </c>
      <c r="L238" s="52" t="str">
        <f>IFERROR(IF(R238&gt;0,M238*INDEX(PMGHVAC[Incremental Cost],MATCH(AB238,PMGHVAC[Eff Desc 1],0)),""),"")</f>
        <v/>
      </c>
      <c r="M238" s="456">
        <f>INDEX('M03-S06'!$V$16:$V$198,2*(ROWS($M$215:M238)-1)+1)</f>
        <v>0</v>
      </c>
      <c r="N238" s="113"/>
      <c r="O238" s="459"/>
      <c r="P238" s="184" t="str">
        <f>IFERROR(IF(ISNUMBER(INDEX('M03-S06'!$AN$16:$AN$198,2*(ROWS($R$215:R238)-1)+1)),INDEX('M03-S06'!$AK$16:$AK$198,2*(ROWS($P$215:P238)-1)+1),""),"")</f>
        <v/>
      </c>
      <c r="Q238" s="184"/>
      <c r="R238" s="184">
        <f>IF(ISNUMBER(INDEX('M03-S06'!$AN$16:$AN$198,2*(ROWS($R$215:R238)-1)+1)),INDEX('M03-S06'!$AN$16:$AN$198,2*(ROWS($R$215:R238)-1)+1),0)</f>
        <v>0</v>
      </c>
      <c r="S238" s="459"/>
      <c r="T238" s="113"/>
      <c r="U238" s="140"/>
      <c r="V238" s="113"/>
      <c r="W238" s="96">
        <f>IFERROR(IF(NOT(ISNUMBER(INDEX('M03-S06'!$AN$16:$AN$198,2*(ROWS($R$215:R238)-1)+1))),INDEX('M03-S06'!$BC$16:$BC$198,2*(ROWS($R$215:R238)-1)+1),""),"")</f>
        <v>0</v>
      </c>
      <c r="X238" s="113"/>
      <c r="Y238" s="113"/>
      <c r="Z238" s="111">
        <f>INDEX('M03-S06'!$B$16:$B$196,2*(ROWS($Z$215:Z238)-1)+1)</f>
        <v>24</v>
      </c>
      <c r="AA238" s="111" t="str">
        <f>INDEX('M03-S06'!$N$16:$N$198,2*(ROWS($Z$215:AA238)-1)+1)</f>
        <v/>
      </c>
      <c r="AB238" s="111">
        <f>INDEX('M03-S06'!$C$16:$C$198,2*(ROWS($Z$215:AB238)-1)+1)</f>
        <v>0</v>
      </c>
      <c r="AC238" s="96"/>
      <c r="AD238">
        <f>INDEX('M03-S06'!$X$16:$X$198,2*(ROWS($AD$215:AD238)-1)+1)</f>
        <v>0</v>
      </c>
      <c r="AE238" s="459"/>
      <c r="AF238" s="459"/>
      <c r="AG238" s="112"/>
      <c r="AH238" s="112"/>
      <c r="AI238" s="112"/>
      <c r="AJ238" s="112"/>
      <c r="AK238" s="113"/>
      <c r="AL238" s="113"/>
      <c r="AM238" s="113"/>
      <c r="AN238" s="113"/>
      <c r="AO238" s="52" t="str">
        <f>IFERROR(INDEX(PMGHVAC[Program Design],MATCH(AB238,PMGHVAC[Eff Desc 1])),"")</f>
        <v/>
      </c>
      <c r="AU238"/>
    </row>
    <row r="239" spans="1:47">
      <c r="A239" s="57">
        <f t="shared" si="17"/>
        <v>0</v>
      </c>
      <c r="B239" s="183" t="str">
        <f t="shared" si="25"/>
        <v/>
      </c>
      <c r="C239" t="str">
        <f>IFERROR(IF(R239&gt;0,INDEX(PMGHVAC[Measure '#],MATCH(AB239,PMGHVAC[Eff Desc 1],0)),""),"")</f>
        <v/>
      </c>
      <c r="D239" t="s">
        <v>947</v>
      </c>
      <c r="F239" s="112"/>
      <c r="G239" s="186">
        <f>INDEX('M03-S06'!$AB$16:$AB$196,2*(ROWS($G$215:G239)-1)+1)</f>
        <v>0</v>
      </c>
      <c r="H239" s="186" t="str">
        <f>IF(ISNUMBER(INDEX('M03-S06'!$AN$16:$AN$198,2*(ROWS($R$215:R239)-1)+1)),"Total","")</f>
        <v/>
      </c>
      <c r="I239" s="184">
        <f>IFERROR(ROUND(INDEX('M03-S06'!$AE$16:$AE$198,2*(ROWS($I$215:I239)-1)+1),2),0)</f>
        <v>0</v>
      </c>
      <c r="J239" s="184">
        <f>IFERROR(ROUND(INDEX('M03-S06'!$AG$16:$AG$198,2*(ROWS($J$215:J239)-1)+1),2),0)</f>
        <v>0</v>
      </c>
      <c r="K239" s="52">
        <f>IFERROR(ROUND(INDEX('M03-S06'!$AU$16:$AU$198,2*(ROWS($K$215:K239)-1)+1),2),0)</f>
        <v>0</v>
      </c>
      <c r="L239" s="52" t="str">
        <f>IFERROR(IF(R239&gt;0,M239*INDEX(PMGHVAC[Incremental Cost],MATCH(AB239,PMGHVAC[Eff Desc 1],0)),""),"")</f>
        <v/>
      </c>
      <c r="M239" s="456">
        <f>INDEX('M03-S06'!$V$16:$V$198,2*(ROWS($M$215:M239)-1)+1)</f>
        <v>0</v>
      </c>
      <c r="N239" s="113"/>
      <c r="O239" s="459"/>
      <c r="P239" s="184" t="str">
        <f>IFERROR(IF(ISNUMBER(INDEX('M03-S06'!$AN$16:$AN$198,2*(ROWS($R$215:R239)-1)+1)),INDEX('M03-S06'!$AK$16:$AK$198,2*(ROWS($P$215:P239)-1)+1),""),"")</f>
        <v/>
      </c>
      <c r="Q239" s="184"/>
      <c r="R239" s="184">
        <f>IF(ISNUMBER(INDEX('M03-S06'!$AN$16:$AN$198,2*(ROWS($R$215:R239)-1)+1)),INDEX('M03-S06'!$AN$16:$AN$198,2*(ROWS($R$215:R239)-1)+1),0)</f>
        <v>0</v>
      </c>
      <c r="S239" s="459"/>
      <c r="T239" s="113"/>
      <c r="U239" s="140"/>
      <c r="V239" s="113"/>
      <c r="W239" s="96">
        <f>IFERROR(IF(NOT(ISNUMBER(INDEX('M03-S06'!$AN$16:$AN$198,2*(ROWS($R$215:R239)-1)+1))),INDEX('M03-S06'!$BC$16:$BC$198,2*(ROWS($R$215:R239)-1)+1),""),"")</f>
        <v>0</v>
      </c>
      <c r="X239" s="113"/>
      <c r="Y239" s="113"/>
      <c r="Z239" s="111">
        <f>INDEX('M03-S06'!$B$16:$B$196,2*(ROWS($Z$215:Z239)-1)+1)</f>
        <v>25</v>
      </c>
      <c r="AA239" s="111" t="str">
        <f>INDEX('M03-S06'!$N$16:$N$198,2*(ROWS($Z$215:AA239)-1)+1)</f>
        <v/>
      </c>
      <c r="AB239" s="111">
        <f>INDEX('M03-S06'!$C$16:$C$198,2*(ROWS($Z$215:AB239)-1)+1)</f>
        <v>0</v>
      </c>
      <c r="AC239" s="96"/>
      <c r="AD239">
        <f>INDEX('M03-S06'!$X$16:$X$198,2*(ROWS($AD$215:AD239)-1)+1)</f>
        <v>0</v>
      </c>
      <c r="AE239" s="459"/>
      <c r="AF239" s="459"/>
      <c r="AG239" s="112"/>
      <c r="AH239" s="112"/>
      <c r="AI239" s="112"/>
      <c r="AJ239" s="112"/>
      <c r="AK239" s="113"/>
      <c r="AL239" s="113"/>
      <c r="AM239" s="113"/>
      <c r="AN239" s="113"/>
      <c r="AO239" s="52" t="str">
        <f>IFERROR(INDEX(PMGHVAC[Program Design],MATCH(AB239,PMGHVAC[Eff Desc 1])),"")</f>
        <v/>
      </c>
      <c r="AU239"/>
    </row>
    <row r="240" spans="1:47">
      <c r="A240" s="57">
        <f t="shared" si="17"/>
        <v>0</v>
      </c>
      <c r="B240" s="183" t="str">
        <f t="shared" ca="1" si="25"/>
        <v/>
      </c>
      <c r="C240" s="559" t="str">
        <f ca="1">IFERROR(IF(R240&gt;0,INDEX(PMEBONUS[Measure '#],MATCH(AB240,PMEBONUS[Eff Desc 1],0)),""),"")</f>
        <v/>
      </c>
      <c r="D240" t="s">
        <v>947</v>
      </c>
      <c r="F240" s="112"/>
      <c r="G240" s="112"/>
      <c r="H240" s="112"/>
      <c r="I240" s="184">
        <f>IFERROR(ROUND(INDEX('M03-S06'!$AE$16:$AE$198,2*(ROWS($I$215:I240)-1)+1),2),0)</f>
        <v>0</v>
      </c>
      <c r="J240" s="184">
        <f>IFERROR(ROUND(INDEX('M03-S06'!$AG$16:$AG$198,2*(ROWS($J$215:J240)-1)+1),2),0)</f>
        <v>0</v>
      </c>
      <c r="K240" s="52">
        <f>IFERROR(ROUND(INDEX('M03-S06'!$AU$16:$AU$198,2*(ROWS($K$215:K240)-1)+1),2),0)</f>
        <v>0</v>
      </c>
      <c r="M240" s="456">
        <f ca="1">INDEX('M03-S06'!$V$16:$V$198,2*(ROWS($M$215:M240)-1)+1)</f>
        <v>0</v>
      </c>
      <c r="N240" s="113"/>
      <c r="O240" s="459"/>
      <c r="P240" s="112"/>
      <c r="Q240" s="112"/>
      <c r="R240" s="184">
        <f ca="1">IF(ISNUMBER(INDEX('M03-S06'!$AN$16:$AN$198,2*(ROWS($R$215:R240)-1)+1)),INDEX('M03-S06'!$AN$16:$AN$198,2*(ROWS($R$215:R240)-1)+1),0)</f>
        <v>0</v>
      </c>
      <c r="S240" s="459"/>
      <c r="T240" s="113"/>
      <c r="U240" s="140"/>
      <c r="V240" s="113"/>
      <c r="W240" s="96">
        <f ca="1">IFERROR(IF(NOT(ISNUMBER(INDEX('M03-S06'!$AN$16:$AN$198,2*(ROWS($R$215:R240)-1)+1))),INDEX('M03-S06'!$BC$16:$BC$198,2*(ROWS($R$215:R240)-1)+1),""),"")</f>
        <v>0</v>
      </c>
      <c r="X240" s="113"/>
      <c r="Y240" s="113"/>
      <c r="Z240" s="111">
        <f>INDEX('M03-S06'!$B$16:$B$196,2*(ROWS($Z$215:Z240)-1)+1)</f>
        <v>26</v>
      </c>
      <c r="AA240" s="111" t="str">
        <f ca="1">INDEX('M03-S06'!$N$16:$N$198,2*(ROWS($Z$215:AA240)-1)+1)</f>
        <v/>
      </c>
      <c r="AB240" s="111">
        <f ca="1">INDEX('M03-S06'!$C$16:$C$198,2*(ROWS($Z$215:AB240)-1)+1)</f>
        <v>0</v>
      </c>
      <c r="AC240" s="96"/>
      <c r="AD240">
        <f>INDEX('M03-S06'!$X$16:$X$198,2*(ROWS($AD$215:AD240)-1)+1)</f>
        <v>0</v>
      </c>
      <c r="AE240" s="459"/>
      <c r="AF240" s="459"/>
      <c r="AG240" s="112"/>
      <c r="AH240" s="112"/>
      <c r="AI240" s="112"/>
      <c r="AJ240" s="112"/>
      <c r="AK240" s="113"/>
      <c r="AL240" s="113"/>
      <c r="AM240" s="113"/>
      <c r="AN240" s="113"/>
      <c r="AO240" s="52" t="str">
        <f ca="1">IFERROR(INDEX(PMEBONUS[Program Design],MATCH(AB240,PMEBONUS[Eff Desc 1])),"")</f>
        <v/>
      </c>
      <c r="AU240"/>
    </row>
    <row r="241" spans="1:47">
      <c r="A241" s="57">
        <f t="shared" si="17"/>
        <v>0</v>
      </c>
      <c r="B241" s="183" t="str">
        <f t="shared" si="25"/>
        <v/>
      </c>
      <c r="C241" t="str">
        <f>IFERROR(IF(R241&gt;0,INDEX(PMGHVAC[Measure '#],MATCH(AB241,PMGHVAC[Eff Desc 1],0)),""),"")</f>
        <v/>
      </c>
      <c r="D241" t="s">
        <v>947</v>
      </c>
      <c r="F241" s="112"/>
      <c r="G241" s="186">
        <f>INDEX('M03-S06'!$AB$16:$AB$196,2*(ROWS($G$215:G241)-1)+1)</f>
        <v>0</v>
      </c>
      <c r="H241" s="186" t="str">
        <f>IF(ISNUMBER(INDEX('M03-S06'!$AN$16:$AN$198,2*(ROWS($R$215:R241)-1)+1)),"Total","")</f>
        <v/>
      </c>
      <c r="I241" s="184">
        <f>IFERROR(ROUND(INDEX('M03-S06'!$AE$16:$AE$198,2*(ROWS($I$215:I241)-1)+1),2),0)</f>
        <v>0</v>
      </c>
      <c r="J241" s="184">
        <f>IFERROR(ROUND(INDEX('M03-S06'!$AG$16:$AG$198,2*(ROWS($J$215:J241)-1)+1),2),0)</f>
        <v>0</v>
      </c>
      <c r="K241" s="52">
        <f>IFERROR(ROUND(INDEX('M03-S06'!$AU$16:$AU$198,2*(ROWS($K$215:K241)-1)+1),2),0)</f>
        <v>0</v>
      </c>
      <c r="M241" s="456">
        <f>INDEX('M03-S06'!$V$16:$V$198,2*(ROWS($M$215:M241)-1)+1)</f>
        <v>0</v>
      </c>
      <c r="N241" s="113"/>
      <c r="O241" s="459"/>
      <c r="P241" s="184" t="str">
        <f>IFERROR(IF(ISNUMBER(INDEX('M03-S06'!$AN$16:$AN$198,2*(ROWS($R$215:R241)-1)+1)),INDEX('M03-S06'!$AK$16:$AK$198,2*(ROWS($P$215:P241)-1)+1),""),"")</f>
        <v/>
      </c>
      <c r="Q241" s="184"/>
      <c r="R241" s="184">
        <f>IF(ISNUMBER(INDEX('M03-S06'!$AN$16:$AN$198,2*(ROWS($R$215:R241)-1)+1)),INDEX('M03-S06'!$AN$16:$AN$198,2*(ROWS($R$215:R241)-1)+1),0)</f>
        <v>0</v>
      </c>
      <c r="S241" s="459"/>
      <c r="T241" s="113"/>
      <c r="U241" s="140"/>
      <c r="V241" s="113"/>
      <c r="W241" s="96">
        <f>IFERROR(IF(NOT(ISNUMBER(INDEX('M03-S06'!$AN$16:$AN$198,2*(ROWS($R$215:R241)-1)+1))),INDEX('M03-S06'!$BC$16:$BC$198,2*(ROWS($R$215:R241)-1)+1),""),"")</f>
        <v>0</v>
      </c>
      <c r="X241" s="113"/>
      <c r="Y241" s="113"/>
      <c r="Z241" s="111">
        <f>INDEX('M03-S06'!$B$16:$B$196,2*(ROWS($Z$215:Z241)-1)+1)</f>
        <v>27</v>
      </c>
      <c r="AA241" s="111" t="str">
        <f>INDEX('M03-S06'!$N$16:$N$198,2*(ROWS($Z$215:AA241)-1)+1)</f>
        <v/>
      </c>
      <c r="AB241" s="111">
        <f>INDEX('M03-S06'!$C$16:$C$198,2*(ROWS($Z$215:AB241)-1)+1)</f>
        <v>0</v>
      </c>
      <c r="AC241" s="96"/>
      <c r="AD241">
        <f>INDEX('M03-S06'!$X$16:$X$198,2*(ROWS($AD$215:AD241)-1)+1)</f>
        <v>0</v>
      </c>
      <c r="AE241" s="459"/>
      <c r="AF241" s="459"/>
      <c r="AG241" s="112"/>
      <c r="AH241" s="112"/>
      <c r="AI241" s="112"/>
      <c r="AJ241" s="112"/>
      <c r="AK241" s="113"/>
      <c r="AL241" s="113"/>
      <c r="AM241" s="113"/>
      <c r="AN241" s="113"/>
      <c r="AO241" s="52" t="str">
        <f>IFERROR(INDEX(PMGHVAC[Program Design],MATCH(AB241,PMGHVAC[Eff Desc 1])),"")</f>
        <v/>
      </c>
      <c r="AU241"/>
    </row>
    <row r="242" spans="1:47">
      <c r="A242" s="57">
        <f t="shared" si="17"/>
        <v>0</v>
      </c>
      <c r="B242" s="183" t="str">
        <f t="shared" si="25"/>
        <v/>
      </c>
      <c r="C242" t="str">
        <f>IFERROR(IF(R242&gt;0,INDEX(PMGHVAC[Measure '#],MATCH(AB242,PMGHVAC[Eff Desc 1],0)),""),"")</f>
        <v/>
      </c>
      <c r="D242" t="s">
        <v>947</v>
      </c>
      <c r="F242" s="112"/>
      <c r="G242" s="186">
        <f>INDEX('M03-S06'!$AB$16:$AB$196,2*(ROWS($G$215:G242)-1)+1)</f>
        <v>0</v>
      </c>
      <c r="H242" s="186" t="str">
        <f>IF(ISNUMBER(INDEX('M03-S06'!$AN$16:$AN$198,2*(ROWS($R$215:R242)-1)+1)),"Total","")</f>
        <v/>
      </c>
      <c r="I242" s="184">
        <f>IFERROR(ROUND(INDEX('M03-S06'!$AE$16:$AE$198,2*(ROWS($I$215:I242)-1)+1),2),0)</f>
        <v>0</v>
      </c>
      <c r="J242" s="184">
        <f>IFERROR(ROUND(INDEX('M03-S06'!$AG$16:$AG$198,2*(ROWS($J$215:J242)-1)+1),2),0)</f>
        <v>0</v>
      </c>
      <c r="K242" s="52">
        <f>IFERROR(ROUND(INDEX('M03-S06'!$AU$16:$AU$198,2*(ROWS($K$215:K242)-1)+1),2),0)</f>
        <v>0</v>
      </c>
      <c r="M242" s="456">
        <f>INDEX('M03-S06'!$V$16:$V$198,2*(ROWS($M$215:M242)-1)+1)</f>
        <v>0</v>
      </c>
      <c r="N242" s="113"/>
      <c r="O242" s="459"/>
      <c r="P242" s="184" t="str">
        <f>IFERROR(IF(ISNUMBER(INDEX('M03-S06'!$AN$16:$AN$198,2*(ROWS($R$215:R242)-1)+1)),INDEX('M03-S06'!$AK$16:$AK$198,2*(ROWS($P$215:P242)-1)+1),""),"")</f>
        <v/>
      </c>
      <c r="Q242" s="184"/>
      <c r="R242" s="184">
        <f>IF(ISNUMBER(INDEX('M03-S06'!$AN$16:$AN$198,2*(ROWS($R$215:R242)-1)+1)),INDEX('M03-S06'!$AN$16:$AN$198,2*(ROWS($R$215:R242)-1)+1),0)</f>
        <v>0</v>
      </c>
      <c r="S242" s="459"/>
      <c r="T242" s="113"/>
      <c r="U242" s="140"/>
      <c r="V242" s="113"/>
      <c r="W242" s="96">
        <f>IFERROR(IF(NOT(ISNUMBER(INDEX('M03-S06'!$AN$16:$AN$198,2*(ROWS($R$215:R242)-1)+1))),INDEX('M03-S06'!$BC$16:$BC$198,2*(ROWS($R$215:R242)-1)+1),""),"")</f>
        <v>0</v>
      </c>
      <c r="X242" s="113"/>
      <c r="Y242" s="113"/>
      <c r="Z242" s="111">
        <f>INDEX('M03-S06'!$B$16:$B$196,2*(ROWS($Z$215:Z242)-1)+1)</f>
        <v>28</v>
      </c>
      <c r="AA242" s="111" t="str">
        <f>INDEX('M03-S06'!$N$16:$N$198,2*(ROWS($Z$215:AA242)-1)+1)</f>
        <v/>
      </c>
      <c r="AB242" s="111">
        <f>INDEX('M03-S06'!$C$16:$C$198,2*(ROWS($Z$215:AB242)-1)+1)</f>
        <v>0</v>
      </c>
      <c r="AC242" s="96"/>
      <c r="AD242">
        <f>INDEX('M03-S06'!$X$16:$X$198,2*(ROWS($AD$215:AD242)-1)+1)</f>
        <v>0</v>
      </c>
      <c r="AE242" s="459"/>
      <c r="AF242" s="459"/>
      <c r="AG242" s="112"/>
      <c r="AH242" s="112"/>
      <c r="AI242" s="112"/>
      <c r="AJ242" s="112"/>
      <c r="AK242" s="113"/>
      <c r="AL242" s="113"/>
      <c r="AM242" s="113"/>
      <c r="AN242" s="113"/>
      <c r="AO242" s="52" t="str">
        <f>IFERROR(INDEX(PMGHVAC[Program Design],MATCH(AB242,PMGHVAC[Eff Desc 1])),"")</f>
        <v/>
      </c>
      <c r="AU242"/>
    </row>
    <row r="243" spans="1:47">
      <c r="A243" s="57">
        <f t="shared" si="17"/>
        <v>0</v>
      </c>
      <c r="B243" s="183" t="str">
        <f t="shared" si="25"/>
        <v/>
      </c>
      <c r="C243" t="str">
        <f>IFERROR(IF(R243&gt;0,INDEX(PMGHVAC[Measure '#],MATCH(AB243,PMGHVAC[Eff Desc 1],0)),""),"")</f>
        <v/>
      </c>
      <c r="D243" t="s">
        <v>947</v>
      </c>
      <c r="F243" s="112"/>
      <c r="G243" s="186">
        <f>INDEX('M03-S06'!$AB$16:$AB$196,2*(ROWS($G$215:G243)-1)+1)</f>
        <v>0</v>
      </c>
      <c r="H243" s="186" t="str">
        <f>IF(ISNUMBER(INDEX('M03-S06'!$AN$16:$AN$198,2*(ROWS($R$215:R243)-1)+1)),"Total","")</f>
        <v/>
      </c>
      <c r="I243" s="184">
        <f>IFERROR(ROUND(INDEX('M03-S06'!$AE$16:$AE$198,2*(ROWS($I$215:I243)-1)+1),2),0)</f>
        <v>0</v>
      </c>
      <c r="J243" s="184">
        <f>IFERROR(ROUND(INDEX('M03-S06'!$AG$16:$AG$198,2*(ROWS($J$215:J243)-1)+1),2),0)</f>
        <v>0</v>
      </c>
      <c r="K243" s="52">
        <f>IFERROR(ROUND(INDEX('M03-S06'!$AU$16:$AU$198,2*(ROWS($K$215:K243)-1)+1),2),0)</f>
        <v>0</v>
      </c>
      <c r="M243" s="456">
        <f>INDEX('M03-S06'!$V$16:$V$198,2*(ROWS($M$215:M243)-1)+1)</f>
        <v>0</v>
      </c>
      <c r="N243" s="113"/>
      <c r="O243" s="459"/>
      <c r="P243" s="184" t="str">
        <f>IFERROR(IF(ISNUMBER(INDEX('M03-S06'!$AN$16:$AN$198,2*(ROWS($R$215:R243)-1)+1)),INDEX('M03-S06'!$AK$16:$AK$198,2*(ROWS($P$215:P243)-1)+1),""),"")</f>
        <v/>
      </c>
      <c r="Q243" s="184"/>
      <c r="R243" s="184">
        <f>IF(ISNUMBER(INDEX('M03-S06'!$AN$16:$AN$198,2*(ROWS($R$215:R243)-1)+1)),INDEX('M03-S06'!$AN$16:$AN$198,2*(ROWS($R$215:R243)-1)+1),0)</f>
        <v>0</v>
      </c>
      <c r="S243" s="459"/>
      <c r="T243" s="113"/>
      <c r="U243" s="140"/>
      <c r="V243" s="113"/>
      <c r="W243" s="96">
        <f>IFERROR(IF(NOT(ISNUMBER(INDEX('M03-S06'!$AN$16:$AN$198,2*(ROWS($R$215:R243)-1)+1))),INDEX('M03-S06'!$BC$16:$BC$198,2*(ROWS($R$215:R243)-1)+1),""),"")</f>
        <v>0</v>
      </c>
      <c r="X243" s="113"/>
      <c r="Y243" s="113"/>
      <c r="Z243" s="111">
        <f>INDEX('M03-S06'!$B$16:$B$196,2*(ROWS($Z$215:Z243)-1)+1)</f>
        <v>29</v>
      </c>
      <c r="AA243" s="111" t="str">
        <f>INDEX('M03-S06'!$N$16:$N$198,2*(ROWS($Z$215:AA243)-1)+1)</f>
        <v/>
      </c>
      <c r="AB243" s="111">
        <f>INDEX('M03-S06'!$C$16:$C$198,2*(ROWS($Z$215:AB243)-1)+1)</f>
        <v>0</v>
      </c>
      <c r="AC243" s="96"/>
      <c r="AD243">
        <f>INDEX('M03-S06'!$X$16:$X$198,2*(ROWS($AD$215:AD243)-1)+1)</f>
        <v>0</v>
      </c>
      <c r="AE243" s="459"/>
      <c r="AF243" s="459"/>
      <c r="AG243" s="112"/>
      <c r="AH243" s="112"/>
      <c r="AI243" s="112"/>
      <c r="AJ243" s="112"/>
      <c r="AK243" s="113"/>
      <c r="AL243" s="113"/>
      <c r="AM243" s="113"/>
      <c r="AN243" s="113"/>
      <c r="AO243" s="52" t="str">
        <f>IFERROR(INDEX(PMGHVAC[Program Design],MATCH(AB243,PMGHVAC[Eff Desc 1])),"")</f>
        <v/>
      </c>
      <c r="AU243"/>
    </row>
    <row r="244" spans="1:47">
      <c r="A244" s="57">
        <f t="shared" si="17"/>
        <v>0</v>
      </c>
      <c r="B244" s="183" t="str">
        <f t="shared" si="25"/>
        <v/>
      </c>
      <c r="C244" t="str">
        <f>IFERROR(IF(R244&gt;0,INDEX(PMGHVAC[Measure '#],MATCH(AB244,PMGHVAC[Eff Desc 1],0)),""),"")</f>
        <v/>
      </c>
      <c r="D244" t="s">
        <v>947</v>
      </c>
      <c r="F244" s="112"/>
      <c r="G244" s="186">
        <f>INDEX('M03-S06'!$AB$16:$AB$196,2*(ROWS($G$215:G244)-1)+1)</f>
        <v>0</v>
      </c>
      <c r="H244" s="186" t="str">
        <f>IF(ISNUMBER(INDEX('M03-S06'!$AN$16:$AN$198,2*(ROWS($R$215:R244)-1)+1)),"Total","")</f>
        <v/>
      </c>
      <c r="I244" s="184">
        <f>IFERROR(ROUND(INDEX('M03-S06'!$AE$16:$AE$198,2*(ROWS($I$215:I244)-1)+1),2),0)</f>
        <v>0</v>
      </c>
      <c r="J244" s="184">
        <f>IFERROR(ROUND(INDEX('M03-S06'!$AG$16:$AG$198,2*(ROWS($J$215:J244)-1)+1),2),0)</f>
        <v>0</v>
      </c>
      <c r="K244" s="52">
        <f>IFERROR(ROUND(INDEX('M03-S06'!$AU$16:$AU$198,2*(ROWS($K$215:K244)-1)+1),2),0)</f>
        <v>0</v>
      </c>
      <c r="M244" s="456">
        <f>INDEX('M03-S06'!$V$16:$V$198,2*(ROWS($M$215:M244)-1)+1)</f>
        <v>0</v>
      </c>
      <c r="N244" s="113"/>
      <c r="O244" s="459"/>
      <c r="P244" s="184" t="str">
        <f>IFERROR(IF(ISNUMBER(INDEX('M03-S06'!$AN$16:$AN$198,2*(ROWS($R$215:R244)-1)+1)),INDEX('M03-S06'!$AK$16:$AK$198,2*(ROWS($P$215:P244)-1)+1),""),"")</f>
        <v/>
      </c>
      <c r="Q244" s="184"/>
      <c r="R244" s="184">
        <f>IF(ISNUMBER(INDEX('M03-S06'!$AN$16:$AN$198,2*(ROWS($R$215:R244)-1)+1)),INDEX('M03-S06'!$AN$16:$AN$198,2*(ROWS($R$215:R244)-1)+1),0)</f>
        <v>0</v>
      </c>
      <c r="S244" s="459"/>
      <c r="T244" s="113"/>
      <c r="U244" s="140"/>
      <c r="V244" s="113"/>
      <c r="W244" s="96">
        <f>IFERROR(IF(NOT(ISNUMBER(INDEX('M03-S06'!$AN$16:$AN$198,2*(ROWS($R$215:R244)-1)+1))),INDEX('M03-S06'!$BC$16:$BC$198,2*(ROWS($R$215:R244)-1)+1),""),"")</f>
        <v>0</v>
      </c>
      <c r="X244" s="113"/>
      <c r="Y244" s="113"/>
      <c r="Z244" s="111">
        <f>INDEX('M03-S06'!$B$16:$B$196,2*(ROWS($Z$215:Z244)-1)+1)</f>
        <v>30</v>
      </c>
      <c r="AA244" s="111" t="str">
        <f>INDEX('M03-S06'!$N$16:$N$198,2*(ROWS($Z$215:AA244)-1)+1)</f>
        <v/>
      </c>
      <c r="AB244" s="111">
        <f>INDEX('M03-S06'!$C$16:$C$198,2*(ROWS($Z$215:AB244)-1)+1)</f>
        <v>0</v>
      </c>
      <c r="AC244" s="96"/>
      <c r="AD244">
        <f>INDEX('M03-S06'!$X$16:$X$198,2*(ROWS($AD$215:AD244)-1)+1)</f>
        <v>0</v>
      </c>
      <c r="AE244" s="459"/>
      <c r="AF244" s="459"/>
      <c r="AG244" s="112"/>
      <c r="AH244" s="112"/>
      <c r="AI244" s="112"/>
      <c r="AJ244" s="112"/>
      <c r="AK244" s="113"/>
      <c r="AL244" s="113"/>
      <c r="AM244" s="113"/>
      <c r="AN244" s="113"/>
      <c r="AO244" s="52" t="str">
        <f>IFERROR(INDEX(PMGHVAC[Program Design],MATCH(AB244,PMGHVAC[Eff Desc 1])),"")</f>
        <v/>
      </c>
      <c r="AU244"/>
    </row>
    <row r="245" spans="1:47">
      <c r="A245" s="57">
        <f t="shared" si="17"/>
        <v>0</v>
      </c>
      <c r="B245" s="183" t="str">
        <f t="shared" si="25"/>
        <v/>
      </c>
      <c r="C245" t="str">
        <f>IFERROR(IF(R245&gt;0,INDEX(PMGHVAC[Measure '#],MATCH(AB245,PMGHVAC[Eff Desc 1],0)),""),"")</f>
        <v/>
      </c>
      <c r="D245" t="s">
        <v>947</v>
      </c>
      <c r="F245" s="112"/>
      <c r="G245" s="186">
        <f>INDEX('M03-S06'!$AB$16:$AB$196,2*(ROWS($G$215:G245)-1)+1)</f>
        <v>0</v>
      </c>
      <c r="H245" s="186" t="str">
        <f>IF(ISNUMBER(INDEX('M03-S06'!$AN$16:$AN$198,2*(ROWS($R$215:R245)-1)+1)),"Total","")</f>
        <v/>
      </c>
      <c r="I245" s="184">
        <f>IFERROR(ROUND(INDEX('M03-S06'!$AE$16:$AE$198,2*(ROWS($I$215:I245)-1)+1),2),0)</f>
        <v>0</v>
      </c>
      <c r="J245" s="184">
        <f>IFERROR(ROUND(INDEX('M03-S06'!$AG$16:$AG$198,2*(ROWS($J$215:J245)-1)+1),2),0)</f>
        <v>0</v>
      </c>
      <c r="K245" s="52">
        <f>IFERROR(ROUND(INDEX('M03-S06'!$AU$16:$AU$198,2*(ROWS($K$215:K245)-1)+1),2),0)</f>
        <v>0</v>
      </c>
      <c r="M245" s="456">
        <f>INDEX('M03-S06'!$V$16:$V$198,2*(ROWS($M$215:M245)-1)+1)</f>
        <v>0</v>
      </c>
      <c r="N245" s="113"/>
      <c r="O245" s="459"/>
      <c r="P245" s="184" t="str">
        <f>IFERROR(IF(ISNUMBER(INDEX('M03-S06'!$AN$16:$AN$198,2*(ROWS($R$215:R245)-1)+1)),INDEX('M03-S06'!$AK$16:$AK$198,2*(ROWS($P$215:P245)-1)+1),""),"")</f>
        <v/>
      </c>
      <c r="Q245" s="184"/>
      <c r="R245" s="184">
        <f>IF(ISNUMBER(INDEX('M03-S06'!$AN$16:$AN$198,2*(ROWS($R$215:R245)-1)+1)),INDEX('M03-S06'!$AN$16:$AN$198,2*(ROWS($R$215:R245)-1)+1),0)</f>
        <v>0</v>
      </c>
      <c r="S245" s="459"/>
      <c r="T245" s="113"/>
      <c r="U245" s="140"/>
      <c r="V245" s="113"/>
      <c r="W245" s="96">
        <f>IFERROR(IF(NOT(ISNUMBER(INDEX('M03-S06'!$AN$16:$AN$198,2*(ROWS($R$215:R245)-1)+1))),INDEX('M03-S06'!$BC$16:$BC$198,2*(ROWS($R$215:R245)-1)+1),""),"")</f>
        <v>0</v>
      </c>
      <c r="X245" s="113"/>
      <c r="Y245" s="113"/>
      <c r="Z245" s="111">
        <f>INDEX('M03-S06'!$B$16:$B$196,2*(ROWS($Z$215:Z245)-1)+1)</f>
        <v>31</v>
      </c>
      <c r="AA245" s="111" t="str">
        <f>INDEX('M03-S06'!$N$16:$N$198,2*(ROWS($Z$215:AA245)-1)+1)</f>
        <v/>
      </c>
      <c r="AB245" s="111">
        <f>INDEX('M03-S06'!$C$16:$C$198,2*(ROWS($Z$215:AB245)-1)+1)</f>
        <v>0</v>
      </c>
      <c r="AC245" s="96"/>
      <c r="AD245">
        <f>INDEX('M03-S06'!$X$16:$X$198,2*(ROWS($AD$215:AD245)-1)+1)</f>
        <v>0</v>
      </c>
      <c r="AE245" s="459"/>
      <c r="AF245" s="459"/>
      <c r="AG245" s="112"/>
      <c r="AH245" s="112"/>
      <c r="AI245" s="112"/>
      <c r="AJ245" s="112"/>
      <c r="AK245" s="113"/>
      <c r="AL245" s="113"/>
      <c r="AM245" s="113"/>
      <c r="AN245" s="113"/>
      <c r="AO245" s="52" t="str">
        <f>IFERROR(INDEX(PMGHVAC[Program Design],MATCH(AB245,PMGHVAC[Eff Desc 1])),"")</f>
        <v/>
      </c>
      <c r="AU245"/>
    </row>
    <row r="246" spans="1:47">
      <c r="A246" s="57">
        <f t="shared" si="17"/>
        <v>0</v>
      </c>
      <c r="B246" s="183" t="str">
        <f t="shared" si="25"/>
        <v/>
      </c>
      <c r="C246" t="str">
        <f>IFERROR(IF(R246&gt;0,INDEX(PMGHVAC[Measure '#],MATCH(AB246,PMGHVAC[Eff Desc 1],0)),""),"")</f>
        <v/>
      </c>
      <c r="D246" t="s">
        <v>947</v>
      </c>
      <c r="F246" s="112"/>
      <c r="G246" s="186">
        <f>INDEX('M03-S06'!$AB$16:$AB$196,2*(ROWS($G$215:G246)-1)+1)</f>
        <v>0</v>
      </c>
      <c r="H246" s="186" t="str">
        <f>IF(ISNUMBER(INDEX('M03-S06'!$AN$16:$AN$198,2*(ROWS($R$215:R246)-1)+1)),"Total","")</f>
        <v/>
      </c>
      <c r="I246" s="184">
        <f>IFERROR(ROUND(INDEX('M03-S06'!$AE$16:$AE$198,2*(ROWS($I$215:I246)-1)+1),2),0)</f>
        <v>0</v>
      </c>
      <c r="J246" s="184">
        <f>IFERROR(ROUND(INDEX('M03-S06'!$AG$16:$AG$198,2*(ROWS($J$215:J246)-1)+1),2),0)</f>
        <v>0</v>
      </c>
      <c r="K246" s="52">
        <f>IFERROR(ROUND(INDEX('M03-S06'!$AU$16:$AU$198,2*(ROWS($K$215:K246)-1)+1),2),0)</f>
        <v>0</v>
      </c>
      <c r="M246" s="456">
        <f>INDEX('M03-S06'!$V$16:$V$198,2*(ROWS($M$215:M246)-1)+1)</f>
        <v>0</v>
      </c>
      <c r="N246" s="113"/>
      <c r="O246" s="459"/>
      <c r="P246" s="184" t="str">
        <f>IFERROR(IF(ISNUMBER(INDEX('M03-S06'!$AN$16:$AN$198,2*(ROWS($R$215:R246)-1)+1)),INDEX('M03-S06'!$AK$16:$AK$198,2*(ROWS($P$215:P246)-1)+1),""),"")</f>
        <v/>
      </c>
      <c r="Q246" s="184"/>
      <c r="R246" s="184">
        <f>IF(ISNUMBER(INDEX('M03-S06'!$AN$16:$AN$198,2*(ROWS($R$215:R246)-1)+1)),INDEX('M03-S06'!$AN$16:$AN$198,2*(ROWS($R$215:R246)-1)+1),0)</f>
        <v>0</v>
      </c>
      <c r="S246" s="459"/>
      <c r="T246" s="113"/>
      <c r="U246" s="140"/>
      <c r="V246" s="113"/>
      <c r="W246" s="96">
        <f>IFERROR(IF(NOT(ISNUMBER(INDEX('M03-S06'!$AN$16:$AN$198,2*(ROWS($R$215:R246)-1)+1))),INDEX('M03-S06'!$BC$16:$BC$198,2*(ROWS($R$215:R246)-1)+1),""),"")</f>
        <v>0</v>
      </c>
      <c r="X246" s="113"/>
      <c r="Y246" s="113"/>
      <c r="Z246" s="111">
        <f>INDEX('M03-S06'!$B$16:$B$196,2*(ROWS($Z$215:Z246)-1)+1)</f>
        <v>32</v>
      </c>
      <c r="AA246" s="111" t="str">
        <f>INDEX('M03-S06'!$N$16:$N$198,2*(ROWS($Z$215:AA246)-1)+1)</f>
        <v/>
      </c>
      <c r="AB246" s="111">
        <f>INDEX('M03-S06'!$C$16:$C$198,2*(ROWS($Z$215:AB246)-1)+1)</f>
        <v>0</v>
      </c>
      <c r="AC246" s="96"/>
      <c r="AD246">
        <f>INDEX('M03-S06'!$X$16:$X$198,2*(ROWS($AD$215:AD246)-1)+1)</f>
        <v>0</v>
      </c>
      <c r="AE246" s="459"/>
      <c r="AF246" s="459"/>
      <c r="AG246" s="112"/>
      <c r="AH246" s="112"/>
      <c r="AI246" s="112"/>
      <c r="AJ246" s="112"/>
      <c r="AK246" s="113"/>
      <c r="AL246" s="113"/>
      <c r="AM246" s="113"/>
      <c r="AN246" s="113"/>
      <c r="AO246" s="52" t="str">
        <f>IFERROR(INDEX(PMGHVAC[Program Design],MATCH(AB246,PMGHVAC[Eff Desc 1])),"")</f>
        <v/>
      </c>
      <c r="AU246"/>
    </row>
    <row r="247" spans="1:47">
      <c r="A247" s="57">
        <f t="shared" si="17"/>
        <v>0</v>
      </c>
      <c r="B247" s="183" t="str">
        <f t="shared" si="25"/>
        <v/>
      </c>
      <c r="C247" t="str">
        <f>IFERROR(IF(R247&gt;0,INDEX(PMGHVAC[Measure '#],MATCH(AB247,PMGHVAC[Eff Desc 1],0)),""),"")</f>
        <v/>
      </c>
      <c r="D247" t="s">
        <v>947</v>
      </c>
      <c r="F247" s="112"/>
      <c r="G247" s="186">
        <f>INDEX('M03-S06'!$AB$16:$AB$196,2*(ROWS($G$215:G247)-1)+1)</f>
        <v>0</v>
      </c>
      <c r="H247" s="186" t="str">
        <f>IF(ISNUMBER(INDEX('M03-S06'!$AN$16:$AN$198,2*(ROWS($R$215:R247)-1)+1)),"Total","")</f>
        <v/>
      </c>
      <c r="I247" s="184">
        <f>IFERROR(ROUND(INDEX('M03-S06'!$AE$16:$AE$198,2*(ROWS($I$215:I247)-1)+1),2),0)</f>
        <v>0</v>
      </c>
      <c r="J247" s="184">
        <f>IFERROR(ROUND(INDEX('M03-S06'!$AG$16:$AG$198,2*(ROWS($J$215:J247)-1)+1),2),0)</f>
        <v>0</v>
      </c>
      <c r="K247" s="52">
        <f>IFERROR(ROUND(INDEX('M03-S06'!$AU$16:$AU$198,2*(ROWS($K$215:K247)-1)+1),2),0)</f>
        <v>0</v>
      </c>
      <c r="M247" s="456">
        <f>INDEX('M03-S06'!$V$16:$V$198,2*(ROWS($M$215:M247)-1)+1)</f>
        <v>0</v>
      </c>
      <c r="N247" s="113"/>
      <c r="O247" s="459"/>
      <c r="P247" s="184" t="str">
        <f>IFERROR(IF(ISNUMBER(INDEX('M03-S06'!$AN$16:$AN$198,2*(ROWS($R$215:R247)-1)+1)),INDEX('M03-S06'!$AK$16:$AK$198,2*(ROWS($P$215:P247)-1)+1),""),"")</f>
        <v/>
      </c>
      <c r="Q247" s="184"/>
      <c r="R247" s="184">
        <f>IF(ISNUMBER(INDEX('M03-S06'!$AN$16:$AN$198,2*(ROWS($R$215:R247)-1)+1)),INDEX('M03-S06'!$AN$16:$AN$198,2*(ROWS($R$215:R247)-1)+1),0)</f>
        <v>0</v>
      </c>
      <c r="S247" s="459"/>
      <c r="T247" s="113"/>
      <c r="U247" s="140"/>
      <c r="V247" s="113"/>
      <c r="W247" s="96">
        <f>IFERROR(IF(NOT(ISNUMBER(INDEX('M03-S06'!$AN$16:$AN$198,2*(ROWS($R$215:R247)-1)+1))),INDEX('M03-S06'!$BC$16:$BC$198,2*(ROWS($R$215:R247)-1)+1),""),"")</f>
        <v>0</v>
      </c>
      <c r="X247" s="113"/>
      <c r="Y247" s="113"/>
      <c r="Z247" s="111">
        <f>INDEX('M03-S06'!$B$16:$B$196,2*(ROWS($Z$215:Z247)-1)+1)</f>
        <v>33</v>
      </c>
      <c r="AA247" s="111" t="str">
        <f>INDEX('M03-S06'!$N$16:$N$198,2*(ROWS($Z$215:AA247)-1)+1)</f>
        <v/>
      </c>
      <c r="AB247" s="111">
        <f>INDEX('M03-S06'!$C$16:$C$198,2*(ROWS($Z$215:AB247)-1)+1)</f>
        <v>0</v>
      </c>
      <c r="AC247" s="96"/>
      <c r="AD247">
        <f>INDEX('M03-S06'!$X$16:$X$198,2*(ROWS($AD$215:AD247)-1)+1)</f>
        <v>0</v>
      </c>
      <c r="AE247" s="459"/>
      <c r="AF247" s="459"/>
      <c r="AG247" s="112"/>
      <c r="AH247" s="112"/>
      <c r="AI247" s="112"/>
      <c r="AJ247" s="112"/>
      <c r="AK247" s="113"/>
      <c r="AL247" s="113"/>
      <c r="AM247" s="113"/>
      <c r="AN247" s="113"/>
      <c r="AO247" s="52" t="str">
        <f>IFERROR(INDEX(PMGHVAC[Program Design],MATCH(AB247,PMGHVAC[Eff Desc 1])),"")</f>
        <v/>
      </c>
      <c r="AU247"/>
    </row>
    <row r="248" spans="1:47">
      <c r="A248" s="57">
        <f t="shared" si="17"/>
        <v>0</v>
      </c>
      <c r="B248" s="183" t="str">
        <f t="shared" si="25"/>
        <v/>
      </c>
      <c r="C248" t="str">
        <f>IFERROR(IF(R248&gt;0,INDEX(PMGHVAC[Measure '#],MATCH(AB248,PMGHVAC[Eff Desc 1],0)),""),"")</f>
        <v/>
      </c>
      <c r="D248" t="s">
        <v>947</v>
      </c>
      <c r="F248" s="112"/>
      <c r="G248" s="186">
        <f>INDEX('M03-S06'!$AB$16:$AB$196,2*(ROWS($G$215:G248)-1)+1)</f>
        <v>0</v>
      </c>
      <c r="H248" s="186" t="str">
        <f>IF(ISNUMBER(INDEX('M03-S06'!$AN$16:$AN$198,2*(ROWS($R$215:R248)-1)+1)),"Total","")</f>
        <v/>
      </c>
      <c r="I248" s="184">
        <f>IFERROR(ROUND(INDEX('M03-S06'!$AE$16:$AE$198,2*(ROWS($I$215:I248)-1)+1),2),0)</f>
        <v>0</v>
      </c>
      <c r="J248" s="184">
        <f>IFERROR(ROUND(INDEX('M03-S06'!$AG$16:$AG$198,2*(ROWS($J$215:J248)-1)+1),2),0)</f>
        <v>0</v>
      </c>
      <c r="K248" s="52">
        <f>IFERROR(ROUND(INDEX('M03-S06'!$AU$16:$AU$198,2*(ROWS($K$215:K248)-1)+1),2),0)</f>
        <v>0</v>
      </c>
      <c r="M248" s="456">
        <f>INDEX('M03-S06'!$V$16:$V$198,2*(ROWS($M$215:M248)-1)+1)</f>
        <v>0</v>
      </c>
      <c r="N248" s="113"/>
      <c r="O248" s="459"/>
      <c r="P248" s="184" t="str">
        <f>IFERROR(IF(ISNUMBER(INDEX('M03-S06'!$AN$16:$AN$198,2*(ROWS($R$215:R248)-1)+1)),INDEX('M03-S06'!$AK$16:$AK$198,2*(ROWS($P$215:P248)-1)+1),""),"")</f>
        <v/>
      </c>
      <c r="Q248" s="184"/>
      <c r="R248" s="184">
        <f>IF(ISNUMBER(INDEX('M03-S06'!$AN$16:$AN$198,2*(ROWS($R$215:R248)-1)+1)),INDEX('M03-S06'!$AN$16:$AN$198,2*(ROWS($R$215:R248)-1)+1),0)</f>
        <v>0</v>
      </c>
      <c r="S248" s="459"/>
      <c r="T248" s="113"/>
      <c r="U248" s="140"/>
      <c r="V248" s="113"/>
      <c r="W248" s="96">
        <f>IFERROR(IF(NOT(ISNUMBER(INDEX('M03-S06'!$AN$16:$AN$198,2*(ROWS($R$215:R248)-1)+1))),INDEX('M03-S06'!$BC$16:$BC$198,2*(ROWS($R$215:R248)-1)+1),""),"")</f>
        <v>0</v>
      </c>
      <c r="X248" s="113"/>
      <c r="Y248" s="113"/>
      <c r="Z248" s="111">
        <f>INDEX('M03-S06'!$B$16:$B$196,2*(ROWS($Z$215:Z248)-1)+1)</f>
        <v>34</v>
      </c>
      <c r="AA248" s="111" t="str">
        <f>INDEX('M03-S06'!$N$16:$N$198,2*(ROWS($Z$215:AA248)-1)+1)</f>
        <v/>
      </c>
      <c r="AB248" s="111">
        <f>INDEX('M03-S06'!$C$16:$C$198,2*(ROWS($Z$215:AB248)-1)+1)</f>
        <v>0</v>
      </c>
      <c r="AC248" s="96"/>
      <c r="AD248">
        <f>INDEX('M03-S06'!$X$16:$X$198,2*(ROWS($AD$215:AD248)-1)+1)</f>
        <v>0</v>
      </c>
      <c r="AE248" s="459"/>
      <c r="AF248" s="459"/>
      <c r="AG248" s="112"/>
      <c r="AH248" s="112"/>
      <c r="AI248" s="112"/>
      <c r="AJ248" s="112"/>
      <c r="AK248" s="113"/>
      <c r="AL248" s="113"/>
      <c r="AM248" s="113"/>
      <c r="AN248" s="113"/>
      <c r="AO248" s="52" t="str">
        <f>IFERROR(INDEX(PMGHVAC[Program Design],MATCH(AB248,PMGHVAC[Eff Desc 1])),"")</f>
        <v/>
      </c>
      <c r="AU248"/>
    </row>
    <row r="249" spans="1:47">
      <c r="A249" s="57">
        <f t="shared" si="17"/>
        <v>0</v>
      </c>
      <c r="B249" s="183" t="str">
        <f t="shared" si="25"/>
        <v/>
      </c>
      <c r="C249" t="str">
        <f>IFERROR(IF(R249&gt;0,INDEX(PMGHVAC[Measure '#],MATCH(AB249,PMGHVAC[Eff Desc 1],0)),""),"")</f>
        <v/>
      </c>
      <c r="D249" t="s">
        <v>947</v>
      </c>
      <c r="F249" s="112"/>
      <c r="G249" s="186">
        <f>INDEX('M03-S06'!$AB$16:$AB$196,2*(ROWS($G$215:G249)-1)+1)</f>
        <v>0</v>
      </c>
      <c r="H249" s="186" t="str">
        <f>IF(ISNUMBER(INDEX('M03-S06'!$AN$16:$AN$198,2*(ROWS($R$215:R249)-1)+1)),"Total","")</f>
        <v/>
      </c>
      <c r="I249" s="184">
        <f>IFERROR(ROUND(INDEX('M03-S06'!$AE$16:$AE$198,2*(ROWS($I$215:I249)-1)+1),2),0)</f>
        <v>0</v>
      </c>
      <c r="J249" s="184">
        <f>IFERROR(ROUND(INDEX('M03-S06'!$AG$16:$AG$198,2*(ROWS($J$215:J249)-1)+1),2),0)</f>
        <v>0</v>
      </c>
      <c r="K249" s="52">
        <f>IFERROR(ROUND(INDEX('M03-S06'!$AU$16:$AU$198,2*(ROWS($K$215:K249)-1)+1),2),0)</f>
        <v>0</v>
      </c>
      <c r="M249" s="456">
        <f>INDEX('M03-S06'!$V$16:$V$198,2*(ROWS($M$215:M249)-1)+1)</f>
        <v>0</v>
      </c>
      <c r="N249" s="113"/>
      <c r="O249" s="459"/>
      <c r="P249" s="184" t="str">
        <f>IFERROR(IF(ISNUMBER(INDEX('M03-S06'!$AN$16:$AN$198,2*(ROWS($R$215:R249)-1)+1)),INDEX('M03-S06'!$AK$16:$AK$198,2*(ROWS($P$215:P249)-1)+1),""),"")</f>
        <v/>
      </c>
      <c r="Q249" s="184"/>
      <c r="R249" s="184">
        <f>IF(ISNUMBER(INDEX('M03-S06'!$AN$16:$AN$198,2*(ROWS($R$215:R249)-1)+1)),INDEX('M03-S06'!$AN$16:$AN$198,2*(ROWS($R$215:R249)-1)+1),0)</f>
        <v>0</v>
      </c>
      <c r="S249" s="459"/>
      <c r="T249" s="113"/>
      <c r="U249" s="140"/>
      <c r="V249" s="113"/>
      <c r="W249" s="96">
        <f>IFERROR(IF(NOT(ISNUMBER(INDEX('M03-S06'!$AN$16:$AN$198,2*(ROWS($R$215:R249)-1)+1))),INDEX('M03-S06'!$BC$16:$BC$198,2*(ROWS($R$215:R249)-1)+1),""),"")</f>
        <v>0</v>
      </c>
      <c r="X249" s="113"/>
      <c r="Y249" s="113"/>
      <c r="Z249" s="111">
        <f>INDEX('M03-S06'!$B$16:$B$196,2*(ROWS($Z$215:Z249)-1)+1)</f>
        <v>35</v>
      </c>
      <c r="AA249" s="111" t="str">
        <f>INDEX('M03-S06'!$N$16:$N$198,2*(ROWS($Z$215:AA249)-1)+1)</f>
        <v/>
      </c>
      <c r="AB249" s="111">
        <f>INDEX('M03-S06'!$C$16:$C$198,2*(ROWS($Z$215:AB249)-1)+1)</f>
        <v>0</v>
      </c>
      <c r="AC249" s="96"/>
      <c r="AD249">
        <f>INDEX('M03-S06'!$X$16:$X$198,2*(ROWS($AD$215:AD249)-1)+1)</f>
        <v>0</v>
      </c>
      <c r="AE249" s="459"/>
      <c r="AF249" s="459"/>
      <c r="AG249" s="112"/>
      <c r="AH249" s="112"/>
      <c r="AI249" s="112"/>
      <c r="AJ249" s="112"/>
      <c r="AK249" s="113"/>
      <c r="AL249" s="113"/>
      <c r="AM249" s="113"/>
      <c r="AN249" s="113"/>
      <c r="AO249" s="52" t="str">
        <f>IFERROR(INDEX(PMGHVAC[Program Design],MATCH(AB249,PMGHVAC[Eff Desc 1])),"")</f>
        <v/>
      </c>
      <c r="AU249"/>
    </row>
    <row r="250" spans="1:47">
      <c r="A250" s="57">
        <f t="shared" si="17"/>
        <v>0</v>
      </c>
      <c r="B250" s="183" t="str">
        <f t="shared" si="25"/>
        <v/>
      </c>
      <c r="C250" t="str">
        <f>IFERROR(IF(R250&gt;0,INDEX(PMGHVAC[Measure '#],MATCH(AB250,PMGHVAC[Eff Desc 1],0)),""),"")</f>
        <v/>
      </c>
      <c r="D250" t="s">
        <v>947</v>
      </c>
      <c r="F250" s="112"/>
      <c r="G250" s="186">
        <f>INDEX('M03-S06'!$AB$16:$AB$196,2*(ROWS($G$215:G250)-1)+1)</f>
        <v>0</v>
      </c>
      <c r="H250" s="186" t="str">
        <f>IF(ISNUMBER(INDEX('M03-S06'!$AN$16:$AN$198,2*(ROWS($R$215:R250)-1)+1)),"Total","")</f>
        <v/>
      </c>
      <c r="I250" s="184">
        <f>IFERROR(ROUND(INDEX('M03-S06'!$AE$16:$AE$198,2*(ROWS($I$215:I250)-1)+1),2),0)</f>
        <v>0</v>
      </c>
      <c r="J250" s="184">
        <f>IFERROR(ROUND(INDEX('M03-S06'!$AG$16:$AG$198,2*(ROWS($J$215:J250)-1)+1),2),0)</f>
        <v>0</v>
      </c>
      <c r="K250" s="52">
        <f>IFERROR(ROUND(INDEX('M03-S06'!$AU$16:$AU$198,2*(ROWS($K$215:K250)-1)+1),2),0)</f>
        <v>0</v>
      </c>
      <c r="M250" s="456">
        <f>INDEX('M03-S06'!$V$16:$V$198,2*(ROWS($M$215:M250)-1)+1)</f>
        <v>0</v>
      </c>
      <c r="N250" s="113"/>
      <c r="O250" s="459"/>
      <c r="P250" s="184" t="str">
        <f>IFERROR(IF(ISNUMBER(INDEX('M03-S06'!$AN$16:$AN$198,2*(ROWS($R$215:R250)-1)+1)),INDEX('M03-S06'!$AK$16:$AK$198,2*(ROWS($P$215:P250)-1)+1),""),"")</f>
        <v/>
      </c>
      <c r="Q250" s="184"/>
      <c r="R250" s="184">
        <f>IF(ISNUMBER(INDEX('M03-S06'!$AN$16:$AN$198,2*(ROWS($R$215:R250)-1)+1)),INDEX('M03-S06'!$AN$16:$AN$198,2*(ROWS($R$215:R250)-1)+1),0)</f>
        <v>0</v>
      </c>
      <c r="S250" s="459"/>
      <c r="T250" s="113"/>
      <c r="U250" s="140"/>
      <c r="V250" s="113"/>
      <c r="W250" s="96">
        <f>IFERROR(IF(NOT(ISNUMBER(INDEX('M03-S06'!$AN$16:$AN$198,2*(ROWS($R$215:R250)-1)+1))),INDEX('M03-S06'!$BC$16:$BC$198,2*(ROWS($R$215:R250)-1)+1),""),"")</f>
        <v>0</v>
      </c>
      <c r="X250" s="113"/>
      <c r="Y250" s="113"/>
      <c r="Z250" s="111">
        <f>INDEX('M03-S06'!$B$16:$B$196,2*(ROWS($Z$215:Z250)-1)+1)</f>
        <v>36</v>
      </c>
      <c r="AA250" s="111" t="str">
        <f>INDEX('M03-S06'!$N$16:$N$198,2*(ROWS($Z$215:AA250)-1)+1)</f>
        <v/>
      </c>
      <c r="AB250" s="111">
        <f>INDEX('M03-S06'!$C$16:$C$198,2*(ROWS($Z$215:AB250)-1)+1)</f>
        <v>0</v>
      </c>
      <c r="AC250" s="96"/>
      <c r="AD250">
        <f>INDEX('M03-S06'!$X$16:$X$198,2*(ROWS($AD$215:AD250)-1)+1)</f>
        <v>0</v>
      </c>
      <c r="AE250" s="459"/>
      <c r="AF250" s="459"/>
      <c r="AG250" s="112"/>
      <c r="AH250" s="112"/>
      <c r="AI250" s="112"/>
      <c r="AJ250" s="112"/>
      <c r="AK250" s="113"/>
      <c r="AL250" s="113"/>
      <c r="AM250" s="113"/>
      <c r="AN250" s="113"/>
      <c r="AO250" s="52" t="str">
        <f>IFERROR(INDEX(PMGHVAC[Program Design],MATCH(AB250,PMGHVAC[Eff Desc 1])),"")</f>
        <v/>
      </c>
      <c r="AU250"/>
    </row>
    <row r="251" spans="1:47">
      <c r="A251" s="57">
        <f t="shared" si="17"/>
        <v>0</v>
      </c>
      <c r="B251" s="183" t="str">
        <f t="shared" si="24"/>
        <v/>
      </c>
      <c r="C251" t="str">
        <f>IFERROR(IF(R251&gt;0,INDEX(PMGHVAC[Measure '#],MATCH(AB251,PMGHVAC[Eff Desc 1],0)),""),"")</f>
        <v/>
      </c>
      <c r="D251" t="s">
        <v>947</v>
      </c>
      <c r="F251" s="112"/>
      <c r="G251" s="186">
        <f>INDEX('M03-S06'!$AB$16:$AB$196,2*(ROWS($G$215:G251)-1)+1)</f>
        <v>0</v>
      </c>
      <c r="H251" s="186" t="str">
        <f>IF(ISNUMBER(INDEX('M03-S06'!$AN$16:$AN$198,2*(ROWS($R$215:R251)-1)+1)),"Total","")</f>
        <v/>
      </c>
      <c r="I251" s="184">
        <f>IFERROR(ROUND(INDEX('M03-S06'!$AE$16:$AE$198,2*(ROWS($I$215:I251)-1)+1),2),0)</f>
        <v>0</v>
      </c>
      <c r="J251" s="184">
        <f>IFERROR(ROUND(INDEX('M03-S06'!$AG$16:$AG$198,2*(ROWS($J$215:J251)-1)+1),2),0)</f>
        <v>0</v>
      </c>
      <c r="K251" s="52">
        <f>IFERROR(ROUND(INDEX('M03-S06'!$AU$16:$AU$198,2*(ROWS($K$215:K251)-1)+1),2),0)</f>
        <v>0</v>
      </c>
      <c r="M251" s="456">
        <f>INDEX('M03-S06'!$V$16:$V$198,2*(ROWS($M$215:M251)-1)+1)</f>
        <v>0</v>
      </c>
      <c r="N251" s="113"/>
      <c r="O251" s="459"/>
      <c r="P251" s="184" t="str">
        <f>IFERROR(IF(ISNUMBER(INDEX('M03-S06'!$AN$16:$AN$198,2*(ROWS($R$215:R251)-1)+1)),INDEX('M03-S06'!$AK$16:$AK$198,2*(ROWS($P$215:P251)-1)+1),""),"")</f>
        <v/>
      </c>
      <c r="Q251" s="184"/>
      <c r="R251" s="184">
        <f>IF(ISNUMBER(INDEX('M03-S06'!$AN$16:$AN$198,2*(ROWS($R$215:R251)-1)+1)),INDEX('M03-S06'!$AN$16:$AN$198,2*(ROWS($R$215:R251)-1)+1),0)</f>
        <v>0</v>
      </c>
      <c r="S251" s="459"/>
      <c r="T251" s="113"/>
      <c r="U251" s="140"/>
      <c r="V251" s="113"/>
      <c r="W251" s="96">
        <f>IFERROR(IF(NOT(ISNUMBER(INDEX('M03-S06'!$AN$16:$AN$198,2*(ROWS($R$215:R251)-1)+1))),INDEX('M03-S06'!$BC$16:$BC$198,2*(ROWS($R$215:R251)-1)+1),""),"")</f>
        <v>0</v>
      </c>
      <c r="X251" s="113"/>
      <c r="Y251" s="113"/>
      <c r="Z251" s="111">
        <f>INDEX('M03-S06'!$B$16:$B$196,2*(ROWS($Z$215:Z251)-1)+1)</f>
        <v>37</v>
      </c>
      <c r="AA251" s="111" t="str">
        <f>INDEX('M03-S06'!$N$16:$N$198,2*(ROWS($Z$215:AA251)-1)+1)</f>
        <v/>
      </c>
      <c r="AB251" s="111">
        <f>INDEX('M03-S06'!$C$16:$C$198,2*(ROWS($Z$215:AB251)-1)+1)</f>
        <v>0</v>
      </c>
      <c r="AC251" s="96"/>
      <c r="AD251">
        <f>INDEX('M03-S06'!$X$16:$X$198,2*(ROWS($AD$215:AD251)-1)+1)</f>
        <v>0</v>
      </c>
      <c r="AE251" s="459"/>
      <c r="AF251" s="459"/>
      <c r="AG251" s="112"/>
      <c r="AH251" s="112"/>
      <c r="AI251" s="112"/>
      <c r="AJ251" s="112"/>
      <c r="AK251" s="113"/>
      <c r="AL251" s="113"/>
      <c r="AM251" s="113"/>
      <c r="AN251" s="113"/>
      <c r="AO251" s="52" t="str">
        <f>IFERROR(INDEX(PMGHVAC[Program Design],MATCH(AB251,PMGHVAC[Eff Desc 1])),"")</f>
        <v/>
      </c>
      <c r="AU251"/>
    </row>
    <row r="252" spans="1:47">
      <c r="A252" s="57">
        <f t="shared" si="17"/>
        <v>0</v>
      </c>
      <c r="B252" s="183" t="str">
        <f t="shared" si="24"/>
        <v/>
      </c>
      <c r="C252" t="str">
        <f>IFERROR(IF(R252&gt;0,INDEX(PMGHVAC[Measure '#],MATCH(AB252,PMGHVAC[Eff Desc 1],0)),""),"")</f>
        <v/>
      </c>
      <c r="D252" t="s">
        <v>947</v>
      </c>
      <c r="F252" s="112"/>
      <c r="G252" s="186">
        <f>INDEX('M03-S06'!$AB$16:$AB$196,2*(ROWS($G$215:G252)-1)+1)</f>
        <v>0</v>
      </c>
      <c r="H252" s="186" t="str">
        <f>IF(ISNUMBER(INDEX('M03-S06'!$AN$16:$AN$198,2*(ROWS($R$215:R252)-1)+1)),"Total","")</f>
        <v/>
      </c>
      <c r="I252" s="184">
        <f>IFERROR(ROUND(INDEX('M03-S06'!$AE$16:$AE$198,2*(ROWS($I$215:I252)-1)+1),2),0)</f>
        <v>0</v>
      </c>
      <c r="J252" s="184">
        <f>IFERROR(ROUND(INDEX('M03-S06'!$AG$16:$AG$198,2*(ROWS($J$215:J252)-1)+1),2),0)</f>
        <v>0</v>
      </c>
      <c r="K252" s="52">
        <f>IFERROR(ROUND(INDEX('M03-S06'!$AU$16:$AU$198,2*(ROWS($K$215:K252)-1)+1),2),0)</f>
        <v>0</v>
      </c>
      <c r="M252" s="456">
        <f>INDEX('M03-S06'!$V$16:$V$198,2*(ROWS($M$215:M252)-1)+1)</f>
        <v>0</v>
      </c>
      <c r="N252" s="113"/>
      <c r="O252" s="459"/>
      <c r="P252" s="184" t="str">
        <f>IFERROR(IF(ISNUMBER(INDEX('M03-S06'!$AN$16:$AN$198,2*(ROWS($R$215:R252)-1)+1)),INDEX('M03-S06'!$AK$16:$AK$198,2*(ROWS($P$215:P252)-1)+1),""),"")</f>
        <v/>
      </c>
      <c r="Q252" s="184"/>
      <c r="R252" s="184">
        <f>IF(ISNUMBER(INDEX('M03-S06'!$AN$16:$AN$198,2*(ROWS($R$215:R252)-1)+1)),INDEX('M03-S06'!$AN$16:$AN$198,2*(ROWS($R$215:R252)-1)+1),0)</f>
        <v>0</v>
      </c>
      <c r="S252" s="459"/>
      <c r="T252" s="113"/>
      <c r="U252" s="140"/>
      <c r="V252" s="113"/>
      <c r="W252" s="96">
        <f>IFERROR(IF(NOT(ISNUMBER(INDEX('M03-S06'!$AN$16:$AN$198,2*(ROWS($R$215:R252)-1)+1))),INDEX('M03-S06'!$BC$16:$BC$198,2*(ROWS($R$215:R252)-1)+1),""),"")</f>
        <v>0</v>
      </c>
      <c r="X252" s="113"/>
      <c r="Y252" s="113"/>
      <c r="Z252" s="111">
        <f>INDEX('M03-S06'!$B$16:$B$196,2*(ROWS($Z$215:Z252)-1)+1)</f>
        <v>38</v>
      </c>
      <c r="AA252" s="111" t="str">
        <f>INDEX('M03-S06'!$N$16:$N$198,2*(ROWS($Z$215:AA252)-1)+1)</f>
        <v/>
      </c>
      <c r="AB252" s="111">
        <f>INDEX('M03-S06'!$C$16:$C$198,2*(ROWS($Z$215:AB252)-1)+1)</f>
        <v>0</v>
      </c>
      <c r="AC252" s="96"/>
      <c r="AD252">
        <f>INDEX('M03-S06'!$X$16:$X$198,2*(ROWS($AD$215:AD252)-1)+1)</f>
        <v>0</v>
      </c>
      <c r="AE252" s="459"/>
      <c r="AF252" s="459"/>
      <c r="AG252" s="112"/>
      <c r="AH252" s="112"/>
      <c r="AI252" s="112"/>
      <c r="AJ252" s="112"/>
      <c r="AK252" s="113"/>
      <c r="AL252" s="113"/>
      <c r="AM252" s="113"/>
      <c r="AN252" s="113"/>
      <c r="AO252" s="52" t="str">
        <f>IFERROR(INDEX(PMGHVAC[Program Design],MATCH(AB252,PMGHVAC[Eff Desc 1])),"")</f>
        <v/>
      </c>
      <c r="AU252"/>
    </row>
    <row r="253" spans="1:47">
      <c r="A253" s="57">
        <f t="shared" si="17"/>
        <v>0</v>
      </c>
      <c r="B253" s="183" t="str">
        <f t="shared" si="24"/>
        <v/>
      </c>
      <c r="C253" t="str">
        <f>IFERROR(IF(R253&gt;0,INDEX(PMGHVAC[Measure '#],MATCH(AB253,PMGHVAC[Eff Desc 1],0)),""),"")</f>
        <v/>
      </c>
      <c r="D253" t="s">
        <v>947</v>
      </c>
      <c r="F253" s="112"/>
      <c r="G253" s="186">
        <f>INDEX('M03-S06'!$AB$16:$AB$196,2*(ROWS($G$215:G253)-1)+1)</f>
        <v>0</v>
      </c>
      <c r="H253" s="186" t="str">
        <f>IF(ISNUMBER(INDEX('M03-S06'!$AN$16:$AN$198,2*(ROWS($R$215:R253)-1)+1)),"Total","")</f>
        <v/>
      </c>
      <c r="I253" s="184">
        <f>IFERROR(ROUND(INDEX('M03-S06'!$AE$16:$AE$198,2*(ROWS($I$215:I253)-1)+1),2),0)</f>
        <v>0</v>
      </c>
      <c r="J253" s="184">
        <f>IFERROR(ROUND(INDEX('M03-S06'!$AG$16:$AG$198,2*(ROWS($J$215:J253)-1)+1),2),0)</f>
        <v>0</v>
      </c>
      <c r="K253" s="52">
        <f>IFERROR(ROUND(INDEX('M03-S06'!$AU$16:$AU$198,2*(ROWS($K$215:K253)-1)+1),2),0)</f>
        <v>0</v>
      </c>
      <c r="M253" s="456">
        <f>INDEX('M03-S06'!$V$16:$V$198,2*(ROWS($M$215:M253)-1)+1)</f>
        <v>0</v>
      </c>
      <c r="N253" s="113"/>
      <c r="O253" s="459"/>
      <c r="P253" s="184" t="str">
        <f>IFERROR(IF(ISNUMBER(INDEX('M03-S06'!$AN$16:$AN$198,2*(ROWS($R$215:R253)-1)+1)),INDEX('M03-S06'!$AK$16:$AK$198,2*(ROWS($P$215:P253)-1)+1),""),"")</f>
        <v/>
      </c>
      <c r="Q253" s="184"/>
      <c r="R253" s="184">
        <f>IF(ISNUMBER(INDEX('M03-S06'!$AN$16:$AN$198,2*(ROWS($R$215:R253)-1)+1)),INDEX('M03-S06'!$AN$16:$AN$198,2*(ROWS($R$215:R253)-1)+1),0)</f>
        <v>0</v>
      </c>
      <c r="S253" s="459"/>
      <c r="T253" s="113"/>
      <c r="U253" s="140"/>
      <c r="V253" s="113"/>
      <c r="W253" s="96">
        <f>IFERROR(IF(NOT(ISNUMBER(INDEX('M03-S06'!$AN$16:$AN$198,2*(ROWS($R$215:R253)-1)+1))),INDEX('M03-S06'!$BC$16:$BC$198,2*(ROWS($R$215:R253)-1)+1),""),"")</f>
        <v>0</v>
      </c>
      <c r="X253" s="113"/>
      <c r="Y253" s="113"/>
      <c r="Z253" s="111">
        <f>INDEX('M03-S06'!$B$16:$B$196,2*(ROWS($Z$215:Z253)-1)+1)</f>
        <v>39</v>
      </c>
      <c r="AA253" s="111" t="str">
        <f>INDEX('M03-S06'!$N$16:$N$198,2*(ROWS($Z$215:AA253)-1)+1)</f>
        <v/>
      </c>
      <c r="AB253" s="111">
        <f>INDEX('M03-S06'!$C$16:$C$198,2*(ROWS($Z$215:AB253)-1)+1)</f>
        <v>0</v>
      </c>
      <c r="AC253" s="96"/>
      <c r="AD253">
        <f>INDEX('M03-S06'!$X$16:$X$198,2*(ROWS($AD$215:AD253)-1)+1)</f>
        <v>0</v>
      </c>
      <c r="AE253" s="459"/>
      <c r="AF253" s="459"/>
      <c r="AG253" s="112"/>
      <c r="AH253" s="112"/>
      <c r="AI253" s="112"/>
      <c r="AJ253" s="112"/>
      <c r="AK253" s="113"/>
      <c r="AL253" s="113"/>
      <c r="AM253" s="113"/>
      <c r="AN253" s="113"/>
      <c r="AO253" s="52" t="str">
        <f>IFERROR(INDEX(PMGHVAC[Program Design],MATCH(AB253,PMGHVAC[Eff Desc 1])),"")</f>
        <v/>
      </c>
      <c r="AU253"/>
    </row>
    <row r="254" spans="1:47">
      <c r="A254" s="57">
        <f t="shared" si="17"/>
        <v>0</v>
      </c>
      <c r="B254" s="183" t="str">
        <f t="shared" si="24"/>
        <v/>
      </c>
      <c r="C254" t="str">
        <f>IFERROR(IF(R254&gt;0,INDEX(PMGHVAC[Measure '#],MATCH(AB254,PMGHVAC[Eff Desc 1],0)),""),"")</f>
        <v/>
      </c>
      <c r="D254" t="s">
        <v>947</v>
      </c>
      <c r="F254" s="112"/>
      <c r="G254" s="186">
        <f>INDEX('M03-S06'!$AB$16:$AB$196,2*(ROWS($G$215:G254)-1)+1)</f>
        <v>0</v>
      </c>
      <c r="H254" s="186" t="str">
        <f>IF(ISNUMBER(INDEX('M03-S06'!$AN$16:$AN$198,2*(ROWS($R$215:R254)-1)+1)),"Total","")</f>
        <v/>
      </c>
      <c r="I254" s="184">
        <f>IFERROR(ROUND(INDEX('M03-S06'!$AE$16:$AE$198,2*(ROWS($I$215:I254)-1)+1),2),0)</f>
        <v>0</v>
      </c>
      <c r="J254" s="184">
        <f>IFERROR(ROUND(INDEX('M03-S06'!$AG$16:$AG$198,2*(ROWS($J$215:J254)-1)+1),2),0)</f>
        <v>0</v>
      </c>
      <c r="K254" s="52">
        <f>IFERROR(ROUND(INDEX('M03-S06'!$AU$16:$AU$198,2*(ROWS($K$215:K254)-1)+1),2),0)</f>
        <v>0</v>
      </c>
      <c r="M254" s="456">
        <f>INDEX('M03-S06'!$V$16:$V$198,2*(ROWS($M$215:M254)-1)+1)</f>
        <v>0</v>
      </c>
      <c r="N254" s="113"/>
      <c r="O254" s="459"/>
      <c r="P254" s="184" t="str">
        <f>IFERROR(IF(ISNUMBER(INDEX('M03-S06'!$AN$16:$AN$198,2*(ROWS($R$215:R254)-1)+1)),INDEX('M03-S06'!$AK$16:$AK$198,2*(ROWS($P$215:P254)-1)+1),""),"")</f>
        <v/>
      </c>
      <c r="Q254" s="184"/>
      <c r="R254" s="184">
        <f>IF(ISNUMBER(INDEX('M03-S06'!$AN$16:$AN$198,2*(ROWS($R$215:R254)-1)+1)),INDEX('M03-S06'!$AN$16:$AN$198,2*(ROWS($R$215:R254)-1)+1),0)</f>
        <v>0</v>
      </c>
      <c r="S254" s="459"/>
      <c r="T254" s="113"/>
      <c r="U254" s="140"/>
      <c r="V254" s="113"/>
      <c r="W254" s="96">
        <f>IFERROR(IF(NOT(ISNUMBER(INDEX('M03-S06'!$AN$16:$AN$198,2*(ROWS($R$215:R254)-1)+1))),INDEX('M03-S06'!$BC$16:$BC$198,2*(ROWS($R$215:R254)-1)+1),""),"")</f>
        <v>0</v>
      </c>
      <c r="X254" s="113"/>
      <c r="Y254" s="113"/>
      <c r="Z254" s="111">
        <f>INDEX('M03-S06'!$B$16:$B$196,2*(ROWS($Z$215:Z254)-1)+1)</f>
        <v>40</v>
      </c>
      <c r="AA254" s="111" t="str">
        <f>INDEX('M03-S06'!$N$16:$N$198,2*(ROWS($Z$215:AA254)-1)+1)</f>
        <v/>
      </c>
      <c r="AB254" s="111">
        <f>INDEX('M03-S06'!$C$16:$C$198,2*(ROWS($Z$215:AB254)-1)+1)</f>
        <v>0</v>
      </c>
      <c r="AC254" s="96"/>
      <c r="AD254">
        <f>INDEX('M03-S06'!$X$16:$X$198,2*(ROWS($AD$215:AD254)-1)+1)</f>
        <v>0</v>
      </c>
      <c r="AE254" s="459"/>
      <c r="AF254" s="459"/>
      <c r="AG254" s="112"/>
      <c r="AH254" s="112"/>
      <c r="AI254" s="112"/>
      <c r="AJ254" s="112"/>
      <c r="AK254" s="113"/>
      <c r="AL254" s="113"/>
      <c r="AM254" s="113"/>
      <c r="AN254" s="113"/>
      <c r="AO254" s="52" t="str">
        <f>IFERROR(INDEX(PMGHVAC[Program Design],MATCH(AB254,PMGHVAC[Eff Desc 1])),"")</f>
        <v/>
      </c>
      <c r="AU254"/>
    </row>
    <row r="255" spans="1:47">
      <c r="A255" s="57">
        <f t="shared" si="17"/>
        <v>0</v>
      </c>
      <c r="B255" s="183" t="str">
        <f t="shared" si="24"/>
        <v/>
      </c>
      <c r="C255" t="str">
        <f>IFERROR(IF(R255&gt;0,INDEX(PMGHVAC[Measure '#],MATCH(AB255,PMGHVAC[Eff Desc 1],0)),""),"")</f>
        <v/>
      </c>
      <c r="D255" t="s">
        <v>947</v>
      </c>
      <c r="F255" s="112"/>
      <c r="G255" s="186">
        <f>INDEX('M03-S06'!$AB$16:$AB$196,2*(ROWS($G$215:G255)-1)+1)</f>
        <v>0</v>
      </c>
      <c r="H255" s="186" t="str">
        <f>IF(ISNUMBER(INDEX('M03-S06'!$AN$16:$AN$198,2*(ROWS($R$215:R255)-1)+1)),"Total","")</f>
        <v/>
      </c>
      <c r="I255" s="184">
        <f>IFERROR(ROUND(INDEX('M03-S06'!$AE$16:$AE$198,2*(ROWS($I$215:I255)-1)+1),2),0)</f>
        <v>0</v>
      </c>
      <c r="J255" s="184">
        <f>IFERROR(ROUND(INDEX('M03-S06'!$AG$16:$AG$198,2*(ROWS($J$215:J255)-1)+1),2),0)</f>
        <v>0</v>
      </c>
      <c r="K255" s="52">
        <f>IFERROR(ROUND(INDEX('M03-S06'!$AU$16:$AU$198,2*(ROWS($K$215:K255)-1)+1),2),0)</f>
        <v>0</v>
      </c>
      <c r="M255" s="456">
        <f>INDEX('M03-S06'!$V$16:$V$198,2*(ROWS($M$215:M255)-1)+1)</f>
        <v>0</v>
      </c>
      <c r="N255" s="113"/>
      <c r="O255" s="459"/>
      <c r="P255" s="184" t="str">
        <f>IFERROR(IF(ISNUMBER(INDEX('M03-S06'!$AN$16:$AN$198,2*(ROWS($R$215:R255)-1)+1)),INDEX('M03-S06'!$AK$16:$AK$198,2*(ROWS($P$215:P255)-1)+1),""),"")</f>
        <v/>
      </c>
      <c r="Q255" s="184"/>
      <c r="R255" s="184">
        <f>IF(ISNUMBER(INDEX('M03-S06'!$AN$16:$AN$198,2*(ROWS($R$215:R255)-1)+1)),INDEX('M03-S06'!$AN$16:$AN$198,2*(ROWS($R$215:R255)-1)+1),0)</f>
        <v>0</v>
      </c>
      <c r="S255" s="459"/>
      <c r="T255" s="113"/>
      <c r="U255" s="140"/>
      <c r="V255" s="113"/>
      <c r="W255" s="96">
        <f>IFERROR(IF(NOT(ISNUMBER(INDEX('M03-S06'!$AN$16:$AN$198,2*(ROWS($R$215:R255)-1)+1))),INDEX('M03-S06'!$BC$16:$BC$198,2*(ROWS($R$215:R255)-1)+1),""),"")</f>
        <v>0</v>
      </c>
      <c r="X255" s="113"/>
      <c r="Y255" s="113"/>
      <c r="Z255" s="111">
        <f>INDEX('M03-S06'!$B$16:$B$196,2*(ROWS($Z$215:Z255)-1)+1)</f>
        <v>41</v>
      </c>
      <c r="AA255" s="111" t="str">
        <f>INDEX('M03-S06'!$N$16:$N$198,2*(ROWS($Z$215:AA255)-1)+1)</f>
        <v/>
      </c>
      <c r="AB255" s="111">
        <f>INDEX('M03-S06'!$C$16:$C$198,2*(ROWS($Z$215:AB255)-1)+1)</f>
        <v>0</v>
      </c>
      <c r="AC255" s="96"/>
      <c r="AD255">
        <f>INDEX('M03-S06'!$X$16:$X$198,2*(ROWS($AD$215:AD255)-1)+1)</f>
        <v>0</v>
      </c>
      <c r="AE255" s="459"/>
      <c r="AF255" s="459"/>
      <c r="AG255" s="112"/>
      <c r="AH255" s="112"/>
      <c r="AI255" s="112"/>
      <c r="AJ255" s="112"/>
      <c r="AK255" s="113"/>
      <c r="AL255" s="113"/>
      <c r="AM255" s="113"/>
      <c r="AN255" s="113"/>
      <c r="AO255" s="52" t="str">
        <f>IFERROR(INDEX(PMGHVAC[Program Design],MATCH(AB255,PMGHVAC[Eff Desc 1])),"")</f>
        <v/>
      </c>
      <c r="AU255"/>
    </row>
    <row r="256" spans="1:47">
      <c r="A256" s="57">
        <f t="shared" si="17"/>
        <v>0</v>
      </c>
      <c r="B256" s="183" t="str">
        <f t="shared" si="24"/>
        <v/>
      </c>
      <c r="C256" t="str">
        <f>IFERROR(IF(R256&gt;0,INDEX(PMGHVAC[Measure '#],MATCH(AB256,PMGHVAC[Eff Desc 1],0)),""),"")</f>
        <v/>
      </c>
      <c r="D256" t="s">
        <v>947</v>
      </c>
      <c r="F256" s="112"/>
      <c r="G256" s="186">
        <f>INDEX('M03-S06'!$AB$16:$AB$196,2*(ROWS($G$215:G256)-1)+1)</f>
        <v>0</v>
      </c>
      <c r="H256" s="186" t="str">
        <f>IF(ISNUMBER(INDEX('M03-S06'!$AN$16:$AN$198,2*(ROWS($R$215:R256)-1)+1)),"Total","")</f>
        <v/>
      </c>
      <c r="I256" s="184">
        <f>IFERROR(ROUND(INDEX('M03-S06'!$AE$16:$AE$198,2*(ROWS($I$215:I256)-1)+1),2),0)</f>
        <v>0</v>
      </c>
      <c r="J256" s="184">
        <f>IFERROR(ROUND(INDEX('M03-S06'!$AG$16:$AG$198,2*(ROWS($J$215:J256)-1)+1),2),0)</f>
        <v>0</v>
      </c>
      <c r="K256" s="52">
        <f>IFERROR(ROUND(INDEX('M03-S06'!$AU$16:$AU$198,2*(ROWS($K$215:K256)-1)+1),2),0)</f>
        <v>0</v>
      </c>
      <c r="M256" s="456">
        <f>INDEX('M03-S06'!$V$16:$V$198,2*(ROWS($M$215:M256)-1)+1)</f>
        <v>0</v>
      </c>
      <c r="N256" s="113"/>
      <c r="O256" s="459"/>
      <c r="P256" s="184" t="str">
        <f>IFERROR(IF(ISNUMBER(INDEX('M03-S06'!$AN$16:$AN$198,2*(ROWS($R$215:R256)-1)+1)),INDEX('M03-S06'!$AK$16:$AK$198,2*(ROWS($P$215:P256)-1)+1),""),"")</f>
        <v/>
      </c>
      <c r="Q256" s="184"/>
      <c r="R256" s="184">
        <f>IF(ISNUMBER(INDEX('M03-S06'!$AN$16:$AN$198,2*(ROWS($R$215:R256)-1)+1)),INDEX('M03-S06'!$AN$16:$AN$198,2*(ROWS($R$215:R256)-1)+1),0)</f>
        <v>0</v>
      </c>
      <c r="S256" s="459"/>
      <c r="T256" s="113"/>
      <c r="U256" s="140"/>
      <c r="V256" s="113"/>
      <c r="W256" s="96">
        <f>IFERROR(IF(NOT(ISNUMBER(INDEX('M03-S06'!$AN$16:$AN$198,2*(ROWS($R$215:R256)-1)+1))),INDEX('M03-S06'!$BC$16:$BC$198,2*(ROWS($R$215:R256)-1)+1),""),"")</f>
        <v>0</v>
      </c>
      <c r="X256" s="113"/>
      <c r="Y256" s="113"/>
      <c r="Z256" s="111">
        <f>INDEX('M03-S06'!$B$16:$B$196,2*(ROWS($Z$215:Z256)-1)+1)</f>
        <v>42</v>
      </c>
      <c r="AA256" s="111" t="str">
        <f>INDEX('M03-S06'!$N$16:$N$198,2*(ROWS($Z$215:AA256)-1)+1)</f>
        <v/>
      </c>
      <c r="AB256" s="111">
        <f>INDEX('M03-S06'!$C$16:$C$198,2*(ROWS($Z$215:AB256)-1)+1)</f>
        <v>0</v>
      </c>
      <c r="AC256" s="96"/>
      <c r="AD256">
        <f>INDEX('M03-S06'!$X$16:$X$198,2*(ROWS($AD$215:AD256)-1)+1)</f>
        <v>0</v>
      </c>
      <c r="AE256" s="459"/>
      <c r="AF256" s="459"/>
      <c r="AG256" s="112"/>
      <c r="AH256" s="112"/>
      <c r="AI256" s="112"/>
      <c r="AJ256" s="112"/>
      <c r="AK256" s="113"/>
      <c r="AL256" s="113"/>
      <c r="AM256" s="113"/>
      <c r="AN256" s="113"/>
      <c r="AO256" s="52" t="str">
        <f>IFERROR(INDEX(PMGHVAC[Program Design],MATCH(AB256,PMGHVAC[Eff Desc 1])),"")</f>
        <v/>
      </c>
      <c r="AU256"/>
    </row>
    <row r="257" spans="1:47">
      <c r="A257" s="57">
        <f t="shared" si="17"/>
        <v>0</v>
      </c>
      <c r="B257" s="183" t="str">
        <f t="shared" si="24"/>
        <v/>
      </c>
      <c r="C257" t="str">
        <f>IFERROR(IF(R257&gt;0,INDEX(PMGHVAC[Measure '#],MATCH(AB257,PMGHVAC[Eff Desc 1],0)),""),"")</f>
        <v/>
      </c>
      <c r="D257" t="s">
        <v>947</v>
      </c>
      <c r="F257" s="112"/>
      <c r="G257" s="186">
        <f>INDEX('M03-S06'!$AB$16:$AB$196,2*(ROWS($G$215:G257)-1)+1)</f>
        <v>0</v>
      </c>
      <c r="H257" s="186" t="str">
        <f>IF(ISNUMBER(INDEX('M03-S06'!$AN$16:$AN$198,2*(ROWS($R$215:R257)-1)+1)),"Total","")</f>
        <v/>
      </c>
      <c r="I257" s="184">
        <f>IFERROR(ROUND(INDEX('M03-S06'!$AE$16:$AE$198,2*(ROWS($I$215:I257)-1)+1),2),0)</f>
        <v>0</v>
      </c>
      <c r="J257" s="184">
        <f>IFERROR(ROUND(INDEX('M03-S06'!$AG$16:$AG$198,2*(ROWS($J$215:J257)-1)+1),2),0)</f>
        <v>0</v>
      </c>
      <c r="K257" s="52">
        <f>IFERROR(ROUND(INDEX('M03-S06'!$AU$16:$AU$198,2*(ROWS($K$215:K257)-1)+1),2),0)</f>
        <v>0</v>
      </c>
      <c r="M257" s="456">
        <f>INDEX('M03-S06'!$V$16:$V$198,2*(ROWS($M$215:M257)-1)+1)</f>
        <v>0</v>
      </c>
      <c r="N257" s="113"/>
      <c r="O257" s="459"/>
      <c r="P257" s="184" t="str">
        <f>IFERROR(IF(ISNUMBER(INDEX('M03-S06'!$AN$16:$AN$198,2*(ROWS($R$215:R257)-1)+1)),INDEX('M03-S06'!$AK$16:$AK$198,2*(ROWS($P$215:P257)-1)+1),""),"")</f>
        <v/>
      </c>
      <c r="Q257" s="184"/>
      <c r="R257" s="184">
        <f>IF(ISNUMBER(INDEX('M03-S06'!$AN$16:$AN$198,2*(ROWS($R$215:R257)-1)+1)),INDEX('M03-S06'!$AN$16:$AN$198,2*(ROWS($R$215:R257)-1)+1),0)</f>
        <v>0</v>
      </c>
      <c r="S257" s="459"/>
      <c r="T257" s="113"/>
      <c r="U257" s="140"/>
      <c r="V257" s="113"/>
      <c r="W257" s="96">
        <f>IFERROR(IF(NOT(ISNUMBER(INDEX('M03-S06'!$AN$16:$AN$198,2*(ROWS($R$215:R257)-1)+1))),INDEX('M03-S06'!$BC$16:$BC$198,2*(ROWS($R$215:R257)-1)+1),""),"")</f>
        <v>0</v>
      </c>
      <c r="X257" s="113"/>
      <c r="Y257" s="113"/>
      <c r="Z257" s="111">
        <f>INDEX('M03-S06'!$B$16:$B$196,2*(ROWS($Z$215:Z257)-1)+1)</f>
        <v>43</v>
      </c>
      <c r="AA257" s="111" t="str">
        <f>INDEX('M03-S06'!$N$16:$N$198,2*(ROWS($Z$215:AA257)-1)+1)</f>
        <v/>
      </c>
      <c r="AB257" s="111">
        <f>INDEX('M03-S06'!$C$16:$C$198,2*(ROWS($Z$215:AB257)-1)+1)</f>
        <v>0</v>
      </c>
      <c r="AC257" s="96"/>
      <c r="AD257">
        <f>INDEX('M03-S06'!$X$16:$X$198,2*(ROWS($AD$215:AD257)-1)+1)</f>
        <v>0</v>
      </c>
      <c r="AE257" s="459"/>
      <c r="AF257" s="459"/>
      <c r="AG257" s="112"/>
      <c r="AH257" s="112"/>
      <c r="AI257" s="112"/>
      <c r="AJ257" s="112"/>
      <c r="AK257" s="113"/>
      <c r="AL257" s="113"/>
      <c r="AM257" s="113"/>
      <c r="AN257" s="113"/>
      <c r="AO257" s="52" t="str">
        <f>IFERROR(INDEX(PMGHVAC[Program Design],MATCH(AB257,PMGHVAC[Eff Desc 1])),"")</f>
        <v/>
      </c>
      <c r="AU257"/>
    </row>
    <row r="258" spans="1:47">
      <c r="A258" s="57">
        <f t="shared" si="17"/>
        <v>0</v>
      </c>
      <c r="B258" s="183" t="str">
        <f t="shared" si="24"/>
        <v/>
      </c>
      <c r="C258" t="str">
        <f>IFERROR(IF(R258&gt;0,INDEX(PMGHVAC[Measure '#],MATCH(AB258,PMGHVAC[Eff Desc 1],0)),""),"")</f>
        <v/>
      </c>
      <c r="D258" t="s">
        <v>947</v>
      </c>
      <c r="F258" s="112"/>
      <c r="G258" s="186">
        <f>INDEX('M03-S06'!$AB$16:$AB$196,2*(ROWS($G$215:G258)-1)+1)</f>
        <v>0</v>
      </c>
      <c r="H258" s="186" t="str">
        <f>IF(ISNUMBER(INDEX('M03-S06'!$AN$16:$AN$198,2*(ROWS($R$215:R258)-1)+1)),"Total","")</f>
        <v/>
      </c>
      <c r="I258" s="184">
        <f>IFERROR(ROUND(INDEX('M03-S06'!$AE$16:$AE$198,2*(ROWS($I$215:I258)-1)+1),2),0)</f>
        <v>0</v>
      </c>
      <c r="J258" s="184">
        <f>IFERROR(ROUND(INDEX('M03-S06'!$AG$16:$AG$198,2*(ROWS($J$215:J258)-1)+1),2),0)</f>
        <v>0</v>
      </c>
      <c r="K258" s="52">
        <f>IFERROR(ROUND(INDEX('M03-S06'!$AU$16:$AU$198,2*(ROWS($K$215:K258)-1)+1),2),0)</f>
        <v>0</v>
      </c>
      <c r="M258" s="456">
        <f>INDEX('M03-S06'!$V$16:$V$198,2*(ROWS($M$215:M258)-1)+1)</f>
        <v>0</v>
      </c>
      <c r="N258" s="113"/>
      <c r="O258" s="459"/>
      <c r="P258" s="184" t="str">
        <f>IFERROR(IF(ISNUMBER(INDEX('M03-S06'!$AN$16:$AN$198,2*(ROWS($R$215:R258)-1)+1)),INDEX('M03-S06'!$AK$16:$AK$198,2*(ROWS($P$215:P258)-1)+1),""),"")</f>
        <v/>
      </c>
      <c r="Q258" s="184"/>
      <c r="R258" s="184">
        <f>IF(ISNUMBER(INDEX('M03-S06'!$AN$16:$AN$198,2*(ROWS($R$215:R258)-1)+1)),INDEX('M03-S06'!$AN$16:$AN$198,2*(ROWS($R$215:R258)-1)+1),0)</f>
        <v>0</v>
      </c>
      <c r="S258" s="459"/>
      <c r="T258" s="113"/>
      <c r="U258" s="140"/>
      <c r="V258" s="113"/>
      <c r="W258" s="96">
        <f>IFERROR(IF(NOT(ISNUMBER(INDEX('M03-S06'!$AN$16:$AN$198,2*(ROWS($R$215:R258)-1)+1))),INDEX('M03-S06'!$BC$16:$BC$198,2*(ROWS($R$215:R258)-1)+1),""),"")</f>
        <v>0</v>
      </c>
      <c r="X258" s="113"/>
      <c r="Y258" s="113"/>
      <c r="Z258" s="111">
        <f>INDEX('M03-S06'!$B$16:$B$196,2*(ROWS($Z$215:Z258)-1)+1)</f>
        <v>44</v>
      </c>
      <c r="AA258" s="111" t="str">
        <f>INDEX('M03-S06'!$N$16:$N$198,2*(ROWS($Z$215:AA258)-1)+1)</f>
        <v/>
      </c>
      <c r="AB258" s="111">
        <f>INDEX('M03-S06'!$C$16:$C$198,2*(ROWS($Z$215:AB258)-1)+1)</f>
        <v>0</v>
      </c>
      <c r="AC258" s="96"/>
      <c r="AD258">
        <f>INDEX('M03-S06'!$X$16:$X$198,2*(ROWS($AD$215:AD258)-1)+1)</f>
        <v>0</v>
      </c>
      <c r="AE258" s="459"/>
      <c r="AF258" s="459"/>
      <c r="AG258" s="112"/>
      <c r="AH258" s="112"/>
      <c r="AI258" s="112"/>
      <c r="AJ258" s="112"/>
      <c r="AK258" s="113"/>
      <c r="AL258" s="113"/>
      <c r="AM258" s="113"/>
      <c r="AN258" s="113"/>
      <c r="AO258" s="52" t="str">
        <f>IFERROR(INDEX(PMGHVAC[Program Design],MATCH(AB258,PMGHVAC[Eff Desc 1])),"")</f>
        <v/>
      </c>
      <c r="AU258"/>
    </row>
    <row r="259" spans="1:47">
      <c r="A259" s="57">
        <f t="shared" si="17"/>
        <v>0</v>
      </c>
      <c r="B259" s="183" t="str">
        <f t="shared" si="24"/>
        <v/>
      </c>
      <c r="C259" t="str">
        <f>IFERROR(IF(R259&gt;0,INDEX(PMGHVAC[Measure '#],MATCH(AB259,PMGHVAC[Eff Desc 1],0)),""),"")</f>
        <v/>
      </c>
      <c r="D259" t="s">
        <v>947</v>
      </c>
      <c r="F259" s="112"/>
      <c r="G259" s="186">
        <f>INDEX('M03-S06'!$AB$16:$AB$196,2*(ROWS($G$215:G259)-1)+1)</f>
        <v>0</v>
      </c>
      <c r="H259" s="186" t="str">
        <f>IF(ISNUMBER(INDEX('M03-S06'!$AN$16:$AN$198,2*(ROWS($R$215:R259)-1)+1)),"Total","")</f>
        <v/>
      </c>
      <c r="I259" s="184">
        <f>IFERROR(ROUND(INDEX('M03-S06'!$AE$16:$AE$198,2*(ROWS($I$215:I259)-1)+1),2),0)</f>
        <v>0</v>
      </c>
      <c r="J259" s="184">
        <f>IFERROR(ROUND(INDEX('M03-S06'!$AG$16:$AG$198,2*(ROWS($J$215:J259)-1)+1),2),0)</f>
        <v>0</v>
      </c>
      <c r="K259" s="52">
        <f>IFERROR(ROUND(INDEX('M03-S06'!$AU$16:$AU$198,2*(ROWS($K$215:K259)-1)+1),2),0)</f>
        <v>0</v>
      </c>
      <c r="M259" s="456">
        <f>INDEX('M03-S06'!$V$16:$V$198,2*(ROWS($M$215:M259)-1)+1)</f>
        <v>0</v>
      </c>
      <c r="N259" s="113"/>
      <c r="O259" s="459"/>
      <c r="P259" s="184" t="str">
        <f>IFERROR(IF(ISNUMBER(INDEX('M03-S06'!$AN$16:$AN$198,2*(ROWS($R$215:R259)-1)+1)),INDEX('M03-S06'!$AK$16:$AK$198,2*(ROWS($P$215:P259)-1)+1),""),"")</f>
        <v/>
      </c>
      <c r="Q259" s="184"/>
      <c r="R259" s="184">
        <f>IF(ISNUMBER(INDEX('M03-S06'!$AN$16:$AN$198,2*(ROWS($R$215:R259)-1)+1)),INDEX('M03-S06'!$AN$16:$AN$198,2*(ROWS($R$215:R259)-1)+1),0)</f>
        <v>0</v>
      </c>
      <c r="S259" s="459"/>
      <c r="T259" s="113"/>
      <c r="U259" s="140"/>
      <c r="V259" s="113"/>
      <c r="W259" s="96">
        <f>IFERROR(IF(NOT(ISNUMBER(INDEX('M03-S06'!$AN$16:$AN$198,2*(ROWS($R$215:R259)-1)+1))),INDEX('M03-S06'!$BC$16:$BC$198,2*(ROWS($R$215:R259)-1)+1),""),"")</f>
        <v>0</v>
      </c>
      <c r="X259" s="113"/>
      <c r="Y259" s="113"/>
      <c r="Z259" s="111">
        <f>INDEX('M03-S06'!$B$16:$B$196,2*(ROWS($Z$215:Z259)-1)+1)</f>
        <v>45</v>
      </c>
      <c r="AA259" s="111" t="str">
        <f>INDEX('M03-S06'!$N$16:$N$198,2*(ROWS($Z$215:AA259)-1)+1)</f>
        <v/>
      </c>
      <c r="AB259" s="111">
        <f>INDEX('M03-S06'!$C$16:$C$198,2*(ROWS($Z$215:AB259)-1)+1)</f>
        <v>0</v>
      </c>
      <c r="AC259" s="96"/>
      <c r="AD259">
        <f>INDEX('M03-S06'!$X$16:$X$198,2*(ROWS($AD$215:AD259)-1)+1)</f>
        <v>0</v>
      </c>
      <c r="AE259" s="459"/>
      <c r="AF259" s="459"/>
      <c r="AG259" s="112"/>
      <c r="AH259" s="112"/>
      <c r="AI259" s="112"/>
      <c r="AJ259" s="112"/>
      <c r="AK259" s="113"/>
      <c r="AL259" s="113"/>
      <c r="AM259" s="113"/>
      <c r="AN259" s="113"/>
      <c r="AO259" s="52" t="str">
        <f>IFERROR(INDEX(PMGHVAC[Program Design],MATCH(AB259,PMGHVAC[Eff Desc 1])),"")</f>
        <v/>
      </c>
      <c r="AU259"/>
    </row>
    <row r="260" spans="1:47">
      <c r="A260" s="57">
        <f t="shared" si="17"/>
        <v>0</v>
      </c>
      <c r="B260" s="183" t="str">
        <f t="shared" si="24"/>
        <v/>
      </c>
      <c r="C260" t="str">
        <f>IFERROR(IF(R260&gt;0,INDEX(PMGHVAC[Measure '#],MATCH(AB260,PMGHVAC[Eff Desc 1],0)),""),"")</f>
        <v/>
      </c>
      <c r="D260" t="s">
        <v>947</v>
      </c>
      <c r="F260" s="112"/>
      <c r="G260" s="186">
        <f>INDEX('M03-S06'!$AB$16:$AB$196,2*(ROWS($G$215:G260)-1)+1)</f>
        <v>0</v>
      </c>
      <c r="H260" s="186" t="str">
        <f>IF(ISNUMBER(INDEX('M03-S06'!$AN$16:$AN$198,2*(ROWS($R$215:R260)-1)+1)),"Total","")</f>
        <v/>
      </c>
      <c r="I260" s="184">
        <f>IFERROR(ROUND(INDEX('M03-S06'!$AE$16:$AE$198,2*(ROWS($I$215:I260)-1)+1),2),0)</f>
        <v>0</v>
      </c>
      <c r="J260" s="184">
        <f>IFERROR(ROUND(INDEX('M03-S06'!$AG$16:$AG$198,2*(ROWS($J$215:J260)-1)+1),2),0)</f>
        <v>0</v>
      </c>
      <c r="K260" s="52">
        <f>IFERROR(ROUND(INDEX('M03-S06'!$AU$16:$AU$198,2*(ROWS($K$215:K260)-1)+1),2),0)</f>
        <v>0</v>
      </c>
      <c r="M260" s="456">
        <f>INDEX('M03-S06'!$V$16:$V$198,2*(ROWS($M$215:M260)-1)+1)</f>
        <v>0</v>
      </c>
      <c r="N260" s="113"/>
      <c r="O260" s="459"/>
      <c r="P260" s="184" t="str">
        <f>IFERROR(IF(ISNUMBER(INDEX('M03-S06'!$AN$16:$AN$198,2*(ROWS($R$215:R260)-1)+1)),INDEX('M03-S06'!$AK$16:$AK$198,2*(ROWS($P$215:P260)-1)+1),""),"")</f>
        <v/>
      </c>
      <c r="Q260" s="184"/>
      <c r="R260" s="184">
        <f>IF(ISNUMBER(INDEX('M03-S06'!$AN$16:$AN$198,2*(ROWS($R$215:R260)-1)+1)),INDEX('M03-S06'!$AN$16:$AN$198,2*(ROWS($R$215:R260)-1)+1),0)</f>
        <v>0</v>
      </c>
      <c r="S260" s="459"/>
      <c r="T260" s="113"/>
      <c r="U260" s="140"/>
      <c r="V260" s="113"/>
      <c r="W260" s="96">
        <f>IFERROR(IF(NOT(ISNUMBER(INDEX('M03-S06'!$AN$16:$AN$198,2*(ROWS($R$215:R260)-1)+1))),INDEX('M03-S06'!$BC$16:$BC$198,2*(ROWS($R$215:R260)-1)+1),""),"")</f>
        <v>0</v>
      </c>
      <c r="X260" s="113"/>
      <c r="Y260" s="113"/>
      <c r="Z260" s="111">
        <f>INDEX('M03-S06'!$B$16:$B$196,2*(ROWS($Z$215:Z260)-1)+1)</f>
        <v>46</v>
      </c>
      <c r="AA260" s="111" t="str">
        <f>INDEX('M03-S06'!$N$16:$N$198,2*(ROWS($Z$215:AA260)-1)+1)</f>
        <v/>
      </c>
      <c r="AB260" s="111">
        <f>INDEX('M03-S06'!$C$16:$C$198,2*(ROWS($Z$215:AB260)-1)+1)</f>
        <v>0</v>
      </c>
      <c r="AC260" s="96"/>
      <c r="AD260">
        <f>INDEX('M03-S06'!$X$16:$X$198,2*(ROWS($AD$215:AD260)-1)+1)</f>
        <v>0</v>
      </c>
      <c r="AE260" s="459"/>
      <c r="AF260" s="459"/>
      <c r="AG260" s="112"/>
      <c r="AH260" s="112"/>
      <c r="AI260" s="112"/>
      <c r="AJ260" s="112"/>
      <c r="AK260" s="113"/>
      <c r="AL260" s="113"/>
      <c r="AM260" s="113"/>
      <c r="AN260" s="113"/>
      <c r="AO260" s="52" t="str">
        <f>IFERROR(INDEX(PMGHVAC[Program Design],MATCH(AB260,PMGHVAC[Eff Desc 1])),"")</f>
        <v/>
      </c>
      <c r="AU260"/>
    </row>
    <row r="261" spans="1:47">
      <c r="A261" s="57">
        <f t="shared" si="17"/>
        <v>0</v>
      </c>
      <c r="B261" s="183" t="str">
        <f t="shared" si="24"/>
        <v/>
      </c>
      <c r="C261" t="str">
        <f>IFERROR(IF(R261&gt;0,INDEX(PMGHVAC[Measure '#],MATCH(AB261,PMGHVAC[Eff Desc 1],0)),""),"")</f>
        <v/>
      </c>
      <c r="D261" t="s">
        <v>947</v>
      </c>
      <c r="F261" s="112"/>
      <c r="G261" s="186">
        <f>INDEX('M03-S06'!$AB$16:$AB$196,2*(ROWS($G$215:G261)-1)+1)</f>
        <v>0</v>
      </c>
      <c r="H261" s="186" t="str">
        <f>IF(ISNUMBER(INDEX('M03-S06'!$AN$16:$AN$198,2*(ROWS($R$215:R261)-1)+1)),"Total","")</f>
        <v/>
      </c>
      <c r="I261" s="184">
        <f>IFERROR(ROUND(INDEX('M03-S06'!$AE$16:$AE$198,2*(ROWS($I$215:I261)-1)+1),2),0)</f>
        <v>0</v>
      </c>
      <c r="J261" s="184">
        <f>IFERROR(ROUND(INDEX('M03-S06'!$AG$16:$AG$198,2*(ROWS($J$215:J261)-1)+1),2),0)</f>
        <v>0</v>
      </c>
      <c r="K261" s="52">
        <f>IFERROR(ROUND(INDEX('M03-S06'!$AU$16:$AU$198,2*(ROWS($K$215:K261)-1)+1),2),0)</f>
        <v>0</v>
      </c>
      <c r="M261" s="456">
        <f>INDEX('M03-S06'!$V$16:$V$198,2*(ROWS($M$215:M261)-1)+1)</f>
        <v>0</v>
      </c>
      <c r="N261" s="113"/>
      <c r="O261" s="459"/>
      <c r="P261" s="184" t="str">
        <f>IFERROR(IF(ISNUMBER(INDEX('M03-S06'!$AN$16:$AN$198,2*(ROWS($R$215:R261)-1)+1)),INDEX('M03-S06'!$AK$16:$AK$198,2*(ROWS($P$215:P261)-1)+1),""),"")</f>
        <v/>
      </c>
      <c r="Q261" s="184"/>
      <c r="R261" s="184">
        <f>IF(ISNUMBER(INDEX('M03-S06'!$AN$16:$AN$198,2*(ROWS($R$215:R261)-1)+1)),INDEX('M03-S06'!$AN$16:$AN$198,2*(ROWS($R$215:R261)-1)+1),0)</f>
        <v>0</v>
      </c>
      <c r="S261" s="459"/>
      <c r="T261" s="113"/>
      <c r="U261" s="140"/>
      <c r="V261" s="113"/>
      <c r="W261" s="96">
        <f>IFERROR(IF(NOT(ISNUMBER(INDEX('M03-S06'!$AN$16:$AN$198,2*(ROWS($R$215:R261)-1)+1))),INDEX('M03-S06'!$BC$16:$BC$198,2*(ROWS($R$215:R261)-1)+1),""),"")</f>
        <v>0</v>
      </c>
      <c r="X261" s="113"/>
      <c r="Y261" s="113"/>
      <c r="Z261" s="111">
        <f>INDEX('M03-S06'!$B$16:$B$196,2*(ROWS($Z$215:Z261)-1)+1)</f>
        <v>47</v>
      </c>
      <c r="AA261" s="111" t="str">
        <f>INDEX('M03-S06'!$N$16:$N$198,2*(ROWS($Z$215:AA261)-1)+1)</f>
        <v/>
      </c>
      <c r="AB261" s="111">
        <f>INDEX('M03-S06'!$C$16:$C$198,2*(ROWS($Z$215:AB261)-1)+1)</f>
        <v>0</v>
      </c>
      <c r="AC261" s="96"/>
      <c r="AD261">
        <f>INDEX('M03-S06'!$X$16:$X$198,2*(ROWS($AD$215:AD261)-1)+1)</f>
        <v>0</v>
      </c>
      <c r="AE261" s="459"/>
      <c r="AF261" s="459"/>
      <c r="AG261" s="112"/>
      <c r="AH261" s="112"/>
      <c r="AI261" s="112"/>
      <c r="AJ261" s="112"/>
      <c r="AK261" s="113"/>
      <c r="AL261" s="113"/>
      <c r="AM261" s="113"/>
      <c r="AN261" s="113"/>
      <c r="AO261" s="52" t="str">
        <f>IFERROR(INDEX(PMGHVAC[Program Design],MATCH(AB261,PMGHVAC[Eff Desc 1])),"")</f>
        <v/>
      </c>
      <c r="AU261"/>
    </row>
    <row r="262" spans="1:47">
      <c r="A262" s="57">
        <f t="shared" si="17"/>
        <v>0</v>
      </c>
      <c r="B262" s="183" t="str">
        <f t="shared" si="24"/>
        <v/>
      </c>
      <c r="C262" t="str">
        <f>IFERROR(IF(R262&gt;0,INDEX(PMGHVAC[Measure '#],MATCH(AB262,PMGHVAC[Eff Desc 1],0)),""),"")</f>
        <v/>
      </c>
      <c r="D262" t="s">
        <v>947</v>
      </c>
      <c r="F262" s="112"/>
      <c r="G262" s="186">
        <f>INDEX('M03-S06'!$AB$16:$AB$196,2*(ROWS($G$215:G262)-1)+1)</f>
        <v>0</v>
      </c>
      <c r="H262" s="186" t="str">
        <f>IF(ISNUMBER(INDEX('M03-S06'!$AN$16:$AN$198,2*(ROWS($R$215:R262)-1)+1)),"Total","")</f>
        <v/>
      </c>
      <c r="I262" s="184">
        <f>IFERROR(ROUND(INDEX('M03-S06'!$AE$16:$AE$198,2*(ROWS($I$215:I262)-1)+1),2),0)</f>
        <v>0</v>
      </c>
      <c r="J262" s="184">
        <f>IFERROR(ROUND(INDEX('M03-S06'!$AG$16:$AG$198,2*(ROWS($J$215:J262)-1)+1),2),0)</f>
        <v>0</v>
      </c>
      <c r="K262" s="52">
        <f>IFERROR(ROUND(INDEX('M03-S06'!$AU$16:$AU$198,2*(ROWS($K$215:K262)-1)+1),2),0)</f>
        <v>0</v>
      </c>
      <c r="M262" s="456">
        <f>INDEX('M03-S06'!$V$16:$V$198,2*(ROWS($M$215:M262)-1)+1)</f>
        <v>0</v>
      </c>
      <c r="N262" s="113"/>
      <c r="O262" s="459"/>
      <c r="P262" s="184" t="str">
        <f>IFERROR(IF(ISNUMBER(INDEX('M03-S06'!$AN$16:$AN$198,2*(ROWS($R$215:R262)-1)+1)),INDEX('M03-S06'!$AK$16:$AK$198,2*(ROWS($P$215:P262)-1)+1),""),"")</f>
        <v/>
      </c>
      <c r="Q262" s="184"/>
      <c r="R262" s="184">
        <f>IF(ISNUMBER(INDEX('M03-S06'!$AN$16:$AN$198,2*(ROWS($R$215:R262)-1)+1)),INDEX('M03-S06'!$AN$16:$AN$198,2*(ROWS($R$215:R262)-1)+1),0)</f>
        <v>0</v>
      </c>
      <c r="S262" s="459"/>
      <c r="T262" s="113"/>
      <c r="U262" s="140"/>
      <c r="V262" s="113"/>
      <c r="W262" s="96">
        <f>IFERROR(IF(NOT(ISNUMBER(INDEX('M03-S06'!$AN$16:$AN$198,2*(ROWS($R$215:R262)-1)+1))),INDEX('M03-S06'!$BC$16:$BC$198,2*(ROWS($R$215:R262)-1)+1),""),"")</f>
        <v>0</v>
      </c>
      <c r="X262" s="113"/>
      <c r="Y262" s="113"/>
      <c r="Z262" s="111">
        <f>INDEX('M03-S06'!$B$16:$B$196,2*(ROWS($Z$215:Z262)-1)+1)</f>
        <v>48</v>
      </c>
      <c r="AA262" s="111" t="str">
        <f>INDEX('M03-S06'!$N$16:$N$198,2*(ROWS($Z$215:AA262)-1)+1)</f>
        <v/>
      </c>
      <c r="AB262" s="111">
        <f>INDEX('M03-S06'!$C$16:$C$198,2*(ROWS($Z$215:AB262)-1)+1)</f>
        <v>0</v>
      </c>
      <c r="AC262" s="96"/>
      <c r="AD262">
        <f>INDEX('M03-S06'!$X$16:$X$198,2*(ROWS($AD$215:AD262)-1)+1)</f>
        <v>0</v>
      </c>
      <c r="AE262" s="459"/>
      <c r="AF262" s="459"/>
      <c r="AG262" s="112"/>
      <c r="AH262" s="112"/>
      <c r="AI262" s="112"/>
      <c r="AJ262" s="112"/>
      <c r="AK262" s="113"/>
      <c r="AL262" s="113"/>
      <c r="AM262" s="113"/>
      <c r="AN262" s="113"/>
      <c r="AO262" s="52" t="str">
        <f>IFERROR(INDEX(PMGHVAC[Program Design],MATCH(AB262,PMGHVAC[Eff Desc 1])),"")</f>
        <v/>
      </c>
      <c r="AU262"/>
    </row>
    <row r="263" spans="1:47">
      <c r="A263" s="57">
        <f t="shared" si="17"/>
        <v>0</v>
      </c>
      <c r="B263" s="183" t="str">
        <f t="shared" si="24"/>
        <v/>
      </c>
      <c r="C263" t="str">
        <f>IFERROR(IF(R263&gt;0,INDEX(PMGHVAC[Measure '#],MATCH(AB263,PMGHVAC[Eff Desc 1],0)),""),"")</f>
        <v/>
      </c>
      <c r="D263" t="s">
        <v>947</v>
      </c>
      <c r="F263" s="112"/>
      <c r="G263" s="186">
        <f>INDEX('M03-S06'!$AB$16:$AB$196,2*(ROWS($G$215:G263)-1)+1)</f>
        <v>0</v>
      </c>
      <c r="H263" s="186" t="str">
        <f>IF(ISNUMBER(INDEX('M03-S06'!$AN$16:$AN$198,2*(ROWS($R$215:R263)-1)+1)),"Total","")</f>
        <v/>
      </c>
      <c r="I263" s="184">
        <f>IFERROR(ROUND(INDEX('M03-S06'!$AE$16:$AE$198,2*(ROWS($I$215:I263)-1)+1),2),0)</f>
        <v>0</v>
      </c>
      <c r="J263" s="184">
        <f>IFERROR(ROUND(INDEX('M03-S06'!$AG$16:$AG$198,2*(ROWS($J$215:J263)-1)+1),2),0)</f>
        <v>0</v>
      </c>
      <c r="K263" s="52">
        <f>IFERROR(ROUND(INDEX('M03-S06'!$AU$16:$AU$198,2*(ROWS($K$215:K263)-1)+1),2),0)</f>
        <v>0</v>
      </c>
      <c r="M263" s="456">
        <f>INDEX('M03-S06'!$V$16:$V$198,2*(ROWS($M$215:M263)-1)+1)</f>
        <v>0</v>
      </c>
      <c r="N263" s="113"/>
      <c r="O263" s="459"/>
      <c r="P263" s="184" t="str">
        <f>IFERROR(IF(ISNUMBER(INDEX('M03-S06'!$AN$16:$AN$198,2*(ROWS($R$215:R263)-1)+1)),INDEX('M03-S06'!$AK$16:$AK$198,2*(ROWS($P$215:P263)-1)+1),""),"")</f>
        <v/>
      </c>
      <c r="Q263" s="184"/>
      <c r="R263" s="184">
        <f>IF(ISNUMBER(INDEX('M03-S06'!$AN$16:$AN$198,2*(ROWS($R$215:R263)-1)+1)),INDEX('M03-S06'!$AN$16:$AN$198,2*(ROWS($R$215:R263)-1)+1),0)</f>
        <v>0</v>
      </c>
      <c r="S263" s="459"/>
      <c r="T263" s="113"/>
      <c r="U263" s="140"/>
      <c r="V263" s="113"/>
      <c r="W263" s="96">
        <f>IFERROR(IF(NOT(ISNUMBER(INDEX('M03-S06'!$AN$16:$AN$198,2*(ROWS($R$215:R263)-1)+1))),INDEX('M03-S06'!$BC$16:$BC$198,2*(ROWS($R$215:R263)-1)+1),""),"")</f>
        <v>0</v>
      </c>
      <c r="X263" s="113"/>
      <c r="Y263" s="113"/>
      <c r="Z263" s="111">
        <f>INDEX('M03-S06'!$B$16:$B$196,2*(ROWS($Z$215:Z263)-1)+1)</f>
        <v>49</v>
      </c>
      <c r="AA263" s="111" t="str">
        <f>INDEX('M03-S06'!$N$16:$N$198,2*(ROWS($Z$215:AA263)-1)+1)</f>
        <v/>
      </c>
      <c r="AB263" s="111">
        <f>INDEX('M03-S06'!$C$16:$C$198,2*(ROWS($Z$215:AB263)-1)+1)</f>
        <v>0</v>
      </c>
      <c r="AC263" s="96"/>
      <c r="AD263">
        <f>INDEX('M03-S06'!$X$16:$X$198,2*(ROWS($AD$215:AD263)-1)+1)</f>
        <v>0</v>
      </c>
      <c r="AE263" s="459"/>
      <c r="AF263" s="459"/>
      <c r="AG263" s="112"/>
      <c r="AH263" s="112"/>
      <c r="AI263" s="112"/>
      <c r="AJ263" s="112"/>
      <c r="AK263" s="113"/>
      <c r="AL263" s="113"/>
      <c r="AM263" s="113"/>
      <c r="AN263" s="113"/>
      <c r="AO263" s="52" t="str">
        <f>IFERROR(INDEX(PMGHVAC[Program Design],MATCH(AB263,PMGHVAC[Eff Desc 1])),"")</f>
        <v/>
      </c>
      <c r="AU263"/>
    </row>
    <row r="264" spans="1:47">
      <c r="A264" s="57">
        <f t="shared" si="17"/>
        <v>0</v>
      </c>
      <c r="B264" s="183" t="str">
        <f t="shared" ref="B264" si="26">IF(C264="","",CONCATENATE(ROW(),"-",C264))</f>
        <v/>
      </c>
      <c r="C264" t="str">
        <f>IFERROR(IF(R264&gt;0,INDEX(PMGHVAC[Measure '#],MATCH(AB264,PMGHVAC[Eff Desc 1],0)),""),"")</f>
        <v/>
      </c>
      <c r="D264" t="s">
        <v>947</v>
      </c>
      <c r="F264" s="112"/>
      <c r="G264" s="186">
        <f>INDEX('M03-S06'!$AB$16:$AB$196,2*(ROWS($G$215:G264)-1)+1)</f>
        <v>0</v>
      </c>
      <c r="H264" s="186" t="str">
        <f>IF(ISNUMBER(INDEX('M03-S06'!$AN$16:$AN$198,2*(ROWS($R$215:R264)-1)+1)),"Total","")</f>
        <v/>
      </c>
      <c r="I264" s="184">
        <f>IFERROR(ROUND(INDEX('M03-S06'!$AE$16:$AE$198,2*(ROWS($I$215:I264)-1)+1),2),0)</f>
        <v>0</v>
      </c>
      <c r="J264" s="184">
        <f>IFERROR(ROUND(INDEX('M03-S06'!$AG$16:$AG$198,2*(ROWS($J$215:J264)-1)+1),2),0)</f>
        <v>0</v>
      </c>
      <c r="K264" s="52">
        <f>IFERROR(ROUND(INDEX('M03-S06'!$AU$16:$AU$198,2*(ROWS($K$215:K264)-1)+1),2),0)</f>
        <v>0</v>
      </c>
      <c r="M264" s="456">
        <f>INDEX('M03-S06'!$V$16:$V$198,2*(ROWS($M$215:M264)-1)+1)</f>
        <v>0</v>
      </c>
      <c r="N264" s="113"/>
      <c r="O264" s="459"/>
      <c r="P264" s="184" t="str">
        <f>IFERROR(IF(ISNUMBER(INDEX('M03-S06'!$AN$16:$AN$198,2*(ROWS($R$215:R264)-1)+1)),INDEX('M03-S06'!$AK$16:$AK$198,2*(ROWS($P$215:P264)-1)+1),""),"")</f>
        <v/>
      </c>
      <c r="Q264" s="184"/>
      <c r="R264" s="184">
        <f>IF(ISNUMBER(INDEX('M03-S06'!$AN$16:$AN$198,2*(ROWS($R$215:R264)-1)+1)),INDEX('M03-S06'!$AN$16:$AN$198,2*(ROWS($R$215:R264)-1)+1),0)</f>
        <v>0</v>
      </c>
      <c r="S264" s="459"/>
      <c r="T264" s="113"/>
      <c r="U264" s="140"/>
      <c r="V264" s="113"/>
      <c r="W264" s="96">
        <f>IFERROR(IF(NOT(ISNUMBER(INDEX('M03-S06'!$AN$16:$AN$198,2*(ROWS($R$215:R264)-1)+1))),INDEX('M03-S06'!$BC$16:$BC$198,2*(ROWS($R$215:R264)-1)+1),""),"")</f>
        <v>0</v>
      </c>
      <c r="X264" s="113"/>
      <c r="Y264" s="113"/>
      <c r="Z264" s="111">
        <f>INDEX('M03-S06'!$B$16:$B$196,2*(ROWS($Z$215:Z264)-1)+1)</f>
        <v>50</v>
      </c>
      <c r="AA264" s="111" t="str">
        <f>INDEX('M03-S06'!$N$16:$N$198,2*(ROWS($Z$215:AA264)-1)+1)</f>
        <v/>
      </c>
      <c r="AB264" s="111">
        <f>INDEX('M03-S06'!$C$16:$C$198,2*(ROWS($Z$215:AB264)-1)+1)</f>
        <v>0</v>
      </c>
      <c r="AC264" s="96"/>
      <c r="AD264">
        <f>INDEX('M03-S06'!$X$16:$X$198,2*(ROWS($AD$215:AD264)-1)+1)</f>
        <v>0</v>
      </c>
      <c r="AE264" s="459"/>
      <c r="AF264" s="459"/>
      <c r="AG264" s="112"/>
      <c r="AH264" s="112"/>
      <c r="AI264" s="112"/>
      <c r="AJ264" s="112"/>
      <c r="AK264" s="113"/>
      <c r="AL264" s="113"/>
      <c r="AM264" s="113"/>
      <c r="AN264" s="113"/>
      <c r="AO264" s="52" t="str">
        <f>IFERROR(INDEX(PMGHVAC[Program Design],MATCH(AB264,PMGHVAC[Eff Desc 1])),"")</f>
        <v/>
      </c>
      <c r="AU264"/>
    </row>
    <row r="265" spans="1:47">
      <c r="A265" s="192" t="str">
        <f>CONCATENATE(MAIN3," ",M3S7)</f>
        <v>PRESCRIPTIVE MEASURES INPUT Water Heating / Others (Gas)</v>
      </c>
      <c r="B265" s="148"/>
      <c r="C265" s="148"/>
      <c r="D265" s="120"/>
      <c r="E265" s="120"/>
      <c r="F265" s="124"/>
      <c r="G265" s="120"/>
      <c r="H265" s="120"/>
      <c r="I265" s="125"/>
      <c r="J265" s="125"/>
      <c r="K265" s="125"/>
      <c r="L265" s="125"/>
      <c r="M265" s="457"/>
      <c r="N265" s="125"/>
      <c r="O265" s="457"/>
      <c r="P265" s="125"/>
      <c r="Q265" s="125"/>
      <c r="R265" s="125"/>
      <c r="S265" s="460"/>
      <c r="T265" s="127"/>
      <c r="U265" s="141"/>
      <c r="V265" s="127"/>
      <c r="W265" s="126"/>
      <c r="X265" s="127"/>
      <c r="Y265" s="127"/>
      <c r="Z265" s="124"/>
      <c r="AA265" s="124"/>
      <c r="AB265" s="124"/>
      <c r="AC265" s="126"/>
      <c r="AD265" s="120"/>
      <c r="AE265" s="457"/>
      <c r="AF265" s="457"/>
      <c r="AG265" s="128"/>
      <c r="AH265" s="128"/>
      <c r="AI265" s="128"/>
      <c r="AJ265" s="128"/>
      <c r="AK265" s="127"/>
      <c r="AL265" s="127"/>
      <c r="AM265" s="127"/>
      <c r="AN265" s="127"/>
      <c r="AO265" s="127"/>
      <c r="AU265"/>
    </row>
    <row r="266" spans="1:47">
      <c r="A266" s="57">
        <f t="shared" si="17"/>
        <v>0</v>
      </c>
      <c r="B266" s="183" t="str">
        <f t="shared" si="24"/>
        <v/>
      </c>
      <c r="C266" t="str">
        <f>IFERROR(IF(R266&gt;0,INDEX(PMGWATER[Measure '#],MATCH(AB266,PMGWATER[Eff Desc 1],0)),""),"")</f>
        <v/>
      </c>
      <c r="D266" t="s">
        <v>947</v>
      </c>
      <c r="F266" s="112"/>
      <c r="G266" s="186">
        <f>INDEX('M03-S07'!$AB$16:$AB$196,2*(ROWS($G$266:G266)-1)+1)</f>
        <v>0</v>
      </c>
      <c r="H266" s="186" t="str">
        <f>IF(ISNUMBER(INDEX('M03-S07'!$AN$16:$AN$198,2*(ROWS($R$266:R266)-1)+1)),"Total","")</f>
        <v/>
      </c>
      <c r="I266" s="184">
        <f>IFERROR(ROUND(INDEX('M03-S07'!$V$16:$V$196,2*(ROWS($I$266:I266)-1)+1)*INDEX('M03-S07'!$AE$16:$AE$198,2*(ROWS($I$266:I266)-1)+1),2),0)</f>
        <v>0</v>
      </c>
      <c r="J266" s="184">
        <f>IFERROR(ROUND(INDEX('M03-S07'!$V$16:$V$196,2*(ROWS($J$266:J266)-1)+1)*INDEX('M03-S07'!$AG$16:$AG$198,2*(ROWS($J$266:J266)-1)+1),2),0)</f>
        <v>0</v>
      </c>
      <c r="K266" s="52">
        <f>IFERROR(ROUND(INDEX('M03-S07'!$AU$16:$AU$196,2*(ROWS($K$266:K266)-1)+1),2),0)</f>
        <v>0</v>
      </c>
      <c r="L266" s="52" t="str">
        <f>IFERROR(IF(R266&gt;0,M266*INDEX(PMGWATER[Incremental Cost],MATCH(AB266,PMGWATER[Eff Desc 1],0)),""),"")</f>
        <v/>
      </c>
      <c r="M266" s="456">
        <f>INDEX('M03-S07'!$V$16:$V$198,2*(ROWS($M$266:M266)-1)+1)</f>
        <v>0</v>
      </c>
      <c r="N266" s="113"/>
      <c r="O266" s="459"/>
      <c r="P266" s="184" t="str">
        <f>IFERROR(IF(ISNUMBER(INDEX('M03-S07'!$AN$16:$AN$198,2*(ROWS($R$266:R266)-1)+1)),INDEX('M03-S07'!$AK$16:$AK$198,2*(ROWS($P$266:P266)-1)+1),""),"")</f>
        <v/>
      </c>
      <c r="Q266" s="184"/>
      <c r="R266" s="184">
        <f>IF(ISNUMBER(INDEX('M03-S07'!$AN$16:$AN$198,2*(ROWS($R$266:R266)-1)+1)),INDEX('M03-S07'!$AN$16:$AN$198,2*(ROWS($R$266:R266)-1)+1),0)</f>
        <v>0</v>
      </c>
      <c r="S266" s="459"/>
      <c r="T266" s="113"/>
      <c r="U266" s="140"/>
      <c r="V266" s="113"/>
      <c r="W266" s="96">
        <f>IFERROR(IF(NOT(ISNUMBER(INDEX('M03-S07'!$AN$16:$AN$198,2*(ROWS($R$266:R266)-1)+1))),INDEX('M03-S07'!$BC$16:$BC$198,2*(ROWS($R$266:R266)-1)+1),""),"")</f>
        <v>0</v>
      </c>
      <c r="X266" s="113"/>
      <c r="Y266" s="113"/>
      <c r="Z266" s="111">
        <f>INDEX('M03-S07'!$B$16:$B$196,2*(ROWS($Z$266:Z266)-1)+1)</f>
        <v>1</v>
      </c>
      <c r="AA266" s="111" t="str">
        <f>INDEX('M03-S07'!$N$16:$N$198,2*(ROWS($Z$266:AA266)-1)+1)</f>
        <v/>
      </c>
      <c r="AB266" s="111">
        <f>INDEX('M03-S07'!$C$16:$C$198,2*(ROWS($Z$266:AB266)-1)+1)</f>
        <v>0</v>
      </c>
      <c r="AC266" s="96"/>
      <c r="AD266">
        <f>INDEX('M03-S07'!$X$16:$X$196,2*(ROWS($AD$266:AD266)-1)+1)</f>
        <v>0</v>
      </c>
      <c r="AE266" s="459"/>
      <c r="AF266" s="459"/>
      <c r="AG266" s="112"/>
      <c r="AH266" s="112"/>
      <c r="AI266" s="112"/>
      <c r="AJ266" s="112"/>
      <c r="AK266" s="113"/>
      <c r="AL266" s="113"/>
      <c r="AM266" s="113"/>
      <c r="AN266" s="113"/>
      <c r="AO266" s="52" t="str">
        <f>IFERROR(INDEX(PMGWATER[Program Design],MATCH(AB266,PMGWATER[Eff Desc 1],0)),"")</f>
        <v/>
      </c>
      <c r="AU266"/>
    </row>
    <row r="267" spans="1:47">
      <c r="A267" s="57">
        <f t="shared" si="17"/>
        <v>0</v>
      </c>
      <c r="B267" s="183" t="str">
        <f t="shared" si="24"/>
        <v/>
      </c>
      <c r="C267" t="str">
        <f>IFERROR(IF(R267&gt;0,INDEX(PMGWATER[Measure '#],MATCH(AB267,PMGWATER[Eff Desc 1],0)),""),"")</f>
        <v/>
      </c>
      <c r="D267" t="s">
        <v>947</v>
      </c>
      <c r="F267" s="112"/>
      <c r="G267" s="186">
        <f>INDEX('M03-S07'!$AB$16:$AB$196,2*(ROWS($G$266:G267)-1)+1)</f>
        <v>0</v>
      </c>
      <c r="H267" s="186" t="str">
        <f>IF(ISNUMBER(INDEX('M03-S07'!$AN$16:$AN$198,2*(ROWS($R$266:R267)-1)+1)),"Total","")</f>
        <v/>
      </c>
      <c r="I267" s="184">
        <f>IFERROR(ROUND(INDEX('M03-S07'!$V$16:$V$196,2*(ROWS($I$266:I267)-1)+1)*INDEX('M03-S07'!$AE$16:$AE$198,2*(ROWS($I$266:I267)-1)+1),2),0)</f>
        <v>0</v>
      </c>
      <c r="J267" s="184">
        <f>IFERROR(ROUND(INDEX('M03-S07'!$V$16:$V$196,2*(ROWS($J$266:J267)-1)+1)*INDEX('M03-S07'!$AG$16:$AG$198,2*(ROWS($J$266:J267)-1)+1),2),0)</f>
        <v>0</v>
      </c>
      <c r="K267" s="52">
        <f>IFERROR(ROUND(INDEX('M03-S07'!$AU$16:$AU$196,2*(ROWS($K$266:K267)-1)+1),2),0)</f>
        <v>0</v>
      </c>
      <c r="L267" s="52" t="str">
        <f>IFERROR(IF(R267&gt;0,M267*INDEX(PMGWATER[Incremental Cost],MATCH(AB267,PMGWATER[Eff Desc 1],0)),""),"")</f>
        <v/>
      </c>
      <c r="M267" s="456">
        <f>INDEX('M03-S07'!$V$16:$V$198,2*(ROWS($M$266:M267)-1)+1)</f>
        <v>0</v>
      </c>
      <c r="N267" s="113"/>
      <c r="O267" s="459"/>
      <c r="P267" s="184" t="str">
        <f>IFERROR(IF(ISNUMBER(INDEX('M03-S07'!$AN$16:$AN$198,2*(ROWS($R$266:R267)-1)+1)),INDEX('M03-S07'!$AK$16:$AK$198,2*(ROWS($P$266:P267)-1)+1),""),"")</f>
        <v/>
      </c>
      <c r="Q267" s="184"/>
      <c r="R267" s="184">
        <f>IF(ISNUMBER(INDEX('M03-S07'!$AN$16:$AN$198,2*(ROWS($R$266:R267)-1)+1)),INDEX('M03-S07'!$AN$16:$AN$198,2*(ROWS($R$266:R267)-1)+1),0)</f>
        <v>0</v>
      </c>
      <c r="S267" s="459"/>
      <c r="T267" s="113"/>
      <c r="U267" s="140"/>
      <c r="V267" s="113"/>
      <c r="W267" s="96">
        <f>IFERROR(IF(NOT(ISNUMBER(INDEX('M03-S07'!$AN$16:$AN$198,2*(ROWS($R$266:R267)-1)+1))),INDEX('M03-S07'!$BC$16:$BC$198,2*(ROWS($R$266:R267)-1)+1),""),"")</f>
        <v>0</v>
      </c>
      <c r="X267" s="113"/>
      <c r="Y267" s="113"/>
      <c r="Z267" s="111">
        <f>INDEX('M03-S07'!$B$16:$B$196,2*(ROWS($Z$266:Z267)-1)+1)</f>
        <v>2</v>
      </c>
      <c r="AA267" s="111" t="str">
        <f>INDEX('M03-S07'!$N$16:$N$198,2*(ROWS($Z$266:AA267)-1)+1)</f>
        <v/>
      </c>
      <c r="AB267" s="111">
        <f>INDEX('M03-S07'!$C$16:$C$198,2*(ROWS($Z$266:AB267)-1)+1)</f>
        <v>0</v>
      </c>
      <c r="AC267" s="96"/>
      <c r="AD267">
        <f>INDEX('M03-S07'!$X$16:$X$196,2*(ROWS($AD$266:AD267)-1)+1)</f>
        <v>0</v>
      </c>
      <c r="AE267" s="459"/>
      <c r="AF267" s="459"/>
      <c r="AG267" s="112"/>
      <c r="AH267" s="112"/>
      <c r="AI267" s="112"/>
      <c r="AJ267" s="112"/>
      <c r="AK267" s="113"/>
      <c r="AL267" s="113"/>
      <c r="AM267" s="113"/>
      <c r="AN267" s="113"/>
      <c r="AO267" s="52" t="str">
        <f>IFERROR(INDEX(PMGWATER[Program Design],MATCH(AB267,PMGWATER[Eff Desc 1],0)),"")</f>
        <v/>
      </c>
      <c r="AU267"/>
    </row>
    <row r="268" spans="1:47">
      <c r="A268" s="57">
        <f t="shared" si="17"/>
        <v>0</v>
      </c>
      <c r="B268" s="183" t="str">
        <f t="shared" si="24"/>
        <v/>
      </c>
      <c r="C268" t="str">
        <f>IFERROR(IF(R268&gt;0,INDEX(PMGWATER[Measure '#],MATCH(AB268,PMGWATER[Eff Desc 1],0)),""),"")</f>
        <v/>
      </c>
      <c r="D268" t="s">
        <v>947</v>
      </c>
      <c r="F268" s="112"/>
      <c r="G268" s="186">
        <f>INDEX('M03-S07'!$AB$16:$AB$196,2*(ROWS($G$266:G268)-1)+1)</f>
        <v>0</v>
      </c>
      <c r="H268" s="186" t="str">
        <f>IF(ISNUMBER(INDEX('M03-S07'!$AN$16:$AN$198,2*(ROWS($R$266:R268)-1)+1)),"Total","")</f>
        <v/>
      </c>
      <c r="I268" s="184">
        <f>IFERROR(ROUND(INDEX('M03-S07'!$V$16:$V$196,2*(ROWS($I$266:I268)-1)+1)*INDEX('M03-S07'!$AE$16:$AE$198,2*(ROWS($I$266:I268)-1)+1),2),0)</f>
        <v>0</v>
      </c>
      <c r="J268" s="184">
        <f>IFERROR(ROUND(INDEX('M03-S07'!$V$16:$V$196,2*(ROWS($J$266:J268)-1)+1)*INDEX('M03-S07'!$AG$16:$AG$198,2*(ROWS($J$266:J268)-1)+1),2),0)</f>
        <v>0</v>
      </c>
      <c r="K268" s="52">
        <f>IFERROR(ROUND(INDEX('M03-S07'!$AU$16:$AU$196,2*(ROWS($K$266:K268)-1)+1),2),0)</f>
        <v>0</v>
      </c>
      <c r="L268" s="52" t="str">
        <f>IFERROR(IF(R268&gt;0,M268*INDEX(PMGWATER[Incremental Cost],MATCH(AB268,PMGWATER[Eff Desc 1],0)),""),"")</f>
        <v/>
      </c>
      <c r="M268" s="456">
        <f>INDEX('M03-S07'!$V$16:$V$198,2*(ROWS($M$266:M268)-1)+1)</f>
        <v>0</v>
      </c>
      <c r="N268" s="113"/>
      <c r="O268" s="459"/>
      <c r="P268" s="184" t="str">
        <f>IFERROR(IF(ISNUMBER(INDEX('M03-S07'!$AN$16:$AN$198,2*(ROWS($R$266:R268)-1)+1)),INDEX('M03-S07'!$AK$16:$AK$198,2*(ROWS($P$266:P268)-1)+1),""),"")</f>
        <v/>
      </c>
      <c r="Q268" s="184"/>
      <c r="R268" s="184">
        <f>IF(ISNUMBER(INDEX('M03-S07'!$AN$16:$AN$198,2*(ROWS($R$266:R268)-1)+1)),INDEX('M03-S07'!$AN$16:$AN$198,2*(ROWS($R$266:R268)-1)+1),0)</f>
        <v>0</v>
      </c>
      <c r="S268" s="459"/>
      <c r="T268" s="113"/>
      <c r="U268" s="140"/>
      <c r="V268" s="113"/>
      <c r="W268" s="96">
        <f>IFERROR(IF(NOT(ISNUMBER(INDEX('M03-S07'!$AN$16:$AN$198,2*(ROWS($R$266:R268)-1)+1))),INDEX('M03-S07'!$BC$16:$BC$198,2*(ROWS($R$266:R268)-1)+1),""),"")</f>
        <v>0</v>
      </c>
      <c r="X268" s="113"/>
      <c r="Y268" s="113"/>
      <c r="Z268" s="111">
        <f>INDEX('M03-S07'!$B$16:$B$196,2*(ROWS($Z$266:Z268)-1)+1)</f>
        <v>3</v>
      </c>
      <c r="AA268" s="111" t="str">
        <f>INDEX('M03-S07'!$N$16:$N$198,2*(ROWS($Z$266:AA268)-1)+1)</f>
        <v/>
      </c>
      <c r="AB268" s="111">
        <f>INDEX('M03-S07'!$C$16:$C$198,2*(ROWS($Z$266:AB268)-1)+1)</f>
        <v>0</v>
      </c>
      <c r="AC268" s="96"/>
      <c r="AD268">
        <f>INDEX('M03-S07'!$X$16:$X$196,2*(ROWS($AD$266:AD268)-1)+1)</f>
        <v>0</v>
      </c>
      <c r="AE268" s="459"/>
      <c r="AF268" s="459"/>
      <c r="AG268" s="112"/>
      <c r="AH268" s="112"/>
      <c r="AI268" s="112"/>
      <c r="AJ268" s="112"/>
      <c r="AK268" s="113"/>
      <c r="AL268" s="113"/>
      <c r="AM268" s="113"/>
      <c r="AN268" s="113"/>
      <c r="AO268" s="52" t="str">
        <f>IFERROR(INDEX(PMGWATER[Program Design],MATCH(AB268,PMGWATER[Eff Desc 1],0)),"")</f>
        <v/>
      </c>
      <c r="AU268"/>
    </row>
    <row r="269" spans="1:47">
      <c r="A269" s="57">
        <f t="shared" si="17"/>
        <v>0</v>
      </c>
      <c r="B269" s="183" t="str">
        <f t="shared" si="24"/>
        <v/>
      </c>
      <c r="C269" t="str">
        <f>IFERROR(IF(R269&gt;0,INDEX(PMGWATER[Measure '#],MATCH(AB269,PMGWATER[Eff Desc 1],0)),""),"")</f>
        <v/>
      </c>
      <c r="D269" t="s">
        <v>947</v>
      </c>
      <c r="F269" s="112"/>
      <c r="G269" s="186">
        <f>INDEX('M03-S07'!$AB$16:$AB$196,2*(ROWS($G$266:G269)-1)+1)</f>
        <v>0</v>
      </c>
      <c r="H269" s="186" t="str">
        <f>IF(ISNUMBER(INDEX('M03-S07'!$AN$16:$AN$198,2*(ROWS($R$266:R269)-1)+1)),"Total","")</f>
        <v/>
      </c>
      <c r="I269" s="184">
        <f>IFERROR(ROUND(INDEX('M03-S07'!$V$16:$V$196,2*(ROWS($I$266:I269)-1)+1)*INDEX('M03-S07'!$AE$16:$AE$198,2*(ROWS($I$266:I269)-1)+1),2),0)</f>
        <v>0</v>
      </c>
      <c r="J269" s="184">
        <f>IFERROR(ROUND(INDEX('M03-S07'!$V$16:$V$196,2*(ROWS($J$266:J269)-1)+1)*INDEX('M03-S07'!$AG$16:$AG$198,2*(ROWS($J$266:J269)-1)+1),2),0)</f>
        <v>0</v>
      </c>
      <c r="K269" s="52">
        <f>IFERROR(ROUND(INDEX('M03-S07'!$AU$16:$AU$196,2*(ROWS($K$266:K269)-1)+1),2),0)</f>
        <v>0</v>
      </c>
      <c r="L269" s="52" t="str">
        <f>IFERROR(IF(R269&gt;0,M269*INDEX(PMGWATER[Incremental Cost],MATCH(AB269,PMGWATER[Eff Desc 1],0)),""),"")</f>
        <v/>
      </c>
      <c r="M269" s="456">
        <f>INDEX('M03-S07'!$V$16:$V$198,2*(ROWS($M$266:M269)-1)+1)</f>
        <v>0</v>
      </c>
      <c r="N269" s="113"/>
      <c r="O269" s="459"/>
      <c r="P269" s="184" t="str">
        <f>IFERROR(IF(ISNUMBER(INDEX('M03-S07'!$AN$16:$AN$198,2*(ROWS($R$266:R269)-1)+1)),INDEX('M03-S07'!$AK$16:$AK$198,2*(ROWS($P$266:P269)-1)+1),""),"")</f>
        <v/>
      </c>
      <c r="Q269" s="184"/>
      <c r="R269" s="184">
        <f>IF(ISNUMBER(INDEX('M03-S07'!$AN$16:$AN$198,2*(ROWS($R$266:R269)-1)+1)),INDEX('M03-S07'!$AN$16:$AN$198,2*(ROWS($R$266:R269)-1)+1),0)</f>
        <v>0</v>
      </c>
      <c r="S269" s="459"/>
      <c r="T269" s="113"/>
      <c r="U269" s="140"/>
      <c r="V269" s="113"/>
      <c r="W269" s="96">
        <f>IFERROR(IF(NOT(ISNUMBER(INDEX('M03-S07'!$AN$16:$AN$198,2*(ROWS($R$266:R269)-1)+1))),INDEX('M03-S07'!$BC$16:$BC$198,2*(ROWS($R$266:R269)-1)+1),""),"")</f>
        <v>0</v>
      </c>
      <c r="X269" s="113"/>
      <c r="Y269" s="113"/>
      <c r="Z269" s="111">
        <f>INDEX('M03-S07'!$B$16:$B$196,2*(ROWS($Z$266:Z269)-1)+1)</f>
        <v>4</v>
      </c>
      <c r="AA269" s="111" t="str">
        <f>INDEX('M03-S07'!$N$16:$N$198,2*(ROWS($Z$266:AA269)-1)+1)</f>
        <v/>
      </c>
      <c r="AB269" s="111">
        <f>INDEX('M03-S07'!$C$16:$C$198,2*(ROWS($Z$266:AB269)-1)+1)</f>
        <v>0</v>
      </c>
      <c r="AC269" s="96"/>
      <c r="AD269">
        <f>INDEX('M03-S07'!$X$16:$X$196,2*(ROWS($AD$266:AD269)-1)+1)</f>
        <v>0</v>
      </c>
      <c r="AE269" s="459"/>
      <c r="AF269" s="459"/>
      <c r="AG269" s="112"/>
      <c r="AH269" s="112"/>
      <c r="AI269" s="112"/>
      <c r="AJ269" s="112"/>
      <c r="AK269" s="113"/>
      <c r="AL269" s="113"/>
      <c r="AM269" s="113"/>
      <c r="AN269" s="113"/>
      <c r="AO269" s="52" t="str">
        <f>IFERROR(INDEX(PMGWATER[Program Design],MATCH(AB269,PMGWATER[Eff Desc 1],0)),"")</f>
        <v/>
      </c>
      <c r="AU269"/>
    </row>
    <row r="270" spans="1:47">
      <c r="A270" s="57">
        <f t="shared" si="17"/>
        <v>0</v>
      </c>
      <c r="B270" s="183" t="str">
        <f t="shared" si="24"/>
        <v/>
      </c>
      <c r="C270" t="str">
        <f>IFERROR(IF(R270&gt;0,INDEX(PMGWATER[Measure '#],MATCH(AB270,PMGWATER[Eff Desc 1],0)),""),"")</f>
        <v/>
      </c>
      <c r="D270" t="s">
        <v>947</v>
      </c>
      <c r="F270" s="112"/>
      <c r="G270" s="186">
        <f>INDEX('M03-S07'!$AB$16:$AB$196,2*(ROWS($G$266:G270)-1)+1)</f>
        <v>0</v>
      </c>
      <c r="H270" s="186" t="str">
        <f>IF(ISNUMBER(INDEX('M03-S07'!$AN$16:$AN$198,2*(ROWS($R$266:R270)-1)+1)),"Total","")</f>
        <v/>
      </c>
      <c r="I270" s="184">
        <f>IFERROR(ROUND(INDEX('M03-S07'!$V$16:$V$196,2*(ROWS($I$266:I270)-1)+1)*INDEX('M03-S07'!$AE$16:$AE$198,2*(ROWS($I$266:I270)-1)+1),2),0)</f>
        <v>0</v>
      </c>
      <c r="J270" s="184">
        <f>IFERROR(ROUND(INDEX('M03-S07'!$V$16:$V$196,2*(ROWS($J$266:J270)-1)+1)*INDEX('M03-S07'!$AG$16:$AG$198,2*(ROWS($J$266:J270)-1)+1),2),0)</f>
        <v>0</v>
      </c>
      <c r="K270" s="52">
        <f>IFERROR(ROUND(INDEX('M03-S07'!$AU$16:$AU$196,2*(ROWS($K$266:K270)-1)+1),2),0)</f>
        <v>0</v>
      </c>
      <c r="L270" s="52" t="str">
        <f>IFERROR(IF(R270&gt;0,M270*INDEX(PMGWATER[Incremental Cost],MATCH(AB270,PMGWATER[Eff Desc 1],0)),""),"")</f>
        <v/>
      </c>
      <c r="M270" s="456">
        <f>INDEX('M03-S07'!$V$16:$V$198,2*(ROWS($M$266:M270)-1)+1)</f>
        <v>0</v>
      </c>
      <c r="N270" s="113"/>
      <c r="O270" s="459"/>
      <c r="P270" s="184" t="str">
        <f>IFERROR(IF(ISNUMBER(INDEX('M03-S07'!$AN$16:$AN$198,2*(ROWS($R$266:R270)-1)+1)),INDEX('M03-S07'!$AK$16:$AK$198,2*(ROWS($P$266:P270)-1)+1),""),"")</f>
        <v/>
      </c>
      <c r="Q270" s="184"/>
      <c r="R270" s="184">
        <f>IF(ISNUMBER(INDEX('M03-S07'!$AN$16:$AN$198,2*(ROWS($R$266:R270)-1)+1)),INDEX('M03-S07'!$AN$16:$AN$198,2*(ROWS($R$266:R270)-1)+1),0)</f>
        <v>0</v>
      </c>
      <c r="S270" s="459"/>
      <c r="T270" s="113"/>
      <c r="U270" s="140"/>
      <c r="V270" s="113"/>
      <c r="W270" s="96">
        <f>IFERROR(IF(NOT(ISNUMBER(INDEX('M03-S07'!$AN$16:$AN$198,2*(ROWS($R$266:R270)-1)+1))),INDEX('M03-S07'!$BC$16:$BC$198,2*(ROWS($R$266:R270)-1)+1),""),"")</f>
        <v>0</v>
      </c>
      <c r="X270" s="113"/>
      <c r="Y270" s="113"/>
      <c r="Z270" s="111">
        <f>INDEX('M03-S07'!$B$16:$B$196,2*(ROWS($Z$266:Z270)-1)+1)</f>
        <v>5</v>
      </c>
      <c r="AA270" s="111" t="str">
        <f>INDEX('M03-S07'!$N$16:$N$198,2*(ROWS($Z$266:AA270)-1)+1)</f>
        <v/>
      </c>
      <c r="AB270" s="111">
        <f>INDEX('M03-S07'!$C$16:$C$198,2*(ROWS($Z$266:AB270)-1)+1)</f>
        <v>0</v>
      </c>
      <c r="AC270" s="96"/>
      <c r="AD270">
        <f>INDEX('M03-S07'!$X$16:$X$196,2*(ROWS($AD$266:AD270)-1)+1)</f>
        <v>0</v>
      </c>
      <c r="AE270" s="459"/>
      <c r="AF270" s="459"/>
      <c r="AG270" s="112"/>
      <c r="AH270" s="112"/>
      <c r="AI270" s="112"/>
      <c r="AJ270" s="112"/>
      <c r="AK270" s="113"/>
      <c r="AL270" s="113"/>
      <c r="AM270" s="113"/>
      <c r="AN270" s="113"/>
      <c r="AO270" s="52" t="str">
        <f>IFERROR(INDEX(PMGWATER[Program Design],MATCH(AB270,PMGWATER[Eff Desc 1],0)),"")</f>
        <v/>
      </c>
      <c r="AU270"/>
    </row>
    <row r="271" spans="1:47">
      <c r="A271" s="57">
        <f t="shared" si="17"/>
        <v>0</v>
      </c>
      <c r="B271" s="183" t="str">
        <f t="shared" si="24"/>
        <v/>
      </c>
      <c r="C271" t="str">
        <f>IFERROR(IF(R271&gt;0,INDEX(PMGWATER[Measure '#],MATCH(AB271,PMGWATER[Eff Desc 1],0)),""),"")</f>
        <v/>
      </c>
      <c r="D271" t="s">
        <v>947</v>
      </c>
      <c r="F271" s="112"/>
      <c r="G271" s="186">
        <f>INDEX('M03-S07'!$AB$16:$AB$196,2*(ROWS($G$266:G271)-1)+1)</f>
        <v>0</v>
      </c>
      <c r="H271" s="186" t="str">
        <f>IF(ISNUMBER(INDEX('M03-S07'!$AN$16:$AN$198,2*(ROWS($R$266:R271)-1)+1)),"Total","")</f>
        <v/>
      </c>
      <c r="I271" s="184">
        <f>IFERROR(ROUND(INDEX('M03-S07'!$V$16:$V$196,2*(ROWS($I$266:I271)-1)+1)*INDEX('M03-S07'!$AE$16:$AE$198,2*(ROWS($I$266:I271)-1)+1),2),0)</f>
        <v>0</v>
      </c>
      <c r="J271" s="184">
        <f>IFERROR(ROUND(INDEX('M03-S07'!$V$16:$V$196,2*(ROWS($J$266:J271)-1)+1)*INDEX('M03-S07'!$AG$16:$AG$198,2*(ROWS($J$266:J271)-1)+1),2),0)</f>
        <v>0</v>
      </c>
      <c r="K271" s="52">
        <f>IFERROR(ROUND(INDEX('M03-S07'!$AU$16:$AU$196,2*(ROWS($K$266:K271)-1)+1),2),0)</f>
        <v>0</v>
      </c>
      <c r="L271" s="52" t="str">
        <f>IFERROR(IF(R271&gt;0,M271*INDEX(PMGWATER[Incremental Cost],MATCH(AB271,PMGWATER[Eff Desc 1],0)),""),"")</f>
        <v/>
      </c>
      <c r="M271" s="456">
        <f>INDEX('M03-S07'!$V$16:$V$198,2*(ROWS($M$266:M271)-1)+1)</f>
        <v>0</v>
      </c>
      <c r="N271" s="113"/>
      <c r="O271" s="459"/>
      <c r="P271" s="184" t="str">
        <f>IFERROR(IF(ISNUMBER(INDEX('M03-S07'!$AN$16:$AN$198,2*(ROWS($R$266:R271)-1)+1)),INDEX('M03-S07'!$AK$16:$AK$198,2*(ROWS($P$266:P271)-1)+1),""),"")</f>
        <v/>
      </c>
      <c r="Q271" s="184"/>
      <c r="R271" s="184">
        <f>IF(ISNUMBER(INDEX('M03-S07'!$AN$16:$AN$198,2*(ROWS($R$266:R271)-1)+1)),INDEX('M03-S07'!$AN$16:$AN$198,2*(ROWS($R$266:R271)-1)+1),0)</f>
        <v>0</v>
      </c>
      <c r="S271" s="459"/>
      <c r="T271" s="113"/>
      <c r="U271" s="140"/>
      <c r="V271" s="113"/>
      <c r="W271" s="96">
        <f>IFERROR(IF(NOT(ISNUMBER(INDEX('M03-S07'!$AN$16:$AN$198,2*(ROWS($R$266:R271)-1)+1))),INDEX('M03-S07'!$BC$16:$BC$198,2*(ROWS($R$266:R271)-1)+1),""),"")</f>
        <v>0</v>
      </c>
      <c r="X271" s="113"/>
      <c r="Y271" s="113"/>
      <c r="Z271" s="111">
        <f>INDEX('M03-S07'!$B$16:$B$196,2*(ROWS($Z$266:Z271)-1)+1)</f>
        <v>6</v>
      </c>
      <c r="AA271" s="111" t="str">
        <f>INDEX('M03-S07'!$N$16:$N$198,2*(ROWS($Z$266:AA271)-1)+1)</f>
        <v/>
      </c>
      <c r="AB271" s="111">
        <f>INDEX('M03-S07'!$C$16:$C$198,2*(ROWS($Z$266:AB271)-1)+1)</f>
        <v>0</v>
      </c>
      <c r="AC271" s="96"/>
      <c r="AD271">
        <f>INDEX('M03-S07'!$X$16:$X$196,2*(ROWS($AD$266:AD271)-1)+1)</f>
        <v>0</v>
      </c>
      <c r="AE271" s="459"/>
      <c r="AF271" s="459"/>
      <c r="AG271" s="112"/>
      <c r="AH271" s="112"/>
      <c r="AI271" s="112"/>
      <c r="AJ271" s="112"/>
      <c r="AK271" s="113"/>
      <c r="AL271" s="113"/>
      <c r="AM271" s="113"/>
      <c r="AN271" s="113"/>
      <c r="AO271" s="52" t="str">
        <f>IFERROR(INDEX(PMGWATER[Program Design],MATCH(AB271,PMGWATER[Eff Desc 1],0)),"")</f>
        <v/>
      </c>
      <c r="AU271"/>
    </row>
    <row r="272" spans="1:47">
      <c r="A272" s="57">
        <f t="shared" si="17"/>
        <v>0</v>
      </c>
      <c r="B272" s="183" t="str">
        <f t="shared" si="24"/>
        <v/>
      </c>
      <c r="C272" t="str">
        <f>IFERROR(IF(R272&gt;0,INDEX(PMGWATER[Measure '#],MATCH(AB272,PMGWATER[Eff Desc 1],0)),""),"")</f>
        <v/>
      </c>
      <c r="D272" t="s">
        <v>947</v>
      </c>
      <c r="F272" s="112"/>
      <c r="G272" s="186">
        <f>INDEX('M03-S07'!$AB$16:$AB$196,2*(ROWS($G$266:G272)-1)+1)</f>
        <v>0</v>
      </c>
      <c r="H272" s="186" t="str">
        <f>IF(ISNUMBER(INDEX('M03-S07'!$AN$16:$AN$198,2*(ROWS($R$266:R272)-1)+1)),"Total","")</f>
        <v/>
      </c>
      <c r="I272" s="184">
        <f>IFERROR(ROUND(INDEX('M03-S07'!$V$16:$V$196,2*(ROWS($I$266:I272)-1)+1)*INDEX('M03-S07'!$AE$16:$AE$198,2*(ROWS($I$266:I272)-1)+1),2),0)</f>
        <v>0</v>
      </c>
      <c r="J272" s="184">
        <f>IFERROR(ROUND(INDEX('M03-S07'!$V$16:$V$196,2*(ROWS($J$266:J272)-1)+1)*INDEX('M03-S07'!$AG$16:$AG$198,2*(ROWS($J$266:J272)-1)+1),2),0)</f>
        <v>0</v>
      </c>
      <c r="K272" s="52">
        <f>IFERROR(ROUND(INDEX('M03-S07'!$AU$16:$AU$196,2*(ROWS($K$266:K272)-1)+1),2),0)</f>
        <v>0</v>
      </c>
      <c r="L272" s="52" t="str">
        <f>IFERROR(IF(R272&gt;0,M272*INDEX(PMGWATER[Incremental Cost],MATCH(AB272,PMGWATER[Eff Desc 1],0)),""),"")</f>
        <v/>
      </c>
      <c r="M272" s="456">
        <f>INDEX('M03-S07'!$V$16:$V$198,2*(ROWS($M$266:M272)-1)+1)</f>
        <v>0</v>
      </c>
      <c r="N272" s="113"/>
      <c r="O272" s="459"/>
      <c r="P272" s="184" t="str">
        <f>IFERROR(IF(ISNUMBER(INDEX('M03-S07'!$AN$16:$AN$198,2*(ROWS($R$266:R272)-1)+1)),INDEX('M03-S07'!$AK$16:$AK$198,2*(ROWS($P$266:P272)-1)+1),""),"")</f>
        <v/>
      </c>
      <c r="Q272" s="184"/>
      <c r="R272" s="184">
        <f>IF(ISNUMBER(INDEX('M03-S07'!$AN$16:$AN$198,2*(ROWS($R$266:R272)-1)+1)),INDEX('M03-S07'!$AN$16:$AN$198,2*(ROWS($R$266:R272)-1)+1),0)</f>
        <v>0</v>
      </c>
      <c r="S272" s="459"/>
      <c r="T272" s="113"/>
      <c r="U272" s="140"/>
      <c r="V272" s="113"/>
      <c r="W272" s="96">
        <f>IFERROR(IF(NOT(ISNUMBER(INDEX('M03-S07'!$AN$16:$AN$198,2*(ROWS($R$266:R272)-1)+1))),INDEX('M03-S07'!$BC$16:$BC$198,2*(ROWS($R$266:R272)-1)+1),""),"")</f>
        <v>0</v>
      </c>
      <c r="X272" s="113"/>
      <c r="Y272" s="113"/>
      <c r="Z272" s="111">
        <f>INDEX('M03-S07'!$B$16:$B$196,2*(ROWS($Z$266:Z272)-1)+1)</f>
        <v>7</v>
      </c>
      <c r="AA272" s="111" t="str">
        <f>INDEX('M03-S07'!$N$16:$N$198,2*(ROWS($Z$266:AA272)-1)+1)</f>
        <v/>
      </c>
      <c r="AB272" s="111">
        <f>INDEX('M03-S07'!$C$16:$C$198,2*(ROWS($Z$266:AB272)-1)+1)</f>
        <v>0</v>
      </c>
      <c r="AC272" s="96"/>
      <c r="AD272">
        <f>INDEX('M03-S07'!$X$16:$X$196,2*(ROWS($AD$266:AD272)-1)+1)</f>
        <v>0</v>
      </c>
      <c r="AE272" s="459"/>
      <c r="AF272" s="459"/>
      <c r="AG272" s="112"/>
      <c r="AH272" s="112"/>
      <c r="AI272" s="112"/>
      <c r="AJ272" s="112"/>
      <c r="AK272" s="113"/>
      <c r="AL272" s="113"/>
      <c r="AM272" s="113"/>
      <c r="AN272" s="113"/>
      <c r="AO272" s="52" t="str">
        <f>IFERROR(INDEX(PMGWATER[Program Design],MATCH(AB272,PMGWATER[Eff Desc 1],0)),"")</f>
        <v/>
      </c>
      <c r="AU272"/>
    </row>
    <row r="273" spans="1:47">
      <c r="A273" s="57">
        <f t="shared" si="17"/>
        <v>0</v>
      </c>
      <c r="B273" s="183" t="str">
        <f t="shared" si="24"/>
        <v/>
      </c>
      <c r="C273" t="str">
        <f>IFERROR(IF(R273&gt;0,INDEX(PMGWATER[Measure '#],MATCH(AB273,PMGWATER[Eff Desc 1],0)),""),"")</f>
        <v/>
      </c>
      <c r="D273" t="s">
        <v>947</v>
      </c>
      <c r="F273" s="112"/>
      <c r="G273" s="186">
        <f>INDEX('M03-S07'!$AB$16:$AB$196,2*(ROWS($G$266:G273)-1)+1)</f>
        <v>0</v>
      </c>
      <c r="H273" s="186" t="str">
        <f>IF(ISNUMBER(INDEX('M03-S07'!$AN$16:$AN$198,2*(ROWS($R$266:R273)-1)+1)),"Total","")</f>
        <v/>
      </c>
      <c r="I273" s="184">
        <f>IFERROR(ROUND(INDEX('M03-S07'!$V$16:$V$196,2*(ROWS($I$266:I273)-1)+1)*INDEX('M03-S07'!$AE$16:$AE$198,2*(ROWS($I$266:I273)-1)+1),2),0)</f>
        <v>0</v>
      </c>
      <c r="J273" s="184">
        <f>IFERROR(ROUND(INDEX('M03-S07'!$V$16:$V$196,2*(ROWS($J$266:J273)-1)+1)*INDEX('M03-S07'!$AG$16:$AG$198,2*(ROWS($J$266:J273)-1)+1),2),0)</f>
        <v>0</v>
      </c>
      <c r="K273" s="52">
        <f>IFERROR(ROUND(INDEX('M03-S07'!$AU$16:$AU$196,2*(ROWS($K$266:K273)-1)+1),2),0)</f>
        <v>0</v>
      </c>
      <c r="L273" s="52" t="str">
        <f>IFERROR(IF(R273&gt;0,M273*INDEX(PMGWATER[Incremental Cost],MATCH(AB273,PMGWATER[Eff Desc 1],0)),""),"")</f>
        <v/>
      </c>
      <c r="M273" s="456">
        <f>INDEX('M03-S07'!$V$16:$V$198,2*(ROWS($M$266:M273)-1)+1)</f>
        <v>0</v>
      </c>
      <c r="N273" s="113"/>
      <c r="O273" s="459"/>
      <c r="P273" s="184" t="str">
        <f>IFERROR(IF(ISNUMBER(INDEX('M03-S07'!$AN$16:$AN$198,2*(ROWS($R$266:R273)-1)+1)),INDEX('M03-S07'!$AK$16:$AK$198,2*(ROWS($P$266:P273)-1)+1),""),"")</f>
        <v/>
      </c>
      <c r="Q273" s="184"/>
      <c r="R273" s="184">
        <f>IF(ISNUMBER(INDEX('M03-S07'!$AN$16:$AN$198,2*(ROWS($R$266:R273)-1)+1)),INDEX('M03-S07'!$AN$16:$AN$198,2*(ROWS($R$266:R273)-1)+1),0)</f>
        <v>0</v>
      </c>
      <c r="S273" s="459"/>
      <c r="T273" s="113"/>
      <c r="U273" s="140"/>
      <c r="V273" s="113"/>
      <c r="W273" s="96">
        <f>IFERROR(IF(NOT(ISNUMBER(INDEX('M03-S07'!$AN$16:$AN$198,2*(ROWS($R$266:R273)-1)+1))),INDEX('M03-S07'!$BC$16:$BC$198,2*(ROWS($R$266:R273)-1)+1),""),"")</f>
        <v>0</v>
      </c>
      <c r="X273" s="113"/>
      <c r="Y273" s="113"/>
      <c r="Z273" s="111">
        <f>INDEX('M03-S07'!$B$16:$B$196,2*(ROWS($Z$266:Z273)-1)+1)</f>
        <v>8</v>
      </c>
      <c r="AA273" s="111" t="str">
        <f>INDEX('M03-S07'!$N$16:$N$198,2*(ROWS($Z$266:AA273)-1)+1)</f>
        <v/>
      </c>
      <c r="AB273" s="111">
        <f>INDEX('M03-S07'!$C$16:$C$198,2*(ROWS($Z$266:AB273)-1)+1)</f>
        <v>0</v>
      </c>
      <c r="AC273" s="96"/>
      <c r="AD273">
        <f>INDEX('M03-S07'!$X$16:$X$196,2*(ROWS($AD$266:AD273)-1)+1)</f>
        <v>0</v>
      </c>
      <c r="AE273" s="459"/>
      <c r="AF273" s="459"/>
      <c r="AG273" s="112"/>
      <c r="AH273" s="112"/>
      <c r="AI273" s="112"/>
      <c r="AJ273" s="112"/>
      <c r="AK273" s="113"/>
      <c r="AL273" s="113"/>
      <c r="AM273" s="113"/>
      <c r="AN273" s="113"/>
      <c r="AO273" s="52" t="str">
        <f>IFERROR(INDEX(PMGWATER[Program Design],MATCH(AB273,PMGWATER[Eff Desc 1],0)),"")</f>
        <v/>
      </c>
      <c r="AU273"/>
    </row>
    <row r="274" spans="1:47">
      <c r="A274" s="57">
        <f t="shared" si="17"/>
        <v>0</v>
      </c>
      <c r="B274" s="183" t="str">
        <f t="shared" si="24"/>
        <v/>
      </c>
      <c r="C274" t="str">
        <f>IFERROR(IF(R274&gt;0,INDEX(PMGWATER[Measure '#],MATCH(AB274,PMGWATER[Eff Desc 1],0)),""),"")</f>
        <v/>
      </c>
      <c r="D274" t="s">
        <v>947</v>
      </c>
      <c r="F274" s="112"/>
      <c r="G274" s="186">
        <f>INDEX('M03-S07'!$AB$16:$AB$196,2*(ROWS($G$266:G274)-1)+1)</f>
        <v>0</v>
      </c>
      <c r="H274" s="186" t="str">
        <f>IF(ISNUMBER(INDEX('M03-S07'!$AN$16:$AN$198,2*(ROWS($R$266:R274)-1)+1)),"Total","")</f>
        <v/>
      </c>
      <c r="I274" s="184">
        <f>IFERROR(ROUND(INDEX('M03-S07'!$V$16:$V$196,2*(ROWS($I$266:I274)-1)+1)*INDEX('M03-S07'!$AE$16:$AE$198,2*(ROWS($I$266:I274)-1)+1),2),0)</f>
        <v>0</v>
      </c>
      <c r="J274" s="184">
        <f>IFERROR(ROUND(INDEX('M03-S07'!$V$16:$V$196,2*(ROWS($J$266:J274)-1)+1)*INDEX('M03-S07'!$AG$16:$AG$198,2*(ROWS($J$266:J274)-1)+1),2),0)</f>
        <v>0</v>
      </c>
      <c r="K274" s="52">
        <f>IFERROR(ROUND(INDEX('M03-S07'!$AU$16:$AU$196,2*(ROWS($K$266:K274)-1)+1),2),0)</f>
        <v>0</v>
      </c>
      <c r="L274" s="52" t="str">
        <f>IFERROR(IF(R274&gt;0,M274*INDEX(PMGWATER[Incremental Cost],MATCH(AB274,PMGWATER[Eff Desc 1],0)),""),"")</f>
        <v/>
      </c>
      <c r="M274" s="456">
        <f>INDEX('M03-S07'!$V$16:$V$198,2*(ROWS($M$266:M274)-1)+1)</f>
        <v>0</v>
      </c>
      <c r="N274" s="113"/>
      <c r="O274" s="459"/>
      <c r="P274" s="184" t="str">
        <f>IFERROR(IF(ISNUMBER(INDEX('M03-S07'!$AN$16:$AN$198,2*(ROWS($R$266:R274)-1)+1)),INDEX('M03-S07'!$AK$16:$AK$198,2*(ROWS($P$266:P274)-1)+1),""),"")</f>
        <v/>
      </c>
      <c r="Q274" s="184"/>
      <c r="R274" s="184">
        <f>IF(ISNUMBER(INDEX('M03-S07'!$AN$16:$AN$198,2*(ROWS($R$266:R274)-1)+1)),INDEX('M03-S07'!$AN$16:$AN$198,2*(ROWS($R$266:R274)-1)+1),0)</f>
        <v>0</v>
      </c>
      <c r="S274" s="459"/>
      <c r="T274" s="113"/>
      <c r="U274" s="140"/>
      <c r="V274" s="113"/>
      <c r="W274" s="96">
        <f>IFERROR(IF(NOT(ISNUMBER(INDEX('M03-S07'!$AN$16:$AN$198,2*(ROWS($R$266:R274)-1)+1))),INDEX('M03-S07'!$BC$16:$BC$198,2*(ROWS($R$266:R274)-1)+1),""),"")</f>
        <v>0</v>
      </c>
      <c r="X274" s="113"/>
      <c r="Y274" s="113"/>
      <c r="Z274" s="111">
        <f>INDEX('M03-S07'!$B$16:$B$196,2*(ROWS($Z$266:Z274)-1)+1)</f>
        <v>9</v>
      </c>
      <c r="AA274" s="111" t="str">
        <f>INDEX('M03-S07'!$N$16:$N$198,2*(ROWS($Z$266:AA274)-1)+1)</f>
        <v/>
      </c>
      <c r="AB274" s="111">
        <f>INDEX('M03-S07'!$C$16:$C$198,2*(ROWS($Z$266:AB274)-1)+1)</f>
        <v>0</v>
      </c>
      <c r="AC274" s="96"/>
      <c r="AD274">
        <f>INDEX('M03-S07'!$X$16:$X$196,2*(ROWS($AD$266:AD274)-1)+1)</f>
        <v>0</v>
      </c>
      <c r="AE274" s="459"/>
      <c r="AF274" s="459"/>
      <c r="AG274" s="112"/>
      <c r="AH274" s="112"/>
      <c r="AI274" s="112"/>
      <c r="AJ274" s="112"/>
      <c r="AK274" s="113"/>
      <c r="AL274" s="113"/>
      <c r="AM274" s="113"/>
      <c r="AN274" s="113"/>
      <c r="AO274" s="52" t="str">
        <f>IFERROR(INDEX(PMGWATER[Program Design],MATCH(AB274,PMGWATER[Eff Desc 1],0)),"")</f>
        <v/>
      </c>
      <c r="AU274"/>
    </row>
    <row r="275" spans="1:47">
      <c r="A275" s="57">
        <f t="shared" si="17"/>
        <v>0</v>
      </c>
      <c r="B275" s="183" t="str">
        <f t="shared" si="24"/>
        <v/>
      </c>
      <c r="C275" t="str">
        <f>IFERROR(IF(R275&gt;0,INDEX(PMGWATER[Measure '#],MATCH(AB275,PMGWATER[Eff Desc 1],0)),""),"")</f>
        <v/>
      </c>
      <c r="D275" t="s">
        <v>947</v>
      </c>
      <c r="F275" s="112"/>
      <c r="G275" s="186">
        <f>INDEX('M03-S07'!$AB$16:$AB$196,2*(ROWS($G$266:G275)-1)+1)</f>
        <v>0</v>
      </c>
      <c r="H275" s="186" t="str">
        <f>IF(ISNUMBER(INDEX('M03-S07'!$AN$16:$AN$198,2*(ROWS($R$266:R275)-1)+1)),"Total","")</f>
        <v/>
      </c>
      <c r="I275" s="184">
        <f>IFERROR(ROUND(INDEX('M03-S07'!$V$16:$V$196,2*(ROWS($I$266:I275)-1)+1)*INDEX('M03-S07'!$AE$16:$AE$198,2*(ROWS($I$266:I275)-1)+1),2),0)</f>
        <v>0</v>
      </c>
      <c r="J275" s="184">
        <f>IFERROR(ROUND(INDEX('M03-S07'!$V$16:$V$196,2*(ROWS($J$266:J275)-1)+1)*INDEX('M03-S07'!$AG$16:$AG$198,2*(ROWS($J$266:J275)-1)+1),2),0)</f>
        <v>0</v>
      </c>
      <c r="K275" s="52">
        <f>IFERROR(ROUND(INDEX('M03-S07'!$AU$16:$AU$196,2*(ROWS($K$266:K275)-1)+1),2),0)</f>
        <v>0</v>
      </c>
      <c r="L275" s="52" t="str">
        <f>IFERROR(IF(R275&gt;0,M275*INDEX(PMGWATER[Incremental Cost],MATCH(AB275,PMGWATER[Eff Desc 1],0)),""),"")</f>
        <v/>
      </c>
      <c r="M275" s="456">
        <f>INDEX('M03-S07'!$V$16:$V$198,2*(ROWS($M$266:M275)-1)+1)</f>
        <v>0</v>
      </c>
      <c r="N275" s="113"/>
      <c r="O275" s="459"/>
      <c r="P275" s="184" t="str">
        <f>IFERROR(IF(ISNUMBER(INDEX('M03-S07'!$AN$16:$AN$198,2*(ROWS($R$266:R275)-1)+1)),INDEX('M03-S07'!$AK$16:$AK$198,2*(ROWS($P$266:P275)-1)+1),""),"")</f>
        <v/>
      </c>
      <c r="Q275" s="184"/>
      <c r="R275" s="184">
        <f>IF(ISNUMBER(INDEX('M03-S07'!$AN$16:$AN$198,2*(ROWS($R$266:R275)-1)+1)),INDEX('M03-S07'!$AN$16:$AN$198,2*(ROWS($R$266:R275)-1)+1),0)</f>
        <v>0</v>
      </c>
      <c r="S275" s="459"/>
      <c r="T275" s="113"/>
      <c r="U275" s="140"/>
      <c r="V275" s="113"/>
      <c r="W275" s="96">
        <f>IFERROR(IF(NOT(ISNUMBER(INDEX('M03-S07'!$AN$16:$AN$198,2*(ROWS($R$266:R275)-1)+1))),INDEX('M03-S07'!$BC$16:$BC$198,2*(ROWS($R$266:R275)-1)+1),""),"")</f>
        <v>0</v>
      </c>
      <c r="X275" s="113"/>
      <c r="Y275" s="113"/>
      <c r="Z275" s="111">
        <f>INDEX('M03-S07'!$B$16:$B$196,2*(ROWS($Z$266:Z275)-1)+1)</f>
        <v>10</v>
      </c>
      <c r="AA275" s="111" t="str">
        <f>INDEX('M03-S07'!$N$16:$N$198,2*(ROWS($Z$266:AA275)-1)+1)</f>
        <v/>
      </c>
      <c r="AB275" s="111">
        <f>INDEX('M03-S07'!$C$16:$C$198,2*(ROWS($Z$266:AB275)-1)+1)</f>
        <v>0</v>
      </c>
      <c r="AC275" s="96"/>
      <c r="AD275">
        <f>INDEX('M03-S07'!$X$16:$X$196,2*(ROWS($AD$266:AD275)-1)+1)</f>
        <v>0</v>
      </c>
      <c r="AE275" s="459"/>
      <c r="AF275" s="459"/>
      <c r="AG275" s="112"/>
      <c r="AH275" s="112"/>
      <c r="AI275" s="112"/>
      <c r="AJ275" s="112"/>
      <c r="AK275" s="113"/>
      <c r="AL275" s="113"/>
      <c r="AM275" s="113"/>
      <c r="AN275" s="113"/>
      <c r="AO275" s="52" t="str">
        <f>IFERROR(INDEX(PMGWATER[Program Design],MATCH(AB275,PMGWATER[Eff Desc 1],0)),"")</f>
        <v/>
      </c>
      <c r="AU275"/>
    </row>
    <row r="276" spans="1:47">
      <c r="A276" s="57">
        <f t="shared" si="17"/>
        <v>0</v>
      </c>
      <c r="B276" s="183" t="str">
        <f t="shared" si="24"/>
        <v/>
      </c>
      <c r="C276" t="str">
        <f>IFERROR(IF(R276&gt;0,INDEX(PMGWATER[Measure '#],MATCH(AB276,PMGWATER[Eff Desc 1],0)),""),"")</f>
        <v/>
      </c>
      <c r="D276" t="s">
        <v>947</v>
      </c>
      <c r="F276" s="112"/>
      <c r="G276" s="186">
        <f>INDEX('M03-S07'!$AB$16:$AB$196,2*(ROWS($G$266:G276)-1)+1)</f>
        <v>0</v>
      </c>
      <c r="H276" s="186" t="str">
        <f>IF(ISNUMBER(INDEX('M03-S07'!$AN$16:$AN$198,2*(ROWS($R$266:R276)-1)+1)),"Total","")</f>
        <v/>
      </c>
      <c r="I276" s="184">
        <f>IFERROR(ROUND(INDEX('M03-S07'!$V$16:$V$196,2*(ROWS($I$266:I276)-1)+1)*INDEX('M03-S07'!$AE$16:$AE$198,2*(ROWS($I$266:I276)-1)+1),2),0)</f>
        <v>0</v>
      </c>
      <c r="J276" s="184">
        <f>IFERROR(ROUND(INDEX('M03-S07'!$V$16:$V$196,2*(ROWS($J$266:J276)-1)+1)*INDEX('M03-S07'!$AG$16:$AG$198,2*(ROWS($J$266:J276)-1)+1),2),0)</f>
        <v>0</v>
      </c>
      <c r="K276" s="52">
        <f>IFERROR(ROUND(INDEX('M03-S07'!$AU$16:$AU$196,2*(ROWS($K$266:K276)-1)+1),2),0)</f>
        <v>0</v>
      </c>
      <c r="L276" s="52" t="str">
        <f>IFERROR(IF(R276&gt;0,M276*INDEX(PMGWATER[Incremental Cost],MATCH(AB276,PMGWATER[Eff Desc 1],0)),""),"")</f>
        <v/>
      </c>
      <c r="M276" s="456">
        <f>INDEX('M03-S07'!$V$16:$V$198,2*(ROWS($M$266:M276)-1)+1)</f>
        <v>0</v>
      </c>
      <c r="N276" s="113"/>
      <c r="O276" s="459"/>
      <c r="P276" s="184" t="str">
        <f>IFERROR(IF(ISNUMBER(INDEX('M03-S07'!$AN$16:$AN$198,2*(ROWS($R$266:R276)-1)+1)),INDEX('M03-S07'!$AK$16:$AK$198,2*(ROWS($P$266:P276)-1)+1),""),"")</f>
        <v/>
      </c>
      <c r="Q276" s="184"/>
      <c r="R276" s="184">
        <f>IF(ISNUMBER(INDEX('M03-S07'!$AN$16:$AN$198,2*(ROWS($R$266:R276)-1)+1)),INDEX('M03-S07'!$AN$16:$AN$198,2*(ROWS($R$266:R276)-1)+1),0)</f>
        <v>0</v>
      </c>
      <c r="S276" s="459"/>
      <c r="T276" s="113"/>
      <c r="U276" s="140"/>
      <c r="V276" s="113"/>
      <c r="W276" s="96">
        <f>IFERROR(IF(NOT(ISNUMBER(INDEX('M03-S07'!$AN$16:$AN$198,2*(ROWS($R$266:R276)-1)+1))),INDEX('M03-S07'!$BC$16:$BC$198,2*(ROWS($R$266:R276)-1)+1),""),"")</f>
        <v>0</v>
      </c>
      <c r="X276" s="113"/>
      <c r="Y276" s="113"/>
      <c r="Z276" s="111">
        <f>INDEX('M03-S07'!$B$16:$B$196,2*(ROWS($Z$266:Z276)-1)+1)</f>
        <v>0</v>
      </c>
      <c r="AA276" s="111">
        <f>INDEX('M03-S07'!$N$16:$N$198,2*(ROWS($Z$266:AA276)-1)+1)</f>
        <v>0</v>
      </c>
      <c r="AB276" s="111">
        <f>INDEX('M03-S07'!$C$16:$C$198,2*(ROWS($Z$266:AB276)-1)+1)</f>
        <v>0</v>
      </c>
      <c r="AC276" s="96"/>
      <c r="AD276">
        <f>INDEX('M03-S07'!$X$16:$X$196,2*(ROWS($AD$266:AD276)-1)+1)</f>
        <v>0</v>
      </c>
      <c r="AE276" s="459"/>
      <c r="AF276" s="459"/>
      <c r="AG276" s="112"/>
      <c r="AH276" s="112"/>
      <c r="AI276" s="112"/>
      <c r="AJ276" s="112"/>
      <c r="AK276" s="113"/>
      <c r="AL276" s="113"/>
      <c r="AM276" s="113"/>
      <c r="AN276" s="113"/>
      <c r="AO276" s="52" t="str">
        <f>IFERROR(INDEX(PMGWATER[Program Design],MATCH(AB276,PMGWATER[Eff Desc 1],0)),"")</f>
        <v/>
      </c>
      <c r="AU276"/>
    </row>
    <row r="277" spans="1:47">
      <c r="A277" s="57">
        <f t="shared" si="17"/>
        <v>0</v>
      </c>
      <c r="B277" s="183" t="str">
        <f t="shared" si="24"/>
        <v/>
      </c>
      <c r="C277" t="str">
        <f>IFERROR(IF(R277&gt;0,INDEX(PMGWATER[Measure '#],MATCH(AB277,PMGWATER[Eff Desc 1],0)),""),"")</f>
        <v/>
      </c>
      <c r="D277" t="s">
        <v>947</v>
      </c>
      <c r="F277" s="112"/>
      <c r="G277" s="186">
        <f>INDEX('M03-S07'!$AB$16:$AB$196,2*(ROWS($G$266:G277)-1)+1)</f>
        <v>0</v>
      </c>
      <c r="H277" s="186" t="str">
        <f>IF(ISNUMBER(INDEX('M03-S07'!$AN$16:$AN$198,2*(ROWS($R$266:R277)-1)+1)),"Total","")</f>
        <v/>
      </c>
      <c r="I277" s="184">
        <f>IFERROR(ROUND(INDEX('M03-S07'!$V$16:$V$196,2*(ROWS($I$266:I277)-1)+1)*INDEX('M03-S07'!$AE$16:$AE$198,2*(ROWS($I$266:I277)-1)+1),2),0)</f>
        <v>0</v>
      </c>
      <c r="J277" s="184">
        <f>IFERROR(ROUND(INDEX('M03-S07'!$V$16:$V$196,2*(ROWS($J$266:J277)-1)+1)*INDEX('M03-S07'!$AG$16:$AG$198,2*(ROWS($J$266:J277)-1)+1),2),0)</f>
        <v>0</v>
      </c>
      <c r="K277" s="52">
        <f>IFERROR(ROUND(INDEX('M03-S07'!$AU$16:$AU$196,2*(ROWS($K$266:K277)-1)+1),2),0)</f>
        <v>0</v>
      </c>
      <c r="L277" s="52" t="str">
        <f>IFERROR(IF(R277&gt;0,M277*INDEX(PMGWATER[Incremental Cost],MATCH(AB277,PMGWATER[Eff Desc 1],0)),""),"")</f>
        <v/>
      </c>
      <c r="M277" s="456">
        <f>INDEX('M03-S07'!$V$16:$V$198,2*(ROWS($M$266:M277)-1)+1)</f>
        <v>0</v>
      </c>
      <c r="N277" s="113"/>
      <c r="O277" s="459"/>
      <c r="P277" s="184" t="str">
        <f>IFERROR(IF(ISNUMBER(INDEX('M03-S07'!$AN$16:$AN$198,2*(ROWS($R$266:R277)-1)+1)),INDEX('M03-S07'!$AK$16:$AK$198,2*(ROWS($P$266:P277)-1)+1),""),"")</f>
        <v/>
      </c>
      <c r="Q277" s="184"/>
      <c r="R277" s="184">
        <f>IF(ISNUMBER(INDEX('M03-S07'!$AN$16:$AN$198,2*(ROWS($R$266:R277)-1)+1)),INDEX('M03-S07'!$AN$16:$AN$198,2*(ROWS($R$266:R277)-1)+1),0)</f>
        <v>0</v>
      </c>
      <c r="S277" s="459"/>
      <c r="T277" s="113"/>
      <c r="U277" s="140"/>
      <c r="V277" s="113"/>
      <c r="W277" s="96">
        <f>IFERROR(IF(NOT(ISNUMBER(INDEX('M03-S07'!$AN$16:$AN$198,2*(ROWS($R$266:R277)-1)+1))),INDEX('M03-S07'!$BC$16:$BC$198,2*(ROWS($R$266:R277)-1)+1),""),"")</f>
        <v>0</v>
      </c>
      <c r="X277" s="113"/>
      <c r="Y277" s="113"/>
      <c r="Z277" s="111">
        <f>INDEX('M03-S07'!$B$16:$B$196,2*(ROWS($Z$266:Z277)-1)+1)</f>
        <v>0</v>
      </c>
      <c r="AA277" s="111">
        <f>INDEX('M03-S07'!$N$16:$N$198,2*(ROWS($Z$266:AA277)-1)+1)</f>
        <v>0</v>
      </c>
      <c r="AB277" s="111">
        <f>INDEX('M03-S07'!$C$16:$C$198,2*(ROWS($Z$266:AB277)-1)+1)</f>
        <v>0</v>
      </c>
      <c r="AC277" s="96"/>
      <c r="AD277">
        <f>INDEX('M03-S07'!$X$16:$X$196,2*(ROWS($AD$266:AD277)-1)+1)</f>
        <v>0</v>
      </c>
      <c r="AE277" s="459"/>
      <c r="AF277" s="459"/>
      <c r="AG277" s="112"/>
      <c r="AH277" s="112"/>
      <c r="AI277" s="112"/>
      <c r="AJ277" s="112"/>
      <c r="AK277" s="113"/>
      <c r="AL277" s="113"/>
      <c r="AM277" s="113"/>
      <c r="AN277" s="113"/>
      <c r="AO277" s="52" t="str">
        <f>IFERROR(INDEX(PMGWATER[Program Design],MATCH(AB277,PMGWATER[Eff Desc 1],0)),"")</f>
        <v/>
      </c>
      <c r="AU277"/>
    </row>
    <row r="278" spans="1:47">
      <c r="A278" s="57">
        <f t="shared" si="17"/>
        <v>0</v>
      </c>
      <c r="B278" s="183" t="str">
        <f t="shared" si="24"/>
        <v/>
      </c>
      <c r="C278" t="str">
        <f>IFERROR(IF(R278&gt;0,INDEX(PMGWATER[Measure '#],MATCH(AB278,PMGWATER[Eff Desc 1],0)),""),"")</f>
        <v/>
      </c>
      <c r="D278" t="s">
        <v>947</v>
      </c>
      <c r="F278" s="112"/>
      <c r="G278" s="186">
        <f>INDEX('M03-S07'!$AB$16:$AB$196,2*(ROWS($G$266:G278)-1)+1)</f>
        <v>0</v>
      </c>
      <c r="H278" s="186" t="str">
        <f>IF(ISNUMBER(INDEX('M03-S07'!$AN$16:$AN$198,2*(ROWS($R$266:R278)-1)+1)),"Total","")</f>
        <v/>
      </c>
      <c r="I278" s="184">
        <f>IFERROR(ROUND(INDEX('M03-S07'!$V$16:$V$196,2*(ROWS($I$266:I278)-1)+1)*INDEX('M03-S07'!$AE$16:$AE$198,2*(ROWS($I$266:I278)-1)+1),2),0)</f>
        <v>0</v>
      </c>
      <c r="J278" s="184">
        <f>IFERROR(ROUND(INDEX('M03-S07'!$V$16:$V$196,2*(ROWS($J$266:J278)-1)+1)*INDEX('M03-S07'!$AG$16:$AG$198,2*(ROWS($J$266:J278)-1)+1),2),0)</f>
        <v>0</v>
      </c>
      <c r="K278" s="52">
        <f>IFERROR(ROUND(INDEX('M03-S07'!$AU$16:$AU$196,2*(ROWS($K$266:K278)-1)+1),2),0)</f>
        <v>0</v>
      </c>
      <c r="L278" s="52" t="str">
        <f>IFERROR(IF(R278&gt;0,M278*INDEX(PMGWATER[Incremental Cost],MATCH(AB278,PMGWATER[Eff Desc 1],0)),""),"")</f>
        <v/>
      </c>
      <c r="M278" s="456">
        <f>INDEX('M03-S07'!$V$16:$V$198,2*(ROWS($M$266:M278)-1)+1)</f>
        <v>0</v>
      </c>
      <c r="N278" s="113"/>
      <c r="O278" s="459"/>
      <c r="P278" s="184" t="str">
        <f>IFERROR(IF(ISNUMBER(INDEX('M03-S07'!$AN$16:$AN$198,2*(ROWS($R$266:R278)-1)+1)),INDEX('M03-S07'!$AK$16:$AK$198,2*(ROWS($P$266:P278)-1)+1),""),"")</f>
        <v/>
      </c>
      <c r="Q278" s="184"/>
      <c r="R278" s="184">
        <f>IF(ISNUMBER(INDEX('M03-S07'!$AN$16:$AN$198,2*(ROWS($R$266:R278)-1)+1)),INDEX('M03-S07'!$AN$16:$AN$198,2*(ROWS($R$266:R278)-1)+1),0)</f>
        <v>0</v>
      </c>
      <c r="S278" s="459"/>
      <c r="T278" s="113"/>
      <c r="U278" s="140"/>
      <c r="V278" s="113"/>
      <c r="W278" s="96">
        <f>IFERROR(IF(NOT(ISNUMBER(INDEX('M03-S07'!$AN$16:$AN$198,2*(ROWS($R$266:R278)-1)+1))),INDEX('M03-S07'!$BC$16:$BC$198,2*(ROWS($R$266:R278)-1)+1),""),"")</f>
        <v>0</v>
      </c>
      <c r="X278" s="113"/>
      <c r="Y278" s="113"/>
      <c r="Z278" s="111">
        <f>INDEX('M03-S07'!$B$16:$B$196,2*(ROWS($Z$266:Z278)-1)+1)</f>
        <v>0</v>
      </c>
      <c r="AA278" s="111">
        <f>INDEX('M03-S07'!$N$16:$N$198,2*(ROWS($Z$266:AA278)-1)+1)</f>
        <v>0</v>
      </c>
      <c r="AB278" s="111">
        <f>INDEX('M03-S07'!$C$16:$C$198,2*(ROWS($Z$266:AB278)-1)+1)</f>
        <v>0</v>
      </c>
      <c r="AC278" s="96"/>
      <c r="AD278">
        <f>INDEX('M03-S07'!$X$16:$X$196,2*(ROWS($AD$266:AD278)-1)+1)</f>
        <v>0</v>
      </c>
      <c r="AE278" s="459"/>
      <c r="AF278" s="459"/>
      <c r="AG278" s="112"/>
      <c r="AH278" s="112"/>
      <c r="AI278" s="112"/>
      <c r="AJ278" s="112"/>
      <c r="AK278" s="113"/>
      <c r="AL278" s="113"/>
      <c r="AM278" s="113"/>
      <c r="AN278" s="113"/>
      <c r="AO278" s="52" t="str">
        <f>IFERROR(INDEX(PMGWATER[Program Design],MATCH(AB278,PMGWATER[Eff Desc 1],0)),"")</f>
        <v/>
      </c>
      <c r="AU278"/>
    </row>
    <row r="279" spans="1:47">
      <c r="A279" s="57">
        <f t="shared" si="17"/>
        <v>0</v>
      </c>
      <c r="B279" s="183" t="str">
        <f t="shared" si="24"/>
        <v/>
      </c>
      <c r="C279" t="str">
        <f>IFERROR(IF(R279&gt;0,INDEX(PMGWATER[Measure '#],MATCH(AB279,PMGWATER[Eff Desc 1],0)),""),"")</f>
        <v/>
      </c>
      <c r="D279" t="s">
        <v>947</v>
      </c>
      <c r="F279" s="112"/>
      <c r="G279" s="186">
        <f>INDEX('M03-S07'!$AB$16:$AB$196,2*(ROWS($G$266:G279)-1)+1)</f>
        <v>0</v>
      </c>
      <c r="H279" s="186" t="str">
        <f>IF(ISNUMBER(INDEX('M03-S07'!$AN$16:$AN$198,2*(ROWS($R$266:R279)-1)+1)),"Total","")</f>
        <v/>
      </c>
      <c r="I279" s="184">
        <f>IFERROR(ROUND(INDEX('M03-S07'!$V$16:$V$196,2*(ROWS($I$266:I279)-1)+1)*INDEX('M03-S07'!$AE$16:$AE$198,2*(ROWS($I$266:I279)-1)+1),2),0)</f>
        <v>0</v>
      </c>
      <c r="J279" s="184">
        <f>IFERROR(ROUND(INDEX('M03-S07'!$V$16:$V$196,2*(ROWS($J$266:J279)-1)+1)*INDEX('M03-S07'!$AG$16:$AG$198,2*(ROWS($J$266:J279)-1)+1),2),0)</f>
        <v>0</v>
      </c>
      <c r="K279" s="52">
        <f>IFERROR(ROUND(INDEX('M03-S07'!$AU$16:$AU$196,2*(ROWS($K$266:K279)-1)+1),2),0)</f>
        <v>0</v>
      </c>
      <c r="L279" s="52" t="str">
        <f>IFERROR(IF(R279&gt;0,M279*INDEX(PMGWATER[Incremental Cost],MATCH(AB279,PMGWATER[Eff Desc 1],0)),""),"")</f>
        <v/>
      </c>
      <c r="M279" s="456">
        <f>INDEX('M03-S07'!$V$16:$V$198,2*(ROWS($M$266:M279)-1)+1)</f>
        <v>0</v>
      </c>
      <c r="N279" s="113"/>
      <c r="O279" s="459"/>
      <c r="P279" s="184" t="str">
        <f>IFERROR(IF(ISNUMBER(INDEX('M03-S07'!$AN$16:$AN$198,2*(ROWS($R$266:R279)-1)+1)),INDEX('M03-S07'!$AK$16:$AK$198,2*(ROWS($P$266:P279)-1)+1),""),"")</f>
        <v/>
      </c>
      <c r="Q279" s="184"/>
      <c r="R279" s="184">
        <f>IF(ISNUMBER(INDEX('M03-S07'!$AN$16:$AN$198,2*(ROWS($R$266:R279)-1)+1)),INDEX('M03-S07'!$AN$16:$AN$198,2*(ROWS($R$266:R279)-1)+1),0)</f>
        <v>0</v>
      </c>
      <c r="S279" s="459"/>
      <c r="T279" s="113"/>
      <c r="U279" s="140"/>
      <c r="V279" s="113"/>
      <c r="W279" s="96">
        <f>IFERROR(IF(NOT(ISNUMBER(INDEX('M03-S07'!$AN$16:$AN$198,2*(ROWS($R$266:R279)-1)+1))),INDEX('M03-S07'!$BC$16:$BC$198,2*(ROWS($R$266:R279)-1)+1),""),"")</f>
        <v>0</v>
      </c>
      <c r="X279" s="113"/>
      <c r="Y279" s="113"/>
      <c r="Z279" s="111">
        <f>INDEX('M03-S07'!$B$16:$B$196,2*(ROWS($Z$266:Z279)-1)+1)</f>
        <v>0</v>
      </c>
      <c r="AA279" s="111">
        <f>INDEX('M03-S07'!$N$16:$N$198,2*(ROWS($Z$266:AA279)-1)+1)</f>
        <v>0</v>
      </c>
      <c r="AB279" s="111">
        <f>INDEX('M03-S07'!$C$16:$C$198,2*(ROWS($Z$266:AB279)-1)+1)</f>
        <v>0</v>
      </c>
      <c r="AC279" s="96"/>
      <c r="AD279">
        <f>INDEX('M03-S07'!$X$16:$X$196,2*(ROWS($AD$266:AD279)-1)+1)</f>
        <v>0</v>
      </c>
      <c r="AE279" s="459"/>
      <c r="AF279" s="459"/>
      <c r="AG279" s="112"/>
      <c r="AH279" s="112"/>
      <c r="AI279" s="112"/>
      <c r="AJ279" s="112"/>
      <c r="AK279" s="113"/>
      <c r="AL279" s="113"/>
      <c r="AM279" s="113"/>
      <c r="AN279" s="113"/>
      <c r="AO279" s="52" t="str">
        <f>IFERROR(INDEX(PMGWATER[Program Design],MATCH(AB279,PMGWATER[Eff Desc 1],0)),"")</f>
        <v/>
      </c>
      <c r="AU279"/>
    </row>
    <row r="280" spans="1:47">
      <c r="A280" s="57">
        <f t="shared" si="17"/>
        <v>0</v>
      </c>
      <c r="B280" s="183" t="str">
        <f t="shared" si="24"/>
        <v/>
      </c>
      <c r="C280" t="str">
        <f>IFERROR(IF(R280&gt;0,INDEX(PMGWATER[Measure '#],MATCH(AB280,PMGWATER[Eff Desc 1],0)),""),"")</f>
        <v/>
      </c>
      <c r="D280" t="s">
        <v>947</v>
      </c>
      <c r="F280" s="112"/>
      <c r="G280" s="186">
        <f>INDEX('M03-S07'!$AB$16:$AB$196,2*(ROWS($G$266:G280)-1)+1)</f>
        <v>0</v>
      </c>
      <c r="H280" s="186" t="str">
        <f>IF(ISNUMBER(INDEX('M03-S07'!$AN$16:$AN$198,2*(ROWS($R$266:R280)-1)+1)),"Total","")</f>
        <v/>
      </c>
      <c r="I280" s="184">
        <f>IFERROR(ROUND(INDEX('M03-S07'!$V$16:$V$196,2*(ROWS($I$266:I280)-1)+1)*INDEX('M03-S07'!$AE$16:$AE$198,2*(ROWS($I$266:I280)-1)+1),2),0)</f>
        <v>0</v>
      </c>
      <c r="J280" s="184">
        <f>IFERROR(ROUND(INDEX('M03-S07'!$V$16:$V$196,2*(ROWS($J$266:J280)-1)+1)*INDEX('M03-S07'!$AG$16:$AG$198,2*(ROWS($J$266:J280)-1)+1),2),0)</f>
        <v>0</v>
      </c>
      <c r="K280" s="52">
        <f>IFERROR(ROUND(INDEX('M03-S07'!$AU$16:$AU$196,2*(ROWS($K$266:K280)-1)+1),2),0)</f>
        <v>0</v>
      </c>
      <c r="L280" s="52" t="str">
        <f>IFERROR(IF(R280&gt;0,M280*INDEX(PMGWATER[Incremental Cost],MATCH(AB280,PMGWATER[Eff Desc 1],0)),""),"")</f>
        <v/>
      </c>
      <c r="M280" s="456">
        <f>INDEX('M03-S07'!$V$16:$V$198,2*(ROWS($M$266:M280)-1)+1)</f>
        <v>0</v>
      </c>
      <c r="N280" s="113"/>
      <c r="O280" s="459"/>
      <c r="P280" s="184" t="str">
        <f>IFERROR(IF(ISNUMBER(INDEX('M03-S07'!$AN$16:$AN$198,2*(ROWS($R$266:R280)-1)+1)),INDEX('M03-S07'!$AK$16:$AK$198,2*(ROWS($P$266:P280)-1)+1),""),"")</f>
        <v/>
      </c>
      <c r="Q280" s="184"/>
      <c r="R280" s="184">
        <f>IF(ISNUMBER(INDEX('M03-S07'!$AN$16:$AN$198,2*(ROWS($R$266:R280)-1)+1)),INDEX('M03-S07'!$AN$16:$AN$198,2*(ROWS($R$266:R280)-1)+1),0)</f>
        <v>0</v>
      </c>
      <c r="S280" s="459"/>
      <c r="T280" s="113"/>
      <c r="U280" s="140"/>
      <c r="V280" s="113"/>
      <c r="W280" s="96">
        <f>IFERROR(IF(NOT(ISNUMBER(INDEX('M03-S07'!$AN$16:$AN$198,2*(ROWS($R$266:R280)-1)+1))),INDEX('M03-S07'!$BC$16:$BC$198,2*(ROWS($R$266:R280)-1)+1),""),"")</f>
        <v>0</v>
      </c>
      <c r="X280" s="113"/>
      <c r="Y280" s="113"/>
      <c r="Z280" s="111">
        <f>INDEX('M03-S07'!$B$16:$B$196,2*(ROWS($Z$266:Z280)-1)+1)</f>
        <v>0</v>
      </c>
      <c r="AA280" s="111">
        <f>INDEX('M03-S07'!$N$16:$N$198,2*(ROWS($Z$266:AA280)-1)+1)</f>
        <v>0</v>
      </c>
      <c r="AB280" s="111">
        <f>INDEX('M03-S07'!$C$16:$C$198,2*(ROWS($Z$266:AB280)-1)+1)</f>
        <v>0</v>
      </c>
      <c r="AC280" s="96"/>
      <c r="AD280">
        <f>INDEX('M03-S07'!$X$16:$X$196,2*(ROWS($AD$266:AD280)-1)+1)</f>
        <v>0</v>
      </c>
      <c r="AE280" s="459"/>
      <c r="AF280" s="459"/>
      <c r="AG280" s="112"/>
      <c r="AH280" s="112"/>
      <c r="AI280" s="112"/>
      <c r="AJ280" s="112"/>
      <c r="AK280" s="113"/>
      <c r="AL280" s="113"/>
      <c r="AM280" s="113"/>
      <c r="AN280" s="113"/>
      <c r="AO280" s="52" t="str">
        <f>IFERROR(INDEX(PMGWATER[Program Design],MATCH(AB280,PMGWATER[Eff Desc 1],0)),"")</f>
        <v/>
      </c>
      <c r="AU280"/>
    </row>
    <row r="281" spans="1:47">
      <c r="A281" s="192" t="str">
        <f>CONCATENATE(MAIN3," ",M3S9)</f>
        <v>PRESCRIPTIVE MEASURES INPUT Agriculture (Elec/Gas)</v>
      </c>
      <c r="B281" s="148"/>
      <c r="C281" s="148"/>
      <c r="D281" s="120"/>
      <c r="E281" s="120"/>
      <c r="F281" s="124"/>
      <c r="G281" s="120"/>
      <c r="H281" s="120"/>
      <c r="I281" s="125"/>
      <c r="J281" s="125"/>
      <c r="K281" s="125"/>
      <c r="L281" s="125"/>
      <c r="M281" s="457"/>
      <c r="N281" s="125"/>
      <c r="O281" s="457"/>
      <c r="P281" s="125"/>
      <c r="Q281" s="125"/>
      <c r="R281" s="125"/>
      <c r="S281" s="460"/>
      <c r="T281" s="127"/>
      <c r="U281" s="141"/>
      <c r="V281" s="127"/>
      <c r="W281" s="126"/>
      <c r="X281" s="127"/>
      <c r="Y281" s="127"/>
      <c r="Z281" s="124"/>
      <c r="AA281" s="124"/>
      <c r="AB281" s="124"/>
      <c r="AC281" s="126"/>
      <c r="AD281" s="120"/>
      <c r="AE281" s="457"/>
      <c r="AF281" s="457"/>
      <c r="AG281" s="128"/>
      <c r="AH281" s="128"/>
      <c r="AI281" s="128"/>
      <c r="AJ281" s="128"/>
      <c r="AK281" s="127"/>
      <c r="AL281" s="127"/>
      <c r="AM281" s="127"/>
      <c r="AN281" s="127"/>
      <c r="AO281" s="127"/>
      <c r="AU281"/>
    </row>
    <row r="282" spans="1:47">
      <c r="A282" s="57">
        <f t="shared" ref="A282:A296" si="27">PROJID</f>
        <v>0</v>
      </c>
      <c r="B282" s="183" t="str">
        <f>IF(C282="","",CONCATENATE(ROW(),"-",C282))</f>
        <v/>
      </c>
      <c r="C282" t="str">
        <f>IFERROR(IF(R282&gt;0,INDEX(PMEAGG[Measure '#],MATCH(AB282,PMEAGG[Eff Desc 1],0)),""),"")</f>
        <v/>
      </c>
      <c r="D282" t="s">
        <v>947</v>
      </c>
      <c r="F282" s="112"/>
      <c r="G282" s="186">
        <f>INDEX('M03-S09'!$AB$16:$AB$196,2*(ROWS($G$282:G282)-1)+1)</f>
        <v>0</v>
      </c>
      <c r="H282" s="186" t="str">
        <f>IF(ISNUMBER(INDEX('M03-S09'!$AN$16:$AN$198,2*(ROWS($R$282:R282)-1)+1)),"Total","")</f>
        <v/>
      </c>
      <c r="I282" s="184">
        <f>IFERROR(ROUND(INDEX('M03-S09'!$AE$16:$AE$198,2*(ROWS($I$282:I282)-1)+1),2),0)</f>
        <v>0</v>
      </c>
      <c r="J282" s="184">
        <f>IFERROR(ROUND(INDEX('M03-S09'!$AG$16:$AG$198,2*(ROWS($J$282:J282)-1)+1),2),0)</f>
        <v>0</v>
      </c>
      <c r="K282" s="52">
        <f>IFERROR(ROUND(INDEX('M03-S09'!$AU$16:$AU$196,2*(ROWS($K$282:K282)-1)+1),2),0)</f>
        <v>0</v>
      </c>
      <c r="L282" s="52" t="str">
        <f>IFERROR(IF(R282&gt;0,M282*INDEX(PMEAGG[Incremental Cost],MATCH(AB282,PMEAGG[Eff Desc 1],0)),""),"")</f>
        <v/>
      </c>
      <c r="M282" s="456">
        <f>INDEX('M03-S09'!$V$16:$V$198,2*(ROWS($M$266:M266)-1)+1)</f>
        <v>0</v>
      </c>
      <c r="N282" s="184" t="str">
        <f>IF(ISNUMBER(INDEX('M03-S09'!$AN$16:$AN$198,2*(ROWS($R$282:R282)-1)+1)),INDEX('M03-S09'!$AW$16:$AW$198,2*(ROWS($N$282:N282)-1)+1),"")</f>
        <v/>
      </c>
      <c r="O282" s="456" t="str">
        <f>IFERROR(IF(ISNUMBER(INDEX('M03-S09'!$AN$16:$AN$198,2*(ROWS($R$282:R282)-1)+1)),INDEX('M03-S09'!$AV$16:$AV$198,2*(ROWS($O$282:O282)-1)+1),""),"")</f>
        <v/>
      </c>
      <c r="P282" s="113"/>
      <c r="Q282" s="113"/>
      <c r="R282" s="184">
        <f>IF(ISNUMBER(INDEX('M03-S09'!$AN$16:$AN$198,2*(ROWS($R$282:R282)-1)+1)),INDEX('M03-S09'!$AN$16:$AN$198,2*(ROWS($R$282:R282)-1)+1),0)</f>
        <v>0</v>
      </c>
      <c r="S282" s="459"/>
      <c r="T282" s="113"/>
      <c r="U282" s="140"/>
      <c r="V282" s="113"/>
      <c r="W282" s="96" t="str">
        <f>IFERROR(IF(NOT(ISNUMBER(INDEX('M03-S02'!$AN$16:$AN$198,2*(ROWS($R$282:R282)-1)+1))),INDEX('M03-S02'!$BC$16:$BC$198,2*(ROWS($R$282:R282)-1)+1),""),"")</f>
        <v/>
      </c>
      <c r="X282" s="113"/>
      <c r="Y282" s="113"/>
      <c r="Z282" s="111">
        <f>INDEX('M03-S09'!$B$16:$B$198,2*(ROWS($Z$282:Z282)-1)+1)</f>
        <v>1</v>
      </c>
      <c r="AA282" s="111" t="str">
        <f>INDEX('M03-S09'!$N$16:$N$199,2*(ROWS($Z$282:AA282)-1)+1)</f>
        <v/>
      </c>
      <c r="AB282" s="111">
        <f>INDEX('M03-S09'!$C$16:$C$198,2*(ROWS($Z$282:AB282)-1)+1)</f>
        <v>0</v>
      </c>
      <c r="AC282" s="96"/>
      <c r="AD282">
        <f>INDEX('M03-S09'!$X$16:$X$198,2*(ROWS($AD$282:AD282)-1)+1)</f>
        <v>0</v>
      </c>
      <c r="AE282" s="459"/>
      <c r="AF282" s="459"/>
      <c r="AG282" s="112"/>
      <c r="AH282" s="112"/>
      <c r="AI282" s="112"/>
      <c r="AJ282" s="112"/>
      <c r="AK282" s="113"/>
      <c r="AL282" s="113"/>
      <c r="AM282" s="113"/>
      <c r="AN282" s="113"/>
      <c r="AO282" s="52" t="str">
        <f>IFERROR(INDEX(PMEAGG[Program Design],MATCH(AB282,PMEAGG[Eff Desc 1],0)),"")</f>
        <v/>
      </c>
      <c r="AU282"/>
    </row>
    <row r="283" spans="1:47">
      <c r="A283" s="57">
        <f t="shared" si="27"/>
        <v>0</v>
      </c>
      <c r="B283" s="183" t="str">
        <f t="shared" ref="B283:B306" si="28">IF(C283="","",CONCATENATE(ROW(),"-",C283))</f>
        <v/>
      </c>
      <c r="C283" t="str">
        <f>IFERROR(IF(R283&gt;0,INDEX(PMEAGG[Measure '#],MATCH(AB283,PMEAGG[Eff Desc 1],0)),""),"")</f>
        <v/>
      </c>
      <c r="D283" t="s">
        <v>947</v>
      </c>
      <c r="F283" s="112"/>
      <c r="G283" s="186">
        <f>INDEX('M03-S09'!$AB$16:$AB$196,2*(ROWS($G$282:G283)-1)+1)</f>
        <v>0</v>
      </c>
      <c r="H283" s="186" t="str">
        <f>IF(ISNUMBER(INDEX('M03-S09'!$AN$16:$AN$198,2*(ROWS($R$282:R283)-1)+1)),"Total","")</f>
        <v/>
      </c>
      <c r="I283" s="184">
        <f>IFERROR(ROUND(INDEX('M03-S09'!$AE$16:$AE$198,2*(ROWS($I$282:I283)-1)+1),2),0)</f>
        <v>0</v>
      </c>
      <c r="J283" s="184">
        <f>IFERROR(ROUND(INDEX('M03-S09'!$AG$16:$AG$198,2*(ROWS($J$282:J283)-1)+1),2),0)</f>
        <v>0</v>
      </c>
      <c r="K283" s="52">
        <f>IFERROR(ROUND(INDEX('M03-S09'!$AU$16:$AU$196,2*(ROWS($K$282:K283)-1)+1),2),0)</f>
        <v>0</v>
      </c>
      <c r="L283" s="52" t="str">
        <f>IFERROR(IF(R283&gt;0,M283*INDEX(PMEAGG[Incremental Cost],MATCH(AB283,PMEAGG[Eff Desc 1],0)),""),"")</f>
        <v/>
      </c>
      <c r="M283" s="456">
        <f>INDEX('M03-S09'!$V$16:$V$198,2*(ROWS($M$266:M267)-1)+1)</f>
        <v>0</v>
      </c>
      <c r="N283" s="184" t="str">
        <f>IF(ISNUMBER(INDEX('M03-S09'!$AN$16:$AN$198,2*(ROWS($R$282:R283)-1)+1)),INDEX('M03-S09'!$AW$16:$AW$198,2*(ROWS($N$282:N283)-1)+1),"")</f>
        <v/>
      </c>
      <c r="O283" s="456" t="str">
        <f>IFERROR(IF(ISNUMBER(INDEX('M03-S09'!$AN$16:$AN$198,2*(ROWS($R$282:R283)-1)+1)),INDEX('M03-S09'!$AV$16:$AV$198,2*(ROWS($O$282:O283)-1)+1),""),"")</f>
        <v/>
      </c>
      <c r="P283" s="113"/>
      <c r="Q283" s="113"/>
      <c r="R283" s="184">
        <f>IF(ISNUMBER(INDEX('M03-S09'!$AN$16:$AN$198,2*(ROWS($R$282:R283)-1)+1)),INDEX('M03-S09'!$AN$16:$AN$198,2*(ROWS($R$282:R283)-1)+1),0)</f>
        <v>0</v>
      </c>
      <c r="S283" s="459"/>
      <c r="T283" s="113"/>
      <c r="U283" s="140"/>
      <c r="V283" s="113"/>
      <c r="W283" s="96"/>
      <c r="X283" s="113"/>
      <c r="Y283" s="113"/>
      <c r="Z283" s="111">
        <f>INDEX('M03-S09'!$B$16:$B$198,2*(ROWS($Z$282:Z283)-1)+1)</f>
        <v>2</v>
      </c>
      <c r="AA283" s="111" t="str">
        <f>INDEX('M03-S09'!$N$16:$N$199,2*(ROWS($Z$282:AA283)-1)+1)</f>
        <v/>
      </c>
      <c r="AB283" s="111">
        <f>INDEX('M03-S09'!$C$16:$C$198,2*(ROWS($Z$282:AB283)-1)+1)</f>
        <v>0</v>
      </c>
      <c r="AC283" s="96"/>
      <c r="AD283">
        <f>INDEX('M03-S09'!$X$16:$X$198,2*(ROWS($AD$282:AD283)-1)+1)</f>
        <v>0</v>
      </c>
      <c r="AE283" s="459"/>
      <c r="AF283" s="459"/>
      <c r="AG283" s="112"/>
      <c r="AH283" s="112"/>
      <c r="AI283" s="112"/>
      <c r="AJ283" s="112"/>
      <c r="AK283" s="113"/>
      <c r="AL283" s="113"/>
      <c r="AM283" s="113"/>
      <c r="AN283" s="113"/>
      <c r="AO283" s="52" t="str">
        <f>IFERROR(INDEX(PMEAGG[Program Design],MATCH(AB283,PMEAGG[Eff Desc 1],0)),"")</f>
        <v/>
      </c>
      <c r="AU283"/>
    </row>
    <row r="284" spans="1:47">
      <c r="A284" s="57">
        <f t="shared" si="27"/>
        <v>0</v>
      </c>
      <c r="B284" s="183" t="str">
        <f t="shared" si="28"/>
        <v/>
      </c>
      <c r="C284" t="str">
        <f>IFERROR(IF(R284&gt;0,INDEX(PMEAGG[Measure '#],MATCH(AB284,PMEAGG[Eff Desc 1],0)),""),"")</f>
        <v/>
      </c>
      <c r="D284" t="s">
        <v>947</v>
      </c>
      <c r="F284" s="112"/>
      <c r="G284" s="186">
        <f>INDEX('M03-S09'!$AB$16:$AB$196,2*(ROWS($G$282:G284)-1)+1)</f>
        <v>0</v>
      </c>
      <c r="H284" s="186" t="str">
        <f>IF(ISNUMBER(INDEX('M03-S09'!$AN$16:$AN$198,2*(ROWS($R$282:R284)-1)+1)),"Total","")</f>
        <v/>
      </c>
      <c r="I284" s="184">
        <f>IFERROR(ROUND(INDEX('M03-S09'!$AE$16:$AE$198,2*(ROWS($I$282:I284)-1)+1),2),0)</f>
        <v>0</v>
      </c>
      <c r="J284" s="184">
        <f>IFERROR(ROUND(INDEX('M03-S09'!$AG$16:$AG$198,2*(ROWS($J$282:J284)-1)+1),2),0)</f>
        <v>0</v>
      </c>
      <c r="K284" s="52">
        <f>IFERROR(ROUND(INDEX('M03-S09'!$AU$16:$AU$196,2*(ROWS($K$282:K284)-1)+1),2),0)</f>
        <v>0</v>
      </c>
      <c r="L284" s="52" t="str">
        <f>IFERROR(IF(R284&gt;0,M284*INDEX(PMEAGG[Incremental Cost],MATCH(AB284,PMEAGG[Eff Desc 1],0)),""),"")</f>
        <v/>
      </c>
      <c r="M284" s="456">
        <f>INDEX('M03-S09'!$V$16:$V$198,2*(ROWS($M$266:M268)-1)+1)</f>
        <v>0</v>
      </c>
      <c r="N284" s="184" t="str">
        <f>IF(ISNUMBER(INDEX('M03-S09'!$AN$16:$AN$198,2*(ROWS($R$282:R284)-1)+1)),INDEX('M03-S09'!$AW$16:$AW$198,2*(ROWS($N$282:N284)-1)+1),"")</f>
        <v/>
      </c>
      <c r="O284" s="456" t="str">
        <f>IFERROR(IF(ISNUMBER(INDEX('M03-S09'!$AN$16:$AN$198,2*(ROWS($R$282:R284)-1)+1)),INDEX('M03-S09'!$AV$16:$AV$198,2*(ROWS($O$282:O284)-1)+1),""),"")</f>
        <v/>
      </c>
      <c r="P284" s="113"/>
      <c r="Q284" s="113"/>
      <c r="R284" s="184">
        <f>IF(ISNUMBER(INDEX('M03-S09'!$AN$16:$AN$198,2*(ROWS($R$282:R284)-1)+1)),INDEX('M03-S09'!$AN$16:$AN$198,2*(ROWS($R$282:R284)-1)+1),0)</f>
        <v>0</v>
      </c>
      <c r="S284" s="459"/>
      <c r="T284" s="113"/>
      <c r="U284" s="140"/>
      <c r="V284" s="113"/>
      <c r="W284" s="96"/>
      <c r="X284" s="113"/>
      <c r="Y284" s="113"/>
      <c r="Z284" s="111">
        <f>INDEX('M03-S09'!$B$16:$B$198,2*(ROWS($Z$282:Z284)-1)+1)</f>
        <v>3</v>
      </c>
      <c r="AA284" s="111" t="str">
        <f>INDEX('M03-S09'!$N$16:$N$199,2*(ROWS($Z$282:AA284)-1)+1)</f>
        <v/>
      </c>
      <c r="AB284" s="111">
        <f>INDEX('M03-S09'!$C$16:$C$198,2*(ROWS($Z$282:AB284)-1)+1)</f>
        <v>0</v>
      </c>
      <c r="AC284" s="96"/>
      <c r="AD284">
        <f>INDEX('M03-S09'!$X$16:$X$198,2*(ROWS($AD$282:AD284)-1)+1)</f>
        <v>0</v>
      </c>
      <c r="AE284" s="459"/>
      <c r="AF284" s="459"/>
      <c r="AG284" s="112"/>
      <c r="AH284" s="112"/>
      <c r="AI284" s="112"/>
      <c r="AJ284" s="112"/>
      <c r="AK284" s="113"/>
      <c r="AL284" s="113"/>
      <c r="AM284" s="113"/>
      <c r="AN284" s="113"/>
      <c r="AO284" s="52" t="str">
        <f>IFERROR(INDEX(PMEAGG[Program Design],MATCH(AB284,PMEAGG[Eff Desc 1],0)),"")</f>
        <v/>
      </c>
      <c r="AU284"/>
    </row>
    <row r="285" spans="1:47">
      <c r="A285" s="57">
        <f t="shared" si="27"/>
        <v>0</v>
      </c>
      <c r="B285" s="183" t="str">
        <f t="shared" si="28"/>
        <v/>
      </c>
      <c r="C285" t="str">
        <f>IFERROR(IF(R285&gt;0,INDEX(PMEAGG[Measure '#],MATCH(AB285,PMEAGG[Eff Desc 1],0)),""),"")</f>
        <v/>
      </c>
      <c r="D285" t="s">
        <v>947</v>
      </c>
      <c r="F285" s="112"/>
      <c r="G285" s="186">
        <f>INDEX('M03-S09'!$AB$16:$AB$196,2*(ROWS($G$282:G285)-1)+1)</f>
        <v>0</v>
      </c>
      <c r="H285" s="186" t="str">
        <f>IF(ISNUMBER(INDEX('M03-S09'!$AN$16:$AN$198,2*(ROWS($R$282:R285)-1)+1)),"Total","")</f>
        <v/>
      </c>
      <c r="I285" s="184">
        <f>IFERROR(ROUND(INDEX('M03-S09'!$AE$16:$AE$198,2*(ROWS($I$282:I285)-1)+1),2),0)</f>
        <v>0</v>
      </c>
      <c r="J285" s="184">
        <f>IFERROR(ROUND(INDEX('M03-S09'!$AG$16:$AG$198,2*(ROWS($J$282:J285)-1)+1),2),0)</f>
        <v>0</v>
      </c>
      <c r="K285" s="52">
        <f>IFERROR(ROUND(INDEX('M03-S09'!$AU$16:$AU$196,2*(ROWS($K$282:K285)-1)+1),2),0)</f>
        <v>0</v>
      </c>
      <c r="L285" s="52" t="str">
        <f>IFERROR(IF(R285&gt;0,M285*INDEX(PMEAGG[Incremental Cost],MATCH(AB285,PMEAGG[Eff Desc 1],0)),""),"")</f>
        <v/>
      </c>
      <c r="M285" s="456">
        <f>INDEX('M03-S09'!$V$16:$V$198,2*(ROWS($M$266:M269)-1)+1)</f>
        <v>0</v>
      </c>
      <c r="N285" s="184" t="str">
        <f>IF(ISNUMBER(INDEX('M03-S09'!$AN$16:$AN$198,2*(ROWS($R$282:R285)-1)+1)),INDEX('M03-S09'!$AW$16:$AW$198,2*(ROWS($N$282:N285)-1)+1),"")</f>
        <v/>
      </c>
      <c r="O285" s="456" t="str">
        <f>IFERROR(IF(ISNUMBER(INDEX('M03-S09'!$AN$16:$AN$198,2*(ROWS($R$282:R285)-1)+1)),INDEX('M03-S09'!$AV$16:$AV$198,2*(ROWS($O$282:O285)-1)+1),""),"")</f>
        <v/>
      </c>
      <c r="P285" s="113"/>
      <c r="Q285" s="113"/>
      <c r="R285" s="184">
        <f>IF(ISNUMBER(INDEX('M03-S09'!$AN$16:$AN$198,2*(ROWS($R$282:R285)-1)+1)),INDEX('M03-S09'!$AN$16:$AN$198,2*(ROWS($R$282:R285)-1)+1),0)</f>
        <v>0</v>
      </c>
      <c r="S285" s="459"/>
      <c r="T285" s="113"/>
      <c r="U285" s="140"/>
      <c r="V285" s="113"/>
      <c r="W285" s="96"/>
      <c r="X285" s="113"/>
      <c r="Y285" s="113"/>
      <c r="Z285" s="111">
        <f>INDEX('M03-S09'!$B$16:$B$198,2*(ROWS($Z$282:Z285)-1)+1)</f>
        <v>4</v>
      </c>
      <c r="AA285" s="111" t="str">
        <f>INDEX('M03-S09'!$N$16:$N$199,2*(ROWS($Z$282:AA285)-1)+1)</f>
        <v/>
      </c>
      <c r="AB285" s="111">
        <f>INDEX('M03-S09'!$C$16:$C$198,2*(ROWS($Z$282:AB285)-1)+1)</f>
        <v>0</v>
      </c>
      <c r="AC285" s="96"/>
      <c r="AD285">
        <f>INDEX('M03-S09'!$X$16:$X$198,2*(ROWS($AD$282:AD285)-1)+1)</f>
        <v>0</v>
      </c>
      <c r="AE285" s="459"/>
      <c r="AF285" s="459"/>
      <c r="AG285" s="112"/>
      <c r="AH285" s="112"/>
      <c r="AI285" s="112"/>
      <c r="AJ285" s="112"/>
      <c r="AK285" s="113"/>
      <c r="AL285" s="113"/>
      <c r="AM285" s="113"/>
      <c r="AN285" s="113"/>
      <c r="AO285" s="52" t="str">
        <f>IFERROR(INDEX(PMEAGG[Program Design],MATCH(AB285,PMEAGG[Eff Desc 1],0)),"")</f>
        <v/>
      </c>
      <c r="AU285"/>
    </row>
    <row r="286" spans="1:47">
      <c r="A286" s="57">
        <f t="shared" si="27"/>
        <v>0</v>
      </c>
      <c r="B286" s="183" t="str">
        <f t="shared" si="28"/>
        <v/>
      </c>
      <c r="C286" t="str">
        <f>IFERROR(IF(R286&gt;0,INDEX(PMEAGG[Measure '#],MATCH(AB286,PMEAGG[Eff Desc 1],0)),""),"")</f>
        <v/>
      </c>
      <c r="D286" t="s">
        <v>947</v>
      </c>
      <c r="F286" s="112"/>
      <c r="G286" s="186">
        <f>INDEX('M03-S09'!$AB$16:$AB$196,2*(ROWS($G$282:G286)-1)+1)</f>
        <v>0</v>
      </c>
      <c r="H286" s="186" t="str">
        <f>IF(ISNUMBER(INDEX('M03-S09'!$AN$16:$AN$198,2*(ROWS($R$282:R286)-1)+1)),"Total","")</f>
        <v/>
      </c>
      <c r="I286" s="184">
        <f>IFERROR(ROUND(INDEX('M03-S09'!$AE$16:$AE$198,2*(ROWS($I$282:I286)-1)+1),2),0)</f>
        <v>0</v>
      </c>
      <c r="J286" s="184">
        <f>IFERROR(ROUND(INDEX('M03-S09'!$AG$16:$AG$198,2*(ROWS($J$282:J286)-1)+1),2),0)</f>
        <v>0</v>
      </c>
      <c r="K286" s="52">
        <f>IFERROR(ROUND(INDEX('M03-S09'!$AU$16:$AU$196,2*(ROWS($K$282:K286)-1)+1),2),0)</f>
        <v>0</v>
      </c>
      <c r="L286" s="52" t="str">
        <f>IFERROR(IF(R286&gt;0,M286*INDEX(PMEAGG[Incremental Cost],MATCH(AB286,PMEAGG[Eff Desc 1],0)),""),"")</f>
        <v/>
      </c>
      <c r="M286" s="456">
        <f>INDEX('M03-S09'!$V$16:$V$198,2*(ROWS($M$266:M270)-1)+1)</f>
        <v>0</v>
      </c>
      <c r="N286" s="184" t="str">
        <f>IF(ISNUMBER(INDEX('M03-S09'!$AN$16:$AN$198,2*(ROWS($R$282:R286)-1)+1)),INDEX('M03-S09'!$AW$16:$AW$198,2*(ROWS($N$282:N286)-1)+1),"")</f>
        <v/>
      </c>
      <c r="O286" s="456" t="str">
        <f>IFERROR(IF(ISNUMBER(INDEX('M03-S09'!$AN$16:$AN$198,2*(ROWS($R$282:R286)-1)+1)),INDEX('M03-S09'!$AV$16:$AV$198,2*(ROWS($O$282:O286)-1)+1),""),"")</f>
        <v/>
      </c>
      <c r="P286" s="113"/>
      <c r="Q286" s="113"/>
      <c r="R286" s="184">
        <f>IF(ISNUMBER(INDEX('M03-S09'!$AN$16:$AN$198,2*(ROWS($R$282:R286)-1)+1)),INDEX('M03-S09'!$AN$16:$AN$198,2*(ROWS($R$282:R286)-1)+1),0)</f>
        <v>0</v>
      </c>
      <c r="S286" s="459"/>
      <c r="T286" s="113"/>
      <c r="U286" s="140"/>
      <c r="V286" s="113"/>
      <c r="W286" s="96"/>
      <c r="X286" s="113"/>
      <c r="Y286" s="113"/>
      <c r="Z286" s="111">
        <f>INDEX('M03-S09'!$B$16:$B$198,2*(ROWS($Z$282:Z286)-1)+1)</f>
        <v>5</v>
      </c>
      <c r="AA286" s="111" t="str">
        <f>INDEX('M03-S09'!$N$16:$N$199,2*(ROWS($Z$282:AA286)-1)+1)</f>
        <v/>
      </c>
      <c r="AB286" s="111">
        <f>INDEX('M03-S09'!$C$16:$C$198,2*(ROWS($Z$282:AB286)-1)+1)</f>
        <v>0</v>
      </c>
      <c r="AC286" s="96"/>
      <c r="AD286">
        <f>INDEX('M03-S09'!$X$16:$X$198,2*(ROWS($AD$282:AD286)-1)+1)</f>
        <v>0</v>
      </c>
      <c r="AE286" s="459"/>
      <c r="AF286" s="459"/>
      <c r="AG286" s="112"/>
      <c r="AH286" s="112"/>
      <c r="AI286" s="112"/>
      <c r="AJ286" s="112"/>
      <c r="AK286" s="113"/>
      <c r="AL286" s="113"/>
      <c r="AM286" s="113"/>
      <c r="AN286" s="113"/>
      <c r="AO286" s="52" t="str">
        <f>IFERROR(INDEX(PMEAGG[Program Design],MATCH(AB286,PMEAGG[Eff Desc 1],0)),"")</f>
        <v/>
      </c>
      <c r="AU286"/>
    </row>
    <row r="287" spans="1:47">
      <c r="A287" s="57">
        <f t="shared" si="27"/>
        <v>0</v>
      </c>
      <c r="B287" s="183" t="str">
        <f t="shared" si="28"/>
        <v/>
      </c>
      <c r="C287" t="str">
        <f>IFERROR(IF(R287&gt;0,INDEX(PMEAGG[Measure '#],MATCH(AB287,PMEAGG[Eff Desc 1],0)),""),"")</f>
        <v/>
      </c>
      <c r="D287" t="s">
        <v>947</v>
      </c>
      <c r="F287" s="112"/>
      <c r="G287" s="186">
        <f>INDEX('M03-S09'!$AB$16:$AB$196,2*(ROWS($G$282:G287)-1)+1)</f>
        <v>0</v>
      </c>
      <c r="H287" s="186" t="str">
        <f>IF(ISNUMBER(INDEX('M03-S09'!$AN$16:$AN$198,2*(ROWS($R$282:R287)-1)+1)),"Total","")</f>
        <v/>
      </c>
      <c r="I287" s="184">
        <f>IFERROR(ROUND(INDEX('M03-S09'!$AE$16:$AE$198,2*(ROWS($I$282:I287)-1)+1),2),0)</f>
        <v>0</v>
      </c>
      <c r="J287" s="184">
        <f>IFERROR(ROUND(INDEX('M03-S09'!$AG$16:$AG$198,2*(ROWS($J$282:J287)-1)+1),2),0)</f>
        <v>0</v>
      </c>
      <c r="K287" s="52">
        <f>IFERROR(ROUND(INDEX('M03-S09'!$AU$16:$AU$196,2*(ROWS($K$282:K287)-1)+1),2),0)</f>
        <v>0</v>
      </c>
      <c r="L287" s="52" t="str">
        <f>IFERROR(IF(R287&gt;0,M287*INDEX(PMEAGG[Incremental Cost],MATCH(AB287,PMEAGG[Eff Desc 1],0)),""),"")</f>
        <v/>
      </c>
      <c r="M287" s="456">
        <f>INDEX('M03-S09'!$V$16:$V$198,2*(ROWS($M$266:M271)-1)+1)</f>
        <v>0</v>
      </c>
      <c r="N287" s="184" t="str">
        <f>IF(ISNUMBER(INDEX('M03-S09'!$AN$16:$AN$198,2*(ROWS($R$282:R287)-1)+1)),INDEX('M03-S09'!$AW$16:$AW$198,2*(ROWS($N$282:N287)-1)+1),"")</f>
        <v/>
      </c>
      <c r="O287" s="456" t="str">
        <f>IFERROR(IF(ISNUMBER(INDEX('M03-S09'!$AN$16:$AN$198,2*(ROWS($R$282:R287)-1)+1)),INDEX('M03-S09'!$AV$16:$AV$198,2*(ROWS($O$282:O287)-1)+1),""),"")</f>
        <v/>
      </c>
      <c r="P287" s="113"/>
      <c r="Q287" s="113"/>
      <c r="R287" s="184">
        <f>IF(ISNUMBER(INDEX('M03-S09'!$AN$16:$AN$198,2*(ROWS($R$282:R287)-1)+1)),INDEX('M03-S09'!$AN$16:$AN$198,2*(ROWS($R$282:R287)-1)+1),0)</f>
        <v>0</v>
      </c>
      <c r="S287" s="459"/>
      <c r="T287" s="113"/>
      <c r="U287" s="140"/>
      <c r="V287" s="113"/>
      <c r="W287" s="96"/>
      <c r="X287" s="113"/>
      <c r="Y287" s="113"/>
      <c r="Z287" s="111">
        <f>INDEX('M03-S09'!$B$16:$B$198,2*(ROWS($Z$282:Z287)-1)+1)</f>
        <v>6</v>
      </c>
      <c r="AA287" s="111" t="str">
        <f>INDEX('M03-S09'!$N$16:$N$199,2*(ROWS($Z$282:AA287)-1)+1)</f>
        <v/>
      </c>
      <c r="AB287" s="111">
        <f>INDEX('M03-S09'!$C$16:$C$198,2*(ROWS($Z$282:AB287)-1)+1)</f>
        <v>0</v>
      </c>
      <c r="AC287" s="96"/>
      <c r="AD287">
        <f>INDEX('M03-S09'!$X$16:$X$198,2*(ROWS($AD$282:AD287)-1)+1)</f>
        <v>0</v>
      </c>
      <c r="AE287" s="459"/>
      <c r="AF287" s="459"/>
      <c r="AG287" s="112"/>
      <c r="AH287" s="112"/>
      <c r="AI287" s="112"/>
      <c r="AJ287" s="112"/>
      <c r="AK287" s="113"/>
      <c r="AL287" s="113"/>
      <c r="AM287" s="113"/>
      <c r="AN287" s="113"/>
      <c r="AO287" s="52" t="str">
        <f>IFERROR(INDEX(PMEAGG[Program Design],MATCH(AB287,PMEAGG[Eff Desc 1],0)),"")</f>
        <v/>
      </c>
      <c r="AU287"/>
    </row>
    <row r="288" spans="1:47">
      <c r="A288" s="57">
        <f t="shared" si="27"/>
        <v>0</v>
      </c>
      <c r="B288" s="183" t="str">
        <f t="shared" si="28"/>
        <v/>
      </c>
      <c r="C288" t="str">
        <f>IFERROR(IF(R288&gt;0,INDEX(PMEAGG[Measure '#],MATCH(AB288,PMEAGG[Eff Desc 1],0)),""),"")</f>
        <v/>
      </c>
      <c r="D288" t="s">
        <v>947</v>
      </c>
      <c r="F288" s="112"/>
      <c r="G288" s="186">
        <f>INDEX('M03-S09'!$AB$16:$AB$196,2*(ROWS($G$282:G288)-1)+1)</f>
        <v>0</v>
      </c>
      <c r="H288" s="186" t="str">
        <f>IF(ISNUMBER(INDEX('M03-S09'!$AN$16:$AN$198,2*(ROWS($R$282:R288)-1)+1)),"Total","")</f>
        <v/>
      </c>
      <c r="I288" s="184">
        <f>IFERROR(ROUND(INDEX('M03-S09'!$AE$16:$AE$198,2*(ROWS($I$282:I288)-1)+1),2),0)</f>
        <v>0</v>
      </c>
      <c r="J288" s="184">
        <f>IFERROR(ROUND(INDEX('M03-S09'!$AG$16:$AG$198,2*(ROWS($J$282:J288)-1)+1),2),0)</f>
        <v>0</v>
      </c>
      <c r="K288" s="52">
        <f>IFERROR(ROUND(INDEX('M03-S09'!$AU$16:$AU$196,2*(ROWS($K$282:K288)-1)+1),2),0)</f>
        <v>0</v>
      </c>
      <c r="L288" s="52" t="str">
        <f>IFERROR(IF(R288&gt;0,M288*INDEX(PMEAGG[Incremental Cost],MATCH(AB288,PMEAGG[Eff Desc 1],0)),""),"")</f>
        <v/>
      </c>
      <c r="M288" s="456">
        <f>INDEX('M03-S09'!$V$16:$V$198,2*(ROWS($M$266:M272)-1)+1)</f>
        <v>0</v>
      </c>
      <c r="N288" s="184" t="str">
        <f>IF(ISNUMBER(INDEX('M03-S09'!$AN$16:$AN$198,2*(ROWS($R$282:R288)-1)+1)),INDEX('M03-S09'!$AW$16:$AW$198,2*(ROWS($N$282:N288)-1)+1),"")</f>
        <v/>
      </c>
      <c r="O288" s="456" t="str">
        <f>IFERROR(IF(ISNUMBER(INDEX('M03-S09'!$AN$16:$AN$198,2*(ROWS($R$282:R288)-1)+1)),INDEX('M03-S09'!$AV$16:$AV$198,2*(ROWS($O$282:O288)-1)+1),""),"")</f>
        <v/>
      </c>
      <c r="P288" s="113"/>
      <c r="Q288" s="113"/>
      <c r="R288" s="184">
        <f>IF(ISNUMBER(INDEX('M03-S09'!$AN$16:$AN$198,2*(ROWS($R$282:R288)-1)+1)),INDEX('M03-S09'!$AN$16:$AN$198,2*(ROWS($R$282:R288)-1)+1),0)</f>
        <v>0</v>
      </c>
      <c r="S288" s="459"/>
      <c r="T288" s="113"/>
      <c r="U288" s="140"/>
      <c r="V288" s="113"/>
      <c r="W288" s="96"/>
      <c r="X288" s="113"/>
      <c r="Y288" s="113"/>
      <c r="Z288" s="111">
        <f>INDEX('M03-S09'!$B$16:$B$198,2*(ROWS($Z$282:Z288)-1)+1)</f>
        <v>7</v>
      </c>
      <c r="AA288" s="111" t="str">
        <f>INDEX('M03-S09'!$N$16:$N$199,2*(ROWS($Z$282:AA288)-1)+1)</f>
        <v/>
      </c>
      <c r="AB288" s="111">
        <f>INDEX('M03-S09'!$C$16:$C$198,2*(ROWS($Z$282:AB288)-1)+1)</f>
        <v>0</v>
      </c>
      <c r="AC288" s="96"/>
      <c r="AD288">
        <f>INDEX('M03-S09'!$X$16:$X$198,2*(ROWS($AD$282:AD288)-1)+1)</f>
        <v>0</v>
      </c>
      <c r="AE288" s="459"/>
      <c r="AF288" s="459"/>
      <c r="AG288" s="112"/>
      <c r="AH288" s="112"/>
      <c r="AI288" s="112"/>
      <c r="AJ288" s="112"/>
      <c r="AK288" s="113"/>
      <c r="AL288" s="113"/>
      <c r="AM288" s="113"/>
      <c r="AN288" s="113"/>
      <c r="AO288" s="52" t="str">
        <f>IFERROR(INDEX(PMEAGG[Program Design],MATCH(AB288,PMEAGG[Eff Desc 1],0)),"")</f>
        <v/>
      </c>
      <c r="AU288"/>
    </row>
    <row r="289" spans="1:47">
      <c r="A289" s="57">
        <f t="shared" si="27"/>
        <v>0</v>
      </c>
      <c r="B289" s="183" t="str">
        <f t="shared" si="28"/>
        <v/>
      </c>
      <c r="C289" t="str">
        <f>IFERROR(IF(R289&gt;0,INDEX(PMEAGG[Measure '#],MATCH(AB289,PMEAGG[Eff Desc 1],0)),""),"")</f>
        <v/>
      </c>
      <c r="D289" t="s">
        <v>947</v>
      </c>
      <c r="F289" s="112"/>
      <c r="G289" s="186">
        <f>INDEX('M03-S09'!$AB$16:$AB$196,2*(ROWS($G$282:G289)-1)+1)</f>
        <v>0</v>
      </c>
      <c r="H289" s="186" t="str">
        <f>IF(ISNUMBER(INDEX('M03-S09'!$AN$16:$AN$198,2*(ROWS($R$282:R289)-1)+1)),"Total","")</f>
        <v/>
      </c>
      <c r="I289" s="184">
        <f>IFERROR(ROUND(INDEX('M03-S09'!$AE$16:$AE$198,2*(ROWS($I$282:I289)-1)+1),2),0)</f>
        <v>0</v>
      </c>
      <c r="J289" s="184">
        <f>IFERROR(ROUND(INDEX('M03-S09'!$AG$16:$AG$198,2*(ROWS($J$282:J289)-1)+1),2),0)</f>
        <v>0</v>
      </c>
      <c r="K289" s="52">
        <f>IFERROR(ROUND(INDEX('M03-S09'!$AU$16:$AU$196,2*(ROWS($K$282:K289)-1)+1),2),0)</f>
        <v>0</v>
      </c>
      <c r="L289" s="52" t="str">
        <f>IFERROR(IF(R289&gt;0,M289*INDEX(PMEAGG[Incremental Cost],MATCH(AB289,PMEAGG[Eff Desc 1],0)),""),"")</f>
        <v/>
      </c>
      <c r="M289" s="456">
        <f>INDEX('M03-S09'!$V$16:$V$198,2*(ROWS($M$266:M273)-1)+1)</f>
        <v>0</v>
      </c>
      <c r="N289" s="184" t="str">
        <f>IF(ISNUMBER(INDEX('M03-S09'!$AN$16:$AN$198,2*(ROWS($R$282:R289)-1)+1)),INDEX('M03-S09'!$AW$16:$AW$198,2*(ROWS($N$282:N289)-1)+1),"")</f>
        <v/>
      </c>
      <c r="O289" s="456" t="str">
        <f>IFERROR(IF(ISNUMBER(INDEX('M03-S09'!$AN$16:$AN$198,2*(ROWS($R$282:R289)-1)+1)),INDEX('M03-S09'!$AV$16:$AV$198,2*(ROWS($O$282:O289)-1)+1),""),"")</f>
        <v/>
      </c>
      <c r="P289" s="113"/>
      <c r="Q289" s="113"/>
      <c r="R289" s="184">
        <f>IF(ISNUMBER(INDEX('M03-S09'!$AN$16:$AN$198,2*(ROWS($R$282:R289)-1)+1)),INDEX('M03-S09'!$AN$16:$AN$198,2*(ROWS($R$282:R289)-1)+1),0)</f>
        <v>0</v>
      </c>
      <c r="S289" s="459"/>
      <c r="T289" s="113"/>
      <c r="U289" s="140"/>
      <c r="V289" s="113"/>
      <c r="W289" s="96"/>
      <c r="X289" s="113"/>
      <c r="Y289" s="113"/>
      <c r="Z289" s="111">
        <f>INDEX('M03-S09'!$B$16:$B$198,2*(ROWS($Z$282:Z289)-1)+1)</f>
        <v>8</v>
      </c>
      <c r="AA289" s="111" t="str">
        <f>INDEX('M03-S09'!$N$16:$N$199,2*(ROWS($Z$282:AA289)-1)+1)</f>
        <v/>
      </c>
      <c r="AB289" s="111">
        <f>INDEX('M03-S09'!$C$16:$C$198,2*(ROWS($Z$282:AB289)-1)+1)</f>
        <v>0</v>
      </c>
      <c r="AC289" s="96"/>
      <c r="AD289">
        <f>INDEX('M03-S09'!$X$16:$X$198,2*(ROWS($AD$282:AD289)-1)+1)</f>
        <v>0</v>
      </c>
      <c r="AE289" s="459"/>
      <c r="AF289" s="459"/>
      <c r="AG289" s="112"/>
      <c r="AH289" s="112"/>
      <c r="AI289" s="112"/>
      <c r="AJ289" s="112"/>
      <c r="AK289" s="113"/>
      <c r="AL289" s="113"/>
      <c r="AM289" s="113"/>
      <c r="AN289" s="113"/>
      <c r="AO289" s="52" t="str">
        <f>IFERROR(INDEX(PMEAGG[Program Design],MATCH(AB289,PMEAGG[Eff Desc 1],0)),"")</f>
        <v/>
      </c>
      <c r="AU289"/>
    </row>
    <row r="290" spans="1:47">
      <c r="A290" s="57">
        <f t="shared" si="27"/>
        <v>0</v>
      </c>
      <c r="B290" s="183" t="str">
        <f t="shared" si="28"/>
        <v/>
      </c>
      <c r="C290" t="str">
        <f>IFERROR(IF(R290&gt;0,INDEX(PMEAGG[Measure '#],MATCH(AB290,PMEAGG[Eff Desc 1],0)),""),"")</f>
        <v/>
      </c>
      <c r="D290" t="s">
        <v>947</v>
      </c>
      <c r="F290" s="112"/>
      <c r="G290" s="186">
        <f>INDEX('M03-S09'!$AB$16:$AB$196,2*(ROWS($G$282:G290)-1)+1)</f>
        <v>0</v>
      </c>
      <c r="H290" s="186" t="str">
        <f>IF(ISNUMBER(INDEX('M03-S09'!$AN$16:$AN$198,2*(ROWS($R$282:R290)-1)+1)),"Total","")</f>
        <v/>
      </c>
      <c r="I290" s="184">
        <f>IFERROR(ROUND(INDEX('M03-S09'!$AE$16:$AE$198,2*(ROWS($I$282:I290)-1)+1),2),0)</f>
        <v>0</v>
      </c>
      <c r="J290" s="184">
        <f>IFERROR(ROUND(INDEX('M03-S09'!$AG$16:$AG$198,2*(ROWS($J$282:J290)-1)+1),2),0)</f>
        <v>0</v>
      </c>
      <c r="K290" s="52">
        <f>IFERROR(ROUND(INDEX('M03-S09'!$AU$16:$AU$196,2*(ROWS($K$282:K290)-1)+1),2),0)</f>
        <v>0</v>
      </c>
      <c r="L290" s="52" t="str">
        <f>IFERROR(IF(R290&gt;0,M290*INDEX(PMEAGG[Incremental Cost],MATCH(AB290,PMEAGG[Eff Desc 1],0)),""),"")</f>
        <v/>
      </c>
      <c r="M290" s="456">
        <f>INDEX('M03-S09'!$V$16:$V$198,2*(ROWS($M$266:M274)-1)+1)</f>
        <v>0</v>
      </c>
      <c r="N290" s="184" t="str">
        <f>IF(ISNUMBER(INDEX('M03-S09'!$AN$16:$AN$198,2*(ROWS($R$282:R290)-1)+1)),INDEX('M03-S09'!$AW$16:$AW$198,2*(ROWS($N$282:N290)-1)+1),"")</f>
        <v/>
      </c>
      <c r="O290" s="456" t="str">
        <f>IFERROR(IF(ISNUMBER(INDEX('M03-S09'!$AN$16:$AN$198,2*(ROWS($R$282:R290)-1)+1)),INDEX('M03-S09'!$AV$16:$AV$198,2*(ROWS($O$282:O290)-1)+1),""),"")</f>
        <v/>
      </c>
      <c r="P290" s="113"/>
      <c r="Q290" s="113"/>
      <c r="R290" s="184">
        <f>IF(ISNUMBER(INDEX('M03-S09'!$AN$16:$AN$198,2*(ROWS($R$282:R290)-1)+1)),INDEX('M03-S09'!$AN$16:$AN$198,2*(ROWS($R$282:R290)-1)+1),0)</f>
        <v>0</v>
      </c>
      <c r="S290" s="459"/>
      <c r="T290" s="113"/>
      <c r="U290" s="140"/>
      <c r="V290" s="113"/>
      <c r="W290" s="96"/>
      <c r="X290" s="113"/>
      <c r="Y290" s="113"/>
      <c r="Z290" s="111">
        <f>INDEX('M03-S09'!$B$16:$B$198,2*(ROWS($Z$282:Z290)-1)+1)</f>
        <v>9</v>
      </c>
      <c r="AA290" s="111" t="str">
        <f>INDEX('M03-S09'!$N$16:$N$199,2*(ROWS($Z$282:AA290)-1)+1)</f>
        <v/>
      </c>
      <c r="AB290" s="111">
        <f>INDEX('M03-S09'!$C$16:$C$198,2*(ROWS($Z$282:AB290)-1)+1)</f>
        <v>0</v>
      </c>
      <c r="AC290" s="96"/>
      <c r="AD290">
        <f>INDEX('M03-S09'!$X$16:$X$198,2*(ROWS($AD$282:AD290)-1)+1)</f>
        <v>0</v>
      </c>
      <c r="AE290" s="459"/>
      <c r="AF290" s="459"/>
      <c r="AG290" s="112"/>
      <c r="AH290" s="112"/>
      <c r="AI290" s="112"/>
      <c r="AJ290" s="112"/>
      <c r="AK290" s="113"/>
      <c r="AL290" s="113"/>
      <c r="AM290" s="113"/>
      <c r="AN290" s="113"/>
      <c r="AO290" s="52" t="str">
        <f>IFERROR(INDEX(PMEAGG[Program Design],MATCH(AB290,PMEAGG[Eff Desc 1],0)),"")</f>
        <v/>
      </c>
      <c r="AU290"/>
    </row>
    <row r="291" spans="1:47">
      <c r="A291" s="57">
        <f t="shared" si="27"/>
        <v>0</v>
      </c>
      <c r="B291" s="183" t="str">
        <f t="shared" si="28"/>
        <v/>
      </c>
      <c r="C291" t="str">
        <f>IFERROR(IF(R291&gt;0,INDEX(PMEAGG[Measure '#],MATCH(AB291,PMEAGG[Eff Desc 1],0)),""),"")</f>
        <v/>
      </c>
      <c r="D291" t="s">
        <v>947</v>
      </c>
      <c r="F291" s="112"/>
      <c r="G291" s="186">
        <f>INDEX('M03-S09'!$AB$16:$AB$196,2*(ROWS($G$282:G291)-1)+1)</f>
        <v>0</v>
      </c>
      <c r="H291" s="186" t="str">
        <f>IF(ISNUMBER(INDEX('M03-S09'!$AN$16:$AN$198,2*(ROWS($R$282:R291)-1)+1)),"Total","")</f>
        <v/>
      </c>
      <c r="I291" s="184">
        <f>IFERROR(ROUND(INDEX('M03-S09'!$AE$16:$AE$198,2*(ROWS($I$282:I291)-1)+1),2),0)</f>
        <v>0</v>
      </c>
      <c r="J291" s="184">
        <f>IFERROR(ROUND(INDEX('M03-S09'!$AG$16:$AG$198,2*(ROWS($J$282:J291)-1)+1),2),0)</f>
        <v>0</v>
      </c>
      <c r="K291" s="52">
        <f>IFERROR(ROUND(INDEX('M03-S09'!$AU$16:$AU$196,2*(ROWS($K$282:K291)-1)+1),2),0)</f>
        <v>0</v>
      </c>
      <c r="L291" s="52" t="str">
        <f>IFERROR(IF(R291&gt;0,M291*INDEX(PMEAGG[Incremental Cost],MATCH(AB291,PMEAGG[Eff Desc 1],0)),""),"")</f>
        <v/>
      </c>
      <c r="M291" s="456">
        <f>INDEX('M03-S09'!$V$16:$V$198,2*(ROWS($M$266:M275)-1)+1)</f>
        <v>0</v>
      </c>
      <c r="N291" s="184" t="str">
        <f>IF(ISNUMBER(INDEX('M03-S09'!$AN$16:$AN$198,2*(ROWS($R$282:R291)-1)+1)),INDEX('M03-S09'!$AW$16:$AW$198,2*(ROWS($N$282:N291)-1)+1),"")</f>
        <v/>
      </c>
      <c r="O291" s="456" t="str">
        <f>IFERROR(IF(ISNUMBER(INDEX('M03-S09'!$AN$16:$AN$198,2*(ROWS($R$282:R291)-1)+1)),INDEX('M03-S09'!$AV$16:$AV$198,2*(ROWS($O$282:O291)-1)+1),""),"")</f>
        <v/>
      </c>
      <c r="P291" s="113"/>
      <c r="Q291" s="113"/>
      <c r="R291" s="184">
        <f>IF(ISNUMBER(INDEX('M03-S09'!$AN$16:$AN$198,2*(ROWS($R$282:R291)-1)+1)),INDEX('M03-S09'!$AN$16:$AN$198,2*(ROWS($R$282:R291)-1)+1),0)</f>
        <v>0</v>
      </c>
      <c r="S291" s="459"/>
      <c r="T291" s="113"/>
      <c r="U291" s="140"/>
      <c r="V291" s="113"/>
      <c r="W291" s="96"/>
      <c r="X291" s="113"/>
      <c r="Y291" s="113"/>
      <c r="Z291" s="111">
        <f>INDEX('M03-S09'!$B$16:$B$198,2*(ROWS($Z$282:Z291)-1)+1)</f>
        <v>10</v>
      </c>
      <c r="AA291" s="111" t="str">
        <f>INDEX('M03-S09'!$N$16:$N$199,2*(ROWS($Z$282:AA291)-1)+1)</f>
        <v/>
      </c>
      <c r="AB291" s="111">
        <f>INDEX('M03-S09'!$C$16:$C$198,2*(ROWS($Z$282:AB291)-1)+1)</f>
        <v>0</v>
      </c>
      <c r="AC291" s="96"/>
      <c r="AD291">
        <f>INDEX('M03-S09'!$X$16:$X$198,2*(ROWS($AD$282:AD291)-1)+1)</f>
        <v>0</v>
      </c>
      <c r="AE291" s="459"/>
      <c r="AF291" s="459"/>
      <c r="AG291" s="112"/>
      <c r="AH291" s="112"/>
      <c r="AI291" s="112"/>
      <c r="AJ291" s="112"/>
      <c r="AK291" s="113"/>
      <c r="AL291" s="113"/>
      <c r="AM291" s="113"/>
      <c r="AN291" s="113"/>
      <c r="AO291" s="52" t="str">
        <f>IFERROR(INDEX(PMEAGG[Program Design],MATCH(AB291,PMEAGG[Eff Desc 1],0)),"")</f>
        <v/>
      </c>
      <c r="AU291"/>
    </row>
    <row r="292" spans="1:47">
      <c r="A292" s="57">
        <f t="shared" si="27"/>
        <v>0</v>
      </c>
      <c r="B292" s="183" t="str">
        <f t="shared" si="28"/>
        <v/>
      </c>
      <c r="C292" t="str">
        <f>IFERROR(IF(R292&gt;0,INDEX(PMEAGG[Measure '#],MATCH(AB292,PMEAGG[Eff Desc 1],0)),""),"")</f>
        <v/>
      </c>
      <c r="D292" t="s">
        <v>947</v>
      </c>
      <c r="F292" s="112"/>
      <c r="G292" s="186">
        <f>INDEX('M03-S09'!$AB$16:$AB$196,2*(ROWS($G$282:G292)-1)+1)</f>
        <v>0</v>
      </c>
      <c r="H292" s="186" t="str">
        <f>IF(ISNUMBER(INDEX('M03-S09'!$AN$16:$AN$198,2*(ROWS($R$282:R292)-1)+1)),"Total","")</f>
        <v/>
      </c>
      <c r="I292" s="184">
        <f>IFERROR(ROUND(INDEX('M03-S09'!$AE$16:$AE$198,2*(ROWS($I$282:I292)-1)+1),2),0)</f>
        <v>0</v>
      </c>
      <c r="J292" s="184">
        <f>IFERROR(ROUND(INDEX('M03-S09'!$AG$16:$AG$198,2*(ROWS($J$282:J292)-1)+1),2),0)</f>
        <v>0</v>
      </c>
      <c r="K292" s="52">
        <f>IFERROR(ROUND(INDEX('M03-S09'!$AU$16:$AU$196,2*(ROWS($K$282:K292)-1)+1),2),0)</f>
        <v>0</v>
      </c>
      <c r="L292" s="52" t="str">
        <f>IFERROR(IF(R292&gt;0,M292*INDEX(PMEAGG[Incremental Cost],MATCH(AB292,PMEAGG[Eff Desc 1],0)),""),"")</f>
        <v/>
      </c>
      <c r="M292" s="456">
        <f>INDEX('M03-S09'!$V$16:$V$198,2*(ROWS($M$266:M276)-1)+1)</f>
        <v>0</v>
      </c>
      <c r="N292" s="184" t="str">
        <f>IF(ISNUMBER(INDEX('M03-S09'!$AN$16:$AN$198,2*(ROWS($R$282:R292)-1)+1)),INDEX('M03-S09'!$AW$16:$AW$198,2*(ROWS($N$282:N292)-1)+1),"")</f>
        <v/>
      </c>
      <c r="O292" s="456" t="str">
        <f>IFERROR(IF(ISNUMBER(INDEX('M03-S09'!$AN$16:$AN$198,2*(ROWS($R$282:R292)-1)+1)),INDEX('M03-S09'!$AV$16:$AV$198,2*(ROWS($O$282:O292)-1)+1),""),"")</f>
        <v/>
      </c>
      <c r="P292" s="113"/>
      <c r="Q292" s="113"/>
      <c r="R292" s="184">
        <f>IF(ISNUMBER(INDEX('M03-S09'!$AN$16:$AN$198,2*(ROWS($R$282:R292)-1)+1)),INDEX('M03-S09'!$AN$16:$AN$198,2*(ROWS($R$282:R292)-1)+1),0)</f>
        <v>0</v>
      </c>
      <c r="S292" s="459"/>
      <c r="T292" s="113"/>
      <c r="U292" s="140"/>
      <c r="V292" s="113"/>
      <c r="W292" s="96"/>
      <c r="X292" s="113"/>
      <c r="Y292" s="113"/>
      <c r="Z292" s="111">
        <f>INDEX('M03-S09'!$B$16:$B$198,2*(ROWS($Z$282:Z292)-1)+1)</f>
        <v>11</v>
      </c>
      <c r="AA292" s="111" t="str">
        <f>INDEX('M03-S09'!$N$16:$N$199,2*(ROWS($Z$282:AA292)-1)+1)</f>
        <v/>
      </c>
      <c r="AB292" s="111">
        <f>INDEX('M03-S09'!$C$16:$C$198,2*(ROWS($Z$282:AB292)-1)+1)</f>
        <v>0</v>
      </c>
      <c r="AC292" s="96"/>
      <c r="AD292">
        <f>INDEX('M03-S09'!$X$16:$X$198,2*(ROWS($AD$282:AD292)-1)+1)</f>
        <v>0</v>
      </c>
      <c r="AE292" s="459"/>
      <c r="AF292" s="459"/>
      <c r="AG292" s="112"/>
      <c r="AH292" s="112"/>
      <c r="AI292" s="112"/>
      <c r="AJ292" s="112"/>
      <c r="AK292" s="113"/>
      <c r="AL292" s="113"/>
      <c r="AM292" s="113"/>
      <c r="AN292" s="113"/>
      <c r="AO292" s="52" t="str">
        <f>IFERROR(INDEX(PMEAGG[Program Design],MATCH(AB292,PMEAGG[Eff Desc 1],0)),"")</f>
        <v/>
      </c>
      <c r="AU292"/>
    </row>
    <row r="293" spans="1:47">
      <c r="A293" s="57">
        <f t="shared" si="27"/>
        <v>0</v>
      </c>
      <c r="B293" s="183" t="str">
        <f t="shared" si="28"/>
        <v/>
      </c>
      <c r="C293" t="str">
        <f>IFERROR(IF(R293&gt;0,INDEX(PMEAGG[Measure '#],MATCH(AB293,PMEAGG[Eff Desc 1],0)),""),"")</f>
        <v/>
      </c>
      <c r="D293" t="s">
        <v>947</v>
      </c>
      <c r="F293" s="112"/>
      <c r="G293" s="186">
        <f>INDEX('M03-S09'!$AB$16:$AB$196,2*(ROWS($G$282:G293)-1)+1)</f>
        <v>0</v>
      </c>
      <c r="H293" s="186" t="str">
        <f>IF(ISNUMBER(INDEX('M03-S09'!$AN$16:$AN$198,2*(ROWS($R$282:R293)-1)+1)),"Total","")</f>
        <v/>
      </c>
      <c r="I293" s="184">
        <f>IFERROR(ROUND(INDEX('M03-S09'!$AE$16:$AE$198,2*(ROWS($I$282:I293)-1)+1),2),0)</f>
        <v>0</v>
      </c>
      <c r="J293" s="184">
        <f>IFERROR(ROUND(INDEX('M03-S09'!$AG$16:$AG$198,2*(ROWS($J$282:J293)-1)+1),2),0)</f>
        <v>0</v>
      </c>
      <c r="K293" s="52">
        <f>IFERROR(ROUND(INDEX('M03-S09'!$AU$16:$AU$196,2*(ROWS($K$282:K293)-1)+1),2),0)</f>
        <v>0</v>
      </c>
      <c r="L293" s="52" t="str">
        <f>IFERROR(IF(R293&gt;0,M293*INDEX(PMEAGG[Incremental Cost],MATCH(AB293,PMEAGG[Eff Desc 1],0)),""),"")</f>
        <v/>
      </c>
      <c r="M293" s="456">
        <f>INDEX('M03-S09'!$V$16:$V$198,2*(ROWS($M$266:M277)-1)+1)</f>
        <v>0</v>
      </c>
      <c r="N293" s="184" t="str">
        <f>IF(ISNUMBER(INDEX('M03-S09'!$AN$16:$AN$198,2*(ROWS($R$282:R293)-1)+1)),INDEX('M03-S09'!$AW$16:$AW$198,2*(ROWS($N$282:N293)-1)+1),"")</f>
        <v/>
      </c>
      <c r="O293" s="456" t="str">
        <f>IFERROR(IF(ISNUMBER(INDEX('M03-S09'!$AN$16:$AN$198,2*(ROWS($R$282:R293)-1)+1)),INDEX('M03-S09'!$AV$16:$AV$198,2*(ROWS($O$282:O293)-1)+1),""),"")</f>
        <v/>
      </c>
      <c r="P293" s="113"/>
      <c r="Q293" s="113"/>
      <c r="R293" s="184">
        <f>IF(ISNUMBER(INDEX('M03-S09'!$AN$16:$AN$198,2*(ROWS($R$282:R293)-1)+1)),INDEX('M03-S09'!$AN$16:$AN$198,2*(ROWS($R$282:R293)-1)+1),0)</f>
        <v>0</v>
      </c>
      <c r="S293" s="459"/>
      <c r="T293" s="113"/>
      <c r="U293" s="140"/>
      <c r="V293" s="113"/>
      <c r="W293" s="96"/>
      <c r="X293" s="113"/>
      <c r="Y293" s="113"/>
      <c r="Z293" s="111">
        <f>INDEX('M03-S09'!$B$16:$B$198,2*(ROWS($Z$282:Z293)-1)+1)</f>
        <v>12</v>
      </c>
      <c r="AA293" s="111" t="str">
        <f>INDEX('M03-S09'!$N$16:$N$199,2*(ROWS($Z$282:AA293)-1)+1)</f>
        <v/>
      </c>
      <c r="AB293" s="111">
        <f>INDEX('M03-S09'!$C$16:$C$198,2*(ROWS($Z$282:AB293)-1)+1)</f>
        <v>0</v>
      </c>
      <c r="AC293" s="96"/>
      <c r="AD293">
        <f>INDEX('M03-S09'!$X$16:$X$198,2*(ROWS($AD$282:AD293)-1)+1)</f>
        <v>0</v>
      </c>
      <c r="AE293" s="459"/>
      <c r="AF293" s="459"/>
      <c r="AG293" s="112"/>
      <c r="AH293" s="112"/>
      <c r="AI293" s="112"/>
      <c r="AJ293" s="112"/>
      <c r="AK293" s="113"/>
      <c r="AL293" s="113"/>
      <c r="AM293" s="113"/>
      <c r="AN293" s="113"/>
      <c r="AO293" s="52" t="str">
        <f>IFERROR(INDEX(PMEAGG[Program Design],MATCH(AB293,PMEAGG[Eff Desc 1],0)),"")</f>
        <v/>
      </c>
      <c r="AU293"/>
    </row>
    <row r="294" spans="1:47">
      <c r="A294" s="57">
        <f t="shared" si="27"/>
        <v>0</v>
      </c>
      <c r="B294" s="183" t="str">
        <f t="shared" si="28"/>
        <v/>
      </c>
      <c r="C294" t="str">
        <f>IFERROR(IF(R294&gt;0,INDEX(PMEAGG[Measure '#],MATCH(AB294,PMEAGG[Eff Desc 1],0)),""),"")</f>
        <v/>
      </c>
      <c r="D294" t="s">
        <v>947</v>
      </c>
      <c r="F294" s="112"/>
      <c r="G294" s="186">
        <f>INDEX('M03-S09'!$AB$16:$AB$196,2*(ROWS($G$282:G294)-1)+1)</f>
        <v>0</v>
      </c>
      <c r="H294" s="186" t="str">
        <f>IF(ISNUMBER(INDEX('M03-S09'!$AN$16:$AN$198,2*(ROWS($R$282:R294)-1)+1)),"Total","")</f>
        <v/>
      </c>
      <c r="I294" s="184">
        <f>IFERROR(ROUND(INDEX('M03-S09'!$AE$16:$AE$198,2*(ROWS($I$282:I294)-1)+1),2),0)</f>
        <v>0</v>
      </c>
      <c r="J294" s="184">
        <f>IFERROR(ROUND(INDEX('M03-S09'!$AG$16:$AG$198,2*(ROWS($J$282:J294)-1)+1),2),0)</f>
        <v>0</v>
      </c>
      <c r="K294" s="52">
        <f>IFERROR(ROUND(INDEX('M03-S09'!$AU$16:$AU$196,2*(ROWS($K$282:K294)-1)+1),2),0)</f>
        <v>0</v>
      </c>
      <c r="L294" s="52" t="str">
        <f>IFERROR(IF(R294&gt;0,M294*INDEX(PMEAGG[Incremental Cost],MATCH(AB294,PMEAGG[Eff Desc 1],0)),""),"")</f>
        <v/>
      </c>
      <c r="M294" s="456">
        <f>INDEX('M03-S09'!$V$16:$V$198,2*(ROWS($M$266:M278)-1)+1)</f>
        <v>0</v>
      </c>
      <c r="N294" s="184" t="str">
        <f>IF(ISNUMBER(INDEX('M03-S09'!$AN$16:$AN$198,2*(ROWS($R$282:R294)-1)+1)),INDEX('M03-S09'!$AW$16:$AW$198,2*(ROWS($N$282:N294)-1)+1),"")</f>
        <v/>
      </c>
      <c r="O294" s="456" t="str">
        <f>IFERROR(IF(ISNUMBER(INDEX('M03-S09'!$AN$16:$AN$198,2*(ROWS($R$282:R294)-1)+1)),INDEX('M03-S09'!$AV$16:$AV$198,2*(ROWS($O$282:O294)-1)+1),""),"")</f>
        <v/>
      </c>
      <c r="P294" s="113"/>
      <c r="Q294" s="113"/>
      <c r="R294" s="184">
        <f>IF(ISNUMBER(INDEX('M03-S09'!$AN$16:$AN$198,2*(ROWS($R$282:R294)-1)+1)),INDEX('M03-S09'!$AN$16:$AN$198,2*(ROWS($R$282:R294)-1)+1),0)</f>
        <v>0</v>
      </c>
      <c r="S294" s="459"/>
      <c r="T294" s="113"/>
      <c r="U294" s="140"/>
      <c r="V294" s="113"/>
      <c r="W294" s="96"/>
      <c r="X294" s="113"/>
      <c r="Y294" s="113"/>
      <c r="Z294" s="111">
        <f>INDEX('M03-S09'!$B$16:$B$198,2*(ROWS($Z$282:Z294)-1)+1)</f>
        <v>13</v>
      </c>
      <c r="AA294" s="111" t="str">
        <f>INDEX('M03-S09'!$N$16:$N$199,2*(ROWS($Z$282:AA294)-1)+1)</f>
        <v/>
      </c>
      <c r="AB294" s="111">
        <f>INDEX('M03-S09'!$C$16:$C$198,2*(ROWS($Z$282:AB294)-1)+1)</f>
        <v>0</v>
      </c>
      <c r="AC294" s="96"/>
      <c r="AD294">
        <f>INDEX('M03-S09'!$X$16:$X$198,2*(ROWS($AD$282:AD294)-1)+1)</f>
        <v>0</v>
      </c>
      <c r="AE294" s="459"/>
      <c r="AF294" s="459"/>
      <c r="AG294" s="112"/>
      <c r="AH294" s="112"/>
      <c r="AI294" s="112"/>
      <c r="AJ294" s="112"/>
      <c r="AK294" s="113"/>
      <c r="AL294" s="113"/>
      <c r="AM294" s="113"/>
      <c r="AN294" s="113"/>
      <c r="AO294" s="52" t="str">
        <f>IFERROR(INDEX(PMEAGG[Program Design],MATCH(AB294,PMEAGG[Eff Desc 1],0)),"")</f>
        <v/>
      </c>
      <c r="AU294"/>
    </row>
    <row r="295" spans="1:47">
      <c r="A295" s="57">
        <f t="shared" si="27"/>
        <v>0</v>
      </c>
      <c r="B295" s="183" t="str">
        <f t="shared" si="28"/>
        <v/>
      </c>
      <c r="C295" t="str">
        <f>IFERROR(IF(R295&gt;0,INDEX(PMEAGG[Measure '#],MATCH(AB295,PMEAGG[Eff Desc 1],0)),""),"")</f>
        <v/>
      </c>
      <c r="D295" t="s">
        <v>947</v>
      </c>
      <c r="F295" s="112"/>
      <c r="G295" s="186">
        <f>INDEX('M03-S09'!$AB$16:$AB$196,2*(ROWS($G$282:G295)-1)+1)</f>
        <v>0</v>
      </c>
      <c r="H295" s="186" t="str">
        <f>IF(ISNUMBER(INDEX('M03-S09'!$AN$16:$AN$198,2*(ROWS($R$282:R295)-1)+1)),"Total","")</f>
        <v/>
      </c>
      <c r="I295" s="184">
        <f>IFERROR(ROUND(INDEX('M03-S09'!$AE$16:$AE$198,2*(ROWS($I$282:I295)-1)+1),2),0)</f>
        <v>0</v>
      </c>
      <c r="J295" s="184">
        <f>IFERROR(ROUND(INDEX('M03-S09'!$AG$16:$AG$198,2*(ROWS($J$282:J295)-1)+1),2),0)</f>
        <v>0</v>
      </c>
      <c r="K295" s="52">
        <f>IFERROR(ROUND(INDEX('M03-S09'!$AU$16:$AU$196,2*(ROWS($K$282:K295)-1)+1),2),0)</f>
        <v>0</v>
      </c>
      <c r="L295" s="52" t="str">
        <f>IFERROR(IF(R295&gt;0,M295*INDEX(PMEAGG[Incremental Cost],MATCH(AB295,PMEAGG[Eff Desc 1],0)),""),"")</f>
        <v/>
      </c>
      <c r="M295" s="456">
        <f>INDEX('M03-S09'!$V$16:$V$198,2*(ROWS($M$266:M279)-1)+1)</f>
        <v>0</v>
      </c>
      <c r="N295" s="184" t="str">
        <f>IF(ISNUMBER(INDEX('M03-S09'!$AN$16:$AN$198,2*(ROWS($R$282:R295)-1)+1)),INDEX('M03-S09'!$AW$16:$AW$198,2*(ROWS($N$282:N295)-1)+1),"")</f>
        <v/>
      </c>
      <c r="O295" s="456" t="str">
        <f>IFERROR(IF(ISNUMBER(INDEX('M03-S09'!$AN$16:$AN$198,2*(ROWS($R$282:R295)-1)+1)),INDEX('M03-S09'!$AV$16:$AV$198,2*(ROWS($O$282:O295)-1)+1),""),"")</f>
        <v/>
      </c>
      <c r="P295" s="113"/>
      <c r="Q295" s="113"/>
      <c r="R295" s="184">
        <f>IF(ISNUMBER(INDEX('M03-S09'!$AN$16:$AN$198,2*(ROWS($R$282:R295)-1)+1)),INDEX('M03-S09'!$AN$16:$AN$198,2*(ROWS($R$282:R295)-1)+1),0)</f>
        <v>0</v>
      </c>
      <c r="S295" s="459"/>
      <c r="T295" s="113"/>
      <c r="U295" s="140"/>
      <c r="V295" s="113"/>
      <c r="W295" s="96"/>
      <c r="X295" s="113"/>
      <c r="Y295" s="113"/>
      <c r="Z295" s="111">
        <f>INDEX('M03-S09'!$B$16:$B$198,2*(ROWS($Z$282:Z295)-1)+1)</f>
        <v>14</v>
      </c>
      <c r="AA295" s="111" t="str">
        <f>INDEX('M03-S09'!$N$16:$N$199,2*(ROWS($Z$282:AA295)-1)+1)</f>
        <v/>
      </c>
      <c r="AB295" s="111">
        <f>INDEX('M03-S09'!$C$16:$C$198,2*(ROWS($Z$282:AB295)-1)+1)</f>
        <v>0</v>
      </c>
      <c r="AC295" s="96"/>
      <c r="AD295">
        <f>INDEX('M03-S09'!$X$16:$X$198,2*(ROWS($AD$282:AD295)-1)+1)</f>
        <v>0</v>
      </c>
      <c r="AE295" s="459"/>
      <c r="AF295" s="459"/>
      <c r="AG295" s="112"/>
      <c r="AH295" s="112"/>
      <c r="AI295" s="112"/>
      <c r="AJ295" s="112"/>
      <c r="AK295" s="113"/>
      <c r="AL295" s="113"/>
      <c r="AM295" s="113"/>
      <c r="AN295" s="113"/>
      <c r="AO295" s="52" t="str">
        <f>IFERROR(INDEX(PMEAGG[Program Design],MATCH(AB295,PMEAGG[Eff Desc 1],0)),"")</f>
        <v/>
      </c>
      <c r="AU295"/>
    </row>
    <row r="296" spans="1:47">
      <c r="A296" s="57">
        <f t="shared" si="27"/>
        <v>0</v>
      </c>
      <c r="B296" s="183" t="str">
        <f t="shared" si="28"/>
        <v/>
      </c>
      <c r="C296" t="str">
        <f>IFERROR(IF(R296&gt;0,INDEX(PMEAGG[Measure '#],MATCH(AB296,PMEAGG[Eff Desc 1],0)),""),"")</f>
        <v/>
      </c>
      <c r="D296" t="s">
        <v>947</v>
      </c>
      <c r="F296" s="112"/>
      <c r="G296" s="186">
        <f>INDEX('M03-S09'!$AB$16:$AB$196,2*(ROWS($G$282:G296)-1)+1)</f>
        <v>0</v>
      </c>
      <c r="H296" s="186" t="str">
        <f>IF(ISNUMBER(INDEX('M03-S09'!$AN$16:$AN$198,2*(ROWS($R$282:R296)-1)+1)),"Total","")</f>
        <v/>
      </c>
      <c r="I296" s="184">
        <f>IFERROR(ROUND(INDEX('M03-S09'!$AE$16:$AE$198,2*(ROWS($I$282:I296)-1)+1),2),0)</f>
        <v>0</v>
      </c>
      <c r="J296" s="184">
        <f>IFERROR(ROUND(INDEX('M03-S09'!$AG$16:$AG$198,2*(ROWS($J$282:J296)-1)+1),2),0)</f>
        <v>0</v>
      </c>
      <c r="K296" s="52">
        <f>IFERROR(ROUND(INDEX('M03-S09'!$AU$16:$AU$196,2*(ROWS($K$282:K296)-1)+1),2),0)</f>
        <v>0</v>
      </c>
      <c r="L296" s="52" t="str">
        <f>IFERROR(IF(R296&gt;0,M296*INDEX(PMEAGG[Incremental Cost],MATCH(AB296,PMEAGG[Eff Desc 1],0)),""),"")</f>
        <v/>
      </c>
      <c r="M296" s="456">
        <f>INDEX('M03-S09'!$V$16:$V$198,2*(ROWS($M$266:M280)-1)+1)</f>
        <v>0</v>
      </c>
      <c r="N296" s="184" t="str">
        <f>IF(ISNUMBER(INDEX('M03-S09'!$AN$16:$AN$198,2*(ROWS($R$282:R296)-1)+1)),INDEX('M03-S09'!$AW$16:$AW$198,2*(ROWS($N$282:N296)-1)+1),"")</f>
        <v/>
      </c>
      <c r="O296" s="456" t="str">
        <f>IFERROR(IF(ISNUMBER(INDEX('M03-S09'!$AN$16:$AN$198,2*(ROWS($R$282:R296)-1)+1)),INDEX('M03-S09'!$AV$16:$AV$198,2*(ROWS($O$282:O296)-1)+1),""),"")</f>
        <v/>
      </c>
      <c r="P296" s="113"/>
      <c r="Q296" s="113"/>
      <c r="R296" s="184">
        <f>IF(ISNUMBER(INDEX('M03-S09'!$AN$16:$AN$198,2*(ROWS($R$282:R296)-1)+1)),INDEX('M03-S09'!$AN$16:$AN$198,2*(ROWS($R$282:R296)-1)+1),0)</f>
        <v>0</v>
      </c>
      <c r="S296" s="459"/>
      <c r="T296" s="113"/>
      <c r="U296" s="140"/>
      <c r="V296" s="113"/>
      <c r="W296" s="96"/>
      <c r="X296" s="113"/>
      <c r="Y296" s="113"/>
      <c r="Z296" s="111">
        <f>INDEX('M03-S09'!$B$16:$B$198,2*(ROWS($Z$282:Z296)-1)+1)</f>
        <v>15</v>
      </c>
      <c r="AA296" s="111" t="str">
        <f>INDEX('M03-S09'!$N$16:$N$199,2*(ROWS($Z$282:AA296)-1)+1)</f>
        <v/>
      </c>
      <c r="AB296" s="111">
        <f>INDEX('M03-S09'!$C$16:$C$198,2*(ROWS($Z$282:AB296)-1)+1)</f>
        <v>0</v>
      </c>
      <c r="AC296" s="96"/>
      <c r="AD296">
        <f>INDEX('M03-S09'!$X$16:$X$198,2*(ROWS($AD$282:AD296)-1)+1)</f>
        <v>0</v>
      </c>
      <c r="AE296" s="459"/>
      <c r="AF296" s="459"/>
      <c r="AG296" s="112"/>
      <c r="AH296" s="112"/>
      <c r="AI296" s="112"/>
      <c r="AJ296" s="112"/>
      <c r="AK296" s="113"/>
      <c r="AL296" s="113"/>
      <c r="AM296" s="113"/>
      <c r="AN296" s="113"/>
      <c r="AO296" s="52" t="str">
        <f>IFERROR(INDEX(PMEAGG[Program Design],MATCH(AB296,PMEAGG[Eff Desc 1],0)),"")</f>
        <v/>
      </c>
      <c r="AU296"/>
    </row>
    <row r="297" spans="1:47">
      <c r="A297" s="112"/>
      <c r="B297" s="112"/>
      <c r="C297" s="112"/>
      <c r="D297" s="112"/>
      <c r="E297" s="112"/>
      <c r="F297" s="112"/>
      <c r="G297" s="112"/>
      <c r="H297" s="112"/>
      <c r="I297" s="112"/>
      <c r="J297" s="112"/>
      <c r="K297" s="112"/>
      <c r="L297" s="112"/>
      <c r="M297" s="112"/>
      <c r="N297" s="112"/>
      <c r="O297" s="112"/>
      <c r="P297" s="112"/>
      <c r="Q297" s="112"/>
      <c r="R297" s="112"/>
      <c r="S297" s="112"/>
      <c r="T297" s="112"/>
      <c r="U297" s="112"/>
      <c r="V297" s="112"/>
      <c r="W297" s="112"/>
      <c r="X297" s="112"/>
      <c r="Y297" s="112"/>
      <c r="Z297" s="112"/>
      <c r="AA297" s="112"/>
      <c r="AB297" s="112"/>
      <c r="AC297" s="112"/>
      <c r="AD297" s="112"/>
      <c r="AE297" s="112"/>
      <c r="AF297" s="112"/>
      <c r="AG297" s="112"/>
      <c r="AH297" s="112"/>
      <c r="AI297" s="112"/>
      <c r="AJ297" s="112"/>
      <c r="AK297" s="112"/>
      <c r="AL297" s="112"/>
      <c r="AM297" s="112"/>
      <c r="AN297" s="112"/>
      <c r="AO297" s="112"/>
      <c r="AU297"/>
    </row>
    <row r="298" spans="1:47">
      <c r="A298" s="112"/>
      <c r="B298" s="112"/>
      <c r="C298" s="112"/>
      <c r="D298" s="112"/>
      <c r="E298" s="112"/>
      <c r="F298" s="112"/>
      <c r="G298" s="112"/>
      <c r="H298" s="112"/>
      <c r="I298" s="112"/>
      <c r="J298" s="112"/>
      <c r="K298" s="112"/>
      <c r="L298" s="112"/>
      <c r="M298" s="112"/>
      <c r="N298" s="112"/>
      <c r="O298" s="112"/>
      <c r="P298" s="112"/>
      <c r="Q298" s="112"/>
      <c r="R298" s="112"/>
      <c r="S298" s="112"/>
      <c r="T298" s="112"/>
      <c r="U298" s="112"/>
      <c r="V298" s="112"/>
      <c r="W298" s="112"/>
      <c r="X298" s="112"/>
      <c r="Y298" s="112"/>
      <c r="Z298" s="112"/>
      <c r="AA298" s="112"/>
      <c r="AB298" s="112"/>
      <c r="AC298" s="112"/>
      <c r="AD298" s="112"/>
      <c r="AE298" s="112"/>
      <c r="AF298" s="112"/>
      <c r="AG298" s="112"/>
      <c r="AH298" s="112"/>
      <c r="AI298" s="112"/>
      <c r="AJ298" s="112"/>
      <c r="AK298" s="112"/>
      <c r="AL298" s="112"/>
      <c r="AM298" s="112"/>
      <c r="AN298" s="112"/>
      <c r="AO298" s="112"/>
      <c r="AU298"/>
    </row>
    <row r="299" spans="1:47">
      <c r="A299" s="57">
        <f t="shared" ref="A299:A307" si="29">PROJID</f>
        <v>0</v>
      </c>
      <c r="B299" s="183" t="str">
        <f t="shared" si="28"/>
        <v/>
      </c>
      <c r="C299" t="str">
        <f>IFERROR(IF(R299&gt;0,INDEX(PMGAGG[Measure '#],MATCH(AB299,PMGAGG[Eff Desc 1],0)),""),"")</f>
        <v/>
      </c>
      <c r="D299" t="s">
        <v>947</v>
      </c>
      <c r="F299" s="112"/>
      <c r="G299" s="186">
        <f>INDEX('M03-S09'!$AB$16:$AB$196,2*(ROWS($G$282:G299)-1)+1)</f>
        <v>0</v>
      </c>
      <c r="H299" s="186" t="str">
        <f>IF(ISNUMBER(INDEX('M03-S09'!$AN$16:$AN$198,2*(ROWS($R$299:R299)-1)+1)),"Total","")</f>
        <v/>
      </c>
      <c r="I299" s="184">
        <f>IFERROR(ROUND(INDEX('M03-S09'!$AE$16:$AE$198,2*(ROWS($I$282:I299)-1)+1),2),0)</f>
        <v>0</v>
      </c>
      <c r="J299" s="184">
        <f>IFERROR(ROUND(INDEX('M03-S09'!$AG$16:$AG$198,2*(ROWS($J$282:J299)-1)+1),2),0)</f>
        <v>0</v>
      </c>
      <c r="K299" s="52">
        <f>IFERROR(ROUND(INDEX('M03-S09'!$AU$16:$AU$196,2*(ROWS($K$282:K299)-1)+1),2),0)</f>
        <v>0</v>
      </c>
      <c r="L299" s="52" t="str">
        <f>IFERROR(IF(R299&gt;0,M299*INDEX(PMGAGG[Incremental Cost],MATCH(AB299,PMGAGG[Eff Desc 1],0)),""),"")</f>
        <v/>
      </c>
      <c r="M299" s="456">
        <f>INDEX('M03-S09'!$V$16:$V$198,2*(ROWS($M$282:M299)-1)+1)</f>
        <v>0</v>
      </c>
      <c r="N299" s="113"/>
      <c r="O299" s="113"/>
      <c r="P299" s="184" t="str">
        <f>IFERROR(IF(ISNUMBER(INDEX('M03-S09'!$AN$50:$AN$198,2*(ROWS($R$299:R299)-1)+1)),INDEX('M03-S09'!$AK$50:$AK$198,2*(ROWS($P$299:P299)-1)+1),""),"")</f>
        <v/>
      </c>
      <c r="Q299" s="184"/>
      <c r="R299" s="184">
        <f>IF(ISNUMBER(INDEX('M03-S09'!$AN$16:$AN$198,2*(ROWS($R$282:R299)-1)+1)),INDEX('M03-S09'!$AN$16:$AN$198,2*(ROWS($R$282:R299)-1)+1),0)</f>
        <v>0</v>
      </c>
      <c r="S299" s="459"/>
      <c r="T299" s="113"/>
      <c r="U299" s="140"/>
      <c r="V299" s="113"/>
      <c r="W299" s="96"/>
      <c r="X299" s="113"/>
      <c r="Y299" s="113"/>
      <c r="Z299" s="111">
        <f>INDEX('M03-S09'!$B$16:$B$198,2*(ROWS($Z$282:Z299)-1)+1)</f>
        <v>18</v>
      </c>
      <c r="AA299" s="111" t="str">
        <f>INDEX('M03-S09'!$N$16:$N$199,2*(ROWS($Z$282:AA299)-1)+1)</f>
        <v/>
      </c>
      <c r="AB299" s="111">
        <f>INDEX('M03-S09'!$C$16:$C$198,2*(ROWS($Z$282:AB299)-1)+1)</f>
        <v>0</v>
      </c>
      <c r="AC299" s="96"/>
      <c r="AD299">
        <f>INDEX('M03-S09'!$X$16:$X$198,2*(ROWS($AD$282:AD299)-1)+1)</f>
        <v>0</v>
      </c>
      <c r="AE299" s="459"/>
      <c r="AF299" s="459"/>
      <c r="AG299" s="112"/>
      <c r="AH299" s="112"/>
      <c r="AI299" s="112"/>
      <c r="AJ299" s="112"/>
      <c r="AK299" s="113"/>
      <c r="AL299" s="113"/>
      <c r="AM299" s="113"/>
      <c r="AN299" s="113"/>
      <c r="AO299" s="52" t="str">
        <f>IFERROR(INDEX(PMGAGG[Program Design],MATCH(AB299,PMGAGG[Eff Desc 1],0)),"")</f>
        <v/>
      </c>
      <c r="AU299"/>
    </row>
    <row r="300" spans="1:47">
      <c r="A300" s="57">
        <f t="shared" si="29"/>
        <v>0</v>
      </c>
      <c r="B300" s="183" t="str">
        <f t="shared" si="28"/>
        <v/>
      </c>
      <c r="C300" t="str">
        <f>IFERROR(IF(R300&gt;0,INDEX(PMGAGG[Measure '#],MATCH(AB300,PMGAGG[Eff Desc 1],0)),""),"")</f>
        <v/>
      </c>
      <c r="D300" t="s">
        <v>947</v>
      </c>
      <c r="F300" s="112"/>
      <c r="G300" s="186">
        <f>INDEX('M03-S09'!$AB$16:$AB$196,2*(ROWS($G$282:G300)-1)+1)</f>
        <v>0</v>
      </c>
      <c r="H300" s="186" t="str">
        <f>IF(ISNUMBER(INDEX('M03-S09'!$AN$16:$AN$198,2*(ROWS($R$299:R300)-1)+1)),"Total","")</f>
        <v/>
      </c>
      <c r="I300" s="184">
        <f>IFERROR(ROUND(INDEX('M03-S09'!$AE$16:$AE$198,2*(ROWS($I$282:I300)-1)+1),2),0)</f>
        <v>0</v>
      </c>
      <c r="J300" s="184">
        <f>IFERROR(ROUND(INDEX('M03-S09'!$AG$16:$AG$198,2*(ROWS($J$282:J300)-1)+1),2),0)</f>
        <v>0</v>
      </c>
      <c r="K300" s="52">
        <f>IFERROR(ROUND(INDEX('M03-S09'!$AU$16:$AU$196,2*(ROWS($K$282:K300)-1)+1),2),0)</f>
        <v>0</v>
      </c>
      <c r="L300" s="52" t="str">
        <f>IFERROR(IF(R300&gt;0,M300*INDEX(PMGAGG[Incremental Cost],MATCH(AB300,PMGAGG[Eff Desc 1],0)),""),"")</f>
        <v/>
      </c>
      <c r="M300" s="456">
        <f>INDEX('M03-S09'!$V$16:$V$198,2*(ROWS($M$266:M284)-1)+1)</f>
        <v>0</v>
      </c>
      <c r="N300" s="113"/>
      <c r="O300" s="113"/>
      <c r="P300" s="184" t="str">
        <f>IFERROR(IF(ISNUMBER(INDEX('M03-S09'!$AN$50:$AN$198,2*(ROWS($R$299:R300)-1)+1)),INDEX('M03-S09'!$AK$50:$AK$198,2*(ROWS($P$299:P300)-1)+1),""),"")</f>
        <v/>
      </c>
      <c r="Q300" s="184"/>
      <c r="R300" s="184">
        <f>IF(ISNUMBER(INDEX('M03-S09'!$AN$16:$AN$198,2*(ROWS($R$282:R300)-1)+1)),INDEX('M03-S09'!$AN$16:$AN$198,2*(ROWS($R$282:R300)-1)+1),0)</f>
        <v>0</v>
      </c>
      <c r="S300" s="459"/>
      <c r="T300" s="113"/>
      <c r="U300" s="140"/>
      <c r="V300" s="113"/>
      <c r="W300" s="96"/>
      <c r="X300" s="113"/>
      <c r="Y300" s="113"/>
      <c r="Z300" s="111">
        <f>INDEX('M03-S09'!$B$16:$B$198,2*(ROWS($Z$282:Z300)-1)+1)</f>
        <v>19</v>
      </c>
      <c r="AA300" s="111" t="str">
        <f>INDEX('M03-S09'!$N$16:$N$199,2*(ROWS($Z$282:AA300)-1)+1)</f>
        <v/>
      </c>
      <c r="AB300" s="111">
        <f>INDEX('M03-S09'!$C$16:$C$198,2*(ROWS($Z$282:AB300)-1)+1)</f>
        <v>0</v>
      </c>
      <c r="AC300" s="96"/>
      <c r="AD300">
        <f>INDEX('M03-S09'!$X$16:$X$198,2*(ROWS($AD$282:AD300)-1)+1)</f>
        <v>0</v>
      </c>
      <c r="AE300" s="459"/>
      <c r="AF300" s="459"/>
      <c r="AG300" s="112"/>
      <c r="AH300" s="112"/>
      <c r="AI300" s="112"/>
      <c r="AJ300" s="112"/>
      <c r="AK300" s="113"/>
      <c r="AL300" s="113"/>
      <c r="AM300" s="113"/>
      <c r="AN300" s="113"/>
      <c r="AO300" s="52" t="str">
        <f>IFERROR(INDEX(PMGAGG[Program Design],MATCH(AB300,PMGAGG[Eff Desc 1],0)),"")</f>
        <v/>
      </c>
      <c r="AU300"/>
    </row>
    <row r="301" spans="1:47">
      <c r="A301" s="57">
        <f t="shared" si="29"/>
        <v>0</v>
      </c>
      <c r="B301" s="183" t="str">
        <f t="shared" si="28"/>
        <v/>
      </c>
      <c r="C301" t="str">
        <f>IFERROR(IF(R301&gt;0,INDEX(PMGAGG[Measure '#],MATCH(AB301,PMGAGG[Eff Desc 1],0)),""),"")</f>
        <v/>
      </c>
      <c r="D301" t="s">
        <v>947</v>
      </c>
      <c r="F301" s="112"/>
      <c r="G301" s="186">
        <f>INDEX('M03-S09'!$AB$16:$AB$196,2*(ROWS($G$282:G301)-1)+1)</f>
        <v>0</v>
      </c>
      <c r="H301" s="186" t="str">
        <f>IF(ISNUMBER(INDEX('M03-S09'!$AN$16:$AN$198,2*(ROWS($R$299:R301)-1)+1)),"Total","")</f>
        <v/>
      </c>
      <c r="I301" s="184">
        <f>IFERROR(ROUND(INDEX('M03-S09'!$AE$16:$AE$198,2*(ROWS($I$282:I301)-1)+1),2),0)</f>
        <v>0</v>
      </c>
      <c r="J301" s="184">
        <f>IFERROR(ROUND(INDEX('M03-S09'!$AG$16:$AG$198,2*(ROWS($J$282:J301)-1)+1),2),0)</f>
        <v>0</v>
      </c>
      <c r="K301" s="52">
        <f>IFERROR(ROUND(INDEX('M03-S09'!$AU$16:$AU$196,2*(ROWS($K$282:K301)-1)+1),2),0)</f>
        <v>0</v>
      </c>
      <c r="L301" s="52" t="str">
        <f>IFERROR(IF(R301&gt;0,M301*INDEX(PMGAGG[Incremental Cost],MATCH(AB301,PMGAGG[Eff Desc 1],0)),""),"")</f>
        <v/>
      </c>
      <c r="M301" s="456">
        <f>INDEX('M03-S09'!$V$16:$V$198,2*(ROWS($M$266:M285)-1)+1)</f>
        <v>0</v>
      </c>
      <c r="N301" s="113"/>
      <c r="O301" s="113"/>
      <c r="P301" s="184" t="str">
        <f>IFERROR(IF(ISNUMBER(INDEX('M03-S09'!$AN$50:$AN$198,2*(ROWS($R$299:R301)-1)+1)),INDEX('M03-S09'!$AK$50:$AK$198,2*(ROWS($P$299:P301)-1)+1),""),"")</f>
        <v/>
      </c>
      <c r="Q301" s="184"/>
      <c r="R301" s="184">
        <f>IF(ISNUMBER(INDEX('M03-S09'!$AN$16:$AN$198,2*(ROWS($R$282:R301)-1)+1)),INDEX('M03-S09'!$AN$16:$AN$198,2*(ROWS($R$282:R301)-1)+1),0)</f>
        <v>0</v>
      </c>
      <c r="S301" s="459"/>
      <c r="T301" s="113"/>
      <c r="U301" s="140"/>
      <c r="V301" s="113"/>
      <c r="W301" s="96"/>
      <c r="X301" s="113"/>
      <c r="Y301" s="113"/>
      <c r="Z301" s="111">
        <f>INDEX('M03-S09'!$B$16:$B$198,2*(ROWS($Z$282:Z301)-1)+1)</f>
        <v>20</v>
      </c>
      <c r="AA301" s="111" t="str">
        <f>INDEX('M03-S09'!$N$16:$N$199,2*(ROWS($Z$282:AA301)-1)+1)</f>
        <v/>
      </c>
      <c r="AB301" s="111">
        <f>INDEX('M03-S09'!$C$16:$C$198,2*(ROWS($Z$282:AB301)-1)+1)</f>
        <v>0</v>
      </c>
      <c r="AC301" s="96"/>
      <c r="AD301">
        <f>INDEX('M03-S09'!$X$16:$X$198,2*(ROWS($AD$282:AD301)-1)+1)</f>
        <v>0</v>
      </c>
      <c r="AE301" s="459"/>
      <c r="AF301" s="459"/>
      <c r="AG301" s="112"/>
      <c r="AH301" s="112"/>
      <c r="AI301" s="112"/>
      <c r="AJ301" s="112"/>
      <c r="AK301" s="113"/>
      <c r="AL301" s="113"/>
      <c r="AM301" s="113"/>
      <c r="AN301" s="113"/>
      <c r="AO301" s="52" t="str">
        <f>IFERROR(INDEX(PMGAGG[Program Design],MATCH(AB301,PMGAGG[Eff Desc 1],0)),"")</f>
        <v/>
      </c>
      <c r="AU301"/>
    </row>
    <row r="302" spans="1:47">
      <c r="A302" s="57">
        <f t="shared" si="29"/>
        <v>0</v>
      </c>
      <c r="B302" s="183" t="str">
        <f t="shared" si="28"/>
        <v/>
      </c>
      <c r="C302" t="str">
        <f>IFERROR(IF(R302&gt;0,INDEX(PMGAGG[Measure '#],MATCH(AB302,PMGAGG[Eff Desc 1],0)),""),"")</f>
        <v/>
      </c>
      <c r="D302" t="s">
        <v>947</v>
      </c>
      <c r="F302" s="112"/>
      <c r="G302" s="186">
        <f>INDEX('M03-S09'!$AB$16:$AB$196,2*(ROWS($G$282:G302)-1)+1)</f>
        <v>0</v>
      </c>
      <c r="H302" s="186" t="str">
        <f>IF(ISNUMBER(INDEX('M03-S09'!$AN$16:$AN$198,2*(ROWS($R$299:R302)-1)+1)),"Total","")</f>
        <v/>
      </c>
      <c r="I302" s="184">
        <f>IFERROR(ROUND(INDEX('M03-S09'!$AE$16:$AE$198,2*(ROWS($I$282:I302)-1)+1),2),0)</f>
        <v>0</v>
      </c>
      <c r="J302" s="184">
        <f>IFERROR(ROUND(INDEX('M03-S09'!$AG$16:$AG$198,2*(ROWS($J$282:J302)-1)+1),2),0)</f>
        <v>0</v>
      </c>
      <c r="K302" s="52">
        <f>IFERROR(ROUND(INDEX('M03-S09'!$AU$16:$AU$196,2*(ROWS($K$282:K302)-1)+1),2),0)</f>
        <v>0</v>
      </c>
      <c r="L302" s="52" t="str">
        <f>IFERROR(IF(R302&gt;0,M302*INDEX(PMGAGG[Incremental Cost],MATCH(AB302,PMGAGG[Eff Desc 1],0)),""),"")</f>
        <v/>
      </c>
      <c r="M302" s="456">
        <f>INDEX('M03-S09'!$V$16:$V$198,2*(ROWS($M$266:M286)-1)+1)</f>
        <v>0</v>
      </c>
      <c r="N302" s="113"/>
      <c r="O302" s="113"/>
      <c r="P302" s="184" t="str">
        <f>IFERROR(IF(ISNUMBER(INDEX('M03-S09'!$AN$50:$AN$198,2*(ROWS($R$299:R302)-1)+1)),INDEX('M03-S09'!$AK$50:$AK$198,2*(ROWS($P$299:P302)-1)+1),""),"")</f>
        <v/>
      </c>
      <c r="Q302" s="184"/>
      <c r="R302" s="184">
        <f>IF(ISNUMBER(INDEX('M03-S09'!$AN$16:$AN$198,2*(ROWS($R$282:R302)-1)+1)),INDEX('M03-S09'!$AN$16:$AN$198,2*(ROWS($R$282:R302)-1)+1),0)</f>
        <v>0</v>
      </c>
      <c r="S302" s="459"/>
      <c r="T302" s="113"/>
      <c r="U302" s="140"/>
      <c r="V302" s="113"/>
      <c r="W302" s="96"/>
      <c r="X302" s="113"/>
      <c r="Y302" s="113"/>
      <c r="Z302" s="111">
        <f>INDEX('M03-S09'!$B$16:$B$198,2*(ROWS($Z$282:Z302)-1)+1)</f>
        <v>21</v>
      </c>
      <c r="AA302" s="111" t="str">
        <f>INDEX('M03-S09'!$N$16:$N$199,2*(ROWS($Z$282:AA302)-1)+1)</f>
        <v/>
      </c>
      <c r="AB302" s="111">
        <f>INDEX('M03-S09'!$C$16:$C$198,2*(ROWS($Z$282:AB302)-1)+1)</f>
        <v>0</v>
      </c>
      <c r="AC302" s="96"/>
      <c r="AD302">
        <f>INDEX('M03-S09'!$X$16:$X$198,2*(ROWS($AD$282:AD302)-1)+1)</f>
        <v>0</v>
      </c>
      <c r="AE302" s="459"/>
      <c r="AF302" s="459"/>
      <c r="AG302" s="112"/>
      <c r="AH302" s="112"/>
      <c r="AI302" s="112"/>
      <c r="AJ302" s="112"/>
      <c r="AK302" s="113"/>
      <c r="AL302" s="113"/>
      <c r="AM302" s="113"/>
      <c r="AN302" s="113"/>
      <c r="AO302" s="52" t="str">
        <f>IFERROR(INDEX(PMGAGG[Program Design],MATCH(AB302,PMGAGG[Eff Desc 1],0)),"")</f>
        <v/>
      </c>
      <c r="AU302"/>
    </row>
    <row r="303" spans="1:47">
      <c r="A303" s="57">
        <f t="shared" si="29"/>
        <v>0</v>
      </c>
      <c r="B303" s="183" t="str">
        <f t="shared" si="28"/>
        <v/>
      </c>
      <c r="C303" t="str">
        <f>IFERROR(IF(R303&gt;0,INDEX(PMGAGG[Measure '#],MATCH(AB303,PMGAGG[Eff Desc 1],0)),""),"")</f>
        <v/>
      </c>
      <c r="D303" t="s">
        <v>947</v>
      </c>
      <c r="F303" s="112"/>
      <c r="G303" s="186">
        <f>INDEX('M03-S09'!$AB$16:$AB$196,2*(ROWS($G$282:G303)-1)+1)</f>
        <v>0</v>
      </c>
      <c r="H303" s="186" t="str">
        <f>IF(ISNUMBER(INDEX('M03-S09'!$AN$16:$AN$198,2*(ROWS($R$299:R303)-1)+1)),"Total","")</f>
        <v/>
      </c>
      <c r="I303" s="184">
        <f>IFERROR(ROUND(INDEX('M03-S09'!$AE$16:$AE$198,2*(ROWS($I$282:I303)-1)+1),2),0)</f>
        <v>0</v>
      </c>
      <c r="J303" s="184">
        <f>IFERROR(ROUND(INDEX('M03-S09'!$AG$16:$AG$198,2*(ROWS($J$282:J303)-1)+1),2),0)</f>
        <v>0</v>
      </c>
      <c r="K303" s="52">
        <f>IFERROR(ROUND(INDEX('M03-S09'!$AU$16:$AU$196,2*(ROWS($K$282:K303)-1)+1),2),0)</f>
        <v>0</v>
      </c>
      <c r="L303" s="52" t="str">
        <f>IFERROR(IF(R303&gt;0,M303*INDEX(PMGAGG[Incremental Cost],MATCH(AB303,PMGAGG[Eff Desc 1],0)),""),"")</f>
        <v/>
      </c>
      <c r="M303" s="456">
        <f>INDEX('M03-S09'!$V$16:$V$198,2*(ROWS($M$266:M287)-1)+1)</f>
        <v>0</v>
      </c>
      <c r="N303" s="113"/>
      <c r="O303" s="113"/>
      <c r="P303" s="184" t="str">
        <f>IFERROR(IF(ISNUMBER(INDEX('M03-S09'!$AN$50:$AN$198,2*(ROWS($R$299:R303)-1)+1)),INDEX('M03-S09'!$AK$50:$AK$198,2*(ROWS($P$299:P303)-1)+1),""),"")</f>
        <v/>
      </c>
      <c r="Q303" s="184"/>
      <c r="R303" s="184">
        <f>IF(ISNUMBER(INDEX('M03-S09'!$AN$16:$AN$198,2*(ROWS($R$282:R303)-1)+1)),INDEX('M03-S09'!$AN$16:$AN$198,2*(ROWS($R$282:R303)-1)+1),0)</f>
        <v>0</v>
      </c>
      <c r="S303" s="459"/>
      <c r="T303" s="113"/>
      <c r="U303" s="140"/>
      <c r="V303" s="113"/>
      <c r="W303" s="96"/>
      <c r="X303" s="113"/>
      <c r="Y303" s="113"/>
      <c r="Z303" s="111">
        <f>INDEX('M03-S09'!$B$16:$B$198,2*(ROWS($Z$282:Z303)-1)+1)</f>
        <v>22</v>
      </c>
      <c r="AA303" s="111" t="str">
        <f>INDEX('M03-S09'!$N$16:$N$199,2*(ROWS($Z$282:AA303)-1)+1)</f>
        <v/>
      </c>
      <c r="AB303" s="111">
        <f>INDEX('M03-S09'!$C$16:$C$198,2*(ROWS($Z$282:AB303)-1)+1)</f>
        <v>0</v>
      </c>
      <c r="AC303" s="96"/>
      <c r="AD303">
        <f>INDEX('M03-S09'!$X$16:$X$198,2*(ROWS($AD$282:AD303)-1)+1)</f>
        <v>0</v>
      </c>
      <c r="AE303" s="459"/>
      <c r="AF303" s="459"/>
      <c r="AG303" s="112"/>
      <c r="AH303" s="112"/>
      <c r="AI303" s="112"/>
      <c r="AJ303" s="112"/>
      <c r="AK303" s="113"/>
      <c r="AL303" s="113"/>
      <c r="AM303" s="113"/>
      <c r="AN303" s="113"/>
      <c r="AO303" s="52" t="str">
        <f>IFERROR(INDEX(PMGAGG[Program Design],MATCH(AB303,PMGAGG[Eff Desc 1],0)),"")</f>
        <v/>
      </c>
      <c r="AU303"/>
    </row>
    <row r="304" spans="1:47">
      <c r="A304" s="57">
        <f t="shared" si="29"/>
        <v>0</v>
      </c>
      <c r="B304" s="183" t="str">
        <f t="shared" si="28"/>
        <v/>
      </c>
      <c r="C304" t="str">
        <f>IFERROR(IF(R304&gt;0,INDEX(PMGAGG[Measure '#],MATCH(AB304,PMGAGG[Eff Desc 1],0)),""),"")</f>
        <v/>
      </c>
      <c r="D304" t="s">
        <v>947</v>
      </c>
      <c r="F304" s="112"/>
      <c r="G304" s="186">
        <f>INDEX('M03-S09'!$AB$16:$AB$196,2*(ROWS($G$282:G304)-1)+1)</f>
        <v>0</v>
      </c>
      <c r="H304" s="186" t="str">
        <f>IF(ISNUMBER(INDEX('M03-S09'!$AN$16:$AN$198,2*(ROWS($R$299:R304)-1)+1)),"Total","")</f>
        <v/>
      </c>
      <c r="I304" s="184">
        <f>IFERROR(ROUND(INDEX('M03-S09'!$AE$16:$AE$198,2*(ROWS($I$282:I304)-1)+1),2),0)</f>
        <v>0</v>
      </c>
      <c r="J304" s="184">
        <f>IFERROR(ROUND(INDEX('M03-S09'!$AG$16:$AG$198,2*(ROWS($J$282:J304)-1)+1),2),0)</f>
        <v>0</v>
      </c>
      <c r="K304" s="52">
        <f>IFERROR(ROUND(INDEX('M03-S09'!$AU$16:$AU$196,2*(ROWS($K$282:K304)-1)+1),2),0)</f>
        <v>0</v>
      </c>
      <c r="L304" s="52" t="str">
        <f>IFERROR(IF(R304&gt;0,M304*INDEX(PMGAGG[Incremental Cost],MATCH(AB304,PMGAGG[Eff Desc 1],0)),""),"")</f>
        <v/>
      </c>
      <c r="M304" s="456">
        <f>INDEX('M03-S09'!$V$16:$V$198,2*(ROWS($M$266:M288)-1)+1)</f>
        <v>0</v>
      </c>
      <c r="N304" s="113"/>
      <c r="O304" s="113"/>
      <c r="P304" s="184" t="str">
        <f>IFERROR(IF(ISNUMBER(INDEX('M03-S09'!$AN$50:$AN$198,2*(ROWS($R$299:R304)-1)+1)),INDEX('M03-S09'!$AK$50:$AK$198,2*(ROWS($P$299:P304)-1)+1),""),"")</f>
        <v/>
      </c>
      <c r="Q304" s="184"/>
      <c r="R304" s="184">
        <f>IF(ISNUMBER(INDEX('M03-S09'!$AN$16:$AN$198,2*(ROWS($R$282:R304)-1)+1)),INDEX('M03-S09'!$AN$16:$AN$198,2*(ROWS($R$282:R304)-1)+1),0)</f>
        <v>0</v>
      </c>
      <c r="S304" s="459"/>
      <c r="T304" s="113"/>
      <c r="U304" s="140"/>
      <c r="V304" s="113"/>
      <c r="W304" s="96"/>
      <c r="X304" s="113"/>
      <c r="Y304" s="113"/>
      <c r="Z304" s="111">
        <f>INDEX('M03-S09'!$B$16:$B$198,2*(ROWS($Z$282:Z304)-1)+1)</f>
        <v>23</v>
      </c>
      <c r="AA304" s="111" t="str">
        <f>INDEX('M03-S09'!$N$16:$N$199,2*(ROWS($Z$282:AA304)-1)+1)</f>
        <v/>
      </c>
      <c r="AB304" s="111">
        <f>INDEX('M03-S09'!$C$16:$C$198,2*(ROWS($Z$282:AB304)-1)+1)</f>
        <v>0</v>
      </c>
      <c r="AC304" s="96"/>
      <c r="AD304">
        <f>INDEX('M03-S09'!$X$16:$X$198,2*(ROWS($AD$282:AD304)-1)+1)</f>
        <v>0</v>
      </c>
      <c r="AE304" s="459"/>
      <c r="AF304" s="459"/>
      <c r="AG304" s="112"/>
      <c r="AH304" s="112"/>
      <c r="AI304" s="112"/>
      <c r="AJ304" s="112"/>
      <c r="AK304" s="113"/>
      <c r="AL304" s="113"/>
      <c r="AM304" s="113"/>
      <c r="AN304" s="113"/>
      <c r="AO304" s="52" t="str">
        <f>IFERROR(INDEX(PMGAGG[Program Design],MATCH(AB304,PMGAGG[Eff Desc 1],0)),"")</f>
        <v/>
      </c>
      <c r="AU304"/>
    </row>
    <row r="305" spans="1:47">
      <c r="A305" s="57">
        <f t="shared" si="29"/>
        <v>0</v>
      </c>
      <c r="B305" s="183" t="str">
        <f t="shared" si="28"/>
        <v/>
      </c>
      <c r="C305" t="str">
        <f>IFERROR(IF(R305&gt;0,INDEX(PMGAGG[Measure '#],MATCH(AB305,PMGAGG[Eff Desc 1],0)),""),"")</f>
        <v/>
      </c>
      <c r="D305" t="s">
        <v>947</v>
      </c>
      <c r="F305" s="112"/>
      <c r="G305" s="186">
        <f>INDEX('M03-S09'!$AB$16:$AB$196,2*(ROWS($G$282:G305)-1)+1)</f>
        <v>0</v>
      </c>
      <c r="H305" s="186" t="str">
        <f>IF(ISNUMBER(INDEX('M03-S09'!$AN$16:$AN$198,2*(ROWS($R$299:R305)-1)+1)),"Total","")</f>
        <v/>
      </c>
      <c r="I305" s="184">
        <f>IFERROR(ROUND(INDEX('M03-S09'!$AE$16:$AE$198,2*(ROWS($I$282:I305)-1)+1),2),0)</f>
        <v>0</v>
      </c>
      <c r="J305" s="184">
        <f>IFERROR(ROUND(INDEX('M03-S09'!$AG$16:$AG$198,2*(ROWS($J$282:J305)-1)+1),2),0)</f>
        <v>0</v>
      </c>
      <c r="K305" s="52">
        <f>IFERROR(ROUND(INDEX('M03-S09'!$AU$16:$AU$196,2*(ROWS($K$282:K305)-1)+1),2),0)</f>
        <v>0</v>
      </c>
      <c r="L305" s="52" t="str">
        <f>IFERROR(IF(R305&gt;0,M305*INDEX(PMGAGG[Incremental Cost],MATCH(AB305,PMGAGG[Eff Desc 1],0)),""),"")</f>
        <v/>
      </c>
      <c r="M305" s="456">
        <f>INDEX('M03-S09'!$V$16:$V$198,2*(ROWS($M$266:M289)-1)+1)</f>
        <v>0</v>
      </c>
      <c r="N305" s="113"/>
      <c r="O305" s="113"/>
      <c r="P305" s="184" t="str">
        <f>IFERROR(IF(ISNUMBER(INDEX('M03-S09'!$AN$50:$AN$198,2*(ROWS($R$299:R305)-1)+1)),INDEX('M03-S09'!$AK$50:$AK$198,2*(ROWS($P$299:P305)-1)+1),""),"")</f>
        <v/>
      </c>
      <c r="Q305" s="184"/>
      <c r="R305" s="184">
        <f>IF(ISNUMBER(INDEX('M03-S09'!$AN$16:$AN$198,2*(ROWS($R$282:R305)-1)+1)),INDEX('M03-S09'!$AN$16:$AN$198,2*(ROWS($R$282:R305)-1)+1),0)</f>
        <v>0</v>
      </c>
      <c r="S305" s="459"/>
      <c r="T305" s="113"/>
      <c r="U305" s="140"/>
      <c r="V305" s="113"/>
      <c r="W305" s="96"/>
      <c r="X305" s="113"/>
      <c r="Y305" s="113"/>
      <c r="Z305" s="111">
        <f>INDEX('M03-S09'!$B$16:$B$198,2*(ROWS($Z$282:Z305)-1)+1)</f>
        <v>24</v>
      </c>
      <c r="AA305" s="111" t="str">
        <f>INDEX('M03-S09'!$N$16:$N$199,2*(ROWS($Z$282:AA305)-1)+1)</f>
        <v/>
      </c>
      <c r="AB305" s="111">
        <f>INDEX('M03-S09'!$C$16:$C$198,2*(ROWS($Z$282:AB305)-1)+1)</f>
        <v>0</v>
      </c>
      <c r="AC305" s="96"/>
      <c r="AD305">
        <f>INDEX('M03-S09'!$X$16:$X$198,2*(ROWS($AD$282:AD305)-1)+1)</f>
        <v>0</v>
      </c>
      <c r="AE305" s="459"/>
      <c r="AF305" s="459"/>
      <c r="AG305" s="112"/>
      <c r="AH305" s="112"/>
      <c r="AI305" s="112"/>
      <c r="AJ305" s="112"/>
      <c r="AK305" s="113"/>
      <c r="AL305" s="113"/>
      <c r="AM305" s="113"/>
      <c r="AN305" s="113"/>
      <c r="AO305" s="52" t="str">
        <f>IFERROR(INDEX(PMGAGG[Program Design],MATCH(AB305,PMGAGG[Eff Desc 1],0)),"")</f>
        <v/>
      </c>
      <c r="AU305"/>
    </row>
    <row r="306" spans="1:47">
      <c r="A306" s="57">
        <f t="shared" si="29"/>
        <v>0</v>
      </c>
      <c r="B306" s="183" t="str">
        <f t="shared" si="28"/>
        <v/>
      </c>
      <c r="C306" t="str">
        <f>IFERROR(IF(R306&gt;0,INDEX(PMGAGG[Measure '#],MATCH(AB306,PMGAGG[Eff Desc 1],0)),""),"")</f>
        <v/>
      </c>
      <c r="D306" t="s">
        <v>947</v>
      </c>
      <c r="F306" s="112"/>
      <c r="G306" s="186">
        <f>INDEX('M03-S09'!$AB$16:$AB$196,2*(ROWS($G$282:G306)-1)+1)</f>
        <v>0</v>
      </c>
      <c r="H306" s="186" t="str">
        <f>IF(ISNUMBER(INDEX('M03-S09'!$AN$16:$AN$198,2*(ROWS($R$299:R306)-1)+1)),"Total","")</f>
        <v/>
      </c>
      <c r="I306" s="184">
        <f>IFERROR(ROUND(INDEX('M03-S09'!$AE$16:$AE$198,2*(ROWS($I$282:I306)-1)+1),2),0)</f>
        <v>0</v>
      </c>
      <c r="J306" s="184">
        <f>IFERROR(ROUND(INDEX('M03-S09'!$AG$16:$AG$198,2*(ROWS($J$282:J306)-1)+1),2),0)</f>
        <v>0</v>
      </c>
      <c r="K306" s="52">
        <f>IFERROR(ROUND(INDEX('M03-S09'!$AU$16:$AU$196,2*(ROWS($K$282:K306)-1)+1),2),0)</f>
        <v>0</v>
      </c>
      <c r="L306" s="52" t="str">
        <f>IFERROR(IF(R306&gt;0,M306*INDEX(PMGAGG[Incremental Cost],MATCH(AB306,PMGAGG[Eff Desc 1],0)),""),"")</f>
        <v/>
      </c>
      <c r="M306" s="456">
        <f>INDEX('M03-S09'!$V$16:$V$198,2*(ROWS($M$266:M290)-1)+1)</f>
        <v>0</v>
      </c>
      <c r="N306" s="113"/>
      <c r="O306" s="113"/>
      <c r="P306" s="184" t="str">
        <f>IFERROR(IF(ISNUMBER(INDEX('M03-S09'!$AN$50:$AN$198,2*(ROWS($R$299:R306)-1)+1)),INDEX('M03-S09'!$AK$50:$AK$198,2*(ROWS($P$299:P306)-1)+1),""),"")</f>
        <v/>
      </c>
      <c r="Q306" s="184"/>
      <c r="R306" s="184">
        <f>IF(ISNUMBER(INDEX('M03-S09'!$AN$16:$AN$198,2*(ROWS($R$282:R306)-1)+1)),INDEX('M03-S09'!$AN$16:$AN$198,2*(ROWS($R$282:R306)-1)+1),0)</f>
        <v>0</v>
      </c>
      <c r="S306" s="459"/>
      <c r="T306" s="113"/>
      <c r="U306" s="140"/>
      <c r="V306" s="113"/>
      <c r="W306" s="96"/>
      <c r="X306" s="113"/>
      <c r="Y306" s="113"/>
      <c r="Z306" s="111">
        <f>INDEX('M03-S09'!$B$16:$B$198,2*(ROWS($Z$282:Z306)-1)+1)</f>
        <v>25</v>
      </c>
      <c r="AA306" s="111" t="str">
        <f>INDEX('M03-S09'!$N$16:$N$199,2*(ROWS($Z$282:AA306)-1)+1)</f>
        <v/>
      </c>
      <c r="AB306" s="111">
        <f>INDEX('M03-S09'!$C$16:$C$198,2*(ROWS($Z$282:AB306)-1)+1)</f>
        <v>0</v>
      </c>
      <c r="AC306" s="96"/>
      <c r="AD306">
        <f>INDEX('M03-S09'!$X$16:$X$198,2*(ROWS($AD$282:AD306)-1)+1)</f>
        <v>0</v>
      </c>
      <c r="AE306" s="459"/>
      <c r="AF306" s="459"/>
      <c r="AG306" s="112"/>
      <c r="AH306" s="112"/>
      <c r="AI306" s="112"/>
      <c r="AJ306" s="112"/>
      <c r="AK306" s="113"/>
      <c r="AL306" s="113"/>
      <c r="AM306" s="113"/>
      <c r="AN306" s="113"/>
      <c r="AO306" s="52" t="str">
        <f>IFERROR(INDEX(PMGAGG[Program Design],MATCH(AB306,PMGAGG[Eff Desc 1],0)),"")</f>
        <v/>
      </c>
      <c r="AU306"/>
    </row>
    <row r="307" spans="1:47">
      <c r="A307" s="57">
        <f t="shared" si="29"/>
        <v>0</v>
      </c>
      <c r="B307" s="183" t="str">
        <f t="shared" ref="B307" ca="1" si="30">IF(C307="","",CONCATENATE(ROW(),"-",C307))</f>
        <v/>
      </c>
      <c r="C307" s="559" t="str">
        <f ca="1">IFERROR(IF(R307&gt;0,INDEX(PMEBONUS[Measure '#],MATCH(AB307,PMEBONUS[Eff Desc 1],0)),""),"")</f>
        <v/>
      </c>
      <c r="D307" t="s">
        <v>947</v>
      </c>
      <c r="F307" s="112"/>
      <c r="G307" s="186">
        <f>INDEX('M03-S09'!$AB$16:$AB$196,2*(ROWS($G$282:G307)-1)+1)</f>
        <v>0</v>
      </c>
      <c r="H307" s="186"/>
      <c r="I307" s="184">
        <f>IFERROR(ROUND(INDEX('M03-S09'!$AE$16:$AE$198,2*(ROWS($I$282:I307)-1)+1),2),0)</f>
        <v>0</v>
      </c>
      <c r="J307" s="184">
        <f>IFERROR(ROUND(INDEX('M03-S09'!$AG$16:$AG$198,2*(ROWS($J$282:J307)-1)+1),2),0)</f>
        <v>0</v>
      </c>
      <c r="K307" s="52">
        <f>IFERROR(ROUND(INDEX('M03-S09'!$AU$16:$AU$196,2*(ROWS($K$282:K307)-1)+1),2),0)</f>
        <v>0</v>
      </c>
      <c r="L307" s="52" t="str">
        <f ca="1">IFERROR(IF(R307&gt;0,M307*INDEX(PMGAGG[Incremental Cost],MATCH(AB307,PMGAGG[Eff Desc 1],0)),""),"")</f>
        <v/>
      </c>
      <c r="M307" s="456">
        <f ca="1">INDEX('M03-S09'!$V$16:$V$198,2*(ROWS($M$266:M291)-1)+1)</f>
        <v>0</v>
      </c>
      <c r="N307" s="184"/>
      <c r="O307" s="456"/>
      <c r="P307" s="113"/>
      <c r="Q307" s="113"/>
      <c r="R307" s="184">
        <f ca="1">IF(ISNUMBER(INDEX('M03-S09'!$AN$16:$AN$198,2*(ROWS($R$282:R307)-1)+1)),INDEX('M03-S09'!$AN$16:$AN$198,2*(ROWS($R$282:R307)-1)+1),0)</f>
        <v>0</v>
      </c>
      <c r="S307" s="459"/>
      <c r="T307" s="113"/>
      <c r="U307" s="140"/>
      <c r="V307" s="113"/>
      <c r="W307" s="96"/>
      <c r="X307" s="113"/>
      <c r="Y307" s="113"/>
      <c r="Z307" s="111">
        <f>INDEX('M03-S09'!$B$16:$B$198,2*(ROWS($Z$282:Z307)-1)+1)</f>
        <v>26</v>
      </c>
      <c r="AA307" s="111" t="str">
        <f ca="1">INDEX('M03-S09'!$N$16:$N$199,2*(ROWS($Z$282:AA307)-1)+1)</f>
        <v/>
      </c>
      <c r="AB307" s="111">
        <f ca="1">INDEX('M03-S09'!$C$16:$C$198,2*(ROWS($Z$282:AB307)-1)+1)</f>
        <v>0</v>
      </c>
      <c r="AC307" s="96"/>
      <c r="AD307">
        <f>INDEX('M03-S09'!$X$16:$X$198,2*(ROWS($AD$282:AD307)-1)+1)</f>
        <v>0</v>
      </c>
      <c r="AE307" s="459"/>
      <c r="AF307" s="459"/>
      <c r="AG307" s="112"/>
      <c r="AH307" s="112"/>
      <c r="AI307" s="112"/>
      <c r="AJ307" s="112"/>
      <c r="AK307" s="113"/>
      <c r="AL307" s="113"/>
      <c r="AM307" s="113"/>
      <c r="AN307" s="113"/>
      <c r="AO307" s="111" t="str">
        <f ca="1">IFERROR(INDEX(PMEBONUS[Program Design],MATCH(AB307,PMEBONUS[Eff Desc 1],0)),"")</f>
        <v/>
      </c>
      <c r="AU307"/>
    </row>
    <row r="308" spans="1:47" ht="14.25" customHeight="1">
      <c r="A308" s="149" t="str">
        <f>CONCATENATE(MAIN4," ",M4S1)</f>
        <v>CUSTOM MEASURES INPUT Custom Lighting</v>
      </c>
      <c r="B308" s="150"/>
      <c r="C308" s="150"/>
      <c r="D308" s="129"/>
      <c r="E308" s="129"/>
      <c r="F308" s="130"/>
      <c r="G308" s="129"/>
      <c r="H308" s="129"/>
      <c r="I308" s="131"/>
      <c r="J308" s="131"/>
      <c r="K308" s="131"/>
      <c r="L308" s="131"/>
      <c r="M308" s="458"/>
      <c r="N308" s="131"/>
      <c r="O308" s="458"/>
      <c r="P308" s="131"/>
      <c r="Q308" s="131"/>
      <c r="R308" s="131"/>
      <c r="S308" s="458"/>
      <c r="T308" s="131"/>
      <c r="U308" s="139"/>
      <c r="V308" s="131"/>
      <c r="W308" s="129"/>
      <c r="X308" s="131"/>
      <c r="Y308" s="131"/>
      <c r="Z308" s="130"/>
      <c r="AA308" s="130"/>
      <c r="AB308" s="130"/>
      <c r="AC308" s="129"/>
      <c r="AD308" s="129"/>
      <c r="AE308" s="458"/>
      <c r="AF308" s="458"/>
      <c r="AG308" s="130"/>
      <c r="AH308" s="130"/>
      <c r="AI308" s="130"/>
      <c r="AJ308" s="130"/>
      <c r="AK308" s="131"/>
      <c r="AL308" s="131"/>
      <c r="AM308" s="131"/>
      <c r="AN308" s="131"/>
      <c r="AO308" s="131"/>
      <c r="AU308"/>
    </row>
    <row r="309" spans="1:47">
      <c r="A309" s="57">
        <f t="shared" ref="A309:A358" si="31">PROJID</f>
        <v>0</v>
      </c>
      <c r="B309" s="183" t="str">
        <f t="shared" ref="B309:B314" si="32">IF(C309="","",CONCATENATE(ROW(),"-",C309))</f>
        <v/>
      </c>
      <c r="C309" s="186" t="str">
        <f>IF(OR(R309&gt;0,T309&gt;0),INDEX('M04-S01'!$AZ$16:$AZ$198,2*(ROWS($C$309:C309)-1)+1),"")</f>
        <v/>
      </c>
      <c r="D309" t="s">
        <v>231</v>
      </c>
      <c r="F309" s="185">
        <f>INDEX('M04-S01'!$Q$16:$Q$198,2*(ROWS($F$309:F309)-1)+1)</f>
        <v>0</v>
      </c>
      <c r="G309" s="186">
        <f>INDEX('M04-S01'!$C$16:$C$198,2*(ROWS($G$309:G309)-1)+1)</f>
        <v>0</v>
      </c>
      <c r="H309" s="186" t="str">
        <f>IF(ISNUMBER(INDEX('M04-S01'!$AN$16:$AN$198,2*(ROWS($R$309:R309)-1)+1)),"Total","")</f>
        <v/>
      </c>
      <c r="I309" s="184">
        <f>IFERROR(ROUND(IF(ISNUMBER(INDEX('M04-S01'!$AN$16:$AN$198,2*(ROWS($R$309:$R309)-1)+1)),INDEX('M04-S01'!$Z$16:$Z$198,2*(ROWS($I$309:$I309)-1)+1)*INDEX('M04-S01'!$AD$16:$AD$198,2*(ROWS($I$309:$I309)-1)+1),""),2),0)</f>
        <v>0</v>
      </c>
      <c r="J309" s="184">
        <f>IFERROR(ROUND(IF(ISNUMBER(INDEX('M04-S01'!$AN$16:$AN$198,2*(ROWS($R$309:$R309)-1)+1)),INDEX('M04-S01'!$Z$16:$Z$198,2*(ROWS($J$309:$J309)-1)+1)*INDEX('M04-S01'!$AF$16:$AF$198,2*(ROWS($J$309:$J309)-1)+1),""),2),0)</f>
        <v>0</v>
      </c>
      <c r="K309" s="52">
        <f>IFERROR(ROUND(IF(ISNUMBER(INDEX('M04-S01'!$AN$16:$AN$198,2*(ROWS($R$309:$R309)-1)+1)),INDEX('M04-S01'!$AH$16:$AH$198,2*(ROWS($K$309:$K309)-1)+1),""),2),0)</f>
        <v>0</v>
      </c>
      <c r="M309" s="456" t="str">
        <f>IF(ISNUMBER(INDEX('M04-S01'!$AN$16:$AN$198,2*(ROWS($R$309:R309)-1)+1)),INDEX('M04-S01'!$Z$16:$Z$198,2*(ROWS($M$309:M309)-1)+1),"")</f>
        <v/>
      </c>
      <c r="N309" s="184" t="str">
        <f>IF(ISNUMBER(INDEX('M04-S01'!$AN$16:$AN$198,2*(ROWS($R$309:R309)-1)+1)),INDEX('M04-S01'!$AK$16:$AK$198,2*(ROWS($N$309:N309)-1)+1),"")</f>
        <v/>
      </c>
      <c r="O309" s="456" t="str">
        <f>IF(ISNUMBER(INDEX('M04-S01'!$AN$16:$AN$198,2*(ROWS($R$309:R309)-1)+1)),INDEX('M04-S01'!$AW$16:$AW$198,2*(ROWS($O$309:O309)-1)+1),"")</f>
        <v/>
      </c>
      <c r="P309" s="113"/>
      <c r="Q309" s="456" t="str">
        <f>IF(ISNUMBER(INDEX('M04-S01'!$AN$16:$AN$198,2*(ROWS($R$309:R309)-1)+1)),INDEX('M04-S01'!$BB$16:$BB$198,2*(ROWS($Q$309:Q309)-1)+1),"")</f>
        <v/>
      </c>
      <c r="R309" s="184">
        <f>IF(ISNUMBER(INDEX('M04-S01'!$AN$16:$AN$198,2*(ROWS($R$309:R309)-1)+1)),INDEX('M04-S01'!$AN$16:$AN$198,2*(ROWS($R$309:R309)-1)+1),0)</f>
        <v>0</v>
      </c>
      <c r="S309" s="23">
        <f>IF(NOT(ISNUMBER(INDEX('M04-S01'!$AN$16:$AN$198,2*(ROWS($R$309:R309)-1)+1))),INDEX('M04-S01'!$Z$16:$Z$198,2*(ROWS($S$309:S309)-1)+1),"")</f>
        <v>0</v>
      </c>
      <c r="T309" s="52" t="str">
        <f>IFERROR(IF(NOT(ISNUMBER(INDEX('M04-S01'!$AN$16:$AN$198,2*(ROWS($R$309:R309)-1)+1))),INDEX('M04-S01'!$AK$16:$AK$198,2*(ROWS($R$309:R309)-1)+1),0),0)</f>
        <v/>
      </c>
      <c r="U309" s="23" t="str">
        <f>IFERROR(IF(NOT(ISNUMBER(INDEX('M04-S01'!$AN$16:$AN$198,2*(ROWS($R$309:R309)-1)+1))),INDEX('M04-S01'!$AW$16:$AW$198,2*(ROWS($R$309:R309)-1)+1),""),"")</f>
        <v/>
      </c>
      <c r="V309" s="113"/>
      <c r="W309" t="str">
        <f>IFERROR(IF(NOT(ISNUMBER(INDEX('M04-S01'!$AN$16:$AN$198,2*(ROWS($R$309:R309)-1)+1))),INDEX('M04-S01'!$BD$16:$BD$198,2*(ROWS($R$309:R309)-1)+1),""),"")</f>
        <v/>
      </c>
      <c r="X309" s="184" t="str">
        <f>IFERROR(ROUND(INDEX('M04-S01'!$O$16:$O$198,2*(ROWS($X$309:X309)-1)+1),3),"")</f>
        <v/>
      </c>
      <c r="Y309" s="184">
        <f>IFERROR(ROUND(INDEX('M04-S01'!$AB$16:$AB$198,2*(ROWS($Y$309:Y309)-1)+1),3),"")</f>
        <v>0</v>
      </c>
      <c r="Z309" s="111">
        <f>INDEX('M04-S01'!$B$16:$B$198,2*(ROWS($Z$309:Z309)-1)+1)</f>
        <v>1</v>
      </c>
      <c r="AA309" s="111">
        <f>INDEX('M04-S01'!$F$16:$F$198,2*(ROWS($Z$309:AA309)-1)+1)</f>
        <v>0</v>
      </c>
      <c r="AB309" s="111">
        <f>INDEX('M04-S01'!$S$16:$S$198,2*(ROWS($Z$309:AB309)-1)+1)</f>
        <v>0</v>
      </c>
      <c r="AC309">
        <f>INDEX('M04-S01'!$J$16:$J$198,2*(ROWS($AC$309:AC309)-1)+1)</f>
        <v>0</v>
      </c>
      <c r="AD309">
        <f>INDEX('M04-S01'!$W$16:$W$198,2*(ROWS($AD$309:AD309)-1)+1)</f>
        <v>0</v>
      </c>
      <c r="AE309" s="459"/>
      <c r="AF309" s="459"/>
      <c r="AG309" s="111" t="str">
        <f>INDEX('M04-S01'!$AX$16:$AX$198,2*(ROWS($AG$309:AG309)-1)+1)</f>
        <v/>
      </c>
      <c r="AH309" s="111" t="str">
        <f>INDEX('M04-S01'!$AY$16:$AY$198,2*(ROWS($AH$309:AH309)-1)+1)</f>
        <v/>
      </c>
      <c r="AI309" s="113"/>
      <c r="AJ309" s="113"/>
      <c r="AK309" s="52" t="str">
        <f>INDEX('M04-S01'!$AV$16:$AV$198,2*(ROWS($AK$309:AK309)-1)+1)</f>
        <v/>
      </c>
      <c r="AL309" s="184">
        <f>IF(NOT(ISNUMBER(INDEX('M04-S01'!$AN$16:$AN$198,2*(ROWS($R$309:$R309)-1)+1))),INDEX('M04-S01'!$Z$16:$Z$198,2*(ROWS($AL$309:$AL309)-1)+1)*INDEX('M04-S01'!$AD$16:$AD$198,2*(ROWS($AL$309:$AL309)-1)+1),"")</f>
        <v>0</v>
      </c>
      <c r="AM309" s="184">
        <f>IF(AND(NOT(ISNUMBER(INDEX('M04-S01'!$AN$16:$AN$198,2*(ROWS($R$309:$R309)-1)+1))),T309&gt;0),INDEX('M04-S01'!$Z$16:$Z$198,2*(ROWS($AM$309:$AM309)-1)+1)*INDEX('M04-S01'!$AF$16:$AF$198,2*(ROWS($AM$309:$AM309)-1)+1),"")</f>
        <v>0</v>
      </c>
      <c r="AN309" s="52" t="str">
        <f>IF(NOT(ISNUMBER(INDEX('M04-S01'!$AN$16:$AN$198,2*(ROWS($R$309:$R309)-1)+1))),INDEX('M04-S01'!$AH$16:$AH$198,2*(ROWS($AN$309:$AN309)-1)+1),"")</f>
        <v/>
      </c>
      <c r="AO309" s="113"/>
      <c r="AU309"/>
    </row>
    <row r="310" spans="1:47">
      <c r="A310" s="57">
        <f t="shared" si="31"/>
        <v>0</v>
      </c>
      <c r="B310" s="183" t="str">
        <f t="shared" si="32"/>
        <v/>
      </c>
      <c r="C310" s="186" t="str">
        <f>IF(OR(R310&gt;0,T310&gt;0),INDEX('M04-S01'!$AZ$16:$AZ$198,2*(ROWS($C$309:C310)-1)+1),"")</f>
        <v/>
      </c>
      <c r="D310" t="s">
        <v>231</v>
      </c>
      <c r="F310" s="185">
        <f>INDEX('M04-S01'!$Q$16:$Q$198,2*(ROWS($F$309:F310)-1)+1)</f>
        <v>0</v>
      </c>
      <c r="G310" s="186">
        <f>INDEX('M04-S01'!$C$16:$C$198,2*(ROWS($G$309:G310)-1)+1)</f>
        <v>0</v>
      </c>
      <c r="H310" s="186" t="str">
        <f>IF(ISNUMBER(INDEX('M04-S01'!$AN$16:$AN$198,2*(ROWS($R$309:R310)-1)+1)),"Total","")</f>
        <v/>
      </c>
      <c r="I310" s="184">
        <f>IFERROR(ROUND(IF(ISNUMBER(INDEX('M04-S01'!$AN$16:$AN$198,2*(ROWS($R$309:$R310)-1)+1)),INDEX('M04-S01'!$Z$16:$Z$198,2*(ROWS($I$309:$I310)-1)+1)*INDEX('M04-S01'!$AD$16:$AD$198,2*(ROWS($I$309:$I310)-1)+1),""),2),0)</f>
        <v>0</v>
      </c>
      <c r="J310" s="184">
        <f>IFERROR(ROUND(IF(ISNUMBER(INDEX('M04-S01'!$AN$16:$AN$198,2*(ROWS($R$309:$R310)-1)+1)),INDEX('M04-S01'!$Z$16:$Z$198,2*(ROWS($J$309:$J310)-1)+1)*INDEX('M04-S01'!$AF$16:$AF$198,2*(ROWS($J$309:$J310)-1)+1),""),2),0)</f>
        <v>0</v>
      </c>
      <c r="K310" s="52">
        <f>IFERROR(ROUND(IF(ISNUMBER(INDEX('M04-S01'!$AN$16:$AN$198,2*(ROWS($R$309:$R310)-1)+1)),INDEX('M04-S01'!$AH$16:$AH$198,2*(ROWS($K$309:$K310)-1)+1),""),2),0)</f>
        <v>0</v>
      </c>
      <c r="M310" s="456" t="str">
        <f>IF(ISNUMBER(INDEX('M04-S01'!$AN$16:$AN$198,2*(ROWS($R$309:R310)-1)+1)),INDEX('M04-S01'!$Z$16:$Z$198,2*(ROWS($M$309:M310)-1)+1),"")</f>
        <v/>
      </c>
      <c r="N310" s="184" t="str">
        <f>IF(ISNUMBER(INDEX('M04-S01'!$AN$16:$AN$198,2*(ROWS($R$309:R310)-1)+1)),INDEX('M04-S01'!$AK$16:$AK$198,2*(ROWS($N$309:N310)-1)+1),"")</f>
        <v/>
      </c>
      <c r="O310" s="456" t="str">
        <f>IF(ISNUMBER(INDEX('M04-S01'!$AN$16:$AN$198,2*(ROWS($R$309:R310)-1)+1)),INDEX('M04-S01'!$AW$16:$AW$198,2*(ROWS($O$309:O310)-1)+1),"")</f>
        <v/>
      </c>
      <c r="P310" s="113"/>
      <c r="Q310" s="456" t="str">
        <f>IF(ISNUMBER(INDEX('M04-S01'!$AN$16:$AN$198,2*(ROWS($R$309:R310)-1)+1)),INDEX('M04-S01'!$BB$16:$BB$198,2*(ROWS($Q$309:Q310)-1)+1),"")</f>
        <v/>
      </c>
      <c r="R310" s="184">
        <f>IF(ISNUMBER(INDEX('M04-S01'!$AN$16:$AN$198,2*(ROWS($R$309:R310)-1)+1)),INDEX('M04-S01'!$AN$16:$AN$198,2*(ROWS($R$309:R310)-1)+1),0)</f>
        <v>0</v>
      </c>
      <c r="S310" s="23">
        <f>IF(NOT(ISNUMBER(INDEX('M04-S01'!$AN$16:$AN$198,2*(ROWS($R$309:R310)-1)+1))),INDEX('M04-S01'!$Z$16:$Z$198,2*(ROWS($S$309:S310)-1)+1),"")</f>
        <v>0</v>
      </c>
      <c r="T310" s="52" t="str">
        <f>IFERROR(IF(NOT(ISNUMBER(INDEX('M04-S01'!$AN$16:$AN$198,2*(ROWS($R$309:R310)-1)+1))),INDEX('M04-S01'!$AK$16:$AK$198,2*(ROWS($R$309:R310)-1)+1),0),0)</f>
        <v/>
      </c>
      <c r="U310" s="23" t="str">
        <f>IFERROR(IF(NOT(ISNUMBER(INDEX('M04-S01'!$AN$16:$AN$198,2*(ROWS($R$309:R310)-1)+1))),INDEX('M04-S01'!$AW$16:$AW$198,2*(ROWS($R$309:R310)-1)+1),""),"")</f>
        <v/>
      </c>
      <c r="V310" s="113"/>
      <c r="W310" t="str">
        <f>IFERROR(IF(NOT(ISNUMBER(INDEX('M04-S01'!$AN$16:$AN$198,2*(ROWS($R$309:R310)-1)+1))),INDEX('M04-S01'!$BD$16:$BD$198,2*(ROWS($R$309:R310)-1)+1),""),"")</f>
        <v/>
      </c>
      <c r="X310" s="184" t="str">
        <f>IFERROR(ROUND(INDEX('M04-S01'!$O$16:$O$198,2*(ROWS($X$309:X310)-1)+1),3),"")</f>
        <v/>
      </c>
      <c r="Y310" s="184">
        <f>IFERROR(ROUND(INDEX('M04-S01'!$AB$16:$AB$198,2*(ROWS($Y$309:Y310)-1)+1),3),"")</f>
        <v>0</v>
      </c>
      <c r="Z310" s="111">
        <f>INDEX('M04-S01'!$B$16:$B$198,2*(ROWS($Z$309:Z310)-1)+1)</f>
        <v>2</v>
      </c>
      <c r="AA310" s="111">
        <f>INDEX('M04-S01'!$F$16:$F$198,2*(ROWS($Z$309:AA310)-1)+1)</f>
        <v>0</v>
      </c>
      <c r="AB310" s="111">
        <f>INDEX('M04-S01'!$S$16:$S$198,2*(ROWS($Z$309:AB310)-1)+1)</f>
        <v>0</v>
      </c>
      <c r="AC310">
        <f>INDEX('M04-S01'!$J$16:$J$198,2*(ROWS($AC$309:AC310)-1)+1)</f>
        <v>0</v>
      </c>
      <c r="AD310">
        <f>INDEX('M04-S01'!$W$16:$W$198,2*(ROWS($AD$309:AD310)-1)+1)</f>
        <v>0</v>
      </c>
      <c r="AE310" s="459"/>
      <c r="AF310" s="459"/>
      <c r="AG310" s="111" t="str">
        <f>INDEX('M04-S01'!$AX$16:$AX$198,2*(ROWS($AG$309:AG310)-1)+1)</f>
        <v/>
      </c>
      <c r="AH310" s="111" t="str">
        <f>INDEX('M04-S01'!$AY$16:$AY$198,2*(ROWS($AH$309:AH310)-1)+1)</f>
        <v/>
      </c>
      <c r="AI310" s="113"/>
      <c r="AJ310" s="113"/>
      <c r="AK310" s="52" t="str">
        <f>INDEX('M04-S01'!$AV$16:$AV$198,2*(ROWS($AK$309:AK310)-1)+1)</f>
        <v/>
      </c>
      <c r="AL310" s="184">
        <f>IF(NOT(ISNUMBER(INDEX('M04-S01'!$AN$16:$AN$198,2*(ROWS($R$309:$R310)-1)+1))),INDEX('M04-S01'!$Z$16:$Z$198,2*(ROWS($AL$309:$AL310)-1)+1)*INDEX('M04-S01'!$AD$16:$AD$198,2*(ROWS($AL$309:$AL310)-1)+1),"")</f>
        <v>0</v>
      </c>
      <c r="AM310" s="184">
        <f>IF(AND(NOT(ISNUMBER(INDEX('M04-S01'!$AN$16:$AN$198,2*(ROWS($R$309:$R310)-1)+1))),T310&gt;0),INDEX('M04-S01'!$Z$16:$Z$198,2*(ROWS($AM$309:$AM310)-1)+1)*INDEX('M04-S01'!$AF$16:$AF$198,2*(ROWS($AM$309:$AM310)-1)+1),"")</f>
        <v>0</v>
      </c>
      <c r="AN310" s="52" t="str">
        <f>IF(NOT(ISNUMBER(INDEX('M04-S01'!$AN$16:$AN$198,2*(ROWS($R$309:$R310)-1)+1))),INDEX('M04-S01'!$AH$16:$AH$198,2*(ROWS($AN$309:$AN310)-1)+1),"")</f>
        <v/>
      </c>
      <c r="AO310" s="113"/>
      <c r="AU310"/>
    </row>
    <row r="311" spans="1:47">
      <c r="A311" s="57">
        <f t="shared" si="31"/>
        <v>0</v>
      </c>
      <c r="B311" s="183" t="str">
        <f t="shared" si="32"/>
        <v/>
      </c>
      <c r="C311" s="186" t="str">
        <f>IF(OR(R311&gt;0,T311&gt;0),INDEX('M04-S01'!$AZ$16:$AZ$198,2*(ROWS($C$309:C311)-1)+1),"")</f>
        <v/>
      </c>
      <c r="D311" t="s">
        <v>231</v>
      </c>
      <c r="F311" s="185">
        <f>INDEX('M04-S01'!$Q$16:$Q$198,2*(ROWS($F$309:F311)-1)+1)</f>
        <v>0</v>
      </c>
      <c r="G311" s="186">
        <f>INDEX('M04-S01'!$C$16:$C$198,2*(ROWS($G$309:G311)-1)+1)</f>
        <v>0</v>
      </c>
      <c r="H311" s="186" t="str">
        <f>IF(ISNUMBER(INDEX('M04-S01'!$AN$16:$AN$198,2*(ROWS($R$309:R311)-1)+1)),"Total","")</f>
        <v/>
      </c>
      <c r="I311" s="184">
        <f>IFERROR(ROUND(IF(ISNUMBER(INDEX('M04-S01'!$AN$16:$AN$198,2*(ROWS($R$309:$R311)-1)+1)),INDEX('M04-S01'!$Z$16:$Z$198,2*(ROWS($I$309:$I311)-1)+1)*INDEX('M04-S01'!$AD$16:$AD$198,2*(ROWS($I$309:$I311)-1)+1),""),2),0)</f>
        <v>0</v>
      </c>
      <c r="J311" s="184">
        <f>IFERROR(ROUND(IF(ISNUMBER(INDEX('M04-S01'!$AN$16:$AN$198,2*(ROWS($R$309:$R311)-1)+1)),INDEX('M04-S01'!$Z$16:$Z$198,2*(ROWS($J$309:$J311)-1)+1)*INDEX('M04-S01'!$AF$16:$AF$198,2*(ROWS($J$309:$J311)-1)+1),""),2),0)</f>
        <v>0</v>
      </c>
      <c r="K311" s="52">
        <f>IFERROR(ROUND(IF(ISNUMBER(INDEX('M04-S01'!$AN$16:$AN$198,2*(ROWS($R$309:$R311)-1)+1)),INDEX('M04-S01'!$AH$16:$AH$198,2*(ROWS($K$309:$K311)-1)+1),""),2),0)</f>
        <v>0</v>
      </c>
      <c r="M311" s="456" t="str">
        <f>IF(ISNUMBER(INDEX('M04-S01'!$AN$16:$AN$198,2*(ROWS($R$309:R311)-1)+1)),INDEX('M04-S01'!$Z$16:$Z$198,2*(ROWS($M$309:M311)-1)+1),"")</f>
        <v/>
      </c>
      <c r="N311" s="184" t="str">
        <f>IF(ISNUMBER(INDEX('M04-S01'!$AN$16:$AN$198,2*(ROWS($R$309:R311)-1)+1)),INDEX('M04-S01'!$AK$16:$AK$198,2*(ROWS($N$309:N311)-1)+1),"")</f>
        <v/>
      </c>
      <c r="O311" s="456" t="str">
        <f>IF(ISNUMBER(INDEX('M04-S01'!$AN$16:$AN$198,2*(ROWS($R$309:R311)-1)+1)),INDEX('M04-S01'!$AW$16:$AW$198,2*(ROWS($O$309:O311)-1)+1),"")</f>
        <v/>
      </c>
      <c r="P311" s="113"/>
      <c r="Q311" s="456" t="str">
        <f>IF(ISNUMBER(INDEX('M04-S01'!$AN$16:$AN$198,2*(ROWS($R$309:R311)-1)+1)),INDEX('M04-S01'!$BB$16:$BB$198,2*(ROWS($Q$309:Q311)-1)+1),"")</f>
        <v/>
      </c>
      <c r="R311" s="184">
        <f>IF(ISNUMBER(INDEX('M04-S01'!$AN$16:$AN$198,2*(ROWS($R$309:R311)-1)+1)),INDEX('M04-S01'!$AN$16:$AN$198,2*(ROWS($R$309:R311)-1)+1),0)</f>
        <v>0</v>
      </c>
      <c r="S311" s="23">
        <f>IF(NOT(ISNUMBER(INDEX('M04-S01'!$AN$16:$AN$198,2*(ROWS($R$309:R311)-1)+1))),INDEX('M04-S01'!$Z$16:$Z$198,2*(ROWS($S$309:S311)-1)+1),"")</f>
        <v>0</v>
      </c>
      <c r="T311" s="52" t="str">
        <f>IFERROR(IF(NOT(ISNUMBER(INDEX('M04-S01'!$AN$16:$AN$198,2*(ROWS($R$309:R311)-1)+1))),INDEX('M04-S01'!$AK$16:$AK$198,2*(ROWS($R$309:R311)-1)+1),0),0)</f>
        <v/>
      </c>
      <c r="U311" s="23" t="str">
        <f>IFERROR(IF(NOT(ISNUMBER(INDEX('M04-S01'!$AN$16:$AN$198,2*(ROWS($R$309:R311)-1)+1))),INDEX('M04-S01'!$AW$16:$AW$198,2*(ROWS($R$309:R311)-1)+1),""),"")</f>
        <v/>
      </c>
      <c r="V311" s="113"/>
      <c r="W311" t="str">
        <f>IFERROR(IF(NOT(ISNUMBER(INDEX('M04-S01'!$AN$16:$AN$198,2*(ROWS($R$309:R311)-1)+1))),INDEX('M04-S01'!$BD$16:$BD$198,2*(ROWS($R$309:R311)-1)+1),""),"")</f>
        <v/>
      </c>
      <c r="X311" s="184">
        <f>IFERROR(ROUND(INDEX('M04-S01'!$O$16:$O$198,2*(ROWS($X$309:X311)-1)+1),3),"")</f>
        <v>0</v>
      </c>
      <c r="Y311" s="184">
        <f>IFERROR(ROUND(INDEX('M04-S01'!$AB$16:$AB$198,2*(ROWS($Y$309:Y311)-1)+1),3),"")</f>
        <v>0</v>
      </c>
      <c r="Z311" s="111">
        <f>INDEX('M04-S01'!$B$16:$B$198,2*(ROWS($Z$309:Z311)-1)+1)</f>
        <v>3</v>
      </c>
      <c r="AA311" s="111">
        <f>INDEX('M04-S01'!$F$16:$F$198,2*(ROWS($Z$309:AA311)-1)+1)</f>
        <v>0</v>
      </c>
      <c r="AB311" s="111">
        <f>INDEX('M04-S01'!$S$16:$S$198,2*(ROWS($Z$309:AB311)-1)+1)</f>
        <v>0</v>
      </c>
      <c r="AC311">
        <f>INDEX('M04-S01'!$J$16:$J$198,2*(ROWS($AC$309:AC311)-1)+1)</f>
        <v>0</v>
      </c>
      <c r="AD311">
        <f>INDEX('M04-S01'!$W$16:$W$198,2*(ROWS($AD$309:AD311)-1)+1)</f>
        <v>0</v>
      </c>
      <c r="AE311" s="459"/>
      <c r="AF311" s="459"/>
      <c r="AG311" s="111" t="str">
        <f>INDEX('M04-S01'!$AX$16:$AX$198,2*(ROWS($AG$309:AG311)-1)+1)</f>
        <v/>
      </c>
      <c r="AH311" s="111" t="str">
        <f>INDEX('M04-S01'!$AY$16:$AY$198,2*(ROWS($AH$309:AH311)-1)+1)</f>
        <v/>
      </c>
      <c r="AI311" s="113"/>
      <c r="AJ311" s="113"/>
      <c r="AK311" s="52" t="str">
        <f>INDEX('M04-S01'!$AV$16:$AV$198,2*(ROWS($AK$309:AK311)-1)+1)</f>
        <v/>
      </c>
      <c r="AL311" s="184">
        <f>IF(NOT(ISNUMBER(INDEX('M04-S01'!$AN$16:$AN$198,2*(ROWS($R$309:$R311)-1)+1))),INDEX('M04-S01'!$Z$16:$Z$198,2*(ROWS($AL$309:$AL311)-1)+1)*INDEX('M04-S01'!$AD$16:$AD$198,2*(ROWS($AL$309:$AL311)-1)+1),"")</f>
        <v>0</v>
      </c>
      <c r="AM311" s="184">
        <f>IF(AND(NOT(ISNUMBER(INDEX('M04-S01'!$AN$16:$AN$198,2*(ROWS($R$309:$R311)-1)+1))),T311&gt;0),INDEX('M04-S01'!$Z$16:$Z$198,2*(ROWS($AM$309:$AM311)-1)+1)*INDEX('M04-S01'!$AF$16:$AF$198,2*(ROWS($AM$309:$AM311)-1)+1),"")</f>
        <v>0</v>
      </c>
      <c r="AN311" s="52" t="str">
        <f>IF(NOT(ISNUMBER(INDEX('M04-S01'!$AN$16:$AN$198,2*(ROWS($R$309:$R311)-1)+1))),INDEX('M04-S01'!$AH$16:$AH$198,2*(ROWS($AN$309:$AN311)-1)+1),"")</f>
        <v/>
      </c>
      <c r="AO311" s="113"/>
      <c r="AU311"/>
    </row>
    <row r="312" spans="1:47">
      <c r="A312" s="57">
        <f t="shared" si="31"/>
        <v>0</v>
      </c>
      <c r="B312" s="183" t="str">
        <f t="shared" si="32"/>
        <v/>
      </c>
      <c r="C312" s="186" t="str">
        <f>IF(OR(R312&gt;0,T312&gt;0),INDEX('M04-S01'!$AZ$16:$AZ$198,2*(ROWS($C$309:C312)-1)+1),"")</f>
        <v/>
      </c>
      <c r="D312" t="s">
        <v>231</v>
      </c>
      <c r="F312" s="185">
        <f>INDEX('M04-S01'!$Q$16:$Q$198,2*(ROWS($F$309:F312)-1)+1)</f>
        <v>0</v>
      </c>
      <c r="G312" s="186">
        <f>INDEX('M04-S01'!$C$16:$C$198,2*(ROWS($G$309:G312)-1)+1)</f>
        <v>0</v>
      </c>
      <c r="H312" s="186" t="str">
        <f>IF(ISNUMBER(INDEX('M04-S01'!$AN$16:$AN$198,2*(ROWS($R$309:R312)-1)+1)),"Total","")</f>
        <v/>
      </c>
      <c r="I312" s="184">
        <f>IFERROR(ROUND(IF(ISNUMBER(INDEX('M04-S01'!$AN$16:$AN$198,2*(ROWS($R$309:$R312)-1)+1)),INDEX('M04-S01'!$Z$16:$Z$198,2*(ROWS($I$309:$I312)-1)+1)*INDEX('M04-S01'!$AD$16:$AD$198,2*(ROWS($I$309:$I312)-1)+1),""),2),0)</f>
        <v>0</v>
      </c>
      <c r="J312" s="184">
        <f>IFERROR(ROUND(IF(ISNUMBER(INDEX('M04-S01'!$AN$16:$AN$198,2*(ROWS($R$309:$R312)-1)+1)),INDEX('M04-S01'!$Z$16:$Z$198,2*(ROWS($J$309:$J312)-1)+1)*INDEX('M04-S01'!$AF$16:$AF$198,2*(ROWS($J$309:$J312)-1)+1),""),2),0)</f>
        <v>0</v>
      </c>
      <c r="K312" s="52">
        <f>IFERROR(ROUND(IF(ISNUMBER(INDEX('M04-S01'!$AN$16:$AN$198,2*(ROWS($R$309:$R312)-1)+1)),INDEX('M04-S01'!$AH$16:$AH$198,2*(ROWS($K$309:$K312)-1)+1),""),2),0)</f>
        <v>0</v>
      </c>
      <c r="M312" s="456" t="str">
        <f>IF(ISNUMBER(INDEX('M04-S01'!$AN$16:$AN$198,2*(ROWS($R$309:R312)-1)+1)),INDEX('M04-S01'!$Z$16:$Z$198,2*(ROWS($M$309:M312)-1)+1),"")</f>
        <v/>
      </c>
      <c r="N312" s="184" t="str">
        <f>IF(ISNUMBER(INDEX('M04-S01'!$AN$16:$AN$198,2*(ROWS($R$309:R312)-1)+1)),INDEX('M04-S01'!$AK$16:$AK$198,2*(ROWS($N$309:N312)-1)+1),"")</f>
        <v/>
      </c>
      <c r="O312" s="456" t="str">
        <f>IF(ISNUMBER(INDEX('M04-S01'!$AN$16:$AN$198,2*(ROWS($R$309:R312)-1)+1)),INDEX('M04-S01'!$AW$16:$AW$198,2*(ROWS($O$309:O312)-1)+1),"")</f>
        <v/>
      </c>
      <c r="P312" s="113"/>
      <c r="Q312" s="456" t="str">
        <f>IF(ISNUMBER(INDEX('M04-S01'!$AN$16:$AN$198,2*(ROWS($R$309:R312)-1)+1)),INDEX('M04-S01'!$BB$16:$BB$198,2*(ROWS($Q$309:Q312)-1)+1),"")</f>
        <v/>
      </c>
      <c r="R312" s="184">
        <f>IF(ISNUMBER(INDEX('M04-S01'!$AN$16:$AN$198,2*(ROWS($R$309:R312)-1)+1)),INDEX('M04-S01'!$AN$16:$AN$198,2*(ROWS($R$309:R312)-1)+1),0)</f>
        <v>0</v>
      </c>
      <c r="S312" s="23">
        <f>IF(NOT(ISNUMBER(INDEX('M04-S01'!$AN$16:$AN$198,2*(ROWS($R$309:R312)-1)+1))),INDEX('M04-S01'!$Z$16:$Z$198,2*(ROWS($S$309:S312)-1)+1),"")</f>
        <v>0</v>
      </c>
      <c r="T312" s="52" t="str">
        <f>IFERROR(IF(NOT(ISNUMBER(INDEX('M04-S01'!$AN$16:$AN$198,2*(ROWS($R$309:R312)-1)+1))),INDEX('M04-S01'!$AK$16:$AK$198,2*(ROWS($R$309:R312)-1)+1),0),0)</f>
        <v/>
      </c>
      <c r="U312" s="23" t="str">
        <f>IFERROR(IF(NOT(ISNUMBER(INDEX('M04-S01'!$AN$16:$AN$198,2*(ROWS($R$309:R312)-1)+1))),INDEX('M04-S01'!$AW$16:$AW$198,2*(ROWS($R$309:R312)-1)+1),""),"")</f>
        <v/>
      </c>
      <c r="V312" s="113"/>
      <c r="W312" t="str">
        <f>IFERROR(IF(NOT(ISNUMBER(INDEX('M04-S01'!$AN$16:$AN$198,2*(ROWS($R$309:R312)-1)+1))),INDEX('M04-S01'!$BD$16:$BD$198,2*(ROWS($R$309:R312)-1)+1),""),"")</f>
        <v/>
      </c>
      <c r="X312" s="184" t="str">
        <f>IFERROR(ROUND(INDEX('M04-S01'!$O$16:$O$198,2*(ROWS($X$309:X312)-1)+1),3),"")</f>
        <v/>
      </c>
      <c r="Y312" s="184">
        <f>IFERROR(ROUND(INDEX('M04-S01'!$AB$16:$AB$198,2*(ROWS($Y$309:Y312)-1)+1),3),"")</f>
        <v>0</v>
      </c>
      <c r="Z312" s="111">
        <f>INDEX('M04-S01'!$B$16:$B$198,2*(ROWS($Z$309:Z312)-1)+1)</f>
        <v>4</v>
      </c>
      <c r="AA312" s="111">
        <f>INDEX('M04-S01'!$F$16:$F$198,2*(ROWS($Z$309:AA312)-1)+1)</f>
        <v>0</v>
      </c>
      <c r="AB312" s="111">
        <f>INDEX('M04-S01'!$S$16:$S$198,2*(ROWS($Z$309:AB312)-1)+1)</f>
        <v>0</v>
      </c>
      <c r="AC312">
        <f>INDEX('M04-S01'!$J$16:$J$198,2*(ROWS($AC$309:AC312)-1)+1)</f>
        <v>0</v>
      </c>
      <c r="AD312">
        <f>INDEX('M04-S01'!$W$16:$W$198,2*(ROWS($AD$309:AD312)-1)+1)</f>
        <v>0</v>
      </c>
      <c r="AE312" s="459"/>
      <c r="AF312" s="459"/>
      <c r="AG312" s="111" t="str">
        <f>INDEX('M04-S01'!$AX$16:$AX$198,2*(ROWS($AG$309:AG312)-1)+1)</f>
        <v/>
      </c>
      <c r="AH312" s="111" t="str">
        <f>INDEX('M04-S01'!$AY$16:$AY$198,2*(ROWS($AH$309:AH312)-1)+1)</f>
        <v/>
      </c>
      <c r="AI312" s="113"/>
      <c r="AJ312" s="113"/>
      <c r="AK312" s="52" t="str">
        <f>INDEX('M04-S01'!$AV$16:$AV$198,2*(ROWS($AK$309:AK312)-1)+1)</f>
        <v/>
      </c>
      <c r="AL312" s="184">
        <f>IF(NOT(ISNUMBER(INDEX('M04-S01'!$AN$16:$AN$198,2*(ROWS($R$309:$R312)-1)+1))),INDEX('M04-S01'!$Z$16:$Z$198,2*(ROWS($AL$309:$AL312)-1)+1)*INDEX('M04-S01'!$AD$16:$AD$198,2*(ROWS($AL$309:$AL312)-1)+1),"")</f>
        <v>0</v>
      </c>
      <c r="AM312" s="184">
        <f>IF(AND(NOT(ISNUMBER(INDEX('M04-S01'!$AN$16:$AN$198,2*(ROWS($R$309:$R312)-1)+1))),T312&gt;0),INDEX('M04-S01'!$Z$16:$Z$198,2*(ROWS($AM$309:$AM312)-1)+1)*INDEX('M04-S01'!$AF$16:$AF$198,2*(ROWS($AM$309:$AM312)-1)+1),"")</f>
        <v>0</v>
      </c>
      <c r="AN312" s="52" t="str">
        <f>IF(NOT(ISNUMBER(INDEX('M04-S01'!$AN$16:$AN$198,2*(ROWS($R$309:$R312)-1)+1))),INDEX('M04-S01'!$AH$16:$AH$198,2*(ROWS($AN$309:$AN312)-1)+1),"")</f>
        <v/>
      </c>
      <c r="AO312" s="113"/>
      <c r="AU312"/>
    </row>
    <row r="313" spans="1:47">
      <c r="A313" s="57">
        <f t="shared" si="31"/>
        <v>0</v>
      </c>
      <c r="B313" s="183" t="str">
        <f t="shared" si="32"/>
        <v/>
      </c>
      <c r="C313" s="186" t="str">
        <f>IF(OR(R313&gt;0,T313&gt;0),INDEX('M04-S01'!$AZ$16:$AZ$198,2*(ROWS($C$309:C313)-1)+1),"")</f>
        <v/>
      </c>
      <c r="D313" t="s">
        <v>231</v>
      </c>
      <c r="F313" s="185">
        <f>INDEX('M04-S01'!$Q$16:$Q$198,2*(ROWS($F$309:F313)-1)+1)</f>
        <v>0</v>
      </c>
      <c r="G313" s="186">
        <f>INDEX('M04-S01'!$C$16:$C$198,2*(ROWS($G$309:G313)-1)+1)</f>
        <v>0</v>
      </c>
      <c r="H313" s="186" t="str">
        <f>IF(ISNUMBER(INDEX('M04-S01'!$AN$16:$AN$198,2*(ROWS($R$309:R313)-1)+1)),"Total","")</f>
        <v/>
      </c>
      <c r="I313" s="184">
        <f>IFERROR(ROUND(IF(ISNUMBER(INDEX('M04-S01'!$AN$16:$AN$198,2*(ROWS($R$309:$R313)-1)+1)),INDEX('M04-S01'!$Z$16:$Z$198,2*(ROWS($I$309:$I313)-1)+1)*INDEX('M04-S01'!$AD$16:$AD$198,2*(ROWS($I$309:$I313)-1)+1),""),2),0)</f>
        <v>0</v>
      </c>
      <c r="J313" s="184">
        <f>IFERROR(ROUND(IF(ISNUMBER(INDEX('M04-S01'!$AN$16:$AN$198,2*(ROWS($R$309:$R313)-1)+1)),INDEX('M04-S01'!$Z$16:$Z$198,2*(ROWS($J$309:$J313)-1)+1)*INDEX('M04-S01'!$AF$16:$AF$198,2*(ROWS($J$309:$J313)-1)+1),""),2),0)</f>
        <v>0</v>
      </c>
      <c r="K313" s="52">
        <f>IFERROR(ROUND(IF(ISNUMBER(INDEX('M04-S01'!$AN$16:$AN$198,2*(ROWS($R$309:$R313)-1)+1)),INDEX('M04-S01'!$AH$16:$AH$198,2*(ROWS($K$309:$K313)-1)+1),""),2),0)</f>
        <v>0</v>
      </c>
      <c r="M313" s="456" t="str">
        <f>IF(ISNUMBER(INDEX('M04-S01'!$AN$16:$AN$198,2*(ROWS($R$309:R313)-1)+1)),INDEX('M04-S01'!$Z$16:$Z$198,2*(ROWS($M$309:M313)-1)+1),"")</f>
        <v/>
      </c>
      <c r="N313" s="184" t="str">
        <f>IF(ISNUMBER(INDEX('M04-S01'!$AN$16:$AN$198,2*(ROWS($R$309:R313)-1)+1)),INDEX('M04-S01'!$AK$16:$AK$198,2*(ROWS($N$309:N313)-1)+1),"")</f>
        <v/>
      </c>
      <c r="O313" s="456" t="str">
        <f>IF(ISNUMBER(INDEX('M04-S01'!$AN$16:$AN$198,2*(ROWS($R$309:R313)-1)+1)),INDEX('M04-S01'!$AW$16:$AW$198,2*(ROWS($O$309:O313)-1)+1),"")</f>
        <v/>
      </c>
      <c r="P313" s="113"/>
      <c r="Q313" s="456" t="str">
        <f>IF(ISNUMBER(INDEX('M04-S01'!$AN$16:$AN$198,2*(ROWS($R$309:R313)-1)+1)),INDEX('M04-S01'!$BB$16:$BB$198,2*(ROWS($Q$309:Q313)-1)+1),"")</f>
        <v/>
      </c>
      <c r="R313" s="184">
        <f>IF(ISNUMBER(INDEX('M04-S01'!$AN$16:$AN$198,2*(ROWS($R$309:R313)-1)+1)),INDEX('M04-S01'!$AN$16:$AN$198,2*(ROWS($R$309:R313)-1)+1),0)</f>
        <v>0</v>
      </c>
      <c r="S313" s="23">
        <f>IF(NOT(ISNUMBER(INDEX('M04-S01'!$AN$16:$AN$198,2*(ROWS($R$309:R313)-1)+1))),INDEX('M04-S01'!$Z$16:$Z$198,2*(ROWS($S$309:S313)-1)+1),"")</f>
        <v>0</v>
      </c>
      <c r="T313" s="52" t="str">
        <f>IFERROR(IF(NOT(ISNUMBER(INDEX('M04-S01'!$AN$16:$AN$198,2*(ROWS($R$309:R313)-1)+1))),INDEX('M04-S01'!$AK$16:$AK$198,2*(ROWS($R$309:R313)-1)+1),0),0)</f>
        <v/>
      </c>
      <c r="U313" s="23" t="str">
        <f>IFERROR(IF(NOT(ISNUMBER(INDEX('M04-S01'!$AN$16:$AN$198,2*(ROWS($R$309:R313)-1)+1))),INDEX('M04-S01'!$AW$16:$AW$198,2*(ROWS($R$309:R313)-1)+1),""),"")</f>
        <v/>
      </c>
      <c r="V313" s="113"/>
      <c r="W313" t="str">
        <f>IFERROR(IF(NOT(ISNUMBER(INDEX('M04-S01'!$AN$16:$AN$198,2*(ROWS($R$309:R313)-1)+1))),INDEX('M04-S01'!$BD$16:$BD$198,2*(ROWS($R$309:R313)-1)+1),""),"")</f>
        <v/>
      </c>
      <c r="X313" s="184" t="str">
        <f>IFERROR(ROUND(INDEX('M04-S01'!$O$16:$O$198,2*(ROWS($X$309:X313)-1)+1),3),"")</f>
        <v/>
      </c>
      <c r="Y313" s="184">
        <f>IFERROR(ROUND(INDEX('M04-S01'!$AB$16:$AB$198,2*(ROWS($Y$309:Y313)-1)+1),3),"")</f>
        <v>0</v>
      </c>
      <c r="Z313" s="111">
        <f>INDEX('M04-S01'!$B$16:$B$198,2*(ROWS($Z$309:Z313)-1)+1)</f>
        <v>5</v>
      </c>
      <c r="AA313" s="111">
        <f>INDEX('M04-S01'!$F$16:$F$198,2*(ROWS($Z$309:AA313)-1)+1)</f>
        <v>0</v>
      </c>
      <c r="AB313" s="111">
        <f>INDEX('M04-S01'!$S$16:$S$198,2*(ROWS($Z$309:AB313)-1)+1)</f>
        <v>0</v>
      </c>
      <c r="AC313">
        <f>INDEX('M04-S01'!$J$16:$J$198,2*(ROWS($AC$309:AC313)-1)+1)</f>
        <v>0</v>
      </c>
      <c r="AD313">
        <f>INDEX('M04-S01'!$W$16:$W$198,2*(ROWS($AD$309:AD313)-1)+1)</f>
        <v>0</v>
      </c>
      <c r="AE313" s="459"/>
      <c r="AF313" s="459"/>
      <c r="AG313" s="111" t="str">
        <f>INDEX('M04-S01'!$AX$16:$AX$198,2*(ROWS($AG$309:AG313)-1)+1)</f>
        <v/>
      </c>
      <c r="AH313" s="111" t="str">
        <f>INDEX('M04-S01'!$AY$16:$AY$198,2*(ROWS($AH$309:AH313)-1)+1)</f>
        <v/>
      </c>
      <c r="AI313" s="113"/>
      <c r="AJ313" s="113"/>
      <c r="AK313" s="52" t="str">
        <f>INDEX('M04-S01'!$AV$16:$AV$198,2*(ROWS($AK$309:AK313)-1)+1)</f>
        <v/>
      </c>
      <c r="AL313" s="184">
        <f>IF(NOT(ISNUMBER(INDEX('M04-S01'!$AN$16:$AN$198,2*(ROWS($R$309:$R313)-1)+1))),INDEX('M04-S01'!$Z$16:$Z$198,2*(ROWS($AL$309:$AL313)-1)+1)*INDEX('M04-S01'!$AD$16:$AD$198,2*(ROWS($AL$309:$AL313)-1)+1),"")</f>
        <v>0</v>
      </c>
      <c r="AM313" s="184">
        <f>IF(AND(NOT(ISNUMBER(INDEX('M04-S01'!$AN$16:$AN$198,2*(ROWS($R$309:$R313)-1)+1))),T313&gt;0),INDEX('M04-S01'!$Z$16:$Z$198,2*(ROWS($AM$309:$AM313)-1)+1)*INDEX('M04-S01'!$AF$16:$AF$198,2*(ROWS($AM$309:$AM313)-1)+1),"")</f>
        <v>0</v>
      </c>
      <c r="AN313" s="52" t="str">
        <f>IF(NOT(ISNUMBER(INDEX('M04-S01'!$AN$16:$AN$198,2*(ROWS($R$309:$R313)-1)+1))),INDEX('M04-S01'!$AH$16:$AH$198,2*(ROWS($AN$309:$AN313)-1)+1),"")</f>
        <v/>
      </c>
      <c r="AO313" s="113"/>
      <c r="AU313"/>
    </row>
    <row r="314" spans="1:47">
      <c r="A314" s="57">
        <f t="shared" si="31"/>
        <v>0</v>
      </c>
      <c r="B314" s="183" t="str">
        <f t="shared" si="32"/>
        <v/>
      </c>
      <c r="C314" s="186" t="str">
        <f>IF(OR(R314&gt;0,T314&gt;0),INDEX('M04-S01'!$AZ$16:$AZ$198,2*(ROWS($C$309:C314)-1)+1),"")</f>
        <v/>
      </c>
      <c r="D314" t="s">
        <v>231</v>
      </c>
      <c r="F314" s="185">
        <f>INDEX('M04-S01'!$Q$16:$Q$198,2*(ROWS($F$309:F314)-1)+1)</f>
        <v>0</v>
      </c>
      <c r="G314" s="186">
        <f>INDEX('M04-S01'!$C$16:$C$198,2*(ROWS($G$309:G314)-1)+1)</f>
        <v>0</v>
      </c>
      <c r="H314" s="186" t="str">
        <f>IF(ISNUMBER(INDEX('M04-S01'!$AN$16:$AN$198,2*(ROWS($R$309:R314)-1)+1)),"Total","")</f>
        <v/>
      </c>
      <c r="I314" s="184">
        <f>IFERROR(ROUND(IF(ISNUMBER(INDEX('M04-S01'!$AN$16:$AN$198,2*(ROWS($R$309:$R314)-1)+1)),INDEX('M04-S01'!$Z$16:$Z$198,2*(ROWS($I$309:$I314)-1)+1)*INDEX('M04-S01'!$AD$16:$AD$198,2*(ROWS($I$309:$I314)-1)+1),""),2),0)</f>
        <v>0</v>
      </c>
      <c r="J314" s="184">
        <f>IFERROR(ROUND(IF(ISNUMBER(INDEX('M04-S01'!$AN$16:$AN$198,2*(ROWS($R$309:$R314)-1)+1)),INDEX('M04-S01'!$Z$16:$Z$198,2*(ROWS($J$309:$J314)-1)+1)*INDEX('M04-S01'!$AF$16:$AF$198,2*(ROWS($J$309:$J314)-1)+1),""),2),0)</f>
        <v>0</v>
      </c>
      <c r="K314" s="52">
        <f>IFERROR(ROUND(IF(ISNUMBER(INDEX('M04-S01'!$AN$16:$AN$198,2*(ROWS($R$309:$R314)-1)+1)),INDEX('M04-S01'!$AH$16:$AH$198,2*(ROWS($K$309:$K314)-1)+1),""),2),0)</f>
        <v>0</v>
      </c>
      <c r="M314" s="456" t="str">
        <f>IF(ISNUMBER(INDEX('M04-S01'!$AN$16:$AN$198,2*(ROWS($R$309:R314)-1)+1)),INDEX('M04-S01'!$Z$16:$Z$198,2*(ROWS($M$309:M314)-1)+1),"")</f>
        <v/>
      </c>
      <c r="N314" s="184" t="str">
        <f>IF(ISNUMBER(INDEX('M04-S01'!$AN$16:$AN$198,2*(ROWS($R$309:R314)-1)+1)),INDEX('M04-S01'!$AK$16:$AK$198,2*(ROWS($N$309:N314)-1)+1),"")</f>
        <v/>
      </c>
      <c r="O314" s="456" t="str">
        <f>IF(ISNUMBER(INDEX('M04-S01'!$AN$16:$AN$198,2*(ROWS($R$309:R314)-1)+1)),INDEX('M04-S01'!$AW$16:$AW$198,2*(ROWS($O$309:O314)-1)+1),"")</f>
        <v/>
      </c>
      <c r="P314" s="113"/>
      <c r="Q314" s="456" t="str">
        <f>IF(ISNUMBER(INDEX('M04-S01'!$AN$16:$AN$198,2*(ROWS($R$309:R314)-1)+1)),INDEX('M04-S01'!$BB$16:$BB$198,2*(ROWS($Q$309:Q314)-1)+1),"")</f>
        <v/>
      </c>
      <c r="R314" s="184">
        <f>IF(ISNUMBER(INDEX('M04-S01'!$AN$16:$AN$198,2*(ROWS($R$309:R314)-1)+1)),INDEX('M04-S01'!$AN$16:$AN$198,2*(ROWS($R$309:R314)-1)+1),0)</f>
        <v>0</v>
      </c>
      <c r="S314" s="23">
        <f>IF(NOT(ISNUMBER(INDEX('M04-S01'!$AN$16:$AN$198,2*(ROWS($R$309:R314)-1)+1))),INDEX('M04-S01'!$Z$16:$Z$198,2*(ROWS($S$309:S314)-1)+1),"")</f>
        <v>0</v>
      </c>
      <c r="T314" s="52" t="str">
        <f>IFERROR(IF(NOT(ISNUMBER(INDEX('M04-S01'!$AN$16:$AN$198,2*(ROWS($R$309:R314)-1)+1))),INDEX('M04-S01'!$AK$16:$AK$198,2*(ROWS($R$309:R314)-1)+1),0),0)</f>
        <v/>
      </c>
      <c r="U314" s="23" t="str">
        <f>IFERROR(IF(NOT(ISNUMBER(INDEX('M04-S01'!$AN$16:$AN$198,2*(ROWS($R$309:R314)-1)+1))),INDEX('M04-S01'!$AW$16:$AW$198,2*(ROWS($R$309:R314)-1)+1),""),"")</f>
        <v/>
      </c>
      <c r="V314" s="113"/>
      <c r="W314" t="str">
        <f>IFERROR(IF(NOT(ISNUMBER(INDEX('M04-S01'!$AN$16:$AN$198,2*(ROWS($R$309:R314)-1)+1))),INDEX('M04-S01'!$BD$16:$BD$198,2*(ROWS($R$309:R314)-1)+1),""),"")</f>
        <v/>
      </c>
      <c r="X314" s="184" t="str">
        <f>IFERROR(ROUND(INDEX('M04-S01'!$O$16:$O$198,2*(ROWS($X$309:X314)-1)+1),3),"")</f>
        <v/>
      </c>
      <c r="Y314" s="184">
        <f>IFERROR(ROUND(INDEX('M04-S01'!$AB$16:$AB$198,2*(ROWS($Y$309:Y314)-1)+1),3),"")</f>
        <v>0</v>
      </c>
      <c r="Z314" s="111">
        <f>INDEX('M04-S01'!$B$16:$B$198,2*(ROWS($Z$309:Z314)-1)+1)</f>
        <v>6</v>
      </c>
      <c r="AA314" s="111">
        <f>INDEX('M04-S01'!$F$16:$F$198,2*(ROWS($Z$309:AA314)-1)+1)</f>
        <v>0</v>
      </c>
      <c r="AB314" s="111">
        <f>INDEX('M04-S01'!$S$16:$S$198,2*(ROWS($Z$309:AB314)-1)+1)</f>
        <v>0</v>
      </c>
      <c r="AC314">
        <f>INDEX('M04-S01'!$J$16:$J$198,2*(ROWS($AC$309:AC314)-1)+1)</f>
        <v>0</v>
      </c>
      <c r="AD314">
        <f>INDEX('M04-S01'!$W$16:$W$198,2*(ROWS($AD$309:AD314)-1)+1)</f>
        <v>0</v>
      </c>
      <c r="AE314" s="459"/>
      <c r="AF314" s="459"/>
      <c r="AG314" s="111" t="str">
        <f>INDEX('M04-S01'!$AX$16:$AX$198,2*(ROWS($AG$309:AG314)-1)+1)</f>
        <v/>
      </c>
      <c r="AH314" s="111" t="str">
        <f>INDEX('M04-S01'!$AY$16:$AY$198,2*(ROWS($AH$309:AH314)-1)+1)</f>
        <v/>
      </c>
      <c r="AI314" s="113"/>
      <c r="AJ314" s="113"/>
      <c r="AK314" s="52" t="str">
        <f>INDEX('M04-S01'!$AV$16:$AV$198,2*(ROWS($AK$309:AK314)-1)+1)</f>
        <v/>
      </c>
      <c r="AL314" s="184">
        <f>IF(NOT(ISNUMBER(INDEX('M04-S01'!$AN$16:$AN$198,2*(ROWS($R$309:$R314)-1)+1))),INDEX('M04-S01'!$Z$16:$Z$198,2*(ROWS($AL$309:$AL314)-1)+1)*INDEX('M04-S01'!$AD$16:$AD$198,2*(ROWS($AL$309:$AL314)-1)+1),"")</f>
        <v>0</v>
      </c>
      <c r="AM314" s="184">
        <f>IF(AND(NOT(ISNUMBER(INDEX('M04-S01'!$AN$16:$AN$198,2*(ROWS($R$309:$R314)-1)+1))),T314&gt;0),INDEX('M04-S01'!$Z$16:$Z$198,2*(ROWS($AM$309:$AM314)-1)+1)*INDEX('M04-S01'!$AF$16:$AF$198,2*(ROWS($AM$309:$AM314)-1)+1),"")</f>
        <v>0</v>
      </c>
      <c r="AN314" s="52" t="str">
        <f>IF(NOT(ISNUMBER(INDEX('M04-S01'!$AN$16:$AN$198,2*(ROWS($R$309:$R314)-1)+1))),INDEX('M04-S01'!$AH$16:$AH$198,2*(ROWS($AN$309:$AN314)-1)+1),"")</f>
        <v/>
      </c>
      <c r="AO314" s="113"/>
      <c r="AU314"/>
    </row>
    <row r="315" spans="1:47">
      <c r="A315" s="57">
        <f t="shared" si="31"/>
        <v>0</v>
      </c>
      <c r="B315" s="183" t="str">
        <f t="shared" ref="B315:B358" si="33">IF(C315="","",CONCATENATE(ROW(),"-",C315))</f>
        <v/>
      </c>
      <c r="C315" s="186" t="str">
        <f>IF(OR(R315&gt;0,T315&gt;0),INDEX('M04-S01'!$AZ$16:$AZ$198,2*(ROWS($C$309:C315)-1)+1),"")</f>
        <v/>
      </c>
      <c r="D315" t="s">
        <v>231</v>
      </c>
      <c r="F315" s="185">
        <f>INDEX('M04-S01'!$Q$16:$Q$198,2*(ROWS($F$309:F315)-1)+1)</f>
        <v>0</v>
      </c>
      <c r="G315" s="186">
        <f>INDEX('M04-S01'!$C$16:$C$198,2*(ROWS($G$309:G315)-1)+1)</f>
        <v>0</v>
      </c>
      <c r="H315" s="186" t="str">
        <f>IF(ISNUMBER(INDEX('M04-S01'!$AN$16:$AN$198,2*(ROWS($R$309:R315)-1)+1)),"Total","")</f>
        <v/>
      </c>
      <c r="I315" s="184">
        <f>IFERROR(ROUND(IF(ISNUMBER(INDEX('M04-S01'!$AN$16:$AN$198,2*(ROWS($R$309:$R315)-1)+1)),INDEX('M04-S01'!$Z$16:$Z$198,2*(ROWS($I$309:$I315)-1)+1)*INDEX('M04-S01'!$AD$16:$AD$198,2*(ROWS($I$309:$I315)-1)+1),""),2),0)</f>
        <v>0</v>
      </c>
      <c r="J315" s="184">
        <f>IFERROR(ROUND(IF(ISNUMBER(INDEX('M04-S01'!$AN$16:$AN$198,2*(ROWS($R$309:$R315)-1)+1)),INDEX('M04-S01'!$Z$16:$Z$198,2*(ROWS($J$309:$J315)-1)+1)*INDEX('M04-S01'!$AF$16:$AF$198,2*(ROWS($J$309:$J315)-1)+1),""),2),0)</f>
        <v>0</v>
      </c>
      <c r="K315" s="52">
        <f>IFERROR(ROUND(IF(ISNUMBER(INDEX('M04-S01'!$AN$16:$AN$198,2*(ROWS($R$309:$R315)-1)+1)),INDEX('M04-S01'!$AH$16:$AH$198,2*(ROWS($K$309:$K315)-1)+1),""),2),0)</f>
        <v>0</v>
      </c>
      <c r="M315" s="456" t="str">
        <f>IF(ISNUMBER(INDEX('M04-S01'!$AN$16:$AN$198,2*(ROWS($R$309:R315)-1)+1)),INDEX('M04-S01'!$Z$16:$Z$198,2*(ROWS($M$309:M315)-1)+1),"")</f>
        <v/>
      </c>
      <c r="N315" s="184" t="str">
        <f>IF(ISNUMBER(INDEX('M04-S01'!$AN$16:$AN$198,2*(ROWS($R$309:R315)-1)+1)),INDEX('M04-S01'!$AK$16:$AK$198,2*(ROWS($N$309:N315)-1)+1),"")</f>
        <v/>
      </c>
      <c r="O315" s="456" t="str">
        <f>IF(ISNUMBER(INDEX('M04-S01'!$AN$16:$AN$198,2*(ROWS($R$309:R315)-1)+1)),INDEX('M04-S01'!$AW$16:$AW$198,2*(ROWS($O$309:O315)-1)+1),"")</f>
        <v/>
      </c>
      <c r="P315" s="113"/>
      <c r="Q315" s="456" t="str">
        <f>IF(ISNUMBER(INDEX('M04-S01'!$AN$16:$AN$198,2*(ROWS($R$309:R315)-1)+1)),INDEX('M04-S01'!$BB$16:$BB$198,2*(ROWS($Q$309:Q315)-1)+1),"")</f>
        <v/>
      </c>
      <c r="R315" s="184">
        <f>IF(ISNUMBER(INDEX('M04-S01'!$AN$16:$AN$198,2*(ROWS($R$309:R315)-1)+1)),INDEX('M04-S01'!$AN$16:$AN$198,2*(ROWS($R$309:R315)-1)+1),0)</f>
        <v>0</v>
      </c>
      <c r="S315" s="23">
        <f>IF(NOT(ISNUMBER(INDEX('M04-S01'!$AN$16:$AN$198,2*(ROWS($R$309:R315)-1)+1))),INDEX('M04-S01'!$Z$16:$Z$198,2*(ROWS($S$309:S315)-1)+1),"")</f>
        <v>0</v>
      </c>
      <c r="T315" s="52" t="str">
        <f>IFERROR(IF(NOT(ISNUMBER(INDEX('M04-S01'!$AN$16:$AN$198,2*(ROWS($R$309:R315)-1)+1))),INDEX('M04-S01'!$AK$16:$AK$198,2*(ROWS($R$309:R315)-1)+1),0),0)</f>
        <v/>
      </c>
      <c r="U315" s="23" t="str">
        <f>IFERROR(IF(NOT(ISNUMBER(INDEX('M04-S01'!$AN$16:$AN$198,2*(ROWS($R$309:R315)-1)+1))),INDEX('M04-S01'!$AW$16:$AW$198,2*(ROWS($R$309:R315)-1)+1),""),"")</f>
        <v/>
      </c>
      <c r="V315" s="113"/>
      <c r="W315" t="str">
        <f>IFERROR(IF(NOT(ISNUMBER(INDEX('M04-S01'!$AN$16:$AN$198,2*(ROWS($R$309:R315)-1)+1))),INDEX('M04-S01'!$BD$16:$BD$198,2*(ROWS($R$309:R315)-1)+1),""),"")</f>
        <v/>
      </c>
      <c r="X315" s="184" t="str">
        <f>IFERROR(ROUND(INDEX('M04-S01'!$O$16:$O$198,2*(ROWS($X$309:X315)-1)+1),3),"")</f>
        <v/>
      </c>
      <c r="Y315" s="184">
        <f>IFERROR(ROUND(INDEX('M04-S01'!$AB$16:$AB$198,2*(ROWS($Y$309:Y315)-1)+1),3),"")</f>
        <v>0</v>
      </c>
      <c r="Z315" s="111">
        <f>INDEX('M04-S01'!$B$16:$B$198,2*(ROWS($Z$309:Z315)-1)+1)</f>
        <v>7</v>
      </c>
      <c r="AA315" s="111">
        <f>INDEX('M04-S01'!$F$16:$F$198,2*(ROWS($Z$309:AA315)-1)+1)</f>
        <v>0</v>
      </c>
      <c r="AB315" s="111">
        <f>INDEX('M04-S01'!$S$16:$S$198,2*(ROWS($Z$309:AB315)-1)+1)</f>
        <v>0</v>
      </c>
      <c r="AC315">
        <f>INDEX('M04-S01'!$J$16:$J$198,2*(ROWS($AC$309:AC315)-1)+1)</f>
        <v>0</v>
      </c>
      <c r="AD315">
        <f>INDEX('M04-S01'!$W$16:$W$198,2*(ROWS($AD$309:AD315)-1)+1)</f>
        <v>0</v>
      </c>
      <c r="AE315" s="459"/>
      <c r="AF315" s="459"/>
      <c r="AG315" s="111" t="str">
        <f>INDEX('M04-S01'!$AX$16:$AX$198,2*(ROWS($AG$309:AG315)-1)+1)</f>
        <v/>
      </c>
      <c r="AH315" s="111" t="str">
        <f>INDEX('M04-S01'!$AY$16:$AY$198,2*(ROWS($AH$309:AH315)-1)+1)</f>
        <v/>
      </c>
      <c r="AI315" s="113"/>
      <c r="AJ315" s="113"/>
      <c r="AK315" s="52" t="str">
        <f>INDEX('M04-S01'!$AV$16:$AV$198,2*(ROWS($AK$309:AK315)-1)+1)</f>
        <v/>
      </c>
      <c r="AL315" s="184">
        <f>IF(NOT(ISNUMBER(INDEX('M04-S01'!$AN$16:$AN$198,2*(ROWS($R$309:$R315)-1)+1))),INDEX('M04-S01'!$Z$16:$Z$198,2*(ROWS($AL$309:$AL315)-1)+1)*INDEX('M04-S01'!$AD$16:$AD$198,2*(ROWS($AL$309:$AL315)-1)+1),"")</f>
        <v>0</v>
      </c>
      <c r="AM315" s="184">
        <f>IF(AND(NOT(ISNUMBER(INDEX('M04-S01'!$AN$16:$AN$198,2*(ROWS($R$309:$R315)-1)+1))),T315&gt;0),INDEX('M04-S01'!$Z$16:$Z$198,2*(ROWS($AM$309:$AM315)-1)+1)*INDEX('M04-S01'!$AF$16:$AF$198,2*(ROWS($AM$309:$AM315)-1)+1),"")</f>
        <v>0</v>
      </c>
      <c r="AN315" s="52" t="str">
        <f>IF(NOT(ISNUMBER(INDEX('M04-S01'!$AN$16:$AN$198,2*(ROWS($R$309:$R315)-1)+1))),INDEX('M04-S01'!$AH$16:$AH$198,2*(ROWS($AN$309:$AN315)-1)+1),"")</f>
        <v/>
      </c>
      <c r="AO315" s="113"/>
      <c r="AU315"/>
    </row>
    <row r="316" spans="1:47">
      <c r="A316" s="57">
        <f t="shared" si="31"/>
        <v>0</v>
      </c>
      <c r="B316" s="183" t="str">
        <f t="shared" si="33"/>
        <v/>
      </c>
      <c r="C316" s="186" t="str">
        <f>IF(OR(R316&gt;0,T316&gt;0),INDEX('M04-S01'!$AZ$16:$AZ$198,2*(ROWS($C$309:C316)-1)+1),"")</f>
        <v/>
      </c>
      <c r="D316" t="s">
        <v>231</v>
      </c>
      <c r="F316" s="185">
        <f>INDEX('M04-S01'!$Q$16:$Q$198,2*(ROWS($F$309:F316)-1)+1)</f>
        <v>0</v>
      </c>
      <c r="G316" s="186">
        <f>INDEX('M04-S01'!$C$16:$C$198,2*(ROWS($G$309:G316)-1)+1)</f>
        <v>0</v>
      </c>
      <c r="H316" s="186" t="str">
        <f>IF(ISNUMBER(INDEX('M04-S01'!$AN$16:$AN$198,2*(ROWS($R$309:R316)-1)+1)),"Total","")</f>
        <v/>
      </c>
      <c r="I316" s="184">
        <f>IFERROR(ROUND(IF(ISNUMBER(INDEX('M04-S01'!$AN$16:$AN$198,2*(ROWS($R$309:$R316)-1)+1)),INDEX('M04-S01'!$Z$16:$Z$198,2*(ROWS($I$309:$I316)-1)+1)*INDEX('M04-S01'!$AD$16:$AD$198,2*(ROWS($I$309:$I316)-1)+1),""),2),0)</f>
        <v>0</v>
      </c>
      <c r="J316" s="184">
        <f>IFERROR(ROUND(IF(ISNUMBER(INDEX('M04-S01'!$AN$16:$AN$198,2*(ROWS($R$309:$R316)-1)+1)),INDEX('M04-S01'!$Z$16:$Z$198,2*(ROWS($J$309:$J316)-1)+1)*INDEX('M04-S01'!$AF$16:$AF$198,2*(ROWS($J$309:$J316)-1)+1),""),2),0)</f>
        <v>0</v>
      </c>
      <c r="K316" s="52">
        <f>IFERROR(ROUND(IF(ISNUMBER(INDEX('M04-S01'!$AN$16:$AN$198,2*(ROWS($R$309:$R316)-1)+1)),INDEX('M04-S01'!$AH$16:$AH$198,2*(ROWS($K$309:$K316)-1)+1),""),2),0)</f>
        <v>0</v>
      </c>
      <c r="M316" s="456" t="str">
        <f>IF(ISNUMBER(INDEX('M04-S01'!$AN$16:$AN$198,2*(ROWS($R$309:R316)-1)+1)),INDEX('M04-S01'!$Z$16:$Z$198,2*(ROWS($M$309:M316)-1)+1),"")</f>
        <v/>
      </c>
      <c r="N316" s="184" t="str">
        <f>IF(ISNUMBER(INDEX('M04-S01'!$AN$16:$AN$198,2*(ROWS($R$309:R316)-1)+1)),INDEX('M04-S01'!$AK$16:$AK$198,2*(ROWS($N$309:N316)-1)+1),"")</f>
        <v/>
      </c>
      <c r="O316" s="456" t="str">
        <f>IF(ISNUMBER(INDEX('M04-S01'!$AN$16:$AN$198,2*(ROWS($R$309:R316)-1)+1)),INDEX('M04-S01'!$AW$16:$AW$198,2*(ROWS($O$309:O316)-1)+1),"")</f>
        <v/>
      </c>
      <c r="P316" s="113"/>
      <c r="Q316" s="456" t="str">
        <f>IF(ISNUMBER(INDEX('M04-S01'!$AN$16:$AN$198,2*(ROWS($R$309:R316)-1)+1)),INDEX('M04-S01'!$BB$16:$BB$198,2*(ROWS($Q$309:Q316)-1)+1),"")</f>
        <v/>
      </c>
      <c r="R316" s="184">
        <f>IF(ISNUMBER(INDEX('M04-S01'!$AN$16:$AN$198,2*(ROWS($R$309:R316)-1)+1)),INDEX('M04-S01'!$AN$16:$AN$198,2*(ROWS($R$309:R316)-1)+1),0)</f>
        <v>0</v>
      </c>
      <c r="S316" s="23">
        <f>IF(NOT(ISNUMBER(INDEX('M04-S01'!$AN$16:$AN$198,2*(ROWS($R$309:R316)-1)+1))),INDEX('M04-S01'!$Z$16:$Z$198,2*(ROWS($S$309:S316)-1)+1),"")</f>
        <v>0</v>
      </c>
      <c r="T316" s="52" t="str">
        <f>IFERROR(IF(NOT(ISNUMBER(INDEX('M04-S01'!$AN$16:$AN$198,2*(ROWS($R$309:R316)-1)+1))),INDEX('M04-S01'!$AK$16:$AK$198,2*(ROWS($R$309:R316)-1)+1),0),0)</f>
        <v/>
      </c>
      <c r="U316" s="23" t="str">
        <f>IFERROR(IF(NOT(ISNUMBER(INDEX('M04-S01'!$AN$16:$AN$198,2*(ROWS($R$309:R316)-1)+1))),INDEX('M04-S01'!$AW$16:$AW$198,2*(ROWS($R$309:R316)-1)+1),""),"")</f>
        <v/>
      </c>
      <c r="V316" s="113"/>
      <c r="W316" t="str">
        <f>IFERROR(IF(NOT(ISNUMBER(INDEX('M04-S01'!$AN$16:$AN$198,2*(ROWS($R$309:R316)-1)+1))),INDEX('M04-S01'!$BD$16:$BD$198,2*(ROWS($R$309:R316)-1)+1),""),"")</f>
        <v/>
      </c>
      <c r="X316" s="184" t="str">
        <f>IFERROR(ROUND(INDEX('M04-S01'!$O$16:$O$198,2*(ROWS($X$309:X316)-1)+1),3),"")</f>
        <v/>
      </c>
      <c r="Y316" s="184">
        <f>IFERROR(ROUND(INDEX('M04-S01'!$AB$16:$AB$198,2*(ROWS($Y$309:Y316)-1)+1),3),"")</f>
        <v>0</v>
      </c>
      <c r="Z316" s="111">
        <f>INDEX('M04-S01'!$B$16:$B$198,2*(ROWS($Z$309:Z316)-1)+1)</f>
        <v>8</v>
      </c>
      <c r="AA316" s="111">
        <f>INDEX('M04-S01'!$F$16:$F$198,2*(ROWS($Z$309:AA316)-1)+1)</f>
        <v>0</v>
      </c>
      <c r="AB316" s="111">
        <f>INDEX('M04-S01'!$S$16:$S$198,2*(ROWS($Z$309:AB316)-1)+1)</f>
        <v>0</v>
      </c>
      <c r="AC316">
        <f>INDEX('M04-S01'!$J$16:$J$198,2*(ROWS($AC$309:AC316)-1)+1)</f>
        <v>0</v>
      </c>
      <c r="AD316">
        <f>INDEX('M04-S01'!$W$16:$W$198,2*(ROWS($AD$309:AD316)-1)+1)</f>
        <v>0</v>
      </c>
      <c r="AE316" s="459"/>
      <c r="AF316" s="459"/>
      <c r="AG316" s="111" t="str">
        <f>INDEX('M04-S01'!$AX$16:$AX$198,2*(ROWS($AG$309:AG316)-1)+1)</f>
        <v/>
      </c>
      <c r="AH316" s="111" t="str">
        <f>INDEX('M04-S01'!$AY$16:$AY$198,2*(ROWS($AH$309:AH316)-1)+1)</f>
        <v/>
      </c>
      <c r="AI316" s="113"/>
      <c r="AJ316" s="113"/>
      <c r="AK316" s="52" t="str">
        <f>INDEX('M04-S01'!$AV$16:$AV$198,2*(ROWS($AK$309:AK316)-1)+1)</f>
        <v/>
      </c>
      <c r="AL316" s="184">
        <f>IF(NOT(ISNUMBER(INDEX('M04-S01'!$AN$16:$AN$198,2*(ROWS($R$309:$R316)-1)+1))),INDEX('M04-S01'!$Z$16:$Z$198,2*(ROWS($AL$309:$AL316)-1)+1)*INDEX('M04-S01'!$AD$16:$AD$198,2*(ROWS($AL$309:$AL316)-1)+1),"")</f>
        <v>0</v>
      </c>
      <c r="AM316" s="184">
        <f>IF(AND(NOT(ISNUMBER(INDEX('M04-S01'!$AN$16:$AN$198,2*(ROWS($R$309:$R316)-1)+1))),T316&gt;0),INDEX('M04-S01'!$Z$16:$Z$198,2*(ROWS($AM$309:$AM316)-1)+1)*INDEX('M04-S01'!$AF$16:$AF$198,2*(ROWS($AM$309:$AM316)-1)+1),"")</f>
        <v>0</v>
      </c>
      <c r="AN316" s="52" t="str">
        <f>IF(NOT(ISNUMBER(INDEX('M04-S01'!$AN$16:$AN$198,2*(ROWS($R$309:$R316)-1)+1))),INDEX('M04-S01'!$AH$16:$AH$198,2*(ROWS($AN$309:$AN316)-1)+1),"")</f>
        <v/>
      </c>
      <c r="AO316" s="113"/>
      <c r="AU316"/>
    </row>
    <row r="317" spans="1:47">
      <c r="A317" s="57">
        <f t="shared" si="31"/>
        <v>0</v>
      </c>
      <c r="B317" s="183" t="str">
        <f t="shared" si="33"/>
        <v/>
      </c>
      <c r="C317" s="186" t="str">
        <f>IF(OR(R317&gt;0,T317&gt;0),INDEX('M04-S01'!$AZ$16:$AZ$198,2*(ROWS($C$309:C317)-1)+1),"")</f>
        <v/>
      </c>
      <c r="D317" t="s">
        <v>231</v>
      </c>
      <c r="F317" s="185">
        <f>INDEX('M04-S01'!$Q$16:$Q$198,2*(ROWS($F$309:F317)-1)+1)</f>
        <v>0</v>
      </c>
      <c r="G317" s="186">
        <f>INDEX('M04-S01'!$C$16:$C$198,2*(ROWS($G$309:G317)-1)+1)</f>
        <v>0</v>
      </c>
      <c r="H317" s="186" t="str">
        <f>IF(ISNUMBER(INDEX('M04-S01'!$AN$16:$AN$198,2*(ROWS($R$309:R317)-1)+1)),"Total","")</f>
        <v/>
      </c>
      <c r="I317" s="184">
        <f>IFERROR(ROUND(IF(ISNUMBER(INDEX('M04-S01'!$AN$16:$AN$198,2*(ROWS($R$309:$R317)-1)+1)),INDEX('M04-S01'!$Z$16:$Z$198,2*(ROWS($I$309:$I317)-1)+1)*INDEX('M04-S01'!$AD$16:$AD$198,2*(ROWS($I$309:$I317)-1)+1),""),2),0)</f>
        <v>0</v>
      </c>
      <c r="J317" s="184">
        <f>IFERROR(ROUND(IF(ISNUMBER(INDEX('M04-S01'!$AN$16:$AN$198,2*(ROWS($R$309:$R317)-1)+1)),INDEX('M04-S01'!$Z$16:$Z$198,2*(ROWS($J$309:$J317)-1)+1)*INDEX('M04-S01'!$AF$16:$AF$198,2*(ROWS($J$309:$J317)-1)+1),""),2),0)</f>
        <v>0</v>
      </c>
      <c r="K317" s="52">
        <f>IFERROR(ROUND(IF(ISNUMBER(INDEX('M04-S01'!$AN$16:$AN$198,2*(ROWS($R$309:$R317)-1)+1)),INDEX('M04-S01'!$AH$16:$AH$198,2*(ROWS($K$309:$K317)-1)+1),""),2),0)</f>
        <v>0</v>
      </c>
      <c r="M317" s="456" t="str">
        <f>IF(ISNUMBER(INDEX('M04-S01'!$AN$16:$AN$198,2*(ROWS($R$309:R317)-1)+1)),INDEX('M04-S01'!$Z$16:$Z$198,2*(ROWS($M$309:M317)-1)+1),"")</f>
        <v/>
      </c>
      <c r="N317" s="184" t="str">
        <f>IF(ISNUMBER(INDEX('M04-S01'!$AN$16:$AN$198,2*(ROWS($R$309:R317)-1)+1)),INDEX('M04-S01'!$AK$16:$AK$198,2*(ROWS($N$309:N317)-1)+1),"")</f>
        <v/>
      </c>
      <c r="O317" s="456" t="str">
        <f>IF(ISNUMBER(INDEX('M04-S01'!$AN$16:$AN$198,2*(ROWS($R$309:R317)-1)+1)),INDEX('M04-S01'!$AW$16:$AW$198,2*(ROWS($O$309:O317)-1)+1),"")</f>
        <v/>
      </c>
      <c r="P317" s="113"/>
      <c r="Q317" s="456" t="str">
        <f>IF(ISNUMBER(INDEX('M04-S01'!$AN$16:$AN$198,2*(ROWS($R$309:R317)-1)+1)),INDEX('M04-S01'!$BB$16:$BB$198,2*(ROWS($Q$309:Q317)-1)+1),"")</f>
        <v/>
      </c>
      <c r="R317" s="184">
        <f>IF(ISNUMBER(INDEX('M04-S01'!$AN$16:$AN$198,2*(ROWS($R$309:R317)-1)+1)),INDEX('M04-S01'!$AN$16:$AN$198,2*(ROWS($R$309:R317)-1)+1),0)</f>
        <v>0</v>
      </c>
      <c r="S317" s="23">
        <f>IF(NOT(ISNUMBER(INDEX('M04-S01'!$AN$16:$AN$198,2*(ROWS($R$309:R317)-1)+1))),INDEX('M04-S01'!$Z$16:$Z$198,2*(ROWS($S$309:S317)-1)+1),"")</f>
        <v>0</v>
      </c>
      <c r="T317" s="52" t="str">
        <f>IFERROR(IF(NOT(ISNUMBER(INDEX('M04-S01'!$AN$16:$AN$198,2*(ROWS($R$309:R317)-1)+1))),INDEX('M04-S01'!$AK$16:$AK$198,2*(ROWS($R$309:R317)-1)+1),0),0)</f>
        <v/>
      </c>
      <c r="U317" s="23" t="str">
        <f>IFERROR(IF(NOT(ISNUMBER(INDEX('M04-S01'!$AN$16:$AN$198,2*(ROWS($R$309:R317)-1)+1))),INDEX('M04-S01'!$AW$16:$AW$198,2*(ROWS($R$309:R317)-1)+1),""),"")</f>
        <v/>
      </c>
      <c r="V317" s="113"/>
      <c r="W317" t="str">
        <f>IFERROR(IF(NOT(ISNUMBER(INDEX('M04-S01'!$AN$16:$AN$198,2*(ROWS($R$309:R317)-1)+1))),INDEX('M04-S01'!$BD$16:$BD$198,2*(ROWS($R$309:R317)-1)+1),""),"")</f>
        <v/>
      </c>
      <c r="X317" s="184" t="str">
        <f>IFERROR(ROUND(INDEX('M04-S01'!$O$16:$O$198,2*(ROWS($X$309:X317)-1)+1),3),"")</f>
        <v/>
      </c>
      <c r="Y317" s="184">
        <f>IFERROR(ROUND(INDEX('M04-S01'!$AB$16:$AB$198,2*(ROWS($Y$309:Y317)-1)+1),3),"")</f>
        <v>0</v>
      </c>
      <c r="Z317" s="111">
        <f>INDEX('M04-S01'!$B$16:$B$198,2*(ROWS($Z$309:Z317)-1)+1)</f>
        <v>9</v>
      </c>
      <c r="AA317" s="111">
        <f>INDEX('M04-S01'!$F$16:$F$198,2*(ROWS($Z$309:AA317)-1)+1)</f>
        <v>0</v>
      </c>
      <c r="AB317" s="111">
        <f>INDEX('M04-S01'!$S$16:$S$198,2*(ROWS($Z$309:AB317)-1)+1)</f>
        <v>0</v>
      </c>
      <c r="AC317">
        <f>INDEX('M04-S01'!$J$16:$J$198,2*(ROWS($AC$309:AC317)-1)+1)</f>
        <v>0</v>
      </c>
      <c r="AD317">
        <f>INDEX('M04-S01'!$W$16:$W$198,2*(ROWS($AD$309:AD317)-1)+1)</f>
        <v>0</v>
      </c>
      <c r="AE317" s="459"/>
      <c r="AF317" s="459"/>
      <c r="AG317" s="111" t="str">
        <f>INDEX('M04-S01'!$AX$16:$AX$198,2*(ROWS($AG$309:AG317)-1)+1)</f>
        <v/>
      </c>
      <c r="AH317" s="111" t="str">
        <f>INDEX('M04-S01'!$AY$16:$AY$198,2*(ROWS($AH$309:AH317)-1)+1)</f>
        <v/>
      </c>
      <c r="AI317" s="113"/>
      <c r="AJ317" s="113"/>
      <c r="AK317" s="52" t="str">
        <f>INDEX('M04-S01'!$AV$16:$AV$198,2*(ROWS($AK$309:AK317)-1)+1)</f>
        <v/>
      </c>
      <c r="AL317" s="184">
        <f>IF(NOT(ISNUMBER(INDEX('M04-S01'!$AN$16:$AN$198,2*(ROWS($R$309:$R317)-1)+1))),INDEX('M04-S01'!$Z$16:$Z$198,2*(ROWS($AL$309:$AL317)-1)+1)*INDEX('M04-S01'!$AD$16:$AD$198,2*(ROWS($AL$309:$AL317)-1)+1),"")</f>
        <v>0</v>
      </c>
      <c r="AM317" s="184">
        <f>IF(AND(NOT(ISNUMBER(INDEX('M04-S01'!$AN$16:$AN$198,2*(ROWS($R$309:$R317)-1)+1))),T317&gt;0),INDEX('M04-S01'!$Z$16:$Z$198,2*(ROWS($AM$309:$AM317)-1)+1)*INDEX('M04-S01'!$AF$16:$AF$198,2*(ROWS($AM$309:$AM317)-1)+1),"")</f>
        <v>0</v>
      </c>
      <c r="AN317" s="52" t="str">
        <f>IF(NOT(ISNUMBER(INDEX('M04-S01'!$AN$16:$AN$198,2*(ROWS($R$309:$R317)-1)+1))),INDEX('M04-S01'!$AH$16:$AH$198,2*(ROWS($AN$309:$AN317)-1)+1),"")</f>
        <v/>
      </c>
      <c r="AO317" s="113"/>
      <c r="AU317"/>
    </row>
    <row r="318" spans="1:47">
      <c r="A318" s="57">
        <f t="shared" si="31"/>
        <v>0</v>
      </c>
      <c r="B318" s="183" t="str">
        <f t="shared" si="33"/>
        <v/>
      </c>
      <c r="C318" s="186" t="str">
        <f>IF(OR(R318&gt;0,T318&gt;0),INDEX('M04-S01'!$AZ$16:$AZ$198,2*(ROWS($C$309:C318)-1)+1),"")</f>
        <v/>
      </c>
      <c r="D318" t="s">
        <v>231</v>
      </c>
      <c r="F318" s="185">
        <f>INDEX('M04-S01'!$Q$16:$Q$198,2*(ROWS($F$309:F318)-1)+1)</f>
        <v>0</v>
      </c>
      <c r="G318" s="186">
        <f>INDEX('M04-S01'!$C$16:$C$198,2*(ROWS($G$309:G318)-1)+1)</f>
        <v>0</v>
      </c>
      <c r="H318" s="186" t="str">
        <f>IF(ISNUMBER(INDEX('M04-S01'!$AN$16:$AN$198,2*(ROWS($R$309:R318)-1)+1)),"Total","")</f>
        <v/>
      </c>
      <c r="I318" s="184">
        <f>IFERROR(ROUND(IF(ISNUMBER(INDEX('M04-S01'!$AN$16:$AN$198,2*(ROWS($R$309:$R318)-1)+1)),INDEX('M04-S01'!$Z$16:$Z$198,2*(ROWS($I$309:$I318)-1)+1)*INDEX('M04-S01'!$AD$16:$AD$198,2*(ROWS($I$309:$I318)-1)+1),""),2),0)</f>
        <v>0</v>
      </c>
      <c r="J318" s="184">
        <f>IFERROR(ROUND(IF(ISNUMBER(INDEX('M04-S01'!$AN$16:$AN$198,2*(ROWS($R$309:$R318)-1)+1)),INDEX('M04-S01'!$Z$16:$Z$198,2*(ROWS($J$309:$J318)-1)+1)*INDEX('M04-S01'!$AF$16:$AF$198,2*(ROWS($J$309:$J318)-1)+1),""),2),0)</f>
        <v>0</v>
      </c>
      <c r="K318" s="52">
        <f>IFERROR(ROUND(IF(ISNUMBER(INDEX('M04-S01'!$AN$16:$AN$198,2*(ROWS($R$309:$R318)-1)+1)),INDEX('M04-S01'!$AH$16:$AH$198,2*(ROWS($K$309:$K318)-1)+1),""),2),0)</f>
        <v>0</v>
      </c>
      <c r="M318" s="456" t="str">
        <f>IF(ISNUMBER(INDEX('M04-S01'!$AN$16:$AN$198,2*(ROWS($R$309:R318)-1)+1)),INDEX('M04-S01'!$Z$16:$Z$198,2*(ROWS($M$309:M318)-1)+1),"")</f>
        <v/>
      </c>
      <c r="N318" s="184" t="str">
        <f>IF(ISNUMBER(INDEX('M04-S01'!$AN$16:$AN$198,2*(ROWS($R$309:R318)-1)+1)),INDEX('M04-S01'!$AK$16:$AK$198,2*(ROWS($N$309:N318)-1)+1),"")</f>
        <v/>
      </c>
      <c r="O318" s="456" t="str">
        <f>IF(ISNUMBER(INDEX('M04-S01'!$AN$16:$AN$198,2*(ROWS($R$309:R318)-1)+1)),INDEX('M04-S01'!$AW$16:$AW$198,2*(ROWS($O$309:O318)-1)+1),"")</f>
        <v/>
      </c>
      <c r="P318" s="113"/>
      <c r="Q318" s="456" t="str">
        <f>IF(ISNUMBER(INDEX('M04-S01'!$AN$16:$AN$198,2*(ROWS($R$309:R318)-1)+1)),INDEX('M04-S01'!$BB$16:$BB$198,2*(ROWS($Q$309:Q318)-1)+1),"")</f>
        <v/>
      </c>
      <c r="R318" s="184">
        <f>IF(ISNUMBER(INDEX('M04-S01'!$AN$16:$AN$198,2*(ROWS($R$309:R318)-1)+1)),INDEX('M04-S01'!$AN$16:$AN$198,2*(ROWS($R$309:R318)-1)+1),0)</f>
        <v>0</v>
      </c>
      <c r="S318" s="23">
        <f>IF(NOT(ISNUMBER(INDEX('M04-S01'!$AN$16:$AN$198,2*(ROWS($R$309:R318)-1)+1))),INDEX('M04-S01'!$Z$16:$Z$198,2*(ROWS($S$309:S318)-1)+1),"")</f>
        <v>0</v>
      </c>
      <c r="T318" s="52" t="str">
        <f>IFERROR(IF(NOT(ISNUMBER(INDEX('M04-S01'!$AN$16:$AN$198,2*(ROWS($R$309:R318)-1)+1))),INDEX('M04-S01'!$AK$16:$AK$198,2*(ROWS($R$309:R318)-1)+1),0),0)</f>
        <v/>
      </c>
      <c r="U318" s="23" t="str">
        <f>IFERROR(IF(NOT(ISNUMBER(INDEX('M04-S01'!$AN$16:$AN$198,2*(ROWS($R$309:R318)-1)+1))),INDEX('M04-S01'!$AW$16:$AW$198,2*(ROWS($R$309:R318)-1)+1),""),"")</f>
        <v/>
      </c>
      <c r="V318" s="113"/>
      <c r="W318" t="str">
        <f>IFERROR(IF(NOT(ISNUMBER(INDEX('M04-S01'!$AN$16:$AN$198,2*(ROWS($R$309:R318)-1)+1))),INDEX('M04-S01'!$BD$16:$BD$198,2*(ROWS($R$309:R318)-1)+1),""),"")</f>
        <v/>
      </c>
      <c r="X318" s="184" t="str">
        <f>IFERROR(ROUND(INDEX('M04-S01'!$O$16:$O$198,2*(ROWS($X$309:X318)-1)+1),3),"")</f>
        <v/>
      </c>
      <c r="Y318" s="184">
        <f>IFERROR(ROUND(INDEX('M04-S01'!$AB$16:$AB$198,2*(ROWS($Y$309:Y318)-1)+1),3),"")</f>
        <v>0</v>
      </c>
      <c r="Z318" s="111">
        <f>INDEX('M04-S01'!$B$16:$B$198,2*(ROWS($Z$309:Z318)-1)+1)</f>
        <v>10</v>
      </c>
      <c r="AA318" s="111">
        <f>INDEX('M04-S01'!$F$16:$F$198,2*(ROWS($Z$309:AA318)-1)+1)</f>
        <v>0</v>
      </c>
      <c r="AB318" s="111">
        <f>INDEX('M04-S01'!$S$16:$S$198,2*(ROWS($Z$309:AB318)-1)+1)</f>
        <v>0</v>
      </c>
      <c r="AC318">
        <f>INDEX('M04-S01'!$J$16:$J$198,2*(ROWS($AC$309:AC318)-1)+1)</f>
        <v>0</v>
      </c>
      <c r="AD318">
        <f>INDEX('M04-S01'!$W$16:$W$198,2*(ROWS($AD$309:AD318)-1)+1)</f>
        <v>0</v>
      </c>
      <c r="AE318" s="459"/>
      <c r="AF318" s="459"/>
      <c r="AG318" s="111" t="str">
        <f>INDEX('M04-S01'!$AX$16:$AX$198,2*(ROWS($AG$309:AG318)-1)+1)</f>
        <v/>
      </c>
      <c r="AH318" s="111" t="str">
        <f>INDEX('M04-S01'!$AY$16:$AY$198,2*(ROWS($AH$309:AH318)-1)+1)</f>
        <v/>
      </c>
      <c r="AI318" s="113"/>
      <c r="AJ318" s="113"/>
      <c r="AK318" s="52" t="str">
        <f>INDEX('M04-S01'!$AV$16:$AV$198,2*(ROWS($AK$309:AK318)-1)+1)</f>
        <v/>
      </c>
      <c r="AL318" s="184">
        <f>IF(NOT(ISNUMBER(INDEX('M04-S01'!$AN$16:$AN$198,2*(ROWS($R$309:$R318)-1)+1))),INDEX('M04-S01'!$Z$16:$Z$198,2*(ROWS($AL$309:$AL318)-1)+1)*INDEX('M04-S01'!$AD$16:$AD$198,2*(ROWS($AL$309:$AL318)-1)+1),"")</f>
        <v>0</v>
      </c>
      <c r="AM318" s="184">
        <f>IF(AND(NOT(ISNUMBER(INDEX('M04-S01'!$AN$16:$AN$198,2*(ROWS($R$309:$R318)-1)+1))),T318&gt;0),INDEX('M04-S01'!$Z$16:$Z$198,2*(ROWS($AM$309:$AM318)-1)+1)*INDEX('M04-S01'!$AF$16:$AF$198,2*(ROWS($AM$309:$AM318)-1)+1),"")</f>
        <v>0</v>
      </c>
      <c r="AN318" s="52" t="str">
        <f>IF(NOT(ISNUMBER(INDEX('M04-S01'!$AN$16:$AN$198,2*(ROWS($R$309:$R318)-1)+1))),INDEX('M04-S01'!$AH$16:$AH$198,2*(ROWS($AN$309:$AN318)-1)+1),"")</f>
        <v/>
      </c>
      <c r="AO318" s="113"/>
      <c r="AU318"/>
    </row>
    <row r="319" spans="1:47">
      <c r="A319" s="57">
        <f t="shared" si="31"/>
        <v>0</v>
      </c>
      <c r="B319" s="183" t="str">
        <f t="shared" si="33"/>
        <v/>
      </c>
      <c r="C319" s="186" t="str">
        <f>IF(OR(R319&gt;0,T319&gt;0),INDEX('M04-S01'!$AZ$16:$AZ$198,2*(ROWS($C$309:C319)-1)+1),"")</f>
        <v/>
      </c>
      <c r="D319" t="s">
        <v>231</v>
      </c>
      <c r="F319" s="185">
        <f>INDEX('M04-S01'!$Q$16:$Q$198,2*(ROWS($F$309:F319)-1)+1)</f>
        <v>0</v>
      </c>
      <c r="G319" s="186">
        <f>INDEX('M04-S01'!$C$16:$C$198,2*(ROWS($G$309:G319)-1)+1)</f>
        <v>0</v>
      </c>
      <c r="H319" s="186" t="str">
        <f>IF(ISNUMBER(INDEX('M04-S01'!$AN$16:$AN$198,2*(ROWS($R$309:R319)-1)+1)),"Total","")</f>
        <v/>
      </c>
      <c r="I319" s="184">
        <f>IFERROR(ROUND(IF(ISNUMBER(INDEX('M04-S01'!$AN$16:$AN$198,2*(ROWS($R$309:$R319)-1)+1)),INDEX('M04-S01'!$Z$16:$Z$198,2*(ROWS($I$309:$I319)-1)+1)*INDEX('M04-S01'!$AD$16:$AD$198,2*(ROWS($I$309:$I319)-1)+1),""),2),0)</f>
        <v>0</v>
      </c>
      <c r="J319" s="184">
        <f>IFERROR(ROUND(IF(ISNUMBER(INDEX('M04-S01'!$AN$16:$AN$198,2*(ROWS($R$309:$R319)-1)+1)),INDEX('M04-S01'!$Z$16:$Z$198,2*(ROWS($J$309:$J319)-1)+1)*INDEX('M04-S01'!$AF$16:$AF$198,2*(ROWS($J$309:$J319)-1)+1),""),2),0)</f>
        <v>0</v>
      </c>
      <c r="K319" s="52">
        <f>IFERROR(ROUND(IF(ISNUMBER(INDEX('M04-S01'!$AN$16:$AN$198,2*(ROWS($R$309:$R319)-1)+1)),INDEX('M04-S01'!$AH$16:$AH$198,2*(ROWS($K$309:$K319)-1)+1),""),2),0)</f>
        <v>0</v>
      </c>
      <c r="M319" s="456" t="str">
        <f>IF(ISNUMBER(INDEX('M04-S01'!$AN$16:$AN$198,2*(ROWS($R$309:R319)-1)+1)),INDEX('M04-S01'!$Z$16:$Z$198,2*(ROWS($M$309:M319)-1)+1),"")</f>
        <v/>
      </c>
      <c r="N319" s="184" t="str">
        <f>IF(ISNUMBER(INDEX('M04-S01'!$AN$16:$AN$198,2*(ROWS($R$309:R319)-1)+1)),INDEX('M04-S01'!$AK$16:$AK$198,2*(ROWS($N$309:N319)-1)+1),"")</f>
        <v/>
      </c>
      <c r="O319" s="456" t="str">
        <f>IF(ISNUMBER(INDEX('M04-S01'!$AN$16:$AN$198,2*(ROWS($R$309:R319)-1)+1)),INDEX('M04-S01'!$AW$16:$AW$198,2*(ROWS($O$309:O319)-1)+1),"")</f>
        <v/>
      </c>
      <c r="P319" s="113"/>
      <c r="Q319" s="456" t="str">
        <f>IF(ISNUMBER(INDEX('M04-S01'!$AN$16:$AN$198,2*(ROWS($R$309:R319)-1)+1)),INDEX('M04-S01'!$BB$16:$BB$198,2*(ROWS($Q$309:Q319)-1)+1),"")</f>
        <v/>
      </c>
      <c r="R319" s="184">
        <f>IF(ISNUMBER(INDEX('M04-S01'!$AN$16:$AN$198,2*(ROWS($R$309:R319)-1)+1)),INDEX('M04-S01'!$AN$16:$AN$198,2*(ROWS($R$309:R319)-1)+1),0)</f>
        <v>0</v>
      </c>
      <c r="S319" s="23">
        <f>IF(NOT(ISNUMBER(INDEX('M04-S01'!$AN$16:$AN$198,2*(ROWS($R$309:R319)-1)+1))),INDEX('M04-S01'!$Z$16:$Z$198,2*(ROWS($S$309:S319)-1)+1),"")</f>
        <v>0</v>
      </c>
      <c r="T319" s="52" t="str">
        <f>IFERROR(IF(NOT(ISNUMBER(INDEX('M04-S01'!$AN$16:$AN$198,2*(ROWS($R$309:R319)-1)+1))),INDEX('M04-S01'!$AK$16:$AK$198,2*(ROWS($R$309:R319)-1)+1),0),0)</f>
        <v/>
      </c>
      <c r="U319" s="23" t="str">
        <f>IFERROR(IF(NOT(ISNUMBER(INDEX('M04-S01'!$AN$16:$AN$198,2*(ROWS($R$309:R319)-1)+1))),INDEX('M04-S01'!$AW$16:$AW$198,2*(ROWS($R$309:R319)-1)+1),""),"")</f>
        <v/>
      </c>
      <c r="V319" s="113"/>
      <c r="W319" t="str">
        <f>IFERROR(IF(NOT(ISNUMBER(INDEX('M04-S01'!$AN$16:$AN$198,2*(ROWS($R$309:R319)-1)+1))),INDEX('M04-S01'!$BD$16:$BD$198,2*(ROWS($R$309:R319)-1)+1),""),"")</f>
        <v/>
      </c>
      <c r="X319" s="184" t="str">
        <f>IFERROR(ROUND(INDEX('M04-S01'!$O$16:$O$198,2*(ROWS($X$309:X319)-1)+1),3),"")</f>
        <v/>
      </c>
      <c r="Y319" s="184">
        <f>IFERROR(ROUND(INDEX('M04-S01'!$AB$16:$AB$198,2*(ROWS($Y$309:Y319)-1)+1),3),"")</f>
        <v>0</v>
      </c>
      <c r="Z319" s="111">
        <f>INDEX('M04-S01'!$B$16:$B$198,2*(ROWS($Z$309:Z319)-1)+1)</f>
        <v>11</v>
      </c>
      <c r="AA319" s="111">
        <f>INDEX('M04-S01'!$F$16:$F$198,2*(ROWS($Z$309:AA319)-1)+1)</f>
        <v>0</v>
      </c>
      <c r="AB319" s="111">
        <f>INDEX('M04-S01'!$S$16:$S$198,2*(ROWS($Z$309:AB319)-1)+1)</f>
        <v>0</v>
      </c>
      <c r="AC319">
        <f>INDEX('M04-S01'!$J$16:$J$198,2*(ROWS($AC$309:AC319)-1)+1)</f>
        <v>0</v>
      </c>
      <c r="AD319">
        <f>INDEX('M04-S01'!$W$16:$W$198,2*(ROWS($AD$309:AD319)-1)+1)</f>
        <v>0</v>
      </c>
      <c r="AE319" s="459"/>
      <c r="AF319" s="459"/>
      <c r="AG319" s="111" t="str">
        <f>INDEX('M04-S01'!$AX$16:$AX$198,2*(ROWS($AG$309:AG319)-1)+1)</f>
        <v/>
      </c>
      <c r="AH319" s="111" t="str">
        <f>INDEX('M04-S01'!$AY$16:$AY$198,2*(ROWS($AH$309:AH319)-1)+1)</f>
        <v/>
      </c>
      <c r="AI319" s="113"/>
      <c r="AJ319" s="113"/>
      <c r="AK319" s="52" t="str">
        <f>INDEX('M04-S01'!$AV$16:$AV$198,2*(ROWS($AK$309:AK319)-1)+1)</f>
        <v/>
      </c>
      <c r="AL319" s="184">
        <f>IF(NOT(ISNUMBER(INDEX('M04-S01'!$AN$16:$AN$198,2*(ROWS($R$309:$R319)-1)+1))),INDEX('M04-S01'!$Z$16:$Z$198,2*(ROWS($AL$309:$AL319)-1)+1)*INDEX('M04-S01'!$AD$16:$AD$198,2*(ROWS($AL$309:$AL319)-1)+1),"")</f>
        <v>0</v>
      </c>
      <c r="AM319" s="184">
        <f>IF(AND(NOT(ISNUMBER(INDEX('M04-S01'!$AN$16:$AN$198,2*(ROWS($R$309:$R319)-1)+1))),T319&gt;0),INDEX('M04-S01'!$Z$16:$Z$198,2*(ROWS($AM$309:$AM319)-1)+1)*INDEX('M04-S01'!$AF$16:$AF$198,2*(ROWS($AM$309:$AM319)-1)+1),"")</f>
        <v>0</v>
      </c>
      <c r="AN319" s="52" t="str">
        <f>IF(NOT(ISNUMBER(INDEX('M04-S01'!$AN$16:$AN$198,2*(ROWS($R$309:$R319)-1)+1))),INDEX('M04-S01'!$AH$16:$AH$198,2*(ROWS($AN$309:$AN319)-1)+1),"")</f>
        <v/>
      </c>
      <c r="AO319" s="113"/>
      <c r="AU319"/>
    </row>
    <row r="320" spans="1:47">
      <c r="A320" s="57">
        <f t="shared" si="31"/>
        <v>0</v>
      </c>
      <c r="B320" s="183" t="str">
        <f t="shared" si="33"/>
        <v/>
      </c>
      <c r="C320" s="186" t="str">
        <f>IF(OR(R320&gt;0,T320&gt;0),INDEX('M04-S01'!$AZ$16:$AZ$198,2*(ROWS($C$309:C320)-1)+1),"")</f>
        <v/>
      </c>
      <c r="D320" t="s">
        <v>231</v>
      </c>
      <c r="F320" s="185">
        <f>INDEX('M04-S01'!$Q$16:$Q$198,2*(ROWS($F$309:F320)-1)+1)</f>
        <v>0</v>
      </c>
      <c r="G320" s="186">
        <f>INDEX('M04-S01'!$C$16:$C$198,2*(ROWS($G$309:G320)-1)+1)</f>
        <v>0</v>
      </c>
      <c r="H320" s="186" t="str">
        <f>IF(ISNUMBER(INDEX('M04-S01'!$AN$16:$AN$198,2*(ROWS($R$309:R320)-1)+1)),"Total","")</f>
        <v/>
      </c>
      <c r="I320" s="184">
        <f>IFERROR(ROUND(IF(ISNUMBER(INDEX('M04-S01'!$AN$16:$AN$198,2*(ROWS($R$309:$R320)-1)+1)),INDEX('M04-S01'!$Z$16:$Z$198,2*(ROWS($I$309:$I320)-1)+1)*INDEX('M04-S01'!$AD$16:$AD$198,2*(ROWS($I$309:$I320)-1)+1),""),2),0)</f>
        <v>0</v>
      </c>
      <c r="J320" s="184">
        <f>IFERROR(ROUND(IF(ISNUMBER(INDEX('M04-S01'!$AN$16:$AN$198,2*(ROWS($R$309:$R320)-1)+1)),INDEX('M04-S01'!$Z$16:$Z$198,2*(ROWS($J$309:$J320)-1)+1)*INDEX('M04-S01'!$AF$16:$AF$198,2*(ROWS($J$309:$J320)-1)+1),""),2),0)</f>
        <v>0</v>
      </c>
      <c r="K320" s="52">
        <f>IFERROR(ROUND(IF(ISNUMBER(INDEX('M04-S01'!$AN$16:$AN$198,2*(ROWS($R$309:$R320)-1)+1)),INDEX('M04-S01'!$AH$16:$AH$198,2*(ROWS($K$309:$K320)-1)+1),""),2),0)</f>
        <v>0</v>
      </c>
      <c r="M320" s="456" t="str">
        <f>IF(ISNUMBER(INDEX('M04-S01'!$AN$16:$AN$198,2*(ROWS($R$309:R320)-1)+1)),INDEX('M04-S01'!$Z$16:$Z$198,2*(ROWS($M$309:M320)-1)+1),"")</f>
        <v/>
      </c>
      <c r="N320" s="184" t="str">
        <f>IF(ISNUMBER(INDEX('M04-S01'!$AN$16:$AN$198,2*(ROWS($R$309:R320)-1)+1)),INDEX('M04-S01'!$AK$16:$AK$198,2*(ROWS($N$309:N320)-1)+1),"")</f>
        <v/>
      </c>
      <c r="O320" s="456" t="str">
        <f>IF(ISNUMBER(INDEX('M04-S01'!$AN$16:$AN$198,2*(ROWS($R$309:R320)-1)+1)),INDEX('M04-S01'!$AW$16:$AW$198,2*(ROWS($O$309:O320)-1)+1),"")</f>
        <v/>
      </c>
      <c r="P320" s="113"/>
      <c r="Q320" s="456" t="str">
        <f>IF(ISNUMBER(INDEX('M04-S01'!$AN$16:$AN$198,2*(ROWS($R$309:R320)-1)+1)),INDEX('M04-S01'!$BB$16:$BB$198,2*(ROWS($Q$309:Q320)-1)+1),"")</f>
        <v/>
      </c>
      <c r="R320" s="184">
        <f>IF(ISNUMBER(INDEX('M04-S01'!$AN$16:$AN$198,2*(ROWS($R$309:R320)-1)+1)),INDEX('M04-S01'!$AN$16:$AN$198,2*(ROWS($R$309:R320)-1)+1),0)</f>
        <v>0</v>
      </c>
      <c r="S320" s="23">
        <f>IF(NOT(ISNUMBER(INDEX('M04-S01'!$AN$16:$AN$198,2*(ROWS($R$309:R320)-1)+1))),INDEX('M04-S01'!$Z$16:$Z$198,2*(ROWS($S$309:S320)-1)+1),"")</f>
        <v>0</v>
      </c>
      <c r="T320" s="52" t="str">
        <f>IFERROR(IF(NOT(ISNUMBER(INDEX('M04-S01'!$AN$16:$AN$198,2*(ROWS($R$309:R320)-1)+1))),INDEX('M04-S01'!$AK$16:$AK$198,2*(ROWS($R$309:R320)-1)+1),0),0)</f>
        <v/>
      </c>
      <c r="U320" s="23" t="str">
        <f>IFERROR(IF(NOT(ISNUMBER(INDEX('M04-S01'!$AN$16:$AN$198,2*(ROWS($R$309:R320)-1)+1))),INDEX('M04-S01'!$AW$16:$AW$198,2*(ROWS($R$309:R320)-1)+1),""),"")</f>
        <v/>
      </c>
      <c r="V320" s="113"/>
      <c r="W320" t="str">
        <f>IFERROR(IF(NOT(ISNUMBER(INDEX('M04-S01'!$AN$16:$AN$198,2*(ROWS($R$309:R320)-1)+1))),INDEX('M04-S01'!$BD$16:$BD$198,2*(ROWS($R$309:R320)-1)+1),""),"")</f>
        <v/>
      </c>
      <c r="X320" s="184" t="str">
        <f>IFERROR(ROUND(INDEX('M04-S01'!$O$16:$O$198,2*(ROWS($X$309:X320)-1)+1),3),"")</f>
        <v/>
      </c>
      <c r="Y320" s="184">
        <f>IFERROR(ROUND(INDEX('M04-S01'!$AB$16:$AB$198,2*(ROWS($Y$309:Y320)-1)+1),3),"")</f>
        <v>0</v>
      </c>
      <c r="Z320" s="111">
        <f>INDEX('M04-S01'!$B$16:$B$198,2*(ROWS($Z$309:Z320)-1)+1)</f>
        <v>12</v>
      </c>
      <c r="AA320" s="111">
        <f>INDEX('M04-S01'!$F$16:$F$198,2*(ROWS($Z$309:AA320)-1)+1)</f>
        <v>0</v>
      </c>
      <c r="AB320" s="111">
        <f>INDEX('M04-S01'!$S$16:$S$198,2*(ROWS($Z$309:AB320)-1)+1)</f>
        <v>0</v>
      </c>
      <c r="AC320">
        <f>INDEX('M04-S01'!$J$16:$J$198,2*(ROWS($AC$309:AC320)-1)+1)</f>
        <v>0</v>
      </c>
      <c r="AD320">
        <f>INDEX('M04-S01'!$W$16:$W$198,2*(ROWS($AD$309:AD320)-1)+1)</f>
        <v>0</v>
      </c>
      <c r="AE320" s="459"/>
      <c r="AF320" s="459"/>
      <c r="AG320" s="111" t="str">
        <f>INDEX('M04-S01'!$AX$16:$AX$198,2*(ROWS($AG$309:AG320)-1)+1)</f>
        <v/>
      </c>
      <c r="AH320" s="111" t="str">
        <f>INDEX('M04-S01'!$AY$16:$AY$198,2*(ROWS($AH$309:AH320)-1)+1)</f>
        <v/>
      </c>
      <c r="AI320" s="113"/>
      <c r="AJ320" s="113"/>
      <c r="AK320" s="52" t="str">
        <f>INDEX('M04-S01'!$AV$16:$AV$198,2*(ROWS($AK$309:AK320)-1)+1)</f>
        <v/>
      </c>
      <c r="AL320" s="184">
        <f>IF(NOT(ISNUMBER(INDEX('M04-S01'!$AN$16:$AN$198,2*(ROWS($R$309:$R320)-1)+1))),INDEX('M04-S01'!$Z$16:$Z$198,2*(ROWS($AL$309:$AL320)-1)+1)*INDEX('M04-S01'!$AD$16:$AD$198,2*(ROWS($AL$309:$AL320)-1)+1),"")</f>
        <v>0</v>
      </c>
      <c r="AM320" s="184">
        <f>IF(AND(NOT(ISNUMBER(INDEX('M04-S01'!$AN$16:$AN$198,2*(ROWS($R$309:$R320)-1)+1))),T320&gt;0),INDEX('M04-S01'!$Z$16:$Z$198,2*(ROWS($AM$309:$AM320)-1)+1)*INDEX('M04-S01'!$AF$16:$AF$198,2*(ROWS($AM$309:$AM320)-1)+1),"")</f>
        <v>0</v>
      </c>
      <c r="AN320" s="52" t="str">
        <f>IF(NOT(ISNUMBER(INDEX('M04-S01'!$AN$16:$AN$198,2*(ROWS($R$309:$R320)-1)+1))),INDEX('M04-S01'!$AH$16:$AH$198,2*(ROWS($AN$309:$AN320)-1)+1),"")</f>
        <v/>
      </c>
      <c r="AO320" s="113"/>
      <c r="AU320"/>
    </row>
    <row r="321" spans="1:47">
      <c r="A321" s="57">
        <f t="shared" si="31"/>
        <v>0</v>
      </c>
      <c r="B321" s="183" t="str">
        <f t="shared" si="33"/>
        <v/>
      </c>
      <c r="C321" s="186" t="str">
        <f>IF(OR(R321&gt;0,T321&gt;0),INDEX('M04-S01'!$AZ$16:$AZ$198,2*(ROWS($C$309:C321)-1)+1),"")</f>
        <v/>
      </c>
      <c r="D321" t="s">
        <v>231</v>
      </c>
      <c r="F321" s="185">
        <f>INDEX('M04-S01'!$Q$16:$Q$198,2*(ROWS($F$309:F321)-1)+1)</f>
        <v>0</v>
      </c>
      <c r="G321" s="186">
        <f>INDEX('M04-S01'!$C$16:$C$198,2*(ROWS($G$309:G321)-1)+1)</f>
        <v>0</v>
      </c>
      <c r="H321" s="186" t="str">
        <f>IF(ISNUMBER(INDEX('M04-S01'!$AN$16:$AN$198,2*(ROWS($R$309:R321)-1)+1)),"Total","")</f>
        <v/>
      </c>
      <c r="I321" s="184">
        <f>IFERROR(ROUND(IF(ISNUMBER(INDEX('M04-S01'!$AN$16:$AN$198,2*(ROWS($R$309:$R321)-1)+1)),INDEX('M04-S01'!$Z$16:$Z$198,2*(ROWS($I$309:$I321)-1)+1)*INDEX('M04-S01'!$AD$16:$AD$198,2*(ROWS($I$309:$I321)-1)+1),""),2),0)</f>
        <v>0</v>
      </c>
      <c r="J321" s="184">
        <f>IFERROR(ROUND(IF(ISNUMBER(INDEX('M04-S01'!$AN$16:$AN$198,2*(ROWS($R$309:$R321)-1)+1)),INDEX('M04-S01'!$Z$16:$Z$198,2*(ROWS($J$309:$J321)-1)+1)*INDEX('M04-S01'!$AF$16:$AF$198,2*(ROWS($J$309:$J321)-1)+1),""),2),0)</f>
        <v>0</v>
      </c>
      <c r="K321" s="52">
        <f>IFERROR(ROUND(IF(ISNUMBER(INDEX('M04-S01'!$AN$16:$AN$198,2*(ROWS($R$309:$R321)-1)+1)),INDEX('M04-S01'!$AH$16:$AH$198,2*(ROWS($K$309:$K321)-1)+1),""),2),0)</f>
        <v>0</v>
      </c>
      <c r="M321" s="456" t="str">
        <f>IF(ISNUMBER(INDEX('M04-S01'!$AN$16:$AN$198,2*(ROWS($R$309:R321)-1)+1)),INDEX('M04-S01'!$Z$16:$Z$198,2*(ROWS($M$309:M321)-1)+1),"")</f>
        <v/>
      </c>
      <c r="N321" s="184" t="str">
        <f>IF(ISNUMBER(INDEX('M04-S01'!$AN$16:$AN$198,2*(ROWS($R$309:R321)-1)+1)),INDEX('M04-S01'!$AK$16:$AK$198,2*(ROWS($N$309:N321)-1)+1),"")</f>
        <v/>
      </c>
      <c r="O321" s="456" t="str">
        <f>IF(ISNUMBER(INDEX('M04-S01'!$AN$16:$AN$198,2*(ROWS($R$309:R321)-1)+1)),INDEX('M04-S01'!$AW$16:$AW$198,2*(ROWS($O$309:O321)-1)+1),"")</f>
        <v/>
      </c>
      <c r="P321" s="113"/>
      <c r="Q321" s="456" t="str">
        <f>IF(ISNUMBER(INDEX('M04-S01'!$AN$16:$AN$198,2*(ROWS($R$309:R321)-1)+1)),INDEX('M04-S01'!$BB$16:$BB$198,2*(ROWS($Q$309:Q321)-1)+1),"")</f>
        <v/>
      </c>
      <c r="R321" s="184">
        <f>IF(ISNUMBER(INDEX('M04-S01'!$AN$16:$AN$198,2*(ROWS($R$309:R321)-1)+1)),INDEX('M04-S01'!$AN$16:$AN$198,2*(ROWS($R$309:R321)-1)+1),0)</f>
        <v>0</v>
      </c>
      <c r="S321" s="23">
        <f>IF(NOT(ISNUMBER(INDEX('M04-S01'!$AN$16:$AN$198,2*(ROWS($R$309:R321)-1)+1))),INDEX('M04-S01'!$Z$16:$Z$198,2*(ROWS($S$309:S321)-1)+1),"")</f>
        <v>0</v>
      </c>
      <c r="T321" s="52" t="str">
        <f>IFERROR(IF(NOT(ISNUMBER(INDEX('M04-S01'!$AN$16:$AN$198,2*(ROWS($R$309:R321)-1)+1))),INDEX('M04-S01'!$AK$16:$AK$198,2*(ROWS($R$309:R321)-1)+1),0),0)</f>
        <v/>
      </c>
      <c r="U321" s="23" t="str">
        <f>IFERROR(IF(NOT(ISNUMBER(INDEX('M04-S01'!$AN$16:$AN$198,2*(ROWS($R$309:R321)-1)+1))),INDEX('M04-S01'!$AW$16:$AW$198,2*(ROWS($R$309:R321)-1)+1),""),"")</f>
        <v/>
      </c>
      <c r="V321" s="113"/>
      <c r="W321" t="str">
        <f>IFERROR(IF(NOT(ISNUMBER(INDEX('M04-S01'!$AN$16:$AN$198,2*(ROWS($R$309:R321)-1)+1))),INDEX('M04-S01'!$BD$16:$BD$198,2*(ROWS($R$309:R321)-1)+1),""),"")</f>
        <v/>
      </c>
      <c r="X321" s="184" t="str">
        <f>IFERROR(ROUND(INDEX('M04-S01'!$O$16:$O$198,2*(ROWS($X$309:X321)-1)+1),3),"")</f>
        <v/>
      </c>
      <c r="Y321" s="184">
        <f>IFERROR(ROUND(INDEX('M04-S01'!$AB$16:$AB$198,2*(ROWS($Y$309:Y321)-1)+1),3),"")</f>
        <v>0</v>
      </c>
      <c r="Z321" s="111">
        <f>INDEX('M04-S01'!$B$16:$B$198,2*(ROWS($Z$309:Z321)-1)+1)</f>
        <v>13</v>
      </c>
      <c r="AA321" s="111">
        <f>INDEX('M04-S01'!$F$16:$F$198,2*(ROWS($Z$309:AA321)-1)+1)</f>
        <v>0</v>
      </c>
      <c r="AB321" s="111">
        <f>INDEX('M04-S01'!$S$16:$S$198,2*(ROWS($Z$309:AB321)-1)+1)</f>
        <v>0</v>
      </c>
      <c r="AC321">
        <f>INDEX('M04-S01'!$J$16:$J$198,2*(ROWS($AC$309:AC321)-1)+1)</f>
        <v>0</v>
      </c>
      <c r="AD321">
        <f>INDEX('M04-S01'!$W$16:$W$198,2*(ROWS($AD$309:AD321)-1)+1)</f>
        <v>0</v>
      </c>
      <c r="AE321" s="459"/>
      <c r="AF321" s="459"/>
      <c r="AG321" s="111" t="str">
        <f>INDEX('M04-S01'!$AX$16:$AX$198,2*(ROWS($AG$309:AG321)-1)+1)</f>
        <v/>
      </c>
      <c r="AH321" s="111" t="str">
        <f>INDEX('M04-S01'!$AY$16:$AY$198,2*(ROWS($AH$309:AH321)-1)+1)</f>
        <v/>
      </c>
      <c r="AI321" s="113"/>
      <c r="AJ321" s="113"/>
      <c r="AK321" s="52" t="str">
        <f>INDEX('M04-S01'!$AV$16:$AV$198,2*(ROWS($AK$309:AK321)-1)+1)</f>
        <v/>
      </c>
      <c r="AL321" s="184">
        <f>IF(NOT(ISNUMBER(INDEX('M04-S01'!$AN$16:$AN$198,2*(ROWS($R$309:$R321)-1)+1))),INDEX('M04-S01'!$Z$16:$Z$198,2*(ROWS($AL$309:$AL321)-1)+1)*INDEX('M04-S01'!$AD$16:$AD$198,2*(ROWS($AL$309:$AL321)-1)+1),"")</f>
        <v>0</v>
      </c>
      <c r="AM321" s="184">
        <f>IF(AND(NOT(ISNUMBER(INDEX('M04-S01'!$AN$16:$AN$198,2*(ROWS($R$309:$R321)-1)+1))),T321&gt;0),INDEX('M04-S01'!$Z$16:$Z$198,2*(ROWS($AM$309:$AM321)-1)+1)*INDEX('M04-S01'!$AF$16:$AF$198,2*(ROWS($AM$309:$AM321)-1)+1),"")</f>
        <v>0</v>
      </c>
      <c r="AN321" s="52" t="str">
        <f>IF(NOT(ISNUMBER(INDEX('M04-S01'!$AN$16:$AN$198,2*(ROWS($R$309:$R321)-1)+1))),INDEX('M04-S01'!$AH$16:$AH$198,2*(ROWS($AN$309:$AN321)-1)+1),"")</f>
        <v/>
      </c>
      <c r="AO321" s="113"/>
      <c r="AU321"/>
    </row>
    <row r="322" spans="1:47">
      <c r="A322" s="57">
        <f t="shared" si="31"/>
        <v>0</v>
      </c>
      <c r="B322" s="183" t="str">
        <f t="shared" si="33"/>
        <v/>
      </c>
      <c r="C322" s="186" t="str">
        <f>IF(OR(R322&gt;0,T322&gt;0),INDEX('M04-S01'!$AZ$16:$AZ$198,2*(ROWS($C$309:C322)-1)+1),"")</f>
        <v/>
      </c>
      <c r="D322" t="s">
        <v>231</v>
      </c>
      <c r="F322" s="185">
        <f>INDEX('M04-S01'!$Q$16:$Q$198,2*(ROWS($F$309:F322)-1)+1)</f>
        <v>0</v>
      </c>
      <c r="G322" s="186">
        <f>INDEX('M04-S01'!$C$16:$C$198,2*(ROWS($G$309:G322)-1)+1)</f>
        <v>0</v>
      </c>
      <c r="H322" s="186" t="str">
        <f>IF(ISNUMBER(INDEX('M04-S01'!$AN$16:$AN$198,2*(ROWS($R$309:R322)-1)+1)),"Total","")</f>
        <v/>
      </c>
      <c r="I322" s="184">
        <f>IFERROR(ROUND(IF(ISNUMBER(INDEX('M04-S01'!$AN$16:$AN$198,2*(ROWS($R$309:$R322)-1)+1)),INDEX('M04-S01'!$Z$16:$Z$198,2*(ROWS($I$309:$I322)-1)+1)*INDEX('M04-S01'!$AD$16:$AD$198,2*(ROWS($I$309:$I322)-1)+1),""),2),0)</f>
        <v>0</v>
      </c>
      <c r="J322" s="184">
        <f>IFERROR(ROUND(IF(ISNUMBER(INDEX('M04-S01'!$AN$16:$AN$198,2*(ROWS($R$309:$R322)-1)+1)),INDEX('M04-S01'!$Z$16:$Z$198,2*(ROWS($J$309:$J322)-1)+1)*INDEX('M04-S01'!$AF$16:$AF$198,2*(ROWS($J$309:$J322)-1)+1),""),2),0)</f>
        <v>0</v>
      </c>
      <c r="K322" s="52">
        <f>IFERROR(ROUND(IF(ISNUMBER(INDEX('M04-S01'!$AN$16:$AN$198,2*(ROWS($R$309:$R322)-1)+1)),INDEX('M04-S01'!$AH$16:$AH$198,2*(ROWS($K$309:$K322)-1)+1),""),2),0)</f>
        <v>0</v>
      </c>
      <c r="M322" s="456" t="str">
        <f>IF(ISNUMBER(INDEX('M04-S01'!$AN$16:$AN$198,2*(ROWS($R$309:R322)-1)+1)),INDEX('M04-S01'!$Z$16:$Z$198,2*(ROWS($M$309:M322)-1)+1),"")</f>
        <v/>
      </c>
      <c r="N322" s="184" t="str">
        <f>IF(ISNUMBER(INDEX('M04-S01'!$AN$16:$AN$198,2*(ROWS($R$309:R322)-1)+1)),INDEX('M04-S01'!$AK$16:$AK$198,2*(ROWS($N$309:N322)-1)+1),"")</f>
        <v/>
      </c>
      <c r="O322" s="456" t="str">
        <f>IF(ISNUMBER(INDEX('M04-S01'!$AN$16:$AN$198,2*(ROWS($R$309:R322)-1)+1)),INDEX('M04-S01'!$AW$16:$AW$198,2*(ROWS($O$309:O322)-1)+1),"")</f>
        <v/>
      </c>
      <c r="P322" s="113"/>
      <c r="Q322" s="456" t="str">
        <f>IF(ISNUMBER(INDEX('M04-S01'!$AN$16:$AN$198,2*(ROWS($R$309:R322)-1)+1)),INDEX('M04-S01'!$BB$16:$BB$198,2*(ROWS($Q$309:Q322)-1)+1),"")</f>
        <v/>
      </c>
      <c r="R322" s="184">
        <f>IF(ISNUMBER(INDEX('M04-S01'!$AN$16:$AN$198,2*(ROWS($R$309:R322)-1)+1)),INDEX('M04-S01'!$AN$16:$AN$198,2*(ROWS($R$309:R322)-1)+1),0)</f>
        <v>0</v>
      </c>
      <c r="S322" s="23">
        <f>IF(NOT(ISNUMBER(INDEX('M04-S01'!$AN$16:$AN$198,2*(ROWS($R$309:R322)-1)+1))),INDEX('M04-S01'!$Z$16:$Z$198,2*(ROWS($S$309:S322)-1)+1),"")</f>
        <v>0</v>
      </c>
      <c r="T322" s="52" t="str">
        <f>IFERROR(IF(NOT(ISNUMBER(INDEX('M04-S01'!$AN$16:$AN$198,2*(ROWS($R$309:R322)-1)+1))),INDEX('M04-S01'!$AK$16:$AK$198,2*(ROWS($R$309:R322)-1)+1),0),0)</f>
        <v/>
      </c>
      <c r="U322" s="23" t="str">
        <f>IFERROR(IF(NOT(ISNUMBER(INDEX('M04-S01'!$AN$16:$AN$198,2*(ROWS($R$309:R322)-1)+1))),INDEX('M04-S01'!$AW$16:$AW$198,2*(ROWS($R$309:R322)-1)+1),""),"")</f>
        <v/>
      </c>
      <c r="V322" s="113"/>
      <c r="W322" t="str">
        <f>IFERROR(IF(NOT(ISNUMBER(INDEX('M04-S01'!$AN$16:$AN$198,2*(ROWS($R$309:R322)-1)+1))),INDEX('M04-S01'!$BD$16:$BD$198,2*(ROWS($R$309:R322)-1)+1),""),"")</f>
        <v/>
      </c>
      <c r="X322" s="184" t="str">
        <f>IFERROR(ROUND(INDEX('M04-S01'!$O$16:$O$198,2*(ROWS($X$309:X322)-1)+1),3),"")</f>
        <v/>
      </c>
      <c r="Y322" s="184">
        <f>IFERROR(ROUND(INDEX('M04-S01'!$AB$16:$AB$198,2*(ROWS($Y$309:Y322)-1)+1),3),"")</f>
        <v>0</v>
      </c>
      <c r="Z322" s="111">
        <f>INDEX('M04-S01'!$B$16:$B$198,2*(ROWS($Z$309:Z322)-1)+1)</f>
        <v>14</v>
      </c>
      <c r="AA322" s="111">
        <f>INDEX('M04-S01'!$F$16:$F$198,2*(ROWS($Z$309:AA322)-1)+1)</f>
        <v>0</v>
      </c>
      <c r="AB322" s="111">
        <f>INDEX('M04-S01'!$S$16:$S$198,2*(ROWS($Z$309:AB322)-1)+1)</f>
        <v>0</v>
      </c>
      <c r="AC322">
        <f>INDEX('M04-S01'!$J$16:$J$198,2*(ROWS($AC$309:AC322)-1)+1)</f>
        <v>0</v>
      </c>
      <c r="AD322">
        <f>INDEX('M04-S01'!$W$16:$W$198,2*(ROWS($AD$309:AD322)-1)+1)</f>
        <v>0</v>
      </c>
      <c r="AE322" s="459"/>
      <c r="AF322" s="459"/>
      <c r="AG322" s="111" t="str">
        <f>INDEX('M04-S01'!$AX$16:$AX$198,2*(ROWS($AG$309:AG322)-1)+1)</f>
        <v/>
      </c>
      <c r="AH322" s="111" t="str">
        <f>INDEX('M04-S01'!$AY$16:$AY$198,2*(ROWS($AH$309:AH322)-1)+1)</f>
        <v/>
      </c>
      <c r="AI322" s="113"/>
      <c r="AJ322" s="113"/>
      <c r="AK322" s="52" t="str">
        <f>INDEX('M04-S01'!$AV$16:$AV$198,2*(ROWS($AK$309:AK322)-1)+1)</f>
        <v/>
      </c>
      <c r="AL322" s="184">
        <f>IF(NOT(ISNUMBER(INDEX('M04-S01'!$AN$16:$AN$198,2*(ROWS($R$309:$R322)-1)+1))),INDEX('M04-S01'!$Z$16:$Z$198,2*(ROWS($AL$309:$AL322)-1)+1)*INDEX('M04-S01'!$AD$16:$AD$198,2*(ROWS($AL$309:$AL322)-1)+1),"")</f>
        <v>0</v>
      </c>
      <c r="AM322" s="184">
        <f>IF(AND(NOT(ISNUMBER(INDEX('M04-S01'!$AN$16:$AN$198,2*(ROWS($R$309:$R322)-1)+1))),T322&gt;0),INDEX('M04-S01'!$Z$16:$Z$198,2*(ROWS($AM$309:$AM322)-1)+1)*INDEX('M04-S01'!$AF$16:$AF$198,2*(ROWS($AM$309:$AM322)-1)+1),"")</f>
        <v>0</v>
      </c>
      <c r="AN322" s="52" t="str">
        <f>IF(NOT(ISNUMBER(INDEX('M04-S01'!$AN$16:$AN$198,2*(ROWS($R$309:$R322)-1)+1))),INDEX('M04-S01'!$AH$16:$AH$198,2*(ROWS($AN$309:$AN322)-1)+1),"")</f>
        <v/>
      </c>
      <c r="AO322" s="113"/>
      <c r="AU322"/>
    </row>
    <row r="323" spans="1:47">
      <c r="A323" s="57">
        <f t="shared" si="31"/>
        <v>0</v>
      </c>
      <c r="B323" s="183" t="str">
        <f t="shared" si="33"/>
        <v/>
      </c>
      <c r="C323" s="186" t="str">
        <f>IF(OR(R323&gt;0,T323&gt;0),INDEX('M04-S01'!$AZ$16:$AZ$198,2*(ROWS($C$309:C323)-1)+1),"")</f>
        <v/>
      </c>
      <c r="D323" t="s">
        <v>231</v>
      </c>
      <c r="F323" s="185">
        <f>INDEX('M04-S01'!$Q$16:$Q$198,2*(ROWS($F$309:F323)-1)+1)</f>
        <v>0</v>
      </c>
      <c r="G323" s="186">
        <f>INDEX('M04-S01'!$C$16:$C$198,2*(ROWS($G$309:G323)-1)+1)</f>
        <v>0</v>
      </c>
      <c r="H323" s="186" t="str">
        <f>IF(ISNUMBER(INDEX('M04-S01'!$AN$16:$AN$198,2*(ROWS($R$309:R323)-1)+1)),"Total","")</f>
        <v/>
      </c>
      <c r="I323" s="184">
        <f>IFERROR(ROUND(IF(ISNUMBER(INDEX('M04-S01'!$AN$16:$AN$198,2*(ROWS($R$309:$R323)-1)+1)),INDEX('M04-S01'!$Z$16:$Z$198,2*(ROWS($I$309:$I323)-1)+1)*INDEX('M04-S01'!$AD$16:$AD$198,2*(ROWS($I$309:$I323)-1)+1),""),2),0)</f>
        <v>0</v>
      </c>
      <c r="J323" s="184">
        <f>IFERROR(ROUND(IF(ISNUMBER(INDEX('M04-S01'!$AN$16:$AN$198,2*(ROWS($R$309:$R323)-1)+1)),INDEX('M04-S01'!$Z$16:$Z$198,2*(ROWS($J$309:$J323)-1)+1)*INDEX('M04-S01'!$AF$16:$AF$198,2*(ROWS($J$309:$J323)-1)+1),""),2),0)</f>
        <v>0</v>
      </c>
      <c r="K323" s="52">
        <f>IFERROR(ROUND(IF(ISNUMBER(INDEX('M04-S01'!$AN$16:$AN$198,2*(ROWS($R$309:$R323)-1)+1)),INDEX('M04-S01'!$AH$16:$AH$198,2*(ROWS($K$309:$K323)-1)+1),""),2),0)</f>
        <v>0</v>
      </c>
      <c r="M323" s="456" t="str">
        <f>IF(ISNUMBER(INDEX('M04-S01'!$AN$16:$AN$198,2*(ROWS($R$309:R323)-1)+1)),INDEX('M04-S01'!$Z$16:$Z$198,2*(ROWS($M$309:M323)-1)+1),"")</f>
        <v/>
      </c>
      <c r="N323" s="184" t="str">
        <f>IF(ISNUMBER(INDEX('M04-S01'!$AN$16:$AN$198,2*(ROWS($R$309:R323)-1)+1)),INDEX('M04-S01'!$AK$16:$AK$198,2*(ROWS($N$309:N323)-1)+1),"")</f>
        <v/>
      </c>
      <c r="O323" s="456" t="str">
        <f>IF(ISNUMBER(INDEX('M04-S01'!$AN$16:$AN$198,2*(ROWS($R$309:R323)-1)+1)),INDEX('M04-S01'!$AW$16:$AW$198,2*(ROWS($O$309:O323)-1)+1),"")</f>
        <v/>
      </c>
      <c r="P323" s="113"/>
      <c r="Q323" s="456" t="str">
        <f>IF(ISNUMBER(INDEX('M04-S01'!$AN$16:$AN$198,2*(ROWS($R$309:R323)-1)+1)),INDEX('M04-S01'!$BB$16:$BB$198,2*(ROWS($Q$309:Q323)-1)+1),"")</f>
        <v/>
      </c>
      <c r="R323" s="184">
        <f>IF(ISNUMBER(INDEX('M04-S01'!$AN$16:$AN$198,2*(ROWS($R$309:R323)-1)+1)),INDEX('M04-S01'!$AN$16:$AN$198,2*(ROWS($R$309:R323)-1)+1),0)</f>
        <v>0</v>
      </c>
      <c r="S323" s="23">
        <f>IF(NOT(ISNUMBER(INDEX('M04-S01'!$AN$16:$AN$198,2*(ROWS($R$309:R323)-1)+1))),INDEX('M04-S01'!$Z$16:$Z$198,2*(ROWS($S$309:S323)-1)+1),"")</f>
        <v>0</v>
      </c>
      <c r="T323" s="52" t="str">
        <f>IFERROR(IF(NOT(ISNUMBER(INDEX('M04-S01'!$AN$16:$AN$198,2*(ROWS($R$309:R323)-1)+1))),INDEX('M04-S01'!$AK$16:$AK$198,2*(ROWS($R$309:R323)-1)+1),0),0)</f>
        <v/>
      </c>
      <c r="U323" s="23" t="str">
        <f>IFERROR(IF(NOT(ISNUMBER(INDEX('M04-S01'!$AN$16:$AN$198,2*(ROWS($R$309:R323)-1)+1))),INDEX('M04-S01'!$AW$16:$AW$198,2*(ROWS($R$309:R323)-1)+1),""),"")</f>
        <v/>
      </c>
      <c r="V323" s="113"/>
      <c r="W323" t="str">
        <f>IFERROR(IF(NOT(ISNUMBER(INDEX('M04-S01'!$AN$16:$AN$198,2*(ROWS($R$309:R323)-1)+1))),INDEX('M04-S01'!$BD$16:$BD$198,2*(ROWS($R$309:R323)-1)+1),""),"")</f>
        <v/>
      </c>
      <c r="X323" s="184" t="str">
        <f>IFERROR(ROUND(INDEX('M04-S01'!$O$16:$O$198,2*(ROWS($X$309:X323)-1)+1),3),"")</f>
        <v/>
      </c>
      <c r="Y323" s="184">
        <f>IFERROR(ROUND(INDEX('M04-S01'!$AB$16:$AB$198,2*(ROWS($Y$309:Y323)-1)+1),3),"")</f>
        <v>0</v>
      </c>
      <c r="Z323" s="111">
        <f>INDEX('M04-S01'!$B$16:$B$198,2*(ROWS($Z$309:Z323)-1)+1)</f>
        <v>15</v>
      </c>
      <c r="AA323" s="111">
        <f>INDEX('M04-S01'!$F$16:$F$198,2*(ROWS($Z$309:AA323)-1)+1)</f>
        <v>0</v>
      </c>
      <c r="AB323" s="111">
        <f>INDEX('M04-S01'!$S$16:$S$198,2*(ROWS($Z$309:AB323)-1)+1)</f>
        <v>0</v>
      </c>
      <c r="AC323">
        <f>INDEX('M04-S01'!$J$16:$J$198,2*(ROWS($AC$309:AC323)-1)+1)</f>
        <v>0</v>
      </c>
      <c r="AD323">
        <f>INDEX('M04-S01'!$W$16:$W$198,2*(ROWS($AD$309:AD323)-1)+1)</f>
        <v>0</v>
      </c>
      <c r="AE323" s="459"/>
      <c r="AF323" s="459"/>
      <c r="AG323" s="111" t="str">
        <f>INDEX('M04-S01'!$AX$16:$AX$198,2*(ROWS($AG$309:AG323)-1)+1)</f>
        <v/>
      </c>
      <c r="AH323" s="111" t="str">
        <f>INDEX('M04-S01'!$AY$16:$AY$198,2*(ROWS($AH$309:AH323)-1)+1)</f>
        <v/>
      </c>
      <c r="AI323" s="113"/>
      <c r="AJ323" s="113"/>
      <c r="AK323" s="52" t="str">
        <f>INDEX('M04-S01'!$AV$16:$AV$198,2*(ROWS($AK$309:AK323)-1)+1)</f>
        <v/>
      </c>
      <c r="AL323" s="184">
        <f>IF(NOT(ISNUMBER(INDEX('M04-S01'!$AN$16:$AN$198,2*(ROWS($R$309:$R323)-1)+1))),INDEX('M04-S01'!$Z$16:$Z$198,2*(ROWS($AL$309:$AL323)-1)+1)*INDEX('M04-S01'!$AD$16:$AD$198,2*(ROWS($AL$309:$AL323)-1)+1),"")</f>
        <v>0</v>
      </c>
      <c r="AM323" s="184">
        <f>IF(AND(NOT(ISNUMBER(INDEX('M04-S01'!$AN$16:$AN$198,2*(ROWS($R$309:$R323)-1)+1))),T323&gt;0),INDEX('M04-S01'!$Z$16:$Z$198,2*(ROWS($AM$309:$AM323)-1)+1)*INDEX('M04-S01'!$AF$16:$AF$198,2*(ROWS($AM$309:$AM323)-1)+1),"")</f>
        <v>0</v>
      </c>
      <c r="AN323" s="52" t="str">
        <f>IF(NOT(ISNUMBER(INDEX('M04-S01'!$AN$16:$AN$198,2*(ROWS($R$309:$R323)-1)+1))),INDEX('M04-S01'!$AH$16:$AH$198,2*(ROWS($AN$309:$AN323)-1)+1),"")</f>
        <v/>
      </c>
      <c r="AO323" s="113"/>
      <c r="AU323"/>
    </row>
    <row r="324" spans="1:47">
      <c r="A324" s="57">
        <f t="shared" si="31"/>
        <v>0</v>
      </c>
      <c r="B324" s="183" t="str">
        <f t="shared" si="33"/>
        <v/>
      </c>
      <c r="C324" s="186" t="str">
        <f>IF(OR(R324&gt;0,T324&gt;0),INDEX('M04-S01'!$AZ$16:$AZ$198,2*(ROWS($C$309:C324)-1)+1),"")</f>
        <v/>
      </c>
      <c r="D324" t="s">
        <v>231</v>
      </c>
      <c r="F324" s="185">
        <f>INDEX('M04-S01'!$Q$16:$Q$198,2*(ROWS($F$309:F324)-1)+1)</f>
        <v>0</v>
      </c>
      <c r="G324" s="186">
        <f>INDEX('M04-S01'!$C$16:$C$198,2*(ROWS($G$309:G324)-1)+1)</f>
        <v>0</v>
      </c>
      <c r="H324" s="186" t="str">
        <f>IF(ISNUMBER(INDEX('M04-S01'!$AN$16:$AN$198,2*(ROWS($R$309:R324)-1)+1)),"Total","")</f>
        <v/>
      </c>
      <c r="I324" s="184">
        <f>IFERROR(ROUND(IF(ISNUMBER(INDEX('M04-S01'!$AN$16:$AN$198,2*(ROWS($R$309:$R324)-1)+1)),INDEX('M04-S01'!$Z$16:$Z$198,2*(ROWS($I$309:$I324)-1)+1)*INDEX('M04-S01'!$AD$16:$AD$198,2*(ROWS($I$309:$I324)-1)+1),""),2),0)</f>
        <v>0</v>
      </c>
      <c r="J324" s="184">
        <f>IFERROR(ROUND(IF(ISNUMBER(INDEX('M04-S01'!$AN$16:$AN$198,2*(ROWS($R$309:$R324)-1)+1)),INDEX('M04-S01'!$Z$16:$Z$198,2*(ROWS($J$309:$J324)-1)+1)*INDEX('M04-S01'!$AF$16:$AF$198,2*(ROWS($J$309:$J324)-1)+1),""),2),0)</f>
        <v>0</v>
      </c>
      <c r="K324" s="52">
        <f>IFERROR(ROUND(IF(ISNUMBER(INDEX('M04-S01'!$AN$16:$AN$198,2*(ROWS($R$309:$R324)-1)+1)),INDEX('M04-S01'!$AH$16:$AH$198,2*(ROWS($K$309:$K324)-1)+1),""),2),0)</f>
        <v>0</v>
      </c>
      <c r="M324" s="456" t="str">
        <f>IF(ISNUMBER(INDEX('M04-S01'!$AN$16:$AN$198,2*(ROWS($R$309:R324)-1)+1)),INDEX('M04-S01'!$Z$16:$Z$198,2*(ROWS($M$309:M324)-1)+1),"")</f>
        <v/>
      </c>
      <c r="N324" s="184" t="str">
        <f>IF(ISNUMBER(INDEX('M04-S01'!$AN$16:$AN$198,2*(ROWS($R$309:R324)-1)+1)),INDEX('M04-S01'!$AK$16:$AK$198,2*(ROWS($N$309:N324)-1)+1),"")</f>
        <v/>
      </c>
      <c r="O324" s="456" t="str">
        <f>IF(ISNUMBER(INDEX('M04-S01'!$AN$16:$AN$198,2*(ROWS($R$309:R324)-1)+1)),INDEX('M04-S01'!$AW$16:$AW$198,2*(ROWS($O$309:O324)-1)+1),"")</f>
        <v/>
      </c>
      <c r="P324" s="113"/>
      <c r="Q324" s="456" t="str">
        <f>IF(ISNUMBER(INDEX('M04-S01'!$AN$16:$AN$198,2*(ROWS($R$309:R324)-1)+1)),INDEX('M04-S01'!$BB$16:$BB$198,2*(ROWS($Q$309:Q324)-1)+1),"")</f>
        <v/>
      </c>
      <c r="R324" s="184">
        <f>IF(ISNUMBER(INDEX('M04-S01'!$AN$16:$AN$198,2*(ROWS($R$309:R324)-1)+1)),INDEX('M04-S01'!$AN$16:$AN$198,2*(ROWS($R$309:R324)-1)+1),0)</f>
        <v>0</v>
      </c>
      <c r="S324" s="23">
        <f>IF(NOT(ISNUMBER(INDEX('M04-S01'!$AN$16:$AN$198,2*(ROWS($R$309:R324)-1)+1))),INDEX('M04-S01'!$Z$16:$Z$198,2*(ROWS($S$309:S324)-1)+1),"")</f>
        <v>0</v>
      </c>
      <c r="T324" s="52" t="str">
        <f>IFERROR(IF(NOT(ISNUMBER(INDEX('M04-S01'!$AN$16:$AN$198,2*(ROWS($R$309:R324)-1)+1))),INDEX('M04-S01'!$AK$16:$AK$198,2*(ROWS($R$309:R324)-1)+1),0),0)</f>
        <v/>
      </c>
      <c r="U324" s="23" t="str">
        <f>IFERROR(IF(NOT(ISNUMBER(INDEX('M04-S01'!$AN$16:$AN$198,2*(ROWS($R$309:R324)-1)+1))),INDEX('M04-S01'!$AW$16:$AW$198,2*(ROWS($R$309:R324)-1)+1),""),"")</f>
        <v/>
      </c>
      <c r="V324" s="113"/>
      <c r="W324" t="str">
        <f>IFERROR(IF(NOT(ISNUMBER(INDEX('M04-S01'!$AN$16:$AN$198,2*(ROWS($R$309:R324)-1)+1))),INDEX('M04-S01'!$BD$16:$BD$198,2*(ROWS($R$309:R324)-1)+1),""),"")</f>
        <v/>
      </c>
      <c r="X324" s="184" t="str">
        <f>IFERROR(ROUND(INDEX('M04-S01'!$O$16:$O$198,2*(ROWS($X$309:X324)-1)+1),3),"")</f>
        <v/>
      </c>
      <c r="Y324" s="184">
        <f>IFERROR(ROUND(INDEX('M04-S01'!$AB$16:$AB$198,2*(ROWS($Y$309:Y324)-1)+1),3),"")</f>
        <v>0</v>
      </c>
      <c r="Z324" s="111">
        <f>INDEX('M04-S01'!$B$16:$B$198,2*(ROWS($Z$309:Z324)-1)+1)</f>
        <v>16</v>
      </c>
      <c r="AA324" s="111">
        <f>INDEX('M04-S01'!$F$16:$F$198,2*(ROWS($Z$309:AA324)-1)+1)</f>
        <v>0</v>
      </c>
      <c r="AB324" s="111">
        <f>INDEX('M04-S01'!$S$16:$S$198,2*(ROWS($Z$309:AB324)-1)+1)</f>
        <v>0</v>
      </c>
      <c r="AC324">
        <f>INDEX('M04-S01'!$J$16:$J$198,2*(ROWS($AC$309:AC324)-1)+1)</f>
        <v>0</v>
      </c>
      <c r="AD324">
        <f>INDEX('M04-S01'!$W$16:$W$198,2*(ROWS($AD$309:AD324)-1)+1)</f>
        <v>0</v>
      </c>
      <c r="AE324" s="459"/>
      <c r="AF324" s="459"/>
      <c r="AG324" s="111" t="str">
        <f>INDEX('M04-S01'!$AX$16:$AX$198,2*(ROWS($AG$309:AG324)-1)+1)</f>
        <v/>
      </c>
      <c r="AH324" s="111" t="str">
        <f>INDEX('M04-S01'!$AY$16:$AY$198,2*(ROWS($AH$309:AH324)-1)+1)</f>
        <v/>
      </c>
      <c r="AI324" s="113"/>
      <c r="AJ324" s="113"/>
      <c r="AK324" s="52" t="str">
        <f>INDEX('M04-S01'!$AV$16:$AV$198,2*(ROWS($AK$309:AK324)-1)+1)</f>
        <v/>
      </c>
      <c r="AL324" s="184">
        <f>IF(NOT(ISNUMBER(INDEX('M04-S01'!$AN$16:$AN$198,2*(ROWS($R$309:$R324)-1)+1))),INDEX('M04-S01'!$Z$16:$Z$198,2*(ROWS($AL$309:$AL324)-1)+1)*INDEX('M04-S01'!$AD$16:$AD$198,2*(ROWS($AL$309:$AL324)-1)+1),"")</f>
        <v>0</v>
      </c>
      <c r="AM324" s="184">
        <f>IF(AND(NOT(ISNUMBER(INDEX('M04-S01'!$AN$16:$AN$198,2*(ROWS($R$309:$R324)-1)+1))),T324&gt;0),INDEX('M04-S01'!$Z$16:$Z$198,2*(ROWS($AM$309:$AM324)-1)+1)*INDEX('M04-S01'!$AF$16:$AF$198,2*(ROWS($AM$309:$AM324)-1)+1),"")</f>
        <v>0</v>
      </c>
      <c r="AN324" s="52" t="str">
        <f>IF(NOT(ISNUMBER(INDEX('M04-S01'!$AN$16:$AN$198,2*(ROWS($R$309:$R324)-1)+1))),INDEX('M04-S01'!$AH$16:$AH$198,2*(ROWS($AN$309:$AN324)-1)+1),"")</f>
        <v/>
      </c>
      <c r="AO324" s="113"/>
      <c r="AU324"/>
    </row>
    <row r="325" spans="1:47">
      <c r="A325" s="57">
        <f t="shared" si="31"/>
        <v>0</v>
      </c>
      <c r="B325" s="183" t="str">
        <f t="shared" si="33"/>
        <v/>
      </c>
      <c r="C325" s="186" t="str">
        <f>IF(OR(R325&gt;0,T325&gt;0),INDEX('M04-S01'!$AZ$16:$AZ$198,2*(ROWS($C$309:C325)-1)+1),"")</f>
        <v/>
      </c>
      <c r="D325" t="s">
        <v>231</v>
      </c>
      <c r="F325" s="185">
        <f>INDEX('M04-S01'!$Q$16:$Q$198,2*(ROWS($F$309:F325)-1)+1)</f>
        <v>0</v>
      </c>
      <c r="G325" s="186">
        <f>INDEX('M04-S01'!$C$16:$C$198,2*(ROWS($G$309:G325)-1)+1)</f>
        <v>0</v>
      </c>
      <c r="H325" s="186" t="str">
        <f>IF(ISNUMBER(INDEX('M04-S01'!$AN$16:$AN$198,2*(ROWS($R$309:R325)-1)+1)),"Total","")</f>
        <v/>
      </c>
      <c r="I325" s="184">
        <f>IFERROR(ROUND(IF(ISNUMBER(INDEX('M04-S01'!$AN$16:$AN$198,2*(ROWS($R$309:$R325)-1)+1)),INDEX('M04-S01'!$Z$16:$Z$198,2*(ROWS($I$309:$I325)-1)+1)*INDEX('M04-S01'!$AD$16:$AD$198,2*(ROWS($I$309:$I325)-1)+1),""),2),0)</f>
        <v>0</v>
      </c>
      <c r="J325" s="184">
        <f>IFERROR(ROUND(IF(ISNUMBER(INDEX('M04-S01'!$AN$16:$AN$198,2*(ROWS($R$309:$R325)-1)+1)),INDEX('M04-S01'!$Z$16:$Z$198,2*(ROWS($J$309:$J325)-1)+1)*INDEX('M04-S01'!$AF$16:$AF$198,2*(ROWS($J$309:$J325)-1)+1),""),2),0)</f>
        <v>0</v>
      </c>
      <c r="K325" s="52">
        <f>IFERROR(ROUND(IF(ISNUMBER(INDEX('M04-S01'!$AN$16:$AN$198,2*(ROWS($R$309:$R325)-1)+1)),INDEX('M04-S01'!$AH$16:$AH$198,2*(ROWS($K$309:$K325)-1)+1),""),2),0)</f>
        <v>0</v>
      </c>
      <c r="M325" s="456" t="str">
        <f>IF(ISNUMBER(INDEX('M04-S01'!$AN$16:$AN$198,2*(ROWS($R$309:R325)-1)+1)),INDEX('M04-S01'!$Z$16:$Z$198,2*(ROWS($M$309:M325)-1)+1),"")</f>
        <v/>
      </c>
      <c r="N325" s="184" t="str">
        <f>IF(ISNUMBER(INDEX('M04-S01'!$AN$16:$AN$198,2*(ROWS($R$309:R325)-1)+1)),INDEX('M04-S01'!$AK$16:$AK$198,2*(ROWS($N$309:N325)-1)+1),"")</f>
        <v/>
      </c>
      <c r="O325" s="456" t="str">
        <f>IF(ISNUMBER(INDEX('M04-S01'!$AN$16:$AN$198,2*(ROWS($R$309:R325)-1)+1)),INDEX('M04-S01'!$AW$16:$AW$198,2*(ROWS($O$309:O325)-1)+1),"")</f>
        <v/>
      </c>
      <c r="P325" s="113"/>
      <c r="Q325" s="456" t="str">
        <f>IF(ISNUMBER(INDEX('M04-S01'!$AN$16:$AN$198,2*(ROWS($R$309:R325)-1)+1)),INDEX('M04-S01'!$BB$16:$BB$198,2*(ROWS($Q$309:Q325)-1)+1),"")</f>
        <v/>
      </c>
      <c r="R325" s="184">
        <f>IF(ISNUMBER(INDEX('M04-S01'!$AN$16:$AN$198,2*(ROWS($R$309:R325)-1)+1)),INDEX('M04-S01'!$AN$16:$AN$198,2*(ROWS($R$309:R325)-1)+1),0)</f>
        <v>0</v>
      </c>
      <c r="S325" s="23">
        <f>IF(NOT(ISNUMBER(INDEX('M04-S01'!$AN$16:$AN$198,2*(ROWS($R$309:R325)-1)+1))),INDEX('M04-S01'!$Z$16:$Z$198,2*(ROWS($S$309:S325)-1)+1),"")</f>
        <v>0</v>
      </c>
      <c r="T325" s="52" t="str">
        <f>IFERROR(IF(NOT(ISNUMBER(INDEX('M04-S01'!$AN$16:$AN$198,2*(ROWS($R$309:R325)-1)+1))),INDEX('M04-S01'!$AK$16:$AK$198,2*(ROWS($R$309:R325)-1)+1),0),0)</f>
        <v/>
      </c>
      <c r="U325" s="23" t="str">
        <f>IFERROR(IF(NOT(ISNUMBER(INDEX('M04-S01'!$AN$16:$AN$198,2*(ROWS($R$309:R325)-1)+1))),INDEX('M04-S01'!$AW$16:$AW$198,2*(ROWS($R$309:R325)-1)+1),""),"")</f>
        <v/>
      </c>
      <c r="V325" s="113"/>
      <c r="W325" t="str">
        <f>IFERROR(IF(NOT(ISNUMBER(INDEX('M04-S01'!$AN$16:$AN$198,2*(ROWS($R$309:R325)-1)+1))),INDEX('M04-S01'!$BD$16:$BD$198,2*(ROWS($R$309:R325)-1)+1),""),"")</f>
        <v/>
      </c>
      <c r="X325" s="184" t="str">
        <f>IFERROR(ROUND(INDEX('M04-S01'!$O$16:$O$198,2*(ROWS($X$309:X325)-1)+1),3),"")</f>
        <v/>
      </c>
      <c r="Y325" s="184">
        <f>IFERROR(ROUND(INDEX('M04-S01'!$AB$16:$AB$198,2*(ROWS($Y$309:Y325)-1)+1),3),"")</f>
        <v>0</v>
      </c>
      <c r="Z325" s="111">
        <f>INDEX('M04-S01'!$B$16:$B$198,2*(ROWS($Z$309:Z325)-1)+1)</f>
        <v>17</v>
      </c>
      <c r="AA325" s="111">
        <f>INDEX('M04-S01'!$F$16:$F$198,2*(ROWS($Z$309:AA325)-1)+1)</f>
        <v>0</v>
      </c>
      <c r="AB325" s="111">
        <f>INDEX('M04-S01'!$S$16:$S$198,2*(ROWS($Z$309:AB325)-1)+1)</f>
        <v>0</v>
      </c>
      <c r="AC325">
        <f>INDEX('M04-S01'!$J$16:$J$198,2*(ROWS($AC$309:AC325)-1)+1)</f>
        <v>0</v>
      </c>
      <c r="AD325">
        <f>INDEX('M04-S01'!$W$16:$W$198,2*(ROWS($AD$309:AD325)-1)+1)</f>
        <v>0</v>
      </c>
      <c r="AE325" s="459"/>
      <c r="AF325" s="459"/>
      <c r="AG325" s="111" t="str">
        <f>INDEX('M04-S01'!$AX$16:$AX$198,2*(ROWS($AG$309:AG325)-1)+1)</f>
        <v/>
      </c>
      <c r="AH325" s="111" t="str">
        <f>INDEX('M04-S01'!$AY$16:$AY$198,2*(ROWS($AH$309:AH325)-1)+1)</f>
        <v/>
      </c>
      <c r="AI325" s="113"/>
      <c r="AJ325" s="113"/>
      <c r="AK325" s="52" t="str">
        <f>INDEX('M04-S01'!$AV$16:$AV$198,2*(ROWS($AK$309:AK325)-1)+1)</f>
        <v/>
      </c>
      <c r="AL325" s="184">
        <f>IF(NOT(ISNUMBER(INDEX('M04-S01'!$AN$16:$AN$198,2*(ROWS($R$309:$R325)-1)+1))),INDEX('M04-S01'!$Z$16:$Z$198,2*(ROWS($AL$309:$AL325)-1)+1)*INDEX('M04-S01'!$AD$16:$AD$198,2*(ROWS($AL$309:$AL325)-1)+1),"")</f>
        <v>0</v>
      </c>
      <c r="AM325" s="184">
        <f>IF(AND(NOT(ISNUMBER(INDEX('M04-S01'!$AN$16:$AN$198,2*(ROWS($R$309:$R325)-1)+1))),T325&gt;0),INDEX('M04-S01'!$Z$16:$Z$198,2*(ROWS($AM$309:$AM325)-1)+1)*INDEX('M04-S01'!$AF$16:$AF$198,2*(ROWS($AM$309:$AM325)-1)+1),"")</f>
        <v>0</v>
      </c>
      <c r="AN325" s="52" t="str">
        <f>IF(NOT(ISNUMBER(INDEX('M04-S01'!$AN$16:$AN$198,2*(ROWS($R$309:$R325)-1)+1))),INDEX('M04-S01'!$AH$16:$AH$198,2*(ROWS($AN$309:$AN325)-1)+1),"")</f>
        <v/>
      </c>
      <c r="AO325" s="113"/>
      <c r="AU325"/>
    </row>
    <row r="326" spans="1:47">
      <c r="A326" s="57">
        <f t="shared" si="31"/>
        <v>0</v>
      </c>
      <c r="B326" s="183" t="str">
        <f t="shared" si="33"/>
        <v/>
      </c>
      <c r="C326" s="186" t="str">
        <f>IF(OR(R326&gt;0,T326&gt;0),INDEX('M04-S01'!$AZ$16:$AZ$198,2*(ROWS($C$309:C326)-1)+1),"")</f>
        <v/>
      </c>
      <c r="D326" t="s">
        <v>231</v>
      </c>
      <c r="F326" s="185">
        <f>INDEX('M04-S01'!$Q$16:$Q$198,2*(ROWS($F$309:F326)-1)+1)</f>
        <v>0</v>
      </c>
      <c r="G326" s="186">
        <f>INDEX('M04-S01'!$C$16:$C$198,2*(ROWS($G$309:G326)-1)+1)</f>
        <v>0</v>
      </c>
      <c r="H326" s="186" t="str">
        <f>IF(ISNUMBER(INDEX('M04-S01'!$AN$16:$AN$198,2*(ROWS($R$309:R326)-1)+1)),"Total","")</f>
        <v/>
      </c>
      <c r="I326" s="184">
        <f>IFERROR(ROUND(IF(ISNUMBER(INDEX('M04-S01'!$AN$16:$AN$198,2*(ROWS($R$309:$R326)-1)+1)),INDEX('M04-S01'!$Z$16:$Z$198,2*(ROWS($I$309:$I326)-1)+1)*INDEX('M04-S01'!$AD$16:$AD$198,2*(ROWS($I$309:$I326)-1)+1),""),2),0)</f>
        <v>0</v>
      </c>
      <c r="J326" s="184">
        <f>IFERROR(ROUND(IF(ISNUMBER(INDEX('M04-S01'!$AN$16:$AN$198,2*(ROWS($R$309:$R326)-1)+1)),INDEX('M04-S01'!$Z$16:$Z$198,2*(ROWS($J$309:$J326)-1)+1)*INDEX('M04-S01'!$AF$16:$AF$198,2*(ROWS($J$309:$J326)-1)+1),""),2),0)</f>
        <v>0</v>
      </c>
      <c r="K326" s="52">
        <f>IFERROR(ROUND(IF(ISNUMBER(INDEX('M04-S01'!$AN$16:$AN$198,2*(ROWS($R$309:$R326)-1)+1)),INDEX('M04-S01'!$AH$16:$AH$198,2*(ROWS($K$309:$K326)-1)+1),""),2),0)</f>
        <v>0</v>
      </c>
      <c r="M326" s="456" t="str">
        <f>IF(ISNUMBER(INDEX('M04-S01'!$AN$16:$AN$198,2*(ROWS($R$309:R326)-1)+1)),INDEX('M04-S01'!$Z$16:$Z$198,2*(ROWS($M$309:M326)-1)+1),"")</f>
        <v/>
      </c>
      <c r="N326" s="184" t="str">
        <f>IF(ISNUMBER(INDEX('M04-S01'!$AN$16:$AN$198,2*(ROWS($R$309:R326)-1)+1)),INDEX('M04-S01'!$AK$16:$AK$198,2*(ROWS($N$309:N326)-1)+1),"")</f>
        <v/>
      </c>
      <c r="O326" s="456" t="str">
        <f>IF(ISNUMBER(INDEX('M04-S01'!$AN$16:$AN$198,2*(ROWS($R$309:R326)-1)+1)),INDEX('M04-S01'!$AW$16:$AW$198,2*(ROWS($O$309:O326)-1)+1),"")</f>
        <v/>
      </c>
      <c r="P326" s="113"/>
      <c r="Q326" s="456" t="str">
        <f>IF(ISNUMBER(INDEX('M04-S01'!$AN$16:$AN$198,2*(ROWS($R$309:R326)-1)+1)),INDEX('M04-S01'!$BB$16:$BB$198,2*(ROWS($Q$309:Q326)-1)+1),"")</f>
        <v/>
      </c>
      <c r="R326" s="184">
        <f>IF(ISNUMBER(INDEX('M04-S01'!$AN$16:$AN$198,2*(ROWS($R$309:R326)-1)+1)),INDEX('M04-S01'!$AN$16:$AN$198,2*(ROWS($R$309:R326)-1)+1),0)</f>
        <v>0</v>
      </c>
      <c r="S326" s="23">
        <f>IF(NOT(ISNUMBER(INDEX('M04-S01'!$AN$16:$AN$198,2*(ROWS($R$309:R326)-1)+1))),INDEX('M04-S01'!$Z$16:$Z$198,2*(ROWS($S$309:S326)-1)+1),"")</f>
        <v>0</v>
      </c>
      <c r="T326" s="52" t="str">
        <f>IFERROR(IF(NOT(ISNUMBER(INDEX('M04-S01'!$AN$16:$AN$198,2*(ROWS($R$309:R326)-1)+1))),INDEX('M04-S01'!$AK$16:$AK$198,2*(ROWS($R$309:R326)-1)+1),0),0)</f>
        <v/>
      </c>
      <c r="U326" s="23" t="str">
        <f>IFERROR(IF(NOT(ISNUMBER(INDEX('M04-S01'!$AN$16:$AN$198,2*(ROWS($R$309:R326)-1)+1))),INDEX('M04-S01'!$AW$16:$AW$198,2*(ROWS($R$309:R326)-1)+1),""),"")</f>
        <v/>
      </c>
      <c r="V326" s="113"/>
      <c r="W326" t="str">
        <f>IFERROR(IF(NOT(ISNUMBER(INDEX('M04-S01'!$AN$16:$AN$198,2*(ROWS($R$309:R326)-1)+1))),INDEX('M04-S01'!$BD$16:$BD$198,2*(ROWS($R$309:R326)-1)+1),""),"")</f>
        <v/>
      </c>
      <c r="X326" s="184" t="str">
        <f>IFERROR(ROUND(INDEX('M04-S01'!$O$16:$O$198,2*(ROWS($X$309:X326)-1)+1),3),"")</f>
        <v/>
      </c>
      <c r="Y326" s="184">
        <f>IFERROR(ROUND(INDEX('M04-S01'!$AB$16:$AB$198,2*(ROWS($Y$309:Y326)-1)+1),3),"")</f>
        <v>0</v>
      </c>
      <c r="Z326" s="111">
        <f>INDEX('M04-S01'!$B$16:$B$198,2*(ROWS($Z$309:Z326)-1)+1)</f>
        <v>18</v>
      </c>
      <c r="AA326" s="111">
        <f>INDEX('M04-S01'!$F$16:$F$198,2*(ROWS($Z$309:AA326)-1)+1)</f>
        <v>0</v>
      </c>
      <c r="AB326" s="111">
        <f>INDEX('M04-S01'!$S$16:$S$198,2*(ROWS($Z$309:AB326)-1)+1)</f>
        <v>0</v>
      </c>
      <c r="AC326">
        <f>INDEX('M04-S01'!$J$16:$J$198,2*(ROWS($AC$309:AC326)-1)+1)</f>
        <v>0</v>
      </c>
      <c r="AD326">
        <f>INDEX('M04-S01'!$W$16:$W$198,2*(ROWS($AD$309:AD326)-1)+1)</f>
        <v>0</v>
      </c>
      <c r="AE326" s="459"/>
      <c r="AF326" s="459"/>
      <c r="AG326" s="111" t="str">
        <f>INDEX('M04-S01'!$AX$16:$AX$198,2*(ROWS($AG$309:AG326)-1)+1)</f>
        <v/>
      </c>
      <c r="AH326" s="111" t="str">
        <f>INDEX('M04-S01'!$AY$16:$AY$198,2*(ROWS($AH$309:AH326)-1)+1)</f>
        <v/>
      </c>
      <c r="AI326" s="113"/>
      <c r="AJ326" s="113"/>
      <c r="AK326" s="52" t="str">
        <f>INDEX('M04-S01'!$AV$16:$AV$198,2*(ROWS($AK$309:AK326)-1)+1)</f>
        <v/>
      </c>
      <c r="AL326" s="184">
        <f>IF(NOT(ISNUMBER(INDEX('M04-S01'!$AN$16:$AN$198,2*(ROWS($R$309:$R326)-1)+1))),INDEX('M04-S01'!$Z$16:$Z$198,2*(ROWS($AL$309:$AL326)-1)+1)*INDEX('M04-S01'!$AD$16:$AD$198,2*(ROWS($AL$309:$AL326)-1)+1),"")</f>
        <v>0</v>
      </c>
      <c r="AM326" s="184">
        <f>IF(AND(NOT(ISNUMBER(INDEX('M04-S01'!$AN$16:$AN$198,2*(ROWS($R$309:$R326)-1)+1))),T326&gt;0),INDEX('M04-S01'!$Z$16:$Z$198,2*(ROWS($AM$309:$AM326)-1)+1)*INDEX('M04-S01'!$AF$16:$AF$198,2*(ROWS($AM$309:$AM326)-1)+1),"")</f>
        <v>0</v>
      </c>
      <c r="AN326" s="52" t="str">
        <f>IF(NOT(ISNUMBER(INDEX('M04-S01'!$AN$16:$AN$198,2*(ROWS($R$309:$R326)-1)+1))),INDEX('M04-S01'!$AH$16:$AH$198,2*(ROWS($AN$309:$AN326)-1)+1),"")</f>
        <v/>
      </c>
      <c r="AO326" s="113"/>
      <c r="AU326"/>
    </row>
    <row r="327" spans="1:47">
      <c r="A327" s="57">
        <f t="shared" si="31"/>
        <v>0</v>
      </c>
      <c r="B327" s="183" t="str">
        <f t="shared" si="33"/>
        <v/>
      </c>
      <c r="C327" s="186" t="str">
        <f>IF(OR(R327&gt;0,T327&gt;0),INDEX('M04-S01'!$AZ$16:$AZ$198,2*(ROWS($C$309:C327)-1)+1),"")</f>
        <v/>
      </c>
      <c r="D327" t="s">
        <v>231</v>
      </c>
      <c r="F327" s="185">
        <f>INDEX('M04-S01'!$Q$16:$Q$198,2*(ROWS($F$309:F327)-1)+1)</f>
        <v>0</v>
      </c>
      <c r="G327" s="186">
        <f>INDEX('M04-S01'!$C$16:$C$198,2*(ROWS($G$309:G327)-1)+1)</f>
        <v>0</v>
      </c>
      <c r="H327" s="186" t="str">
        <f>IF(ISNUMBER(INDEX('M04-S01'!$AN$16:$AN$198,2*(ROWS($R$309:R327)-1)+1)),"Total","")</f>
        <v/>
      </c>
      <c r="I327" s="184">
        <f>IFERROR(ROUND(IF(ISNUMBER(INDEX('M04-S01'!$AN$16:$AN$198,2*(ROWS($R$309:$R327)-1)+1)),INDEX('M04-S01'!$Z$16:$Z$198,2*(ROWS($I$309:$I327)-1)+1)*INDEX('M04-S01'!$AD$16:$AD$198,2*(ROWS($I$309:$I327)-1)+1),""),2),0)</f>
        <v>0</v>
      </c>
      <c r="J327" s="184">
        <f>IFERROR(ROUND(IF(ISNUMBER(INDEX('M04-S01'!$AN$16:$AN$198,2*(ROWS($R$309:$R327)-1)+1)),INDEX('M04-S01'!$Z$16:$Z$198,2*(ROWS($J$309:$J327)-1)+1)*INDEX('M04-S01'!$AF$16:$AF$198,2*(ROWS($J$309:$J327)-1)+1),""),2),0)</f>
        <v>0</v>
      </c>
      <c r="K327" s="52">
        <f>IFERROR(ROUND(IF(ISNUMBER(INDEX('M04-S01'!$AN$16:$AN$198,2*(ROWS($R$309:$R327)-1)+1)),INDEX('M04-S01'!$AH$16:$AH$198,2*(ROWS($K$309:$K327)-1)+1),""),2),0)</f>
        <v>0</v>
      </c>
      <c r="M327" s="456" t="str">
        <f>IF(ISNUMBER(INDEX('M04-S01'!$AN$16:$AN$198,2*(ROWS($R$309:R327)-1)+1)),INDEX('M04-S01'!$Z$16:$Z$198,2*(ROWS($M$309:M327)-1)+1),"")</f>
        <v/>
      </c>
      <c r="N327" s="184" t="str">
        <f>IF(ISNUMBER(INDEX('M04-S01'!$AN$16:$AN$198,2*(ROWS($R$309:R327)-1)+1)),INDEX('M04-S01'!$AK$16:$AK$198,2*(ROWS($N$309:N327)-1)+1),"")</f>
        <v/>
      </c>
      <c r="O327" s="456" t="str">
        <f>IF(ISNUMBER(INDEX('M04-S01'!$AN$16:$AN$198,2*(ROWS($R$309:R327)-1)+1)),INDEX('M04-S01'!$AW$16:$AW$198,2*(ROWS($O$309:O327)-1)+1),"")</f>
        <v/>
      </c>
      <c r="P327" s="113"/>
      <c r="Q327" s="456" t="str">
        <f>IF(ISNUMBER(INDEX('M04-S01'!$AN$16:$AN$198,2*(ROWS($R$309:R327)-1)+1)),INDEX('M04-S01'!$BB$16:$BB$198,2*(ROWS($Q$309:Q327)-1)+1),"")</f>
        <v/>
      </c>
      <c r="R327" s="184">
        <f>IF(ISNUMBER(INDEX('M04-S01'!$AN$16:$AN$198,2*(ROWS($R$309:R327)-1)+1)),INDEX('M04-S01'!$AN$16:$AN$198,2*(ROWS($R$309:R327)-1)+1),0)</f>
        <v>0</v>
      </c>
      <c r="S327" s="23">
        <f>IF(NOT(ISNUMBER(INDEX('M04-S01'!$AN$16:$AN$198,2*(ROWS($R$309:R327)-1)+1))),INDEX('M04-S01'!$Z$16:$Z$198,2*(ROWS($S$309:S327)-1)+1),"")</f>
        <v>0</v>
      </c>
      <c r="T327" s="52" t="str">
        <f>IFERROR(IF(NOT(ISNUMBER(INDEX('M04-S01'!$AN$16:$AN$198,2*(ROWS($R$309:R327)-1)+1))),INDEX('M04-S01'!$AK$16:$AK$198,2*(ROWS($R$309:R327)-1)+1),0),0)</f>
        <v/>
      </c>
      <c r="U327" s="23" t="str">
        <f>IFERROR(IF(NOT(ISNUMBER(INDEX('M04-S01'!$AN$16:$AN$198,2*(ROWS($R$309:R327)-1)+1))),INDEX('M04-S01'!$AW$16:$AW$198,2*(ROWS($R$309:R327)-1)+1),""),"")</f>
        <v/>
      </c>
      <c r="V327" s="113"/>
      <c r="W327" t="str">
        <f>IFERROR(IF(NOT(ISNUMBER(INDEX('M04-S01'!$AN$16:$AN$198,2*(ROWS($R$309:R327)-1)+1))),INDEX('M04-S01'!$BD$16:$BD$198,2*(ROWS($R$309:R327)-1)+1),""),"")</f>
        <v/>
      </c>
      <c r="X327" s="184" t="str">
        <f>IFERROR(ROUND(INDEX('M04-S01'!$O$16:$O$198,2*(ROWS($X$309:X327)-1)+1),3),"")</f>
        <v/>
      </c>
      <c r="Y327" s="184">
        <f>IFERROR(ROUND(INDEX('M04-S01'!$AB$16:$AB$198,2*(ROWS($Y$309:Y327)-1)+1),3),"")</f>
        <v>0</v>
      </c>
      <c r="Z327" s="111">
        <f>INDEX('M04-S01'!$B$16:$B$198,2*(ROWS($Z$309:Z327)-1)+1)</f>
        <v>19</v>
      </c>
      <c r="AA327" s="111">
        <f>INDEX('M04-S01'!$F$16:$F$198,2*(ROWS($Z$309:AA327)-1)+1)</f>
        <v>0</v>
      </c>
      <c r="AB327" s="111">
        <f>INDEX('M04-S01'!$S$16:$S$198,2*(ROWS($Z$309:AB327)-1)+1)</f>
        <v>0</v>
      </c>
      <c r="AC327">
        <f>INDEX('M04-S01'!$J$16:$J$198,2*(ROWS($AC$309:AC327)-1)+1)</f>
        <v>0</v>
      </c>
      <c r="AD327">
        <f>INDEX('M04-S01'!$W$16:$W$198,2*(ROWS($AD$309:AD327)-1)+1)</f>
        <v>0</v>
      </c>
      <c r="AE327" s="459"/>
      <c r="AF327" s="459"/>
      <c r="AG327" s="111" t="str">
        <f>INDEX('M04-S01'!$AX$16:$AX$198,2*(ROWS($AG$309:AG327)-1)+1)</f>
        <v/>
      </c>
      <c r="AH327" s="111" t="str">
        <f>INDEX('M04-S01'!$AY$16:$AY$198,2*(ROWS($AH$309:AH327)-1)+1)</f>
        <v/>
      </c>
      <c r="AI327" s="113"/>
      <c r="AJ327" s="113"/>
      <c r="AK327" s="52" t="str">
        <f>INDEX('M04-S01'!$AV$16:$AV$198,2*(ROWS($AK$309:AK327)-1)+1)</f>
        <v/>
      </c>
      <c r="AL327" s="184">
        <f>IF(NOT(ISNUMBER(INDEX('M04-S01'!$AN$16:$AN$198,2*(ROWS($R$309:$R327)-1)+1))),INDEX('M04-S01'!$Z$16:$Z$198,2*(ROWS($AL$309:$AL327)-1)+1)*INDEX('M04-S01'!$AD$16:$AD$198,2*(ROWS($AL$309:$AL327)-1)+1),"")</f>
        <v>0</v>
      </c>
      <c r="AM327" s="184">
        <f>IF(AND(NOT(ISNUMBER(INDEX('M04-S01'!$AN$16:$AN$198,2*(ROWS($R$309:$R327)-1)+1))),T327&gt;0),INDEX('M04-S01'!$Z$16:$Z$198,2*(ROWS($AM$309:$AM327)-1)+1)*INDEX('M04-S01'!$AF$16:$AF$198,2*(ROWS($AM$309:$AM327)-1)+1),"")</f>
        <v>0</v>
      </c>
      <c r="AN327" s="52" t="str">
        <f>IF(NOT(ISNUMBER(INDEX('M04-S01'!$AN$16:$AN$198,2*(ROWS($R$309:$R327)-1)+1))),INDEX('M04-S01'!$AH$16:$AH$198,2*(ROWS($AN$309:$AN327)-1)+1),"")</f>
        <v/>
      </c>
      <c r="AO327" s="113"/>
      <c r="AU327"/>
    </row>
    <row r="328" spans="1:47">
      <c r="A328" s="57">
        <f t="shared" si="31"/>
        <v>0</v>
      </c>
      <c r="B328" s="183" t="str">
        <f t="shared" si="33"/>
        <v/>
      </c>
      <c r="C328" s="186" t="str">
        <f>IF(OR(R328&gt;0,T328&gt;0),INDEX('M04-S01'!$AZ$16:$AZ$198,2*(ROWS($C$309:C328)-1)+1),"")</f>
        <v/>
      </c>
      <c r="D328" t="s">
        <v>231</v>
      </c>
      <c r="F328" s="185">
        <f>INDEX('M04-S01'!$Q$16:$Q$198,2*(ROWS($F$309:F328)-1)+1)</f>
        <v>0</v>
      </c>
      <c r="G328" s="186">
        <f>INDEX('M04-S01'!$C$16:$C$198,2*(ROWS($G$309:G328)-1)+1)</f>
        <v>0</v>
      </c>
      <c r="H328" s="186" t="str">
        <f>IF(ISNUMBER(INDEX('M04-S01'!$AN$16:$AN$198,2*(ROWS($R$309:R328)-1)+1)),"Total","")</f>
        <v/>
      </c>
      <c r="I328" s="184">
        <f>IFERROR(ROUND(IF(ISNUMBER(INDEX('M04-S01'!$AN$16:$AN$198,2*(ROWS($R$309:$R328)-1)+1)),INDEX('M04-S01'!$Z$16:$Z$198,2*(ROWS($I$309:$I328)-1)+1)*INDEX('M04-S01'!$AD$16:$AD$198,2*(ROWS($I$309:$I328)-1)+1),""),2),0)</f>
        <v>0</v>
      </c>
      <c r="J328" s="184">
        <f>IFERROR(ROUND(IF(ISNUMBER(INDEX('M04-S01'!$AN$16:$AN$198,2*(ROWS($R$309:$R328)-1)+1)),INDEX('M04-S01'!$Z$16:$Z$198,2*(ROWS($J$309:$J328)-1)+1)*INDEX('M04-S01'!$AF$16:$AF$198,2*(ROWS($J$309:$J328)-1)+1),""),2),0)</f>
        <v>0</v>
      </c>
      <c r="K328" s="52">
        <f>IFERROR(ROUND(IF(ISNUMBER(INDEX('M04-S01'!$AN$16:$AN$198,2*(ROWS($R$309:$R328)-1)+1)),INDEX('M04-S01'!$AH$16:$AH$198,2*(ROWS($K$309:$K328)-1)+1),""),2),0)</f>
        <v>0</v>
      </c>
      <c r="M328" s="456" t="str">
        <f>IF(ISNUMBER(INDEX('M04-S01'!$AN$16:$AN$198,2*(ROWS($R$309:R328)-1)+1)),INDEX('M04-S01'!$Z$16:$Z$198,2*(ROWS($M$309:M328)-1)+1),"")</f>
        <v/>
      </c>
      <c r="N328" s="184" t="str">
        <f>IF(ISNUMBER(INDEX('M04-S01'!$AN$16:$AN$198,2*(ROWS($R$309:R328)-1)+1)),INDEX('M04-S01'!$AK$16:$AK$198,2*(ROWS($N$309:N328)-1)+1),"")</f>
        <v/>
      </c>
      <c r="O328" s="456" t="str">
        <f>IF(ISNUMBER(INDEX('M04-S01'!$AN$16:$AN$198,2*(ROWS($R$309:R328)-1)+1)),INDEX('M04-S01'!$AW$16:$AW$198,2*(ROWS($O$309:O328)-1)+1),"")</f>
        <v/>
      </c>
      <c r="P328" s="113"/>
      <c r="Q328" s="456" t="str">
        <f>IF(ISNUMBER(INDEX('M04-S01'!$AN$16:$AN$198,2*(ROWS($R$309:R328)-1)+1)),INDEX('M04-S01'!$BB$16:$BB$198,2*(ROWS($Q$309:Q328)-1)+1),"")</f>
        <v/>
      </c>
      <c r="R328" s="184">
        <f>IF(ISNUMBER(INDEX('M04-S01'!$AN$16:$AN$198,2*(ROWS($R$309:R328)-1)+1)),INDEX('M04-S01'!$AN$16:$AN$198,2*(ROWS($R$309:R328)-1)+1),0)</f>
        <v>0</v>
      </c>
      <c r="S328" s="23">
        <f>IF(NOT(ISNUMBER(INDEX('M04-S01'!$AN$16:$AN$198,2*(ROWS($R$309:R328)-1)+1))),INDEX('M04-S01'!$Z$16:$Z$198,2*(ROWS($S$309:S328)-1)+1),"")</f>
        <v>0</v>
      </c>
      <c r="T328" s="52" t="str">
        <f>IFERROR(IF(NOT(ISNUMBER(INDEX('M04-S01'!$AN$16:$AN$198,2*(ROWS($R$309:R328)-1)+1))),INDEX('M04-S01'!$AK$16:$AK$198,2*(ROWS($R$309:R328)-1)+1),0),0)</f>
        <v/>
      </c>
      <c r="U328" s="23" t="str">
        <f>IFERROR(IF(NOT(ISNUMBER(INDEX('M04-S01'!$AN$16:$AN$198,2*(ROWS($R$309:R328)-1)+1))),INDEX('M04-S01'!$AW$16:$AW$198,2*(ROWS($R$309:R328)-1)+1),""),"")</f>
        <v/>
      </c>
      <c r="V328" s="113"/>
      <c r="W328" t="str">
        <f>IFERROR(IF(NOT(ISNUMBER(INDEX('M04-S01'!$AN$16:$AN$198,2*(ROWS($R$309:R328)-1)+1))),INDEX('M04-S01'!$BD$16:$BD$198,2*(ROWS($R$309:R328)-1)+1),""),"")</f>
        <v/>
      </c>
      <c r="X328" s="184" t="str">
        <f>IFERROR(ROUND(INDEX('M04-S01'!$O$16:$O$198,2*(ROWS($X$309:X328)-1)+1),3),"")</f>
        <v/>
      </c>
      <c r="Y328" s="184">
        <f>IFERROR(ROUND(INDEX('M04-S01'!$AB$16:$AB$198,2*(ROWS($Y$309:Y328)-1)+1),3),"")</f>
        <v>0</v>
      </c>
      <c r="Z328" s="111">
        <f>INDEX('M04-S01'!$B$16:$B$198,2*(ROWS($Z$309:Z328)-1)+1)</f>
        <v>20</v>
      </c>
      <c r="AA328" s="111">
        <f>INDEX('M04-S01'!$F$16:$F$198,2*(ROWS($Z$309:AA328)-1)+1)</f>
        <v>0</v>
      </c>
      <c r="AB328" s="111">
        <f>INDEX('M04-S01'!$S$16:$S$198,2*(ROWS($Z$309:AB328)-1)+1)</f>
        <v>0</v>
      </c>
      <c r="AC328">
        <f>INDEX('M04-S01'!$J$16:$J$198,2*(ROWS($AC$309:AC328)-1)+1)</f>
        <v>0</v>
      </c>
      <c r="AD328">
        <f>INDEX('M04-S01'!$W$16:$W$198,2*(ROWS($AD$309:AD328)-1)+1)</f>
        <v>0</v>
      </c>
      <c r="AE328" s="459"/>
      <c r="AF328" s="459"/>
      <c r="AG328" s="111" t="str">
        <f>INDEX('M04-S01'!$AX$16:$AX$198,2*(ROWS($AG$309:AG328)-1)+1)</f>
        <v/>
      </c>
      <c r="AH328" s="111" t="str">
        <f>INDEX('M04-S01'!$AY$16:$AY$198,2*(ROWS($AH$309:AH328)-1)+1)</f>
        <v/>
      </c>
      <c r="AI328" s="113"/>
      <c r="AJ328" s="113"/>
      <c r="AK328" s="52" t="str">
        <f>INDEX('M04-S01'!$AV$16:$AV$198,2*(ROWS($AK$309:AK328)-1)+1)</f>
        <v/>
      </c>
      <c r="AL328" s="184">
        <f>IF(NOT(ISNUMBER(INDEX('M04-S01'!$AN$16:$AN$198,2*(ROWS($R$309:$R328)-1)+1))),INDEX('M04-S01'!$Z$16:$Z$198,2*(ROWS($AL$309:$AL328)-1)+1)*INDEX('M04-S01'!$AD$16:$AD$198,2*(ROWS($AL$309:$AL328)-1)+1),"")</f>
        <v>0</v>
      </c>
      <c r="AM328" s="184">
        <f>IF(AND(NOT(ISNUMBER(INDEX('M04-S01'!$AN$16:$AN$198,2*(ROWS($R$309:$R328)-1)+1))),T328&gt;0),INDEX('M04-S01'!$Z$16:$Z$198,2*(ROWS($AM$309:$AM328)-1)+1)*INDEX('M04-S01'!$AF$16:$AF$198,2*(ROWS($AM$309:$AM328)-1)+1),"")</f>
        <v>0</v>
      </c>
      <c r="AN328" s="52" t="str">
        <f>IF(NOT(ISNUMBER(INDEX('M04-S01'!$AN$16:$AN$198,2*(ROWS($R$309:$R328)-1)+1))),INDEX('M04-S01'!$AH$16:$AH$198,2*(ROWS($AN$309:$AN328)-1)+1),"")</f>
        <v/>
      </c>
      <c r="AO328" s="113"/>
      <c r="AU328"/>
    </row>
    <row r="329" spans="1:47">
      <c r="A329" s="57">
        <f t="shared" si="31"/>
        <v>0</v>
      </c>
      <c r="B329" s="183" t="str">
        <f t="shared" si="33"/>
        <v/>
      </c>
      <c r="C329" s="186" t="str">
        <f>IF(OR(R329&gt;0,T329&gt;0),INDEX('M04-S01'!$AZ$16:$AZ$198,2*(ROWS($C$309:C329)-1)+1),"")</f>
        <v/>
      </c>
      <c r="D329" t="s">
        <v>231</v>
      </c>
      <c r="F329" s="185">
        <f>INDEX('M04-S01'!$Q$16:$Q$198,2*(ROWS($F$309:F329)-1)+1)</f>
        <v>0</v>
      </c>
      <c r="G329" s="186">
        <f>INDEX('M04-S01'!$C$16:$C$198,2*(ROWS($G$309:G329)-1)+1)</f>
        <v>0</v>
      </c>
      <c r="H329" s="186" t="str">
        <f>IF(ISNUMBER(INDEX('M04-S01'!$AN$16:$AN$198,2*(ROWS($R$309:R329)-1)+1)),"Total","")</f>
        <v/>
      </c>
      <c r="I329" s="184">
        <f>IFERROR(ROUND(IF(ISNUMBER(INDEX('M04-S01'!$AN$16:$AN$198,2*(ROWS($R$309:$R329)-1)+1)),INDEX('M04-S01'!$Z$16:$Z$198,2*(ROWS($I$309:$I329)-1)+1)*INDEX('M04-S01'!$AD$16:$AD$198,2*(ROWS($I$309:$I329)-1)+1),""),2),0)</f>
        <v>0</v>
      </c>
      <c r="J329" s="184">
        <f>IFERROR(ROUND(IF(ISNUMBER(INDEX('M04-S01'!$AN$16:$AN$198,2*(ROWS($R$309:$R329)-1)+1)),INDEX('M04-S01'!$Z$16:$Z$198,2*(ROWS($J$309:$J329)-1)+1)*INDEX('M04-S01'!$AF$16:$AF$198,2*(ROWS($J$309:$J329)-1)+1),""),2),0)</f>
        <v>0</v>
      </c>
      <c r="K329" s="52">
        <f>IFERROR(ROUND(IF(ISNUMBER(INDEX('M04-S01'!$AN$16:$AN$198,2*(ROWS($R$309:$R329)-1)+1)),INDEX('M04-S01'!$AH$16:$AH$198,2*(ROWS($K$309:$K329)-1)+1),""),2),0)</f>
        <v>0</v>
      </c>
      <c r="M329" s="456" t="str">
        <f>IF(ISNUMBER(INDEX('M04-S01'!$AN$16:$AN$198,2*(ROWS($R$309:R329)-1)+1)),INDEX('M04-S01'!$Z$16:$Z$198,2*(ROWS($M$309:M329)-1)+1),"")</f>
        <v/>
      </c>
      <c r="N329" s="184" t="str">
        <f>IF(ISNUMBER(INDEX('M04-S01'!$AN$16:$AN$198,2*(ROWS($R$309:R329)-1)+1)),INDEX('M04-S01'!$AK$16:$AK$198,2*(ROWS($N$309:N329)-1)+1),"")</f>
        <v/>
      </c>
      <c r="O329" s="456" t="str">
        <f>IF(ISNUMBER(INDEX('M04-S01'!$AN$16:$AN$198,2*(ROWS($R$309:R329)-1)+1)),INDEX('M04-S01'!$AW$16:$AW$198,2*(ROWS($O$309:O329)-1)+1),"")</f>
        <v/>
      </c>
      <c r="P329" s="113"/>
      <c r="Q329" s="456" t="str">
        <f>IF(ISNUMBER(INDEX('M04-S01'!$AN$16:$AN$198,2*(ROWS($R$309:R329)-1)+1)),INDEX('M04-S01'!$BB$16:$BB$198,2*(ROWS($Q$309:Q329)-1)+1),"")</f>
        <v/>
      </c>
      <c r="R329" s="184">
        <f>IF(ISNUMBER(INDEX('M04-S01'!$AN$16:$AN$198,2*(ROWS($R$309:R329)-1)+1)),INDEX('M04-S01'!$AN$16:$AN$198,2*(ROWS($R$309:R329)-1)+1),0)</f>
        <v>0</v>
      </c>
      <c r="S329" s="23">
        <f>IF(NOT(ISNUMBER(INDEX('M04-S01'!$AN$16:$AN$198,2*(ROWS($R$309:R329)-1)+1))),INDEX('M04-S01'!$Z$16:$Z$198,2*(ROWS($S$309:S329)-1)+1),"")</f>
        <v>0</v>
      </c>
      <c r="T329" s="52" t="str">
        <f>IFERROR(IF(NOT(ISNUMBER(INDEX('M04-S01'!$AN$16:$AN$198,2*(ROWS($R$309:R329)-1)+1))),INDEX('M04-S01'!$AK$16:$AK$198,2*(ROWS($R$309:R329)-1)+1),0),0)</f>
        <v/>
      </c>
      <c r="U329" s="23" t="str">
        <f>IFERROR(IF(NOT(ISNUMBER(INDEX('M04-S01'!$AN$16:$AN$198,2*(ROWS($R$309:R329)-1)+1))),INDEX('M04-S01'!$AW$16:$AW$198,2*(ROWS($R$309:R329)-1)+1),""),"")</f>
        <v/>
      </c>
      <c r="V329" s="113"/>
      <c r="W329" t="str">
        <f>IFERROR(IF(NOT(ISNUMBER(INDEX('M04-S01'!$AN$16:$AN$198,2*(ROWS($R$309:R329)-1)+1))),INDEX('M04-S01'!$BD$16:$BD$198,2*(ROWS($R$309:R329)-1)+1),""),"")</f>
        <v/>
      </c>
      <c r="X329" s="184" t="str">
        <f>IFERROR(ROUND(INDEX('M04-S01'!$O$16:$O$198,2*(ROWS($X$309:X329)-1)+1),3),"")</f>
        <v/>
      </c>
      <c r="Y329" s="184">
        <f>IFERROR(ROUND(INDEX('M04-S01'!$AB$16:$AB$198,2*(ROWS($Y$309:Y329)-1)+1),3),"")</f>
        <v>0</v>
      </c>
      <c r="Z329" s="111">
        <f>INDEX('M04-S01'!$B$16:$B$198,2*(ROWS($Z$309:Z329)-1)+1)</f>
        <v>21</v>
      </c>
      <c r="AA329" s="111">
        <f>INDEX('M04-S01'!$F$16:$F$198,2*(ROWS($Z$309:AA329)-1)+1)</f>
        <v>0</v>
      </c>
      <c r="AB329" s="111">
        <f>INDEX('M04-S01'!$S$16:$S$198,2*(ROWS($Z$309:AB329)-1)+1)</f>
        <v>0</v>
      </c>
      <c r="AC329">
        <f>INDEX('M04-S01'!$J$16:$J$198,2*(ROWS($AC$309:AC329)-1)+1)</f>
        <v>0</v>
      </c>
      <c r="AD329">
        <f>INDEX('M04-S01'!$W$16:$W$198,2*(ROWS($AD$309:AD329)-1)+1)</f>
        <v>0</v>
      </c>
      <c r="AE329" s="459"/>
      <c r="AF329" s="459"/>
      <c r="AG329" s="111" t="str">
        <f>INDEX('M04-S01'!$AX$16:$AX$198,2*(ROWS($AG$309:AG329)-1)+1)</f>
        <v/>
      </c>
      <c r="AH329" s="111" t="str">
        <f>INDEX('M04-S01'!$AY$16:$AY$198,2*(ROWS($AH$309:AH329)-1)+1)</f>
        <v/>
      </c>
      <c r="AI329" s="113"/>
      <c r="AJ329" s="113"/>
      <c r="AK329" s="52" t="str">
        <f>INDEX('M04-S01'!$AV$16:$AV$198,2*(ROWS($AK$309:AK329)-1)+1)</f>
        <v/>
      </c>
      <c r="AL329" s="184">
        <f>IF(NOT(ISNUMBER(INDEX('M04-S01'!$AN$16:$AN$198,2*(ROWS($R$309:$R329)-1)+1))),INDEX('M04-S01'!$Z$16:$Z$198,2*(ROWS($AL$309:$AL329)-1)+1)*INDEX('M04-S01'!$AD$16:$AD$198,2*(ROWS($AL$309:$AL329)-1)+1),"")</f>
        <v>0</v>
      </c>
      <c r="AM329" s="184">
        <f>IF(AND(NOT(ISNUMBER(INDEX('M04-S01'!$AN$16:$AN$198,2*(ROWS($R$309:$R329)-1)+1))),T329&gt;0),INDEX('M04-S01'!$Z$16:$Z$198,2*(ROWS($AM$309:$AM329)-1)+1)*INDEX('M04-S01'!$AF$16:$AF$198,2*(ROWS($AM$309:$AM329)-1)+1),"")</f>
        <v>0</v>
      </c>
      <c r="AN329" s="52" t="str">
        <f>IF(NOT(ISNUMBER(INDEX('M04-S01'!$AN$16:$AN$198,2*(ROWS($R$309:$R329)-1)+1))),INDEX('M04-S01'!$AH$16:$AH$198,2*(ROWS($AN$309:$AN329)-1)+1),"")</f>
        <v/>
      </c>
      <c r="AO329" s="113"/>
      <c r="AU329"/>
    </row>
    <row r="330" spans="1:47">
      <c r="A330" s="57">
        <f t="shared" si="31"/>
        <v>0</v>
      </c>
      <c r="B330" s="183" t="str">
        <f t="shared" si="33"/>
        <v/>
      </c>
      <c r="C330" s="186" t="str">
        <f>IF(OR(R330&gt;0,T330&gt;0),INDEX('M04-S01'!$AZ$16:$AZ$198,2*(ROWS($C$309:C330)-1)+1),"")</f>
        <v/>
      </c>
      <c r="D330" t="s">
        <v>231</v>
      </c>
      <c r="F330" s="185">
        <f>INDEX('M04-S01'!$Q$16:$Q$198,2*(ROWS($F$309:F330)-1)+1)</f>
        <v>0</v>
      </c>
      <c r="G330" s="186">
        <f>INDEX('M04-S01'!$C$16:$C$198,2*(ROWS($G$309:G330)-1)+1)</f>
        <v>0</v>
      </c>
      <c r="H330" s="186" t="str">
        <f>IF(ISNUMBER(INDEX('M04-S01'!$AN$16:$AN$198,2*(ROWS($R$309:R330)-1)+1)),"Total","")</f>
        <v/>
      </c>
      <c r="I330" s="184">
        <f>IFERROR(ROUND(IF(ISNUMBER(INDEX('M04-S01'!$AN$16:$AN$198,2*(ROWS($R$309:$R330)-1)+1)),INDEX('M04-S01'!$Z$16:$Z$198,2*(ROWS($I$309:$I330)-1)+1)*INDEX('M04-S01'!$AD$16:$AD$198,2*(ROWS($I$309:$I330)-1)+1),""),2),0)</f>
        <v>0</v>
      </c>
      <c r="J330" s="184">
        <f>IFERROR(ROUND(IF(ISNUMBER(INDEX('M04-S01'!$AN$16:$AN$198,2*(ROWS($R$309:$R330)-1)+1)),INDEX('M04-S01'!$Z$16:$Z$198,2*(ROWS($J$309:$J330)-1)+1)*INDEX('M04-S01'!$AF$16:$AF$198,2*(ROWS($J$309:$J330)-1)+1),""),2),0)</f>
        <v>0</v>
      </c>
      <c r="K330" s="52">
        <f>IFERROR(ROUND(IF(ISNUMBER(INDEX('M04-S01'!$AN$16:$AN$198,2*(ROWS($R$309:$R330)-1)+1)),INDEX('M04-S01'!$AH$16:$AH$198,2*(ROWS($K$309:$K330)-1)+1),""),2),0)</f>
        <v>0</v>
      </c>
      <c r="M330" s="456" t="str">
        <f>IF(ISNUMBER(INDEX('M04-S01'!$AN$16:$AN$198,2*(ROWS($R$309:R330)-1)+1)),INDEX('M04-S01'!$Z$16:$Z$198,2*(ROWS($M$309:M330)-1)+1),"")</f>
        <v/>
      </c>
      <c r="N330" s="184" t="str">
        <f>IF(ISNUMBER(INDEX('M04-S01'!$AN$16:$AN$198,2*(ROWS($R$309:R330)-1)+1)),INDEX('M04-S01'!$AK$16:$AK$198,2*(ROWS($N$309:N330)-1)+1),"")</f>
        <v/>
      </c>
      <c r="O330" s="456" t="str">
        <f>IF(ISNUMBER(INDEX('M04-S01'!$AN$16:$AN$198,2*(ROWS($R$309:R330)-1)+1)),INDEX('M04-S01'!$AW$16:$AW$198,2*(ROWS($O$309:O330)-1)+1),"")</f>
        <v/>
      </c>
      <c r="P330" s="113"/>
      <c r="Q330" s="456" t="str">
        <f>IF(ISNUMBER(INDEX('M04-S01'!$AN$16:$AN$198,2*(ROWS($R$309:R330)-1)+1)),INDEX('M04-S01'!$BB$16:$BB$198,2*(ROWS($Q$309:Q330)-1)+1),"")</f>
        <v/>
      </c>
      <c r="R330" s="184">
        <f>IF(ISNUMBER(INDEX('M04-S01'!$AN$16:$AN$198,2*(ROWS($R$309:R330)-1)+1)),INDEX('M04-S01'!$AN$16:$AN$198,2*(ROWS($R$309:R330)-1)+1),0)</f>
        <v>0</v>
      </c>
      <c r="S330" s="23">
        <f>IF(NOT(ISNUMBER(INDEX('M04-S01'!$AN$16:$AN$198,2*(ROWS($R$309:R330)-1)+1))),INDEX('M04-S01'!$Z$16:$Z$198,2*(ROWS($S$309:S330)-1)+1),"")</f>
        <v>0</v>
      </c>
      <c r="T330" s="52" t="str">
        <f>IFERROR(IF(NOT(ISNUMBER(INDEX('M04-S01'!$AN$16:$AN$198,2*(ROWS($R$309:R330)-1)+1))),INDEX('M04-S01'!$AK$16:$AK$198,2*(ROWS($R$309:R330)-1)+1),0),0)</f>
        <v/>
      </c>
      <c r="U330" s="23" t="str">
        <f>IFERROR(IF(NOT(ISNUMBER(INDEX('M04-S01'!$AN$16:$AN$198,2*(ROWS($R$309:R330)-1)+1))),INDEX('M04-S01'!$AW$16:$AW$198,2*(ROWS($R$309:R330)-1)+1),""),"")</f>
        <v/>
      </c>
      <c r="V330" s="113"/>
      <c r="W330" t="str">
        <f>IFERROR(IF(NOT(ISNUMBER(INDEX('M04-S01'!$AN$16:$AN$198,2*(ROWS($R$309:R330)-1)+1))),INDEX('M04-S01'!$BD$16:$BD$198,2*(ROWS($R$309:R330)-1)+1),""),"")</f>
        <v/>
      </c>
      <c r="X330" s="184" t="str">
        <f>IFERROR(ROUND(INDEX('M04-S01'!$O$16:$O$198,2*(ROWS($X$309:X330)-1)+1),3),"")</f>
        <v/>
      </c>
      <c r="Y330" s="184">
        <f>IFERROR(ROUND(INDEX('M04-S01'!$AB$16:$AB$198,2*(ROWS($Y$309:Y330)-1)+1),3),"")</f>
        <v>0</v>
      </c>
      <c r="Z330" s="111">
        <f>INDEX('M04-S01'!$B$16:$B$198,2*(ROWS($Z$309:Z330)-1)+1)</f>
        <v>22</v>
      </c>
      <c r="AA330" s="111">
        <f>INDEX('M04-S01'!$F$16:$F$198,2*(ROWS($Z$309:AA330)-1)+1)</f>
        <v>0</v>
      </c>
      <c r="AB330" s="111">
        <f>INDEX('M04-S01'!$S$16:$S$198,2*(ROWS($Z$309:AB330)-1)+1)</f>
        <v>0</v>
      </c>
      <c r="AC330">
        <f>INDEX('M04-S01'!$J$16:$J$198,2*(ROWS($AC$309:AC330)-1)+1)</f>
        <v>0</v>
      </c>
      <c r="AD330">
        <f>INDEX('M04-S01'!$W$16:$W$198,2*(ROWS($AD$309:AD330)-1)+1)</f>
        <v>0</v>
      </c>
      <c r="AE330" s="459"/>
      <c r="AF330" s="459"/>
      <c r="AG330" s="111" t="str">
        <f>INDEX('M04-S01'!$AX$16:$AX$198,2*(ROWS($AG$309:AG330)-1)+1)</f>
        <v/>
      </c>
      <c r="AH330" s="111" t="str">
        <f>INDEX('M04-S01'!$AY$16:$AY$198,2*(ROWS($AH$309:AH330)-1)+1)</f>
        <v/>
      </c>
      <c r="AI330" s="113"/>
      <c r="AJ330" s="113"/>
      <c r="AK330" s="52" t="str">
        <f>INDEX('M04-S01'!$AV$16:$AV$198,2*(ROWS($AK$309:AK330)-1)+1)</f>
        <v/>
      </c>
      <c r="AL330" s="184">
        <f>IF(NOT(ISNUMBER(INDEX('M04-S01'!$AN$16:$AN$198,2*(ROWS($R$309:$R330)-1)+1))),INDEX('M04-S01'!$Z$16:$Z$198,2*(ROWS($AL$309:$AL330)-1)+1)*INDEX('M04-S01'!$AD$16:$AD$198,2*(ROWS($AL$309:$AL330)-1)+1),"")</f>
        <v>0</v>
      </c>
      <c r="AM330" s="184">
        <f>IF(AND(NOT(ISNUMBER(INDEX('M04-S01'!$AN$16:$AN$198,2*(ROWS($R$309:$R330)-1)+1))),T330&gt;0),INDEX('M04-S01'!$Z$16:$Z$198,2*(ROWS($AM$309:$AM330)-1)+1)*INDEX('M04-S01'!$AF$16:$AF$198,2*(ROWS($AM$309:$AM330)-1)+1),"")</f>
        <v>0</v>
      </c>
      <c r="AN330" s="52" t="str">
        <f>IF(NOT(ISNUMBER(INDEX('M04-S01'!$AN$16:$AN$198,2*(ROWS($R$309:$R330)-1)+1))),INDEX('M04-S01'!$AH$16:$AH$198,2*(ROWS($AN$309:$AN330)-1)+1),"")</f>
        <v/>
      </c>
      <c r="AO330" s="113"/>
      <c r="AU330"/>
    </row>
    <row r="331" spans="1:47">
      <c r="A331" s="57">
        <f t="shared" si="31"/>
        <v>0</v>
      </c>
      <c r="B331" s="183" t="str">
        <f t="shared" si="33"/>
        <v/>
      </c>
      <c r="C331" s="186" t="str">
        <f>IF(OR(R331&gt;0,T331&gt;0),INDEX('M04-S01'!$AZ$16:$AZ$198,2*(ROWS($C$309:C331)-1)+1),"")</f>
        <v/>
      </c>
      <c r="D331" t="s">
        <v>231</v>
      </c>
      <c r="F331" s="185">
        <f>INDEX('M04-S01'!$Q$16:$Q$198,2*(ROWS($F$309:F331)-1)+1)</f>
        <v>0</v>
      </c>
      <c r="G331" s="186">
        <f>INDEX('M04-S01'!$C$16:$C$198,2*(ROWS($G$309:G331)-1)+1)</f>
        <v>0</v>
      </c>
      <c r="H331" s="186" t="str">
        <f>IF(ISNUMBER(INDEX('M04-S01'!$AN$16:$AN$198,2*(ROWS($R$309:R331)-1)+1)),"Total","")</f>
        <v/>
      </c>
      <c r="I331" s="184">
        <f>IFERROR(ROUND(IF(ISNUMBER(INDEX('M04-S01'!$AN$16:$AN$198,2*(ROWS($R$309:$R331)-1)+1)),INDEX('M04-S01'!$Z$16:$Z$198,2*(ROWS($I$309:$I331)-1)+1)*INDEX('M04-S01'!$AD$16:$AD$198,2*(ROWS($I$309:$I331)-1)+1),""),2),0)</f>
        <v>0</v>
      </c>
      <c r="J331" s="184">
        <f>IFERROR(ROUND(IF(ISNUMBER(INDEX('M04-S01'!$AN$16:$AN$198,2*(ROWS($R$309:$R331)-1)+1)),INDEX('M04-S01'!$Z$16:$Z$198,2*(ROWS($J$309:$J331)-1)+1)*INDEX('M04-S01'!$AF$16:$AF$198,2*(ROWS($J$309:$J331)-1)+1),""),2),0)</f>
        <v>0</v>
      </c>
      <c r="K331" s="52">
        <f>IFERROR(ROUND(IF(ISNUMBER(INDEX('M04-S01'!$AN$16:$AN$198,2*(ROWS($R$309:$R331)-1)+1)),INDEX('M04-S01'!$AH$16:$AH$198,2*(ROWS($K$309:$K331)-1)+1),""),2),0)</f>
        <v>0</v>
      </c>
      <c r="M331" s="456" t="str">
        <f>IF(ISNUMBER(INDEX('M04-S01'!$AN$16:$AN$198,2*(ROWS($R$309:R331)-1)+1)),INDEX('M04-S01'!$Z$16:$Z$198,2*(ROWS($M$309:M331)-1)+1),"")</f>
        <v/>
      </c>
      <c r="N331" s="184" t="str">
        <f>IF(ISNUMBER(INDEX('M04-S01'!$AN$16:$AN$198,2*(ROWS($R$309:R331)-1)+1)),INDEX('M04-S01'!$AK$16:$AK$198,2*(ROWS($N$309:N331)-1)+1),"")</f>
        <v/>
      </c>
      <c r="O331" s="456" t="str">
        <f>IF(ISNUMBER(INDEX('M04-S01'!$AN$16:$AN$198,2*(ROWS($R$309:R331)-1)+1)),INDEX('M04-S01'!$AW$16:$AW$198,2*(ROWS($O$309:O331)-1)+1),"")</f>
        <v/>
      </c>
      <c r="P331" s="113"/>
      <c r="Q331" s="456" t="str">
        <f>IF(ISNUMBER(INDEX('M04-S01'!$AN$16:$AN$198,2*(ROWS($R$309:R331)-1)+1)),INDEX('M04-S01'!$BB$16:$BB$198,2*(ROWS($Q$309:Q331)-1)+1),"")</f>
        <v/>
      </c>
      <c r="R331" s="184">
        <f>IF(ISNUMBER(INDEX('M04-S01'!$AN$16:$AN$198,2*(ROWS($R$309:R331)-1)+1)),INDEX('M04-S01'!$AN$16:$AN$198,2*(ROWS($R$309:R331)-1)+1),0)</f>
        <v>0</v>
      </c>
      <c r="S331" s="23">
        <f>IF(NOT(ISNUMBER(INDEX('M04-S01'!$AN$16:$AN$198,2*(ROWS($R$309:R331)-1)+1))),INDEX('M04-S01'!$Z$16:$Z$198,2*(ROWS($S$309:S331)-1)+1),"")</f>
        <v>0</v>
      </c>
      <c r="T331" s="52" t="str">
        <f>IFERROR(IF(NOT(ISNUMBER(INDEX('M04-S01'!$AN$16:$AN$198,2*(ROWS($R$309:R331)-1)+1))),INDEX('M04-S01'!$AK$16:$AK$198,2*(ROWS($R$309:R331)-1)+1),0),0)</f>
        <v/>
      </c>
      <c r="U331" s="23" t="str">
        <f>IFERROR(IF(NOT(ISNUMBER(INDEX('M04-S01'!$AN$16:$AN$198,2*(ROWS($R$309:R331)-1)+1))),INDEX('M04-S01'!$AW$16:$AW$198,2*(ROWS($R$309:R331)-1)+1),""),"")</f>
        <v/>
      </c>
      <c r="V331" s="113"/>
      <c r="W331" t="str">
        <f>IFERROR(IF(NOT(ISNUMBER(INDEX('M04-S01'!$AN$16:$AN$198,2*(ROWS($R$309:R331)-1)+1))),INDEX('M04-S01'!$BD$16:$BD$198,2*(ROWS($R$309:R331)-1)+1),""),"")</f>
        <v/>
      </c>
      <c r="X331" s="184" t="str">
        <f>IFERROR(ROUND(INDEX('M04-S01'!$O$16:$O$198,2*(ROWS($X$309:X331)-1)+1),3),"")</f>
        <v/>
      </c>
      <c r="Y331" s="184">
        <f>IFERROR(ROUND(INDEX('M04-S01'!$AB$16:$AB$198,2*(ROWS($Y$309:Y331)-1)+1),3),"")</f>
        <v>0</v>
      </c>
      <c r="Z331" s="111">
        <f>INDEX('M04-S01'!$B$16:$B$198,2*(ROWS($Z$309:Z331)-1)+1)</f>
        <v>23</v>
      </c>
      <c r="AA331" s="111">
        <f>INDEX('M04-S01'!$F$16:$F$198,2*(ROWS($Z$309:AA331)-1)+1)</f>
        <v>0</v>
      </c>
      <c r="AB331" s="111">
        <f>INDEX('M04-S01'!$S$16:$S$198,2*(ROWS($Z$309:AB331)-1)+1)</f>
        <v>0</v>
      </c>
      <c r="AC331">
        <f>INDEX('M04-S01'!$J$16:$J$198,2*(ROWS($AC$309:AC331)-1)+1)</f>
        <v>0</v>
      </c>
      <c r="AD331">
        <f>INDEX('M04-S01'!$W$16:$W$198,2*(ROWS($AD$309:AD331)-1)+1)</f>
        <v>0</v>
      </c>
      <c r="AE331" s="459"/>
      <c r="AF331" s="459"/>
      <c r="AG331" s="111" t="str">
        <f>INDEX('M04-S01'!$AX$16:$AX$198,2*(ROWS($AG$309:AG331)-1)+1)</f>
        <v/>
      </c>
      <c r="AH331" s="111" t="str">
        <f>INDEX('M04-S01'!$AY$16:$AY$198,2*(ROWS($AH$309:AH331)-1)+1)</f>
        <v/>
      </c>
      <c r="AI331" s="113"/>
      <c r="AJ331" s="113"/>
      <c r="AK331" s="52" t="str">
        <f>INDEX('M04-S01'!$AV$16:$AV$198,2*(ROWS($AK$309:AK331)-1)+1)</f>
        <v/>
      </c>
      <c r="AL331" s="184">
        <f>IF(NOT(ISNUMBER(INDEX('M04-S01'!$AN$16:$AN$198,2*(ROWS($R$309:$R331)-1)+1))),INDEX('M04-S01'!$Z$16:$Z$198,2*(ROWS($AL$309:$AL331)-1)+1)*INDEX('M04-S01'!$AD$16:$AD$198,2*(ROWS($AL$309:$AL331)-1)+1),"")</f>
        <v>0</v>
      </c>
      <c r="AM331" s="184">
        <f>IF(AND(NOT(ISNUMBER(INDEX('M04-S01'!$AN$16:$AN$198,2*(ROWS($R$309:$R331)-1)+1))),T331&gt;0),INDEX('M04-S01'!$Z$16:$Z$198,2*(ROWS($AM$309:$AM331)-1)+1)*INDEX('M04-S01'!$AF$16:$AF$198,2*(ROWS($AM$309:$AM331)-1)+1),"")</f>
        <v>0</v>
      </c>
      <c r="AN331" s="52" t="str">
        <f>IF(NOT(ISNUMBER(INDEX('M04-S01'!$AN$16:$AN$198,2*(ROWS($R$309:$R331)-1)+1))),INDEX('M04-S01'!$AH$16:$AH$198,2*(ROWS($AN$309:$AN331)-1)+1),"")</f>
        <v/>
      </c>
      <c r="AO331" s="113"/>
      <c r="AU331"/>
    </row>
    <row r="332" spans="1:47">
      <c r="A332" s="57">
        <f t="shared" si="31"/>
        <v>0</v>
      </c>
      <c r="B332" s="183" t="str">
        <f t="shared" si="33"/>
        <v/>
      </c>
      <c r="C332" s="186" t="str">
        <f>IF(OR(R332&gt;0,T332&gt;0),INDEX('M04-S01'!$AZ$16:$AZ$198,2*(ROWS($C$309:C332)-1)+1),"")</f>
        <v/>
      </c>
      <c r="D332" t="s">
        <v>231</v>
      </c>
      <c r="F332" s="185">
        <f>INDEX('M04-S01'!$Q$16:$Q$198,2*(ROWS($F$309:F332)-1)+1)</f>
        <v>0</v>
      </c>
      <c r="G332" s="186">
        <f>INDEX('M04-S01'!$C$16:$C$198,2*(ROWS($G$309:G332)-1)+1)</f>
        <v>0</v>
      </c>
      <c r="H332" s="186" t="str">
        <f>IF(ISNUMBER(INDEX('M04-S01'!$AN$16:$AN$198,2*(ROWS($R$309:R332)-1)+1)),"Total","")</f>
        <v/>
      </c>
      <c r="I332" s="184">
        <f>IFERROR(ROUND(IF(ISNUMBER(INDEX('M04-S01'!$AN$16:$AN$198,2*(ROWS($R$309:$R332)-1)+1)),INDEX('M04-S01'!$Z$16:$Z$198,2*(ROWS($I$309:$I332)-1)+1)*INDEX('M04-S01'!$AD$16:$AD$198,2*(ROWS($I$309:$I332)-1)+1),""),2),0)</f>
        <v>0</v>
      </c>
      <c r="J332" s="184">
        <f>IFERROR(ROUND(IF(ISNUMBER(INDEX('M04-S01'!$AN$16:$AN$198,2*(ROWS($R$309:$R332)-1)+1)),INDEX('M04-S01'!$Z$16:$Z$198,2*(ROWS($J$309:$J332)-1)+1)*INDEX('M04-S01'!$AF$16:$AF$198,2*(ROWS($J$309:$J332)-1)+1),""),2),0)</f>
        <v>0</v>
      </c>
      <c r="K332" s="52">
        <f>IFERROR(ROUND(IF(ISNUMBER(INDEX('M04-S01'!$AN$16:$AN$198,2*(ROWS($R$309:$R332)-1)+1)),INDEX('M04-S01'!$AH$16:$AH$198,2*(ROWS($K$309:$K332)-1)+1),""),2),0)</f>
        <v>0</v>
      </c>
      <c r="M332" s="456" t="str">
        <f>IF(ISNUMBER(INDEX('M04-S01'!$AN$16:$AN$198,2*(ROWS($R$309:R332)-1)+1)),INDEX('M04-S01'!$Z$16:$Z$198,2*(ROWS($M$309:M332)-1)+1),"")</f>
        <v/>
      </c>
      <c r="N332" s="184" t="str">
        <f>IF(ISNUMBER(INDEX('M04-S01'!$AN$16:$AN$198,2*(ROWS($R$309:R332)-1)+1)),INDEX('M04-S01'!$AK$16:$AK$198,2*(ROWS($N$309:N332)-1)+1),"")</f>
        <v/>
      </c>
      <c r="O332" s="456" t="str">
        <f>IF(ISNUMBER(INDEX('M04-S01'!$AN$16:$AN$198,2*(ROWS($R$309:R332)-1)+1)),INDEX('M04-S01'!$AW$16:$AW$198,2*(ROWS($O$309:O332)-1)+1),"")</f>
        <v/>
      </c>
      <c r="P332" s="113"/>
      <c r="Q332" s="456" t="str">
        <f>IF(ISNUMBER(INDEX('M04-S01'!$AN$16:$AN$198,2*(ROWS($R$309:R332)-1)+1)),INDEX('M04-S01'!$BB$16:$BB$198,2*(ROWS($Q$309:Q332)-1)+1),"")</f>
        <v/>
      </c>
      <c r="R332" s="184">
        <f>IF(ISNUMBER(INDEX('M04-S01'!$AN$16:$AN$198,2*(ROWS($R$309:R332)-1)+1)),INDEX('M04-S01'!$AN$16:$AN$198,2*(ROWS($R$309:R332)-1)+1),0)</f>
        <v>0</v>
      </c>
      <c r="S332" s="23">
        <f>IF(NOT(ISNUMBER(INDEX('M04-S01'!$AN$16:$AN$198,2*(ROWS($R$309:R332)-1)+1))),INDEX('M04-S01'!$Z$16:$Z$198,2*(ROWS($S$309:S332)-1)+1),"")</f>
        <v>0</v>
      </c>
      <c r="T332" s="52" t="str">
        <f>IFERROR(IF(NOT(ISNUMBER(INDEX('M04-S01'!$AN$16:$AN$198,2*(ROWS($R$309:R332)-1)+1))),INDEX('M04-S01'!$AK$16:$AK$198,2*(ROWS($R$309:R332)-1)+1),0),0)</f>
        <v/>
      </c>
      <c r="U332" s="23" t="str">
        <f>IFERROR(IF(NOT(ISNUMBER(INDEX('M04-S01'!$AN$16:$AN$198,2*(ROWS($R$309:R332)-1)+1))),INDEX('M04-S01'!$AW$16:$AW$198,2*(ROWS($R$309:R332)-1)+1),""),"")</f>
        <v/>
      </c>
      <c r="V332" s="113"/>
      <c r="W332" t="str">
        <f>IFERROR(IF(NOT(ISNUMBER(INDEX('M04-S01'!$AN$16:$AN$198,2*(ROWS($R$309:R332)-1)+1))),INDEX('M04-S01'!$BD$16:$BD$198,2*(ROWS($R$309:R332)-1)+1),""),"")</f>
        <v/>
      </c>
      <c r="X332" s="184" t="str">
        <f>IFERROR(ROUND(INDEX('M04-S01'!$O$16:$O$198,2*(ROWS($X$309:X332)-1)+1),3),"")</f>
        <v/>
      </c>
      <c r="Y332" s="184">
        <f>IFERROR(ROUND(INDEX('M04-S01'!$AB$16:$AB$198,2*(ROWS($Y$309:Y332)-1)+1),3),"")</f>
        <v>0</v>
      </c>
      <c r="Z332" s="111">
        <f>INDEX('M04-S01'!$B$16:$B$198,2*(ROWS($Z$309:Z332)-1)+1)</f>
        <v>24</v>
      </c>
      <c r="AA332" s="111">
        <f>INDEX('M04-S01'!$F$16:$F$198,2*(ROWS($Z$309:AA332)-1)+1)</f>
        <v>0</v>
      </c>
      <c r="AB332" s="111">
        <f>INDEX('M04-S01'!$S$16:$S$198,2*(ROWS($Z$309:AB332)-1)+1)</f>
        <v>0</v>
      </c>
      <c r="AC332">
        <f>INDEX('M04-S01'!$J$16:$J$198,2*(ROWS($AC$309:AC332)-1)+1)</f>
        <v>0</v>
      </c>
      <c r="AD332">
        <f>INDEX('M04-S01'!$W$16:$W$198,2*(ROWS($AD$309:AD332)-1)+1)</f>
        <v>0</v>
      </c>
      <c r="AE332" s="459"/>
      <c r="AF332" s="459"/>
      <c r="AG332" s="111" t="str">
        <f>INDEX('M04-S01'!$AX$16:$AX$198,2*(ROWS($AG$309:AG332)-1)+1)</f>
        <v/>
      </c>
      <c r="AH332" s="111" t="str">
        <f>INDEX('M04-S01'!$AY$16:$AY$198,2*(ROWS($AH$309:AH332)-1)+1)</f>
        <v/>
      </c>
      <c r="AI332" s="113"/>
      <c r="AJ332" s="113"/>
      <c r="AK332" s="52" t="str">
        <f>INDEX('M04-S01'!$AV$16:$AV$198,2*(ROWS($AK$309:AK332)-1)+1)</f>
        <v/>
      </c>
      <c r="AL332" s="184">
        <f>IF(NOT(ISNUMBER(INDEX('M04-S01'!$AN$16:$AN$198,2*(ROWS($R$309:$R332)-1)+1))),INDEX('M04-S01'!$Z$16:$Z$198,2*(ROWS($AL$309:$AL332)-1)+1)*INDEX('M04-S01'!$AD$16:$AD$198,2*(ROWS($AL$309:$AL332)-1)+1),"")</f>
        <v>0</v>
      </c>
      <c r="AM332" s="184">
        <f>IF(AND(NOT(ISNUMBER(INDEX('M04-S01'!$AN$16:$AN$198,2*(ROWS($R$309:$R332)-1)+1))),T332&gt;0),INDEX('M04-S01'!$Z$16:$Z$198,2*(ROWS($AM$309:$AM332)-1)+1)*INDEX('M04-S01'!$AF$16:$AF$198,2*(ROWS($AM$309:$AM332)-1)+1),"")</f>
        <v>0</v>
      </c>
      <c r="AN332" s="52" t="str">
        <f>IF(NOT(ISNUMBER(INDEX('M04-S01'!$AN$16:$AN$198,2*(ROWS($R$309:$R332)-1)+1))),INDEX('M04-S01'!$AH$16:$AH$198,2*(ROWS($AN$309:$AN332)-1)+1),"")</f>
        <v/>
      </c>
      <c r="AO332" s="113"/>
      <c r="AU332"/>
    </row>
    <row r="333" spans="1:47">
      <c r="A333" s="57">
        <f t="shared" si="31"/>
        <v>0</v>
      </c>
      <c r="B333" s="183" t="str">
        <f t="shared" si="33"/>
        <v/>
      </c>
      <c r="C333" s="186" t="str">
        <f>IF(OR(R333&gt;0,T333&gt;0),INDEX('M04-S01'!$AZ$16:$AZ$198,2*(ROWS($C$309:C333)-1)+1),"")</f>
        <v/>
      </c>
      <c r="D333" t="s">
        <v>231</v>
      </c>
      <c r="F333" s="185">
        <f>INDEX('M04-S01'!$Q$16:$Q$198,2*(ROWS($F$309:F333)-1)+1)</f>
        <v>0</v>
      </c>
      <c r="G333" s="186">
        <f>INDEX('M04-S01'!$C$16:$C$198,2*(ROWS($G$309:G333)-1)+1)</f>
        <v>0</v>
      </c>
      <c r="H333" s="186" t="str">
        <f>IF(ISNUMBER(INDEX('M04-S01'!$AN$16:$AN$198,2*(ROWS($R$309:R333)-1)+1)),"Total","")</f>
        <v/>
      </c>
      <c r="I333" s="184">
        <f>IFERROR(ROUND(IF(ISNUMBER(INDEX('M04-S01'!$AN$16:$AN$198,2*(ROWS($R$309:$R333)-1)+1)),INDEX('M04-S01'!$Z$16:$Z$198,2*(ROWS($I$309:$I333)-1)+1)*INDEX('M04-S01'!$AD$16:$AD$198,2*(ROWS($I$309:$I333)-1)+1),""),2),0)</f>
        <v>0</v>
      </c>
      <c r="J333" s="184">
        <f>IFERROR(ROUND(IF(ISNUMBER(INDEX('M04-S01'!$AN$16:$AN$198,2*(ROWS($R$309:$R333)-1)+1)),INDEX('M04-S01'!$Z$16:$Z$198,2*(ROWS($J$309:$J333)-1)+1)*INDEX('M04-S01'!$AF$16:$AF$198,2*(ROWS($J$309:$J333)-1)+1),""),2),0)</f>
        <v>0</v>
      </c>
      <c r="K333" s="52">
        <f>IFERROR(ROUND(IF(ISNUMBER(INDEX('M04-S01'!$AN$16:$AN$198,2*(ROWS($R$309:$R333)-1)+1)),INDEX('M04-S01'!$AH$16:$AH$198,2*(ROWS($K$309:$K333)-1)+1),""),2),0)</f>
        <v>0</v>
      </c>
      <c r="M333" s="456" t="str">
        <f>IF(ISNUMBER(INDEX('M04-S01'!$AN$16:$AN$198,2*(ROWS($R$309:R333)-1)+1)),INDEX('M04-S01'!$Z$16:$Z$198,2*(ROWS($M$309:M333)-1)+1),"")</f>
        <v/>
      </c>
      <c r="N333" s="184" t="str">
        <f>IF(ISNUMBER(INDEX('M04-S01'!$AN$16:$AN$198,2*(ROWS($R$309:R333)-1)+1)),INDEX('M04-S01'!$AK$16:$AK$198,2*(ROWS($N$309:N333)-1)+1),"")</f>
        <v/>
      </c>
      <c r="O333" s="456" t="str">
        <f>IF(ISNUMBER(INDEX('M04-S01'!$AN$16:$AN$198,2*(ROWS($R$309:R333)-1)+1)),INDEX('M04-S01'!$AW$16:$AW$198,2*(ROWS($O$309:O333)-1)+1),"")</f>
        <v/>
      </c>
      <c r="P333" s="113"/>
      <c r="Q333" s="456" t="str">
        <f>IF(ISNUMBER(INDEX('M04-S01'!$AN$16:$AN$198,2*(ROWS($R$309:R333)-1)+1)),INDEX('M04-S01'!$BB$16:$BB$198,2*(ROWS($Q$309:Q333)-1)+1),"")</f>
        <v/>
      </c>
      <c r="R333" s="184">
        <f>IF(ISNUMBER(INDEX('M04-S01'!$AN$16:$AN$198,2*(ROWS($R$309:R333)-1)+1)),INDEX('M04-S01'!$AN$16:$AN$198,2*(ROWS($R$309:R333)-1)+1),0)</f>
        <v>0</v>
      </c>
      <c r="S333" s="23">
        <f>IF(NOT(ISNUMBER(INDEX('M04-S01'!$AN$16:$AN$198,2*(ROWS($R$309:R333)-1)+1))),INDEX('M04-S01'!$Z$16:$Z$198,2*(ROWS($S$309:S333)-1)+1),"")</f>
        <v>0</v>
      </c>
      <c r="T333" s="52" t="str">
        <f>IFERROR(IF(NOT(ISNUMBER(INDEX('M04-S01'!$AN$16:$AN$198,2*(ROWS($R$309:R333)-1)+1))),INDEX('M04-S01'!$AK$16:$AK$198,2*(ROWS($R$309:R333)-1)+1),0),0)</f>
        <v/>
      </c>
      <c r="U333" s="23" t="str">
        <f>IFERROR(IF(NOT(ISNUMBER(INDEX('M04-S01'!$AN$16:$AN$198,2*(ROWS($R$309:R333)-1)+1))),INDEX('M04-S01'!$AW$16:$AW$198,2*(ROWS($R$309:R333)-1)+1),""),"")</f>
        <v/>
      </c>
      <c r="V333" s="113"/>
      <c r="W333" t="str">
        <f>IFERROR(IF(NOT(ISNUMBER(INDEX('M04-S01'!$AN$16:$AN$198,2*(ROWS($R$309:R333)-1)+1))),INDEX('M04-S01'!$BD$16:$BD$198,2*(ROWS($R$309:R333)-1)+1),""),"")</f>
        <v/>
      </c>
      <c r="X333" s="184" t="str">
        <f>IFERROR(ROUND(INDEX('M04-S01'!$O$16:$O$198,2*(ROWS($X$309:X333)-1)+1),3),"")</f>
        <v/>
      </c>
      <c r="Y333" s="184">
        <f>IFERROR(ROUND(INDEX('M04-S01'!$AB$16:$AB$198,2*(ROWS($Y$309:Y333)-1)+1),3),"")</f>
        <v>0</v>
      </c>
      <c r="Z333" s="111">
        <f>INDEX('M04-S01'!$B$16:$B$198,2*(ROWS($Z$309:Z333)-1)+1)</f>
        <v>25</v>
      </c>
      <c r="AA333" s="111">
        <f>INDEX('M04-S01'!$F$16:$F$198,2*(ROWS($Z$309:AA333)-1)+1)</f>
        <v>0</v>
      </c>
      <c r="AB333" s="111">
        <f>INDEX('M04-S01'!$S$16:$S$198,2*(ROWS($Z$309:AB333)-1)+1)</f>
        <v>0</v>
      </c>
      <c r="AC333">
        <f>INDEX('M04-S01'!$J$16:$J$198,2*(ROWS($AC$309:AC333)-1)+1)</f>
        <v>0</v>
      </c>
      <c r="AD333">
        <f>INDEX('M04-S01'!$W$16:$W$198,2*(ROWS($AD$309:AD333)-1)+1)</f>
        <v>0</v>
      </c>
      <c r="AE333" s="459"/>
      <c r="AF333" s="459"/>
      <c r="AG333" s="111" t="str">
        <f>INDEX('M04-S01'!$AX$16:$AX$198,2*(ROWS($AG$309:AG333)-1)+1)</f>
        <v/>
      </c>
      <c r="AH333" s="111" t="str">
        <f>INDEX('M04-S01'!$AY$16:$AY$198,2*(ROWS($AH$309:AH333)-1)+1)</f>
        <v/>
      </c>
      <c r="AI333" s="113"/>
      <c r="AJ333" s="113"/>
      <c r="AK333" s="52" t="str">
        <f>INDEX('M04-S01'!$AV$16:$AV$198,2*(ROWS($AK$309:AK333)-1)+1)</f>
        <v/>
      </c>
      <c r="AL333" s="184">
        <f>IF(NOT(ISNUMBER(INDEX('M04-S01'!$AN$16:$AN$198,2*(ROWS($R$309:$R333)-1)+1))),INDEX('M04-S01'!$Z$16:$Z$198,2*(ROWS($AL$309:$AL333)-1)+1)*INDEX('M04-S01'!$AD$16:$AD$198,2*(ROWS($AL$309:$AL333)-1)+1),"")</f>
        <v>0</v>
      </c>
      <c r="AM333" s="184">
        <f>IF(AND(NOT(ISNUMBER(INDEX('M04-S01'!$AN$16:$AN$198,2*(ROWS($R$309:$R333)-1)+1))),T333&gt;0),INDEX('M04-S01'!$Z$16:$Z$198,2*(ROWS($AM$309:$AM333)-1)+1)*INDEX('M04-S01'!$AF$16:$AF$198,2*(ROWS($AM$309:$AM333)-1)+1),"")</f>
        <v>0</v>
      </c>
      <c r="AN333" s="52" t="str">
        <f>IF(NOT(ISNUMBER(INDEX('M04-S01'!$AN$16:$AN$198,2*(ROWS($R$309:$R333)-1)+1))),INDEX('M04-S01'!$AH$16:$AH$198,2*(ROWS($AN$309:$AN333)-1)+1),"")</f>
        <v/>
      </c>
      <c r="AO333" s="113"/>
      <c r="AU333"/>
    </row>
    <row r="334" spans="1:47">
      <c r="A334" s="57">
        <f t="shared" si="31"/>
        <v>0</v>
      </c>
      <c r="B334" s="183" t="str">
        <f t="shared" si="33"/>
        <v/>
      </c>
      <c r="C334" s="186" t="str">
        <f>IF(OR(R334&gt;0,T334&gt;0),INDEX('M04-S01'!$AZ$16:$AZ$198,2*(ROWS($C$309:C334)-1)+1),"")</f>
        <v/>
      </c>
      <c r="D334" t="s">
        <v>231</v>
      </c>
      <c r="F334" s="185">
        <f>INDEX('M04-S01'!$Q$16:$Q$198,2*(ROWS($F$309:F334)-1)+1)</f>
        <v>0</v>
      </c>
      <c r="G334" s="186">
        <f>INDEX('M04-S01'!$C$16:$C$198,2*(ROWS($G$309:G334)-1)+1)</f>
        <v>0</v>
      </c>
      <c r="H334" s="186" t="str">
        <f>IF(ISNUMBER(INDEX('M04-S01'!$AN$16:$AN$198,2*(ROWS($R$309:R334)-1)+1)),"Total","")</f>
        <v/>
      </c>
      <c r="I334" s="184">
        <f>IFERROR(ROUND(IF(ISNUMBER(INDEX('M04-S01'!$AN$16:$AN$198,2*(ROWS($R$309:$R334)-1)+1)),INDEX('M04-S01'!$Z$16:$Z$198,2*(ROWS($I$309:$I334)-1)+1)*INDEX('M04-S01'!$AD$16:$AD$198,2*(ROWS($I$309:$I334)-1)+1),""),2),0)</f>
        <v>0</v>
      </c>
      <c r="J334" s="184">
        <f>IFERROR(ROUND(IF(ISNUMBER(INDEX('M04-S01'!$AN$16:$AN$198,2*(ROWS($R$309:$R334)-1)+1)),INDEX('M04-S01'!$Z$16:$Z$198,2*(ROWS($J$309:$J334)-1)+1)*INDEX('M04-S01'!$AF$16:$AF$198,2*(ROWS($J$309:$J334)-1)+1),""),2),0)</f>
        <v>0</v>
      </c>
      <c r="K334" s="52">
        <f>IFERROR(ROUND(IF(ISNUMBER(INDEX('M04-S01'!$AN$16:$AN$198,2*(ROWS($R$309:$R334)-1)+1)),INDEX('M04-S01'!$AH$16:$AH$198,2*(ROWS($K$309:$K334)-1)+1),""),2),0)</f>
        <v>0</v>
      </c>
      <c r="M334" s="456" t="str">
        <f>IF(ISNUMBER(INDEX('M04-S01'!$AN$16:$AN$198,2*(ROWS($R$309:R334)-1)+1)),INDEX('M04-S01'!$Z$16:$Z$198,2*(ROWS($M$309:M334)-1)+1),"")</f>
        <v/>
      </c>
      <c r="N334" s="184" t="str">
        <f>IF(ISNUMBER(INDEX('M04-S01'!$AN$16:$AN$198,2*(ROWS($R$309:R334)-1)+1)),INDEX('M04-S01'!$AK$16:$AK$198,2*(ROWS($N$309:N334)-1)+1),"")</f>
        <v/>
      </c>
      <c r="O334" s="456" t="str">
        <f>IF(ISNUMBER(INDEX('M04-S01'!$AN$16:$AN$198,2*(ROWS($R$309:R334)-1)+1)),INDEX('M04-S01'!$AW$16:$AW$198,2*(ROWS($O$309:O334)-1)+1),"")</f>
        <v/>
      </c>
      <c r="P334" s="113"/>
      <c r="Q334" s="456" t="str">
        <f>IF(ISNUMBER(INDEX('M04-S01'!$AN$16:$AN$198,2*(ROWS($R$309:R334)-1)+1)),INDEX('M04-S01'!$BB$16:$BB$198,2*(ROWS($Q$309:Q334)-1)+1),"")</f>
        <v/>
      </c>
      <c r="R334" s="184">
        <f>IF(ISNUMBER(INDEX('M04-S01'!$AN$16:$AN$198,2*(ROWS($R$309:R334)-1)+1)),INDEX('M04-S01'!$AN$16:$AN$198,2*(ROWS($R$309:R334)-1)+1),0)</f>
        <v>0</v>
      </c>
      <c r="S334" s="23">
        <f>IF(NOT(ISNUMBER(INDEX('M04-S01'!$AN$16:$AN$198,2*(ROWS($R$309:R334)-1)+1))),INDEX('M04-S01'!$Z$16:$Z$198,2*(ROWS($S$309:S334)-1)+1),"")</f>
        <v>0</v>
      </c>
      <c r="T334" s="52" t="str">
        <f>IFERROR(IF(NOT(ISNUMBER(INDEX('M04-S01'!$AN$16:$AN$198,2*(ROWS($R$309:R334)-1)+1))),INDEX('M04-S01'!$AK$16:$AK$198,2*(ROWS($R$309:R334)-1)+1),0),0)</f>
        <v/>
      </c>
      <c r="U334" s="23" t="str">
        <f>IFERROR(IF(NOT(ISNUMBER(INDEX('M04-S01'!$AN$16:$AN$198,2*(ROWS($R$309:R334)-1)+1))),INDEX('M04-S01'!$AW$16:$AW$198,2*(ROWS($R$309:R334)-1)+1),""),"")</f>
        <v/>
      </c>
      <c r="V334" s="113"/>
      <c r="W334" t="str">
        <f>IFERROR(IF(NOT(ISNUMBER(INDEX('M04-S01'!$AN$16:$AN$198,2*(ROWS($R$309:R334)-1)+1))),INDEX('M04-S01'!$BD$16:$BD$198,2*(ROWS($R$309:R334)-1)+1),""),"")</f>
        <v/>
      </c>
      <c r="X334" s="184" t="str">
        <f>IFERROR(ROUND(INDEX('M04-S01'!$O$16:$O$198,2*(ROWS($X$309:X334)-1)+1),3),"")</f>
        <v/>
      </c>
      <c r="Y334" s="184">
        <f>IFERROR(ROUND(INDEX('M04-S01'!$AB$16:$AB$198,2*(ROWS($Y$309:Y334)-1)+1),3),"")</f>
        <v>0</v>
      </c>
      <c r="Z334" s="111">
        <f>INDEX('M04-S01'!$B$16:$B$198,2*(ROWS($Z$309:Z334)-1)+1)</f>
        <v>26</v>
      </c>
      <c r="AA334" s="111">
        <f>INDEX('M04-S01'!$F$16:$F$198,2*(ROWS($Z$309:AA334)-1)+1)</f>
        <v>0</v>
      </c>
      <c r="AB334" s="111">
        <f>INDEX('M04-S01'!$S$16:$S$198,2*(ROWS($Z$309:AB334)-1)+1)</f>
        <v>0</v>
      </c>
      <c r="AC334">
        <f>INDEX('M04-S01'!$J$16:$J$198,2*(ROWS($AC$309:AC334)-1)+1)</f>
        <v>0</v>
      </c>
      <c r="AD334">
        <f>INDEX('M04-S01'!$W$16:$W$198,2*(ROWS($AD$309:AD334)-1)+1)</f>
        <v>0</v>
      </c>
      <c r="AE334" s="459"/>
      <c r="AF334" s="459"/>
      <c r="AG334" s="111" t="str">
        <f>INDEX('M04-S01'!$AX$16:$AX$198,2*(ROWS($AG$309:AG334)-1)+1)</f>
        <v/>
      </c>
      <c r="AH334" s="111" t="str">
        <f>INDEX('M04-S01'!$AY$16:$AY$198,2*(ROWS($AH$309:AH334)-1)+1)</f>
        <v/>
      </c>
      <c r="AI334" s="113"/>
      <c r="AJ334" s="113"/>
      <c r="AK334" s="52" t="str">
        <f>INDEX('M04-S01'!$AV$16:$AV$198,2*(ROWS($AK$309:AK334)-1)+1)</f>
        <v/>
      </c>
      <c r="AL334" s="184">
        <f>IF(NOT(ISNUMBER(INDEX('M04-S01'!$AN$16:$AN$198,2*(ROWS($R$309:$R334)-1)+1))),INDEX('M04-S01'!$Z$16:$Z$198,2*(ROWS($AL$309:$AL334)-1)+1)*INDEX('M04-S01'!$AD$16:$AD$198,2*(ROWS($AL$309:$AL334)-1)+1),"")</f>
        <v>0</v>
      </c>
      <c r="AM334" s="184">
        <f>IF(AND(NOT(ISNUMBER(INDEX('M04-S01'!$AN$16:$AN$198,2*(ROWS($R$309:$R334)-1)+1))),T334&gt;0),INDEX('M04-S01'!$Z$16:$Z$198,2*(ROWS($AM$309:$AM334)-1)+1)*INDEX('M04-S01'!$AF$16:$AF$198,2*(ROWS($AM$309:$AM334)-1)+1),"")</f>
        <v>0</v>
      </c>
      <c r="AN334" s="52" t="str">
        <f>IF(NOT(ISNUMBER(INDEX('M04-S01'!$AN$16:$AN$198,2*(ROWS($R$309:$R334)-1)+1))),INDEX('M04-S01'!$AH$16:$AH$198,2*(ROWS($AN$309:$AN334)-1)+1),"")</f>
        <v/>
      </c>
      <c r="AO334" s="113"/>
      <c r="AU334"/>
    </row>
    <row r="335" spans="1:47">
      <c r="A335" s="57">
        <f t="shared" si="31"/>
        <v>0</v>
      </c>
      <c r="B335" s="183" t="str">
        <f t="shared" si="33"/>
        <v/>
      </c>
      <c r="C335" s="186" t="str">
        <f>IF(OR(R335&gt;0,T335&gt;0),INDEX('M04-S01'!$AZ$16:$AZ$198,2*(ROWS($C$309:C335)-1)+1),"")</f>
        <v/>
      </c>
      <c r="D335" t="s">
        <v>231</v>
      </c>
      <c r="F335" s="185">
        <f>INDEX('M04-S01'!$Q$16:$Q$198,2*(ROWS($F$309:F335)-1)+1)</f>
        <v>0</v>
      </c>
      <c r="G335" s="186">
        <f>INDEX('M04-S01'!$C$16:$C$198,2*(ROWS($G$309:G335)-1)+1)</f>
        <v>0</v>
      </c>
      <c r="H335" s="186" t="str">
        <f>IF(ISNUMBER(INDEX('M04-S01'!$AN$16:$AN$198,2*(ROWS($R$309:R335)-1)+1)),"Total","")</f>
        <v/>
      </c>
      <c r="I335" s="184">
        <f>IFERROR(ROUND(IF(ISNUMBER(INDEX('M04-S01'!$AN$16:$AN$198,2*(ROWS($R$309:$R335)-1)+1)),INDEX('M04-S01'!$Z$16:$Z$198,2*(ROWS($I$309:$I335)-1)+1)*INDEX('M04-S01'!$AD$16:$AD$198,2*(ROWS($I$309:$I335)-1)+1),""),2),0)</f>
        <v>0</v>
      </c>
      <c r="J335" s="184">
        <f>IFERROR(ROUND(IF(ISNUMBER(INDEX('M04-S01'!$AN$16:$AN$198,2*(ROWS($R$309:$R335)-1)+1)),INDEX('M04-S01'!$Z$16:$Z$198,2*(ROWS($J$309:$J335)-1)+1)*INDEX('M04-S01'!$AF$16:$AF$198,2*(ROWS($J$309:$J335)-1)+1),""),2),0)</f>
        <v>0</v>
      </c>
      <c r="K335" s="52">
        <f>IFERROR(ROUND(IF(ISNUMBER(INDEX('M04-S01'!$AN$16:$AN$198,2*(ROWS($R$309:$R335)-1)+1)),INDEX('M04-S01'!$AH$16:$AH$198,2*(ROWS($K$309:$K335)-1)+1),""),2),0)</f>
        <v>0</v>
      </c>
      <c r="M335" s="456" t="str">
        <f>IF(ISNUMBER(INDEX('M04-S01'!$AN$16:$AN$198,2*(ROWS($R$309:R335)-1)+1)),INDEX('M04-S01'!$Z$16:$Z$198,2*(ROWS($M$309:M335)-1)+1),"")</f>
        <v/>
      </c>
      <c r="N335" s="184" t="str">
        <f>IF(ISNUMBER(INDEX('M04-S01'!$AN$16:$AN$198,2*(ROWS($R$309:R335)-1)+1)),INDEX('M04-S01'!$AK$16:$AK$198,2*(ROWS($N$309:N335)-1)+1),"")</f>
        <v/>
      </c>
      <c r="O335" s="456" t="str">
        <f>IF(ISNUMBER(INDEX('M04-S01'!$AN$16:$AN$198,2*(ROWS($R$309:R335)-1)+1)),INDEX('M04-S01'!$AW$16:$AW$198,2*(ROWS($O$309:O335)-1)+1),"")</f>
        <v/>
      </c>
      <c r="P335" s="113"/>
      <c r="Q335" s="456" t="str">
        <f>IF(ISNUMBER(INDEX('M04-S01'!$AN$16:$AN$198,2*(ROWS($R$309:R335)-1)+1)),INDEX('M04-S01'!$BB$16:$BB$198,2*(ROWS($Q$309:Q335)-1)+1),"")</f>
        <v/>
      </c>
      <c r="R335" s="184">
        <f>IF(ISNUMBER(INDEX('M04-S01'!$AN$16:$AN$198,2*(ROWS($R$309:R335)-1)+1)),INDEX('M04-S01'!$AN$16:$AN$198,2*(ROWS($R$309:R335)-1)+1),0)</f>
        <v>0</v>
      </c>
      <c r="S335" s="23">
        <f>IF(NOT(ISNUMBER(INDEX('M04-S01'!$AN$16:$AN$198,2*(ROWS($R$309:R335)-1)+1))),INDEX('M04-S01'!$Z$16:$Z$198,2*(ROWS($S$309:S335)-1)+1),"")</f>
        <v>0</v>
      </c>
      <c r="T335" s="52" t="str">
        <f>IFERROR(IF(NOT(ISNUMBER(INDEX('M04-S01'!$AN$16:$AN$198,2*(ROWS($R$309:R335)-1)+1))),INDEX('M04-S01'!$AK$16:$AK$198,2*(ROWS($R$309:R335)-1)+1),0),0)</f>
        <v/>
      </c>
      <c r="U335" s="23" t="str">
        <f>IFERROR(IF(NOT(ISNUMBER(INDEX('M04-S01'!$AN$16:$AN$198,2*(ROWS($R$309:R335)-1)+1))),INDEX('M04-S01'!$AW$16:$AW$198,2*(ROWS($R$309:R335)-1)+1),""),"")</f>
        <v/>
      </c>
      <c r="V335" s="113"/>
      <c r="W335" t="str">
        <f>IFERROR(IF(NOT(ISNUMBER(INDEX('M04-S01'!$AN$16:$AN$198,2*(ROWS($R$309:R335)-1)+1))),INDEX('M04-S01'!$BD$16:$BD$198,2*(ROWS($R$309:R335)-1)+1),""),"")</f>
        <v/>
      </c>
      <c r="X335" s="184" t="str">
        <f>IFERROR(ROUND(INDEX('M04-S01'!$O$16:$O$198,2*(ROWS($X$309:X335)-1)+1),3),"")</f>
        <v/>
      </c>
      <c r="Y335" s="184">
        <f>IFERROR(ROUND(INDEX('M04-S01'!$AB$16:$AB$198,2*(ROWS($Y$309:Y335)-1)+1),3),"")</f>
        <v>0</v>
      </c>
      <c r="Z335" s="111">
        <f>INDEX('M04-S01'!$B$16:$B$198,2*(ROWS($Z$309:Z335)-1)+1)</f>
        <v>27</v>
      </c>
      <c r="AA335" s="111">
        <f>INDEX('M04-S01'!$F$16:$F$198,2*(ROWS($Z$309:AA335)-1)+1)</f>
        <v>0</v>
      </c>
      <c r="AB335" s="111">
        <f>INDEX('M04-S01'!$S$16:$S$198,2*(ROWS($Z$309:AB335)-1)+1)</f>
        <v>0</v>
      </c>
      <c r="AC335">
        <f>INDEX('M04-S01'!$J$16:$J$198,2*(ROWS($AC$309:AC335)-1)+1)</f>
        <v>0</v>
      </c>
      <c r="AD335">
        <f>INDEX('M04-S01'!$W$16:$W$198,2*(ROWS($AD$309:AD335)-1)+1)</f>
        <v>0</v>
      </c>
      <c r="AE335" s="459"/>
      <c r="AF335" s="459"/>
      <c r="AG335" s="111" t="str">
        <f>INDEX('M04-S01'!$AX$16:$AX$198,2*(ROWS($AG$309:AG335)-1)+1)</f>
        <v/>
      </c>
      <c r="AH335" s="111" t="str">
        <f>INDEX('M04-S01'!$AY$16:$AY$198,2*(ROWS($AH$309:AH335)-1)+1)</f>
        <v/>
      </c>
      <c r="AI335" s="113"/>
      <c r="AJ335" s="113"/>
      <c r="AK335" s="52" t="str">
        <f>INDEX('M04-S01'!$AV$16:$AV$198,2*(ROWS($AK$309:AK335)-1)+1)</f>
        <v/>
      </c>
      <c r="AL335" s="184">
        <f>IF(NOT(ISNUMBER(INDEX('M04-S01'!$AN$16:$AN$198,2*(ROWS($R$309:$R335)-1)+1))),INDEX('M04-S01'!$Z$16:$Z$198,2*(ROWS($AL$309:$AL335)-1)+1)*INDEX('M04-S01'!$AD$16:$AD$198,2*(ROWS($AL$309:$AL335)-1)+1),"")</f>
        <v>0</v>
      </c>
      <c r="AM335" s="184">
        <f>IF(AND(NOT(ISNUMBER(INDEX('M04-S01'!$AN$16:$AN$198,2*(ROWS($R$309:$R335)-1)+1))),T335&gt;0),INDEX('M04-S01'!$Z$16:$Z$198,2*(ROWS($AM$309:$AM335)-1)+1)*INDEX('M04-S01'!$AF$16:$AF$198,2*(ROWS($AM$309:$AM335)-1)+1),"")</f>
        <v>0</v>
      </c>
      <c r="AN335" s="52" t="str">
        <f>IF(NOT(ISNUMBER(INDEX('M04-S01'!$AN$16:$AN$198,2*(ROWS($R$309:$R335)-1)+1))),INDEX('M04-S01'!$AH$16:$AH$198,2*(ROWS($AN$309:$AN335)-1)+1),"")</f>
        <v/>
      </c>
      <c r="AO335" s="113"/>
      <c r="AU335"/>
    </row>
    <row r="336" spans="1:47">
      <c r="A336" s="57">
        <f t="shared" si="31"/>
        <v>0</v>
      </c>
      <c r="B336" s="183" t="str">
        <f t="shared" si="33"/>
        <v/>
      </c>
      <c r="C336" s="186" t="str">
        <f>IF(OR(R336&gt;0,T336&gt;0),INDEX('M04-S01'!$AZ$16:$AZ$198,2*(ROWS($C$309:C336)-1)+1),"")</f>
        <v/>
      </c>
      <c r="D336" t="s">
        <v>231</v>
      </c>
      <c r="F336" s="185">
        <f>INDEX('M04-S01'!$Q$16:$Q$198,2*(ROWS($F$309:F336)-1)+1)</f>
        <v>0</v>
      </c>
      <c r="G336" s="186">
        <f>INDEX('M04-S01'!$C$16:$C$198,2*(ROWS($G$309:G336)-1)+1)</f>
        <v>0</v>
      </c>
      <c r="H336" s="186" t="str">
        <f>IF(ISNUMBER(INDEX('M04-S01'!$AN$16:$AN$198,2*(ROWS($R$309:R336)-1)+1)),"Total","")</f>
        <v/>
      </c>
      <c r="I336" s="184">
        <f>IFERROR(ROUND(IF(ISNUMBER(INDEX('M04-S01'!$AN$16:$AN$198,2*(ROWS($R$309:$R336)-1)+1)),INDEX('M04-S01'!$Z$16:$Z$198,2*(ROWS($I$309:$I336)-1)+1)*INDEX('M04-S01'!$AD$16:$AD$198,2*(ROWS($I$309:$I336)-1)+1),""),2),0)</f>
        <v>0</v>
      </c>
      <c r="J336" s="184">
        <f>IFERROR(ROUND(IF(ISNUMBER(INDEX('M04-S01'!$AN$16:$AN$198,2*(ROWS($R$309:$R336)-1)+1)),INDEX('M04-S01'!$Z$16:$Z$198,2*(ROWS($J$309:$J336)-1)+1)*INDEX('M04-S01'!$AF$16:$AF$198,2*(ROWS($J$309:$J336)-1)+1),""),2),0)</f>
        <v>0</v>
      </c>
      <c r="K336" s="52">
        <f>IFERROR(ROUND(IF(ISNUMBER(INDEX('M04-S01'!$AN$16:$AN$198,2*(ROWS($R$309:$R336)-1)+1)),INDEX('M04-S01'!$AH$16:$AH$198,2*(ROWS($K$309:$K336)-1)+1),""),2),0)</f>
        <v>0</v>
      </c>
      <c r="M336" s="456" t="str">
        <f>IF(ISNUMBER(INDEX('M04-S01'!$AN$16:$AN$198,2*(ROWS($R$309:R336)-1)+1)),INDEX('M04-S01'!$Z$16:$Z$198,2*(ROWS($M$309:M336)-1)+1),"")</f>
        <v/>
      </c>
      <c r="N336" s="184" t="str">
        <f>IF(ISNUMBER(INDEX('M04-S01'!$AN$16:$AN$198,2*(ROWS($R$309:R336)-1)+1)),INDEX('M04-S01'!$AK$16:$AK$198,2*(ROWS($N$309:N336)-1)+1),"")</f>
        <v/>
      </c>
      <c r="O336" s="456" t="str">
        <f>IF(ISNUMBER(INDEX('M04-S01'!$AN$16:$AN$198,2*(ROWS($R$309:R336)-1)+1)),INDEX('M04-S01'!$AW$16:$AW$198,2*(ROWS($O$309:O336)-1)+1),"")</f>
        <v/>
      </c>
      <c r="P336" s="113"/>
      <c r="Q336" s="456" t="str">
        <f>IF(ISNUMBER(INDEX('M04-S01'!$AN$16:$AN$198,2*(ROWS($R$309:R336)-1)+1)),INDEX('M04-S01'!$BB$16:$BB$198,2*(ROWS($Q$309:Q336)-1)+1),"")</f>
        <v/>
      </c>
      <c r="R336" s="184">
        <f>IF(ISNUMBER(INDEX('M04-S01'!$AN$16:$AN$198,2*(ROWS($R$309:R336)-1)+1)),INDEX('M04-S01'!$AN$16:$AN$198,2*(ROWS($R$309:R336)-1)+1),0)</f>
        <v>0</v>
      </c>
      <c r="S336" s="23">
        <f>IF(NOT(ISNUMBER(INDEX('M04-S01'!$AN$16:$AN$198,2*(ROWS($R$309:R336)-1)+1))),INDEX('M04-S01'!$Z$16:$Z$198,2*(ROWS($S$309:S336)-1)+1),"")</f>
        <v>0</v>
      </c>
      <c r="T336" s="52" t="str">
        <f>IFERROR(IF(NOT(ISNUMBER(INDEX('M04-S01'!$AN$16:$AN$198,2*(ROWS($R$309:R336)-1)+1))),INDEX('M04-S01'!$AK$16:$AK$198,2*(ROWS($R$309:R336)-1)+1),0),0)</f>
        <v/>
      </c>
      <c r="U336" s="23" t="str">
        <f>IFERROR(IF(NOT(ISNUMBER(INDEX('M04-S01'!$AN$16:$AN$198,2*(ROWS($R$309:R336)-1)+1))),INDEX('M04-S01'!$AW$16:$AW$198,2*(ROWS($R$309:R336)-1)+1),""),"")</f>
        <v/>
      </c>
      <c r="V336" s="113"/>
      <c r="W336" t="str">
        <f>IFERROR(IF(NOT(ISNUMBER(INDEX('M04-S01'!$AN$16:$AN$198,2*(ROWS($R$309:R336)-1)+1))),INDEX('M04-S01'!$BD$16:$BD$198,2*(ROWS($R$309:R336)-1)+1),""),"")</f>
        <v/>
      </c>
      <c r="X336" s="184" t="str">
        <f>IFERROR(ROUND(INDEX('M04-S01'!$O$16:$O$198,2*(ROWS($X$309:X336)-1)+1),3),"")</f>
        <v/>
      </c>
      <c r="Y336" s="184">
        <f>IFERROR(ROUND(INDEX('M04-S01'!$AB$16:$AB$198,2*(ROWS($Y$309:Y336)-1)+1),3),"")</f>
        <v>0</v>
      </c>
      <c r="Z336" s="111">
        <f>INDEX('M04-S01'!$B$16:$B$198,2*(ROWS($Z$309:Z336)-1)+1)</f>
        <v>28</v>
      </c>
      <c r="AA336" s="111">
        <f>INDEX('M04-S01'!$F$16:$F$198,2*(ROWS($Z$309:AA336)-1)+1)</f>
        <v>0</v>
      </c>
      <c r="AB336" s="111">
        <f>INDEX('M04-S01'!$S$16:$S$198,2*(ROWS($Z$309:AB336)-1)+1)</f>
        <v>0</v>
      </c>
      <c r="AC336">
        <f>INDEX('M04-S01'!$J$16:$J$198,2*(ROWS($AC$309:AC336)-1)+1)</f>
        <v>0</v>
      </c>
      <c r="AD336">
        <f>INDEX('M04-S01'!$W$16:$W$198,2*(ROWS($AD$309:AD336)-1)+1)</f>
        <v>0</v>
      </c>
      <c r="AE336" s="459"/>
      <c r="AF336" s="459"/>
      <c r="AG336" s="111" t="str">
        <f>INDEX('M04-S01'!$AX$16:$AX$198,2*(ROWS($AG$309:AG336)-1)+1)</f>
        <v/>
      </c>
      <c r="AH336" s="111" t="str">
        <f>INDEX('M04-S01'!$AY$16:$AY$198,2*(ROWS($AH$309:AH336)-1)+1)</f>
        <v/>
      </c>
      <c r="AI336" s="113"/>
      <c r="AJ336" s="113"/>
      <c r="AK336" s="52" t="str">
        <f>INDEX('M04-S01'!$AV$16:$AV$198,2*(ROWS($AK$309:AK336)-1)+1)</f>
        <v/>
      </c>
      <c r="AL336" s="184">
        <f>IF(NOT(ISNUMBER(INDEX('M04-S01'!$AN$16:$AN$198,2*(ROWS($R$309:$R336)-1)+1))),INDEX('M04-S01'!$Z$16:$Z$198,2*(ROWS($AL$309:$AL336)-1)+1)*INDEX('M04-S01'!$AD$16:$AD$198,2*(ROWS($AL$309:$AL336)-1)+1),"")</f>
        <v>0</v>
      </c>
      <c r="AM336" s="184">
        <f>IF(AND(NOT(ISNUMBER(INDEX('M04-S01'!$AN$16:$AN$198,2*(ROWS($R$309:$R336)-1)+1))),T336&gt;0),INDEX('M04-S01'!$Z$16:$Z$198,2*(ROWS($AM$309:$AM336)-1)+1)*INDEX('M04-S01'!$AF$16:$AF$198,2*(ROWS($AM$309:$AM336)-1)+1),"")</f>
        <v>0</v>
      </c>
      <c r="AN336" s="52" t="str">
        <f>IF(NOT(ISNUMBER(INDEX('M04-S01'!$AN$16:$AN$198,2*(ROWS($R$309:$R336)-1)+1))),INDEX('M04-S01'!$AH$16:$AH$198,2*(ROWS($AN$309:$AN336)-1)+1),"")</f>
        <v/>
      </c>
      <c r="AO336" s="113"/>
      <c r="AU336"/>
    </row>
    <row r="337" spans="1:47">
      <c r="A337" s="57">
        <f t="shared" si="31"/>
        <v>0</v>
      </c>
      <c r="B337" s="183" t="str">
        <f t="shared" si="33"/>
        <v/>
      </c>
      <c r="C337" s="186" t="str">
        <f>IF(OR(R337&gt;0,T337&gt;0),INDEX('M04-S01'!$AZ$16:$AZ$198,2*(ROWS($C$309:C337)-1)+1),"")</f>
        <v/>
      </c>
      <c r="D337" t="s">
        <v>231</v>
      </c>
      <c r="F337" s="185">
        <f>INDEX('M04-S01'!$Q$16:$Q$198,2*(ROWS($F$309:F337)-1)+1)</f>
        <v>0</v>
      </c>
      <c r="G337" s="186">
        <f>INDEX('M04-S01'!$C$16:$C$198,2*(ROWS($G$309:G337)-1)+1)</f>
        <v>0</v>
      </c>
      <c r="H337" s="186" t="str">
        <f>IF(ISNUMBER(INDEX('M04-S01'!$AN$16:$AN$198,2*(ROWS($R$309:R337)-1)+1)),"Total","")</f>
        <v/>
      </c>
      <c r="I337" s="184">
        <f>IFERROR(ROUND(IF(ISNUMBER(INDEX('M04-S01'!$AN$16:$AN$198,2*(ROWS($R$309:$R337)-1)+1)),INDEX('M04-S01'!$Z$16:$Z$198,2*(ROWS($I$309:$I337)-1)+1)*INDEX('M04-S01'!$AD$16:$AD$198,2*(ROWS($I$309:$I337)-1)+1),""),2),0)</f>
        <v>0</v>
      </c>
      <c r="J337" s="184">
        <f>IFERROR(ROUND(IF(ISNUMBER(INDEX('M04-S01'!$AN$16:$AN$198,2*(ROWS($R$309:$R337)-1)+1)),INDEX('M04-S01'!$Z$16:$Z$198,2*(ROWS($J$309:$J337)-1)+1)*INDEX('M04-S01'!$AF$16:$AF$198,2*(ROWS($J$309:$J337)-1)+1),""),2),0)</f>
        <v>0</v>
      </c>
      <c r="K337" s="52">
        <f>IFERROR(ROUND(IF(ISNUMBER(INDEX('M04-S01'!$AN$16:$AN$198,2*(ROWS($R$309:$R337)-1)+1)),INDEX('M04-S01'!$AH$16:$AH$198,2*(ROWS($K$309:$K337)-1)+1),""),2),0)</f>
        <v>0</v>
      </c>
      <c r="M337" s="456" t="str">
        <f>IF(ISNUMBER(INDEX('M04-S01'!$AN$16:$AN$198,2*(ROWS($R$309:R337)-1)+1)),INDEX('M04-S01'!$Z$16:$Z$198,2*(ROWS($M$309:M337)-1)+1),"")</f>
        <v/>
      </c>
      <c r="N337" s="184" t="str">
        <f>IF(ISNUMBER(INDEX('M04-S01'!$AN$16:$AN$198,2*(ROWS($R$309:R337)-1)+1)),INDEX('M04-S01'!$AK$16:$AK$198,2*(ROWS($N$309:N337)-1)+1),"")</f>
        <v/>
      </c>
      <c r="O337" s="456" t="str">
        <f>IF(ISNUMBER(INDEX('M04-S01'!$AN$16:$AN$198,2*(ROWS($R$309:R337)-1)+1)),INDEX('M04-S01'!$AW$16:$AW$198,2*(ROWS($O$309:O337)-1)+1),"")</f>
        <v/>
      </c>
      <c r="P337" s="113"/>
      <c r="Q337" s="456" t="str">
        <f>IF(ISNUMBER(INDEX('M04-S01'!$AN$16:$AN$198,2*(ROWS($R$309:R337)-1)+1)),INDEX('M04-S01'!$BB$16:$BB$198,2*(ROWS($Q$309:Q337)-1)+1),"")</f>
        <v/>
      </c>
      <c r="R337" s="184">
        <f>IF(ISNUMBER(INDEX('M04-S01'!$AN$16:$AN$198,2*(ROWS($R$309:R337)-1)+1)),INDEX('M04-S01'!$AN$16:$AN$198,2*(ROWS($R$309:R337)-1)+1),0)</f>
        <v>0</v>
      </c>
      <c r="S337" s="23">
        <f>IF(NOT(ISNUMBER(INDEX('M04-S01'!$AN$16:$AN$198,2*(ROWS($R$309:R337)-1)+1))),INDEX('M04-S01'!$Z$16:$Z$198,2*(ROWS($S$309:S337)-1)+1),"")</f>
        <v>0</v>
      </c>
      <c r="T337" s="52" t="str">
        <f>IFERROR(IF(NOT(ISNUMBER(INDEX('M04-S01'!$AN$16:$AN$198,2*(ROWS($R$309:R337)-1)+1))),INDEX('M04-S01'!$AK$16:$AK$198,2*(ROWS($R$309:R337)-1)+1),0),0)</f>
        <v/>
      </c>
      <c r="U337" s="23" t="str">
        <f>IFERROR(IF(NOT(ISNUMBER(INDEX('M04-S01'!$AN$16:$AN$198,2*(ROWS($R$309:R337)-1)+1))),INDEX('M04-S01'!$AW$16:$AW$198,2*(ROWS($R$309:R337)-1)+1),""),"")</f>
        <v/>
      </c>
      <c r="V337" s="113"/>
      <c r="W337" t="str">
        <f>IFERROR(IF(NOT(ISNUMBER(INDEX('M04-S01'!$AN$16:$AN$198,2*(ROWS($R$309:R337)-1)+1))),INDEX('M04-S01'!$BD$16:$BD$198,2*(ROWS($R$309:R337)-1)+1),""),"")</f>
        <v/>
      </c>
      <c r="X337" s="184" t="str">
        <f>IFERROR(ROUND(INDEX('M04-S01'!$O$16:$O$198,2*(ROWS($X$309:X337)-1)+1),3),"")</f>
        <v/>
      </c>
      <c r="Y337" s="184">
        <f>IFERROR(ROUND(INDEX('M04-S01'!$AB$16:$AB$198,2*(ROWS($Y$309:Y337)-1)+1),3),"")</f>
        <v>0</v>
      </c>
      <c r="Z337" s="111">
        <f>INDEX('M04-S01'!$B$16:$B$198,2*(ROWS($Z$309:Z337)-1)+1)</f>
        <v>29</v>
      </c>
      <c r="AA337" s="111">
        <f>INDEX('M04-S01'!$F$16:$F$198,2*(ROWS($Z$309:AA337)-1)+1)</f>
        <v>0</v>
      </c>
      <c r="AB337" s="111">
        <f>INDEX('M04-S01'!$S$16:$S$198,2*(ROWS($Z$309:AB337)-1)+1)</f>
        <v>0</v>
      </c>
      <c r="AC337">
        <f>INDEX('M04-S01'!$J$16:$J$198,2*(ROWS($AC$309:AC337)-1)+1)</f>
        <v>0</v>
      </c>
      <c r="AD337">
        <f>INDEX('M04-S01'!$W$16:$W$198,2*(ROWS($AD$309:AD337)-1)+1)</f>
        <v>0</v>
      </c>
      <c r="AE337" s="459"/>
      <c r="AF337" s="459"/>
      <c r="AG337" s="111" t="str">
        <f>INDEX('M04-S01'!$AX$16:$AX$198,2*(ROWS($AG$309:AG337)-1)+1)</f>
        <v/>
      </c>
      <c r="AH337" s="111" t="str">
        <f>INDEX('M04-S01'!$AY$16:$AY$198,2*(ROWS($AH$309:AH337)-1)+1)</f>
        <v/>
      </c>
      <c r="AI337" s="113"/>
      <c r="AJ337" s="113"/>
      <c r="AK337" s="52" t="str">
        <f>INDEX('M04-S01'!$AV$16:$AV$198,2*(ROWS($AK$309:AK337)-1)+1)</f>
        <v/>
      </c>
      <c r="AL337" s="184">
        <f>IF(NOT(ISNUMBER(INDEX('M04-S01'!$AN$16:$AN$198,2*(ROWS($R$309:$R337)-1)+1))),INDEX('M04-S01'!$Z$16:$Z$198,2*(ROWS($AL$309:$AL337)-1)+1)*INDEX('M04-S01'!$AD$16:$AD$198,2*(ROWS($AL$309:$AL337)-1)+1),"")</f>
        <v>0</v>
      </c>
      <c r="AM337" s="184">
        <f>IF(AND(NOT(ISNUMBER(INDEX('M04-S01'!$AN$16:$AN$198,2*(ROWS($R$309:$R337)-1)+1))),T337&gt;0),INDEX('M04-S01'!$Z$16:$Z$198,2*(ROWS($AM$309:$AM337)-1)+1)*INDEX('M04-S01'!$AF$16:$AF$198,2*(ROWS($AM$309:$AM337)-1)+1),"")</f>
        <v>0</v>
      </c>
      <c r="AN337" s="52" t="str">
        <f>IF(NOT(ISNUMBER(INDEX('M04-S01'!$AN$16:$AN$198,2*(ROWS($R$309:$R337)-1)+1))),INDEX('M04-S01'!$AH$16:$AH$198,2*(ROWS($AN$309:$AN337)-1)+1),"")</f>
        <v/>
      </c>
      <c r="AO337" s="113"/>
      <c r="AU337"/>
    </row>
    <row r="338" spans="1:47">
      <c r="A338" s="57">
        <f t="shared" si="31"/>
        <v>0</v>
      </c>
      <c r="B338" s="183" t="str">
        <f t="shared" si="33"/>
        <v/>
      </c>
      <c r="C338" s="186" t="str">
        <f>IF(OR(R338&gt;0,T338&gt;0),INDEX('M04-S01'!$AZ$16:$AZ$198,2*(ROWS($C$309:C338)-1)+1),"")</f>
        <v/>
      </c>
      <c r="D338" t="s">
        <v>231</v>
      </c>
      <c r="F338" s="185">
        <f>INDEX('M04-S01'!$Q$16:$Q$198,2*(ROWS($F$309:F338)-1)+1)</f>
        <v>0</v>
      </c>
      <c r="G338" s="186">
        <f>INDEX('M04-S01'!$C$16:$C$198,2*(ROWS($G$309:G338)-1)+1)</f>
        <v>0</v>
      </c>
      <c r="H338" s="186" t="str">
        <f>IF(ISNUMBER(INDEX('M04-S01'!$AN$16:$AN$198,2*(ROWS($R$309:R338)-1)+1)),"Total","")</f>
        <v/>
      </c>
      <c r="I338" s="184">
        <f>IFERROR(ROUND(IF(ISNUMBER(INDEX('M04-S01'!$AN$16:$AN$198,2*(ROWS($R$309:$R338)-1)+1)),INDEX('M04-S01'!$Z$16:$Z$198,2*(ROWS($I$309:$I338)-1)+1)*INDEX('M04-S01'!$AD$16:$AD$198,2*(ROWS($I$309:$I338)-1)+1),""),2),0)</f>
        <v>0</v>
      </c>
      <c r="J338" s="184">
        <f>IFERROR(ROUND(IF(ISNUMBER(INDEX('M04-S01'!$AN$16:$AN$198,2*(ROWS($R$309:$R338)-1)+1)),INDEX('M04-S01'!$Z$16:$Z$198,2*(ROWS($J$309:$J338)-1)+1)*INDEX('M04-S01'!$AF$16:$AF$198,2*(ROWS($J$309:$J338)-1)+1),""),2),0)</f>
        <v>0</v>
      </c>
      <c r="K338" s="52">
        <f>IFERROR(ROUND(IF(ISNUMBER(INDEX('M04-S01'!$AN$16:$AN$198,2*(ROWS($R$309:$R338)-1)+1)),INDEX('M04-S01'!$AH$16:$AH$198,2*(ROWS($K$309:$K338)-1)+1),""),2),0)</f>
        <v>0</v>
      </c>
      <c r="M338" s="456" t="str">
        <f>IF(ISNUMBER(INDEX('M04-S01'!$AN$16:$AN$198,2*(ROWS($R$309:R338)-1)+1)),INDEX('M04-S01'!$Z$16:$Z$198,2*(ROWS($M$309:M338)-1)+1),"")</f>
        <v/>
      </c>
      <c r="N338" s="184" t="str">
        <f>IF(ISNUMBER(INDEX('M04-S01'!$AN$16:$AN$198,2*(ROWS($R$309:R338)-1)+1)),INDEX('M04-S01'!$AK$16:$AK$198,2*(ROWS($N$309:N338)-1)+1),"")</f>
        <v/>
      </c>
      <c r="O338" s="456" t="str">
        <f>IF(ISNUMBER(INDEX('M04-S01'!$AN$16:$AN$198,2*(ROWS($R$309:R338)-1)+1)),INDEX('M04-S01'!$AW$16:$AW$198,2*(ROWS($O$309:O338)-1)+1),"")</f>
        <v/>
      </c>
      <c r="P338" s="113"/>
      <c r="Q338" s="456" t="str">
        <f>IF(ISNUMBER(INDEX('M04-S01'!$AN$16:$AN$198,2*(ROWS($R$309:R338)-1)+1)),INDEX('M04-S01'!$BB$16:$BB$198,2*(ROWS($Q$309:Q338)-1)+1),"")</f>
        <v/>
      </c>
      <c r="R338" s="184">
        <f>IF(ISNUMBER(INDEX('M04-S01'!$AN$16:$AN$198,2*(ROWS($R$309:R338)-1)+1)),INDEX('M04-S01'!$AN$16:$AN$198,2*(ROWS($R$309:R338)-1)+1),0)</f>
        <v>0</v>
      </c>
      <c r="S338" s="23">
        <f>IF(NOT(ISNUMBER(INDEX('M04-S01'!$AN$16:$AN$198,2*(ROWS($R$309:R338)-1)+1))),INDEX('M04-S01'!$Z$16:$Z$198,2*(ROWS($S$309:S338)-1)+1),"")</f>
        <v>0</v>
      </c>
      <c r="T338" s="52" t="str">
        <f>IFERROR(IF(NOT(ISNUMBER(INDEX('M04-S01'!$AN$16:$AN$198,2*(ROWS($R$309:R338)-1)+1))),INDEX('M04-S01'!$AK$16:$AK$198,2*(ROWS($R$309:R338)-1)+1),0),0)</f>
        <v/>
      </c>
      <c r="U338" s="23" t="str">
        <f>IFERROR(IF(NOT(ISNUMBER(INDEX('M04-S01'!$AN$16:$AN$198,2*(ROWS($R$309:R338)-1)+1))),INDEX('M04-S01'!$AW$16:$AW$198,2*(ROWS($R$309:R338)-1)+1),""),"")</f>
        <v/>
      </c>
      <c r="V338" s="113"/>
      <c r="W338" t="str">
        <f>IFERROR(IF(NOT(ISNUMBER(INDEX('M04-S01'!$AN$16:$AN$198,2*(ROWS($R$309:R338)-1)+1))),INDEX('M04-S01'!$BD$16:$BD$198,2*(ROWS($R$309:R338)-1)+1),""),"")</f>
        <v/>
      </c>
      <c r="X338" s="184" t="str">
        <f>IFERROR(ROUND(INDEX('M04-S01'!$O$16:$O$198,2*(ROWS($X$309:X338)-1)+1),3),"")</f>
        <v/>
      </c>
      <c r="Y338" s="184">
        <f>IFERROR(ROUND(INDEX('M04-S01'!$AB$16:$AB$198,2*(ROWS($Y$309:Y338)-1)+1),3),"")</f>
        <v>0</v>
      </c>
      <c r="Z338" s="111">
        <f>INDEX('M04-S01'!$B$16:$B$198,2*(ROWS($Z$309:Z338)-1)+1)</f>
        <v>30</v>
      </c>
      <c r="AA338" s="111">
        <f>INDEX('M04-S01'!$F$16:$F$198,2*(ROWS($Z$309:AA338)-1)+1)</f>
        <v>0</v>
      </c>
      <c r="AB338" s="111">
        <f>INDEX('M04-S01'!$S$16:$S$198,2*(ROWS($Z$309:AB338)-1)+1)</f>
        <v>0</v>
      </c>
      <c r="AC338">
        <f>INDEX('M04-S01'!$J$16:$J$198,2*(ROWS($AC$309:AC338)-1)+1)</f>
        <v>0</v>
      </c>
      <c r="AD338">
        <f>INDEX('M04-S01'!$W$16:$W$198,2*(ROWS($AD$309:AD338)-1)+1)</f>
        <v>0</v>
      </c>
      <c r="AE338" s="459"/>
      <c r="AF338" s="459"/>
      <c r="AG338" s="111" t="str">
        <f>INDEX('M04-S01'!$AX$16:$AX$198,2*(ROWS($AG$309:AG338)-1)+1)</f>
        <v/>
      </c>
      <c r="AH338" s="111" t="str">
        <f>INDEX('M04-S01'!$AY$16:$AY$198,2*(ROWS($AH$309:AH338)-1)+1)</f>
        <v/>
      </c>
      <c r="AI338" s="113"/>
      <c r="AJ338" s="113"/>
      <c r="AK338" s="52" t="str">
        <f>INDEX('M04-S01'!$AV$16:$AV$198,2*(ROWS($AK$309:AK338)-1)+1)</f>
        <v/>
      </c>
      <c r="AL338" s="184">
        <f>IF(NOT(ISNUMBER(INDEX('M04-S01'!$AN$16:$AN$198,2*(ROWS($R$309:$R338)-1)+1))),INDEX('M04-S01'!$Z$16:$Z$198,2*(ROWS($AL$309:$AL338)-1)+1)*INDEX('M04-S01'!$AD$16:$AD$198,2*(ROWS($AL$309:$AL338)-1)+1),"")</f>
        <v>0</v>
      </c>
      <c r="AM338" s="184">
        <f>IF(AND(NOT(ISNUMBER(INDEX('M04-S01'!$AN$16:$AN$198,2*(ROWS($R$309:$R338)-1)+1))),T338&gt;0),INDEX('M04-S01'!$Z$16:$Z$198,2*(ROWS($AM$309:$AM338)-1)+1)*INDEX('M04-S01'!$AF$16:$AF$198,2*(ROWS($AM$309:$AM338)-1)+1),"")</f>
        <v>0</v>
      </c>
      <c r="AN338" s="52" t="str">
        <f>IF(NOT(ISNUMBER(INDEX('M04-S01'!$AN$16:$AN$198,2*(ROWS($R$309:$R338)-1)+1))),INDEX('M04-S01'!$AH$16:$AH$198,2*(ROWS($AN$309:$AN338)-1)+1),"")</f>
        <v/>
      </c>
      <c r="AO338" s="113"/>
      <c r="AU338"/>
    </row>
    <row r="339" spans="1:47">
      <c r="A339" s="57">
        <f t="shared" si="31"/>
        <v>0</v>
      </c>
      <c r="B339" s="183" t="str">
        <f t="shared" si="33"/>
        <v/>
      </c>
      <c r="C339" s="186" t="str">
        <f>IF(OR(R339&gt;0,T339&gt;0),INDEX('M04-S01'!$AZ$16:$AZ$198,2*(ROWS($C$309:C339)-1)+1),"")</f>
        <v/>
      </c>
      <c r="D339" t="s">
        <v>231</v>
      </c>
      <c r="F339" s="185">
        <f>INDEX('M04-S01'!$Q$16:$Q$198,2*(ROWS($F$309:F339)-1)+1)</f>
        <v>0</v>
      </c>
      <c r="G339" s="186">
        <f>INDEX('M04-S01'!$C$16:$C$198,2*(ROWS($G$309:G339)-1)+1)</f>
        <v>0</v>
      </c>
      <c r="H339" s="186" t="str">
        <f>IF(ISNUMBER(INDEX('M04-S01'!$AN$16:$AN$198,2*(ROWS($R$309:R339)-1)+1)),"Total","")</f>
        <v/>
      </c>
      <c r="I339" s="184">
        <f>IFERROR(ROUND(IF(ISNUMBER(INDEX('M04-S01'!$AN$16:$AN$198,2*(ROWS($R$309:$R339)-1)+1)),INDEX('M04-S01'!$Z$16:$Z$198,2*(ROWS($I$309:$I339)-1)+1)*INDEX('M04-S01'!$AD$16:$AD$198,2*(ROWS($I$309:$I339)-1)+1),""),2),0)</f>
        <v>0</v>
      </c>
      <c r="J339" s="184">
        <f>IFERROR(ROUND(IF(ISNUMBER(INDEX('M04-S01'!$AN$16:$AN$198,2*(ROWS($R$309:$R339)-1)+1)),INDEX('M04-S01'!$Z$16:$Z$198,2*(ROWS($J$309:$J339)-1)+1)*INDEX('M04-S01'!$AF$16:$AF$198,2*(ROWS($J$309:$J339)-1)+1),""),2),0)</f>
        <v>0</v>
      </c>
      <c r="K339" s="52">
        <f>IFERROR(ROUND(IF(ISNUMBER(INDEX('M04-S01'!$AN$16:$AN$198,2*(ROWS($R$309:$R339)-1)+1)),INDEX('M04-S01'!$AH$16:$AH$198,2*(ROWS($K$309:$K339)-1)+1),""),2),0)</f>
        <v>0</v>
      </c>
      <c r="M339" s="456" t="str">
        <f>IF(ISNUMBER(INDEX('M04-S01'!$AN$16:$AN$198,2*(ROWS($R$309:R339)-1)+1)),INDEX('M04-S01'!$Z$16:$Z$198,2*(ROWS($M$309:M339)-1)+1),"")</f>
        <v/>
      </c>
      <c r="N339" s="184" t="str">
        <f>IF(ISNUMBER(INDEX('M04-S01'!$AN$16:$AN$198,2*(ROWS($R$309:R339)-1)+1)),INDEX('M04-S01'!$AK$16:$AK$198,2*(ROWS($N$309:N339)-1)+1),"")</f>
        <v/>
      </c>
      <c r="O339" s="456" t="str">
        <f>IF(ISNUMBER(INDEX('M04-S01'!$AN$16:$AN$198,2*(ROWS($R$309:R339)-1)+1)),INDEX('M04-S01'!$AW$16:$AW$198,2*(ROWS($O$309:O339)-1)+1),"")</f>
        <v/>
      </c>
      <c r="P339" s="113"/>
      <c r="Q339" s="456" t="str">
        <f>IF(ISNUMBER(INDEX('M04-S01'!$AN$16:$AN$198,2*(ROWS($R$309:R339)-1)+1)),INDEX('M04-S01'!$BB$16:$BB$198,2*(ROWS($Q$309:Q339)-1)+1),"")</f>
        <v/>
      </c>
      <c r="R339" s="184">
        <f>IF(ISNUMBER(INDEX('M04-S01'!$AN$16:$AN$198,2*(ROWS($R$309:R339)-1)+1)),INDEX('M04-S01'!$AN$16:$AN$198,2*(ROWS($R$309:R339)-1)+1),0)</f>
        <v>0</v>
      </c>
      <c r="S339" s="23">
        <f>IF(NOT(ISNUMBER(INDEX('M04-S01'!$AN$16:$AN$198,2*(ROWS($R$309:R339)-1)+1))),INDEX('M04-S01'!$Z$16:$Z$198,2*(ROWS($S$309:S339)-1)+1),"")</f>
        <v>0</v>
      </c>
      <c r="T339" s="52" t="str">
        <f>IFERROR(IF(NOT(ISNUMBER(INDEX('M04-S01'!$AN$16:$AN$198,2*(ROWS($R$309:R339)-1)+1))),INDEX('M04-S01'!$AK$16:$AK$198,2*(ROWS($R$309:R339)-1)+1),0),0)</f>
        <v/>
      </c>
      <c r="U339" s="23" t="str">
        <f>IFERROR(IF(NOT(ISNUMBER(INDEX('M04-S01'!$AN$16:$AN$198,2*(ROWS($R$309:R339)-1)+1))),INDEX('M04-S01'!$AW$16:$AW$198,2*(ROWS($R$309:R339)-1)+1),""),"")</f>
        <v/>
      </c>
      <c r="V339" s="113"/>
      <c r="W339" t="str">
        <f>IFERROR(IF(NOT(ISNUMBER(INDEX('M04-S01'!$AN$16:$AN$198,2*(ROWS($R$309:R339)-1)+1))),INDEX('M04-S01'!$BD$16:$BD$198,2*(ROWS($R$309:R339)-1)+1),""),"")</f>
        <v/>
      </c>
      <c r="X339" s="184" t="str">
        <f>IFERROR(ROUND(INDEX('M04-S01'!$O$16:$O$198,2*(ROWS($X$309:X339)-1)+1),3),"")</f>
        <v/>
      </c>
      <c r="Y339" s="184">
        <f>IFERROR(ROUND(INDEX('M04-S01'!$AB$16:$AB$198,2*(ROWS($Y$309:Y339)-1)+1),3),"")</f>
        <v>0</v>
      </c>
      <c r="Z339" s="111">
        <f>INDEX('M04-S01'!$B$16:$B$198,2*(ROWS($Z$309:Z339)-1)+1)</f>
        <v>31</v>
      </c>
      <c r="AA339" s="111">
        <f>INDEX('M04-S01'!$F$16:$F$198,2*(ROWS($Z$309:AA339)-1)+1)</f>
        <v>0</v>
      </c>
      <c r="AB339" s="111">
        <f>INDEX('M04-S01'!$S$16:$S$198,2*(ROWS($Z$309:AB339)-1)+1)</f>
        <v>0</v>
      </c>
      <c r="AC339">
        <f>INDEX('M04-S01'!$J$16:$J$198,2*(ROWS($AC$309:AC339)-1)+1)</f>
        <v>0</v>
      </c>
      <c r="AD339">
        <f>INDEX('M04-S01'!$W$16:$W$198,2*(ROWS($AD$309:AD339)-1)+1)</f>
        <v>0</v>
      </c>
      <c r="AE339" s="459"/>
      <c r="AF339" s="459"/>
      <c r="AG339" s="111" t="str">
        <f>INDEX('M04-S01'!$AX$16:$AX$198,2*(ROWS($AG$309:AG339)-1)+1)</f>
        <v/>
      </c>
      <c r="AH339" s="111" t="str">
        <f>INDEX('M04-S01'!$AY$16:$AY$198,2*(ROWS($AH$309:AH339)-1)+1)</f>
        <v/>
      </c>
      <c r="AI339" s="113"/>
      <c r="AJ339" s="113"/>
      <c r="AK339" s="52" t="str">
        <f>INDEX('M04-S01'!$AV$16:$AV$198,2*(ROWS($AK$309:AK339)-1)+1)</f>
        <v/>
      </c>
      <c r="AL339" s="184">
        <f>IF(NOT(ISNUMBER(INDEX('M04-S01'!$AN$16:$AN$198,2*(ROWS($R$309:$R339)-1)+1))),INDEX('M04-S01'!$Z$16:$Z$198,2*(ROWS($AL$309:$AL339)-1)+1)*INDEX('M04-S01'!$AD$16:$AD$198,2*(ROWS($AL$309:$AL339)-1)+1),"")</f>
        <v>0</v>
      </c>
      <c r="AM339" s="184">
        <f>IF(AND(NOT(ISNUMBER(INDEX('M04-S01'!$AN$16:$AN$198,2*(ROWS($R$309:$R339)-1)+1))),T339&gt;0),INDEX('M04-S01'!$Z$16:$Z$198,2*(ROWS($AM$309:$AM339)-1)+1)*INDEX('M04-S01'!$AF$16:$AF$198,2*(ROWS($AM$309:$AM339)-1)+1),"")</f>
        <v>0</v>
      </c>
      <c r="AN339" s="52" t="str">
        <f>IF(NOT(ISNUMBER(INDEX('M04-S01'!$AN$16:$AN$198,2*(ROWS($R$309:$R339)-1)+1))),INDEX('M04-S01'!$AH$16:$AH$198,2*(ROWS($AN$309:$AN339)-1)+1),"")</f>
        <v/>
      </c>
      <c r="AO339" s="113"/>
      <c r="AU339"/>
    </row>
    <row r="340" spans="1:47">
      <c r="A340" s="57">
        <f t="shared" si="31"/>
        <v>0</v>
      </c>
      <c r="B340" s="183" t="str">
        <f t="shared" si="33"/>
        <v/>
      </c>
      <c r="C340" s="186" t="str">
        <f>IF(OR(R340&gt;0,T340&gt;0),INDEX('M04-S01'!$AZ$16:$AZ$198,2*(ROWS($C$309:C340)-1)+1),"")</f>
        <v/>
      </c>
      <c r="D340" t="s">
        <v>231</v>
      </c>
      <c r="F340" s="185">
        <f>INDEX('M04-S01'!$Q$16:$Q$198,2*(ROWS($F$309:F340)-1)+1)</f>
        <v>0</v>
      </c>
      <c r="G340" s="186">
        <f>INDEX('M04-S01'!$C$16:$C$198,2*(ROWS($G$309:G340)-1)+1)</f>
        <v>0</v>
      </c>
      <c r="H340" s="186" t="str">
        <f>IF(ISNUMBER(INDEX('M04-S01'!$AN$16:$AN$198,2*(ROWS($R$309:R340)-1)+1)),"Total","")</f>
        <v/>
      </c>
      <c r="I340" s="184">
        <f>IFERROR(ROUND(IF(ISNUMBER(INDEX('M04-S01'!$AN$16:$AN$198,2*(ROWS($R$309:$R340)-1)+1)),INDEX('M04-S01'!$Z$16:$Z$198,2*(ROWS($I$309:$I340)-1)+1)*INDEX('M04-S01'!$AD$16:$AD$198,2*(ROWS($I$309:$I340)-1)+1),""),2),0)</f>
        <v>0</v>
      </c>
      <c r="J340" s="184">
        <f>IFERROR(ROUND(IF(ISNUMBER(INDEX('M04-S01'!$AN$16:$AN$198,2*(ROWS($R$309:$R340)-1)+1)),INDEX('M04-S01'!$Z$16:$Z$198,2*(ROWS($J$309:$J340)-1)+1)*INDEX('M04-S01'!$AF$16:$AF$198,2*(ROWS($J$309:$J340)-1)+1),""),2),0)</f>
        <v>0</v>
      </c>
      <c r="K340" s="52">
        <f>IFERROR(ROUND(IF(ISNUMBER(INDEX('M04-S01'!$AN$16:$AN$198,2*(ROWS($R$309:$R340)-1)+1)),INDEX('M04-S01'!$AH$16:$AH$198,2*(ROWS($K$309:$K340)-1)+1),""),2),0)</f>
        <v>0</v>
      </c>
      <c r="M340" s="456" t="str">
        <f>IF(ISNUMBER(INDEX('M04-S01'!$AN$16:$AN$198,2*(ROWS($R$309:R340)-1)+1)),INDEX('M04-S01'!$Z$16:$Z$198,2*(ROWS($M$309:M340)-1)+1),"")</f>
        <v/>
      </c>
      <c r="N340" s="184" t="str">
        <f>IF(ISNUMBER(INDEX('M04-S01'!$AN$16:$AN$198,2*(ROWS($R$309:R340)-1)+1)),INDEX('M04-S01'!$AK$16:$AK$198,2*(ROWS($N$309:N340)-1)+1),"")</f>
        <v/>
      </c>
      <c r="O340" s="456" t="str">
        <f>IF(ISNUMBER(INDEX('M04-S01'!$AN$16:$AN$198,2*(ROWS($R$309:R340)-1)+1)),INDEX('M04-S01'!$AW$16:$AW$198,2*(ROWS($O$309:O340)-1)+1),"")</f>
        <v/>
      </c>
      <c r="P340" s="113"/>
      <c r="Q340" s="456" t="str">
        <f>IF(ISNUMBER(INDEX('M04-S01'!$AN$16:$AN$198,2*(ROWS($R$309:R340)-1)+1)),INDEX('M04-S01'!$BB$16:$BB$198,2*(ROWS($Q$309:Q340)-1)+1),"")</f>
        <v/>
      </c>
      <c r="R340" s="184">
        <f>IF(ISNUMBER(INDEX('M04-S01'!$AN$16:$AN$198,2*(ROWS($R$309:R340)-1)+1)),INDEX('M04-S01'!$AN$16:$AN$198,2*(ROWS($R$309:R340)-1)+1),0)</f>
        <v>0</v>
      </c>
      <c r="S340" s="23">
        <f>IF(NOT(ISNUMBER(INDEX('M04-S01'!$AN$16:$AN$198,2*(ROWS($R$309:R340)-1)+1))),INDEX('M04-S01'!$Z$16:$Z$198,2*(ROWS($S$309:S340)-1)+1),"")</f>
        <v>0</v>
      </c>
      <c r="T340" s="52" t="str">
        <f>IFERROR(IF(NOT(ISNUMBER(INDEX('M04-S01'!$AN$16:$AN$198,2*(ROWS($R$309:R340)-1)+1))),INDEX('M04-S01'!$AK$16:$AK$198,2*(ROWS($R$309:R340)-1)+1),0),0)</f>
        <v/>
      </c>
      <c r="U340" s="23" t="str">
        <f>IFERROR(IF(NOT(ISNUMBER(INDEX('M04-S01'!$AN$16:$AN$198,2*(ROWS($R$309:R340)-1)+1))),INDEX('M04-S01'!$AW$16:$AW$198,2*(ROWS($R$309:R340)-1)+1),""),"")</f>
        <v/>
      </c>
      <c r="V340" s="113"/>
      <c r="W340" t="str">
        <f>IFERROR(IF(NOT(ISNUMBER(INDEX('M04-S01'!$AN$16:$AN$198,2*(ROWS($R$309:R340)-1)+1))),INDEX('M04-S01'!$BD$16:$BD$198,2*(ROWS($R$309:R340)-1)+1),""),"")</f>
        <v/>
      </c>
      <c r="X340" s="184" t="str">
        <f>IFERROR(ROUND(INDEX('M04-S01'!$O$16:$O$198,2*(ROWS($X$309:X340)-1)+1),3),"")</f>
        <v/>
      </c>
      <c r="Y340" s="184">
        <f>IFERROR(ROUND(INDEX('M04-S01'!$AB$16:$AB$198,2*(ROWS($Y$309:Y340)-1)+1),3),"")</f>
        <v>0</v>
      </c>
      <c r="Z340" s="111">
        <f>INDEX('M04-S01'!$B$16:$B$198,2*(ROWS($Z$309:Z340)-1)+1)</f>
        <v>32</v>
      </c>
      <c r="AA340" s="111">
        <f>INDEX('M04-S01'!$F$16:$F$198,2*(ROWS($Z$309:AA340)-1)+1)</f>
        <v>0</v>
      </c>
      <c r="AB340" s="111">
        <f>INDEX('M04-S01'!$S$16:$S$198,2*(ROWS($Z$309:AB340)-1)+1)</f>
        <v>0</v>
      </c>
      <c r="AC340">
        <f>INDEX('M04-S01'!$J$16:$J$198,2*(ROWS($AC$309:AC340)-1)+1)</f>
        <v>0</v>
      </c>
      <c r="AD340">
        <f>INDEX('M04-S01'!$W$16:$W$198,2*(ROWS($AD$309:AD340)-1)+1)</f>
        <v>0</v>
      </c>
      <c r="AE340" s="459"/>
      <c r="AF340" s="459"/>
      <c r="AG340" s="111" t="str">
        <f>INDEX('M04-S01'!$AX$16:$AX$198,2*(ROWS($AG$309:AG340)-1)+1)</f>
        <v/>
      </c>
      <c r="AH340" s="111" t="str">
        <f>INDEX('M04-S01'!$AY$16:$AY$198,2*(ROWS($AH$309:AH340)-1)+1)</f>
        <v/>
      </c>
      <c r="AI340" s="113"/>
      <c r="AJ340" s="113"/>
      <c r="AK340" s="52" t="str">
        <f>INDEX('M04-S01'!$AV$16:$AV$198,2*(ROWS($AK$309:AK340)-1)+1)</f>
        <v/>
      </c>
      <c r="AL340" s="184">
        <f>IF(NOT(ISNUMBER(INDEX('M04-S01'!$AN$16:$AN$198,2*(ROWS($R$309:$R340)-1)+1))),INDEX('M04-S01'!$Z$16:$Z$198,2*(ROWS($AL$309:$AL340)-1)+1)*INDEX('M04-S01'!$AD$16:$AD$198,2*(ROWS($AL$309:$AL340)-1)+1),"")</f>
        <v>0</v>
      </c>
      <c r="AM340" s="184">
        <f>IF(AND(NOT(ISNUMBER(INDEX('M04-S01'!$AN$16:$AN$198,2*(ROWS($R$309:$R340)-1)+1))),T340&gt;0),INDEX('M04-S01'!$Z$16:$Z$198,2*(ROWS($AM$309:$AM340)-1)+1)*INDEX('M04-S01'!$AF$16:$AF$198,2*(ROWS($AM$309:$AM340)-1)+1),"")</f>
        <v>0</v>
      </c>
      <c r="AN340" s="52" t="str">
        <f>IF(NOT(ISNUMBER(INDEX('M04-S01'!$AN$16:$AN$198,2*(ROWS($R$309:$R340)-1)+1))),INDEX('M04-S01'!$AH$16:$AH$198,2*(ROWS($AN$309:$AN340)-1)+1),"")</f>
        <v/>
      </c>
      <c r="AO340" s="113"/>
      <c r="AU340"/>
    </row>
    <row r="341" spans="1:47">
      <c r="A341" s="57">
        <f t="shared" si="31"/>
        <v>0</v>
      </c>
      <c r="B341" s="183" t="str">
        <f t="shared" si="33"/>
        <v/>
      </c>
      <c r="C341" s="186" t="str">
        <f>IF(OR(R341&gt;0,T341&gt;0),INDEX('M04-S01'!$AZ$16:$AZ$198,2*(ROWS($C$309:C341)-1)+1),"")</f>
        <v/>
      </c>
      <c r="D341" t="s">
        <v>231</v>
      </c>
      <c r="F341" s="185">
        <f>INDEX('M04-S01'!$Q$16:$Q$198,2*(ROWS($F$309:F341)-1)+1)</f>
        <v>0</v>
      </c>
      <c r="G341" s="186">
        <f>INDEX('M04-S01'!$C$16:$C$198,2*(ROWS($G$309:G341)-1)+1)</f>
        <v>0</v>
      </c>
      <c r="H341" s="186" t="str">
        <f>IF(ISNUMBER(INDEX('M04-S01'!$AN$16:$AN$198,2*(ROWS($R$309:R341)-1)+1)),"Total","")</f>
        <v/>
      </c>
      <c r="I341" s="184">
        <f>IFERROR(ROUND(IF(ISNUMBER(INDEX('M04-S01'!$AN$16:$AN$198,2*(ROWS($R$309:$R341)-1)+1)),INDEX('M04-S01'!$Z$16:$Z$198,2*(ROWS($I$309:$I341)-1)+1)*INDEX('M04-S01'!$AD$16:$AD$198,2*(ROWS($I$309:$I341)-1)+1),""),2),0)</f>
        <v>0</v>
      </c>
      <c r="J341" s="184">
        <f>IFERROR(ROUND(IF(ISNUMBER(INDEX('M04-S01'!$AN$16:$AN$198,2*(ROWS($R$309:$R341)-1)+1)),INDEX('M04-S01'!$Z$16:$Z$198,2*(ROWS($J$309:$J341)-1)+1)*INDEX('M04-S01'!$AF$16:$AF$198,2*(ROWS($J$309:$J341)-1)+1),""),2),0)</f>
        <v>0</v>
      </c>
      <c r="K341" s="52">
        <f>IFERROR(ROUND(IF(ISNUMBER(INDEX('M04-S01'!$AN$16:$AN$198,2*(ROWS($R$309:$R341)-1)+1)),INDEX('M04-S01'!$AH$16:$AH$198,2*(ROWS($K$309:$K341)-1)+1),""),2),0)</f>
        <v>0</v>
      </c>
      <c r="M341" s="456" t="str">
        <f>IF(ISNUMBER(INDEX('M04-S01'!$AN$16:$AN$198,2*(ROWS($R$309:R341)-1)+1)),INDEX('M04-S01'!$Z$16:$Z$198,2*(ROWS($M$309:M341)-1)+1),"")</f>
        <v/>
      </c>
      <c r="N341" s="184" t="str">
        <f>IF(ISNUMBER(INDEX('M04-S01'!$AN$16:$AN$198,2*(ROWS($R$309:R341)-1)+1)),INDEX('M04-S01'!$AK$16:$AK$198,2*(ROWS($N$309:N341)-1)+1),"")</f>
        <v/>
      </c>
      <c r="O341" s="456" t="str">
        <f>IF(ISNUMBER(INDEX('M04-S01'!$AN$16:$AN$198,2*(ROWS($R$309:R341)-1)+1)),INDEX('M04-S01'!$AW$16:$AW$198,2*(ROWS($O$309:O341)-1)+1),"")</f>
        <v/>
      </c>
      <c r="P341" s="113"/>
      <c r="Q341" s="456" t="str">
        <f>IF(ISNUMBER(INDEX('M04-S01'!$AN$16:$AN$198,2*(ROWS($R$309:R341)-1)+1)),INDEX('M04-S01'!$BB$16:$BB$198,2*(ROWS($Q$309:Q341)-1)+1),"")</f>
        <v/>
      </c>
      <c r="R341" s="184">
        <f>IF(ISNUMBER(INDEX('M04-S01'!$AN$16:$AN$198,2*(ROWS($R$309:R341)-1)+1)),INDEX('M04-S01'!$AN$16:$AN$198,2*(ROWS($R$309:R341)-1)+1),0)</f>
        <v>0</v>
      </c>
      <c r="S341" s="23">
        <f>IF(NOT(ISNUMBER(INDEX('M04-S01'!$AN$16:$AN$198,2*(ROWS($R$309:R341)-1)+1))),INDEX('M04-S01'!$Z$16:$Z$198,2*(ROWS($S$309:S341)-1)+1),"")</f>
        <v>0</v>
      </c>
      <c r="T341" s="52" t="str">
        <f>IFERROR(IF(NOT(ISNUMBER(INDEX('M04-S01'!$AN$16:$AN$198,2*(ROWS($R$309:R341)-1)+1))),INDEX('M04-S01'!$AK$16:$AK$198,2*(ROWS($R$309:R341)-1)+1),0),0)</f>
        <v/>
      </c>
      <c r="U341" s="23" t="str">
        <f>IFERROR(IF(NOT(ISNUMBER(INDEX('M04-S01'!$AN$16:$AN$198,2*(ROWS($R$309:R341)-1)+1))),INDEX('M04-S01'!$AW$16:$AW$198,2*(ROWS($R$309:R341)-1)+1),""),"")</f>
        <v/>
      </c>
      <c r="V341" s="113"/>
      <c r="W341" t="str">
        <f>IFERROR(IF(NOT(ISNUMBER(INDEX('M04-S01'!$AN$16:$AN$198,2*(ROWS($R$309:R341)-1)+1))),INDEX('M04-S01'!$BD$16:$BD$198,2*(ROWS($R$309:R341)-1)+1),""),"")</f>
        <v/>
      </c>
      <c r="X341" s="184" t="str">
        <f>IFERROR(ROUND(INDEX('M04-S01'!$O$16:$O$198,2*(ROWS($X$309:X341)-1)+1),3),"")</f>
        <v/>
      </c>
      <c r="Y341" s="184">
        <f>IFERROR(ROUND(INDEX('M04-S01'!$AB$16:$AB$198,2*(ROWS($Y$309:Y341)-1)+1),3),"")</f>
        <v>0</v>
      </c>
      <c r="Z341" s="111">
        <f>INDEX('M04-S01'!$B$16:$B$198,2*(ROWS($Z$309:Z341)-1)+1)</f>
        <v>33</v>
      </c>
      <c r="AA341" s="111">
        <f>INDEX('M04-S01'!$F$16:$F$198,2*(ROWS($Z$309:AA341)-1)+1)</f>
        <v>0</v>
      </c>
      <c r="AB341" s="111">
        <f>INDEX('M04-S01'!$S$16:$S$198,2*(ROWS($Z$309:AB341)-1)+1)</f>
        <v>0</v>
      </c>
      <c r="AC341">
        <f>INDEX('M04-S01'!$J$16:$J$198,2*(ROWS($AC$309:AC341)-1)+1)</f>
        <v>0</v>
      </c>
      <c r="AD341">
        <f>INDEX('M04-S01'!$W$16:$W$198,2*(ROWS($AD$309:AD341)-1)+1)</f>
        <v>0</v>
      </c>
      <c r="AE341" s="459"/>
      <c r="AF341" s="459"/>
      <c r="AG341" s="111" t="str">
        <f>INDEX('M04-S01'!$AX$16:$AX$198,2*(ROWS($AG$309:AG341)-1)+1)</f>
        <v/>
      </c>
      <c r="AH341" s="111" t="str">
        <f>INDEX('M04-S01'!$AY$16:$AY$198,2*(ROWS($AH$309:AH341)-1)+1)</f>
        <v/>
      </c>
      <c r="AI341" s="113"/>
      <c r="AJ341" s="113"/>
      <c r="AK341" s="52" t="str">
        <f>INDEX('M04-S01'!$AV$16:$AV$198,2*(ROWS($AK$309:AK341)-1)+1)</f>
        <v/>
      </c>
      <c r="AL341" s="184">
        <f>IF(NOT(ISNUMBER(INDEX('M04-S01'!$AN$16:$AN$198,2*(ROWS($R$309:$R341)-1)+1))),INDEX('M04-S01'!$Z$16:$Z$198,2*(ROWS($AL$309:$AL341)-1)+1)*INDEX('M04-S01'!$AD$16:$AD$198,2*(ROWS($AL$309:$AL341)-1)+1),"")</f>
        <v>0</v>
      </c>
      <c r="AM341" s="184">
        <f>IF(AND(NOT(ISNUMBER(INDEX('M04-S01'!$AN$16:$AN$198,2*(ROWS($R$309:$R341)-1)+1))),T341&gt;0),INDEX('M04-S01'!$Z$16:$Z$198,2*(ROWS($AM$309:$AM341)-1)+1)*INDEX('M04-S01'!$AF$16:$AF$198,2*(ROWS($AM$309:$AM341)-1)+1),"")</f>
        <v>0</v>
      </c>
      <c r="AN341" s="52" t="str">
        <f>IF(NOT(ISNUMBER(INDEX('M04-S01'!$AN$16:$AN$198,2*(ROWS($R$309:$R341)-1)+1))),INDEX('M04-S01'!$AH$16:$AH$198,2*(ROWS($AN$309:$AN341)-1)+1),"")</f>
        <v/>
      </c>
      <c r="AO341" s="113"/>
      <c r="AU341"/>
    </row>
    <row r="342" spans="1:47">
      <c r="A342" s="57">
        <f t="shared" si="31"/>
        <v>0</v>
      </c>
      <c r="B342" s="183" t="str">
        <f t="shared" si="33"/>
        <v/>
      </c>
      <c r="C342" s="186" t="str">
        <f>IF(OR(R342&gt;0,T342&gt;0),INDEX('M04-S01'!$AZ$16:$AZ$198,2*(ROWS($C$309:C342)-1)+1),"")</f>
        <v/>
      </c>
      <c r="D342" t="s">
        <v>231</v>
      </c>
      <c r="F342" s="185">
        <f>INDEX('M04-S01'!$Q$16:$Q$198,2*(ROWS($F$309:F342)-1)+1)</f>
        <v>0</v>
      </c>
      <c r="G342" s="186">
        <f>INDEX('M04-S01'!$C$16:$C$198,2*(ROWS($G$309:G342)-1)+1)</f>
        <v>0</v>
      </c>
      <c r="H342" s="186" t="str">
        <f>IF(ISNUMBER(INDEX('M04-S01'!$AN$16:$AN$198,2*(ROWS($R$309:R342)-1)+1)),"Total","")</f>
        <v/>
      </c>
      <c r="I342" s="184">
        <f>IFERROR(ROUND(IF(ISNUMBER(INDEX('M04-S01'!$AN$16:$AN$198,2*(ROWS($R$309:$R342)-1)+1)),INDEX('M04-S01'!$Z$16:$Z$198,2*(ROWS($I$309:$I342)-1)+1)*INDEX('M04-S01'!$AD$16:$AD$198,2*(ROWS($I$309:$I342)-1)+1),""),2),0)</f>
        <v>0</v>
      </c>
      <c r="J342" s="184">
        <f>IFERROR(ROUND(IF(ISNUMBER(INDEX('M04-S01'!$AN$16:$AN$198,2*(ROWS($R$309:$R342)-1)+1)),INDEX('M04-S01'!$Z$16:$Z$198,2*(ROWS($J$309:$J342)-1)+1)*INDEX('M04-S01'!$AF$16:$AF$198,2*(ROWS($J$309:$J342)-1)+1),""),2),0)</f>
        <v>0</v>
      </c>
      <c r="K342" s="52">
        <f>IFERROR(ROUND(IF(ISNUMBER(INDEX('M04-S01'!$AN$16:$AN$198,2*(ROWS($R$309:$R342)-1)+1)),INDEX('M04-S01'!$AH$16:$AH$198,2*(ROWS($K$309:$K342)-1)+1),""),2),0)</f>
        <v>0</v>
      </c>
      <c r="M342" s="456" t="str">
        <f>IF(ISNUMBER(INDEX('M04-S01'!$AN$16:$AN$198,2*(ROWS($R$309:R342)-1)+1)),INDEX('M04-S01'!$Z$16:$Z$198,2*(ROWS($M$309:M342)-1)+1),"")</f>
        <v/>
      </c>
      <c r="N342" s="184" t="str">
        <f>IF(ISNUMBER(INDEX('M04-S01'!$AN$16:$AN$198,2*(ROWS($R$309:R342)-1)+1)),INDEX('M04-S01'!$AK$16:$AK$198,2*(ROWS($N$309:N342)-1)+1),"")</f>
        <v/>
      </c>
      <c r="O342" s="456" t="str">
        <f>IF(ISNUMBER(INDEX('M04-S01'!$AN$16:$AN$198,2*(ROWS($R$309:R342)-1)+1)),INDEX('M04-S01'!$AW$16:$AW$198,2*(ROWS($O$309:O342)-1)+1),"")</f>
        <v/>
      </c>
      <c r="P342" s="113"/>
      <c r="Q342" s="456" t="str">
        <f>IF(ISNUMBER(INDEX('M04-S01'!$AN$16:$AN$198,2*(ROWS($R$309:R342)-1)+1)),INDEX('M04-S01'!$BB$16:$BB$198,2*(ROWS($Q$309:Q342)-1)+1),"")</f>
        <v/>
      </c>
      <c r="R342" s="184">
        <f>IF(ISNUMBER(INDEX('M04-S01'!$AN$16:$AN$198,2*(ROWS($R$309:R342)-1)+1)),INDEX('M04-S01'!$AN$16:$AN$198,2*(ROWS($R$309:R342)-1)+1),0)</f>
        <v>0</v>
      </c>
      <c r="S342" s="23">
        <f>IF(NOT(ISNUMBER(INDEX('M04-S01'!$AN$16:$AN$198,2*(ROWS($R$309:R342)-1)+1))),INDEX('M04-S01'!$Z$16:$Z$198,2*(ROWS($S$309:S342)-1)+1),"")</f>
        <v>0</v>
      </c>
      <c r="T342" s="52" t="str">
        <f>IFERROR(IF(NOT(ISNUMBER(INDEX('M04-S01'!$AN$16:$AN$198,2*(ROWS($R$309:R342)-1)+1))),INDEX('M04-S01'!$AK$16:$AK$198,2*(ROWS($R$309:R342)-1)+1),0),0)</f>
        <v/>
      </c>
      <c r="U342" s="23" t="str">
        <f>IFERROR(IF(NOT(ISNUMBER(INDEX('M04-S01'!$AN$16:$AN$198,2*(ROWS($R$309:R342)-1)+1))),INDEX('M04-S01'!$AW$16:$AW$198,2*(ROWS($R$309:R342)-1)+1),""),"")</f>
        <v/>
      </c>
      <c r="V342" s="113"/>
      <c r="W342" t="str">
        <f>IFERROR(IF(NOT(ISNUMBER(INDEX('M04-S01'!$AN$16:$AN$198,2*(ROWS($R$309:R342)-1)+1))),INDEX('M04-S01'!$BD$16:$BD$198,2*(ROWS($R$309:R342)-1)+1),""),"")</f>
        <v/>
      </c>
      <c r="X342" s="184" t="str">
        <f>IFERROR(ROUND(INDEX('M04-S01'!$O$16:$O$198,2*(ROWS($X$309:X342)-1)+1),3),"")</f>
        <v/>
      </c>
      <c r="Y342" s="184">
        <f>IFERROR(ROUND(INDEX('M04-S01'!$AB$16:$AB$198,2*(ROWS($Y$309:Y342)-1)+1),3),"")</f>
        <v>0</v>
      </c>
      <c r="Z342" s="111">
        <f>INDEX('M04-S01'!$B$16:$B$198,2*(ROWS($Z$309:Z342)-1)+1)</f>
        <v>34</v>
      </c>
      <c r="AA342" s="111">
        <f>INDEX('M04-S01'!$F$16:$F$198,2*(ROWS($Z$309:AA342)-1)+1)</f>
        <v>0</v>
      </c>
      <c r="AB342" s="111">
        <f>INDEX('M04-S01'!$S$16:$S$198,2*(ROWS($Z$309:AB342)-1)+1)</f>
        <v>0</v>
      </c>
      <c r="AC342">
        <f>INDEX('M04-S01'!$J$16:$J$198,2*(ROWS($AC$309:AC342)-1)+1)</f>
        <v>0</v>
      </c>
      <c r="AD342">
        <f>INDEX('M04-S01'!$W$16:$W$198,2*(ROWS($AD$309:AD342)-1)+1)</f>
        <v>0</v>
      </c>
      <c r="AE342" s="459"/>
      <c r="AF342" s="459"/>
      <c r="AG342" s="111" t="str">
        <f>INDEX('M04-S01'!$AX$16:$AX$198,2*(ROWS($AG$309:AG342)-1)+1)</f>
        <v/>
      </c>
      <c r="AH342" s="111" t="str">
        <f>INDEX('M04-S01'!$AY$16:$AY$198,2*(ROWS($AH$309:AH342)-1)+1)</f>
        <v/>
      </c>
      <c r="AI342" s="113"/>
      <c r="AJ342" s="113"/>
      <c r="AK342" s="52" t="str">
        <f>INDEX('M04-S01'!$AV$16:$AV$198,2*(ROWS($AK$309:AK342)-1)+1)</f>
        <v/>
      </c>
      <c r="AL342" s="184">
        <f>IF(NOT(ISNUMBER(INDEX('M04-S01'!$AN$16:$AN$198,2*(ROWS($R$309:$R342)-1)+1))),INDEX('M04-S01'!$Z$16:$Z$198,2*(ROWS($AL$309:$AL342)-1)+1)*INDEX('M04-S01'!$AD$16:$AD$198,2*(ROWS($AL$309:$AL342)-1)+1),"")</f>
        <v>0</v>
      </c>
      <c r="AM342" s="184">
        <f>IF(AND(NOT(ISNUMBER(INDEX('M04-S01'!$AN$16:$AN$198,2*(ROWS($R$309:$R342)-1)+1))),T342&gt;0),INDEX('M04-S01'!$Z$16:$Z$198,2*(ROWS($AM$309:$AM342)-1)+1)*INDEX('M04-S01'!$AF$16:$AF$198,2*(ROWS($AM$309:$AM342)-1)+1),"")</f>
        <v>0</v>
      </c>
      <c r="AN342" s="52" t="str">
        <f>IF(NOT(ISNUMBER(INDEX('M04-S01'!$AN$16:$AN$198,2*(ROWS($R$309:$R342)-1)+1))),INDEX('M04-S01'!$AH$16:$AH$198,2*(ROWS($AN$309:$AN342)-1)+1),"")</f>
        <v/>
      </c>
      <c r="AO342" s="113"/>
      <c r="AU342"/>
    </row>
    <row r="343" spans="1:47">
      <c r="A343" s="57">
        <f t="shared" si="31"/>
        <v>0</v>
      </c>
      <c r="B343" s="183" t="str">
        <f t="shared" si="33"/>
        <v/>
      </c>
      <c r="C343" s="186" t="str">
        <f>IF(OR(R343&gt;0,T343&gt;0),INDEX('M04-S01'!$AZ$16:$AZ$198,2*(ROWS($C$309:C343)-1)+1),"")</f>
        <v/>
      </c>
      <c r="D343" t="s">
        <v>231</v>
      </c>
      <c r="F343" s="185">
        <f>INDEX('M04-S01'!$Q$16:$Q$198,2*(ROWS($F$309:F343)-1)+1)</f>
        <v>0</v>
      </c>
      <c r="G343" s="186">
        <f>INDEX('M04-S01'!$C$16:$C$198,2*(ROWS($G$309:G343)-1)+1)</f>
        <v>0</v>
      </c>
      <c r="H343" s="186" t="str">
        <f>IF(ISNUMBER(INDEX('M04-S01'!$AN$16:$AN$198,2*(ROWS($R$309:R343)-1)+1)),"Total","")</f>
        <v/>
      </c>
      <c r="I343" s="184">
        <f>IFERROR(ROUND(IF(ISNUMBER(INDEX('M04-S01'!$AN$16:$AN$198,2*(ROWS($R$309:$R343)-1)+1)),INDEX('M04-S01'!$Z$16:$Z$198,2*(ROWS($I$309:$I343)-1)+1)*INDEX('M04-S01'!$AD$16:$AD$198,2*(ROWS($I$309:$I343)-1)+1),""),2),0)</f>
        <v>0</v>
      </c>
      <c r="J343" s="184">
        <f>IFERROR(ROUND(IF(ISNUMBER(INDEX('M04-S01'!$AN$16:$AN$198,2*(ROWS($R$309:$R343)-1)+1)),INDEX('M04-S01'!$Z$16:$Z$198,2*(ROWS($J$309:$J343)-1)+1)*INDEX('M04-S01'!$AF$16:$AF$198,2*(ROWS($J$309:$J343)-1)+1),""),2),0)</f>
        <v>0</v>
      </c>
      <c r="K343" s="52">
        <f>IFERROR(ROUND(IF(ISNUMBER(INDEX('M04-S01'!$AN$16:$AN$198,2*(ROWS($R$309:$R343)-1)+1)),INDEX('M04-S01'!$AH$16:$AH$198,2*(ROWS($K$309:$K343)-1)+1),""),2),0)</f>
        <v>0</v>
      </c>
      <c r="M343" s="456" t="str">
        <f>IF(ISNUMBER(INDEX('M04-S01'!$AN$16:$AN$198,2*(ROWS($R$309:R343)-1)+1)),INDEX('M04-S01'!$Z$16:$Z$198,2*(ROWS($M$309:M343)-1)+1),"")</f>
        <v/>
      </c>
      <c r="N343" s="184" t="str">
        <f>IF(ISNUMBER(INDEX('M04-S01'!$AN$16:$AN$198,2*(ROWS($R$309:R343)-1)+1)),INDEX('M04-S01'!$AK$16:$AK$198,2*(ROWS($N$309:N343)-1)+1),"")</f>
        <v/>
      </c>
      <c r="O343" s="456" t="str">
        <f>IF(ISNUMBER(INDEX('M04-S01'!$AN$16:$AN$198,2*(ROWS($R$309:R343)-1)+1)),INDEX('M04-S01'!$AW$16:$AW$198,2*(ROWS($O$309:O343)-1)+1),"")</f>
        <v/>
      </c>
      <c r="P343" s="113"/>
      <c r="Q343" s="456" t="str">
        <f>IF(ISNUMBER(INDEX('M04-S01'!$AN$16:$AN$198,2*(ROWS($R$309:R343)-1)+1)),INDEX('M04-S01'!$BB$16:$BB$198,2*(ROWS($Q$309:Q343)-1)+1),"")</f>
        <v/>
      </c>
      <c r="R343" s="184">
        <f>IF(ISNUMBER(INDEX('M04-S01'!$AN$16:$AN$198,2*(ROWS($R$309:R343)-1)+1)),INDEX('M04-S01'!$AN$16:$AN$198,2*(ROWS($R$309:R343)-1)+1),0)</f>
        <v>0</v>
      </c>
      <c r="S343" s="23">
        <f>IF(NOT(ISNUMBER(INDEX('M04-S01'!$AN$16:$AN$198,2*(ROWS($R$309:R343)-1)+1))),INDEX('M04-S01'!$Z$16:$Z$198,2*(ROWS($S$309:S343)-1)+1),"")</f>
        <v>0</v>
      </c>
      <c r="T343" s="52" t="str">
        <f>IFERROR(IF(NOT(ISNUMBER(INDEX('M04-S01'!$AN$16:$AN$198,2*(ROWS($R$309:R343)-1)+1))),INDEX('M04-S01'!$AK$16:$AK$198,2*(ROWS($R$309:R343)-1)+1),0),0)</f>
        <v/>
      </c>
      <c r="U343" s="23" t="str">
        <f>IFERROR(IF(NOT(ISNUMBER(INDEX('M04-S01'!$AN$16:$AN$198,2*(ROWS($R$309:R343)-1)+1))),INDEX('M04-S01'!$AW$16:$AW$198,2*(ROWS($R$309:R343)-1)+1),""),"")</f>
        <v/>
      </c>
      <c r="V343" s="113"/>
      <c r="W343" t="str">
        <f>IFERROR(IF(NOT(ISNUMBER(INDEX('M04-S01'!$AN$16:$AN$198,2*(ROWS($R$309:R343)-1)+1))),INDEX('M04-S01'!$BD$16:$BD$198,2*(ROWS($R$309:R343)-1)+1),""),"")</f>
        <v/>
      </c>
      <c r="X343" s="184" t="str">
        <f>IFERROR(ROUND(INDEX('M04-S01'!$O$16:$O$198,2*(ROWS($X$309:X343)-1)+1),3),"")</f>
        <v/>
      </c>
      <c r="Y343" s="184">
        <f>IFERROR(ROUND(INDEX('M04-S01'!$AB$16:$AB$198,2*(ROWS($Y$309:Y343)-1)+1),3),"")</f>
        <v>0</v>
      </c>
      <c r="Z343" s="111">
        <f>INDEX('M04-S01'!$B$16:$B$198,2*(ROWS($Z$309:Z343)-1)+1)</f>
        <v>35</v>
      </c>
      <c r="AA343" s="111">
        <f>INDEX('M04-S01'!$F$16:$F$198,2*(ROWS($Z$309:AA343)-1)+1)</f>
        <v>0</v>
      </c>
      <c r="AB343" s="111">
        <f>INDEX('M04-S01'!$S$16:$S$198,2*(ROWS($Z$309:AB343)-1)+1)</f>
        <v>0</v>
      </c>
      <c r="AC343">
        <f>INDEX('M04-S01'!$J$16:$J$198,2*(ROWS($AC$309:AC343)-1)+1)</f>
        <v>0</v>
      </c>
      <c r="AD343">
        <f>INDEX('M04-S01'!$W$16:$W$198,2*(ROWS($AD$309:AD343)-1)+1)</f>
        <v>0</v>
      </c>
      <c r="AE343" s="459"/>
      <c r="AF343" s="459"/>
      <c r="AG343" s="111" t="str">
        <f>INDEX('M04-S01'!$AX$16:$AX$198,2*(ROWS($AG$309:AG343)-1)+1)</f>
        <v/>
      </c>
      <c r="AH343" s="111" t="str">
        <f>INDEX('M04-S01'!$AY$16:$AY$198,2*(ROWS($AH$309:AH343)-1)+1)</f>
        <v/>
      </c>
      <c r="AI343" s="113"/>
      <c r="AJ343" s="113"/>
      <c r="AK343" s="52" t="str">
        <f>INDEX('M04-S01'!$AV$16:$AV$198,2*(ROWS($AK$309:AK343)-1)+1)</f>
        <v/>
      </c>
      <c r="AL343" s="184">
        <f>IF(NOT(ISNUMBER(INDEX('M04-S01'!$AN$16:$AN$198,2*(ROWS($R$309:$R343)-1)+1))),INDEX('M04-S01'!$Z$16:$Z$198,2*(ROWS($AL$309:$AL343)-1)+1)*INDEX('M04-S01'!$AD$16:$AD$198,2*(ROWS($AL$309:$AL343)-1)+1),"")</f>
        <v>0</v>
      </c>
      <c r="AM343" s="184">
        <f>IF(AND(NOT(ISNUMBER(INDEX('M04-S01'!$AN$16:$AN$198,2*(ROWS($R$309:$R343)-1)+1))),T343&gt;0),INDEX('M04-S01'!$Z$16:$Z$198,2*(ROWS($AM$309:$AM343)-1)+1)*INDEX('M04-S01'!$AF$16:$AF$198,2*(ROWS($AM$309:$AM343)-1)+1),"")</f>
        <v>0</v>
      </c>
      <c r="AN343" s="52" t="str">
        <f>IF(NOT(ISNUMBER(INDEX('M04-S01'!$AN$16:$AN$198,2*(ROWS($R$309:$R343)-1)+1))),INDEX('M04-S01'!$AH$16:$AH$198,2*(ROWS($AN$309:$AN343)-1)+1),"")</f>
        <v/>
      </c>
      <c r="AO343" s="113"/>
      <c r="AU343"/>
    </row>
    <row r="344" spans="1:47">
      <c r="A344" s="57">
        <f t="shared" si="31"/>
        <v>0</v>
      </c>
      <c r="B344" s="183" t="str">
        <f t="shared" si="33"/>
        <v/>
      </c>
      <c r="C344" s="186" t="str">
        <f>IF(OR(R344&gt;0,T344&gt;0),INDEX('M04-S01'!$AZ$16:$AZ$198,2*(ROWS($C$309:C344)-1)+1),"")</f>
        <v/>
      </c>
      <c r="D344" t="s">
        <v>231</v>
      </c>
      <c r="F344" s="185">
        <f>INDEX('M04-S01'!$Q$16:$Q$198,2*(ROWS($F$309:F344)-1)+1)</f>
        <v>0</v>
      </c>
      <c r="G344" s="186">
        <f>INDEX('M04-S01'!$C$16:$C$198,2*(ROWS($G$309:G344)-1)+1)</f>
        <v>0</v>
      </c>
      <c r="H344" s="186" t="str">
        <f>IF(ISNUMBER(INDEX('M04-S01'!$AN$16:$AN$198,2*(ROWS($R$309:R344)-1)+1)),"Total","")</f>
        <v/>
      </c>
      <c r="I344" s="184">
        <f>IFERROR(ROUND(IF(ISNUMBER(INDEX('M04-S01'!$AN$16:$AN$198,2*(ROWS($R$309:$R344)-1)+1)),INDEX('M04-S01'!$Z$16:$Z$198,2*(ROWS($I$309:$I344)-1)+1)*INDEX('M04-S01'!$AD$16:$AD$198,2*(ROWS($I$309:$I344)-1)+1),""),2),0)</f>
        <v>0</v>
      </c>
      <c r="J344" s="184">
        <f>IFERROR(ROUND(IF(ISNUMBER(INDEX('M04-S01'!$AN$16:$AN$198,2*(ROWS($R$309:$R344)-1)+1)),INDEX('M04-S01'!$Z$16:$Z$198,2*(ROWS($J$309:$J344)-1)+1)*INDEX('M04-S01'!$AF$16:$AF$198,2*(ROWS($J$309:$J344)-1)+1),""),2),0)</f>
        <v>0</v>
      </c>
      <c r="K344" s="52">
        <f>IFERROR(ROUND(IF(ISNUMBER(INDEX('M04-S01'!$AN$16:$AN$198,2*(ROWS($R$309:$R344)-1)+1)),INDEX('M04-S01'!$AH$16:$AH$198,2*(ROWS($K$309:$K344)-1)+1),""),2),0)</f>
        <v>0</v>
      </c>
      <c r="M344" s="456" t="str">
        <f>IF(ISNUMBER(INDEX('M04-S01'!$AN$16:$AN$198,2*(ROWS($R$309:R344)-1)+1)),INDEX('M04-S01'!$Z$16:$Z$198,2*(ROWS($M$309:M344)-1)+1),"")</f>
        <v/>
      </c>
      <c r="N344" s="184" t="str">
        <f>IF(ISNUMBER(INDEX('M04-S01'!$AN$16:$AN$198,2*(ROWS($R$309:R344)-1)+1)),INDEX('M04-S01'!$AK$16:$AK$198,2*(ROWS($N$309:N344)-1)+1),"")</f>
        <v/>
      </c>
      <c r="O344" s="456" t="str">
        <f>IF(ISNUMBER(INDEX('M04-S01'!$AN$16:$AN$198,2*(ROWS($R$309:R344)-1)+1)),INDEX('M04-S01'!$AW$16:$AW$198,2*(ROWS($O$309:O344)-1)+1),"")</f>
        <v/>
      </c>
      <c r="P344" s="113"/>
      <c r="Q344" s="456" t="str">
        <f>IF(ISNUMBER(INDEX('M04-S01'!$AN$16:$AN$198,2*(ROWS($R$309:R344)-1)+1)),INDEX('M04-S01'!$BB$16:$BB$198,2*(ROWS($Q$309:Q344)-1)+1),"")</f>
        <v/>
      </c>
      <c r="R344" s="184">
        <f>IF(ISNUMBER(INDEX('M04-S01'!$AN$16:$AN$198,2*(ROWS($R$309:R344)-1)+1)),INDEX('M04-S01'!$AN$16:$AN$198,2*(ROWS($R$309:R344)-1)+1),0)</f>
        <v>0</v>
      </c>
      <c r="S344" s="23">
        <f>IF(NOT(ISNUMBER(INDEX('M04-S01'!$AN$16:$AN$198,2*(ROWS($R$309:R344)-1)+1))),INDEX('M04-S01'!$Z$16:$Z$198,2*(ROWS($S$309:S344)-1)+1),"")</f>
        <v>0</v>
      </c>
      <c r="T344" s="52" t="str">
        <f>IFERROR(IF(NOT(ISNUMBER(INDEX('M04-S01'!$AN$16:$AN$198,2*(ROWS($R$309:R344)-1)+1))),INDEX('M04-S01'!$AK$16:$AK$198,2*(ROWS($R$309:R344)-1)+1),0),0)</f>
        <v/>
      </c>
      <c r="U344" s="23" t="str">
        <f>IFERROR(IF(NOT(ISNUMBER(INDEX('M04-S01'!$AN$16:$AN$198,2*(ROWS($R$309:R344)-1)+1))),INDEX('M04-S01'!$AW$16:$AW$198,2*(ROWS($R$309:R344)-1)+1),""),"")</f>
        <v/>
      </c>
      <c r="V344" s="113"/>
      <c r="W344" t="str">
        <f>IFERROR(IF(NOT(ISNUMBER(INDEX('M04-S01'!$AN$16:$AN$198,2*(ROWS($R$309:R344)-1)+1))),INDEX('M04-S01'!$BD$16:$BD$198,2*(ROWS($R$309:R344)-1)+1),""),"")</f>
        <v/>
      </c>
      <c r="X344" s="184" t="str">
        <f>IFERROR(ROUND(INDEX('M04-S01'!$O$16:$O$198,2*(ROWS($X$309:X344)-1)+1),3),"")</f>
        <v/>
      </c>
      <c r="Y344" s="184">
        <f>IFERROR(ROUND(INDEX('M04-S01'!$AB$16:$AB$198,2*(ROWS($Y$309:Y344)-1)+1),3),"")</f>
        <v>0</v>
      </c>
      <c r="Z344" s="111">
        <f>INDEX('M04-S01'!$B$16:$B$198,2*(ROWS($Z$309:Z344)-1)+1)</f>
        <v>36</v>
      </c>
      <c r="AA344" s="111">
        <f>INDEX('M04-S01'!$F$16:$F$198,2*(ROWS($Z$309:AA344)-1)+1)</f>
        <v>0</v>
      </c>
      <c r="AB344" s="111">
        <f>INDEX('M04-S01'!$S$16:$S$198,2*(ROWS($Z$309:AB344)-1)+1)</f>
        <v>0</v>
      </c>
      <c r="AC344">
        <f>INDEX('M04-S01'!$J$16:$J$198,2*(ROWS($AC$309:AC344)-1)+1)</f>
        <v>0</v>
      </c>
      <c r="AD344">
        <f>INDEX('M04-S01'!$W$16:$W$198,2*(ROWS($AD$309:AD344)-1)+1)</f>
        <v>0</v>
      </c>
      <c r="AE344" s="459"/>
      <c r="AF344" s="459"/>
      <c r="AG344" s="111" t="str">
        <f>INDEX('M04-S01'!$AX$16:$AX$198,2*(ROWS($AG$309:AG344)-1)+1)</f>
        <v/>
      </c>
      <c r="AH344" s="111" t="str">
        <f>INDEX('M04-S01'!$AY$16:$AY$198,2*(ROWS($AH$309:AH344)-1)+1)</f>
        <v/>
      </c>
      <c r="AI344" s="113"/>
      <c r="AJ344" s="113"/>
      <c r="AK344" s="52" t="str">
        <f>INDEX('M04-S01'!$AV$16:$AV$198,2*(ROWS($AK$309:AK344)-1)+1)</f>
        <v/>
      </c>
      <c r="AL344" s="184">
        <f>IF(NOT(ISNUMBER(INDEX('M04-S01'!$AN$16:$AN$198,2*(ROWS($R$309:$R344)-1)+1))),INDEX('M04-S01'!$Z$16:$Z$198,2*(ROWS($AL$309:$AL344)-1)+1)*INDEX('M04-S01'!$AD$16:$AD$198,2*(ROWS($AL$309:$AL344)-1)+1),"")</f>
        <v>0</v>
      </c>
      <c r="AM344" s="184">
        <f>IF(AND(NOT(ISNUMBER(INDEX('M04-S01'!$AN$16:$AN$198,2*(ROWS($R$309:$R344)-1)+1))),T344&gt;0),INDEX('M04-S01'!$Z$16:$Z$198,2*(ROWS($AM$309:$AM344)-1)+1)*INDEX('M04-S01'!$AF$16:$AF$198,2*(ROWS($AM$309:$AM344)-1)+1),"")</f>
        <v>0</v>
      </c>
      <c r="AN344" s="52" t="str">
        <f>IF(NOT(ISNUMBER(INDEX('M04-S01'!$AN$16:$AN$198,2*(ROWS($R$309:$R344)-1)+1))),INDEX('M04-S01'!$AH$16:$AH$198,2*(ROWS($AN$309:$AN344)-1)+1),"")</f>
        <v/>
      </c>
      <c r="AO344" s="113"/>
      <c r="AU344"/>
    </row>
    <row r="345" spans="1:47">
      <c r="A345" s="57">
        <f t="shared" si="31"/>
        <v>0</v>
      </c>
      <c r="B345" s="183" t="str">
        <f t="shared" si="33"/>
        <v/>
      </c>
      <c r="C345" s="186" t="str">
        <f>IF(OR(R345&gt;0,T345&gt;0),INDEX('M04-S01'!$AZ$16:$AZ$198,2*(ROWS($C$309:C345)-1)+1),"")</f>
        <v/>
      </c>
      <c r="D345" t="s">
        <v>231</v>
      </c>
      <c r="F345" s="185">
        <f>INDEX('M04-S01'!$Q$16:$Q$198,2*(ROWS($F$309:F345)-1)+1)</f>
        <v>0</v>
      </c>
      <c r="G345" s="186">
        <f>INDEX('M04-S01'!$C$16:$C$198,2*(ROWS($G$309:G345)-1)+1)</f>
        <v>0</v>
      </c>
      <c r="H345" s="186" t="str">
        <f>IF(ISNUMBER(INDEX('M04-S01'!$AN$16:$AN$198,2*(ROWS($R$309:R345)-1)+1)),"Total","")</f>
        <v/>
      </c>
      <c r="I345" s="184">
        <f>IFERROR(ROUND(IF(ISNUMBER(INDEX('M04-S01'!$AN$16:$AN$198,2*(ROWS($R$309:$R345)-1)+1)),INDEX('M04-S01'!$Z$16:$Z$198,2*(ROWS($I$309:$I345)-1)+1)*INDEX('M04-S01'!$AD$16:$AD$198,2*(ROWS($I$309:$I345)-1)+1),""),2),0)</f>
        <v>0</v>
      </c>
      <c r="J345" s="184">
        <f>IFERROR(ROUND(IF(ISNUMBER(INDEX('M04-S01'!$AN$16:$AN$198,2*(ROWS($R$309:$R345)-1)+1)),INDEX('M04-S01'!$Z$16:$Z$198,2*(ROWS($J$309:$J345)-1)+1)*INDEX('M04-S01'!$AF$16:$AF$198,2*(ROWS($J$309:$J345)-1)+1),""),2),0)</f>
        <v>0</v>
      </c>
      <c r="K345" s="52">
        <f>IFERROR(ROUND(IF(ISNUMBER(INDEX('M04-S01'!$AN$16:$AN$198,2*(ROWS($R$309:$R345)-1)+1)),INDEX('M04-S01'!$AH$16:$AH$198,2*(ROWS($K$309:$K345)-1)+1),""),2),0)</f>
        <v>0</v>
      </c>
      <c r="M345" s="456" t="str">
        <f>IF(ISNUMBER(INDEX('M04-S01'!$AN$16:$AN$198,2*(ROWS($R$309:R345)-1)+1)),INDEX('M04-S01'!$Z$16:$Z$198,2*(ROWS($M$309:M345)-1)+1),"")</f>
        <v/>
      </c>
      <c r="N345" s="184" t="str">
        <f>IF(ISNUMBER(INDEX('M04-S01'!$AN$16:$AN$198,2*(ROWS($R$309:R345)-1)+1)),INDEX('M04-S01'!$AK$16:$AK$198,2*(ROWS($N$309:N345)-1)+1),"")</f>
        <v/>
      </c>
      <c r="O345" s="456" t="str">
        <f>IF(ISNUMBER(INDEX('M04-S01'!$AN$16:$AN$198,2*(ROWS($R$309:R345)-1)+1)),INDEX('M04-S01'!$AW$16:$AW$198,2*(ROWS($O$309:O345)-1)+1),"")</f>
        <v/>
      </c>
      <c r="P345" s="113"/>
      <c r="Q345" s="456" t="str">
        <f>IF(ISNUMBER(INDEX('M04-S01'!$AN$16:$AN$198,2*(ROWS($R$309:R345)-1)+1)),INDEX('M04-S01'!$BB$16:$BB$198,2*(ROWS($Q$309:Q345)-1)+1),"")</f>
        <v/>
      </c>
      <c r="R345" s="184">
        <f>IF(ISNUMBER(INDEX('M04-S01'!$AN$16:$AN$198,2*(ROWS($R$309:R345)-1)+1)),INDEX('M04-S01'!$AN$16:$AN$198,2*(ROWS($R$309:R345)-1)+1),0)</f>
        <v>0</v>
      </c>
      <c r="S345" s="23">
        <f>IF(NOT(ISNUMBER(INDEX('M04-S01'!$AN$16:$AN$198,2*(ROWS($R$309:R345)-1)+1))),INDEX('M04-S01'!$Z$16:$Z$198,2*(ROWS($S$309:S345)-1)+1),"")</f>
        <v>0</v>
      </c>
      <c r="T345" s="52" t="str">
        <f>IFERROR(IF(NOT(ISNUMBER(INDEX('M04-S01'!$AN$16:$AN$198,2*(ROWS($R$309:R345)-1)+1))),INDEX('M04-S01'!$AK$16:$AK$198,2*(ROWS($R$309:R345)-1)+1),0),0)</f>
        <v/>
      </c>
      <c r="U345" s="23" t="str">
        <f>IFERROR(IF(NOT(ISNUMBER(INDEX('M04-S01'!$AN$16:$AN$198,2*(ROWS($R$309:R345)-1)+1))),INDEX('M04-S01'!$AW$16:$AW$198,2*(ROWS($R$309:R345)-1)+1),""),"")</f>
        <v/>
      </c>
      <c r="V345" s="113"/>
      <c r="W345" t="str">
        <f>IFERROR(IF(NOT(ISNUMBER(INDEX('M04-S01'!$AN$16:$AN$198,2*(ROWS($R$309:R345)-1)+1))),INDEX('M04-S01'!$BD$16:$BD$198,2*(ROWS($R$309:R345)-1)+1),""),"")</f>
        <v/>
      </c>
      <c r="X345" s="184" t="str">
        <f>IFERROR(ROUND(INDEX('M04-S01'!$O$16:$O$198,2*(ROWS($X$309:X345)-1)+1),3),"")</f>
        <v/>
      </c>
      <c r="Y345" s="184">
        <f>IFERROR(ROUND(INDEX('M04-S01'!$AB$16:$AB$198,2*(ROWS($Y$309:Y345)-1)+1),3),"")</f>
        <v>0</v>
      </c>
      <c r="Z345" s="111">
        <f>INDEX('M04-S01'!$B$16:$B$198,2*(ROWS($Z$309:Z345)-1)+1)</f>
        <v>37</v>
      </c>
      <c r="AA345" s="111">
        <f>INDEX('M04-S01'!$F$16:$F$198,2*(ROWS($Z$309:AA345)-1)+1)</f>
        <v>0</v>
      </c>
      <c r="AB345" s="111">
        <f>INDEX('M04-S01'!$S$16:$S$198,2*(ROWS($Z$309:AB345)-1)+1)</f>
        <v>0</v>
      </c>
      <c r="AC345">
        <f>INDEX('M04-S01'!$J$16:$J$198,2*(ROWS($AC$309:AC345)-1)+1)</f>
        <v>0</v>
      </c>
      <c r="AD345">
        <f>INDEX('M04-S01'!$W$16:$W$198,2*(ROWS($AD$309:AD345)-1)+1)</f>
        <v>0</v>
      </c>
      <c r="AE345" s="459"/>
      <c r="AF345" s="459"/>
      <c r="AG345" s="111" t="str">
        <f>INDEX('M04-S01'!$AX$16:$AX$198,2*(ROWS($AG$309:AG345)-1)+1)</f>
        <v/>
      </c>
      <c r="AH345" s="111" t="str">
        <f>INDEX('M04-S01'!$AY$16:$AY$198,2*(ROWS($AH$309:AH345)-1)+1)</f>
        <v/>
      </c>
      <c r="AI345" s="113"/>
      <c r="AJ345" s="113"/>
      <c r="AK345" s="52" t="str">
        <f>INDEX('M04-S01'!$AV$16:$AV$198,2*(ROWS($AK$309:AK345)-1)+1)</f>
        <v/>
      </c>
      <c r="AL345" s="184">
        <f>IF(NOT(ISNUMBER(INDEX('M04-S01'!$AN$16:$AN$198,2*(ROWS($R$309:$R345)-1)+1))),INDEX('M04-S01'!$Z$16:$Z$198,2*(ROWS($AL$309:$AL345)-1)+1)*INDEX('M04-S01'!$AD$16:$AD$198,2*(ROWS($AL$309:$AL345)-1)+1),"")</f>
        <v>0</v>
      </c>
      <c r="AM345" s="184">
        <f>IF(AND(NOT(ISNUMBER(INDEX('M04-S01'!$AN$16:$AN$198,2*(ROWS($R$309:$R345)-1)+1))),T345&gt;0),INDEX('M04-S01'!$Z$16:$Z$198,2*(ROWS($AM$309:$AM345)-1)+1)*INDEX('M04-S01'!$AF$16:$AF$198,2*(ROWS($AM$309:$AM345)-1)+1),"")</f>
        <v>0</v>
      </c>
      <c r="AN345" s="52" t="str">
        <f>IF(NOT(ISNUMBER(INDEX('M04-S01'!$AN$16:$AN$198,2*(ROWS($R$309:$R345)-1)+1))),INDEX('M04-S01'!$AH$16:$AH$198,2*(ROWS($AN$309:$AN345)-1)+1),"")</f>
        <v/>
      </c>
      <c r="AO345" s="113"/>
      <c r="AU345"/>
    </row>
    <row r="346" spans="1:47">
      <c r="A346" s="57">
        <f t="shared" si="31"/>
        <v>0</v>
      </c>
      <c r="B346" s="183" t="str">
        <f t="shared" si="33"/>
        <v/>
      </c>
      <c r="C346" s="186" t="str">
        <f>IF(OR(R346&gt;0,T346&gt;0),INDEX('M04-S01'!$AZ$16:$AZ$198,2*(ROWS($C$309:C346)-1)+1),"")</f>
        <v/>
      </c>
      <c r="D346" t="s">
        <v>231</v>
      </c>
      <c r="F346" s="185">
        <f>INDEX('M04-S01'!$Q$16:$Q$198,2*(ROWS($F$309:F346)-1)+1)</f>
        <v>0</v>
      </c>
      <c r="G346" s="186">
        <f>INDEX('M04-S01'!$C$16:$C$198,2*(ROWS($G$309:G346)-1)+1)</f>
        <v>0</v>
      </c>
      <c r="H346" s="186" t="str">
        <f>IF(ISNUMBER(INDEX('M04-S01'!$AN$16:$AN$198,2*(ROWS($R$309:R346)-1)+1)),"Total","")</f>
        <v/>
      </c>
      <c r="I346" s="184">
        <f>IFERROR(ROUND(IF(ISNUMBER(INDEX('M04-S01'!$AN$16:$AN$198,2*(ROWS($R$309:$R346)-1)+1)),INDEX('M04-S01'!$Z$16:$Z$198,2*(ROWS($I$309:$I346)-1)+1)*INDEX('M04-S01'!$AD$16:$AD$198,2*(ROWS($I$309:$I346)-1)+1),""),2),0)</f>
        <v>0</v>
      </c>
      <c r="J346" s="184">
        <f>IFERROR(ROUND(IF(ISNUMBER(INDEX('M04-S01'!$AN$16:$AN$198,2*(ROWS($R$309:$R346)-1)+1)),INDEX('M04-S01'!$Z$16:$Z$198,2*(ROWS($J$309:$J346)-1)+1)*INDEX('M04-S01'!$AF$16:$AF$198,2*(ROWS($J$309:$J346)-1)+1),""),2),0)</f>
        <v>0</v>
      </c>
      <c r="K346" s="52">
        <f>IFERROR(ROUND(IF(ISNUMBER(INDEX('M04-S01'!$AN$16:$AN$198,2*(ROWS($R$309:$R346)-1)+1)),INDEX('M04-S01'!$AH$16:$AH$198,2*(ROWS($K$309:$K346)-1)+1),""),2),0)</f>
        <v>0</v>
      </c>
      <c r="M346" s="456" t="str">
        <f>IF(ISNUMBER(INDEX('M04-S01'!$AN$16:$AN$198,2*(ROWS($R$309:R346)-1)+1)),INDEX('M04-S01'!$Z$16:$Z$198,2*(ROWS($M$309:M346)-1)+1),"")</f>
        <v/>
      </c>
      <c r="N346" s="184" t="str">
        <f>IF(ISNUMBER(INDEX('M04-S01'!$AN$16:$AN$198,2*(ROWS($R$309:R346)-1)+1)),INDEX('M04-S01'!$AK$16:$AK$198,2*(ROWS($N$309:N346)-1)+1),"")</f>
        <v/>
      </c>
      <c r="O346" s="456" t="str">
        <f>IF(ISNUMBER(INDEX('M04-S01'!$AN$16:$AN$198,2*(ROWS($R$309:R346)-1)+1)),INDEX('M04-S01'!$AW$16:$AW$198,2*(ROWS($O$309:O346)-1)+1),"")</f>
        <v/>
      </c>
      <c r="P346" s="113"/>
      <c r="Q346" s="456" t="str">
        <f>IF(ISNUMBER(INDEX('M04-S01'!$AN$16:$AN$198,2*(ROWS($R$309:R346)-1)+1)),INDEX('M04-S01'!$BB$16:$BB$198,2*(ROWS($Q$309:Q346)-1)+1),"")</f>
        <v/>
      </c>
      <c r="R346" s="184">
        <f>IF(ISNUMBER(INDEX('M04-S01'!$AN$16:$AN$198,2*(ROWS($R$309:R346)-1)+1)),INDEX('M04-S01'!$AN$16:$AN$198,2*(ROWS($R$309:R346)-1)+1),0)</f>
        <v>0</v>
      </c>
      <c r="S346" s="23">
        <f>IF(NOT(ISNUMBER(INDEX('M04-S01'!$AN$16:$AN$198,2*(ROWS($R$309:R346)-1)+1))),INDEX('M04-S01'!$Z$16:$Z$198,2*(ROWS($S$309:S346)-1)+1),"")</f>
        <v>0</v>
      </c>
      <c r="T346" s="52" t="str">
        <f>IFERROR(IF(NOT(ISNUMBER(INDEX('M04-S01'!$AN$16:$AN$198,2*(ROWS($R$309:R346)-1)+1))),INDEX('M04-S01'!$AK$16:$AK$198,2*(ROWS($R$309:R346)-1)+1),0),0)</f>
        <v/>
      </c>
      <c r="U346" s="23" t="str">
        <f>IFERROR(IF(NOT(ISNUMBER(INDEX('M04-S01'!$AN$16:$AN$198,2*(ROWS($R$309:R346)-1)+1))),INDEX('M04-S01'!$AW$16:$AW$198,2*(ROWS($R$309:R346)-1)+1),""),"")</f>
        <v/>
      </c>
      <c r="V346" s="113"/>
      <c r="W346" t="str">
        <f>IFERROR(IF(NOT(ISNUMBER(INDEX('M04-S01'!$AN$16:$AN$198,2*(ROWS($R$309:R346)-1)+1))),INDEX('M04-S01'!$BD$16:$BD$198,2*(ROWS($R$309:R346)-1)+1),""),"")</f>
        <v/>
      </c>
      <c r="X346" s="184" t="str">
        <f>IFERROR(ROUND(INDEX('M04-S01'!$O$16:$O$198,2*(ROWS($X$309:X346)-1)+1),3),"")</f>
        <v/>
      </c>
      <c r="Y346" s="184">
        <f>IFERROR(ROUND(INDEX('M04-S01'!$AB$16:$AB$198,2*(ROWS($Y$309:Y346)-1)+1),3),"")</f>
        <v>0</v>
      </c>
      <c r="Z346" s="111">
        <f>INDEX('M04-S01'!$B$16:$B$198,2*(ROWS($Z$309:Z346)-1)+1)</f>
        <v>38</v>
      </c>
      <c r="AA346" s="111">
        <f>INDEX('M04-S01'!$F$16:$F$198,2*(ROWS($Z$309:AA346)-1)+1)</f>
        <v>0</v>
      </c>
      <c r="AB346" s="111">
        <f>INDEX('M04-S01'!$S$16:$S$198,2*(ROWS($Z$309:AB346)-1)+1)</f>
        <v>0</v>
      </c>
      <c r="AC346">
        <f>INDEX('M04-S01'!$J$16:$J$198,2*(ROWS($AC$309:AC346)-1)+1)</f>
        <v>0</v>
      </c>
      <c r="AD346">
        <f>INDEX('M04-S01'!$W$16:$W$198,2*(ROWS($AD$309:AD346)-1)+1)</f>
        <v>0</v>
      </c>
      <c r="AE346" s="459"/>
      <c r="AF346" s="459"/>
      <c r="AG346" s="111" t="str">
        <f>INDEX('M04-S01'!$AX$16:$AX$198,2*(ROWS($AG$309:AG346)-1)+1)</f>
        <v/>
      </c>
      <c r="AH346" s="111" t="str">
        <f>INDEX('M04-S01'!$AY$16:$AY$198,2*(ROWS($AH$309:AH346)-1)+1)</f>
        <v/>
      </c>
      <c r="AI346" s="113"/>
      <c r="AJ346" s="113"/>
      <c r="AK346" s="52" t="str">
        <f>INDEX('M04-S01'!$AV$16:$AV$198,2*(ROWS($AK$309:AK346)-1)+1)</f>
        <v/>
      </c>
      <c r="AL346" s="184">
        <f>IF(NOT(ISNUMBER(INDEX('M04-S01'!$AN$16:$AN$198,2*(ROWS($R$309:$R346)-1)+1))),INDEX('M04-S01'!$Z$16:$Z$198,2*(ROWS($AL$309:$AL346)-1)+1)*INDEX('M04-S01'!$AD$16:$AD$198,2*(ROWS($AL$309:$AL346)-1)+1),"")</f>
        <v>0</v>
      </c>
      <c r="AM346" s="184">
        <f>IF(AND(NOT(ISNUMBER(INDEX('M04-S01'!$AN$16:$AN$198,2*(ROWS($R$309:$R346)-1)+1))),T346&gt;0),INDEX('M04-S01'!$Z$16:$Z$198,2*(ROWS($AM$309:$AM346)-1)+1)*INDEX('M04-S01'!$AF$16:$AF$198,2*(ROWS($AM$309:$AM346)-1)+1),"")</f>
        <v>0</v>
      </c>
      <c r="AN346" s="52" t="str">
        <f>IF(NOT(ISNUMBER(INDEX('M04-S01'!$AN$16:$AN$198,2*(ROWS($R$309:$R346)-1)+1))),INDEX('M04-S01'!$AH$16:$AH$198,2*(ROWS($AN$309:$AN346)-1)+1),"")</f>
        <v/>
      </c>
      <c r="AO346" s="113"/>
      <c r="AU346"/>
    </row>
    <row r="347" spans="1:47">
      <c r="A347" s="57">
        <f t="shared" si="31"/>
        <v>0</v>
      </c>
      <c r="B347" s="183" t="str">
        <f t="shared" si="33"/>
        <v/>
      </c>
      <c r="C347" s="186" t="str">
        <f>IF(OR(R347&gt;0,T347&gt;0),INDEX('M04-S01'!$AZ$16:$AZ$198,2*(ROWS($C$309:C347)-1)+1),"")</f>
        <v/>
      </c>
      <c r="D347" t="s">
        <v>231</v>
      </c>
      <c r="F347" s="185">
        <f>INDEX('M04-S01'!$Q$16:$Q$198,2*(ROWS($F$309:F347)-1)+1)</f>
        <v>0</v>
      </c>
      <c r="G347" s="186">
        <f>INDEX('M04-S01'!$C$16:$C$198,2*(ROWS($G$309:G347)-1)+1)</f>
        <v>0</v>
      </c>
      <c r="H347" s="186" t="str">
        <f>IF(ISNUMBER(INDEX('M04-S01'!$AN$16:$AN$198,2*(ROWS($R$309:R347)-1)+1)),"Total","")</f>
        <v/>
      </c>
      <c r="I347" s="184">
        <f>IFERROR(ROUND(IF(ISNUMBER(INDEX('M04-S01'!$AN$16:$AN$198,2*(ROWS($R$309:$R347)-1)+1)),INDEX('M04-S01'!$Z$16:$Z$198,2*(ROWS($I$309:$I347)-1)+1)*INDEX('M04-S01'!$AD$16:$AD$198,2*(ROWS($I$309:$I347)-1)+1),""),2),0)</f>
        <v>0</v>
      </c>
      <c r="J347" s="184">
        <f>IFERROR(ROUND(IF(ISNUMBER(INDEX('M04-S01'!$AN$16:$AN$198,2*(ROWS($R$309:$R347)-1)+1)),INDEX('M04-S01'!$Z$16:$Z$198,2*(ROWS($J$309:$J347)-1)+1)*INDEX('M04-S01'!$AF$16:$AF$198,2*(ROWS($J$309:$J347)-1)+1),""),2),0)</f>
        <v>0</v>
      </c>
      <c r="K347" s="52">
        <f>IFERROR(ROUND(IF(ISNUMBER(INDEX('M04-S01'!$AN$16:$AN$198,2*(ROWS($R$309:$R347)-1)+1)),INDEX('M04-S01'!$AH$16:$AH$198,2*(ROWS($K$309:$K347)-1)+1),""),2),0)</f>
        <v>0</v>
      </c>
      <c r="M347" s="456" t="str">
        <f>IF(ISNUMBER(INDEX('M04-S01'!$AN$16:$AN$198,2*(ROWS($R$309:R347)-1)+1)),INDEX('M04-S01'!$Z$16:$Z$198,2*(ROWS($M$309:M347)-1)+1),"")</f>
        <v/>
      </c>
      <c r="N347" s="184" t="str">
        <f>IF(ISNUMBER(INDEX('M04-S01'!$AN$16:$AN$198,2*(ROWS($R$309:R347)-1)+1)),INDEX('M04-S01'!$AK$16:$AK$198,2*(ROWS($N$309:N347)-1)+1),"")</f>
        <v/>
      </c>
      <c r="O347" s="456" t="str">
        <f>IF(ISNUMBER(INDEX('M04-S01'!$AN$16:$AN$198,2*(ROWS($R$309:R347)-1)+1)),INDEX('M04-S01'!$AW$16:$AW$198,2*(ROWS($O$309:O347)-1)+1),"")</f>
        <v/>
      </c>
      <c r="P347" s="113"/>
      <c r="Q347" s="456" t="str">
        <f>IF(ISNUMBER(INDEX('M04-S01'!$AN$16:$AN$198,2*(ROWS($R$309:R347)-1)+1)),INDEX('M04-S01'!$BB$16:$BB$198,2*(ROWS($Q$309:Q347)-1)+1),"")</f>
        <v/>
      </c>
      <c r="R347" s="184">
        <f>IF(ISNUMBER(INDEX('M04-S01'!$AN$16:$AN$198,2*(ROWS($R$309:R347)-1)+1)),INDEX('M04-S01'!$AN$16:$AN$198,2*(ROWS($R$309:R347)-1)+1),0)</f>
        <v>0</v>
      </c>
      <c r="S347" s="23">
        <f>IF(NOT(ISNUMBER(INDEX('M04-S01'!$AN$16:$AN$198,2*(ROWS($R$309:R347)-1)+1))),INDEX('M04-S01'!$Z$16:$Z$198,2*(ROWS($S$309:S347)-1)+1),"")</f>
        <v>0</v>
      </c>
      <c r="T347" s="52" t="str">
        <f>IFERROR(IF(NOT(ISNUMBER(INDEX('M04-S01'!$AN$16:$AN$198,2*(ROWS($R$309:R347)-1)+1))),INDEX('M04-S01'!$AK$16:$AK$198,2*(ROWS($R$309:R347)-1)+1),0),0)</f>
        <v/>
      </c>
      <c r="U347" s="23" t="str">
        <f>IFERROR(IF(NOT(ISNUMBER(INDEX('M04-S01'!$AN$16:$AN$198,2*(ROWS($R$309:R347)-1)+1))),INDEX('M04-S01'!$AW$16:$AW$198,2*(ROWS($R$309:R347)-1)+1),""),"")</f>
        <v/>
      </c>
      <c r="V347" s="113"/>
      <c r="W347" t="str">
        <f>IFERROR(IF(NOT(ISNUMBER(INDEX('M04-S01'!$AN$16:$AN$198,2*(ROWS($R$309:R347)-1)+1))),INDEX('M04-S01'!$BD$16:$BD$198,2*(ROWS($R$309:R347)-1)+1),""),"")</f>
        <v/>
      </c>
      <c r="X347" s="184" t="str">
        <f>IFERROR(ROUND(INDEX('M04-S01'!$O$16:$O$198,2*(ROWS($X$309:X347)-1)+1),3),"")</f>
        <v/>
      </c>
      <c r="Y347" s="184">
        <f>IFERROR(ROUND(INDEX('M04-S01'!$AB$16:$AB$198,2*(ROWS($Y$309:Y347)-1)+1),3),"")</f>
        <v>0</v>
      </c>
      <c r="Z347" s="111">
        <f>INDEX('M04-S01'!$B$16:$B$198,2*(ROWS($Z$309:Z347)-1)+1)</f>
        <v>39</v>
      </c>
      <c r="AA347" s="111">
        <f>INDEX('M04-S01'!$F$16:$F$198,2*(ROWS($Z$309:AA347)-1)+1)</f>
        <v>0</v>
      </c>
      <c r="AB347" s="111">
        <f>INDEX('M04-S01'!$S$16:$S$198,2*(ROWS($Z$309:AB347)-1)+1)</f>
        <v>0</v>
      </c>
      <c r="AC347">
        <f>INDEX('M04-S01'!$J$16:$J$198,2*(ROWS($AC$309:AC347)-1)+1)</f>
        <v>0</v>
      </c>
      <c r="AD347">
        <f>INDEX('M04-S01'!$W$16:$W$198,2*(ROWS($AD$309:AD347)-1)+1)</f>
        <v>0</v>
      </c>
      <c r="AE347" s="459"/>
      <c r="AF347" s="459"/>
      <c r="AG347" s="111" t="str">
        <f>INDEX('M04-S01'!$AX$16:$AX$198,2*(ROWS($AG$309:AG347)-1)+1)</f>
        <v/>
      </c>
      <c r="AH347" s="111" t="str">
        <f>INDEX('M04-S01'!$AY$16:$AY$198,2*(ROWS($AH$309:AH347)-1)+1)</f>
        <v/>
      </c>
      <c r="AI347" s="113"/>
      <c r="AJ347" s="113"/>
      <c r="AK347" s="52" t="str">
        <f>INDEX('M04-S01'!$AV$16:$AV$198,2*(ROWS($AK$309:AK347)-1)+1)</f>
        <v/>
      </c>
      <c r="AL347" s="184">
        <f>IF(NOT(ISNUMBER(INDEX('M04-S01'!$AN$16:$AN$198,2*(ROWS($R$309:$R347)-1)+1))),INDEX('M04-S01'!$Z$16:$Z$198,2*(ROWS($AL$309:$AL347)-1)+1)*INDEX('M04-S01'!$AD$16:$AD$198,2*(ROWS($AL$309:$AL347)-1)+1),"")</f>
        <v>0</v>
      </c>
      <c r="AM347" s="184">
        <f>IF(AND(NOT(ISNUMBER(INDEX('M04-S01'!$AN$16:$AN$198,2*(ROWS($R$309:$R347)-1)+1))),T347&gt;0),INDEX('M04-S01'!$Z$16:$Z$198,2*(ROWS($AM$309:$AM347)-1)+1)*INDEX('M04-S01'!$AF$16:$AF$198,2*(ROWS($AM$309:$AM347)-1)+1),"")</f>
        <v>0</v>
      </c>
      <c r="AN347" s="52" t="str">
        <f>IF(NOT(ISNUMBER(INDEX('M04-S01'!$AN$16:$AN$198,2*(ROWS($R$309:$R347)-1)+1))),INDEX('M04-S01'!$AH$16:$AH$198,2*(ROWS($AN$309:$AN347)-1)+1),"")</f>
        <v/>
      </c>
      <c r="AO347" s="113"/>
      <c r="AU347"/>
    </row>
    <row r="348" spans="1:47">
      <c r="A348" s="57">
        <f t="shared" si="31"/>
        <v>0</v>
      </c>
      <c r="B348" s="183" t="str">
        <f t="shared" si="33"/>
        <v/>
      </c>
      <c r="C348" s="186" t="str">
        <f>IF(OR(R348&gt;0,T348&gt;0),INDEX('M04-S01'!$AZ$16:$AZ$198,2*(ROWS($C$309:C348)-1)+1),"")</f>
        <v/>
      </c>
      <c r="D348" t="s">
        <v>231</v>
      </c>
      <c r="F348" s="185">
        <f>INDEX('M04-S01'!$Q$16:$Q$198,2*(ROWS($F$309:F348)-1)+1)</f>
        <v>0</v>
      </c>
      <c r="G348" s="186">
        <f>INDEX('M04-S01'!$C$16:$C$198,2*(ROWS($G$309:G348)-1)+1)</f>
        <v>0</v>
      </c>
      <c r="H348" s="186" t="str">
        <f>IF(ISNUMBER(INDEX('M04-S01'!$AN$16:$AN$198,2*(ROWS($R$309:R348)-1)+1)),"Total","")</f>
        <v/>
      </c>
      <c r="I348" s="184">
        <f>IFERROR(ROUND(IF(ISNUMBER(INDEX('M04-S01'!$AN$16:$AN$198,2*(ROWS($R$309:$R348)-1)+1)),INDEX('M04-S01'!$Z$16:$Z$198,2*(ROWS($I$309:$I348)-1)+1)*INDEX('M04-S01'!$AD$16:$AD$198,2*(ROWS($I$309:$I348)-1)+1),""),2),0)</f>
        <v>0</v>
      </c>
      <c r="J348" s="184">
        <f>IFERROR(ROUND(IF(ISNUMBER(INDEX('M04-S01'!$AN$16:$AN$198,2*(ROWS($R$309:$R348)-1)+1)),INDEX('M04-S01'!$Z$16:$Z$198,2*(ROWS($J$309:$J348)-1)+1)*INDEX('M04-S01'!$AF$16:$AF$198,2*(ROWS($J$309:$J348)-1)+1),""),2),0)</f>
        <v>0</v>
      </c>
      <c r="K348" s="52">
        <f>IFERROR(ROUND(IF(ISNUMBER(INDEX('M04-S01'!$AN$16:$AN$198,2*(ROWS($R$309:$R348)-1)+1)),INDEX('M04-S01'!$AH$16:$AH$198,2*(ROWS($K$309:$K348)-1)+1),""),2),0)</f>
        <v>0</v>
      </c>
      <c r="M348" s="456" t="str">
        <f>IF(ISNUMBER(INDEX('M04-S01'!$AN$16:$AN$198,2*(ROWS($R$309:R348)-1)+1)),INDEX('M04-S01'!$Z$16:$Z$198,2*(ROWS($M$309:M348)-1)+1),"")</f>
        <v/>
      </c>
      <c r="N348" s="184" t="str">
        <f>IF(ISNUMBER(INDEX('M04-S01'!$AN$16:$AN$198,2*(ROWS($R$309:R348)-1)+1)),INDEX('M04-S01'!$AK$16:$AK$198,2*(ROWS($N$309:N348)-1)+1),"")</f>
        <v/>
      </c>
      <c r="O348" s="456" t="str">
        <f>IF(ISNUMBER(INDEX('M04-S01'!$AN$16:$AN$198,2*(ROWS($R$309:R348)-1)+1)),INDEX('M04-S01'!$AW$16:$AW$198,2*(ROWS($O$309:O348)-1)+1),"")</f>
        <v/>
      </c>
      <c r="P348" s="113"/>
      <c r="Q348" s="456" t="str">
        <f>IF(ISNUMBER(INDEX('M04-S01'!$AN$16:$AN$198,2*(ROWS($R$309:R348)-1)+1)),INDEX('M04-S01'!$BB$16:$BB$198,2*(ROWS($Q$309:Q348)-1)+1),"")</f>
        <v/>
      </c>
      <c r="R348" s="184">
        <f>IF(ISNUMBER(INDEX('M04-S01'!$AN$16:$AN$198,2*(ROWS($R$309:R348)-1)+1)),INDEX('M04-S01'!$AN$16:$AN$198,2*(ROWS($R$309:R348)-1)+1),0)</f>
        <v>0</v>
      </c>
      <c r="S348" s="23">
        <f>IF(NOT(ISNUMBER(INDEX('M04-S01'!$AN$16:$AN$198,2*(ROWS($R$309:R348)-1)+1))),INDEX('M04-S01'!$Z$16:$Z$198,2*(ROWS($S$309:S348)-1)+1),"")</f>
        <v>0</v>
      </c>
      <c r="T348" s="52" t="str">
        <f>IFERROR(IF(NOT(ISNUMBER(INDEX('M04-S01'!$AN$16:$AN$198,2*(ROWS($R$309:R348)-1)+1))),INDEX('M04-S01'!$AK$16:$AK$198,2*(ROWS($R$309:R348)-1)+1),0),0)</f>
        <v/>
      </c>
      <c r="U348" s="23" t="str">
        <f>IFERROR(IF(NOT(ISNUMBER(INDEX('M04-S01'!$AN$16:$AN$198,2*(ROWS($R$309:R348)-1)+1))),INDEX('M04-S01'!$AW$16:$AW$198,2*(ROWS($R$309:R348)-1)+1),""),"")</f>
        <v/>
      </c>
      <c r="V348" s="113"/>
      <c r="W348" t="str">
        <f>IFERROR(IF(NOT(ISNUMBER(INDEX('M04-S01'!$AN$16:$AN$198,2*(ROWS($R$309:R348)-1)+1))),INDEX('M04-S01'!$BD$16:$BD$198,2*(ROWS($R$309:R348)-1)+1),""),"")</f>
        <v/>
      </c>
      <c r="X348" s="184" t="str">
        <f>IFERROR(ROUND(INDEX('M04-S01'!$O$16:$O$198,2*(ROWS($X$309:X348)-1)+1),3),"")</f>
        <v/>
      </c>
      <c r="Y348" s="184">
        <f>IFERROR(ROUND(INDEX('M04-S01'!$AB$16:$AB$198,2*(ROWS($Y$309:Y348)-1)+1),3),"")</f>
        <v>0</v>
      </c>
      <c r="Z348" s="111">
        <f>INDEX('M04-S01'!$B$16:$B$198,2*(ROWS($Z$309:Z348)-1)+1)</f>
        <v>40</v>
      </c>
      <c r="AA348" s="111">
        <f>INDEX('M04-S01'!$F$16:$F$198,2*(ROWS($Z$309:AA348)-1)+1)</f>
        <v>0</v>
      </c>
      <c r="AB348" s="111">
        <f>INDEX('M04-S01'!$S$16:$S$198,2*(ROWS($Z$309:AB348)-1)+1)</f>
        <v>0</v>
      </c>
      <c r="AC348">
        <f>INDEX('M04-S01'!$J$16:$J$198,2*(ROWS($AC$309:AC348)-1)+1)</f>
        <v>0</v>
      </c>
      <c r="AD348">
        <f>INDEX('M04-S01'!$W$16:$W$198,2*(ROWS($AD$309:AD348)-1)+1)</f>
        <v>0</v>
      </c>
      <c r="AE348" s="459"/>
      <c r="AF348" s="459"/>
      <c r="AG348" s="111" t="str">
        <f>INDEX('M04-S01'!$AX$16:$AX$198,2*(ROWS($AG$309:AG348)-1)+1)</f>
        <v/>
      </c>
      <c r="AH348" s="111" t="str">
        <f>INDEX('M04-S01'!$AY$16:$AY$198,2*(ROWS($AH$309:AH348)-1)+1)</f>
        <v/>
      </c>
      <c r="AI348" s="113"/>
      <c r="AJ348" s="113"/>
      <c r="AK348" s="52" t="str">
        <f>INDEX('M04-S01'!$AV$16:$AV$198,2*(ROWS($AK$309:AK348)-1)+1)</f>
        <v/>
      </c>
      <c r="AL348" s="184">
        <f>IF(NOT(ISNUMBER(INDEX('M04-S01'!$AN$16:$AN$198,2*(ROWS($R$309:$R348)-1)+1))),INDEX('M04-S01'!$Z$16:$Z$198,2*(ROWS($AL$309:$AL348)-1)+1)*INDEX('M04-S01'!$AD$16:$AD$198,2*(ROWS($AL$309:$AL348)-1)+1),"")</f>
        <v>0</v>
      </c>
      <c r="AM348" s="184">
        <f>IF(AND(NOT(ISNUMBER(INDEX('M04-S01'!$AN$16:$AN$198,2*(ROWS($R$309:$R348)-1)+1))),T348&gt;0),INDEX('M04-S01'!$Z$16:$Z$198,2*(ROWS($AM$309:$AM348)-1)+1)*INDEX('M04-S01'!$AF$16:$AF$198,2*(ROWS($AM$309:$AM348)-1)+1),"")</f>
        <v>0</v>
      </c>
      <c r="AN348" s="52" t="str">
        <f>IF(NOT(ISNUMBER(INDEX('M04-S01'!$AN$16:$AN$198,2*(ROWS($R$309:$R348)-1)+1))),INDEX('M04-S01'!$AH$16:$AH$198,2*(ROWS($AN$309:$AN348)-1)+1),"")</f>
        <v/>
      </c>
      <c r="AO348" s="113"/>
      <c r="AU348"/>
    </row>
    <row r="349" spans="1:47">
      <c r="A349" s="57">
        <f t="shared" si="31"/>
        <v>0</v>
      </c>
      <c r="B349" s="183" t="str">
        <f t="shared" si="33"/>
        <v/>
      </c>
      <c r="C349" s="186" t="str">
        <f>IF(OR(R349&gt;0,T349&gt;0),INDEX('M04-S01'!$AZ$16:$AZ$198,2*(ROWS($C$309:C349)-1)+1),"")</f>
        <v/>
      </c>
      <c r="D349" t="s">
        <v>231</v>
      </c>
      <c r="F349" s="185">
        <f>INDEX('M04-S01'!$Q$16:$Q$198,2*(ROWS($F$309:F349)-1)+1)</f>
        <v>0</v>
      </c>
      <c r="G349" s="186">
        <f>INDEX('M04-S01'!$C$16:$C$198,2*(ROWS($G$309:G349)-1)+1)</f>
        <v>0</v>
      </c>
      <c r="H349" s="186" t="str">
        <f>IF(ISNUMBER(INDEX('M04-S01'!$AN$16:$AN$198,2*(ROWS($R$309:R349)-1)+1)),"Total","")</f>
        <v/>
      </c>
      <c r="I349" s="184">
        <f>IFERROR(ROUND(IF(ISNUMBER(INDEX('M04-S01'!$AN$16:$AN$198,2*(ROWS($R$309:$R349)-1)+1)),INDEX('M04-S01'!$Z$16:$Z$198,2*(ROWS($I$309:$I349)-1)+1)*INDEX('M04-S01'!$AD$16:$AD$198,2*(ROWS($I$309:$I349)-1)+1),""),2),0)</f>
        <v>0</v>
      </c>
      <c r="J349" s="184">
        <f>IFERROR(ROUND(IF(ISNUMBER(INDEX('M04-S01'!$AN$16:$AN$198,2*(ROWS($R$309:$R349)-1)+1)),INDEX('M04-S01'!$Z$16:$Z$198,2*(ROWS($J$309:$J349)-1)+1)*INDEX('M04-S01'!$AF$16:$AF$198,2*(ROWS($J$309:$J349)-1)+1),""),2),0)</f>
        <v>0</v>
      </c>
      <c r="K349" s="52">
        <f>IFERROR(ROUND(IF(ISNUMBER(INDEX('M04-S01'!$AN$16:$AN$198,2*(ROWS($R$309:$R349)-1)+1)),INDEX('M04-S01'!$AH$16:$AH$198,2*(ROWS($K$309:$K349)-1)+1),""),2),0)</f>
        <v>0</v>
      </c>
      <c r="M349" s="456" t="str">
        <f>IF(ISNUMBER(INDEX('M04-S01'!$AN$16:$AN$198,2*(ROWS($R$309:R349)-1)+1)),INDEX('M04-S01'!$Z$16:$Z$198,2*(ROWS($M$309:M349)-1)+1),"")</f>
        <v/>
      </c>
      <c r="N349" s="184" t="str">
        <f>IF(ISNUMBER(INDEX('M04-S01'!$AN$16:$AN$198,2*(ROWS($R$309:R349)-1)+1)),INDEX('M04-S01'!$AK$16:$AK$198,2*(ROWS($N$309:N349)-1)+1),"")</f>
        <v/>
      </c>
      <c r="O349" s="456" t="str">
        <f>IF(ISNUMBER(INDEX('M04-S01'!$AN$16:$AN$198,2*(ROWS($R$309:R349)-1)+1)),INDEX('M04-S01'!$AW$16:$AW$198,2*(ROWS($O$309:O349)-1)+1),"")</f>
        <v/>
      </c>
      <c r="P349" s="113"/>
      <c r="Q349" s="456" t="str">
        <f>IF(ISNUMBER(INDEX('M04-S01'!$AN$16:$AN$198,2*(ROWS($R$309:R349)-1)+1)),INDEX('M04-S01'!$BB$16:$BB$198,2*(ROWS($Q$309:Q349)-1)+1),"")</f>
        <v/>
      </c>
      <c r="R349" s="184">
        <f>IF(ISNUMBER(INDEX('M04-S01'!$AN$16:$AN$198,2*(ROWS($R$309:R349)-1)+1)),INDEX('M04-S01'!$AN$16:$AN$198,2*(ROWS($R$309:R349)-1)+1),0)</f>
        <v>0</v>
      </c>
      <c r="S349" s="23">
        <f>IF(NOT(ISNUMBER(INDEX('M04-S01'!$AN$16:$AN$198,2*(ROWS($R$309:R349)-1)+1))),INDEX('M04-S01'!$Z$16:$Z$198,2*(ROWS($S$309:S349)-1)+1),"")</f>
        <v>0</v>
      </c>
      <c r="T349" s="52" t="str">
        <f>IFERROR(IF(NOT(ISNUMBER(INDEX('M04-S01'!$AN$16:$AN$198,2*(ROWS($R$309:R349)-1)+1))),INDEX('M04-S01'!$AK$16:$AK$198,2*(ROWS($R$309:R349)-1)+1),0),0)</f>
        <v/>
      </c>
      <c r="U349" s="23" t="str">
        <f>IFERROR(IF(NOT(ISNUMBER(INDEX('M04-S01'!$AN$16:$AN$198,2*(ROWS($R$309:R349)-1)+1))),INDEX('M04-S01'!$AW$16:$AW$198,2*(ROWS($R$309:R349)-1)+1),""),"")</f>
        <v/>
      </c>
      <c r="V349" s="113"/>
      <c r="W349" t="str">
        <f>IFERROR(IF(NOT(ISNUMBER(INDEX('M04-S01'!$AN$16:$AN$198,2*(ROWS($R$309:R349)-1)+1))),INDEX('M04-S01'!$BD$16:$BD$198,2*(ROWS($R$309:R349)-1)+1),""),"")</f>
        <v/>
      </c>
      <c r="X349" s="184" t="str">
        <f>IFERROR(ROUND(INDEX('M04-S01'!$O$16:$O$198,2*(ROWS($X$309:X349)-1)+1),3),"")</f>
        <v/>
      </c>
      <c r="Y349" s="184">
        <f>IFERROR(ROUND(INDEX('M04-S01'!$AB$16:$AB$198,2*(ROWS($Y$309:Y349)-1)+1),3),"")</f>
        <v>0</v>
      </c>
      <c r="Z349" s="111">
        <f>INDEX('M04-S01'!$B$16:$B$198,2*(ROWS($Z$309:Z349)-1)+1)</f>
        <v>41</v>
      </c>
      <c r="AA349" s="111">
        <f>INDEX('M04-S01'!$F$16:$F$198,2*(ROWS($Z$309:AA349)-1)+1)</f>
        <v>0</v>
      </c>
      <c r="AB349" s="111">
        <f>INDEX('M04-S01'!$S$16:$S$198,2*(ROWS($Z$309:AB349)-1)+1)</f>
        <v>0</v>
      </c>
      <c r="AC349">
        <f>INDEX('M04-S01'!$J$16:$J$198,2*(ROWS($AC$309:AC349)-1)+1)</f>
        <v>0</v>
      </c>
      <c r="AD349">
        <f>INDEX('M04-S01'!$W$16:$W$198,2*(ROWS($AD$309:AD349)-1)+1)</f>
        <v>0</v>
      </c>
      <c r="AE349" s="459"/>
      <c r="AF349" s="459"/>
      <c r="AG349" s="111" t="str">
        <f>INDEX('M04-S01'!$AX$16:$AX$198,2*(ROWS($AG$309:AG349)-1)+1)</f>
        <v/>
      </c>
      <c r="AH349" s="111" t="str">
        <f>INDEX('M04-S01'!$AY$16:$AY$198,2*(ROWS($AH$309:AH349)-1)+1)</f>
        <v/>
      </c>
      <c r="AI349" s="113"/>
      <c r="AJ349" s="113"/>
      <c r="AK349" s="52" t="str">
        <f>INDEX('M04-S01'!$AV$16:$AV$198,2*(ROWS($AK$309:AK349)-1)+1)</f>
        <v/>
      </c>
      <c r="AL349" s="184">
        <f>IF(NOT(ISNUMBER(INDEX('M04-S01'!$AN$16:$AN$198,2*(ROWS($R$309:$R349)-1)+1))),INDEX('M04-S01'!$Z$16:$Z$198,2*(ROWS($AL$309:$AL349)-1)+1)*INDEX('M04-S01'!$AD$16:$AD$198,2*(ROWS($AL$309:$AL349)-1)+1),"")</f>
        <v>0</v>
      </c>
      <c r="AM349" s="184">
        <f>IF(AND(NOT(ISNUMBER(INDEX('M04-S01'!$AN$16:$AN$198,2*(ROWS($R$309:$R349)-1)+1))),T349&gt;0),INDEX('M04-S01'!$Z$16:$Z$198,2*(ROWS($AM$309:$AM349)-1)+1)*INDEX('M04-S01'!$AF$16:$AF$198,2*(ROWS($AM$309:$AM349)-1)+1),"")</f>
        <v>0</v>
      </c>
      <c r="AN349" s="52" t="str">
        <f>IF(NOT(ISNUMBER(INDEX('M04-S01'!$AN$16:$AN$198,2*(ROWS($R$309:$R349)-1)+1))),INDEX('M04-S01'!$AH$16:$AH$198,2*(ROWS($AN$309:$AN349)-1)+1),"")</f>
        <v/>
      </c>
      <c r="AO349" s="113"/>
      <c r="AU349"/>
    </row>
    <row r="350" spans="1:47">
      <c r="A350" s="57">
        <f t="shared" si="31"/>
        <v>0</v>
      </c>
      <c r="B350" s="183" t="str">
        <f t="shared" si="33"/>
        <v/>
      </c>
      <c r="C350" s="186" t="str">
        <f>IF(OR(R350&gt;0,T350&gt;0),INDEX('M04-S01'!$AZ$16:$AZ$198,2*(ROWS($C$309:C350)-1)+1),"")</f>
        <v/>
      </c>
      <c r="D350" t="s">
        <v>231</v>
      </c>
      <c r="F350" s="185">
        <f>INDEX('M04-S01'!$Q$16:$Q$198,2*(ROWS($F$309:F350)-1)+1)</f>
        <v>0</v>
      </c>
      <c r="G350" s="186">
        <f>INDEX('M04-S01'!$C$16:$C$198,2*(ROWS($G$309:G350)-1)+1)</f>
        <v>0</v>
      </c>
      <c r="H350" s="186" t="str">
        <f>IF(ISNUMBER(INDEX('M04-S01'!$AN$16:$AN$198,2*(ROWS($R$309:R350)-1)+1)),"Total","")</f>
        <v/>
      </c>
      <c r="I350" s="184">
        <f>IFERROR(ROUND(IF(ISNUMBER(INDEX('M04-S01'!$AN$16:$AN$198,2*(ROWS($R$309:$R350)-1)+1)),INDEX('M04-S01'!$Z$16:$Z$198,2*(ROWS($I$309:$I350)-1)+1)*INDEX('M04-S01'!$AD$16:$AD$198,2*(ROWS($I$309:$I350)-1)+1),""),2),0)</f>
        <v>0</v>
      </c>
      <c r="J350" s="184">
        <f>IFERROR(ROUND(IF(ISNUMBER(INDEX('M04-S01'!$AN$16:$AN$198,2*(ROWS($R$309:$R350)-1)+1)),INDEX('M04-S01'!$Z$16:$Z$198,2*(ROWS($J$309:$J350)-1)+1)*INDEX('M04-S01'!$AF$16:$AF$198,2*(ROWS($J$309:$J350)-1)+1),""),2),0)</f>
        <v>0</v>
      </c>
      <c r="K350" s="52">
        <f>IFERROR(ROUND(IF(ISNUMBER(INDEX('M04-S01'!$AN$16:$AN$198,2*(ROWS($R$309:$R350)-1)+1)),INDEX('M04-S01'!$AH$16:$AH$198,2*(ROWS($K$309:$K350)-1)+1),""),2),0)</f>
        <v>0</v>
      </c>
      <c r="M350" s="456" t="str">
        <f>IF(ISNUMBER(INDEX('M04-S01'!$AN$16:$AN$198,2*(ROWS($R$309:R350)-1)+1)),INDEX('M04-S01'!$Z$16:$Z$198,2*(ROWS($M$309:M350)-1)+1),"")</f>
        <v/>
      </c>
      <c r="N350" s="184" t="str">
        <f>IF(ISNUMBER(INDEX('M04-S01'!$AN$16:$AN$198,2*(ROWS($R$309:R350)-1)+1)),INDEX('M04-S01'!$AK$16:$AK$198,2*(ROWS($N$309:N350)-1)+1),"")</f>
        <v/>
      </c>
      <c r="O350" s="456" t="str">
        <f>IF(ISNUMBER(INDEX('M04-S01'!$AN$16:$AN$198,2*(ROWS($R$309:R350)-1)+1)),INDEX('M04-S01'!$AW$16:$AW$198,2*(ROWS($O$309:O350)-1)+1),"")</f>
        <v/>
      </c>
      <c r="P350" s="113"/>
      <c r="Q350" s="456" t="str">
        <f>IF(ISNUMBER(INDEX('M04-S01'!$AN$16:$AN$198,2*(ROWS($R$309:R350)-1)+1)),INDEX('M04-S01'!$BB$16:$BB$198,2*(ROWS($Q$309:Q350)-1)+1),"")</f>
        <v/>
      </c>
      <c r="R350" s="184">
        <f>IF(ISNUMBER(INDEX('M04-S01'!$AN$16:$AN$198,2*(ROWS($R$309:R350)-1)+1)),INDEX('M04-S01'!$AN$16:$AN$198,2*(ROWS($R$309:R350)-1)+1),0)</f>
        <v>0</v>
      </c>
      <c r="S350" s="23">
        <f>IF(NOT(ISNUMBER(INDEX('M04-S01'!$AN$16:$AN$198,2*(ROWS($R$309:R350)-1)+1))),INDEX('M04-S01'!$Z$16:$Z$198,2*(ROWS($S$309:S350)-1)+1),"")</f>
        <v>0</v>
      </c>
      <c r="T350" s="52" t="str">
        <f>IFERROR(IF(NOT(ISNUMBER(INDEX('M04-S01'!$AN$16:$AN$198,2*(ROWS($R$309:R350)-1)+1))),INDEX('M04-S01'!$AK$16:$AK$198,2*(ROWS($R$309:R350)-1)+1),0),0)</f>
        <v/>
      </c>
      <c r="U350" s="23" t="str">
        <f>IFERROR(IF(NOT(ISNUMBER(INDEX('M04-S01'!$AN$16:$AN$198,2*(ROWS($R$309:R350)-1)+1))),INDEX('M04-S01'!$AW$16:$AW$198,2*(ROWS($R$309:R350)-1)+1),""),"")</f>
        <v/>
      </c>
      <c r="V350" s="113"/>
      <c r="W350" t="str">
        <f>IFERROR(IF(NOT(ISNUMBER(INDEX('M04-S01'!$AN$16:$AN$198,2*(ROWS($R$309:R350)-1)+1))),INDEX('M04-S01'!$BD$16:$BD$198,2*(ROWS($R$309:R350)-1)+1),""),"")</f>
        <v/>
      </c>
      <c r="X350" s="184" t="str">
        <f>IFERROR(ROUND(INDEX('M04-S01'!$O$16:$O$198,2*(ROWS($X$309:X350)-1)+1),3),"")</f>
        <v/>
      </c>
      <c r="Y350" s="184">
        <f>IFERROR(ROUND(INDEX('M04-S01'!$AB$16:$AB$198,2*(ROWS($Y$309:Y350)-1)+1),3),"")</f>
        <v>0</v>
      </c>
      <c r="Z350" s="111">
        <f>INDEX('M04-S01'!$B$16:$B$198,2*(ROWS($Z$309:Z350)-1)+1)</f>
        <v>42</v>
      </c>
      <c r="AA350" s="111">
        <f>INDEX('M04-S01'!$F$16:$F$198,2*(ROWS($Z$309:AA350)-1)+1)</f>
        <v>0</v>
      </c>
      <c r="AB350" s="111">
        <f>INDEX('M04-S01'!$S$16:$S$198,2*(ROWS($Z$309:AB350)-1)+1)</f>
        <v>0</v>
      </c>
      <c r="AC350">
        <f>INDEX('M04-S01'!$J$16:$J$198,2*(ROWS($AC$309:AC350)-1)+1)</f>
        <v>0</v>
      </c>
      <c r="AD350">
        <f>INDEX('M04-S01'!$W$16:$W$198,2*(ROWS($AD$309:AD350)-1)+1)</f>
        <v>0</v>
      </c>
      <c r="AE350" s="459"/>
      <c r="AF350" s="459"/>
      <c r="AG350" s="111" t="str">
        <f>INDEX('M04-S01'!$AX$16:$AX$198,2*(ROWS($AG$309:AG350)-1)+1)</f>
        <v/>
      </c>
      <c r="AH350" s="111" t="str">
        <f>INDEX('M04-S01'!$AY$16:$AY$198,2*(ROWS($AH$309:AH350)-1)+1)</f>
        <v/>
      </c>
      <c r="AI350" s="113"/>
      <c r="AJ350" s="113"/>
      <c r="AK350" s="52" t="str">
        <f>INDEX('M04-S01'!$AV$16:$AV$198,2*(ROWS($AK$309:AK350)-1)+1)</f>
        <v/>
      </c>
      <c r="AL350" s="184">
        <f>IF(NOT(ISNUMBER(INDEX('M04-S01'!$AN$16:$AN$198,2*(ROWS($R$309:$R350)-1)+1))),INDEX('M04-S01'!$Z$16:$Z$198,2*(ROWS($AL$309:$AL350)-1)+1)*INDEX('M04-S01'!$AD$16:$AD$198,2*(ROWS($AL$309:$AL350)-1)+1),"")</f>
        <v>0</v>
      </c>
      <c r="AM350" s="184">
        <f>IF(AND(NOT(ISNUMBER(INDEX('M04-S01'!$AN$16:$AN$198,2*(ROWS($R$309:$R350)-1)+1))),T350&gt;0),INDEX('M04-S01'!$Z$16:$Z$198,2*(ROWS($AM$309:$AM350)-1)+1)*INDEX('M04-S01'!$AF$16:$AF$198,2*(ROWS($AM$309:$AM350)-1)+1),"")</f>
        <v>0</v>
      </c>
      <c r="AN350" s="52" t="str">
        <f>IF(NOT(ISNUMBER(INDEX('M04-S01'!$AN$16:$AN$198,2*(ROWS($R$309:$R350)-1)+1))),INDEX('M04-S01'!$AH$16:$AH$198,2*(ROWS($AN$309:$AN350)-1)+1),"")</f>
        <v/>
      </c>
      <c r="AO350" s="113"/>
      <c r="AU350"/>
    </row>
    <row r="351" spans="1:47">
      <c r="A351" s="57">
        <f t="shared" si="31"/>
        <v>0</v>
      </c>
      <c r="B351" s="183" t="str">
        <f t="shared" si="33"/>
        <v/>
      </c>
      <c r="C351" s="186" t="str">
        <f>IF(OR(R351&gt;0,T351&gt;0),INDEX('M04-S01'!$AZ$16:$AZ$198,2*(ROWS($C$309:C351)-1)+1),"")</f>
        <v/>
      </c>
      <c r="D351" t="s">
        <v>231</v>
      </c>
      <c r="F351" s="185">
        <f>INDEX('M04-S01'!$Q$16:$Q$198,2*(ROWS($F$309:F351)-1)+1)</f>
        <v>0</v>
      </c>
      <c r="G351" s="186">
        <f>INDEX('M04-S01'!$C$16:$C$198,2*(ROWS($G$309:G351)-1)+1)</f>
        <v>0</v>
      </c>
      <c r="H351" s="186" t="str">
        <f>IF(ISNUMBER(INDEX('M04-S01'!$AN$16:$AN$198,2*(ROWS($R$309:R351)-1)+1)),"Total","")</f>
        <v/>
      </c>
      <c r="I351" s="184">
        <f>IFERROR(ROUND(IF(ISNUMBER(INDEX('M04-S01'!$AN$16:$AN$198,2*(ROWS($R$309:$R351)-1)+1)),INDEX('M04-S01'!$Z$16:$Z$198,2*(ROWS($I$309:$I351)-1)+1)*INDEX('M04-S01'!$AD$16:$AD$198,2*(ROWS($I$309:$I351)-1)+1),""),2),0)</f>
        <v>0</v>
      </c>
      <c r="J351" s="184">
        <f>IFERROR(ROUND(IF(ISNUMBER(INDEX('M04-S01'!$AN$16:$AN$198,2*(ROWS($R$309:$R351)-1)+1)),INDEX('M04-S01'!$Z$16:$Z$198,2*(ROWS($J$309:$J351)-1)+1)*INDEX('M04-S01'!$AF$16:$AF$198,2*(ROWS($J$309:$J351)-1)+1),""),2),0)</f>
        <v>0</v>
      </c>
      <c r="K351" s="52">
        <f>IFERROR(ROUND(IF(ISNUMBER(INDEX('M04-S01'!$AN$16:$AN$198,2*(ROWS($R$309:$R351)-1)+1)),INDEX('M04-S01'!$AH$16:$AH$198,2*(ROWS($K$309:$K351)-1)+1),""),2),0)</f>
        <v>0</v>
      </c>
      <c r="M351" s="456" t="str">
        <f>IF(ISNUMBER(INDEX('M04-S01'!$AN$16:$AN$198,2*(ROWS($R$309:R351)-1)+1)),INDEX('M04-S01'!$Z$16:$Z$198,2*(ROWS($M$309:M351)-1)+1),"")</f>
        <v/>
      </c>
      <c r="N351" s="184" t="str">
        <f>IF(ISNUMBER(INDEX('M04-S01'!$AN$16:$AN$198,2*(ROWS($R$309:R351)-1)+1)),INDEX('M04-S01'!$AK$16:$AK$198,2*(ROWS($N$309:N351)-1)+1),"")</f>
        <v/>
      </c>
      <c r="O351" s="456" t="str">
        <f>IF(ISNUMBER(INDEX('M04-S01'!$AN$16:$AN$198,2*(ROWS($R$309:R351)-1)+1)),INDEX('M04-S01'!$AW$16:$AW$198,2*(ROWS($O$309:O351)-1)+1),"")</f>
        <v/>
      </c>
      <c r="P351" s="113"/>
      <c r="Q351" s="456" t="str">
        <f>IF(ISNUMBER(INDEX('M04-S01'!$AN$16:$AN$198,2*(ROWS($R$309:R351)-1)+1)),INDEX('M04-S01'!$BB$16:$BB$198,2*(ROWS($Q$309:Q351)-1)+1),"")</f>
        <v/>
      </c>
      <c r="R351" s="184">
        <f>IF(ISNUMBER(INDEX('M04-S01'!$AN$16:$AN$198,2*(ROWS($R$309:R351)-1)+1)),INDEX('M04-S01'!$AN$16:$AN$198,2*(ROWS($R$309:R351)-1)+1),0)</f>
        <v>0</v>
      </c>
      <c r="S351" s="23">
        <f>IF(NOT(ISNUMBER(INDEX('M04-S01'!$AN$16:$AN$198,2*(ROWS($R$309:R351)-1)+1))),INDEX('M04-S01'!$Z$16:$Z$198,2*(ROWS($S$309:S351)-1)+1),"")</f>
        <v>0</v>
      </c>
      <c r="T351" s="52" t="str">
        <f>IFERROR(IF(NOT(ISNUMBER(INDEX('M04-S01'!$AN$16:$AN$198,2*(ROWS($R$309:R351)-1)+1))),INDEX('M04-S01'!$AK$16:$AK$198,2*(ROWS($R$309:R351)-1)+1),0),0)</f>
        <v/>
      </c>
      <c r="U351" s="23" t="str">
        <f>IFERROR(IF(NOT(ISNUMBER(INDEX('M04-S01'!$AN$16:$AN$198,2*(ROWS($R$309:R351)-1)+1))),INDEX('M04-S01'!$AW$16:$AW$198,2*(ROWS($R$309:R351)-1)+1),""),"")</f>
        <v/>
      </c>
      <c r="V351" s="113"/>
      <c r="W351" t="str">
        <f>IFERROR(IF(NOT(ISNUMBER(INDEX('M04-S01'!$AN$16:$AN$198,2*(ROWS($R$309:R351)-1)+1))),INDEX('M04-S01'!$BD$16:$BD$198,2*(ROWS($R$309:R351)-1)+1),""),"")</f>
        <v/>
      </c>
      <c r="X351" s="184" t="str">
        <f>IFERROR(ROUND(INDEX('M04-S01'!$O$16:$O$198,2*(ROWS($X$309:X351)-1)+1),3),"")</f>
        <v/>
      </c>
      <c r="Y351" s="184">
        <f>IFERROR(ROUND(INDEX('M04-S01'!$AB$16:$AB$198,2*(ROWS($Y$309:Y351)-1)+1),3),"")</f>
        <v>0</v>
      </c>
      <c r="Z351" s="111">
        <f>INDEX('M04-S01'!$B$16:$B$198,2*(ROWS($Z$309:Z351)-1)+1)</f>
        <v>43</v>
      </c>
      <c r="AA351" s="111">
        <f>INDEX('M04-S01'!$F$16:$F$198,2*(ROWS($Z$309:AA351)-1)+1)</f>
        <v>0</v>
      </c>
      <c r="AB351" s="111">
        <f>INDEX('M04-S01'!$S$16:$S$198,2*(ROWS($Z$309:AB351)-1)+1)</f>
        <v>0</v>
      </c>
      <c r="AC351">
        <f>INDEX('M04-S01'!$J$16:$J$198,2*(ROWS($AC$309:AC351)-1)+1)</f>
        <v>0</v>
      </c>
      <c r="AD351">
        <f>INDEX('M04-S01'!$W$16:$W$198,2*(ROWS($AD$309:AD351)-1)+1)</f>
        <v>0</v>
      </c>
      <c r="AE351" s="459"/>
      <c r="AF351" s="459"/>
      <c r="AG351" s="111" t="str">
        <f>INDEX('M04-S01'!$AX$16:$AX$198,2*(ROWS($AG$309:AG351)-1)+1)</f>
        <v/>
      </c>
      <c r="AH351" s="111" t="str">
        <f>INDEX('M04-S01'!$AY$16:$AY$198,2*(ROWS($AH$309:AH351)-1)+1)</f>
        <v/>
      </c>
      <c r="AI351" s="113"/>
      <c r="AJ351" s="113"/>
      <c r="AK351" s="52" t="str">
        <f>INDEX('M04-S01'!$AV$16:$AV$198,2*(ROWS($AK$309:AK351)-1)+1)</f>
        <v/>
      </c>
      <c r="AL351" s="184">
        <f>IF(NOT(ISNUMBER(INDEX('M04-S01'!$AN$16:$AN$198,2*(ROWS($R$309:$R351)-1)+1))),INDEX('M04-S01'!$Z$16:$Z$198,2*(ROWS($AL$309:$AL351)-1)+1)*INDEX('M04-S01'!$AD$16:$AD$198,2*(ROWS($AL$309:$AL351)-1)+1),"")</f>
        <v>0</v>
      </c>
      <c r="AM351" s="184">
        <f>IF(AND(NOT(ISNUMBER(INDEX('M04-S01'!$AN$16:$AN$198,2*(ROWS($R$309:$R351)-1)+1))),T351&gt;0),INDEX('M04-S01'!$Z$16:$Z$198,2*(ROWS($AM$309:$AM351)-1)+1)*INDEX('M04-S01'!$AF$16:$AF$198,2*(ROWS($AM$309:$AM351)-1)+1),"")</f>
        <v>0</v>
      </c>
      <c r="AN351" s="52" t="str">
        <f>IF(NOT(ISNUMBER(INDEX('M04-S01'!$AN$16:$AN$198,2*(ROWS($R$309:$R351)-1)+1))),INDEX('M04-S01'!$AH$16:$AH$198,2*(ROWS($AN$309:$AN351)-1)+1),"")</f>
        <v/>
      </c>
      <c r="AO351" s="113"/>
      <c r="AU351"/>
    </row>
    <row r="352" spans="1:47">
      <c r="A352" s="57">
        <f t="shared" si="31"/>
        <v>0</v>
      </c>
      <c r="B352" s="183" t="str">
        <f t="shared" si="33"/>
        <v/>
      </c>
      <c r="C352" s="186" t="str">
        <f>IF(OR(R352&gt;0,T352&gt;0),INDEX('M04-S01'!$AZ$16:$AZ$198,2*(ROWS($C$309:C352)-1)+1),"")</f>
        <v/>
      </c>
      <c r="D352" t="s">
        <v>231</v>
      </c>
      <c r="F352" s="185">
        <f>INDEX('M04-S01'!$Q$16:$Q$198,2*(ROWS($F$309:F352)-1)+1)</f>
        <v>0</v>
      </c>
      <c r="G352" s="186">
        <f>INDEX('M04-S01'!$C$16:$C$198,2*(ROWS($G$309:G352)-1)+1)</f>
        <v>0</v>
      </c>
      <c r="H352" s="186" t="str">
        <f>IF(ISNUMBER(INDEX('M04-S01'!$AN$16:$AN$198,2*(ROWS($R$309:R352)-1)+1)),"Total","")</f>
        <v/>
      </c>
      <c r="I352" s="184">
        <f>IFERROR(ROUND(IF(ISNUMBER(INDEX('M04-S01'!$AN$16:$AN$198,2*(ROWS($R$309:$R352)-1)+1)),INDEX('M04-S01'!$Z$16:$Z$198,2*(ROWS($I$309:$I352)-1)+1)*INDEX('M04-S01'!$AD$16:$AD$198,2*(ROWS($I$309:$I352)-1)+1),""),2),0)</f>
        <v>0</v>
      </c>
      <c r="J352" s="184">
        <f>IFERROR(ROUND(IF(ISNUMBER(INDEX('M04-S01'!$AN$16:$AN$198,2*(ROWS($R$309:$R352)-1)+1)),INDEX('M04-S01'!$Z$16:$Z$198,2*(ROWS($J$309:$J352)-1)+1)*INDEX('M04-S01'!$AF$16:$AF$198,2*(ROWS($J$309:$J352)-1)+1),""),2),0)</f>
        <v>0</v>
      </c>
      <c r="K352" s="52">
        <f>IFERROR(ROUND(IF(ISNUMBER(INDEX('M04-S01'!$AN$16:$AN$198,2*(ROWS($R$309:$R352)-1)+1)),INDEX('M04-S01'!$AH$16:$AH$198,2*(ROWS($K$309:$K352)-1)+1),""),2),0)</f>
        <v>0</v>
      </c>
      <c r="M352" s="456" t="str">
        <f>IF(ISNUMBER(INDEX('M04-S01'!$AN$16:$AN$198,2*(ROWS($R$309:R352)-1)+1)),INDEX('M04-S01'!$Z$16:$Z$198,2*(ROWS($M$309:M352)-1)+1),"")</f>
        <v/>
      </c>
      <c r="N352" s="184" t="str">
        <f>IF(ISNUMBER(INDEX('M04-S01'!$AN$16:$AN$198,2*(ROWS($R$309:R352)-1)+1)),INDEX('M04-S01'!$AK$16:$AK$198,2*(ROWS($N$309:N352)-1)+1),"")</f>
        <v/>
      </c>
      <c r="O352" s="456" t="str">
        <f>IF(ISNUMBER(INDEX('M04-S01'!$AN$16:$AN$198,2*(ROWS($R$309:R352)-1)+1)),INDEX('M04-S01'!$AW$16:$AW$198,2*(ROWS($O$309:O352)-1)+1),"")</f>
        <v/>
      </c>
      <c r="P352" s="113"/>
      <c r="Q352" s="456" t="str">
        <f>IF(ISNUMBER(INDEX('M04-S01'!$AN$16:$AN$198,2*(ROWS($R$309:R352)-1)+1)),INDEX('M04-S01'!$BB$16:$BB$198,2*(ROWS($Q$309:Q352)-1)+1),"")</f>
        <v/>
      </c>
      <c r="R352" s="184">
        <f>IF(ISNUMBER(INDEX('M04-S01'!$AN$16:$AN$198,2*(ROWS($R$309:R352)-1)+1)),INDEX('M04-S01'!$AN$16:$AN$198,2*(ROWS($R$309:R352)-1)+1),0)</f>
        <v>0</v>
      </c>
      <c r="S352" s="23">
        <f>IF(NOT(ISNUMBER(INDEX('M04-S01'!$AN$16:$AN$198,2*(ROWS($R$309:R352)-1)+1))),INDEX('M04-S01'!$Z$16:$Z$198,2*(ROWS($S$309:S352)-1)+1),"")</f>
        <v>0</v>
      </c>
      <c r="T352" s="52" t="str">
        <f>IFERROR(IF(NOT(ISNUMBER(INDEX('M04-S01'!$AN$16:$AN$198,2*(ROWS($R$309:R352)-1)+1))),INDEX('M04-S01'!$AK$16:$AK$198,2*(ROWS($R$309:R352)-1)+1),0),0)</f>
        <v/>
      </c>
      <c r="U352" s="23" t="str">
        <f>IFERROR(IF(NOT(ISNUMBER(INDEX('M04-S01'!$AN$16:$AN$198,2*(ROWS($R$309:R352)-1)+1))),INDEX('M04-S01'!$AW$16:$AW$198,2*(ROWS($R$309:R352)-1)+1),""),"")</f>
        <v/>
      </c>
      <c r="V352" s="113"/>
      <c r="W352" t="str">
        <f>IFERROR(IF(NOT(ISNUMBER(INDEX('M04-S01'!$AN$16:$AN$198,2*(ROWS($R$309:R352)-1)+1))),INDEX('M04-S01'!$BD$16:$BD$198,2*(ROWS($R$309:R352)-1)+1),""),"")</f>
        <v/>
      </c>
      <c r="X352" s="184" t="str">
        <f>IFERROR(ROUND(INDEX('M04-S01'!$O$16:$O$198,2*(ROWS($X$309:X352)-1)+1),3),"")</f>
        <v/>
      </c>
      <c r="Y352" s="184">
        <f>IFERROR(ROUND(INDEX('M04-S01'!$AB$16:$AB$198,2*(ROWS($Y$309:Y352)-1)+1),3),"")</f>
        <v>0</v>
      </c>
      <c r="Z352" s="111">
        <f>INDEX('M04-S01'!$B$16:$B$198,2*(ROWS($Z$309:Z352)-1)+1)</f>
        <v>44</v>
      </c>
      <c r="AA352" s="111">
        <f>INDEX('M04-S01'!$F$16:$F$198,2*(ROWS($Z$309:AA352)-1)+1)</f>
        <v>0</v>
      </c>
      <c r="AB352" s="111">
        <f>INDEX('M04-S01'!$S$16:$S$198,2*(ROWS($Z$309:AB352)-1)+1)</f>
        <v>0</v>
      </c>
      <c r="AC352">
        <f>INDEX('M04-S01'!$J$16:$J$198,2*(ROWS($AC$309:AC352)-1)+1)</f>
        <v>0</v>
      </c>
      <c r="AD352">
        <f>INDEX('M04-S01'!$W$16:$W$198,2*(ROWS($AD$309:AD352)-1)+1)</f>
        <v>0</v>
      </c>
      <c r="AE352" s="459"/>
      <c r="AF352" s="459"/>
      <c r="AG352" s="111" t="str">
        <f>INDEX('M04-S01'!$AX$16:$AX$198,2*(ROWS($AG$309:AG352)-1)+1)</f>
        <v/>
      </c>
      <c r="AH352" s="111" t="str">
        <f>INDEX('M04-S01'!$AY$16:$AY$198,2*(ROWS($AH$309:AH352)-1)+1)</f>
        <v/>
      </c>
      <c r="AI352" s="113"/>
      <c r="AJ352" s="113"/>
      <c r="AK352" s="52" t="str">
        <f>INDEX('M04-S01'!$AV$16:$AV$198,2*(ROWS($AK$309:AK352)-1)+1)</f>
        <v/>
      </c>
      <c r="AL352" s="184">
        <f>IF(NOT(ISNUMBER(INDEX('M04-S01'!$AN$16:$AN$198,2*(ROWS($R$309:$R352)-1)+1))),INDEX('M04-S01'!$Z$16:$Z$198,2*(ROWS($AL$309:$AL352)-1)+1)*INDEX('M04-S01'!$AD$16:$AD$198,2*(ROWS($AL$309:$AL352)-1)+1),"")</f>
        <v>0</v>
      </c>
      <c r="AM352" s="184">
        <f>IF(AND(NOT(ISNUMBER(INDEX('M04-S01'!$AN$16:$AN$198,2*(ROWS($R$309:$R352)-1)+1))),T352&gt;0),INDEX('M04-S01'!$Z$16:$Z$198,2*(ROWS($AM$309:$AM352)-1)+1)*INDEX('M04-S01'!$AF$16:$AF$198,2*(ROWS($AM$309:$AM352)-1)+1),"")</f>
        <v>0</v>
      </c>
      <c r="AN352" s="52" t="str">
        <f>IF(NOT(ISNUMBER(INDEX('M04-S01'!$AN$16:$AN$198,2*(ROWS($R$309:$R352)-1)+1))),INDEX('M04-S01'!$AH$16:$AH$198,2*(ROWS($AN$309:$AN352)-1)+1),"")</f>
        <v/>
      </c>
      <c r="AO352" s="113"/>
      <c r="AU352"/>
    </row>
    <row r="353" spans="1:47">
      <c r="A353" s="57">
        <f t="shared" si="31"/>
        <v>0</v>
      </c>
      <c r="B353" s="183" t="str">
        <f t="shared" si="33"/>
        <v/>
      </c>
      <c r="C353" s="186" t="str">
        <f>IF(OR(R353&gt;0,T353&gt;0),INDEX('M04-S01'!$AZ$16:$AZ$198,2*(ROWS($C$309:C353)-1)+1),"")</f>
        <v/>
      </c>
      <c r="D353" t="s">
        <v>231</v>
      </c>
      <c r="F353" s="185">
        <f>INDEX('M04-S01'!$Q$16:$Q$198,2*(ROWS($F$309:F353)-1)+1)</f>
        <v>0</v>
      </c>
      <c r="G353" s="186">
        <f>INDEX('M04-S01'!$C$16:$C$198,2*(ROWS($G$309:G353)-1)+1)</f>
        <v>0</v>
      </c>
      <c r="H353" s="186" t="str">
        <f>IF(ISNUMBER(INDEX('M04-S01'!$AN$16:$AN$198,2*(ROWS($R$309:R353)-1)+1)),"Total","")</f>
        <v/>
      </c>
      <c r="I353" s="184">
        <f>IFERROR(ROUND(IF(ISNUMBER(INDEX('M04-S01'!$AN$16:$AN$198,2*(ROWS($R$309:$R353)-1)+1)),INDEX('M04-S01'!$Z$16:$Z$198,2*(ROWS($I$309:$I353)-1)+1)*INDEX('M04-S01'!$AD$16:$AD$198,2*(ROWS($I$309:$I353)-1)+1),""),2),0)</f>
        <v>0</v>
      </c>
      <c r="J353" s="184">
        <f>IFERROR(ROUND(IF(ISNUMBER(INDEX('M04-S01'!$AN$16:$AN$198,2*(ROWS($R$309:$R353)-1)+1)),INDEX('M04-S01'!$Z$16:$Z$198,2*(ROWS($J$309:$J353)-1)+1)*INDEX('M04-S01'!$AF$16:$AF$198,2*(ROWS($J$309:$J353)-1)+1),""),2),0)</f>
        <v>0</v>
      </c>
      <c r="K353" s="52">
        <f>IFERROR(ROUND(IF(ISNUMBER(INDEX('M04-S01'!$AN$16:$AN$198,2*(ROWS($R$309:$R353)-1)+1)),INDEX('M04-S01'!$AH$16:$AH$198,2*(ROWS($K$309:$K353)-1)+1),""),2),0)</f>
        <v>0</v>
      </c>
      <c r="M353" s="456" t="str">
        <f>IF(ISNUMBER(INDEX('M04-S01'!$AN$16:$AN$198,2*(ROWS($R$309:R353)-1)+1)),INDEX('M04-S01'!$Z$16:$Z$198,2*(ROWS($M$309:M353)-1)+1),"")</f>
        <v/>
      </c>
      <c r="N353" s="184" t="str">
        <f>IF(ISNUMBER(INDEX('M04-S01'!$AN$16:$AN$198,2*(ROWS($R$309:R353)-1)+1)),INDEX('M04-S01'!$AK$16:$AK$198,2*(ROWS($N$309:N353)-1)+1),"")</f>
        <v/>
      </c>
      <c r="O353" s="456" t="str">
        <f>IF(ISNUMBER(INDEX('M04-S01'!$AN$16:$AN$198,2*(ROWS($R$309:R353)-1)+1)),INDEX('M04-S01'!$AW$16:$AW$198,2*(ROWS($O$309:O353)-1)+1),"")</f>
        <v/>
      </c>
      <c r="P353" s="113"/>
      <c r="Q353" s="456" t="str">
        <f>IF(ISNUMBER(INDEX('M04-S01'!$AN$16:$AN$198,2*(ROWS($R$309:R353)-1)+1)),INDEX('M04-S01'!$BB$16:$BB$198,2*(ROWS($Q$309:Q353)-1)+1),"")</f>
        <v/>
      </c>
      <c r="R353" s="184">
        <f>IF(ISNUMBER(INDEX('M04-S01'!$AN$16:$AN$198,2*(ROWS($R$309:R353)-1)+1)),INDEX('M04-S01'!$AN$16:$AN$198,2*(ROWS($R$309:R353)-1)+1),0)</f>
        <v>0</v>
      </c>
      <c r="S353" s="23">
        <f>IF(NOT(ISNUMBER(INDEX('M04-S01'!$AN$16:$AN$198,2*(ROWS($R$309:R353)-1)+1))),INDEX('M04-S01'!$Z$16:$Z$198,2*(ROWS($S$309:S353)-1)+1),"")</f>
        <v>0</v>
      </c>
      <c r="T353" s="52" t="str">
        <f>IFERROR(IF(NOT(ISNUMBER(INDEX('M04-S01'!$AN$16:$AN$198,2*(ROWS($R$309:R353)-1)+1))),INDEX('M04-S01'!$AK$16:$AK$198,2*(ROWS($R$309:R353)-1)+1),0),0)</f>
        <v/>
      </c>
      <c r="U353" s="23" t="str">
        <f>IFERROR(IF(NOT(ISNUMBER(INDEX('M04-S01'!$AN$16:$AN$198,2*(ROWS($R$309:R353)-1)+1))),INDEX('M04-S01'!$AW$16:$AW$198,2*(ROWS($R$309:R353)-1)+1),""),"")</f>
        <v/>
      </c>
      <c r="V353" s="113"/>
      <c r="W353" t="str">
        <f>IFERROR(IF(NOT(ISNUMBER(INDEX('M04-S01'!$AN$16:$AN$198,2*(ROWS($R$309:R353)-1)+1))),INDEX('M04-S01'!$BD$16:$BD$198,2*(ROWS($R$309:R353)-1)+1),""),"")</f>
        <v/>
      </c>
      <c r="X353" s="184" t="str">
        <f>IFERROR(ROUND(INDEX('M04-S01'!$O$16:$O$198,2*(ROWS($X$309:X353)-1)+1),3),"")</f>
        <v/>
      </c>
      <c r="Y353" s="184">
        <f>IFERROR(ROUND(INDEX('M04-S01'!$AB$16:$AB$198,2*(ROWS($Y$309:Y353)-1)+1),3),"")</f>
        <v>0</v>
      </c>
      <c r="Z353" s="111">
        <f>INDEX('M04-S01'!$B$16:$B$198,2*(ROWS($Z$309:Z353)-1)+1)</f>
        <v>45</v>
      </c>
      <c r="AA353" s="111">
        <f>INDEX('M04-S01'!$F$16:$F$198,2*(ROWS($Z$309:AA353)-1)+1)</f>
        <v>0</v>
      </c>
      <c r="AB353" s="111">
        <f>INDEX('M04-S01'!$S$16:$S$198,2*(ROWS($Z$309:AB353)-1)+1)</f>
        <v>0</v>
      </c>
      <c r="AC353">
        <f>INDEX('M04-S01'!$J$16:$J$198,2*(ROWS($AC$309:AC353)-1)+1)</f>
        <v>0</v>
      </c>
      <c r="AD353">
        <f>INDEX('M04-S01'!$W$16:$W$198,2*(ROWS($AD$309:AD353)-1)+1)</f>
        <v>0</v>
      </c>
      <c r="AE353" s="459"/>
      <c r="AF353" s="459"/>
      <c r="AG353" s="111" t="str">
        <f>INDEX('M04-S01'!$AX$16:$AX$198,2*(ROWS($AG$309:AG353)-1)+1)</f>
        <v/>
      </c>
      <c r="AH353" s="111" t="str">
        <f>INDEX('M04-S01'!$AY$16:$AY$198,2*(ROWS($AH$309:AH353)-1)+1)</f>
        <v/>
      </c>
      <c r="AI353" s="113"/>
      <c r="AJ353" s="113"/>
      <c r="AK353" s="52" t="str">
        <f>INDEX('M04-S01'!$AV$16:$AV$198,2*(ROWS($AK$309:AK353)-1)+1)</f>
        <v/>
      </c>
      <c r="AL353" s="184">
        <f>IF(NOT(ISNUMBER(INDEX('M04-S01'!$AN$16:$AN$198,2*(ROWS($R$309:$R353)-1)+1))),INDEX('M04-S01'!$Z$16:$Z$198,2*(ROWS($AL$309:$AL353)-1)+1)*INDEX('M04-S01'!$AD$16:$AD$198,2*(ROWS($AL$309:$AL353)-1)+1),"")</f>
        <v>0</v>
      </c>
      <c r="AM353" s="184">
        <f>IF(AND(NOT(ISNUMBER(INDEX('M04-S01'!$AN$16:$AN$198,2*(ROWS($R$309:$R353)-1)+1))),T353&gt;0),INDEX('M04-S01'!$Z$16:$Z$198,2*(ROWS($AM$309:$AM353)-1)+1)*INDEX('M04-S01'!$AF$16:$AF$198,2*(ROWS($AM$309:$AM353)-1)+1),"")</f>
        <v>0</v>
      </c>
      <c r="AN353" s="52" t="str">
        <f>IF(NOT(ISNUMBER(INDEX('M04-S01'!$AN$16:$AN$198,2*(ROWS($R$309:$R353)-1)+1))),INDEX('M04-S01'!$AH$16:$AH$198,2*(ROWS($AN$309:$AN353)-1)+1),"")</f>
        <v/>
      </c>
      <c r="AO353" s="113"/>
      <c r="AU353"/>
    </row>
    <row r="354" spans="1:47">
      <c r="A354" s="57">
        <f t="shared" si="31"/>
        <v>0</v>
      </c>
      <c r="B354" s="183" t="str">
        <f t="shared" si="33"/>
        <v/>
      </c>
      <c r="C354" s="186" t="str">
        <f>IF(OR(R354&gt;0,T354&gt;0),INDEX('M04-S01'!$AZ$16:$AZ$198,2*(ROWS($C$309:C354)-1)+1),"")</f>
        <v/>
      </c>
      <c r="D354" t="s">
        <v>231</v>
      </c>
      <c r="F354" s="185">
        <f>INDEX('M04-S01'!$Q$16:$Q$198,2*(ROWS($F$309:F354)-1)+1)</f>
        <v>0</v>
      </c>
      <c r="G354" s="186">
        <f>INDEX('M04-S01'!$C$16:$C$198,2*(ROWS($G$309:G354)-1)+1)</f>
        <v>0</v>
      </c>
      <c r="H354" s="186" t="str">
        <f>IF(ISNUMBER(INDEX('M04-S01'!$AN$16:$AN$198,2*(ROWS($R$309:R354)-1)+1)),"Total","")</f>
        <v/>
      </c>
      <c r="I354" s="184">
        <f>IFERROR(ROUND(IF(ISNUMBER(INDEX('M04-S01'!$AN$16:$AN$198,2*(ROWS($R$309:$R354)-1)+1)),INDEX('M04-S01'!$Z$16:$Z$198,2*(ROWS($I$309:$I354)-1)+1)*INDEX('M04-S01'!$AD$16:$AD$198,2*(ROWS($I$309:$I354)-1)+1),""),2),0)</f>
        <v>0</v>
      </c>
      <c r="J354" s="184">
        <f>IFERROR(ROUND(IF(ISNUMBER(INDEX('M04-S01'!$AN$16:$AN$198,2*(ROWS($R$309:$R354)-1)+1)),INDEX('M04-S01'!$Z$16:$Z$198,2*(ROWS($J$309:$J354)-1)+1)*INDEX('M04-S01'!$AF$16:$AF$198,2*(ROWS($J$309:$J354)-1)+1),""),2),0)</f>
        <v>0</v>
      </c>
      <c r="K354" s="52">
        <f>IFERROR(ROUND(IF(ISNUMBER(INDEX('M04-S01'!$AN$16:$AN$198,2*(ROWS($R$309:$R354)-1)+1)),INDEX('M04-S01'!$AH$16:$AH$198,2*(ROWS($K$309:$K354)-1)+1),""),2),0)</f>
        <v>0</v>
      </c>
      <c r="M354" s="456" t="str">
        <f>IF(ISNUMBER(INDEX('M04-S01'!$AN$16:$AN$198,2*(ROWS($R$309:R354)-1)+1)),INDEX('M04-S01'!$Z$16:$Z$198,2*(ROWS($M$309:M354)-1)+1),"")</f>
        <v/>
      </c>
      <c r="N354" s="184" t="str">
        <f>IF(ISNUMBER(INDEX('M04-S01'!$AN$16:$AN$198,2*(ROWS($R$309:R354)-1)+1)),INDEX('M04-S01'!$AK$16:$AK$198,2*(ROWS($N$309:N354)-1)+1),"")</f>
        <v/>
      </c>
      <c r="O354" s="456" t="str">
        <f>IF(ISNUMBER(INDEX('M04-S01'!$AN$16:$AN$198,2*(ROWS($R$309:R354)-1)+1)),INDEX('M04-S01'!$AW$16:$AW$198,2*(ROWS($O$309:O354)-1)+1),"")</f>
        <v/>
      </c>
      <c r="P354" s="113"/>
      <c r="Q354" s="456" t="str">
        <f>IF(ISNUMBER(INDEX('M04-S01'!$AN$16:$AN$198,2*(ROWS($R$309:R354)-1)+1)),INDEX('M04-S01'!$BB$16:$BB$198,2*(ROWS($Q$309:Q354)-1)+1),"")</f>
        <v/>
      </c>
      <c r="R354" s="184">
        <f>IF(ISNUMBER(INDEX('M04-S01'!$AN$16:$AN$198,2*(ROWS($R$309:R354)-1)+1)),INDEX('M04-S01'!$AN$16:$AN$198,2*(ROWS($R$309:R354)-1)+1),0)</f>
        <v>0</v>
      </c>
      <c r="S354" s="23">
        <f>IF(NOT(ISNUMBER(INDEX('M04-S01'!$AN$16:$AN$198,2*(ROWS($R$309:R354)-1)+1))),INDEX('M04-S01'!$Z$16:$Z$198,2*(ROWS($S$309:S354)-1)+1),"")</f>
        <v>0</v>
      </c>
      <c r="T354" s="52" t="str">
        <f>IFERROR(IF(NOT(ISNUMBER(INDEX('M04-S01'!$AN$16:$AN$198,2*(ROWS($R$309:R354)-1)+1))),INDEX('M04-S01'!$AK$16:$AK$198,2*(ROWS($R$309:R354)-1)+1),0),0)</f>
        <v/>
      </c>
      <c r="U354" s="23" t="str">
        <f>IFERROR(IF(NOT(ISNUMBER(INDEX('M04-S01'!$AN$16:$AN$198,2*(ROWS($R$309:R354)-1)+1))),INDEX('M04-S01'!$AW$16:$AW$198,2*(ROWS($R$309:R354)-1)+1),""),"")</f>
        <v/>
      </c>
      <c r="V354" s="113"/>
      <c r="W354" t="str">
        <f>IFERROR(IF(NOT(ISNUMBER(INDEX('M04-S01'!$AN$16:$AN$198,2*(ROWS($R$309:R354)-1)+1))),INDEX('M04-S01'!$BD$16:$BD$198,2*(ROWS($R$309:R354)-1)+1),""),"")</f>
        <v/>
      </c>
      <c r="X354" s="184" t="str">
        <f>IFERROR(ROUND(INDEX('M04-S01'!$O$16:$O$198,2*(ROWS($X$309:X354)-1)+1),3),"")</f>
        <v/>
      </c>
      <c r="Y354" s="184">
        <f>IFERROR(ROUND(INDEX('M04-S01'!$AB$16:$AB$198,2*(ROWS($Y$309:Y354)-1)+1),3),"")</f>
        <v>0</v>
      </c>
      <c r="Z354" s="111">
        <f>INDEX('M04-S01'!$B$16:$B$198,2*(ROWS($Z$309:Z354)-1)+1)</f>
        <v>46</v>
      </c>
      <c r="AA354" s="111">
        <f>INDEX('M04-S01'!$F$16:$F$198,2*(ROWS($Z$309:AA354)-1)+1)</f>
        <v>0</v>
      </c>
      <c r="AB354" s="111">
        <f>INDEX('M04-S01'!$S$16:$S$198,2*(ROWS($Z$309:AB354)-1)+1)</f>
        <v>0</v>
      </c>
      <c r="AC354">
        <f>INDEX('M04-S01'!$J$16:$J$198,2*(ROWS($AC$309:AC354)-1)+1)</f>
        <v>0</v>
      </c>
      <c r="AD354">
        <f>INDEX('M04-S01'!$W$16:$W$198,2*(ROWS($AD$309:AD354)-1)+1)</f>
        <v>0</v>
      </c>
      <c r="AE354" s="459"/>
      <c r="AF354" s="459"/>
      <c r="AG354" s="111" t="str">
        <f>INDEX('M04-S01'!$AX$16:$AX$198,2*(ROWS($AG$309:AG354)-1)+1)</f>
        <v/>
      </c>
      <c r="AH354" s="111" t="str">
        <f>INDEX('M04-S01'!$AY$16:$AY$198,2*(ROWS($AH$309:AH354)-1)+1)</f>
        <v/>
      </c>
      <c r="AI354" s="113"/>
      <c r="AJ354" s="113"/>
      <c r="AK354" s="52" t="str">
        <f>INDEX('M04-S01'!$AV$16:$AV$198,2*(ROWS($AK$309:AK354)-1)+1)</f>
        <v/>
      </c>
      <c r="AL354" s="184">
        <f>IF(NOT(ISNUMBER(INDEX('M04-S01'!$AN$16:$AN$198,2*(ROWS($R$309:$R354)-1)+1))),INDEX('M04-S01'!$Z$16:$Z$198,2*(ROWS($AL$309:$AL354)-1)+1)*INDEX('M04-S01'!$AD$16:$AD$198,2*(ROWS($AL$309:$AL354)-1)+1),"")</f>
        <v>0</v>
      </c>
      <c r="AM354" s="184">
        <f>IF(AND(NOT(ISNUMBER(INDEX('M04-S01'!$AN$16:$AN$198,2*(ROWS($R$309:$R354)-1)+1))),T354&gt;0),INDEX('M04-S01'!$Z$16:$Z$198,2*(ROWS($AM$309:$AM354)-1)+1)*INDEX('M04-S01'!$AF$16:$AF$198,2*(ROWS($AM$309:$AM354)-1)+1),"")</f>
        <v>0</v>
      </c>
      <c r="AN354" s="52" t="str">
        <f>IF(NOT(ISNUMBER(INDEX('M04-S01'!$AN$16:$AN$198,2*(ROWS($R$309:$R354)-1)+1))),INDEX('M04-S01'!$AH$16:$AH$198,2*(ROWS($AN$309:$AN354)-1)+1),"")</f>
        <v/>
      </c>
      <c r="AO354" s="113"/>
      <c r="AU354"/>
    </row>
    <row r="355" spans="1:47">
      <c r="A355" s="57">
        <f t="shared" si="31"/>
        <v>0</v>
      </c>
      <c r="B355" s="183" t="str">
        <f t="shared" si="33"/>
        <v/>
      </c>
      <c r="C355" s="186" t="str">
        <f>IF(OR(R355&gt;0,T355&gt;0),INDEX('M04-S01'!$AZ$16:$AZ$198,2*(ROWS($C$309:C355)-1)+1),"")</f>
        <v/>
      </c>
      <c r="D355" t="s">
        <v>231</v>
      </c>
      <c r="F355" s="185">
        <f>INDEX('M04-S01'!$Q$16:$Q$198,2*(ROWS($F$309:F355)-1)+1)</f>
        <v>0</v>
      </c>
      <c r="G355" s="186">
        <f>INDEX('M04-S01'!$C$16:$C$198,2*(ROWS($G$309:G355)-1)+1)</f>
        <v>0</v>
      </c>
      <c r="H355" s="186" t="str">
        <f>IF(ISNUMBER(INDEX('M04-S01'!$AN$16:$AN$198,2*(ROWS($R$309:R355)-1)+1)),"Total","")</f>
        <v/>
      </c>
      <c r="I355" s="184">
        <f>IFERROR(ROUND(IF(ISNUMBER(INDEX('M04-S01'!$AN$16:$AN$198,2*(ROWS($R$309:$R355)-1)+1)),INDEX('M04-S01'!$Z$16:$Z$198,2*(ROWS($I$309:$I355)-1)+1)*INDEX('M04-S01'!$AD$16:$AD$198,2*(ROWS($I$309:$I355)-1)+1),""),2),0)</f>
        <v>0</v>
      </c>
      <c r="J355" s="184">
        <f>IFERROR(ROUND(IF(ISNUMBER(INDEX('M04-S01'!$AN$16:$AN$198,2*(ROWS($R$309:$R355)-1)+1)),INDEX('M04-S01'!$Z$16:$Z$198,2*(ROWS($J$309:$J355)-1)+1)*INDEX('M04-S01'!$AF$16:$AF$198,2*(ROWS($J$309:$J355)-1)+1),""),2),0)</f>
        <v>0</v>
      </c>
      <c r="K355" s="52">
        <f>IFERROR(ROUND(IF(ISNUMBER(INDEX('M04-S01'!$AN$16:$AN$198,2*(ROWS($R$309:$R355)-1)+1)),INDEX('M04-S01'!$AH$16:$AH$198,2*(ROWS($K$309:$K355)-1)+1),""),2),0)</f>
        <v>0</v>
      </c>
      <c r="M355" s="456" t="str">
        <f>IF(ISNUMBER(INDEX('M04-S01'!$AN$16:$AN$198,2*(ROWS($R$309:R355)-1)+1)),INDEX('M04-S01'!$Z$16:$Z$198,2*(ROWS($M$309:M355)-1)+1),"")</f>
        <v/>
      </c>
      <c r="N355" s="184" t="str">
        <f>IF(ISNUMBER(INDEX('M04-S01'!$AN$16:$AN$198,2*(ROWS($R$309:R355)-1)+1)),INDEX('M04-S01'!$AK$16:$AK$198,2*(ROWS($N$309:N355)-1)+1),"")</f>
        <v/>
      </c>
      <c r="O355" s="456" t="str">
        <f>IF(ISNUMBER(INDEX('M04-S01'!$AN$16:$AN$198,2*(ROWS($R$309:R355)-1)+1)),INDEX('M04-S01'!$AW$16:$AW$198,2*(ROWS($O$309:O355)-1)+1),"")</f>
        <v/>
      </c>
      <c r="P355" s="113"/>
      <c r="Q355" s="456" t="str">
        <f>IF(ISNUMBER(INDEX('M04-S01'!$AN$16:$AN$198,2*(ROWS($R$309:R355)-1)+1)),INDEX('M04-S01'!$BB$16:$BB$198,2*(ROWS($Q$309:Q355)-1)+1),"")</f>
        <v/>
      </c>
      <c r="R355" s="184">
        <f>IF(ISNUMBER(INDEX('M04-S01'!$AN$16:$AN$198,2*(ROWS($R$309:R355)-1)+1)),INDEX('M04-S01'!$AN$16:$AN$198,2*(ROWS($R$309:R355)-1)+1),0)</f>
        <v>0</v>
      </c>
      <c r="S355" s="23">
        <f>IF(NOT(ISNUMBER(INDEX('M04-S01'!$AN$16:$AN$198,2*(ROWS($R$309:R355)-1)+1))),INDEX('M04-S01'!$Z$16:$Z$198,2*(ROWS($S$309:S355)-1)+1),"")</f>
        <v>0</v>
      </c>
      <c r="T355" s="52" t="str">
        <f>IFERROR(IF(NOT(ISNUMBER(INDEX('M04-S01'!$AN$16:$AN$198,2*(ROWS($R$309:R355)-1)+1))),INDEX('M04-S01'!$AK$16:$AK$198,2*(ROWS($R$309:R355)-1)+1),0),0)</f>
        <v/>
      </c>
      <c r="U355" s="23" t="str">
        <f>IFERROR(IF(NOT(ISNUMBER(INDEX('M04-S01'!$AN$16:$AN$198,2*(ROWS($R$309:R355)-1)+1))),INDEX('M04-S01'!$AW$16:$AW$198,2*(ROWS($R$309:R355)-1)+1),""),"")</f>
        <v/>
      </c>
      <c r="V355" s="113"/>
      <c r="W355" t="str">
        <f>IFERROR(IF(NOT(ISNUMBER(INDEX('M04-S01'!$AN$16:$AN$198,2*(ROWS($R$309:R355)-1)+1))),INDEX('M04-S01'!$BD$16:$BD$198,2*(ROWS($R$309:R355)-1)+1),""),"")</f>
        <v/>
      </c>
      <c r="X355" s="184" t="str">
        <f>IFERROR(ROUND(INDEX('M04-S01'!$O$16:$O$198,2*(ROWS($X$309:X355)-1)+1),3),"")</f>
        <v/>
      </c>
      <c r="Y355" s="184">
        <f>IFERROR(ROUND(INDEX('M04-S01'!$AB$16:$AB$198,2*(ROWS($Y$309:Y355)-1)+1),3),"")</f>
        <v>0</v>
      </c>
      <c r="Z355" s="111">
        <f>INDEX('M04-S01'!$B$16:$B$198,2*(ROWS($Z$309:Z355)-1)+1)</f>
        <v>47</v>
      </c>
      <c r="AA355" s="111">
        <f>INDEX('M04-S01'!$F$16:$F$198,2*(ROWS($Z$309:AA355)-1)+1)</f>
        <v>0</v>
      </c>
      <c r="AB355" s="111">
        <f>INDEX('M04-S01'!$S$16:$S$198,2*(ROWS($Z$309:AB355)-1)+1)</f>
        <v>0</v>
      </c>
      <c r="AC355">
        <f>INDEX('M04-S01'!$J$16:$J$198,2*(ROWS($AC$309:AC355)-1)+1)</f>
        <v>0</v>
      </c>
      <c r="AD355">
        <f>INDEX('M04-S01'!$W$16:$W$198,2*(ROWS($AD$309:AD355)-1)+1)</f>
        <v>0</v>
      </c>
      <c r="AE355" s="459"/>
      <c r="AF355" s="459"/>
      <c r="AG355" s="111" t="str">
        <f>INDEX('M04-S01'!$AX$16:$AX$198,2*(ROWS($AG$309:AG355)-1)+1)</f>
        <v/>
      </c>
      <c r="AH355" s="111" t="str">
        <f>INDEX('M04-S01'!$AY$16:$AY$198,2*(ROWS($AH$309:AH355)-1)+1)</f>
        <v/>
      </c>
      <c r="AI355" s="113"/>
      <c r="AJ355" s="113"/>
      <c r="AK355" s="52" t="str">
        <f>INDEX('M04-S01'!$AV$16:$AV$198,2*(ROWS($AK$309:AK355)-1)+1)</f>
        <v/>
      </c>
      <c r="AL355" s="184">
        <f>IF(NOT(ISNUMBER(INDEX('M04-S01'!$AN$16:$AN$198,2*(ROWS($R$309:$R355)-1)+1))),INDEX('M04-S01'!$Z$16:$Z$198,2*(ROWS($AL$309:$AL355)-1)+1)*INDEX('M04-S01'!$AD$16:$AD$198,2*(ROWS($AL$309:$AL355)-1)+1),"")</f>
        <v>0</v>
      </c>
      <c r="AM355" s="184">
        <f>IF(AND(NOT(ISNUMBER(INDEX('M04-S01'!$AN$16:$AN$198,2*(ROWS($R$309:$R355)-1)+1))),T355&gt;0),INDEX('M04-S01'!$Z$16:$Z$198,2*(ROWS($AM$309:$AM355)-1)+1)*INDEX('M04-S01'!$AF$16:$AF$198,2*(ROWS($AM$309:$AM355)-1)+1),"")</f>
        <v>0</v>
      </c>
      <c r="AN355" s="52" t="str">
        <f>IF(NOT(ISNUMBER(INDEX('M04-S01'!$AN$16:$AN$198,2*(ROWS($R$309:$R355)-1)+1))),INDEX('M04-S01'!$AH$16:$AH$198,2*(ROWS($AN$309:$AN355)-1)+1),"")</f>
        <v/>
      </c>
      <c r="AO355" s="113"/>
      <c r="AU355"/>
    </row>
    <row r="356" spans="1:47">
      <c r="A356" s="57">
        <f t="shared" si="31"/>
        <v>0</v>
      </c>
      <c r="B356" s="183" t="str">
        <f t="shared" si="33"/>
        <v/>
      </c>
      <c r="C356" s="186" t="str">
        <f>IF(OR(R356&gt;0,T356&gt;0),INDEX('M04-S01'!$AZ$16:$AZ$198,2*(ROWS($C$309:C356)-1)+1),"")</f>
        <v/>
      </c>
      <c r="D356" t="s">
        <v>231</v>
      </c>
      <c r="F356" s="185">
        <f>INDEX('M04-S01'!$Q$16:$Q$198,2*(ROWS($F$309:F356)-1)+1)</f>
        <v>0</v>
      </c>
      <c r="G356" s="186">
        <f>INDEX('M04-S01'!$C$16:$C$198,2*(ROWS($G$309:G356)-1)+1)</f>
        <v>0</v>
      </c>
      <c r="H356" s="186" t="str">
        <f>IF(ISNUMBER(INDEX('M04-S01'!$AN$16:$AN$198,2*(ROWS($R$309:R356)-1)+1)),"Total","")</f>
        <v/>
      </c>
      <c r="I356" s="184">
        <f>IFERROR(ROUND(IF(ISNUMBER(INDEX('M04-S01'!$AN$16:$AN$198,2*(ROWS($R$309:$R356)-1)+1)),INDEX('M04-S01'!$Z$16:$Z$198,2*(ROWS($I$309:$I356)-1)+1)*INDEX('M04-S01'!$AD$16:$AD$198,2*(ROWS($I$309:$I356)-1)+1),""),2),0)</f>
        <v>0</v>
      </c>
      <c r="J356" s="184">
        <f>IFERROR(ROUND(IF(ISNUMBER(INDEX('M04-S01'!$AN$16:$AN$198,2*(ROWS($R$309:$R356)-1)+1)),INDEX('M04-S01'!$Z$16:$Z$198,2*(ROWS($J$309:$J356)-1)+1)*INDEX('M04-S01'!$AF$16:$AF$198,2*(ROWS($J$309:$J356)-1)+1),""),2),0)</f>
        <v>0</v>
      </c>
      <c r="K356" s="52">
        <f>IFERROR(ROUND(IF(ISNUMBER(INDEX('M04-S01'!$AN$16:$AN$198,2*(ROWS($R$309:$R356)-1)+1)),INDEX('M04-S01'!$AH$16:$AH$198,2*(ROWS($K$309:$K356)-1)+1),""),2),0)</f>
        <v>0</v>
      </c>
      <c r="M356" s="456" t="str">
        <f>IF(ISNUMBER(INDEX('M04-S01'!$AN$16:$AN$198,2*(ROWS($R$309:R356)-1)+1)),INDEX('M04-S01'!$Z$16:$Z$198,2*(ROWS($M$309:M356)-1)+1),"")</f>
        <v/>
      </c>
      <c r="N356" s="184" t="str">
        <f>IF(ISNUMBER(INDEX('M04-S01'!$AN$16:$AN$198,2*(ROWS($R$309:R356)-1)+1)),INDEX('M04-S01'!$AK$16:$AK$198,2*(ROWS($N$309:N356)-1)+1),"")</f>
        <v/>
      </c>
      <c r="O356" s="456" t="str">
        <f>IF(ISNUMBER(INDEX('M04-S01'!$AN$16:$AN$198,2*(ROWS($R$309:R356)-1)+1)),INDEX('M04-S01'!$AW$16:$AW$198,2*(ROWS($O$309:O356)-1)+1),"")</f>
        <v/>
      </c>
      <c r="P356" s="113"/>
      <c r="Q356" s="456" t="str">
        <f>IF(ISNUMBER(INDEX('M04-S01'!$AN$16:$AN$198,2*(ROWS($R$309:R356)-1)+1)),INDEX('M04-S01'!$BB$16:$BB$198,2*(ROWS($Q$309:Q356)-1)+1),"")</f>
        <v/>
      </c>
      <c r="R356" s="184">
        <f>IF(ISNUMBER(INDEX('M04-S01'!$AN$16:$AN$198,2*(ROWS($R$309:R356)-1)+1)),INDEX('M04-S01'!$AN$16:$AN$198,2*(ROWS($R$309:R356)-1)+1),0)</f>
        <v>0</v>
      </c>
      <c r="S356" s="23">
        <f>IF(NOT(ISNUMBER(INDEX('M04-S01'!$AN$16:$AN$198,2*(ROWS($R$309:R356)-1)+1))),INDEX('M04-S01'!$Z$16:$Z$198,2*(ROWS($S$309:S356)-1)+1),"")</f>
        <v>0</v>
      </c>
      <c r="T356" s="52" t="str">
        <f>IFERROR(IF(NOT(ISNUMBER(INDEX('M04-S01'!$AN$16:$AN$198,2*(ROWS($R$309:R356)-1)+1))),INDEX('M04-S01'!$AK$16:$AK$198,2*(ROWS($R$309:R356)-1)+1),0),0)</f>
        <v/>
      </c>
      <c r="U356" s="23" t="str">
        <f>IFERROR(IF(NOT(ISNUMBER(INDEX('M04-S01'!$AN$16:$AN$198,2*(ROWS($R$309:R356)-1)+1))),INDEX('M04-S01'!$AW$16:$AW$198,2*(ROWS($R$309:R356)-1)+1),""),"")</f>
        <v/>
      </c>
      <c r="V356" s="113"/>
      <c r="W356" t="str">
        <f>IFERROR(IF(NOT(ISNUMBER(INDEX('M04-S01'!$AN$16:$AN$198,2*(ROWS($R$309:R356)-1)+1))),INDEX('M04-S01'!$BD$16:$BD$198,2*(ROWS($R$309:R356)-1)+1),""),"")</f>
        <v/>
      </c>
      <c r="X356" s="184" t="str">
        <f>IFERROR(ROUND(INDEX('M04-S01'!$O$16:$O$198,2*(ROWS($X$309:X356)-1)+1),3),"")</f>
        <v/>
      </c>
      <c r="Y356" s="184">
        <f>IFERROR(ROUND(INDEX('M04-S01'!$AB$16:$AB$198,2*(ROWS($Y$309:Y356)-1)+1),3),"")</f>
        <v>0</v>
      </c>
      <c r="Z356" s="111">
        <f>INDEX('M04-S01'!$B$16:$B$198,2*(ROWS($Z$309:Z356)-1)+1)</f>
        <v>48</v>
      </c>
      <c r="AA356" s="111">
        <f>INDEX('M04-S01'!$F$16:$F$198,2*(ROWS($Z$309:AA356)-1)+1)</f>
        <v>0</v>
      </c>
      <c r="AB356" s="111">
        <f>INDEX('M04-S01'!$S$16:$S$198,2*(ROWS($Z$309:AB356)-1)+1)</f>
        <v>0</v>
      </c>
      <c r="AC356">
        <f>INDEX('M04-S01'!$J$16:$J$198,2*(ROWS($AC$309:AC356)-1)+1)</f>
        <v>0</v>
      </c>
      <c r="AD356">
        <f>INDEX('M04-S01'!$W$16:$W$198,2*(ROWS($AD$309:AD356)-1)+1)</f>
        <v>0</v>
      </c>
      <c r="AE356" s="459"/>
      <c r="AF356" s="459"/>
      <c r="AG356" s="111" t="str">
        <f>INDEX('M04-S01'!$AX$16:$AX$198,2*(ROWS($AG$309:AG356)-1)+1)</f>
        <v/>
      </c>
      <c r="AH356" s="111" t="str">
        <f>INDEX('M04-S01'!$AY$16:$AY$198,2*(ROWS($AH$309:AH356)-1)+1)</f>
        <v/>
      </c>
      <c r="AI356" s="113"/>
      <c r="AJ356" s="113"/>
      <c r="AK356" s="52" t="str">
        <f>INDEX('M04-S01'!$AV$16:$AV$198,2*(ROWS($AK$309:AK356)-1)+1)</f>
        <v/>
      </c>
      <c r="AL356" s="184">
        <f>IF(NOT(ISNUMBER(INDEX('M04-S01'!$AN$16:$AN$198,2*(ROWS($R$309:$R356)-1)+1))),INDEX('M04-S01'!$Z$16:$Z$198,2*(ROWS($AL$309:$AL356)-1)+1)*INDEX('M04-S01'!$AD$16:$AD$198,2*(ROWS($AL$309:$AL356)-1)+1),"")</f>
        <v>0</v>
      </c>
      <c r="AM356" s="184">
        <f>IF(AND(NOT(ISNUMBER(INDEX('M04-S01'!$AN$16:$AN$198,2*(ROWS($R$309:$R356)-1)+1))),T356&gt;0),INDEX('M04-S01'!$Z$16:$Z$198,2*(ROWS($AM$309:$AM356)-1)+1)*INDEX('M04-S01'!$AF$16:$AF$198,2*(ROWS($AM$309:$AM356)-1)+1),"")</f>
        <v>0</v>
      </c>
      <c r="AN356" s="52" t="str">
        <f>IF(NOT(ISNUMBER(INDEX('M04-S01'!$AN$16:$AN$198,2*(ROWS($R$309:$R356)-1)+1))),INDEX('M04-S01'!$AH$16:$AH$198,2*(ROWS($AN$309:$AN356)-1)+1),"")</f>
        <v/>
      </c>
      <c r="AO356" s="113"/>
      <c r="AU356"/>
    </row>
    <row r="357" spans="1:47">
      <c r="A357" s="57">
        <f t="shared" si="31"/>
        <v>0</v>
      </c>
      <c r="B357" s="183" t="str">
        <f t="shared" si="33"/>
        <v/>
      </c>
      <c r="C357" s="186" t="str">
        <f>IF(OR(R357&gt;0,T357&gt;0),INDEX('M04-S01'!$AZ$16:$AZ$198,2*(ROWS($C$309:C357)-1)+1),"")</f>
        <v/>
      </c>
      <c r="D357" t="s">
        <v>231</v>
      </c>
      <c r="F357" s="185">
        <f>INDEX('M04-S01'!$Q$16:$Q$198,2*(ROWS($F$309:F357)-1)+1)</f>
        <v>0</v>
      </c>
      <c r="G357" s="186">
        <f>INDEX('M04-S01'!$C$16:$C$198,2*(ROWS($G$309:G357)-1)+1)</f>
        <v>0</v>
      </c>
      <c r="H357" s="186" t="str">
        <f>IF(ISNUMBER(INDEX('M04-S01'!$AN$16:$AN$198,2*(ROWS($R$309:R357)-1)+1)),"Total","")</f>
        <v/>
      </c>
      <c r="I357" s="184">
        <f>IFERROR(ROUND(IF(ISNUMBER(INDEX('M04-S01'!$AN$16:$AN$198,2*(ROWS($R$309:$R357)-1)+1)),INDEX('M04-S01'!$Z$16:$Z$198,2*(ROWS($I$309:$I357)-1)+1)*INDEX('M04-S01'!$AD$16:$AD$198,2*(ROWS($I$309:$I357)-1)+1),""),2),0)</f>
        <v>0</v>
      </c>
      <c r="J357" s="184">
        <f>IFERROR(ROUND(IF(ISNUMBER(INDEX('M04-S01'!$AN$16:$AN$198,2*(ROWS($R$309:$R357)-1)+1)),INDEX('M04-S01'!$Z$16:$Z$198,2*(ROWS($J$309:$J357)-1)+1)*INDEX('M04-S01'!$AF$16:$AF$198,2*(ROWS($J$309:$J357)-1)+1),""),2),0)</f>
        <v>0</v>
      </c>
      <c r="K357" s="52">
        <f>IFERROR(ROUND(IF(ISNUMBER(INDEX('M04-S01'!$AN$16:$AN$198,2*(ROWS($R$309:$R357)-1)+1)),INDEX('M04-S01'!$AH$16:$AH$198,2*(ROWS($K$309:$K357)-1)+1),""),2),0)</f>
        <v>0</v>
      </c>
      <c r="M357" s="456" t="str">
        <f>IF(ISNUMBER(INDEX('M04-S01'!$AN$16:$AN$198,2*(ROWS($R$309:R357)-1)+1)),INDEX('M04-S01'!$Z$16:$Z$198,2*(ROWS($M$309:M357)-1)+1),"")</f>
        <v/>
      </c>
      <c r="N357" s="184" t="str">
        <f>IF(ISNUMBER(INDEX('M04-S01'!$AN$16:$AN$198,2*(ROWS($R$309:R357)-1)+1)),INDEX('M04-S01'!$AK$16:$AK$198,2*(ROWS($N$309:N357)-1)+1),"")</f>
        <v/>
      </c>
      <c r="O357" s="456" t="str">
        <f>IF(ISNUMBER(INDEX('M04-S01'!$AN$16:$AN$198,2*(ROWS($R$309:R357)-1)+1)),INDEX('M04-S01'!$AW$16:$AW$198,2*(ROWS($O$309:O357)-1)+1),"")</f>
        <v/>
      </c>
      <c r="P357" s="113"/>
      <c r="Q357" s="456" t="str">
        <f>IF(ISNUMBER(INDEX('M04-S01'!$AN$16:$AN$198,2*(ROWS($R$309:R357)-1)+1)),INDEX('M04-S01'!$BB$16:$BB$198,2*(ROWS($Q$309:Q357)-1)+1),"")</f>
        <v/>
      </c>
      <c r="R357" s="184">
        <f>IF(ISNUMBER(INDEX('M04-S01'!$AN$16:$AN$198,2*(ROWS($R$309:R357)-1)+1)),INDEX('M04-S01'!$AN$16:$AN$198,2*(ROWS($R$309:R357)-1)+1),0)</f>
        <v>0</v>
      </c>
      <c r="S357" s="23">
        <f>IF(NOT(ISNUMBER(INDEX('M04-S01'!$AN$16:$AN$198,2*(ROWS($R$309:R357)-1)+1))),INDEX('M04-S01'!$Z$16:$Z$198,2*(ROWS($S$309:S357)-1)+1),"")</f>
        <v>0</v>
      </c>
      <c r="T357" s="52" t="str">
        <f>IFERROR(IF(NOT(ISNUMBER(INDEX('M04-S01'!$AN$16:$AN$198,2*(ROWS($R$309:R357)-1)+1))),INDEX('M04-S01'!$AK$16:$AK$198,2*(ROWS($R$309:R357)-1)+1),0),0)</f>
        <v/>
      </c>
      <c r="U357" s="23" t="str">
        <f>IFERROR(IF(NOT(ISNUMBER(INDEX('M04-S01'!$AN$16:$AN$198,2*(ROWS($R$309:R357)-1)+1))),INDEX('M04-S01'!$AW$16:$AW$198,2*(ROWS($R$309:R357)-1)+1),""),"")</f>
        <v/>
      </c>
      <c r="V357" s="113"/>
      <c r="W357" t="str">
        <f>IFERROR(IF(NOT(ISNUMBER(INDEX('M04-S01'!$AN$16:$AN$198,2*(ROWS($R$309:R357)-1)+1))),INDEX('M04-S01'!$BD$16:$BD$198,2*(ROWS($R$309:R357)-1)+1),""),"")</f>
        <v/>
      </c>
      <c r="X357" s="184" t="str">
        <f>IFERROR(ROUND(INDEX('M04-S01'!$O$16:$O$198,2*(ROWS($X$309:X357)-1)+1),3),"")</f>
        <v/>
      </c>
      <c r="Y357" s="184">
        <f>IFERROR(ROUND(INDEX('M04-S01'!$AB$16:$AB$198,2*(ROWS($Y$309:Y357)-1)+1),3),"")</f>
        <v>0</v>
      </c>
      <c r="Z357" s="111">
        <f>INDEX('M04-S01'!$B$16:$B$198,2*(ROWS($Z$309:Z357)-1)+1)</f>
        <v>49</v>
      </c>
      <c r="AA357" s="111">
        <f>INDEX('M04-S01'!$F$16:$F$198,2*(ROWS($Z$309:AA357)-1)+1)</f>
        <v>0</v>
      </c>
      <c r="AB357" s="111">
        <f>INDEX('M04-S01'!$S$16:$S$198,2*(ROWS($Z$309:AB357)-1)+1)</f>
        <v>0</v>
      </c>
      <c r="AC357">
        <f>INDEX('M04-S01'!$J$16:$J$198,2*(ROWS($AC$309:AC357)-1)+1)</f>
        <v>0</v>
      </c>
      <c r="AD357">
        <f>INDEX('M04-S01'!$W$16:$W$198,2*(ROWS($AD$309:AD357)-1)+1)</f>
        <v>0</v>
      </c>
      <c r="AE357" s="459"/>
      <c r="AF357" s="459"/>
      <c r="AG357" s="111" t="str">
        <f>INDEX('M04-S01'!$AX$16:$AX$198,2*(ROWS($AG$309:AG357)-1)+1)</f>
        <v/>
      </c>
      <c r="AH357" s="111" t="str">
        <f>INDEX('M04-S01'!$AY$16:$AY$198,2*(ROWS($AH$309:AH357)-1)+1)</f>
        <v/>
      </c>
      <c r="AI357" s="113"/>
      <c r="AJ357" s="113"/>
      <c r="AK357" s="52" t="str">
        <f>INDEX('M04-S01'!$AV$16:$AV$198,2*(ROWS($AK$309:AK357)-1)+1)</f>
        <v/>
      </c>
      <c r="AL357" s="184">
        <f>IF(NOT(ISNUMBER(INDEX('M04-S01'!$AN$16:$AN$198,2*(ROWS($R$309:$R357)-1)+1))),INDEX('M04-S01'!$Z$16:$Z$198,2*(ROWS($AL$309:$AL357)-1)+1)*INDEX('M04-S01'!$AD$16:$AD$198,2*(ROWS($AL$309:$AL357)-1)+1),"")</f>
        <v>0</v>
      </c>
      <c r="AM357" s="184">
        <f>IF(AND(NOT(ISNUMBER(INDEX('M04-S01'!$AN$16:$AN$198,2*(ROWS($R$309:$R357)-1)+1))),T357&gt;0),INDEX('M04-S01'!$Z$16:$Z$198,2*(ROWS($AM$309:$AM357)-1)+1)*INDEX('M04-S01'!$AF$16:$AF$198,2*(ROWS($AM$309:$AM357)-1)+1),"")</f>
        <v>0</v>
      </c>
      <c r="AN357" s="52" t="str">
        <f>IF(NOT(ISNUMBER(INDEX('M04-S01'!$AN$16:$AN$198,2*(ROWS($R$309:$R357)-1)+1))),INDEX('M04-S01'!$AH$16:$AH$198,2*(ROWS($AN$309:$AN357)-1)+1),"")</f>
        <v/>
      </c>
      <c r="AO357" s="113"/>
      <c r="AU357"/>
    </row>
    <row r="358" spans="1:47">
      <c r="A358" s="57">
        <f t="shared" si="31"/>
        <v>0</v>
      </c>
      <c r="B358" s="183" t="str">
        <f t="shared" ca="1" si="33"/>
        <v/>
      </c>
      <c r="C358" s="559" t="str">
        <f ca="1">IF(OR(R358&gt;0,T358&gt;0),INDEX('M04-S01'!$AZ$16:$AZ$198,2*(ROWS($C$309:C358)-1)+1),"")</f>
        <v/>
      </c>
      <c r="D358" t="s">
        <v>231</v>
      </c>
      <c r="F358" s="185">
        <f>INDEX('M04-S01'!$Q$16:$Q$198,2*(ROWS($F$309:F358)-1)+1)</f>
        <v>0</v>
      </c>
      <c r="G358" s="186">
        <f>INDEX('M04-S01'!$C$16:$C$198,2*(ROWS($G$309:G358)-1)+1)</f>
        <v>0</v>
      </c>
      <c r="H358" s="186" t="str">
        <f ca="1">IF(ISNUMBER(INDEX('M04-S01'!$AN$16:$AN$198,2*(ROWS($R$309:R358)-1)+1)),"Total","")</f>
        <v/>
      </c>
      <c r="I358" s="184">
        <f ca="1">IFERROR(ROUND(IF(ISNUMBER(INDEX('M04-S01'!$AN$16:$AN$198,2*(ROWS($R$309:$R358)-1)+1)),INDEX('M04-S01'!$Z$16:$Z$198,2*(ROWS($I$309:$I358)-1)+1)*INDEX('M04-S01'!$AD$16:$AD$198,2*(ROWS($I$309:$I358)-1)+1),""),2),0)</f>
        <v>0</v>
      </c>
      <c r="J358" s="184">
        <f ca="1">IFERROR(ROUND(IF(ISNUMBER(INDEX('M04-S01'!$AN$16:$AN$198,2*(ROWS($R$309:$R358)-1)+1)),INDEX('M04-S01'!$Z$16:$Z$198,2*(ROWS($J$309:$J358)-1)+1)*INDEX('M04-S01'!$AF$16:$AF$198,2*(ROWS($J$309:$J358)-1)+1),""),2),0)</f>
        <v>0</v>
      </c>
      <c r="K358" s="52">
        <f ca="1">IFERROR(ROUND(IF(ISNUMBER(INDEX('M04-S01'!$AN$16:$AN$198,2*(ROWS($R$309:$R358)-1)+1)),INDEX('M04-S01'!$AH$16:$AH$198,2*(ROWS($K$309:$K358)-1)+1),""),2),0)</f>
        <v>0</v>
      </c>
      <c r="M358" s="456" t="str">
        <f ca="1">IF(ISNUMBER(INDEX('M04-S01'!$AN$16:$AN$198,2*(ROWS($R$309:R358)-1)+1)),INDEX('M04-S01'!$Z$16:$Z$198,2*(ROWS($M$309:M358)-1)+1),"")</f>
        <v/>
      </c>
      <c r="N358" s="184" t="str">
        <f ca="1">IF(ISNUMBER(INDEX('M04-S01'!$AN$16:$AN$198,2*(ROWS($R$309:R358)-1)+1)),INDEX('M04-S01'!$AK$16:$AK$198,2*(ROWS($N$309:N358)-1)+1),"")</f>
        <v/>
      </c>
      <c r="O358" s="456" t="str">
        <f ca="1">IF(ISNUMBER(INDEX('M04-S01'!$AN$16:$AN$198,2*(ROWS($R$309:R358)-1)+1)),INDEX('M04-S01'!$AW$16:$AW$198,2*(ROWS($O$309:O358)-1)+1),"")</f>
        <v/>
      </c>
      <c r="P358" s="113"/>
      <c r="Q358" s="456"/>
      <c r="R358" s="184">
        <f ca="1">IF(ISNUMBER(INDEX('M04-S01'!$AN$16:$AN$198,2*(ROWS($R$309:R358)-1)+1)),INDEX('M04-S01'!$AN$16:$AN$198,2*(ROWS($R$309:R358)-1)+1),0)</f>
        <v>0</v>
      </c>
      <c r="S358" s="23">
        <f ca="1">IF(NOT(ISNUMBER(INDEX('M04-S01'!$AN$16:$AN$198,2*(ROWS($R$309:R358)-1)+1))),INDEX('M04-S01'!$Z$16:$Z$198,2*(ROWS($S$309:S358)-1)+1),"")</f>
        <v>0</v>
      </c>
      <c r="T358" s="52" t="str">
        <f ca="1">IFERROR(IF(NOT(ISNUMBER(INDEX('M04-S01'!$AN$16:$AN$198,2*(ROWS($R$309:R358)-1)+1))),INDEX('M04-S01'!$AK$16:$AK$198,2*(ROWS($R$309:R358)-1)+1),0),0)</f>
        <v/>
      </c>
      <c r="U358" s="23" t="str">
        <f ca="1">IFERROR(IF(NOT(ISNUMBER(INDEX('M04-S01'!$AN$16:$AN$198,2*(ROWS($R$309:R358)-1)+1))),INDEX('M04-S01'!$AW$16:$AW$198,2*(ROWS($R$309:R358)-1)+1),""),"")</f>
        <v/>
      </c>
      <c r="V358" s="113"/>
      <c r="W358" t="str">
        <f ca="1">IFERROR(IF(NOT(ISNUMBER(INDEX('M04-S01'!$AN$16:$AN$198,2*(ROWS($R$309:R358)-1)+1))),INDEX('M04-S01'!$BD$16:$BD$198,2*(ROWS($R$309:R358)-1)+1),""),"")</f>
        <v/>
      </c>
      <c r="X358" s="184" t="str">
        <f ca="1">IFERROR(ROUND(INDEX('M04-S01'!$O$16:$O$198,2*(ROWS($X$309:X358)-1)+1),3),"")</f>
        <v/>
      </c>
      <c r="Y358" s="184">
        <f>IFERROR(ROUND(INDEX('M04-S01'!$AB$16:$AB$198,2*(ROWS($Y$309:Y358)-1)+1),3),"")</f>
        <v>0</v>
      </c>
      <c r="Z358" s="111">
        <f>INDEX('M04-S01'!$B$16:$B$198,2*(ROWS($Z$309:Z358)-1)+1)</f>
        <v>50</v>
      </c>
      <c r="AA358" s="111">
        <f ca="1">INDEX('M04-S01'!$F$16:$F$198,2*(ROWS($Z$309:AA358)-1)+1)</f>
        <v>0</v>
      </c>
      <c r="AB358" s="111">
        <f ca="1">INDEX('M04-S01'!$S$16:$S$198,2*(ROWS($Z$309:AB358)-1)+1)</f>
        <v>0</v>
      </c>
      <c r="AC358">
        <f>INDEX('M04-S01'!$J$16:$J$198,2*(ROWS($AC$309:AC358)-1)+1)</f>
        <v>0</v>
      </c>
      <c r="AD358">
        <f>INDEX('M04-S01'!$W$16:$W$198,2*(ROWS($AD$309:AD358)-1)+1)</f>
        <v>0</v>
      </c>
      <c r="AE358" s="459"/>
      <c r="AF358" s="459"/>
      <c r="AG358" s="111" t="str">
        <f ca="1">INDEX('M04-S01'!$AX$16:$AX$198,2*(ROWS($AG$309:AG358)-1)+1)</f>
        <v/>
      </c>
      <c r="AH358" s="111" t="str">
        <f ca="1">INDEX('M04-S01'!$AY$16:$AY$198,2*(ROWS($AH$309:AH358)-1)+1)</f>
        <v/>
      </c>
      <c r="AI358" s="113"/>
      <c r="AJ358" s="113"/>
      <c r="AK358" s="52" t="str">
        <f ca="1">INDEX('M04-S01'!$AV$16:$AV$198,2*(ROWS($AK$309:AK358)-1)+1)</f>
        <v/>
      </c>
      <c r="AL358" s="184">
        <f ca="1">IF(NOT(ISNUMBER(INDEX('M04-S01'!$AN$16:$AN$198,2*(ROWS($R$309:$R358)-1)+1))),INDEX('M04-S01'!$Z$16:$Z$198,2*(ROWS($AL$309:$AL358)-1)+1)*INDEX('M04-S01'!$AD$16:$AD$198,2*(ROWS($AL$309:$AL358)-1)+1),"")</f>
        <v>0</v>
      </c>
      <c r="AM358" s="184">
        <f ca="1">IF(AND(NOT(ISNUMBER(INDEX('M04-S01'!$AN$16:$AN$198,2*(ROWS($R$309:$R358)-1)+1))),T358&gt;0),INDEX('M04-S01'!$Z$16:$Z$198,2*(ROWS($AM$309:$AM358)-1)+1)*INDEX('M04-S01'!$AF$16:$AF$198,2*(ROWS($AM$309:$AM358)-1)+1),"")</f>
        <v>0</v>
      </c>
      <c r="AN358" s="52" t="str">
        <f ca="1">IF(NOT(ISNUMBER(INDEX('M04-S01'!$AN$16:$AN$198,2*(ROWS($R$309:$R358)-1)+1))),INDEX('M04-S01'!$AH$16:$AH$198,2*(ROWS($AN$309:$AN358)-1)+1),"")</f>
        <v/>
      </c>
      <c r="AO358" s="113"/>
      <c r="AU358"/>
    </row>
    <row r="359" spans="1:47">
      <c r="A359" s="149" t="str">
        <f>CONCATENATE(MAIN4," ",M4S2)</f>
        <v>CUSTOM MEASURES INPUT New Construction Lighting</v>
      </c>
      <c r="B359" s="150"/>
      <c r="C359" s="150"/>
      <c r="D359" s="129"/>
      <c r="E359" s="129"/>
      <c r="F359" s="130"/>
      <c r="G359" s="129"/>
      <c r="H359" s="129"/>
      <c r="I359" s="131"/>
      <c r="J359" s="131"/>
      <c r="K359" s="131"/>
      <c r="L359" s="131"/>
      <c r="M359" s="458"/>
      <c r="N359" s="131"/>
      <c r="O359" s="458"/>
      <c r="P359" s="131"/>
      <c r="Q359" s="131"/>
      <c r="R359" s="131"/>
      <c r="S359" s="458"/>
      <c r="T359" s="131"/>
      <c r="U359" s="458"/>
      <c r="V359" s="131"/>
      <c r="W359" s="129"/>
      <c r="X359" s="131"/>
      <c r="Y359" s="131"/>
      <c r="Z359" s="130"/>
      <c r="AA359" s="130"/>
      <c r="AB359" s="130"/>
      <c r="AC359" s="129"/>
      <c r="AD359" s="129"/>
      <c r="AE359" s="467"/>
      <c r="AF359" s="467"/>
      <c r="AG359" s="130"/>
      <c r="AH359" s="130"/>
      <c r="AI359" s="130"/>
      <c r="AJ359" s="130"/>
      <c r="AK359" s="131"/>
      <c r="AL359" s="131"/>
      <c r="AM359" s="131"/>
      <c r="AN359" s="131"/>
      <c r="AO359" s="131"/>
      <c r="AU359"/>
    </row>
    <row r="360" spans="1:47">
      <c r="A360" s="57">
        <f t="shared" ref="A360:A384" si="34">PROJID</f>
        <v>0</v>
      </c>
      <c r="B360" s="183" t="str">
        <f>IF(C360="","",CONCATENATE(ROW(),"-",C360))</f>
        <v/>
      </c>
      <c r="C360" s="186" t="str">
        <f>IF(OR(R360&gt;0,T360&gt;0),INDEX('M04-S02'!$BE$16:$BE$198,2*(ROWS($C$360:C360)-1)+1),"")</f>
        <v/>
      </c>
      <c r="D360" t="s">
        <v>195</v>
      </c>
      <c r="F360" s="112"/>
      <c r="G360" s="96"/>
      <c r="H360" s="186" t="str">
        <f>IF(ISNUMBER(INDEX('M04-S02'!$AN$16:$AN$198,2*(ROWS($R$360:R360)-1)+1)),"Incremental","")</f>
        <v/>
      </c>
      <c r="I360" s="184">
        <f>IFERROR(ROUND(IF(ISNUMBER(INDEX('M04-S02'!$AN$16:$AN$198,2*(ROWS($R$360:$R360)-1)+1)),INDEX('M04-S02'!$AF$16:$AF$198,2*(ROWS($I$360:$I360)-1)+1),""),2),0)</f>
        <v>0</v>
      </c>
      <c r="J360" s="184">
        <f>IFERROR(ROUND(IF(ISNUMBER(INDEX('M04-S02'!$AN$16:$AN$198,2*(ROWS($R$360:$R360)-1)+1)),INDEX('M04-S02'!$AW$16:$AW$198,2*(ROWS($J$360:$J360)-1)+1),""),2),0)</f>
        <v>0</v>
      </c>
      <c r="K360" s="52">
        <f>IFERROR(ROUND(IF(ISNUMBER(INDEX('M04-S02'!$AN$16:$AN$198,2*(ROWS($R$360:$R360)-1)+1)),INDEX('M04-S02'!$AF$16:$AF$198,2*(ROWS($K$360:$K360)-1)+1),""),2),0)</f>
        <v>0</v>
      </c>
      <c r="L360" s="52" t="str">
        <f>IF(ISNUMBER(INDEX('M04-S02'!$AN$16:$AN$198,2*(ROWS($R$360:R360)-1)+1)),ROUND(INDEX('M04-S02'!$BB$16:$BB$198,2*(ROWS($L$360:L360)-1)+1),4),"")</f>
        <v/>
      </c>
      <c r="M360" s="456" t="str">
        <f>IF(ISNUMBER(INDEX('M04-S02'!$AN$16:$AN$198,2*(ROWS($R$360:R360)-1)+1)),ROUND(INDEX('M04-S02'!$C$16:$C$198,2*(ROWS($M$360:M360)-1)+1)/1000,4),"")</f>
        <v/>
      </c>
      <c r="N360" s="184" t="str">
        <f>IF(ISNUMBER(INDEX('M04-S02'!$AN$16:$AN$198,2*(ROWS($R$360:R360)-1)+1)),INDEX('M04-S02'!$AK$16:$AK$198,2*(ROWS($N$360:N360)-1)+1),"")</f>
        <v/>
      </c>
      <c r="O360" s="456" t="str">
        <f>IF(ISNUMBER(INDEX('M04-S02'!$AN$16:$AN$198,2*(ROWS($R$360:R360)-1)+1)),INDEX('M04-S02'!$AV$16:$AV$198,2*(ROWS($O$360:O360)-1)+1),"")</f>
        <v/>
      </c>
      <c r="P360" s="113"/>
      <c r="Q360" s="184" t="str">
        <f>IF(ISNUMBER(INDEX('M04-S02'!$AN$16:$AN$198,2*(ROWS($R$360:R360)-1)+1)),INDEX('M04-S02'!$BC$16:$BC$198,2*(ROWS($Q$360:Q360)-1)+1),"")</f>
        <v/>
      </c>
      <c r="R360" s="184">
        <f>IF(ISNUMBER(INDEX('M04-S02'!$AN$16:$AN$198,2*(ROWS($R$360:R360)-1)+1)),INDEX('M04-S02'!$AN$16:$AN$198,2*(ROWS($R$360:R360)-1)+1),0)</f>
        <v>0</v>
      </c>
      <c r="S360" s="23">
        <f>IF(NOT(ISNUMBER(INDEX('M04-S02'!$AN$16:$AN$198,2*(ROWS($R$360:R360)-1)+1))),ROUND(INDEX('M04-S02'!$C$16:$C$198,2*(ROWS($S$360:S360)-1)+1)/1000,4),"")</f>
        <v>0</v>
      </c>
      <c r="T360" s="52" t="str">
        <f>IFERROR(IF(NOT(ISNUMBER(INDEX('M04-S02'!$AN$16:$AN$198,2*(ROWS($R$360:R360)-1)+1))),INDEX('M04-S02'!$AK$16:$AK$198,2*(ROWS($R$360:R360)-1)+1),0),0)</f>
        <v/>
      </c>
      <c r="U360" s="23" t="str">
        <f>IFERROR(IF(NOT(ISNUMBER(INDEX('M04-S02'!$AN$16:$AN$198,2*(ROWS($R$360:R360)-1)+1))),INDEX('M04-S02'!$AV$16:$AV$198,2*(ROWS($R$360:R360)-1)+1),0),"")</f>
        <v/>
      </c>
      <c r="V360" s="113"/>
      <c r="W360" t="str">
        <f>IFERROR(IF(NOT(ISNUMBER(INDEX('M04-S02'!$AN$16:$AN$198,2*(ROWS($R$360:R360)-1)+1))),INDEX('M04-S02'!$BC$16:$BC$198,2*(ROWS($R$360:R360)-1)+1),""),"")</f>
        <v/>
      </c>
      <c r="X360" s="184" t="str">
        <f>IFERROR(ROUND(INDEX('M04-S02'!$N$16:$N$198,2*(ROWS($X$360:X360)-1)+1),3),"")</f>
        <v/>
      </c>
      <c r="Y360" s="184" t="str">
        <f>IFERROR(ROUND(INDEX('M04-S02'!$AA$16:$AA$198,2*(ROWS($Y$360:Y360)-1)+1),3),"")</f>
        <v/>
      </c>
      <c r="Z360" s="111">
        <f>INDEX('M04-S02'!$B$16:$B$198,2*(ROWS($Z$360:Z360)-1)+1)</f>
        <v>1</v>
      </c>
      <c r="AA360" s="96"/>
      <c r="AB360" s="96"/>
      <c r="AC360" t="str">
        <f>INDEX('M04-S02'!$F$16:$F$198,2*(ROWS($AC$360:AC360)-1)+1)</f>
        <v/>
      </c>
      <c r="AD360" t="str">
        <f>INDEX('M04-S02'!$S$16:$S$198,2*(ROWS($AD$360:AD360)-1)+1)</f>
        <v/>
      </c>
      <c r="AE360" s="459"/>
      <c r="AF360" s="459"/>
      <c r="AG360" s="111" t="str">
        <f>IFERROR(IF(ISNUMBER((INDEX('M04-S02'!$N$16:$N$198,2*(ROWS($AG$360:AG360)-1)+1)*INDEX('M04-S02'!$Q$16:$Q$198,2*(ROWS($AG$360:AG360)-1)+1))/1000),((INDEX('M04-S02'!$N$16:$N$198,2*(ROWS($AG$360:AG360)-1)+1)*INDEX('M04-S02'!$Q$16:$Q$198,2*(ROWS($AG$360:AG360)-1)+1))/1000),""),"")</f>
        <v/>
      </c>
      <c r="AH360" s="111" t="str">
        <f>IFERROR(IF(ISNUMBER((INDEX('M04-S02'!$AA$16:$AA$198,2*(ROWS($AH$360:AH360)-1)+1)*INDEX('M04-S02'!$Q$16:$Q$198,2*(ROWS($AH$360:AH360)-1)+1))/1000),((INDEX('M04-S02'!$AA$16:$AA$198,2*(ROWS($AH$360:AH360)-1)+1)*INDEX('M04-S02'!$Q$16:$Q$198,2*(ROWS($AH$360:AH360)-1)+1))/1000),""),"")</f>
        <v/>
      </c>
      <c r="AI360" s="96"/>
      <c r="AJ360" s="96"/>
      <c r="AK360" s="52" t="str">
        <f>INDEX('M04-S02'!$AU$16:$AU$198,2*(ROWS($AK$360:AK360)-1)+1)</f>
        <v/>
      </c>
      <c r="AL360" s="184">
        <f>IF(NOT(ISNUMBER(INDEX('M04-S02'!$AN$16:$AN$198,2*(ROWS($R$360:$R360)-1)+1))),INDEX('M04-S02'!$AD$16:$AD$198,2*(ROWS($AL$360:$AL360)-1)+1),"")</f>
        <v>0</v>
      </c>
      <c r="AM360" s="184">
        <f>IF(NOT(ISNUMBER(INDEX('M04-S02'!$AN$16:$AN$198,2*(ROWS($R$360:$R360)-1)+1))),INDEX('M04-S02'!$AF$16:$AF$198,2*(ROWS($AM$360:$AM360)-1)+1),"")</f>
        <v>0</v>
      </c>
      <c r="AN360" s="52" t="str">
        <f>IF(NOT(ISNUMBER(INDEX('M04-S02'!$AN$16:$AN$198,2*(ROWS($R$360:$R360)-1)+1))),INDEX('M04-S02'!$AH$16:$AH$198,2*(ROWS($AN$360:$AN360)-1)+1),"")</f>
        <v/>
      </c>
      <c r="AO360" s="113"/>
      <c r="AU360"/>
    </row>
    <row r="361" spans="1:47">
      <c r="A361" s="57">
        <f t="shared" si="34"/>
        <v>0</v>
      </c>
      <c r="B361" s="183" t="str">
        <f t="shared" ref="B361" si="35">IF(C361="","",CONCATENATE(ROW(),"-",C361))</f>
        <v/>
      </c>
      <c r="C361" s="186" t="str">
        <f>IF(OR(R361&gt;0,T361&gt;0),INDEX('M04-S02'!$BE$16:$BE$198,2*(ROWS($C$360:C361)-1)+1),"")</f>
        <v/>
      </c>
      <c r="D361" t="s">
        <v>195</v>
      </c>
      <c r="F361" s="112"/>
      <c r="G361" s="96"/>
      <c r="H361" s="186" t="str">
        <f>IF(ISNUMBER(INDEX('M04-S02'!$AN$16:$AN$198,2*(ROWS($R$360:R361)-1)+1)),"Incremental","")</f>
        <v/>
      </c>
      <c r="I361" s="184">
        <f>IFERROR(ROUND(IF(ISNUMBER(INDEX('M04-S02'!$AN$16:$AN$198,2*(ROWS($R$360:$R361)-1)+1)),INDEX('M04-S02'!$AF$16:$AF$198,2*(ROWS($I$360:$I361)-1)+1),""),2),0)</f>
        <v>0</v>
      </c>
      <c r="J361" s="184">
        <f>IFERROR(ROUND(IF(ISNUMBER(INDEX('M04-S02'!$AN$16:$AN$198,2*(ROWS($R$360:$R361)-1)+1)),INDEX('M04-S02'!$AW$16:$AW$198,2*(ROWS($J$360:$J361)-1)+1),""),2),0)</f>
        <v>0</v>
      </c>
      <c r="K361" s="52">
        <f>IFERROR(ROUND(IF(ISNUMBER(INDEX('M04-S02'!$AN$16:$AN$198,2*(ROWS($R$360:$R361)-1)+1)),INDEX('M04-S02'!$AF$16:$AF$198,2*(ROWS($K$360:$K361)-1)+1),""),2),0)</f>
        <v>0</v>
      </c>
      <c r="L361" s="52" t="str">
        <f>IF(ISNUMBER(INDEX('M04-S02'!$AN$16:$AN$198,2*(ROWS($R$360:R361)-1)+1)),ROUND(INDEX('M04-S02'!$BB$16:$BB$198,2*(ROWS($L$360:L361)-1)+1),4),"")</f>
        <v/>
      </c>
      <c r="M361" s="456" t="str">
        <f>IF(ISNUMBER(INDEX('M04-S02'!$AN$16:$AN$198,2*(ROWS($R$360:R361)-1)+1)),ROUND(INDEX('M04-S02'!$C$16:$C$198,2*(ROWS($M$360:M361)-1)+1)/1000,4),"")</f>
        <v/>
      </c>
      <c r="N361" s="184" t="str">
        <f>IF(ISNUMBER(INDEX('M04-S02'!$AN$16:$AN$198,2*(ROWS($R$360:R361)-1)+1)),INDEX('M04-S02'!$AK$16:$AK$198,2*(ROWS($N$360:N361)-1)+1),"")</f>
        <v/>
      </c>
      <c r="O361" s="456" t="str">
        <f>IF(ISNUMBER(INDEX('M04-S02'!$AN$16:$AN$198,2*(ROWS($R$360:R361)-1)+1)),INDEX('M04-S02'!$AV$16:$AV$198,2*(ROWS($O$360:O361)-1)+1),"")</f>
        <v/>
      </c>
      <c r="P361" s="113"/>
      <c r="Q361" s="184" t="str">
        <f>IF(ISNUMBER(INDEX('M04-S02'!$AN$16:$AN$198,2*(ROWS($R$360:R361)-1)+1)),INDEX('M04-S02'!$BC$16:$BC$198,2*(ROWS($Q$360:Q361)-1)+1),"")</f>
        <v/>
      </c>
      <c r="R361" s="184">
        <f>IF(ISNUMBER(INDEX('M04-S02'!$AN$16:$AN$198,2*(ROWS($R$360:R361)-1)+1)),INDEX('M04-S02'!$AN$16:$AN$198,2*(ROWS($R$360:R361)-1)+1),0)</f>
        <v>0</v>
      </c>
      <c r="S361" s="23">
        <f>IF(NOT(ISNUMBER(INDEX('M04-S02'!$AN$16:$AN$198,2*(ROWS($R$360:R361)-1)+1))),ROUND(INDEX('M04-S02'!$C$16:$C$198,2*(ROWS($S$360:S361)-1)+1)/1000,4),"")</f>
        <v>0</v>
      </c>
      <c r="T361" s="52" t="str">
        <f>IFERROR(IF(NOT(ISNUMBER(INDEX('M04-S02'!$AN$16:$AN$198,2*(ROWS($R$360:R361)-1)+1))),INDEX('M04-S02'!$AK$16:$AK$198,2*(ROWS($R$360:R361)-1)+1),0),0)</f>
        <v/>
      </c>
      <c r="U361" s="23" t="str">
        <f>IFERROR(IF(NOT(ISNUMBER(INDEX('M04-S02'!$AN$16:$AN$198,2*(ROWS($R$360:R361)-1)+1))),INDEX('M04-S02'!$AV$16:$AV$198,2*(ROWS($R$360:R361)-1)+1),0),"")</f>
        <v/>
      </c>
      <c r="V361" s="113"/>
      <c r="W361" t="str">
        <f>IFERROR(IF(NOT(ISNUMBER(INDEX('M04-S02'!$AN$16:$AN$198,2*(ROWS($R$360:R361)-1)+1))),INDEX('M04-S02'!$BC$16:$BC$198,2*(ROWS($R$360:R361)-1)+1),""),"")</f>
        <v/>
      </c>
      <c r="X361" s="184" t="str">
        <f>IFERROR(ROUND(INDEX('M04-S02'!$N$16:$N$198,2*(ROWS($X$360:X361)-1)+1),3),"")</f>
        <v/>
      </c>
      <c r="Y361" s="184" t="str">
        <f>IFERROR(ROUND(INDEX('M04-S02'!$AA$16:$AA$198,2*(ROWS($Y$360:Y361)-1)+1),3),"")</f>
        <v/>
      </c>
      <c r="Z361" s="111">
        <f>INDEX('M04-S02'!$B$16:$B$198,2*(ROWS($Z$360:Z361)-1)+1)</f>
        <v>2</v>
      </c>
      <c r="AA361" s="96"/>
      <c r="AB361" s="96"/>
      <c r="AC361" t="str">
        <f>INDEX('M04-S02'!$F$16:$F$198,2*(ROWS($AC$360:AC361)-1)+1)</f>
        <v/>
      </c>
      <c r="AD361" t="str">
        <f>INDEX('M04-S02'!$S$16:$S$198,2*(ROWS($AD$360:AD361)-1)+1)</f>
        <v/>
      </c>
      <c r="AE361" s="459"/>
      <c r="AF361" s="459"/>
      <c r="AG361" s="111" t="str">
        <f>IFERROR(IF(ISNUMBER((INDEX('M04-S02'!$N$16:$N$198,2*(ROWS($AG$360:AG361)-1)+1)*INDEX('M04-S02'!$Q$16:$Q$198,2*(ROWS($AG$360:AG361)-1)+1))/1000),((INDEX('M04-S02'!$N$16:$N$198,2*(ROWS($AG$360:AG361)-1)+1)*INDEX('M04-S02'!$Q$16:$Q$198,2*(ROWS($AG$360:AG361)-1)+1))/1000),""),"")</f>
        <v/>
      </c>
      <c r="AH361" s="111" t="str">
        <f>IFERROR(IF(ISNUMBER((INDEX('M04-S02'!$AA$16:$AA$198,2*(ROWS($AH$360:AH361)-1)+1)*INDEX('M04-S02'!$Q$16:$Q$198,2*(ROWS($AH$360:AH361)-1)+1))/1000),((INDEX('M04-S02'!$AA$16:$AA$198,2*(ROWS($AH$360:AH361)-1)+1)*INDEX('M04-S02'!$Q$16:$Q$198,2*(ROWS($AH$360:AH361)-1)+1))/1000),""),"")</f>
        <v/>
      </c>
      <c r="AI361" s="96"/>
      <c r="AJ361" s="96"/>
      <c r="AK361" s="52" t="str">
        <f>INDEX('M04-S02'!$AU$16:$AU$198,2*(ROWS($AK$360:AK361)-1)+1)</f>
        <v/>
      </c>
      <c r="AL361" s="184">
        <f>IF(NOT(ISNUMBER(INDEX('M04-S02'!$AN$16:$AN$198,2*(ROWS($R$360:$R361)-1)+1))),INDEX('M04-S02'!$AD$16:$AD$198,2*(ROWS($AL$360:$AL361)-1)+1),"")</f>
        <v>0</v>
      </c>
      <c r="AM361" s="184">
        <f>IF(NOT(ISNUMBER(INDEX('M04-S02'!$AN$16:$AN$198,2*(ROWS($R$360:$R361)-1)+1))),INDEX('M04-S02'!$AF$16:$AF$198,2*(ROWS($AM$360:$AM361)-1)+1),"")</f>
        <v>0</v>
      </c>
      <c r="AN361" s="52" t="str">
        <f>IF(NOT(ISNUMBER(INDEX('M04-S02'!$AN$16:$AN$198,2*(ROWS($R$360:$R361)-1)+1))),INDEX('M04-S02'!$AH$16:$AH$198,2*(ROWS($AN$360:$AN361)-1)+1),"")</f>
        <v/>
      </c>
      <c r="AO361" s="113"/>
      <c r="AU361"/>
    </row>
    <row r="362" spans="1:47">
      <c r="A362" s="57">
        <f t="shared" si="34"/>
        <v>0</v>
      </c>
      <c r="B362" s="183" t="str">
        <f t="shared" ref="B362:B384" si="36">IF(C362="","",CONCATENATE(ROW(),"-",C362))</f>
        <v/>
      </c>
      <c r="C362" s="186" t="str">
        <f>IF(OR(R362&gt;0,T362&gt;0),INDEX('M04-S02'!$BE$16:$BE$198,2*(ROWS($C$360:C362)-1)+1),"")</f>
        <v/>
      </c>
      <c r="D362" t="s">
        <v>195</v>
      </c>
      <c r="F362" s="112"/>
      <c r="G362" s="96"/>
      <c r="H362" s="186" t="str">
        <f>IF(ISNUMBER(INDEX('M04-S02'!$AN$16:$AN$198,2*(ROWS($R$360:R362)-1)+1)),"Incremental","")</f>
        <v/>
      </c>
      <c r="I362" s="184">
        <f>IFERROR(ROUND(IF(ISNUMBER(INDEX('M04-S02'!$AN$16:$AN$198,2*(ROWS($R$360:$R362)-1)+1)),INDEX('M04-S02'!$AF$16:$AF$198,2*(ROWS($I$360:$I362)-1)+1),""),2),0)</f>
        <v>0</v>
      </c>
      <c r="J362" s="184">
        <f>IFERROR(ROUND(IF(ISNUMBER(INDEX('M04-S02'!$AN$16:$AN$198,2*(ROWS($R$360:$R362)-1)+1)),INDEX('M04-S02'!$AW$16:$AW$198,2*(ROWS($J$360:$J362)-1)+1),""),2),0)</f>
        <v>0</v>
      </c>
      <c r="K362" s="52">
        <f>IFERROR(ROUND(IF(ISNUMBER(INDEX('M04-S02'!$AN$16:$AN$198,2*(ROWS($R$360:$R362)-1)+1)),INDEX('M04-S02'!$AF$16:$AF$198,2*(ROWS($K$360:$K362)-1)+1),""),2),0)</f>
        <v>0</v>
      </c>
      <c r="L362" s="52" t="str">
        <f>IF(ISNUMBER(INDEX('M04-S02'!$AN$16:$AN$198,2*(ROWS($R$360:R362)-1)+1)),ROUND(INDEX('M04-S02'!$BB$16:$BB$198,2*(ROWS($L$360:L362)-1)+1),4),"")</f>
        <v/>
      </c>
      <c r="M362" s="456" t="str">
        <f>IF(ISNUMBER(INDEX('M04-S02'!$AN$16:$AN$198,2*(ROWS($R$360:R362)-1)+1)),ROUND(INDEX('M04-S02'!$C$16:$C$198,2*(ROWS($M$360:M362)-1)+1)/1000,4),"")</f>
        <v/>
      </c>
      <c r="N362" s="184" t="str">
        <f>IF(ISNUMBER(INDEX('M04-S02'!$AN$16:$AN$198,2*(ROWS($R$360:R362)-1)+1)),INDEX('M04-S02'!$AK$16:$AK$198,2*(ROWS($N$360:N362)-1)+1),"")</f>
        <v/>
      </c>
      <c r="O362" s="456" t="str">
        <f>IF(ISNUMBER(INDEX('M04-S02'!$AN$16:$AN$198,2*(ROWS($R$360:R362)-1)+1)),INDEX('M04-S02'!$AV$16:$AV$198,2*(ROWS($O$360:O362)-1)+1),"")</f>
        <v/>
      </c>
      <c r="P362" s="113"/>
      <c r="Q362" s="184" t="str">
        <f>IF(ISNUMBER(INDEX('M04-S02'!$AN$16:$AN$198,2*(ROWS($R$360:R362)-1)+1)),INDEX('M04-S02'!$BC$16:$BC$198,2*(ROWS($Q$360:Q362)-1)+1),"")</f>
        <v/>
      </c>
      <c r="R362" s="184">
        <f>IF(ISNUMBER(INDEX('M04-S02'!$AN$16:$AN$198,2*(ROWS($R$360:R362)-1)+1)),INDEX('M04-S02'!$AN$16:$AN$198,2*(ROWS($R$360:R362)-1)+1),0)</f>
        <v>0</v>
      </c>
      <c r="S362" s="23">
        <f>IF(NOT(ISNUMBER(INDEX('M04-S02'!$AN$16:$AN$198,2*(ROWS($R$360:R362)-1)+1))),ROUND(INDEX('M04-S02'!$C$16:$C$198,2*(ROWS($S$360:S362)-1)+1)/1000,4),"")</f>
        <v>0</v>
      </c>
      <c r="T362" s="52" t="str">
        <f>IFERROR(IF(NOT(ISNUMBER(INDEX('M04-S02'!$AN$16:$AN$198,2*(ROWS($R$360:R362)-1)+1))),INDEX('M04-S02'!$AK$16:$AK$198,2*(ROWS($R$360:R362)-1)+1),0),0)</f>
        <v/>
      </c>
      <c r="U362" s="23" t="str">
        <f>IFERROR(IF(NOT(ISNUMBER(INDEX('M04-S02'!$AN$16:$AN$198,2*(ROWS($R$360:R362)-1)+1))),INDEX('M04-S02'!$AV$16:$AV$198,2*(ROWS($R$360:R362)-1)+1),0),"")</f>
        <v/>
      </c>
      <c r="V362" s="113"/>
      <c r="W362" t="str">
        <f>IFERROR(IF(NOT(ISNUMBER(INDEX('M04-S02'!$AN$16:$AN$198,2*(ROWS($R$360:R362)-1)+1))),INDEX('M04-S02'!$BC$16:$BC$198,2*(ROWS($R$360:R362)-1)+1),""),"")</f>
        <v/>
      </c>
      <c r="X362" s="184" t="str">
        <f>IFERROR(ROUND(INDEX('M04-S02'!$N$16:$N$198,2*(ROWS($X$360:X362)-1)+1),3),"")</f>
        <v/>
      </c>
      <c r="Y362" s="184" t="str">
        <f>IFERROR(ROUND(INDEX('M04-S02'!$AA$16:$AA$198,2*(ROWS($Y$360:Y362)-1)+1),3),"")</f>
        <v/>
      </c>
      <c r="Z362" s="111">
        <f>INDEX('M04-S02'!$B$16:$B$198,2*(ROWS($Z$360:Z362)-1)+1)</f>
        <v>3</v>
      </c>
      <c r="AA362" s="96"/>
      <c r="AB362" s="96"/>
      <c r="AC362" t="str">
        <f>INDEX('M04-S02'!$F$16:$F$198,2*(ROWS($AC$360:AC362)-1)+1)</f>
        <v/>
      </c>
      <c r="AD362" t="str">
        <f>INDEX('M04-S02'!$S$16:$S$198,2*(ROWS($AD$360:AD362)-1)+1)</f>
        <v/>
      </c>
      <c r="AE362" s="459"/>
      <c r="AF362" s="459"/>
      <c r="AG362" s="111" t="str">
        <f>IFERROR(IF(ISNUMBER((INDEX('M04-S02'!$N$16:$N$198,2*(ROWS($AG$360:AG362)-1)+1)*INDEX('M04-S02'!$Q$16:$Q$198,2*(ROWS($AG$360:AG362)-1)+1))/1000),((INDEX('M04-S02'!$N$16:$N$198,2*(ROWS($AG$360:AG362)-1)+1)*INDEX('M04-S02'!$Q$16:$Q$198,2*(ROWS($AG$360:AG362)-1)+1))/1000),""),"")</f>
        <v/>
      </c>
      <c r="AH362" s="111" t="str">
        <f>IFERROR(IF(ISNUMBER((INDEX('M04-S02'!$AA$16:$AA$198,2*(ROWS($AH$360:AH362)-1)+1)*INDEX('M04-S02'!$Q$16:$Q$198,2*(ROWS($AH$360:AH362)-1)+1))/1000),((INDEX('M04-S02'!$AA$16:$AA$198,2*(ROWS($AH$360:AH362)-1)+1)*INDEX('M04-S02'!$Q$16:$Q$198,2*(ROWS($AH$360:AH362)-1)+1))/1000),""),"")</f>
        <v/>
      </c>
      <c r="AI362" s="96"/>
      <c r="AJ362" s="96"/>
      <c r="AK362" s="52" t="str">
        <f>INDEX('M04-S02'!$AU$16:$AU$198,2*(ROWS($AK$360:AK362)-1)+1)</f>
        <v/>
      </c>
      <c r="AL362" s="184">
        <f>IF(NOT(ISNUMBER(INDEX('M04-S02'!$AN$16:$AN$198,2*(ROWS($R$360:$R362)-1)+1))),INDEX('M04-S02'!$AD$16:$AD$198,2*(ROWS($AL$360:$AL362)-1)+1),"")</f>
        <v>0</v>
      </c>
      <c r="AM362" s="184">
        <f>IF(NOT(ISNUMBER(INDEX('M04-S02'!$AN$16:$AN$198,2*(ROWS($R$360:$R362)-1)+1))),INDEX('M04-S02'!$AF$16:$AF$198,2*(ROWS($AM$360:$AM362)-1)+1),"")</f>
        <v>0</v>
      </c>
      <c r="AN362" s="52" t="str">
        <f>IF(NOT(ISNUMBER(INDEX('M04-S02'!$AN$16:$AN$198,2*(ROWS($R$360:$R362)-1)+1))),INDEX('M04-S02'!$AH$16:$AH$198,2*(ROWS($AN$360:$AN362)-1)+1),"")</f>
        <v/>
      </c>
      <c r="AO362" s="113"/>
      <c r="AU362"/>
    </row>
    <row r="363" spans="1:47">
      <c r="A363" s="57">
        <f t="shared" si="34"/>
        <v>0</v>
      </c>
      <c r="B363" s="183" t="str">
        <f t="shared" si="36"/>
        <v/>
      </c>
      <c r="C363" s="186" t="str">
        <f>IF(OR(R363&gt;0,T363&gt;0),INDEX('M04-S02'!$BE$16:$BE$198,2*(ROWS($C$360:C363)-1)+1),"")</f>
        <v/>
      </c>
      <c r="D363" t="s">
        <v>195</v>
      </c>
      <c r="F363" s="112"/>
      <c r="G363" s="96"/>
      <c r="H363" s="186" t="str">
        <f>IF(ISNUMBER(INDEX('M04-S02'!$AN$16:$AN$198,2*(ROWS($R$360:R363)-1)+1)),"Incremental","")</f>
        <v/>
      </c>
      <c r="I363" s="184">
        <f>IFERROR(ROUND(IF(ISNUMBER(INDEX('M04-S02'!$AN$16:$AN$198,2*(ROWS($R$360:$R363)-1)+1)),INDEX('M04-S02'!$AF$16:$AF$198,2*(ROWS($I$360:$I363)-1)+1),""),2),0)</f>
        <v>0</v>
      </c>
      <c r="J363" s="184">
        <f>IFERROR(ROUND(IF(ISNUMBER(INDEX('M04-S02'!$AN$16:$AN$198,2*(ROWS($R$360:$R363)-1)+1)),INDEX('M04-S02'!$AW$16:$AW$198,2*(ROWS($J$360:$J363)-1)+1),""),2),0)</f>
        <v>0</v>
      </c>
      <c r="K363" s="52">
        <f>IFERROR(ROUND(IF(ISNUMBER(INDEX('M04-S02'!$AN$16:$AN$198,2*(ROWS($R$360:$R363)-1)+1)),INDEX('M04-S02'!$AF$16:$AF$198,2*(ROWS($K$360:$K363)-1)+1),""),2),0)</f>
        <v>0</v>
      </c>
      <c r="L363" s="52" t="str">
        <f>IF(ISNUMBER(INDEX('M04-S02'!$AN$16:$AN$198,2*(ROWS($R$360:R363)-1)+1)),ROUND(INDEX('M04-S02'!$BB$16:$BB$198,2*(ROWS($L$360:L363)-1)+1),4),"")</f>
        <v/>
      </c>
      <c r="M363" s="456" t="str">
        <f>IF(ISNUMBER(INDEX('M04-S02'!$AN$16:$AN$198,2*(ROWS($R$360:R363)-1)+1)),ROUND(INDEX('M04-S02'!$C$16:$C$198,2*(ROWS($M$360:M363)-1)+1)/1000,4),"")</f>
        <v/>
      </c>
      <c r="N363" s="184" t="str">
        <f>IF(ISNUMBER(INDEX('M04-S02'!$AN$16:$AN$198,2*(ROWS($R$360:R363)-1)+1)),INDEX('M04-S02'!$AK$16:$AK$198,2*(ROWS($N$360:N363)-1)+1),"")</f>
        <v/>
      </c>
      <c r="O363" s="456" t="str">
        <f>IF(ISNUMBER(INDEX('M04-S02'!$AN$16:$AN$198,2*(ROWS($R$360:R363)-1)+1)),INDEX('M04-S02'!$AV$16:$AV$198,2*(ROWS($O$360:O363)-1)+1),"")</f>
        <v/>
      </c>
      <c r="P363" s="113"/>
      <c r="Q363" s="184" t="str">
        <f>IF(ISNUMBER(INDEX('M04-S02'!$AN$16:$AN$198,2*(ROWS($R$360:R363)-1)+1)),INDEX('M04-S02'!$BC$16:$BC$198,2*(ROWS($Q$360:Q363)-1)+1),"")</f>
        <v/>
      </c>
      <c r="R363" s="184">
        <f>IF(ISNUMBER(INDEX('M04-S02'!$AN$16:$AN$198,2*(ROWS($R$360:R363)-1)+1)),INDEX('M04-S02'!$AN$16:$AN$198,2*(ROWS($R$360:R363)-1)+1),0)</f>
        <v>0</v>
      </c>
      <c r="S363" s="23">
        <f>IF(NOT(ISNUMBER(INDEX('M04-S02'!$AN$16:$AN$198,2*(ROWS($R$360:R363)-1)+1))),ROUND(INDEX('M04-S02'!$C$16:$C$198,2*(ROWS($S$360:S363)-1)+1)/1000,4),"")</f>
        <v>0</v>
      </c>
      <c r="T363" s="52" t="str">
        <f>IFERROR(IF(NOT(ISNUMBER(INDEX('M04-S02'!$AN$16:$AN$198,2*(ROWS($R$360:R363)-1)+1))),INDEX('M04-S02'!$AK$16:$AK$198,2*(ROWS($R$360:R363)-1)+1),0),0)</f>
        <v/>
      </c>
      <c r="U363" s="23" t="str">
        <f>IFERROR(IF(NOT(ISNUMBER(INDEX('M04-S02'!$AN$16:$AN$198,2*(ROWS($R$360:R363)-1)+1))),INDEX('M04-S02'!$AV$16:$AV$198,2*(ROWS($R$360:R363)-1)+1),0),"")</f>
        <v/>
      </c>
      <c r="V363" s="113"/>
      <c r="W363" t="str">
        <f>IFERROR(IF(NOT(ISNUMBER(INDEX('M04-S02'!$AN$16:$AN$198,2*(ROWS($R$360:R363)-1)+1))),INDEX('M04-S02'!$BC$16:$BC$198,2*(ROWS($R$360:R363)-1)+1),""),"")</f>
        <v/>
      </c>
      <c r="X363" s="184" t="str">
        <f>IFERROR(ROUND(INDEX('M04-S02'!$N$16:$N$198,2*(ROWS($X$360:X363)-1)+1),3),"")</f>
        <v/>
      </c>
      <c r="Y363" s="184" t="str">
        <f>IFERROR(ROUND(INDEX('M04-S02'!$AA$16:$AA$198,2*(ROWS($Y$360:Y363)-1)+1),3),"")</f>
        <v/>
      </c>
      <c r="Z363" s="111">
        <f>INDEX('M04-S02'!$B$16:$B$198,2*(ROWS($Z$360:Z363)-1)+1)</f>
        <v>4</v>
      </c>
      <c r="AA363" s="96"/>
      <c r="AB363" s="96"/>
      <c r="AC363" t="str">
        <f>INDEX('M04-S02'!$F$16:$F$198,2*(ROWS($AC$360:AC363)-1)+1)</f>
        <v/>
      </c>
      <c r="AD363" t="str">
        <f>INDEX('M04-S02'!$S$16:$S$198,2*(ROWS($AD$360:AD363)-1)+1)</f>
        <v/>
      </c>
      <c r="AE363" s="459"/>
      <c r="AF363" s="459"/>
      <c r="AG363" s="111" t="str">
        <f>IFERROR(IF(ISNUMBER((INDEX('M04-S02'!$N$16:$N$198,2*(ROWS($AG$360:AG363)-1)+1)*INDEX('M04-S02'!$Q$16:$Q$198,2*(ROWS($AG$360:AG363)-1)+1))/1000),((INDEX('M04-S02'!$N$16:$N$198,2*(ROWS($AG$360:AG363)-1)+1)*INDEX('M04-S02'!$Q$16:$Q$198,2*(ROWS($AG$360:AG363)-1)+1))/1000),""),"")</f>
        <v/>
      </c>
      <c r="AH363" s="111" t="str">
        <f>IFERROR(IF(ISNUMBER((INDEX('M04-S02'!$AA$16:$AA$198,2*(ROWS($AH$360:AH363)-1)+1)*INDEX('M04-S02'!$Q$16:$Q$198,2*(ROWS($AH$360:AH363)-1)+1))/1000),((INDEX('M04-S02'!$AA$16:$AA$198,2*(ROWS($AH$360:AH363)-1)+1)*INDEX('M04-S02'!$Q$16:$Q$198,2*(ROWS($AH$360:AH363)-1)+1))/1000),""),"")</f>
        <v/>
      </c>
      <c r="AI363" s="96"/>
      <c r="AJ363" s="96"/>
      <c r="AK363" s="52" t="str">
        <f>INDEX('M04-S02'!$AU$16:$AU$198,2*(ROWS($AK$360:AK363)-1)+1)</f>
        <v/>
      </c>
      <c r="AL363" s="184">
        <f>IF(NOT(ISNUMBER(INDEX('M04-S02'!$AN$16:$AN$198,2*(ROWS($R$360:$R363)-1)+1))),INDEX('M04-S02'!$AD$16:$AD$198,2*(ROWS($AL$360:$AL363)-1)+1),"")</f>
        <v>0</v>
      </c>
      <c r="AM363" s="184">
        <f>IF(NOT(ISNUMBER(INDEX('M04-S02'!$AN$16:$AN$198,2*(ROWS($R$360:$R363)-1)+1))),INDEX('M04-S02'!$AF$16:$AF$198,2*(ROWS($AM$360:$AM363)-1)+1),"")</f>
        <v>0</v>
      </c>
      <c r="AN363" s="52" t="str">
        <f>IF(NOT(ISNUMBER(INDEX('M04-S02'!$AN$16:$AN$198,2*(ROWS($R$360:$R363)-1)+1))),INDEX('M04-S02'!$AH$16:$AH$198,2*(ROWS($AN$360:$AN363)-1)+1),"")</f>
        <v/>
      </c>
      <c r="AO363" s="113"/>
      <c r="AU363"/>
    </row>
    <row r="364" spans="1:47">
      <c r="A364" s="57">
        <f t="shared" si="34"/>
        <v>0</v>
      </c>
      <c r="B364" s="183" t="str">
        <f t="shared" si="36"/>
        <v/>
      </c>
      <c r="C364" s="186" t="str">
        <f>IF(OR(R364&gt;0,T364&gt;0),INDEX('M04-S02'!$BE$16:$BE$198,2*(ROWS($C$360:C364)-1)+1),"")</f>
        <v/>
      </c>
      <c r="D364" t="s">
        <v>195</v>
      </c>
      <c r="F364" s="112"/>
      <c r="G364" s="96"/>
      <c r="H364" s="186" t="str">
        <f>IF(ISNUMBER(INDEX('M04-S02'!$AN$16:$AN$198,2*(ROWS($R$360:R364)-1)+1)),"Incremental","")</f>
        <v/>
      </c>
      <c r="I364" s="184">
        <f>IFERROR(ROUND(IF(ISNUMBER(INDEX('M04-S02'!$AN$16:$AN$198,2*(ROWS($R$360:$R364)-1)+1)),INDEX('M04-S02'!$AF$16:$AF$198,2*(ROWS($I$360:$I364)-1)+1),""),2),0)</f>
        <v>0</v>
      </c>
      <c r="J364" s="184">
        <f>IFERROR(ROUND(IF(ISNUMBER(INDEX('M04-S02'!$AN$16:$AN$198,2*(ROWS($R$360:$R364)-1)+1)),INDEX('M04-S02'!$AW$16:$AW$198,2*(ROWS($J$360:$J364)-1)+1),""),2),0)</f>
        <v>0</v>
      </c>
      <c r="K364" s="52">
        <f>IFERROR(ROUND(IF(ISNUMBER(INDEX('M04-S02'!$AN$16:$AN$198,2*(ROWS($R$360:$R364)-1)+1)),INDEX('M04-S02'!$AF$16:$AF$198,2*(ROWS($K$360:$K364)-1)+1),""),2),0)</f>
        <v>0</v>
      </c>
      <c r="L364" s="52" t="str">
        <f>IF(ISNUMBER(INDEX('M04-S02'!$AN$16:$AN$198,2*(ROWS($R$360:R364)-1)+1)),ROUND(INDEX('M04-S02'!$BB$16:$BB$198,2*(ROWS($L$360:L364)-1)+1),4),"")</f>
        <v/>
      </c>
      <c r="M364" s="456" t="str">
        <f>IF(ISNUMBER(INDEX('M04-S02'!$AN$16:$AN$198,2*(ROWS($R$360:R364)-1)+1)),ROUND(INDEX('M04-S02'!$C$16:$C$198,2*(ROWS($M$360:M364)-1)+1)/1000,4),"")</f>
        <v/>
      </c>
      <c r="N364" s="184" t="str">
        <f>IF(ISNUMBER(INDEX('M04-S02'!$AN$16:$AN$198,2*(ROWS($R$360:R364)-1)+1)),INDEX('M04-S02'!$AK$16:$AK$198,2*(ROWS($N$360:N364)-1)+1),"")</f>
        <v/>
      </c>
      <c r="O364" s="456" t="str">
        <f>IF(ISNUMBER(INDEX('M04-S02'!$AN$16:$AN$198,2*(ROWS($R$360:R364)-1)+1)),INDEX('M04-S02'!$AV$16:$AV$198,2*(ROWS($O$360:O364)-1)+1),"")</f>
        <v/>
      </c>
      <c r="P364" s="113"/>
      <c r="Q364" s="184" t="str">
        <f>IF(ISNUMBER(INDEX('M04-S02'!$AN$16:$AN$198,2*(ROWS($R$360:R364)-1)+1)),INDEX('M04-S02'!$BC$16:$BC$198,2*(ROWS($Q$360:Q364)-1)+1),"")</f>
        <v/>
      </c>
      <c r="R364" s="184">
        <f>IF(ISNUMBER(INDEX('M04-S02'!$AN$16:$AN$198,2*(ROWS($R$360:R364)-1)+1)),INDEX('M04-S02'!$AN$16:$AN$198,2*(ROWS($R$360:R364)-1)+1),0)</f>
        <v>0</v>
      </c>
      <c r="S364" s="23">
        <f>IF(NOT(ISNUMBER(INDEX('M04-S02'!$AN$16:$AN$198,2*(ROWS($R$360:R364)-1)+1))),ROUND(INDEX('M04-S02'!$C$16:$C$198,2*(ROWS($S$360:S364)-1)+1)/1000,4),"")</f>
        <v>0</v>
      </c>
      <c r="T364" s="52" t="str">
        <f>IFERROR(IF(NOT(ISNUMBER(INDEX('M04-S02'!$AN$16:$AN$198,2*(ROWS($R$360:R364)-1)+1))),INDEX('M04-S02'!$AK$16:$AK$198,2*(ROWS($R$360:R364)-1)+1),0),0)</f>
        <v/>
      </c>
      <c r="U364" s="23" t="str">
        <f>IFERROR(IF(NOT(ISNUMBER(INDEX('M04-S02'!$AN$16:$AN$198,2*(ROWS($R$360:R364)-1)+1))),INDEX('M04-S02'!$AV$16:$AV$198,2*(ROWS($R$360:R364)-1)+1),0),"")</f>
        <v/>
      </c>
      <c r="V364" s="113"/>
      <c r="W364" t="str">
        <f>IFERROR(IF(NOT(ISNUMBER(INDEX('M04-S02'!$AN$16:$AN$198,2*(ROWS($R$360:R364)-1)+1))),INDEX('M04-S02'!$BC$16:$BC$198,2*(ROWS($R$360:R364)-1)+1),""),"")</f>
        <v/>
      </c>
      <c r="X364" s="184" t="str">
        <f>IFERROR(ROUND(INDEX('M04-S02'!$N$16:$N$198,2*(ROWS($X$360:X364)-1)+1),3),"")</f>
        <v/>
      </c>
      <c r="Y364" s="184" t="str">
        <f>IFERROR(ROUND(INDEX('M04-S02'!$AA$16:$AA$198,2*(ROWS($Y$360:Y364)-1)+1),3),"")</f>
        <v/>
      </c>
      <c r="Z364" s="111">
        <f>INDEX('M04-S02'!$B$16:$B$198,2*(ROWS($Z$360:Z364)-1)+1)</f>
        <v>5</v>
      </c>
      <c r="AA364" s="96"/>
      <c r="AB364" s="96"/>
      <c r="AC364" t="str">
        <f>INDEX('M04-S02'!$F$16:$F$198,2*(ROWS($AC$360:AC364)-1)+1)</f>
        <v/>
      </c>
      <c r="AD364" t="str">
        <f>INDEX('M04-S02'!$S$16:$S$198,2*(ROWS($AD$360:AD364)-1)+1)</f>
        <v/>
      </c>
      <c r="AE364" s="459"/>
      <c r="AF364" s="459"/>
      <c r="AG364" s="111" t="str">
        <f>IFERROR(IF(ISNUMBER((INDEX('M04-S02'!$N$16:$N$198,2*(ROWS($AG$360:AG364)-1)+1)*INDEX('M04-S02'!$Q$16:$Q$198,2*(ROWS($AG$360:AG364)-1)+1))/1000),((INDEX('M04-S02'!$N$16:$N$198,2*(ROWS($AG$360:AG364)-1)+1)*INDEX('M04-S02'!$Q$16:$Q$198,2*(ROWS($AG$360:AG364)-1)+1))/1000),""),"")</f>
        <v/>
      </c>
      <c r="AH364" s="111" t="str">
        <f>IFERROR(IF(ISNUMBER((INDEX('M04-S02'!$AA$16:$AA$198,2*(ROWS($AH$360:AH364)-1)+1)*INDEX('M04-S02'!$Q$16:$Q$198,2*(ROWS($AH$360:AH364)-1)+1))/1000),((INDEX('M04-S02'!$AA$16:$AA$198,2*(ROWS($AH$360:AH364)-1)+1)*INDEX('M04-S02'!$Q$16:$Q$198,2*(ROWS($AH$360:AH364)-1)+1))/1000),""),"")</f>
        <v/>
      </c>
      <c r="AI364" s="96"/>
      <c r="AJ364" s="96"/>
      <c r="AK364" s="52" t="str">
        <f>INDEX('M04-S02'!$AU$16:$AU$198,2*(ROWS($AK$360:AK364)-1)+1)</f>
        <v/>
      </c>
      <c r="AL364" s="184">
        <f>IF(NOT(ISNUMBER(INDEX('M04-S02'!$AN$16:$AN$198,2*(ROWS($R$360:$R364)-1)+1))),INDEX('M04-S02'!$AD$16:$AD$198,2*(ROWS($AL$360:$AL364)-1)+1),"")</f>
        <v>0</v>
      </c>
      <c r="AM364" s="184">
        <f>IF(NOT(ISNUMBER(INDEX('M04-S02'!$AN$16:$AN$198,2*(ROWS($R$360:$R364)-1)+1))),INDEX('M04-S02'!$AF$16:$AF$198,2*(ROWS($AM$360:$AM364)-1)+1),"")</f>
        <v>0</v>
      </c>
      <c r="AN364" s="52" t="str">
        <f>IF(NOT(ISNUMBER(INDEX('M04-S02'!$AN$16:$AN$198,2*(ROWS($R$360:$R364)-1)+1))),INDEX('M04-S02'!$AH$16:$AH$198,2*(ROWS($AN$360:$AN364)-1)+1),"")</f>
        <v/>
      </c>
      <c r="AO364" s="113"/>
      <c r="AU364"/>
    </row>
    <row r="365" spans="1:47">
      <c r="A365" s="57">
        <f t="shared" si="34"/>
        <v>0</v>
      </c>
      <c r="B365" s="183" t="str">
        <f t="shared" si="36"/>
        <v/>
      </c>
      <c r="C365" s="186" t="str">
        <f>IF(OR(R365&gt;0,T365&gt;0),INDEX('M04-S02'!$BE$16:$BE$198,2*(ROWS($C$360:C365)-1)+1),"")</f>
        <v/>
      </c>
      <c r="D365" t="s">
        <v>195</v>
      </c>
      <c r="F365" s="112"/>
      <c r="G365" s="96"/>
      <c r="H365" s="186" t="str">
        <f>IF(ISNUMBER(INDEX('M04-S02'!$AN$16:$AN$198,2*(ROWS($R$360:R365)-1)+1)),"Incremental","")</f>
        <v/>
      </c>
      <c r="I365" s="184">
        <f>IFERROR(ROUND(IF(ISNUMBER(INDEX('M04-S02'!$AN$16:$AN$198,2*(ROWS($R$360:$R365)-1)+1)),INDEX('M04-S02'!$AF$16:$AF$198,2*(ROWS($I$360:$I365)-1)+1),""),2),0)</f>
        <v>0</v>
      </c>
      <c r="J365" s="184">
        <f>IFERROR(ROUND(IF(ISNUMBER(INDEX('M04-S02'!$AN$16:$AN$198,2*(ROWS($R$360:$R365)-1)+1)),INDEX('M04-S02'!$AW$16:$AW$198,2*(ROWS($J$360:$J365)-1)+1),""),2),0)</f>
        <v>0</v>
      </c>
      <c r="K365" s="52">
        <f>IFERROR(ROUND(IF(ISNUMBER(INDEX('M04-S02'!$AN$16:$AN$198,2*(ROWS($R$360:$R365)-1)+1)),INDEX('M04-S02'!$AF$16:$AF$198,2*(ROWS($K$360:$K365)-1)+1),""),2),0)</f>
        <v>0</v>
      </c>
      <c r="L365" s="52" t="str">
        <f>IF(ISNUMBER(INDEX('M04-S02'!$AN$16:$AN$198,2*(ROWS($R$360:R365)-1)+1)),ROUND(INDEX('M04-S02'!$BB$16:$BB$198,2*(ROWS($L$360:L365)-1)+1),4),"")</f>
        <v/>
      </c>
      <c r="M365" s="456" t="str">
        <f>IF(ISNUMBER(INDEX('M04-S02'!$AN$16:$AN$198,2*(ROWS($R$360:R365)-1)+1)),ROUND(INDEX('M04-S02'!$C$16:$C$198,2*(ROWS($M$360:M365)-1)+1)/1000,4),"")</f>
        <v/>
      </c>
      <c r="N365" s="184" t="str">
        <f>IF(ISNUMBER(INDEX('M04-S02'!$AN$16:$AN$198,2*(ROWS($R$360:R365)-1)+1)),INDEX('M04-S02'!$AK$16:$AK$198,2*(ROWS($N$360:N365)-1)+1),"")</f>
        <v/>
      </c>
      <c r="O365" s="456" t="str">
        <f>IF(ISNUMBER(INDEX('M04-S02'!$AN$16:$AN$198,2*(ROWS($R$360:R365)-1)+1)),INDEX('M04-S02'!$AV$16:$AV$198,2*(ROWS($O$360:O365)-1)+1),"")</f>
        <v/>
      </c>
      <c r="P365" s="113"/>
      <c r="Q365" s="184" t="str">
        <f>IF(ISNUMBER(INDEX('M04-S02'!$AN$16:$AN$198,2*(ROWS($R$360:R365)-1)+1)),INDEX('M04-S02'!$BC$16:$BC$198,2*(ROWS($Q$360:Q365)-1)+1),"")</f>
        <v/>
      </c>
      <c r="R365" s="184">
        <f>IF(ISNUMBER(INDEX('M04-S02'!$AN$16:$AN$198,2*(ROWS($R$360:R365)-1)+1)),INDEX('M04-S02'!$AN$16:$AN$198,2*(ROWS($R$360:R365)-1)+1),0)</f>
        <v>0</v>
      </c>
      <c r="S365" s="23">
        <f>IF(NOT(ISNUMBER(INDEX('M04-S02'!$AN$16:$AN$198,2*(ROWS($R$360:R365)-1)+1))),ROUND(INDEX('M04-S02'!$C$16:$C$198,2*(ROWS($S$360:S365)-1)+1)/1000,4),"")</f>
        <v>0</v>
      </c>
      <c r="T365" s="52" t="str">
        <f>IFERROR(IF(NOT(ISNUMBER(INDEX('M04-S02'!$AN$16:$AN$198,2*(ROWS($R$360:R365)-1)+1))),INDEX('M04-S02'!$AK$16:$AK$198,2*(ROWS($R$360:R365)-1)+1),0),0)</f>
        <v/>
      </c>
      <c r="U365" s="23" t="str">
        <f>IFERROR(IF(NOT(ISNUMBER(INDEX('M04-S02'!$AN$16:$AN$198,2*(ROWS($R$360:R365)-1)+1))),INDEX('M04-S02'!$AV$16:$AV$198,2*(ROWS($R$360:R365)-1)+1),0),"")</f>
        <v/>
      </c>
      <c r="V365" s="113"/>
      <c r="W365" t="str">
        <f>IFERROR(IF(NOT(ISNUMBER(INDEX('M04-S02'!$AN$16:$AN$198,2*(ROWS($R$360:R365)-1)+1))),INDEX('M04-S02'!$BC$16:$BC$198,2*(ROWS($R$360:R365)-1)+1),""),"")</f>
        <v/>
      </c>
      <c r="X365" s="184" t="str">
        <f>IFERROR(ROUND(INDEX('M04-S02'!$N$16:$N$198,2*(ROWS($X$360:X365)-1)+1),3),"")</f>
        <v/>
      </c>
      <c r="Y365" s="184" t="str">
        <f>IFERROR(ROUND(INDEX('M04-S02'!$AA$16:$AA$198,2*(ROWS($Y$360:Y365)-1)+1),3),"")</f>
        <v/>
      </c>
      <c r="Z365" s="111">
        <f>INDEX('M04-S02'!$B$16:$B$198,2*(ROWS($Z$360:Z365)-1)+1)</f>
        <v>6</v>
      </c>
      <c r="AA365" s="96"/>
      <c r="AB365" s="96"/>
      <c r="AC365" t="str">
        <f>INDEX('M04-S02'!$F$16:$F$198,2*(ROWS($AC$360:AC365)-1)+1)</f>
        <v/>
      </c>
      <c r="AD365" t="str">
        <f>INDEX('M04-S02'!$S$16:$S$198,2*(ROWS($AD$360:AD365)-1)+1)</f>
        <v/>
      </c>
      <c r="AE365" s="459"/>
      <c r="AF365" s="459"/>
      <c r="AG365" s="111" t="str">
        <f>IFERROR(IF(ISNUMBER((INDEX('M04-S02'!$N$16:$N$198,2*(ROWS($AG$360:AG365)-1)+1)*INDEX('M04-S02'!$Q$16:$Q$198,2*(ROWS($AG$360:AG365)-1)+1))/1000),((INDEX('M04-S02'!$N$16:$N$198,2*(ROWS($AG$360:AG365)-1)+1)*INDEX('M04-S02'!$Q$16:$Q$198,2*(ROWS($AG$360:AG365)-1)+1))/1000),""),"")</f>
        <v/>
      </c>
      <c r="AH365" s="111" t="str">
        <f>IFERROR(IF(ISNUMBER((INDEX('M04-S02'!$AA$16:$AA$198,2*(ROWS($AH$360:AH365)-1)+1)*INDEX('M04-S02'!$Q$16:$Q$198,2*(ROWS($AH$360:AH365)-1)+1))/1000),((INDEX('M04-S02'!$AA$16:$AA$198,2*(ROWS($AH$360:AH365)-1)+1)*INDEX('M04-S02'!$Q$16:$Q$198,2*(ROWS($AH$360:AH365)-1)+1))/1000),""),"")</f>
        <v/>
      </c>
      <c r="AI365" s="96"/>
      <c r="AJ365" s="96"/>
      <c r="AK365" s="52" t="str">
        <f>INDEX('M04-S02'!$AU$16:$AU$198,2*(ROWS($AK$360:AK365)-1)+1)</f>
        <v/>
      </c>
      <c r="AL365" s="184">
        <f>IF(NOT(ISNUMBER(INDEX('M04-S02'!$AN$16:$AN$198,2*(ROWS($R$360:$R365)-1)+1))),INDEX('M04-S02'!$AD$16:$AD$198,2*(ROWS($AL$360:$AL365)-1)+1),"")</f>
        <v>0</v>
      </c>
      <c r="AM365" s="184">
        <f>IF(NOT(ISNUMBER(INDEX('M04-S02'!$AN$16:$AN$198,2*(ROWS($R$360:$R365)-1)+1))),INDEX('M04-S02'!$AF$16:$AF$198,2*(ROWS($AM$360:$AM365)-1)+1),"")</f>
        <v>0</v>
      </c>
      <c r="AN365" s="52" t="str">
        <f>IF(NOT(ISNUMBER(INDEX('M04-S02'!$AN$16:$AN$198,2*(ROWS($R$360:$R365)-1)+1))),INDEX('M04-S02'!$AH$16:$AH$198,2*(ROWS($AN$360:$AN365)-1)+1),"")</f>
        <v/>
      </c>
      <c r="AO365" s="113"/>
      <c r="AU365"/>
    </row>
    <row r="366" spans="1:47">
      <c r="A366" s="57">
        <f t="shared" si="34"/>
        <v>0</v>
      </c>
      <c r="B366" s="183" t="str">
        <f t="shared" si="36"/>
        <v/>
      </c>
      <c r="C366" s="186" t="str">
        <f>IF(OR(R366&gt;0,T366&gt;0),INDEX('M04-S02'!$BE$16:$BE$198,2*(ROWS($C$360:C366)-1)+1),"")</f>
        <v/>
      </c>
      <c r="D366" t="s">
        <v>195</v>
      </c>
      <c r="F366" s="112"/>
      <c r="G366" s="96"/>
      <c r="H366" s="186" t="str">
        <f>IF(ISNUMBER(INDEX('M04-S02'!$AN$16:$AN$198,2*(ROWS($R$360:R366)-1)+1)),"Incremental","")</f>
        <v/>
      </c>
      <c r="I366" s="184">
        <f>IFERROR(ROUND(IF(ISNUMBER(INDEX('M04-S02'!$AN$16:$AN$198,2*(ROWS($R$360:$R366)-1)+1)),INDEX('M04-S02'!$AF$16:$AF$198,2*(ROWS($I$360:$I366)-1)+1),""),2),0)</f>
        <v>0</v>
      </c>
      <c r="J366" s="184">
        <f>IFERROR(ROUND(IF(ISNUMBER(INDEX('M04-S02'!$AN$16:$AN$198,2*(ROWS($R$360:$R366)-1)+1)),INDEX('M04-S02'!$AW$16:$AW$198,2*(ROWS($J$360:$J366)-1)+1),""),2),0)</f>
        <v>0</v>
      </c>
      <c r="K366" s="52">
        <f>IFERROR(ROUND(IF(ISNUMBER(INDEX('M04-S02'!$AN$16:$AN$198,2*(ROWS($R$360:$R366)-1)+1)),INDEX('M04-S02'!$AF$16:$AF$198,2*(ROWS($K$360:$K366)-1)+1),""),2),0)</f>
        <v>0</v>
      </c>
      <c r="L366" s="52" t="str">
        <f>IF(ISNUMBER(INDEX('M04-S02'!$AN$16:$AN$198,2*(ROWS($R$360:R366)-1)+1)),ROUND(INDEX('M04-S02'!$BB$16:$BB$198,2*(ROWS($L$360:L366)-1)+1),4),"")</f>
        <v/>
      </c>
      <c r="M366" s="456" t="str">
        <f>IF(ISNUMBER(INDEX('M04-S02'!$AN$16:$AN$198,2*(ROWS($R$360:R366)-1)+1)),ROUND(INDEX('M04-S02'!$C$16:$C$198,2*(ROWS($M$360:M366)-1)+1)/1000,4),"")</f>
        <v/>
      </c>
      <c r="N366" s="184" t="str">
        <f>IF(ISNUMBER(INDEX('M04-S02'!$AN$16:$AN$198,2*(ROWS($R$360:R366)-1)+1)),INDEX('M04-S02'!$AK$16:$AK$198,2*(ROWS($N$360:N366)-1)+1),"")</f>
        <v/>
      </c>
      <c r="O366" s="456" t="str">
        <f>IF(ISNUMBER(INDEX('M04-S02'!$AN$16:$AN$198,2*(ROWS($R$360:R366)-1)+1)),INDEX('M04-S02'!$AV$16:$AV$198,2*(ROWS($O$360:O366)-1)+1),"")</f>
        <v/>
      </c>
      <c r="P366" s="113"/>
      <c r="Q366" s="113"/>
      <c r="R366" s="184">
        <f>IF(ISNUMBER(INDEX('M04-S02'!$AN$16:$AN$198,2*(ROWS($R$360:R366)-1)+1)),INDEX('M04-S02'!$AN$16:$AN$198,2*(ROWS($R$360:R366)-1)+1),0)</f>
        <v>0</v>
      </c>
      <c r="S366" s="23">
        <f>IF(NOT(ISNUMBER(INDEX('M04-S02'!$AN$16:$AN$198,2*(ROWS($R$360:R366)-1)+1))),ROUND(INDEX('M04-S02'!$C$16:$C$198,2*(ROWS($S$360:S366)-1)+1)/1000,4),"")</f>
        <v>0</v>
      </c>
      <c r="T366" s="52" t="str">
        <f>IFERROR(IF(NOT(ISNUMBER(INDEX('M04-S02'!$AN$16:$AN$198,2*(ROWS($R$360:R366)-1)+1))),INDEX('M04-S02'!$AK$16:$AK$198,2*(ROWS($R$360:R366)-1)+1),0),0)</f>
        <v/>
      </c>
      <c r="U366" s="23" t="str">
        <f>IFERROR(IF(NOT(ISNUMBER(INDEX('M04-S02'!$AN$16:$AN$198,2*(ROWS($R$360:R366)-1)+1))),INDEX('M04-S02'!$AV$16:$AV$198,2*(ROWS($R$360:R366)-1)+1),0),"")</f>
        <v/>
      </c>
      <c r="V366" s="113"/>
      <c r="W366" t="str">
        <f>IFERROR(IF(NOT(ISNUMBER(INDEX('M04-S02'!$AN$16:$AN$198,2*(ROWS($R$360:R366)-1)+1))),INDEX('M04-S02'!$BC$16:$BC$198,2*(ROWS($R$360:R366)-1)+1),""),"")</f>
        <v/>
      </c>
      <c r="X366" s="184" t="str">
        <f>IFERROR(ROUND(INDEX('M04-S02'!$N$16:$N$198,2*(ROWS($X$360:X366)-1)+1),3),"")</f>
        <v/>
      </c>
      <c r="Y366" s="184" t="str">
        <f>IFERROR(ROUND(INDEX('M04-S02'!$AA$16:$AA$198,2*(ROWS($Y$360:Y366)-1)+1),3),"")</f>
        <v/>
      </c>
      <c r="Z366" s="111">
        <f>INDEX('M04-S02'!$B$16:$B$198,2*(ROWS($Z$360:Z366)-1)+1)</f>
        <v>7</v>
      </c>
      <c r="AA366" s="96"/>
      <c r="AB366" s="96"/>
      <c r="AC366" t="str">
        <f>INDEX('M04-S02'!$F$16:$F$198,2*(ROWS($AC$360:AC366)-1)+1)</f>
        <v/>
      </c>
      <c r="AD366" t="str">
        <f>INDEX('M04-S02'!$S$16:$S$198,2*(ROWS($AD$360:AD366)-1)+1)</f>
        <v/>
      </c>
      <c r="AE366" s="459"/>
      <c r="AF366" s="459"/>
      <c r="AG366" s="111" t="str">
        <f>IFERROR(IF(ISNUMBER((INDEX('M04-S02'!$N$16:$N$198,2*(ROWS($AG$360:AG366)-1)+1)*INDEX('M04-S02'!$Q$16:$Q$198,2*(ROWS($AG$360:AG366)-1)+1))/1000),((INDEX('M04-S02'!$N$16:$N$198,2*(ROWS($AG$360:AG366)-1)+1)*INDEX('M04-S02'!$Q$16:$Q$198,2*(ROWS($AG$360:AG366)-1)+1))/1000),""),"")</f>
        <v/>
      </c>
      <c r="AH366" s="111" t="str">
        <f>IFERROR(IF(ISNUMBER((INDEX('M04-S02'!$AA$16:$AA$198,2*(ROWS($AH$360:AH366)-1)+1)*INDEX('M04-S02'!$Q$16:$Q$198,2*(ROWS($AH$360:AH366)-1)+1))/1000),((INDEX('M04-S02'!$AA$16:$AA$198,2*(ROWS($AH$360:AH366)-1)+1)*INDEX('M04-S02'!$Q$16:$Q$198,2*(ROWS($AH$360:AH366)-1)+1))/1000),""),"")</f>
        <v/>
      </c>
      <c r="AI366" s="96"/>
      <c r="AJ366" s="96"/>
      <c r="AK366" s="52" t="str">
        <f>INDEX('M04-S02'!$AU$16:$AU$198,2*(ROWS($AK$360:AK366)-1)+1)</f>
        <v/>
      </c>
      <c r="AL366" s="184">
        <f>IF(NOT(ISNUMBER(INDEX('M04-S02'!$AN$16:$AN$198,2*(ROWS($R$360:$R366)-1)+1))),INDEX('M04-S02'!$AD$16:$AD$198,2*(ROWS($AL$360:$AL366)-1)+1),"")</f>
        <v>0</v>
      </c>
      <c r="AM366" s="184">
        <f>IF(NOT(ISNUMBER(INDEX('M04-S02'!$AN$16:$AN$198,2*(ROWS($R$360:$R366)-1)+1))),INDEX('M04-S02'!$AF$16:$AF$198,2*(ROWS($AM$360:$AM366)-1)+1),"")</f>
        <v>0</v>
      </c>
      <c r="AN366" s="52" t="str">
        <f>IF(NOT(ISNUMBER(INDEX('M04-S02'!$AN$16:$AN$198,2*(ROWS($R$360:$R366)-1)+1))),INDEX('M04-S02'!$AH$16:$AH$198,2*(ROWS($AN$360:$AN366)-1)+1),"")</f>
        <v/>
      </c>
      <c r="AO366" s="113"/>
      <c r="AU366"/>
    </row>
    <row r="367" spans="1:47">
      <c r="A367" s="57">
        <f t="shared" si="34"/>
        <v>0</v>
      </c>
      <c r="B367" s="183" t="str">
        <f t="shared" si="36"/>
        <v/>
      </c>
      <c r="C367" s="186" t="str">
        <f>IF(OR(R367&gt;0,T367&gt;0),INDEX('M04-S02'!$BE$16:$BE$198,2*(ROWS($C$360:C367)-1)+1),"")</f>
        <v/>
      </c>
      <c r="D367" t="s">
        <v>195</v>
      </c>
      <c r="F367" s="112"/>
      <c r="G367" s="96"/>
      <c r="H367" s="186" t="str">
        <f>IF(ISNUMBER(INDEX('M04-S02'!$AN$16:$AN$198,2*(ROWS($R$360:R367)-1)+1)),"Incremental","")</f>
        <v/>
      </c>
      <c r="I367" s="184">
        <f>IFERROR(ROUND(IF(ISNUMBER(INDEX('M04-S02'!$AN$16:$AN$198,2*(ROWS($R$360:$R367)-1)+1)),INDEX('M04-S02'!$AF$16:$AF$198,2*(ROWS($I$360:$I367)-1)+1),""),2),0)</f>
        <v>0</v>
      </c>
      <c r="J367" s="184">
        <f>IFERROR(ROUND(IF(ISNUMBER(INDEX('M04-S02'!$AN$16:$AN$198,2*(ROWS($R$360:$R367)-1)+1)),INDEX('M04-S02'!$AW$16:$AW$198,2*(ROWS($J$360:$J367)-1)+1),""),2),0)</f>
        <v>0</v>
      </c>
      <c r="K367" s="52">
        <f>IFERROR(ROUND(IF(ISNUMBER(INDEX('M04-S02'!$AN$16:$AN$198,2*(ROWS($R$360:$R367)-1)+1)),INDEX('M04-S02'!$AF$16:$AF$198,2*(ROWS($K$360:$K367)-1)+1),""),2),0)</f>
        <v>0</v>
      </c>
      <c r="L367" s="52" t="str">
        <f>IF(ISNUMBER(INDEX('M04-S02'!$AN$16:$AN$198,2*(ROWS($R$360:R367)-1)+1)),ROUND(INDEX('M04-S02'!$BB$16:$BB$198,2*(ROWS($L$360:L367)-1)+1),4),"")</f>
        <v/>
      </c>
      <c r="M367" s="456" t="str">
        <f>IF(ISNUMBER(INDEX('M04-S02'!$AN$16:$AN$198,2*(ROWS($R$360:R367)-1)+1)),ROUND(INDEX('M04-S02'!$C$16:$C$198,2*(ROWS($M$360:M367)-1)+1)/1000,4),"")</f>
        <v/>
      </c>
      <c r="N367" s="184" t="str">
        <f>IF(ISNUMBER(INDEX('M04-S02'!$AN$16:$AN$198,2*(ROWS($R$360:R367)-1)+1)),INDEX('M04-S02'!$AK$16:$AK$198,2*(ROWS($N$360:N367)-1)+1),"")</f>
        <v/>
      </c>
      <c r="O367" s="456" t="str">
        <f>IF(ISNUMBER(INDEX('M04-S02'!$AN$16:$AN$198,2*(ROWS($R$360:R367)-1)+1)),INDEX('M04-S02'!$AV$16:$AV$198,2*(ROWS($O$360:O367)-1)+1),"")</f>
        <v/>
      </c>
      <c r="P367" s="113"/>
      <c r="Q367" s="113"/>
      <c r="R367" s="184">
        <f>IF(ISNUMBER(INDEX('M04-S02'!$AN$16:$AN$198,2*(ROWS($R$360:R367)-1)+1)),INDEX('M04-S02'!$AN$16:$AN$198,2*(ROWS($R$360:R367)-1)+1),0)</f>
        <v>0</v>
      </c>
      <c r="S367" s="23">
        <f>IF(NOT(ISNUMBER(INDEX('M04-S02'!$AN$16:$AN$198,2*(ROWS($R$360:R367)-1)+1))),ROUND(INDEX('M04-S02'!$C$16:$C$198,2*(ROWS($S$360:S367)-1)+1)/1000,4),"")</f>
        <v>0</v>
      </c>
      <c r="T367" s="52" t="str">
        <f>IFERROR(IF(NOT(ISNUMBER(INDEX('M04-S02'!$AN$16:$AN$198,2*(ROWS($R$360:R367)-1)+1))),INDEX('M04-S02'!$AK$16:$AK$198,2*(ROWS($R$360:R367)-1)+1),0),0)</f>
        <v/>
      </c>
      <c r="U367" s="23" t="str">
        <f>IFERROR(IF(NOT(ISNUMBER(INDEX('M04-S02'!$AN$16:$AN$198,2*(ROWS($R$360:R367)-1)+1))),INDEX('M04-S02'!$AV$16:$AV$198,2*(ROWS($R$360:R367)-1)+1),0),"")</f>
        <v/>
      </c>
      <c r="V367" s="113"/>
      <c r="W367" t="str">
        <f>IFERROR(IF(NOT(ISNUMBER(INDEX('M04-S02'!$AN$16:$AN$198,2*(ROWS($R$360:R367)-1)+1))),INDEX('M04-S02'!$BC$16:$BC$198,2*(ROWS($R$360:R367)-1)+1),""),"")</f>
        <v/>
      </c>
      <c r="X367" s="184" t="str">
        <f>IFERROR(ROUND(INDEX('M04-S02'!$N$16:$N$198,2*(ROWS($X$360:X367)-1)+1),3),"")</f>
        <v/>
      </c>
      <c r="Y367" s="184" t="str">
        <f>IFERROR(ROUND(INDEX('M04-S02'!$AA$16:$AA$198,2*(ROWS($Y$360:Y367)-1)+1),3),"")</f>
        <v/>
      </c>
      <c r="Z367" s="111">
        <f>INDEX('M04-S02'!$B$16:$B$198,2*(ROWS($Z$360:Z367)-1)+1)</f>
        <v>8</v>
      </c>
      <c r="AA367" s="96"/>
      <c r="AB367" s="96"/>
      <c r="AC367" t="str">
        <f>INDEX('M04-S02'!$F$16:$F$198,2*(ROWS($AC$360:AC367)-1)+1)</f>
        <v/>
      </c>
      <c r="AD367" t="str">
        <f>INDEX('M04-S02'!$S$16:$S$198,2*(ROWS($AD$360:AD367)-1)+1)</f>
        <v/>
      </c>
      <c r="AE367" s="459"/>
      <c r="AF367" s="459"/>
      <c r="AG367" s="111" t="str">
        <f>IFERROR(IF(ISNUMBER((INDEX('M04-S02'!$N$16:$N$198,2*(ROWS($AG$360:AG367)-1)+1)*INDEX('M04-S02'!$Q$16:$Q$198,2*(ROWS($AG$360:AG367)-1)+1))/1000),((INDEX('M04-S02'!$N$16:$N$198,2*(ROWS($AG$360:AG367)-1)+1)*INDEX('M04-S02'!$Q$16:$Q$198,2*(ROWS($AG$360:AG367)-1)+1))/1000),""),"")</f>
        <v/>
      </c>
      <c r="AH367" s="111" t="str">
        <f>IFERROR(IF(ISNUMBER((INDEX('M04-S02'!$AA$16:$AA$198,2*(ROWS($AH$360:AH367)-1)+1)*INDEX('M04-S02'!$Q$16:$Q$198,2*(ROWS($AH$360:AH367)-1)+1))/1000),((INDEX('M04-S02'!$AA$16:$AA$198,2*(ROWS($AH$360:AH367)-1)+1)*INDEX('M04-S02'!$Q$16:$Q$198,2*(ROWS($AH$360:AH367)-1)+1))/1000),""),"")</f>
        <v/>
      </c>
      <c r="AI367" s="96"/>
      <c r="AJ367" s="96"/>
      <c r="AK367" s="52" t="str">
        <f>INDEX('M04-S02'!$AU$16:$AU$198,2*(ROWS($AK$360:AK367)-1)+1)</f>
        <v/>
      </c>
      <c r="AL367" s="184">
        <f>IF(NOT(ISNUMBER(INDEX('M04-S02'!$AN$16:$AN$198,2*(ROWS($R$360:$R367)-1)+1))),INDEX('M04-S02'!$AD$16:$AD$198,2*(ROWS($AL$360:$AL367)-1)+1),"")</f>
        <v>0</v>
      </c>
      <c r="AM367" s="184">
        <f>IF(NOT(ISNUMBER(INDEX('M04-S02'!$AN$16:$AN$198,2*(ROWS($R$360:$R367)-1)+1))),INDEX('M04-S02'!$AF$16:$AF$198,2*(ROWS($AM$360:$AM367)-1)+1),"")</f>
        <v>0</v>
      </c>
      <c r="AN367" s="52" t="str">
        <f>IF(NOT(ISNUMBER(INDEX('M04-S02'!$AN$16:$AN$198,2*(ROWS($R$360:$R367)-1)+1))),INDEX('M04-S02'!$AH$16:$AH$198,2*(ROWS($AN$360:$AN367)-1)+1),"")</f>
        <v/>
      </c>
      <c r="AO367" s="113"/>
      <c r="AU367"/>
    </row>
    <row r="368" spans="1:47">
      <c r="A368" s="57">
        <f t="shared" si="34"/>
        <v>0</v>
      </c>
      <c r="B368" s="183" t="str">
        <f t="shared" si="36"/>
        <v/>
      </c>
      <c r="C368" s="186" t="str">
        <f>IF(OR(R368&gt;0,T368&gt;0),INDEX('M04-S02'!$BE$16:$BE$198,2*(ROWS($C$360:C368)-1)+1),"")</f>
        <v/>
      </c>
      <c r="D368" t="s">
        <v>195</v>
      </c>
      <c r="F368" s="112"/>
      <c r="G368" s="96"/>
      <c r="H368" s="186" t="str">
        <f>IF(ISNUMBER(INDEX('M04-S02'!$AN$16:$AN$198,2*(ROWS($R$360:R368)-1)+1)),"Incremental","")</f>
        <v/>
      </c>
      <c r="I368" s="184">
        <f>IFERROR(ROUND(IF(ISNUMBER(INDEX('M04-S02'!$AN$16:$AN$198,2*(ROWS($R$360:$R368)-1)+1)),INDEX('M04-S02'!$AF$16:$AF$198,2*(ROWS($I$360:$I368)-1)+1),""),2),0)</f>
        <v>0</v>
      </c>
      <c r="J368" s="184">
        <f>IFERROR(ROUND(IF(ISNUMBER(INDEX('M04-S02'!$AN$16:$AN$198,2*(ROWS($R$360:$R368)-1)+1)),INDEX('M04-S02'!$AW$16:$AW$198,2*(ROWS($J$360:$J368)-1)+1),""),2),0)</f>
        <v>0</v>
      </c>
      <c r="K368" s="52">
        <f>IFERROR(ROUND(IF(ISNUMBER(INDEX('M04-S02'!$AN$16:$AN$198,2*(ROWS($R$360:$R368)-1)+1)),INDEX('M04-S02'!$AF$16:$AF$198,2*(ROWS($K$360:$K368)-1)+1),""),2),0)</f>
        <v>0</v>
      </c>
      <c r="L368" s="52" t="str">
        <f>IF(ISNUMBER(INDEX('M04-S02'!$AN$16:$AN$198,2*(ROWS($R$360:R368)-1)+1)),ROUND(INDEX('M04-S02'!$BB$16:$BB$198,2*(ROWS($L$360:L368)-1)+1),4),"")</f>
        <v/>
      </c>
      <c r="M368" s="456" t="str">
        <f>IF(ISNUMBER(INDEX('M04-S02'!$AN$16:$AN$198,2*(ROWS($R$360:R368)-1)+1)),ROUND(INDEX('M04-S02'!$C$16:$C$198,2*(ROWS($M$360:M368)-1)+1)/1000,4),"")</f>
        <v/>
      </c>
      <c r="N368" s="184" t="str">
        <f>IF(ISNUMBER(INDEX('M04-S02'!$AN$16:$AN$198,2*(ROWS($R$360:R368)-1)+1)),INDEX('M04-S02'!$AK$16:$AK$198,2*(ROWS($N$360:N368)-1)+1),"")</f>
        <v/>
      </c>
      <c r="O368" s="456" t="str">
        <f>IF(ISNUMBER(INDEX('M04-S02'!$AN$16:$AN$198,2*(ROWS($R$360:R368)-1)+1)),INDEX('M04-S02'!$AV$16:$AV$198,2*(ROWS($O$360:O368)-1)+1),"")</f>
        <v/>
      </c>
      <c r="P368" s="113"/>
      <c r="Q368" s="113"/>
      <c r="R368" s="184">
        <f>IF(ISNUMBER(INDEX('M04-S02'!$AN$16:$AN$198,2*(ROWS($R$360:R368)-1)+1)),INDEX('M04-S02'!$AN$16:$AN$198,2*(ROWS($R$360:R368)-1)+1),0)</f>
        <v>0</v>
      </c>
      <c r="S368" s="23">
        <f>IF(NOT(ISNUMBER(INDEX('M04-S02'!$AN$16:$AN$198,2*(ROWS($R$360:R368)-1)+1))),ROUND(INDEX('M04-S02'!$C$16:$C$198,2*(ROWS($S$360:S368)-1)+1)/1000,4),"")</f>
        <v>0</v>
      </c>
      <c r="T368" s="52" t="str">
        <f>IFERROR(IF(NOT(ISNUMBER(INDEX('M04-S02'!$AN$16:$AN$198,2*(ROWS($R$360:R368)-1)+1))),INDEX('M04-S02'!$AK$16:$AK$198,2*(ROWS($R$360:R368)-1)+1),0),0)</f>
        <v/>
      </c>
      <c r="U368" s="23" t="str">
        <f>IFERROR(IF(NOT(ISNUMBER(INDEX('M04-S02'!$AN$16:$AN$198,2*(ROWS($R$360:R368)-1)+1))),INDEX('M04-S02'!$AV$16:$AV$198,2*(ROWS($R$360:R368)-1)+1),0),"")</f>
        <v/>
      </c>
      <c r="V368" s="113"/>
      <c r="W368" t="str">
        <f>IFERROR(IF(NOT(ISNUMBER(INDEX('M04-S02'!$AN$16:$AN$198,2*(ROWS($R$360:R368)-1)+1))),INDEX('M04-S02'!$BC$16:$BC$198,2*(ROWS($R$360:R368)-1)+1),""),"")</f>
        <v/>
      </c>
      <c r="X368" s="184" t="str">
        <f>IFERROR(ROUND(INDEX('M04-S02'!$N$16:$N$198,2*(ROWS($X$360:X368)-1)+1),3),"")</f>
        <v/>
      </c>
      <c r="Y368" s="184" t="str">
        <f>IFERROR(ROUND(INDEX('M04-S02'!$AA$16:$AA$198,2*(ROWS($Y$360:Y368)-1)+1),3),"")</f>
        <v/>
      </c>
      <c r="Z368" s="111">
        <f>INDEX('M04-S02'!$B$16:$B$198,2*(ROWS($Z$360:Z368)-1)+1)</f>
        <v>9</v>
      </c>
      <c r="AA368" s="96"/>
      <c r="AB368" s="96"/>
      <c r="AC368" t="str">
        <f>INDEX('M04-S02'!$F$16:$F$198,2*(ROWS($AC$360:AC368)-1)+1)</f>
        <v/>
      </c>
      <c r="AD368" t="str">
        <f>INDEX('M04-S02'!$S$16:$S$198,2*(ROWS($AD$360:AD368)-1)+1)</f>
        <v/>
      </c>
      <c r="AE368" s="459"/>
      <c r="AF368" s="459"/>
      <c r="AG368" s="111" t="str">
        <f>IFERROR(IF(ISNUMBER((INDEX('M04-S02'!$N$16:$N$198,2*(ROWS($AG$360:AG368)-1)+1)*INDEX('M04-S02'!$Q$16:$Q$198,2*(ROWS($AG$360:AG368)-1)+1))/1000),((INDEX('M04-S02'!$N$16:$N$198,2*(ROWS($AG$360:AG368)-1)+1)*INDEX('M04-S02'!$Q$16:$Q$198,2*(ROWS($AG$360:AG368)-1)+1))/1000),""),"")</f>
        <v/>
      </c>
      <c r="AH368" s="111" t="str">
        <f>IFERROR(IF(ISNUMBER((INDEX('M04-S02'!$AA$16:$AA$198,2*(ROWS($AH$360:AH368)-1)+1)*INDEX('M04-S02'!$Q$16:$Q$198,2*(ROWS($AH$360:AH368)-1)+1))/1000),((INDEX('M04-S02'!$AA$16:$AA$198,2*(ROWS($AH$360:AH368)-1)+1)*INDEX('M04-S02'!$Q$16:$Q$198,2*(ROWS($AH$360:AH368)-1)+1))/1000),""),"")</f>
        <v/>
      </c>
      <c r="AI368" s="96"/>
      <c r="AJ368" s="96"/>
      <c r="AK368" s="52" t="str">
        <f>INDEX('M04-S02'!$AU$16:$AU$198,2*(ROWS($AK$360:AK368)-1)+1)</f>
        <v/>
      </c>
      <c r="AL368" s="184">
        <f>IF(NOT(ISNUMBER(INDEX('M04-S02'!$AN$16:$AN$198,2*(ROWS($R$360:$R368)-1)+1))),INDEX('M04-S02'!$AD$16:$AD$198,2*(ROWS($AL$360:$AL368)-1)+1),"")</f>
        <v>0</v>
      </c>
      <c r="AM368" s="184">
        <f>IF(NOT(ISNUMBER(INDEX('M04-S02'!$AN$16:$AN$198,2*(ROWS($R$360:$R368)-1)+1))),INDEX('M04-S02'!$AF$16:$AF$198,2*(ROWS($AM$360:$AM368)-1)+1),"")</f>
        <v>0</v>
      </c>
      <c r="AN368" s="52" t="str">
        <f>IF(NOT(ISNUMBER(INDEX('M04-S02'!$AN$16:$AN$198,2*(ROWS($R$360:$R368)-1)+1))),INDEX('M04-S02'!$AH$16:$AH$198,2*(ROWS($AN$360:$AN368)-1)+1),"")</f>
        <v/>
      </c>
      <c r="AO368" s="113"/>
      <c r="AU368"/>
    </row>
    <row r="369" spans="1:47">
      <c r="A369" s="57">
        <f t="shared" si="34"/>
        <v>0</v>
      </c>
      <c r="B369" s="183" t="str">
        <f t="shared" si="36"/>
        <v/>
      </c>
      <c r="C369" s="186" t="str">
        <f>IF(OR(R369&gt;0,T369&gt;0),INDEX('M04-S02'!$BE$16:$BE$198,2*(ROWS($C$360:C369)-1)+1),"")</f>
        <v/>
      </c>
      <c r="D369" t="s">
        <v>195</v>
      </c>
      <c r="F369" s="112"/>
      <c r="G369" s="96"/>
      <c r="H369" s="186" t="str">
        <f>IF(ISNUMBER(INDEX('M04-S02'!$AN$16:$AN$198,2*(ROWS($R$360:R369)-1)+1)),"Incremental","")</f>
        <v/>
      </c>
      <c r="I369" s="184">
        <f>IFERROR(ROUND(IF(ISNUMBER(INDEX('M04-S02'!$AN$16:$AN$198,2*(ROWS($R$360:$R369)-1)+1)),INDEX('M04-S02'!$AF$16:$AF$198,2*(ROWS($I$360:$I369)-1)+1),""),2),0)</f>
        <v>0</v>
      </c>
      <c r="J369" s="184">
        <f>IFERROR(ROUND(IF(ISNUMBER(INDEX('M04-S02'!$AN$16:$AN$198,2*(ROWS($R$360:$R369)-1)+1)),INDEX('M04-S02'!$AW$16:$AW$198,2*(ROWS($J$360:$J369)-1)+1),""),2),0)</f>
        <v>0</v>
      </c>
      <c r="K369" s="52">
        <f>IFERROR(ROUND(IF(ISNUMBER(INDEX('M04-S02'!$AN$16:$AN$198,2*(ROWS($R$360:$R369)-1)+1)),INDEX('M04-S02'!$AF$16:$AF$198,2*(ROWS($K$360:$K369)-1)+1),""),2),0)</f>
        <v>0</v>
      </c>
      <c r="L369" s="52" t="str">
        <f>IF(ISNUMBER(INDEX('M04-S02'!$AN$16:$AN$198,2*(ROWS($R$360:R369)-1)+1)),ROUND(INDEX('M04-S02'!$BB$16:$BB$198,2*(ROWS($L$360:L369)-1)+1),4),"")</f>
        <v/>
      </c>
      <c r="M369" s="456" t="str">
        <f>IF(ISNUMBER(INDEX('M04-S02'!$AN$16:$AN$198,2*(ROWS($R$360:R369)-1)+1)),ROUND(INDEX('M04-S02'!$C$16:$C$198,2*(ROWS($M$360:M369)-1)+1)/1000,4),"")</f>
        <v/>
      </c>
      <c r="N369" s="184" t="str">
        <f>IF(ISNUMBER(INDEX('M04-S02'!$AN$16:$AN$198,2*(ROWS($R$360:R369)-1)+1)),INDEX('M04-S02'!$AK$16:$AK$198,2*(ROWS($N$360:N369)-1)+1),"")</f>
        <v/>
      </c>
      <c r="O369" s="456" t="str">
        <f>IF(ISNUMBER(INDEX('M04-S02'!$AN$16:$AN$198,2*(ROWS($R$360:R369)-1)+1)),INDEX('M04-S02'!$AV$16:$AV$198,2*(ROWS($O$360:O369)-1)+1),"")</f>
        <v/>
      </c>
      <c r="P369" s="113"/>
      <c r="Q369" s="113"/>
      <c r="R369" s="184">
        <f>IF(ISNUMBER(INDEX('M04-S02'!$AN$16:$AN$198,2*(ROWS($R$360:R369)-1)+1)),INDEX('M04-S02'!$AN$16:$AN$198,2*(ROWS($R$360:R369)-1)+1),0)</f>
        <v>0</v>
      </c>
      <c r="S369" s="23">
        <f>IF(NOT(ISNUMBER(INDEX('M04-S02'!$AN$16:$AN$198,2*(ROWS($R$360:R369)-1)+1))),ROUND(INDEX('M04-S02'!$C$16:$C$198,2*(ROWS($S$360:S369)-1)+1)/1000,4),"")</f>
        <v>0</v>
      </c>
      <c r="T369" s="52" t="str">
        <f>IFERROR(IF(NOT(ISNUMBER(INDEX('M04-S02'!$AN$16:$AN$198,2*(ROWS($R$360:R369)-1)+1))),INDEX('M04-S02'!$AK$16:$AK$198,2*(ROWS($R$360:R369)-1)+1),0),0)</f>
        <v/>
      </c>
      <c r="U369" s="23" t="str">
        <f>IFERROR(IF(NOT(ISNUMBER(INDEX('M04-S02'!$AN$16:$AN$198,2*(ROWS($R$360:R369)-1)+1))),INDEX('M04-S02'!$AV$16:$AV$198,2*(ROWS($R$360:R369)-1)+1),0),"")</f>
        <v/>
      </c>
      <c r="V369" s="113"/>
      <c r="W369" t="str">
        <f>IFERROR(IF(NOT(ISNUMBER(INDEX('M04-S02'!$AN$16:$AN$198,2*(ROWS($R$360:R369)-1)+1))),INDEX('M04-S02'!$BC$16:$BC$198,2*(ROWS($R$360:R369)-1)+1),""),"")</f>
        <v/>
      </c>
      <c r="X369" s="184" t="str">
        <f>IFERROR(ROUND(INDEX('M04-S02'!$N$16:$N$198,2*(ROWS($X$360:X369)-1)+1),3),"")</f>
        <v/>
      </c>
      <c r="Y369" s="184" t="str">
        <f>IFERROR(ROUND(INDEX('M04-S02'!$AA$16:$AA$198,2*(ROWS($Y$360:Y369)-1)+1),3),"")</f>
        <v/>
      </c>
      <c r="Z369" s="111">
        <f>INDEX('M04-S02'!$B$16:$B$198,2*(ROWS($Z$360:Z369)-1)+1)</f>
        <v>10</v>
      </c>
      <c r="AA369" s="96"/>
      <c r="AB369" s="96"/>
      <c r="AC369" t="str">
        <f>INDEX('M04-S02'!$F$16:$F$198,2*(ROWS($AC$360:AC369)-1)+1)</f>
        <v/>
      </c>
      <c r="AD369" t="str">
        <f>INDEX('M04-S02'!$S$16:$S$198,2*(ROWS($AD$360:AD369)-1)+1)</f>
        <v/>
      </c>
      <c r="AE369" s="459"/>
      <c r="AF369" s="459"/>
      <c r="AG369" s="111" t="str">
        <f>IFERROR(IF(ISNUMBER((INDEX('M04-S02'!$N$16:$N$198,2*(ROWS($AG$360:AG369)-1)+1)*INDEX('M04-S02'!$Q$16:$Q$198,2*(ROWS($AG$360:AG369)-1)+1))/1000),((INDEX('M04-S02'!$N$16:$N$198,2*(ROWS($AG$360:AG369)-1)+1)*INDEX('M04-S02'!$Q$16:$Q$198,2*(ROWS($AG$360:AG369)-1)+1))/1000),""),"")</f>
        <v/>
      </c>
      <c r="AH369" s="111" t="str">
        <f>IFERROR(IF(ISNUMBER((INDEX('M04-S02'!$AA$16:$AA$198,2*(ROWS($AH$360:AH369)-1)+1)*INDEX('M04-S02'!$Q$16:$Q$198,2*(ROWS($AH$360:AH369)-1)+1))/1000),((INDEX('M04-S02'!$AA$16:$AA$198,2*(ROWS($AH$360:AH369)-1)+1)*INDEX('M04-S02'!$Q$16:$Q$198,2*(ROWS($AH$360:AH369)-1)+1))/1000),""),"")</f>
        <v/>
      </c>
      <c r="AI369" s="96"/>
      <c r="AJ369" s="96"/>
      <c r="AK369" s="52" t="str">
        <f>INDEX('M04-S02'!$AU$16:$AU$198,2*(ROWS($AK$360:AK369)-1)+1)</f>
        <v/>
      </c>
      <c r="AL369" s="184">
        <f>IF(NOT(ISNUMBER(INDEX('M04-S02'!$AN$16:$AN$198,2*(ROWS($R$360:$R369)-1)+1))),INDEX('M04-S02'!$AD$16:$AD$198,2*(ROWS($AL$360:$AL369)-1)+1),"")</f>
        <v>0</v>
      </c>
      <c r="AM369" s="184">
        <f>IF(NOT(ISNUMBER(INDEX('M04-S02'!$AN$16:$AN$198,2*(ROWS($R$360:$R369)-1)+1))),INDEX('M04-S02'!$AF$16:$AF$198,2*(ROWS($AM$360:$AM369)-1)+1),"")</f>
        <v>0</v>
      </c>
      <c r="AN369" s="52" t="str">
        <f>IF(NOT(ISNUMBER(INDEX('M04-S02'!$AN$16:$AN$198,2*(ROWS($R$360:$R369)-1)+1))),INDEX('M04-S02'!$AH$16:$AH$198,2*(ROWS($AN$360:$AN369)-1)+1),"")</f>
        <v/>
      </c>
      <c r="AO369" s="113"/>
      <c r="AU369"/>
    </row>
    <row r="370" spans="1:47">
      <c r="A370" s="57">
        <f t="shared" si="34"/>
        <v>0</v>
      </c>
      <c r="B370" s="183" t="str">
        <f t="shared" si="36"/>
        <v/>
      </c>
      <c r="C370" s="186" t="str">
        <f>IF(OR(R370&gt;0,T370&gt;0),INDEX('M04-S02'!$BE$16:$BE$198,2*(ROWS($C$360:C370)-1)+1),"")</f>
        <v/>
      </c>
      <c r="D370" t="s">
        <v>195</v>
      </c>
      <c r="F370" s="112"/>
      <c r="G370" s="96"/>
      <c r="H370" s="186" t="str">
        <f>IF(ISNUMBER(INDEX('M04-S02'!$AN$16:$AN$198,2*(ROWS($R$360:R370)-1)+1)),"Incremental","")</f>
        <v/>
      </c>
      <c r="I370" s="184">
        <f>IFERROR(ROUND(IF(ISNUMBER(INDEX('M04-S02'!$AN$16:$AN$198,2*(ROWS($R$360:$R370)-1)+1)),INDEX('M04-S02'!$AF$16:$AF$198,2*(ROWS($I$360:$I370)-1)+1),""),2),0)</f>
        <v>0</v>
      </c>
      <c r="J370" s="184">
        <f>IFERROR(ROUND(IF(ISNUMBER(INDEX('M04-S02'!$AN$16:$AN$198,2*(ROWS($R$360:$R370)-1)+1)),INDEX('M04-S02'!$AW$16:$AW$198,2*(ROWS($J$360:$J370)-1)+1),""),2),0)</f>
        <v>0</v>
      </c>
      <c r="K370" s="52">
        <f>IFERROR(ROUND(IF(ISNUMBER(INDEX('M04-S02'!$AN$16:$AN$198,2*(ROWS($R$360:$R370)-1)+1)),INDEX('M04-S02'!$AF$16:$AF$198,2*(ROWS($K$360:$K370)-1)+1),""),2),0)</f>
        <v>0</v>
      </c>
      <c r="L370" s="52" t="str">
        <f>IF(ISNUMBER(INDEX('M04-S02'!$AN$16:$AN$198,2*(ROWS($R$360:R370)-1)+1)),ROUND(INDEX('M04-S02'!$BB$16:$BB$198,2*(ROWS($L$360:L370)-1)+1),4),"")</f>
        <v/>
      </c>
      <c r="M370" s="456" t="str">
        <f>IF(ISNUMBER(INDEX('M04-S02'!$AN$16:$AN$198,2*(ROWS($R$360:R370)-1)+1)),ROUND(INDEX('M04-S02'!$C$16:$C$198,2*(ROWS($M$360:M370)-1)+1)/1000,4),"")</f>
        <v/>
      </c>
      <c r="N370" s="184" t="str">
        <f>IF(ISNUMBER(INDEX('M04-S02'!$AN$16:$AN$198,2*(ROWS($R$360:R370)-1)+1)),INDEX('M04-S02'!$AK$16:$AK$198,2*(ROWS($N$360:N370)-1)+1),"")</f>
        <v/>
      </c>
      <c r="O370" s="456" t="str">
        <f>IF(ISNUMBER(INDEX('M04-S02'!$AN$16:$AN$198,2*(ROWS($R$360:R370)-1)+1)),INDEX('M04-S02'!$AV$16:$AV$198,2*(ROWS($O$360:O370)-1)+1),"")</f>
        <v/>
      </c>
      <c r="P370" s="113"/>
      <c r="Q370" s="113"/>
      <c r="R370" s="184">
        <f>IF(ISNUMBER(INDEX('M04-S02'!$AN$16:$AN$198,2*(ROWS($R$360:R370)-1)+1)),INDEX('M04-S02'!$AN$16:$AN$198,2*(ROWS($R$360:R370)-1)+1),0)</f>
        <v>0</v>
      </c>
      <c r="S370" s="23">
        <f>IF(NOT(ISNUMBER(INDEX('M04-S02'!$AN$16:$AN$198,2*(ROWS($R$360:R370)-1)+1))),ROUND(INDEX('M04-S02'!$C$16:$C$198,2*(ROWS($S$360:S370)-1)+1)/1000,4),"")</f>
        <v>0</v>
      </c>
      <c r="T370" s="52" t="str">
        <f>IFERROR(IF(NOT(ISNUMBER(INDEX('M04-S02'!$AN$16:$AN$198,2*(ROWS($R$360:R370)-1)+1))),INDEX('M04-S02'!$AK$16:$AK$198,2*(ROWS($R$360:R370)-1)+1),0),0)</f>
        <v/>
      </c>
      <c r="U370" s="23" t="str">
        <f>IFERROR(IF(NOT(ISNUMBER(INDEX('M04-S02'!$AN$16:$AN$198,2*(ROWS($R$360:R370)-1)+1))),INDEX('M04-S02'!$AV$16:$AV$198,2*(ROWS($R$360:R370)-1)+1),0),"")</f>
        <v/>
      </c>
      <c r="V370" s="113"/>
      <c r="W370" t="str">
        <f>IFERROR(IF(NOT(ISNUMBER(INDEX('M04-S02'!$AN$16:$AN$198,2*(ROWS($R$360:R370)-1)+1))),INDEX('M04-S02'!$BC$16:$BC$198,2*(ROWS($R$360:R370)-1)+1),""),"")</f>
        <v/>
      </c>
      <c r="X370" s="184" t="str">
        <f>IFERROR(ROUND(INDEX('M04-S02'!$N$16:$N$198,2*(ROWS($X$360:X370)-1)+1),3),"")</f>
        <v/>
      </c>
      <c r="Y370" s="184" t="str">
        <f>IFERROR(ROUND(INDEX('M04-S02'!$AA$16:$AA$198,2*(ROWS($Y$360:Y370)-1)+1),3),"")</f>
        <v/>
      </c>
      <c r="Z370" s="111">
        <f>INDEX('M04-S02'!$B$16:$B$198,2*(ROWS($Z$360:Z370)-1)+1)</f>
        <v>11</v>
      </c>
      <c r="AA370" s="96"/>
      <c r="AB370" s="96"/>
      <c r="AC370" t="str">
        <f>INDEX('M04-S02'!$F$16:$F$198,2*(ROWS($AC$360:AC370)-1)+1)</f>
        <v/>
      </c>
      <c r="AD370" t="str">
        <f>INDEX('M04-S02'!$S$16:$S$198,2*(ROWS($AD$360:AD370)-1)+1)</f>
        <v/>
      </c>
      <c r="AE370" s="459"/>
      <c r="AF370" s="459"/>
      <c r="AG370" s="111" t="str">
        <f>IFERROR(IF(ISNUMBER((INDEX('M04-S02'!$N$16:$N$198,2*(ROWS($AG$360:AG370)-1)+1)*INDEX('M04-S02'!$Q$16:$Q$198,2*(ROWS($AG$360:AG370)-1)+1))/1000),((INDEX('M04-S02'!$N$16:$N$198,2*(ROWS($AG$360:AG370)-1)+1)*INDEX('M04-S02'!$Q$16:$Q$198,2*(ROWS($AG$360:AG370)-1)+1))/1000),""),"")</f>
        <v/>
      </c>
      <c r="AH370" s="111" t="str">
        <f>IFERROR(IF(ISNUMBER((INDEX('M04-S02'!$AA$16:$AA$198,2*(ROWS($AH$360:AH370)-1)+1)*INDEX('M04-S02'!$Q$16:$Q$198,2*(ROWS($AH$360:AH370)-1)+1))/1000),((INDEX('M04-S02'!$AA$16:$AA$198,2*(ROWS($AH$360:AH370)-1)+1)*INDEX('M04-S02'!$Q$16:$Q$198,2*(ROWS($AH$360:AH370)-1)+1))/1000),""),"")</f>
        <v/>
      </c>
      <c r="AI370" s="96"/>
      <c r="AJ370" s="96"/>
      <c r="AK370" s="52" t="str">
        <f>INDEX('M04-S02'!$AU$16:$AU$198,2*(ROWS($AK$360:AK370)-1)+1)</f>
        <v/>
      </c>
      <c r="AL370" s="184">
        <f>IF(NOT(ISNUMBER(INDEX('M04-S02'!$AN$16:$AN$198,2*(ROWS($R$360:$R370)-1)+1))),INDEX('M04-S02'!$AD$16:$AD$198,2*(ROWS($AL$360:$AL370)-1)+1),"")</f>
        <v>0</v>
      </c>
      <c r="AM370" s="184">
        <f>IF(NOT(ISNUMBER(INDEX('M04-S02'!$AN$16:$AN$198,2*(ROWS($R$360:$R370)-1)+1))),INDEX('M04-S02'!$AF$16:$AF$198,2*(ROWS($AM$360:$AM370)-1)+1),"")</f>
        <v>0</v>
      </c>
      <c r="AN370" s="52" t="str">
        <f>IF(NOT(ISNUMBER(INDEX('M04-S02'!$AN$16:$AN$198,2*(ROWS($R$360:$R370)-1)+1))),INDEX('M04-S02'!$AH$16:$AH$198,2*(ROWS($AN$360:$AN370)-1)+1),"")</f>
        <v/>
      </c>
      <c r="AO370" s="113"/>
      <c r="AU370"/>
    </row>
    <row r="371" spans="1:47">
      <c r="A371" s="57">
        <f t="shared" si="34"/>
        <v>0</v>
      </c>
      <c r="B371" s="183" t="str">
        <f t="shared" si="36"/>
        <v/>
      </c>
      <c r="C371" s="186" t="str">
        <f>IF(OR(R371&gt;0,T371&gt;0),INDEX('M04-S02'!$BE$16:$BE$198,2*(ROWS($C$360:C371)-1)+1),"")</f>
        <v/>
      </c>
      <c r="D371" t="s">
        <v>195</v>
      </c>
      <c r="F371" s="112"/>
      <c r="G371" s="96"/>
      <c r="H371" s="186" t="str">
        <f>IF(ISNUMBER(INDEX('M04-S02'!$AN$16:$AN$198,2*(ROWS($R$360:R371)-1)+1)),"Incremental","")</f>
        <v/>
      </c>
      <c r="I371" s="184">
        <f>IFERROR(ROUND(IF(ISNUMBER(INDEX('M04-S02'!$AN$16:$AN$198,2*(ROWS($R$360:$R371)-1)+1)),INDEX('M04-S02'!$AF$16:$AF$198,2*(ROWS($I$360:$I371)-1)+1),""),2),0)</f>
        <v>0</v>
      </c>
      <c r="J371" s="184">
        <f>IFERROR(ROUND(IF(ISNUMBER(INDEX('M04-S02'!$AN$16:$AN$198,2*(ROWS($R$360:$R371)-1)+1)),INDEX('M04-S02'!$AW$16:$AW$198,2*(ROWS($J$360:$J371)-1)+1),""),2),0)</f>
        <v>0</v>
      </c>
      <c r="K371" s="52">
        <f>IFERROR(ROUND(IF(ISNUMBER(INDEX('M04-S02'!$AN$16:$AN$198,2*(ROWS($R$360:$R371)-1)+1)),INDEX('M04-S02'!$AF$16:$AF$198,2*(ROWS($K$360:$K371)-1)+1),""),2),0)</f>
        <v>0</v>
      </c>
      <c r="L371" s="52" t="str">
        <f>IF(ISNUMBER(INDEX('M04-S02'!$AN$16:$AN$198,2*(ROWS($R$360:R371)-1)+1)),ROUND(INDEX('M04-S02'!$BB$16:$BB$198,2*(ROWS($L$360:L371)-1)+1),4),"")</f>
        <v/>
      </c>
      <c r="M371" s="456" t="str">
        <f>IF(ISNUMBER(INDEX('M04-S02'!$AN$16:$AN$198,2*(ROWS($R$360:R371)-1)+1)),ROUND(INDEX('M04-S02'!$C$16:$C$198,2*(ROWS($M$360:M371)-1)+1)/1000,4),"")</f>
        <v/>
      </c>
      <c r="N371" s="184" t="str">
        <f>IF(ISNUMBER(INDEX('M04-S02'!$AN$16:$AN$198,2*(ROWS($R$360:R371)-1)+1)),INDEX('M04-S02'!$AK$16:$AK$198,2*(ROWS($N$360:N371)-1)+1),"")</f>
        <v/>
      </c>
      <c r="O371" s="456" t="str">
        <f>IF(ISNUMBER(INDEX('M04-S02'!$AN$16:$AN$198,2*(ROWS($R$360:R371)-1)+1)),INDEX('M04-S02'!$AV$16:$AV$198,2*(ROWS($O$360:O371)-1)+1),"")</f>
        <v/>
      </c>
      <c r="P371" s="113"/>
      <c r="Q371" s="113"/>
      <c r="R371" s="184">
        <f>IF(ISNUMBER(INDEX('M04-S02'!$AN$16:$AN$198,2*(ROWS($R$360:R371)-1)+1)),INDEX('M04-S02'!$AN$16:$AN$198,2*(ROWS($R$360:R371)-1)+1),0)</f>
        <v>0</v>
      </c>
      <c r="S371" s="23">
        <f>IF(NOT(ISNUMBER(INDEX('M04-S02'!$AN$16:$AN$198,2*(ROWS($R$360:R371)-1)+1))),ROUND(INDEX('M04-S02'!$C$16:$C$198,2*(ROWS($S$360:S371)-1)+1)/1000,4),"")</f>
        <v>0</v>
      </c>
      <c r="T371" s="52" t="str">
        <f>IFERROR(IF(NOT(ISNUMBER(INDEX('M04-S02'!$AN$16:$AN$198,2*(ROWS($R$360:R371)-1)+1))),INDEX('M04-S02'!$AK$16:$AK$198,2*(ROWS($R$360:R371)-1)+1),0),0)</f>
        <v/>
      </c>
      <c r="U371" s="23" t="str">
        <f>IFERROR(IF(NOT(ISNUMBER(INDEX('M04-S02'!$AN$16:$AN$198,2*(ROWS($R$360:R371)-1)+1))),INDEX('M04-S02'!$AV$16:$AV$198,2*(ROWS($R$360:R371)-1)+1),0),"")</f>
        <v/>
      </c>
      <c r="V371" s="113"/>
      <c r="W371" t="str">
        <f>IFERROR(IF(NOT(ISNUMBER(INDEX('M04-S02'!$AN$16:$AN$198,2*(ROWS($R$360:R371)-1)+1))),INDEX('M04-S02'!$BC$16:$BC$198,2*(ROWS($R$360:R371)-1)+1),""),"")</f>
        <v/>
      </c>
      <c r="X371" s="184" t="str">
        <f>IFERROR(ROUND(INDEX('M04-S02'!$N$16:$N$198,2*(ROWS($X$360:X371)-1)+1),3),"")</f>
        <v/>
      </c>
      <c r="Y371" s="184" t="str">
        <f>IFERROR(ROUND(INDEX('M04-S02'!$AA$16:$AA$198,2*(ROWS($Y$360:Y371)-1)+1),3),"")</f>
        <v/>
      </c>
      <c r="Z371" s="111">
        <f>INDEX('M04-S02'!$B$16:$B$198,2*(ROWS($Z$360:Z371)-1)+1)</f>
        <v>12</v>
      </c>
      <c r="AA371" s="96"/>
      <c r="AB371" s="96"/>
      <c r="AC371" t="str">
        <f>INDEX('M04-S02'!$F$16:$F$198,2*(ROWS($AC$360:AC371)-1)+1)</f>
        <v/>
      </c>
      <c r="AD371" t="str">
        <f>INDEX('M04-S02'!$S$16:$S$198,2*(ROWS($AD$360:AD371)-1)+1)</f>
        <v/>
      </c>
      <c r="AE371" s="459"/>
      <c r="AF371" s="459"/>
      <c r="AG371" s="111" t="str">
        <f>IFERROR(IF(ISNUMBER((INDEX('M04-S02'!$N$16:$N$198,2*(ROWS($AG$360:AG371)-1)+1)*INDEX('M04-S02'!$Q$16:$Q$198,2*(ROWS($AG$360:AG371)-1)+1))/1000),((INDEX('M04-S02'!$N$16:$N$198,2*(ROWS($AG$360:AG371)-1)+1)*INDEX('M04-S02'!$Q$16:$Q$198,2*(ROWS($AG$360:AG371)-1)+1))/1000),""),"")</f>
        <v/>
      </c>
      <c r="AH371" s="111" t="str">
        <f>IFERROR(IF(ISNUMBER((INDEX('M04-S02'!$AA$16:$AA$198,2*(ROWS($AH$360:AH371)-1)+1)*INDEX('M04-S02'!$Q$16:$Q$198,2*(ROWS($AH$360:AH371)-1)+1))/1000),((INDEX('M04-S02'!$AA$16:$AA$198,2*(ROWS($AH$360:AH371)-1)+1)*INDEX('M04-S02'!$Q$16:$Q$198,2*(ROWS($AH$360:AH371)-1)+1))/1000),""),"")</f>
        <v/>
      </c>
      <c r="AI371" s="96"/>
      <c r="AJ371" s="96"/>
      <c r="AK371" s="52" t="str">
        <f>INDEX('M04-S02'!$AU$16:$AU$198,2*(ROWS($AK$360:AK371)-1)+1)</f>
        <v/>
      </c>
      <c r="AL371" s="184">
        <f>IF(NOT(ISNUMBER(INDEX('M04-S02'!$AN$16:$AN$198,2*(ROWS($R$360:$R371)-1)+1))),INDEX('M04-S02'!$AD$16:$AD$198,2*(ROWS($AL$360:$AL371)-1)+1),"")</f>
        <v>0</v>
      </c>
      <c r="AM371" s="184">
        <f>IF(NOT(ISNUMBER(INDEX('M04-S02'!$AN$16:$AN$198,2*(ROWS($R$360:$R371)-1)+1))),INDEX('M04-S02'!$AF$16:$AF$198,2*(ROWS($AM$360:$AM371)-1)+1),"")</f>
        <v>0</v>
      </c>
      <c r="AN371" s="52" t="str">
        <f>IF(NOT(ISNUMBER(INDEX('M04-S02'!$AN$16:$AN$198,2*(ROWS($R$360:$R371)-1)+1))),INDEX('M04-S02'!$AH$16:$AH$198,2*(ROWS($AN$360:$AN371)-1)+1),"")</f>
        <v/>
      </c>
      <c r="AO371" s="113"/>
      <c r="AU371"/>
    </row>
    <row r="372" spans="1:47">
      <c r="A372" s="57">
        <f t="shared" si="34"/>
        <v>0</v>
      </c>
      <c r="B372" s="183" t="str">
        <f t="shared" si="36"/>
        <v/>
      </c>
      <c r="C372" s="186" t="str">
        <f>IF(OR(R372&gt;0,T372&gt;0),INDEX('M04-S02'!$BE$16:$BE$198,2*(ROWS($C$360:C372)-1)+1),"")</f>
        <v/>
      </c>
      <c r="D372" t="s">
        <v>195</v>
      </c>
      <c r="F372" s="112"/>
      <c r="G372" s="96"/>
      <c r="H372" s="186" t="str">
        <f>IF(ISNUMBER(INDEX('M04-S02'!$AN$16:$AN$198,2*(ROWS($R$360:R372)-1)+1)),"Incremental","")</f>
        <v/>
      </c>
      <c r="I372" s="184">
        <f>IFERROR(ROUND(IF(ISNUMBER(INDEX('M04-S02'!$AN$16:$AN$198,2*(ROWS($R$360:$R372)-1)+1)),INDEX('M04-S02'!$AF$16:$AF$198,2*(ROWS($I$360:$I372)-1)+1),""),2),0)</f>
        <v>0</v>
      </c>
      <c r="J372" s="184">
        <f>IFERROR(ROUND(IF(ISNUMBER(INDEX('M04-S02'!$AN$16:$AN$198,2*(ROWS($R$360:$R372)-1)+1)),INDEX('M04-S02'!$AW$16:$AW$198,2*(ROWS($J$360:$J372)-1)+1),""),2),0)</f>
        <v>0</v>
      </c>
      <c r="K372" s="52">
        <f>IFERROR(ROUND(IF(ISNUMBER(INDEX('M04-S02'!$AN$16:$AN$198,2*(ROWS($R$360:$R372)-1)+1)),INDEX('M04-S02'!$AF$16:$AF$198,2*(ROWS($K$360:$K372)-1)+1),""),2),0)</f>
        <v>0</v>
      </c>
      <c r="L372" s="52" t="str">
        <f>IF(ISNUMBER(INDEX('M04-S02'!$AN$16:$AN$198,2*(ROWS($R$360:R372)-1)+1)),ROUND(INDEX('M04-S02'!$BB$16:$BB$198,2*(ROWS($L$360:L372)-1)+1),4),"")</f>
        <v/>
      </c>
      <c r="M372" s="456" t="str">
        <f>IF(ISNUMBER(INDEX('M04-S02'!$AN$16:$AN$198,2*(ROWS($R$360:R372)-1)+1)),ROUND(INDEX('M04-S02'!$C$16:$C$198,2*(ROWS($M$360:M372)-1)+1)/1000,4),"")</f>
        <v/>
      </c>
      <c r="N372" s="184" t="str">
        <f>IF(ISNUMBER(INDEX('M04-S02'!$AN$16:$AN$198,2*(ROWS($R$360:R372)-1)+1)),INDEX('M04-S02'!$AK$16:$AK$198,2*(ROWS($N$360:N372)-1)+1),"")</f>
        <v/>
      </c>
      <c r="O372" s="456" t="str">
        <f>IF(ISNUMBER(INDEX('M04-S02'!$AN$16:$AN$198,2*(ROWS($R$360:R372)-1)+1)),INDEX('M04-S02'!$AV$16:$AV$198,2*(ROWS($O$360:O372)-1)+1),"")</f>
        <v/>
      </c>
      <c r="P372" s="113"/>
      <c r="Q372" s="113"/>
      <c r="R372" s="184">
        <f>IF(ISNUMBER(INDEX('M04-S02'!$AN$16:$AN$198,2*(ROWS($R$360:R372)-1)+1)),INDEX('M04-S02'!$AN$16:$AN$198,2*(ROWS($R$360:R372)-1)+1),0)</f>
        <v>0</v>
      </c>
      <c r="S372" s="23">
        <f>IF(NOT(ISNUMBER(INDEX('M04-S02'!$AN$16:$AN$198,2*(ROWS($R$360:R372)-1)+1))),ROUND(INDEX('M04-S02'!$C$16:$C$198,2*(ROWS($S$360:S372)-1)+1)/1000,4),"")</f>
        <v>0</v>
      </c>
      <c r="T372" s="52" t="str">
        <f>IFERROR(IF(NOT(ISNUMBER(INDEX('M04-S02'!$AN$16:$AN$198,2*(ROWS($R$360:R372)-1)+1))),INDEX('M04-S02'!$AK$16:$AK$198,2*(ROWS($R$360:R372)-1)+1),0),0)</f>
        <v/>
      </c>
      <c r="U372" s="23" t="str">
        <f>IFERROR(IF(NOT(ISNUMBER(INDEX('M04-S02'!$AN$16:$AN$198,2*(ROWS($R$360:R372)-1)+1))),INDEX('M04-S02'!$AV$16:$AV$198,2*(ROWS($R$360:R372)-1)+1),0),"")</f>
        <v/>
      </c>
      <c r="V372" s="113"/>
      <c r="W372" t="str">
        <f>IFERROR(IF(NOT(ISNUMBER(INDEX('M04-S02'!$AN$16:$AN$198,2*(ROWS($R$360:R372)-1)+1))),INDEX('M04-S02'!$BC$16:$BC$198,2*(ROWS($R$360:R372)-1)+1),""),"")</f>
        <v/>
      </c>
      <c r="X372" s="184" t="str">
        <f>IFERROR(ROUND(INDEX('M04-S02'!$N$16:$N$198,2*(ROWS($X$360:X372)-1)+1),3),"")</f>
        <v/>
      </c>
      <c r="Y372" s="184" t="str">
        <f>IFERROR(ROUND(INDEX('M04-S02'!$AA$16:$AA$198,2*(ROWS($Y$360:Y372)-1)+1),3),"")</f>
        <v/>
      </c>
      <c r="Z372" s="111">
        <f>INDEX('M04-S02'!$B$16:$B$198,2*(ROWS($Z$360:Z372)-1)+1)</f>
        <v>13</v>
      </c>
      <c r="AA372" s="96"/>
      <c r="AB372" s="96"/>
      <c r="AC372" t="str">
        <f>INDEX('M04-S02'!$F$16:$F$198,2*(ROWS($AC$360:AC372)-1)+1)</f>
        <v/>
      </c>
      <c r="AD372" t="str">
        <f>INDEX('M04-S02'!$S$16:$S$198,2*(ROWS($AD$360:AD372)-1)+1)</f>
        <v/>
      </c>
      <c r="AE372" s="459"/>
      <c r="AF372" s="459"/>
      <c r="AG372" s="111" t="str">
        <f>IFERROR(IF(ISNUMBER((INDEX('M04-S02'!$N$16:$N$198,2*(ROWS($AG$360:AG372)-1)+1)*INDEX('M04-S02'!$Q$16:$Q$198,2*(ROWS($AG$360:AG372)-1)+1))/1000),((INDEX('M04-S02'!$N$16:$N$198,2*(ROWS($AG$360:AG372)-1)+1)*INDEX('M04-S02'!$Q$16:$Q$198,2*(ROWS($AG$360:AG372)-1)+1))/1000),""),"")</f>
        <v/>
      </c>
      <c r="AH372" s="111" t="str">
        <f>IFERROR(IF(ISNUMBER((INDEX('M04-S02'!$AA$16:$AA$198,2*(ROWS($AH$360:AH372)-1)+1)*INDEX('M04-S02'!$Q$16:$Q$198,2*(ROWS($AH$360:AH372)-1)+1))/1000),((INDEX('M04-S02'!$AA$16:$AA$198,2*(ROWS($AH$360:AH372)-1)+1)*INDEX('M04-S02'!$Q$16:$Q$198,2*(ROWS($AH$360:AH372)-1)+1))/1000),""),"")</f>
        <v/>
      </c>
      <c r="AI372" s="96"/>
      <c r="AJ372" s="96"/>
      <c r="AK372" s="52" t="str">
        <f>INDEX('M04-S02'!$AU$16:$AU$198,2*(ROWS($AK$360:AK372)-1)+1)</f>
        <v/>
      </c>
      <c r="AL372" s="184">
        <f>IF(NOT(ISNUMBER(INDEX('M04-S02'!$AN$16:$AN$198,2*(ROWS($R$360:$R372)-1)+1))),INDEX('M04-S02'!$AD$16:$AD$198,2*(ROWS($AL$360:$AL372)-1)+1),"")</f>
        <v>0</v>
      </c>
      <c r="AM372" s="184">
        <f>IF(NOT(ISNUMBER(INDEX('M04-S02'!$AN$16:$AN$198,2*(ROWS($R$360:$R372)-1)+1))),INDEX('M04-S02'!$AF$16:$AF$198,2*(ROWS($AM$360:$AM372)-1)+1),"")</f>
        <v>0</v>
      </c>
      <c r="AN372" s="52" t="str">
        <f>IF(NOT(ISNUMBER(INDEX('M04-S02'!$AN$16:$AN$198,2*(ROWS($R$360:$R372)-1)+1))),INDEX('M04-S02'!$AH$16:$AH$198,2*(ROWS($AN$360:$AN372)-1)+1),"")</f>
        <v/>
      </c>
      <c r="AO372" s="113"/>
      <c r="AU372"/>
    </row>
    <row r="373" spans="1:47">
      <c r="A373" s="57">
        <f t="shared" si="34"/>
        <v>0</v>
      </c>
      <c r="B373" s="183" t="str">
        <f t="shared" si="36"/>
        <v/>
      </c>
      <c r="C373" s="186" t="str">
        <f>IF(OR(R373&gt;0,T373&gt;0),INDEX('M04-S02'!$BE$16:$BE$198,2*(ROWS($C$360:C373)-1)+1),"")</f>
        <v/>
      </c>
      <c r="D373" t="s">
        <v>195</v>
      </c>
      <c r="F373" s="112"/>
      <c r="G373" s="96"/>
      <c r="H373" s="186" t="str">
        <f>IF(ISNUMBER(INDEX('M04-S02'!$AN$16:$AN$198,2*(ROWS($R$360:R373)-1)+1)),"Incremental","")</f>
        <v/>
      </c>
      <c r="I373" s="184">
        <f>IFERROR(ROUND(IF(ISNUMBER(INDEX('M04-S02'!$AN$16:$AN$198,2*(ROWS($R$360:$R373)-1)+1)),INDEX('M04-S02'!$AF$16:$AF$198,2*(ROWS($I$360:$I373)-1)+1),""),2),0)</f>
        <v>0</v>
      </c>
      <c r="J373" s="184">
        <f>IFERROR(ROUND(IF(ISNUMBER(INDEX('M04-S02'!$AN$16:$AN$198,2*(ROWS($R$360:$R373)-1)+1)),INDEX('M04-S02'!$AW$16:$AW$198,2*(ROWS($J$360:$J373)-1)+1),""),2),0)</f>
        <v>0</v>
      </c>
      <c r="K373" s="52">
        <f>IFERROR(ROUND(IF(ISNUMBER(INDEX('M04-S02'!$AN$16:$AN$198,2*(ROWS($R$360:$R373)-1)+1)),INDEX('M04-S02'!$AF$16:$AF$198,2*(ROWS($K$360:$K373)-1)+1),""),2),0)</f>
        <v>0</v>
      </c>
      <c r="L373" s="52" t="str">
        <f>IF(ISNUMBER(INDEX('M04-S02'!$AN$16:$AN$198,2*(ROWS($R$360:R373)-1)+1)),ROUND(INDEX('M04-S02'!$BB$16:$BB$198,2*(ROWS($L$360:L373)-1)+1),4),"")</f>
        <v/>
      </c>
      <c r="M373" s="456" t="str">
        <f>IF(ISNUMBER(INDEX('M04-S02'!$AN$16:$AN$198,2*(ROWS($R$360:R373)-1)+1)),ROUND(INDEX('M04-S02'!$C$16:$C$198,2*(ROWS($M$360:M373)-1)+1)/1000,4),"")</f>
        <v/>
      </c>
      <c r="N373" s="184" t="str">
        <f>IF(ISNUMBER(INDEX('M04-S02'!$AN$16:$AN$198,2*(ROWS($R$360:R373)-1)+1)),INDEX('M04-S02'!$AK$16:$AK$198,2*(ROWS($N$360:N373)-1)+1),"")</f>
        <v/>
      </c>
      <c r="O373" s="456" t="str">
        <f>IF(ISNUMBER(INDEX('M04-S02'!$AN$16:$AN$198,2*(ROWS($R$360:R373)-1)+1)),INDEX('M04-S02'!$AV$16:$AV$198,2*(ROWS($O$360:O373)-1)+1),"")</f>
        <v/>
      </c>
      <c r="P373" s="113"/>
      <c r="Q373" s="113"/>
      <c r="R373" s="184">
        <f>IF(ISNUMBER(INDEX('M04-S02'!$AN$16:$AN$198,2*(ROWS($R$360:R373)-1)+1)),INDEX('M04-S02'!$AN$16:$AN$198,2*(ROWS($R$360:R373)-1)+1),0)</f>
        <v>0</v>
      </c>
      <c r="S373" s="23">
        <f>IF(NOT(ISNUMBER(INDEX('M04-S02'!$AN$16:$AN$198,2*(ROWS($R$360:R373)-1)+1))),ROUND(INDEX('M04-S02'!$C$16:$C$198,2*(ROWS($S$360:S373)-1)+1)/1000,4),"")</f>
        <v>0</v>
      </c>
      <c r="T373" s="52" t="str">
        <f>IFERROR(IF(NOT(ISNUMBER(INDEX('M04-S02'!$AN$16:$AN$198,2*(ROWS($R$360:R373)-1)+1))),INDEX('M04-S02'!$AK$16:$AK$198,2*(ROWS($R$360:R373)-1)+1),0),0)</f>
        <v/>
      </c>
      <c r="U373" s="23" t="str">
        <f>IFERROR(IF(NOT(ISNUMBER(INDEX('M04-S02'!$AN$16:$AN$198,2*(ROWS($R$360:R373)-1)+1))),INDEX('M04-S02'!$AV$16:$AV$198,2*(ROWS($R$360:R373)-1)+1),0),"")</f>
        <v/>
      </c>
      <c r="V373" s="113"/>
      <c r="W373" t="str">
        <f>IFERROR(IF(NOT(ISNUMBER(INDEX('M04-S02'!$AN$16:$AN$198,2*(ROWS($R$360:R373)-1)+1))),INDEX('M04-S02'!$BC$16:$BC$198,2*(ROWS($R$360:R373)-1)+1),""),"")</f>
        <v/>
      </c>
      <c r="X373" s="184" t="str">
        <f>IFERROR(ROUND(INDEX('M04-S02'!$N$16:$N$198,2*(ROWS($X$360:X373)-1)+1),3),"")</f>
        <v/>
      </c>
      <c r="Y373" s="184" t="str">
        <f>IFERROR(ROUND(INDEX('M04-S02'!$AA$16:$AA$198,2*(ROWS($Y$360:Y373)-1)+1),3),"")</f>
        <v/>
      </c>
      <c r="Z373" s="111">
        <f>INDEX('M04-S02'!$B$16:$B$198,2*(ROWS($Z$360:Z373)-1)+1)</f>
        <v>14</v>
      </c>
      <c r="AA373" s="96"/>
      <c r="AB373" s="96"/>
      <c r="AC373" t="str">
        <f>INDEX('M04-S02'!$F$16:$F$198,2*(ROWS($AC$360:AC373)-1)+1)</f>
        <v/>
      </c>
      <c r="AD373" t="str">
        <f>INDEX('M04-S02'!$S$16:$S$198,2*(ROWS($AD$360:AD373)-1)+1)</f>
        <v/>
      </c>
      <c r="AE373" s="459"/>
      <c r="AF373" s="459"/>
      <c r="AG373" s="111" t="str">
        <f>IFERROR(IF(ISNUMBER((INDEX('M04-S02'!$N$16:$N$198,2*(ROWS($AG$360:AG373)-1)+1)*INDEX('M04-S02'!$Q$16:$Q$198,2*(ROWS($AG$360:AG373)-1)+1))/1000),((INDEX('M04-S02'!$N$16:$N$198,2*(ROWS($AG$360:AG373)-1)+1)*INDEX('M04-S02'!$Q$16:$Q$198,2*(ROWS($AG$360:AG373)-1)+1))/1000),""),"")</f>
        <v/>
      </c>
      <c r="AH373" s="111" t="str">
        <f>IFERROR(IF(ISNUMBER((INDEX('M04-S02'!$AA$16:$AA$198,2*(ROWS($AH$360:AH373)-1)+1)*INDEX('M04-S02'!$Q$16:$Q$198,2*(ROWS($AH$360:AH373)-1)+1))/1000),((INDEX('M04-S02'!$AA$16:$AA$198,2*(ROWS($AH$360:AH373)-1)+1)*INDEX('M04-S02'!$Q$16:$Q$198,2*(ROWS($AH$360:AH373)-1)+1))/1000),""),"")</f>
        <v/>
      </c>
      <c r="AI373" s="96"/>
      <c r="AJ373" s="96"/>
      <c r="AK373" s="52" t="str">
        <f>INDEX('M04-S02'!$AU$16:$AU$198,2*(ROWS($AK$360:AK373)-1)+1)</f>
        <v/>
      </c>
      <c r="AL373" s="184">
        <f>IF(NOT(ISNUMBER(INDEX('M04-S02'!$AN$16:$AN$198,2*(ROWS($R$360:$R373)-1)+1))),INDEX('M04-S02'!$AD$16:$AD$198,2*(ROWS($AL$360:$AL373)-1)+1),"")</f>
        <v>0</v>
      </c>
      <c r="AM373" s="184">
        <f>IF(NOT(ISNUMBER(INDEX('M04-S02'!$AN$16:$AN$198,2*(ROWS($R$360:$R373)-1)+1))),INDEX('M04-S02'!$AF$16:$AF$198,2*(ROWS($AM$360:$AM373)-1)+1),"")</f>
        <v>0</v>
      </c>
      <c r="AN373" s="52" t="str">
        <f>IF(NOT(ISNUMBER(INDEX('M04-S02'!$AN$16:$AN$198,2*(ROWS($R$360:$R373)-1)+1))),INDEX('M04-S02'!$AH$16:$AH$198,2*(ROWS($AN$360:$AN373)-1)+1),"")</f>
        <v/>
      </c>
      <c r="AO373" s="113"/>
      <c r="AU373"/>
    </row>
    <row r="374" spans="1:47">
      <c r="A374" s="57">
        <f t="shared" si="34"/>
        <v>0</v>
      </c>
      <c r="B374" s="183" t="str">
        <f t="shared" si="36"/>
        <v/>
      </c>
      <c r="C374" s="186" t="str">
        <f>IF(OR(R374&gt;0,T374&gt;0),INDEX('M04-S02'!$BE$16:$BE$198,2*(ROWS($C$360:C374)-1)+1),"")</f>
        <v/>
      </c>
      <c r="D374" t="s">
        <v>195</v>
      </c>
      <c r="F374" s="112"/>
      <c r="G374" s="96"/>
      <c r="H374" s="186" t="str">
        <f>IF(ISNUMBER(INDEX('M04-S02'!$AN$16:$AN$198,2*(ROWS($R$360:R374)-1)+1)),"Incremental","")</f>
        <v/>
      </c>
      <c r="I374" s="184">
        <f>IFERROR(ROUND(IF(ISNUMBER(INDEX('M04-S02'!$AN$16:$AN$198,2*(ROWS($R$360:$R374)-1)+1)),INDEX('M04-S02'!$AF$16:$AF$198,2*(ROWS($I$360:$I374)-1)+1),""),2),0)</f>
        <v>0</v>
      </c>
      <c r="J374" s="184">
        <f>IFERROR(ROUND(IF(ISNUMBER(INDEX('M04-S02'!$AN$16:$AN$198,2*(ROWS($R$360:$R374)-1)+1)),INDEX('M04-S02'!$AW$16:$AW$198,2*(ROWS($J$360:$J374)-1)+1),""),2),0)</f>
        <v>0</v>
      </c>
      <c r="K374" s="52">
        <f>IFERROR(ROUND(IF(ISNUMBER(INDEX('M04-S02'!$AN$16:$AN$198,2*(ROWS($R$360:$R374)-1)+1)),INDEX('M04-S02'!$AF$16:$AF$198,2*(ROWS($K$360:$K374)-1)+1),""),2),0)</f>
        <v>0</v>
      </c>
      <c r="L374" s="52" t="str">
        <f>IF(ISNUMBER(INDEX('M04-S02'!$AN$16:$AN$198,2*(ROWS($R$360:R374)-1)+1)),ROUND(INDEX('M04-S02'!$BB$16:$BB$198,2*(ROWS($L$360:L374)-1)+1),4),"")</f>
        <v/>
      </c>
      <c r="M374" s="456" t="str">
        <f>IF(ISNUMBER(INDEX('M04-S02'!$AN$16:$AN$198,2*(ROWS($R$360:R374)-1)+1)),ROUND(INDEX('M04-S02'!$C$16:$C$198,2*(ROWS($M$360:M374)-1)+1)/1000,4),"")</f>
        <v/>
      </c>
      <c r="N374" s="184" t="str">
        <f>IF(ISNUMBER(INDEX('M04-S02'!$AN$16:$AN$198,2*(ROWS($R$360:R374)-1)+1)),INDEX('M04-S02'!$AK$16:$AK$198,2*(ROWS($N$360:N374)-1)+1),"")</f>
        <v/>
      </c>
      <c r="O374" s="456" t="str">
        <f>IF(ISNUMBER(INDEX('M04-S02'!$AN$16:$AN$198,2*(ROWS($R$360:R374)-1)+1)),INDEX('M04-S02'!$AV$16:$AV$198,2*(ROWS($O$360:O374)-1)+1),"")</f>
        <v/>
      </c>
      <c r="P374" s="113"/>
      <c r="Q374" s="113"/>
      <c r="R374" s="184">
        <f>IF(ISNUMBER(INDEX('M04-S02'!$AN$16:$AN$198,2*(ROWS($R$360:R374)-1)+1)),INDEX('M04-S02'!$AN$16:$AN$198,2*(ROWS($R$360:R374)-1)+1),0)</f>
        <v>0</v>
      </c>
      <c r="S374" s="23">
        <f>IF(NOT(ISNUMBER(INDEX('M04-S02'!$AN$16:$AN$198,2*(ROWS($R$360:R374)-1)+1))),ROUND(INDEX('M04-S02'!$C$16:$C$198,2*(ROWS($S$360:S374)-1)+1)/1000,4),"")</f>
        <v>0</v>
      </c>
      <c r="T374" s="52" t="str">
        <f>IFERROR(IF(NOT(ISNUMBER(INDEX('M04-S02'!$AN$16:$AN$198,2*(ROWS($R$360:R374)-1)+1))),INDEX('M04-S02'!$AK$16:$AK$198,2*(ROWS($R$360:R374)-1)+1),0),0)</f>
        <v/>
      </c>
      <c r="U374" s="23" t="str">
        <f>IFERROR(IF(NOT(ISNUMBER(INDEX('M04-S02'!$AN$16:$AN$198,2*(ROWS($R$360:R374)-1)+1))),INDEX('M04-S02'!$AV$16:$AV$198,2*(ROWS($R$360:R374)-1)+1),0),"")</f>
        <v/>
      </c>
      <c r="V374" s="113"/>
      <c r="W374" t="str">
        <f>IFERROR(IF(NOT(ISNUMBER(INDEX('M04-S02'!$AN$16:$AN$198,2*(ROWS($R$360:R374)-1)+1))),INDEX('M04-S02'!$BC$16:$BC$198,2*(ROWS($R$360:R374)-1)+1),""),"")</f>
        <v/>
      </c>
      <c r="X374" s="184" t="str">
        <f>IFERROR(ROUND(INDEX('M04-S02'!$N$16:$N$198,2*(ROWS($X$360:X374)-1)+1),3),"")</f>
        <v/>
      </c>
      <c r="Y374" s="184" t="str">
        <f>IFERROR(ROUND(INDEX('M04-S02'!$AA$16:$AA$198,2*(ROWS($Y$360:Y374)-1)+1),3),"")</f>
        <v/>
      </c>
      <c r="Z374" s="111">
        <f>INDEX('M04-S02'!$B$16:$B$198,2*(ROWS($Z$360:Z374)-1)+1)</f>
        <v>15</v>
      </c>
      <c r="AA374" s="96"/>
      <c r="AB374" s="96"/>
      <c r="AC374" t="str">
        <f>INDEX('M04-S02'!$F$16:$F$198,2*(ROWS($AC$360:AC374)-1)+1)</f>
        <v/>
      </c>
      <c r="AD374" t="str">
        <f>INDEX('M04-S02'!$S$16:$S$198,2*(ROWS($AD$360:AD374)-1)+1)</f>
        <v/>
      </c>
      <c r="AE374" s="459"/>
      <c r="AF374" s="459"/>
      <c r="AG374" s="111" t="str">
        <f>IFERROR(IF(ISNUMBER((INDEX('M04-S02'!$N$16:$N$198,2*(ROWS($AG$360:AG374)-1)+1)*INDEX('M04-S02'!$Q$16:$Q$198,2*(ROWS($AG$360:AG374)-1)+1))/1000),((INDEX('M04-S02'!$N$16:$N$198,2*(ROWS($AG$360:AG374)-1)+1)*INDEX('M04-S02'!$Q$16:$Q$198,2*(ROWS($AG$360:AG374)-1)+1))/1000),""),"")</f>
        <v/>
      </c>
      <c r="AH374" s="111" t="str">
        <f>IFERROR(IF(ISNUMBER((INDEX('M04-S02'!$AA$16:$AA$198,2*(ROWS($AH$360:AH374)-1)+1)*INDEX('M04-S02'!$Q$16:$Q$198,2*(ROWS($AH$360:AH374)-1)+1))/1000),((INDEX('M04-S02'!$AA$16:$AA$198,2*(ROWS($AH$360:AH374)-1)+1)*INDEX('M04-S02'!$Q$16:$Q$198,2*(ROWS($AH$360:AH374)-1)+1))/1000),""),"")</f>
        <v/>
      </c>
      <c r="AI374" s="96"/>
      <c r="AJ374" s="96"/>
      <c r="AK374" s="52" t="str">
        <f>INDEX('M04-S02'!$AU$16:$AU$198,2*(ROWS($AK$360:AK374)-1)+1)</f>
        <v/>
      </c>
      <c r="AL374" s="184">
        <f>IF(NOT(ISNUMBER(INDEX('M04-S02'!$AN$16:$AN$198,2*(ROWS($R$360:$R374)-1)+1))),INDEX('M04-S02'!$AD$16:$AD$198,2*(ROWS($AL$360:$AL374)-1)+1),"")</f>
        <v>0</v>
      </c>
      <c r="AM374" s="184">
        <f>IF(NOT(ISNUMBER(INDEX('M04-S02'!$AN$16:$AN$198,2*(ROWS($R$360:$R374)-1)+1))),INDEX('M04-S02'!$AF$16:$AF$198,2*(ROWS($AM$360:$AM374)-1)+1),"")</f>
        <v>0</v>
      </c>
      <c r="AN374" s="52" t="str">
        <f>IF(NOT(ISNUMBER(INDEX('M04-S02'!$AN$16:$AN$198,2*(ROWS($R$360:$R374)-1)+1))),INDEX('M04-S02'!$AH$16:$AH$198,2*(ROWS($AN$360:$AN374)-1)+1),"")</f>
        <v/>
      </c>
      <c r="AO374" s="113"/>
      <c r="AU374"/>
    </row>
    <row r="375" spans="1:47">
      <c r="A375" s="57">
        <f t="shared" si="34"/>
        <v>0</v>
      </c>
      <c r="B375" s="183" t="str">
        <f t="shared" si="36"/>
        <v/>
      </c>
      <c r="C375" s="186" t="str">
        <f>IF(OR(R375&gt;0,T375&gt;0),INDEX('M04-S02'!$BE$16:$BE$198,2*(ROWS($C$360:C375)-1)+1),"")</f>
        <v/>
      </c>
      <c r="D375" t="s">
        <v>195</v>
      </c>
      <c r="F375" s="112"/>
      <c r="G375" s="96"/>
      <c r="H375" s="186" t="str">
        <f>IF(ISNUMBER(INDEX('M04-S02'!$AN$16:$AN$198,2*(ROWS($R$360:R375)-1)+1)),"Incremental","")</f>
        <v/>
      </c>
      <c r="I375" s="184">
        <f>IFERROR(ROUND(IF(ISNUMBER(INDEX('M04-S02'!$AN$16:$AN$198,2*(ROWS($R$360:$R375)-1)+1)),INDEX('M04-S02'!$AF$16:$AF$198,2*(ROWS($I$360:$I375)-1)+1),""),2),0)</f>
        <v>0</v>
      </c>
      <c r="J375" s="184">
        <f>IFERROR(ROUND(IF(ISNUMBER(INDEX('M04-S02'!$AN$16:$AN$198,2*(ROWS($R$360:$R375)-1)+1)),INDEX('M04-S02'!$AW$16:$AW$198,2*(ROWS($J$360:$J375)-1)+1),""),2),0)</f>
        <v>0</v>
      </c>
      <c r="K375" s="52">
        <f>IFERROR(ROUND(IF(ISNUMBER(INDEX('M04-S02'!$AN$16:$AN$198,2*(ROWS($R$360:$R375)-1)+1)),INDEX('M04-S02'!$AF$16:$AF$198,2*(ROWS($K$360:$K375)-1)+1),""),2),0)</f>
        <v>0</v>
      </c>
      <c r="L375" s="52" t="str">
        <f>IF(ISNUMBER(INDEX('M04-S02'!$AN$16:$AN$198,2*(ROWS($R$360:R375)-1)+1)),ROUND(INDEX('M04-S02'!$BB$16:$BB$198,2*(ROWS($L$360:L375)-1)+1),4),"")</f>
        <v/>
      </c>
      <c r="M375" s="456" t="str">
        <f>IF(ISNUMBER(INDEX('M04-S02'!$AN$16:$AN$198,2*(ROWS($R$360:R375)-1)+1)),ROUND(INDEX('M04-S02'!$C$16:$C$198,2*(ROWS($M$360:M375)-1)+1)/1000,4),"")</f>
        <v/>
      </c>
      <c r="N375" s="184" t="str">
        <f>IF(ISNUMBER(INDEX('M04-S02'!$AN$16:$AN$198,2*(ROWS($R$360:R375)-1)+1)),INDEX('M04-S02'!$AK$16:$AK$198,2*(ROWS($N$360:N375)-1)+1),"")</f>
        <v/>
      </c>
      <c r="O375" s="456" t="str">
        <f>IF(ISNUMBER(INDEX('M04-S02'!$AN$16:$AN$198,2*(ROWS($R$360:R375)-1)+1)),INDEX('M04-S02'!$AV$16:$AV$198,2*(ROWS($O$360:O375)-1)+1),"")</f>
        <v/>
      </c>
      <c r="P375" s="113"/>
      <c r="Q375" s="113"/>
      <c r="R375" s="184">
        <f>IF(ISNUMBER(INDEX('M04-S02'!$AN$16:$AN$198,2*(ROWS($R$360:R375)-1)+1)),INDEX('M04-S02'!$AN$16:$AN$198,2*(ROWS($R$360:R375)-1)+1),0)</f>
        <v>0</v>
      </c>
      <c r="S375" s="23">
        <f>IF(NOT(ISNUMBER(INDEX('M04-S02'!$AN$16:$AN$198,2*(ROWS($R$360:R375)-1)+1))),ROUND(INDEX('M04-S02'!$C$16:$C$198,2*(ROWS($S$360:S375)-1)+1)/1000,4),"")</f>
        <v>0</v>
      </c>
      <c r="T375" s="52" t="str">
        <f>IFERROR(IF(NOT(ISNUMBER(INDEX('M04-S02'!$AN$16:$AN$198,2*(ROWS($R$360:R375)-1)+1))),INDEX('M04-S02'!$AK$16:$AK$198,2*(ROWS($R$360:R375)-1)+1),0),0)</f>
        <v/>
      </c>
      <c r="U375" s="23" t="str">
        <f>IFERROR(IF(NOT(ISNUMBER(INDEX('M04-S02'!$AN$16:$AN$198,2*(ROWS($R$360:R375)-1)+1))),INDEX('M04-S02'!$AV$16:$AV$198,2*(ROWS($R$360:R375)-1)+1),0),"")</f>
        <v/>
      </c>
      <c r="V375" s="113"/>
      <c r="W375" t="str">
        <f>IFERROR(IF(NOT(ISNUMBER(INDEX('M04-S02'!$AN$16:$AN$198,2*(ROWS($R$360:R375)-1)+1))),INDEX('M04-S02'!$BC$16:$BC$198,2*(ROWS($R$360:R375)-1)+1),""),"")</f>
        <v/>
      </c>
      <c r="X375" s="184" t="str">
        <f>IFERROR(ROUND(INDEX('M04-S02'!$N$16:$N$198,2*(ROWS($X$360:X375)-1)+1),3),"")</f>
        <v/>
      </c>
      <c r="Y375" s="184" t="str">
        <f>IFERROR(ROUND(INDEX('M04-S02'!$AA$16:$AA$198,2*(ROWS($Y$360:Y375)-1)+1),3),"")</f>
        <v/>
      </c>
      <c r="Z375" s="111">
        <f>INDEX('M04-S02'!$B$16:$B$198,2*(ROWS($Z$360:Z375)-1)+1)</f>
        <v>16</v>
      </c>
      <c r="AA375" s="96"/>
      <c r="AB375" s="96"/>
      <c r="AC375" t="str">
        <f>INDEX('M04-S02'!$F$16:$F$198,2*(ROWS($AC$360:AC375)-1)+1)</f>
        <v/>
      </c>
      <c r="AD375" t="str">
        <f>INDEX('M04-S02'!$S$16:$S$198,2*(ROWS($AD$360:AD375)-1)+1)</f>
        <v/>
      </c>
      <c r="AE375" s="459"/>
      <c r="AF375" s="459"/>
      <c r="AG375" s="111" t="str">
        <f>IFERROR(IF(ISNUMBER((INDEX('M04-S02'!$N$16:$N$198,2*(ROWS($AG$360:AG375)-1)+1)*INDEX('M04-S02'!$Q$16:$Q$198,2*(ROWS($AG$360:AG375)-1)+1))/1000),((INDEX('M04-S02'!$N$16:$N$198,2*(ROWS($AG$360:AG375)-1)+1)*INDEX('M04-S02'!$Q$16:$Q$198,2*(ROWS($AG$360:AG375)-1)+1))/1000),""),"")</f>
        <v/>
      </c>
      <c r="AH375" s="111" t="str">
        <f>IFERROR(IF(ISNUMBER((INDEX('M04-S02'!$AA$16:$AA$198,2*(ROWS($AH$360:AH375)-1)+1)*INDEX('M04-S02'!$Q$16:$Q$198,2*(ROWS($AH$360:AH375)-1)+1))/1000),((INDEX('M04-S02'!$AA$16:$AA$198,2*(ROWS($AH$360:AH375)-1)+1)*INDEX('M04-S02'!$Q$16:$Q$198,2*(ROWS($AH$360:AH375)-1)+1))/1000),""),"")</f>
        <v/>
      </c>
      <c r="AI375" s="96"/>
      <c r="AJ375" s="96"/>
      <c r="AK375" s="52" t="str">
        <f>INDEX('M04-S02'!$AU$16:$AU$198,2*(ROWS($AK$360:AK375)-1)+1)</f>
        <v/>
      </c>
      <c r="AL375" s="184">
        <f>IF(NOT(ISNUMBER(INDEX('M04-S02'!$AN$16:$AN$198,2*(ROWS($R$360:$R375)-1)+1))),INDEX('M04-S02'!$AD$16:$AD$198,2*(ROWS($AL$360:$AL375)-1)+1),"")</f>
        <v>0</v>
      </c>
      <c r="AM375" s="184">
        <f>IF(NOT(ISNUMBER(INDEX('M04-S02'!$AN$16:$AN$198,2*(ROWS($R$360:$R375)-1)+1))),INDEX('M04-S02'!$AF$16:$AF$198,2*(ROWS($AM$360:$AM375)-1)+1),"")</f>
        <v>0</v>
      </c>
      <c r="AN375" s="52" t="str">
        <f>IF(NOT(ISNUMBER(INDEX('M04-S02'!$AN$16:$AN$198,2*(ROWS($R$360:$R375)-1)+1))),INDEX('M04-S02'!$AH$16:$AH$198,2*(ROWS($AN$360:$AN375)-1)+1),"")</f>
        <v/>
      </c>
      <c r="AO375" s="113"/>
      <c r="AU375"/>
    </row>
    <row r="376" spans="1:47">
      <c r="A376" s="57">
        <f t="shared" si="34"/>
        <v>0</v>
      </c>
      <c r="B376" s="183" t="str">
        <f t="shared" si="36"/>
        <v/>
      </c>
      <c r="C376" s="186" t="str">
        <f>IF(OR(R376&gt;0,T376&gt;0),INDEX('M04-S02'!$BE$16:$BE$198,2*(ROWS($C$360:C376)-1)+1),"")</f>
        <v/>
      </c>
      <c r="D376" t="s">
        <v>195</v>
      </c>
      <c r="F376" s="112"/>
      <c r="G376" s="96"/>
      <c r="H376" s="186" t="str">
        <f>IF(ISNUMBER(INDEX('M04-S02'!$AN$16:$AN$198,2*(ROWS($R$360:R376)-1)+1)),"Incremental","")</f>
        <v/>
      </c>
      <c r="I376" s="184">
        <f>IFERROR(ROUND(IF(ISNUMBER(INDEX('M04-S02'!$AN$16:$AN$198,2*(ROWS($R$360:$R376)-1)+1)),INDEX('M04-S02'!$AF$16:$AF$198,2*(ROWS($I$360:$I376)-1)+1),""),2),0)</f>
        <v>0</v>
      </c>
      <c r="J376" s="184">
        <f>IFERROR(ROUND(IF(ISNUMBER(INDEX('M04-S02'!$AN$16:$AN$198,2*(ROWS($R$360:$R376)-1)+1)),INDEX('M04-S02'!$AW$16:$AW$198,2*(ROWS($J$360:$J376)-1)+1),""),2),0)</f>
        <v>0</v>
      </c>
      <c r="K376" s="52">
        <f>IFERROR(ROUND(IF(ISNUMBER(INDEX('M04-S02'!$AN$16:$AN$198,2*(ROWS($R$360:$R376)-1)+1)),INDEX('M04-S02'!$AF$16:$AF$198,2*(ROWS($K$360:$K376)-1)+1),""),2),0)</f>
        <v>0</v>
      </c>
      <c r="L376" s="52" t="str">
        <f>IF(ISNUMBER(INDEX('M04-S02'!$AN$16:$AN$198,2*(ROWS($R$360:R376)-1)+1)),ROUND(INDEX('M04-S02'!$BB$16:$BB$198,2*(ROWS($L$360:L376)-1)+1),4),"")</f>
        <v/>
      </c>
      <c r="M376" s="456" t="str">
        <f>IF(ISNUMBER(INDEX('M04-S02'!$AN$16:$AN$198,2*(ROWS($R$360:R376)-1)+1)),ROUND(INDEX('M04-S02'!$C$16:$C$198,2*(ROWS($M$360:M376)-1)+1)/1000,4),"")</f>
        <v/>
      </c>
      <c r="N376" s="184" t="str">
        <f>IF(ISNUMBER(INDEX('M04-S02'!$AN$16:$AN$198,2*(ROWS($R$360:R376)-1)+1)),INDEX('M04-S02'!$AK$16:$AK$198,2*(ROWS($N$360:N376)-1)+1),"")</f>
        <v/>
      </c>
      <c r="O376" s="456" t="str">
        <f>IF(ISNUMBER(INDEX('M04-S02'!$AN$16:$AN$198,2*(ROWS($R$360:R376)-1)+1)),INDEX('M04-S02'!$AV$16:$AV$198,2*(ROWS($O$360:O376)-1)+1),"")</f>
        <v/>
      </c>
      <c r="P376" s="113"/>
      <c r="Q376" s="113"/>
      <c r="R376" s="184">
        <f>IF(ISNUMBER(INDEX('M04-S02'!$AN$16:$AN$198,2*(ROWS($R$360:R376)-1)+1)),INDEX('M04-S02'!$AN$16:$AN$198,2*(ROWS($R$360:R376)-1)+1),0)</f>
        <v>0</v>
      </c>
      <c r="S376" s="23">
        <f>IF(NOT(ISNUMBER(INDEX('M04-S02'!$AN$16:$AN$198,2*(ROWS($R$360:R376)-1)+1))),ROUND(INDEX('M04-S02'!$C$16:$C$198,2*(ROWS($S$360:S376)-1)+1)/1000,4),"")</f>
        <v>0</v>
      </c>
      <c r="T376" s="52" t="str">
        <f>IFERROR(IF(NOT(ISNUMBER(INDEX('M04-S02'!$AN$16:$AN$198,2*(ROWS($R$360:R376)-1)+1))),INDEX('M04-S02'!$AK$16:$AK$198,2*(ROWS($R$360:R376)-1)+1),0),0)</f>
        <v/>
      </c>
      <c r="U376" s="23" t="str">
        <f>IFERROR(IF(NOT(ISNUMBER(INDEX('M04-S02'!$AN$16:$AN$198,2*(ROWS($R$360:R376)-1)+1))),INDEX('M04-S02'!$AV$16:$AV$198,2*(ROWS($R$360:R376)-1)+1),0),"")</f>
        <v/>
      </c>
      <c r="V376" s="113"/>
      <c r="W376" t="str">
        <f>IFERROR(IF(NOT(ISNUMBER(INDEX('M04-S02'!$AN$16:$AN$198,2*(ROWS($R$360:R376)-1)+1))),INDEX('M04-S02'!$BC$16:$BC$198,2*(ROWS($R$360:R376)-1)+1),""),"")</f>
        <v/>
      </c>
      <c r="X376" s="184" t="str">
        <f>IFERROR(ROUND(INDEX('M04-S02'!$N$16:$N$198,2*(ROWS($X$360:X376)-1)+1),3),"")</f>
        <v/>
      </c>
      <c r="Y376" s="184" t="str">
        <f>IFERROR(ROUND(INDEX('M04-S02'!$AA$16:$AA$198,2*(ROWS($Y$360:Y376)-1)+1),3),"")</f>
        <v/>
      </c>
      <c r="Z376" s="111">
        <f>INDEX('M04-S02'!$B$16:$B$198,2*(ROWS($Z$360:Z376)-1)+1)</f>
        <v>17</v>
      </c>
      <c r="AA376" s="96"/>
      <c r="AB376" s="96"/>
      <c r="AC376" t="str">
        <f>INDEX('M04-S02'!$F$16:$F$198,2*(ROWS($AC$360:AC376)-1)+1)</f>
        <v/>
      </c>
      <c r="AD376" t="str">
        <f>INDEX('M04-S02'!$S$16:$S$198,2*(ROWS($AD$360:AD376)-1)+1)</f>
        <v/>
      </c>
      <c r="AE376" s="459"/>
      <c r="AF376" s="459"/>
      <c r="AG376" s="111" t="str">
        <f>IFERROR(IF(ISNUMBER((INDEX('M04-S02'!$N$16:$N$198,2*(ROWS($AG$360:AG376)-1)+1)*INDEX('M04-S02'!$Q$16:$Q$198,2*(ROWS($AG$360:AG376)-1)+1))/1000),((INDEX('M04-S02'!$N$16:$N$198,2*(ROWS($AG$360:AG376)-1)+1)*INDEX('M04-S02'!$Q$16:$Q$198,2*(ROWS($AG$360:AG376)-1)+1))/1000),""),"")</f>
        <v/>
      </c>
      <c r="AH376" s="111" t="str">
        <f>IFERROR(IF(ISNUMBER((INDEX('M04-S02'!$AA$16:$AA$198,2*(ROWS($AH$360:AH376)-1)+1)*INDEX('M04-S02'!$Q$16:$Q$198,2*(ROWS($AH$360:AH376)-1)+1))/1000),((INDEX('M04-S02'!$AA$16:$AA$198,2*(ROWS($AH$360:AH376)-1)+1)*INDEX('M04-S02'!$Q$16:$Q$198,2*(ROWS($AH$360:AH376)-1)+1))/1000),""),"")</f>
        <v/>
      </c>
      <c r="AI376" s="96"/>
      <c r="AJ376" s="96"/>
      <c r="AK376" s="52" t="str">
        <f>INDEX('M04-S02'!$AU$16:$AU$198,2*(ROWS($AK$360:AK376)-1)+1)</f>
        <v/>
      </c>
      <c r="AL376" s="184">
        <f>IF(NOT(ISNUMBER(INDEX('M04-S02'!$AN$16:$AN$198,2*(ROWS($R$360:$R376)-1)+1))),INDEX('M04-S02'!$AD$16:$AD$198,2*(ROWS($AL$360:$AL376)-1)+1),"")</f>
        <v>0</v>
      </c>
      <c r="AM376" s="184">
        <f>IF(NOT(ISNUMBER(INDEX('M04-S02'!$AN$16:$AN$198,2*(ROWS($R$360:$R376)-1)+1))),INDEX('M04-S02'!$AF$16:$AF$198,2*(ROWS($AM$360:$AM376)-1)+1),"")</f>
        <v>0</v>
      </c>
      <c r="AN376" s="52" t="str">
        <f>IF(NOT(ISNUMBER(INDEX('M04-S02'!$AN$16:$AN$198,2*(ROWS($R$360:$R376)-1)+1))),INDEX('M04-S02'!$AH$16:$AH$198,2*(ROWS($AN$360:$AN376)-1)+1),"")</f>
        <v/>
      </c>
      <c r="AO376" s="113"/>
      <c r="AU376"/>
    </row>
    <row r="377" spans="1:47">
      <c r="A377" s="57">
        <f t="shared" si="34"/>
        <v>0</v>
      </c>
      <c r="B377" s="183" t="str">
        <f t="shared" si="36"/>
        <v/>
      </c>
      <c r="C377" s="186" t="str">
        <f>IF(OR(R377&gt;0,T377&gt;0),INDEX('M04-S02'!$BE$16:$BE$198,2*(ROWS($C$360:C377)-1)+1),"")</f>
        <v/>
      </c>
      <c r="D377" t="s">
        <v>195</v>
      </c>
      <c r="F377" s="112"/>
      <c r="G377" s="96"/>
      <c r="H377" s="186" t="str">
        <f>IF(ISNUMBER(INDEX('M04-S02'!$AN$16:$AN$198,2*(ROWS($R$360:R377)-1)+1)),"Incremental","")</f>
        <v/>
      </c>
      <c r="I377" s="184">
        <f>IFERROR(ROUND(IF(ISNUMBER(INDEX('M04-S02'!$AN$16:$AN$198,2*(ROWS($R$360:$R377)-1)+1)),INDEX('M04-S02'!$AF$16:$AF$198,2*(ROWS($I$360:$I377)-1)+1),""),2),0)</f>
        <v>0</v>
      </c>
      <c r="J377" s="184">
        <f>IFERROR(ROUND(IF(ISNUMBER(INDEX('M04-S02'!$AN$16:$AN$198,2*(ROWS($R$360:$R377)-1)+1)),INDEX('M04-S02'!$AW$16:$AW$198,2*(ROWS($J$360:$J377)-1)+1),""),2),0)</f>
        <v>0</v>
      </c>
      <c r="K377" s="52">
        <f>IFERROR(ROUND(IF(ISNUMBER(INDEX('M04-S02'!$AN$16:$AN$198,2*(ROWS($R$360:$R377)-1)+1)),INDEX('M04-S02'!$AF$16:$AF$198,2*(ROWS($K$360:$K377)-1)+1),""),2),0)</f>
        <v>0</v>
      </c>
      <c r="L377" s="52" t="str">
        <f>IF(ISNUMBER(INDEX('M04-S02'!$AN$16:$AN$198,2*(ROWS($R$360:R377)-1)+1)),ROUND(INDEX('M04-S02'!$BB$16:$BB$198,2*(ROWS($L$360:L377)-1)+1),4),"")</f>
        <v/>
      </c>
      <c r="M377" s="456" t="str">
        <f>IF(ISNUMBER(INDEX('M04-S02'!$AN$16:$AN$198,2*(ROWS($R$360:R377)-1)+1)),ROUND(INDEX('M04-S02'!$C$16:$C$198,2*(ROWS($M$360:M377)-1)+1)/1000,4),"")</f>
        <v/>
      </c>
      <c r="N377" s="184" t="str">
        <f>IF(ISNUMBER(INDEX('M04-S02'!$AN$16:$AN$198,2*(ROWS($R$360:R377)-1)+1)),INDEX('M04-S02'!$AK$16:$AK$198,2*(ROWS($N$360:N377)-1)+1),"")</f>
        <v/>
      </c>
      <c r="O377" s="456" t="str">
        <f>IF(ISNUMBER(INDEX('M04-S02'!$AN$16:$AN$198,2*(ROWS($R$360:R377)-1)+1)),INDEX('M04-S02'!$AV$16:$AV$198,2*(ROWS($O$360:O377)-1)+1),"")</f>
        <v/>
      </c>
      <c r="P377" s="113"/>
      <c r="Q377" s="113"/>
      <c r="R377" s="184">
        <f>IF(ISNUMBER(INDEX('M04-S02'!$AN$16:$AN$198,2*(ROWS($R$360:R377)-1)+1)),INDEX('M04-S02'!$AN$16:$AN$198,2*(ROWS($R$360:R377)-1)+1),0)</f>
        <v>0</v>
      </c>
      <c r="S377" s="23">
        <f>IF(NOT(ISNUMBER(INDEX('M04-S02'!$AN$16:$AN$198,2*(ROWS($R$360:R377)-1)+1))),ROUND(INDEX('M04-S02'!$C$16:$C$198,2*(ROWS($S$360:S377)-1)+1)/1000,4),"")</f>
        <v>0</v>
      </c>
      <c r="T377" s="52" t="str">
        <f>IFERROR(IF(NOT(ISNUMBER(INDEX('M04-S02'!$AN$16:$AN$198,2*(ROWS($R$360:R377)-1)+1))),INDEX('M04-S02'!$AK$16:$AK$198,2*(ROWS($R$360:R377)-1)+1),0),0)</f>
        <v/>
      </c>
      <c r="U377" s="23" t="str">
        <f>IFERROR(IF(NOT(ISNUMBER(INDEX('M04-S02'!$AN$16:$AN$198,2*(ROWS($R$360:R377)-1)+1))),INDEX('M04-S02'!$AV$16:$AV$198,2*(ROWS($R$360:R377)-1)+1),0),"")</f>
        <v/>
      </c>
      <c r="V377" s="113"/>
      <c r="W377" t="str">
        <f>IFERROR(IF(NOT(ISNUMBER(INDEX('M04-S02'!$AN$16:$AN$198,2*(ROWS($R$360:R377)-1)+1))),INDEX('M04-S02'!$BC$16:$BC$198,2*(ROWS($R$360:R377)-1)+1),""),"")</f>
        <v/>
      </c>
      <c r="X377" s="184" t="str">
        <f>IFERROR(ROUND(INDEX('M04-S02'!$N$16:$N$198,2*(ROWS($X$360:X377)-1)+1),3),"")</f>
        <v/>
      </c>
      <c r="Y377" s="184" t="str">
        <f>IFERROR(ROUND(INDEX('M04-S02'!$AA$16:$AA$198,2*(ROWS($Y$360:Y377)-1)+1),3),"")</f>
        <v/>
      </c>
      <c r="Z377" s="111">
        <f>INDEX('M04-S02'!$B$16:$B$198,2*(ROWS($Z$360:Z377)-1)+1)</f>
        <v>18</v>
      </c>
      <c r="AA377" s="96"/>
      <c r="AB377" s="96"/>
      <c r="AC377" t="str">
        <f>INDEX('M04-S02'!$F$16:$F$198,2*(ROWS($AC$360:AC377)-1)+1)</f>
        <v/>
      </c>
      <c r="AD377" t="str">
        <f>INDEX('M04-S02'!$S$16:$S$198,2*(ROWS($AD$360:AD377)-1)+1)</f>
        <v/>
      </c>
      <c r="AE377" s="459"/>
      <c r="AF377" s="459"/>
      <c r="AG377" s="111" t="str">
        <f>IFERROR(IF(ISNUMBER((INDEX('M04-S02'!$N$16:$N$198,2*(ROWS($AG$360:AG377)-1)+1)*INDEX('M04-S02'!$Q$16:$Q$198,2*(ROWS($AG$360:AG377)-1)+1))/1000),((INDEX('M04-S02'!$N$16:$N$198,2*(ROWS($AG$360:AG377)-1)+1)*INDEX('M04-S02'!$Q$16:$Q$198,2*(ROWS($AG$360:AG377)-1)+1))/1000),""),"")</f>
        <v/>
      </c>
      <c r="AH377" s="111" t="str">
        <f>IFERROR(IF(ISNUMBER((INDEX('M04-S02'!$AA$16:$AA$198,2*(ROWS($AH$360:AH377)-1)+1)*INDEX('M04-S02'!$Q$16:$Q$198,2*(ROWS($AH$360:AH377)-1)+1))/1000),((INDEX('M04-S02'!$AA$16:$AA$198,2*(ROWS($AH$360:AH377)-1)+1)*INDEX('M04-S02'!$Q$16:$Q$198,2*(ROWS($AH$360:AH377)-1)+1))/1000),""),"")</f>
        <v/>
      </c>
      <c r="AI377" s="96"/>
      <c r="AJ377" s="96"/>
      <c r="AK377" s="52" t="str">
        <f>INDEX('M04-S02'!$AU$16:$AU$198,2*(ROWS($AK$360:AK377)-1)+1)</f>
        <v/>
      </c>
      <c r="AL377" s="184">
        <f>IF(NOT(ISNUMBER(INDEX('M04-S02'!$AN$16:$AN$198,2*(ROWS($R$360:$R377)-1)+1))),INDEX('M04-S02'!$AD$16:$AD$198,2*(ROWS($AL$360:$AL377)-1)+1),"")</f>
        <v>0</v>
      </c>
      <c r="AM377" s="184">
        <f>IF(NOT(ISNUMBER(INDEX('M04-S02'!$AN$16:$AN$198,2*(ROWS($R$360:$R377)-1)+1))),INDEX('M04-S02'!$AF$16:$AF$198,2*(ROWS($AM$360:$AM377)-1)+1),"")</f>
        <v>0</v>
      </c>
      <c r="AN377" s="52" t="str">
        <f>IF(NOT(ISNUMBER(INDEX('M04-S02'!$AN$16:$AN$198,2*(ROWS($R$360:$R377)-1)+1))),INDEX('M04-S02'!$AH$16:$AH$198,2*(ROWS($AN$360:$AN377)-1)+1),"")</f>
        <v/>
      </c>
      <c r="AO377" s="113"/>
      <c r="AU377"/>
    </row>
    <row r="378" spans="1:47">
      <c r="A378" s="57">
        <f t="shared" si="34"/>
        <v>0</v>
      </c>
      <c r="B378" s="183" t="str">
        <f t="shared" si="36"/>
        <v/>
      </c>
      <c r="C378" s="186" t="str">
        <f>IF(OR(R378&gt;0,T378&gt;0),INDEX('M04-S02'!$BE$16:$BE$198,2*(ROWS($C$360:C378)-1)+1),"")</f>
        <v/>
      </c>
      <c r="D378" t="s">
        <v>195</v>
      </c>
      <c r="F378" s="112"/>
      <c r="G378" s="96"/>
      <c r="H378" s="186" t="str">
        <f>IF(ISNUMBER(INDEX('M04-S02'!$AN$16:$AN$198,2*(ROWS($R$360:R378)-1)+1)),"Incremental","")</f>
        <v/>
      </c>
      <c r="I378" s="184">
        <f>IFERROR(ROUND(IF(ISNUMBER(INDEX('M04-S02'!$AN$16:$AN$198,2*(ROWS($R$360:$R378)-1)+1)),INDEX('M04-S02'!$AF$16:$AF$198,2*(ROWS($I$360:$I378)-1)+1),""),2),0)</f>
        <v>0</v>
      </c>
      <c r="J378" s="184">
        <f>IFERROR(ROUND(IF(ISNUMBER(INDEX('M04-S02'!$AN$16:$AN$198,2*(ROWS($R$360:$R378)-1)+1)),INDEX('M04-S02'!$AW$16:$AW$198,2*(ROWS($J$360:$J378)-1)+1),""),2),0)</f>
        <v>0</v>
      </c>
      <c r="K378" s="52">
        <f>IFERROR(ROUND(IF(ISNUMBER(INDEX('M04-S02'!$AN$16:$AN$198,2*(ROWS($R$360:$R378)-1)+1)),INDEX('M04-S02'!$AF$16:$AF$198,2*(ROWS($K$360:$K378)-1)+1),""),2),0)</f>
        <v>0</v>
      </c>
      <c r="L378" s="52" t="str">
        <f>IF(ISNUMBER(INDEX('M04-S02'!$AN$16:$AN$198,2*(ROWS($R$360:R378)-1)+1)),ROUND(INDEX('M04-S02'!$BB$16:$BB$198,2*(ROWS($L$360:L378)-1)+1),4),"")</f>
        <v/>
      </c>
      <c r="M378" s="456" t="str">
        <f>IF(ISNUMBER(INDEX('M04-S02'!$AN$16:$AN$198,2*(ROWS($R$360:R378)-1)+1)),ROUND(INDEX('M04-S02'!$C$16:$C$198,2*(ROWS($M$360:M378)-1)+1)/1000,4),"")</f>
        <v/>
      </c>
      <c r="N378" s="184" t="str">
        <f>IF(ISNUMBER(INDEX('M04-S02'!$AN$16:$AN$198,2*(ROWS($R$360:R378)-1)+1)),INDEX('M04-S02'!$AK$16:$AK$198,2*(ROWS($N$360:N378)-1)+1),"")</f>
        <v/>
      </c>
      <c r="O378" s="456" t="str">
        <f>IF(ISNUMBER(INDEX('M04-S02'!$AN$16:$AN$198,2*(ROWS($R$360:R378)-1)+1)),INDEX('M04-S02'!$AV$16:$AV$198,2*(ROWS($O$360:O378)-1)+1),"")</f>
        <v/>
      </c>
      <c r="P378" s="113"/>
      <c r="Q378" s="113"/>
      <c r="R378" s="184">
        <f>IF(ISNUMBER(INDEX('M04-S02'!$AN$16:$AN$198,2*(ROWS($R$360:R378)-1)+1)),INDEX('M04-S02'!$AN$16:$AN$198,2*(ROWS($R$360:R378)-1)+1),0)</f>
        <v>0</v>
      </c>
      <c r="S378" s="23">
        <f>IF(NOT(ISNUMBER(INDEX('M04-S02'!$AN$16:$AN$198,2*(ROWS($R$360:R378)-1)+1))),ROUND(INDEX('M04-S02'!$C$16:$C$198,2*(ROWS($S$360:S378)-1)+1)/1000,4),"")</f>
        <v>0</v>
      </c>
      <c r="T378" s="52" t="str">
        <f>IFERROR(IF(NOT(ISNUMBER(INDEX('M04-S02'!$AN$16:$AN$198,2*(ROWS($R$360:R378)-1)+1))),INDEX('M04-S02'!$AK$16:$AK$198,2*(ROWS($R$360:R378)-1)+1),0),0)</f>
        <v/>
      </c>
      <c r="U378" s="23" t="str">
        <f>IFERROR(IF(NOT(ISNUMBER(INDEX('M04-S02'!$AN$16:$AN$198,2*(ROWS($R$360:R378)-1)+1))),INDEX('M04-S02'!$AV$16:$AV$198,2*(ROWS($R$360:R378)-1)+1),0),"")</f>
        <v/>
      </c>
      <c r="V378" s="113"/>
      <c r="W378" t="str">
        <f>IFERROR(IF(NOT(ISNUMBER(INDEX('M04-S02'!$AN$16:$AN$198,2*(ROWS($R$360:R378)-1)+1))),INDEX('M04-S02'!$BC$16:$BC$198,2*(ROWS($R$360:R378)-1)+1),""),"")</f>
        <v/>
      </c>
      <c r="X378" s="184" t="str">
        <f>IFERROR(ROUND(INDEX('M04-S02'!$N$16:$N$198,2*(ROWS($X$360:X378)-1)+1),3),"")</f>
        <v/>
      </c>
      <c r="Y378" s="184" t="str">
        <f>IFERROR(ROUND(INDEX('M04-S02'!$AA$16:$AA$198,2*(ROWS($Y$360:Y378)-1)+1),3),"")</f>
        <v/>
      </c>
      <c r="Z378" s="111">
        <f>INDEX('M04-S02'!$B$16:$B$198,2*(ROWS($Z$360:Z378)-1)+1)</f>
        <v>19</v>
      </c>
      <c r="AA378" s="96"/>
      <c r="AB378" s="96"/>
      <c r="AC378" t="str">
        <f>INDEX('M04-S02'!$F$16:$F$198,2*(ROWS($AC$360:AC378)-1)+1)</f>
        <v/>
      </c>
      <c r="AD378" t="str">
        <f>INDEX('M04-S02'!$S$16:$S$198,2*(ROWS($AD$360:AD378)-1)+1)</f>
        <v/>
      </c>
      <c r="AE378" s="459"/>
      <c r="AF378" s="459"/>
      <c r="AG378" s="111" t="str">
        <f>IFERROR(IF(ISNUMBER((INDEX('M04-S02'!$N$16:$N$198,2*(ROWS($AG$360:AG378)-1)+1)*INDEX('M04-S02'!$Q$16:$Q$198,2*(ROWS($AG$360:AG378)-1)+1))/1000),((INDEX('M04-S02'!$N$16:$N$198,2*(ROWS($AG$360:AG378)-1)+1)*INDEX('M04-S02'!$Q$16:$Q$198,2*(ROWS($AG$360:AG378)-1)+1))/1000),""),"")</f>
        <v/>
      </c>
      <c r="AH378" s="111" t="str">
        <f>IFERROR(IF(ISNUMBER((INDEX('M04-S02'!$AA$16:$AA$198,2*(ROWS($AH$360:AH378)-1)+1)*INDEX('M04-S02'!$Q$16:$Q$198,2*(ROWS($AH$360:AH378)-1)+1))/1000),((INDEX('M04-S02'!$AA$16:$AA$198,2*(ROWS($AH$360:AH378)-1)+1)*INDEX('M04-S02'!$Q$16:$Q$198,2*(ROWS($AH$360:AH378)-1)+1))/1000),""),"")</f>
        <v/>
      </c>
      <c r="AI378" s="96"/>
      <c r="AJ378" s="96"/>
      <c r="AK378" s="52" t="str">
        <f>INDEX('M04-S02'!$AU$16:$AU$198,2*(ROWS($AK$360:AK378)-1)+1)</f>
        <v/>
      </c>
      <c r="AL378" s="184">
        <f>IF(NOT(ISNUMBER(INDEX('M04-S02'!$AN$16:$AN$198,2*(ROWS($R$360:$R378)-1)+1))),INDEX('M04-S02'!$AD$16:$AD$198,2*(ROWS($AL$360:$AL378)-1)+1),"")</f>
        <v>0</v>
      </c>
      <c r="AM378" s="184">
        <f>IF(NOT(ISNUMBER(INDEX('M04-S02'!$AN$16:$AN$198,2*(ROWS($R$360:$R378)-1)+1))),INDEX('M04-S02'!$AF$16:$AF$198,2*(ROWS($AM$360:$AM378)-1)+1),"")</f>
        <v>0</v>
      </c>
      <c r="AN378" s="52" t="str">
        <f>IF(NOT(ISNUMBER(INDEX('M04-S02'!$AN$16:$AN$198,2*(ROWS($R$360:$R378)-1)+1))),INDEX('M04-S02'!$AH$16:$AH$198,2*(ROWS($AN$360:$AN378)-1)+1),"")</f>
        <v/>
      </c>
      <c r="AO378" s="113"/>
      <c r="AU378"/>
    </row>
    <row r="379" spans="1:47">
      <c r="A379" s="57">
        <f t="shared" si="34"/>
        <v>0</v>
      </c>
      <c r="B379" s="183" t="str">
        <f t="shared" si="36"/>
        <v/>
      </c>
      <c r="C379" s="186" t="str">
        <f>IF(OR(R379&gt;0,T379&gt;0),INDEX('M04-S02'!$BE$16:$BE$198,2*(ROWS($C$360:C379)-1)+1),"")</f>
        <v/>
      </c>
      <c r="D379" t="s">
        <v>195</v>
      </c>
      <c r="F379" s="112"/>
      <c r="G379" s="96"/>
      <c r="H379" s="186" t="str">
        <f>IF(ISNUMBER(INDEX('M04-S02'!$AN$16:$AN$198,2*(ROWS($R$360:R379)-1)+1)),"Incremental","")</f>
        <v/>
      </c>
      <c r="I379" s="184">
        <f>IFERROR(ROUND(IF(ISNUMBER(INDEX('M04-S02'!$AN$16:$AN$198,2*(ROWS($R$360:$R379)-1)+1)),INDEX('M04-S02'!$AF$16:$AF$198,2*(ROWS($I$360:$I379)-1)+1),""),2),0)</f>
        <v>0</v>
      </c>
      <c r="J379" s="184">
        <f>IFERROR(ROUND(IF(ISNUMBER(INDEX('M04-S02'!$AN$16:$AN$198,2*(ROWS($R$360:$R379)-1)+1)),INDEX('M04-S02'!$AW$16:$AW$198,2*(ROWS($J$360:$J379)-1)+1),""),2),0)</f>
        <v>0</v>
      </c>
      <c r="K379" s="52">
        <f>IFERROR(ROUND(IF(ISNUMBER(INDEX('M04-S02'!$AN$16:$AN$198,2*(ROWS($R$360:$R379)-1)+1)),INDEX('M04-S02'!$AF$16:$AF$198,2*(ROWS($K$360:$K379)-1)+1),""),2),0)</f>
        <v>0</v>
      </c>
      <c r="L379" s="52" t="str">
        <f>IF(ISNUMBER(INDEX('M04-S02'!$AN$16:$AN$198,2*(ROWS($R$360:R379)-1)+1)),ROUND(INDEX('M04-S02'!$BB$16:$BB$198,2*(ROWS($L$360:L379)-1)+1),4),"")</f>
        <v/>
      </c>
      <c r="M379" s="456" t="str">
        <f>IF(ISNUMBER(INDEX('M04-S02'!$AN$16:$AN$198,2*(ROWS($R$360:R379)-1)+1)),ROUND(INDEX('M04-S02'!$C$16:$C$198,2*(ROWS($M$360:M379)-1)+1)/1000,4),"")</f>
        <v/>
      </c>
      <c r="N379" s="184" t="str">
        <f>IF(ISNUMBER(INDEX('M04-S02'!$AN$16:$AN$198,2*(ROWS($R$360:R379)-1)+1)),INDEX('M04-S02'!$AK$16:$AK$198,2*(ROWS($N$360:N379)-1)+1),"")</f>
        <v/>
      </c>
      <c r="O379" s="456" t="str">
        <f>IF(ISNUMBER(INDEX('M04-S02'!$AN$16:$AN$198,2*(ROWS($R$360:R379)-1)+1)),INDEX('M04-S02'!$AV$16:$AV$198,2*(ROWS($O$360:O379)-1)+1),"")</f>
        <v/>
      </c>
      <c r="P379" s="113"/>
      <c r="Q379" s="113"/>
      <c r="R379" s="184">
        <f>IF(ISNUMBER(INDEX('M04-S02'!$AN$16:$AN$198,2*(ROWS($R$360:R379)-1)+1)),INDEX('M04-S02'!$AN$16:$AN$198,2*(ROWS($R$360:R379)-1)+1),0)</f>
        <v>0</v>
      </c>
      <c r="S379" s="23">
        <f>IF(NOT(ISNUMBER(INDEX('M04-S02'!$AN$16:$AN$198,2*(ROWS($R$360:R379)-1)+1))),ROUND(INDEX('M04-S02'!$C$16:$C$198,2*(ROWS($S$360:S379)-1)+1)/1000,4),"")</f>
        <v>0</v>
      </c>
      <c r="T379" s="52" t="str">
        <f>IFERROR(IF(NOT(ISNUMBER(INDEX('M04-S02'!$AN$16:$AN$198,2*(ROWS($R$360:R379)-1)+1))),INDEX('M04-S02'!$AK$16:$AK$198,2*(ROWS($R$360:R379)-1)+1),0),0)</f>
        <v/>
      </c>
      <c r="U379" s="23" t="str">
        <f>IFERROR(IF(NOT(ISNUMBER(INDEX('M04-S02'!$AN$16:$AN$198,2*(ROWS($R$360:R379)-1)+1))),INDEX('M04-S02'!$AV$16:$AV$198,2*(ROWS($R$360:R379)-1)+1),0),"")</f>
        <v/>
      </c>
      <c r="V379" s="113"/>
      <c r="W379" t="str">
        <f>IFERROR(IF(NOT(ISNUMBER(INDEX('M04-S02'!$AN$16:$AN$198,2*(ROWS($R$360:R379)-1)+1))),INDEX('M04-S02'!$BC$16:$BC$198,2*(ROWS($R$360:R379)-1)+1),""),"")</f>
        <v/>
      </c>
      <c r="X379" s="184" t="str">
        <f>IFERROR(ROUND(INDEX('M04-S02'!$N$16:$N$198,2*(ROWS($X$360:X379)-1)+1),3),"")</f>
        <v/>
      </c>
      <c r="Y379" s="184" t="str">
        <f>IFERROR(ROUND(INDEX('M04-S02'!$AA$16:$AA$198,2*(ROWS($Y$360:Y379)-1)+1),3),"")</f>
        <v/>
      </c>
      <c r="Z379" s="111">
        <f>INDEX('M04-S02'!$B$16:$B$198,2*(ROWS($Z$360:Z379)-1)+1)</f>
        <v>20</v>
      </c>
      <c r="AA379" s="96"/>
      <c r="AB379" s="96"/>
      <c r="AC379" t="str">
        <f>INDEX('M04-S02'!$F$16:$F$198,2*(ROWS($AC$360:AC379)-1)+1)</f>
        <v/>
      </c>
      <c r="AD379" t="str">
        <f>INDEX('M04-S02'!$S$16:$S$198,2*(ROWS($AD$360:AD379)-1)+1)</f>
        <v/>
      </c>
      <c r="AE379" s="459"/>
      <c r="AF379" s="459"/>
      <c r="AG379" s="111" t="str">
        <f>IFERROR(IF(ISNUMBER((INDEX('M04-S02'!$N$16:$N$198,2*(ROWS($AG$360:AG379)-1)+1)*INDEX('M04-S02'!$Q$16:$Q$198,2*(ROWS($AG$360:AG379)-1)+1))/1000),((INDEX('M04-S02'!$N$16:$N$198,2*(ROWS($AG$360:AG379)-1)+1)*INDEX('M04-S02'!$Q$16:$Q$198,2*(ROWS($AG$360:AG379)-1)+1))/1000),""),"")</f>
        <v/>
      </c>
      <c r="AH379" s="111" t="str">
        <f>IFERROR(IF(ISNUMBER((INDEX('M04-S02'!$AA$16:$AA$198,2*(ROWS($AH$360:AH379)-1)+1)*INDEX('M04-S02'!$Q$16:$Q$198,2*(ROWS($AH$360:AH379)-1)+1))/1000),((INDEX('M04-S02'!$AA$16:$AA$198,2*(ROWS($AH$360:AH379)-1)+1)*INDEX('M04-S02'!$Q$16:$Q$198,2*(ROWS($AH$360:AH379)-1)+1))/1000),""),"")</f>
        <v/>
      </c>
      <c r="AI379" s="96"/>
      <c r="AJ379" s="96"/>
      <c r="AK379" s="52" t="str">
        <f>INDEX('M04-S02'!$AU$16:$AU$198,2*(ROWS($AK$360:AK379)-1)+1)</f>
        <v/>
      </c>
      <c r="AL379" s="184">
        <f>IF(NOT(ISNUMBER(INDEX('M04-S02'!$AN$16:$AN$198,2*(ROWS($R$360:$R379)-1)+1))),INDEX('M04-S02'!$AD$16:$AD$198,2*(ROWS($AL$360:$AL379)-1)+1),"")</f>
        <v>0</v>
      </c>
      <c r="AM379" s="184">
        <f>IF(NOT(ISNUMBER(INDEX('M04-S02'!$AN$16:$AN$198,2*(ROWS($R$360:$R379)-1)+1))),INDEX('M04-S02'!$AF$16:$AF$198,2*(ROWS($AM$360:$AM379)-1)+1),"")</f>
        <v>0</v>
      </c>
      <c r="AN379" s="52" t="str">
        <f>IF(NOT(ISNUMBER(INDEX('M04-S02'!$AN$16:$AN$198,2*(ROWS($R$360:$R379)-1)+1))),INDEX('M04-S02'!$AH$16:$AH$198,2*(ROWS($AN$360:$AN379)-1)+1),"")</f>
        <v/>
      </c>
      <c r="AO379" s="113"/>
      <c r="AU379"/>
    </row>
    <row r="380" spans="1:47">
      <c r="A380" s="57">
        <f t="shared" si="34"/>
        <v>0</v>
      </c>
      <c r="B380" s="183" t="str">
        <f t="shared" si="36"/>
        <v/>
      </c>
      <c r="C380" s="186" t="str">
        <f>IF(OR(R380&gt;0,T380&gt;0),INDEX('M04-S02'!$BE$16:$BE$198,2*(ROWS($C$360:C380)-1)+1),"")</f>
        <v/>
      </c>
      <c r="D380" t="s">
        <v>195</v>
      </c>
      <c r="F380" s="112"/>
      <c r="G380" s="96"/>
      <c r="H380" s="186" t="str">
        <f>IF(ISNUMBER(INDEX('M04-S02'!$AN$16:$AN$198,2*(ROWS($R$360:R380)-1)+1)),"Incremental","")</f>
        <v/>
      </c>
      <c r="I380" s="184">
        <f>IFERROR(ROUND(IF(ISNUMBER(INDEX('M04-S02'!$AN$16:$AN$198,2*(ROWS($R$360:$R380)-1)+1)),INDEX('M04-S02'!$AF$16:$AF$198,2*(ROWS($I$360:$I380)-1)+1),""),2),0)</f>
        <v>0</v>
      </c>
      <c r="J380" s="184">
        <f>IFERROR(ROUND(IF(ISNUMBER(INDEX('M04-S02'!$AN$16:$AN$198,2*(ROWS($R$360:$R380)-1)+1)),INDEX('M04-S02'!$AW$16:$AW$198,2*(ROWS($J$360:$J380)-1)+1),""),2),0)</f>
        <v>0</v>
      </c>
      <c r="K380" s="52">
        <f>IFERROR(ROUND(IF(ISNUMBER(INDEX('M04-S02'!$AN$16:$AN$198,2*(ROWS($R$360:$R380)-1)+1)),INDEX('M04-S02'!$AF$16:$AF$198,2*(ROWS($K$360:$K380)-1)+1),""),2),0)</f>
        <v>0</v>
      </c>
      <c r="L380" s="52" t="str">
        <f>IF(ISNUMBER(INDEX('M04-S02'!$AN$16:$AN$198,2*(ROWS($R$360:R380)-1)+1)),ROUND(INDEX('M04-S02'!$BB$16:$BB$198,2*(ROWS($L$360:L380)-1)+1),4),"")</f>
        <v/>
      </c>
      <c r="M380" s="456" t="str">
        <f>IF(ISNUMBER(INDEX('M04-S02'!$AN$16:$AN$198,2*(ROWS($R$360:R380)-1)+1)),ROUND(INDEX('M04-S02'!$C$16:$C$198,2*(ROWS($M$360:M380)-1)+1)/1000,4),"")</f>
        <v/>
      </c>
      <c r="N380" s="184" t="str">
        <f>IF(ISNUMBER(INDEX('M04-S02'!$AN$16:$AN$198,2*(ROWS($R$360:R380)-1)+1)),INDEX('M04-S02'!$AK$16:$AK$198,2*(ROWS($N$360:N380)-1)+1),"")</f>
        <v/>
      </c>
      <c r="O380" s="456" t="str">
        <f>IF(ISNUMBER(INDEX('M04-S02'!$AN$16:$AN$198,2*(ROWS($R$360:R380)-1)+1)),INDEX('M04-S02'!$AV$16:$AV$198,2*(ROWS($O$360:O380)-1)+1),"")</f>
        <v/>
      </c>
      <c r="P380" s="113"/>
      <c r="Q380" s="113"/>
      <c r="R380" s="184">
        <f>IF(ISNUMBER(INDEX('M04-S02'!$AN$16:$AN$198,2*(ROWS($R$360:R380)-1)+1)),INDEX('M04-S02'!$AN$16:$AN$198,2*(ROWS($R$360:R380)-1)+1),0)</f>
        <v>0</v>
      </c>
      <c r="S380" s="23">
        <f>IF(NOT(ISNUMBER(INDEX('M04-S02'!$AN$16:$AN$198,2*(ROWS($R$360:R380)-1)+1))),ROUND(INDEX('M04-S02'!$C$16:$C$198,2*(ROWS($S$360:S380)-1)+1)/1000,4),"")</f>
        <v>0</v>
      </c>
      <c r="T380" s="52">
        <f>IFERROR(IF(NOT(ISNUMBER(INDEX('M04-S02'!$AN$16:$AN$198,2*(ROWS($R$360:R380)-1)+1))),INDEX('M04-S02'!$AK$16:$AK$198,2*(ROWS($R$360:R380)-1)+1),0),0)</f>
        <v>0</v>
      </c>
      <c r="U380" s="23">
        <f>IFERROR(IF(NOT(ISNUMBER(INDEX('M04-S02'!$AN$16:$AN$198,2*(ROWS($R$360:R380)-1)+1))),INDEX('M04-S02'!$AV$16:$AV$198,2*(ROWS($R$360:R380)-1)+1),0),"")</f>
        <v>0</v>
      </c>
      <c r="V380" s="113"/>
      <c r="W380">
        <f>IFERROR(IF(NOT(ISNUMBER(INDEX('M04-S02'!$AN$16:$AN$198,2*(ROWS($R$360:R380)-1)+1))),INDEX('M04-S02'!$BC$16:$BC$198,2*(ROWS($R$360:R380)-1)+1),""),"")</f>
        <v>0</v>
      </c>
      <c r="X380" s="184">
        <f>IFERROR(ROUND(INDEX('M04-S02'!$N$16:$N$198,2*(ROWS($X$360:X380)-1)+1),3),"")</f>
        <v>0</v>
      </c>
      <c r="Y380" s="184">
        <f>IFERROR(ROUND(INDEX('M04-S02'!$AA$16:$AA$198,2*(ROWS($Y$360:Y380)-1)+1),3),"")</f>
        <v>0</v>
      </c>
      <c r="Z380" s="111">
        <f>INDEX('M04-S02'!$B$16:$B$198,2*(ROWS($Z$360:Z380)-1)+1)</f>
        <v>0</v>
      </c>
      <c r="AA380" s="96"/>
      <c r="AB380" s="96"/>
      <c r="AC380">
        <f>INDEX('M04-S02'!$F$16:$F$198,2*(ROWS($AC$360:AC380)-1)+1)</f>
        <v>0</v>
      </c>
      <c r="AD380">
        <f>INDEX('M04-S02'!$S$16:$S$198,2*(ROWS($AD$360:AD380)-1)+1)</f>
        <v>0</v>
      </c>
      <c r="AE380" s="459"/>
      <c r="AF380" s="459"/>
      <c r="AG380" s="111">
        <f>IFERROR(IF(ISNUMBER((INDEX('M04-S02'!$N$16:$N$198,2*(ROWS($AG$360:AG380)-1)+1)*INDEX('M04-S02'!$Q$16:$Q$198,2*(ROWS($AG$360:AG380)-1)+1))/1000),((INDEX('M04-S02'!$N$16:$N$198,2*(ROWS($AG$360:AG380)-1)+1)*INDEX('M04-S02'!$Q$16:$Q$198,2*(ROWS($AG$360:AG380)-1)+1))/1000),""),"")</f>
        <v>0</v>
      </c>
      <c r="AH380" s="111">
        <f>IFERROR(IF(ISNUMBER((INDEX('M04-S02'!$AA$16:$AA$198,2*(ROWS($AH$360:AH380)-1)+1)*INDEX('M04-S02'!$Q$16:$Q$198,2*(ROWS($AH$360:AH380)-1)+1))/1000),((INDEX('M04-S02'!$AA$16:$AA$198,2*(ROWS($AH$360:AH380)-1)+1)*INDEX('M04-S02'!$Q$16:$Q$198,2*(ROWS($AH$360:AH380)-1)+1))/1000),""),"")</f>
        <v>0</v>
      </c>
      <c r="AI380" s="96"/>
      <c r="AJ380" s="96"/>
      <c r="AK380" s="52">
        <f>INDEX('M04-S02'!$AU$16:$AU$198,2*(ROWS($AK$360:AK380)-1)+1)</f>
        <v>0</v>
      </c>
      <c r="AL380" s="184">
        <f>IF(NOT(ISNUMBER(INDEX('M04-S02'!$AN$16:$AN$198,2*(ROWS($R$360:$R380)-1)+1))),INDEX('M04-S02'!$AD$16:$AD$198,2*(ROWS($AL$360:$AL380)-1)+1),"")</f>
        <v>0</v>
      </c>
      <c r="AM380" s="184">
        <f>IF(NOT(ISNUMBER(INDEX('M04-S02'!$AN$16:$AN$198,2*(ROWS($R$360:$R380)-1)+1))),INDEX('M04-S02'!$AF$16:$AF$198,2*(ROWS($AM$360:$AM380)-1)+1),"")</f>
        <v>0</v>
      </c>
      <c r="AN380" s="52">
        <f>IF(NOT(ISNUMBER(INDEX('M04-S02'!$AN$16:$AN$198,2*(ROWS($R$360:$R380)-1)+1))),INDEX('M04-S02'!$AH$16:$AH$198,2*(ROWS($AN$360:$AN380)-1)+1),"")</f>
        <v>0</v>
      </c>
      <c r="AO380" s="113"/>
      <c r="AU380"/>
    </row>
    <row r="381" spans="1:47">
      <c r="A381" s="57">
        <f t="shared" si="34"/>
        <v>0</v>
      </c>
      <c r="B381" s="183" t="str">
        <f t="shared" si="36"/>
        <v/>
      </c>
      <c r="C381" s="186" t="str">
        <f>IF(OR(R381&gt;0,T381&gt;0),INDEX('M04-S02'!$BE$16:$BE$198,2*(ROWS($C$360:C381)-1)+1),"")</f>
        <v/>
      </c>
      <c r="D381" t="s">
        <v>195</v>
      </c>
      <c r="F381" s="112"/>
      <c r="G381" s="96"/>
      <c r="H381" s="186" t="str">
        <f>IF(ISNUMBER(INDEX('M04-S02'!$AN$16:$AN$198,2*(ROWS($R$360:R381)-1)+1)),"Incremental","")</f>
        <v/>
      </c>
      <c r="I381" s="184">
        <f>IFERROR(ROUND(IF(ISNUMBER(INDEX('M04-S02'!$AN$16:$AN$198,2*(ROWS($R$360:$R381)-1)+1)),INDEX('M04-S02'!$AF$16:$AF$198,2*(ROWS($I$360:$I381)-1)+1),""),2),0)</f>
        <v>0</v>
      </c>
      <c r="J381" s="184">
        <f>IFERROR(ROUND(IF(ISNUMBER(INDEX('M04-S02'!$AN$16:$AN$198,2*(ROWS($R$360:$R381)-1)+1)),INDEX('M04-S02'!$AW$16:$AW$198,2*(ROWS($J$360:$J381)-1)+1),""),2),0)</f>
        <v>0</v>
      </c>
      <c r="K381" s="52">
        <f>IFERROR(ROUND(IF(ISNUMBER(INDEX('M04-S02'!$AN$16:$AN$198,2*(ROWS($R$360:$R381)-1)+1)),INDEX('M04-S02'!$AF$16:$AF$198,2*(ROWS($K$360:$K381)-1)+1),""),2),0)</f>
        <v>0</v>
      </c>
      <c r="L381" s="52" t="str">
        <f>IF(ISNUMBER(INDEX('M04-S02'!$AN$16:$AN$198,2*(ROWS($R$360:R381)-1)+1)),ROUND(INDEX('M04-S02'!$BB$16:$BB$198,2*(ROWS($L$360:L381)-1)+1),4),"")</f>
        <v/>
      </c>
      <c r="M381" s="456" t="str">
        <f>IF(ISNUMBER(INDEX('M04-S02'!$AN$16:$AN$198,2*(ROWS($R$360:R381)-1)+1)),ROUND(INDEX('M04-S02'!$C$16:$C$198,2*(ROWS($M$360:M381)-1)+1)/1000,4),"")</f>
        <v/>
      </c>
      <c r="N381" s="184" t="str">
        <f>IF(ISNUMBER(INDEX('M04-S02'!$AN$16:$AN$198,2*(ROWS($R$360:R381)-1)+1)),INDEX('M04-S02'!$AK$16:$AK$198,2*(ROWS($N$360:N381)-1)+1),"")</f>
        <v/>
      </c>
      <c r="O381" s="456" t="str">
        <f>IF(ISNUMBER(INDEX('M04-S02'!$AN$16:$AN$198,2*(ROWS($R$360:R381)-1)+1)),INDEX('M04-S02'!$AV$16:$AV$198,2*(ROWS($O$360:O381)-1)+1),"")</f>
        <v/>
      </c>
      <c r="P381" s="113"/>
      <c r="Q381" s="113"/>
      <c r="R381" s="184">
        <f>IF(ISNUMBER(INDEX('M04-S02'!$AN$16:$AN$198,2*(ROWS($R$360:R381)-1)+1)),INDEX('M04-S02'!$AN$16:$AN$198,2*(ROWS($R$360:R381)-1)+1),0)</f>
        <v>0</v>
      </c>
      <c r="S381" s="23">
        <f>IF(NOT(ISNUMBER(INDEX('M04-S02'!$AN$16:$AN$198,2*(ROWS($R$360:R381)-1)+1))),ROUND(INDEX('M04-S02'!$C$16:$C$198,2*(ROWS($S$360:S381)-1)+1)/1000,4),"")</f>
        <v>0</v>
      </c>
      <c r="T381" s="52">
        <f>IFERROR(IF(NOT(ISNUMBER(INDEX('M04-S02'!$AN$16:$AN$198,2*(ROWS($R$360:R381)-1)+1))),INDEX('M04-S02'!$AK$16:$AK$198,2*(ROWS($R$360:R381)-1)+1),0),0)</f>
        <v>0</v>
      </c>
      <c r="U381" s="23">
        <f>IFERROR(IF(NOT(ISNUMBER(INDEX('M04-S02'!$AN$16:$AN$198,2*(ROWS($R$360:R381)-1)+1))),INDEX('M04-S02'!$AV$16:$AV$198,2*(ROWS($R$360:R381)-1)+1),0),"")</f>
        <v>0</v>
      </c>
      <c r="V381" s="113"/>
      <c r="W381">
        <f>IFERROR(IF(NOT(ISNUMBER(INDEX('M04-S02'!$AN$16:$AN$198,2*(ROWS($R$360:R381)-1)+1))),INDEX('M04-S02'!$BC$16:$BC$198,2*(ROWS($R$360:R381)-1)+1),""),"")</f>
        <v>0</v>
      </c>
      <c r="X381" s="184">
        <f>IFERROR(ROUND(INDEX('M04-S02'!$N$16:$N$198,2*(ROWS($X$360:X381)-1)+1),3),"")</f>
        <v>0</v>
      </c>
      <c r="Y381" s="184">
        <f>IFERROR(ROUND(INDEX('M04-S02'!$AA$16:$AA$198,2*(ROWS($Y$360:Y381)-1)+1),3),"")</f>
        <v>0</v>
      </c>
      <c r="Z381" s="111">
        <f>INDEX('M04-S02'!$B$16:$B$198,2*(ROWS($Z$360:Z381)-1)+1)</f>
        <v>0</v>
      </c>
      <c r="AA381" s="96"/>
      <c r="AB381" s="96"/>
      <c r="AC381">
        <f>INDEX('M04-S02'!$F$16:$F$198,2*(ROWS($AC$360:AC381)-1)+1)</f>
        <v>0</v>
      </c>
      <c r="AD381">
        <f>INDEX('M04-S02'!$S$16:$S$198,2*(ROWS($AD$360:AD381)-1)+1)</f>
        <v>0</v>
      </c>
      <c r="AE381" s="459"/>
      <c r="AF381" s="459"/>
      <c r="AG381" s="111">
        <f>IFERROR(IF(ISNUMBER((INDEX('M04-S02'!$N$16:$N$198,2*(ROWS($AG$360:AG381)-1)+1)*INDEX('M04-S02'!$Q$16:$Q$198,2*(ROWS($AG$360:AG381)-1)+1))/1000),((INDEX('M04-S02'!$N$16:$N$198,2*(ROWS($AG$360:AG381)-1)+1)*INDEX('M04-S02'!$Q$16:$Q$198,2*(ROWS($AG$360:AG381)-1)+1))/1000),""),"")</f>
        <v>0</v>
      </c>
      <c r="AH381" s="111">
        <f>IFERROR(IF(ISNUMBER((INDEX('M04-S02'!$AA$16:$AA$198,2*(ROWS($AH$360:AH381)-1)+1)*INDEX('M04-S02'!$Q$16:$Q$198,2*(ROWS($AH$360:AH381)-1)+1))/1000),((INDEX('M04-S02'!$AA$16:$AA$198,2*(ROWS($AH$360:AH381)-1)+1)*INDEX('M04-S02'!$Q$16:$Q$198,2*(ROWS($AH$360:AH381)-1)+1))/1000),""),"")</f>
        <v>0</v>
      </c>
      <c r="AI381" s="96"/>
      <c r="AJ381" s="96"/>
      <c r="AK381" s="52">
        <f>INDEX('M04-S02'!$AU$16:$AU$198,2*(ROWS($AK$360:AK381)-1)+1)</f>
        <v>0</v>
      </c>
      <c r="AL381" s="184">
        <f>IF(NOT(ISNUMBER(INDEX('M04-S02'!$AN$16:$AN$198,2*(ROWS($R$360:$R381)-1)+1))),INDEX('M04-S02'!$AD$16:$AD$198,2*(ROWS($AL$360:$AL381)-1)+1),"")</f>
        <v>0</v>
      </c>
      <c r="AM381" s="184">
        <f>IF(NOT(ISNUMBER(INDEX('M04-S02'!$AN$16:$AN$198,2*(ROWS($R$360:$R381)-1)+1))),INDEX('M04-S02'!$AF$16:$AF$198,2*(ROWS($AM$360:$AM381)-1)+1),"")</f>
        <v>0</v>
      </c>
      <c r="AN381" s="52">
        <f>IF(NOT(ISNUMBER(INDEX('M04-S02'!$AN$16:$AN$198,2*(ROWS($R$360:$R381)-1)+1))),INDEX('M04-S02'!$AH$16:$AH$198,2*(ROWS($AN$360:$AN381)-1)+1),"")</f>
        <v>0</v>
      </c>
      <c r="AO381" s="113"/>
      <c r="AU381"/>
    </row>
    <row r="382" spans="1:47">
      <c r="A382" s="57">
        <f t="shared" si="34"/>
        <v>0</v>
      </c>
      <c r="B382" s="183" t="str">
        <f t="shared" si="36"/>
        <v/>
      </c>
      <c r="C382" s="186" t="str">
        <f>IF(OR(R382&gt;0,T382&gt;0),INDEX('M04-S02'!$BE$16:$BE$198,2*(ROWS($C$360:C382)-1)+1),"")</f>
        <v/>
      </c>
      <c r="D382" t="s">
        <v>195</v>
      </c>
      <c r="F382" s="112"/>
      <c r="G382" s="96"/>
      <c r="H382" s="186" t="str">
        <f>IF(ISNUMBER(INDEX('M04-S02'!$AN$16:$AN$198,2*(ROWS($R$360:R382)-1)+1)),"Incremental","")</f>
        <v/>
      </c>
      <c r="I382" s="184">
        <f>IFERROR(ROUND(IF(ISNUMBER(INDEX('M04-S02'!$AN$16:$AN$198,2*(ROWS($R$360:$R382)-1)+1)),INDEX('M04-S02'!$AF$16:$AF$198,2*(ROWS($I$360:$I382)-1)+1),""),2),0)</f>
        <v>0</v>
      </c>
      <c r="J382" s="184">
        <f>IFERROR(ROUND(IF(ISNUMBER(INDEX('M04-S02'!$AN$16:$AN$198,2*(ROWS($R$360:$R382)-1)+1)),INDEX('M04-S02'!$AW$16:$AW$198,2*(ROWS($J$360:$J382)-1)+1),""),2),0)</f>
        <v>0</v>
      </c>
      <c r="K382" s="52">
        <f>IFERROR(ROUND(IF(ISNUMBER(INDEX('M04-S02'!$AN$16:$AN$198,2*(ROWS($R$360:$R382)-1)+1)),INDEX('M04-S02'!$AF$16:$AF$198,2*(ROWS($K$360:$K382)-1)+1),""),2),0)</f>
        <v>0</v>
      </c>
      <c r="L382" s="52" t="str">
        <f>IF(ISNUMBER(INDEX('M04-S02'!$AN$16:$AN$198,2*(ROWS($R$360:R382)-1)+1)),ROUND(INDEX('M04-S02'!$BB$16:$BB$198,2*(ROWS($L$360:L382)-1)+1),4),"")</f>
        <v/>
      </c>
      <c r="M382" s="456" t="str">
        <f>IF(ISNUMBER(INDEX('M04-S02'!$AN$16:$AN$198,2*(ROWS($R$360:R382)-1)+1)),ROUND(INDEX('M04-S02'!$C$16:$C$198,2*(ROWS($M$360:M382)-1)+1)/1000,4),"")</f>
        <v/>
      </c>
      <c r="N382" s="184" t="str">
        <f>IF(ISNUMBER(INDEX('M04-S02'!$AN$16:$AN$198,2*(ROWS($R$360:R382)-1)+1)),INDEX('M04-S02'!$AK$16:$AK$198,2*(ROWS($N$360:N382)-1)+1),"")</f>
        <v/>
      </c>
      <c r="O382" s="456" t="str">
        <f>IF(ISNUMBER(INDEX('M04-S02'!$AN$16:$AN$198,2*(ROWS($R$360:R382)-1)+1)),INDEX('M04-S02'!$AV$16:$AV$198,2*(ROWS($O$360:O382)-1)+1),"")</f>
        <v/>
      </c>
      <c r="P382" s="113"/>
      <c r="Q382" s="113"/>
      <c r="R382" s="184">
        <f>IF(ISNUMBER(INDEX('M04-S02'!$AN$16:$AN$198,2*(ROWS($R$360:R382)-1)+1)),INDEX('M04-S02'!$AN$16:$AN$198,2*(ROWS($R$360:R382)-1)+1),0)</f>
        <v>0</v>
      </c>
      <c r="S382" s="23">
        <f>IF(NOT(ISNUMBER(INDEX('M04-S02'!$AN$16:$AN$198,2*(ROWS($R$360:R382)-1)+1))),ROUND(INDEX('M04-S02'!$C$16:$C$198,2*(ROWS($S$360:S382)-1)+1)/1000,4),"")</f>
        <v>0</v>
      </c>
      <c r="T382" s="52">
        <f>IFERROR(IF(NOT(ISNUMBER(INDEX('M04-S02'!$AN$16:$AN$198,2*(ROWS($R$360:R382)-1)+1))),INDEX('M04-S02'!$AK$16:$AK$198,2*(ROWS($R$360:R382)-1)+1),0),0)</f>
        <v>0</v>
      </c>
      <c r="U382" s="23">
        <f>IFERROR(IF(NOT(ISNUMBER(INDEX('M04-S02'!$AN$16:$AN$198,2*(ROWS($R$360:R382)-1)+1))),INDEX('M04-S02'!$AV$16:$AV$198,2*(ROWS($R$360:R382)-1)+1),0),"")</f>
        <v>0</v>
      </c>
      <c r="V382" s="113"/>
      <c r="W382">
        <f>IFERROR(IF(NOT(ISNUMBER(INDEX('M04-S02'!$AN$16:$AN$198,2*(ROWS($R$360:R382)-1)+1))),INDEX('M04-S02'!$BC$16:$BC$198,2*(ROWS($R$360:R382)-1)+1),""),"")</f>
        <v>0</v>
      </c>
      <c r="X382" s="184">
        <f>IFERROR(ROUND(INDEX('M04-S02'!$N$16:$N$198,2*(ROWS($X$360:X382)-1)+1),3),"")</f>
        <v>0</v>
      </c>
      <c r="Y382" s="184">
        <f>IFERROR(ROUND(INDEX('M04-S02'!$AA$16:$AA$198,2*(ROWS($Y$360:Y382)-1)+1),3),"")</f>
        <v>0</v>
      </c>
      <c r="Z382" s="111">
        <f>INDEX('M04-S02'!$B$16:$B$198,2*(ROWS($Z$360:Z382)-1)+1)</f>
        <v>0</v>
      </c>
      <c r="AA382" s="96"/>
      <c r="AB382" s="96"/>
      <c r="AC382">
        <f>INDEX('M04-S02'!$F$16:$F$198,2*(ROWS($AC$360:AC382)-1)+1)</f>
        <v>0</v>
      </c>
      <c r="AD382">
        <f>INDEX('M04-S02'!$S$16:$S$198,2*(ROWS($AD$360:AD382)-1)+1)</f>
        <v>0</v>
      </c>
      <c r="AE382" s="459"/>
      <c r="AF382" s="459"/>
      <c r="AG382" s="111">
        <f>IFERROR(IF(ISNUMBER((INDEX('M04-S02'!$N$16:$N$198,2*(ROWS($AG$360:AG382)-1)+1)*INDEX('M04-S02'!$Q$16:$Q$198,2*(ROWS($AG$360:AG382)-1)+1))/1000),((INDEX('M04-S02'!$N$16:$N$198,2*(ROWS($AG$360:AG382)-1)+1)*INDEX('M04-S02'!$Q$16:$Q$198,2*(ROWS($AG$360:AG382)-1)+1))/1000),""),"")</f>
        <v>0</v>
      </c>
      <c r="AH382" s="111">
        <f>IFERROR(IF(ISNUMBER((INDEX('M04-S02'!$AA$16:$AA$198,2*(ROWS($AH$360:AH382)-1)+1)*INDEX('M04-S02'!$Q$16:$Q$198,2*(ROWS($AH$360:AH382)-1)+1))/1000),((INDEX('M04-S02'!$AA$16:$AA$198,2*(ROWS($AH$360:AH382)-1)+1)*INDEX('M04-S02'!$Q$16:$Q$198,2*(ROWS($AH$360:AH382)-1)+1))/1000),""),"")</f>
        <v>0</v>
      </c>
      <c r="AI382" s="96"/>
      <c r="AJ382" s="96"/>
      <c r="AK382" s="52">
        <f>INDEX('M04-S02'!$AU$16:$AU$198,2*(ROWS($AK$360:AK382)-1)+1)</f>
        <v>0</v>
      </c>
      <c r="AL382" s="184">
        <f>IF(NOT(ISNUMBER(INDEX('M04-S02'!$AN$16:$AN$198,2*(ROWS($R$360:$R382)-1)+1))),INDEX('M04-S02'!$AD$16:$AD$198,2*(ROWS($AL$360:$AL382)-1)+1),"")</f>
        <v>0</v>
      </c>
      <c r="AM382" s="184">
        <f>IF(NOT(ISNUMBER(INDEX('M04-S02'!$AN$16:$AN$198,2*(ROWS($R$360:$R382)-1)+1))),INDEX('M04-S02'!$AF$16:$AF$198,2*(ROWS($AM$360:$AM382)-1)+1),"")</f>
        <v>0</v>
      </c>
      <c r="AN382" s="52">
        <f>IF(NOT(ISNUMBER(INDEX('M04-S02'!$AN$16:$AN$198,2*(ROWS($R$360:$R382)-1)+1))),INDEX('M04-S02'!$AH$16:$AH$198,2*(ROWS($AN$360:$AN382)-1)+1),"")</f>
        <v>0</v>
      </c>
      <c r="AO382" s="113"/>
      <c r="AU382"/>
    </row>
    <row r="383" spans="1:47">
      <c r="A383" s="57">
        <f t="shared" si="34"/>
        <v>0</v>
      </c>
      <c r="B383" s="183" t="str">
        <f t="shared" si="36"/>
        <v/>
      </c>
      <c r="C383" s="186" t="str">
        <f>IF(OR(R383&gt;0,T383&gt;0),INDEX('M04-S02'!$BE$16:$BE$198,2*(ROWS($C$360:C383)-1)+1),"")</f>
        <v/>
      </c>
      <c r="D383" t="s">
        <v>195</v>
      </c>
      <c r="F383" s="112"/>
      <c r="G383" s="96"/>
      <c r="H383" s="186" t="str">
        <f>IF(ISNUMBER(INDEX('M04-S02'!$AN$16:$AN$198,2*(ROWS($R$360:R383)-1)+1)),"Incremental","")</f>
        <v/>
      </c>
      <c r="I383" s="184">
        <f>IFERROR(ROUND(IF(ISNUMBER(INDEX('M04-S02'!$AN$16:$AN$198,2*(ROWS($R$360:$R383)-1)+1)),INDEX('M04-S02'!$AF$16:$AF$198,2*(ROWS($I$360:$I383)-1)+1),""),2),0)</f>
        <v>0</v>
      </c>
      <c r="J383" s="184">
        <f>IFERROR(ROUND(IF(ISNUMBER(INDEX('M04-S02'!$AN$16:$AN$198,2*(ROWS($R$360:$R383)-1)+1)),INDEX('M04-S02'!$AW$16:$AW$198,2*(ROWS($J$360:$J383)-1)+1),""),2),0)</f>
        <v>0</v>
      </c>
      <c r="K383" s="52">
        <f>IFERROR(ROUND(IF(ISNUMBER(INDEX('M04-S02'!$AN$16:$AN$198,2*(ROWS($R$360:$R383)-1)+1)),INDEX('M04-S02'!$AF$16:$AF$198,2*(ROWS($K$360:$K383)-1)+1),""),2),0)</f>
        <v>0</v>
      </c>
      <c r="L383" s="52" t="str">
        <f>IF(ISNUMBER(INDEX('M04-S02'!$AN$16:$AN$198,2*(ROWS($R$360:R383)-1)+1)),ROUND(INDEX('M04-S02'!$BB$16:$BB$198,2*(ROWS($L$360:L383)-1)+1),4),"")</f>
        <v/>
      </c>
      <c r="M383" s="456" t="str">
        <f>IF(ISNUMBER(INDEX('M04-S02'!$AN$16:$AN$198,2*(ROWS($R$360:R383)-1)+1)),ROUND(INDEX('M04-S02'!$C$16:$C$198,2*(ROWS($M$360:M383)-1)+1)/1000,4),"")</f>
        <v/>
      </c>
      <c r="N383" s="184" t="str">
        <f>IF(ISNUMBER(INDEX('M04-S02'!$AN$16:$AN$198,2*(ROWS($R$360:R383)-1)+1)),INDEX('M04-S02'!$AK$16:$AK$198,2*(ROWS($N$360:N383)-1)+1),"")</f>
        <v/>
      </c>
      <c r="O383" s="456" t="str">
        <f>IF(ISNUMBER(INDEX('M04-S02'!$AN$16:$AN$198,2*(ROWS($R$360:R383)-1)+1)),INDEX('M04-S02'!$AV$16:$AV$198,2*(ROWS($O$360:O383)-1)+1),"")</f>
        <v/>
      </c>
      <c r="P383" s="113"/>
      <c r="Q383" s="113"/>
      <c r="R383" s="184">
        <f>IF(ISNUMBER(INDEX('M04-S02'!$AN$16:$AN$198,2*(ROWS($R$360:R383)-1)+1)),INDEX('M04-S02'!$AN$16:$AN$198,2*(ROWS($R$360:R383)-1)+1),0)</f>
        <v>0</v>
      </c>
      <c r="S383" s="23">
        <f>IF(NOT(ISNUMBER(INDEX('M04-S02'!$AN$16:$AN$198,2*(ROWS($R$360:R383)-1)+1))),ROUND(INDEX('M04-S02'!$C$16:$C$198,2*(ROWS($S$360:S383)-1)+1)/1000,4),"")</f>
        <v>0</v>
      </c>
      <c r="T383" s="52">
        <f>IFERROR(IF(NOT(ISNUMBER(INDEX('M04-S02'!$AN$16:$AN$198,2*(ROWS($R$360:R383)-1)+1))),INDEX('M04-S02'!$AK$16:$AK$198,2*(ROWS($R$360:R383)-1)+1),0),0)</f>
        <v>0</v>
      </c>
      <c r="U383" s="23">
        <f>IFERROR(IF(NOT(ISNUMBER(INDEX('M04-S02'!$AN$16:$AN$198,2*(ROWS($R$360:R383)-1)+1))),INDEX('M04-S02'!$AV$16:$AV$198,2*(ROWS($R$360:R383)-1)+1),0),"")</f>
        <v>0</v>
      </c>
      <c r="V383" s="113"/>
      <c r="W383">
        <f>IFERROR(IF(NOT(ISNUMBER(INDEX('M04-S02'!$AN$16:$AN$198,2*(ROWS($R$360:R383)-1)+1))),INDEX('M04-S02'!$BC$16:$BC$198,2*(ROWS($R$360:R383)-1)+1),""),"")</f>
        <v>0</v>
      </c>
      <c r="X383" s="184">
        <f>IFERROR(ROUND(INDEX('M04-S02'!$N$16:$N$198,2*(ROWS($X$360:X383)-1)+1),3),"")</f>
        <v>0</v>
      </c>
      <c r="Y383" s="184">
        <f>IFERROR(ROUND(INDEX('M04-S02'!$AA$16:$AA$198,2*(ROWS($Y$360:Y383)-1)+1),3),"")</f>
        <v>0</v>
      </c>
      <c r="Z383" s="111">
        <f>INDEX('M04-S02'!$B$16:$B$198,2*(ROWS($Z$360:Z383)-1)+1)</f>
        <v>0</v>
      </c>
      <c r="AA383" s="96"/>
      <c r="AB383" s="96"/>
      <c r="AC383">
        <f>INDEX('M04-S02'!$F$16:$F$198,2*(ROWS($AC$360:AC383)-1)+1)</f>
        <v>0</v>
      </c>
      <c r="AD383">
        <f>INDEX('M04-S02'!$S$16:$S$198,2*(ROWS($AD$360:AD383)-1)+1)</f>
        <v>0</v>
      </c>
      <c r="AE383" s="459"/>
      <c r="AF383" s="459"/>
      <c r="AG383" s="111">
        <f>IFERROR(IF(ISNUMBER((INDEX('M04-S02'!$N$16:$N$198,2*(ROWS($AG$360:AG383)-1)+1)*INDEX('M04-S02'!$Q$16:$Q$198,2*(ROWS($AG$360:AG383)-1)+1))/1000),((INDEX('M04-S02'!$N$16:$N$198,2*(ROWS($AG$360:AG383)-1)+1)*INDEX('M04-S02'!$Q$16:$Q$198,2*(ROWS($AG$360:AG383)-1)+1))/1000),""),"")</f>
        <v>0</v>
      </c>
      <c r="AH383" s="111">
        <f>IFERROR(IF(ISNUMBER((INDEX('M04-S02'!$AA$16:$AA$198,2*(ROWS($AH$360:AH383)-1)+1)*INDEX('M04-S02'!$Q$16:$Q$198,2*(ROWS($AH$360:AH383)-1)+1))/1000),((INDEX('M04-S02'!$AA$16:$AA$198,2*(ROWS($AH$360:AH383)-1)+1)*INDEX('M04-S02'!$Q$16:$Q$198,2*(ROWS($AH$360:AH383)-1)+1))/1000),""),"")</f>
        <v>0</v>
      </c>
      <c r="AI383" s="96"/>
      <c r="AJ383" s="96"/>
      <c r="AK383" s="52">
        <f>INDEX('M04-S02'!$AU$16:$AU$198,2*(ROWS($AK$360:AK383)-1)+1)</f>
        <v>0</v>
      </c>
      <c r="AL383" s="184">
        <f>IF(NOT(ISNUMBER(INDEX('M04-S02'!$AN$16:$AN$198,2*(ROWS($R$360:$R383)-1)+1))),INDEX('M04-S02'!$AD$16:$AD$198,2*(ROWS($AL$360:$AL383)-1)+1),"")</f>
        <v>0</v>
      </c>
      <c r="AM383" s="184">
        <f>IF(NOT(ISNUMBER(INDEX('M04-S02'!$AN$16:$AN$198,2*(ROWS($R$360:$R383)-1)+1))),INDEX('M04-S02'!$AF$16:$AF$198,2*(ROWS($AM$360:$AM383)-1)+1),"")</f>
        <v>0</v>
      </c>
      <c r="AN383" s="52">
        <f>IF(NOT(ISNUMBER(INDEX('M04-S02'!$AN$16:$AN$198,2*(ROWS($R$360:$R383)-1)+1))),INDEX('M04-S02'!$AH$16:$AH$198,2*(ROWS($AN$360:$AN383)-1)+1),"")</f>
        <v>0</v>
      </c>
      <c r="AO383" s="113"/>
      <c r="AU383"/>
    </row>
    <row r="384" spans="1:47">
      <c r="A384" s="57">
        <f t="shared" si="34"/>
        <v>0</v>
      </c>
      <c r="B384" s="183" t="str">
        <f t="shared" si="36"/>
        <v/>
      </c>
      <c r="C384" s="186" t="str">
        <f>IF(OR(R384&gt;0,T384&gt;0),INDEX('M04-S02'!$BE$16:$BE$198,2*(ROWS($C$360:C384)-1)+1),"")</f>
        <v/>
      </c>
      <c r="D384" t="s">
        <v>195</v>
      </c>
      <c r="F384" s="112"/>
      <c r="G384" s="96"/>
      <c r="H384" s="186" t="str">
        <f>IF(ISNUMBER(INDEX('M04-S02'!$AN$16:$AN$198,2*(ROWS($R$360:R384)-1)+1)),"Incremental","")</f>
        <v/>
      </c>
      <c r="I384" s="184">
        <f>IFERROR(ROUND(IF(ISNUMBER(INDEX('M04-S02'!$AN$16:$AN$198,2*(ROWS($R$360:$R384)-1)+1)),INDEX('M04-S02'!$AF$16:$AF$198,2*(ROWS($I$360:$I384)-1)+1),""),2),0)</f>
        <v>0</v>
      </c>
      <c r="J384" s="184">
        <f>IFERROR(ROUND(IF(ISNUMBER(INDEX('M04-S02'!$AN$16:$AN$198,2*(ROWS($R$360:$R384)-1)+1)),INDEX('M04-S02'!$AW$16:$AW$198,2*(ROWS($J$360:$J384)-1)+1),""),2),0)</f>
        <v>0</v>
      </c>
      <c r="K384" s="52">
        <f>IFERROR(ROUND(IF(ISNUMBER(INDEX('M04-S02'!$AN$16:$AN$198,2*(ROWS($R$360:$R384)-1)+1)),INDEX('M04-S02'!$AF$16:$AF$198,2*(ROWS($K$360:$K384)-1)+1),""),2),0)</f>
        <v>0</v>
      </c>
      <c r="L384" s="52" t="str">
        <f>IF(ISNUMBER(INDEX('M04-S02'!$AN$16:$AN$198,2*(ROWS($R$360:R384)-1)+1)),ROUND(INDEX('M04-S02'!$BB$16:$BB$198,2*(ROWS($L$360:L384)-1)+1),4),"")</f>
        <v/>
      </c>
      <c r="M384" s="456" t="str">
        <f>IF(ISNUMBER(INDEX('M04-S02'!$AN$16:$AN$198,2*(ROWS($R$360:R384)-1)+1)),ROUND(INDEX('M04-S02'!$C$16:$C$198,2*(ROWS($M$360:M384)-1)+1)/1000,4),"")</f>
        <v/>
      </c>
      <c r="N384" s="184" t="str">
        <f>IF(ISNUMBER(INDEX('M04-S02'!$AN$16:$AN$198,2*(ROWS($R$360:R384)-1)+1)),INDEX('M04-S02'!$AK$16:$AK$198,2*(ROWS($N$360:N384)-1)+1),"")</f>
        <v/>
      </c>
      <c r="O384" s="456" t="str">
        <f>IF(ISNUMBER(INDEX('M04-S02'!$AN$16:$AN$198,2*(ROWS($R$360:R384)-1)+1)),INDEX('M04-S02'!$AV$16:$AV$198,2*(ROWS($O$360:O384)-1)+1),"")</f>
        <v/>
      </c>
      <c r="P384" s="113"/>
      <c r="Q384" s="113"/>
      <c r="R384" s="184">
        <f>IF(ISNUMBER(INDEX('M04-S02'!$AN$16:$AN$198,2*(ROWS($R$360:R384)-1)+1)),INDEX('M04-S02'!$AN$16:$AN$198,2*(ROWS($R$360:R384)-1)+1),0)</f>
        <v>0</v>
      </c>
      <c r="S384" s="23">
        <f>IF(NOT(ISNUMBER(INDEX('M04-S02'!$AN$16:$AN$198,2*(ROWS($R$360:R384)-1)+1))),ROUND(INDEX('M04-S02'!$C$16:$C$198,2*(ROWS($S$360:S384)-1)+1)/1000,4),"")</f>
        <v>0</v>
      </c>
      <c r="T384" s="52">
        <f>IFERROR(IF(NOT(ISNUMBER(INDEX('M04-S02'!$AN$16:$AN$198,2*(ROWS($R$360:R384)-1)+1))),INDEX('M04-S02'!$AK$16:$AK$198,2*(ROWS($R$360:R384)-1)+1),0),0)</f>
        <v>0</v>
      </c>
      <c r="U384" s="23">
        <f>IFERROR(IF(NOT(ISNUMBER(INDEX('M04-S02'!$AN$16:$AN$198,2*(ROWS($R$360:R384)-1)+1))),INDEX('M04-S02'!$AV$16:$AV$198,2*(ROWS($R$360:R384)-1)+1),0),"")</f>
        <v>0</v>
      </c>
      <c r="V384" s="113"/>
      <c r="W384">
        <f>IFERROR(IF(NOT(ISNUMBER(INDEX('M04-S02'!$AN$16:$AN$198,2*(ROWS($R$360:R384)-1)+1))),INDEX('M04-S02'!$BC$16:$BC$198,2*(ROWS($R$360:R384)-1)+1),""),"")</f>
        <v>0</v>
      </c>
      <c r="X384" s="184">
        <f>IFERROR(ROUND(INDEX('M04-S02'!$N$16:$N$198,2*(ROWS($X$360:X384)-1)+1),3),"")</f>
        <v>0</v>
      </c>
      <c r="Y384" s="184">
        <f>IFERROR(ROUND(INDEX('M04-S02'!$AA$16:$AA$198,2*(ROWS($Y$360:Y384)-1)+1),3),"")</f>
        <v>0</v>
      </c>
      <c r="Z384" s="111">
        <f>INDEX('M04-S02'!$B$16:$B$198,2*(ROWS($Z$360:Z384)-1)+1)</f>
        <v>0</v>
      </c>
      <c r="AA384" s="96"/>
      <c r="AB384" s="96"/>
      <c r="AC384">
        <f>INDEX('M04-S02'!$F$16:$F$198,2*(ROWS($AC$360:AC384)-1)+1)</f>
        <v>0</v>
      </c>
      <c r="AD384">
        <f>INDEX('M04-S02'!$S$16:$S$198,2*(ROWS($AD$360:AD384)-1)+1)</f>
        <v>0</v>
      </c>
      <c r="AE384" s="459"/>
      <c r="AF384" s="459"/>
      <c r="AG384" s="111">
        <f>IFERROR(IF(ISNUMBER((INDEX('M04-S02'!$N$16:$N$198,2*(ROWS($AG$360:AG384)-1)+1)*INDEX('M04-S02'!$Q$16:$Q$198,2*(ROWS($AG$360:AG384)-1)+1))/1000),((INDEX('M04-S02'!$N$16:$N$198,2*(ROWS($AG$360:AG384)-1)+1)*INDEX('M04-S02'!$Q$16:$Q$198,2*(ROWS($AG$360:AG384)-1)+1))/1000),""),"")</f>
        <v>0</v>
      </c>
      <c r="AH384" s="111">
        <f>IFERROR(IF(ISNUMBER((INDEX('M04-S02'!$AA$16:$AA$198,2*(ROWS($AH$360:AH384)-1)+1)*INDEX('M04-S02'!$Q$16:$Q$198,2*(ROWS($AH$360:AH384)-1)+1))/1000),((INDEX('M04-S02'!$AA$16:$AA$198,2*(ROWS($AH$360:AH384)-1)+1)*INDEX('M04-S02'!$Q$16:$Q$198,2*(ROWS($AH$360:AH384)-1)+1))/1000),""),"")</f>
        <v>0</v>
      </c>
      <c r="AI384" s="96"/>
      <c r="AJ384" s="96"/>
      <c r="AK384" s="52">
        <f>INDEX('M04-S02'!$AU$16:$AU$198,2*(ROWS($AK$360:AK384)-1)+1)</f>
        <v>0</v>
      </c>
      <c r="AL384" s="184">
        <f>IF(NOT(ISNUMBER(INDEX('M04-S02'!$AN$16:$AN$198,2*(ROWS($R$360:$R384)-1)+1))),INDEX('M04-S02'!$AD$16:$AD$198,2*(ROWS($AL$360:$AL384)-1)+1),"")</f>
        <v>0</v>
      </c>
      <c r="AM384" s="184">
        <f>IF(NOT(ISNUMBER(INDEX('M04-S02'!$AN$16:$AN$198,2*(ROWS($R$360:$R384)-1)+1))),INDEX('M04-S02'!$AF$16:$AF$198,2*(ROWS($AM$360:$AM384)-1)+1),"")</f>
        <v>0</v>
      </c>
      <c r="AN384" s="52">
        <f>IF(NOT(ISNUMBER(INDEX('M04-S02'!$AN$16:$AN$198,2*(ROWS($R$360:$R384)-1)+1))),INDEX('M04-S02'!$AH$16:$AH$198,2*(ROWS($AN$360:$AN384)-1)+1),"")</f>
        <v>0</v>
      </c>
      <c r="AO384" s="113"/>
      <c r="AU384"/>
    </row>
    <row r="385" spans="1:47">
      <c r="A385" s="149" t="str">
        <f>CONCATENATE(MAIN4," ",M4S3)</f>
        <v>CUSTOM MEASURES INPUT Custom / RCx / New Construction
 Non-Lighting (Electric)</v>
      </c>
      <c r="B385" s="150"/>
      <c r="C385" s="150"/>
      <c r="D385" s="129"/>
      <c r="E385" s="129"/>
      <c r="F385" s="130"/>
      <c r="G385" s="129"/>
      <c r="H385" s="129"/>
      <c r="I385" s="131"/>
      <c r="J385" s="131"/>
      <c r="K385" s="131"/>
      <c r="L385" s="131"/>
      <c r="M385" s="458"/>
      <c r="N385" s="131"/>
      <c r="O385" s="458"/>
      <c r="P385" s="131"/>
      <c r="Q385" s="131"/>
      <c r="R385" s="131"/>
      <c r="S385" s="458"/>
      <c r="T385" s="131"/>
      <c r="U385" s="458"/>
      <c r="V385" s="131"/>
      <c r="W385" s="129"/>
      <c r="X385" s="131"/>
      <c r="Y385" s="131"/>
      <c r="Z385" s="130"/>
      <c r="AA385" s="130"/>
      <c r="AB385" s="130"/>
      <c r="AC385" s="129"/>
      <c r="AD385" s="129"/>
      <c r="AE385" s="467"/>
      <c r="AF385" s="467"/>
      <c r="AG385" s="130"/>
      <c r="AH385" s="130"/>
      <c r="AI385" s="130"/>
      <c r="AJ385" s="130"/>
      <c r="AK385" s="131"/>
      <c r="AL385" s="131"/>
      <c r="AM385" s="131"/>
      <c r="AN385" s="131"/>
      <c r="AO385" s="131"/>
      <c r="AU385"/>
    </row>
    <row r="386" spans="1:47">
      <c r="A386" s="57">
        <f t="shared" ref="A386:A435" si="37">PROJID</f>
        <v>0</v>
      </c>
      <c r="B386" s="183" t="str">
        <f t="shared" ref="B386" si="38">IF(C386="","",CONCATENATE(ROW(),"-",C386))</f>
        <v/>
      </c>
      <c r="C386" s="186" t="str">
        <f>IF(OR(R386&gt;0,T386&gt;0),INDEX('M04-S03'!$BD$16:$BD$198,2*(ROWS($C$386:C386)-1)+1),"")</f>
        <v/>
      </c>
      <c r="D386" t="str">
        <f>INDEX('M04-S03'!$BG$16:$BG$198,2*(ROWS($AC$386:AC386)-1)+1)</f>
        <v/>
      </c>
      <c r="E386" s="112"/>
      <c r="F386" s="112"/>
      <c r="G386" s="96"/>
      <c r="H386" s="184" t="str">
        <f>INDEX('M04-S03'!$AB$16:$AB$198,2*(ROWS($AC$386:AC386)-1)+1)</f>
        <v/>
      </c>
      <c r="I386" s="184">
        <f>IFERROR(ROUND(IF(ISNUMBER(INDEX('M04-S03'!$AN$16:$AN$198,2*(ROWS($R$386:$R386)-1)+1)),INDEX('M04-S03'!$AD$16:$AD$198,2*(ROWS($I$386:$I386)-1)+1),""),2),0)</f>
        <v>0</v>
      </c>
      <c r="J386" s="184">
        <f>IFERROR(ROUND(IF(ISNUMBER(INDEX('M04-S03'!$AN$16:$AN$198,2*(ROWS($R$386:$R386)-1)+1)),INDEX('M04-S03'!$AF$16:$AF$198,2*(ROWS($J$386:$J386)-1)+1),""),2),0)</f>
        <v>0</v>
      </c>
      <c r="K386" s="52">
        <f>IFERROR(ROUND(IF(ISNUMBER(INDEX('M04-S03'!$AN$16:$AN$198,2*(ROWS($R$386:$R386)-1)+1)),INDEX('M04-S03'!$AH$16:$AH$198,2*(ROWS($K$386:$K386)-1)+1),""),2),0)</f>
        <v>0</v>
      </c>
      <c r="L386" s="52">
        <f>IFERROR(ROUND(IF(ISNUMBER(INDEX('M04-S03'!$AN$16:$AN$198,2*(ROWS($R$386:$R386)-1)+1)),INDEX('M04-S03'!$BF$16:$BF$198,2*(ROWS($L$386:$L386)-1)+1),""),2),0)</f>
        <v>0</v>
      </c>
      <c r="M386" s="456" t="str">
        <f>IF(ISNUMBER(INDEX('M04-S03'!$AN$16:$AN$198,2*(ROWS($R$386:R386)-1)+1)),INDEX('M04-S03'!$X$16:$X$198,2*(ROWS($M$386:M386)-1)+1),"")</f>
        <v/>
      </c>
      <c r="N386" s="184" t="str">
        <f>IFERROR(IF(ISNUMBER(INDEX('M04-S03'!$AN$16:$AN$198,2*(ROWS($R$386:R386)-1)+1)),INDEX('M04-S03'!$AK$16:$AK$198,2*(ROWS($N$386:N386)-1)+1),""),"")</f>
        <v/>
      </c>
      <c r="O386" s="456" t="str">
        <f>IFERROR(IF(ISNUMBER(INDEX('M04-S03'!$AN$16:$AN$198,2*(ROWS($R$386:R386)-1)+1)),INDEX('M04-S03'!$AX$16:$AX$198,2*(ROWS($O$386:O386)-1)+1),""),"")</f>
        <v/>
      </c>
      <c r="P386" s="113"/>
      <c r="Q386" s="113"/>
      <c r="R386" s="184">
        <f>IF(ISNUMBER(INDEX('M04-S03'!$AN$16:$AN$198,2*(ROWS($R$386:R386)-1)+1)),INDEX('M04-S03'!$AN$16:$AN$198,2*(ROWS($R$386:R386)-1)+1),0)</f>
        <v>0</v>
      </c>
      <c r="S386" s="23" t="str">
        <f>IF(NOT(ISNUMBER(INDEX('M04-S03'!$AN$16:$AN$198,2*(ROWS($R$386:R386)-1)+1))),INDEX('M04-S03'!$X$16:$X$198,2*(ROWS($S$386:S386)-1)+1),"")</f>
        <v/>
      </c>
      <c r="T386" s="52" t="str">
        <f>IFERROR(IF(NOT(ISNUMBER(INDEX('M04-S03'!$AN$16:$AN$198,2*(ROWS($R$386:R386)-1)+1))),INDEX('M04-S03'!$AK$16:$AK$198,2*(ROWS($R$386:R386)-1)+1),0),0)</f>
        <v/>
      </c>
      <c r="U386" s="23" t="str">
        <f>IFERROR(IF(NOT(ISNUMBER(INDEX('M04-S03'!$AN$16:$AN$198,2*(ROWS($R$386:R386)-1)+1))),INDEX('M04-S03'!$AX$16:$AX$198,2*(ROWS($R$386:R386)-1)+1),""),"")</f>
        <v/>
      </c>
      <c r="V386" s="113"/>
      <c r="W386" t="str">
        <f>IFERROR(IF(NOT(ISNUMBER(INDEX('M04-S03'!$AN$16:$AN$198,2*(ROWS($R$386:R386)-1)+1))),INDEX('M04-S03'!$BE$16:$BE$198,2*(ROWS($R$386:R386)-1)+1),""),"")</f>
        <v>Submit for Review</v>
      </c>
      <c r="X386" s="113"/>
      <c r="Y386" s="113"/>
      <c r="Z386" s="111">
        <f>INDEX('M04-S03'!$B$16:$B$198,2*(ROWS($Z$386:Z386)-1)+1)</f>
        <v>1</v>
      </c>
      <c r="AA386" s="112"/>
      <c r="AB386" s="111">
        <f>INDEX('M04-S03'!$F$16:$F$198,2*(ROWS($Z$386:AB386)-1)+1)</f>
        <v>0</v>
      </c>
      <c r="AC386" t="str">
        <f>INDEX('M04-S03'!$L$16:$L$198,2*(ROWS($AC$386:AC386)-1)+1)</f>
        <v/>
      </c>
      <c r="AD386" t="str">
        <f>INDEX('M04-S03'!$T$16:$T$198,2*(ROWS($AD$386:AD386)-1)+1)</f>
        <v/>
      </c>
      <c r="AE386" s="459"/>
      <c r="AF386" s="459"/>
      <c r="AG386" s="111" t="str">
        <f>INDEX('M04-S03'!$R$16:$R$198,2*(ROWS($AG$309:AG309)-1)+1)</f>
        <v/>
      </c>
      <c r="AH386" s="111" t="str">
        <f>INDEX('M04-S03'!$Z$16:$Z$198,2*(ROWS($AH$386:AH386)-1)+1)</f>
        <v/>
      </c>
      <c r="AI386" s="96"/>
      <c r="AJ386" s="96"/>
      <c r="AK386" s="52" t="str">
        <f>INDEX('M04-S03'!$AV$16:$AV$198,2*(ROWS($AK$386:AK386)-1)+1)</f>
        <v/>
      </c>
      <c r="AL386" s="184">
        <f>IF(NOT(ISNUMBER(INDEX('M04-S03'!$AN$16:$AN$198,2*(ROWS($R$386:$R386)-1)+1))),INDEX('M04-S03'!$AD$16:$AD$198,2*(ROWS($AL$386:$AL386)-1)+1),"")</f>
        <v>0</v>
      </c>
      <c r="AM386" s="184" t="str">
        <f>IF(NOT(ISNUMBER(INDEX('M04-S03'!$AN$16:$AN$198,2*(ROWS($R$386:$R386)-1)+1))),INDEX('M04-S03'!$AF$16:$AF$198,2*(ROWS($AM$386:$AM386)-1)+1),"")</f>
        <v/>
      </c>
      <c r="AN386" s="52" t="str">
        <f>IF(NOT(ISNUMBER(INDEX('M04-S03'!$AN$16:$AN$198,2*(ROWS($R$386:$R386)-1)+1))),INDEX('M04-S03'!$AH$16:$AH$198,2*(ROWS($AN$386:$AN386)-1)+1),"")</f>
        <v/>
      </c>
      <c r="AO386" s="113"/>
      <c r="AU386"/>
    </row>
    <row r="387" spans="1:47">
      <c r="A387" s="57">
        <f t="shared" si="37"/>
        <v>0</v>
      </c>
      <c r="B387" s="183" t="str">
        <f t="shared" ref="B387:B396" si="39">IF(C387="","",CONCATENATE(ROW(),"-",C387))</f>
        <v/>
      </c>
      <c r="C387" s="186" t="str">
        <f>IF(OR(R387&gt;0,T387&gt;0),INDEX('M04-S03'!$BD$16:$BD$198,2*(ROWS($C$386:C387)-1)+1),"")</f>
        <v/>
      </c>
      <c r="D387">
        <f>INDEX('M04-S03'!$BG$16:$BG$198,2*(ROWS($AC$386:AC387)-1)+1)</f>
        <v>0</v>
      </c>
      <c r="E387" s="112"/>
      <c r="F387" s="112"/>
      <c r="G387" s="96"/>
      <c r="H387" s="184" t="str">
        <f>INDEX('M04-S03'!$AB$16:$AB$198,2*(ROWS($AC$386:AC387)-1)+1)</f>
        <v/>
      </c>
      <c r="I387" s="184">
        <f>IFERROR(ROUND(IF(ISNUMBER(INDEX('M04-S03'!$AN$16:$AN$198,2*(ROWS($R$386:$R387)-1)+1)),INDEX('M04-S03'!$AD$16:$AD$198,2*(ROWS($I$386:$I387)-1)+1),""),2),0)</f>
        <v>0</v>
      </c>
      <c r="J387" s="184">
        <f>IFERROR(ROUND(IF(ISNUMBER(INDEX('M04-S03'!$AN$16:$AN$198,2*(ROWS($R$386:$R387)-1)+1)),INDEX('M04-S03'!$AF$16:$AF$198,2*(ROWS($J$386:$J387)-1)+1),""),2),0)</f>
        <v>0</v>
      </c>
      <c r="K387" s="52">
        <f>IFERROR(ROUND(IF(ISNUMBER(INDEX('M04-S03'!$AN$16:$AN$198,2*(ROWS($R$386:$R387)-1)+1)),INDEX('M04-S03'!$AH$16:$AH$198,2*(ROWS($K$386:$K387)-1)+1),""),2),0)</f>
        <v>0</v>
      </c>
      <c r="L387" s="52">
        <f>IFERROR(ROUND(IF(ISNUMBER(INDEX('M04-S03'!$AN$16:$AN$198,2*(ROWS($R$386:$R387)-1)+1)),INDEX('M04-S03'!$BF$16:$BF$198,2*(ROWS($L$386:$L387)-1)+1),""),2),0)</f>
        <v>0</v>
      </c>
      <c r="M387" s="456" t="str">
        <f>IF(ISNUMBER(INDEX('M04-S03'!$AN$16:$AN$198,2*(ROWS($R$386:R387)-1)+1)),INDEX('M04-S03'!$X$16:$X$198,2*(ROWS($M$386:M387)-1)+1),"")</f>
        <v/>
      </c>
      <c r="N387" s="184" t="str">
        <f>IFERROR(IF(ISNUMBER(INDEX('M04-S03'!$AN$16:$AN$198,2*(ROWS($R$386:R387)-1)+1)),INDEX('M04-S03'!$AK$16:$AK$198,2*(ROWS($N$386:N387)-1)+1),""),"")</f>
        <v/>
      </c>
      <c r="O387" s="456" t="str">
        <f>IFERROR(IF(ISNUMBER(INDEX('M04-S03'!$AN$16:$AN$198,2*(ROWS($R$386:R387)-1)+1)),INDEX('M04-S03'!$AX$16:$AX$198,2*(ROWS($O$386:O387)-1)+1),""),"")</f>
        <v/>
      </c>
      <c r="P387" s="113"/>
      <c r="Q387" s="113"/>
      <c r="R387" s="184">
        <f>IF(ISNUMBER(INDEX('M04-S03'!$AN$16:$AN$198,2*(ROWS($R$386:R387)-1)+1)),INDEX('M04-S03'!$AN$16:$AN$198,2*(ROWS($R$386:R387)-1)+1),0)</f>
        <v>0</v>
      </c>
      <c r="S387" s="23" t="str">
        <f>IF(NOT(ISNUMBER(INDEX('M04-S03'!$AN$16:$AN$198,2*(ROWS($R$386:R387)-1)+1))),INDEX('M04-S03'!$X$16:$X$198,2*(ROWS($S$386:S387)-1)+1),"")</f>
        <v/>
      </c>
      <c r="T387" s="52" t="str">
        <f>IFERROR(IF(NOT(ISNUMBER(INDEX('M04-S03'!$AN$16:$AN$198,2*(ROWS($R$386:R387)-1)+1))),INDEX('M04-S03'!$AK$16:$AK$198,2*(ROWS($R$386:R387)-1)+1),0),0)</f>
        <v/>
      </c>
      <c r="U387" s="23" t="str">
        <f>IFERROR(IF(NOT(ISNUMBER(INDEX('M04-S03'!$AN$16:$AN$198,2*(ROWS($R$386:R387)-1)+1))),INDEX('M04-S03'!$AX$16:$AX$198,2*(ROWS($R$386:R387)-1)+1),""),"")</f>
        <v/>
      </c>
      <c r="V387" s="113"/>
      <c r="W387" t="str">
        <f>IFERROR(IF(NOT(ISNUMBER(INDEX('M04-S03'!$AN$16:$AN$198,2*(ROWS($R$386:R387)-1)+1))),INDEX('M04-S03'!$BE$16:$BE$198,2*(ROWS($R$386:R387)-1)+1),""),"")</f>
        <v>Submit for Review</v>
      </c>
      <c r="X387" s="113"/>
      <c r="Y387" s="113"/>
      <c r="Z387" s="111">
        <f>INDEX('M04-S03'!$B$16:$B$198,2*(ROWS($Z$386:Z387)-1)+1)</f>
        <v>2</v>
      </c>
      <c r="AA387" s="112"/>
      <c r="AB387" s="111">
        <f>INDEX('M04-S03'!$F$16:$F$198,2*(ROWS($Z$386:AB387)-1)+1)</f>
        <v>0</v>
      </c>
      <c r="AC387" t="str">
        <f>INDEX('M04-S03'!$L$16:$L$198,2*(ROWS($AC$386:AC387)-1)+1)</f>
        <v/>
      </c>
      <c r="AD387" t="str">
        <f>INDEX('M04-S03'!$T$16:$T$198,2*(ROWS($AD$386:AD387)-1)+1)</f>
        <v/>
      </c>
      <c r="AE387" s="459"/>
      <c r="AF387" s="459"/>
      <c r="AG387" s="111" t="str">
        <f>INDEX('M04-S03'!$R$16:$R$198,2*(ROWS($AG$309:AG310)-1)+1)</f>
        <v/>
      </c>
      <c r="AH387" s="111" t="str">
        <f>INDEX('M04-S03'!$Z$16:$Z$198,2*(ROWS($AH$386:AH387)-1)+1)</f>
        <v/>
      </c>
      <c r="AI387" s="96"/>
      <c r="AJ387" s="96"/>
      <c r="AK387" s="52" t="str">
        <f>INDEX('M04-S03'!$AV$16:$AV$198,2*(ROWS($AK$386:AK387)-1)+1)</f>
        <v/>
      </c>
      <c r="AL387" s="184">
        <f>IF(NOT(ISNUMBER(INDEX('M04-S03'!$AN$16:$AN$198,2*(ROWS($R$386:$R387)-1)+1))),INDEX('M04-S03'!$AD$16:$AD$198,2*(ROWS($AL$386:$AL387)-1)+1),"")</f>
        <v>0</v>
      </c>
      <c r="AM387" s="184" t="str">
        <f>IF(NOT(ISNUMBER(INDEX('M04-S03'!$AN$16:$AN$198,2*(ROWS($R$386:$R387)-1)+1))),INDEX('M04-S03'!$AF$16:$AF$198,2*(ROWS($AM$386:$AM387)-1)+1),"")</f>
        <v/>
      </c>
      <c r="AN387" s="52" t="str">
        <f>IF(NOT(ISNUMBER(INDEX('M04-S03'!$AN$16:$AN$198,2*(ROWS($R$386:$R387)-1)+1))),INDEX('M04-S03'!$AH$16:$AH$198,2*(ROWS($AN$386:$AN387)-1)+1),"")</f>
        <v/>
      </c>
      <c r="AO387" s="113"/>
      <c r="AU387"/>
    </row>
    <row r="388" spans="1:47">
      <c r="A388" s="57">
        <f t="shared" si="37"/>
        <v>0</v>
      </c>
      <c r="B388" s="183" t="str">
        <f t="shared" si="39"/>
        <v/>
      </c>
      <c r="C388" s="186" t="str">
        <f>IF(OR(R388&gt;0,T388&gt;0),INDEX('M04-S03'!$BD$16:$BD$198,2*(ROWS($C$386:C388)-1)+1),"")</f>
        <v/>
      </c>
      <c r="D388">
        <f>INDEX('M04-S03'!$BG$16:$BG$198,2*(ROWS($AC$386:AC388)-1)+1)</f>
        <v>0</v>
      </c>
      <c r="E388" s="112"/>
      <c r="F388" s="112"/>
      <c r="G388" s="96"/>
      <c r="H388" s="184" t="str">
        <f>INDEX('M04-S03'!$AB$16:$AB$198,2*(ROWS($AC$386:AC388)-1)+1)</f>
        <v/>
      </c>
      <c r="I388" s="184">
        <f>IFERROR(ROUND(IF(ISNUMBER(INDEX('M04-S03'!$AN$16:$AN$198,2*(ROWS($R$386:$R388)-1)+1)),INDEX('M04-S03'!$AD$16:$AD$198,2*(ROWS($I$386:$I388)-1)+1),""),2),0)</f>
        <v>0</v>
      </c>
      <c r="J388" s="184">
        <f>IFERROR(ROUND(IF(ISNUMBER(INDEX('M04-S03'!$AN$16:$AN$198,2*(ROWS($R$386:$R388)-1)+1)),INDEX('M04-S03'!$AF$16:$AF$198,2*(ROWS($J$386:$J388)-1)+1),""),2),0)</f>
        <v>0</v>
      </c>
      <c r="K388" s="52">
        <f>IFERROR(ROUND(IF(ISNUMBER(INDEX('M04-S03'!$AN$16:$AN$198,2*(ROWS($R$386:$R388)-1)+1)),INDEX('M04-S03'!$AH$16:$AH$198,2*(ROWS($K$386:$K388)-1)+1),""),2),0)</f>
        <v>0</v>
      </c>
      <c r="L388" s="52">
        <f>IFERROR(ROUND(IF(ISNUMBER(INDEX('M04-S03'!$AN$16:$AN$198,2*(ROWS($R$386:$R388)-1)+1)),INDEX('M04-S03'!$BF$16:$BF$198,2*(ROWS($L$386:$L388)-1)+1),""),2),0)</f>
        <v>0</v>
      </c>
      <c r="M388" s="456" t="str">
        <f>IF(ISNUMBER(INDEX('M04-S03'!$AN$16:$AN$198,2*(ROWS($R$386:R388)-1)+1)),INDEX('M04-S03'!$X$16:$X$198,2*(ROWS($M$386:M388)-1)+1),"")</f>
        <v/>
      </c>
      <c r="N388" s="184" t="str">
        <f>IFERROR(IF(ISNUMBER(INDEX('M04-S03'!$AN$16:$AN$198,2*(ROWS($R$386:R388)-1)+1)),INDEX('M04-S03'!$AK$16:$AK$198,2*(ROWS($N$386:N388)-1)+1),""),"")</f>
        <v/>
      </c>
      <c r="O388" s="456" t="str">
        <f>IFERROR(IF(ISNUMBER(INDEX('M04-S03'!$AN$16:$AN$198,2*(ROWS($R$386:R388)-1)+1)),INDEX('M04-S03'!$AX$16:$AX$198,2*(ROWS($O$386:O388)-1)+1),""),"")</f>
        <v/>
      </c>
      <c r="P388" s="113"/>
      <c r="Q388" s="113"/>
      <c r="R388" s="184">
        <f>IF(ISNUMBER(INDEX('M04-S03'!$AN$16:$AN$198,2*(ROWS($R$386:R388)-1)+1)),INDEX('M04-S03'!$AN$16:$AN$198,2*(ROWS($R$386:R388)-1)+1),0)</f>
        <v>0</v>
      </c>
      <c r="S388" s="23" t="str">
        <f>IF(NOT(ISNUMBER(INDEX('M04-S03'!$AN$16:$AN$198,2*(ROWS($R$386:R388)-1)+1))),INDEX('M04-S03'!$X$16:$X$198,2*(ROWS($S$386:S388)-1)+1),"")</f>
        <v/>
      </c>
      <c r="T388" s="52" t="str">
        <f>IFERROR(IF(NOT(ISNUMBER(INDEX('M04-S03'!$AN$16:$AN$198,2*(ROWS($R$386:R388)-1)+1))),INDEX('M04-S03'!$AK$16:$AK$198,2*(ROWS($R$386:R388)-1)+1),0),0)</f>
        <v/>
      </c>
      <c r="U388" s="23" t="str">
        <f>IFERROR(IF(NOT(ISNUMBER(INDEX('M04-S03'!$AN$16:$AN$198,2*(ROWS($R$386:R388)-1)+1))),INDEX('M04-S03'!$AX$16:$AX$198,2*(ROWS($R$386:R388)-1)+1),""),"")</f>
        <v/>
      </c>
      <c r="V388" s="113"/>
      <c r="W388" t="str">
        <f>IFERROR(IF(NOT(ISNUMBER(INDEX('M04-S03'!$AN$16:$AN$198,2*(ROWS($R$386:R388)-1)+1))),INDEX('M04-S03'!$BE$16:$BE$198,2*(ROWS($R$386:R388)-1)+1),""),"")</f>
        <v>Submit for Review</v>
      </c>
      <c r="X388" s="113"/>
      <c r="Y388" s="113"/>
      <c r="Z388" s="111">
        <f>INDEX('M04-S03'!$B$16:$B$198,2*(ROWS($Z$386:Z388)-1)+1)</f>
        <v>3</v>
      </c>
      <c r="AA388" s="112"/>
      <c r="AB388" s="111">
        <f>INDEX('M04-S03'!$F$16:$F$198,2*(ROWS($Z$386:AB388)-1)+1)</f>
        <v>0</v>
      </c>
      <c r="AC388" t="str">
        <f>INDEX('M04-S03'!$L$16:$L$198,2*(ROWS($AC$386:AC388)-1)+1)</f>
        <v/>
      </c>
      <c r="AD388" t="str">
        <f>INDEX('M04-S03'!$T$16:$T$198,2*(ROWS($AD$386:AD388)-1)+1)</f>
        <v/>
      </c>
      <c r="AE388" s="459"/>
      <c r="AF388" s="459"/>
      <c r="AG388" s="111" t="str">
        <f>INDEX('M04-S03'!$R$16:$R$198,2*(ROWS($AG$309:AG311)-1)+1)</f>
        <v/>
      </c>
      <c r="AH388" s="111" t="str">
        <f>INDEX('M04-S03'!$Z$16:$Z$198,2*(ROWS($AH$386:AH388)-1)+1)</f>
        <v/>
      </c>
      <c r="AI388" s="96"/>
      <c r="AJ388" s="96"/>
      <c r="AK388" s="52" t="str">
        <f>INDEX('M04-S03'!$AV$16:$AV$198,2*(ROWS($AK$386:AK388)-1)+1)</f>
        <v/>
      </c>
      <c r="AL388" s="184">
        <f>IF(NOT(ISNUMBER(INDEX('M04-S03'!$AN$16:$AN$198,2*(ROWS($R$386:$R388)-1)+1))),INDEX('M04-S03'!$AD$16:$AD$198,2*(ROWS($AL$386:$AL388)-1)+1),"")</f>
        <v>0</v>
      </c>
      <c r="AM388" s="184" t="str">
        <f>IF(NOT(ISNUMBER(INDEX('M04-S03'!$AN$16:$AN$198,2*(ROWS($R$386:$R388)-1)+1))),INDEX('M04-S03'!$AF$16:$AF$198,2*(ROWS($AM$386:$AM388)-1)+1),"")</f>
        <v/>
      </c>
      <c r="AN388" s="52" t="str">
        <f>IF(NOT(ISNUMBER(INDEX('M04-S03'!$AN$16:$AN$198,2*(ROWS($R$386:$R388)-1)+1))),INDEX('M04-S03'!$AH$16:$AH$198,2*(ROWS($AN$386:$AN388)-1)+1),"")</f>
        <v/>
      </c>
      <c r="AO388" s="113"/>
      <c r="AU388"/>
    </row>
    <row r="389" spans="1:47">
      <c r="A389" s="57">
        <f t="shared" si="37"/>
        <v>0</v>
      </c>
      <c r="B389" s="183" t="str">
        <f t="shared" si="39"/>
        <v/>
      </c>
      <c r="C389" s="186" t="str">
        <f>IF(OR(R389&gt;0,T389&gt;0),INDEX('M04-S03'!$BD$16:$BD$198,2*(ROWS($C$386:C389)-1)+1),"")</f>
        <v/>
      </c>
      <c r="D389">
        <f>INDEX('M04-S03'!$BG$16:$BG$198,2*(ROWS($AC$386:AC389)-1)+1)</f>
        <v>0</v>
      </c>
      <c r="E389" s="112"/>
      <c r="F389" s="112"/>
      <c r="G389" s="96"/>
      <c r="H389" s="184" t="str">
        <f>INDEX('M04-S03'!$AB$16:$AB$198,2*(ROWS($AC$386:AC389)-1)+1)</f>
        <v/>
      </c>
      <c r="I389" s="184">
        <f>IFERROR(ROUND(IF(ISNUMBER(INDEX('M04-S03'!$AN$16:$AN$198,2*(ROWS($R$386:$R389)-1)+1)),INDEX('M04-S03'!$AD$16:$AD$198,2*(ROWS($I$386:$I389)-1)+1),""),2),0)</f>
        <v>0</v>
      </c>
      <c r="J389" s="184">
        <f>IFERROR(ROUND(IF(ISNUMBER(INDEX('M04-S03'!$AN$16:$AN$198,2*(ROWS($R$386:$R389)-1)+1)),INDEX('M04-S03'!$AF$16:$AF$198,2*(ROWS($J$386:$J389)-1)+1),""),2),0)</f>
        <v>0</v>
      </c>
      <c r="K389" s="52">
        <f>IFERROR(ROUND(IF(ISNUMBER(INDEX('M04-S03'!$AN$16:$AN$198,2*(ROWS($R$386:$R389)-1)+1)),INDEX('M04-S03'!$AH$16:$AH$198,2*(ROWS($K$386:$K389)-1)+1),""),2),0)</f>
        <v>0</v>
      </c>
      <c r="L389" s="52">
        <f>IFERROR(ROUND(IF(ISNUMBER(INDEX('M04-S03'!$AN$16:$AN$198,2*(ROWS($R$386:$R389)-1)+1)),INDEX('M04-S03'!$BF$16:$BF$198,2*(ROWS($L$386:$L389)-1)+1),""),2),0)</f>
        <v>0</v>
      </c>
      <c r="M389" s="456" t="str">
        <f>IF(ISNUMBER(INDEX('M04-S03'!$AN$16:$AN$198,2*(ROWS($R$386:R389)-1)+1)),INDEX('M04-S03'!$X$16:$X$198,2*(ROWS($M$386:M389)-1)+1),"")</f>
        <v/>
      </c>
      <c r="N389" s="184" t="str">
        <f>IFERROR(IF(ISNUMBER(INDEX('M04-S03'!$AN$16:$AN$198,2*(ROWS($R$386:R389)-1)+1)),INDEX('M04-S03'!$AK$16:$AK$198,2*(ROWS($N$386:N389)-1)+1),""),"")</f>
        <v/>
      </c>
      <c r="O389" s="456" t="str">
        <f>IFERROR(IF(ISNUMBER(INDEX('M04-S03'!$AN$16:$AN$198,2*(ROWS($R$386:R389)-1)+1)),INDEX('M04-S03'!$AX$16:$AX$198,2*(ROWS($O$386:O389)-1)+1),""),"")</f>
        <v/>
      </c>
      <c r="P389" s="113"/>
      <c r="Q389" s="113"/>
      <c r="R389" s="184">
        <f>IF(ISNUMBER(INDEX('M04-S03'!$AN$16:$AN$198,2*(ROWS($R$386:R389)-1)+1)),INDEX('M04-S03'!$AN$16:$AN$198,2*(ROWS($R$386:R389)-1)+1),0)</f>
        <v>0</v>
      </c>
      <c r="S389" s="23" t="str">
        <f>IF(NOT(ISNUMBER(INDEX('M04-S03'!$AN$16:$AN$198,2*(ROWS($R$386:R389)-1)+1))),INDEX('M04-S03'!$X$16:$X$198,2*(ROWS($S$386:S389)-1)+1),"")</f>
        <v/>
      </c>
      <c r="T389" s="52" t="str">
        <f>IFERROR(IF(NOT(ISNUMBER(INDEX('M04-S03'!$AN$16:$AN$198,2*(ROWS($R$386:R389)-1)+1))),INDEX('M04-S03'!$AK$16:$AK$198,2*(ROWS($R$386:R389)-1)+1),0),0)</f>
        <v/>
      </c>
      <c r="U389" s="23" t="str">
        <f>IFERROR(IF(NOT(ISNUMBER(INDEX('M04-S03'!$AN$16:$AN$198,2*(ROWS($R$386:R389)-1)+1))),INDEX('M04-S03'!$AX$16:$AX$198,2*(ROWS($R$386:R389)-1)+1),""),"")</f>
        <v/>
      </c>
      <c r="V389" s="113"/>
      <c r="W389" t="str">
        <f>IFERROR(IF(NOT(ISNUMBER(INDEX('M04-S03'!$AN$16:$AN$198,2*(ROWS($R$386:R389)-1)+1))),INDEX('M04-S03'!$BE$16:$BE$198,2*(ROWS($R$386:R389)-1)+1),""),"")</f>
        <v>Submit for Review</v>
      </c>
      <c r="X389" s="113"/>
      <c r="Y389" s="113"/>
      <c r="Z389" s="111">
        <f>INDEX('M04-S03'!$B$16:$B$198,2*(ROWS($Z$386:Z389)-1)+1)</f>
        <v>4</v>
      </c>
      <c r="AA389" s="112"/>
      <c r="AB389" s="111">
        <f>INDEX('M04-S03'!$F$16:$F$198,2*(ROWS($Z$386:AB389)-1)+1)</f>
        <v>0</v>
      </c>
      <c r="AC389" t="str">
        <f>INDEX('M04-S03'!$L$16:$L$198,2*(ROWS($AC$386:AC389)-1)+1)</f>
        <v/>
      </c>
      <c r="AD389" t="str">
        <f>INDEX('M04-S03'!$T$16:$T$198,2*(ROWS($AD$386:AD389)-1)+1)</f>
        <v/>
      </c>
      <c r="AE389" s="459"/>
      <c r="AF389" s="459"/>
      <c r="AG389" s="111" t="str">
        <f>INDEX('M04-S03'!$R$16:$R$198,2*(ROWS($AG$309:AG312)-1)+1)</f>
        <v/>
      </c>
      <c r="AH389" s="111" t="str">
        <f>INDEX('M04-S03'!$Z$16:$Z$198,2*(ROWS($AH$386:AH389)-1)+1)</f>
        <v/>
      </c>
      <c r="AI389" s="96"/>
      <c r="AJ389" s="96"/>
      <c r="AK389" s="52" t="str">
        <f>INDEX('M04-S03'!$AV$16:$AV$198,2*(ROWS($AK$386:AK389)-1)+1)</f>
        <v/>
      </c>
      <c r="AL389" s="184">
        <f>IF(NOT(ISNUMBER(INDEX('M04-S03'!$AN$16:$AN$198,2*(ROWS($R$386:$R389)-1)+1))),INDEX('M04-S03'!$AD$16:$AD$198,2*(ROWS($AL$386:$AL389)-1)+1),"")</f>
        <v>0</v>
      </c>
      <c r="AM389" s="184" t="str">
        <f>IF(NOT(ISNUMBER(INDEX('M04-S03'!$AN$16:$AN$198,2*(ROWS($R$386:$R389)-1)+1))),INDEX('M04-S03'!$AF$16:$AF$198,2*(ROWS($AM$386:$AM389)-1)+1),"")</f>
        <v/>
      </c>
      <c r="AN389" s="52" t="str">
        <f>IF(NOT(ISNUMBER(INDEX('M04-S03'!$AN$16:$AN$198,2*(ROWS($R$386:$R389)-1)+1))),INDEX('M04-S03'!$AH$16:$AH$198,2*(ROWS($AN$386:$AN389)-1)+1),"")</f>
        <v/>
      </c>
      <c r="AO389" s="113"/>
      <c r="AU389"/>
    </row>
    <row r="390" spans="1:47">
      <c r="A390" s="57">
        <f t="shared" si="37"/>
        <v>0</v>
      </c>
      <c r="B390" s="183" t="str">
        <f t="shared" si="39"/>
        <v/>
      </c>
      <c r="C390" s="186" t="str">
        <f>IF(OR(R390&gt;0,T390&gt;0),INDEX('M04-S03'!$BD$16:$BD$198,2*(ROWS($C$386:C390)-1)+1),"")</f>
        <v/>
      </c>
      <c r="D390">
        <f>INDEX('M04-S03'!$BG$16:$BG$198,2*(ROWS($AC$386:AC390)-1)+1)</f>
        <v>0</v>
      </c>
      <c r="E390" s="112"/>
      <c r="F390" s="112"/>
      <c r="G390" s="96"/>
      <c r="H390" s="184" t="str">
        <f>INDEX('M04-S03'!$AB$16:$AB$198,2*(ROWS($AC$386:AC390)-1)+1)</f>
        <v/>
      </c>
      <c r="I390" s="184">
        <f>IFERROR(ROUND(IF(ISNUMBER(INDEX('M04-S03'!$AN$16:$AN$198,2*(ROWS($R$386:$R390)-1)+1)),INDEX('M04-S03'!$AD$16:$AD$198,2*(ROWS($I$386:$I390)-1)+1),""),2),0)</f>
        <v>0</v>
      </c>
      <c r="J390" s="184">
        <f>IFERROR(ROUND(IF(ISNUMBER(INDEX('M04-S03'!$AN$16:$AN$198,2*(ROWS($R$386:$R390)-1)+1)),INDEX('M04-S03'!$AF$16:$AF$198,2*(ROWS($J$386:$J390)-1)+1),""),2),0)</f>
        <v>0</v>
      </c>
      <c r="K390" s="52">
        <f>IFERROR(ROUND(IF(ISNUMBER(INDEX('M04-S03'!$AN$16:$AN$198,2*(ROWS($R$386:$R390)-1)+1)),INDEX('M04-S03'!$AH$16:$AH$198,2*(ROWS($K$386:$K390)-1)+1),""),2),0)</f>
        <v>0</v>
      </c>
      <c r="L390" s="52">
        <f>IFERROR(ROUND(IF(ISNUMBER(INDEX('M04-S03'!$AN$16:$AN$198,2*(ROWS($R$386:$R390)-1)+1)),INDEX('M04-S03'!$BF$16:$BF$198,2*(ROWS($L$386:$L390)-1)+1),""),2),0)</f>
        <v>0</v>
      </c>
      <c r="M390" s="456" t="str">
        <f>IF(ISNUMBER(INDEX('M04-S03'!$AN$16:$AN$198,2*(ROWS($R$386:R390)-1)+1)),INDEX('M04-S03'!$X$16:$X$198,2*(ROWS($M$386:M390)-1)+1),"")</f>
        <v/>
      </c>
      <c r="N390" s="184" t="str">
        <f>IFERROR(IF(ISNUMBER(INDEX('M04-S03'!$AN$16:$AN$198,2*(ROWS($R$386:R390)-1)+1)),INDEX('M04-S03'!$AK$16:$AK$198,2*(ROWS($N$386:N390)-1)+1),""),"")</f>
        <v/>
      </c>
      <c r="O390" s="456" t="str">
        <f>IFERROR(IF(ISNUMBER(INDEX('M04-S03'!$AN$16:$AN$198,2*(ROWS($R$386:R390)-1)+1)),INDEX('M04-S03'!$AX$16:$AX$198,2*(ROWS($O$386:O390)-1)+1),""),"")</f>
        <v/>
      </c>
      <c r="P390" s="113"/>
      <c r="Q390" s="113"/>
      <c r="R390" s="184">
        <f>IF(ISNUMBER(INDEX('M04-S03'!$AN$16:$AN$198,2*(ROWS($R$386:R390)-1)+1)),INDEX('M04-S03'!$AN$16:$AN$198,2*(ROWS($R$386:R390)-1)+1),0)</f>
        <v>0</v>
      </c>
      <c r="S390" s="23" t="str">
        <f>IF(NOT(ISNUMBER(INDEX('M04-S03'!$AN$16:$AN$198,2*(ROWS($R$386:R390)-1)+1))),INDEX('M04-S03'!$X$16:$X$198,2*(ROWS($S$386:S390)-1)+1),"")</f>
        <v/>
      </c>
      <c r="T390" s="52" t="str">
        <f>IFERROR(IF(NOT(ISNUMBER(INDEX('M04-S03'!$AN$16:$AN$198,2*(ROWS($R$386:R390)-1)+1))),INDEX('M04-S03'!$AK$16:$AK$198,2*(ROWS($R$386:R390)-1)+1),0),0)</f>
        <v/>
      </c>
      <c r="U390" s="23" t="str">
        <f>IFERROR(IF(NOT(ISNUMBER(INDEX('M04-S03'!$AN$16:$AN$198,2*(ROWS($R$386:R390)-1)+1))),INDEX('M04-S03'!$AX$16:$AX$198,2*(ROWS($R$386:R390)-1)+1),""),"")</f>
        <v/>
      </c>
      <c r="V390" s="113"/>
      <c r="W390" t="str">
        <f>IFERROR(IF(NOT(ISNUMBER(INDEX('M04-S03'!$AN$16:$AN$198,2*(ROWS($R$386:R390)-1)+1))),INDEX('M04-S03'!$BE$16:$BE$198,2*(ROWS($R$386:R390)-1)+1),""),"")</f>
        <v>Submit for Review</v>
      </c>
      <c r="X390" s="113"/>
      <c r="Y390" s="113"/>
      <c r="Z390" s="111">
        <f>INDEX('M04-S03'!$B$16:$B$198,2*(ROWS($Z$386:Z390)-1)+1)</f>
        <v>5</v>
      </c>
      <c r="AA390" s="112"/>
      <c r="AB390" s="111">
        <f>INDEX('M04-S03'!$F$16:$F$198,2*(ROWS($Z$386:AB390)-1)+1)</f>
        <v>0</v>
      </c>
      <c r="AC390" t="str">
        <f>INDEX('M04-S03'!$L$16:$L$198,2*(ROWS($AC$386:AC390)-1)+1)</f>
        <v/>
      </c>
      <c r="AD390" t="str">
        <f>INDEX('M04-S03'!$T$16:$T$198,2*(ROWS($AD$386:AD390)-1)+1)</f>
        <v/>
      </c>
      <c r="AE390" s="459"/>
      <c r="AF390" s="459"/>
      <c r="AG390" s="111" t="str">
        <f>INDEX('M04-S03'!$R$16:$R$198,2*(ROWS($AG$309:AG313)-1)+1)</f>
        <v/>
      </c>
      <c r="AH390" s="111" t="str">
        <f>INDEX('M04-S03'!$Z$16:$Z$198,2*(ROWS($AH$386:AH390)-1)+1)</f>
        <v/>
      </c>
      <c r="AI390" s="96"/>
      <c r="AJ390" s="96"/>
      <c r="AK390" s="52" t="str">
        <f>INDEX('M04-S03'!$AV$16:$AV$198,2*(ROWS($AK$386:AK390)-1)+1)</f>
        <v/>
      </c>
      <c r="AL390" s="184">
        <f>IF(NOT(ISNUMBER(INDEX('M04-S03'!$AN$16:$AN$198,2*(ROWS($R$386:$R390)-1)+1))),INDEX('M04-S03'!$AD$16:$AD$198,2*(ROWS($AL$386:$AL390)-1)+1),"")</f>
        <v>0</v>
      </c>
      <c r="AM390" s="184" t="str">
        <f>IF(NOT(ISNUMBER(INDEX('M04-S03'!$AN$16:$AN$198,2*(ROWS($R$386:$R390)-1)+1))),INDEX('M04-S03'!$AF$16:$AF$198,2*(ROWS($AM$386:$AM390)-1)+1),"")</f>
        <v/>
      </c>
      <c r="AN390" s="52" t="str">
        <f>IF(NOT(ISNUMBER(INDEX('M04-S03'!$AN$16:$AN$198,2*(ROWS($R$386:$R390)-1)+1))),INDEX('M04-S03'!$AH$16:$AH$198,2*(ROWS($AN$386:$AN390)-1)+1),"")</f>
        <v/>
      </c>
      <c r="AO390" s="113"/>
      <c r="AU390"/>
    </row>
    <row r="391" spans="1:47">
      <c r="A391" s="57">
        <f t="shared" si="37"/>
        <v>0</v>
      </c>
      <c r="B391" s="183" t="str">
        <f t="shared" si="39"/>
        <v/>
      </c>
      <c r="C391" s="186" t="str">
        <f>IF(OR(R391&gt;0,T391&gt;0),INDEX('M04-S03'!$BD$16:$BD$198,2*(ROWS($C$386:C391)-1)+1),"")</f>
        <v/>
      </c>
      <c r="D391">
        <f>INDEX('M04-S03'!$BG$16:$BG$198,2*(ROWS($AC$386:AC391)-1)+1)</f>
        <v>0</v>
      </c>
      <c r="E391" s="112"/>
      <c r="F391" s="112"/>
      <c r="G391" s="96"/>
      <c r="H391" s="184" t="str">
        <f>INDEX('M04-S03'!$AB$16:$AB$198,2*(ROWS($AC$386:AC391)-1)+1)</f>
        <v/>
      </c>
      <c r="I391" s="184">
        <f>IFERROR(ROUND(IF(ISNUMBER(INDEX('M04-S03'!$AN$16:$AN$198,2*(ROWS($R$386:$R391)-1)+1)),INDEX('M04-S03'!$AD$16:$AD$198,2*(ROWS($I$386:$I391)-1)+1),""),2),0)</f>
        <v>0</v>
      </c>
      <c r="J391" s="184">
        <f>IFERROR(ROUND(IF(ISNUMBER(INDEX('M04-S03'!$AN$16:$AN$198,2*(ROWS($R$386:$R391)-1)+1)),INDEX('M04-S03'!$AF$16:$AF$198,2*(ROWS($J$386:$J391)-1)+1),""),2),0)</f>
        <v>0</v>
      </c>
      <c r="K391" s="52">
        <f>IFERROR(ROUND(IF(ISNUMBER(INDEX('M04-S03'!$AN$16:$AN$198,2*(ROWS($R$386:$R391)-1)+1)),INDEX('M04-S03'!$AH$16:$AH$198,2*(ROWS($K$386:$K391)-1)+1),""),2),0)</f>
        <v>0</v>
      </c>
      <c r="L391" s="52">
        <f>IFERROR(ROUND(IF(ISNUMBER(INDEX('M04-S03'!$AN$16:$AN$198,2*(ROWS($R$386:$R391)-1)+1)),INDEX('M04-S03'!$BF$16:$BF$198,2*(ROWS($L$386:$L391)-1)+1),""),2),0)</f>
        <v>0</v>
      </c>
      <c r="M391" s="456" t="str">
        <f>IF(ISNUMBER(INDEX('M04-S03'!$AN$16:$AN$198,2*(ROWS($R$386:R391)-1)+1)),INDEX('M04-S03'!$X$16:$X$198,2*(ROWS($M$386:M391)-1)+1),"")</f>
        <v/>
      </c>
      <c r="N391" s="184" t="str">
        <f>IFERROR(IF(ISNUMBER(INDEX('M04-S03'!$AN$16:$AN$198,2*(ROWS($R$386:R391)-1)+1)),INDEX('M04-S03'!$AK$16:$AK$198,2*(ROWS($N$386:N391)-1)+1),""),"")</f>
        <v/>
      </c>
      <c r="O391" s="456" t="str">
        <f>IFERROR(IF(ISNUMBER(INDEX('M04-S03'!$AN$16:$AN$198,2*(ROWS($R$386:R391)-1)+1)),INDEX('M04-S03'!$AX$16:$AX$198,2*(ROWS($O$386:O391)-1)+1),""),"")</f>
        <v/>
      </c>
      <c r="P391" s="113"/>
      <c r="Q391" s="113"/>
      <c r="R391" s="184">
        <f>IF(ISNUMBER(INDEX('M04-S03'!$AN$16:$AN$198,2*(ROWS($R$386:R391)-1)+1)),INDEX('M04-S03'!$AN$16:$AN$198,2*(ROWS($R$386:R391)-1)+1),0)</f>
        <v>0</v>
      </c>
      <c r="S391" s="23" t="str">
        <f>IF(NOT(ISNUMBER(INDEX('M04-S03'!$AN$16:$AN$198,2*(ROWS($R$386:R391)-1)+1))),INDEX('M04-S03'!$X$16:$X$198,2*(ROWS($S$386:S391)-1)+1),"")</f>
        <v/>
      </c>
      <c r="T391" s="52" t="str">
        <f>IFERROR(IF(NOT(ISNUMBER(INDEX('M04-S03'!$AN$16:$AN$198,2*(ROWS($R$386:R391)-1)+1))),INDEX('M04-S03'!$AK$16:$AK$198,2*(ROWS($R$386:R391)-1)+1),0),0)</f>
        <v/>
      </c>
      <c r="U391" s="23" t="str">
        <f>IFERROR(IF(NOT(ISNUMBER(INDEX('M04-S03'!$AN$16:$AN$198,2*(ROWS($R$386:R391)-1)+1))),INDEX('M04-S03'!$AX$16:$AX$198,2*(ROWS($R$386:R391)-1)+1),""),"")</f>
        <v/>
      </c>
      <c r="V391" s="113"/>
      <c r="W391" t="str">
        <f>IFERROR(IF(NOT(ISNUMBER(INDEX('M04-S03'!$AN$16:$AN$198,2*(ROWS($R$386:R391)-1)+1))),INDEX('M04-S03'!$BE$16:$BE$198,2*(ROWS($R$386:R391)-1)+1),""),"")</f>
        <v>Submit for Review</v>
      </c>
      <c r="X391" s="113"/>
      <c r="Y391" s="113"/>
      <c r="Z391" s="111">
        <f>INDEX('M04-S03'!$B$16:$B$198,2*(ROWS($Z$386:Z391)-1)+1)</f>
        <v>6</v>
      </c>
      <c r="AA391" s="112"/>
      <c r="AB391" s="111">
        <f>INDEX('M04-S03'!$F$16:$F$198,2*(ROWS($Z$386:AB391)-1)+1)</f>
        <v>0</v>
      </c>
      <c r="AC391" t="str">
        <f>INDEX('M04-S03'!$L$16:$L$198,2*(ROWS($AC$386:AC391)-1)+1)</f>
        <v/>
      </c>
      <c r="AD391" t="str">
        <f>INDEX('M04-S03'!$T$16:$T$198,2*(ROWS($AD$386:AD391)-1)+1)</f>
        <v/>
      </c>
      <c r="AE391" s="459"/>
      <c r="AF391" s="459"/>
      <c r="AG391" s="111" t="str">
        <f>INDEX('M04-S03'!$R$16:$R$198,2*(ROWS($AG$309:AG314)-1)+1)</f>
        <v/>
      </c>
      <c r="AH391" s="111" t="str">
        <f>INDEX('M04-S03'!$Z$16:$Z$198,2*(ROWS($AH$386:AH391)-1)+1)</f>
        <v/>
      </c>
      <c r="AI391" s="96"/>
      <c r="AJ391" s="96"/>
      <c r="AK391" s="52" t="str">
        <f>INDEX('M04-S03'!$AV$16:$AV$198,2*(ROWS($AK$386:AK391)-1)+1)</f>
        <v/>
      </c>
      <c r="AL391" s="184">
        <f>IF(NOT(ISNUMBER(INDEX('M04-S03'!$AN$16:$AN$198,2*(ROWS($R$386:$R391)-1)+1))),INDEX('M04-S03'!$AD$16:$AD$198,2*(ROWS($AL$386:$AL391)-1)+1),"")</f>
        <v>0</v>
      </c>
      <c r="AM391" s="184" t="str">
        <f>IF(NOT(ISNUMBER(INDEX('M04-S03'!$AN$16:$AN$198,2*(ROWS($R$386:$R391)-1)+1))),INDEX('M04-S03'!$AF$16:$AF$198,2*(ROWS($AM$386:$AM391)-1)+1),"")</f>
        <v/>
      </c>
      <c r="AN391" s="52" t="str">
        <f>IF(NOT(ISNUMBER(INDEX('M04-S03'!$AN$16:$AN$198,2*(ROWS($R$386:$R391)-1)+1))),INDEX('M04-S03'!$AH$16:$AH$198,2*(ROWS($AN$386:$AN391)-1)+1),"")</f>
        <v/>
      </c>
      <c r="AO391" s="113"/>
      <c r="AU391"/>
    </row>
    <row r="392" spans="1:47">
      <c r="A392" s="57">
        <f t="shared" si="37"/>
        <v>0</v>
      </c>
      <c r="B392" s="183" t="str">
        <f t="shared" si="39"/>
        <v/>
      </c>
      <c r="C392" s="186" t="str">
        <f>IF(OR(R392&gt;0,T392&gt;0),INDEX('M04-S03'!$BD$16:$BD$198,2*(ROWS($C$386:C392)-1)+1),"")</f>
        <v/>
      </c>
      <c r="D392">
        <f>INDEX('M04-S03'!$BG$16:$BG$198,2*(ROWS($AC$386:AC392)-1)+1)</f>
        <v>0</v>
      </c>
      <c r="E392" s="112"/>
      <c r="F392" s="112"/>
      <c r="G392" s="96"/>
      <c r="H392" s="184" t="str">
        <f>INDEX('M04-S03'!$AB$16:$AB$198,2*(ROWS($AC$386:AC392)-1)+1)</f>
        <v/>
      </c>
      <c r="I392" s="184">
        <f>IFERROR(ROUND(IF(ISNUMBER(INDEX('M04-S03'!$AN$16:$AN$198,2*(ROWS($R$386:$R392)-1)+1)),INDEX('M04-S03'!$AD$16:$AD$198,2*(ROWS($I$386:$I392)-1)+1),""),2),0)</f>
        <v>0</v>
      </c>
      <c r="J392" s="184">
        <f>IFERROR(ROUND(IF(ISNUMBER(INDEX('M04-S03'!$AN$16:$AN$198,2*(ROWS($R$386:$R392)-1)+1)),INDEX('M04-S03'!$AF$16:$AF$198,2*(ROWS($J$386:$J392)-1)+1),""),2),0)</f>
        <v>0</v>
      </c>
      <c r="K392" s="52">
        <f>IFERROR(ROUND(IF(ISNUMBER(INDEX('M04-S03'!$AN$16:$AN$198,2*(ROWS($R$386:$R392)-1)+1)),INDEX('M04-S03'!$AH$16:$AH$198,2*(ROWS($K$386:$K392)-1)+1),""),2),0)</f>
        <v>0</v>
      </c>
      <c r="L392" s="52">
        <f>IFERROR(ROUND(IF(ISNUMBER(INDEX('M04-S03'!$AN$16:$AN$198,2*(ROWS($R$386:$R392)-1)+1)),INDEX('M04-S03'!$BF$16:$BF$198,2*(ROWS($L$386:$L392)-1)+1),""),2),0)</f>
        <v>0</v>
      </c>
      <c r="M392" s="456" t="str">
        <f>IF(ISNUMBER(INDEX('M04-S03'!$AN$16:$AN$198,2*(ROWS($R$386:R392)-1)+1)),INDEX('M04-S03'!$X$16:$X$198,2*(ROWS($M$386:M392)-1)+1),"")</f>
        <v/>
      </c>
      <c r="N392" s="184" t="str">
        <f>IFERROR(IF(ISNUMBER(INDEX('M04-S03'!$AN$16:$AN$198,2*(ROWS($R$386:R392)-1)+1)),INDEX('M04-S03'!$AK$16:$AK$198,2*(ROWS($N$386:N392)-1)+1),""),"")</f>
        <v/>
      </c>
      <c r="O392" s="456" t="str">
        <f>IFERROR(IF(ISNUMBER(INDEX('M04-S03'!$AN$16:$AN$198,2*(ROWS($R$386:R392)-1)+1)),INDEX('M04-S03'!$AX$16:$AX$198,2*(ROWS($O$386:O392)-1)+1),""),"")</f>
        <v/>
      </c>
      <c r="P392" s="113"/>
      <c r="Q392" s="113"/>
      <c r="R392" s="184">
        <f>IF(ISNUMBER(INDEX('M04-S03'!$AN$16:$AN$198,2*(ROWS($R$386:R392)-1)+1)),INDEX('M04-S03'!$AN$16:$AN$198,2*(ROWS($R$386:R392)-1)+1),0)</f>
        <v>0</v>
      </c>
      <c r="S392" s="23" t="str">
        <f>IF(NOT(ISNUMBER(INDEX('M04-S03'!$AN$16:$AN$198,2*(ROWS($R$386:R392)-1)+1))),INDEX('M04-S03'!$X$16:$X$198,2*(ROWS($S$386:S392)-1)+1),"")</f>
        <v/>
      </c>
      <c r="T392" s="52" t="str">
        <f>IFERROR(IF(NOT(ISNUMBER(INDEX('M04-S03'!$AN$16:$AN$198,2*(ROWS($R$386:R392)-1)+1))),INDEX('M04-S03'!$AK$16:$AK$198,2*(ROWS($R$386:R392)-1)+1),0),0)</f>
        <v/>
      </c>
      <c r="U392" s="23" t="str">
        <f>IFERROR(IF(NOT(ISNUMBER(INDEX('M04-S03'!$AN$16:$AN$198,2*(ROWS($R$386:R392)-1)+1))),INDEX('M04-S03'!$AX$16:$AX$198,2*(ROWS($R$386:R392)-1)+1),""),"")</f>
        <v/>
      </c>
      <c r="V392" s="113"/>
      <c r="W392" t="str">
        <f>IFERROR(IF(NOT(ISNUMBER(INDEX('M04-S03'!$AN$16:$AN$198,2*(ROWS($R$386:R392)-1)+1))),INDEX('M04-S03'!$BE$16:$BE$198,2*(ROWS($R$386:R392)-1)+1),""),"")</f>
        <v>Submit for Review</v>
      </c>
      <c r="X392" s="113"/>
      <c r="Y392" s="113"/>
      <c r="Z392" s="111">
        <f>INDEX('M04-S03'!$B$16:$B$198,2*(ROWS($Z$386:Z392)-1)+1)</f>
        <v>7</v>
      </c>
      <c r="AA392" s="112"/>
      <c r="AB392" s="111">
        <f>INDEX('M04-S03'!$F$16:$F$198,2*(ROWS($Z$386:AB392)-1)+1)</f>
        <v>0</v>
      </c>
      <c r="AC392" t="str">
        <f>INDEX('M04-S03'!$L$16:$L$198,2*(ROWS($AC$386:AC392)-1)+1)</f>
        <v/>
      </c>
      <c r="AD392" t="str">
        <f>INDEX('M04-S03'!$T$16:$T$198,2*(ROWS($AD$386:AD392)-1)+1)</f>
        <v/>
      </c>
      <c r="AE392" s="459"/>
      <c r="AF392" s="459"/>
      <c r="AG392" s="111" t="str">
        <f>INDEX('M04-S03'!$R$16:$R$198,2*(ROWS($AG$309:AG315)-1)+1)</f>
        <v/>
      </c>
      <c r="AH392" s="111" t="str">
        <f>INDEX('M04-S03'!$Z$16:$Z$198,2*(ROWS($AH$386:AH392)-1)+1)</f>
        <v/>
      </c>
      <c r="AI392" s="96"/>
      <c r="AJ392" s="96"/>
      <c r="AK392" s="52" t="str">
        <f>INDEX('M04-S03'!$AV$16:$AV$198,2*(ROWS($AK$386:AK392)-1)+1)</f>
        <v/>
      </c>
      <c r="AL392" s="184">
        <f>IF(NOT(ISNUMBER(INDEX('M04-S03'!$AN$16:$AN$198,2*(ROWS($R$386:$R392)-1)+1))),INDEX('M04-S03'!$AD$16:$AD$198,2*(ROWS($AL$386:$AL392)-1)+1),"")</f>
        <v>0</v>
      </c>
      <c r="AM392" s="184" t="str">
        <f>IF(NOT(ISNUMBER(INDEX('M04-S03'!$AN$16:$AN$198,2*(ROWS($R$386:$R392)-1)+1))),INDEX('M04-S03'!$AF$16:$AF$198,2*(ROWS($AM$386:$AM392)-1)+1),"")</f>
        <v/>
      </c>
      <c r="AN392" s="52" t="str">
        <f>IF(NOT(ISNUMBER(INDEX('M04-S03'!$AN$16:$AN$198,2*(ROWS($R$386:$R392)-1)+1))),INDEX('M04-S03'!$AH$16:$AH$198,2*(ROWS($AN$386:$AN392)-1)+1),"")</f>
        <v/>
      </c>
      <c r="AO392" s="113"/>
      <c r="AU392"/>
    </row>
    <row r="393" spans="1:47">
      <c r="A393" s="57">
        <f t="shared" si="37"/>
        <v>0</v>
      </c>
      <c r="B393" s="183" t="str">
        <f t="shared" si="39"/>
        <v/>
      </c>
      <c r="C393" s="186" t="str">
        <f>IF(OR(R393&gt;0,T393&gt;0),INDEX('M04-S03'!$BD$16:$BD$198,2*(ROWS($C$386:C393)-1)+1),"")</f>
        <v/>
      </c>
      <c r="D393">
        <f>INDEX('M04-S03'!$BG$16:$BG$198,2*(ROWS($AC$386:AC393)-1)+1)</f>
        <v>0</v>
      </c>
      <c r="E393" s="112"/>
      <c r="F393" s="112"/>
      <c r="G393" s="96"/>
      <c r="H393" s="184" t="str">
        <f>INDEX('M04-S03'!$AB$16:$AB$198,2*(ROWS($AC$386:AC393)-1)+1)</f>
        <v/>
      </c>
      <c r="I393" s="184">
        <f>IFERROR(ROUND(IF(ISNUMBER(INDEX('M04-S03'!$AN$16:$AN$198,2*(ROWS($R$386:$R393)-1)+1)),INDEX('M04-S03'!$AD$16:$AD$198,2*(ROWS($I$386:$I393)-1)+1),""),2),0)</f>
        <v>0</v>
      </c>
      <c r="J393" s="184">
        <f>IFERROR(ROUND(IF(ISNUMBER(INDEX('M04-S03'!$AN$16:$AN$198,2*(ROWS($R$386:$R393)-1)+1)),INDEX('M04-S03'!$AF$16:$AF$198,2*(ROWS($J$386:$J393)-1)+1),""),2),0)</f>
        <v>0</v>
      </c>
      <c r="K393" s="52">
        <f>IFERROR(ROUND(IF(ISNUMBER(INDEX('M04-S03'!$AN$16:$AN$198,2*(ROWS($R$386:$R393)-1)+1)),INDEX('M04-S03'!$AH$16:$AH$198,2*(ROWS($K$386:$K393)-1)+1),""),2),0)</f>
        <v>0</v>
      </c>
      <c r="L393" s="52">
        <f>IFERROR(ROUND(IF(ISNUMBER(INDEX('M04-S03'!$AN$16:$AN$198,2*(ROWS($R$386:$R393)-1)+1)),INDEX('M04-S03'!$BF$16:$BF$198,2*(ROWS($L$386:$L393)-1)+1),""),2),0)</f>
        <v>0</v>
      </c>
      <c r="M393" s="456" t="str">
        <f>IF(ISNUMBER(INDEX('M04-S03'!$AN$16:$AN$198,2*(ROWS($R$386:R393)-1)+1)),INDEX('M04-S03'!$X$16:$X$198,2*(ROWS($M$386:M393)-1)+1),"")</f>
        <v/>
      </c>
      <c r="N393" s="184" t="str">
        <f>IFERROR(IF(ISNUMBER(INDEX('M04-S03'!$AN$16:$AN$198,2*(ROWS($R$386:R393)-1)+1)),INDEX('M04-S03'!$AK$16:$AK$198,2*(ROWS($N$386:N393)-1)+1),""),"")</f>
        <v/>
      </c>
      <c r="O393" s="456" t="str">
        <f>IFERROR(IF(ISNUMBER(INDEX('M04-S03'!$AN$16:$AN$198,2*(ROWS($R$386:R393)-1)+1)),INDEX('M04-S03'!$AX$16:$AX$198,2*(ROWS($O$386:O393)-1)+1),""),"")</f>
        <v/>
      </c>
      <c r="P393" s="113"/>
      <c r="Q393" s="113"/>
      <c r="R393" s="184">
        <f>IF(ISNUMBER(INDEX('M04-S03'!$AN$16:$AN$198,2*(ROWS($R$386:R393)-1)+1)),INDEX('M04-S03'!$AN$16:$AN$198,2*(ROWS($R$386:R393)-1)+1),0)</f>
        <v>0</v>
      </c>
      <c r="S393" s="23" t="str">
        <f>IF(NOT(ISNUMBER(INDEX('M04-S03'!$AN$16:$AN$198,2*(ROWS($R$386:R393)-1)+1))),INDEX('M04-S03'!$X$16:$X$198,2*(ROWS($S$386:S393)-1)+1),"")</f>
        <v/>
      </c>
      <c r="T393" s="52" t="str">
        <f>IFERROR(IF(NOT(ISNUMBER(INDEX('M04-S03'!$AN$16:$AN$198,2*(ROWS($R$386:R393)-1)+1))),INDEX('M04-S03'!$AK$16:$AK$198,2*(ROWS($R$386:R393)-1)+1),0),0)</f>
        <v/>
      </c>
      <c r="U393" s="23" t="str">
        <f>IFERROR(IF(NOT(ISNUMBER(INDEX('M04-S03'!$AN$16:$AN$198,2*(ROWS($R$386:R393)-1)+1))),INDEX('M04-S03'!$AX$16:$AX$198,2*(ROWS($R$386:R393)-1)+1),""),"")</f>
        <v/>
      </c>
      <c r="V393" s="113"/>
      <c r="W393" t="str">
        <f>IFERROR(IF(NOT(ISNUMBER(INDEX('M04-S03'!$AN$16:$AN$198,2*(ROWS($R$386:R393)-1)+1))),INDEX('M04-S03'!$BE$16:$BE$198,2*(ROWS($R$386:R393)-1)+1),""),"")</f>
        <v>Submit for Review</v>
      </c>
      <c r="X393" s="113"/>
      <c r="Y393" s="113"/>
      <c r="Z393" s="111">
        <f>INDEX('M04-S03'!$B$16:$B$198,2*(ROWS($Z$386:Z393)-1)+1)</f>
        <v>8</v>
      </c>
      <c r="AA393" s="112"/>
      <c r="AB393" s="111">
        <f>INDEX('M04-S03'!$F$16:$F$198,2*(ROWS($Z$386:AB393)-1)+1)</f>
        <v>0</v>
      </c>
      <c r="AC393" t="str">
        <f>INDEX('M04-S03'!$L$16:$L$198,2*(ROWS($AC$386:AC393)-1)+1)</f>
        <v/>
      </c>
      <c r="AD393" t="str">
        <f>INDEX('M04-S03'!$T$16:$T$198,2*(ROWS($AD$386:AD393)-1)+1)</f>
        <v/>
      </c>
      <c r="AE393" s="459"/>
      <c r="AF393" s="459"/>
      <c r="AG393" s="111" t="str">
        <f>INDEX('M04-S03'!$R$16:$R$198,2*(ROWS($AG$309:AG316)-1)+1)</f>
        <v/>
      </c>
      <c r="AH393" s="111" t="str">
        <f>INDEX('M04-S03'!$Z$16:$Z$198,2*(ROWS($AH$386:AH393)-1)+1)</f>
        <v/>
      </c>
      <c r="AI393" s="96"/>
      <c r="AJ393" s="96"/>
      <c r="AK393" s="52" t="str">
        <f>INDEX('M04-S03'!$AV$16:$AV$198,2*(ROWS($AK$386:AK393)-1)+1)</f>
        <v/>
      </c>
      <c r="AL393" s="184">
        <f>IF(NOT(ISNUMBER(INDEX('M04-S03'!$AN$16:$AN$198,2*(ROWS($R$386:$R393)-1)+1))),INDEX('M04-S03'!$AD$16:$AD$198,2*(ROWS($AL$386:$AL393)-1)+1),"")</f>
        <v>0</v>
      </c>
      <c r="AM393" s="184" t="str">
        <f>IF(NOT(ISNUMBER(INDEX('M04-S03'!$AN$16:$AN$198,2*(ROWS($R$386:$R393)-1)+1))),INDEX('M04-S03'!$AF$16:$AF$198,2*(ROWS($AM$386:$AM393)-1)+1),"")</f>
        <v/>
      </c>
      <c r="AN393" s="52" t="str">
        <f>IF(NOT(ISNUMBER(INDEX('M04-S03'!$AN$16:$AN$198,2*(ROWS($R$386:$R393)-1)+1))),INDEX('M04-S03'!$AH$16:$AH$198,2*(ROWS($AN$386:$AN393)-1)+1),"")</f>
        <v/>
      </c>
      <c r="AO393" s="113"/>
      <c r="AU393"/>
    </row>
    <row r="394" spans="1:47">
      <c r="A394" s="57">
        <f t="shared" si="37"/>
        <v>0</v>
      </c>
      <c r="B394" s="183" t="str">
        <f t="shared" si="39"/>
        <v/>
      </c>
      <c r="C394" s="186" t="str">
        <f>IF(OR(R394&gt;0,T394&gt;0),INDEX('M04-S03'!$BD$16:$BD$198,2*(ROWS($C$386:C394)-1)+1),"")</f>
        <v/>
      </c>
      <c r="D394">
        <f>INDEX('M04-S03'!$BG$16:$BG$198,2*(ROWS($AC$386:AC394)-1)+1)</f>
        <v>0</v>
      </c>
      <c r="E394" s="112"/>
      <c r="F394" s="112"/>
      <c r="G394" s="96"/>
      <c r="H394" s="184" t="str">
        <f>INDEX('M04-S03'!$AB$16:$AB$198,2*(ROWS($AC$386:AC394)-1)+1)</f>
        <v/>
      </c>
      <c r="I394" s="184">
        <f>IFERROR(ROUND(IF(ISNUMBER(INDEX('M04-S03'!$AN$16:$AN$198,2*(ROWS($R$386:$R394)-1)+1)),INDEX('M04-S03'!$AD$16:$AD$198,2*(ROWS($I$386:$I394)-1)+1),""),2),0)</f>
        <v>0</v>
      </c>
      <c r="J394" s="184">
        <f>IFERROR(ROUND(IF(ISNUMBER(INDEX('M04-S03'!$AN$16:$AN$198,2*(ROWS($R$386:$R394)-1)+1)),INDEX('M04-S03'!$AF$16:$AF$198,2*(ROWS($J$386:$J394)-1)+1),""),2),0)</f>
        <v>0</v>
      </c>
      <c r="K394" s="52">
        <f>IFERROR(ROUND(IF(ISNUMBER(INDEX('M04-S03'!$AN$16:$AN$198,2*(ROWS($R$386:$R394)-1)+1)),INDEX('M04-S03'!$AH$16:$AH$198,2*(ROWS($K$386:$K394)-1)+1),""),2),0)</f>
        <v>0</v>
      </c>
      <c r="L394" s="52">
        <f>IFERROR(ROUND(IF(ISNUMBER(INDEX('M04-S03'!$AN$16:$AN$198,2*(ROWS($R$386:$R394)-1)+1)),INDEX('M04-S03'!$BF$16:$BF$198,2*(ROWS($L$386:$L394)-1)+1),""),2),0)</f>
        <v>0</v>
      </c>
      <c r="M394" s="456" t="str">
        <f>IF(ISNUMBER(INDEX('M04-S03'!$AN$16:$AN$198,2*(ROWS($R$386:R394)-1)+1)),INDEX('M04-S03'!$X$16:$X$198,2*(ROWS($M$386:M394)-1)+1),"")</f>
        <v/>
      </c>
      <c r="N394" s="184" t="str">
        <f>IFERROR(IF(ISNUMBER(INDEX('M04-S03'!$AN$16:$AN$198,2*(ROWS($R$386:R394)-1)+1)),INDEX('M04-S03'!$AK$16:$AK$198,2*(ROWS($N$386:N394)-1)+1),""),"")</f>
        <v/>
      </c>
      <c r="O394" s="456" t="str">
        <f>IFERROR(IF(ISNUMBER(INDEX('M04-S03'!$AN$16:$AN$198,2*(ROWS($R$386:R394)-1)+1)),INDEX('M04-S03'!$AX$16:$AX$198,2*(ROWS($O$386:O394)-1)+1),""),"")</f>
        <v/>
      </c>
      <c r="P394" s="113"/>
      <c r="Q394" s="113"/>
      <c r="R394" s="184">
        <f>IF(ISNUMBER(INDEX('M04-S03'!$AN$16:$AN$198,2*(ROWS($R$386:R394)-1)+1)),INDEX('M04-S03'!$AN$16:$AN$198,2*(ROWS($R$386:R394)-1)+1),0)</f>
        <v>0</v>
      </c>
      <c r="S394" s="23" t="str">
        <f>IF(NOT(ISNUMBER(INDEX('M04-S03'!$AN$16:$AN$198,2*(ROWS($R$386:R394)-1)+1))),INDEX('M04-S03'!$X$16:$X$198,2*(ROWS($S$386:S394)-1)+1),"")</f>
        <v/>
      </c>
      <c r="T394" s="52" t="str">
        <f>IFERROR(IF(NOT(ISNUMBER(INDEX('M04-S03'!$AN$16:$AN$198,2*(ROWS($R$386:R394)-1)+1))),INDEX('M04-S03'!$AK$16:$AK$198,2*(ROWS($R$386:R394)-1)+1),0),0)</f>
        <v/>
      </c>
      <c r="U394" s="23" t="str">
        <f>IFERROR(IF(NOT(ISNUMBER(INDEX('M04-S03'!$AN$16:$AN$198,2*(ROWS($R$386:R394)-1)+1))),INDEX('M04-S03'!$AX$16:$AX$198,2*(ROWS($R$386:R394)-1)+1),""),"")</f>
        <v/>
      </c>
      <c r="V394" s="113"/>
      <c r="W394" t="str">
        <f>IFERROR(IF(NOT(ISNUMBER(INDEX('M04-S03'!$AN$16:$AN$198,2*(ROWS($R$386:R394)-1)+1))),INDEX('M04-S03'!$BE$16:$BE$198,2*(ROWS($R$386:R394)-1)+1),""),"")</f>
        <v>Submit for Review</v>
      </c>
      <c r="X394" s="113"/>
      <c r="Y394" s="113"/>
      <c r="Z394" s="111">
        <f>INDEX('M04-S03'!$B$16:$B$198,2*(ROWS($Z$386:Z394)-1)+1)</f>
        <v>9</v>
      </c>
      <c r="AA394" s="112"/>
      <c r="AB394" s="111">
        <f>INDEX('M04-S03'!$F$16:$F$198,2*(ROWS($Z$386:AB394)-1)+1)</f>
        <v>0</v>
      </c>
      <c r="AC394" t="str">
        <f>INDEX('M04-S03'!$L$16:$L$198,2*(ROWS($AC$386:AC394)-1)+1)</f>
        <v/>
      </c>
      <c r="AD394" t="str">
        <f>INDEX('M04-S03'!$T$16:$T$198,2*(ROWS($AD$386:AD394)-1)+1)</f>
        <v/>
      </c>
      <c r="AE394" s="459"/>
      <c r="AF394" s="459"/>
      <c r="AG394" s="111" t="str">
        <f>INDEX('M04-S03'!$R$16:$R$198,2*(ROWS($AG$309:AG317)-1)+1)</f>
        <v/>
      </c>
      <c r="AH394" s="111" t="str">
        <f>INDEX('M04-S03'!$Z$16:$Z$198,2*(ROWS($AH$386:AH394)-1)+1)</f>
        <v/>
      </c>
      <c r="AI394" s="96"/>
      <c r="AJ394" s="96"/>
      <c r="AK394" s="52" t="str">
        <f>INDEX('M04-S03'!$AV$16:$AV$198,2*(ROWS($AK$386:AK394)-1)+1)</f>
        <v/>
      </c>
      <c r="AL394" s="184">
        <f>IF(NOT(ISNUMBER(INDEX('M04-S03'!$AN$16:$AN$198,2*(ROWS($R$386:$R394)-1)+1))),INDEX('M04-S03'!$AD$16:$AD$198,2*(ROWS($AL$386:$AL394)-1)+1),"")</f>
        <v>0</v>
      </c>
      <c r="AM394" s="184" t="str">
        <f>IF(NOT(ISNUMBER(INDEX('M04-S03'!$AN$16:$AN$198,2*(ROWS($R$386:$R394)-1)+1))),INDEX('M04-S03'!$AF$16:$AF$198,2*(ROWS($AM$386:$AM394)-1)+1),"")</f>
        <v/>
      </c>
      <c r="AN394" s="52" t="str">
        <f>IF(NOT(ISNUMBER(INDEX('M04-S03'!$AN$16:$AN$198,2*(ROWS($R$386:$R394)-1)+1))),INDEX('M04-S03'!$AH$16:$AH$198,2*(ROWS($AN$386:$AN394)-1)+1),"")</f>
        <v/>
      </c>
      <c r="AO394" s="113"/>
      <c r="AU394"/>
    </row>
    <row r="395" spans="1:47">
      <c r="A395" s="57">
        <f t="shared" si="37"/>
        <v>0</v>
      </c>
      <c r="B395" s="183" t="str">
        <f t="shared" si="39"/>
        <v/>
      </c>
      <c r="C395" s="186" t="str">
        <f>IF(OR(R395&gt;0,T395&gt;0),INDEX('M04-S03'!$BD$16:$BD$198,2*(ROWS($C$386:C395)-1)+1),"")</f>
        <v/>
      </c>
      <c r="D395">
        <f>INDEX('M04-S03'!$BG$16:$BG$198,2*(ROWS($AC$386:AC395)-1)+1)</f>
        <v>0</v>
      </c>
      <c r="E395" s="112"/>
      <c r="F395" s="112"/>
      <c r="G395" s="96"/>
      <c r="H395" s="184" t="str">
        <f>INDEX('M04-S03'!$AB$16:$AB$198,2*(ROWS($AC$386:AC395)-1)+1)</f>
        <v/>
      </c>
      <c r="I395" s="184">
        <f>IFERROR(ROUND(IF(ISNUMBER(INDEX('M04-S03'!$AN$16:$AN$198,2*(ROWS($R$386:$R395)-1)+1)),INDEX('M04-S03'!$AD$16:$AD$198,2*(ROWS($I$386:$I395)-1)+1),""),2),0)</f>
        <v>0</v>
      </c>
      <c r="J395" s="184">
        <f>IFERROR(ROUND(IF(ISNUMBER(INDEX('M04-S03'!$AN$16:$AN$198,2*(ROWS($R$386:$R395)-1)+1)),INDEX('M04-S03'!$AF$16:$AF$198,2*(ROWS($J$386:$J395)-1)+1),""),2),0)</f>
        <v>0</v>
      </c>
      <c r="K395" s="52">
        <f>IFERROR(ROUND(IF(ISNUMBER(INDEX('M04-S03'!$AN$16:$AN$198,2*(ROWS($R$386:$R395)-1)+1)),INDEX('M04-S03'!$AH$16:$AH$198,2*(ROWS($K$386:$K395)-1)+1),""),2),0)</f>
        <v>0</v>
      </c>
      <c r="L395" s="52">
        <f>IFERROR(ROUND(IF(ISNUMBER(INDEX('M04-S03'!$AN$16:$AN$198,2*(ROWS($R$386:$R395)-1)+1)),INDEX('M04-S03'!$BF$16:$BF$198,2*(ROWS($L$386:$L395)-1)+1),""),2),0)</f>
        <v>0</v>
      </c>
      <c r="M395" s="456" t="str">
        <f>IF(ISNUMBER(INDEX('M04-S03'!$AN$16:$AN$198,2*(ROWS($R$386:R395)-1)+1)),INDEX('M04-S03'!$X$16:$X$198,2*(ROWS($M$386:M395)-1)+1),"")</f>
        <v/>
      </c>
      <c r="N395" s="184" t="str">
        <f>IFERROR(IF(ISNUMBER(INDEX('M04-S03'!$AN$16:$AN$198,2*(ROWS($R$386:R395)-1)+1)),INDEX('M04-S03'!$AK$16:$AK$198,2*(ROWS($N$386:N395)-1)+1),""),"")</f>
        <v/>
      </c>
      <c r="O395" s="456" t="str">
        <f>IFERROR(IF(ISNUMBER(INDEX('M04-S03'!$AN$16:$AN$198,2*(ROWS($R$386:R395)-1)+1)),INDEX('M04-S03'!$AX$16:$AX$198,2*(ROWS($O$386:O395)-1)+1),""),"")</f>
        <v/>
      </c>
      <c r="P395" s="113"/>
      <c r="Q395" s="113"/>
      <c r="R395" s="184">
        <f>IF(ISNUMBER(INDEX('M04-S03'!$AN$16:$AN$198,2*(ROWS($R$386:R395)-1)+1)),INDEX('M04-S03'!$AN$16:$AN$198,2*(ROWS($R$386:R395)-1)+1),0)</f>
        <v>0</v>
      </c>
      <c r="S395" s="23" t="str">
        <f>IF(NOT(ISNUMBER(INDEX('M04-S03'!$AN$16:$AN$198,2*(ROWS($R$386:R395)-1)+1))),INDEX('M04-S03'!$X$16:$X$198,2*(ROWS($S$386:S395)-1)+1),"")</f>
        <v/>
      </c>
      <c r="T395" s="52" t="str">
        <f>IFERROR(IF(NOT(ISNUMBER(INDEX('M04-S03'!$AN$16:$AN$198,2*(ROWS($R$386:R395)-1)+1))),INDEX('M04-S03'!$AK$16:$AK$198,2*(ROWS($R$386:R395)-1)+1),0),0)</f>
        <v/>
      </c>
      <c r="U395" s="23" t="str">
        <f>IFERROR(IF(NOT(ISNUMBER(INDEX('M04-S03'!$AN$16:$AN$198,2*(ROWS($R$386:R395)-1)+1))),INDEX('M04-S03'!$AX$16:$AX$198,2*(ROWS($R$386:R395)-1)+1),""),"")</f>
        <v/>
      </c>
      <c r="V395" s="113"/>
      <c r="W395" t="str">
        <f>IFERROR(IF(NOT(ISNUMBER(INDEX('M04-S03'!$AN$16:$AN$198,2*(ROWS($R$386:R395)-1)+1))),INDEX('M04-S03'!$BE$16:$BE$198,2*(ROWS($R$386:R395)-1)+1),""),"")</f>
        <v>Submit for Review</v>
      </c>
      <c r="X395" s="113"/>
      <c r="Y395" s="113"/>
      <c r="Z395" s="111">
        <f>INDEX('M04-S03'!$B$16:$B$198,2*(ROWS($Z$386:Z395)-1)+1)</f>
        <v>10</v>
      </c>
      <c r="AA395" s="112"/>
      <c r="AB395" s="111">
        <f>INDEX('M04-S03'!$F$16:$F$198,2*(ROWS($Z$386:AB395)-1)+1)</f>
        <v>0</v>
      </c>
      <c r="AC395" t="str">
        <f>INDEX('M04-S03'!$L$16:$L$198,2*(ROWS($AC$386:AC395)-1)+1)</f>
        <v/>
      </c>
      <c r="AD395" t="str">
        <f>INDEX('M04-S03'!$T$16:$T$198,2*(ROWS($AD$386:AD395)-1)+1)</f>
        <v/>
      </c>
      <c r="AE395" s="459"/>
      <c r="AF395" s="459"/>
      <c r="AG395" s="111" t="str">
        <f>INDEX('M04-S03'!$R$16:$R$198,2*(ROWS($AG$309:AG318)-1)+1)</f>
        <v/>
      </c>
      <c r="AH395" s="111" t="str">
        <f>INDEX('M04-S03'!$Z$16:$Z$198,2*(ROWS($AH$386:AH395)-1)+1)</f>
        <v/>
      </c>
      <c r="AI395" s="96"/>
      <c r="AJ395" s="96"/>
      <c r="AK395" s="52" t="str">
        <f>INDEX('M04-S03'!$AV$16:$AV$198,2*(ROWS($AK$386:AK395)-1)+1)</f>
        <v/>
      </c>
      <c r="AL395" s="184">
        <f>IF(NOT(ISNUMBER(INDEX('M04-S03'!$AN$16:$AN$198,2*(ROWS($R$386:$R395)-1)+1))),INDEX('M04-S03'!$AD$16:$AD$198,2*(ROWS($AL$386:$AL395)-1)+1),"")</f>
        <v>0</v>
      </c>
      <c r="AM395" s="184" t="str">
        <f>IF(NOT(ISNUMBER(INDEX('M04-S03'!$AN$16:$AN$198,2*(ROWS($R$386:$R395)-1)+1))),INDEX('M04-S03'!$AF$16:$AF$198,2*(ROWS($AM$386:$AM395)-1)+1),"")</f>
        <v/>
      </c>
      <c r="AN395" s="52" t="str">
        <f>IF(NOT(ISNUMBER(INDEX('M04-S03'!$AN$16:$AN$198,2*(ROWS($R$386:$R395)-1)+1))),INDEX('M04-S03'!$AH$16:$AH$198,2*(ROWS($AN$386:$AN395)-1)+1),"")</f>
        <v/>
      </c>
      <c r="AO395" s="113"/>
      <c r="AU395"/>
    </row>
    <row r="396" spans="1:47">
      <c r="A396" s="57">
        <f t="shared" si="37"/>
        <v>0</v>
      </c>
      <c r="B396" s="183" t="str">
        <f t="shared" si="39"/>
        <v/>
      </c>
      <c r="C396" s="186" t="str">
        <f>IF(OR(R396&gt;0,T396&gt;0),INDEX('M04-S03'!$BD$16:$BD$198,2*(ROWS($C$386:C396)-1)+1),"")</f>
        <v/>
      </c>
      <c r="D396" t="s">
        <v>231</v>
      </c>
      <c r="E396" s="112"/>
      <c r="F396" s="112"/>
      <c r="G396" s="96"/>
      <c r="H396" s="96"/>
      <c r="I396" s="184">
        <f>IFERROR(ROUND(IF(ISNUMBER(INDEX('M04-S03'!$AN$16:$AN$198,2*(ROWS($R$386:$R396)-1)+1)),INDEX('M04-S03'!$AD$16:$AD$198,2*(ROWS($I$386:$I396)-1)+1),""),2),0)</f>
        <v>0</v>
      </c>
      <c r="J396" s="184">
        <f>IFERROR(ROUND(IF(ISNUMBER(INDEX('M04-S03'!$AN$16:$AN$198,2*(ROWS($R$386:$R396)-1)+1)),INDEX('M04-S03'!$AF$16:$AF$198,2*(ROWS($J$386:$J396)-1)+1),""),2),0)</f>
        <v>0</v>
      </c>
      <c r="K396" s="52">
        <f>IFERROR(ROUND(IF(ISNUMBER(INDEX('M04-S03'!$AN$16:$AN$198,2*(ROWS($R$386:$R396)-1)+1)),INDEX('M04-S03'!$AH$16:$AH$198,2*(ROWS($K$386:$K396)-1)+1),""),2),0)</f>
        <v>0</v>
      </c>
      <c r="M396" s="456" t="str">
        <f>IF(ISNUMBER(INDEX('M04-S03'!$AN$16:$AN$198,2*(ROWS($R$386:R396)-1)+1)),INDEX('M04-S03'!$X$16:$X$198,2*(ROWS($M$386:M396)-1)+1),"")</f>
        <v/>
      </c>
      <c r="N396" s="184" t="str">
        <f>IFERROR(IF(ISNUMBER(INDEX('M04-S03'!$AN$16:$AN$198,2*(ROWS($R$386:R396)-1)+1)),INDEX('M04-S03'!$AK$16:$AK$198,2*(ROWS($N$386:N396)-1)+1),""),"")</f>
        <v/>
      </c>
      <c r="O396" s="456" t="str">
        <f>IFERROR(IF(ISNUMBER(INDEX('M04-S03'!$AN$16:$AN$198,2*(ROWS($R$386:R396)-1)+1)),INDEX('M04-S03'!$AX$16:$AX$198,2*(ROWS($O$386:O396)-1)+1),""),"")</f>
        <v/>
      </c>
      <c r="P396" s="113"/>
      <c r="Q396" s="113"/>
      <c r="R396" s="184">
        <f>IF(ISNUMBER(INDEX('M04-S03'!$AN$16:$AN$198,2*(ROWS($R$386:R396)-1)+1)),INDEX('M04-S03'!$AN$16:$AN$198,2*(ROWS($R$386:R396)-1)+1),0)</f>
        <v>0</v>
      </c>
      <c r="S396" s="23">
        <f>IF(NOT(ISNUMBER(INDEX('M04-S03'!$AN$16:$AN$198,2*(ROWS($R$386:R396)-1)+1))),INDEX('M04-S03'!$X$16:$X$198,2*(ROWS($S$386:S396)-1)+1),"")</f>
        <v>0</v>
      </c>
      <c r="T396" s="52" t="str">
        <f>IFERROR(IF(NOT(ISNUMBER(INDEX('M04-S03'!$AN$16:$AN$198,2*(ROWS($R$386:R396)-1)+1))),INDEX('M04-S03'!$AK$16:$AK$198,2*(ROWS($R$386:R396)-1)+1),0),0)</f>
        <v/>
      </c>
      <c r="U396" s="23" t="str">
        <f>IFERROR(IF(NOT(ISNUMBER(INDEX('M04-S03'!$AN$16:$AN$198,2*(ROWS($R$386:R396)-1)+1))),INDEX('M04-S03'!$AX$16:$AX$198,2*(ROWS($R$386:R396)-1)+1),""),"")</f>
        <v/>
      </c>
      <c r="V396" s="113"/>
      <c r="W396" t="str">
        <f>IFERROR(IF(NOT(ISNUMBER(INDEX('M04-S03'!$AN$16:$AN$198,2*(ROWS($R$386:R396)-1)+1))),INDEX('M04-S03'!$BE$16:$BE$198,2*(ROWS($R$386:R396)-1)+1),""),"")</f>
        <v>Submit for Review</v>
      </c>
      <c r="X396" s="113"/>
      <c r="Y396" s="113"/>
      <c r="Z396" s="111">
        <f>INDEX('M04-S03'!$B$16:$B$198,2*(ROWS($Z$386:Z396)-1)+1)</f>
        <v>11</v>
      </c>
      <c r="AA396" s="112"/>
      <c r="AB396" s="111">
        <f>INDEX('M04-S03'!$F$16:$F$198,2*(ROWS($Z$386:AB396)-1)+1)</f>
        <v>0</v>
      </c>
      <c r="AC396">
        <f>INDEX('M04-S03'!$L$16:$L$198,2*(ROWS($AC$386:AC396)-1)+1)</f>
        <v>0</v>
      </c>
      <c r="AD396">
        <f>INDEX('M04-S03'!$T$16:$T$198,2*(ROWS($AD$386:AD396)-1)+1)</f>
        <v>0</v>
      </c>
      <c r="AE396" s="459"/>
      <c r="AF396" s="459"/>
      <c r="AG396" s="111">
        <f>INDEX('M04-S03'!$R$16:$R$198,2*(ROWS($AG$309:AG319)-1)+1)</f>
        <v>0</v>
      </c>
      <c r="AH396" s="111">
        <f>INDEX('M04-S03'!$Z$16:$Z$198,2*(ROWS($AH$386:AH396)-1)+1)</f>
        <v>0</v>
      </c>
      <c r="AI396" s="96"/>
      <c r="AJ396" s="96"/>
      <c r="AK396" s="52" t="str">
        <f>INDEX('M04-S03'!$AV$16:$AV$198,2*(ROWS($AK$386:AK396)-1)+1)</f>
        <v/>
      </c>
      <c r="AL396" s="184">
        <f>IF(NOT(ISNUMBER(INDEX('M04-S03'!$AN$16:$AN$198,2*(ROWS($R$386:$R396)-1)+1))),INDEX('M04-S03'!$AD$16:$AD$198,2*(ROWS($AL$386:$AL396)-1)+1),"")</f>
        <v>0</v>
      </c>
      <c r="AM396" s="184" t="str">
        <f>IF(NOT(ISNUMBER(INDEX('M04-S03'!$AN$16:$AN$198,2*(ROWS($R$386:$R396)-1)+1))),INDEX('M04-S03'!$AF$16:$AF$198,2*(ROWS($AM$386:$AM396)-1)+1),"")</f>
        <v/>
      </c>
      <c r="AN396" s="52" t="str">
        <f>IF(NOT(ISNUMBER(INDEX('M04-S03'!$AN$16:$AN$198,2*(ROWS($R$386:$R396)-1)+1))),INDEX('M04-S03'!$AH$16:$AH$198,2*(ROWS($AN$386:$AN396)-1)+1),"")</f>
        <v/>
      </c>
      <c r="AO396" s="113"/>
      <c r="AU396"/>
    </row>
    <row r="397" spans="1:47">
      <c r="A397" s="57">
        <f t="shared" si="37"/>
        <v>0</v>
      </c>
      <c r="B397" s="183" t="str">
        <f t="shared" ref="B397:B402" si="40">IF(C397="","",CONCATENATE(ROW(),"-",C397))</f>
        <v/>
      </c>
      <c r="C397" s="186" t="str">
        <f>IF(OR(R397&gt;0,T397&gt;0),INDEX('M04-S03'!$BD$16:$BD$198,2*(ROWS($C$386:C397)-1)+1),"")</f>
        <v/>
      </c>
      <c r="D397" t="s">
        <v>231</v>
      </c>
      <c r="E397" s="112"/>
      <c r="F397" s="112"/>
      <c r="G397" s="96"/>
      <c r="H397" s="96"/>
      <c r="I397" s="184">
        <f>IFERROR(ROUND(IF(ISNUMBER(INDEX('M04-S03'!$AN$16:$AN$198,2*(ROWS($R$386:$R397)-1)+1)),INDEX('M04-S03'!$AD$16:$AD$198,2*(ROWS($I$386:$I397)-1)+1),""),2),0)</f>
        <v>0</v>
      </c>
      <c r="J397" s="184">
        <f>IFERROR(ROUND(IF(ISNUMBER(INDEX('M04-S03'!$AN$16:$AN$198,2*(ROWS($R$386:$R397)-1)+1)),INDEX('M04-S03'!$AF$16:$AF$198,2*(ROWS($J$386:$J397)-1)+1),""),2),0)</f>
        <v>0</v>
      </c>
      <c r="K397" s="52">
        <f>IFERROR(ROUND(IF(ISNUMBER(INDEX('M04-S03'!$AN$16:$AN$198,2*(ROWS($R$386:$R397)-1)+1)),INDEX('M04-S03'!$AH$16:$AH$198,2*(ROWS($K$386:$K397)-1)+1),""),2),0)</f>
        <v>0</v>
      </c>
      <c r="M397" s="456" t="str">
        <f>IF(ISNUMBER(INDEX('M04-S03'!$AN$16:$AN$198,2*(ROWS($R$386:R397)-1)+1)),INDEX('M04-S03'!$X$16:$X$198,2*(ROWS($M$386:M397)-1)+1),"")</f>
        <v/>
      </c>
      <c r="N397" s="184" t="str">
        <f>IFERROR(IF(ISNUMBER(INDEX('M04-S03'!$AN$16:$AN$198,2*(ROWS($R$386:R397)-1)+1)),INDEX('M04-S03'!$AK$16:$AK$198,2*(ROWS($N$386:N397)-1)+1),""),"")</f>
        <v/>
      </c>
      <c r="O397" s="456" t="str">
        <f>IFERROR(IF(ISNUMBER(INDEX('M04-S03'!$AN$16:$AN$198,2*(ROWS($R$386:R397)-1)+1)),INDEX('M04-S03'!$AX$16:$AX$198,2*(ROWS($O$386:O397)-1)+1),""),"")</f>
        <v/>
      </c>
      <c r="P397" s="113"/>
      <c r="Q397" s="113"/>
      <c r="R397" s="184">
        <f>IF(ISNUMBER(INDEX('M04-S03'!$AN$16:$AN$198,2*(ROWS($R$386:R397)-1)+1)),INDEX('M04-S03'!$AN$16:$AN$198,2*(ROWS($R$386:R397)-1)+1),0)</f>
        <v>0</v>
      </c>
      <c r="S397" s="23">
        <f>IF(NOT(ISNUMBER(INDEX('M04-S03'!$AN$16:$AN$198,2*(ROWS($R$386:R397)-1)+1))),INDEX('M04-S03'!$X$16:$X$198,2*(ROWS($S$386:S397)-1)+1),"")</f>
        <v>0</v>
      </c>
      <c r="T397" s="52" t="str">
        <f>IFERROR(IF(NOT(ISNUMBER(INDEX('M04-S03'!$AN$16:$AN$198,2*(ROWS($R$386:R397)-1)+1))),INDEX('M04-S03'!$AK$16:$AK$198,2*(ROWS($R$386:R397)-1)+1),0),0)</f>
        <v/>
      </c>
      <c r="U397" s="23" t="str">
        <f>IFERROR(IF(NOT(ISNUMBER(INDEX('M04-S03'!$AN$16:$AN$198,2*(ROWS($R$386:R397)-1)+1))),INDEX('M04-S03'!$AX$16:$AX$198,2*(ROWS($R$386:R397)-1)+1),""),"")</f>
        <v/>
      </c>
      <c r="V397" s="113"/>
      <c r="W397" t="str">
        <f>IFERROR(IF(NOT(ISNUMBER(INDEX('M04-S03'!$AN$16:$AN$198,2*(ROWS($R$386:R397)-1)+1))),INDEX('M04-S03'!$BE$16:$BE$198,2*(ROWS($R$386:R397)-1)+1),""),"")</f>
        <v>Submit for Review</v>
      </c>
      <c r="X397" s="113"/>
      <c r="Y397" s="113"/>
      <c r="Z397" s="111">
        <f>INDEX('M04-S03'!$B$16:$B$198,2*(ROWS($Z$386:Z397)-1)+1)</f>
        <v>12</v>
      </c>
      <c r="AA397" s="112"/>
      <c r="AB397" s="111">
        <f>INDEX('M04-S03'!$F$16:$F$198,2*(ROWS($Z$386:AB397)-1)+1)</f>
        <v>0</v>
      </c>
      <c r="AC397">
        <f>INDEX('M04-S03'!$L$16:$L$198,2*(ROWS($AC$386:AC397)-1)+1)</f>
        <v>0</v>
      </c>
      <c r="AD397">
        <f>INDEX('M04-S03'!$T$16:$T$198,2*(ROWS($AD$386:AD397)-1)+1)</f>
        <v>0</v>
      </c>
      <c r="AE397" s="459"/>
      <c r="AF397" s="459"/>
      <c r="AG397" s="111">
        <f>INDEX('M04-S03'!$R$16:$R$198,2*(ROWS($AG$309:AG320)-1)+1)</f>
        <v>0</v>
      </c>
      <c r="AH397" s="111">
        <f>INDEX('M04-S03'!$Z$16:$Z$198,2*(ROWS($AH$386:AH397)-1)+1)</f>
        <v>0</v>
      </c>
      <c r="AI397" s="96"/>
      <c r="AJ397" s="96"/>
      <c r="AK397" s="52" t="str">
        <f>INDEX('M04-S03'!$AV$16:$AV$198,2*(ROWS($AK$386:AK397)-1)+1)</f>
        <v/>
      </c>
      <c r="AL397" s="184">
        <f>IF(NOT(ISNUMBER(INDEX('M04-S03'!$AN$16:$AN$198,2*(ROWS($R$386:$R397)-1)+1))),INDEX('M04-S03'!$AD$16:$AD$198,2*(ROWS($AL$386:$AL397)-1)+1),"")</f>
        <v>0</v>
      </c>
      <c r="AM397" s="184" t="str">
        <f>IF(NOT(ISNUMBER(INDEX('M04-S03'!$AN$16:$AN$198,2*(ROWS($R$386:$R397)-1)+1))),INDEX('M04-S03'!$AF$16:$AF$198,2*(ROWS($AM$386:$AM397)-1)+1),"")</f>
        <v/>
      </c>
      <c r="AN397" s="52" t="str">
        <f>IF(NOT(ISNUMBER(INDEX('M04-S03'!$AN$16:$AN$198,2*(ROWS($R$386:$R397)-1)+1))),INDEX('M04-S03'!$AH$16:$AH$198,2*(ROWS($AN$386:$AN397)-1)+1),"")</f>
        <v/>
      </c>
      <c r="AO397" s="113"/>
      <c r="AU397"/>
    </row>
    <row r="398" spans="1:47">
      <c r="A398" s="57">
        <f t="shared" si="37"/>
        <v>0</v>
      </c>
      <c r="B398" s="183" t="str">
        <f t="shared" si="40"/>
        <v/>
      </c>
      <c r="C398" s="186" t="str">
        <f>IF(OR(R398&gt;0,T398&gt;0),INDEX('M04-S03'!$BD$16:$BD$198,2*(ROWS($C$386:C398)-1)+1),"")</f>
        <v/>
      </c>
      <c r="D398" t="s">
        <v>231</v>
      </c>
      <c r="E398" s="112"/>
      <c r="F398" s="112"/>
      <c r="G398" s="96"/>
      <c r="H398" s="96"/>
      <c r="I398" s="184">
        <f>IFERROR(ROUND(IF(ISNUMBER(INDEX('M04-S03'!$AN$16:$AN$198,2*(ROWS($R$386:$R398)-1)+1)),INDEX('M04-S03'!$AD$16:$AD$198,2*(ROWS($I$386:$I398)-1)+1),""),2),0)</f>
        <v>0</v>
      </c>
      <c r="J398" s="184">
        <f>IFERROR(ROUND(IF(ISNUMBER(INDEX('M04-S03'!$AN$16:$AN$198,2*(ROWS($R$386:$R398)-1)+1)),INDEX('M04-S03'!$AF$16:$AF$198,2*(ROWS($J$386:$J398)-1)+1),""),2),0)</f>
        <v>0</v>
      </c>
      <c r="K398" s="52">
        <f>IFERROR(ROUND(IF(ISNUMBER(INDEX('M04-S03'!$AN$16:$AN$198,2*(ROWS($R$386:$R398)-1)+1)),INDEX('M04-S03'!$AH$16:$AH$198,2*(ROWS($K$386:$K398)-1)+1),""),2),0)</f>
        <v>0</v>
      </c>
      <c r="M398" s="456" t="str">
        <f>IF(ISNUMBER(INDEX('M04-S03'!$AN$16:$AN$198,2*(ROWS($R$386:R398)-1)+1)),INDEX('M04-S03'!$X$16:$X$198,2*(ROWS($M$386:M398)-1)+1),"")</f>
        <v/>
      </c>
      <c r="N398" s="184" t="str">
        <f>IFERROR(IF(ISNUMBER(INDEX('M04-S03'!$AN$16:$AN$198,2*(ROWS($R$386:R398)-1)+1)),INDEX('M04-S03'!$AK$16:$AK$198,2*(ROWS($N$386:N398)-1)+1),""),"")</f>
        <v/>
      </c>
      <c r="O398" s="456" t="str">
        <f>IFERROR(IF(ISNUMBER(INDEX('M04-S03'!$AN$16:$AN$198,2*(ROWS($R$386:R398)-1)+1)),INDEX('M04-S03'!$AX$16:$AX$198,2*(ROWS($O$386:O398)-1)+1),""),"")</f>
        <v/>
      </c>
      <c r="P398" s="113"/>
      <c r="Q398" s="113"/>
      <c r="R398" s="184">
        <f>IF(ISNUMBER(INDEX('M04-S03'!$AN$16:$AN$198,2*(ROWS($R$386:R398)-1)+1)),INDEX('M04-S03'!$AN$16:$AN$198,2*(ROWS($R$386:R398)-1)+1),0)</f>
        <v>0</v>
      </c>
      <c r="S398" s="23">
        <f>IF(NOT(ISNUMBER(INDEX('M04-S03'!$AN$16:$AN$198,2*(ROWS($R$386:R398)-1)+1))),INDEX('M04-S03'!$X$16:$X$198,2*(ROWS($S$386:S398)-1)+1),"")</f>
        <v>0</v>
      </c>
      <c r="T398" s="52" t="str">
        <f>IFERROR(IF(NOT(ISNUMBER(INDEX('M04-S03'!$AN$16:$AN$198,2*(ROWS($R$386:R398)-1)+1))),INDEX('M04-S03'!$AK$16:$AK$198,2*(ROWS($R$386:R398)-1)+1),0),0)</f>
        <v/>
      </c>
      <c r="U398" s="23" t="str">
        <f>IFERROR(IF(NOT(ISNUMBER(INDEX('M04-S03'!$AN$16:$AN$198,2*(ROWS($R$386:R398)-1)+1))),INDEX('M04-S03'!$AX$16:$AX$198,2*(ROWS($R$386:R398)-1)+1),""),"")</f>
        <v/>
      </c>
      <c r="V398" s="113"/>
      <c r="W398" t="str">
        <f>IFERROR(IF(NOT(ISNUMBER(INDEX('M04-S03'!$AN$16:$AN$198,2*(ROWS($R$386:R398)-1)+1))),INDEX('M04-S03'!$BE$16:$BE$198,2*(ROWS($R$386:R398)-1)+1),""),"")</f>
        <v>Submit for Review</v>
      </c>
      <c r="X398" s="113"/>
      <c r="Y398" s="113"/>
      <c r="Z398" s="111">
        <f>INDEX('M04-S03'!$B$16:$B$198,2*(ROWS($Z$386:Z398)-1)+1)</f>
        <v>13</v>
      </c>
      <c r="AA398" s="112"/>
      <c r="AB398" s="111">
        <f>INDEX('M04-S03'!$F$16:$F$198,2*(ROWS($Z$386:AB398)-1)+1)</f>
        <v>0</v>
      </c>
      <c r="AC398">
        <f>INDEX('M04-S03'!$L$16:$L$198,2*(ROWS($AC$386:AC398)-1)+1)</f>
        <v>0</v>
      </c>
      <c r="AD398">
        <f>INDEX('M04-S03'!$T$16:$T$198,2*(ROWS($AD$386:AD398)-1)+1)</f>
        <v>0</v>
      </c>
      <c r="AE398" s="459"/>
      <c r="AF398" s="459"/>
      <c r="AG398" s="111">
        <f>INDEX('M04-S03'!$R$16:$R$198,2*(ROWS($AG$309:AG321)-1)+1)</f>
        <v>0</v>
      </c>
      <c r="AH398" s="111">
        <f>INDEX('M04-S03'!$Z$16:$Z$198,2*(ROWS($AH$386:AH398)-1)+1)</f>
        <v>0</v>
      </c>
      <c r="AI398" s="96"/>
      <c r="AJ398" s="96"/>
      <c r="AK398" s="52" t="str">
        <f>INDEX('M04-S03'!$AV$16:$AV$198,2*(ROWS($AK$386:AK398)-1)+1)</f>
        <v/>
      </c>
      <c r="AL398" s="184">
        <f>IF(NOT(ISNUMBER(INDEX('M04-S03'!$AN$16:$AN$198,2*(ROWS($R$386:$R398)-1)+1))),INDEX('M04-S03'!$AD$16:$AD$198,2*(ROWS($AL$386:$AL398)-1)+1),"")</f>
        <v>0</v>
      </c>
      <c r="AM398" s="184" t="str">
        <f>IF(NOT(ISNUMBER(INDEX('M04-S03'!$AN$16:$AN$198,2*(ROWS($R$386:$R398)-1)+1))),INDEX('M04-S03'!$AF$16:$AF$198,2*(ROWS($AM$386:$AM398)-1)+1),"")</f>
        <v/>
      </c>
      <c r="AN398" s="52" t="str">
        <f>IF(NOT(ISNUMBER(INDEX('M04-S03'!$AN$16:$AN$198,2*(ROWS($R$386:$R398)-1)+1))),INDEX('M04-S03'!$AH$16:$AH$198,2*(ROWS($AN$386:$AN398)-1)+1),"")</f>
        <v/>
      </c>
      <c r="AO398" s="113"/>
      <c r="AU398"/>
    </row>
    <row r="399" spans="1:47">
      <c r="A399" s="57">
        <f t="shared" si="37"/>
        <v>0</v>
      </c>
      <c r="B399" s="183" t="str">
        <f t="shared" si="40"/>
        <v/>
      </c>
      <c r="C399" s="186" t="str">
        <f>IF(OR(R399&gt;0,T399&gt;0),INDEX('M04-S03'!$BD$16:$BD$198,2*(ROWS($C$386:C399)-1)+1),"")</f>
        <v/>
      </c>
      <c r="D399" t="s">
        <v>231</v>
      </c>
      <c r="E399" s="112"/>
      <c r="F399" s="112"/>
      <c r="G399" s="96"/>
      <c r="H399" s="96"/>
      <c r="I399" s="184">
        <f>IFERROR(ROUND(IF(ISNUMBER(INDEX('M04-S03'!$AN$16:$AN$198,2*(ROWS($R$386:$R399)-1)+1)),INDEX('M04-S03'!$AD$16:$AD$198,2*(ROWS($I$386:$I399)-1)+1),""),2),0)</f>
        <v>0</v>
      </c>
      <c r="J399" s="184">
        <f>IFERROR(ROUND(IF(ISNUMBER(INDEX('M04-S03'!$AN$16:$AN$198,2*(ROWS($R$386:$R399)-1)+1)),INDEX('M04-S03'!$AF$16:$AF$198,2*(ROWS($J$386:$J399)-1)+1),""),2),0)</f>
        <v>0</v>
      </c>
      <c r="K399" s="52">
        <f>IFERROR(ROUND(IF(ISNUMBER(INDEX('M04-S03'!$AN$16:$AN$198,2*(ROWS($R$386:$R399)-1)+1)),INDEX('M04-S03'!$AH$16:$AH$198,2*(ROWS($K$386:$K399)-1)+1),""),2),0)</f>
        <v>0</v>
      </c>
      <c r="M399" s="456" t="str">
        <f>IF(ISNUMBER(INDEX('M04-S03'!$AN$16:$AN$198,2*(ROWS($R$386:R399)-1)+1)),INDEX('M04-S03'!$X$16:$X$198,2*(ROWS($M$386:M399)-1)+1),"")</f>
        <v/>
      </c>
      <c r="N399" s="184" t="str">
        <f>IFERROR(IF(ISNUMBER(INDEX('M04-S03'!$AN$16:$AN$198,2*(ROWS($R$386:R399)-1)+1)),INDEX('M04-S03'!$AK$16:$AK$198,2*(ROWS($N$386:N399)-1)+1),""),"")</f>
        <v/>
      </c>
      <c r="O399" s="456" t="str">
        <f>IFERROR(IF(ISNUMBER(INDEX('M04-S03'!$AN$16:$AN$198,2*(ROWS($R$386:R399)-1)+1)),INDEX('M04-S03'!$AX$16:$AX$198,2*(ROWS($O$386:O399)-1)+1),""),"")</f>
        <v/>
      </c>
      <c r="P399" s="113"/>
      <c r="Q399" s="113"/>
      <c r="R399" s="184">
        <f>IF(ISNUMBER(INDEX('M04-S03'!$AN$16:$AN$198,2*(ROWS($R$386:R399)-1)+1)),INDEX('M04-S03'!$AN$16:$AN$198,2*(ROWS($R$386:R399)-1)+1),0)</f>
        <v>0</v>
      </c>
      <c r="S399" s="23">
        <f>IF(NOT(ISNUMBER(INDEX('M04-S03'!$AN$16:$AN$198,2*(ROWS($R$386:R399)-1)+1))),INDEX('M04-S03'!$X$16:$X$198,2*(ROWS($S$386:S399)-1)+1),"")</f>
        <v>0</v>
      </c>
      <c r="T399" s="52" t="str">
        <f>IFERROR(IF(NOT(ISNUMBER(INDEX('M04-S03'!$AN$16:$AN$198,2*(ROWS($R$386:R399)-1)+1))),INDEX('M04-S03'!$AK$16:$AK$198,2*(ROWS($R$386:R399)-1)+1),0),0)</f>
        <v/>
      </c>
      <c r="U399" s="23" t="str">
        <f>IFERROR(IF(NOT(ISNUMBER(INDEX('M04-S03'!$AN$16:$AN$198,2*(ROWS($R$386:R399)-1)+1))),INDEX('M04-S03'!$AX$16:$AX$198,2*(ROWS($R$386:R399)-1)+1),""),"")</f>
        <v/>
      </c>
      <c r="V399" s="113"/>
      <c r="W399" t="str">
        <f>IFERROR(IF(NOT(ISNUMBER(INDEX('M04-S03'!$AN$16:$AN$198,2*(ROWS($R$386:R399)-1)+1))),INDEX('M04-S03'!$BE$16:$BE$198,2*(ROWS($R$386:R399)-1)+1),""),"")</f>
        <v>Submit for Review</v>
      </c>
      <c r="X399" s="113"/>
      <c r="Y399" s="113"/>
      <c r="Z399" s="111">
        <f>INDEX('M04-S03'!$B$16:$B$198,2*(ROWS($Z$386:Z399)-1)+1)</f>
        <v>14</v>
      </c>
      <c r="AA399" s="112"/>
      <c r="AB399" s="111">
        <f>INDEX('M04-S03'!$F$16:$F$198,2*(ROWS($Z$386:AB399)-1)+1)</f>
        <v>0</v>
      </c>
      <c r="AC399">
        <f>INDEX('M04-S03'!$L$16:$L$198,2*(ROWS($AC$386:AC399)-1)+1)</f>
        <v>0</v>
      </c>
      <c r="AD399">
        <f>INDEX('M04-S03'!$T$16:$T$198,2*(ROWS($AD$386:AD399)-1)+1)</f>
        <v>0</v>
      </c>
      <c r="AE399" s="459"/>
      <c r="AF399" s="459"/>
      <c r="AG399" s="111">
        <f>INDEX('M04-S03'!$R$16:$R$198,2*(ROWS($AG$309:AG322)-1)+1)</f>
        <v>0</v>
      </c>
      <c r="AH399" s="111">
        <f>INDEX('M04-S03'!$Z$16:$Z$198,2*(ROWS($AH$386:AH399)-1)+1)</f>
        <v>0</v>
      </c>
      <c r="AI399" s="96"/>
      <c r="AJ399" s="96"/>
      <c r="AK399" s="52" t="str">
        <f>INDEX('M04-S03'!$AV$16:$AV$198,2*(ROWS($AK$386:AK399)-1)+1)</f>
        <v/>
      </c>
      <c r="AL399" s="184">
        <f>IF(NOT(ISNUMBER(INDEX('M04-S03'!$AN$16:$AN$198,2*(ROWS($R$386:$R399)-1)+1))),INDEX('M04-S03'!$AD$16:$AD$198,2*(ROWS($AL$386:$AL399)-1)+1),"")</f>
        <v>0</v>
      </c>
      <c r="AM399" s="184" t="str">
        <f>IF(NOT(ISNUMBER(INDEX('M04-S03'!$AN$16:$AN$198,2*(ROWS($R$386:$R399)-1)+1))),INDEX('M04-S03'!$AF$16:$AF$198,2*(ROWS($AM$386:$AM399)-1)+1),"")</f>
        <v/>
      </c>
      <c r="AN399" s="52" t="str">
        <f>IF(NOT(ISNUMBER(INDEX('M04-S03'!$AN$16:$AN$198,2*(ROWS($R$386:$R399)-1)+1))),INDEX('M04-S03'!$AH$16:$AH$198,2*(ROWS($AN$386:$AN399)-1)+1),"")</f>
        <v/>
      </c>
      <c r="AO399" s="113"/>
      <c r="AU399"/>
    </row>
    <row r="400" spans="1:47">
      <c r="A400" s="57">
        <f t="shared" si="37"/>
        <v>0</v>
      </c>
      <c r="B400" s="183" t="str">
        <f t="shared" si="40"/>
        <v/>
      </c>
      <c r="C400" s="186" t="str">
        <f>IF(OR(R400&gt;0,T400&gt;0),INDEX('M04-S03'!$BD$16:$BD$198,2*(ROWS($C$386:C400)-1)+1),"")</f>
        <v/>
      </c>
      <c r="D400" t="s">
        <v>231</v>
      </c>
      <c r="E400" s="112"/>
      <c r="F400" s="112"/>
      <c r="G400" s="96"/>
      <c r="H400" s="96"/>
      <c r="I400" s="184">
        <f>IFERROR(ROUND(IF(ISNUMBER(INDEX('M04-S03'!$AN$16:$AN$198,2*(ROWS($R$386:$R400)-1)+1)),INDEX('M04-S03'!$AD$16:$AD$198,2*(ROWS($I$386:$I400)-1)+1),""),2),0)</f>
        <v>0</v>
      </c>
      <c r="J400" s="184">
        <f>IFERROR(ROUND(IF(ISNUMBER(INDEX('M04-S03'!$AN$16:$AN$198,2*(ROWS($R$386:$R400)-1)+1)),INDEX('M04-S03'!$AF$16:$AF$198,2*(ROWS($J$386:$J400)-1)+1),""),2),0)</f>
        <v>0</v>
      </c>
      <c r="K400" s="52">
        <f>IFERROR(ROUND(IF(ISNUMBER(INDEX('M04-S03'!$AN$16:$AN$198,2*(ROWS($R$386:$R400)-1)+1)),INDEX('M04-S03'!$AH$16:$AH$198,2*(ROWS($K$386:$K400)-1)+1),""),2),0)</f>
        <v>0</v>
      </c>
      <c r="M400" s="456" t="str">
        <f>IF(ISNUMBER(INDEX('M04-S03'!$AN$16:$AN$198,2*(ROWS($R$386:R400)-1)+1)),INDEX('M04-S03'!$X$16:$X$198,2*(ROWS($M$386:M400)-1)+1),"")</f>
        <v/>
      </c>
      <c r="N400" s="184" t="str">
        <f>IFERROR(IF(ISNUMBER(INDEX('M04-S03'!$AN$16:$AN$198,2*(ROWS($R$386:R400)-1)+1)),INDEX('M04-S03'!$AK$16:$AK$198,2*(ROWS($N$386:N400)-1)+1),""),"")</f>
        <v/>
      </c>
      <c r="O400" s="456" t="str">
        <f>IFERROR(IF(ISNUMBER(INDEX('M04-S03'!$AN$16:$AN$198,2*(ROWS($R$386:R400)-1)+1)),INDEX('M04-S03'!$AX$16:$AX$198,2*(ROWS($O$386:O400)-1)+1),""),"")</f>
        <v/>
      </c>
      <c r="P400" s="113"/>
      <c r="Q400" s="113"/>
      <c r="R400" s="184">
        <f>IF(ISNUMBER(INDEX('M04-S03'!$AN$16:$AN$198,2*(ROWS($R$386:R400)-1)+1)),INDEX('M04-S03'!$AN$16:$AN$198,2*(ROWS($R$386:R400)-1)+1),0)</f>
        <v>0</v>
      </c>
      <c r="S400" s="23">
        <f>IF(NOT(ISNUMBER(INDEX('M04-S03'!$AN$16:$AN$198,2*(ROWS($R$386:R400)-1)+1))),INDEX('M04-S03'!$X$16:$X$198,2*(ROWS($S$386:S400)-1)+1),"")</f>
        <v>0</v>
      </c>
      <c r="T400" s="52" t="str">
        <f>IFERROR(IF(NOT(ISNUMBER(INDEX('M04-S03'!$AN$16:$AN$198,2*(ROWS($R$386:R400)-1)+1))),INDEX('M04-S03'!$AK$16:$AK$198,2*(ROWS($R$386:R400)-1)+1),0),0)</f>
        <v/>
      </c>
      <c r="U400" s="23" t="str">
        <f>IFERROR(IF(NOT(ISNUMBER(INDEX('M04-S03'!$AN$16:$AN$198,2*(ROWS($R$386:R400)-1)+1))),INDEX('M04-S03'!$AX$16:$AX$198,2*(ROWS($R$386:R400)-1)+1),""),"")</f>
        <v/>
      </c>
      <c r="V400" s="113"/>
      <c r="W400" t="str">
        <f>IFERROR(IF(NOT(ISNUMBER(INDEX('M04-S03'!$AN$16:$AN$198,2*(ROWS($R$386:R400)-1)+1))),INDEX('M04-S03'!$BE$16:$BE$198,2*(ROWS($R$386:R400)-1)+1),""),"")</f>
        <v>Submit for Review</v>
      </c>
      <c r="X400" s="113"/>
      <c r="Y400" s="113"/>
      <c r="Z400" s="111">
        <f>INDEX('M04-S03'!$B$16:$B$198,2*(ROWS($Z$386:Z400)-1)+1)</f>
        <v>15</v>
      </c>
      <c r="AA400" s="112"/>
      <c r="AB400" s="111">
        <f>INDEX('M04-S03'!$F$16:$F$198,2*(ROWS($Z$386:AB400)-1)+1)</f>
        <v>0</v>
      </c>
      <c r="AC400">
        <f>INDEX('M04-S03'!$L$16:$L$198,2*(ROWS($AC$386:AC400)-1)+1)</f>
        <v>0</v>
      </c>
      <c r="AD400">
        <f>INDEX('M04-S03'!$T$16:$T$198,2*(ROWS($AD$386:AD400)-1)+1)</f>
        <v>0</v>
      </c>
      <c r="AE400" s="459"/>
      <c r="AF400" s="459"/>
      <c r="AG400" s="111">
        <f>INDEX('M04-S03'!$R$16:$R$198,2*(ROWS($AG$309:AG323)-1)+1)</f>
        <v>0</v>
      </c>
      <c r="AH400" s="111">
        <f>INDEX('M04-S03'!$Z$16:$Z$198,2*(ROWS($AH$386:AH400)-1)+1)</f>
        <v>0</v>
      </c>
      <c r="AI400" s="96"/>
      <c r="AJ400" s="96"/>
      <c r="AK400" s="52" t="str">
        <f>INDEX('M04-S03'!$AV$16:$AV$198,2*(ROWS($AK$386:AK400)-1)+1)</f>
        <v/>
      </c>
      <c r="AL400" s="184">
        <f>IF(NOT(ISNUMBER(INDEX('M04-S03'!$AN$16:$AN$198,2*(ROWS($R$386:$R400)-1)+1))),INDEX('M04-S03'!$AD$16:$AD$198,2*(ROWS($AL$386:$AL400)-1)+1),"")</f>
        <v>0</v>
      </c>
      <c r="AM400" s="184" t="str">
        <f>IF(NOT(ISNUMBER(INDEX('M04-S03'!$AN$16:$AN$198,2*(ROWS($R$386:$R400)-1)+1))),INDEX('M04-S03'!$AF$16:$AF$198,2*(ROWS($AM$386:$AM400)-1)+1),"")</f>
        <v/>
      </c>
      <c r="AN400" s="52" t="str">
        <f>IF(NOT(ISNUMBER(INDEX('M04-S03'!$AN$16:$AN$198,2*(ROWS($R$386:$R400)-1)+1))),INDEX('M04-S03'!$AH$16:$AH$198,2*(ROWS($AN$386:$AN400)-1)+1),"")</f>
        <v/>
      </c>
      <c r="AO400" s="113"/>
      <c r="AU400"/>
    </row>
    <row r="401" spans="1:47">
      <c r="A401" s="57">
        <f t="shared" si="37"/>
        <v>0</v>
      </c>
      <c r="B401" s="183" t="str">
        <f t="shared" si="40"/>
        <v/>
      </c>
      <c r="C401" s="186" t="str">
        <f>IF(OR(R401&gt;0,T401&gt;0),INDEX('M04-S03'!$BD$16:$BD$198,2*(ROWS($C$386:C401)-1)+1),"")</f>
        <v/>
      </c>
      <c r="D401" t="s">
        <v>231</v>
      </c>
      <c r="E401" s="112"/>
      <c r="F401" s="112"/>
      <c r="G401" s="96"/>
      <c r="H401" s="96"/>
      <c r="I401" s="184">
        <f>IFERROR(ROUND(IF(ISNUMBER(INDEX('M04-S03'!$AN$16:$AN$198,2*(ROWS($R$386:$R401)-1)+1)),INDEX('M04-S03'!$AD$16:$AD$198,2*(ROWS($I$386:$I401)-1)+1),""),2),0)</f>
        <v>0</v>
      </c>
      <c r="J401" s="184">
        <f>IFERROR(ROUND(IF(ISNUMBER(INDEX('M04-S03'!$AN$16:$AN$198,2*(ROWS($R$386:$R401)-1)+1)),INDEX('M04-S03'!$AF$16:$AF$198,2*(ROWS($J$386:$J401)-1)+1),""),2),0)</f>
        <v>0</v>
      </c>
      <c r="K401" s="52">
        <f>IFERROR(ROUND(IF(ISNUMBER(INDEX('M04-S03'!$AN$16:$AN$198,2*(ROWS($R$386:$R401)-1)+1)),INDEX('M04-S03'!$AH$16:$AH$198,2*(ROWS($K$386:$K401)-1)+1),""),2),0)</f>
        <v>0</v>
      </c>
      <c r="M401" s="456" t="str">
        <f>IF(ISNUMBER(INDEX('M04-S03'!$AN$16:$AN$198,2*(ROWS($R$386:R401)-1)+1)),INDEX('M04-S03'!$X$16:$X$198,2*(ROWS($M$386:M401)-1)+1),"")</f>
        <v/>
      </c>
      <c r="N401" s="184" t="str">
        <f>IFERROR(IF(ISNUMBER(INDEX('M04-S03'!$AN$16:$AN$198,2*(ROWS($R$386:R401)-1)+1)),INDEX('M04-S03'!$AK$16:$AK$198,2*(ROWS($N$386:N401)-1)+1),""),"")</f>
        <v/>
      </c>
      <c r="O401" s="456" t="str">
        <f>IFERROR(IF(ISNUMBER(INDEX('M04-S03'!$AN$16:$AN$198,2*(ROWS($R$386:R401)-1)+1)),INDEX('M04-S03'!$AX$16:$AX$198,2*(ROWS($O$386:O401)-1)+1),""),"")</f>
        <v/>
      </c>
      <c r="P401" s="113"/>
      <c r="Q401" s="113"/>
      <c r="R401" s="184">
        <f>IF(ISNUMBER(INDEX('M04-S03'!$AN$16:$AN$198,2*(ROWS($R$386:R401)-1)+1)),INDEX('M04-S03'!$AN$16:$AN$198,2*(ROWS($R$386:R401)-1)+1),0)</f>
        <v>0</v>
      </c>
      <c r="S401" s="23">
        <f>IF(NOT(ISNUMBER(INDEX('M04-S03'!$AN$16:$AN$198,2*(ROWS($R$386:R401)-1)+1))),INDEX('M04-S03'!$X$16:$X$198,2*(ROWS($S$386:S401)-1)+1),"")</f>
        <v>0</v>
      </c>
      <c r="T401" s="52" t="str">
        <f>IFERROR(IF(NOT(ISNUMBER(INDEX('M04-S03'!$AN$16:$AN$198,2*(ROWS($R$386:R401)-1)+1))),INDEX('M04-S03'!$AK$16:$AK$198,2*(ROWS($R$386:R401)-1)+1),0),0)</f>
        <v/>
      </c>
      <c r="U401" s="23" t="str">
        <f>IFERROR(IF(NOT(ISNUMBER(INDEX('M04-S03'!$AN$16:$AN$198,2*(ROWS($R$386:R401)-1)+1))),INDEX('M04-S03'!$AX$16:$AX$198,2*(ROWS($R$386:R401)-1)+1),""),"")</f>
        <v/>
      </c>
      <c r="V401" s="113"/>
      <c r="W401" t="str">
        <f>IFERROR(IF(NOT(ISNUMBER(INDEX('M04-S03'!$AN$16:$AN$198,2*(ROWS($R$386:R401)-1)+1))),INDEX('M04-S03'!$BE$16:$BE$198,2*(ROWS($R$386:R401)-1)+1),""),"")</f>
        <v>Submit for Review</v>
      </c>
      <c r="X401" s="113"/>
      <c r="Y401" s="113"/>
      <c r="Z401" s="111">
        <f>INDEX('M04-S03'!$B$16:$B$198,2*(ROWS($Z$386:Z401)-1)+1)</f>
        <v>16</v>
      </c>
      <c r="AA401" s="112"/>
      <c r="AB401" s="111">
        <f>INDEX('M04-S03'!$F$16:$F$198,2*(ROWS($Z$386:AB401)-1)+1)</f>
        <v>0</v>
      </c>
      <c r="AC401">
        <f>INDEX('M04-S03'!$L$16:$L$198,2*(ROWS($AC$386:AC401)-1)+1)</f>
        <v>0</v>
      </c>
      <c r="AD401">
        <f>INDEX('M04-S03'!$T$16:$T$198,2*(ROWS($AD$386:AD401)-1)+1)</f>
        <v>0</v>
      </c>
      <c r="AE401" s="459"/>
      <c r="AF401" s="459"/>
      <c r="AG401" s="111">
        <f>INDEX('M04-S03'!$R$16:$R$198,2*(ROWS($AG$309:AG324)-1)+1)</f>
        <v>0</v>
      </c>
      <c r="AH401" s="111">
        <f>INDEX('M04-S03'!$Z$16:$Z$198,2*(ROWS($AH$386:AH401)-1)+1)</f>
        <v>0</v>
      </c>
      <c r="AI401" s="96"/>
      <c r="AJ401" s="96"/>
      <c r="AK401" s="52" t="str">
        <f>INDEX('M04-S03'!$AV$16:$AV$198,2*(ROWS($AK$386:AK401)-1)+1)</f>
        <v/>
      </c>
      <c r="AL401" s="184">
        <f>IF(NOT(ISNUMBER(INDEX('M04-S03'!$AN$16:$AN$198,2*(ROWS($R$386:$R401)-1)+1))),INDEX('M04-S03'!$AD$16:$AD$198,2*(ROWS($AL$386:$AL401)-1)+1),"")</f>
        <v>0</v>
      </c>
      <c r="AM401" s="184" t="str">
        <f>IF(NOT(ISNUMBER(INDEX('M04-S03'!$AN$16:$AN$198,2*(ROWS($R$386:$R401)-1)+1))),INDEX('M04-S03'!$AF$16:$AF$198,2*(ROWS($AM$386:$AM401)-1)+1),"")</f>
        <v/>
      </c>
      <c r="AN401" s="52" t="str">
        <f>IF(NOT(ISNUMBER(INDEX('M04-S03'!$AN$16:$AN$198,2*(ROWS($R$386:$R401)-1)+1))),INDEX('M04-S03'!$AH$16:$AH$198,2*(ROWS($AN$386:$AN401)-1)+1),"")</f>
        <v/>
      </c>
      <c r="AO401" s="113"/>
      <c r="AU401"/>
    </row>
    <row r="402" spans="1:47">
      <c r="A402" s="57">
        <f t="shared" si="37"/>
        <v>0</v>
      </c>
      <c r="B402" s="183" t="str">
        <f t="shared" si="40"/>
        <v/>
      </c>
      <c r="C402" s="186" t="str">
        <f>IF(OR(R402&gt;0,T402&gt;0),INDEX('M04-S03'!$BD$16:$BD$198,2*(ROWS($C$386:C402)-1)+1),"")</f>
        <v/>
      </c>
      <c r="D402" t="s">
        <v>231</v>
      </c>
      <c r="E402" s="112"/>
      <c r="F402" s="112"/>
      <c r="G402" s="96"/>
      <c r="H402" s="96"/>
      <c r="I402" s="184">
        <f>IFERROR(ROUND(IF(ISNUMBER(INDEX('M04-S03'!$AN$16:$AN$198,2*(ROWS($R$386:$R402)-1)+1)),INDEX('M04-S03'!$AD$16:$AD$198,2*(ROWS($I$386:$I402)-1)+1),""),2),0)</f>
        <v>0</v>
      </c>
      <c r="J402" s="184">
        <f>IFERROR(ROUND(IF(ISNUMBER(INDEX('M04-S03'!$AN$16:$AN$198,2*(ROWS($R$386:$R402)-1)+1)),INDEX('M04-S03'!$AF$16:$AF$198,2*(ROWS($J$386:$J402)-1)+1),""),2),0)</f>
        <v>0</v>
      </c>
      <c r="K402" s="52">
        <f>IFERROR(ROUND(IF(ISNUMBER(INDEX('M04-S03'!$AN$16:$AN$198,2*(ROWS($R$386:$R402)-1)+1)),INDEX('M04-S03'!$AH$16:$AH$198,2*(ROWS($K$386:$K402)-1)+1),""),2),0)</f>
        <v>0</v>
      </c>
      <c r="M402" s="456" t="str">
        <f>IF(ISNUMBER(INDEX('M04-S03'!$AN$16:$AN$198,2*(ROWS($R$386:R402)-1)+1)),INDEX('M04-S03'!$X$16:$X$198,2*(ROWS($M$386:M402)-1)+1),"")</f>
        <v/>
      </c>
      <c r="N402" s="184" t="str">
        <f>IFERROR(IF(ISNUMBER(INDEX('M04-S03'!$AN$16:$AN$198,2*(ROWS($R$386:R402)-1)+1)),INDEX('M04-S03'!$AK$16:$AK$198,2*(ROWS($N$386:N402)-1)+1),""),"")</f>
        <v/>
      </c>
      <c r="O402" s="456" t="str">
        <f>IFERROR(IF(ISNUMBER(INDEX('M04-S03'!$AN$16:$AN$198,2*(ROWS($R$386:R402)-1)+1)),INDEX('M04-S03'!$AX$16:$AX$198,2*(ROWS($O$386:O402)-1)+1),""),"")</f>
        <v/>
      </c>
      <c r="P402" s="113"/>
      <c r="Q402" s="113"/>
      <c r="R402" s="184">
        <f>IF(ISNUMBER(INDEX('M04-S03'!$AN$16:$AN$198,2*(ROWS($R$386:R402)-1)+1)),INDEX('M04-S03'!$AN$16:$AN$198,2*(ROWS($R$386:R402)-1)+1),0)</f>
        <v>0</v>
      </c>
      <c r="S402" s="23">
        <f>IF(NOT(ISNUMBER(INDEX('M04-S03'!$AN$16:$AN$198,2*(ROWS($R$386:R402)-1)+1))),INDEX('M04-S03'!$X$16:$X$198,2*(ROWS($S$386:S402)-1)+1),"")</f>
        <v>0</v>
      </c>
      <c r="T402" s="52" t="str">
        <f>IFERROR(IF(NOT(ISNUMBER(INDEX('M04-S03'!$AN$16:$AN$198,2*(ROWS($R$386:R402)-1)+1))),INDEX('M04-S03'!$AK$16:$AK$198,2*(ROWS($R$386:R402)-1)+1),0),0)</f>
        <v/>
      </c>
      <c r="U402" s="23" t="str">
        <f>IFERROR(IF(NOT(ISNUMBER(INDEX('M04-S03'!$AN$16:$AN$198,2*(ROWS($R$386:R402)-1)+1))),INDEX('M04-S03'!$AX$16:$AX$198,2*(ROWS($R$386:R402)-1)+1),""),"")</f>
        <v/>
      </c>
      <c r="V402" s="113"/>
      <c r="W402" t="str">
        <f>IFERROR(IF(NOT(ISNUMBER(INDEX('M04-S03'!$AN$16:$AN$198,2*(ROWS($R$386:R402)-1)+1))),INDEX('M04-S03'!$BE$16:$BE$198,2*(ROWS($R$386:R402)-1)+1),""),"")</f>
        <v>Submit for Review</v>
      </c>
      <c r="X402" s="113"/>
      <c r="Y402" s="113"/>
      <c r="Z402" s="111">
        <f>INDEX('M04-S03'!$B$16:$B$198,2*(ROWS($Z$386:Z402)-1)+1)</f>
        <v>17</v>
      </c>
      <c r="AA402" s="112"/>
      <c r="AB402" s="111">
        <f>INDEX('M04-S03'!$F$16:$F$198,2*(ROWS($Z$386:AB402)-1)+1)</f>
        <v>0</v>
      </c>
      <c r="AC402">
        <f>INDEX('M04-S03'!$L$16:$L$198,2*(ROWS($AC$386:AC402)-1)+1)</f>
        <v>0</v>
      </c>
      <c r="AD402">
        <f>INDEX('M04-S03'!$T$16:$T$198,2*(ROWS($AD$386:AD402)-1)+1)</f>
        <v>0</v>
      </c>
      <c r="AE402" s="459"/>
      <c r="AF402" s="459"/>
      <c r="AG402" s="111">
        <f>INDEX('M04-S03'!$R$16:$R$198,2*(ROWS($AG$309:AG325)-1)+1)</f>
        <v>0</v>
      </c>
      <c r="AH402" s="111">
        <f>INDEX('M04-S03'!$Z$16:$Z$198,2*(ROWS($AH$386:AH402)-1)+1)</f>
        <v>0</v>
      </c>
      <c r="AI402" s="96"/>
      <c r="AJ402" s="96"/>
      <c r="AK402" s="52" t="str">
        <f>INDEX('M04-S03'!$AV$16:$AV$198,2*(ROWS($AK$386:AK402)-1)+1)</f>
        <v/>
      </c>
      <c r="AL402" s="184">
        <f>IF(NOT(ISNUMBER(INDEX('M04-S03'!$AN$16:$AN$198,2*(ROWS($R$386:$R402)-1)+1))),INDEX('M04-S03'!$AD$16:$AD$198,2*(ROWS($AL$386:$AL402)-1)+1),"")</f>
        <v>0</v>
      </c>
      <c r="AM402" s="184" t="str">
        <f>IF(NOT(ISNUMBER(INDEX('M04-S03'!$AN$16:$AN$198,2*(ROWS($R$386:$R402)-1)+1))),INDEX('M04-S03'!$AF$16:$AF$198,2*(ROWS($AM$386:$AM402)-1)+1),"")</f>
        <v/>
      </c>
      <c r="AN402" s="52" t="str">
        <f>IF(NOT(ISNUMBER(INDEX('M04-S03'!$AN$16:$AN$198,2*(ROWS($R$386:$R402)-1)+1))),INDEX('M04-S03'!$AH$16:$AH$198,2*(ROWS($AN$386:$AN402)-1)+1),"")</f>
        <v/>
      </c>
      <c r="AO402" s="113"/>
      <c r="AU402"/>
    </row>
    <row r="403" spans="1:47">
      <c r="A403" s="57">
        <f t="shared" si="37"/>
        <v>0</v>
      </c>
      <c r="B403" s="183" t="str">
        <f t="shared" ref="B403:B427" si="41">IF(C403="","",CONCATENATE(ROW(),"-",C403))</f>
        <v/>
      </c>
      <c r="C403" s="186" t="str">
        <f>IF(OR(R403&gt;0,T403&gt;0),INDEX('M04-S03'!$BD$16:$BD$198,2*(ROWS($C$386:C403)-1)+1),"")</f>
        <v/>
      </c>
      <c r="D403" t="s">
        <v>231</v>
      </c>
      <c r="E403" s="112"/>
      <c r="F403" s="112"/>
      <c r="G403" s="96"/>
      <c r="H403" s="96"/>
      <c r="I403" s="184">
        <f>IFERROR(ROUND(IF(ISNUMBER(INDEX('M04-S03'!$AN$16:$AN$198,2*(ROWS($R$386:$R403)-1)+1)),INDEX('M04-S03'!$AD$16:$AD$198,2*(ROWS($I$386:$I403)-1)+1),""),2),0)</f>
        <v>0</v>
      </c>
      <c r="J403" s="184">
        <f>IFERROR(ROUND(IF(ISNUMBER(INDEX('M04-S03'!$AN$16:$AN$198,2*(ROWS($R$386:$R403)-1)+1)),INDEX('M04-S03'!$AF$16:$AF$198,2*(ROWS($J$386:$J403)-1)+1),""),2),0)</f>
        <v>0</v>
      </c>
      <c r="K403" s="52">
        <f>IFERROR(ROUND(IF(ISNUMBER(INDEX('M04-S03'!$AN$16:$AN$198,2*(ROWS($R$386:$R403)-1)+1)),INDEX('M04-S03'!$AH$16:$AH$198,2*(ROWS($K$386:$K403)-1)+1),""),2),0)</f>
        <v>0</v>
      </c>
      <c r="M403" s="456" t="str">
        <f>IF(ISNUMBER(INDEX('M04-S03'!$AN$16:$AN$198,2*(ROWS($R$386:R403)-1)+1)),INDEX('M04-S03'!$X$16:$X$198,2*(ROWS($M$386:M403)-1)+1),"")</f>
        <v/>
      </c>
      <c r="N403" s="184" t="str">
        <f>IFERROR(IF(ISNUMBER(INDEX('M04-S03'!$AN$16:$AN$198,2*(ROWS($R$386:R403)-1)+1)),INDEX('M04-S03'!$AK$16:$AK$198,2*(ROWS($N$386:N403)-1)+1),""),"")</f>
        <v/>
      </c>
      <c r="O403" s="456" t="str">
        <f>IFERROR(IF(ISNUMBER(INDEX('M04-S03'!$AN$16:$AN$198,2*(ROWS($R$386:R403)-1)+1)),INDEX('M04-S03'!$AX$16:$AX$198,2*(ROWS($O$386:O403)-1)+1),""),"")</f>
        <v/>
      </c>
      <c r="P403" s="113"/>
      <c r="Q403" s="113"/>
      <c r="R403" s="184">
        <f>IF(ISNUMBER(INDEX('M04-S03'!$AN$16:$AN$198,2*(ROWS($R$386:R403)-1)+1)),INDEX('M04-S03'!$AN$16:$AN$198,2*(ROWS($R$386:R403)-1)+1),0)</f>
        <v>0</v>
      </c>
      <c r="S403" s="23">
        <f>IF(NOT(ISNUMBER(INDEX('M04-S03'!$AN$16:$AN$198,2*(ROWS($R$386:R403)-1)+1))),INDEX('M04-S03'!$X$16:$X$198,2*(ROWS($S$386:S403)-1)+1),"")</f>
        <v>0</v>
      </c>
      <c r="T403" s="52" t="str">
        <f>IFERROR(IF(NOT(ISNUMBER(INDEX('M04-S03'!$AN$16:$AN$198,2*(ROWS($R$386:R403)-1)+1))),INDEX('M04-S03'!$AK$16:$AK$198,2*(ROWS($R$386:R403)-1)+1),0),0)</f>
        <v/>
      </c>
      <c r="U403" s="23" t="str">
        <f>IFERROR(IF(NOT(ISNUMBER(INDEX('M04-S03'!$AN$16:$AN$198,2*(ROWS($R$386:R403)-1)+1))),INDEX('M04-S03'!$AX$16:$AX$198,2*(ROWS($R$386:R403)-1)+1),""),"")</f>
        <v/>
      </c>
      <c r="V403" s="113"/>
      <c r="W403" t="str">
        <f>IFERROR(IF(NOT(ISNUMBER(INDEX('M04-S03'!$AN$16:$AN$198,2*(ROWS($R$386:R403)-1)+1))),INDEX('M04-S03'!$BE$16:$BE$198,2*(ROWS($R$386:R403)-1)+1),""),"")</f>
        <v>Submit for Review</v>
      </c>
      <c r="X403" s="113"/>
      <c r="Y403" s="113"/>
      <c r="Z403" s="111">
        <f>INDEX('M04-S03'!$B$16:$B$198,2*(ROWS($Z$386:Z403)-1)+1)</f>
        <v>18</v>
      </c>
      <c r="AA403" s="112"/>
      <c r="AB403" s="111">
        <f>INDEX('M04-S03'!$F$16:$F$198,2*(ROWS($Z$386:AB403)-1)+1)</f>
        <v>0</v>
      </c>
      <c r="AC403">
        <f>INDEX('M04-S03'!$L$16:$L$198,2*(ROWS($AC$386:AC403)-1)+1)</f>
        <v>0</v>
      </c>
      <c r="AD403">
        <f>INDEX('M04-S03'!$T$16:$T$198,2*(ROWS($AD$386:AD403)-1)+1)</f>
        <v>0</v>
      </c>
      <c r="AE403" s="459"/>
      <c r="AF403" s="459"/>
      <c r="AG403" s="111">
        <f>INDEX('M04-S03'!$R$16:$R$198,2*(ROWS($AG$309:AG326)-1)+1)</f>
        <v>0</v>
      </c>
      <c r="AH403" s="111">
        <f>INDEX('M04-S03'!$Z$16:$Z$198,2*(ROWS($AH$386:AH403)-1)+1)</f>
        <v>0</v>
      </c>
      <c r="AI403" s="96"/>
      <c r="AJ403" s="96"/>
      <c r="AK403" s="52" t="str">
        <f>INDEX('M04-S03'!$AV$16:$AV$198,2*(ROWS($AK$386:AK403)-1)+1)</f>
        <v/>
      </c>
      <c r="AL403" s="184">
        <f>IF(NOT(ISNUMBER(INDEX('M04-S03'!$AN$16:$AN$198,2*(ROWS($R$386:$R403)-1)+1))),INDEX('M04-S03'!$AD$16:$AD$198,2*(ROWS($AL$386:$AL403)-1)+1),"")</f>
        <v>0</v>
      </c>
      <c r="AM403" s="184" t="str">
        <f>IF(NOT(ISNUMBER(INDEX('M04-S03'!$AN$16:$AN$198,2*(ROWS($R$386:$R403)-1)+1))),INDEX('M04-S03'!$AF$16:$AF$198,2*(ROWS($AM$386:$AM403)-1)+1),"")</f>
        <v/>
      </c>
      <c r="AN403" s="52" t="str">
        <f>IF(NOT(ISNUMBER(INDEX('M04-S03'!$AN$16:$AN$198,2*(ROWS($R$386:$R403)-1)+1))),INDEX('M04-S03'!$AH$16:$AH$198,2*(ROWS($AN$386:$AN403)-1)+1),"")</f>
        <v/>
      </c>
      <c r="AO403" s="113"/>
      <c r="AU403"/>
    </row>
    <row r="404" spans="1:47">
      <c r="A404" s="57">
        <f t="shared" si="37"/>
        <v>0</v>
      </c>
      <c r="B404" s="183" t="str">
        <f t="shared" si="41"/>
        <v/>
      </c>
      <c r="C404" s="186" t="str">
        <f>IF(OR(R404&gt;0,T404&gt;0),INDEX('M04-S03'!$BD$16:$BD$198,2*(ROWS($C$386:C404)-1)+1),"")</f>
        <v/>
      </c>
      <c r="D404" t="s">
        <v>231</v>
      </c>
      <c r="E404" s="112"/>
      <c r="F404" s="112"/>
      <c r="G404" s="96"/>
      <c r="H404" s="96"/>
      <c r="I404" s="184">
        <f>IFERROR(ROUND(IF(ISNUMBER(INDEX('M04-S03'!$AN$16:$AN$198,2*(ROWS($R$386:$R404)-1)+1)),INDEX('M04-S03'!$AD$16:$AD$198,2*(ROWS($I$386:$I404)-1)+1),""),2),0)</f>
        <v>0</v>
      </c>
      <c r="J404" s="184">
        <f>IFERROR(ROUND(IF(ISNUMBER(INDEX('M04-S03'!$AN$16:$AN$198,2*(ROWS($R$386:$R404)-1)+1)),INDEX('M04-S03'!$AF$16:$AF$198,2*(ROWS($J$386:$J404)-1)+1),""),2),0)</f>
        <v>0</v>
      </c>
      <c r="K404" s="52">
        <f>IFERROR(ROUND(IF(ISNUMBER(INDEX('M04-S03'!$AN$16:$AN$198,2*(ROWS($R$386:$R404)-1)+1)),INDEX('M04-S03'!$AH$16:$AH$198,2*(ROWS($K$386:$K404)-1)+1),""),2),0)</f>
        <v>0</v>
      </c>
      <c r="M404" s="456" t="str">
        <f>IF(ISNUMBER(INDEX('M04-S03'!$AN$16:$AN$198,2*(ROWS($R$386:R404)-1)+1)),INDEX('M04-S03'!$X$16:$X$198,2*(ROWS($M$386:M404)-1)+1),"")</f>
        <v/>
      </c>
      <c r="N404" s="184" t="str">
        <f>IFERROR(IF(ISNUMBER(INDEX('M04-S03'!$AN$16:$AN$198,2*(ROWS($R$386:R404)-1)+1)),INDEX('M04-S03'!$AK$16:$AK$198,2*(ROWS($N$386:N404)-1)+1),""),"")</f>
        <v/>
      </c>
      <c r="O404" s="456" t="str">
        <f>IFERROR(IF(ISNUMBER(INDEX('M04-S03'!$AN$16:$AN$198,2*(ROWS($R$386:R404)-1)+1)),INDEX('M04-S03'!$AX$16:$AX$198,2*(ROWS($O$386:O404)-1)+1),""),"")</f>
        <v/>
      </c>
      <c r="P404" s="113"/>
      <c r="Q404" s="113"/>
      <c r="R404" s="184">
        <f>IF(ISNUMBER(INDEX('M04-S03'!$AN$16:$AN$198,2*(ROWS($R$386:R404)-1)+1)),INDEX('M04-S03'!$AN$16:$AN$198,2*(ROWS($R$386:R404)-1)+1),0)</f>
        <v>0</v>
      </c>
      <c r="S404" s="23">
        <f>IF(NOT(ISNUMBER(INDEX('M04-S03'!$AN$16:$AN$198,2*(ROWS($R$386:R404)-1)+1))),INDEX('M04-S03'!$X$16:$X$198,2*(ROWS($S$386:S404)-1)+1),"")</f>
        <v>0</v>
      </c>
      <c r="T404" s="52" t="str">
        <f>IFERROR(IF(NOT(ISNUMBER(INDEX('M04-S03'!$AN$16:$AN$198,2*(ROWS($R$386:R404)-1)+1))),INDEX('M04-S03'!$AK$16:$AK$198,2*(ROWS($R$386:R404)-1)+1),0),0)</f>
        <v/>
      </c>
      <c r="U404" s="23" t="str">
        <f>IFERROR(IF(NOT(ISNUMBER(INDEX('M04-S03'!$AN$16:$AN$198,2*(ROWS($R$386:R404)-1)+1))),INDEX('M04-S03'!$AX$16:$AX$198,2*(ROWS($R$386:R404)-1)+1),""),"")</f>
        <v/>
      </c>
      <c r="V404" s="113"/>
      <c r="W404" t="str">
        <f>IFERROR(IF(NOT(ISNUMBER(INDEX('M04-S03'!$AN$16:$AN$198,2*(ROWS($R$386:R404)-1)+1))),INDEX('M04-S03'!$BE$16:$BE$198,2*(ROWS($R$386:R404)-1)+1),""),"")</f>
        <v>Submit for Review</v>
      </c>
      <c r="X404" s="113"/>
      <c r="Y404" s="113"/>
      <c r="Z404" s="111">
        <f>INDEX('M04-S03'!$B$16:$B$198,2*(ROWS($Z$386:Z404)-1)+1)</f>
        <v>19</v>
      </c>
      <c r="AA404" s="112"/>
      <c r="AB404" s="111">
        <f>INDEX('M04-S03'!$F$16:$F$198,2*(ROWS($Z$386:AB404)-1)+1)</f>
        <v>0</v>
      </c>
      <c r="AC404">
        <f>INDEX('M04-S03'!$L$16:$L$198,2*(ROWS($AC$386:AC404)-1)+1)</f>
        <v>0</v>
      </c>
      <c r="AD404">
        <f>INDEX('M04-S03'!$T$16:$T$198,2*(ROWS($AD$386:AD404)-1)+1)</f>
        <v>0</v>
      </c>
      <c r="AE404" s="459"/>
      <c r="AF404" s="459"/>
      <c r="AG404" s="111">
        <f>INDEX('M04-S03'!$R$16:$R$198,2*(ROWS($AG$309:AG327)-1)+1)</f>
        <v>0</v>
      </c>
      <c r="AH404" s="111">
        <f>INDEX('M04-S03'!$Z$16:$Z$198,2*(ROWS($AH$386:AH404)-1)+1)</f>
        <v>0</v>
      </c>
      <c r="AI404" s="96"/>
      <c r="AJ404" s="96"/>
      <c r="AK404" s="52" t="str">
        <f>INDEX('M04-S03'!$AV$16:$AV$198,2*(ROWS($AK$386:AK404)-1)+1)</f>
        <v/>
      </c>
      <c r="AL404" s="184">
        <f>IF(NOT(ISNUMBER(INDEX('M04-S03'!$AN$16:$AN$198,2*(ROWS($R$386:$R404)-1)+1))),INDEX('M04-S03'!$AD$16:$AD$198,2*(ROWS($AL$386:$AL404)-1)+1),"")</f>
        <v>0</v>
      </c>
      <c r="AM404" s="184" t="str">
        <f>IF(NOT(ISNUMBER(INDEX('M04-S03'!$AN$16:$AN$198,2*(ROWS($R$386:$R404)-1)+1))),INDEX('M04-S03'!$AF$16:$AF$198,2*(ROWS($AM$386:$AM404)-1)+1),"")</f>
        <v/>
      </c>
      <c r="AN404" s="52" t="str">
        <f>IF(NOT(ISNUMBER(INDEX('M04-S03'!$AN$16:$AN$198,2*(ROWS($R$386:$R404)-1)+1))),INDEX('M04-S03'!$AH$16:$AH$198,2*(ROWS($AN$386:$AN404)-1)+1),"")</f>
        <v/>
      </c>
      <c r="AO404" s="113"/>
      <c r="AU404"/>
    </row>
    <row r="405" spans="1:47">
      <c r="A405" s="57">
        <f t="shared" si="37"/>
        <v>0</v>
      </c>
      <c r="B405" s="183" t="str">
        <f t="shared" si="41"/>
        <v/>
      </c>
      <c r="C405" s="186" t="str">
        <f>IF(OR(R405&gt;0,T405&gt;0),INDEX('M04-S03'!$BD$16:$BD$198,2*(ROWS($C$386:C405)-1)+1),"")</f>
        <v/>
      </c>
      <c r="D405" t="s">
        <v>231</v>
      </c>
      <c r="E405" s="112"/>
      <c r="F405" s="112"/>
      <c r="G405" s="96"/>
      <c r="H405" s="96"/>
      <c r="I405" s="184">
        <f>IFERROR(ROUND(IF(ISNUMBER(INDEX('M04-S03'!$AN$16:$AN$198,2*(ROWS($R$386:$R405)-1)+1)),INDEX('M04-S03'!$AD$16:$AD$198,2*(ROWS($I$386:$I405)-1)+1),""),2),0)</f>
        <v>0</v>
      </c>
      <c r="J405" s="184">
        <f>IFERROR(ROUND(IF(ISNUMBER(INDEX('M04-S03'!$AN$16:$AN$198,2*(ROWS($R$386:$R405)-1)+1)),INDEX('M04-S03'!$AF$16:$AF$198,2*(ROWS($J$386:$J405)-1)+1),""),2),0)</f>
        <v>0</v>
      </c>
      <c r="K405" s="52">
        <f>IFERROR(ROUND(IF(ISNUMBER(INDEX('M04-S03'!$AN$16:$AN$198,2*(ROWS($R$386:$R405)-1)+1)),INDEX('M04-S03'!$AH$16:$AH$198,2*(ROWS($K$386:$K405)-1)+1),""),2),0)</f>
        <v>0</v>
      </c>
      <c r="M405" s="456" t="str">
        <f>IF(ISNUMBER(INDEX('M04-S03'!$AN$16:$AN$198,2*(ROWS($R$386:R405)-1)+1)),INDEX('M04-S03'!$X$16:$X$198,2*(ROWS($M$386:M405)-1)+1),"")</f>
        <v/>
      </c>
      <c r="N405" s="184" t="str">
        <f>IFERROR(IF(ISNUMBER(INDEX('M04-S03'!$AN$16:$AN$198,2*(ROWS($R$386:R405)-1)+1)),INDEX('M04-S03'!$AK$16:$AK$198,2*(ROWS($N$386:N405)-1)+1),""),"")</f>
        <v/>
      </c>
      <c r="O405" s="456" t="str">
        <f>IFERROR(IF(ISNUMBER(INDEX('M04-S03'!$AN$16:$AN$198,2*(ROWS($R$386:R405)-1)+1)),INDEX('M04-S03'!$AX$16:$AX$198,2*(ROWS($O$386:O405)-1)+1),""),"")</f>
        <v/>
      </c>
      <c r="P405" s="113"/>
      <c r="Q405" s="113"/>
      <c r="R405" s="184">
        <f>IF(ISNUMBER(INDEX('M04-S03'!$AN$16:$AN$198,2*(ROWS($R$386:R405)-1)+1)),INDEX('M04-S03'!$AN$16:$AN$198,2*(ROWS($R$386:R405)-1)+1),0)</f>
        <v>0</v>
      </c>
      <c r="S405" s="23">
        <f>IF(NOT(ISNUMBER(INDEX('M04-S03'!$AN$16:$AN$198,2*(ROWS($R$386:R405)-1)+1))),INDEX('M04-S03'!$X$16:$X$198,2*(ROWS($S$386:S405)-1)+1),"")</f>
        <v>0</v>
      </c>
      <c r="T405" s="52" t="str">
        <f>IFERROR(IF(NOT(ISNUMBER(INDEX('M04-S03'!$AN$16:$AN$198,2*(ROWS($R$386:R405)-1)+1))),INDEX('M04-S03'!$AK$16:$AK$198,2*(ROWS($R$386:R405)-1)+1),0),0)</f>
        <v/>
      </c>
      <c r="U405" s="23" t="str">
        <f>IFERROR(IF(NOT(ISNUMBER(INDEX('M04-S03'!$AN$16:$AN$198,2*(ROWS($R$386:R405)-1)+1))),INDEX('M04-S03'!$AX$16:$AX$198,2*(ROWS($R$386:R405)-1)+1),""),"")</f>
        <v/>
      </c>
      <c r="V405" s="113"/>
      <c r="W405" t="str">
        <f>IFERROR(IF(NOT(ISNUMBER(INDEX('M04-S03'!$AN$16:$AN$198,2*(ROWS($R$386:R405)-1)+1))),INDEX('M04-S03'!$BE$16:$BE$198,2*(ROWS($R$386:R405)-1)+1),""),"")</f>
        <v>Submit for Review</v>
      </c>
      <c r="X405" s="113"/>
      <c r="Y405" s="113"/>
      <c r="Z405" s="111">
        <f>INDEX('M04-S03'!$B$16:$B$198,2*(ROWS($Z$386:Z405)-1)+1)</f>
        <v>20</v>
      </c>
      <c r="AA405" s="112"/>
      <c r="AB405" s="111">
        <f>INDEX('M04-S03'!$F$16:$F$198,2*(ROWS($Z$386:AB405)-1)+1)</f>
        <v>0</v>
      </c>
      <c r="AC405">
        <f>INDEX('M04-S03'!$L$16:$L$198,2*(ROWS($AC$386:AC405)-1)+1)</f>
        <v>0</v>
      </c>
      <c r="AD405">
        <f>INDEX('M04-S03'!$T$16:$T$198,2*(ROWS($AD$386:AD405)-1)+1)</f>
        <v>0</v>
      </c>
      <c r="AE405" s="459"/>
      <c r="AF405" s="459"/>
      <c r="AG405" s="111">
        <f>INDEX('M04-S03'!$R$16:$R$198,2*(ROWS($AG$309:AG328)-1)+1)</f>
        <v>0</v>
      </c>
      <c r="AH405" s="111">
        <f>INDEX('M04-S03'!$Z$16:$Z$198,2*(ROWS($AH$386:AH405)-1)+1)</f>
        <v>0</v>
      </c>
      <c r="AI405" s="96"/>
      <c r="AJ405" s="96"/>
      <c r="AK405" s="52" t="str">
        <f>INDEX('M04-S03'!$AV$16:$AV$198,2*(ROWS($AK$386:AK405)-1)+1)</f>
        <v/>
      </c>
      <c r="AL405" s="184">
        <f>IF(NOT(ISNUMBER(INDEX('M04-S03'!$AN$16:$AN$198,2*(ROWS($R$386:$R405)-1)+1))),INDEX('M04-S03'!$AD$16:$AD$198,2*(ROWS($AL$386:$AL405)-1)+1),"")</f>
        <v>0</v>
      </c>
      <c r="AM405" s="184" t="str">
        <f>IF(NOT(ISNUMBER(INDEX('M04-S03'!$AN$16:$AN$198,2*(ROWS($R$386:$R405)-1)+1))),INDEX('M04-S03'!$AF$16:$AF$198,2*(ROWS($AM$386:$AM405)-1)+1),"")</f>
        <v/>
      </c>
      <c r="AN405" s="52" t="str">
        <f>IF(NOT(ISNUMBER(INDEX('M04-S03'!$AN$16:$AN$198,2*(ROWS($R$386:$R405)-1)+1))),INDEX('M04-S03'!$AH$16:$AH$198,2*(ROWS($AN$386:$AN405)-1)+1),"")</f>
        <v/>
      </c>
      <c r="AO405" s="113"/>
      <c r="AU405"/>
    </row>
    <row r="406" spans="1:47">
      <c r="A406" s="57">
        <f t="shared" si="37"/>
        <v>0</v>
      </c>
      <c r="B406" s="183" t="str">
        <f t="shared" si="41"/>
        <v/>
      </c>
      <c r="C406" s="186" t="str">
        <f>IF(OR(R406&gt;0,T406&gt;0),INDEX('M04-S03'!$BD$16:$BD$198,2*(ROWS($C$386:C406)-1)+1),"")</f>
        <v/>
      </c>
      <c r="D406" t="s">
        <v>231</v>
      </c>
      <c r="E406" s="112"/>
      <c r="F406" s="112"/>
      <c r="G406" s="96"/>
      <c r="H406" s="96"/>
      <c r="I406" s="184">
        <f>IFERROR(ROUND(IF(ISNUMBER(INDEX('M04-S03'!$AN$16:$AN$198,2*(ROWS($R$386:$R406)-1)+1)),INDEX('M04-S03'!$AD$16:$AD$198,2*(ROWS($I$386:$I406)-1)+1),""),2),0)</f>
        <v>0</v>
      </c>
      <c r="J406" s="184">
        <f>IFERROR(ROUND(IF(ISNUMBER(INDEX('M04-S03'!$AN$16:$AN$198,2*(ROWS($R$386:$R406)-1)+1)),INDEX('M04-S03'!$AF$16:$AF$198,2*(ROWS($J$386:$J406)-1)+1),""),2),0)</f>
        <v>0</v>
      </c>
      <c r="K406" s="52">
        <f>IFERROR(ROUND(IF(ISNUMBER(INDEX('M04-S03'!$AN$16:$AN$198,2*(ROWS($R$386:$R406)-1)+1)),INDEX('M04-S03'!$AH$16:$AH$198,2*(ROWS($K$386:$K406)-1)+1),""),2),0)</f>
        <v>0</v>
      </c>
      <c r="M406" s="456" t="str">
        <f>IF(ISNUMBER(INDEX('M04-S03'!$AN$16:$AN$198,2*(ROWS($R$386:R406)-1)+1)),INDEX('M04-S03'!$X$16:$X$198,2*(ROWS($M$386:M406)-1)+1),"")</f>
        <v/>
      </c>
      <c r="N406" s="184" t="str">
        <f>IFERROR(IF(ISNUMBER(INDEX('M04-S03'!$AN$16:$AN$198,2*(ROWS($R$386:R406)-1)+1)),INDEX('M04-S03'!$AK$16:$AK$198,2*(ROWS($N$386:N406)-1)+1),""),"")</f>
        <v/>
      </c>
      <c r="O406" s="456" t="str">
        <f>IFERROR(IF(ISNUMBER(INDEX('M04-S03'!$AN$16:$AN$198,2*(ROWS($R$386:R406)-1)+1)),INDEX('M04-S03'!$AX$16:$AX$198,2*(ROWS($O$386:O406)-1)+1),""),"")</f>
        <v/>
      </c>
      <c r="P406" s="113"/>
      <c r="Q406" s="113"/>
      <c r="R406" s="184">
        <f>IF(ISNUMBER(INDEX('M04-S03'!$AN$16:$AN$198,2*(ROWS($R$386:R406)-1)+1)),INDEX('M04-S03'!$AN$16:$AN$198,2*(ROWS($R$386:R406)-1)+1),0)</f>
        <v>0</v>
      </c>
      <c r="S406" s="23">
        <f>IF(NOT(ISNUMBER(INDEX('M04-S03'!$AN$16:$AN$198,2*(ROWS($R$386:R406)-1)+1))),INDEX('M04-S03'!$X$16:$X$198,2*(ROWS($S$386:S406)-1)+1),"")</f>
        <v>0</v>
      </c>
      <c r="T406" s="52" t="str">
        <f>IFERROR(IF(NOT(ISNUMBER(INDEX('M04-S03'!$AN$16:$AN$198,2*(ROWS($R$386:R406)-1)+1))),INDEX('M04-S03'!$AK$16:$AK$198,2*(ROWS($R$386:R406)-1)+1),0),0)</f>
        <v/>
      </c>
      <c r="U406" s="23" t="str">
        <f>IFERROR(IF(NOT(ISNUMBER(INDEX('M04-S03'!$AN$16:$AN$198,2*(ROWS($R$386:R406)-1)+1))),INDEX('M04-S03'!$AX$16:$AX$198,2*(ROWS($R$386:R406)-1)+1),""),"")</f>
        <v/>
      </c>
      <c r="V406" s="113"/>
      <c r="W406" t="str">
        <f>IFERROR(IF(NOT(ISNUMBER(INDEX('M04-S03'!$AN$16:$AN$198,2*(ROWS($R$386:R406)-1)+1))),INDEX('M04-S03'!$BE$16:$BE$198,2*(ROWS($R$386:R406)-1)+1),""),"")</f>
        <v>Submit for Review</v>
      </c>
      <c r="X406" s="113"/>
      <c r="Y406" s="113"/>
      <c r="Z406" s="111">
        <f>INDEX('M04-S03'!$B$16:$B$198,2*(ROWS($Z$386:Z406)-1)+1)</f>
        <v>21</v>
      </c>
      <c r="AA406" s="112"/>
      <c r="AB406" s="111">
        <f>INDEX('M04-S03'!$F$16:$F$198,2*(ROWS($Z$386:AB406)-1)+1)</f>
        <v>0</v>
      </c>
      <c r="AC406">
        <f>INDEX('M04-S03'!$L$16:$L$198,2*(ROWS($AC$386:AC406)-1)+1)</f>
        <v>0</v>
      </c>
      <c r="AD406">
        <f>INDEX('M04-S03'!$T$16:$T$198,2*(ROWS($AD$386:AD406)-1)+1)</f>
        <v>0</v>
      </c>
      <c r="AE406" s="459"/>
      <c r="AF406" s="459"/>
      <c r="AG406" s="111">
        <f>INDEX('M04-S03'!$R$16:$R$198,2*(ROWS($AG$309:AG329)-1)+1)</f>
        <v>0</v>
      </c>
      <c r="AH406" s="111">
        <f>INDEX('M04-S03'!$Z$16:$Z$198,2*(ROWS($AH$386:AH406)-1)+1)</f>
        <v>0</v>
      </c>
      <c r="AI406" s="96"/>
      <c r="AJ406" s="96"/>
      <c r="AK406" s="52" t="str">
        <f>INDEX('M04-S03'!$AV$16:$AV$198,2*(ROWS($AK$386:AK406)-1)+1)</f>
        <v/>
      </c>
      <c r="AL406" s="184">
        <f>IF(NOT(ISNUMBER(INDEX('M04-S03'!$AN$16:$AN$198,2*(ROWS($R$386:$R406)-1)+1))),INDEX('M04-S03'!$AD$16:$AD$198,2*(ROWS($AL$386:$AL406)-1)+1),"")</f>
        <v>0</v>
      </c>
      <c r="AM406" s="184" t="str">
        <f>IF(NOT(ISNUMBER(INDEX('M04-S03'!$AN$16:$AN$198,2*(ROWS($R$386:$R406)-1)+1))),INDEX('M04-S03'!$AF$16:$AF$198,2*(ROWS($AM$386:$AM406)-1)+1),"")</f>
        <v/>
      </c>
      <c r="AN406" s="52" t="str">
        <f>IF(NOT(ISNUMBER(INDEX('M04-S03'!$AN$16:$AN$198,2*(ROWS($R$386:$R406)-1)+1))),INDEX('M04-S03'!$AH$16:$AH$198,2*(ROWS($AN$386:$AN406)-1)+1),"")</f>
        <v/>
      </c>
      <c r="AO406" s="113"/>
      <c r="AU406"/>
    </row>
    <row r="407" spans="1:47">
      <c r="A407" s="57">
        <f t="shared" si="37"/>
        <v>0</v>
      </c>
      <c r="B407" s="183" t="str">
        <f t="shared" si="41"/>
        <v/>
      </c>
      <c r="C407" s="186" t="str">
        <f>IF(OR(R407&gt;0,T407&gt;0),INDEX('M04-S03'!$BD$16:$BD$198,2*(ROWS($C$386:C407)-1)+1),"")</f>
        <v/>
      </c>
      <c r="D407" t="s">
        <v>231</v>
      </c>
      <c r="E407" s="112"/>
      <c r="F407" s="112"/>
      <c r="G407" s="96"/>
      <c r="H407" s="96"/>
      <c r="I407" s="184">
        <f>IFERROR(ROUND(IF(ISNUMBER(INDEX('M04-S03'!$AN$16:$AN$198,2*(ROWS($R$386:$R407)-1)+1)),INDEX('M04-S03'!$AD$16:$AD$198,2*(ROWS($I$386:$I407)-1)+1),""),2),0)</f>
        <v>0</v>
      </c>
      <c r="J407" s="184">
        <f>IFERROR(ROUND(IF(ISNUMBER(INDEX('M04-S03'!$AN$16:$AN$198,2*(ROWS($R$386:$R407)-1)+1)),INDEX('M04-S03'!$AF$16:$AF$198,2*(ROWS($J$386:$J407)-1)+1),""),2),0)</f>
        <v>0</v>
      </c>
      <c r="K407" s="52">
        <f>IFERROR(ROUND(IF(ISNUMBER(INDEX('M04-S03'!$AN$16:$AN$198,2*(ROWS($R$386:$R407)-1)+1)),INDEX('M04-S03'!$AH$16:$AH$198,2*(ROWS($K$386:$K407)-1)+1),""),2),0)</f>
        <v>0</v>
      </c>
      <c r="M407" s="456" t="str">
        <f>IF(ISNUMBER(INDEX('M04-S03'!$AN$16:$AN$198,2*(ROWS($R$386:R407)-1)+1)),INDEX('M04-S03'!$X$16:$X$198,2*(ROWS($M$386:M407)-1)+1),"")</f>
        <v/>
      </c>
      <c r="N407" s="184" t="str">
        <f>IFERROR(IF(ISNUMBER(INDEX('M04-S03'!$AN$16:$AN$198,2*(ROWS($R$386:R407)-1)+1)),INDEX('M04-S03'!$AK$16:$AK$198,2*(ROWS($N$386:N407)-1)+1),""),"")</f>
        <v/>
      </c>
      <c r="O407" s="456" t="str">
        <f>IFERROR(IF(ISNUMBER(INDEX('M04-S03'!$AN$16:$AN$198,2*(ROWS($R$386:R407)-1)+1)),INDEX('M04-S03'!$AX$16:$AX$198,2*(ROWS($O$386:O407)-1)+1),""),"")</f>
        <v/>
      </c>
      <c r="P407" s="113"/>
      <c r="Q407" s="113"/>
      <c r="R407" s="184">
        <f>IF(ISNUMBER(INDEX('M04-S03'!$AN$16:$AN$198,2*(ROWS($R$386:R407)-1)+1)),INDEX('M04-S03'!$AN$16:$AN$198,2*(ROWS($R$386:R407)-1)+1),0)</f>
        <v>0</v>
      </c>
      <c r="S407" s="23">
        <f>IF(NOT(ISNUMBER(INDEX('M04-S03'!$AN$16:$AN$198,2*(ROWS($R$386:R407)-1)+1))),INDEX('M04-S03'!$X$16:$X$198,2*(ROWS($S$386:S407)-1)+1),"")</f>
        <v>0</v>
      </c>
      <c r="T407" s="52" t="str">
        <f>IFERROR(IF(NOT(ISNUMBER(INDEX('M04-S03'!$AN$16:$AN$198,2*(ROWS($R$386:R407)-1)+1))),INDEX('M04-S03'!$AK$16:$AK$198,2*(ROWS($R$386:R407)-1)+1),0),0)</f>
        <v/>
      </c>
      <c r="U407" s="23" t="str">
        <f>IFERROR(IF(NOT(ISNUMBER(INDEX('M04-S03'!$AN$16:$AN$198,2*(ROWS($R$386:R407)-1)+1))),INDEX('M04-S03'!$AX$16:$AX$198,2*(ROWS($R$386:R407)-1)+1),""),"")</f>
        <v/>
      </c>
      <c r="V407" s="113"/>
      <c r="W407" t="str">
        <f>IFERROR(IF(NOT(ISNUMBER(INDEX('M04-S03'!$AN$16:$AN$198,2*(ROWS($R$386:R407)-1)+1))),INDEX('M04-S03'!$BE$16:$BE$198,2*(ROWS($R$386:R407)-1)+1),""),"")</f>
        <v>Submit for Review</v>
      </c>
      <c r="X407" s="113"/>
      <c r="Y407" s="113"/>
      <c r="Z407" s="111">
        <f>INDEX('M04-S03'!$B$16:$B$198,2*(ROWS($Z$386:Z407)-1)+1)</f>
        <v>22</v>
      </c>
      <c r="AA407" s="112"/>
      <c r="AB407" s="111">
        <f>INDEX('M04-S03'!$F$16:$F$198,2*(ROWS($Z$386:AB407)-1)+1)</f>
        <v>0</v>
      </c>
      <c r="AC407">
        <f>INDEX('M04-S03'!$L$16:$L$198,2*(ROWS($AC$386:AC407)-1)+1)</f>
        <v>0</v>
      </c>
      <c r="AD407">
        <f>INDEX('M04-S03'!$T$16:$T$198,2*(ROWS($AD$386:AD407)-1)+1)</f>
        <v>0</v>
      </c>
      <c r="AE407" s="459"/>
      <c r="AF407" s="459"/>
      <c r="AG407" s="111">
        <f>INDEX('M04-S03'!$R$16:$R$198,2*(ROWS($AG$309:AG330)-1)+1)</f>
        <v>0</v>
      </c>
      <c r="AH407" s="111">
        <f>INDEX('M04-S03'!$Z$16:$Z$198,2*(ROWS($AH$386:AH407)-1)+1)</f>
        <v>0</v>
      </c>
      <c r="AI407" s="96"/>
      <c r="AJ407" s="96"/>
      <c r="AK407" s="52" t="str">
        <f>INDEX('M04-S03'!$AV$16:$AV$198,2*(ROWS($AK$386:AK407)-1)+1)</f>
        <v/>
      </c>
      <c r="AL407" s="184">
        <f>IF(NOT(ISNUMBER(INDEX('M04-S03'!$AN$16:$AN$198,2*(ROWS($R$386:$R407)-1)+1))),INDEX('M04-S03'!$AD$16:$AD$198,2*(ROWS($AL$386:$AL407)-1)+1),"")</f>
        <v>0</v>
      </c>
      <c r="AM407" s="184" t="str">
        <f>IF(NOT(ISNUMBER(INDEX('M04-S03'!$AN$16:$AN$198,2*(ROWS($R$386:$R407)-1)+1))),INDEX('M04-S03'!$AF$16:$AF$198,2*(ROWS($AM$386:$AM407)-1)+1),"")</f>
        <v/>
      </c>
      <c r="AN407" s="52" t="str">
        <f>IF(NOT(ISNUMBER(INDEX('M04-S03'!$AN$16:$AN$198,2*(ROWS($R$386:$R407)-1)+1))),INDEX('M04-S03'!$AH$16:$AH$198,2*(ROWS($AN$386:$AN407)-1)+1),"")</f>
        <v/>
      </c>
      <c r="AO407" s="113"/>
      <c r="AU407"/>
    </row>
    <row r="408" spans="1:47">
      <c r="A408" s="57">
        <f t="shared" si="37"/>
        <v>0</v>
      </c>
      <c r="B408" s="183" t="str">
        <f t="shared" si="41"/>
        <v/>
      </c>
      <c r="C408" s="186" t="str">
        <f>IF(OR(R408&gt;0,T408&gt;0),INDEX('M04-S03'!$BD$16:$BD$198,2*(ROWS($C$386:C408)-1)+1),"")</f>
        <v/>
      </c>
      <c r="D408" t="s">
        <v>231</v>
      </c>
      <c r="E408" s="112"/>
      <c r="F408" s="112"/>
      <c r="G408" s="96"/>
      <c r="H408" s="96"/>
      <c r="I408" s="184">
        <f>IFERROR(ROUND(IF(ISNUMBER(INDEX('M04-S03'!$AN$16:$AN$198,2*(ROWS($R$386:$R408)-1)+1)),INDEX('M04-S03'!$AD$16:$AD$198,2*(ROWS($I$386:$I408)-1)+1),""),2),0)</f>
        <v>0</v>
      </c>
      <c r="J408" s="184">
        <f>IFERROR(ROUND(IF(ISNUMBER(INDEX('M04-S03'!$AN$16:$AN$198,2*(ROWS($R$386:$R408)-1)+1)),INDEX('M04-S03'!$AF$16:$AF$198,2*(ROWS($J$386:$J408)-1)+1),""),2),0)</f>
        <v>0</v>
      </c>
      <c r="K408" s="52">
        <f>IFERROR(ROUND(IF(ISNUMBER(INDEX('M04-S03'!$AN$16:$AN$198,2*(ROWS($R$386:$R408)-1)+1)),INDEX('M04-S03'!$AH$16:$AH$198,2*(ROWS($K$386:$K408)-1)+1),""),2),0)</f>
        <v>0</v>
      </c>
      <c r="M408" s="456" t="str">
        <f>IF(ISNUMBER(INDEX('M04-S03'!$AN$16:$AN$198,2*(ROWS($R$386:R408)-1)+1)),INDEX('M04-S03'!$X$16:$X$198,2*(ROWS($M$386:M408)-1)+1),"")</f>
        <v/>
      </c>
      <c r="N408" s="184" t="str">
        <f>IFERROR(IF(ISNUMBER(INDEX('M04-S03'!$AN$16:$AN$198,2*(ROWS($R$386:R408)-1)+1)),INDEX('M04-S03'!$AK$16:$AK$198,2*(ROWS($N$386:N408)-1)+1),""),"")</f>
        <v/>
      </c>
      <c r="O408" s="456" t="str">
        <f>IFERROR(IF(ISNUMBER(INDEX('M04-S03'!$AN$16:$AN$198,2*(ROWS($R$386:R408)-1)+1)),INDEX('M04-S03'!$AX$16:$AX$198,2*(ROWS($O$386:O408)-1)+1),""),"")</f>
        <v/>
      </c>
      <c r="P408" s="113"/>
      <c r="Q408" s="113"/>
      <c r="R408" s="184">
        <f>IF(ISNUMBER(INDEX('M04-S03'!$AN$16:$AN$198,2*(ROWS($R$386:R408)-1)+1)),INDEX('M04-S03'!$AN$16:$AN$198,2*(ROWS($R$386:R408)-1)+1),0)</f>
        <v>0</v>
      </c>
      <c r="S408" s="23">
        <f>IF(NOT(ISNUMBER(INDEX('M04-S03'!$AN$16:$AN$198,2*(ROWS($R$386:R408)-1)+1))),INDEX('M04-S03'!$X$16:$X$198,2*(ROWS($S$386:S408)-1)+1),"")</f>
        <v>0</v>
      </c>
      <c r="T408" s="52" t="str">
        <f>IFERROR(IF(NOT(ISNUMBER(INDEX('M04-S03'!$AN$16:$AN$198,2*(ROWS($R$386:R408)-1)+1))),INDEX('M04-S03'!$AK$16:$AK$198,2*(ROWS($R$386:R408)-1)+1),0),0)</f>
        <v/>
      </c>
      <c r="U408" s="23" t="str">
        <f>IFERROR(IF(NOT(ISNUMBER(INDEX('M04-S03'!$AN$16:$AN$198,2*(ROWS($R$386:R408)-1)+1))),INDEX('M04-S03'!$AX$16:$AX$198,2*(ROWS($R$386:R408)-1)+1),""),"")</f>
        <v/>
      </c>
      <c r="V408" s="113"/>
      <c r="W408" t="str">
        <f>IFERROR(IF(NOT(ISNUMBER(INDEX('M04-S03'!$AN$16:$AN$198,2*(ROWS($R$386:R408)-1)+1))),INDEX('M04-S03'!$BE$16:$BE$198,2*(ROWS($R$386:R408)-1)+1),""),"")</f>
        <v>Submit for Review</v>
      </c>
      <c r="X408" s="113"/>
      <c r="Y408" s="113"/>
      <c r="Z408" s="111">
        <f>INDEX('M04-S03'!$B$16:$B$198,2*(ROWS($Z$386:Z408)-1)+1)</f>
        <v>23</v>
      </c>
      <c r="AA408" s="112"/>
      <c r="AB408" s="111">
        <f>INDEX('M04-S03'!$F$16:$F$198,2*(ROWS($Z$386:AB408)-1)+1)</f>
        <v>0</v>
      </c>
      <c r="AC408">
        <f>INDEX('M04-S03'!$L$16:$L$198,2*(ROWS($AC$386:AC408)-1)+1)</f>
        <v>0</v>
      </c>
      <c r="AD408">
        <f>INDEX('M04-S03'!$T$16:$T$198,2*(ROWS($AD$386:AD408)-1)+1)</f>
        <v>0</v>
      </c>
      <c r="AE408" s="459"/>
      <c r="AF408" s="459"/>
      <c r="AG408" s="111">
        <f>INDEX('M04-S03'!$R$16:$R$198,2*(ROWS($AG$309:AG331)-1)+1)</f>
        <v>0</v>
      </c>
      <c r="AH408" s="111">
        <f>INDEX('M04-S03'!$Z$16:$Z$198,2*(ROWS($AH$386:AH408)-1)+1)</f>
        <v>0</v>
      </c>
      <c r="AI408" s="96"/>
      <c r="AJ408" s="96"/>
      <c r="AK408" s="52" t="str">
        <f>INDEX('M04-S03'!$AV$16:$AV$198,2*(ROWS($AK$386:AK408)-1)+1)</f>
        <v/>
      </c>
      <c r="AL408" s="184">
        <f>IF(NOT(ISNUMBER(INDEX('M04-S03'!$AN$16:$AN$198,2*(ROWS($R$386:$R408)-1)+1))),INDEX('M04-S03'!$AD$16:$AD$198,2*(ROWS($AL$386:$AL408)-1)+1),"")</f>
        <v>0</v>
      </c>
      <c r="AM408" s="184" t="str">
        <f>IF(NOT(ISNUMBER(INDEX('M04-S03'!$AN$16:$AN$198,2*(ROWS($R$386:$R408)-1)+1))),INDEX('M04-S03'!$AF$16:$AF$198,2*(ROWS($AM$386:$AM408)-1)+1),"")</f>
        <v/>
      </c>
      <c r="AN408" s="52" t="str">
        <f>IF(NOT(ISNUMBER(INDEX('M04-S03'!$AN$16:$AN$198,2*(ROWS($R$386:$R408)-1)+1))),INDEX('M04-S03'!$AH$16:$AH$198,2*(ROWS($AN$386:$AN408)-1)+1),"")</f>
        <v/>
      </c>
      <c r="AO408" s="113"/>
      <c r="AU408"/>
    </row>
    <row r="409" spans="1:47">
      <c r="A409" s="57">
        <f t="shared" si="37"/>
        <v>0</v>
      </c>
      <c r="B409" s="183" t="str">
        <f t="shared" si="41"/>
        <v/>
      </c>
      <c r="C409" s="186" t="str">
        <f>IF(OR(R409&gt;0,T409&gt;0),INDEX('M04-S03'!$BD$16:$BD$198,2*(ROWS($C$386:C409)-1)+1),"")</f>
        <v/>
      </c>
      <c r="D409" t="s">
        <v>231</v>
      </c>
      <c r="E409" s="112"/>
      <c r="F409" s="112"/>
      <c r="G409" s="96"/>
      <c r="H409" s="96"/>
      <c r="I409" s="184">
        <f>IFERROR(ROUND(IF(ISNUMBER(INDEX('M04-S03'!$AN$16:$AN$198,2*(ROWS($R$386:$R409)-1)+1)),INDEX('M04-S03'!$AD$16:$AD$198,2*(ROWS($I$386:$I409)-1)+1),""),2),0)</f>
        <v>0</v>
      </c>
      <c r="J409" s="184">
        <f>IFERROR(ROUND(IF(ISNUMBER(INDEX('M04-S03'!$AN$16:$AN$198,2*(ROWS($R$386:$R409)-1)+1)),INDEX('M04-S03'!$AF$16:$AF$198,2*(ROWS($J$386:$J409)-1)+1),""),2),0)</f>
        <v>0</v>
      </c>
      <c r="K409" s="52">
        <f>IFERROR(ROUND(IF(ISNUMBER(INDEX('M04-S03'!$AN$16:$AN$198,2*(ROWS($R$386:$R409)-1)+1)),INDEX('M04-S03'!$AH$16:$AH$198,2*(ROWS($K$386:$K409)-1)+1),""),2),0)</f>
        <v>0</v>
      </c>
      <c r="M409" s="456" t="str">
        <f>IF(ISNUMBER(INDEX('M04-S03'!$AN$16:$AN$198,2*(ROWS($R$386:R409)-1)+1)),INDEX('M04-S03'!$X$16:$X$198,2*(ROWS($M$386:M409)-1)+1),"")</f>
        <v/>
      </c>
      <c r="N409" s="184" t="str">
        <f>IFERROR(IF(ISNUMBER(INDEX('M04-S03'!$AN$16:$AN$198,2*(ROWS($R$386:R409)-1)+1)),INDEX('M04-S03'!$AK$16:$AK$198,2*(ROWS($N$386:N409)-1)+1),""),"")</f>
        <v/>
      </c>
      <c r="O409" s="456" t="str">
        <f>IFERROR(IF(ISNUMBER(INDEX('M04-S03'!$AN$16:$AN$198,2*(ROWS($R$386:R409)-1)+1)),INDEX('M04-S03'!$AX$16:$AX$198,2*(ROWS($O$386:O409)-1)+1),""),"")</f>
        <v/>
      </c>
      <c r="P409" s="113"/>
      <c r="Q409" s="113"/>
      <c r="R409" s="184">
        <f>IF(ISNUMBER(INDEX('M04-S03'!$AN$16:$AN$198,2*(ROWS($R$386:R409)-1)+1)),INDEX('M04-S03'!$AN$16:$AN$198,2*(ROWS($R$386:R409)-1)+1),0)</f>
        <v>0</v>
      </c>
      <c r="S409" s="23">
        <f>IF(NOT(ISNUMBER(INDEX('M04-S03'!$AN$16:$AN$198,2*(ROWS($R$386:R409)-1)+1))),INDEX('M04-S03'!$X$16:$X$198,2*(ROWS($S$386:S409)-1)+1),"")</f>
        <v>0</v>
      </c>
      <c r="T409" s="52" t="str">
        <f>IFERROR(IF(NOT(ISNUMBER(INDEX('M04-S03'!$AN$16:$AN$198,2*(ROWS($R$386:R409)-1)+1))),INDEX('M04-S03'!$AK$16:$AK$198,2*(ROWS($R$386:R409)-1)+1),0),0)</f>
        <v/>
      </c>
      <c r="U409" s="23" t="str">
        <f>IFERROR(IF(NOT(ISNUMBER(INDEX('M04-S03'!$AN$16:$AN$198,2*(ROWS($R$386:R409)-1)+1))),INDEX('M04-S03'!$AX$16:$AX$198,2*(ROWS($R$386:R409)-1)+1),""),"")</f>
        <v/>
      </c>
      <c r="V409" s="113"/>
      <c r="W409" t="str">
        <f>IFERROR(IF(NOT(ISNUMBER(INDEX('M04-S03'!$AN$16:$AN$198,2*(ROWS($R$386:R409)-1)+1))),INDEX('M04-S03'!$BE$16:$BE$198,2*(ROWS($R$386:R409)-1)+1),""),"")</f>
        <v>Submit for Review</v>
      </c>
      <c r="X409" s="113"/>
      <c r="Y409" s="113"/>
      <c r="Z409" s="111">
        <f>INDEX('M04-S03'!$B$16:$B$198,2*(ROWS($Z$386:Z409)-1)+1)</f>
        <v>24</v>
      </c>
      <c r="AA409" s="112"/>
      <c r="AB409" s="111">
        <f>INDEX('M04-S03'!$F$16:$F$198,2*(ROWS($Z$386:AB409)-1)+1)</f>
        <v>0</v>
      </c>
      <c r="AC409">
        <f>INDEX('M04-S03'!$L$16:$L$198,2*(ROWS($AC$386:AC409)-1)+1)</f>
        <v>0</v>
      </c>
      <c r="AD409">
        <f>INDEX('M04-S03'!$T$16:$T$198,2*(ROWS($AD$386:AD409)-1)+1)</f>
        <v>0</v>
      </c>
      <c r="AE409" s="459"/>
      <c r="AF409" s="459"/>
      <c r="AG409" s="111">
        <f>INDEX('M04-S03'!$R$16:$R$198,2*(ROWS($AG$309:AG332)-1)+1)</f>
        <v>0</v>
      </c>
      <c r="AH409" s="111">
        <f>INDEX('M04-S03'!$Z$16:$Z$198,2*(ROWS($AH$386:AH409)-1)+1)</f>
        <v>0</v>
      </c>
      <c r="AI409" s="96"/>
      <c r="AJ409" s="96"/>
      <c r="AK409" s="52" t="str">
        <f>INDEX('M04-S03'!$AV$16:$AV$198,2*(ROWS($AK$386:AK409)-1)+1)</f>
        <v/>
      </c>
      <c r="AL409" s="184">
        <f>IF(NOT(ISNUMBER(INDEX('M04-S03'!$AN$16:$AN$198,2*(ROWS($R$386:$R409)-1)+1))),INDEX('M04-S03'!$AD$16:$AD$198,2*(ROWS($AL$386:$AL409)-1)+1),"")</f>
        <v>0</v>
      </c>
      <c r="AM409" s="184" t="str">
        <f>IF(NOT(ISNUMBER(INDEX('M04-S03'!$AN$16:$AN$198,2*(ROWS($R$386:$R409)-1)+1))),INDEX('M04-S03'!$AF$16:$AF$198,2*(ROWS($AM$386:$AM409)-1)+1),"")</f>
        <v/>
      </c>
      <c r="AN409" s="52" t="str">
        <f>IF(NOT(ISNUMBER(INDEX('M04-S03'!$AN$16:$AN$198,2*(ROWS($R$386:$R409)-1)+1))),INDEX('M04-S03'!$AH$16:$AH$198,2*(ROWS($AN$386:$AN409)-1)+1),"")</f>
        <v/>
      </c>
      <c r="AO409" s="113"/>
      <c r="AU409"/>
    </row>
    <row r="410" spans="1:47">
      <c r="A410" s="57">
        <f t="shared" si="37"/>
        <v>0</v>
      </c>
      <c r="B410" s="183" t="str">
        <f t="shared" si="41"/>
        <v/>
      </c>
      <c r="C410" s="186" t="str">
        <f>IF(OR(R410&gt;0,T410&gt;0),INDEX('M04-S03'!$BD$16:$BD$198,2*(ROWS($C$386:C410)-1)+1),"")</f>
        <v/>
      </c>
      <c r="D410" t="s">
        <v>231</v>
      </c>
      <c r="E410" s="112"/>
      <c r="F410" s="112"/>
      <c r="G410" s="96"/>
      <c r="H410" s="96"/>
      <c r="I410" s="184">
        <f>IFERROR(ROUND(IF(ISNUMBER(INDEX('M04-S03'!$AN$16:$AN$198,2*(ROWS($R$386:$R410)-1)+1)),INDEX('M04-S03'!$AD$16:$AD$198,2*(ROWS($I$386:$I410)-1)+1),""),2),0)</f>
        <v>0</v>
      </c>
      <c r="J410" s="184">
        <f>IFERROR(ROUND(IF(ISNUMBER(INDEX('M04-S03'!$AN$16:$AN$198,2*(ROWS($R$386:$R410)-1)+1)),INDEX('M04-S03'!$AF$16:$AF$198,2*(ROWS($J$386:$J410)-1)+1),""),2),0)</f>
        <v>0</v>
      </c>
      <c r="K410" s="52">
        <f>IFERROR(ROUND(IF(ISNUMBER(INDEX('M04-S03'!$AN$16:$AN$198,2*(ROWS($R$386:$R410)-1)+1)),INDEX('M04-S03'!$AH$16:$AH$198,2*(ROWS($K$386:$K410)-1)+1),""),2),0)</f>
        <v>0</v>
      </c>
      <c r="M410" s="456" t="str">
        <f>IF(ISNUMBER(INDEX('M04-S03'!$AN$16:$AN$198,2*(ROWS($R$386:R410)-1)+1)),INDEX('M04-S03'!$X$16:$X$198,2*(ROWS($M$386:M410)-1)+1),"")</f>
        <v/>
      </c>
      <c r="N410" s="184" t="str">
        <f>IFERROR(IF(ISNUMBER(INDEX('M04-S03'!$AN$16:$AN$198,2*(ROWS($R$386:R410)-1)+1)),INDEX('M04-S03'!$AK$16:$AK$198,2*(ROWS($N$386:N410)-1)+1),""),"")</f>
        <v/>
      </c>
      <c r="O410" s="456" t="str">
        <f>IFERROR(IF(ISNUMBER(INDEX('M04-S03'!$AN$16:$AN$198,2*(ROWS($R$386:R410)-1)+1)),INDEX('M04-S03'!$AX$16:$AX$198,2*(ROWS($O$386:O410)-1)+1),""),"")</f>
        <v/>
      </c>
      <c r="P410" s="113"/>
      <c r="Q410" s="113"/>
      <c r="R410" s="184">
        <f>IF(ISNUMBER(INDEX('M04-S03'!$AN$16:$AN$198,2*(ROWS($R$386:R410)-1)+1)),INDEX('M04-S03'!$AN$16:$AN$198,2*(ROWS($R$386:R410)-1)+1),0)</f>
        <v>0</v>
      </c>
      <c r="S410" s="23">
        <f>IF(NOT(ISNUMBER(INDEX('M04-S03'!$AN$16:$AN$198,2*(ROWS($R$386:R410)-1)+1))),INDEX('M04-S03'!$X$16:$X$198,2*(ROWS($S$386:S410)-1)+1),"")</f>
        <v>0</v>
      </c>
      <c r="T410" s="52" t="str">
        <f>IFERROR(IF(NOT(ISNUMBER(INDEX('M04-S03'!$AN$16:$AN$198,2*(ROWS($R$386:R410)-1)+1))),INDEX('M04-S03'!$AK$16:$AK$198,2*(ROWS($R$386:R410)-1)+1),0),0)</f>
        <v/>
      </c>
      <c r="U410" s="23" t="str">
        <f>IFERROR(IF(NOT(ISNUMBER(INDEX('M04-S03'!$AN$16:$AN$198,2*(ROWS($R$386:R410)-1)+1))),INDEX('M04-S03'!$AX$16:$AX$198,2*(ROWS($R$386:R410)-1)+1),""),"")</f>
        <v/>
      </c>
      <c r="V410" s="113"/>
      <c r="W410" t="str">
        <f>IFERROR(IF(NOT(ISNUMBER(INDEX('M04-S03'!$AN$16:$AN$198,2*(ROWS($R$386:R410)-1)+1))),INDEX('M04-S03'!$BE$16:$BE$198,2*(ROWS($R$386:R410)-1)+1),""),"")</f>
        <v>Submit for Review</v>
      </c>
      <c r="X410" s="113"/>
      <c r="Y410" s="113"/>
      <c r="Z410" s="111">
        <f>INDEX('M04-S03'!$B$16:$B$198,2*(ROWS($Z$386:Z410)-1)+1)</f>
        <v>25</v>
      </c>
      <c r="AA410" s="112"/>
      <c r="AB410" s="111">
        <f>INDEX('M04-S03'!$F$16:$F$198,2*(ROWS($Z$386:AB410)-1)+1)</f>
        <v>0</v>
      </c>
      <c r="AC410">
        <f>INDEX('M04-S03'!$L$16:$L$198,2*(ROWS($AC$386:AC410)-1)+1)</f>
        <v>0</v>
      </c>
      <c r="AD410">
        <f>INDEX('M04-S03'!$T$16:$T$198,2*(ROWS($AD$386:AD410)-1)+1)</f>
        <v>0</v>
      </c>
      <c r="AE410" s="459"/>
      <c r="AF410" s="459"/>
      <c r="AG410" s="111">
        <f>INDEX('M04-S03'!$R$16:$R$198,2*(ROWS($AG$309:AG333)-1)+1)</f>
        <v>0</v>
      </c>
      <c r="AH410" s="111">
        <f>INDEX('M04-S03'!$Z$16:$Z$198,2*(ROWS($AH$386:AH410)-1)+1)</f>
        <v>0</v>
      </c>
      <c r="AI410" s="96"/>
      <c r="AJ410" s="96"/>
      <c r="AK410" s="52" t="str">
        <f>INDEX('M04-S03'!$AV$16:$AV$198,2*(ROWS($AK$386:AK410)-1)+1)</f>
        <v/>
      </c>
      <c r="AL410" s="184">
        <f>IF(NOT(ISNUMBER(INDEX('M04-S03'!$AN$16:$AN$198,2*(ROWS($R$386:$R410)-1)+1))),INDEX('M04-S03'!$AD$16:$AD$198,2*(ROWS($AL$386:$AL410)-1)+1),"")</f>
        <v>0</v>
      </c>
      <c r="AM410" s="184" t="str">
        <f>IF(NOT(ISNUMBER(INDEX('M04-S03'!$AN$16:$AN$198,2*(ROWS($R$386:$R410)-1)+1))),INDEX('M04-S03'!$AF$16:$AF$198,2*(ROWS($AM$386:$AM410)-1)+1),"")</f>
        <v/>
      </c>
      <c r="AN410" s="52" t="str">
        <f>IF(NOT(ISNUMBER(INDEX('M04-S03'!$AN$16:$AN$198,2*(ROWS($R$386:$R410)-1)+1))),INDEX('M04-S03'!$AH$16:$AH$198,2*(ROWS($AN$386:$AN410)-1)+1),"")</f>
        <v/>
      </c>
      <c r="AO410" s="113"/>
      <c r="AU410"/>
    </row>
    <row r="411" spans="1:47">
      <c r="A411" s="57">
        <f t="shared" si="37"/>
        <v>0</v>
      </c>
      <c r="B411" s="183" t="str">
        <f t="shared" si="41"/>
        <v/>
      </c>
      <c r="C411" s="186" t="str">
        <f>IF(OR(R411&gt;0,T411&gt;0),INDEX('M04-S03'!$BD$16:$BD$198,2*(ROWS($C$386:C411)-1)+1),"")</f>
        <v/>
      </c>
      <c r="D411" t="s">
        <v>231</v>
      </c>
      <c r="E411" s="112"/>
      <c r="F411" s="112"/>
      <c r="G411" s="96"/>
      <c r="H411" s="96"/>
      <c r="I411" s="184">
        <f>IFERROR(ROUND(IF(ISNUMBER(INDEX('M04-S03'!$AN$16:$AN$198,2*(ROWS($R$386:$R411)-1)+1)),INDEX('M04-S03'!$AD$16:$AD$198,2*(ROWS($I$386:$I411)-1)+1),""),2),0)</f>
        <v>0</v>
      </c>
      <c r="J411" s="184">
        <f>IFERROR(ROUND(IF(ISNUMBER(INDEX('M04-S03'!$AN$16:$AN$198,2*(ROWS($R$386:$R411)-1)+1)),INDEX('M04-S03'!$AF$16:$AF$198,2*(ROWS($J$386:$J411)-1)+1),""),2),0)</f>
        <v>0</v>
      </c>
      <c r="K411" s="52">
        <f>IFERROR(ROUND(IF(ISNUMBER(INDEX('M04-S03'!$AN$16:$AN$198,2*(ROWS($R$386:$R411)-1)+1)),INDEX('M04-S03'!$AH$16:$AH$198,2*(ROWS($K$386:$K411)-1)+1),""),2),0)</f>
        <v>0</v>
      </c>
      <c r="M411" s="456" t="str">
        <f>IF(ISNUMBER(INDEX('M04-S03'!$AN$16:$AN$198,2*(ROWS($R$386:R411)-1)+1)),INDEX('M04-S03'!$X$16:$X$198,2*(ROWS($M$386:M411)-1)+1),"")</f>
        <v/>
      </c>
      <c r="N411" s="184" t="str">
        <f>IFERROR(IF(ISNUMBER(INDEX('M04-S03'!$AN$16:$AN$198,2*(ROWS($R$386:R411)-1)+1)),INDEX('M04-S03'!$AK$16:$AK$198,2*(ROWS($N$386:N411)-1)+1),""),"")</f>
        <v/>
      </c>
      <c r="O411" s="456" t="str">
        <f>IFERROR(IF(ISNUMBER(INDEX('M04-S03'!$AN$16:$AN$198,2*(ROWS($R$386:R411)-1)+1)),INDEX('M04-S03'!$AX$16:$AX$198,2*(ROWS($O$386:O411)-1)+1),""),"")</f>
        <v/>
      </c>
      <c r="P411" s="113"/>
      <c r="Q411" s="113"/>
      <c r="R411" s="184">
        <f>IF(ISNUMBER(INDEX('M04-S03'!$AN$16:$AN$198,2*(ROWS($R$386:R411)-1)+1)),INDEX('M04-S03'!$AN$16:$AN$198,2*(ROWS($R$386:R411)-1)+1),0)</f>
        <v>0</v>
      </c>
      <c r="S411" s="23">
        <f>IF(NOT(ISNUMBER(INDEX('M04-S03'!$AN$16:$AN$198,2*(ROWS($R$386:R411)-1)+1))),INDEX('M04-S03'!$X$16:$X$198,2*(ROWS($S$386:S411)-1)+1),"")</f>
        <v>0</v>
      </c>
      <c r="T411" s="52" t="str">
        <f>IFERROR(IF(NOT(ISNUMBER(INDEX('M04-S03'!$AN$16:$AN$198,2*(ROWS($R$386:R411)-1)+1))),INDEX('M04-S03'!$AK$16:$AK$198,2*(ROWS($R$386:R411)-1)+1),0),0)</f>
        <v/>
      </c>
      <c r="U411" s="23" t="str">
        <f>IFERROR(IF(NOT(ISNUMBER(INDEX('M04-S03'!$AN$16:$AN$198,2*(ROWS($R$386:R411)-1)+1))),INDEX('M04-S03'!$AX$16:$AX$198,2*(ROWS($R$386:R411)-1)+1),""),"")</f>
        <v/>
      </c>
      <c r="V411" s="113"/>
      <c r="W411" t="str">
        <f>IFERROR(IF(NOT(ISNUMBER(INDEX('M04-S03'!$AN$16:$AN$198,2*(ROWS($R$386:R411)-1)+1))),INDEX('M04-S03'!$BE$16:$BE$198,2*(ROWS($R$386:R411)-1)+1),""),"")</f>
        <v>Submit for Review</v>
      </c>
      <c r="X411" s="113"/>
      <c r="Y411" s="113"/>
      <c r="Z411" s="111">
        <f>INDEX('M04-S03'!$B$16:$B$198,2*(ROWS($Z$386:Z411)-1)+1)</f>
        <v>26</v>
      </c>
      <c r="AA411" s="112"/>
      <c r="AB411" s="111">
        <f>INDEX('M04-S03'!$F$16:$F$198,2*(ROWS($Z$386:AB411)-1)+1)</f>
        <v>0</v>
      </c>
      <c r="AC411">
        <f>INDEX('M04-S03'!$L$16:$L$198,2*(ROWS($AC$386:AC411)-1)+1)</f>
        <v>0</v>
      </c>
      <c r="AD411">
        <f>INDEX('M04-S03'!$T$16:$T$198,2*(ROWS($AD$386:AD411)-1)+1)</f>
        <v>0</v>
      </c>
      <c r="AE411" s="459"/>
      <c r="AF411" s="459"/>
      <c r="AG411" s="111">
        <f>INDEX('M04-S03'!$R$16:$R$198,2*(ROWS($AG$309:AG334)-1)+1)</f>
        <v>0</v>
      </c>
      <c r="AH411" s="111">
        <f>INDEX('M04-S03'!$Z$16:$Z$198,2*(ROWS($AH$386:AH411)-1)+1)</f>
        <v>0</v>
      </c>
      <c r="AI411" s="96"/>
      <c r="AJ411" s="96"/>
      <c r="AK411" s="52" t="str">
        <f>INDEX('M04-S03'!$AV$16:$AV$198,2*(ROWS($AK$386:AK411)-1)+1)</f>
        <v/>
      </c>
      <c r="AL411" s="184">
        <f>IF(NOT(ISNUMBER(INDEX('M04-S03'!$AN$16:$AN$198,2*(ROWS($R$386:$R411)-1)+1))),INDEX('M04-S03'!$AD$16:$AD$198,2*(ROWS($AL$386:$AL411)-1)+1),"")</f>
        <v>0</v>
      </c>
      <c r="AM411" s="184" t="str">
        <f>IF(NOT(ISNUMBER(INDEX('M04-S03'!$AN$16:$AN$198,2*(ROWS($R$386:$R411)-1)+1))),INDEX('M04-S03'!$AF$16:$AF$198,2*(ROWS($AM$386:$AM411)-1)+1),"")</f>
        <v/>
      </c>
      <c r="AN411" s="52" t="str">
        <f>IF(NOT(ISNUMBER(INDEX('M04-S03'!$AN$16:$AN$198,2*(ROWS($R$386:$R411)-1)+1))),INDEX('M04-S03'!$AH$16:$AH$198,2*(ROWS($AN$386:$AN411)-1)+1),"")</f>
        <v/>
      </c>
      <c r="AO411" s="113"/>
      <c r="AU411"/>
    </row>
    <row r="412" spans="1:47">
      <c r="A412" s="57">
        <f t="shared" si="37"/>
        <v>0</v>
      </c>
      <c r="B412" s="183" t="str">
        <f t="shared" si="41"/>
        <v/>
      </c>
      <c r="C412" s="186" t="str">
        <f>IF(OR(R412&gt;0,T412&gt;0),INDEX('M04-S03'!$BD$16:$BD$198,2*(ROWS($C$386:C412)-1)+1),"")</f>
        <v/>
      </c>
      <c r="D412" t="s">
        <v>231</v>
      </c>
      <c r="E412" s="112"/>
      <c r="F412" s="112"/>
      <c r="G412" s="96"/>
      <c r="H412" s="96"/>
      <c r="I412" s="184">
        <f>IFERROR(ROUND(IF(ISNUMBER(INDEX('M04-S03'!$AN$16:$AN$198,2*(ROWS($R$386:$R412)-1)+1)),INDEX('M04-S03'!$AD$16:$AD$198,2*(ROWS($I$386:$I412)-1)+1),""),2),0)</f>
        <v>0</v>
      </c>
      <c r="J412" s="184">
        <f>IFERROR(ROUND(IF(ISNUMBER(INDEX('M04-S03'!$AN$16:$AN$198,2*(ROWS($R$386:$R412)-1)+1)),INDEX('M04-S03'!$AF$16:$AF$198,2*(ROWS($J$386:$J412)-1)+1),""),2),0)</f>
        <v>0</v>
      </c>
      <c r="K412" s="52">
        <f>IFERROR(ROUND(IF(ISNUMBER(INDEX('M04-S03'!$AN$16:$AN$198,2*(ROWS($R$386:$R412)-1)+1)),INDEX('M04-S03'!$AH$16:$AH$198,2*(ROWS($K$386:$K412)-1)+1),""),2),0)</f>
        <v>0</v>
      </c>
      <c r="M412" s="456" t="str">
        <f>IF(ISNUMBER(INDEX('M04-S03'!$AN$16:$AN$198,2*(ROWS($R$386:R412)-1)+1)),INDEX('M04-S03'!$X$16:$X$198,2*(ROWS($M$386:M412)-1)+1),"")</f>
        <v/>
      </c>
      <c r="N412" s="184" t="str">
        <f>IFERROR(IF(ISNUMBER(INDEX('M04-S03'!$AN$16:$AN$198,2*(ROWS($R$386:R412)-1)+1)),INDEX('M04-S03'!$AK$16:$AK$198,2*(ROWS($N$386:N412)-1)+1),""),"")</f>
        <v/>
      </c>
      <c r="O412" s="456" t="str">
        <f>IFERROR(IF(ISNUMBER(INDEX('M04-S03'!$AN$16:$AN$198,2*(ROWS($R$386:R412)-1)+1)),INDEX('M04-S03'!$AX$16:$AX$198,2*(ROWS($O$386:O412)-1)+1),""),"")</f>
        <v/>
      </c>
      <c r="P412" s="113"/>
      <c r="Q412" s="113"/>
      <c r="R412" s="184">
        <f>IF(ISNUMBER(INDEX('M04-S03'!$AN$16:$AN$198,2*(ROWS($R$386:R412)-1)+1)),INDEX('M04-S03'!$AN$16:$AN$198,2*(ROWS($R$386:R412)-1)+1),0)</f>
        <v>0</v>
      </c>
      <c r="S412" s="23">
        <f>IF(NOT(ISNUMBER(INDEX('M04-S03'!$AN$16:$AN$198,2*(ROWS($R$386:R412)-1)+1))),INDEX('M04-S03'!$X$16:$X$198,2*(ROWS($S$386:S412)-1)+1),"")</f>
        <v>0</v>
      </c>
      <c r="T412" s="52" t="str">
        <f>IFERROR(IF(NOT(ISNUMBER(INDEX('M04-S03'!$AN$16:$AN$198,2*(ROWS($R$386:R412)-1)+1))),INDEX('M04-S03'!$AK$16:$AK$198,2*(ROWS($R$386:R412)-1)+1),0),0)</f>
        <v/>
      </c>
      <c r="U412" s="23" t="str">
        <f>IFERROR(IF(NOT(ISNUMBER(INDEX('M04-S03'!$AN$16:$AN$198,2*(ROWS($R$386:R412)-1)+1))),INDEX('M04-S03'!$AX$16:$AX$198,2*(ROWS($R$386:R412)-1)+1),""),"")</f>
        <v/>
      </c>
      <c r="V412" s="113"/>
      <c r="W412" t="str">
        <f>IFERROR(IF(NOT(ISNUMBER(INDEX('M04-S03'!$AN$16:$AN$198,2*(ROWS($R$386:R412)-1)+1))),INDEX('M04-S03'!$BE$16:$BE$198,2*(ROWS($R$386:R412)-1)+1),""),"")</f>
        <v>Submit for Review</v>
      </c>
      <c r="X412" s="113"/>
      <c r="Y412" s="113"/>
      <c r="Z412" s="111">
        <f>INDEX('M04-S03'!$B$16:$B$198,2*(ROWS($Z$386:Z412)-1)+1)</f>
        <v>27</v>
      </c>
      <c r="AA412" s="112"/>
      <c r="AB412" s="111">
        <f>INDEX('M04-S03'!$F$16:$F$198,2*(ROWS($Z$386:AB412)-1)+1)</f>
        <v>0</v>
      </c>
      <c r="AC412">
        <f>INDEX('M04-S03'!$L$16:$L$198,2*(ROWS($AC$386:AC412)-1)+1)</f>
        <v>0</v>
      </c>
      <c r="AD412">
        <f>INDEX('M04-S03'!$T$16:$T$198,2*(ROWS($AD$386:AD412)-1)+1)</f>
        <v>0</v>
      </c>
      <c r="AE412" s="459"/>
      <c r="AF412" s="459"/>
      <c r="AG412" s="111">
        <f>INDEX('M04-S03'!$R$16:$R$198,2*(ROWS($AG$309:AG335)-1)+1)</f>
        <v>0</v>
      </c>
      <c r="AH412" s="111">
        <f>INDEX('M04-S03'!$Z$16:$Z$198,2*(ROWS($AH$386:AH412)-1)+1)</f>
        <v>0</v>
      </c>
      <c r="AI412" s="96"/>
      <c r="AJ412" s="96"/>
      <c r="AK412" s="52" t="str">
        <f>INDEX('M04-S03'!$AV$16:$AV$198,2*(ROWS($AK$386:AK412)-1)+1)</f>
        <v/>
      </c>
      <c r="AL412" s="184">
        <f>IF(NOT(ISNUMBER(INDEX('M04-S03'!$AN$16:$AN$198,2*(ROWS($R$386:$R412)-1)+1))),INDEX('M04-S03'!$AD$16:$AD$198,2*(ROWS($AL$386:$AL412)-1)+1),"")</f>
        <v>0</v>
      </c>
      <c r="AM412" s="184" t="str">
        <f>IF(NOT(ISNUMBER(INDEX('M04-S03'!$AN$16:$AN$198,2*(ROWS($R$386:$R412)-1)+1))),INDEX('M04-S03'!$AF$16:$AF$198,2*(ROWS($AM$386:$AM412)-1)+1),"")</f>
        <v/>
      </c>
      <c r="AN412" s="52" t="str">
        <f>IF(NOT(ISNUMBER(INDEX('M04-S03'!$AN$16:$AN$198,2*(ROWS($R$386:$R412)-1)+1))),INDEX('M04-S03'!$AH$16:$AH$198,2*(ROWS($AN$386:$AN412)-1)+1),"")</f>
        <v/>
      </c>
      <c r="AO412" s="113"/>
      <c r="AU412"/>
    </row>
    <row r="413" spans="1:47">
      <c r="A413" s="57">
        <f t="shared" si="37"/>
        <v>0</v>
      </c>
      <c r="B413" s="183" t="str">
        <f t="shared" si="41"/>
        <v/>
      </c>
      <c r="C413" s="186" t="str">
        <f>IF(OR(R413&gt;0,T413&gt;0),INDEX('M04-S03'!$BD$16:$BD$198,2*(ROWS($C$386:C413)-1)+1),"")</f>
        <v/>
      </c>
      <c r="D413" t="s">
        <v>231</v>
      </c>
      <c r="E413" s="112"/>
      <c r="F413" s="112"/>
      <c r="G413" s="96"/>
      <c r="H413" s="96"/>
      <c r="I413" s="184">
        <f>IFERROR(ROUND(IF(ISNUMBER(INDEX('M04-S03'!$AN$16:$AN$198,2*(ROWS($R$386:$R413)-1)+1)),INDEX('M04-S03'!$AD$16:$AD$198,2*(ROWS($I$386:$I413)-1)+1),""),2),0)</f>
        <v>0</v>
      </c>
      <c r="J413" s="184">
        <f>IFERROR(ROUND(IF(ISNUMBER(INDEX('M04-S03'!$AN$16:$AN$198,2*(ROWS($R$386:$R413)-1)+1)),INDEX('M04-S03'!$AF$16:$AF$198,2*(ROWS($J$386:$J413)-1)+1),""),2),0)</f>
        <v>0</v>
      </c>
      <c r="K413" s="52">
        <f>IFERROR(ROUND(IF(ISNUMBER(INDEX('M04-S03'!$AN$16:$AN$198,2*(ROWS($R$386:$R413)-1)+1)),INDEX('M04-S03'!$AH$16:$AH$198,2*(ROWS($K$386:$K413)-1)+1),""),2),0)</f>
        <v>0</v>
      </c>
      <c r="M413" s="456" t="str">
        <f>IF(ISNUMBER(INDEX('M04-S03'!$AN$16:$AN$198,2*(ROWS($R$386:R413)-1)+1)),INDEX('M04-S03'!$X$16:$X$198,2*(ROWS($M$386:M413)-1)+1),"")</f>
        <v/>
      </c>
      <c r="N413" s="184" t="str">
        <f>IFERROR(IF(ISNUMBER(INDEX('M04-S03'!$AN$16:$AN$198,2*(ROWS($R$386:R413)-1)+1)),INDEX('M04-S03'!$AK$16:$AK$198,2*(ROWS($N$386:N413)-1)+1),""),"")</f>
        <v/>
      </c>
      <c r="O413" s="456" t="str">
        <f>IFERROR(IF(ISNUMBER(INDEX('M04-S03'!$AN$16:$AN$198,2*(ROWS($R$386:R413)-1)+1)),INDEX('M04-S03'!$AX$16:$AX$198,2*(ROWS($O$386:O413)-1)+1),""),"")</f>
        <v/>
      </c>
      <c r="P413" s="113"/>
      <c r="Q413" s="113"/>
      <c r="R413" s="184">
        <f>IF(ISNUMBER(INDEX('M04-S03'!$AN$16:$AN$198,2*(ROWS($R$386:R413)-1)+1)),INDEX('M04-S03'!$AN$16:$AN$198,2*(ROWS($R$386:R413)-1)+1),0)</f>
        <v>0</v>
      </c>
      <c r="S413" s="23">
        <f>IF(NOT(ISNUMBER(INDEX('M04-S03'!$AN$16:$AN$198,2*(ROWS($R$386:R413)-1)+1))),INDEX('M04-S03'!$X$16:$X$198,2*(ROWS($S$386:S413)-1)+1),"")</f>
        <v>0</v>
      </c>
      <c r="T413" s="52" t="str">
        <f>IFERROR(IF(NOT(ISNUMBER(INDEX('M04-S03'!$AN$16:$AN$198,2*(ROWS($R$386:R413)-1)+1))),INDEX('M04-S03'!$AK$16:$AK$198,2*(ROWS($R$386:R413)-1)+1),0),0)</f>
        <v/>
      </c>
      <c r="U413" s="23" t="str">
        <f>IFERROR(IF(NOT(ISNUMBER(INDEX('M04-S03'!$AN$16:$AN$198,2*(ROWS($R$386:R413)-1)+1))),INDEX('M04-S03'!$AX$16:$AX$198,2*(ROWS($R$386:R413)-1)+1),""),"")</f>
        <v/>
      </c>
      <c r="V413" s="113"/>
      <c r="W413" t="str">
        <f>IFERROR(IF(NOT(ISNUMBER(INDEX('M04-S03'!$AN$16:$AN$198,2*(ROWS($R$386:R413)-1)+1))),INDEX('M04-S03'!$BE$16:$BE$198,2*(ROWS($R$386:R413)-1)+1),""),"")</f>
        <v>Submit for Review</v>
      </c>
      <c r="X413" s="113"/>
      <c r="Y413" s="113"/>
      <c r="Z413" s="111">
        <f>INDEX('M04-S03'!$B$16:$B$198,2*(ROWS($Z$386:Z413)-1)+1)</f>
        <v>28</v>
      </c>
      <c r="AA413" s="112"/>
      <c r="AB413" s="111">
        <f>INDEX('M04-S03'!$F$16:$F$198,2*(ROWS($Z$386:AB413)-1)+1)</f>
        <v>0</v>
      </c>
      <c r="AC413">
        <f>INDEX('M04-S03'!$L$16:$L$198,2*(ROWS($AC$386:AC413)-1)+1)</f>
        <v>0</v>
      </c>
      <c r="AD413">
        <f>INDEX('M04-S03'!$T$16:$T$198,2*(ROWS($AD$386:AD413)-1)+1)</f>
        <v>0</v>
      </c>
      <c r="AE413" s="459"/>
      <c r="AF413" s="459"/>
      <c r="AG413" s="111">
        <f>INDEX('M04-S03'!$R$16:$R$198,2*(ROWS($AG$309:AG336)-1)+1)</f>
        <v>0</v>
      </c>
      <c r="AH413" s="111">
        <f>INDEX('M04-S03'!$Z$16:$Z$198,2*(ROWS($AH$386:AH413)-1)+1)</f>
        <v>0</v>
      </c>
      <c r="AI413" s="96"/>
      <c r="AJ413" s="96"/>
      <c r="AK413" s="52" t="str">
        <f>INDEX('M04-S03'!$AV$16:$AV$198,2*(ROWS($AK$386:AK413)-1)+1)</f>
        <v/>
      </c>
      <c r="AL413" s="184">
        <f>IF(NOT(ISNUMBER(INDEX('M04-S03'!$AN$16:$AN$198,2*(ROWS($R$386:$R413)-1)+1))),INDEX('M04-S03'!$AD$16:$AD$198,2*(ROWS($AL$386:$AL413)-1)+1),"")</f>
        <v>0</v>
      </c>
      <c r="AM413" s="184" t="str">
        <f>IF(NOT(ISNUMBER(INDEX('M04-S03'!$AN$16:$AN$198,2*(ROWS($R$386:$R413)-1)+1))),INDEX('M04-S03'!$AF$16:$AF$198,2*(ROWS($AM$386:$AM413)-1)+1),"")</f>
        <v/>
      </c>
      <c r="AN413" s="52" t="str">
        <f>IF(NOT(ISNUMBER(INDEX('M04-S03'!$AN$16:$AN$198,2*(ROWS($R$386:$R413)-1)+1))),INDEX('M04-S03'!$AH$16:$AH$198,2*(ROWS($AN$386:$AN413)-1)+1),"")</f>
        <v/>
      </c>
      <c r="AO413" s="113"/>
      <c r="AU413"/>
    </row>
    <row r="414" spans="1:47">
      <c r="A414" s="57">
        <f t="shared" si="37"/>
        <v>0</v>
      </c>
      <c r="B414" s="183" t="str">
        <f t="shared" si="41"/>
        <v/>
      </c>
      <c r="C414" s="186" t="str">
        <f>IF(OR(R414&gt;0,T414&gt;0),INDEX('M04-S03'!$BD$16:$BD$198,2*(ROWS($C$386:C414)-1)+1),"")</f>
        <v/>
      </c>
      <c r="D414" t="s">
        <v>231</v>
      </c>
      <c r="E414" s="112"/>
      <c r="F414" s="112"/>
      <c r="G414" s="96"/>
      <c r="H414" s="96"/>
      <c r="I414" s="184">
        <f>IFERROR(ROUND(IF(ISNUMBER(INDEX('M04-S03'!$AN$16:$AN$198,2*(ROWS($R$386:$R414)-1)+1)),INDEX('M04-S03'!$AD$16:$AD$198,2*(ROWS($I$386:$I414)-1)+1),""),2),0)</f>
        <v>0</v>
      </c>
      <c r="J414" s="184">
        <f>IFERROR(ROUND(IF(ISNUMBER(INDEX('M04-S03'!$AN$16:$AN$198,2*(ROWS($R$386:$R414)-1)+1)),INDEX('M04-S03'!$AF$16:$AF$198,2*(ROWS($J$386:$J414)-1)+1),""),2),0)</f>
        <v>0</v>
      </c>
      <c r="K414" s="52">
        <f>IFERROR(ROUND(IF(ISNUMBER(INDEX('M04-S03'!$AN$16:$AN$198,2*(ROWS($R$386:$R414)-1)+1)),INDEX('M04-S03'!$AH$16:$AH$198,2*(ROWS($K$386:$K414)-1)+1),""),2),0)</f>
        <v>0</v>
      </c>
      <c r="M414" s="456" t="str">
        <f>IF(ISNUMBER(INDEX('M04-S03'!$AN$16:$AN$198,2*(ROWS($R$386:R414)-1)+1)),INDEX('M04-S03'!$X$16:$X$198,2*(ROWS($M$386:M414)-1)+1),"")</f>
        <v/>
      </c>
      <c r="N414" s="184" t="str">
        <f>IFERROR(IF(ISNUMBER(INDEX('M04-S03'!$AN$16:$AN$198,2*(ROWS($R$386:R414)-1)+1)),INDEX('M04-S03'!$AK$16:$AK$198,2*(ROWS($N$386:N414)-1)+1),""),"")</f>
        <v/>
      </c>
      <c r="O414" s="456" t="str">
        <f>IFERROR(IF(ISNUMBER(INDEX('M04-S03'!$AN$16:$AN$198,2*(ROWS($R$386:R414)-1)+1)),INDEX('M04-S03'!$AX$16:$AX$198,2*(ROWS($O$386:O414)-1)+1),""),"")</f>
        <v/>
      </c>
      <c r="P414" s="113"/>
      <c r="Q414" s="113"/>
      <c r="R414" s="184">
        <f>IF(ISNUMBER(INDEX('M04-S03'!$AN$16:$AN$198,2*(ROWS($R$386:R414)-1)+1)),INDEX('M04-S03'!$AN$16:$AN$198,2*(ROWS($R$386:R414)-1)+1),0)</f>
        <v>0</v>
      </c>
      <c r="S414" s="23">
        <f>IF(NOT(ISNUMBER(INDEX('M04-S03'!$AN$16:$AN$198,2*(ROWS($R$386:R414)-1)+1))),INDEX('M04-S03'!$X$16:$X$198,2*(ROWS($S$386:S414)-1)+1),"")</f>
        <v>0</v>
      </c>
      <c r="T414" s="52" t="str">
        <f>IFERROR(IF(NOT(ISNUMBER(INDEX('M04-S03'!$AN$16:$AN$198,2*(ROWS($R$386:R414)-1)+1))),INDEX('M04-S03'!$AK$16:$AK$198,2*(ROWS($R$386:R414)-1)+1),0),0)</f>
        <v/>
      </c>
      <c r="U414" s="23" t="str">
        <f>IFERROR(IF(NOT(ISNUMBER(INDEX('M04-S03'!$AN$16:$AN$198,2*(ROWS($R$386:R414)-1)+1))),INDEX('M04-S03'!$AX$16:$AX$198,2*(ROWS($R$386:R414)-1)+1),""),"")</f>
        <v/>
      </c>
      <c r="V414" s="113"/>
      <c r="W414" t="str">
        <f>IFERROR(IF(NOT(ISNUMBER(INDEX('M04-S03'!$AN$16:$AN$198,2*(ROWS($R$386:R414)-1)+1))),INDEX('M04-S03'!$BE$16:$BE$198,2*(ROWS($R$386:R414)-1)+1),""),"")</f>
        <v>Submit for Review</v>
      </c>
      <c r="X414" s="113"/>
      <c r="Y414" s="113"/>
      <c r="Z414" s="111">
        <f>INDEX('M04-S03'!$B$16:$B$198,2*(ROWS($Z$386:Z414)-1)+1)</f>
        <v>29</v>
      </c>
      <c r="AA414" s="112"/>
      <c r="AB414" s="111">
        <f>INDEX('M04-S03'!$F$16:$F$198,2*(ROWS($Z$386:AB414)-1)+1)</f>
        <v>0</v>
      </c>
      <c r="AC414">
        <f>INDEX('M04-S03'!$L$16:$L$198,2*(ROWS($AC$386:AC414)-1)+1)</f>
        <v>0</v>
      </c>
      <c r="AD414">
        <f>INDEX('M04-S03'!$T$16:$T$198,2*(ROWS($AD$386:AD414)-1)+1)</f>
        <v>0</v>
      </c>
      <c r="AE414" s="459"/>
      <c r="AF414" s="459"/>
      <c r="AG414" s="111">
        <f>INDEX('M04-S03'!$R$16:$R$198,2*(ROWS($AG$309:AG337)-1)+1)</f>
        <v>0</v>
      </c>
      <c r="AH414" s="111">
        <f>INDEX('M04-S03'!$Z$16:$Z$198,2*(ROWS($AH$386:AH414)-1)+1)</f>
        <v>0</v>
      </c>
      <c r="AI414" s="96"/>
      <c r="AJ414" s="96"/>
      <c r="AK414" s="52" t="str">
        <f>INDEX('M04-S03'!$AV$16:$AV$198,2*(ROWS($AK$386:AK414)-1)+1)</f>
        <v/>
      </c>
      <c r="AL414" s="184">
        <f>IF(NOT(ISNUMBER(INDEX('M04-S03'!$AN$16:$AN$198,2*(ROWS($R$386:$R414)-1)+1))),INDEX('M04-S03'!$AD$16:$AD$198,2*(ROWS($AL$386:$AL414)-1)+1),"")</f>
        <v>0</v>
      </c>
      <c r="AM414" s="184" t="str">
        <f>IF(NOT(ISNUMBER(INDEX('M04-S03'!$AN$16:$AN$198,2*(ROWS($R$386:$R414)-1)+1))),INDEX('M04-S03'!$AF$16:$AF$198,2*(ROWS($AM$386:$AM414)-1)+1),"")</f>
        <v/>
      </c>
      <c r="AN414" s="52" t="str">
        <f>IF(NOT(ISNUMBER(INDEX('M04-S03'!$AN$16:$AN$198,2*(ROWS($R$386:$R414)-1)+1))),INDEX('M04-S03'!$AH$16:$AH$198,2*(ROWS($AN$386:$AN414)-1)+1),"")</f>
        <v/>
      </c>
      <c r="AO414" s="113"/>
      <c r="AU414"/>
    </row>
    <row r="415" spans="1:47">
      <c r="A415" s="57">
        <f t="shared" si="37"/>
        <v>0</v>
      </c>
      <c r="B415" s="183" t="str">
        <f t="shared" si="41"/>
        <v/>
      </c>
      <c r="C415" s="186" t="str">
        <f>IF(OR(R415&gt;0,T415&gt;0),INDEX('M04-S03'!$BD$16:$BD$198,2*(ROWS($C$386:C415)-1)+1),"")</f>
        <v/>
      </c>
      <c r="D415" t="s">
        <v>231</v>
      </c>
      <c r="E415" s="112"/>
      <c r="F415" s="112"/>
      <c r="G415" s="96"/>
      <c r="H415" s="96"/>
      <c r="I415" s="184">
        <f>IFERROR(ROUND(IF(ISNUMBER(INDEX('M04-S03'!$AN$16:$AN$198,2*(ROWS($R$386:$R415)-1)+1)),INDEX('M04-S03'!$AD$16:$AD$198,2*(ROWS($I$386:$I415)-1)+1),""),2),0)</f>
        <v>0</v>
      </c>
      <c r="J415" s="184">
        <f>IFERROR(ROUND(IF(ISNUMBER(INDEX('M04-S03'!$AN$16:$AN$198,2*(ROWS($R$386:$R415)-1)+1)),INDEX('M04-S03'!$AF$16:$AF$198,2*(ROWS($J$386:$J415)-1)+1),""),2),0)</f>
        <v>0</v>
      </c>
      <c r="K415" s="52">
        <f>IFERROR(ROUND(IF(ISNUMBER(INDEX('M04-S03'!$AN$16:$AN$198,2*(ROWS($R$386:$R415)-1)+1)),INDEX('M04-S03'!$AH$16:$AH$198,2*(ROWS($K$386:$K415)-1)+1),""),2),0)</f>
        <v>0</v>
      </c>
      <c r="M415" s="456" t="str">
        <f>IF(ISNUMBER(INDEX('M04-S03'!$AN$16:$AN$198,2*(ROWS($R$386:R415)-1)+1)),INDEX('M04-S03'!$X$16:$X$198,2*(ROWS($M$386:M415)-1)+1),"")</f>
        <v/>
      </c>
      <c r="N415" s="184" t="str">
        <f>IFERROR(IF(ISNUMBER(INDEX('M04-S03'!$AN$16:$AN$198,2*(ROWS($R$386:R415)-1)+1)),INDEX('M04-S03'!$AK$16:$AK$198,2*(ROWS($N$386:N415)-1)+1),""),"")</f>
        <v/>
      </c>
      <c r="O415" s="456" t="str">
        <f>IFERROR(IF(ISNUMBER(INDEX('M04-S03'!$AN$16:$AN$198,2*(ROWS($R$386:R415)-1)+1)),INDEX('M04-S03'!$AX$16:$AX$198,2*(ROWS($O$386:O415)-1)+1),""),"")</f>
        <v/>
      </c>
      <c r="P415" s="113"/>
      <c r="Q415" s="113"/>
      <c r="R415" s="184">
        <f>IF(ISNUMBER(INDEX('M04-S03'!$AN$16:$AN$198,2*(ROWS($R$386:R415)-1)+1)),INDEX('M04-S03'!$AN$16:$AN$198,2*(ROWS($R$386:R415)-1)+1),0)</f>
        <v>0</v>
      </c>
      <c r="S415" s="23">
        <f>IF(NOT(ISNUMBER(INDEX('M04-S03'!$AN$16:$AN$198,2*(ROWS($R$386:R415)-1)+1))),INDEX('M04-S03'!$X$16:$X$198,2*(ROWS($S$386:S415)-1)+1),"")</f>
        <v>0</v>
      </c>
      <c r="T415" s="52" t="str">
        <f>IFERROR(IF(NOT(ISNUMBER(INDEX('M04-S03'!$AN$16:$AN$198,2*(ROWS($R$386:R415)-1)+1))),INDEX('M04-S03'!$AK$16:$AK$198,2*(ROWS($R$386:R415)-1)+1),0),0)</f>
        <v/>
      </c>
      <c r="U415" s="23" t="str">
        <f>IFERROR(IF(NOT(ISNUMBER(INDEX('M04-S03'!$AN$16:$AN$198,2*(ROWS($R$386:R415)-1)+1))),INDEX('M04-S03'!$AX$16:$AX$198,2*(ROWS($R$386:R415)-1)+1),""),"")</f>
        <v/>
      </c>
      <c r="V415" s="113"/>
      <c r="W415" t="str">
        <f>IFERROR(IF(NOT(ISNUMBER(INDEX('M04-S03'!$AN$16:$AN$198,2*(ROWS($R$386:R415)-1)+1))),INDEX('M04-S03'!$BE$16:$BE$198,2*(ROWS($R$386:R415)-1)+1),""),"")</f>
        <v>Submit for Review</v>
      </c>
      <c r="X415" s="113"/>
      <c r="Y415" s="113"/>
      <c r="Z415" s="111">
        <f>INDEX('M04-S03'!$B$16:$B$198,2*(ROWS($Z$386:Z415)-1)+1)</f>
        <v>30</v>
      </c>
      <c r="AA415" s="112"/>
      <c r="AB415" s="111">
        <f>INDEX('M04-S03'!$F$16:$F$198,2*(ROWS($Z$386:AB415)-1)+1)</f>
        <v>0</v>
      </c>
      <c r="AC415">
        <f>INDEX('M04-S03'!$L$16:$L$198,2*(ROWS($AC$386:AC415)-1)+1)</f>
        <v>0</v>
      </c>
      <c r="AD415">
        <f>INDEX('M04-S03'!$T$16:$T$198,2*(ROWS($AD$386:AD415)-1)+1)</f>
        <v>0</v>
      </c>
      <c r="AE415" s="459"/>
      <c r="AF415" s="459"/>
      <c r="AG415" s="111">
        <f>INDEX('M04-S03'!$R$16:$R$198,2*(ROWS($AG$309:AG338)-1)+1)</f>
        <v>0</v>
      </c>
      <c r="AH415" s="111">
        <f>INDEX('M04-S03'!$Z$16:$Z$198,2*(ROWS($AH$386:AH415)-1)+1)</f>
        <v>0</v>
      </c>
      <c r="AI415" s="96"/>
      <c r="AJ415" s="96"/>
      <c r="AK415" s="52" t="str">
        <f>INDEX('M04-S03'!$AV$16:$AV$198,2*(ROWS($AK$386:AK415)-1)+1)</f>
        <v/>
      </c>
      <c r="AL415" s="184">
        <f>IF(NOT(ISNUMBER(INDEX('M04-S03'!$AN$16:$AN$198,2*(ROWS($R$386:$R415)-1)+1))),INDEX('M04-S03'!$AD$16:$AD$198,2*(ROWS($AL$386:$AL415)-1)+1),"")</f>
        <v>0</v>
      </c>
      <c r="AM415" s="184" t="str">
        <f>IF(NOT(ISNUMBER(INDEX('M04-S03'!$AN$16:$AN$198,2*(ROWS($R$386:$R415)-1)+1))),INDEX('M04-S03'!$AF$16:$AF$198,2*(ROWS($AM$386:$AM415)-1)+1),"")</f>
        <v/>
      </c>
      <c r="AN415" s="52" t="str">
        <f>IF(NOT(ISNUMBER(INDEX('M04-S03'!$AN$16:$AN$198,2*(ROWS($R$386:$R415)-1)+1))),INDEX('M04-S03'!$AH$16:$AH$198,2*(ROWS($AN$386:$AN415)-1)+1),"")</f>
        <v/>
      </c>
      <c r="AO415" s="113"/>
      <c r="AU415"/>
    </row>
    <row r="416" spans="1:47">
      <c r="A416" s="57">
        <f t="shared" si="37"/>
        <v>0</v>
      </c>
      <c r="B416" s="183" t="str">
        <f t="shared" si="41"/>
        <v/>
      </c>
      <c r="C416" s="186" t="str">
        <f>IF(OR(R416&gt;0,T416&gt;0),INDEX('M04-S03'!$BD$16:$BD$198,2*(ROWS($C$386:C416)-1)+1),"")</f>
        <v/>
      </c>
      <c r="D416" t="s">
        <v>231</v>
      </c>
      <c r="E416" s="112"/>
      <c r="F416" s="112"/>
      <c r="G416" s="96"/>
      <c r="H416" s="96"/>
      <c r="I416" s="184">
        <f>IFERROR(ROUND(IF(ISNUMBER(INDEX('M04-S03'!$AN$16:$AN$198,2*(ROWS($R$386:$R416)-1)+1)),INDEX('M04-S03'!$AD$16:$AD$198,2*(ROWS($I$386:$I416)-1)+1),""),2),0)</f>
        <v>0</v>
      </c>
      <c r="J416" s="184">
        <f>IFERROR(ROUND(IF(ISNUMBER(INDEX('M04-S03'!$AN$16:$AN$198,2*(ROWS($R$386:$R416)-1)+1)),INDEX('M04-S03'!$AF$16:$AF$198,2*(ROWS($J$386:$J416)-1)+1),""),2),0)</f>
        <v>0</v>
      </c>
      <c r="K416" s="52">
        <f>IFERROR(ROUND(IF(ISNUMBER(INDEX('M04-S03'!$AN$16:$AN$198,2*(ROWS($R$386:$R416)-1)+1)),INDEX('M04-S03'!$AH$16:$AH$198,2*(ROWS($K$386:$K416)-1)+1),""),2),0)</f>
        <v>0</v>
      </c>
      <c r="M416" s="456" t="str">
        <f>IF(ISNUMBER(INDEX('M04-S03'!$AN$16:$AN$198,2*(ROWS($R$386:R416)-1)+1)),INDEX('M04-S03'!$X$16:$X$198,2*(ROWS($M$386:M416)-1)+1),"")</f>
        <v/>
      </c>
      <c r="N416" s="184" t="str">
        <f>IFERROR(IF(ISNUMBER(INDEX('M04-S03'!$AN$16:$AN$198,2*(ROWS($R$386:R416)-1)+1)),INDEX('M04-S03'!$AK$16:$AK$198,2*(ROWS($N$386:N416)-1)+1),""),"")</f>
        <v/>
      </c>
      <c r="O416" s="456" t="str">
        <f>IFERROR(IF(ISNUMBER(INDEX('M04-S03'!$AN$16:$AN$198,2*(ROWS($R$386:R416)-1)+1)),INDEX('M04-S03'!$AX$16:$AX$198,2*(ROWS($O$386:O416)-1)+1),""),"")</f>
        <v/>
      </c>
      <c r="P416" s="113"/>
      <c r="Q416" s="113"/>
      <c r="R416" s="184">
        <f>IF(ISNUMBER(INDEX('M04-S03'!$AN$16:$AN$198,2*(ROWS($R$386:R416)-1)+1)),INDEX('M04-S03'!$AN$16:$AN$198,2*(ROWS($R$386:R416)-1)+1),0)</f>
        <v>0</v>
      </c>
      <c r="S416" s="23">
        <f>IF(NOT(ISNUMBER(INDEX('M04-S03'!$AN$16:$AN$198,2*(ROWS($R$386:R416)-1)+1))),INDEX('M04-S03'!$X$16:$X$198,2*(ROWS($S$386:S416)-1)+1),"")</f>
        <v>0</v>
      </c>
      <c r="T416" s="52" t="str">
        <f>IFERROR(IF(NOT(ISNUMBER(INDEX('M04-S03'!$AN$16:$AN$198,2*(ROWS($R$386:R416)-1)+1))),INDEX('M04-S03'!$AK$16:$AK$198,2*(ROWS($R$386:R416)-1)+1),0),0)</f>
        <v/>
      </c>
      <c r="U416" s="23" t="str">
        <f>IFERROR(IF(NOT(ISNUMBER(INDEX('M04-S03'!$AN$16:$AN$198,2*(ROWS($R$386:R416)-1)+1))),INDEX('M04-S03'!$AX$16:$AX$198,2*(ROWS($R$386:R416)-1)+1),""),"")</f>
        <v/>
      </c>
      <c r="V416" s="113"/>
      <c r="W416" t="str">
        <f>IFERROR(IF(NOT(ISNUMBER(INDEX('M04-S03'!$AN$16:$AN$198,2*(ROWS($R$386:R416)-1)+1))),INDEX('M04-S03'!$BE$16:$BE$198,2*(ROWS($R$386:R416)-1)+1),""),"")</f>
        <v>Submit for Review</v>
      </c>
      <c r="X416" s="113"/>
      <c r="Y416" s="113"/>
      <c r="Z416" s="111">
        <f>INDEX('M04-S03'!$B$16:$B$198,2*(ROWS($Z$386:Z416)-1)+1)</f>
        <v>31</v>
      </c>
      <c r="AA416" s="112"/>
      <c r="AB416" s="111">
        <f>INDEX('M04-S03'!$F$16:$F$198,2*(ROWS($Z$386:AB416)-1)+1)</f>
        <v>0</v>
      </c>
      <c r="AC416">
        <f>INDEX('M04-S03'!$L$16:$L$198,2*(ROWS($AC$386:AC416)-1)+1)</f>
        <v>0</v>
      </c>
      <c r="AD416">
        <f>INDEX('M04-S03'!$T$16:$T$198,2*(ROWS($AD$386:AD416)-1)+1)</f>
        <v>0</v>
      </c>
      <c r="AE416" s="459"/>
      <c r="AF416" s="459"/>
      <c r="AG416" s="111">
        <f>INDEX('M04-S03'!$R$16:$R$198,2*(ROWS($AG$309:AG339)-1)+1)</f>
        <v>0</v>
      </c>
      <c r="AH416" s="111">
        <f>INDEX('M04-S03'!$Z$16:$Z$198,2*(ROWS($AH$386:AH416)-1)+1)</f>
        <v>0</v>
      </c>
      <c r="AI416" s="96"/>
      <c r="AJ416" s="96"/>
      <c r="AK416" s="52" t="str">
        <f>INDEX('M04-S03'!$AV$16:$AV$198,2*(ROWS($AK$386:AK416)-1)+1)</f>
        <v/>
      </c>
      <c r="AL416" s="184">
        <f>IF(NOT(ISNUMBER(INDEX('M04-S03'!$AN$16:$AN$198,2*(ROWS($R$386:$R416)-1)+1))),INDEX('M04-S03'!$AD$16:$AD$198,2*(ROWS($AL$386:$AL416)-1)+1),"")</f>
        <v>0</v>
      </c>
      <c r="AM416" s="184" t="str">
        <f>IF(NOT(ISNUMBER(INDEX('M04-S03'!$AN$16:$AN$198,2*(ROWS($R$386:$R416)-1)+1))),INDEX('M04-S03'!$AF$16:$AF$198,2*(ROWS($AM$386:$AM416)-1)+1),"")</f>
        <v/>
      </c>
      <c r="AN416" s="52" t="str">
        <f>IF(NOT(ISNUMBER(INDEX('M04-S03'!$AN$16:$AN$198,2*(ROWS($R$386:$R416)-1)+1))),INDEX('M04-S03'!$AH$16:$AH$198,2*(ROWS($AN$386:$AN416)-1)+1),"")</f>
        <v/>
      </c>
      <c r="AO416" s="113"/>
      <c r="AU416"/>
    </row>
    <row r="417" spans="1:47">
      <c r="A417" s="57">
        <f t="shared" si="37"/>
        <v>0</v>
      </c>
      <c r="B417" s="183" t="str">
        <f t="shared" si="41"/>
        <v/>
      </c>
      <c r="C417" s="186" t="str">
        <f>IF(OR(R417&gt;0,T417&gt;0),INDEX('M04-S03'!$BD$16:$BD$198,2*(ROWS($C$386:C417)-1)+1),"")</f>
        <v/>
      </c>
      <c r="D417" t="s">
        <v>231</v>
      </c>
      <c r="E417" s="112"/>
      <c r="F417" s="112"/>
      <c r="G417" s="96"/>
      <c r="H417" s="96"/>
      <c r="I417" s="184">
        <f>IFERROR(ROUND(IF(ISNUMBER(INDEX('M04-S03'!$AN$16:$AN$198,2*(ROWS($R$386:$R417)-1)+1)),INDEX('M04-S03'!$AD$16:$AD$198,2*(ROWS($I$386:$I417)-1)+1),""),2),0)</f>
        <v>0</v>
      </c>
      <c r="J417" s="184">
        <f>IFERROR(ROUND(IF(ISNUMBER(INDEX('M04-S03'!$AN$16:$AN$198,2*(ROWS($R$386:$R417)-1)+1)),INDEX('M04-S03'!$AF$16:$AF$198,2*(ROWS($J$386:$J417)-1)+1),""),2),0)</f>
        <v>0</v>
      </c>
      <c r="K417" s="52">
        <f>IFERROR(ROUND(IF(ISNUMBER(INDEX('M04-S03'!$AN$16:$AN$198,2*(ROWS($R$386:$R417)-1)+1)),INDEX('M04-S03'!$AH$16:$AH$198,2*(ROWS($K$386:$K417)-1)+1),""),2),0)</f>
        <v>0</v>
      </c>
      <c r="M417" s="456" t="str">
        <f>IF(ISNUMBER(INDEX('M04-S03'!$AN$16:$AN$198,2*(ROWS($R$386:R417)-1)+1)),INDEX('M04-S03'!$X$16:$X$198,2*(ROWS($M$386:M417)-1)+1),"")</f>
        <v/>
      </c>
      <c r="N417" s="184" t="str">
        <f>IFERROR(IF(ISNUMBER(INDEX('M04-S03'!$AN$16:$AN$198,2*(ROWS($R$386:R417)-1)+1)),INDEX('M04-S03'!$AK$16:$AK$198,2*(ROWS($N$386:N417)-1)+1),""),"")</f>
        <v/>
      </c>
      <c r="O417" s="456" t="str">
        <f>IFERROR(IF(ISNUMBER(INDEX('M04-S03'!$AN$16:$AN$198,2*(ROWS($R$386:R417)-1)+1)),INDEX('M04-S03'!$AX$16:$AX$198,2*(ROWS($O$386:O417)-1)+1),""),"")</f>
        <v/>
      </c>
      <c r="P417" s="113"/>
      <c r="Q417" s="113"/>
      <c r="R417" s="184">
        <f>IF(ISNUMBER(INDEX('M04-S03'!$AN$16:$AN$198,2*(ROWS($R$386:R417)-1)+1)),INDEX('M04-S03'!$AN$16:$AN$198,2*(ROWS($R$386:R417)-1)+1),0)</f>
        <v>0</v>
      </c>
      <c r="S417" s="23">
        <f>IF(NOT(ISNUMBER(INDEX('M04-S03'!$AN$16:$AN$198,2*(ROWS($R$386:R417)-1)+1))),INDEX('M04-S03'!$X$16:$X$198,2*(ROWS($S$386:S417)-1)+1),"")</f>
        <v>0</v>
      </c>
      <c r="T417" s="52" t="str">
        <f>IFERROR(IF(NOT(ISNUMBER(INDEX('M04-S03'!$AN$16:$AN$198,2*(ROWS($R$386:R417)-1)+1))),INDEX('M04-S03'!$AK$16:$AK$198,2*(ROWS($R$386:R417)-1)+1),0),0)</f>
        <v/>
      </c>
      <c r="U417" s="23" t="str">
        <f>IFERROR(IF(NOT(ISNUMBER(INDEX('M04-S03'!$AN$16:$AN$198,2*(ROWS($R$386:R417)-1)+1))),INDEX('M04-S03'!$AX$16:$AX$198,2*(ROWS($R$386:R417)-1)+1),""),"")</f>
        <v/>
      </c>
      <c r="V417" s="113"/>
      <c r="W417" t="str">
        <f>IFERROR(IF(NOT(ISNUMBER(INDEX('M04-S03'!$AN$16:$AN$198,2*(ROWS($R$386:R417)-1)+1))),INDEX('M04-S03'!$BE$16:$BE$198,2*(ROWS($R$386:R417)-1)+1),""),"")</f>
        <v>Submit for Review</v>
      </c>
      <c r="X417" s="113"/>
      <c r="Y417" s="113"/>
      <c r="Z417" s="111">
        <f>INDEX('M04-S03'!$B$16:$B$198,2*(ROWS($Z$386:Z417)-1)+1)</f>
        <v>32</v>
      </c>
      <c r="AA417" s="112"/>
      <c r="AB417" s="111">
        <f>INDEX('M04-S03'!$F$16:$F$198,2*(ROWS($Z$386:AB417)-1)+1)</f>
        <v>0</v>
      </c>
      <c r="AC417">
        <f>INDEX('M04-S03'!$L$16:$L$198,2*(ROWS($AC$386:AC417)-1)+1)</f>
        <v>0</v>
      </c>
      <c r="AD417">
        <f>INDEX('M04-S03'!$T$16:$T$198,2*(ROWS($AD$386:AD417)-1)+1)</f>
        <v>0</v>
      </c>
      <c r="AE417" s="459"/>
      <c r="AF417" s="459"/>
      <c r="AG417" s="111">
        <f>INDEX('M04-S03'!$R$16:$R$198,2*(ROWS($AG$309:AG340)-1)+1)</f>
        <v>0</v>
      </c>
      <c r="AH417" s="111">
        <f>INDEX('M04-S03'!$Z$16:$Z$198,2*(ROWS($AH$386:AH417)-1)+1)</f>
        <v>0</v>
      </c>
      <c r="AI417" s="96"/>
      <c r="AJ417" s="96"/>
      <c r="AK417" s="52" t="str">
        <f>INDEX('M04-S03'!$AV$16:$AV$198,2*(ROWS($AK$386:AK417)-1)+1)</f>
        <v/>
      </c>
      <c r="AL417" s="184">
        <f>IF(NOT(ISNUMBER(INDEX('M04-S03'!$AN$16:$AN$198,2*(ROWS($R$386:$R417)-1)+1))),INDEX('M04-S03'!$AD$16:$AD$198,2*(ROWS($AL$386:$AL417)-1)+1),"")</f>
        <v>0</v>
      </c>
      <c r="AM417" s="184" t="str">
        <f>IF(NOT(ISNUMBER(INDEX('M04-S03'!$AN$16:$AN$198,2*(ROWS($R$386:$R417)-1)+1))),INDEX('M04-S03'!$AF$16:$AF$198,2*(ROWS($AM$386:$AM417)-1)+1),"")</f>
        <v/>
      </c>
      <c r="AN417" s="52" t="str">
        <f>IF(NOT(ISNUMBER(INDEX('M04-S03'!$AN$16:$AN$198,2*(ROWS($R$386:$R417)-1)+1))),INDEX('M04-S03'!$AH$16:$AH$198,2*(ROWS($AN$386:$AN417)-1)+1),"")</f>
        <v/>
      </c>
      <c r="AO417" s="113"/>
      <c r="AU417"/>
    </row>
    <row r="418" spans="1:47">
      <c r="A418" s="57">
        <f t="shared" si="37"/>
        <v>0</v>
      </c>
      <c r="B418" s="183" t="str">
        <f t="shared" si="41"/>
        <v/>
      </c>
      <c r="C418" s="186" t="str">
        <f>IF(OR(R418&gt;0,T418&gt;0),INDEX('M04-S03'!$BD$16:$BD$198,2*(ROWS($C$386:C418)-1)+1),"")</f>
        <v/>
      </c>
      <c r="D418" t="s">
        <v>231</v>
      </c>
      <c r="E418" s="112"/>
      <c r="F418" s="112"/>
      <c r="G418" s="96"/>
      <c r="H418" s="96"/>
      <c r="I418" s="184">
        <f>IFERROR(ROUND(IF(ISNUMBER(INDEX('M04-S03'!$AN$16:$AN$198,2*(ROWS($R$386:$R418)-1)+1)),INDEX('M04-S03'!$AD$16:$AD$198,2*(ROWS($I$386:$I418)-1)+1),""),2),0)</f>
        <v>0</v>
      </c>
      <c r="J418" s="184">
        <f>IFERROR(ROUND(IF(ISNUMBER(INDEX('M04-S03'!$AN$16:$AN$198,2*(ROWS($R$386:$R418)-1)+1)),INDEX('M04-S03'!$AF$16:$AF$198,2*(ROWS($J$386:$J418)-1)+1),""),2),0)</f>
        <v>0</v>
      </c>
      <c r="K418" s="52">
        <f>IFERROR(ROUND(IF(ISNUMBER(INDEX('M04-S03'!$AN$16:$AN$198,2*(ROWS($R$386:$R418)-1)+1)),INDEX('M04-S03'!$AH$16:$AH$198,2*(ROWS($K$386:$K418)-1)+1),""),2),0)</f>
        <v>0</v>
      </c>
      <c r="M418" s="456" t="str">
        <f>IF(ISNUMBER(INDEX('M04-S03'!$AN$16:$AN$198,2*(ROWS($R$386:R418)-1)+1)),INDEX('M04-S03'!$X$16:$X$198,2*(ROWS($M$386:M418)-1)+1),"")</f>
        <v/>
      </c>
      <c r="N418" s="184" t="str">
        <f>IFERROR(IF(ISNUMBER(INDEX('M04-S03'!$AN$16:$AN$198,2*(ROWS($R$386:R418)-1)+1)),INDEX('M04-S03'!$AK$16:$AK$198,2*(ROWS($N$386:N418)-1)+1),""),"")</f>
        <v/>
      </c>
      <c r="O418" s="456" t="str">
        <f>IFERROR(IF(ISNUMBER(INDEX('M04-S03'!$AN$16:$AN$198,2*(ROWS($R$386:R418)-1)+1)),INDEX('M04-S03'!$AX$16:$AX$198,2*(ROWS($O$386:O418)-1)+1),""),"")</f>
        <v/>
      </c>
      <c r="P418" s="113"/>
      <c r="Q418" s="113"/>
      <c r="R418" s="184">
        <f>IF(ISNUMBER(INDEX('M04-S03'!$AN$16:$AN$198,2*(ROWS($R$386:R418)-1)+1)),INDEX('M04-S03'!$AN$16:$AN$198,2*(ROWS($R$386:R418)-1)+1),0)</f>
        <v>0</v>
      </c>
      <c r="S418" s="23">
        <f>IF(NOT(ISNUMBER(INDEX('M04-S03'!$AN$16:$AN$198,2*(ROWS($R$386:R418)-1)+1))),INDEX('M04-S03'!$X$16:$X$198,2*(ROWS($S$386:S418)-1)+1),"")</f>
        <v>0</v>
      </c>
      <c r="T418" s="52" t="str">
        <f>IFERROR(IF(NOT(ISNUMBER(INDEX('M04-S03'!$AN$16:$AN$198,2*(ROWS($R$386:R418)-1)+1))),INDEX('M04-S03'!$AK$16:$AK$198,2*(ROWS($R$386:R418)-1)+1),0),0)</f>
        <v/>
      </c>
      <c r="U418" s="23" t="str">
        <f>IFERROR(IF(NOT(ISNUMBER(INDEX('M04-S03'!$AN$16:$AN$198,2*(ROWS($R$386:R418)-1)+1))),INDEX('M04-S03'!$AX$16:$AX$198,2*(ROWS($R$386:R418)-1)+1),""),"")</f>
        <v/>
      </c>
      <c r="V418" s="113"/>
      <c r="W418" t="str">
        <f>IFERROR(IF(NOT(ISNUMBER(INDEX('M04-S03'!$AN$16:$AN$198,2*(ROWS($R$386:R418)-1)+1))),INDEX('M04-S03'!$BE$16:$BE$198,2*(ROWS($R$386:R418)-1)+1),""),"")</f>
        <v>Submit for Review</v>
      </c>
      <c r="X418" s="113"/>
      <c r="Y418" s="113"/>
      <c r="Z418" s="111">
        <f>INDEX('M04-S03'!$B$16:$B$198,2*(ROWS($Z$386:Z418)-1)+1)</f>
        <v>33</v>
      </c>
      <c r="AA418" s="112"/>
      <c r="AB418" s="111">
        <f>INDEX('M04-S03'!$F$16:$F$198,2*(ROWS($Z$386:AB418)-1)+1)</f>
        <v>0</v>
      </c>
      <c r="AC418">
        <f>INDEX('M04-S03'!$L$16:$L$198,2*(ROWS($AC$386:AC418)-1)+1)</f>
        <v>0</v>
      </c>
      <c r="AD418">
        <f>INDEX('M04-S03'!$T$16:$T$198,2*(ROWS($AD$386:AD418)-1)+1)</f>
        <v>0</v>
      </c>
      <c r="AE418" s="459"/>
      <c r="AF418" s="459"/>
      <c r="AG418" s="111">
        <f>INDEX('M04-S03'!$R$16:$R$198,2*(ROWS($AG$309:AG341)-1)+1)</f>
        <v>0</v>
      </c>
      <c r="AH418" s="111">
        <f>INDEX('M04-S03'!$Z$16:$Z$198,2*(ROWS($AH$386:AH418)-1)+1)</f>
        <v>0</v>
      </c>
      <c r="AI418" s="96"/>
      <c r="AJ418" s="96"/>
      <c r="AK418" s="52" t="str">
        <f>INDEX('M04-S03'!$AV$16:$AV$198,2*(ROWS($AK$386:AK418)-1)+1)</f>
        <v/>
      </c>
      <c r="AL418" s="184">
        <f>IF(NOT(ISNUMBER(INDEX('M04-S03'!$AN$16:$AN$198,2*(ROWS($R$386:$R418)-1)+1))),INDEX('M04-S03'!$AD$16:$AD$198,2*(ROWS($AL$386:$AL418)-1)+1),"")</f>
        <v>0</v>
      </c>
      <c r="AM418" s="184" t="str">
        <f>IF(NOT(ISNUMBER(INDEX('M04-S03'!$AN$16:$AN$198,2*(ROWS($R$386:$R418)-1)+1))),INDEX('M04-S03'!$AF$16:$AF$198,2*(ROWS($AM$386:$AM418)-1)+1),"")</f>
        <v/>
      </c>
      <c r="AN418" s="52" t="str">
        <f>IF(NOT(ISNUMBER(INDEX('M04-S03'!$AN$16:$AN$198,2*(ROWS($R$386:$R418)-1)+1))),INDEX('M04-S03'!$AH$16:$AH$198,2*(ROWS($AN$386:$AN418)-1)+1),"")</f>
        <v/>
      </c>
      <c r="AO418" s="113"/>
      <c r="AU418"/>
    </row>
    <row r="419" spans="1:47">
      <c r="A419" s="57">
        <f t="shared" si="37"/>
        <v>0</v>
      </c>
      <c r="B419" s="183" t="str">
        <f t="shared" si="41"/>
        <v/>
      </c>
      <c r="C419" s="186" t="str">
        <f>IF(OR(R419&gt;0,T419&gt;0),INDEX('M04-S03'!$BD$16:$BD$198,2*(ROWS($C$386:C419)-1)+1),"")</f>
        <v/>
      </c>
      <c r="D419" t="s">
        <v>231</v>
      </c>
      <c r="E419" s="112"/>
      <c r="F419" s="112"/>
      <c r="G419" s="96"/>
      <c r="H419" s="96"/>
      <c r="I419" s="184">
        <f>IFERROR(ROUND(IF(ISNUMBER(INDEX('M04-S03'!$AN$16:$AN$198,2*(ROWS($R$386:$R419)-1)+1)),INDEX('M04-S03'!$AD$16:$AD$198,2*(ROWS($I$386:$I419)-1)+1),""),2),0)</f>
        <v>0</v>
      </c>
      <c r="J419" s="184">
        <f>IFERROR(ROUND(IF(ISNUMBER(INDEX('M04-S03'!$AN$16:$AN$198,2*(ROWS($R$386:$R419)-1)+1)),INDEX('M04-S03'!$AF$16:$AF$198,2*(ROWS($J$386:$J419)-1)+1),""),2),0)</f>
        <v>0</v>
      </c>
      <c r="K419" s="52">
        <f>IFERROR(ROUND(IF(ISNUMBER(INDEX('M04-S03'!$AN$16:$AN$198,2*(ROWS($R$386:$R419)-1)+1)),INDEX('M04-S03'!$AH$16:$AH$198,2*(ROWS($K$386:$K419)-1)+1),""),2),0)</f>
        <v>0</v>
      </c>
      <c r="M419" s="456" t="str">
        <f>IF(ISNUMBER(INDEX('M04-S03'!$AN$16:$AN$198,2*(ROWS($R$386:R419)-1)+1)),INDEX('M04-S03'!$X$16:$X$198,2*(ROWS($M$386:M419)-1)+1),"")</f>
        <v/>
      </c>
      <c r="N419" s="184" t="str">
        <f>IFERROR(IF(ISNUMBER(INDEX('M04-S03'!$AN$16:$AN$198,2*(ROWS($R$386:R419)-1)+1)),INDEX('M04-S03'!$AK$16:$AK$198,2*(ROWS($N$386:N419)-1)+1),""),"")</f>
        <v/>
      </c>
      <c r="O419" s="456" t="str">
        <f>IFERROR(IF(ISNUMBER(INDEX('M04-S03'!$AN$16:$AN$198,2*(ROWS($R$386:R419)-1)+1)),INDEX('M04-S03'!$AX$16:$AX$198,2*(ROWS($O$386:O419)-1)+1),""),"")</f>
        <v/>
      </c>
      <c r="P419" s="113"/>
      <c r="Q419" s="113"/>
      <c r="R419" s="184">
        <f>IF(ISNUMBER(INDEX('M04-S03'!$AN$16:$AN$198,2*(ROWS($R$386:R419)-1)+1)),INDEX('M04-S03'!$AN$16:$AN$198,2*(ROWS($R$386:R419)-1)+1),0)</f>
        <v>0</v>
      </c>
      <c r="S419" s="23">
        <f>IF(NOT(ISNUMBER(INDEX('M04-S03'!$AN$16:$AN$198,2*(ROWS($R$386:R419)-1)+1))),INDEX('M04-S03'!$X$16:$X$198,2*(ROWS($S$386:S419)-1)+1),"")</f>
        <v>0</v>
      </c>
      <c r="T419" s="52" t="str">
        <f>IFERROR(IF(NOT(ISNUMBER(INDEX('M04-S03'!$AN$16:$AN$198,2*(ROWS($R$386:R419)-1)+1))),INDEX('M04-S03'!$AK$16:$AK$198,2*(ROWS($R$386:R419)-1)+1),0),0)</f>
        <v/>
      </c>
      <c r="U419" s="23" t="str">
        <f>IFERROR(IF(NOT(ISNUMBER(INDEX('M04-S03'!$AN$16:$AN$198,2*(ROWS($R$386:R419)-1)+1))),INDEX('M04-S03'!$AX$16:$AX$198,2*(ROWS($R$386:R419)-1)+1),""),"")</f>
        <v/>
      </c>
      <c r="V419" s="113"/>
      <c r="W419" t="str">
        <f>IFERROR(IF(NOT(ISNUMBER(INDEX('M04-S03'!$AN$16:$AN$198,2*(ROWS($R$386:R419)-1)+1))),INDEX('M04-S03'!$BE$16:$BE$198,2*(ROWS($R$386:R419)-1)+1),""),"")</f>
        <v>Submit for Review</v>
      </c>
      <c r="X419" s="113"/>
      <c r="Y419" s="113"/>
      <c r="Z419" s="111">
        <f>INDEX('M04-S03'!$B$16:$B$198,2*(ROWS($Z$386:Z419)-1)+1)</f>
        <v>34</v>
      </c>
      <c r="AA419" s="112"/>
      <c r="AB419" s="111">
        <f>INDEX('M04-S03'!$F$16:$F$198,2*(ROWS($Z$386:AB419)-1)+1)</f>
        <v>0</v>
      </c>
      <c r="AC419">
        <f>INDEX('M04-S03'!$L$16:$L$198,2*(ROWS($AC$386:AC419)-1)+1)</f>
        <v>0</v>
      </c>
      <c r="AD419">
        <f>INDEX('M04-S03'!$T$16:$T$198,2*(ROWS($AD$386:AD419)-1)+1)</f>
        <v>0</v>
      </c>
      <c r="AE419" s="459"/>
      <c r="AF419" s="459"/>
      <c r="AG419" s="111">
        <f>INDEX('M04-S03'!$R$16:$R$198,2*(ROWS($AG$309:AG342)-1)+1)</f>
        <v>0</v>
      </c>
      <c r="AH419" s="111">
        <f>INDEX('M04-S03'!$Z$16:$Z$198,2*(ROWS($AH$386:AH419)-1)+1)</f>
        <v>0</v>
      </c>
      <c r="AI419" s="96"/>
      <c r="AJ419" s="96"/>
      <c r="AK419" s="52" t="str">
        <f>INDEX('M04-S03'!$AV$16:$AV$198,2*(ROWS($AK$386:AK419)-1)+1)</f>
        <v/>
      </c>
      <c r="AL419" s="184">
        <f>IF(NOT(ISNUMBER(INDEX('M04-S03'!$AN$16:$AN$198,2*(ROWS($R$386:$R419)-1)+1))),INDEX('M04-S03'!$AD$16:$AD$198,2*(ROWS($AL$386:$AL419)-1)+1),"")</f>
        <v>0</v>
      </c>
      <c r="AM419" s="184" t="str">
        <f>IF(NOT(ISNUMBER(INDEX('M04-S03'!$AN$16:$AN$198,2*(ROWS($R$386:$R419)-1)+1))),INDEX('M04-S03'!$AF$16:$AF$198,2*(ROWS($AM$386:$AM419)-1)+1),"")</f>
        <v/>
      </c>
      <c r="AN419" s="52" t="str">
        <f>IF(NOT(ISNUMBER(INDEX('M04-S03'!$AN$16:$AN$198,2*(ROWS($R$386:$R419)-1)+1))),INDEX('M04-S03'!$AH$16:$AH$198,2*(ROWS($AN$386:$AN419)-1)+1),"")</f>
        <v/>
      </c>
      <c r="AO419" s="113"/>
      <c r="AU419"/>
    </row>
    <row r="420" spans="1:47">
      <c r="A420" s="57">
        <f t="shared" si="37"/>
        <v>0</v>
      </c>
      <c r="B420" s="183" t="str">
        <f t="shared" si="41"/>
        <v/>
      </c>
      <c r="C420" s="186" t="str">
        <f>IF(OR(R420&gt;0,T420&gt;0),INDEX('M04-S03'!$BD$16:$BD$198,2*(ROWS($C$386:C420)-1)+1),"")</f>
        <v/>
      </c>
      <c r="D420" t="s">
        <v>231</v>
      </c>
      <c r="E420" s="112"/>
      <c r="F420" s="112"/>
      <c r="G420" s="96"/>
      <c r="H420" s="96"/>
      <c r="I420" s="184">
        <f>IFERROR(ROUND(IF(ISNUMBER(INDEX('M04-S03'!$AN$16:$AN$198,2*(ROWS($R$386:$R420)-1)+1)),INDEX('M04-S03'!$AD$16:$AD$198,2*(ROWS($I$386:$I420)-1)+1),""),2),0)</f>
        <v>0</v>
      </c>
      <c r="J420" s="184">
        <f>IFERROR(ROUND(IF(ISNUMBER(INDEX('M04-S03'!$AN$16:$AN$198,2*(ROWS($R$386:$R420)-1)+1)),INDEX('M04-S03'!$AF$16:$AF$198,2*(ROWS($J$386:$J420)-1)+1),""),2),0)</f>
        <v>0</v>
      </c>
      <c r="K420" s="52">
        <f>IFERROR(ROUND(IF(ISNUMBER(INDEX('M04-S03'!$AN$16:$AN$198,2*(ROWS($R$386:$R420)-1)+1)),INDEX('M04-S03'!$AH$16:$AH$198,2*(ROWS($K$386:$K420)-1)+1),""),2),0)</f>
        <v>0</v>
      </c>
      <c r="M420" s="456" t="str">
        <f>IF(ISNUMBER(INDEX('M04-S03'!$AN$16:$AN$198,2*(ROWS($R$386:R420)-1)+1)),INDEX('M04-S03'!$X$16:$X$198,2*(ROWS($M$386:M420)-1)+1),"")</f>
        <v/>
      </c>
      <c r="N420" s="184" t="str">
        <f>IFERROR(IF(ISNUMBER(INDEX('M04-S03'!$AN$16:$AN$198,2*(ROWS($R$386:R420)-1)+1)),INDEX('M04-S03'!$AK$16:$AK$198,2*(ROWS($N$386:N420)-1)+1),""),"")</f>
        <v/>
      </c>
      <c r="O420" s="456" t="str">
        <f>IFERROR(IF(ISNUMBER(INDEX('M04-S03'!$AN$16:$AN$198,2*(ROWS($R$386:R420)-1)+1)),INDEX('M04-S03'!$AX$16:$AX$198,2*(ROWS($O$386:O420)-1)+1),""),"")</f>
        <v/>
      </c>
      <c r="P420" s="113"/>
      <c r="Q420" s="113"/>
      <c r="R420" s="184">
        <f>IF(ISNUMBER(INDEX('M04-S03'!$AN$16:$AN$198,2*(ROWS($R$386:R420)-1)+1)),INDEX('M04-S03'!$AN$16:$AN$198,2*(ROWS($R$386:R420)-1)+1),0)</f>
        <v>0</v>
      </c>
      <c r="S420" s="23">
        <f>IF(NOT(ISNUMBER(INDEX('M04-S03'!$AN$16:$AN$198,2*(ROWS($R$386:R420)-1)+1))),INDEX('M04-S03'!$X$16:$X$198,2*(ROWS($S$386:S420)-1)+1),"")</f>
        <v>0</v>
      </c>
      <c r="T420" s="52" t="str">
        <f>IFERROR(IF(NOT(ISNUMBER(INDEX('M04-S03'!$AN$16:$AN$198,2*(ROWS($R$386:R420)-1)+1))),INDEX('M04-S03'!$AK$16:$AK$198,2*(ROWS($R$386:R420)-1)+1),0),0)</f>
        <v/>
      </c>
      <c r="U420" s="23" t="str">
        <f>IFERROR(IF(NOT(ISNUMBER(INDEX('M04-S03'!$AN$16:$AN$198,2*(ROWS($R$386:R420)-1)+1))),INDEX('M04-S03'!$AX$16:$AX$198,2*(ROWS($R$386:R420)-1)+1),""),"")</f>
        <v/>
      </c>
      <c r="V420" s="113"/>
      <c r="W420" t="str">
        <f>IFERROR(IF(NOT(ISNUMBER(INDEX('M04-S03'!$AN$16:$AN$198,2*(ROWS($R$386:R420)-1)+1))),INDEX('M04-S03'!$BE$16:$BE$198,2*(ROWS($R$386:R420)-1)+1),""),"")</f>
        <v>Submit for Review</v>
      </c>
      <c r="X420" s="113"/>
      <c r="Y420" s="113"/>
      <c r="Z420" s="111">
        <f>INDEX('M04-S03'!$B$16:$B$198,2*(ROWS($Z$386:Z420)-1)+1)</f>
        <v>35</v>
      </c>
      <c r="AA420" s="112"/>
      <c r="AB420" s="111">
        <f>INDEX('M04-S03'!$F$16:$F$198,2*(ROWS($Z$386:AB420)-1)+1)</f>
        <v>0</v>
      </c>
      <c r="AC420">
        <f>INDEX('M04-S03'!$L$16:$L$198,2*(ROWS($AC$386:AC420)-1)+1)</f>
        <v>0</v>
      </c>
      <c r="AD420">
        <f>INDEX('M04-S03'!$T$16:$T$198,2*(ROWS($AD$386:AD420)-1)+1)</f>
        <v>0</v>
      </c>
      <c r="AE420" s="459"/>
      <c r="AF420" s="459"/>
      <c r="AG420" s="111">
        <f>INDEX('M04-S03'!$R$16:$R$198,2*(ROWS($AG$309:AG343)-1)+1)</f>
        <v>0</v>
      </c>
      <c r="AH420" s="111">
        <f>INDEX('M04-S03'!$Z$16:$Z$198,2*(ROWS($AH$386:AH420)-1)+1)</f>
        <v>0</v>
      </c>
      <c r="AI420" s="96"/>
      <c r="AJ420" s="96"/>
      <c r="AK420" s="52" t="str">
        <f>INDEX('M04-S03'!$AV$16:$AV$198,2*(ROWS($AK$386:AK420)-1)+1)</f>
        <v/>
      </c>
      <c r="AL420" s="184">
        <f>IF(NOT(ISNUMBER(INDEX('M04-S03'!$AN$16:$AN$198,2*(ROWS($R$386:$R420)-1)+1))),INDEX('M04-S03'!$AD$16:$AD$198,2*(ROWS($AL$386:$AL420)-1)+1),"")</f>
        <v>0</v>
      </c>
      <c r="AM420" s="184" t="str">
        <f>IF(NOT(ISNUMBER(INDEX('M04-S03'!$AN$16:$AN$198,2*(ROWS($R$386:$R420)-1)+1))),INDEX('M04-S03'!$AF$16:$AF$198,2*(ROWS($AM$386:$AM420)-1)+1),"")</f>
        <v/>
      </c>
      <c r="AN420" s="52" t="str">
        <f>IF(NOT(ISNUMBER(INDEX('M04-S03'!$AN$16:$AN$198,2*(ROWS($R$386:$R420)-1)+1))),INDEX('M04-S03'!$AH$16:$AH$198,2*(ROWS($AN$386:$AN420)-1)+1),"")</f>
        <v/>
      </c>
      <c r="AO420" s="113"/>
      <c r="AU420"/>
    </row>
    <row r="421" spans="1:47">
      <c r="A421" s="57">
        <f t="shared" si="37"/>
        <v>0</v>
      </c>
      <c r="B421" s="183" t="str">
        <f t="shared" si="41"/>
        <v/>
      </c>
      <c r="C421" s="186" t="str">
        <f>IF(OR(R421&gt;0,T421&gt;0),INDEX('M04-S03'!$BD$16:$BD$198,2*(ROWS($C$386:C421)-1)+1),"")</f>
        <v/>
      </c>
      <c r="D421" t="s">
        <v>231</v>
      </c>
      <c r="E421" s="112"/>
      <c r="F421" s="112"/>
      <c r="G421" s="96"/>
      <c r="H421" s="96"/>
      <c r="I421" s="184">
        <f>IFERROR(ROUND(IF(ISNUMBER(INDEX('M04-S03'!$AN$16:$AN$198,2*(ROWS($R$386:$R421)-1)+1)),INDEX('M04-S03'!$AD$16:$AD$198,2*(ROWS($I$386:$I421)-1)+1),""),2),0)</f>
        <v>0</v>
      </c>
      <c r="J421" s="184">
        <f>IFERROR(ROUND(IF(ISNUMBER(INDEX('M04-S03'!$AN$16:$AN$198,2*(ROWS($R$386:$R421)-1)+1)),INDEX('M04-S03'!$AF$16:$AF$198,2*(ROWS($J$386:$J421)-1)+1),""),2),0)</f>
        <v>0</v>
      </c>
      <c r="K421" s="52">
        <f>IFERROR(ROUND(IF(ISNUMBER(INDEX('M04-S03'!$AN$16:$AN$198,2*(ROWS($R$386:$R421)-1)+1)),INDEX('M04-S03'!$AH$16:$AH$198,2*(ROWS($K$386:$K421)-1)+1),""),2),0)</f>
        <v>0</v>
      </c>
      <c r="M421" s="456" t="str">
        <f>IF(ISNUMBER(INDEX('M04-S03'!$AN$16:$AN$198,2*(ROWS($R$386:R421)-1)+1)),INDEX('M04-S03'!$X$16:$X$198,2*(ROWS($M$386:M421)-1)+1),"")</f>
        <v/>
      </c>
      <c r="N421" s="184" t="str">
        <f>IFERROR(IF(ISNUMBER(INDEX('M04-S03'!$AN$16:$AN$198,2*(ROWS($R$386:R421)-1)+1)),INDEX('M04-S03'!$AK$16:$AK$198,2*(ROWS($N$386:N421)-1)+1),""),"")</f>
        <v/>
      </c>
      <c r="O421" s="456" t="str">
        <f>IFERROR(IF(ISNUMBER(INDEX('M04-S03'!$AN$16:$AN$198,2*(ROWS($R$386:R421)-1)+1)),INDEX('M04-S03'!$AX$16:$AX$198,2*(ROWS($O$386:O421)-1)+1),""),"")</f>
        <v/>
      </c>
      <c r="P421" s="113"/>
      <c r="Q421" s="113"/>
      <c r="R421" s="184">
        <f>IF(ISNUMBER(INDEX('M04-S03'!$AN$16:$AN$198,2*(ROWS($R$386:R421)-1)+1)),INDEX('M04-S03'!$AN$16:$AN$198,2*(ROWS($R$386:R421)-1)+1),0)</f>
        <v>0</v>
      </c>
      <c r="S421" s="23">
        <f>IF(NOT(ISNUMBER(INDEX('M04-S03'!$AN$16:$AN$198,2*(ROWS($R$386:R421)-1)+1))),INDEX('M04-S03'!$X$16:$X$198,2*(ROWS($S$386:S421)-1)+1),"")</f>
        <v>0</v>
      </c>
      <c r="T421" s="52" t="str">
        <f>IFERROR(IF(NOT(ISNUMBER(INDEX('M04-S03'!$AN$16:$AN$198,2*(ROWS($R$386:R421)-1)+1))),INDEX('M04-S03'!$AK$16:$AK$198,2*(ROWS($R$386:R421)-1)+1),0),0)</f>
        <v/>
      </c>
      <c r="U421" s="23" t="str">
        <f>IFERROR(IF(NOT(ISNUMBER(INDEX('M04-S03'!$AN$16:$AN$198,2*(ROWS($R$386:R421)-1)+1))),INDEX('M04-S03'!$AX$16:$AX$198,2*(ROWS($R$386:R421)-1)+1),""),"")</f>
        <v/>
      </c>
      <c r="V421" s="113"/>
      <c r="W421" t="str">
        <f>IFERROR(IF(NOT(ISNUMBER(INDEX('M04-S03'!$AN$16:$AN$198,2*(ROWS($R$386:R421)-1)+1))),INDEX('M04-S03'!$BE$16:$BE$198,2*(ROWS($R$386:R421)-1)+1),""),"")</f>
        <v>Submit for Review</v>
      </c>
      <c r="X421" s="113"/>
      <c r="Y421" s="113"/>
      <c r="Z421" s="111">
        <f>INDEX('M04-S03'!$B$16:$B$198,2*(ROWS($Z$386:Z421)-1)+1)</f>
        <v>36</v>
      </c>
      <c r="AA421" s="112"/>
      <c r="AB421" s="111">
        <f>INDEX('M04-S03'!$F$16:$F$198,2*(ROWS($Z$386:AB421)-1)+1)</f>
        <v>0</v>
      </c>
      <c r="AC421">
        <f>INDEX('M04-S03'!$L$16:$L$198,2*(ROWS($AC$386:AC421)-1)+1)</f>
        <v>0</v>
      </c>
      <c r="AD421">
        <f>INDEX('M04-S03'!$T$16:$T$198,2*(ROWS($AD$386:AD421)-1)+1)</f>
        <v>0</v>
      </c>
      <c r="AE421" s="459"/>
      <c r="AF421" s="459"/>
      <c r="AG421" s="111">
        <f>INDEX('M04-S03'!$R$16:$R$198,2*(ROWS($AG$309:AG344)-1)+1)</f>
        <v>0</v>
      </c>
      <c r="AH421" s="111">
        <f>INDEX('M04-S03'!$Z$16:$Z$198,2*(ROWS($AH$386:AH421)-1)+1)</f>
        <v>0</v>
      </c>
      <c r="AI421" s="96"/>
      <c r="AJ421" s="96"/>
      <c r="AK421" s="52" t="str">
        <f>INDEX('M04-S03'!$AV$16:$AV$198,2*(ROWS($AK$386:AK421)-1)+1)</f>
        <v/>
      </c>
      <c r="AL421" s="184">
        <f>IF(NOT(ISNUMBER(INDEX('M04-S03'!$AN$16:$AN$198,2*(ROWS($R$386:$R421)-1)+1))),INDEX('M04-S03'!$AD$16:$AD$198,2*(ROWS($AL$386:$AL421)-1)+1),"")</f>
        <v>0</v>
      </c>
      <c r="AM421" s="184" t="str">
        <f>IF(NOT(ISNUMBER(INDEX('M04-S03'!$AN$16:$AN$198,2*(ROWS($R$386:$R421)-1)+1))),INDEX('M04-S03'!$AF$16:$AF$198,2*(ROWS($AM$386:$AM421)-1)+1),"")</f>
        <v/>
      </c>
      <c r="AN421" s="52" t="str">
        <f>IF(NOT(ISNUMBER(INDEX('M04-S03'!$AN$16:$AN$198,2*(ROWS($R$386:$R421)-1)+1))),INDEX('M04-S03'!$AH$16:$AH$198,2*(ROWS($AN$386:$AN421)-1)+1),"")</f>
        <v/>
      </c>
      <c r="AO421" s="113"/>
      <c r="AU421"/>
    </row>
    <row r="422" spans="1:47">
      <c r="A422" s="57">
        <f t="shared" si="37"/>
        <v>0</v>
      </c>
      <c r="B422" s="183" t="str">
        <f t="shared" si="41"/>
        <v/>
      </c>
      <c r="C422" s="186" t="str">
        <f>IF(OR(R422&gt;0,T422&gt;0),INDEX('M04-S03'!$BD$16:$BD$198,2*(ROWS($C$386:C422)-1)+1),"")</f>
        <v/>
      </c>
      <c r="D422" t="s">
        <v>231</v>
      </c>
      <c r="E422" s="112"/>
      <c r="F422" s="112"/>
      <c r="G422" s="96"/>
      <c r="H422" s="96"/>
      <c r="I422" s="184">
        <f>IFERROR(ROUND(IF(ISNUMBER(INDEX('M04-S03'!$AN$16:$AN$198,2*(ROWS($R$386:$R422)-1)+1)),INDEX('M04-S03'!$AD$16:$AD$198,2*(ROWS($I$386:$I422)-1)+1),""),2),0)</f>
        <v>0</v>
      </c>
      <c r="J422" s="184">
        <f>IFERROR(ROUND(IF(ISNUMBER(INDEX('M04-S03'!$AN$16:$AN$198,2*(ROWS($R$386:$R422)-1)+1)),INDEX('M04-S03'!$AF$16:$AF$198,2*(ROWS($J$386:$J422)-1)+1),""),2),0)</f>
        <v>0</v>
      </c>
      <c r="K422" s="52">
        <f>IFERROR(ROUND(IF(ISNUMBER(INDEX('M04-S03'!$AN$16:$AN$198,2*(ROWS($R$386:$R422)-1)+1)),INDEX('M04-S03'!$AH$16:$AH$198,2*(ROWS($K$386:$K422)-1)+1),""),2),0)</f>
        <v>0</v>
      </c>
      <c r="M422" s="456" t="str">
        <f>IF(ISNUMBER(INDEX('M04-S03'!$AN$16:$AN$198,2*(ROWS($R$386:R422)-1)+1)),INDEX('M04-S03'!$X$16:$X$198,2*(ROWS($M$386:M422)-1)+1),"")</f>
        <v/>
      </c>
      <c r="N422" s="184" t="str">
        <f>IFERROR(IF(ISNUMBER(INDEX('M04-S03'!$AN$16:$AN$198,2*(ROWS($R$386:R422)-1)+1)),INDEX('M04-S03'!$AK$16:$AK$198,2*(ROWS($N$386:N422)-1)+1),""),"")</f>
        <v/>
      </c>
      <c r="O422" s="456" t="str">
        <f>IFERROR(IF(ISNUMBER(INDEX('M04-S03'!$AN$16:$AN$198,2*(ROWS($R$386:R422)-1)+1)),INDEX('M04-S03'!$AX$16:$AX$198,2*(ROWS($O$386:O422)-1)+1),""),"")</f>
        <v/>
      </c>
      <c r="P422" s="113"/>
      <c r="Q422" s="113"/>
      <c r="R422" s="184">
        <f>IF(ISNUMBER(INDEX('M04-S03'!$AN$16:$AN$198,2*(ROWS($R$386:R422)-1)+1)),INDEX('M04-S03'!$AN$16:$AN$198,2*(ROWS($R$386:R422)-1)+1),0)</f>
        <v>0</v>
      </c>
      <c r="S422" s="23">
        <f>IF(NOT(ISNUMBER(INDEX('M04-S03'!$AN$16:$AN$198,2*(ROWS($R$386:R422)-1)+1))),INDEX('M04-S03'!$X$16:$X$198,2*(ROWS($S$386:S422)-1)+1),"")</f>
        <v>0</v>
      </c>
      <c r="T422" s="52" t="str">
        <f>IFERROR(IF(NOT(ISNUMBER(INDEX('M04-S03'!$AN$16:$AN$198,2*(ROWS($R$386:R422)-1)+1))),INDEX('M04-S03'!$AK$16:$AK$198,2*(ROWS($R$386:R422)-1)+1),0),0)</f>
        <v/>
      </c>
      <c r="U422" s="23" t="str">
        <f>IFERROR(IF(NOT(ISNUMBER(INDEX('M04-S03'!$AN$16:$AN$198,2*(ROWS($R$386:R422)-1)+1))),INDEX('M04-S03'!$AX$16:$AX$198,2*(ROWS($R$386:R422)-1)+1),""),"")</f>
        <v/>
      </c>
      <c r="V422" s="113"/>
      <c r="W422" t="str">
        <f>IFERROR(IF(NOT(ISNUMBER(INDEX('M04-S03'!$AN$16:$AN$198,2*(ROWS($R$386:R422)-1)+1))),INDEX('M04-S03'!$BE$16:$BE$198,2*(ROWS($R$386:R422)-1)+1),""),"")</f>
        <v>Submit for Review</v>
      </c>
      <c r="X422" s="113"/>
      <c r="Y422" s="113"/>
      <c r="Z422" s="111">
        <f>INDEX('M04-S03'!$B$16:$B$198,2*(ROWS($Z$386:Z422)-1)+1)</f>
        <v>37</v>
      </c>
      <c r="AA422" s="112"/>
      <c r="AB422" s="111">
        <f>INDEX('M04-S03'!$F$16:$F$198,2*(ROWS($Z$386:AB422)-1)+1)</f>
        <v>0</v>
      </c>
      <c r="AC422">
        <f>INDEX('M04-S03'!$L$16:$L$198,2*(ROWS($AC$386:AC422)-1)+1)</f>
        <v>0</v>
      </c>
      <c r="AD422">
        <f>INDEX('M04-S03'!$T$16:$T$198,2*(ROWS($AD$386:AD422)-1)+1)</f>
        <v>0</v>
      </c>
      <c r="AE422" s="459"/>
      <c r="AF422" s="459"/>
      <c r="AG422" s="111">
        <f>INDEX('M04-S03'!$R$16:$R$198,2*(ROWS($AG$309:AG345)-1)+1)</f>
        <v>0</v>
      </c>
      <c r="AH422" s="111">
        <f>INDEX('M04-S03'!$Z$16:$Z$198,2*(ROWS($AH$386:AH422)-1)+1)</f>
        <v>0</v>
      </c>
      <c r="AI422" s="96"/>
      <c r="AJ422" s="96"/>
      <c r="AK422" s="52" t="str">
        <f>INDEX('M04-S03'!$AV$16:$AV$198,2*(ROWS($AK$386:AK422)-1)+1)</f>
        <v/>
      </c>
      <c r="AL422" s="184">
        <f>IF(NOT(ISNUMBER(INDEX('M04-S03'!$AN$16:$AN$198,2*(ROWS($R$386:$R422)-1)+1))),INDEX('M04-S03'!$AD$16:$AD$198,2*(ROWS($AL$386:$AL422)-1)+1),"")</f>
        <v>0</v>
      </c>
      <c r="AM422" s="184" t="str">
        <f>IF(NOT(ISNUMBER(INDEX('M04-S03'!$AN$16:$AN$198,2*(ROWS($R$386:$R422)-1)+1))),INDEX('M04-S03'!$AF$16:$AF$198,2*(ROWS($AM$386:$AM422)-1)+1),"")</f>
        <v/>
      </c>
      <c r="AN422" s="52" t="str">
        <f>IF(NOT(ISNUMBER(INDEX('M04-S03'!$AN$16:$AN$198,2*(ROWS($R$386:$R422)-1)+1))),INDEX('M04-S03'!$AH$16:$AH$198,2*(ROWS($AN$386:$AN422)-1)+1),"")</f>
        <v/>
      </c>
      <c r="AO422" s="113"/>
      <c r="AU422"/>
    </row>
    <row r="423" spans="1:47">
      <c r="A423" s="57">
        <f t="shared" si="37"/>
        <v>0</v>
      </c>
      <c r="B423" s="183" t="str">
        <f t="shared" si="41"/>
        <v/>
      </c>
      <c r="C423" s="186" t="str">
        <f>IF(OR(R423&gt;0,T423&gt;0),INDEX('M04-S03'!$BD$16:$BD$198,2*(ROWS($C$386:C423)-1)+1),"")</f>
        <v/>
      </c>
      <c r="D423" t="s">
        <v>231</v>
      </c>
      <c r="E423" s="112"/>
      <c r="F423" s="112"/>
      <c r="G423" s="96"/>
      <c r="H423" s="96"/>
      <c r="I423" s="184">
        <f>IFERROR(ROUND(IF(ISNUMBER(INDEX('M04-S03'!$AN$16:$AN$198,2*(ROWS($R$386:$R423)-1)+1)),INDEX('M04-S03'!$AD$16:$AD$198,2*(ROWS($I$386:$I423)-1)+1),""),2),0)</f>
        <v>0</v>
      </c>
      <c r="J423" s="184">
        <f>IFERROR(ROUND(IF(ISNUMBER(INDEX('M04-S03'!$AN$16:$AN$198,2*(ROWS($R$386:$R423)-1)+1)),INDEX('M04-S03'!$AF$16:$AF$198,2*(ROWS($J$386:$J423)-1)+1),""),2),0)</f>
        <v>0</v>
      </c>
      <c r="K423" s="52">
        <f>IFERROR(ROUND(IF(ISNUMBER(INDEX('M04-S03'!$AN$16:$AN$198,2*(ROWS($R$386:$R423)-1)+1)),INDEX('M04-S03'!$AH$16:$AH$198,2*(ROWS($K$386:$K423)-1)+1),""),2),0)</f>
        <v>0</v>
      </c>
      <c r="M423" s="456" t="str">
        <f>IF(ISNUMBER(INDEX('M04-S03'!$AN$16:$AN$198,2*(ROWS($R$386:R423)-1)+1)),INDEX('M04-S03'!$X$16:$X$198,2*(ROWS($M$386:M423)-1)+1),"")</f>
        <v/>
      </c>
      <c r="N423" s="184" t="str">
        <f>IFERROR(IF(ISNUMBER(INDEX('M04-S03'!$AN$16:$AN$198,2*(ROWS($R$386:R423)-1)+1)),INDEX('M04-S03'!$AK$16:$AK$198,2*(ROWS($N$386:N423)-1)+1),""),"")</f>
        <v/>
      </c>
      <c r="O423" s="456" t="str">
        <f>IFERROR(IF(ISNUMBER(INDEX('M04-S03'!$AN$16:$AN$198,2*(ROWS($R$386:R423)-1)+1)),INDEX('M04-S03'!$AX$16:$AX$198,2*(ROWS($O$386:O423)-1)+1),""),"")</f>
        <v/>
      </c>
      <c r="P423" s="113"/>
      <c r="Q423" s="113"/>
      <c r="R423" s="184">
        <f>IF(ISNUMBER(INDEX('M04-S03'!$AN$16:$AN$198,2*(ROWS($R$386:R423)-1)+1)),INDEX('M04-S03'!$AN$16:$AN$198,2*(ROWS($R$386:R423)-1)+1),0)</f>
        <v>0</v>
      </c>
      <c r="S423" s="23">
        <f>IF(NOT(ISNUMBER(INDEX('M04-S03'!$AN$16:$AN$198,2*(ROWS($R$386:R423)-1)+1))),INDEX('M04-S03'!$X$16:$X$198,2*(ROWS($S$386:S423)-1)+1),"")</f>
        <v>0</v>
      </c>
      <c r="T423" s="52" t="str">
        <f>IFERROR(IF(NOT(ISNUMBER(INDEX('M04-S03'!$AN$16:$AN$198,2*(ROWS($R$386:R423)-1)+1))),INDEX('M04-S03'!$AK$16:$AK$198,2*(ROWS($R$386:R423)-1)+1),0),0)</f>
        <v/>
      </c>
      <c r="U423" s="23" t="str">
        <f>IFERROR(IF(NOT(ISNUMBER(INDEX('M04-S03'!$AN$16:$AN$198,2*(ROWS($R$386:R423)-1)+1))),INDEX('M04-S03'!$AX$16:$AX$198,2*(ROWS($R$386:R423)-1)+1),""),"")</f>
        <v/>
      </c>
      <c r="V423" s="113"/>
      <c r="W423" t="str">
        <f>IFERROR(IF(NOT(ISNUMBER(INDEX('M04-S03'!$AN$16:$AN$198,2*(ROWS($R$386:R423)-1)+1))),INDEX('M04-S03'!$BE$16:$BE$198,2*(ROWS($R$386:R423)-1)+1),""),"")</f>
        <v>Submit for Review</v>
      </c>
      <c r="X423" s="113"/>
      <c r="Y423" s="113"/>
      <c r="Z423" s="111">
        <f>INDEX('M04-S03'!$B$16:$B$198,2*(ROWS($Z$386:Z423)-1)+1)</f>
        <v>38</v>
      </c>
      <c r="AA423" s="112"/>
      <c r="AB423" s="111">
        <f>INDEX('M04-S03'!$F$16:$F$198,2*(ROWS($Z$386:AB423)-1)+1)</f>
        <v>0</v>
      </c>
      <c r="AC423">
        <f>INDEX('M04-S03'!$L$16:$L$198,2*(ROWS($AC$386:AC423)-1)+1)</f>
        <v>0</v>
      </c>
      <c r="AD423">
        <f>INDEX('M04-S03'!$T$16:$T$198,2*(ROWS($AD$386:AD423)-1)+1)</f>
        <v>0</v>
      </c>
      <c r="AE423" s="459"/>
      <c r="AF423" s="459"/>
      <c r="AG423" s="111">
        <f>INDEX('M04-S03'!$R$16:$R$198,2*(ROWS($AG$309:AG346)-1)+1)</f>
        <v>0</v>
      </c>
      <c r="AH423" s="111">
        <f>INDEX('M04-S03'!$Z$16:$Z$198,2*(ROWS($AH$386:AH423)-1)+1)</f>
        <v>0</v>
      </c>
      <c r="AI423" s="96"/>
      <c r="AJ423" s="96"/>
      <c r="AK423" s="52" t="str">
        <f>INDEX('M04-S03'!$AV$16:$AV$198,2*(ROWS($AK$386:AK423)-1)+1)</f>
        <v/>
      </c>
      <c r="AL423" s="184">
        <f>IF(NOT(ISNUMBER(INDEX('M04-S03'!$AN$16:$AN$198,2*(ROWS($R$386:$R423)-1)+1))),INDEX('M04-S03'!$AD$16:$AD$198,2*(ROWS($AL$386:$AL423)-1)+1),"")</f>
        <v>0</v>
      </c>
      <c r="AM423" s="184" t="str">
        <f>IF(NOT(ISNUMBER(INDEX('M04-S03'!$AN$16:$AN$198,2*(ROWS($R$386:$R423)-1)+1))),INDEX('M04-S03'!$AF$16:$AF$198,2*(ROWS($AM$386:$AM423)-1)+1),"")</f>
        <v/>
      </c>
      <c r="AN423" s="52" t="str">
        <f>IF(NOT(ISNUMBER(INDEX('M04-S03'!$AN$16:$AN$198,2*(ROWS($R$386:$R423)-1)+1))),INDEX('M04-S03'!$AH$16:$AH$198,2*(ROWS($AN$386:$AN423)-1)+1),"")</f>
        <v/>
      </c>
      <c r="AO423" s="113"/>
      <c r="AU423"/>
    </row>
    <row r="424" spans="1:47">
      <c r="A424" s="57">
        <f t="shared" si="37"/>
        <v>0</v>
      </c>
      <c r="B424" s="183" t="str">
        <f t="shared" si="41"/>
        <v/>
      </c>
      <c r="C424" s="186" t="str">
        <f>IF(OR(R424&gt;0,T424&gt;0),INDEX('M04-S03'!$BD$16:$BD$198,2*(ROWS($C$386:C424)-1)+1),"")</f>
        <v/>
      </c>
      <c r="D424" t="s">
        <v>231</v>
      </c>
      <c r="E424" s="112"/>
      <c r="F424" s="112"/>
      <c r="G424" s="96"/>
      <c r="H424" s="96"/>
      <c r="I424" s="184">
        <f>IFERROR(ROUND(IF(ISNUMBER(INDEX('M04-S03'!$AN$16:$AN$198,2*(ROWS($R$386:$R424)-1)+1)),INDEX('M04-S03'!$AD$16:$AD$198,2*(ROWS($I$386:$I424)-1)+1),""),2),0)</f>
        <v>0</v>
      </c>
      <c r="J424" s="184">
        <f>IFERROR(ROUND(IF(ISNUMBER(INDEX('M04-S03'!$AN$16:$AN$198,2*(ROWS($R$386:$R424)-1)+1)),INDEX('M04-S03'!$AF$16:$AF$198,2*(ROWS($J$386:$J424)-1)+1),""),2),0)</f>
        <v>0</v>
      </c>
      <c r="K424" s="52">
        <f>IFERROR(ROUND(IF(ISNUMBER(INDEX('M04-S03'!$AN$16:$AN$198,2*(ROWS($R$386:$R424)-1)+1)),INDEX('M04-S03'!$AH$16:$AH$198,2*(ROWS($K$386:$K424)-1)+1),""),2),0)</f>
        <v>0</v>
      </c>
      <c r="M424" s="456" t="str">
        <f>IF(ISNUMBER(INDEX('M04-S03'!$AN$16:$AN$198,2*(ROWS($R$386:R424)-1)+1)),INDEX('M04-S03'!$X$16:$X$198,2*(ROWS($M$386:M424)-1)+1),"")</f>
        <v/>
      </c>
      <c r="N424" s="184" t="str">
        <f>IFERROR(IF(ISNUMBER(INDEX('M04-S03'!$AN$16:$AN$198,2*(ROWS($R$386:R424)-1)+1)),INDEX('M04-S03'!$AK$16:$AK$198,2*(ROWS($N$386:N424)-1)+1),""),"")</f>
        <v/>
      </c>
      <c r="O424" s="456" t="str">
        <f>IFERROR(IF(ISNUMBER(INDEX('M04-S03'!$AN$16:$AN$198,2*(ROWS($R$386:R424)-1)+1)),INDEX('M04-S03'!$AX$16:$AX$198,2*(ROWS($O$386:O424)-1)+1),""),"")</f>
        <v/>
      </c>
      <c r="P424" s="113"/>
      <c r="Q424" s="113"/>
      <c r="R424" s="184">
        <f>IF(ISNUMBER(INDEX('M04-S03'!$AN$16:$AN$198,2*(ROWS($R$386:R424)-1)+1)),INDEX('M04-S03'!$AN$16:$AN$198,2*(ROWS($R$386:R424)-1)+1),0)</f>
        <v>0</v>
      </c>
      <c r="S424" s="23">
        <f>IF(NOT(ISNUMBER(INDEX('M04-S03'!$AN$16:$AN$198,2*(ROWS($R$386:R424)-1)+1))),INDEX('M04-S03'!$X$16:$X$198,2*(ROWS($S$386:S424)-1)+1),"")</f>
        <v>0</v>
      </c>
      <c r="T424" s="52" t="str">
        <f>IFERROR(IF(NOT(ISNUMBER(INDEX('M04-S03'!$AN$16:$AN$198,2*(ROWS($R$386:R424)-1)+1))),INDEX('M04-S03'!$AK$16:$AK$198,2*(ROWS($R$386:R424)-1)+1),0),0)</f>
        <v/>
      </c>
      <c r="U424" s="23" t="str">
        <f>IFERROR(IF(NOT(ISNUMBER(INDEX('M04-S03'!$AN$16:$AN$198,2*(ROWS($R$386:R424)-1)+1))),INDEX('M04-S03'!$AX$16:$AX$198,2*(ROWS($R$386:R424)-1)+1),""),"")</f>
        <v/>
      </c>
      <c r="V424" s="113"/>
      <c r="W424" t="str">
        <f>IFERROR(IF(NOT(ISNUMBER(INDEX('M04-S03'!$AN$16:$AN$198,2*(ROWS($R$386:R424)-1)+1))),INDEX('M04-S03'!$BE$16:$BE$198,2*(ROWS($R$386:R424)-1)+1),""),"")</f>
        <v>Submit for Review</v>
      </c>
      <c r="X424" s="113"/>
      <c r="Y424" s="113"/>
      <c r="Z424" s="111">
        <f>INDEX('M04-S03'!$B$16:$B$198,2*(ROWS($Z$386:Z424)-1)+1)</f>
        <v>39</v>
      </c>
      <c r="AA424" s="112"/>
      <c r="AB424" s="111">
        <f>INDEX('M04-S03'!$F$16:$F$198,2*(ROWS($Z$386:AB424)-1)+1)</f>
        <v>0</v>
      </c>
      <c r="AC424">
        <f>INDEX('M04-S03'!$L$16:$L$198,2*(ROWS($AC$386:AC424)-1)+1)</f>
        <v>0</v>
      </c>
      <c r="AD424">
        <f>INDEX('M04-S03'!$T$16:$T$198,2*(ROWS($AD$386:AD424)-1)+1)</f>
        <v>0</v>
      </c>
      <c r="AE424" s="459"/>
      <c r="AF424" s="459"/>
      <c r="AG424" s="111">
        <f>INDEX('M04-S03'!$R$16:$R$198,2*(ROWS($AG$309:AG347)-1)+1)</f>
        <v>0</v>
      </c>
      <c r="AH424" s="111">
        <f>INDEX('M04-S03'!$Z$16:$Z$198,2*(ROWS($AH$386:AH424)-1)+1)</f>
        <v>0</v>
      </c>
      <c r="AI424" s="96"/>
      <c r="AJ424" s="96"/>
      <c r="AK424" s="52" t="str">
        <f>INDEX('M04-S03'!$AV$16:$AV$198,2*(ROWS($AK$386:AK424)-1)+1)</f>
        <v/>
      </c>
      <c r="AL424" s="184">
        <f>IF(NOT(ISNUMBER(INDEX('M04-S03'!$AN$16:$AN$198,2*(ROWS($R$386:$R424)-1)+1))),INDEX('M04-S03'!$AD$16:$AD$198,2*(ROWS($AL$386:$AL424)-1)+1),"")</f>
        <v>0</v>
      </c>
      <c r="AM424" s="184" t="str">
        <f>IF(NOT(ISNUMBER(INDEX('M04-S03'!$AN$16:$AN$198,2*(ROWS($R$386:$R424)-1)+1))),INDEX('M04-S03'!$AF$16:$AF$198,2*(ROWS($AM$386:$AM424)-1)+1),"")</f>
        <v/>
      </c>
      <c r="AN424" s="52" t="str">
        <f>IF(NOT(ISNUMBER(INDEX('M04-S03'!$AN$16:$AN$198,2*(ROWS($R$386:$R424)-1)+1))),INDEX('M04-S03'!$AH$16:$AH$198,2*(ROWS($AN$386:$AN424)-1)+1),"")</f>
        <v/>
      </c>
      <c r="AO424" s="113"/>
      <c r="AU424"/>
    </row>
    <row r="425" spans="1:47">
      <c r="A425" s="57">
        <f t="shared" si="37"/>
        <v>0</v>
      </c>
      <c r="B425" s="183" t="str">
        <f t="shared" si="41"/>
        <v/>
      </c>
      <c r="C425" s="186" t="str">
        <f>IF(OR(R425&gt;0,T425&gt;0),INDEX('M04-S03'!$BD$16:$BD$198,2*(ROWS($C$386:C425)-1)+1),"")</f>
        <v/>
      </c>
      <c r="D425" t="s">
        <v>231</v>
      </c>
      <c r="E425" s="112"/>
      <c r="F425" s="112"/>
      <c r="G425" s="96"/>
      <c r="H425" s="96"/>
      <c r="I425" s="184">
        <f>IFERROR(ROUND(IF(ISNUMBER(INDEX('M04-S03'!$AN$16:$AN$198,2*(ROWS($R$386:$R425)-1)+1)),INDEX('M04-S03'!$AD$16:$AD$198,2*(ROWS($I$386:$I425)-1)+1),""),2),0)</f>
        <v>0</v>
      </c>
      <c r="J425" s="184">
        <f>IFERROR(ROUND(IF(ISNUMBER(INDEX('M04-S03'!$AN$16:$AN$198,2*(ROWS($R$386:$R425)-1)+1)),INDEX('M04-S03'!$AF$16:$AF$198,2*(ROWS($J$386:$J425)-1)+1),""),2),0)</f>
        <v>0</v>
      </c>
      <c r="K425" s="52">
        <f>IFERROR(ROUND(IF(ISNUMBER(INDEX('M04-S03'!$AN$16:$AN$198,2*(ROWS($R$386:$R425)-1)+1)),INDEX('M04-S03'!$AH$16:$AH$198,2*(ROWS($K$386:$K425)-1)+1),""),2),0)</f>
        <v>0</v>
      </c>
      <c r="M425" s="456" t="str">
        <f>IF(ISNUMBER(INDEX('M04-S03'!$AN$16:$AN$198,2*(ROWS($R$386:R425)-1)+1)),INDEX('M04-S03'!$X$16:$X$198,2*(ROWS($M$386:M425)-1)+1),"")</f>
        <v/>
      </c>
      <c r="N425" s="184" t="str">
        <f>IFERROR(IF(ISNUMBER(INDEX('M04-S03'!$AN$16:$AN$198,2*(ROWS($R$386:R425)-1)+1)),INDEX('M04-S03'!$AK$16:$AK$198,2*(ROWS($N$386:N425)-1)+1),""),"")</f>
        <v/>
      </c>
      <c r="O425" s="456" t="str">
        <f>IFERROR(IF(ISNUMBER(INDEX('M04-S03'!$AN$16:$AN$198,2*(ROWS($R$386:R425)-1)+1)),INDEX('M04-S03'!$AX$16:$AX$198,2*(ROWS($O$386:O425)-1)+1),""),"")</f>
        <v/>
      </c>
      <c r="P425" s="113"/>
      <c r="Q425" s="113"/>
      <c r="R425" s="184">
        <f>IF(ISNUMBER(INDEX('M04-S03'!$AN$16:$AN$198,2*(ROWS($R$386:R425)-1)+1)),INDEX('M04-S03'!$AN$16:$AN$198,2*(ROWS($R$386:R425)-1)+1),0)</f>
        <v>0</v>
      </c>
      <c r="S425" s="23">
        <f>IF(NOT(ISNUMBER(INDEX('M04-S03'!$AN$16:$AN$198,2*(ROWS($R$386:R425)-1)+1))),INDEX('M04-S03'!$X$16:$X$198,2*(ROWS($S$386:S425)-1)+1),"")</f>
        <v>0</v>
      </c>
      <c r="T425" s="52" t="str">
        <f>IFERROR(IF(NOT(ISNUMBER(INDEX('M04-S03'!$AN$16:$AN$198,2*(ROWS($R$386:R425)-1)+1))),INDEX('M04-S03'!$AK$16:$AK$198,2*(ROWS($R$386:R425)-1)+1),0),0)</f>
        <v/>
      </c>
      <c r="U425" s="23" t="str">
        <f>IFERROR(IF(NOT(ISNUMBER(INDEX('M04-S03'!$AN$16:$AN$198,2*(ROWS($R$386:R425)-1)+1))),INDEX('M04-S03'!$AX$16:$AX$198,2*(ROWS($R$386:R425)-1)+1),""),"")</f>
        <v/>
      </c>
      <c r="V425" s="113"/>
      <c r="W425" t="str">
        <f>IFERROR(IF(NOT(ISNUMBER(INDEX('M04-S03'!$AN$16:$AN$198,2*(ROWS($R$386:R425)-1)+1))),INDEX('M04-S03'!$BE$16:$BE$198,2*(ROWS($R$386:R425)-1)+1),""),"")</f>
        <v>Submit for Review</v>
      </c>
      <c r="X425" s="113"/>
      <c r="Y425" s="113"/>
      <c r="Z425" s="111">
        <f>INDEX('M04-S03'!$B$16:$B$198,2*(ROWS($Z$386:Z425)-1)+1)</f>
        <v>40</v>
      </c>
      <c r="AA425" s="112"/>
      <c r="AB425" s="111">
        <f>INDEX('M04-S03'!$F$16:$F$198,2*(ROWS($Z$386:AB425)-1)+1)</f>
        <v>0</v>
      </c>
      <c r="AC425">
        <f>INDEX('M04-S03'!$L$16:$L$198,2*(ROWS($AC$386:AC425)-1)+1)</f>
        <v>0</v>
      </c>
      <c r="AD425">
        <f>INDEX('M04-S03'!$T$16:$T$198,2*(ROWS($AD$386:AD425)-1)+1)</f>
        <v>0</v>
      </c>
      <c r="AE425" s="459"/>
      <c r="AF425" s="459"/>
      <c r="AG425" s="111">
        <f>INDEX('M04-S03'!$R$16:$R$198,2*(ROWS($AG$309:AG348)-1)+1)</f>
        <v>0</v>
      </c>
      <c r="AH425" s="111">
        <f>INDEX('M04-S03'!$Z$16:$Z$198,2*(ROWS($AH$386:AH425)-1)+1)</f>
        <v>0</v>
      </c>
      <c r="AI425" s="96"/>
      <c r="AJ425" s="96"/>
      <c r="AK425" s="52" t="str">
        <f>INDEX('M04-S03'!$AV$16:$AV$198,2*(ROWS($AK$386:AK425)-1)+1)</f>
        <v/>
      </c>
      <c r="AL425" s="184">
        <f>IF(NOT(ISNUMBER(INDEX('M04-S03'!$AN$16:$AN$198,2*(ROWS($R$386:$R425)-1)+1))),INDEX('M04-S03'!$AD$16:$AD$198,2*(ROWS($AL$386:$AL425)-1)+1),"")</f>
        <v>0</v>
      </c>
      <c r="AM425" s="184" t="str">
        <f>IF(NOT(ISNUMBER(INDEX('M04-S03'!$AN$16:$AN$198,2*(ROWS($R$386:$R425)-1)+1))),INDEX('M04-S03'!$AF$16:$AF$198,2*(ROWS($AM$386:$AM425)-1)+1),"")</f>
        <v/>
      </c>
      <c r="AN425" s="52" t="str">
        <f>IF(NOT(ISNUMBER(INDEX('M04-S03'!$AN$16:$AN$198,2*(ROWS($R$386:$R425)-1)+1))),INDEX('M04-S03'!$AH$16:$AH$198,2*(ROWS($AN$386:$AN425)-1)+1),"")</f>
        <v/>
      </c>
      <c r="AO425" s="113"/>
      <c r="AU425"/>
    </row>
    <row r="426" spans="1:47">
      <c r="A426" s="57">
        <f t="shared" si="37"/>
        <v>0</v>
      </c>
      <c r="B426" s="183" t="str">
        <f t="shared" si="41"/>
        <v/>
      </c>
      <c r="C426" s="186" t="str">
        <f>IF(OR(R426&gt;0,T426&gt;0),INDEX('M04-S03'!$BD$16:$BD$198,2*(ROWS($C$386:C426)-1)+1),"")</f>
        <v/>
      </c>
      <c r="D426" t="s">
        <v>231</v>
      </c>
      <c r="E426" s="112"/>
      <c r="F426" s="112"/>
      <c r="G426" s="96"/>
      <c r="H426" s="96"/>
      <c r="I426" s="184">
        <f>IFERROR(ROUND(IF(ISNUMBER(INDEX('M04-S03'!$AN$16:$AN$198,2*(ROWS($R$386:$R426)-1)+1)),INDEX('M04-S03'!$AD$16:$AD$198,2*(ROWS($I$386:$I426)-1)+1),""),2),0)</f>
        <v>0</v>
      </c>
      <c r="J426" s="184">
        <f>IFERROR(ROUND(IF(ISNUMBER(INDEX('M04-S03'!$AN$16:$AN$198,2*(ROWS($R$386:$R426)-1)+1)),INDEX('M04-S03'!$AF$16:$AF$198,2*(ROWS($J$386:$J426)-1)+1),""),2),0)</f>
        <v>0</v>
      </c>
      <c r="K426" s="52">
        <f>IFERROR(ROUND(IF(ISNUMBER(INDEX('M04-S03'!$AN$16:$AN$198,2*(ROWS($R$386:$R426)-1)+1)),INDEX('M04-S03'!$AH$16:$AH$198,2*(ROWS($K$386:$K426)-1)+1),""),2),0)</f>
        <v>0</v>
      </c>
      <c r="M426" s="456" t="str">
        <f>IF(ISNUMBER(INDEX('M04-S03'!$AN$16:$AN$198,2*(ROWS($R$386:R426)-1)+1)),INDEX('M04-S03'!$X$16:$X$198,2*(ROWS($M$386:M426)-1)+1),"")</f>
        <v/>
      </c>
      <c r="N426" s="184" t="str">
        <f>IFERROR(IF(ISNUMBER(INDEX('M04-S03'!$AN$16:$AN$198,2*(ROWS($R$386:R426)-1)+1)),INDEX('M04-S03'!$AK$16:$AK$198,2*(ROWS($N$386:N426)-1)+1),""),"")</f>
        <v/>
      </c>
      <c r="O426" s="456" t="str">
        <f>IFERROR(IF(ISNUMBER(INDEX('M04-S03'!$AN$16:$AN$198,2*(ROWS($R$386:R426)-1)+1)),INDEX('M04-S03'!$AX$16:$AX$198,2*(ROWS($O$386:O426)-1)+1),""),"")</f>
        <v/>
      </c>
      <c r="P426" s="113"/>
      <c r="Q426" s="113"/>
      <c r="R426" s="184">
        <f>IF(ISNUMBER(INDEX('M04-S03'!$AN$16:$AN$198,2*(ROWS($R$386:R426)-1)+1)),INDEX('M04-S03'!$AN$16:$AN$198,2*(ROWS($R$386:R426)-1)+1),0)</f>
        <v>0</v>
      </c>
      <c r="S426" s="23">
        <f>IF(NOT(ISNUMBER(INDEX('M04-S03'!$AN$16:$AN$198,2*(ROWS($R$386:R426)-1)+1))),INDEX('M04-S03'!$X$16:$X$198,2*(ROWS($S$386:S426)-1)+1),"")</f>
        <v>0</v>
      </c>
      <c r="T426" s="52" t="str">
        <f>IFERROR(IF(NOT(ISNUMBER(INDEX('M04-S03'!$AN$16:$AN$198,2*(ROWS($R$386:R426)-1)+1))),INDEX('M04-S03'!$AK$16:$AK$198,2*(ROWS($R$386:R426)-1)+1),0),0)</f>
        <v/>
      </c>
      <c r="U426" s="23" t="str">
        <f>IFERROR(IF(NOT(ISNUMBER(INDEX('M04-S03'!$AN$16:$AN$198,2*(ROWS($R$386:R426)-1)+1))),INDEX('M04-S03'!$AX$16:$AX$198,2*(ROWS($R$386:R426)-1)+1),""),"")</f>
        <v/>
      </c>
      <c r="V426" s="113"/>
      <c r="W426" t="str">
        <f>IFERROR(IF(NOT(ISNUMBER(INDEX('M04-S03'!$AN$16:$AN$198,2*(ROWS($R$386:R426)-1)+1))),INDEX('M04-S03'!$BE$16:$BE$198,2*(ROWS($R$386:R426)-1)+1),""),"")</f>
        <v>Submit for Review</v>
      </c>
      <c r="X426" s="113"/>
      <c r="Y426" s="113"/>
      <c r="Z426" s="111">
        <f>INDEX('M04-S03'!$B$16:$B$198,2*(ROWS($Z$386:Z426)-1)+1)</f>
        <v>41</v>
      </c>
      <c r="AA426" s="112"/>
      <c r="AB426" s="111">
        <f>INDEX('M04-S03'!$F$16:$F$198,2*(ROWS($Z$386:AB426)-1)+1)</f>
        <v>0</v>
      </c>
      <c r="AC426">
        <f>INDEX('M04-S03'!$L$16:$L$198,2*(ROWS($AC$386:AC426)-1)+1)</f>
        <v>0</v>
      </c>
      <c r="AD426">
        <f>INDEX('M04-S03'!$T$16:$T$198,2*(ROWS($AD$386:AD426)-1)+1)</f>
        <v>0</v>
      </c>
      <c r="AE426" s="459"/>
      <c r="AF426" s="459"/>
      <c r="AG426" s="111">
        <f>INDEX('M04-S03'!$R$16:$R$198,2*(ROWS($AG$309:AG349)-1)+1)</f>
        <v>0</v>
      </c>
      <c r="AH426" s="111">
        <f>INDEX('M04-S03'!$Z$16:$Z$198,2*(ROWS($AH$386:AH426)-1)+1)</f>
        <v>0</v>
      </c>
      <c r="AI426" s="96"/>
      <c r="AJ426" s="96"/>
      <c r="AK426" s="52" t="str">
        <f>INDEX('M04-S03'!$AV$16:$AV$198,2*(ROWS($AK$386:AK426)-1)+1)</f>
        <v/>
      </c>
      <c r="AL426" s="184">
        <f>IF(NOT(ISNUMBER(INDEX('M04-S03'!$AN$16:$AN$198,2*(ROWS($R$386:$R426)-1)+1))),INDEX('M04-S03'!$AD$16:$AD$198,2*(ROWS($AL$386:$AL426)-1)+1),"")</f>
        <v>0</v>
      </c>
      <c r="AM426" s="184" t="str">
        <f>IF(NOT(ISNUMBER(INDEX('M04-S03'!$AN$16:$AN$198,2*(ROWS($R$386:$R426)-1)+1))),INDEX('M04-S03'!$AF$16:$AF$198,2*(ROWS($AM$386:$AM426)-1)+1),"")</f>
        <v/>
      </c>
      <c r="AN426" s="52" t="str">
        <f>IF(NOT(ISNUMBER(INDEX('M04-S03'!$AN$16:$AN$198,2*(ROWS($R$386:$R426)-1)+1))),INDEX('M04-S03'!$AH$16:$AH$198,2*(ROWS($AN$386:$AN426)-1)+1),"")</f>
        <v/>
      </c>
      <c r="AO426" s="113"/>
      <c r="AU426"/>
    </row>
    <row r="427" spans="1:47">
      <c r="A427" s="57">
        <f t="shared" si="37"/>
        <v>0</v>
      </c>
      <c r="B427" s="183" t="str">
        <f t="shared" si="41"/>
        <v/>
      </c>
      <c r="C427" s="186" t="str">
        <f>IF(OR(R427&gt;0,T427&gt;0),INDEX('M04-S03'!$BD$16:$BD$198,2*(ROWS($C$386:C427)-1)+1),"")</f>
        <v/>
      </c>
      <c r="D427" t="s">
        <v>231</v>
      </c>
      <c r="E427" s="112"/>
      <c r="F427" s="112"/>
      <c r="G427" s="96"/>
      <c r="H427" s="96"/>
      <c r="I427" s="184">
        <f>IFERROR(ROUND(IF(ISNUMBER(INDEX('M04-S03'!$AN$16:$AN$198,2*(ROWS($R$386:$R427)-1)+1)),INDEX('M04-S03'!$AD$16:$AD$198,2*(ROWS($I$386:$I427)-1)+1),""),2),0)</f>
        <v>0</v>
      </c>
      <c r="J427" s="184">
        <f>IFERROR(ROUND(IF(ISNUMBER(INDEX('M04-S03'!$AN$16:$AN$198,2*(ROWS($R$386:$R427)-1)+1)),INDEX('M04-S03'!$AF$16:$AF$198,2*(ROWS($J$386:$J427)-1)+1),""),2),0)</f>
        <v>0</v>
      </c>
      <c r="K427" s="52">
        <f>IFERROR(ROUND(IF(ISNUMBER(INDEX('M04-S03'!$AN$16:$AN$198,2*(ROWS($R$386:$R427)-1)+1)),INDEX('M04-S03'!$AH$16:$AH$198,2*(ROWS($K$386:$K427)-1)+1),""),2),0)</f>
        <v>0</v>
      </c>
      <c r="M427" s="456" t="str">
        <f>IF(ISNUMBER(INDEX('M04-S03'!$AN$16:$AN$198,2*(ROWS($R$386:R427)-1)+1)),INDEX('M04-S03'!$X$16:$X$198,2*(ROWS($M$386:M427)-1)+1),"")</f>
        <v/>
      </c>
      <c r="N427" s="184" t="str">
        <f>IFERROR(IF(ISNUMBER(INDEX('M04-S03'!$AN$16:$AN$198,2*(ROWS($R$386:R427)-1)+1)),INDEX('M04-S03'!$AK$16:$AK$198,2*(ROWS($N$386:N427)-1)+1),""),"")</f>
        <v/>
      </c>
      <c r="O427" s="456" t="str">
        <f>IFERROR(IF(ISNUMBER(INDEX('M04-S03'!$AN$16:$AN$198,2*(ROWS($R$386:R427)-1)+1)),INDEX('M04-S03'!$AX$16:$AX$198,2*(ROWS($O$386:O427)-1)+1),""),"")</f>
        <v/>
      </c>
      <c r="P427" s="113"/>
      <c r="Q427" s="113"/>
      <c r="R427" s="184">
        <f>IF(ISNUMBER(INDEX('M04-S03'!$AN$16:$AN$198,2*(ROWS($R$386:R427)-1)+1)),INDEX('M04-S03'!$AN$16:$AN$198,2*(ROWS($R$386:R427)-1)+1),0)</f>
        <v>0</v>
      </c>
      <c r="S427" s="23">
        <f>IF(NOT(ISNUMBER(INDEX('M04-S03'!$AN$16:$AN$198,2*(ROWS($R$386:R427)-1)+1))),INDEX('M04-S03'!$X$16:$X$198,2*(ROWS($S$386:S427)-1)+1),"")</f>
        <v>0</v>
      </c>
      <c r="T427" s="52" t="str">
        <f>IFERROR(IF(NOT(ISNUMBER(INDEX('M04-S03'!$AN$16:$AN$198,2*(ROWS($R$386:R427)-1)+1))),INDEX('M04-S03'!$AK$16:$AK$198,2*(ROWS($R$386:R427)-1)+1),0),0)</f>
        <v/>
      </c>
      <c r="U427" s="23" t="str">
        <f>IFERROR(IF(NOT(ISNUMBER(INDEX('M04-S03'!$AN$16:$AN$198,2*(ROWS($R$386:R427)-1)+1))),INDEX('M04-S03'!$AX$16:$AX$198,2*(ROWS($R$386:R427)-1)+1),""),"")</f>
        <v/>
      </c>
      <c r="V427" s="113"/>
      <c r="W427" t="str">
        <f>IFERROR(IF(NOT(ISNUMBER(INDEX('M04-S03'!$AN$16:$AN$198,2*(ROWS($R$386:R427)-1)+1))),INDEX('M04-S03'!$BE$16:$BE$198,2*(ROWS($R$386:R427)-1)+1),""),"")</f>
        <v>Submit for Review</v>
      </c>
      <c r="X427" s="113"/>
      <c r="Y427" s="113"/>
      <c r="Z427" s="111">
        <f>INDEX('M04-S03'!$B$16:$B$198,2*(ROWS($Z$386:Z427)-1)+1)</f>
        <v>42</v>
      </c>
      <c r="AA427" s="112"/>
      <c r="AB427" s="111">
        <f>INDEX('M04-S03'!$F$16:$F$198,2*(ROWS($Z$386:AB427)-1)+1)</f>
        <v>0</v>
      </c>
      <c r="AC427">
        <f>INDEX('M04-S03'!$L$16:$L$198,2*(ROWS($AC$386:AC427)-1)+1)</f>
        <v>0</v>
      </c>
      <c r="AD427">
        <f>INDEX('M04-S03'!$T$16:$T$198,2*(ROWS($AD$386:AD427)-1)+1)</f>
        <v>0</v>
      </c>
      <c r="AE427" s="459"/>
      <c r="AF427" s="459"/>
      <c r="AG427" s="111">
        <f>INDEX('M04-S03'!$R$16:$R$198,2*(ROWS($AG$309:AG350)-1)+1)</f>
        <v>0</v>
      </c>
      <c r="AH427" s="111">
        <f>INDEX('M04-S03'!$Z$16:$Z$198,2*(ROWS($AH$386:AH427)-1)+1)</f>
        <v>0</v>
      </c>
      <c r="AI427" s="96"/>
      <c r="AJ427" s="96"/>
      <c r="AK427" s="52" t="str">
        <f>INDEX('M04-S03'!$AV$16:$AV$198,2*(ROWS($AK$386:AK427)-1)+1)</f>
        <v/>
      </c>
      <c r="AL427" s="184">
        <f>IF(NOT(ISNUMBER(INDEX('M04-S03'!$AN$16:$AN$198,2*(ROWS($R$386:$R427)-1)+1))),INDEX('M04-S03'!$AD$16:$AD$198,2*(ROWS($AL$386:$AL427)-1)+1),"")</f>
        <v>0</v>
      </c>
      <c r="AM427" s="184" t="str">
        <f>IF(NOT(ISNUMBER(INDEX('M04-S03'!$AN$16:$AN$198,2*(ROWS($R$386:$R427)-1)+1))),INDEX('M04-S03'!$AF$16:$AF$198,2*(ROWS($AM$386:$AM427)-1)+1),"")</f>
        <v/>
      </c>
      <c r="AN427" s="52" t="str">
        <f>IF(NOT(ISNUMBER(INDEX('M04-S03'!$AN$16:$AN$198,2*(ROWS($R$386:$R427)-1)+1))),INDEX('M04-S03'!$AH$16:$AH$198,2*(ROWS($AN$386:$AN427)-1)+1),"")</f>
        <v/>
      </c>
      <c r="AO427" s="113"/>
      <c r="AU427"/>
    </row>
    <row r="428" spans="1:47">
      <c r="A428" s="57">
        <f t="shared" si="37"/>
        <v>0</v>
      </c>
      <c r="B428" s="183" t="str">
        <f t="shared" ref="B428:B435" si="42">IF(C428="","",CONCATENATE(ROW(),"-",C428))</f>
        <v/>
      </c>
      <c r="C428" s="186" t="str">
        <f>IF(OR(R428&gt;0,T428&gt;0),INDEX('M04-S03'!$BD$16:$BD$198,2*(ROWS($C$386:C428)-1)+1),"")</f>
        <v/>
      </c>
      <c r="D428" t="s">
        <v>231</v>
      </c>
      <c r="E428" s="112"/>
      <c r="F428" s="112"/>
      <c r="G428" s="96"/>
      <c r="H428" s="96"/>
      <c r="I428" s="184">
        <f>IFERROR(ROUND(IF(ISNUMBER(INDEX('M04-S03'!$AN$16:$AN$198,2*(ROWS($R$386:$R428)-1)+1)),INDEX('M04-S03'!$AD$16:$AD$198,2*(ROWS($I$386:$I428)-1)+1),""),2),0)</f>
        <v>0</v>
      </c>
      <c r="J428" s="184">
        <f>IFERROR(ROUND(IF(ISNUMBER(INDEX('M04-S03'!$AN$16:$AN$198,2*(ROWS($R$386:$R428)-1)+1)),INDEX('M04-S03'!$AF$16:$AF$198,2*(ROWS($J$386:$J428)-1)+1),""),2),0)</f>
        <v>0</v>
      </c>
      <c r="K428" s="52">
        <f>IFERROR(ROUND(IF(ISNUMBER(INDEX('M04-S03'!$AN$16:$AN$198,2*(ROWS($R$386:$R428)-1)+1)),INDEX('M04-S03'!$AH$16:$AH$198,2*(ROWS($K$386:$K428)-1)+1),""),2),0)</f>
        <v>0</v>
      </c>
      <c r="M428" s="456" t="str">
        <f>IF(ISNUMBER(INDEX('M04-S03'!$AN$16:$AN$198,2*(ROWS($R$386:R428)-1)+1)),INDEX('M04-S03'!$X$16:$X$198,2*(ROWS($M$386:M428)-1)+1),"")</f>
        <v/>
      </c>
      <c r="N428" s="184" t="str">
        <f>IFERROR(IF(ISNUMBER(INDEX('M04-S03'!$AN$16:$AN$198,2*(ROWS($R$386:R428)-1)+1)),INDEX('M04-S03'!$AK$16:$AK$198,2*(ROWS($N$386:N428)-1)+1),""),"")</f>
        <v/>
      </c>
      <c r="O428" s="456" t="str">
        <f>IFERROR(IF(ISNUMBER(INDEX('M04-S03'!$AN$16:$AN$198,2*(ROWS($R$386:R428)-1)+1)),INDEX('M04-S03'!$AX$16:$AX$198,2*(ROWS($O$386:O428)-1)+1),""),"")</f>
        <v/>
      </c>
      <c r="P428" s="113"/>
      <c r="Q428" s="113"/>
      <c r="R428" s="184">
        <f>IF(ISNUMBER(INDEX('M04-S03'!$AN$16:$AN$198,2*(ROWS($R$386:R428)-1)+1)),INDEX('M04-S03'!$AN$16:$AN$198,2*(ROWS($R$386:R428)-1)+1),0)</f>
        <v>0</v>
      </c>
      <c r="S428" s="23">
        <f>IF(NOT(ISNUMBER(INDEX('M04-S03'!$AN$16:$AN$198,2*(ROWS($R$386:R428)-1)+1))),INDEX('M04-S03'!$X$16:$X$198,2*(ROWS($S$386:S428)-1)+1),"")</f>
        <v>0</v>
      </c>
      <c r="T428" s="52" t="str">
        <f>IFERROR(IF(NOT(ISNUMBER(INDEX('M04-S03'!$AN$16:$AN$198,2*(ROWS($R$386:R428)-1)+1))),INDEX('M04-S03'!$AK$16:$AK$198,2*(ROWS($R$386:R428)-1)+1),0),0)</f>
        <v/>
      </c>
      <c r="U428" s="23" t="str">
        <f>IFERROR(IF(NOT(ISNUMBER(INDEX('M04-S03'!$AN$16:$AN$198,2*(ROWS($R$386:R428)-1)+1))),INDEX('M04-S03'!$AX$16:$AX$198,2*(ROWS($R$386:R428)-1)+1),""),"")</f>
        <v/>
      </c>
      <c r="V428" s="113"/>
      <c r="W428" t="str">
        <f>IFERROR(IF(NOT(ISNUMBER(INDEX('M04-S03'!$AN$16:$AN$198,2*(ROWS($R$386:R428)-1)+1))),INDEX('M04-S03'!$BE$16:$BE$198,2*(ROWS($R$386:R428)-1)+1),""),"")</f>
        <v>Submit for Review</v>
      </c>
      <c r="X428" s="113"/>
      <c r="Y428" s="113"/>
      <c r="Z428" s="111">
        <f>INDEX('M04-S03'!$B$16:$B$198,2*(ROWS($Z$386:Z428)-1)+1)</f>
        <v>43</v>
      </c>
      <c r="AA428" s="112"/>
      <c r="AB428" s="111">
        <f>INDEX('M04-S03'!$F$16:$F$198,2*(ROWS($Z$386:AB428)-1)+1)</f>
        <v>0</v>
      </c>
      <c r="AC428">
        <f>INDEX('M04-S03'!$L$16:$L$198,2*(ROWS($AC$386:AC428)-1)+1)</f>
        <v>0</v>
      </c>
      <c r="AD428">
        <f>INDEX('M04-S03'!$T$16:$T$198,2*(ROWS($AD$386:AD428)-1)+1)</f>
        <v>0</v>
      </c>
      <c r="AE428" s="459"/>
      <c r="AF428" s="459"/>
      <c r="AG428" s="111">
        <f>INDEX('M04-S03'!$R$16:$R$198,2*(ROWS($AG$309:AG351)-1)+1)</f>
        <v>0</v>
      </c>
      <c r="AH428" s="111">
        <f>INDEX('M04-S03'!$Z$16:$Z$198,2*(ROWS($AH$386:AH428)-1)+1)</f>
        <v>0</v>
      </c>
      <c r="AI428" s="96"/>
      <c r="AJ428" s="96"/>
      <c r="AK428" s="52" t="str">
        <f>INDEX('M04-S03'!$AV$16:$AV$198,2*(ROWS($AK$386:AK428)-1)+1)</f>
        <v/>
      </c>
      <c r="AL428" s="184">
        <f>IF(NOT(ISNUMBER(INDEX('M04-S03'!$AN$16:$AN$198,2*(ROWS($R$386:$R428)-1)+1))),INDEX('M04-S03'!$AD$16:$AD$198,2*(ROWS($AL$386:$AL428)-1)+1),"")</f>
        <v>0</v>
      </c>
      <c r="AM428" s="184" t="str">
        <f>IF(NOT(ISNUMBER(INDEX('M04-S03'!$AN$16:$AN$198,2*(ROWS($R$386:$R428)-1)+1))),INDEX('M04-S03'!$AF$16:$AF$198,2*(ROWS($AM$386:$AM428)-1)+1),"")</f>
        <v/>
      </c>
      <c r="AN428" s="52" t="str">
        <f>IF(NOT(ISNUMBER(INDEX('M04-S03'!$AN$16:$AN$198,2*(ROWS($R$386:$R428)-1)+1))),INDEX('M04-S03'!$AH$16:$AH$198,2*(ROWS($AN$386:$AN428)-1)+1),"")</f>
        <v/>
      </c>
      <c r="AO428" s="113"/>
      <c r="AU428"/>
    </row>
    <row r="429" spans="1:47">
      <c r="A429" s="57">
        <f t="shared" si="37"/>
        <v>0</v>
      </c>
      <c r="B429" s="183" t="str">
        <f t="shared" si="42"/>
        <v/>
      </c>
      <c r="C429" s="186" t="str">
        <f>IF(OR(R429&gt;0,T429&gt;0),INDEX('M04-S03'!$BD$16:$BD$198,2*(ROWS($C$386:C429)-1)+1),"")</f>
        <v/>
      </c>
      <c r="D429" t="s">
        <v>231</v>
      </c>
      <c r="E429" s="112"/>
      <c r="F429" s="112"/>
      <c r="G429" s="96"/>
      <c r="H429" s="96"/>
      <c r="I429" s="184">
        <f>IFERROR(ROUND(IF(ISNUMBER(INDEX('M04-S03'!$AN$16:$AN$198,2*(ROWS($R$386:$R429)-1)+1)),INDEX('M04-S03'!$AD$16:$AD$198,2*(ROWS($I$386:$I429)-1)+1),""),2),0)</f>
        <v>0</v>
      </c>
      <c r="J429" s="184">
        <f>IFERROR(ROUND(IF(ISNUMBER(INDEX('M04-S03'!$AN$16:$AN$198,2*(ROWS($R$386:$R429)-1)+1)),INDEX('M04-S03'!$AF$16:$AF$198,2*(ROWS($J$386:$J429)-1)+1),""),2),0)</f>
        <v>0</v>
      </c>
      <c r="K429" s="52">
        <f>IFERROR(ROUND(IF(ISNUMBER(INDEX('M04-S03'!$AN$16:$AN$198,2*(ROWS($R$386:$R429)-1)+1)),INDEX('M04-S03'!$AH$16:$AH$198,2*(ROWS($K$386:$K429)-1)+1),""),2),0)</f>
        <v>0</v>
      </c>
      <c r="M429" s="456" t="str">
        <f>IF(ISNUMBER(INDEX('M04-S03'!$AN$16:$AN$198,2*(ROWS($R$386:R429)-1)+1)),INDEX('M04-S03'!$X$16:$X$198,2*(ROWS($M$386:M429)-1)+1),"")</f>
        <v/>
      </c>
      <c r="N429" s="184" t="str">
        <f>IFERROR(IF(ISNUMBER(INDEX('M04-S03'!$AN$16:$AN$198,2*(ROWS($R$386:R429)-1)+1)),INDEX('M04-S03'!$AK$16:$AK$198,2*(ROWS($N$386:N429)-1)+1),""),"")</f>
        <v/>
      </c>
      <c r="O429" s="456" t="str">
        <f>IFERROR(IF(ISNUMBER(INDEX('M04-S03'!$AN$16:$AN$198,2*(ROWS($R$386:R429)-1)+1)),INDEX('M04-S03'!$AX$16:$AX$198,2*(ROWS($O$386:O429)-1)+1),""),"")</f>
        <v/>
      </c>
      <c r="P429" s="113"/>
      <c r="Q429" s="113"/>
      <c r="R429" s="184">
        <f>IF(ISNUMBER(INDEX('M04-S03'!$AN$16:$AN$198,2*(ROWS($R$386:R429)-1)+1)),INDEX('M04-S03'!$AN$16:$AN$198,2*(ROWS($R$386:R429)-1)+1),0)</f>
        <v>0</v>
      </c>
      <c r="S429" s="23">
        <f>IF(NOT(ISNUMBER(INDEX('M04-S03'!$AN$16:$AN$198,2*(ROWS($R$386:R429)-1)+1))),INDEX('M04-S03'!$X$16:$X$198,2*(ROWS($S$386:S429)-1)+1),"")</f>
        <v>0</v>
      </c>
      <c r="T429" s="52" t="str">
        <f>IFERROR(IF(NOT(ISNUMBER(INDEX('M04-S03'!$AN$16:$AN$198,2*(ROWS($R$386:R429)-1)+1))),INDEX('M04-S03'!$AK$16:$AK$198,2*(ROWS($R$386:R429)-1)+1),0),0)</f>
        <v/>
      </c>
      <c r="U429" s="23" t="str">
        <f>IFERROR(IF(NOT(ISNUMBER(INDEX('M04-S03'!$AN$16:$AN$198,2*(ROWS($R$386:R429)-1)+1))),INDEX('M04-S03'!$AX$16:$AX$198,2*(ROWS($R$386:R429)-1)+1),""),"")</f>
        <v/>
      </c>
      <c r="V429" s="113"/>
      <c r="W429" t="str">
        <f>IFERROR(IF(NOT(ISNUMBER(INDEX('M04-S03'!$AN$16:$AN$198,2*(ROWS($R$386:R429)-1)+1))),INDEX('M04-S03'!$BE$16:$BE$198,2*(ROWS($R$386:R429)-1)+1),""),"")</f>
        <v>Submit for Review</v>
      </c>
      <c r="X429" s="113"/>
      <c r="Y429" s="113"/>
      <c r="Z429" s="111">
        <f>INDEX('M04-S03'!$B$16:$B$198,2*(ROWS($Z$386:Z429)-1)+1)</f>
        <v>44</v>
      </c>
      <c r="AA429" s="112"/>
      <c r="AB429" s="111">
        <f>INDEX('M04-S03'!$F$16:$F$198,2*(ROWS($Z$386:AB429)-1)+1)</f>
        <v>0</v>
      </c>
      <c r="AC429">
        <f>INDEX('M04-S03'!$L$16:$L$198,2*(ROWS($AC$386:AC429)-1)+1)</f>
        <v>0</v>
      </c>
      <c r="AD429">
        <f>INDEX('M04-S03'!$T$16:$T$198,2*(ROWS($AD$386:AD429)-1)+1)</f>
        <v>0</v>
      </c>
      <c r="AE429" s="459"/>
      <c r="AF429" s="459"/>
      <c r="AG429" s="111">
        <f>INDEX('M04-S03'!$R$16:$R$198,2*(ROWS($AG$309:AG352)-1)+1)</f>
        <v>0</v>
      </c>
      <c r="AH429" s="111">
        <f>INDEX('M04-S03'!$Z$16:$Z$198,2*(ROWS($AH$386:AH429)-1)+1)</f>
        <v>0</v>
      </c>
      <c r="AI429" s="96"/>
      <c r="AJ429" s="96"/>
      <c r="AK429" s="52" t="str">
        <f>INDEX('M04-S03'!$AV$16:$AV$198,2*(ROWS($AK$386:AK429)-1)+1)</f>
        <v/>
      </c>
      <c r="AL429" s="184">
        <f>IF(NOT(ISNUMBER(INDEX('M04-S03'!$AN$16:$AN$198,2*(ROWS($R$386:$R429)-1)+1))),INDEX('M04-S03'!$AD$16:$AD$198,2*(ROWS($AL$386:$AL429)-1)+1),"")</f>
        <v>0</v>
      </c>
      <c r="AM429" s="184" t="str">
        <f>IF(NOT(ISNUMBER(INDEX('M04-S03'!$AN$16:$AN$198,2*(ROWS($R$386:$R429)-1)+1))),INDEX('M04-S03'!$AF$16:$AF$198,2*(ROWS($AM$386:$AM429)-1)+1),"")</f>
        <v/>
      </c>
      <c r="AN429" s="52" t="str">
        <f>IF(NOT(ISNUMBER(INDEX('M04-S03'!$AN$16:$AN$198,2*(ROWS($R$386:$R429)-1)+1))),INDEX('M04-S03'!$AH$16:$AH$198,2*(ROWS($AN$386:$AN429)-1)+1),"")</f>
        <v/>
      </c>
      <c r="AO429" s="113"/>
      <c r="AU429"/>
    </row>
    <row r="430" spans="1:47">
      <c r="A430" s="57">
        <f t="shared" si="37"/>
        <v>0</v>
      </c>
      <c r="B430" s="183" t="str">
        <f t="shared" si="42"/>
        <v/>
      </c>
      <c r="C430" s="186" t="str">
        <f>IF(OR(R430&gt;0,T430&gt;0),INDEX('M04-S03'!$BD$16:$BD$198,2*(ROWS($C$386:C430)-1)+1),"")</f>
        <v/>
      </c>
      <c r="D430" t="s">
        <v>231</v>
      </c>
      <c r="E430" s="112"/>
      <c r="F430" s="112"/>
      <c r="G430" s="96"/>
      <c r="H430" s="96"/>
      <c r="I430" s="184">
        <f>IFERROR(ROUND(IF(ISNUMBER(INDEX('M04-S03'!$AN$16:$AN$198,2*(ROWS($R$386:$R430)-1)+1)),INDEX('M04-S03'!$AD$16:$AD$198,2*(ROWS($I$386:$I430)-1)+1),""),2),0)</f>
        <v>0</v>
      </c>
      <c r="J430" s="184">
        <f>IFERROR(ROUND(IF(ISNUMBER(INDEX('M04-S03'!$AN$16:$AN$198,2*(ROWS($R$386:$R430)-1)+1)),INDEX('M04-S03'!$AF$16:$AF$198,2*(ROWS($J$386:$J430)-1)+1),""),2),0)</f>
        <v>0</v>
      </c>
      <c r="K430" s="52">
        <f>IFERROR(ROUND(IF(ISNUMBER(INDEX('M04-S03'!$AN$16:$AN$198,2*(ROWS($R$386:$R430)-1)+1)),INDEX('M04-S03'!$AH$16:$AH$198,2*(ROWS($K$386:$K430)-1)+1),""),2),0)</f>
        <v>0</v>
      </c>
      <c r="M430" s="456" t="str">
        <f>IF(ISNUMBER(INDEX('M04-S03'!$AN$16:$AN$198,2*(ROWS($R$386:R430)-1)+1)),INDEX('M04-S03'!$X$16:$X$198,2*(ROWS($M$386:M430)-1)+1),"")</f>
        <v/>
      </c>
      <c r="N430" s="184" t="str">
        <f>IFERROR(IF(ISNUMBER(INDEX('M04-S03'!$AN$16:$AN$198,2*(ROWS($R$386:R430)-1)+1)),INDEX('M04-S03'!$AK$16:$AK$198,2*(ROWS($N$386:N430)-1)+1),""),"")</f>
        <v/>
      </c>
      <c r="O430" s="456" t="str">
        <f>IFERROR(IF(ISNUMBER(INDEX('M04-S03'!$AN$16:$AN$198,2*(ROWS($R$386:R430)-1)+1)),INDEX('M04-S03'!$AX$16:$AX$198,2*(ROWS($O$386:O430)-1)+1),""),"")</f>
        <v/>
      </c>
      <c r="P430" s="113"/>
      <c r="Q430" s="113"/>
      <c r="R430" s="184">
        <f>IF(ISNUMBER(INDEX('M04-S03'!$AN$16:$AN$198,2*(ROWS($R$386:R430)-1)+1)),INDEX('M04-S03'!$AN$16:$AN$198,2*(ROWS($R$386:R430)-1)+1),0)</f>
        <v>0</v>
      </c>
      <c r="S430" s="23">
        <f>IF(NOT(ISNUMBER(INDEX('M04-S03'!$AN$16:$AN$198,2*(ROWS($R$386:R430)-1)+1))),INDEX('M04-S03'!$X$16:$X$198,2*(ROWS($S$386:S430)-1)+1),"")</f>
        <v>0</v>
      </c>
      <c r="T430" s="52" t="str">
        <f>IFERROR(IF(NOT(ISNUMBER(INDEX('M04-S03'!$AN$16:$AN$198,2*(ROWS($R$386:R430)-1)+1))),INDEX('M04-S03'!$AK$16:$AK$198,2*(ROWS($R$386:R430)-1)+1),0),0)</f>
        <v/>
      </c>
      <c r="U430" s="23" t="str">
        <f>IFERROR(IF(NOT(ISNUMBER(INDEX('M04-S03'!$AN$16:$AN$198,2*(ROWS($R$386:R430)-1)+1))),INDEX('M04-S03'!$AX$16:$AX$198,2*(ROWS($R$386:R430)-1)+1),""),"")</f>
        <v/>
      </c>
      <c r="V430" s="113"/>
      <c r="W430" t="str">
        <f>IFERROR(IF(NOT(ISNUMBER(INDEX('M04-S03'!$AN$16:$AN$198,2*(ROWS($R$386:R430)-1)+1))),INDEX('M04-S03'!$BE$16:$BE$198,2*(ROWS($R$386:R430)-1)+1),""),"")</f>
        <v>Submit for Review</v>
      </c>
      <c r="X430" s="113"/>
      <c r="Y430" s="113"/>
      <c r="Z430" s="111">
        <f>INDEX('M04-S03'!$B$16:$B$198,2*(ROWS($Z$386:Z430)-1)+1)</f>
        <v>45</v>
      </c>
      <c r="AA430" s="112"/>
      <c r="AB430" s="111">
        <f>INDEX('M04-S03'!$F$16:$F$198,2*(ROWS($Z$386:AB430)-1)+1)</f>
        <v>0</v>
      </c>
      <c r="AC430">
        <f>INDEX('M04-S03'!$L$16:$L$198,2*(ROWS($AC$386:AC430)-1)+1)</f>
        <v>0</v>
      </c>
      <c r="AD430">
        <f>INDEX('M04-S03'!$T$16:$T$198,2*(ROWS($AD$386:AD430)-1)+1)</f>
        <v>0</v>
      </c>
      <c r="AE430" s="459"/>
      <c r="AF430" s="459"/>
      <c r="AG430" s="111">
        <f>INDEX('M04-S03'!$R$16:$R$198,2*(ROWS($AG$309:AG353)-1)+1)</f>
        <v>0</v>
      </c>
      <c r="AH430" s="111">
        <f>INDEX('M04-S03'!$Z$16:$Z$198,2*(ROWS($AH$386:AH430)-1)+1)</f>
        <v>0</v>
      </c>
      <c r="AI430" s="96"/>
      <c r="AJ430" s="96"/>
      <c r="AK430" s="52" t="str">
        <f>INDEX('M04-S03'!$AV$16:$AV$198,2*(ROWS($AK$386:AK430)-1)+1)</f>
        <v/>
      </c>
      <c r="AL430" s="184">
        <f>IF(NOT(ISNUMBER(INDEX('M04-S03'!$AN$16:$AN$198,2*(ROWS($R$386:$R430)-1)+1))),INDEX('M04-S03'!$AD$16:$AD$198,2*(ROWS($AL$386:$AL430)-1)+1),"")</f>
        <v>0</v>
      </c>
      <c r="AM430" s="184" t="str">
        <f>IF(NOT(ISNUMBER(INDEX('M04-S03'!$AN$16:$AN$198,2*(ROWS($R$386:$R430)-1)+1))),INDEX('M04-S03'!$AF$16:$AF$198,2*(ROWS($AM$386:$AM430)-1)+1),"")</f>
        <v/>
      </c>
      <c r="AN430" s="52" t="str">
        <f>IF(NOT(ISNUMBER(INDEX('M04-S03'!$AN$16:$AN$198,2*(ROWS($R$386:$R430)-1)+1))),INDEX('M04-S03'!$AH$16:$AH$198,2*(ROWS($AN$386:$AN430)-1)+1),"")</f>
        <v/>
      </c>
      <c r="AO430" s="113"/>
      <c r="AU430"/>
    </row>
    <row r="431" spans="1:47">
      <c r="A431" s="57">
        <f t="shared" si="37"/>
        <v>0</v>
      </c>
      <c r="B431" s="183" t="str">
        <f t="shared" si="42"/>
        <v/>
      </c>
      <c r="C431" s="186" t="str">
        <f>IF(OR(R431&gt;0,T431&gt;0),INDEX('M04-S03'!$BD$16:$BD$198,2*(ROWS($C$386:C431)-1)+1),"")</f>
        <v/>
      </c>
      <c r="D431" t="s">
        <v>231</v>
      </c>
      <c r="E431" s="112"/>
      <c r="F431" s="112"/>
      <c r="G431" s="96"/>
      <c r="H431" s="96"/>
      <c r="I431" s="184">
        <f>IFERROR(ROUND(IF(ISNUMBER(INDEX('M04-S03'!$AN$16:$AN$198,2*(ROWS($R$386:$R431)-1)+1)),INDEX('M04-S03'!$AD$16:$AD$198,2*(ROWS($I$386:$I431)-1)+1),""),2),0)</f>
        <v>0</v>
      </c>
      <c r="J431" s="184">
        <f>IFERROR(ROUND(IF(ISNUMBER(INDEX('M04-S03'!$AN$16:$AN$198,2*(ROWS($R$386:$R431)-1)+1)),INDEX('M04-S03'!$AF$16:$AF$198,2*(ROWS($J$386:$J431)-1)+1),""),2),0)</f>
        <v>0</v>
      </c>
      <c r="K431" s="52">
        <f>IFERROR(ROUND(IF(ISNUMBER(INDEX('M04-S03'!$AN$16:$AN$198,2*(ROWS($R$386:$R431)-1)+1)),INDEX('M04-S03'!$AH$16:$AH$198,2*(ROWS($K$386:$K431)-1)+1),""),2),0)</f>
        <v>0</v>
      </c>
      <c r="M431" s="456" t="str">
        <f>IF(ISNUMBER(INDEX('M04-S03'!$AN$16:$AN$198,2*(ROWS($R$386:R431)-1)+1)),INDEX('M04-S03'!$X$16:$X$198,2*(ROWS($M$386:M431)-1)+1),"")</f>
        <v/>
      </c>
      <c r="N431" s="184" t="str">
        <f>IFERROR(IF(ISNUMBER(INDEX('M04-S03'!$AN$16:$AN$198,2*(ROWS($R$386:R431)-1)+1)),INDEX('M04-S03'!$AK$16:$AK$198,2*(ROWS($N$386:N431)-1)+1),""),"")</f>
        <v/>
      </c>
      <c r="O431" s="456" t="str">
        <f>IFERROR(IF(ISNUMBER(INDEX('M04-S03'!$AN$16:$AN$198,2*(ROWS($R$386:R431)-1)+1)),INDEX('M04-S03'!$AX$16:$AX$198,2*(ROWS($O$386:O431)-1)+1),""),"")</f>
        <v/>
      </c>
      <c r="P431" s="113"/>
      <c r="Q431" s="113"/>
      <c r="R431" s="184">
        <f>IF(ISNUMBER(INDEX('M04-S03'!$AN$16:$AN$198,2*(ROWS($R$386:R431)-1)+1)),INDEX('M04-S03'!$AN$16:$AN$198,2*(ROWS($R$386:R431)-1)+1),0)</f>
        <v>0</v>
      </c>
      <c r="S431" s="23">
        <f>IF(NOT(ISNUMBER(INDEX('M04-S03'!$AN$16:$AN$198,2*(ROWS($R$386:R431)-1)+1))),INDEX('M04-S03'!$X$16:$X$198,2*(ROWS($S$386:S431)-1)+1),"")</f>
        <v>0</v>
      </c>
      <c r="T431" s="52" t="str">
        <f>IFERROR(IF(NOT(ISNUMBER(INDEX('M04-S03'!$AN$16:$AN$198,2*(ROWS($R$386:R431)-1)+1))),INDEX('M04-S03'!$AK$16:$AK$198,2*(ROWS($R$386:R431)-1)+1),0),0)</f>
        <v/>
      </c>
      <c r="U431" s="23" t="str">
        <f>IFERROR(IF(NOT(ISNUMBER(INDEX('M04-S03'!$AN$16:$AN$198,2*(ROWS($R$386:R431)-1)+1))),INDEX('M04-S03'!$AX$16:$AX$198,2*(ROWS($R$386:R431)-1)+1),""),"")</f>
        <v/>
      </c>
      <c r="V431" s="113"/>
      <c r="W431" t="str">
        <f>IFERROR(IF(NOT(ISNUMBER(INDEX('M04-S03'!$AN$16:$AN$198,2*(ROWS($R$386:R431)-1)+1))),INDEX('M04-S03'!$BE$16:$BE$198,2*(ROWS($R$386:R431)-1)+1),""),"")</f>
        <v>Submit for Review</v>
      </c>
      <c r="X431" s="113"/>
      <c r="Y431" s="113"/>
      <c r="Z431" s="111">
        <f>INDEX('M04-S03'!$B$16:$B$198,2*(ROWS($Z$386:Z431)-1)+1)</f>
        <v>46</v>
      </c>
      <c r="AA431" s="112"/>
      <c r="AB431" s="111">
        <f>INDEX('M04-S03'!$F$16:$F$198,2*(ROWS($Z$386:AB431)-1)+1)</f>
        <v>0</v>
      </c>
      <c r="AC431">
        <f>INDEX('M04-S03'!$L$16:$L$198,2*(ROWS($AC$386:AC431)-1)+1)</f>
        <v>0</v>
      </c>
      <c r="AD431">
        <f>INDEX('M04-S03'!$T$16:$T$198,2*(ROWS($AD$386:AD431)-1)+1)</f>
        <v>0</v>
      </c>
      <c r="AE431" s="459"/>
      <c r="AF431" s="459"/>
      <c r="AG431" s="111">
        <f>INDEX('M04-S03'!$R$16:$R$198,2*(ROWS($AG$309:AG354)-1)+1)</f>
        <v>0</v>
      </c>
      <c r="AH431" s="111">
        <f>INDEX('M04-S03'!$Z$16:$Z$198,2*(ROWS($AH$386:AH431)-1)+1)</f>
        <v>0</v>
      </c>
      <c r="AI431" s="96"/>
      <c r="AJ431" s="96"/>
      <c r="AK431" s="52" t="str">
        <f>INDEX('M04-S03'!$AV$16:$AV$198,2*(ROWS($AK$386:AK431)-1)+1)</f>
        <v/>
      </c>
      <c r="AL431" s="184">
        <f>IF(NOT(ISNUMBER(INDEX('M04-S03'!$AN$16:$AN$198,2*(ROWS($R$386:$R431)-1)+1))),INDEX('M04-S03'!$AD$16:$AD$198,2*(ROWS($AL$386:$AL431)-1)+1),"")</f>
        <v>0</v>
      </c>
      <c r="AM431" s="184" t="str">
        <f>IF(NOT(ISNUMBER(INDEX('M04-S03'!$AN$16:$AN$198,2*(ROWS($R$386:$R431)-1)+1))),INDEX('M04-S03'!$AF$16:$AF$198,2*(ROWS($AM$386:$AM431)-1)+1),"")</f>
        <v/>
      </c>
      <c r="AN431" s="52" t="str">
        <f>IF(NOT(ISNUMBER(INDEX('M04-S03'!$AN$16:$AN$198,2*(ROWS($R$386:$R431)-1)+1))),INDEX('M04-S03'!$AH$16:$AH$198,2*(ROWS($AN$386:$AN431)-1)+1),"")</f>
        <v/>
      </c>
      <c r="AO431" s="113"/>
      <c r="AU431"/>
    </row>
    <row r="432" spans="1:47">
      <c r="A432" s="57">
        <f t="shared" si="37"/>
        <v>0</v>
      </c>
      <c r="B432" s="183" t="str">
        <f t="shared" si="42"/>
        <v/>
      </c>
      <c r="C432" s="186" t="str">
        <f>IF(OR(R432&gt;0,T432&gt;0),INDEX('M04-S03'!$BD$16:$BD$198,2*(ROWS($C$386:C432)-1)+1),"")</f>
        <v/>
      </c>
      <c r="D432" t="s">
        <v>231</v>
      </c>
      <c r="E432" s="112"/>
      <c r="F432" s="112"/>
      <c r="G432" s="96"/>
      <c r="H432" s="96"/>
      <c r="I432" s="184">
        <f>IFERROR(ROUND(IF(ISNUMBER(INDEX('M04-S03'!$AN$16:$AN$198,2*(ROWS($R$386:$R432)-1)+1)),INDEX('M04-S03'!$AD$16:$AD$198,2*(ROWS($I$386:$I432)-1)+1),""),2),0)</f>
        <v>0</v>
      </c>
      <c r="J432" s="184">
        <f>IFERROR(ROUND(IF(ISNUMBER(INDEX('M04-S03'!$AN$16:$AN$198,2*(ROWS($R$386:$R432)-1)+1)),INDEX('M04-S03'!$AF$16:$AF$198,2*(ROWS($J$386:$J432)-1)+1),""),2),0)</f>
        <v>0</v>
      </c>
      <c r="K432" s="52">
        <f>IFERROR(ROUND(IF(ISNUMBER(INDEX('M04-S03'!$AN$16:$AN$198,2*(ROWS($R$386:$R432)-1)+1)),INDEX('M04-S03'!$AH$16:$AH$198,2*(ROWS($K$386:$K432)-1)+1),""),2),0)</f>
        <v>0</v>
      </c>
      <c r="M432" s="456" t="str">
        <f>IF(ISNUMBER(INDEX('M04-S03'!$AN$16:$AN$198,2*(ROWS($R$386:R432)-1)+1)),INDEX('M04-S03'!$X$16:$X$198,2*(ROWS($M$386:M432)-1)+1),"")</f>
        <v/>
      </c>
      <c r="N432" s="184" t="str">
        <f>IFERROR(IF(ISNUMBER(INDEX('M04-S03'!$AN$16:$AN$198,2*(ROWS($R$386:R432)-1)+1)),INDEX('M04-S03'!$AK$16:$AK$198,2*(ROWS($N$386:N432)-1)+1),""),"")</f>
        <v/>
      </c>
      <c r="O432" s="456" t="str">
        <f>IFERROR(IF(ISNUMBER(INDEX('M04-S03'!$AN$16:$AN$198,2*(ROWS($R$386:R432)-1)+1)),INDEX('M04-S03'!$AX$16:$AX$198,2*(ROWS($O$386:O432)-1)+1),""),"")</f>
        <v/>
      </c>
      <c r="P432" s="113"/>
      <c r="Q432" s="113"/>
      <c r="R432" s="184">
        <f>IF(ISNUMBER(INDEX('M04-S03'!$AN$16:$AN$198,2*(ROWS($R$386:R432)-1)+1)),INDEX('M04-S03'!$AN$16:$AN$198,2*(ROWS($R$386:R432)-1)+1),0)</f>
        <v>0</v>
      </c>
      <c r="S432" s="23">
        <f>IF(NOT(ISNUMBER(INDEX('M04-S03'!$AN$16:$AN$198,2*(ROWS($R$386:R432)-1)+1))),INDEX('M04-S03'!$X$16:$X$198,2*(ROWS($S$386:S432)-1)+1),"")</f>
        <v>0</v>
      </c>
      <c r="T432" s="52" t="str">
        <f>IFERROR(IF(NOT(ISNUMBER(INDEX('M04-S03'!$AN$16:$AN$198,2*(ROWS($R$386:R432)-1)+1))),INDEX('M04-S03'!$AK$16:$AK$198,2*(ROWS($R$386:R432)-1)+1),0),0)</f>
        <v/>
      </c>
      <c r="U432" s="23" t="str">
        <f>IFERROR(IF(NOT(ISNUMBER(INDEX('M04-S03'!$AN$16:$AN$198,2*(ROWS($R$386:R432)-1)+1))),INDEX('M04-S03'!$AX$16:$AX$198,2*(ROWS($R$386:R432)-1)+1),""),"")</f>
        <v/>
      </c>
      <c r="V432" s="113"/>
      <c r="W432" t="str">
        <f>IFERROR(IF(NOT(ISNUMBER(INDEX('M04-S03'!$AN$16:$AN$198,2*(ROWS($R$386:R432)-1)+1))),INDEX('M04-S03'!$BE$16:$BE$198,2*(ROWS($R$386:R432)-1)+1),""),"")</f>
        <v>Submit for Review</v>
      </c>
      <c r="X432" s="113"/>
      <c r="Y432" s="113"/>
      <c r="Z432" s="111">
        <f>INDEX('M04-S03'!$B$16:$B$198,2*(ROWS($Z$386:Z432)-1)+1)</f>
        <v>47</v>
      </c>
      <c r="AA432" s="112"/>
      <c r="AB432" s="111">
        <f>INDEX('M04-S03'!$F$16:$F$198,2*(ROWS($Z$386:AB432)-1)+1)</f>
        <v>0</v>
      </c>
      <c r="AC432">
        <f>INDEX('M04-S03'!$L$16:$L$198,2*(ROWS($AC$386:AC432)-1)+1)</f>
        <v>0</v>
      </c>
      <c r="AD432">
        <f>INDEX('M04-S03'!$T$16:$T$198,2*(ROWS($AD$386:AD432)-1)+1)</f>
        <v>0</v>
      </c>
      <c r="AE432" s="459"/>
      <c r="AF432" s="459"/>
      <c r="AG432" s="111">
        <f>INDEX('M04-S03'!$R$16:$R$198,2*(ROWS($AG$309:AG355)-1)+1)</f>
        <v>0</v>
      </c>
      <c r="AH432" s="111">
        <f>INDEX('M04-S03'!$Z$16:$Z$198,2*(ROWS($AH$386:AH432)-1)+1)</f>
        <v>0</v>
      </c>
      <c r="AI432" s="96"/>
      <c r="AJ432" s="96"/>
      <c r="AK432" s="52" t="str">
        <f>INDEX('M04-S03'!$AV$16:$AV$198,2*(ROWS($AK$386:AK432)-1)+1)</f>
        <v/>
      </c>
      <c r="AL432" s="184">
        <f>IF(NOT(ISNUMBER(INDEX('M04-S03'!$AN$16:$AN$198,2*(ROWS($R$386:$R432)-1)+1))),INDEX('M04-S03'!$AD$16:$AD$198,2*(ROWS($AL$386:$AL432)-1)+1),"")</f>
        <v>0</v>
      </c>
      <c r="AM432" s="184" t="str">
        <f>IF(NOT(ISNUMBER(INDEX('M04-S03'!$AN$16:$AN$198,2*(ROWS($R$386:$R432)-1)+1))),INDEX('M04-S03'!$AF$16:$AF$198,2*(ROWS($AM$386:$AM432)-1)+1),"")</f>
        <v/>
      </c>
      <c r="AN432" s="52" t="str">
        <f>IF(NOT(ISNUMBER(INDEX('M04-S03'!$AN$16:$AN$198,2*(ROWS($R$386:$R432)-1)+1))),INDEX('M04-S03'!$AH$16:$AH$198,2*(ROWS($AN$386:$AN432)-1)+1),"")</f>
        <v/>
      </c>
      <c r="AO432" s="113"/>
      <c r="AU432"/>
    </row>
    <row r="433" spans="1:47">
      <c r="A433" s="57">
        <f t="shared" si="37"/>
        <v>0</v>
      </c>
      <c r="B433" s="183" t="str">
        <f t="shared" si="42"/>
        <v/>
      </c>
      <c r="C433" s="186" t="str">
        <f>IF(OR(R433&gt;0,T433&gt;0),INDEX('M04-S03'!$BD$16:$BD$198,2*(ROWS($C$386:C433)-1)+1),"")</f>
        <v/>
      </c>
      <c r="D433" t="s">
        <v>231</v>
      </c>
      <c r="E433" s="112"/>
      <c r="F433" s="112"/>
      <c r="G433" s="96"/>
      <c r="H433" s="96"/>
      <c r="I433" s="184">
        <f>IFERROR(ROUND(IF(ISNUMBER(INDEX('M04-S03'!$AN$16:$AN$198,2*(ROWS($R$386:$R433)-1)+1)),INDEX('M04-S03'!$AD$16:$AD$198,2*(ROWS($I$386:$I433)-1)+1),""),2),0)</f>
        <v>0</v>
      </c>
      <c r="J433" s="184">
        <f>IFERROR(ROUND(IF(ISNUMBER(INDEX('M04-S03'!$AN$16:$AN$198,2*(ROWS($R$386:$R433)-1)+1)),INDEX('M04-S03'!$AF$16:$AF$198,2*(ROWS($J$386:$J433)-1)+1),""),2),0)</f>
        <v>0</v>
      </c>
      <c r="K433" s="52">
        <f>IFERROR(ROUND(IF(ISNUMBER(INDEX('M04-S03'!$AN$16:$AN$198,2*(ROWS($R$386:$R433)-1)+1)),INDEX('M04-S03'!$AH$16:$AH$198,2*(ROWS($K$386:$K433)-1)+1),""),2),0)</f>
        <v>0</v>
      </c>
      <c r="M433" s="456" t="str">
        <f>IF(ISNUMBER(INDEX('M04-S03'!$AN$16:$AN$198,2*(ROWS($R$386:R433)-1)+1)),INDEX('M04-S03'!$X$16:$X$198,2*(ROWS($M$386:M433)-1)+1),"")</f>
        <v/>
      </c>
      <c r="N433" s="184" t="str">
        <f>IFERROR(IF(ISNUMBER(INDEX('M04-S03'!$AN$16:$AN$198,2*(ROWS($R$386:R433)-1)+1)),INDEX('M04-S03'!$AK$16:$AK$198,2*(ROWS($N$386:N433)-1)+1),""),"")</f>
        <v/>
      </c>
      <c r="O433" s="456" t="str">
        <f>IFERROR(IF(ISNUMBER(INDEX('M04-S03'!$AN$16:$AN$198,2*(ROWS($R$386:R433)-1)+1)),INDEX('M04-S03'!$AX$16:$AX$198,2*(ROWS($O$386:O433)-1)+1),""),"")</f>
        <v/>
      </c>
      <c r="P433" s="113"/>
      <c r="Q433" s="113"/>
      <c r="R433" s="184">
        <f>IF(ISNUMBER(INDEX('M04-S03'!$AN$16:$AN$198,2*(ROWS($R$386:R433)-1)+1)),INDEX('M04-S03'!$AN$16:$AN$198,2*(ROWS($R$386:R433)-1)+1),0)</f>
        <v>0</v>
      </c>
      <c r="S433" s="23">
        <f>IF(NOT(ISNUMBER(INDEX('M04-S03'!$AN$16:$AN$198,2*(ROWS($R$386:R433)-1)+1))),INDEX('M04-S03'!$X$16:$X$198,2*(ROWS($S$386:S433)-1)+1),"")</f>
        <v>0</v>
      </c>
      <c r="T433" s="52" t="str">
        <f>IFERROR(IF(NOT(ISNUMBER(INDEX('M04-S03'!$AN$16:$AN$198,2*(ROWS($R$386:R433)-1)+1))),INDEX('M04-S03'!$AK$16:$AK$198,2*(ROWS($R$386:R433)-1)+1),0),0)</f>
        <v/>
      </c>
      <c r="U433" s="23" t="str">
        <f>IFERROR(IF(NOT(ISNUMBER(INDEX('M04-S03'!$AN$16:$AN$198,2*(ROWS($R$386:R433)-1)+1))),INDEX('M04-S03'!$AX$16:$AX$198,2*(ROWS($R$386:R433)-1)+1),""),"")</f>
        <v/>
      </c>
      <c r="V433" s="113"/>
      <c r="W433" t="str">
        <f>IFERROR(IF(NOT(ISNUMBER(INDEX('M04-S03'!$AN$16:$AN$198,2*(ROWS($R$386:R433)-1)+1))),INDEX('M04-S03'!$BE$16:$BE$198,2*(ROWS($R$386:R433)-1)+1),""),"")</f>
        <v>Submit for Review</v>
      </c>
      <c r="X433" s="113"/>
      <c r="Y433" s="113"/>
      <c r="Z433" s="111">
        <f>INDEX('M04-S03'!$B$16:$B$198,2*(ROWS($Z$386:Z433)-1)+1)</f>
        <v>48</v>
      </c>
      <c r="AA433" s="112"/>
      <c r="AB433" s="111">
        <f>INDEX('M04-S03'!$F$16:$F$198,2*(ROWS($Z$386:AB433)-1)+1)</f>
        <v>0</v>
      </c>
      <c r="AC433">
        <f>INDEX('M04-S03'!$L$16:$L$198,2*(ROWS($AC$386:AC433)-1)+1)</f>
        <v>0</v>
      </c>
      <c r="AD433">
        <f>INDEX('M04-S03'!$T$16:$T$198,2*(ROWS($AD$386:AD433)-1)+1)</f>
        <v>0</v>
      </c>
      <c r="AE433" s="459"/>
      <c r="AF433" s="459"/>
      <c r="AG433" s="111">
        <f>INDEX('M04-S03'!$R$16:$R$198,2*(ROWS($AG$309:AG356)-1)+1)</f>
        <v>0</v>
      </c>
      <c r="AH433" s="111">
        <f>INDEX('M04-S03'!$Z$16:$Z$198,2*(ROWS($AH$386:AH433)-1)+1)</f>
        <v>0</v>
      </c>
      <c r="AI433" s="96"/>
      <c r="AJ433" s="96"/>
      <c r="AK433" s="52" t="str">
        <f>INDEX('M04-S03'!$AV$16:$AV$198,2*(ROWS($AK$386:AK433)-1)+1)</f>
        <v/>
      </c>
      <c r="AL433" s="184">
        <f>IF(NOT(ISNUMBER(INDEX('M04-S03'!$AN$16:$AN$198,2*(ROWS($R$386:$R433)-1)+1))),INDEX('M04-S03'!$AD$16:$AD$198,2*(ROWS($AL$386:$AL433)-1)+1),"")</f>
        <v>0</v>
      </c>
      <c r="AM433" s="184">
        <f>IF(NOT(ISNUMBER(INDEX('M04-S03'!$AN$16:$AN$198,2*(ROWS($R$386:$R433)-1)+1))),INDEX('M04-S03'!$AF$16:$AF$198,2*(ROWS($AM$386:$AM433)-1)+1),"")</f>
        <v>0</v>
      </c>
      <c r="AN433" s="52" t="str">
        <f>IF(NOT(ISNUMBER(INDEX('M04-S03'!$AN$16:$AN$198,2*(ROWS($R$386:$R433)-1)+1))),INDEX('M04-S03'!$AH$16:$AH$198,2*(ROWS($AN$386:$AN433)-1)+1),"")</f>
        <v/>
      </c>
      <c r="AO433" s="113"/>
      <c r="AU433"/>
    </row>
    <row r="434" spans="1:47">
      <c r="A434" s="57">
        <f t="shared" si="37"/>
        <v>0</v>
      </c>
      <c r="B434" s="183" t="str">
        <f t="shared" si="42"/>
        <v/>
      </c>
      <c r="C434" s="566" t="str">
        <f>IF(OR(R434&gt;0,T434&gt;0),INDEX('M04-S03'!$BD$16:$BD$198,2*(ROWS($C$386:C434)-1)+1),"")</f>
        <v/>
      </c>
      <c r="D434" t="s">
        <v>231</v>
      </c>
      <c r="E434" s="112"/>
      <c r="F434" s="112"/>
      <c r="G434" s="96"/>
      <c r="H434" s="96"/>
      <c r="I434" s="184">
        <f>IFERROR(ROUND(IF(ISNUMBER(INDEX('M04-S03'!$AN$16:$AN$198,2*(ROWS($R$386:$R434)-1)+1)),INDEX('M04-S03'!$AD$16:$AD$198,2*(ROWS($I$386:$I434)-1)+1),""),2),0)</f>
        <v>0</v>
      </c>
      <c r="J434" s="184">
        <f>IFERROR(ROUND(IF(ISNUMBER(INDEX('M04-S03'!$AN$16:$AN$198,2*(ROWS($R$386:$R434)-1)+1)),INDEX('M04-S03'!$AF$16:$AF$198,2*(ROWS($J$386:$J434)-1)+1),""),2),0)</f>
        <v>0</v>
      </c>
      <c r="K434" s="52">
        <f>IFERROR(ROUND(IF(ISNUMBER(INDEX('M04-S03'!$AN$16:$AN$198,2*(ROWS($R$386:$R434)-1)+1)),INDEX('M04-S03'!$AH$16:$AH$198,2*(ROWS($K$386:$K434)-1)+1),""),2),0)</f>
        <v>0</v>
      </c>
      <c r="M434" s="456" t="str">
        <f>IF(ISNUMBER(INDEX('M04-S03'!$AN$16:$AN$198,2*(ROWS($R$386:R434)-1)+1)),INDEX('M04-S03'!$X$16:$X$198,2*(ROWS($M$386:M434)-1)+1),"")</f>
        <v/>
      </c>
      <c r="N434" s="184" t="str">
        <f>IFERROR(IF(ISNUMBER(INDEX('M04-S03'!$AN$16:$AN$198,2*(ROWS($R$386:R434)-1)+1)),INDEX('M04-S03'!$AK$16:$AK$198,2*(ROWS($N$386:N434)-1)+1),""),"")</f>
        <v/>
      </c>
      <c r="O434" s="456" t="str">
        <f>IFERROR(IF(ISNUMBER(INDEX('M04-S03'!$AN$16:$AN$198,2*(ROWS($R$386:R434)-1)+1)),INDEX('M04-S03'!$AX$16:$AX$198,2*(ROWS($O$386:O434)-1)+1),""),"")</f>
        <v/>
      </c>
      <c r="P434" s="113"/>
      <c r="Q434" s="113"/>
      <c r="R434" s="184">
        <f>IF(ISNUMBER(INDEX('M04-S03'!$AN$16:$AN$198,2*(ROWS($R$386:R434)-1)+1)),INDEX('M04-S03'!$AN$16:$AN$198,2*(ROWS($R$386:R434)-1)+1),0)</f>
        <v>0</v>
      </c>
      <c r="S434" s="23" t="str">
        <f>IF(NOT(ISNUMBER(INDEX('M04-S03'!$AN$16:$AN$198,2*(ROWS($R$386:R434)-1)+1))),INDEX('M04-S03'!$X$16:$X$198,2*(ROWS($S$386:S434)-1)+1),"")</f>
        <v/>
      </c>
      <c r="T434" s="52" t="str">
        <f>IFERROR(IF(NOT(ISNUMBER(INDEX('M04-S03'!$AN$16:$AN$198,2*(ROWS($R$386:R434)-1)+1))),INDEX('M04-S03'!$AK$16:$AK$198,2*(ROWS($R$386:R434)-1)+1),0),0)</f>
        <v/>
      </c>
      <c r="U434" s="23" t="str">
        <f>IFERROR(IF(NOT(ISNUMBER(INDEX('M04-S03'!$AN$16:$AN$198,2*(ROWS($R$386:R434)-1)+1))),INDEX('M04-S03'!$AX$16:$AX$198,2*(ROWS($R$386:R434)-1)+1),""),"")</f>
        <v/>
      </c>
      <c r="V434" s="113"/>
      <c r="W434" t="str">
        <f>IFERROR(IF(NOT(ISNUMBER(INDEX('M04-S03'!$AN$16:$AN$198,2*(ROWS($R$386:R434)-1)+1))),INDEX('M04-S03'!$BE$16:$BE$198,2*(ROWS($R$386:R434)-1)+1),""),"")</f>
        <v>Submit for Review</v>
      </c>
      <c r="X434" s="113"/>
      <c r="Y434" s="113"/>
      <c r="Z434" s="111">
        <f>INDEX('M04-S03'!$B$16:$B$198,2*(ROWS($Z$386:Z434)-1)+1)</f>
        <v>49</v>
      </c>
      <c r="AA434" s="112"/>
      <c r="AB434" s="111">
        <f>INDEX('M04-S03'!$F$16:$F$198,2*(ROWS($Z$386:AB434)-1)+1)</f>
        <v>0</v>
      </c>
      <c r="AC434">
        <f>INDEX('M04-S03'!$L$16:$L$198,2*(ROWS($AC$386:AC434)-1)+1)</f>
        <v>0</v>
      </c>
      <c r="AD434">
        <f>INDEX('M04-S03'!$T$16:$T$198,2*(ROWS($AD$386:AD434)-1)+1)</f>
        <v>0</v>
      </c>
      <c r="AE434" s="459"/>
      <c r="AF434" s="459"/>
      <c r="AG434" s="111">
        <f>INDEX('M04-S03'!$R$16:$R$198,2*(ROWS($AG$309:AG357)-1)+1)</f>
        <v>0</v>
      </c>
      <c r="AH434" s="111">
        <f>INDEX('M04-S03'!$Z$16:$Z$198,2*(ROWS($AH$386:AH434)-1)+1)</f>
        <v>0</v>
      </c>
      <c r="AI434" s="96"/>
      <c r="AJ434" s="96"/>
      <c r="AK434" s="52" t="str">
        <f>INDEX('M04-S03'!$AV$16:$AV$198,2*(ROWS($AK$386:AK434)-1)+1)</f>
        <v/>
      </c>
      <c r="AL434" s="184">
        <f>IF(NOT(ISNUMBER(INDEX('M04-S03'!$AN$16:$AN$198,2*(ROWS($R$386:$R434)-1)+1))),INDEX('M04-S03'!$AD$16:$AD$198,2*(ROWS($AL$386:$AL434)-1)+1),"")</f>
        <v>0</v>
      </c>
      <c r="AM434" s="184" t="str">
        <f>IF(NOT(ISNUMBER(INDEX('M04-S03'!$AN$16:$AN$198,2*(ROWS($R$386:$R434)-1)+1))),INDEX('M04-S03'!$AF$16:$AF$198,2*(ROWS($AM$386:$AM434)-1)+1),"")</f>
        <v/>
      </c>
      <c r="AN434" s="52" t="str">
        <f>IF(NOT(ISNUMBER(INDEX('M04-S03'!$AN$16:$AN$198,2*(ROWS($R$386:$R434)-1)+1))),INDEX('M04-S03'!$AH$16:$AH$198,2*(ROWS($AN$386:$AN434)-1)+1),"")</f>
        <v/>
      </c>
      <c r="AO434" s="113"/>
      <c r="AU434"/>
    </row>
    <row r="435" spans="1:47">
      <c r="A435" s="57">
        <f t="shared" si="37"/>
        <v>0</v>
      </c>
      <c r="B435" s="183" t="str">
        <f t="shared" si="42"/>
        <v/>
      </c>
      <c r="C435" s="566" t="str">
        <f>IF(OR(R435&gt;0,T435&gt;0),INDEX('M04-S03'!$BD$16:$BD$198,2*(ROWS($C$386:C435)-1)+1),"")</f>
        <v/>
      </c>
      <c r="D435" t="s">
        <v>231</v>
      </c>
      <c r="E435" s="112"/>
      <c r="F435" s="112"/>
      <c r="G435" s="96"/>
      <c r="H435" s="96"/>
      <c r="I435" s="184">
        <f>IFERROR(ROUND(IF(ISNUMBER(INDEX('M04-S03'!$AN$16:$AN$198,2*(ROWS($R$386:$R435)-1)+1)),INDEX('M04-S03'!$AD$16:$AD$198,2*(ROWS($I$386:$I435)-1)+1),""),2),0)</f>
        <v>0</v>
      </c>
      <c r="J435" s="184">
        <f>IFERROR(ROUND(IF(ISNUMBER(INDEX('M04-S03'!$AN$16:$AN$198,2*(ROWS($R$386:$R435)-1)+1)),INDEX('M04-S03'!$AF$16:$AF$198,2*(ROWS($J$386:$J435)-1)+1),""),2),0)</f>
        <v>0</v>
      </c>
      <c r="K435" s="52">
        <f>IFERROR(ROUND(IF(ISNUMBER(INDEX('M04-S03'!$AN$16:$AN$198,2*(ROWS($R$386:$R435)-1)+1)),INDEX('M04-S03'!$AH$16:$AH$198,2*(ROWS($K$386:$K435)-1)+1),""),2),0)</f>
        <v>0</v>
      </c>
      <c r="M435" s="456" t="str">
        <f>IF(ISNUMBER(INDEX('M04-S03'!$AN$16:$AN$198,2*(ROWS($R$386:R435)-1)+1)),INDEX('M04-S03'!$X$16:$X$198,2*(ROWS($M$386:M435)-1)+1),"")</f>
        <v/>
      </c>
      <c r="N435" s="184" t="str">
        <f>IFERROR(IF(ISNUMBER(INDEX('M04-S03'!$AN$16:$AN$198,2*(ROWS($R$386:R435)-1)+1)),INDEX('M04-S03'!$AK$16:$AK$198,2*(ROWS($N$386:N435)-1)+1),""),"")</f>
        <v/>
      </c>
      <c r="O435" s="456" t="str">
        <f>IFERROR(IF(ISNUMBER(INDEX('M04-S03'!$AN$16:$AN$198,2*(ROWS($R$386:R435)-1)+1)),INDEX('M04-S03'!$AX$16:$AX$198,2*(ROWS($O$386:O435)-1)+1),""),"")</f>
        <v/>
      </c>
      <c r="P435" s="113"/>
      <c r="Q435" s="113"/>
      <c r="R435" s="184">
        <f>IF(ISNUMBER(INDEX('M04-S03'!$AN$16:$AN$198,2*(ROWS($R$386:R435)-1)+1)),INDEX('M04-S03'!$AN$16:$AN$198,2*(ROWS($R$386:R435)-1)+1),0)</f>
        <v>0</v>
      </c>
      <c r="S435" s="23" t="str">
        <f>IF(NOT(ISNUMBER(INDEX('M04-S03'!$AN$16:$AN$198,2*(ROWS($R$386:R435)-1)+1))),INDEX('M04-S03'!$X$16:$X$198,2*(ROWS($S$386:S435)-1)+1),"")</f>
        <v/>
      </c>
      <c r="T435" s="52">
        <f>IFERROR(IF(NOT(ISNUMBER(INDEX('M04-S03'!$AN$16:$AN$198,2*(ROWS($R$386:R435)-1)+1))),INDEX('M04-S03'!$AK$16:$AK$198,2*(ROWS($R$386:R435)-1)+1),0),0)</f>
        <v>0</v>
      </c>
      <c r="U435" s="23" t="str">
        <f>IFERROR(IF(NOT(ISNUMBER(INDEX('M04-S03'!$AN$16:$AN$198,2*(ROWS($R$386:R435)-1)+1))),INDEX('M04-S03'!$AX$16:$AX$198,2*(ROWS($R$386:R435)-1)+1),""),"")</f>
        <v/>
      </c>
      <c r="V435" s="113"/>
      <c r="W435" t="str">
        <f>IFERROR(IF(NOT(ISNUMBER(INDEX('M04-S03'!$AN$16:$AN$198,2*(ROWS($R$386:R435)-1)+1))),INDEX('M04-S03'!$BE$16:$BE$198,2*(ROWS($R$386:R435)-1)+1),""),"")</f>
        <v/>
      </c>
      <c r="X435" s="113"/>
      <c r="Y435" s="113"/>
      <c r="Z435" s="111">
        <f>INDEX('M04-S03'!$B$16:$B$198,2*(ROWS($Z$386:Z435)-1)+1)</f>
        <v>50</v>
      </c>
      <c r="AA435" s="112"/>
      <c r="AB435" s="111">
        <f>INDEX('M04-S03'!$F$16:$F$198,2*(ROWS($Z$386:AB435)-1)+1)</f>
        <v>0</v>
      </c>
      <c r="AC435">
        <f>INDEX('M04-S03'!$L$16:$L$198,2*(ROWS($AC$386:AC435)-1)+1)</f>
        <v>0</v>
      </c>
      <c r="AD435">
        <f>INDEX('M04-S03'!$T$16:$T$198,2*(ROWS($AD$386:AD435)-1)+1)</f>
        <v>0</v>
      </c>
      <c r="AE435" s="459"/>
      <c r="AF435" s="459"/>
      <c r="AG435" s="111">
        <f>INDEX('M04-S03'!$R$16:$R$198,2*(ROWS($AG$309:AG358)-1)+1)</f>
        <v>0</v>
      </c>
      <c r="AH435" s="111">
        <f>INDEX('M04-S03'!$Z$16:$Z$198,2*(ROWS($AH$386:AH435)-1)+1)</f>
        <v>0</v>
      </c>
      <c r="AI435" s="96"/>
      <c r="AJ435" s="96"/>
      <c r="AK435" s="52" t="str">
        <f>INDEX('M04-S03'!$AV$16:$AV$198,2*(ROWS($AK$386:AK435)-1)+1)</f>
        <v/>
      </c>
      <c r="AL435" s="184" t="str">
        <f>IF(NOT(ISNUMBER(INDEX('M04-S03'!$AN$16:$AN$198,2*(ROWS($R$386:$R435)-1)+1))),INDEX('M04-S03'!$AD$16:$AD$198,2*(ROWS($AL$386:$AL435)-1)+1),"")</f>
        <v/>
      </c>
      <c r="AM435" s="184" t="str">
        <f>IF(NOT(ISNUMBER(INDEX('M04-S03'!$AN$16:$AN$198,2*(ROWS($R$386:$R435)-1)+1))),INDEX('M04-S03'!$AF$16:$AF$198,2*(ROWS($AM$386:$AM435)-1)+1),"")</f>
        <v/>
      </c>
      <c r="AN435" s="52" t="str">
        <f>IF(NOT(ISNUMBER(INDEX('M04-S03'!$AN$16:$AN$198,2*(ROWS($R$386:$R435)-1)+1))),INDEX('M04-S03'!$AH$16:$AH$198,2*(ROWS($AN$386:$AN435)-1)+1),"")</f>
        <v/>
      </c>
      <c r="AO435" s="113"/>
      <c r="AU435"/>
    </row>
    <row r="436" spans="1:47">
      <c r="A436" s="149" t="str">
        <f>CONCATENATE(MAIN4," ",M4S4)</f>
        <v>CUSTOM MEASURES INPUT Custom / RCx / New Construction
 (Gas)</v>
      </c>
      <c r="B436" s="130"/>
      <c r="C436" s="130"/>
      <c r="D436" s="130"/>
      <c r="E436" s="130"/>
      <c r="F436" s="130"/>
      <c r="G436" s="130"/>
      <c r="H436" s="130"/>
      <c r="I436" s="130"/>
      <c r="J436" s="130"/>
      <c r="K436" s="130"/>
      <c r="L436" s="130"/>
      <c r="M436" s="458"/>
      <c r="N436" s="131"/>
      <c r="O436" s="458"/>
      <c r="P436" s="131"/>
      <c r="Q436" s="131"/>
      <c r="R436" s="130"/>
      <c r="S436" s="458"/>
      <c r="T436" s="131"/>
      <c r="U436" s="458"/>
      <c r="V436" s="131"/>
      <c r="W436" s="130"/>
      <c r="X436" s="131"/>
      <c r="Y436" s="131"/>
      <c r="Z436" s="130"/>
      <c r="AA436" s="130"/>
      <c r="AB436" s="130"/>
      <c r="AC436" s="130"/>
      <c r="AD436" s="130"/>
      <c r="AE436" s="458"/>
      <c r="AF436" s="458"/>
      <c r="AG436" s="130"/>
      <c r="AH436" s="130"/>
      <c r="AI436" s="130"/>
      <c r="AJ436" s="130"/>
      <c r="AK436" s="130"/>
      <c r="AL436" s="130"/>
      <c r="AM436" s="130"/>
      <c r="AN436" s="130"/>
      <c r="AO436" s="130"/>
      <c r="AU436"/>
    </row>
    <row r="437" spans="1:47">
      <c r="A437" s="57">
        <f t="shared" ref="A437:A486" si="43">PROJID</f>
        <v>0</v>
      </c>
      <c r="B437" s="183" t="str">
        <f t="shared" ref="B437:B486" si="44">IF(C437="","",CONCATENATE(ROW(),"-",C437))</f>
        <v/>
      </c>
      <c r="C437" s="186" t="str">
        <f>IF(OR(R437&gt;0,V437&gt;0),INDEX('M04-S04'!$BC$16:$BC$198,2*(ROWS($C$437:C437)-1)+1),"")</f>
        <v/>
      </c>
      <c r="D437" t="str">
        <f>INDEX('M04-S04'!$BD$16:$BD$198,2*(ROWS($AC$437:AC437)-1)+1)</f>
        <v/>
      </c>
      <c r="E437" s="112"/>
      <c r="F437" s="112"/>
      <c r="G437" s="96"/>
      <c r="H437" s="184" t="str">
        <f>INDEX('M04-S04'!$AB$16:$AB$198,2*(ROWS($AC$437:AC437)-1)+1)</f>
        <v/>
      </c>
      <c r="I437" s="184">
        <f>IFERROR(ROUND(IF(ISNUMBER(INDEX('M04-S04'!$AN$16:$AN$198,2*(ROWS($R$437:$R437)-1)+1)),INDEX('M04-S04'!$AD$16:$AD$198,2*(ROWS($I$437:$I437)-1)+1),""),2),0)</f>
        <v>0</v>
      </c>
      <c r="J437" s="184">
        <f>IFERROR(ROUND(IF(ISNUMBER(INDEX('M04-S04'!$AN$16:$AN$198,2*(ROWS($R$437:$R437)-1)+1)),INDEX('M04-S04'!$AF$16:$AF$198,2*(ROWS($J$437:$J437)-1)+1),""),2),0)</f>
        <v>0</v>
      </c>
      <c r="K437" s="52">
        <f>IFERROR(ROUND(IF(ISNUMBER(INDEX('M04-S04'!$AN$16:$AN$198,2*(ROWS($R$437:$R437)-1)+1)),INDEX('M04-S04'!$AH$16:$AH$198,2*(ROWS($K$437:$K437)-1)+1),""),2),0)</f>
        <v>0</v>
      </c>
      <c r="L437" s="52">
        <f>IFERROR(ROUND(IF(ISNUMBER(INDEX('M04-S04'!$AN$16:$AN$198,2*(ROWS($R$437:$R437)-1)+1)),INDEX('M04-S04'!$BF$16:$BF$198,2*(ROWS($L$437:$L437)-1)+1),""),2),0)</f>
        <v>0</v>
      </c>
      <c r="M437" s="456" t="str">
        <f>IF(ISNUMBER(INDEX('M04-S04'!$AN$16:$AN$198,2*(ROWS($R$437:R437)-1)+1)),INDEX('M04-S04'!$X$16:$X$198,2*(ROWS($M$437:M437)-1)+1),"")</f>
        <v/>
      </c>
      <c r="N437" s="113"/>
      <c r="O437" s="459"/>
      <c r="P437" s="184" t="str">
        <f>IFERROR(IF(ISNUMBER(INDEX('M04-S04'!$AN$16:$AN$198,2*(ROWS($R$437:R437)-1)+1)),INDEX('M04-S04'!$AK$16:$AK$196,2*(ROWS($P$437:P437)-1)+1),""),"")</f>
        <v/>
      </c>
      <c r="Q437" s="184"/>
      <c r="R437" s="184">
        <f>IF(ISNUMBER(INDEX('M04-S04'!$AN$16:$AN$198,2*(ROWS($R$437:R437)-1)+1)),INDEX('M04-S04'!$AN$16:$AN$198,2*(ROWS($R$437:R437)-1)+1),0)</f>
        <v>0</v>
      </c>
      <c r="S437" s="23">
        <f>IF(NOT(ISNUMBER(INDEX('M04-S04'!$AN$16:$AN$198,2*(ROWS($R$437:R437)-1)+1))),INDEX('M04-S04'!$X$16:$X$198,2*(ROWS($S$437:S437)-1)+1),"")</f>
        <v>0</v>
      </c>
      <c r="T437" s="113"/>
      <c r="U437" s="459"/>
      <c r="V437" s="52" t="str">
        <f>IFERROR(IF(NOT(ISNUMBER(INDEX('M04-S04'!$AN$16:$AN$198,2*(ROWS($R$437:R437)-1)+1))),INDEX('M04-S04'!$AK$16:$AK$198,2*(ROWS($R$437:R437)-1)+1),0),0)</f>
        <v/>
      </c>
      <c r="W437" t="str">
        <f>IFERROR(IF(NOT(ISNUMBER(INDEX('M04-S04'!$AN$16:$AN$198,2*(ROWS($R$437:R437)-1)+1))),INDEX('M04-S04'!$BD$16:$BD$198,2*(ROWS($R$437:R437)-1)+1),""),"")</f>
        <v/>
      </c>
      <c r="X437" s="113"/>
      <c r="Y437" s="113"/>
      <c r="Z437" s="111">
        <f>INDEX('M04-S04'!$B$16:$B$198,2*(ROWS($Z$437:Z437)-1)+1)</f>
        <v>1</v>
      </c>
      <c r="AA437" s="112"/>
      <c r="AB437" s="111">
        <f>INDEX('M04-S04'!$F$16:$F$198,2*(ROWS($Z$437:AB437)-1)+1)</f>
        <v>0</v>
      </c>
      <c r="AC437">
        <f>INDEX('M04-S04'!$L$16:$L$198,2*(ROWS($AC$437:AC437)-1)+1)</f>
        <v>0</v>
      </c>
      <c r="AD437">
        <f>INDEX('M04-S04'!$T$16:$T$198,2*(ROWS($AD$437:AD437)-1)+1)</f>
        <v>0</v>
      </c>
      <c r="AE437" s="459"/>
      <c r="AF437" s="459"/>
      <c r="AG437" s="96"/>
      <c r="AH437" s="96"/>
      <c r="AI437" s="111">
        <f>INDEX('M04-S04'!$R$16:$R$198,2*(ROWS($AG$437:AI437)-1)+1)</f>
        <v>0</v>
      </c>
      <c r="AJ437" s="111">
        <f>INDEX('M04-S04'!$Z$16:$Z$198,2*(ROWS($AH$437:AJ437)-1)+1)</f>
        <v>0</v>
      </c>
      <c r="AK437" s="52" t="str">
        <f>INDEX('M04-S04'!$AV$16:$AV$198,2*(ROWS($AK$437:AK437)-1)+1)</f>
        <v/>
      </c>
      <c r="AL437" s="184">
        <f>IF(NOT(ISNUMBER(INDEX('M04-S04'!$AN$16:$AN$198,2*(ROWS($R$437:$R437)-1)+1))),INDEX('M04-S04'!$AD$16:$AD$198,2*(ROWS($AL$437:$AL437)-1)+1),"")</f>
        <v>0</v>
      </c>
      <c r="AM437" s="184" t="str">
        <f>IF(NOT(ISNUMBER(INDEX('M04-S04'!$AN$16:$AN$198,2*(ROWS($R$437:$R437)-1)+1))),INDEX('M04-S04'!$AF$16:$AF$198,2*(ROWS($AM$437:$AM437)-1)+1),"")</f>
        <v/>
      </c>
      <c r="AN437" s="52" t="str">
        <f>IF(NOT(ISNUMBER(INDEX('M04-S04'!$AN$16:$AN$198,2*(ROWS($R$437:$R437)-1)+1))),INDEX('M04-S04'!$AH$16:$AH$198,2*(ROWS($AN$437:$AN437)-1)+1),"")</f>
        <v/>
      </c>
      <c r="AO437" s="113"/>
      <c r="AU437"/>
    </row>
    <row r="438" spans="1:47">
      <c r="A438" s="57">
        <f t="shared" si="43"/>
        <v>0</v>
      </c>
      <c r="B438" s="183" t="str">
        <f t="shared" ref="B438:B472" si="45">IF(C438="","",CONCATENATE(ROW(),"-",C438))</f>
        <v/>
      </c>
      <c r="C438" s="186" t="str">
        <f>IF(OR(R438&gt;0,V438&gt;0),INDEX('M04-S04'!$BC$16:$BC$198,2*(ROWS($C$437:C438)-1)+1),"")</f>
        <v/>
      </c>
      <c r="D438">
        <f>INDEX('M04-S04'!$C$16:$C$198,2*(ROWS($AC$437:AC438)-1)+1)</f>
        <v>0</v>
      </c>
      <c r="E438" s="112"/>
      <c r="F438" s="112"/>
      <c r="G438" s="96"/>
      <c r="H438" s="184" t="str">
        <f>INDEX('M04-S04'!$AB$16:$AB$198,2*(ROWS($AC$437:AC438)-1)+1)</f>
        <v/>
      </c>
      <c r="I438" s="184">
        <f>IFERROR(ROUND(IF(ISNUMBER(INDEX('M04-S04'!$AN$16:$AN$198,2*(ROWS($R$437:$R438)-1)+1)),INDEX('M04-S04'!$AD$16:$AD$198,2*(ROWS($I$437:$I438)-1)+1),""),2),0)</f>
        <v>0</v>
      </c>
      <c r="J438" s="184">
        <f>IFERROR(ROUND(IF(ISNUMBER(INDEX('M04-S04'!$AN$16:$AN$198,2*(ROWS($R$437:$R438)-1)+1)),INDEX('M04-S04'!$AF$16:$AF$198,2*(ROWS($J$437:$J438)-1)+1),""),2),0)</f>
        <v>0</v>
      </c>
      <c r="K438" s="52">
        <f>IFERROR(ROUND(IF(ISNUMBER(INDEX('M04-S04'!$AN$16:$AN$198,2*(ROWS($R$437:$R438)-1)+1)),INDEX('M04-S04'!$AH$16:$AH$198,2*(ROWS($K$437:$K438)-1)+1),""),2),0)</f>
        <v>0</v>
      </c>
      <c r="L438" s="52">
        <f>IFERROR(ROUND(IF(ISNUMBER(INDEX('M04-S04'!$AN$16:$AN$198,2*(ROWS($R$437:$R438)-1)+1)),INDEX('M04-S04'!$BF$16:$BF$198,2*(ROWS($L$437:$L438)-1)+1),""),2),0)</f>
        <v>0</v>
      </c>
      <c r="M438" s="456" t="str">
        <f>IF(ISNUMBER(INDEX('M04-S04'!$AN$16:$AN$198,2*(ROWS($R$437:R438)-1)+1)),INDEX('M04-S04'!$X$16:$X$198,2*(ROWS($M$437:M438)-1)+1),"")</f>
        <v/>
      </c>
      <c r="N438" s="113"/>
      <c r="O438" s="459"/>
      <c r="P438" s="184" t="str">
        <f>IFERROR(IF(ISNUMBER(INDEX('M04-S04'!$AN$16:$AN$198,2*(ROWS($R$437:R438)-1)+1)),INDEX('M04-S04'!$AK$16:$AK$196,2*(ROWS($P$437:P438)-1)+1),""),"")</f>
        <v/>
      </c>
      <c r="Q438" s="184"/>
      <c r="R438" s="184">
        <f>IF(ISNUMBER(INDEX('M04-S04'!$AN$16:$AN$198,2*(ROWS($R$437:R438)-1)+1)),INDEX('M04-S04'!$AN$16:$AN$198,2*(ROWS($R$437:R438)-1)+1),0)</f>
        <v>0</v>
      </c>
      <c r="S438" s="23">
        <f>IF(NOT(ISNUMBER(INDEX('M04-S04'!$AN$16:$AN$198,2*(ROWS($R$437:R438)-1)+1))),INDEX('M04-S04'!$X$16:$X$198,2*(ROWS($S$437:S438)-1)+1),"")</f>
        <v>0</v>
      </c>
      <c r="T438" s="113"/>
      <c r="U438" s="459"/>
      <c r="V438" s="52" t="str">
        <f>IFERROR(IF(NOT(ISNUMBER(INDEX('M04-S04'!$AN$16:$AN$198,2*(ROWS($R$437:R438)-1)+1))),INDEX('M04-S04'!$AK$16:$AK$198,2*(ROWS($R$437:R438)-1)+1),0),0)</f>
        <v/>
      </c>
      <c r="W438">
        <f>IFERROR(IF(NOT(ISNUMBER(INDEX('M04-S04'!$AN$16:$AN$198,2*(ROWS($R$437:R438)-1)+1))),INDEX('M04-S04'!$BD$16:$BD$198,2*(ROWS($R$437:R438)-1)+1),""),"")</f>
        <v>0</v>
      </c>
      <c r="X438" s="113"/>
      <c r="Y438" s="113"/>
      <c r="Z438" s="111">
        <f>INDEX('M04-S04'!$B$16:$B$198,2*(ROWS($Z$437:Z438)-1)+1)</f>
        <v>2</v>
      </c>
      <c r="AA438" s="112"/>
      <c r="AB438" s="111">
        <f>INDEX('M04-S04'!$F$16:$F$198,2*(ROWS($Z$437:AB438)-1)+1)</f>
        <v>0</v>
      </c>
      <c r="AC438">
        <f>INDEX('M04-S04'!$L$16:$L$198,2*(ROWS($AC$437:AC438)-1)+1)</f>
        <v>0</v>
      </c>
      <c r="AD438">
        <f>INDEX('M04-S04'!$T$16:$T$198,2*(ROWS($AD$437:AD438)-1)+1)</f>
        <v>0</v>
      </c>
      <c r="AE438" s="459"/>
      <c r="AF438" s="459"/>
      <c r="AG438" s="96"/>
      <c r="AH438" s="96"/>
      <c r="AI438" s="111">
        <f>INDEX('M04-S04'!$R$16:$R$198,2*(ROWS($AG$437:AI438)-1)+1)</f>
        <v>0</v>
      </c>
      <c r="AJ438" s="111">
        <f>INDEX('M04-S04'!$Z$16:$Z$198,2*(ROWS($AH$437:AJ438)-1)+1)</f>
        <v>0</v>
      </c>
      <c r="AK438" s="52" t="str">
        <f>INDEX('M04-S04'!$AV$16:$AV$198,2*(ROWS($AK$437:AK438)-1)+1)</f>
        <v/>
      </c>
      <c r="AL438" s="184">
        <f>IF(NOT(ISNUMBER(INDEX('M04-S04'!$AN$16:$AN$198,2*(ROWS($R$437:$R438)-1)+1))),INDEX('M04-S04'!$AD$16:$AD$198,2*(ROWS($AL$437:$AL438)-1)+1),"")</f>
        <v>0</v>
      </c>
      <c r="AM438" s="184" t="str">
        <f>IF(NOT(ISNUMBER(INDEX('M04-S04'!$AN$16:$AN$198,2*(ROWS($R$437:$R438)-1)+1))),INDEX('M04-S04'!$AF$16:$AF$198,2*(ROWS($AM$437:$AM438)-1)+1),"")</f>
        <v/>
      </c>
      <c r="AN438" s="52" t="str">
        <f>IF(NOT(ISNUMBER(INDEX('M04-S04'!$AN$16:$AN$198,2*(ROWS($R$437:$R438)-1)+1))),INDEX('M04-S04'!$AH$16:$AH$198,2*(ROWS($AN$437:$AN438)-1)+1),"")</f>
        <v/>
      </c>
      <c r="AO438" s="113"/>
      <c r="AU438"/>
    </row>
    <row r="439" spans="1:47">
      <c r="A439" s="57">
        <f t="shared" si="43"/>
        <v>0</v>
      </c>
      <c r="B439" s="183" t="str">
        <f t="shared" si="45"/>
        <v/>
      </c>
      <c r="C439" s="186" t="str">
        <f>IF(OR(R439&gt;0,V439&gt;0),INDEX('M04-S04'!$BC$16:$BC$198,2*(ROWS($C$437:C439)-1)+1),"")</f>
        <v/>
      </c>
      <c r="D439">
        <f>INDEX('M04-S04'!$C$16:$C$198,2*(ROWS($AC$437:AC439)-1)+1)</f>
        <v>0</v>
      </c>
      <c r="E439" s="112"/>
      <c r="F439" s="112"/>
      <c r="G439" s="96"/>
      <c r="H439" s="184" t="str">
        <f>INDEX('M04-S04'!$AB$16:$AB$198,2*(ROWS($AC$437:AC439)-1)+1)</f>
        <v/>
      </c>
      <c r="I439" s="184">
        <f>IFERROR(ROUND(IF(ISNUMBER(INDEX('M04-S04'!$AN$16:$AN$198,2*(ROWS($R$437:$R439)-1)+1)),INDEX('M04-S04'!$AD$16:$AD$198,2*(ROWS($I$437:$I439)-1)+1),""),2),0)</f>
        <v>0</v>
      </c>
      <c r="J439" s="184">
        <f>IFERROR(ROUND(IF(ISNUMBER(INDEX('M04-S04'!$AN$16:$AN$198,2*(ROWS($R$437:$R439)-1)+1)),INDEX('M04-S04'!$AF$16:$AF$198,2*(ROWS($J$437:$J439)-1)+1),""),2),0)</f>
        <v>0</v>
      </c>
      <c r="K439" s="52">
        <f>IFERROR(ROUND(IF(ISNUMBER(INDEX('M04-S04'!$AN$16:$AN$198,2*(ROWS($R$437:$R439)-1)+1)),INDEX('M04-S04'!$AH$16:$AH$198,2*(ROWS($K$437:$K439)-1)+1),""),2),0)</f>
        <v>0</v>
      </c>
      <c r="L439" s="52">
        <f>IFERROR(ROUND(IF(ISNUMBER(INDEX('M04-S04'!$AN$16:$AN$198,2*(ROWS($R$437:$R439)-1)+1)),INDEX('M04-S04'!$BF$16:$BF$198,2*(ROWS($L$437:$L439)-1)+1),""),2),0)</f>
        <v>0</v>
      </c>
      <c r="M439" s="456" t="str">
        <f>IF(ISNUMBER(INDEX('M04-S04'!$AN$16:$AN$198,2*(ROWS($R$437:R439)-1)+1)),INDEX('M04-S04'!$X$16:$X$198,2*(ROWS($M$437:M439)-1)+1),"")</f>
        <v/>
      </c>
      <c r="N439" s="113"/>
      <c r="O439" s="459"/>
      <c r="P439" s="184" t="str">
        <f>IFERROR(IF(ISNUMBER(INDEX('M04-S04'!$AN$16:$AN$198,2*(ROWS($R$437:R439)-1)+1)),INDEX('M04-S04'!$AK$16:$AK$196,2*(ROWS($P$437:P439)-1)+1),""),"")</f>
        <v/>
      </c>
      <c r="Q439" s="184"/>
      <c r="R439" s="184">
        <f>IF(ISNUMBER(INDEX('M04-S04'!$AN$16:$AN$198,2*(ROWS($R$437:R439)-1)+1)),INDEX('M04-S04'!$AN$16:$AN$198,2*(ROWS($R$437:R439)-1)+1),0)</f>
        <v>0</v>
      </c>
      <c r="S439" s="23">
        <f>IF(NOT(ISNUMBER(INDEX('M04-S04'!$AN$16:$AN$198,2*(ROWS($R$437:R439)-1)+1))),INDEX('M04-S04'!$X$16:$X$198,2*(ROWS($S$437:S439)-1)+1),"")</f>
        <v>0</v>
      </c>
      <c r="T439" s="113"/>
      <c r="U439" s="459"/>
      <c r="V439" s="52" t="str">
        <f>IFERROR(IF(NOT(ISNUMBER(INDEX('M04-S04'!$AN$16:$AN$198,2*(ROWS($R$437:R439)-1)+1))),INDEX('M04-S04'!$AK$16:$AK$198,2*(ROWS($R$437:R439)-1)+1),0),0)</f>
        <v/>
      </c>
      <c r="W439">
        <f>IFERROR(IF(NOT(ISNUMBER(INDEX('M04-S04'!$AN$16:$AN$198,2*(ROWS($R$437:R439)-1)+1))),INDEX('M04-S04'!$BD$16:$BD$198,2*(ROWS($R$437:R439)-1)+1),""),"")</f>
        <v>0</v>
      </c>
      <c r="X439" s="113"/>
      <c r="Y439" s="113"/>
      <c r="Z439" s="111">
        <f>INDEX('M04-S04'!$B$16:$B$198,2*(ROWS($Z$437:Z439)-1)+1)</f>
        <v>3</v>
      </c>
      <c r="AA439" s="112"/>
      <c r="AB439" s="111">
        <f>INDEX('M04-S04'!$F$16:$F$198,2*(ROWS($Z$437:AB439)-1)+1)</f>
        <v>0</v>
      </c>
      <c r="AC439">
        <f>INDEX('M04-S04'!$L$16:$L$198,2*(ROWS($AC$437:AC439)-1)+1)</f>
        <v>0</v>
      </c>
      <c r="AD439">
        <f>INDEX('M04-S04'!$T$16:$T$198,2*(ROWS($AD$437:AD439)-1)+1)</f>
        <v>0</v>
      </c>
      <c r="AE439" s="459"/>
      <c r="AF439" s="459"/>
      <c r="AG439" s="96"/>
      <c r="AH439" s="96"/>
      <c r="AI439" s="111">
        <f>INDEX('M04-S04'!$R$16:$R$198,2*(ROWS($AG$437:AI439)-1)+1)</f>
        <v>0</v>
      </c>
      <c r="AJ439" s="111">
        <f>INDEX('M04-S04'!$Z$16:$Z$198,2*(ROWS($AH$437:AJ439)-1)+1)</f>
        <v>0</v>
      </c>
      <c r="AK439" s="52" t="str">
        <f>INDEX('M04-S04'!$AV$16:$AV$198,2*(ROWS($AK$437:AK439)-1)+1)</f>
        <v/>
      </c>
      <c r="AL439" s="184">
        <f>IF(NOT(ISNUMBER(INDEX('M04-S04'!$AN$16:$AN$198,2*(ROWS($R$437:$R439)-1)+1))),INDEX('M04-S04'!$AD$16:$AD$198,2*(ROWS($AL$437:$AL439)-1)+1),"")</f>
        <v>0</v>
      </c>
      <c r="AM439" s="184" t="str">
        <f>IF(NOT(ISNUMBER(INDEX('M04-S04'!$AN$16:$AN$198,2*(ROWS($R$437:$R439)-1)+1))),INDEX('M04-S04'!$AF$16:$AF$198,2*(ROWS($AM$437:$AM439)-1)+1),"")</f>
        <v/>
      </c>
      <c r="AN439" s="52" t="str">
        <f>IF(NOT(ISNUMBER(INDEX('M04-S04'!$AN$16:$AN$198,2*(ROWS($R$437:$R439)-1)+1))),INDEX('M04-S04'!$AH$16:$AH$198,2*(ROWS($AN$437:$AN439)-1)+1),"")</f>
        <v/>
      </c>
      <c r="AO439" s="113"/>
      <c r="AU439"/>
    </row>
    <row r="440" spans="1:47">
      <c r="A440" s="57">
        <f t="shared" si="43"/>
        <v>0</v>
      </c>
      <c r="B440" s="183" t="str">
        <f t="shared" si="45"/>
        <v/>
      </c>
      <c r="C440" s="186" t="str">
        <f>IF(OR(R440&gt;0,V440&gt;0),INDEX('M04-S04'!$BC$16:$BC$198,2*(ROWS($C$437:C440)-1)+1),"")</f>
        <v/>
      </c>
      <c r="D440">
        <f>INDEX('M04-S04'!$C$16:$C$198,2*(ROWS($AC$437:AC440)-1)+1)</f>
        <v>0</v>
      </c>
      <c r="E440" s="112"/>
      <c r="F440" s="112"/>
      <c r="G440" s="96"/>
      <c r="H440" s="184" t="str">
        <f>INDEX('M04-S04'!$AB$16:$AB$198,2*(ROWS($AC$437:AC440)-1)+1)</f>
        <v/>
      </c>
      <c r="I440" s="184">
        <f>IFERROR(ROUND(IF(ISNUMBER(INDEX('M04-S04'!$AN$16:$AN$198,2*(ROWS($R$437:$R440)-1)+1)),INDEX('M04-S04'!$AD$16:$AD$198,2*(ROWS($I$437:$I440)-1)+1),""),2),0)</f>
        <v>0</v>
      </c>
      <c r="J440" s="184">
        <f>IFERROR(ROUND(IF(ISNUMBER(INDEX('M04-S04'!$AN$16:$AN$198,2*(ROWS($R$437:$R440)-1)+1)),INDEX('M04-S04'!$AF$16:$AF$198,2*(ROWS($J$437:$J440)-1)+1),""),2),0)</f>
        <v>0</v>
      </c>
      <c r="K440" s="52">
        <f>IFERROR(ROUND(IF(ISNUMBER(INDEX('M04-S04'!$AN$16:$AN$198,2*(ROWS($R$437:$R440)-1)+1)),INDEX('M04-S04'!$AH$16:$AH$198,2*(ROWS($K$437:$K440)-1)+1),""),2),0)</f>
        <v>0</v>
      </c>
      <c r="L440" s="52">
        <f>IFERROR(ROUND(IF(ISNUMBER(INDEX('M04-S04'!$AN$16:$AN$198,2*(ROWS($R$437:$R440)-1)+1)),INDEX('M04-S04'!$BF$16:$BF$198,2*(ROWS($L$437:$L440)-1)+1),""),2),0)</f>
        <v>0</v>
      </c>
      <c r="M440" s="456" t="str">
        <f>IF(ISNUMBER(INDEX('M04-S04'!$AN$16:$AN$198,2*(ROWS($R$437:R440)-1)+1)),INDEX('M04-S04'!$X$16:$X$198,2*(ROWS($M$437:M440)-1)+1),"")</f>
        <v/>
      </c>
      <c r="N440" s="113"/>
      <c r="O440" s="459"/>
      <c r="P440" s="184" t="str">
        <f>IFERROR(IF(ISNUMBER(INDEX('M04-S04'!$AN$16:$AN$198,2*(ROWS($R$437:R440)-1)+1)),INDEX('M04-S04'!$AK$16:$AK$196,2*(ROWS($P$437:P440)-1)+1),""),"")</f>
        <v/>
      </c>
      <c r="Q440" s="184"/>
      <c r="R440" s="184">
        <f>IF(ISNUMBER(INDEX('M04-S04'!$AN$16:$AN$198,2*(ROWS($R$437:R440)-1)+1)),INDEX('M04-S04'!$AN$16:$AN$198,2*(ROWS($R$437:R440)-1)+1),0)</f>
        <v>0</v>
      </c>
      <c r="S440" s="23">
        <f>IF(NOT(ISNUMBER(INDEX('M04-S04'!$AN$16:$AN$198,2*(ROWS($R$437:R440)-1)+1))),INDEX('M04-S04'!$X$16:$X$198,2*(ROWS($S$437:S440)-1)+1),"")</f>
        <v>0</v>
      </c>
      <c r="T440" s="113"/>
      <c r="U440" s="459"/>
      <c r="V440" s="52" t="str">
        <f>IFERROR(IF(NOT(ISNUMBER(INDEX('M04-S04'!$AN$16:$AN$198,2*(ROWS($R$437:R440)-1)+1))),INDEX('M04-S04'!$AK$16:$AK$198,2*(ROWS($R$437:R440)-1)+1),0),0)</f>
        <v/>
      </c>
      <c r="W440">
        <f>IFERROR(IF(NOT(ISNUMBER(INDEX('M04-S04'!$AN$16:$AN$198,2*(ROWS($R$437:R440)-1)+1))),INDEX('M04-S04'!$BD$16:$BD$198,2*(ROWS($R$437:R440)-1)+1),""),"")</f>
        <v>0</v>
      </c>
      <c r="X440" s="113"/>
      <c r="Y440" s="113"/>
      <c r="Z440" s="111">
        <f>INDEX('M04-S04'!$B$16:$B$198,2*(ROWS($Z$437:Z440)-1)+1)</f>
        <v>4</v>
      </c>
      <c r="AA440" s="112"/>
      <c r="AB440" s="111">
        <f>INDEX('M04-S04'!$F$16:$F$198,2*(ROWS($Z$437:AB440)-1)+1)</f>
        <v>0</v>
      </c>
      <c r="AC440">
        <f>INDEX('M04-S04'!$L$16:$L$198,2*(ROWS($AC$437:AC440)-1)+1)</f>
        <v>0</v>
      </c>
      <c r="AD440">
        <f>INDEX('M04-S04'!$T$16:$T$198,2*(ROWS($AD$437:AD440)-1)+1)</f>
        <v>0</v>
      </c>
      <c r="AE440" s="459"/>
      <c r="AF440" s="459"/>
      <c r="AG440" s="96"/>
      <c r="AH440" s="96"/>
      <c r="AI440" s="111">
        <f>INDEX('M04-S04'!$R$16:$R$198,2*(ROWS($AG$437:AI440)-1)+1)</f>
        <v>0</v>
      </c>
      <c r="AJ440" s="111">
        <f>INDEX('M04-S04'!$Z$16:$Z$198,2*(ROWS($AH$437:AJ440)-1)+1)</f>
        <v>0</v>
      </c>
      <c r="AK440" s="52" t="str">
        <f>INDEX('M04-S04'!$AV$16:$AV$198,2*(ROWS($AK$437:AK440)-1)+1)</f>
        <v/>
      </c>
      <c r="AL440" s="184">
        <f>IF(NOT(ISNUMBER(INDEX('M04-S04'!$AN$16:$AN$198,2*(ROWS($R$437:$R440)-1)+1))),INDEX('M04-S04'!$AD$16:$AD$198,2*(ROWS($AL$437:$AL440)-1)+1),"")</f>
        <v>0</v>
      </c>
      <c r="AM440" s="184" t="str">
        <f>IF(NOT(ISNUMBER(INDEX('M04-S04'!$AN$16:$AN$198,2*(ROWS($R$437:$R440)-1)+1))),INDEX('M04-S04'!$AF$16:$AF$198,2*(ROWS($AM$437:$AM440)-1)+1),"")</f>
        <v/>
      </c>
      <c r="AN440" s="52" t="str">
        <f>IF(NOT(ISNUMBER(INDEX('M04-S04'!$AN$16:$AN$198,2*(ROWS($R$437:$R440)-1)+1))),INDEX('M04-S04'!$AH$16:$AH$198,2*(ROWS($AN$437:$AN440)-1)+1),"")</f>
        <v/>
      </c>
      <c r="AO440" s="113"/>
      <c r="AU440"/>
    </row>
    <row r="441" spans="1:47">
      <c r="A441" s="57">
        <f t="shared" si="43"/>
        <v>0</v>
      </c>
      <c r="B441" s="183" t="str">
        <f t="shared" si="45"/>
        <v/>
      </c>
      <c r="C441" s="186" t="str">
        <f>IF(OR(R441&gt;0,V441&gt;0),INDEX('M04-S04'!$BC$16:$BC$198,2*(ROWS($C$437:C441)-1)+1),"")</f>
        <v/>
      </c>
      <c r="D441">
        <f>INDEX('M04-S04'!$C$16:$C$198,2*(ROWS($AC$437:AC441)-1)+1)</f>
        <v>0</v>
      </c>
      <c r="E441" s="112"/>
      <c r="F441" s="112"/>
      <c r="G441" s="96"/>
      <c r="H441" s="184" t="str">
        <f>INDEX('M04-S04'!$AB$16:$AB$198,2*(ROWS($AC$437:AC441)-1)+1)</f>
        <v/>
      </c>
      <c r="I441" s="184">
        <f>IFERROR(ROUND(IF(ISNUMBER(INDEX('M04-S04'!$AN$16:$AN$198,2*(ROWS($R$437:$R441)-1)+1)),INDEX('M04-S04'!$AD$16:$AD$198,2*(ROWS($I$437:$I441)-1)+1),""),2),0)</f>
        <v>0</v>
      </c>
      <c r="J441" s="184">
        <f>IFERROR(ROUND(IF(ISNUMBER(INDEX('M04-S04'!$AN$16:$AN$198,2*(ROWS($R$437:$R441)-1)+1)),INDEX('M04-S04'!$AF$16:$AF$198,2*(ROWS($J$437:$J441)-1)+1),""),2),0)</f>
        <v>0</v>
      </c>
      <c r="K441" s="52">
        <f>IFERROR(ROUND(IF(ISNUMBER(INDEX('M04-S04'!$AN$16:$AN$198,2*(ROWS($R$437:$R441)-1)+1)),INDEX('M04-S04'!$AH$16:$AH$198,2*(ROWS($K$437:$K441)-1)+1),""),2),0)</f>
        <v>0</v>
      </c>
      <c r="L441" s="52">
        <f>IFERROR(ROUND(IF(ISNUMBER(INDEX('M04-S04'!$AN$16:$AN$198,2*(ROWS($R$437:$R441)-1)+1)),INDEX('M04-S04'!$BF$16:$BF$198,2*(ROWS($L$437:$L441)-1)+1),""),2),0)</f>
        <v>0</v>
      </c>
      <c r="M441" s="456" t="str">
        <f>IF(ISNUMBER(INDEX('M04-S04'!$AN$16:$AN$198,2*(ROWS($R$437:R441)-1)+1)),INDEX('M04-S04'!$X$16:$X$198,2*(ROWS($M$437:M441)-1)+1),"")</f>
        <v/>
      </c>
      <c r="N441" s="113"/>
      <c r="O441" s="459"/>
      <c r="P441" s="184" t="str">
        <f>IFERROR(IF(ISNUMBER(INDEX('M04-S04'!$AN$16:$AN$198,2*(ROWS($R$437:R441)-1)+1)),INDEX('M04-S04'!$AK$16:$AK$196,2*(ROWS($P$437:P441)-1)+1),""),"")</f>
        <v/>
      </c>
      <c r="Q441" s="184"/>
      <c r="R441" s="184">
        <f>IF(ISNUMBER(INDEX('M04-S04'!$AN$16:$AN$198,2*(ROWS($R$437:R441)-1)+1)),INDEX('M04-S04'!$AN$16:$AN$198,2*(ROWS($R$437:R441)-1)+1),0)</f>
        <v>0</v>
      </c>
      <c r="S441" s="23">
        <f>IF(NOT(ISNUMBER(INDEX('M04-S04'!$AN$16:$AN$198,2*(ROWS($R$437:R441)-1)+1))),INDEX('M04-S04'!$X$16:$X$198,2*(ROWS($S$437:S441)-1)+1),"")</f>
        <v>0</v>
      </c>
      <c r="T441" s="113"/>
      <c r="U441" s="459"/>
      <c r="V441" s="52" t="str">
        <f>IFERROR(IF(NOT(ISNUMBER(INDEX('M04-S04'!$AN$16:$AN$198,2*(ROWS($R$437:R441)-1)+1))),INDEX('M04-S04'!$AK$16:$AK$198,2*(ROWS($R$437:R441)-1)+1),0),0)</f>
        <v/>
      </c>
      <c r="W441">
        <f>IFERROR(IF(NOT(ISNUMBER(INDEX('M04-S04'!$AN$16:$AN$198,2*(ROWS($R$437:R441)-1)+1))),INDEX('M04-S04'!$BD$16:$BD$198,2*(ROWS($R$437:R441)-1)+1),""),"")</f>
        <v>0</v>
      </c>
      <c r="X441" s="113"/>
      <c r="Y441" s="113"/>
      <c r="Z441" s="111">
        <f>INDEX('M04-S04'!$B$16:$B$198,2*(ROWS($Z$437:Z441)-1)+1)</f>
        <v>5</v>
      </c>
      <c r="AA441" s="112"/>
      <c r="AB441" s="111">
        <f>INDEX('M04-S04'!$F$16:$F$198,2*(ROWS($Z$437:AB441)-1)+1)</f>
        <v>0</v>
      </c>
      <c r="AC441">
        <f>INDEX('M04-S04'!$L$16:$L$198,2*(ROWS($AC$437:AC441)-1)+1)</f>
        <v>0</v>
      </c>
      <c r="AD441">
        <f>INDEX('M04-S04'!$T$16:$T$198,2*(ROWS($AD$437:AD441)-1)+1)</f>
        <v>0</v>
      </c>
      <c r="AE441" s="459"/>
      <c r="AF441" s="459"/>
      <c r="AG441" s="96"/>
      <c r="AH441" s="96"/>
      <c r="AI441" s="111">
        <f>INDEX('M04-S04'!$R$16:$R$198,2*(ROWS($AG$437:AI441)-1)+1)</f>
        <v>0</v>
      </c>
      <c r="AJ441" s="111">
        <f>INDEX('M04-S04'!$Z$16:$Z$198,2*(ROWS($AH$437:AJ441)-1)+1)</f>
        <v>0</v>
      </c>
      <c r="AK441" s="52" t="str">
        <f>INDEX('M04-S04'!$AV$16:$AV$198,2*(ROWS($AK$437:AK441)-1)+1)</f>
        <v/>
      </c>
      <c r="AL441" s="184">
        <f>IF(NOT(ISNUMBER(INDEX('M04-S04'!$AN$16:$AN$198,2*(ROWS($R$437:$R441)-1)+1))),INDEX('M04-S04'!$AD$16:$AD$198,2*(ROWS($AL$437:$AL441)-1)+1),"")</f>
        <v>0</v>
      </c>
      <c r="AM441" s="184" t="str">
        <f>IF(NOT(ISNUMBER(INDEX('M04-S04'!$AN$16:$AN$198,2*(ROWS($R$437:$R441)-1)+1))),INDEX('M04-S04'!$AF$16:$AF$198,2*(ROWS($AM$437:$AM441)-1)+1),"")</f>
        <v/>
      </c>
      <c r="AN441" s="52" t="str">
        <f>IF(NOT(ISNUMBER(INDEX('M04-S04'!$AN$16:$AN$198,2*(ROWS($R$437:$R441)-1)+1))),INDEX('M04-S04'!$AH$16:$AH$198,2*(ROWS($AN$437:$AN441)-1)+1),"")</f>
        <v/>
      </c>
      <c r="AO441" s="113"/>
      <c r="AU441"/>
    </row>
    <row r="442" spans="1:47">
      <c r="A442" s="57">
        <f t="shared" si="43"/>
        <v>0</v>
      </c>
      <c r="B442" s="183" t="str">
        <f t="shared" si="45"/>
        <v/>
      </c>
      <c r="C442" s="186" t="str">
        <f>IF(OR(R442&gt;0,V442&gt;0),INDEX('M04-S04'!$BC$16:$BC$198,2*(ROWS($C$437:C442)-1)+1),"")</f>
        <v/>
      </c>
      <c r="D442">
        <f>INDEX('M04-S04'!$C$16:$C$198,2*(ROWS($AC$437:AC442)-1)+1)</f>
        <v>0</v>
      </c>
      <c r="E442" s="112"/>
      <c r="F442" s="112"/>
      <c r="G442" s="96"/>
      <c r="H442" s="184" t="str">
        <f>INDEX('M04-S04'!$AB$16:$AB$198,2*(ROWS($AC$437:AC442)-1)+1)</f>
        <v/>
      </c>
      <c r="I442" s="184">
        <f>IFERROR(ROUND(IF(ISNUMBER(INDEX('M04-S04'!$AN$16:$AN$198,2*(ROWS($R$437:$R442)-1)+1)),INDEX('M04-S04'!$AD$16:$AD$198,2*(ROWS($I$437:$I442)-1)+1),""),2),0)</f>
        <v>0</v>
      </c>
      <c r="J442" s="184">
        <f>IFERROR(ROUND(IF(ISNUMBER(INDEX('M04-S04'!$AN$16:$AN$198,2*(ROWS($R$437:$R442)-1)+1)),INDEX('M04-S04'!$AF$16:$AF$198,2*(ROWS($J$437:$J442)-1)+1),""),2),0)</f>
        <v>0</v>
      </c>
      <c r="K442" s="52">
        <f>IFERROR(ROUND(IF(ISNUMBER(INDEX('M04-S04'!$AN$16:$AN$198,2*(ROWS($R$437:$R442)-1)+1)),INDEX('M04-S04'!$AH$16:$AH$198,2*(ROWS($K$437:$K442)-1)+1),""),2),0)</f>
        <v>0</v>
      </c>
      <c r="L442" s="52">
        <f>IFERROR(ROUND(IF(ISNUMBER(INDEX('M04-S04'!$AN$16:$AN$198,2*(ROWS($R$437:$R442)-1)+1)),INDEX('M04-S04'!$BF$16:$BF$198,2*(ROWS($L$437:$L442)-1)+1),""),2),0)</f>
        <v>0</v>
      </c>
      <c r="M442" s="456" t="str">
        <f>IF(ISNUMBER(INDEX('M04-S04'!$AN$16:$AN$198,2*(ROWS($R$437:R442)-1)+1)),INDEX('M04-S04'!$X$16:$X$198,2*(ROWS($M$437:M442)-1)+1),"")</f>
        <v/>
      </c>
      <c r="N442" s="113"/>
      <c r="O442" s="459"/>
      <c r="P442" s="184" t="str">
        <f>IFERROR(IF(ISNUMBER(INDEX('M04-S04'!$AN$16:$AN$198,2*(ROWS($R$437:R442)-1)+1)),INDEX('M04-S04'!$AK$16:$AK$196,2*(ROWS($P$437:P442)-1)+1),""),"")</f>
        <v/>
      </c>
      <c r="Q442" s="184"/>
      <c r="R442" s="184">
        <f>IF(ISNUMBER(INDEX('M04-S04'!$AN$16:$AN$198,2*(ROWS($R$437:R442)-1)+1)),INDEX('M04-S04'!$AN$16:$AN$198,2*(ROWS($R$437:R442)-1)+1),0)</f>
        <v>0</v>
      </c>
      <c r="S442" s="23">
        <f>IF(NOT(ISNUMBER(INDEX('M04-S04'!$AN$16:$AN$198,2*(ROWS($R$437:R442)-1)+1))),INDEX('M04-S04'!$X$16:$X$198,2*(ROWS($S$437:S442)-1)+1),"")</f>
        <v>0</v>
      </c>
      <c r="T442" s="113"/>
      <c r="U442" s="459"/>
      <c r="V442" s="52" t="str">
        <f>IFERROR(IF(NOT(ISNUMBER(INDEX('M04-S04'!$AN$16:$AN$198,2*(ROWS($R$437:R442)-1)+1))),INDEX('M04-S04'!$AK$16:$AK$198,2*(ROWS($R$437:R442)-1)+1),0),0)</f>
        <v/>
      </c>
      <c r="W442">
        <f>IFERROR(IF(NOT(ISNUMBER(INDEX('M04-S04'!$AN$16:$AN$198,2*(ROWS($R$437:R442)-1)+1))),INDEX('M04-S04'!$BD$16:$BD$198,2*(ROWS($R$437:R442)-1)+1),""),"")</f>
        <v>0</v>
      </c>
      <c r="X442" s="113"/>
      <c r="Y442" s="113"/>
      <c r="Z442" s="111">
        <f>INDEX('M04-S04'!$B$16:$B$198,2*(ROWS($Z$437:Z442)-1)+1)</f>
        <v>6</v>
      </c>
      <c r="AA442" s="112"/>
      <c r="AB442" s="111">
        <f>INDEX('M04-S04'!$F$16:$F$198,2*(ROWS($Z$437:AB442)-1)+1)</f>
        <v>0</v>
      </c>
      <c r="AC442">
        <f>INDEX('M04-S04'!$L$16:$L$198,2*(ROWS($AC$437:AC442)-1)+1)</f>
        <v>0</v>
      </c>
      <c r="AD442">
        <f>INDEX('M04-S04'!$T$16:$T$198,2*(ROWS($AD$437:AD442)-1)+1)</f>
        <v>0</v>
      </c>
      <c r="AE442" s="459"/>
      <c r="AF442" s="459"/>
      <c r="AG442" s="96"/>
      <c r="AH442" s="96"/>
      <c r="AI442" s="111">
        <f>INDEX('M04-S04'!$R$16:$R$198,2*(ROWS($AG$437:AI442)-1)+1)</f>
        <v>0</v>
      </c>
      <c r="AJ442" s="111">
        <f>INDEX('M04-S04'!$Z$16:$Z$198,2*(ROWS($AH$437:AJ442)-1)+1)</f>
        <v>0</v>
      </c>
      <c r="AK442" s="52" t="str">
        <f>INDEX('M04-S04'!$AV$16:$AV$198,2*(ROWS($AK$437:AK442)-1)+1)</f>
        <v/>
      </c>
      <c r="AL442" s="184">
        <f>IF(NOT(ISNUMBER(INDEX('M04-S04'!$AN$16:$AN$198,2*(ROWS($R$437:$R442)-1)+1))),INDEX('M04-S04'!$AD$16:$AD$198,2*(ROWS($AL$437:$AL442)-1)+1),"")</f>
        <v>0</v>
      </c>
      <c r="AM442" s="184" t="str">
        <f>IF(NOT(ISNUMBER(INDEX('M04-S04'!$AN$16:$AN$198,2*(ROWS($R$437:$R442)-1)+1))),INDEX('M04-S04'!$AF$16:$AF$198,2*(ROWS($AM$437:$AM442)-1)+1),"")</f>
        <v/>
      </c>
      <c r="AN442" s="52" t="str">
        <f>IF(NOT(ISNUMBER(INDEX('M04-S04'!$AN$16:$AN$198,2*(ROWS($R$437:$R442)-1)+1))),INDEX('M04-S04'!$AH$16:$AH$198,2*(ROWS($AN$437:$AN442)-1)+1),"")</f>
        <v/>
      </c>
      <c r="AO442" s="113"/>
      <c r="AU442"/>
    </row>
    <row r="443" spans="1:47">
      <c r="A443" s="57">
        <f t="shared" si="43"/>
        <v>0</v>
      </c>
      <c r="B443" s="183" t="str">
        <f t="shared" si="45"/>
        <v/>
      </c>
      <c r="C443" s="186" t="str">
        <f>IF(OR(R443&gt;0,V443&gt;0),INDEX('M04-S04'!$BC$16:$BC$198,2*(ROWS($C$437:C443)-1)+1),"")</f>
        <v/>
      </c>
      <c r="D443">
        <f>INDEX('M04-S04'!$C$16:$C$198,2*(ROWS($AC$437:AC443)-1)+1)</f>
        <v>0</v>
      </c>
      <c r="E443" s="112"/>
      <c r="F443" s="112"/>
      <c r="G443" s="96"/>
      <c r="H443" s="184" t="str">
        <f>INDEX('M04-S04'!$AB$16:$AB$198,2*(ROWS($AC$437:AC443)-1)+1)</f>
        <v/>
      </c>
      <c r="I443" s="184">
        <f>IFERROR(ROUND(IF(ISNUMBER(INDEX('M04-S04'!$AN$16:$AN$198,2*(ROWS($R$437:$R443)-1)+1)),INDEX('M04-S04'!$AD$16:$AD$198,2*(ROWS($I$437:$I443)-1)+1),""),2),0)</f>
        <v>0</v>
      </c>
      <c r="J443" s="184">
        <f>IFERROR(ROUND(IF(ISNUMBER(INDEX('M04-S04'!$AN$16:$AN$198,2*(ROWS($R$437:$R443)-1)+1)),INDEX('M04-S04'!$AF$16:$AF$198,2*(ROWS($J$437:$J443)-1)+1),""),2),0)</f>
        <v>0</v>
      </c>
      <c r="K443" s="52">
        <f>IFERROR(ROUND(IF(ISNUMBER(INDEX('M04-S04'!$AN$16:$AN$198,2*(ROWS($R$437:$R443)-1)+1)),INDEX('M04-S04'!$AH$16:$AH$198,2*(ROWS($K$437:$K443)-1)+1),""),2),0)</f>
        <v>0</v>
      </c>
      <c r="L443" s="52">
        <f>IFERROR(ROUND(IF(ISNUMBER(INDEX('M04-S04'!$AN$16:$AN$198,2*(ROWS($R$437:$R443)-1)+1)),INDEX('M04-S04'!$BF$16:$BF$198,2*(ROWS($L$437:$L443)-1)+1),""),2),0)</f>
        <v>0</v>
      </c>
      <c r="M443" s="456" t="str">
        <f>IF(ISNUMBER(INDEX('M04-S04'!$AN$16:$AN$198,2*(ROWS($R$437:R443)-1)+1)),INDEX('M04-S04'!$X$16:$X$198,2*(ROWS($M$437:M443)-1)+1),"")</f>
        <v/>
      </c>
      <c r="N443" s="113"/>
      <c r="O443" s="459"/>
      <c r="P443" s="184" t="str">
        <f>IFERROR(IF(ISNUMBER(INDEX('M04-S04'!$AN$16:$AN$198,2*(ROWS($R$437:R443)-1)+1)),INDEX('M04-S04'!$AK$16:$AK$196,2*(ROWS($P$437:P443)-1)+1),""),"")</f>
        <v/>
      </c>
      <c r="Q443" s="184"/>
      <c r="R443" s="184">
        <f>IF(ISNUMBER(INDEX('M04-S04'!$AN$16:$AN$198,2*(ROWS($R$437:R443)-1)+1)),INDEX('M04-S04'!$AN$16:$AN$198,2*(ROWS($R$437:R443)-1)+1),0)</f>
        <v>0</v>
      </c>
      <c r="S443" s="23">
        <f>IF(NOT(ISNUMBER(INDEX('M04-S04'!$AN$16:$AN$198,2*(ROWS($R$437:R443)-1)+1))),INDEX('M04-S04'!$X$16:$X$198,2*(ROWS($S$437:S443)-1)+1),"")</f>
        <v>0</v>
      </c>
      <c r="T443" s="113"/>
      <c r="U443" s="459"/>
      <c r="V443" s="52" t="str">
        <f>IFERROR(IF(NOT(ISNUMBER(INDEX('M04-S04'!$AN$16:$AN$198,2*(ROWS($R$437:R443)-1)+1))),INDEX('M04-S04'!$AK$16:$AK$198,2*(ROWS($R$437:R443)-1)+1),0),0)</f>
        <v/>
      </c>
      <c r="W443">
        <f>IFERROR(IF(NOT(ISNUMBER(INDEX('M04-S04'!$AN$16:$AN$198,2*(ROWS($R$437:R443)-1)+1))),INDEX('M04-S04'!$BD$16:$BD$198,2*(ROWS($R$437:R443)-1)+1),""),"")</f>
        <v>0</v>
      </c>
      <c r="X443" s="113"/>
      <c r="Y443" s="113"/>
      <c r="Z443" s="111">
        <f>INDEX('M04-S04'!$B$16:$B$198,2*(ROWS($Z$437:Z443)-1)+1)</f>
        <v>7</v>
      </c>
      <c r="AA443" s="112"/>
      <c r="AB443" s="111">
        <f>INDEX('M04-S04'!$F$16:$F$198,2*(ROWS($Z$437:AB443)-1)+1)</f>
        <v>0</v>
      </c>
      <c r="AC443">
        <f>INDEX('M04-S04'!$L$16:$L$198,2*(ROWS($AC$437:AC443)-1)+1)</f>
        <v>0</v>
      </c>
      <c r="AD443">
        <f>INDEX('M04-S04'!$T$16:$T$198,2*(ROWS($AD$437:AD443)-1)+1)</f>
        <v>0</v>
      </c>
      <c r="AE443" s="459"/>
      <c r="AF443" s="459"/>
      <c r="AG443" s="96"/>
      <c r="AH443" s="96"/>
      <c r="AI443" s="111">
        <f>INDEX('M04-S04'!$R$16:$R$198,2*(ROWS($AG$437:AI443)-1)+1)</f>
        <v>0</v>
      </c>
      <c r="AJ443" s="111">
        <f>INDEX('M04-S04'!$Z$16:$Z$198,2*(ROWS($AH$437:AJ443)-1)+1)</f>
        <v>0</v>
      </c>
      <c r="AK443" s="52" t="str">
        <f>INDEX('M04-S04'!$AV$16:$AV$198,2*(ROWS($AK$437:AK443)-1)+1)</f>
        <v/>
      </c>
      <c r="AL443" s="184">
        <f>IF(NOT(ISNUMBER(INDEX('M04-S04'!$AN$16:$AN$198,2*(ROWS($R$437:$R443)-1)+1))),INDEX('M04-S04'!$AD$16:$AD$198,2*(ROWS($AL$437:$AL443)-1)+1),"")</f>
        <v>0</v>
      </c>
      <c r="AM443" s="184" t="str">
        <f>IF(NOT(ISNUMBER(INDEX('M04-S04'!$AN$16:$AN$198,2*(ROWS($R$437:$R443)-1)+1))),INDEX('M04-S04'!$AF$16:$AF$198,2*(ROWS($AM$437:$AM443)-1)+1),"")</f>
        <v/>
      </c>
      <c r="AN443" s="52" t="str">
        <f>IF(NOT(ISNUMBER(INDEX('M04-S04'!$AN$16:$AN$198,2*(ROWS($R$437:$R443)-1)+1))),INDEX('M04-S04'!$AH$16:$AH$198,2*(ROWS($AN$437:$AN443)-1)+1),"")</f>
        <v/>
      </c>
      <c r="AO443" s="113"/>
      <c r="AU443"/>
    </row>
    <row r="444" spans="1:47">
      <c r="A444" s="57">
        <f t="shared" si="43"/>
        <v>0</v>
      </c>
      <c r="B444" s="183" t="str">
        <f t="shared" si="45"/>
        <v/>
      </c>
      <c r="C444" s="186" t="str">
        <f>IF(OR(R444&gt;0,V444&gt;0),INDEX('M04-S04'!$BC$16:$BC$198,2*(ROWS($C$437:C444)-1)+1),"")</f>
        <v/>
      </c>
      <c r="D444">
        <f>INDEX('M04-S04'!$C$16:$C$198,2*(ROWS($AC$437:AC444)-1)+1)</f>
        <v>0</v>
      </c>
      <c r="E444" s="112"/>
      <c r="F444" s="112"/>
      <c r="G444" s="96"/>
      <c r="H444" s="184" t="str">
        <f>INDEX('M04-S04'!$AB$16:$AB$198,2*(ROWS($AC$437:AC444)-1)+1)</f>
        <v/>
      </c>
      <c r="I444" s="184">
        <f>IFERROR(ROUND(IF(ISNUMBER(INDEX('M04-S04'!$AN$16:$AN$198,2*(ROWS($R$437:$R444)-1)+1)),INDEX('M04-S04'!$AD$16:$AD$198,2*(ROWS($I$437:$I444)-1)+1),""),2),0)</f>
        <v>0</v>
      </c>
      <c r="J444" s="184">
        <f>IFERROR(ROUND(IF(ISNUMBER(INDEX('M04-S04'!$AN$16:$AN$198,2*(ROWS($R$437:$R444)-1)+1)),INDEX('M04-S04'!$AF$16:$AF$198,2*(ROWS($J$437:$J444)-1)+1),""),2),0)</f>
        <v>0</v>
      </c>
      <c r="K444" s="52">
        <f>IFERROR(ROUND(IF(ISNUMBER(INDEX('M04-S04'!$AN$16:$AN$198,2*(ROWS($R$437:$R444)-1)+1)),INDEX('M04-S04'!$AH$16:$AH$198,2*(ROWS($K$437:$K444)-1)+1),""),2),0)</f>
        <v>0</v>
      </c>
      <c r="L444" s="52">
        <f>IFERROR(ROUND(IF(ISNUMBER(INDEX('M04-S04'!$AN$16:$AN$198,2*(ROWS($R$437:$R444)-1)+1)),INDEX('M04-S04'!$BF$16:$BF$198,2*(ROWS($L$437:$L444)-1)+1),""),2),0)</f>
        <v>0</v>
      </c>
      <c r="M444" s="456" t="str">
        <f>IF(ISNUMBER(INDEX('M04-S04'!$AN$16:$AN$198,2*(ROWS($R$437:R444)-1)+1)),INDEX('M04-S04'!$X$16:$X$198,2*(ROWS($M$437:M444)-1)+1),"")</f>
        <v/>
      </c>
      <c r="N444" s="113"/>
      <c r="O444" s="459"/>
      <c r="P444" s="184" t="str">
        <f>IFERROR(IF(ISNUMBER(INDEX('M04-S04'!$AN$16:$AN$198,2*(ROWS($R$437:R444)-1)+1)),INDEX('M04-S04'!$AK$16:$AK$196,2*(ROWS($P$437:P444)-1)+1),""),"")</f>
        <v/>
      </c>
      <c r="Q444" s="184"/>
      <c r="R444" s="184">
        <f>IF(ISNUMBER(INDEX('M04-S04'!$AN$16:$AN$198,2*(ROWS($R$437:R444)-1)+1)),INDEX('M04-S04'!$AN$16:$AN$198,2*(ROWS($R$437:R444)-1)+1),0)</f>
        <v>0</v>
      </c>
      <c r="S444" s="23">
        <f>IF(NOT(ISNUMBER(INDEX('M04-S04'!$AN$16:$AN$198,2*(ROWS($R$437:R444)-1)+1))),INDEX('M04-S04'!$X$16:$X$198,2*(ROWS($S$437:S444)-1)+1),"")</f>
        <v>0</v>
      </c>
      <c r="T444" s="113"/>
      <c r="U444" s="459"/>
      <c r="V444" s="52" t="str">
        <f>IFERROR(IF(NOT(ISNUMBER(INDEX('M04-S04'!$AN$16:$AN$198,2*(ROWS($R$437:R444)-1)+1))),INDEX('M04-S04'!$AK$16:$AK$198,2*(ROWS($R$437:R444)-1)+1),0),0)</f>
        <v/>
      </c>
      <c r="W444">
        <f>IFERROR(IF(NOT(ISNUMBER(INDEX('M04-S04'!$AN$16:$AN$198,2*(ROWS($R$437:R444)-1)+1))),INDEX('M04-S04'!$BD$16:$BD$198,2*(ROWS($R$437:R444)-1)+1),""),"")</f>
        <v>0</v>
      </c>
      <c r="X444" s="113"/>
      <c r="Y444" s="113"/>
      <c r="Z444" s="111">
        <f>INDEX('M04-S04'!$B$16:$B$198,2*(ROWS($Z$437:Z444)-1)+1)</f>
        <v>8</v>
      </c>
      <c r="AA444" s="112"/>
      <c r="AB444" s="111">
        <f>INDEX('M04-S04'!$F$16:$F$198,2*(ROWS($Z$437:AB444)-1)+1)</f>
        <v>0</v>
      </c>
      <c r="AC444">
        <f>INDEX('M04-S04'!$L$16:$L$198,2*(ROWS($AC$437:AC444)-1)+1)</f>
        <v>0</v>
      </c>
      <c r="AD444">
        <f>INDEX('M04-S04'!$T$16:$T$198,2*(ROWS($AD$437:AD444)-1)+1)</f>
        <v>0</v>
      </c>
      <c r="AE444" s="459"/>
      <c r="AF444" s="459"/>
      <c r="AG444" s="96"/>
      <c r="AH444" s="96"/>
      <c r="AI444" s="111">
        <f>INDEX('M04-S04'!$R$16:$R$198,2*(ROWS($AG$437:AI444)-1)+1)</f>
        <v>0</v>
      </c>
      <c r="AJ444" s="111">
        <f>INDEX('M04-S04'!$Z$16:$Z$198,2*(ROWS($AH$437:AJ444)-1)+1)</f>
        <v>0</v>
      </c>
      <c r="AK444" s="52" t="str">
        <f>INDEX('M04-S04'!$AV$16:$AV$198,2*(ROWS($AK$437:AK444)-1)+1)</f>
        <v/>
      </c>
      <c r="AL444" s="184">
        <f>IF(NOT(ISNUMBER(INDEX('M04-S04'!$AN$16:$AN$198,2*(ROWS($R$437:$R444)-1)+1))),INDEX('M04-S04'!$AD$16:$AD$198,2*(ROWS($AL$437:$AL444)-1)+1),"")</f>
        <v>0</v>
      </c>
      <c r="AM444" s="184" t="str">
        <f>IF(NOT(ISNUMBER(INDEX('M04-S04'!$AN$16:$AN$198,2*(ROWS($R$437:$R444)-1)+1))),INDEX('M04-S04'!$AF$16:$AF$198,2*(ROWS($AM$437:$AM444)-1)+1),"")</f>
        <v/>
      </c>
      <c r="AN444" s="52" t="str">
        <f>IF(NOT(ISNUMBER(INDEX('M04-S04'!$AN$16:$AN$198,2*(ROWS($R$437:$R444)-1)+1))),INDEX('M04-S04'!$AH$16:$AH$198,2*(ROWS($AN$437:$AN444)-1)+1),"")</f>
        <v/>
      </c>
      <c r="AO444" s="113"/>
      <c r="AU444"/>
    </row>
    <row r="445" spans="1:47">
      <c r="A445" s="57">
        <f t="shared" si="43"/>
        <v>0</v>
      </c>
      <c r="B445" s="183" t="str">
        <f t="shared" si="45"/>
        <v/>
      </c>
      <c r="C445" s="186" t="str">
        <f>IF(OR(R445&gt;0,V445&gt;0),INDEX('M04-S04'!$BC$16:$BC$198,2*(ROWS($C$437:C445)-1)+1),"")</f>
        <v/>
      </c>
      <c r="D445">
        <f>INDEX('M04-S04'!$C$16:$C$198,2*(ROWS($AC$437:AC445)-1)+1)</f>
        <v>0</v>
      </c>
      <c r="E445" s="112"/>
      <c r="F445" s="112"/>
      <c r="G445" s="96"/>
      <c r="H445" s="184" t="str">
        <f>INDEX('M04-S04'!$AB$16:$AB$198,2*(ROWS($AC$437:AC445)-1)+1)</f>
        <v/>
      </c>
      <c r="I445" s="184">
        <f>IFERROR(ROUND(IF(ISNUMBER(INDEX('M04-S04'!$AN$16:$AN$198,2*(ROWS($R$437:$R445)-1)+1)),INDEX('M04-S04'!$AD$16:$AD$198,2*(ROWS($I$437:$I445)-1)+1),""),2),0)</f>
        <v>0</v>
      </c>
      <c r="J445" s="184">
        <f>IFERROR(ROUND(IF(ISNUMBER(INDEX('M04-S04'!$AN$16:$AN$198,2*(ROWS($R$437:$R445)-1)+1)),INDEX('M04-S04'!$AF$16:$AF$198,2*(ROWS($J$437:$J445)-1)+1),""),2),0)</f>
        <v>0</v>
      </c>
      <c r="K445" s="52">
        <f>IFERROR(ROUND(IF(ISNUMBER(INDEX('M04-S04'!$AN$16:$AN$198,2*(ROWS($R$437:$R445)-1)+1)),INDEX('M04-S04'!$AH$16:$AH$198,2*(ROWS($K$437:$K445)-1)+1),""),2),0)</f>
        <v>0</v>
      </c>
      <c r="L445" s="52">
        <f>IFERROR(ROUND(IF(ISNUMBER(INDEX('M04-S04'!$AN$16:$AN$198,2*(ROWS($R$437:$R445)-1)+1)),INDEX('M04-S04'!$BF$16:$BF$198,2*(ROWS($L$437:$L445)-1)+1),""),2),0)</f>
        <v>0</v>
      </c>
      <c r="M445" s="456" t="str">
        <f>IF(ISNUMBER(INDEX('M04-S04'!$AN$16:$AN$198,2*(ROWS($R$437:R445)-1)+1)),INDEX('M04-S04'!$X$16:$X$198,2*(ROWS($M$437:M445)-1)+1),"")</f>
        <v/>
      </c>
      <c r="N445" s="113"/>
      <c r="O445" s="459"/>
      <c r="P445" s="184" t="str">
        <f>IFERROR(IF(ISNUMBER(INDEX('M04-S04'!$AN$16:$AN$198,2*(ROWS($R$437:R445)-1)+1)),INDEX('M04-S04'!$AK$16:$AK$196,2*(ROWS($P$437:P445)-1)+1),""),"")</f>
        <v/>
      </c>
      <c r="Q445" s="184"/>
      <c r="R445" s="184">
        <f>IF(ISNUMBER(INDEX('M04-S04'!$AN$16:$AN$198,2*(ROWS($R$437:R445)-1)+1)),INDEX('M04-S04'!$AN$16:$AN$198,2*(ROWS($R$437:R445)-1)+1),0)</f>
        <v>0</v>
      </c>
      <c r="S445" s="23">
        <f>IF(NOT(ISNUMBER(INDEX('M04-S04'!$AN$16:$AN$198,2*(ROWS($R$437:R445)-1)+1))),INDEX('M04-S04'!$X$16:$X$198,2*(ROWS($S$437:S445)-1)+1),"")</f>
        <v>0</v>
      </c>
      <c r="T445" s="113"/>
      <c r="U445" s="459"/>
      <c r="V445" s="52" t="str">
        <f>IFERROR(IF(NOT(ISNUMBER(INDEX('M04-S04'!$AN$16:$AN$198,2*(ROWS($R$437:R445)-1)+1))),INDEX('M04-S04'!$AK$16:$AK$198,2*(ROWS($R$437:R445)-1)+1),0),0)</f>
        <v/>
      </c>
      <c r="W445">
        <f>IFERROR(IF(NOT(ISNUMBER(INDEX('M04-S04'!$AN$16:$AN$198,2*(ROWS($R$437:R445)-1)+1))),INDEX('M04-S04'!$BD$16:$BD$198,2*(ROWS($R$437:R445)-1)+1),""),"")</f>
        <v>0</v>
      </c>
      <c r="X445" s="113"/>
      <c r="Y445" s="113"/>
      <c r="Z445" s="111">
        <f>INDEX('M04-S04'!$B$16:$B$198,2*(ROWS($Z$437:Z445)-1)+1)</f>
        <v>9</v>
      </c>
      <c r="AA445" s="112"/>
      <c r="AB445" s="111">
        <f>INDEX('M04-S04'!$F$16:$F$198,2*(ROWS($Z$437:AB445)-1)+1)</f>
        <v>0</v>
      </c>
      <c r="AC445">
        <f>INDEX('M04-S04'!$L$16:$L$198,2*(ROWS($AC$437:AC445)-1)+1)</f>
        <v>0</v>
      </c>
      <c r="AD445">
        <f>INDEX('M04-S04'!$T$16:$T$198,2*(ROWS($AD$437:AD445)-1)+1)</f>
        <v>0</v>
      </c>
      <c r="AE445" s="459"/>
      <c r="AF445" s="459"/>
      <c r="AG445" s="96"/>
      <c r="AH445" s="96"/>
      <c r="AI445" s="111">
        <f>INDEX('M04-S04'!$R$16:$R$198,2*(ROWS($AG$437:AI445)-1)+1)</f>
        <v>0</v>
      </c>
      <c r="AJ445" s="111">
        <f>INDEX('M04-S04'!$Z$16:$Z$198,2*(ROWS($AH$437:AJ445)-1)+1)</f>
        <v>0</v>
      </c>
      <c r="AK445" s="52" t="str">
        <f>INDEX('M04-S04'!$AV$16:$AV$198,2*(ROWS($AK$437:AK445)-1)+1)</f>
        <v/>
      </c>
      <c r="AL445" s="184">
        <f>IF(NOT(ISNUMBER(INDEX('M04-S04'!$AN$16:$AN$198,2*(ROWS($R$437:$R445)-1)+1))),INDEX('M04-S04'!$AD$16:$AD$198,2*(ROWS($AL$437:$AL445)-1)+1),"")</f>
        <v>0</v>
      </c>
      <c r="AM445" s="184" t="str">
        <f>IF(NOT(ISNUMBER(INDEX('M04-S04'!$AN$16:$AN$198,2*(ROWS($R$437:$R445)-1)+1))),INDEX('M04-S04'!$AF$16:$AF$198,2*(ROWS($AM$437:$AM445)-1)+1),"")</f>
        <v/>
      </c>
      <c r="AN445" s="52" t="str">
        <f>IF(NOT(ISNUMBER(INDEX('M04-S04'!$AN$16:$AN$198,2*(ROWS($R$437:$R445)-1)+1))),INDEX('M04-S04'!$AH$16:$AH$198,2*(ROWS($AN$437:$AN445)-1)+1),"")</f>
        <v/>
      </c>
      <c r="AO445" s="113"/>
      <c r="AU445"/>
    </row>
    <row r="446" spans="1:47">
      <c r="A446" s="57">
        <f t="shared" si="43"/>
        <v>0</v>
      </c>
      <c r="B446" s="183" t="str">
        <f t="shared" si="45"/>
        <v/>
      </c>
      <c r="C446" s="186" t="str">
        <f>IF(OR(R446&gt;0,V446&gt;0),INDEX('M04-S04'!$BC$16:$BC$198,2*(ROWS($C$437:C446)-1)+1),"")</f>
        <v/>
      </c>
      <c r="D446">
        <f>INDEX('M04-S04'!$C$16:$C$198,2*(ROWS($AC$437:AC446)-1)+1)</f>
        <v>0</v>
      </c>
      <c r="E446" s="112"/>
      <c r="F446" s="112"/>
      <c r="G446" s="96"/>
      <c r="H446" s="184" t="str">
        <f>INDEX('M04-S04'!$AB$16:$AB$198,2*(ROWS($AC$437:AC446)-1)+1)</f>
        <v/>
      </c>
      <c r="I446" s="184">
        <f>IFERROR(ROUND(IF(ISNUMBER(INDEX('M04-S04'!$AN$16:$AN$198,2*(ROWS($R$437:$R446)-1)+1)),INDEX('M04-S04'!$AD$16:$AD$198,2*(ROWS($I$437:$I446)-1)+1),""),2),0)</f>
        <v>0</v>
      </c>
      <c r="J446" s="184">
        <f>IFERROR(ROUND(IF(ISNUMBER(INDEX('M04-S04'!$AN$16:$AN$198,2*(ROWS($R$437:$R446)-1)+1)),INDEX('M04-S04'!$AF$16:$AF$198,2*(ROWS($J$437:$J446)-1)+1),""),2),0)</f>
        <v>0</v>
      </c>
      <c r="K446" s="52">
        <f>IFERROR(ROUND(IF(ISNUMBER(INDEX('M04-S04'!$AN$16:$AN$198,2*(ROWS($R$437:$R446)-1)+1)),INDEX('M04-S04'!$AH$16:$AH$198,2*(ROWS($K$437:$K446)-1)+1),""),2),0)</f>
        <v>0</v>
      </c>
      <c r="L446" s="52">
        <f>IFERROR(ROUND(IF(ISNUMBER(INDEX('M04-S04'!$AN$16:$AN$198,2*(ROWS($R$437:$R446)-1)+1)),INDEX('M04-S04'!$BF$16:$BF$198,2*(ROWS($L$437:$L446)-1)+1),""),2),0)</f>
        <v>0</v>
      </c>
      <c r="M446" s="456" t="str">
        <f>IF(ISNUMBER(INDEX('M04-S04'!$AN$16:$AN$198,2*(ROWS($R$437:R446)-1)+1)),INDEX('M04-S04'!$X$16:$X$198,2*(ROWS($M$437:M446)-1)+1),"")</f>
        <v/>
      </c>
      <c r="N446" s="113"/>
      <c r="O446" s="459"/>
      <c r="P446" s="184" t="str">
        <f>IFERROR(IF(ISNUMBER(INDEX('M04-S04'!$AN$16:$AN$198,2*(ROWS($R$437:R446)-1)+1)),INDEX('M04-S04'!$AK$16:$AK$196,2*(ROWS($P$437:P446)-1)+1),""),"")</f>
        <v/>
      </c>
      <c r="Q446" s="184"/>
      <c r="R446" s="184">
        <f>IF(ISNUMBER(INDEX('M04-S04'!$AN$16:$AN$198,2*(ROWS($R$437:R446)-1)+1)),INDEX('M04-S04'!$AN$16:$AN$198,2*(ROWS($R$437:R446)-1)+1),0)</f>
        <v>0</v>
      </c>
      <c r="S446" s="23">
        <f>IF(NOT(ISNUMBER(INDEX('M04-S04'!$AN$16:$AN$198,2*(ROWS($R$437:R446)-1)+1))),INDEX('M04-S04'!$X$16:$X$198,2*(ROWS($S$437:S446)-1)+1),"")</f>
        <v>0</v>
      </c>
      <c r="T446" s="113"/>
      <c r="U446" s="459"/>
      <c r="V446" s="52" t="str">
        <f>IFERROR(IF(NOT(ISNUMBER(INDEX('M04-S04'!$AN$16:$AN$198,2*(ROWS($R$437:R446)-1)+1))),INDEX('M04-S04'!$AK$16:$AK$198,2*(ROWS($R$437:R446)-1)+1),0),0)</f>
        <v/>
      </c>
      <c r="W446">
        <f>IFERROR(IF(NOT(ISNUMBER(INDEX('M04-S04'!$AN$16:$AN$198,2*(ROWS($R$437:R446)-1)+1))),INDEX('M04-S04'!$BD$16:$BD$198,2*(ROWS($R$437:R446)-1)+1),""),"")</f>
        <v>0</v>
      </c>
      <c r="X446" s="113"/>
      <c r="Y446" s="113"/>
      <c r="Z446" s="111">
        <f>INDEX('M04-S04'!$B$16:$B$198,2*(ROWS($Z$437:Z446)-1)+1)</f>
        <v>10</v>
      </c>
      <c r="AA446" s="112"/>
      <c r="AB446" s="111">
        <f>INDEX('M04-S04'!$F$16:$F$198,2*(ROWS($Z$437:AB446)-1)+1)</f>
        <v>0</v>
      </c>
      <c r="AC446">
        <f>INDEX('M04-S04'!$L$16:$L$198,2*(ROWS($AC$437:AC446)-1)+1)</f>
        <v>0</v>
      </c>
      <c r="AD446">
        <f>INDEX('M04-S04'!$T$16:$T$198,2*(ROWS($AD$437:AD446)-1)+1)</f>
        <v>0</v>
      </c>
      <c r="AE446" s="459"/>
      <c r="AF446" s="459"/>
      <c r="AG446" s="96"/>
      <c r="AH446" s="96"/>
      <c r="AI446" s="111">
        <f>INDEX('M04-S04'!$R$16:$R$198,2*(ROWS($AG$437:AI446)-1)+1)</f>
        <v>0</v>
      </c>
      <c r="AJ446" s="111">
        <f>INDEX('M04-S04'!$Z$16:$Z$198,2*(ROWS($AH$437:AJ446)-1)+1)</f>
        <v>0</v>
      </c>
      <c r="AK446" s="52" t="str">
        <f>INDEX('M04-S04'!$AV$16:$AV$198,2*(ROWS($AK$437:AK446)-1)+1)</f>
        <v/>
      </c>
      <c r="AL446" s="184">
        <f>IF(NOT(ISNUMBER(INDEX('M04-S04'!$AN$16:$AN$198,2*(ROWS($R$437:$R446)-1)+1))),INDEX('M04-S04'!$AD$16:$AD$198,2*(ROWS($AL$437:$AL446)-1)+1),"")</f>
        <v>0</v>
      </c>
      <c r="AM446" s="184" t="str">
        <f>IF(NOT(ISNUMBER(INDEX('M04-S04'!$AN$16:$AN$198,2*(ROWS($R$437:$R446)-1)+1))),INDEX('M04-S04'!$AF$16:$AF$198,2*(ROWS($AM$437:$AM446)-1)+1),"")</f>
        <v/>
      </c>
      <c r="AN446" s="52" t="str">
        <f>IF(NOT(ISNUMBER(INDEX('M04-S04'!$AN$16:$AN$198,2*(ROWS($R$437:$R446)-1)+1))),INDEX('M04-S04'!$AH$16:$AH$198,2*(ROWS($AN$437:$AN446)-1)+1),"")</f>
        <v/>
      </c>
      <c r="AO446" s="113"/>
      <c r="AU446"/>
    </row>
    <row r="447" spans="1:47">
      <c r="A447" s="57">
        <f t="shared" si="43"/>
        <v>0</v>
      </c>
      <c r="B447" s="183" t="str">
        <f t="shared" si="45"/>
        <v/>
      </c>
      <c r="C447" s="186" t="str">
        <f>IF(OR(R447&gt;0,V447&gt;0),INDEX('M04-S04'!$BC$16:$BC$198,2*(ROWS($C$437:C447)-1)+1),"")</f>
        <v/>
      </c>
      <c r="D447" t="s">
        <v>231</v>
      </c>
      <c r="E447" s="112"/>
      <c r="F447" s="112"/>
      <c r="G447" s="96"/>
      <c r="H447" s="96"/>
      <c r="I447" s="184">
        <f>IFERROR(ROUND(IF(ISNUMBER(INDEX('M04-S04'!$AN$16:$AN$198,2*(ROWS($R$437:$R447)-1)+1)),INDEX('M04-S04'!$AD$16:$AD$198,2*(ROWS($I$437:$I447)-1)+1),""),2),0)</f>
        <v>0</v>
      </c>
      <c r="J447" s="184">
        <f>IFERROR(ROUND(IF(ISNUMBER(INDEX('M04-S04'!$AN$16:$AN$198,2*(ROWS($R$437:$R447)-1)+1)),INDEX('M04-S04'!$AF$16:$AF$198,2*(ROWS($J$437:$J447)-1)+1),""),2),0)</f>
        <v>0</v>
      </c>
      <c r="K447" s="52">
        <f>IFERROR(ROUND(IF(ISNUMBER(INDEX('M04-S04'!$AN$16:$AN$198,2*(ROWS($R$437:$R447)-1)+1)),INDEX('M04-S04'!$AH$16:$AH$198,2*(ROWS($K$437:$K447)-1)+1),""),2),0)</f>
        <v>0</v>
      </c>
      <c r="M447" s="456" t="str">
        <f>IF(ISNUMBER(INDEX('M04-S04'!$AN$16:$AN$198,2*(ROWS($R$437:R447)-1)+1)),INDEX('M04-S04'!$X$16:$X$198,2*(ROWS($M$437:M447)-1)+1),"")</f>
        <v/>
      </c>
      <c r="N447" s="113"/>
      <c r="O447" s="459"/>
      <c r="P447" s="184" t="str">
        <f>IFERROR(IF(ISNUMBER(INDEX('M04-S04'!$AN$16:$AN$198,2*(ROWS($R$437:R447)-1)+1)),INDEX('M04-S04'!$AK$16:$AK$196,2*(ROWS($P$437:P447)-1)+1),""),"")</f>
        <v/>
      </c>
      <c r="Q447" s="184"/>
      <c r="R447" s="184">
        <f>IF(ISNUMBER(INDEX('M04-S04'!$AN$16:$AN$198,2*(ROWS($R$437:R447)-1)+1)),INDEX('M04-S04'!$AN$16:$AN$198,2*(ROWS($R$437:R447)-1)+1),0)</f>
        <v>0</v>
      </c>
      <c r="S447" s="23">
        <f>IF(NOT(ISNUMBER(INDEX('M04-S04'!$AN$16:$AN$198,2*(ROWS($R$437:R447)-1)+1))),INDEX('M04-S04'!$X$16:$X$198,2*(ROWS($S$437:S447)-1)+1),"")</f>
        <v>0</v>
      </c>
      <c r="T447" s="113"/>
      <c r="U447" s="459"/>
      <c r="V447" s="52" t="str">
        <f>IFERROR(IF(NOT(ISNUMBER(INDEX('M04-S04'!$AN$16:$AN$198,2*(ROWS($R$437:R447)-1)+1))),INDEX('M04-S04'!$AK$16:$AK$198,2*(ROWS($R$437:R447)-1)+1),0),0)</f>
        <v/>
      </c>
      <c r="W447" t="str">
        <f>IFERROR(IF(NOT(ISNUMBER(INDEX('M04-S04'!$AN$16:$AN$198,2*(ROWS($R$437:R447)-1)+1))),INDEX('M04-S04'!$BD$16:$BD$198,2*(ROWS($R$437:R447)-1)+1),""),"")</f>
        <v>Submit for Review</v>
      </c>
      <c r="X447" s="113"/>
      <c r="Y447" s="113"/>
      <c r="Z447" s="111">
        <f>INDEX('M04-S04'!$B$16:$B$198,2*(ROWS($Z$437:Z447)-1)+1)</f>
        <v>11</v>
      </c>
      <c r="AA447" s="112"/>
      <c r="AB447" s="111">
        <f>INDEX('M04-S04'!$F$16:$F$198,2*(ROWS($Z$437:AB447)-1)+1)</f>
        <v>0</v>
      </c>
      <c r="AC447">
        <f>INDEX('M04-S04'!$L$16:$L$198,2*(ROWS($AC$437:AC447)-1)+1)</f>
        <v>0</v>
      </c>
      <c r="AD447">
        <f>INDEX('M04-S04'!$T$16:$T$198,2*(ROWS($AD$437:AD447)-1)+1)</f>
        <v>0</v>
      </c>
      <c r="AE447" s="459"/>
      <c r="AF447" s="459"/>
      <c r="AG447" s="96"/>
      <c r="AH447" s="96"/>
      <c r="AI447" s="111">
        <f>INDEX('M04-S04'!$R$16:$R$198,2*(ROWS($AG$437:AI447)-1)+1)</f>
        <v>0</v>
      </c>
      <c r="AJ447" s="111">
        <f>INDEX('M04-S04'!$Z$16:$Z$198,2*(ROWS($AH$437:AJ447)-1)+1)</f>
        <v>0</v>
      </c>
      <c r="AK447" s="52" t="str">
        <f>INDEX('M04-S04'!$AV$16:$AV$198,2*(ROWS($AK$437:AK447)-1)+1)</f>
        <v/>
      </c>
      <c r="AL447" s="184">
        <f>IF(NOT(ISNUMBER(INDEX('M04-S04'!$AN$16:$AN$198,2*(ROWS($R$437:$R447)-1)+1))),INDEX('M04-S04'!$AD$16:$AD$198,2*(ROWS($AL$437:$AL447)-1)+1),"")</f>
        <v>0</v>
      </c>
      <c r="AM447" s="184" t="str">
        <f>IF(NOT(ISNUMBER(INDEX('M04-S04'!$AN$16:$AN$198,2*(ROWS($R$437:$R447)-1)+1))),INDEX('M04-S04'!$AF$16:$AF$198,2*(ROWS($AM$437:$AM447)-1)+1),"")</f>
        <v/>
      </c>
      <c r="AN447" s="52" t="str">
        <f>IF(NOT(ISNUMBER(INDEX('M04-S04'!$AN$16:$AN$198,2*(ROWS($R$437:$R447)-1)+1))),INDEX('M04-S04'!$AH$16:$AH$198,2*(ROWS($AN$437:$AN447)-1)+1),"")</f>
        <v/>
      </c>
      <c r="AO447" s="113"/>
      <c r="AU447"/>
    </row>
    <row r="448" spans="1:47">
      <c r="A448" s="57">
        <f t="shared" si="43"/>
        <v>0</v>
      </c>
      <c r="B448" s="183" t="str">
        <f t="shared" si="45"/>
        <v/>
      </c>
      <c r="C448" s="186" t="str">
        <f>IF(OR(R448&gt;0,V448&gt;0),INDEX('M04-S04'!$BC$16:$BC$198,2*(ROWS($C$437:C448)-1)+1),"")</f>
        <v/>
      </c>
      <c r="D448" t="s">
        <v>231</v>
      </c>
      <c r="E448" s="112"/>
      <c r="F448" s="112"/>
      <c r="G448" s="96"/>
      <c r="H448" s="96"/>
      <c r="I448" s="184">
        <f>IFERROR(ROUND(IF(ISNUMBER(INDEX('M04-S04'!$AN$16:$AN$198,2*(ROWS($R$437:$R448)-1)+1)),INDEX('M04-S04'!$AD$16:$AD$198,2*(ROWS($I$437:$I448)-1)+1),""),2),0)</f>
        <v>0</v>
      </c>
      <c r="J448" s="184">
        <f>IFERROR(ROUND(IF(ISNUMBER(INDEX('M04-S04'!$AN$16:$AN$198,2*(ROWS($R$437:$R448)-1)+1)),INDEX('M04-S04'!$AF$16:$AF$198,2*(ROWS($J$437:$J448)-1)+1),""),2),0)</f>
        <v>0</v>
      </c>
      <c r="K448" s="52">
        <f>IFERROR(ROUND(IF(ISNUMBER(INDEX('M04-S04'!$AN$16:$AN$198,2*(ROWS($R$437:$R448)-1)+1)),INDEX('M04-S04'!$AH$16:$AH$198,2*(ROWS($K$437:$K448)-1)+1),""),2),0)</f>
        <v>0</v>
      </c>
      <c r="M448" s="456" t="str">
        <f>IF(ISNUMBER(INDEX('M04-S04'!$AN$16:$AN$198,2*(ROWS($R$437:R448)-1)+1)),INDEX('M04-S04'!$X$16:$X$198,2*(ROWS($M$437:M448)-1)+1),"")</f>
        <v/>
      </c>
      <c r="N448" s="113"/>
      <c r="O448" s="459"/>
      <c r="P448" s="184" t="str">
        <f>IFERROR(IF(ISNUMBER(INDEX('M04-S04'!$AN$16:$AN$198,2*(ROWS($R$437:R448)-1)+1)),INDEX('M04-S04'!$AK$16:$AK$196,2*(ROWS($P$437:P448)-1)+1),""),"")</f>
        <v/>
      </c>
      <c r="Q448" s="184"/>
      <c r="R448" s="184">
        <f>IF(ISNUMBER(INDEX('M04-S04'!$AN$16:$AN$198,2*(ROWS($R$437:R448)-1)+1)),INDEX('M04-S04'!$AN$16:$AN$198,2*(ROWS($R$437:R448)-1)+1),0)</f>
        <v>0</v>
      </c>
      <c r="S448" s="23">
        <f>IF(NOT(ISNUMBER(INDEX('M04-S04'!$AN$16:$AN$198,2*(ROWS($R$437:R448)-1)+1))),INDEX('M04-S04'!$X$16:$X$198,2*(ROWS($S$437:S448)-1)+1),"")</f>
        <v>0</v>
      </c>
      <c r="T448" s="113"/>
      <c r="U448" s="459"/>
      <c r="V448" s="52" t="str">
        <f>IFERROR(IF(NOT(ISNUMBER(INDEX('M04-S04'!$AN$16:$AN$198,2*(ROWS($R$437:R448)-1)+1))),INDEX('M04-S04'!$AK$16:$AK$198,2*(ROWS($R$437:R448)-1)+1),0),0)</f>
        <v/>
      </c>
      <c r="W448" t="str">
        <f>IFERROR(IF(NOT(ISNUMBER(INDEX('M04-S04'!$AN$16:$AN$198,2*(ROWS($R$437:R448)-1)+1))),INDEX('M04-S04'!$BD$16:$BD$198,2*(ROWS($R$437:R448)-1)+1),""),"")</f>
        <v>Submit for Review</v>
      </c>
      <c r="X448" s="113"/>
      <c r="Y448" s="113"/>
      <c r="Z448" s="111">
        <f>INDEX('M04-S04'!$B$16:$B$198,2*(ROWS($Z$437:Z448)-1)+1)</f>
        <v>12</v>
      </c>
      <c r="AA448" s="112"/>
      <c r="AB448" s="111">
        <f>INDEX('M04-S04'!$F$16:$F$198,2*(ROWS($Z$437:AB448)-1)+1)</f>
        <v>0</v>
      </c>
      <c r="AC448">
        <f>INDEX('M04-S04'!$L$16:$L$198,2*(ROWS($AC$437:AC448)-1)+1)</f>
        <v>0</v>
      </c>
      <c r="AD448">
        <f>INDEX('M04-S04'!$T$16:$T$198,2*(ROWS($AD$437:AD448)-1)+1)</f>
        <v>0</v>
      </c>
      <c r="AE448" s="459"/>
      <c r="AF448" s="459"/>
      <c r="AG448" s="96"/>
      <c r="AH448" s="96"/>
      <c r="AI448" s="111">
        <f>INDEX('M04-S04'!$R$16:$R$198,2*(ROWS($AG$437:AI448)-1)+1)</f>
        <v>0</v>
      </c>
      <c r="AJ448" s="111">
        <f>INDEX('M04-S04'!$Z$16:$Z$198,2*(ROWS($AH$437:AJ448)-1)+1)</f>
        <v>0</v>
      </c>
      <c r="AK448" s="52" t="str">
        <f>INDEX('M04-S04'!$AV$16:$AV$198,2*(ROWS($AK$437:AK448)-1)+1)</f>
        <v/>
      </c>
      <c r="AL448" s="184">
        <f>IF(NOT(ISNUMBER(INDEX('M04-S04'!$AN$16:$AN$198,2*(ROWS($R$437:$R448)-1)+1))),INDEX('M04-S04'!$AD$16:$AD$198,2*(ROWS($AL$437:$AL448)-1)+1),"")</f>
        <v>0</v>
      </c>
      <c r="AM448" s="184" t="str">
        <f>IF(NOT(ISNUMBER(INDEX('M04-S04'!$AN$16:$AN$198,2*(ROWS($R$437:$R448)-1)+1))),INDEX('M04-S04'!$AF$16:$AF$198,2*(ROWS($AM$437:$AM448)-1)+1),"")</f>
        <v/>
      </c>
      <c r="AN448" s="52" t="str">
        <f>IF(NOT(ISNUMBER(INDEX('M04-S04'!$AN$16:$AN$198,2*(ROWS($R$437:$R448)-1)+1))),INDEX('M04-S04'!$AH$16:$AH$198,2*(ROWS($AN$437:$AN448)-1)+1),"")</f>
        <v/>
      </c>
      <c r="AO448" s="113"/>
      <c r="AU448"/>
    </row>
    <row r="449" spans="1:47">
      <c r="A449" s="57">
        <f t="shared" si="43"/>
        <v>0</v>
      </c>
      <c r="B449" s="183" t="str">
        <f t="shared" si="45"/>
        <v/>
      </c>
      <c r="C449" s="186" t="str">
        <f>IF(OR(R449&gt;0,V449&gt;0),INDEX('M04-S04'!$BC$16:$BC$198,2*(ROWS($C$437:C449)-1)+1),"")</f>
        <v/>
      </c>
      <c r="D449" t="s">
        <v>231</v>
      </c>
      <c r="E449" s="112"/>
      <c r="F449" s="112"/>
      <c r="G449" s="96"/>
      <c r="H449" s="96"/>
      <c r="I449" s="184">
        <f>IFERROR(ROUND(IF(ISNUMBER(INDEX('M04-S04'!$AN$16:$AN$198,2*(ROWS($R$437:$R449)-1)+1)),INDEX('M04-S04'!$AD$16:$AD$198,2*(ROWS($I$437:$I449)-1)+1),""),2),0)</f>
        <v>0</v>
      </c>
      <c r="J449" s="184">
        <f>IFERROR(ROUND(IF(ISNUMBER(INDEX('M04-S04'!$AN$16:$AN$198,2*(ROWS($R$437:$R449)-1)+1)),INDEX('M04-S04'!$AF$16:$AF$198,2*(ROWS($J$437:$J449)-1)+1),""),2),0)</f>
        <v>0</v>
      </c>
      <c r="K449" s="52">
        <f>IFERROR(ROUND(IF(ISNUMBER(INDEX('M04-S04'!$AN$16:$AN$198,2*(ROWS($R$437:$R449)-1)+1)),INDEX('M04-S04'!$AH$16:$AH$198,2*(ROWS($K$437:$K449)-1)+1),""),2),0)</f>
        <v>0</v>
      </c>
      <c r="M449" s="456" t="str">
        <f>IF(ISNUMBER(INDEX('M04-S04'!$AN$16:$AN$198,2*(ROWS($R$437:R449)-1)+1)),INDEX('M04-S04'!$X$16:$X$198,2*(ROWS($M$437:M449)-1)+1),"")</f>
        <v/>
      </c>
      <c r="N449" s="113"/>
      <c r="O449" s="459"/>
      <c r="P449" s="184" t="str">
        <f>IFERROR(IF(ISNUMBER(INDEX('M04-S04'!$AN$16:$AN$198,2*(ROWS($R$437:R449)-1)+1)),INDEX('M04-S04'!$AK$16:$AK$196,2*(ROWS($P$437:P449)-1)+1),""),"")</f>
        <v/>
      </c>
      <c r="Q449" s="184"/>
      <c r="R449" s="184">
        <f>IF(ISNUMBER(INDEX('M04-S04'!$AN$16:$AN$198,2*(ROWS($R$437:R449)-1)+1)),INDEX('M04-S04'!$AN$16:$AN$198,2*(ROWS($R$437:R449)-1)+1),0)</f>
        <v>0</v>
      </c>
      <c r="S449" s="23">
        <f>IF(NOT(ISNUMBER(INDEX('M04-S04'!$AN$16:$AN$198,2*(ROWS($R$437:R449)-1)+1))),INDEX('M04-S04'!$X$16:$X$198,2*(ROWS($S$437:S449)-1)+1),"")</f>
        <v>0</v>
      </c>
      <c r="T449" s="113"/>
      <c r="U449" s="459"/>
      <c r="V449" s="52" t="str">
        <f>IFERROR(IF(NOT(ISNUMBER(INDEX('M04-S04'!$AN$16:$AN$198,2*(ROWS($R$437:R449)-1)+1))),INDEX('M04-S04'!$AK$16:$AK$198,2*(ROWS($R$437:R449)-1)+1),0),0)</f>
        <v/>
      </c>
      <c r="W449" t="str">
        <f>IFERROR(IF(NOT(ISNUMBER(INDEX('M04-S04'!$AN$16:$AN$198,2*(ROWS($R$437:R449)-1)+1))),INDEX('M04-S04'!$BD$16:$BD$198,2*(ROWS($R$437:R449)-1)+1),""),"")</f>
        <v>Submit for Review</v>
      </c>
      <c r="X449" s="113"/>
      <c r="Y449" s="113"/>
      <c r="Z449" s="111">
        <f>INDEX('M04-S04'!$B$16:$B$198,2*(ROWS($Z$437:Z449)-1)+1)</f>
        <v>13</v>
      </c>
      <c r="AA449" s="112"/>
      <c r="AB449" s="111">
        <f>INDEX('M04-S04'!$F$16:$F$198,2*(ROWS($Z$437:AB449)-1)+1)</f>
        <v>0</v>
      </c>
      <c r="AC449">
        <f>INDEX('M04-S04'!$L$16:$L$198,2*(ROWS($AC$437:AC449)-1)+1)</f>
        <v>0</v>
      </c>
      <c r="AD449">
        <f>INDEX('M04-S04'!$T$16:$T$198,2*(ROWS($AD$437:AD449)-1)+1)</f>
        <v>0</v>
      </c>
      <c r="AE449" s="459"/>
      <c r="AF449" s="459"/>
      <c r="AG449" s="96"/>
      <c r="AH449" s="96"/>
      <c r="AI449" s="111">
        <f>INDEX('M04-S04'!$R$16:$R$198,2*(ROWS($AG$437:AI449)-1)+1)</f>
        <v>0</v>
      </c>
      <c r="AJ449" s="111">
        <f>INDEX('M04-S04'!$Z$16:$Z$198,2*(ROWS($AH$437:AJ449)-1)+1)</f>
        <v>0</v>
      </c>
      <c r="AK449" s="52" t="str">
        <f>INDEX('M04-S04'!$AV$16:$AV$198,2*(ROWS($AK$437:AK449)-1)+1)</f>
        <v/>
      </c>
      <c r="AL449" s="184">
        <f>IF(NOT(ISNUMBER(INDEX('M04-S04'!$AN$16:$AN$198,2*(ROWS($R$437:$R449)-1)+1))),INDEX('M04-S04'!$AD$16:$AD$198,2*(ROWS($AL$437:$AL449)-1)+1),"")</f>
        <v>0</v>
      </c>
      <c r="AM449" s="184" t="str">
        <f>IF(NOT(ISNUMBER(INDEX('M04-S04'!$AN$16:$AN$198,2*(ROWS($R$437:$R449)-1)+1))),INDEX('M04-S04'!$AF$16:$AF$198,2*(ROWS($AM$437:$AM449)-1)+1),"")</f>
        <v/>
      </c>
      <c r="AN449" s="52" t="str">
        <f>IF(NOT(ISNUMBER(INDEX('M04-S04'!$AN$16:$AN$198,2*(ROWS($R$437:$R449)-1)+1))),INDEX('M04-S04'!$AH$16:$AH$198,2*(ROWS($AN$437:$AN449)-1)+1),"")</f>
        <v/>
      </c>
      <c r="AO449" s="113"/>
      <c r="AU449"/>
    </row>
    <row r="450" spans="1:47">
      <c r="A450" s="57">
        <f t="shared" si="43"/>
        <v>0</v>
      </c>
      <c r="B450" s="183" t="str">
        <f t="shared" si="45"/>
        <v/>
      </c>
      <c r="C450" s="186" t="str">
        <f>IF(OR(R450&gt;0,V450&gt;0),INDEX('M04-S04'!$BC$16:$BC$198,2*(ROWS($C$437:C450)-1)+1),"")</f>
        <v/>
      </c>
      <c r="D450" t="s">
        <v>231</v>
      </c>
      <c r="E450" s="112"/>
      <c r="F450" s="112"/>
      <c r="G450" s="96"/>
      <c r="H450" s="96"/>
      <c r="I450" s="184">
        <f>IFERROR(ROUND(IF(ISNUMBER(INDEX('M04-S04'!$AN$16:$AN$198,2*(ROWS($R$437:$R450)-1)+1)),INDEX('M04-S04'!$AD$16:$AD$198,2*(ROWS($I$437:$I450)-1)+1),""),2),0)</f>
        <v>0</v>
      </c>
      <c r="J450" s="184">
        <f>IFERROR(ROUND(IF(ISNUMBER(INDEX('M04-S04'!$AN$16:$AN$198,2*(ROWS($R$437:$R450)-1)+1)),INDEX('M04-S04'!$AF$16:$AF$198,2*(ROWS($J$437:$J450)-1)+1),""),2),0)</f>
        <v>0</v>
      </c>
      <c r="K450" s="52">
        <f>IFERROR(ROUND(IF(ISNUMBER(INDEX('M04-S04'!$AN$16:$AN$198,2*(ROWS($R$437:$R450)-1)+1)),INDEX('M04-S04'!$AH$16:$AH$198,2*(ROWS($K$437:$K450)-1)+1),""),2),0)</f>
        <v>0</v>
      </c>
      <c r="M450" s="456" t="str">
        <f>IF(ISNUMBER(INDEX('M04-S04'!$AN$16:$AN$198,2*(ROWS($R$437:R450)-1)+1)),INDEX('M04-S04'!$X$16:$X$198,2*(ROWS($M$437:M450)-1)+1),"")</f>
        <v/>
      </c>
      <c r="N450" s="113"/>
      <c r="O450" s="459"/>
      <c r="P450" s="184" t="str">
        <f>IFERROR(IF(ISNUMBER(INDEX('M04-S04'!$AN$16:$AN$198,2*(ROWS($R$437:R450)-1)+1)),INDEX('M04-S04'!$AK$16:$AK$196,2*(ROWS($P$437:P450)-1)+1),""),"")</f>
        <v/>
      </c>
      <c r="Q450" s="184"/>
      <c r="R450" s="184">
        <f>IF(ISNUMBER(INDEX('M04-S04'!$AN$16:$AN$198,2*(ROWS($R$437:R450)-1)+1)),INDEX('M04-S04'!$AN$16:$AN$198,2*(ROWS($R$437:R450)-1)+1),0)</f>
        <v>0</v>
      </c>
      <c r="S450" s="23">
        <f>IF(NOT(ISNUMBER(INDEX('M04-S04'!$AN$16:$AN$198,2*(ROWS($R$437:R450)-1)+1))),INDEX('M04-S04'!$X$16:$X$198,2*(ROWS($S$437:S450)-1)+1),"")</f>
        <v>0</v>
      </c>
      <c r="T450" s="113"/>
      <c r="U450" s="459"/>
      <c r="V450" s="52" t="str">
        <f>IFERROR(IF(NOT(ISNUMBER(INDEX('M04-S04'!$AN$16:$AN$198,2*(ROWS($R$437:R450)-1)+1))),INDEX('M04-S04'!$AK$16:$AK$198,2*(ROWS($R$437:R450)-1)+1),0),0)</f>
        <v/>
      </c>
      <c r="W450" t="str">
        <f>IFERROR(IF(NOT(ISNUMBER(INDEX('M04-S04'!$AN$16:$AN$198,2*(ROWS($R$437:R450)-1)+1))),INDEX('M04-S04'!$BD$16:$BD$198,2*(ROWS($R$437:R450)-1)+1),""),"")</f>
        <v>Submit for Review</v>
      </c>
      <c r="X450" s="113"/>
      <c r="Y450" s="113"/>
      <c r="Z450" s="111">
        <f>INDEX('M04-S04'!$B$16:$B$198,2*(ROWS($Z$437:Z450)-1)+1)</f>
        <v>14</v>
      </c>
      <c r="AA450" s="112"/>
      <c r="AB450" s="111">
        <f>INDEX('M04-S04'!$F$16:$F$198,2*(ROWS($Z$437:AB450)-1)+1)</f>
        <v>0</v>
      </c>
      <c r="AC450">
        <f>INDEX('M04-S04'!$L$16:$L$198,2*(ROWS($AC$437:AC450)-1)+1)</f>
        <v>0</v>
      </c>
      <c r="AD450">
        <f>INDEX('M04-S04'!$T$16:$T$198,2*(ROWS($AD$437:AD450)-1)+1)</f>
        <v>0</v>
      </c>
      <c r="AE450" s="459"/>
      <c r="AF450" s="459"/>
      <c r="AG450" s="96"/>
      <c r="AH450" s="96"/>
      <c r="AI450" s="111">
        <f>INDEX('M04-S04'!$R$16:$R$198,2*(ROWS($AG$437:AI450)-1)+1)</f>
        <v>0</v>
      </c>
      <c r="AJ450" s="111">
        <f>INDEX('M04-S04'!$Z$16:$Z$198,2*(ROWS($AH$437:AJ450)-1)+1)</f>
        <v>0</v>
      </c>
      <c r="AK450" s="52" t="str">
        <f>INDEX('M04-S04'!$AV$16:$AV$198,2*(ROWS($AK$437:AK450)-1)+1)</f>
        <v/>
      </c>
      <c r="AL450" s="184">
        <f>IF(NOT(ISNUMBER(INDEX('M04-S04'!$AN$16:$AN$198,2*(ROWS($R$437:$R450)-1)+1))),INDEX('M04-S04'!$AD$16:$AD$198,2*(ROWS($AL$437:$AL450)-1)+1),"")</f>
        <v>0</v>
      </c>
      <c r="AM450" s="184" t="str">
        <f>IF(NOT(ISNUMBER(INDEX('M04-S04'!$AN$16:$AN$198,2*(ROWS($R$437:$R450)-1)+1))),INDEX('M04-S04'!$AF$16:$AF$198,2*(ROWS($AM$437:$AM450)-1)+1),"")</f>
        <v/>
      </c>
      <c r="AN450" s="52" t="str">
        <f>IF(NOT(ISNUMBER(INDEX('M04-S04'!$AN$16:$AN$198,2*(ROWS($R$437:$R450)-1)+1))),INDEX('M04-S04'!$AH$16:$AH$198,2*(ROWS($AN$437:$AN450)-1)+1),"")</f>
        <v/>
      </c>
      <c r="AO450" s="113"/>
      <c r="AU450"/>
    </row>
    <row r="451" spans="1:47">
      <c r="A451" s="57">
        <f t="shared" si="43"/>
        <v>0</v>
      </c>
      <c r="B451" s="183" t="str">
        <f t="shared" si="45"/>
        <v/>
      </c>
      <c r="C451" s="186" t="str">
        <f>IF(OR(R451&gt;0,V451&gt;0),INDEX('M04-S04'!$BC$16:$BC$198,2*(ROWS($C$437:C451)-1)+1),"")</f>
        <v/>
      </c>
      <c r="D451" t="s">
        <v>231</v>
      </c>
      <c r="E451" s="112"/>
      <c r="F451" s="112"/>
      <c r="G451" s="96"/>
      <c r="H451" s="96"/>
      <c r="I451" s="184">
        <f>IFERROR(ROUND(IF(ISNUMBER(INDEX('M04-S04'!$AN$16:$AN$198,2*(ROWS($R$437:$R451)-1)+1)),INDEX('M04-S04'!$AD$16:$AD$198,2*(ROWS($I$437:$I451)-1)+1),""),2),0)</f>
        <v>0</v>
      </c>
      <c r="J451" s="184">
        <f>IFERROR(ROUND(IF(ISNUMBER(INDEX('M04-S04'!$AN$16:$AN$198,2*(ROWS($R$437:$R451)-1)+1)),INDEX('M04-S04'!$AF$16:$AF$198,2*(ROWS($J$437:$J451)-1)+1),""),2),0)</f>
        <v>0</v>
      </c>
      <c r="K451" s="52">
        <f>IFERROR(ROUND(IF(ISNUMBER(INDEX('M04-S04'!$AN$16:$AN$198,2*(ROWS($R$437:$R451)-1)+1)),INDEX('M04-S04'!$AH$16:$AH$198,2*(ROWS($K$437:$K451)-1)+1),""),2),0)</f>
        <v>0</v>
      </c>
      <c r="M451" s="456" t="str">
        <f>IF(ISNUMBER(INDEX('M04-S04'!$AN$16:$AN$198,2*(ROWS($R$437:R451)-1)+1)),INDEX('M04-S04'!$X$16:$X$198,2*(ROWS($M$437:M451)-1)+1),"")</f>
        <v/>
      </c>
      <c r="N451" s="113"/>
      <c r="O451" s="459"/>
      <c r="P451" s="184" t="str">
        <f>IFERROR(IF(ISNUMBER(INDEX('M04-S04'!$AN$16:$AN$198,2*(ROWS($R$437:R451)-1)+1)),INDEX('M04-S04'!$AK$16:$AK$196,2*(ROWS($P$437:P451)-1)+1),""),"")</f>
        <v/>
      </c>
      <c r="Q451" s="184"/>
      <c r="R451" s="184">
        <f>IF(ISNUMBER(INDEX('M04-S04'!$AN$16:$AN$198,2*(ROWS($R$437:R451)-1)+1)),INDEX('M04-S04'!$AN$16:$AN$198,2*(ROWS($R$437:R451)-1)+1),0)</f>
        <v>0</v>
      </c>
      <c r="S451" s="23">
        <f>IF(NOT(ISNUMBER(INDEX('M04-S04'!$AN$16:$AN$198,2*(ROWS($R$437:R451)-1)+1))),INDEX('M04-S04'!$X$16:$X$198,2*(ROWS($S$437:S451)-1)+1),"")</f>
        <v>0</v>
      </c>
      <c r="T451" s="113"/>
      <c r="U451" s="459"/>
      <c r="V451" s="52" t="str">
        <f>IFERROR(IF(NOT(ISNUMBER(INDEX('M04-S04'!$AN$16:$AN$198,2*(ROWS($R$437:R451)-1)+1))),INDEX('M04-S04'!$AK$16:$AK$198,2*(ROWS($R$437:R451)-1)+1),0),0)</f>
        <v/>
      </c>
      <c r="W451" t="str">
        <f>IFERROR(IF(NOT(ISNUMBER(INDEX('M04-S04'!$AN$16:$AN$198,2*(ROWS($R$437:R451)-1)+1))),INDEX('M04-S04'!$BD$16:$BD$198,2*(ROWS($R$437:R451)-1)+1),""),"")</f>
        <v>Submit for Review</v>
      </c>
      <c r="X451" s="113"/>
      <c r="Y451" s="113"/>
      <c r="Z451" s="111">
        <f>INDEX('M04-S04'!$B$16:$B$198,2*(ROWS($Z$437:Z451)-1)+1)</f>
        <v>15</v>
      </c>
      <c r="AA451" s="112"/>
      <c r="AB451" s="111">
        <f>INDEX('M04-S04'!$F$16:$F$198,2*(ROWS($Z$437:AB451)-1)+1)</f>
        <v>0</v>
      </c>
      <c r="AC451">
        <f>INDEX('M04-S04'!$L$16:$L$198,2*(ROWS($AC$437:AC451)-1)+1)</f>
        <v>0</v>
      </c>
      <c r="AD451">
        <f>INDEX('M04-S04'!$T$16:$T$198,2*(ROWS($AD$437:AD451)-1)+1)</f>
        <v>0</v>
      </c>
      <c r="AE451" s="459"/>
      <c r="AF451" s="459"/>
      <c r="AG451" s="96"/>
      <c r="AH451" s="96"/>
      <c r="AI451" s="111">
        <f>INDEX('M04-S04'!$R$16:$R$198,2*(ROWS($AG$437:AI451)-1)+1)</f>
        <v>0</v>
      </c>
      <c r="AJ451" s="111">
        <f>INDEX('M04-S04'!$Z$16:$Z$198,2*(ROWS($AH$437:AJ451)-1)+1)</f>
        <v>0</v>
      </c>
      <c r="AK451" s="52" t="str">
        <f>INDEX('M04-S04'!$AV$16:$AV$198,2*(ROWS($AK$437:AK451)-1)+1)</f>
        <v/>
      </c>
      <c r="AL451" s="184">
        <f>IF(NOT(ISNUMBER(INDEX('M04-S04'!$AN$16:$AN$198,2*(ROWS($R$437:$R451)-1)+1))),INDEX('M04-S04'!$AD$16:$AD$198,2*(ROWS($AL$437:$AL451)-1)+1),"")</f>
        <v>0</v>
      </c>
      <c r="AM451" s="184" t="str">
        <f>IF(NOT(ISNUMBER(INDEX('M04-S04'!$AN$16:$AN$198,2*(ROWS($R$437:$R451)-1)+1))),INDEX('M04-S04'!$AF$16:$AF$198,2*(ROWS($AM$437:$AM451)-1)+1),"")</f>
        <v/>
      </c>
      <c r="AN451" s="52" t="str">
        <f>IF(NOT(ISNUMBER(INDEX('M04-S04'!$AN$16:$AN$198,2*(ROWS($R$437:$R451)-1)+1))),INDEX('M04-S04'!$AH$16:$AH$198,2*(ROWS($AN$437:$AN451)-1)+1),"")</f>
        <v/>
      </c>
      <c r="AO451" s="113"/>
      <c r="AU451"/>
    </row>
    <row r="452" spans="1:47">
      <c r="A452" s="57">
        <f t="shared" si="43"/>
        <v>0</v>
      </c>
      <c r="B452" s="183" t="str">
        <f t="shared" si="45"/>
        <v/>
      </c>
      <c r="C452" s="186" t="str">
        <f>IF(OR(R452&gt;0,V452&gt;0),INDEX('M04-S04'!$BC$16:$BC$198,2*(ROWS($C$437:C452)-1)+1),"")</f>
        <v/>
      </c>
      <c r="D452" t="s">
        <v>231</v>
      </c>
      <c r="E452" s="112"/>
      <c r="F452" s="112"/>
      <c r="G452" s="96"/>
      <c r="H452" s="96"/>
      <c r="I452" s="184">
        <f>IFERROR(ROUND(IF(ISNUMBER(INDEX('M04-S04'!$AN$16:$AN$198,2*(ROWS($R$437:$R452)-1)+1)),INDEX('M04-S04'!$AD$16:$AD$198,2*(ROWS($I$437:$I452)-1)+1),""),2),0)</f>
        <v>0</v>
      </c>
      <c r="J452" s="184">
        <f>IFERROR(ROUND(IF(ISNUMBER(INDEX('M04-S04'!$AN$16:$AN$198,2*(ROWS($R$437:$R452)-1)+1)),INDEX('M04-S04'!$AF$16:$AF$198,2*(ROWS($J$437:$J452)-1)+1),""),2),0)</f>
        <v>0</v>
      </c>
      <c r="K452" s="52">
        <f>IFERROR(ROUND(IF(ISNUMBER(INDEX('M04-S04'!$AN$16:$AN$198,2*(ROWS($R$437:$R452)-1)+1)),INDEX('M04-S04'!$AH$16:$AH$198,2*(ROWS($K$437:$K452)-1)+1),""),2),0)</f>
        <v>0</v>
      </c>
      <c r="M452" s="456" t="str">
        <f>IF(ISNUMBER(INDEX('M04-S04'!$AN$16:$AN$198,2*(ROWS($R$437:R452)-1)+1)),INDEX('M04-S04'!$X$16:$X$198,2*(ROWS($M$437:M452)-1)+1),"")</f>
        <v/>
      </c>
      <c r="N452" s="113"/>
      <c r="O452" s="459"/>
      <c r="P452" s="184" t="str">
        <f>IFERROR(IF(ISNUMBER(INDEX('M04-S04'!$AN$16:$AN$198,2*(ROWS($R$437:R452)-1)+1)),INDEX('M04-S04'!$AK$16:$AK$196,2*(ROWS($P$437:P452)-1)+1),""),"")</f>
        <v/>
      </c>
      <c r="Q452" s="184"/>
      <c r="R452" s="184">
        <f>IF(ISNUMBER(INDEX('M04-S04'!$AN$16:$AN$198,2*(ROWS($R$437:R452)-1)+1)),INDEX('M04-S04'!$AN$16:$AN$198,2*(ROWS($R$437:R452)-1)+1),0)</f>
        <v>0</v>
      </c>
      <c r="S452" s="23">
        <f>IF(NOT(ISNUMBER(INDEX('M04-S04'!$AN$16:$AN$198,2*(ROWS($R$437:R452)-1)+1))),INDEX('M04-S04'!$X$16:$X$198,2*(ROWS($S$437:S452)-1)+1),"")</f>
        <v>0</v>
      </c>
      <c r="T452" s="113"/>
      <c r="U452" s="459"/>
      <c r="V452" s="52" t="str">
        <f>IFERROR(IF(NOT(ISNUMBER(INDEX('M04-S04'!$AN$16:$AN$198,2*(ROWS($R$437:R452)-1)+1))),INDEX('M04-S04'!$AK$16:$AK$198,2*(ROWS($R$437:R452)-1)+1),0),0)</f>
        <v/>
      </c>
      <c r="W452" t="str">
        <f>IFERROR(IF(NOT(ISNUMBER(INDEX('M04-S04'!$AN$16:$AN$198,2*(ROWS($R$437:R452)-1)+1))),INDEX('M04-S04'!$BD$16:$BD$198,2*(ROWS($R$437:R452)-1)+1),""),"")</f>
        <v>Submit for Review</v>
      </c>
      <c r="X452" s="113"/>
      <c r="Y452" s="113"/>
      <c r="Z452" s="111">
        <f>INDEX('M04-S04'!$B$16:$B$198,2*(ROWS($Z$437:Z452)-1)+1)</f>
        <v>16</v>
      </c>
      <c r="AA452" s="112"/>
      <c r="AB452" s="111">
        <f>INDEX('M04-S04'!$F$16:$F$198,2*(ROWS($Z$437:AB452)-1)+1)</f>
        <v>0</v>
      </c>
      <c r="AC452">
        <f>INDEX('M04-S04'!$L$16:$L$198,2*(ROWS($AC$437:AC452)-1)+1)</f>
        <v>0</v>
      </c>
      <c r="AD452">
        <f>INDEX('M04-S04'!$T$16:$T$198,2*(ROWS($AD$437:AD452)-1)+1)</f>
        <v>0</v>
      </c>
      <c r="AE452" s="459"/>
      <c r="AF452" s="459"/>
      <c r="AG452" s="96"/>
      <c r="AH452" s="96"/>
      <c r="AI452" s="111">
        <f>INDEX('M04-S04'!$R$16:$R$198,2*(ROWS($AG$437:AI452)-1)+1)</f>
        <v>0</v>
      </c>
      <c r="AJ452" s="111">
        <f>INDEX('M04-S04'!$Z$16:$Z$198,2*(ROWS($AH$437:AJ452)-1)+1)</f>
        <v>0</v>
      </c>
      <c r="AK452" s="52" t="str">
        <f>INDEX('M04-S04'!$AV$16:$AV$198,2*(ROWS($AK$437:AK452)-1)+1)</f>
        <v/>
      </c>
      <c r="AL452" s="184">
        <f>IF(NOT(ISNUMBER(INDEX('M04-S04'!$AN$16:$AN$198,2*(ROWS($R$437:$R452)-1)+1))),INDEX('M04-S04'!$AD$16:$AD$198,2*(ROWS($AL$437:$AL452)-1)+1),"")</f>
        <v>0</v>
      </c>
      <c r="AM452" s="184" t="str">
        <f>IF(NOT(ISNUMBER(INDEX('M04-S04'!$AN$16:$AN$198,2*(ROWS($R$437:$R452)-1)+1))),INDEX('M04-S04'!$AF$16:$AF$198,2*(ROWS($AM$437:$AM452)-1)+1),"")</f>
        <v/>
      </c>
      <c r="AN452" s="52" t="str">
        <f>IF(NOT(ISNUMBER(INDEX('M04-S04'!$AN$16:$AN$198,2*(ROWS($R$437:$R452)-1)+1))),INDEX('M04-S04'!$AH$16:$AH$198,2*(ROWS($AN$437:$AN452)-1)+1),"")</f>
        <v/>
      </c>
      <c r="AO452" s="113"/>
      <c r="AU452"/>
    </row>
    <row r="453" spans="1:47">
      <c r="A453" s="57">
        <f t="shared" si="43"/>
        <v>0</v>
      </c>
      <c r="B453" s="183" t="str">
        <f t="shared" si="45"/>
        <v/>
      </c>
      <c r="C453" s="186" t="str">
        <f>IF(OR(R453&gt;0,V453&gt;0),INDEX('M04-S04'!$BC$16:$BC$198,2*(ROWS($C$437:C453)-1)+1),"")</f>
        <v/>
      </c>
      <c r="D453" t="s">
        <v>231</v>
      </c>
      <c r="E453" s="112"/>
      <c r="F453" s="112"/>
      <c r="G453" s="96"/>
      <c r="H453" s="96"/>
      <c r="I453" s="184">
        <f>IFERROR(ROUND(IF(ISNUMBER(INDEX('M04-S04'!$AN$16:$AN$198,2*(ROWS($R$437:$R453)-1)+1)),INDEX('M04-S04'!$AD$16:$AD$198,2*(ROWS($I$437:$I453)-1)+1),""),2),0)</f>
        <v>0</v>
      </c>
      <c r="J453" s="184">
        <f>IFERROR(ROUND(IF(ISNUMBER(INDEX('M04-S04'!$AN$16:$AN$198,2*(ROWS($R$437:$R453)-1)+1)),INDEX('M04-S04'!$AF$16:$AF$198,2*(ROWS($J$437:$J453)-1)+1),""),2),0)</f>
        <v>0</v>
      </c>
      <c r="K453" s="52">
        <f>IFERROR(ROUND(IF(ISNUMBER(INDEX('M04-S04'!$AN$16:$AN$198,2*(ROWS($R$437:$R453)-1)+1)),INDEX('M04-S04'!$AH$16:$AH$198,2*(ROWS($K$437:$K453)-1)+1),""),2),0)</f>
        <v>0</v>
      </c>
      <c r="M453" s="456" t="str">
        <f>IF(ISNUMBER(INDEX('M04-S04'!$AN$16:$AN$198,2*(ROWS($R$437:R453)-1)+1)),INDEX('M04-S04'!$X$16:$X$198,2*(ROWS($M$437:M453)-1)+1),"")</f>
        <v/>
      </c>
      <c r="N453" s="113"/>
      <c r="O453" s="459"/>
      <c r="P453" s="184" t="str">
        <f>IFERROR(IF(ISNUMBER(INDEX('M04-S04'!$AN$16:$AN$198,2*(ROWS($R$437:R453)-1)+1)),INDEX('M04-S04'!$AK$16:$AK$196,2*(ROWS($P$437:P453)-1)+1),""),"")</f>
        <v/>
      </c>
      <c r="Q453" s="184"/>
      <c r="R453" s="184">
        <f>IF(ISNUMBER(INDEX('M04-S04'!$AN$16:$AN$198,2*(ROWS($R$437:R453)-1)+1)),INDEX('M04-S04'!$AN$16:$AN$198,2*(ROWS($R$437:R453)-1)+1),0)</f>
        <v>0</v>
      </c>
      <c r="S453" s="23">
        <f>IF(NOT(ISNUMBER(INDEX('M04-S04'!$AN$16:$AN$198,2*(ROWS($R$437:R453)-1)+1))),INDEX('M04-S04'!$X$16:$X$198,2*(ROWS($S$437:S453)-1)+1),"")</f>
        <v>0</v>
      </c>
      <c r="T453" s="113"/>
      <c r="U453" s="459"/>
      <c r="V453" s="52" t="str">
        <f>IFERROR(IF(NOT(ISNUMBER(INDEX('M04-S04'!$AN$16:$AN$198,2*(ROWS($R$437:R453)-1)+1))),INDEX('M04-S04'!$AK$16:$AK$198,2*(ROWS($R$437:R453)-1)+1),0),0)</f>
        <v/>
      </c>
      <c r="W453" t="str">
        <f>IFERROR(IF(NOT(ISNUMBER(INDEX('M04-S04'!$AN$16:$AN$198,2*(ROWS($R$437:R453)-1)+1))),INDEX('M04-S04'!$BD$16:$BD$198,2*(ROWS($R$437:R453)-1)+1),""),"")</f>
        <v>Submit for Review</v>
      </c>
      <c r="X453" s="113"/>
      <c r="Y453" s="113"/>
      <c r="Z453" s="111">
        <f>INDEX('M04-S04'!$B$16:$B$198,2*(ROWS($Z$437:Z453)-1)+1)</f>
        <v>17</v>
      </c>
      <c r="AA453" s="112"/>
      <c r="AB453" s="111">
        <f>INDEX('M04-S04'!$F$16:$F$198,2*(ROWS($Z$437:AB453)-1)+1)</f>
        <v>0</v>
      </c>
      <c r="AC453">
        <f>INDEX('M04-S04'!$L$16:$L$198,2*(ROWS($AC$437:AC453)-1)+1)</f>
        <v>0</v>
      </c>
      <c r="AD453">
        <f>INDEX('M04-S04'!$T$16:$T$198,2*(ROWS($AD$437:AD453)-1)+1)</f>
        <v>0</v>
      </c>
      <c r="AE453" s="459"/>
      <c r="AF453" s="459"/>
      <c r="AG453" s="96"/>
      <c r="AH453" s="96"/>
      <c r="AI453" s="111">
        <f>INDEX('M04-S04'!$R$16:$R$198,2*(ROWS($AG$437:AI453)-1)+1)</f>
        <v>0</v>
      </c>
      <c r="AJ453" s="111">
        <f>INDEX('M04-S04'!$Z$16:$Z$198,2*(ROWS($AH$437:AJ453)-1)+1)</f>
        <v>0</v>
      </c>
      <c r="AK453" s="52" t="str">
        <f>INDEX('M04-S04'!$AV$16:$AV$198,2*(ROWS($AK$437:AK453)-1)+1)</f>
        <v/>
      </c>
      <c r="AL453" s="184">
        <f>IF(NOT(ISNUMBER(INDEX('M04-S04'!$AN$16:$AN$198,2*(ROWS($R$437:$R453)-1)+1))),INDEX('M04-S04'!$AD$16:$AD$198,2*(ROWS($AL$437:$AL453)-1)+1),"")</f>
        <v>0</v>
      </c>
      <c r="AM453" s="184" t="str">
        <f>IF(NOT(ISNUMBER(INDEX('M04-S04'!$AN$16:$AN$198,2*(ROWS($R$437:$R453)-1)+1))),INDEX('M04-S04'!$AF$16:$AF$198,2*(ROWS($AM$437:$AM453)-1)+1),"")</f>
        <v/>
      </c>
      <c r="AN453" s="52" t="str">
        <f>IF(NOT(ISNUMBER(INDEX('M04-S04'!$AN$16:$AN$198,2*(ROWS($R$437:$R453)-1)+1))),INDEX('M04-S04'!$AH$16:$AH$198,2*(ROWS($AN$437:$AN453)-1)+1),"")</f>
        <v/>
      </c>
      <c r="AO453" s="113"/>
      <c r="AU453"/>
    </row>
    <row r="454" spans="1:47">
      <c r="A454" s="57">
        <f t="shared" si="43"/>
        <v>0</v>
      </c>
      <c r="B454" s="183" t="str">
        <f t="shared" si="45"/>
        <v/>
      </c>
      <c r="C454" s="186" t="str">
        <f>IF(OR(R454&gt;0,V454&gt;0),INDEX('M04-S04'!$BC$16:$BC$198,2*(ROWS($C$437:C454)-1)+1),"")</f>
        <v/>
      </c>
      <c r="D454" t="s">
        <v>231</v>
      </c>
      <c r="E454" s="112"/>
      <c r="F454" s="112"/>
      <c r="G454" s="96"/>
      <c r="H454" s="96"/>
      <c r="I454" s="184">
        <f>IFERROR(ROUND(IF(ISNUMBER(INDEX('M04-S04'!$AN$16:$AN$198,2*(ROWS($R$437:$R454)-1)+1)),INDEX('M04-S04'!$AD$16:$AD$198,2*(ROWS($I$437:$I454)-1)+1),""),2),0)</f>
        <v>0</v>
      </c>
      <c r="J454" s="184">
        <f>IFERROR(ROUND(IF(ISNUMBER(INDEX('M04-S04'!$AN$16:$AN$198,2*(ROWS($R$437:$R454)-1)+1)),INDEX('M04-S04'!$AF$16:$AF$198,2*(ROWS($J$437:$J454)-1)+1),""),2),0)</f>
        <v>0</v>
      </c>
      <c r="K454" s="52">
        <f>IFERROR(ROUND(IF(ISNUMBER(INDEX('M04-S04'!$AN$16:$AN$198,2*(ROWS($R$437:$R454)-1)+1)),INDEX('M04-S04'!$AH$16:$AH$198,2*(ROWS($K$437:$K454)-1)+1),""),2),0)</f>
        <v>0</v>
      </c>
      <c r="M454" s="456" t="str">
        <f>IF(ISNUMBER(INDEX('M04-S04'!$AN$16:$AN$198,2*(ROWS($R$437:R454)-1)+1)),INDEX('M04-S04'!$X$16:$X$198,2*(ROWS($M$437:M454)-1)+1),"")</f>
        <v/>
      </c>
      <c r="N454" s="113"/>
      <c r="O454" s="459"/>
      <c r="P454" s="184" t="str">
        <f>IFERROR(IF(ISNUMBER(INDEX('M04-S04'!$AN$16:$AN$198,2*(ROWS($R$437:R454)-1)+1)),INDEX('M04-S04'!$AK$16:$AK$196,2*(ROWS($P$437:P454)-1)+1),""),"")</f>
        <v/>
      </c>
      <c r="Q454" s="184"/>
      <c r="R454" s="184">
        <f>IF(ISNUMBER(INDEX('M04-S04'!$AN$16:$AN$198,2*(ROWS($R$437:R454)-1)+1)),INDEX('M04-S04'!$AN$16:$AN$198,2*(ROWS($R$437:R454)-1)+1),0)</f>
        <v>0</v>
      </c>
      <c r="S454" s="23">
        <f>IF(NOT(ISNUMBER(INDEX('M04-S04'!$AN$16:$AN$198,2*(ROWS($R$437:R454)-1)+1))),INDEX('M04-S04'!$X$16:$X$198,2*(ROWS($S$437:S454)-1)+1),"")</f>
        <v>0</v>
      </c>
      <c r="T454" s="113"/>
      <c r="U454" s="459"/>
      <c r="V454" s="52" t="str">
        <f>IFERROR(IF(NOT(ISNUMBER(INDEX('M04-S04'!$AN$16:$AN$198,2*(ROWS($R$437:R454)-1)+1))),INDEX('M04-S04'!$AK$16:$AK$198,2*(ROWS($R$437:R454)-1)+1),0),0)</f>
        <v/>
      </c>
      <c r="W454" t="str">
        <f>IFERROR(IF(NOT(ISNUMBER(INDEX('M04-S04'!$AN$16:$AN$198,2*(ROWS($R$437:R454)-1)+1))),INDEX('M04-S04'!$BD$16:$BD$198,2*(ROWS($R$437:R454)-1)+1),""),"")</f>
        <v>Submit for Review</v>
      </c>
      <c r="X454" s="113"/>
      <c r="Y454" s="113"/>
      <c r="Z454" s="111">
        <f>INDEX('M04-S04'!$B$16:$B$198,2*(ROWS($Z$437:Z454)-1)+1)</f>
        <v>18</v>
      </c>
      <c r="AA454" s="112"/>
      <c r="AB454" s="111">
        <f>INDEX('M04-S04'!$F$16:$F$198,2*(ROWS($Z$437:AB454)-1)+1)</f>
        <v>0</v>
      </c>
      <c r="AC454">
        <f>INDEX('M04-S04'!$L$16:$L$198,2*(ROWS($AC$437:AC454)-1)+1)</f>
        <v>0</v>
      </c>
      <c r="AD454">
        <f>INDEX('M04-S04'!$T$16:$T$198,2*(ROWS($AD$437:AD454)-1)+1)</f>
        <v>0</v>
      </c>
      <c r="AE454" s="459"/>
      <c r="AF454" s="459"/>
      <c r="AG454" s="96"/>
      <c r="AH454" s="96"/>
      <c r="AI454" s="111">
        <f>INDEX('M04-S04'!$R$16:$R$198,2*(ROWS($AG$437:AI454)-1)+1)</f>
        <v>0</v>
      </c>
      <c r="AJ454" s="111">
        <f>INDEX('M04-S04'!$Z$16:$Z$198,2*(ROWS($AH$437:AJ454)-1)+1)</f>
        <v>0</v>
      </c>
      <c r="AK454" s="52" t="str">
        <f>INDEX('M04-S04'!$AV$16:$AV$198,2*(ROWS($AK$437:AK454)-1)+1)</f>
        <v/>
      </c>
      <c r="AL454" s="184">
        <f>IF(NOT(ISNUMBER(INDEX('M04-S04'!$AN$16:$AN$198,2*(ROWS($R$437:$R454)-1)+1))),INDEX('M04-S04'!$AD$16:$AD$198,2*(ROWS($AL$437:$AL454)-1)+1),"")</f>
        <v>0</v>
      </c>
      <c r="AM454" s="184" t="str">
        <f>IF(NOT(ISNUMBER(INDEX('M04-S04'!$AN$16:$AN$198,2*(ROWS($R$437:$R454)-1)+1))),INDEX('M04-S04'!$AF$16:$AF$198,2*(ROWS($AM$437:$AM454)-1)+1),"")</f>
        <v/>
      </c>
      <c r="AN454" s="52" t="str">
        <f>IF(NOT(ISNUMBER(INDEX('M04-S04'!$AN$16:$AN$198,2*(ROWS($R$437:$R454)-1)+1))),INDEX('M04-S04'!$AH$16:$AH$198,2*(ROWS($AN$437:$AN454)-1)+1),"")</f>
        <v/>
      </c>
      <c r="AO454" s="113"/>
      <c r="AU454"/>
    </row>
    <row r="455" spans="1:47">
      <c r="A455" s="57">
        <f t="shared" si="43"/>
        <v>0</v>
      </c>
      <c r="B455" s="183" t="str">
        <f t="shared" si="45"/>
        <v/>
      </c>
      <c r="C455" s="186" t="str">
        <f>IF(OR(R455&gt;0,V455&gt;0),INDEX('M04-S04'!$BC$16:$BC$198,2*(ROWS($C$437:C455)-1)+1),"")</f>
        <v/>
      </c>
      <c r="D455" t="s">
        <v>231</v>
      </c>
      <c r="E455" s="112"/>
      <c r="F455" s="112"/>
      <c r="G455" s="96"/>
      <c r="H455" s="96"/>
      <c r="I455" s="184">
        <f>IFERROR(ROUND(IF(ISNUMBER(INDEX('M04-S04'!$AN$16:$AN$198,2*(ROWS($R$437:$R455)-1)+1)),INDEX('M04-S04'!$AD$16:$AD$198,2*(ROWS($I$437:$I455)-1)+1),""),2),0)</f>
        <v>0</v>
      </c>
      <c r="J455" s="184">
        <f>IFERROR(ROUND(IF(ISNUMBER(INDEX('M04-S04'!$AN$16:$AN$198,2*(ROWS($R$437:$R455)-1)+1)),INDEX('M04-S04'!$AF$16:$AF$198,2*(ROWS($J$437:$J455)-1)+1),""),2),0)</f>
        <v>0</v>
      </c>
      <c r="K455" s="52">
        <f>IFERROR(ROUND(IF(ISNUMBER(INDEX('M04-S04'!$AN$16:$AN$198,2*(ROWS($R$437:$R455)-1)+1)),INDEX('M04-S04'!$AH$16:$AH$198,2*(ROWS($K$437:$K455)-1)+1),""),2),0)</f>
        <v>0</v>
      </c>
      <c r="M455" s="456" t="str">
        <f>IF(ISNUMBER(INDEX('M04-S04'!$AN$16:$AN$198,2*(ROWS($R$437:R455)-1)+1)),INDEX('M04-S04'!$X$16:$X$198,2*(ROWS($M$437:M455)-1)+1),"")</f>
        <v/>
      </c>
      <c r="N455" s="113"/>
      <c r="O455" s="459"/>
      <c r="P455" s="184" t="str">
        <f>IFERROR(IF(ISNUMBER(INDEX('M04-S04'!$AN$16:$AN$198,2*(ROWS($R$437:R455)-1)+1)),INDEX('M04-S04'!$AK$16:$AK$196,2*(ROWS($P$437:P455)-1)+1),""),"")</f>
        <v/>
      </c>
      <c r="Q455" s="184"/>
      <c r="R455" s="184">
        <f>IF(ISNUMBER(INDEX('M04-S04'!$AN$16:$AN$198,2*(ROWS($R$437:R455)-1)+1)),INDEX('M04-S04'!$AN$16:$AN$198,2*(ROWS($R$437:R455)-1)+1),0)</f>
        <v>0</v>
      </c>
      <c r="S455" s="23">
        <f>IF(NOT(ISNUMBER(INDEX('M04-S04'!$AN$16:$AN$198,2*(ROWS($R$437:R455)-1)+1))),INDEX('M04-S04'!$X$16:$X$198,2*(ROWS($S$437:S455)-1)+1),"")</f>
        <v>0</v>
      </c>
      <c r="T455" s="113"/>
      <c r="U455" s="459"/>
      <c r="V455" s="52" t="str">
        <f>IFERROR(IF(NOT(ISNUMBER(INDEX('M04-S04'!$AN$16:$AN$198,2*(ROWS($R$437:R455)-1)+1))),INDEX('M04-S04'!$AK$16:$AK$198,2*(ROWS($R$437:R455)-1)+1),0),0)</f>
        <v/>
      </c>
      <c r="W455" t="str">
        <f>IFERROR(IF(NOT(ISNUMBER(INDEX('M04-S04'!$AN$16:$AN$198,2*(ROWS($R$437:R455)-1)+1))),INDEX('M04-S04'!$BD$16:$BD$198,2*(ROWS($R$437:R455)-1)+1),""),"")</f>
        <v>Submit for Review</v>
      </c>
      <c r="X455" s="113"/>
      <c r="Y455" s="113"/>
      <c r="Z455" s="111">
        <f>INDEX('M04-S04'!$B$16:$B$198,2*(ROWS($Z$437:Z455)-1)+1)</f>
        <v>19</v>
      </c>
      <c r="AA455" s="112"/>
      <c r="AB455" s="111">
        <f>INDEX('M04-S04'!$F$16:$F$198,2*(ROWS($Z$437:AB455)-1)+1)</f>
        <v>0</v>
      </c>
      <c r="AC455">
        <f>INDEX('M04-S04'!$L$16:$L$198,2*(ROWS($AC$437:AC455)-1)+1)</f>
        <v>0</v>
      </c>
      <c r="AD455">
        <f>INDEX('M04-S04'!$T$16:$T$198,2*(ROWS($AD$437:AD455)-1)+1)</f>
        <v>0</v>
      </c>
      <c r="AE455" s="459"/>
      <c r="AF455" s="459"/>
      <c r="AG455" s="96"/>
      <c r="AH455" s="96"/>
      <c r="AI455" s="111">
        <f>INDEX('M04-S04'!$R$16:$R$198,2*(ROWS($AG$437:AI455)-1)+1)</f>
        <v>0</v>
      </c>
      <c r="AJ455" s="111">
        <f>INDEX('M04-S04'!$Z$16:$Z$198,2*(ROWS($AH$437:AJ455)-1)+1)</f>
        <v>0</v>
      </c>
      <c r="AK455" s="52" t="str">
        <f>INDEX('M04-S04'!$AV$16:$AV$198,2*(ROWS($AK$437:AK455)-1)+1)</f>
        <v/>
      </c>
      <c r="AL455" s="184">
        <f>IF(NOT(ISNUMBER(INDEX('M04-S04'!$AN$16:$AN$198,2*(ROWS($R$437:$R455)-1)+1))),INDEX('M04-S04'!$AD$16:$AD$198,2*(ROWS($AL$437:$AL455)-1)+1),"")</f>
        <v>0</v>
      </c>
      <c r="AM455" s="184" t="str">
        <f>IF(NOT(ISNUMBER(INDEX('M04-S04'!$AN$16:$AN$198,2*(ROWS($R$437:$R455)-1)+1))),INDEX('M04-S04'!$AF$16:$AF$198,2*(ROWS($AM$437:$AM455)-1)+1),"")</f>
        <v/>
      </c>
      <c r="AN455" s="52" t="str">
        <f>IF(NOT(ISNUMBER(INDEX('M04-S04'!$AN$16:$AN$198,2*(ROWS($R$437:$R455)-1)+1))),INDEX('M04-S04'!$AH$16:$AH$198,2*(ROWS($AN$437:$AN455)-1)+1),"")</f>
        <v/>
      </c>
      <c r="AO455" s="113"/>
      <c r="AU455"/>
    </row>
    <row r="456" spans="1:47">
      <c r="A456" s="57">
        <f t="shared" si="43"/>
        <v>0</v>
      </c>
      <c r="B456" s="183" t="str">
        <f t="shared" si="45"/>
        <v/>
      </c>
      <c r="C456" s="186" t="str">
        <f>IF(OR(R456&gt;0,V456&gt;0),INDEX('M04-S04'!$BC$16:$BC$198,2*(ROWS($C$437:C456)-1)+1),"")</f>
        <v/>
      </c>
      <c r="D456" t="s">
        <v>231</v>
      </c>
      <c r="E456" s="112"/>
      <c r="F456" s="112"/>
      <c r="G456" s="96"/>
      <c r="H456" s="96"/>
      <c r="I456" s="184">
        <f>IFERROR(ROUND(IF(ISNUMBER(INDEX('M04-S04'!$AN$16:$AN$198,2*(ROWS($R$437:$R456)-1)+1)),INDEX('M04-S04'!$AD$16:$AD$198,2*(ROWS($I$437:$I456)-1)+1),""),2),0)</f>
        <v>0</v>
      </c>
      <c r="J456" s="184">
        <f>IFERROR(ROUND(IF(ISNUMBER(INDEX('M04-S04'!$AN$16:$AN$198,2*(ROWS($R$437:$R456)-1)+1)),INDEX('M04-S04'!$AF$16:$AF$198,2*(ROWS($J$437:$J456)-1)+1),""),2),0)</f>
        <v>0</v>
      </c>
      <c r="K456" s="52">
        <f>IFERROR(ROUND(IF(ISNUMBER(INDEX('M04-S04'!$AN$16:$AN$198,2*(ROWS($R$437:$R456)-1)+1)),INDEX('M04-S04'!$AH$16:$AH$198,2*(ROWS($K$437:$K456)-1)+1),""),2),0)</f>
        <v>0</v>
      </c>
      <c r="M456" s="456" t="str">
        <f>IF(ISNUMBER(INDEX('M04-S04'!$AN$16:$AN$198,2*(ROWS($R$437:R456)-1)+1)),INDEX('M04-S04'!$X$16:$X$198,2*(ROWS($M$437:M456)-1)+1),"")</f>
        <v/>
      </c>
      <c r="N456" s="113"/>
      <c r="O456" s="459"/>
      <c r="P456" s="184" t="str">
        <f>IFERROR(IF(ISNUMBER(INDEX('M04-S04'!$AN$16:$AN$198,2*(ROWS($R$437:R456)-1)+1)),INDEX('M04-S04'!$AK$16:$AK$196,2*(ROWS($P$437:P456)-1)+1),""),"")</f>
        <v/>
      </c>
      <c r="Q456" s="184"/>
      <c r="R456" s="184">
        <f>IF(ISNUMBER(INDEX('M04-S04'!$AN$16:$AN$198,2*(ROWS($R$437:R456)-1)+1)),INDEX('M04-S04'!$AN$16:$AN$198,2*(ROWS($R$437:R456)-1)+1),0)</f>
        <v>0</v>
      </c>
      <c r="S456" s="23">
        <f>IF(NOT(ISNUMBER(INDEX('M04-S04'!$AN$16:$AN$198,2*(ROWS($R$437:R456)-1)+1))),INDEX('M04-S04'!$X$16:$X$198,2*(ROWS($S$437:S456)-1)+1),"")</f>
        <v>0</v>
      </c>
      <c r="T456" s="113"/>
      <c r="U456" s="459"/>
      <c r="V456" s="52" t="str">
        <f>IFERROR(IF(NOT(ISNUMBER(INDEX('M04-S04'!$AN$16:$AN$198,2*(ROWS($R$437:R456)-1)+1))),INDEX('M04-S04'!$AK$16:$AK$198,2*(ROWS($R$437:R456)-1)+1),0),0)</f>
        <v/>
      </c>
      <c r="W456" t="str">
        <f>IFERROR(IF(NOT(ISNUMBER(INDEX('M04-S04'!$AN$16:$AN$198,2*(ROWS($R$437:R456)-1)+1))),INDEX('M04-S04'!$BD$16:$BD$198,2*(ROWS($R$437:R456)-1)+1),""),"")</f>
        <v>Submit for Review</v>
      </c>
      <c r="X456" s="113"/>
      <c r="Y456" s="113"/>
      <c r="Z456" s="111">
        <f>INDEX('M04-S04'!$B$16:$B$198,2*(ROWS($Z$437:Z456)-1)+1)</f>
        <v>20</v>
      </c>
      <c r="AA456" s="112"/>
      <c r="AB456" s="111">
        <f>INDEX('M04-S04'!$F$16:$F$198,2*(ROWS($Z$437:AB456)-1)+1)</f>
        <v>0</v>
      </c>
      <c r="AC456">
        <f>INDEX('M04-S04'!$L$16:$L$198,2*(ROWS($AC$437:AC456)-1)+1)</f>
        <v>0</v>
      </c>
      <c r="AD456">
        <f>INDEX('M04-S04'!$T$16:$T$198,2*(ROWS($AD$437:AD456)-1)+1)</f>
        <v>0</v>
      </c>
      <c r="AE456" s="459"/>
      <c r="AF456" s="459"/>
      <c r="AG456" s="96"/>
      <c r="AH456" s="96"/>
      <c r="AI456" s="111">
        <f>INDEX('M04-S04'!$R$16:$R$198,2*(ROWS($AG$437:AI456)-1)+1)</f>
        <v>0</v>
      </c>
      <c r="AJ456" s="111">
        <f>INDEX('M04-S04'!$Z$16:$Z$198,2*(ROWS($AH$437:AJ456)-1)+1)</f>
        <v>0</v>
      </c>
      <c r="AK456" s="52" t="str">
        <f>INDEX('M04-S04'!$AV$16:$AV$198,2*(ROWS($AK$437:AK456)-1)+1)</f>
        <v/>
      </c>
      <c r="AL456" s="184">
        <f>IF(NOT(ISNUMBER(INDEX('M04-S04'!$AN$16:$AN$198,2*(ROWS($R$437:$R456)-1)+1))),INDEX('M04-S04'!$AD$16:$AD$198,2*(ROWS($AL$437:$AL456)-1)+1),"")</f>
        <v>0</v>
      </c>
      <c r="AM456" s="184" t="str">
        <f>IF(NOT(ISNUMBER(INDEX('M04-S04'!$AN$16:$AN$198,2*(ROWS($R$437:$R456)-1)+1))),INDEX('M04-S04'!$AF$16:$AF$198,2*(ROWS($AM$437:$AM456)-1)+1),"")</f>
        <v/>
      </c>
      <c r="AN456" s="52" t="str">
        <f>IF(NOT(ISNUMBER(INDEX('M04-S04'!$AN$16:$AN$198,2*(ROWS($R$437:$R456)-1)+1))),INDEX('M04-S04'!$AH$16:$AH$198,2*(ROWS($AN$437:$AN456)-1)+1),"")</f>
        <v/>
      </c>
      <c r="AO456" s="113"/>
      <c r="AU456"/>
    </row>
    <row r="457" spans="1:47">
      <c r="A457" s="57">
        <f t="shared" si="43"/>
        <v>0</v>
      </c>
      <c r="B457" s="183" t="str">
        <f t="shared" si="45"/>
        <v/>
      </c>
      <c r="C457" s="186" t="str">
        <f>IF(OR(R457&gt;0,V457&gt;0),INDEX('M04-S04'!$BC$16:$BC$198,2*(ROWS($C$437:C457)-1)+1),"")</f>
        <v/>
      </c>
      <c r="D457" t="s">
        <v>231</v>
      </c>
      <c r="E457" s="112"/>
      <c r="F457" s="112"/>
      <c r="G457" s="96"/>
      <c r="H457" s="96"/>
      <c r="I457" s="184">
        <f>IFERROR(ROUND(IF(ISNUMBER(INDEX('M04-S04'!$AN$16:$AN$198,2*(ROWS($R$437:$R457)-1)+1)),INDEX('M04-S04'!$AD$16:$AD$198,2*(ROWS($I$437:$I457)-1)+1),""),2),0)</f>
        <v>0</v>
      </c>
      <c r="J457" s="184">
        <f>IFERROR(ROUND(IF(ISNUMBER(INDEX('M04-S04'!$AN$16:$AN$198,2*(ROWS($R$437:$R457)-1)+1)),INDEX('M04-S04'!$AF$16:$AF$198,2*(ROWS($J$437:$J457)-1)+1),""),2),0)</f>
        <v>0</v>
      </c>
      <c r="K457" s="52">
        <f>IFERROR(ROUND(IF(ISNUMBER(INDEX('M04-S04'!$AN$16:$AN$198,2*(ROWS($R$437:$R457)-1)+1)),INDEX('M04-S04'!$AH$16:$AH$198,2*(ROWS($K$437:$K457)-1)+1),""),2),0)</f>
        <v>0</v>
      </c>
      <c r="M457" s="456" t="str">
        <f>IF(ISNUMBER(INDEX('M04-S04'!$AN$16:$AN$198,2*(ROWS($R$437:R457)-1)+1)),INDEX('M04-S04'!$X$16:$X$198,2*(ROWS($M$437:M457)-1)+1),"")</f>
        <v/>
      </c>
      <c r="N457" s="113"/>
      <c r="O457" s="459"/>
      <c r="P457" s="184" t="str">
        <f>IFERROR(IF(ISNUMBER(INDEX('M04-S04'!$AN$16:$AN$198,2*(ROWS($R$437:R457)-1)+1)),INDEX('M04-S04'!$AK$16:$AK$196,2*(ROWS($P$437:P457)-1)+1),""),"")</f>
        <v/>
      </c>
      <c r="Q457" s="184"/>
      <c r="R457" s="184">
        <f>IF(ISNUMBER(INDEX('M04-S04'!$AN$16:$AN$198,2*(ROWS($R$437:R457)-1)+1)),INDEX('M04-S04'!$AN$16:$AN$198,2*(ROWS($R$437:R457)-1)+1),0)</f>
        <v>0</v>
      </c>
      <c r="S457" s="23">
        <f>IF(NOT(ISNUMBER(INDEX('M04-S04'!$AN$16:$AN$198,2*(ROWS($R$437:R457)-1)+1))),INDEX('M04-S04'!$X$16:$X$198,2*(ROWS($S$437:S457)-1)+1),"")</f>
        <v>0</v>
      </c>
      <c r="T457" s="113"/>
      <c r="U457" s="459"/>
      <c r="V457" s="52" t="str">
        <f>IFERROR(IF(NOT(ISNUMBER(INDEX('M04-S04'!$AN$16:$AN$198,2*(ROWS($R$437:R457)-1)+1))),INDEX('M04-S04'!$AK$16:$AK$198,2*(ROWS($R$437:R457)-1)+1),0),0)</f>
        <v/>
      </c>
      <c r="W457" t="str">
        <f>IFERROR(IF(NOT(ISNUMBER(INDEX('M04-S04'!$AN$16:$AN$198,2*(ROWS($R$437:R457)-1)+1))),INDEX('M04-S04'!$BD$16:$BD$198,2*(ROWS($R$437:R457)-1)+1),""),"")</f>
        <v>Submit for Review</v>
      </c>
      <c r="X457" s="113"/>
      <c r="Y457" s="113"/>
      <c r="Z457" s="111">
        <f>INDEX('M04-S04'!$B$16:$B$198,2*(ROWS($Z$437:Z457)-1)+1)</f>
        <v>21</v>
      </c>
      <c r="AA457" s="112"/>
      <c r="AB457" s="111">
        <f>INDEX('M04-S04'!$F$16:$F$198,2*(ROWS($Z$437:AB457)-1)+1)</f>
        <v>0</v>
      </c>
      <c r="AC457">
        <f>INDEX('M04-S04'!$L$16:$L$198,2*(ROWS($AC$437:AC457)-1)+1)</f>
        <v>0</v>
      </c>
      <c r="AD457">
        <f>INDEX('M04-S04'!$T$16:$T$198,2*(ROWS($AD$437:AD457)-1)+1)</f>
        <v>0</v>
      </c>
      <c r="AE457" s="459"/>
      <c r="AF457" s="459"/>
      <c r="AG457" s="96"/>
      <c r="AH457" s="96"/>
      <c r="AI457" s="111">
        <f>INDEX('M04-S04'!$R$16:$R$198,2*(ROWS($AG$437:AI457)-1)+1)</f>
        <v>0</v>
      </c>
      <c r="AJ457" s="111">
        <f>INDEX('M04-S04'!$Z$16:$Z$198,2*(ROWS($AH$437:AJ457)-1)+1)</f>
        <v>0</v>
      </c>
      <c r="AK457" s="52" t="str">
        <f>INDEX('M04-S04'!$AV$16:$AV$198,2*(ROWS($AK$437:AK457)-1)+1)</f>
        <v/>
      </c>
      <c r="AL457" s="184">
        <f>IF(NOT(ISNUMBER(INDEX('M04-S04'!$AN$16:$AN$198,2*(ROWS($R$437:$R457)-1)+1))),INDEX('M04-S04'!$AD$16:$AD$198,2*(ROWS($AL$437:$AL457)-1)+1),"")</f>
        <v>0</v>
      </c>
      <c r="AM457" s="184" t="str">
        <f>IF(NOT(ISNUMBER(INDEX('M04-S04'!$AN$16:$AN$198,2*(ROWS($R$437:$R457)-1)+1))),INDEX('M04-S04'!$AF$16:$AF$198,2*(ROWS($AM$437:$AM457)-1)+1),"")</f>
        <v/>
      </c>
      <c r="AN457" s="52" t="str">
        <f>IF(NOT(ISNUMBER(INDEX('M04-S04'!$AN$16:$AN$198,2*(ROWS($R$437:$R457)-1)+1))),INDEX('M04-S04'!$AH$16:$AH$198,2*(ROWS($AN$437:$AN457)-1)+1),"")</f>
        <v/>
      </c>
      <c r="AO457" s="113"/>
      <c r="AU457"/>
    </row>
    <row r="458" spans="1:47">
      <c r="A458" s="57">
        <f t="shared" si="43"/>
        <v>0</v>
      </c>
      <c r="B458" s="183" t="str">
        <f t="shared" si="45"/>
        <v/>
      </c>
      <c r="C458" s="186" t="str">
        <f>IF(OR(R458&gt;0,V458&gt;0),INDEX('M04-S04'!$BC$16:$BC$198,2*(ROWS($C$437:C458)-1)+1),"")</f>
        <v/>
      </c>
      <c r="D458" t="s">
        <v>231</v>
      </c>
      <c r="E458" s="112"/>
      <c r="F458" s="112"/>
      <c r="G458" s="96"/>
      <c r="H458" s="96"/>
      <c r="I458" s="184">
        <f>IFERROR(ROUND(IF(ISNUMBER(INDEX('M04-S04'!$AN$16:$AN$198,2*(ROWS($R$437:$R458)-1)+1)),INDEX('M04-S04'!$AD$16:$AD$198,2*(ROWS($I$437:$I458)-1)+1),""),2),0)</f>
        <v>0</v>
      </c>
      <c r="J458" s="184">
        <f>IFERROR(ROUND(IF(ISNUMBER(INDEX('M04-S04'!$AN$16:$AN$198,2*(ROWS($R$437:$R458)-1)+1)),INDEX('M04-S04'!$AF$16:$AF$198,2*(ROWS($J$437:$J458)-1)+1),""),2),0)</f>
        <v>0</v>
      </c>
      <c r="K458" s="52">
        <f>IFERROR(ROUND(IF(ISNUMBER(INDEX('M04-S04'!$AN$16:$AN$198,2*(ROWS($R$437:$R458)-1)+1)),INDEX('M04-S04'!$AH$16:$AH$198,2*(ROWS($K$437:$K458)-1)+1),""),2),0)</f>
        <v>0</v>
      </c>
      <c r="M458" s="456" t="str">
        <f>IF(ISNUMBER(INDEX('M04-S04'!$AN$16:$AN$198,2*(ROWS($R$437:R458)-1)+1)),INDEX('M04-S04'!$X$16:$X$198,2*(ROWS($M$437:M458)-1)+1),"")</f>
        <v/>
      </c>
      <c r="N458" s="113"/>
      <c r="O458" s="459"/>
      <c r="P458" s="184" t="str">
        <f>IFERROR(IF(ISNUMBER(INDEX('M04-S04'!$AN$16:$AN$198,2*(ROWS($R$437:R458)-1)+1)),INDEX('M04-S04'!$AK$16:$AK$196,2*(ROWS($P$437:P458)-1)+1),""),"")</f>
        <v/>
      </c>
      <c r="Q458" s="184"/>
      <c r="R458" s="184">
        <f>IF(ISNUMBER(INDEX('M04-S04'!$AN$16:$AN$198,2*(ROWS($R$437:R458)-1)+1)),INDEX('M04-S04'!$AN$16:$AN$198,2*(ROWS($R$437:R458)-1)+1),0)</f>
        <v>0</v>
      </c>
      <c r="S458" s="23">
        <f>IF(NOT(ISNUMBER(INDEX('M04-S04'!$AN$16:$AN$198,2*(ROWS($R$437:R458)-1)+1))),INDEX('M04-S04'!$X$16:$X$198,2*(ROWS($S$437:S458)-1)+1),"")</f>
        <v>0</v>
      </c>
      <c r="T458" s="113"/>
      <c r="U458" s="459"/>
      <c r="V458" s="52" t="str">
        <f>IFERROR(IF(NOT(ISNUMBER(INDEX('M04-S04'!$AN$16:$AN$198,2*(ROWS($R$437:R458)-1)+1))),INDEX('M04-S04'!$AK$16:$AK$198,2*(ROWS($R$437:R458)-1)+1),0),0)</f>
        <v/>
      </c>
      <c r="W458" t="str">
        <f>IFERROR(IF(NOT(ISNUMBER(INDEX('M04-S04'!$AN$16:$AN$198,2*(ROWS($R$437:R458)-1)+1))),INDEX('M04-S04'!$BD$16:$BD$198,2*(ROWS($R$437:R458)-1)+1),""),"")</f>
        <v>Submit for Review</v>
      </c>
      <c r="X458" s="113"/>
      <c r="Y458" s="113"/>
      <c r="Z458" s="111">
        <f>INDEX('M04-S04'!$B$16:$B$198,2*(ROWS($Z$437:Z458)-1)+1)</f>
        <v>22</v>
      </c>
      <c r="AA458" s="112"/>
      <c r="AB458" s="111">
        <f>INDEX('M04-S04'!$F$16:$F$198,2*(ROWS($Z$437:AB458)-1)+1)</f>
        <v>0</v>
      </c>
      <c r="AC458">
        <f>INDEX('M04-S04'!$L$16:$L$198,2*(ROWS($AC$437:AC458)-1)+1)</f>
        <v>0</v>
      </c>
      <c r="AD458">
        <f>INDEX('M04-S04'!$T$16:$T$198,2*(ROWS($AD$437:AD458)-1)+1)</f>
        <v>0</v>
      </c>
      <c r="AE458" s="459"/>
      <c r="AF458" s="459"/>
      <c r="AG458" s="96"/>
      <c r="AH458" s="96"/>
      <c r="AI458" s="111">
        <f>INDEX('M04-S04'!$R$16:$R$198,2*(ROWS($AG$437:AI458)-1)+1)</f>
        <v>0</v>
      </c>
      <c r="AJ458" s="111">
        <f>INDEX('M04-S04'!$Z$16:$Z$198,2*(ROWS($AH$437:AJ458)-1)+1)</f>
        <v>0</v>
      </c>
      <c r="AK458" s="52" t="str">
        <f>INDEX('M04-S04'!$AV$16:$AV$198,2*(ROWS($AK$437:AK458)-1)+1)</f>
        <v/>
      </c>
      <c r="AL458" s="184">
        <f>IF(NOT(ISNUMBER(INDEX('M04-S04'!$AN$16:$AN$198,2*(ROWS($R$437:$R458)-1)+1))),INDEX('M04-S04'!$AD$16:$AD$198,2*(ROWS($AL$437:$AL458)-1)+1),"")</f>
        <v>0</v>
      </c>
      <c r="AM458" s="184" t="str">
        <f>IF(NOT(ISNUMBER(INDEX('M04-S04'!$AN$16:$AN$198,2*(ROWS($R$437:$R458)-1)+1))),INDEX('M04-S04'!$AF$16:$AF$198,2*(ROWS($AM$437:$AM458)-1)+1),"")</f>
        <v/>
      </c>
      <c r="AN458" s="52" t="str">
        <f>IF(NOT(ISNUMBER(INDEX('M04-S04'!$AN$16:$AN$198,2*(ROWS($R$437:$R458)-1)+1))),INDEX('M04-S04'!$AH$16:$AH$198,2*(ROWS($AN$437:$AN458)-1)+1),"")</f>
        <v/>
      </c>
      <c r="AO458" s="113"/>
      <c r="AU458"/>
    </row>
    <row r="459" spans="1:47">
      <c r="A459" s="57">
        <f t="shared" si="43"/>
        <v>0</v>
      </c>
      <c r="B459" s="183" t="str">
        <f t="shared" si="45"/>
        <v/>
      </c>
      <c r="C459" s="186" t="str">
        <f>IF(OR(R459&gt;0,V459&gt;0),INDEX('M04-S04'!$BC$16:$BC$198,2*(ROWS($C$437:C459)-1)+1),"")</f>
        <v/>
      </c>
      <c r="D459" t="s">
        <v>231</v>
      </c>
      <c r="E459" s="112"/>
      <c r="F459" s="112"/>
      <c r="G459" s="96"/>
      <c r="H459" s="96"/>
      <c r="I459" s="184">
        <f>IFERROR(ROUND(IF(ISNUMBER(INDEX('M04-S04'!$AN$16:$AN$198,2*(ROWS($R$437:$R459)-1)+1)),INDEX('M04-S04'!$AD$16:$AD$198,2*(ROWS($I$437:$I459)-1)+1),""),2),0)</f>
        <v>0</v>
      </c>
      <c r="J459" s="184">
        <f>IFERROR(ROUND(IF(ISNUMBER(INDEX('M04-S04'!$AN$16:$AN$198,2*(ROWS($R$437:$R459)-1)+1)),INDEX('M04-S04'!$AF$16:$AF$198,2*(ROWS($J$437:$J459)-1)+1),""),2),0)</f>
        <v>0</v>
      </c>
      <c r="K459" s="52">
        <f>IFERROR(ROUND(IF(ISNUMBER(INDEX('M04-S04'!$AN$16:$AN$198,2*(ROWS($R$437:$R459)-1)+1)),INDEX('M04-S04'!$AH$16:$AH$198,2*(ROWS($K$437:$K459)-1)+1),""),2),0)</f>
        <v>0</v>
      </c>
      <c r="M459" s="456" t="str">
        <f>IF(ISNUMBER(INDEX('M04-S04'!$AN$16:$AN$198,2*(ROWS($R$437:R459)-1)+1)),INDEX('M04-S04'!$X$16:$X$198,2*(ROWS($M$437:M459)-1)+1),"")</f>
        <v/>
      </c>
      <c r="N459" s="113"/>
      <c r="O459" s="459"/>
      <c r="P459" s="184" t="str">
        <f>IFERROR(IF(ISNUMBER(INDEX('M04-S04'!$AN$16:$AN$198,2*(ROWS($R$437:R459)-1)+1)),INDEX('M04-S04'!$AK$16:$AK$196,2*(ROWS($P$437:P459)-1)+1),""),"")</f>
        <v/>
      </c>
      <c r="Q459" s="184"/>
      <c r="R459" s="184">
        <f>IF(ISNUMBER(INDEX('M04-S04'!$AN$16:$AN$198,2*(ROWS($R$437:R459)-1)+1)),INDEX('M04-S04'!$AN$16:$AN$198,2*(ROWS($R$437:R459)-1)+1),0)</f>
        <v>0</v>
      </c>
      <c r="S459" s="23">
        <f>IF(NOT(ISNUMBER(INDEX('M04-S04'!$AN$16:$AN$198,2*(ROWS($R$437:R459)-1)+1))),INDEX('M04-S04'!$X$16:$X$198,2*(ROWS($S$437:S459)-1)+1),"")</f>
        <v>0</v>
      </c>
      <c r="T459" s="113"/>
      <c r="U459" s="459"/>
      <c r="V459" s="52" t="str">
        <f>IFERROR(IF(NOT(ISNUMBER(INDEX('M04-S04'!$AN$16:$AN$198,2*(ROWS($R$437:R459)-1)+1))),INDEX('M04-S04'!$AK$16:$AK$198,2*(ROWS($R$437:R459)-1)+1),0),0)</f>
        <v/>
      </c>
      <c r="W459" t="str">
        <f>IFERROR(IF(NOT(ISNUMBER(INDEX('M04-S04'!$AN$16:$AN$198,2*(ROWS($R$437:R459)-1)+1))),INDEX('M04-S04'!$BD$16:$BD$198,2*(ROWS($R$437:R459)-1)+1),""),"")</f>
        <v>Submit for Review</v>
      </c>
      <c r="X459" s="113"/>
      <c r="Y459" s="113"/>
      <c r="Z459" s="111">
        <f>INDEX('M04-S04'!$B$16:$B$198,2*(ROWS($Z$437:Z459)-1)+1)</f>
        <v>23</v>
      </c>
      <c r="AA459" s="112"/>
      <c r="AB459" s="111">
        <f>INDEX('M04-S04'!$F$16:$F$198,2*(ROWS($Z$437:AB459)-1)+1)</f>
        <v>0</v>
      </c>
      <c r="AC459">
        <f>INDEX('M04-S04'!$L$16:$L$198,2*(ROWS($AC$437:AC459)-1)+1)</f>
        <v>0</v>
      </c>
      <c r="AD459">
        <f>INDEX('M04-S04'!$T$16:$T$198,2*(ROWS($AD$437:AD459)-1)+1)</f>
        <v>0</v>
      </c>
      <c r="AE459" s="459"/>
      <c r="AF459" s="459"/>
      <c r="AG459" s="96"/>
      <c r="AH459" s="96"/>
      <c r="AI459" s="111">
        <f>INDEX('M04-S04'!$R$16:$R$198,2*(ROWS($AG$437:AI459)-1)+1)</f>
        <v>0</v>
      </c>
      <c r="AJ459" s="111">
        <f>INDEX('M04-S04'!$Z$16:$Z$198,2*(ROWS($AH$437:AJ459)-1)+1)</f>
        <v>0</v>
      </c>
      <c r="AK459" s="52" t="str">
        <f>INDEX('M04-S04'!$AV$16:$AV$198,2*(ROWS($AK$437:AK459)-1)+1)</f>
        <v/>
      </c>
      <c r="AL459" s="184">
        <f>IF(NOT(ISNUMBER(INDEX('M04-S04'!$AN$16:$AN$198,2*(ROWS($R$437:$R459)-1)+1))),INDEX('M04-S04'!$AD$16:$AD$198,2*(ROWS($AL$437:$AL459)-1)+1),"")</f>
        <v>0</v>
      </c>
      <c r="AM459" s="184" t="str">
        <f>IF(NOT(ISNUMBER(INDEX('M04-S04'!$AN$16:$AN$198,2*(ROWS($R$437:$R459)-1)+1))),INDEX('M04-S04'!$AF$16:$AF$198,2*(ROWS($AM$437:$AM459)-1)+1),"")</f>
        <v/>
      </c>
      <c r="AN459" s="52" t="str">
        <f>IF(NOT(ISNUMBER(INDEX('M04-S04'!$AN$16:$AN$198,2*(ROWS($R$437:$R459)-1)+1))),INDEX('M04-S04'!$AH$16:$AH$198,2*(ROWS($AN$437:$AN459)-1)+1),"")</f>
        <v/>
      </c>
      <c r="AO459" s="113"/>
      <c r="AU459"/>
    </row>
    <row r="460" spans="1:47">
      <c r="A460" s="57">
        <f t="shared" si="43"/>
        <v>0</v>
      </c>
      <c r="B460" s="183" t="str">
        <f t="shared" si="45"/>
        <v/>
      </c>
      <c r="C460" s="186" t="str">
        <f>IF(OR(R460&gt;0,V460&gt;0),INDEX('M04-S04'!$BC$16:$BC$198,2*(ROWS($C$437:C460)-1)+1),"")</f>
        <v/>
      </c>
      <c r="D460" t="s">
        <v>231</v>
      </c>
      <c r="E460" s="112"/>
      <c r="F460" s="112"/>
      <c r="G460" s="96"/>
      <c r="H460" s="96"/>
      <c r="I460" s="184">
        <f>IFERROR(ROUND(IF(ISNUMBER(INDEX('M04-S04'!$AN$16:$AN$198,2*(ROWS($R$437:$R460)-1)+1)),INDEX('M04-S04'!$AD$16:$AD$198,2*(ROWS($I$437:$I460)-1)+1),""),2),0)</f>
        <v>0</v>
      </c>
      <c r="J460" s="184">
        <f>IFERROR(ROUND(IF(ISNUMBER(INDEX('M04-S04'!$AN$16:$AN$198,2*(ROWS($R$437:$R460)-1)+1)),INDEX('M04-S04'!$AF$16:$AF$198,2*(ROWS($J$437:$J460)-1)+1),""),2),0)</f>
        <v>0</v>
      </c>
      <c r="K460" s="52">
        <f>IFERROR(ROUND(IF(ISNUMBER(INDEX('M04-S04'!$AN$16:$AN$198,2*(ROWS($R$437:$R460)-1)+1)),INDEX('M04-S04'!$AH$16:$AH$198,2*(ROWS($K$437:$K460)-1)+1),""),2),0)</f>
        <v>0</v>
      </c>
      <c r="M460" s="456" t="str">
        <f>IF(ISNUMBER(INDEX('M04-S04'!$AN$16:$AN$198,2*(ROWS($R$437:R460)-1)+1)),INDEX('M04-S04'!$X$16:$X$198,2*(ROWS($M$437:M460)-1)+1),"")</f>
        <v/>
      </c>
      <c r="N460" s="113"/>
      <c r="O460" s="459"/>
      <c r="P460" s="184" t="str">
        <f>IFERROR(IF(ISNUMBER(INDEX('M04-S04'!$AN$16:$AN$198,2*(ROWS($R$437:R460)-1)+1)),INDEX('M04-S04'!$AK$16:$AK$196,2*(ROWS($P$437:P460)-1)+1),""),"")</f>
        <v/>
      </c>
      <c r="Q460" s="184"/>
      <c r="R460" s="184">
        <f>IF(ISNUMBER(INDEX('M04-S04'!$AN$16:$AN$198,2*(ROWS($R$437:R460)-1)+1)),INDEX('M04-S04'!$AN$16:$AN$198,2*(ROWS($R$437:R460)-1)+1),0)</f>
        <v>0</v>
      </c>
      <c r="S460" s="23">
        <f>IF(NOT(ISNUMBER(INDEX('M04-S04'!$AN$16:$AN$198,2*(ROWS($R$437:R460)-1)+1))),INDEX('M04-S04'!$X$16:$X$198,2*(ROWS($S$437:S460)-1)+1),"")</f>
        <v>0</v>
      </c>
      <c r="T460" s="113"/>
      <c r="U460" s="459"/>
      <c r="V460" s="52" t="str">
        <f>IFERROR(IF(NOT(ISNUMBER(INDEX('M04-S04'!$AN$16:$AN$198,2*(ROWS($R$437:R460)-1)+1))),INDEX('M04-S04'!$AK$16:$AK$198,2*(ROWS($R$437:R460)-1)+1),0),0)</f>
        <v/>
      </c>
      <c r="W460" t="str">
        <f>IFERROR(IF(NOT(ISNUMBER(INDEX('M04-S04'!$AN$16:$AN$198,2*(ROWS($R$437:R460)-1)+1))),INDEX('M04-S04'!$BD$16:$BD$198,2*(ROWS($R$437:R460)-1)+1),""),"")</f>
        <v>Submit for Review</v>
      </c>
      <c r="X460" s="113"/>
      <c r="Y460" s="113"/>
      <c r="Z460" s="111">
        <f>INDEX('M04-S04'!$B$16:$B$198,2*(ROWS($Z$437:Z460)-1)+1)</f>
        <v>24</v>
      </c>
      <c r="AA460" s="112"/>
      <c r="AB460" s="111">
        <f>INDEX('M04-S04'!$F$16:$F$198,2*(ROWS($Z$437:AB460)-1)+1)</f>
        <v>0</v>
      </c>
      <c r="AC460">
        <f>INDEX('M04-S04'!$L$16:$L$198,2*(ROWS($AC$437:AC460)-1)+1)</f>
        <v>0</v>
      </c>
      <c r="AD460">
        <f>INDEX('M04-S04'!$T$16:$T$198,2*(ROWS($AD$437:AD460)-1)+1)</f>
        <v>0</v>
      </c>
      <c r="AE460" s="459"/>
      <c r="AF460" s="459"/>
      <c r="AG460" s="96"/>
      <c r="AH460" s="96"/>
      <c r="AI460" s="111">
        <f>INDEX('M04-S04'!$R$16:$R$198,2*(ROWS($AG$437:AI460)-1)+1)</f>
        <v>0</v>
      </c>
      <c r="AJ460" s="111">
        <f>INDEX('M04-S04'!$Z$16:$Z$198,2*(ROWS($AH$437:AJ460)-1)+1)</f>
        <v>0</v>
      </c>
      <c r="AK460" s="52" t="str">
        <f>INDEX('M04-S04'!$AV$16:$AV$198,2*(ROWS($AK$437:AK460)-1)+1)</f>
        <v/>
      </c>
      <c r="AL460" s="184">
        <f>IF(NOT(ISNUMBER(INDEX('M04-S04'!$AN$16:$AN$198,2*(ROWS($R$437:$R460)-1)+1))),INDEX('M04-S04'!$AD$16:$AD$198,2*(ROWS($AL$437:$AL460)-1)+1),"")</f>
        <v>0</v>
      </c>
      <c r="AM460" s="184" t="str">
        <f>IF(NOT(ISNUMBER(INDEX('M04-S04'!$AN$16:$AN$198,2*(ROWS($R$437:$R460)-1)+1))),INDEX('M04-S04'!$AF$16:$AF$198,2*(ROWS($AM$437:$AM460)-1)+1),"")</f>
        <v/>
      </c>
      <c r="AN460" s="52" t="str">
        <f>IF(NOT(ISNUMBER(INDEX('M04-S04'!$AN$16:$AN$198,2*(ROWS($R$437:$R460)-1)+1))),INDEX('M04-S04'!$AH$16:$AH$198,2*(ROWS($AN$437:$AN460)-1)+1),"")</f>
        <v/>
      </c>
      <c r="AO460" s="113"/>
      <c r="AU460"/>
    </row>
    <row r="461" spans="1:47">
      <c r="A461" s="57">
        <f t="shared" si="43"/>
        <v>0</v>
      </c>
      <c r="B461" s="183" t="str">
        <f t="shared" si="45"/>
        <v/>
      </c>
      <c r="C461" s="186" t="str">
        <f>IF(OR(R461&gt;0,V461&gt;0),INDEX('M04-S04'!$BC$16:$BC$198,2*(ROWS($C$437:C461)-1)+1),"")</f>
        <v/>
      </c>
      <c r="D461" t="s">
        <v>231</v>
      </c>
      <c r="E461" s="112"/>
      <c r="F461" s="112"/>
      <c r="G461" s="96"/>
      <c r="H461" s="96"/>
      <c r="I461" s="184">
        <f>IFERROR(ROUND(IF(ISNUMBER(INDEX('M04-S04'!$AN$16:$AN$198,2*(ROWS($R$437:$R461)-1)+1)),INDEX('M04-S04'!$AD$16:$AD$198,2*(ROWS($I$437:$I461)-1)+1),""),2),0)</f>
        <v>0</v>
      </c>
      <c r="J461" s="184">
        <f>IFERROR(ROUND(IF(ISNUMBER(INDEX('M04-S04'!$AN$16:$AN$198,2*(ROWS($R$437:$R461)-1)+1)),INDEX('M04-S04'!$AF$16:$AF$198,2*(ROWS($J$437:$J461)-1)+1),""),2),0)</f>
        <v>0</v>
      </c>
      <c r="K461" s="52">
        <f>IFERROR(ROUND(IF(ISNUMBER(INDEX('M04-S04'!$AN$16:$AN$198,2*(ROWS($R$437:$R461)-1)+1)),INDEX('M04-S04'!$AH$16:$AH$198,2*(ROWS($K$437:$K461)-1)+1),""),2),0)</f>
        <v>0</v>
      </c>
      <c r="M461" s="456" t="str">
        <f>IF(ISNUMBER(INDEX('M04-S04'!$AN$16:$AN$198,2*(ROWS($R$437:R461)-1)+1)),INDEX('M04-S04'!$X$16:$X$198,2*(ROWS($M$437:M461)-1)+1),"")</f>
        <v/>
      </c>
      <c r="N461" s="113"/>
      <c r="O461" s="459"/>
      <c r="P461" s="184" t="str">
        <f>IFERROR(IF(ISNUMBER(INDEX('M04-S04'!$AN$16:$AN$198,2*(ROWS($R$437:R461)-1)+1)),INDEX('M04-S04'!$AK$16:$AK$196,2*(ROWS($P$437:P461)-1)+1),""),"")</f>
        <v/>
      </c>
      <c r="Q461" s="184"/>
      <c r="R461" s="184">
        <f>IF(ISNUMBER(INDEX('M04-S04'!$AN$16:$AN$198,2*(ROWS($R$437:R461)-1)+1)),INDEX('M04-S04'!$AN$16:$AN$198,2*(ROWS($R$437:R461)-1)+1),0)</f>
        <v>0</v>
      </c>
      <c r="S461" s="23">
        <f>IF(NOT(ISNUMBER(INDEX('M04-S04'!$AN$16:$AN$198,2*(ROWS($R$437:R461)-1)+1))),INDEX('M04-S04'!$X$16:$X$198,2*(ROWS($S$437:S461)-1)+1),"")</f>
        <v>0</v>
      </c>
      <c r="T461" s="113"/>
      <c r="U461" s="459"/>
      <c r="V461" s="52" t="str">
        <f>IFERROR(IF(NOT(ISNUMBER(INDEX('M04-S04'!$AN$16:$AN$198,2*(ROWS($R$437:R461)-1)+1))),INDEX('M04-S04'!$AK$16:$AK$198,2*(ROWS($R$437:R461)-1)+1),0),0)</f>
        <v/>
      </c>
      <c r="W461" t="str">
        <f>IFERROR(IF(NOT(ISNUMBER(INDEX('M04-S04'!$AN$16:$AN$198,2*(ROWS($R$437:R461)-1)+1))),INDEX('M04-S04'!$BD$16:$BD$198,2*(ROWS($R$437:R461)-1)+1),""),"")</f>
        <v>Submit for Review</v>
      </c>
      <c r="X461" s="113"/>
      <c r="Y461" s="113"/>
      <c r="Z461" s="111">
        <f>INDEX('M04-S04'!$B$16:$B$198,2*(ROWS($Z$437:Z461)-1)+1)</f>
        <v>25</v>
      </c>
      <c r="AA461" s="112"/>
      <c r="AB461" s="111">
        <f>INDEX('M04-S04'!$F$16:$F$198,2*(ROWS($Z$437:AB461)-1)+1)</f>
        <v>0</v>
      </c>
      <c r="AC461">
        <f>INDEX('M04-S04'!$L$16:$L$198,2*(ROWS($AC$437:AC461)-1)+1)</f>
        <v>0</v>
      </c>
      <c r="AD461">
        <f>INDEX('M04-S04'!$T$16:$T$198,2*(ROWS($AD$437:AD461)-1)+1)</f>
        <v>0</v>
      </c>
      <c r="AE461" s="459"/>
      <c r="AF461" s="459"/>
      <c r="AG461" s="96"/>
      <c r="AH461" s="96"/>
      <c r="AI461" s="111">
        <f>INDEX('M04-S04'!$R$16:$R$198,2*(ROWS($AG$437:AI461)-1)+1)</f>
        <v>0</v>
      </c>
      <c r="AJ461" s="111">
        <f>INDEX('M04-S04'!$Z$16:$Z$198,2*(ROWS($AH$437:AJ461)-1)+1)</f>
        <v>0</v>
      </c>
      <c r="AK461" s="52" t="str">
        <f>INDEX('M04-S04'!$AV$16:$AV$198,2*(ROWS($AK$437:AK461)-1)+1)</f>
        <v/>
      </c>
      <c r="AL461" s="184">
        <f>IF(NOT(ISNUMBER(INDEX('M04-S04'!$AN$16:$AN$198,2*(ROWS($R$437:$R461)-1)+1))),INDEX('M04-S04'!$AD$16:$AD$198,2*(ROWS($AL$437:$AL461)-1)+1),"")</f>
        <v>0</v>
      </c>
      <c r="AM461" s="184" t="str">
        <f>IF(NOT(ISNUMBER(INDEX('M04-S04'!$AN$16:$AN$198,2*(ROWS($R$437:$R461)-1)+1))),INDEX('M04-S04'!$AF$16:$AF$198,2*(ROWS($AM$437:$AM461)-1)+1),"")</f>
        <v/>
      </c>
      <c r="AN461" s="52" t="str">
        <f>IF(NOT(ISNUMBER(INDEX('M04-S04'!$AN$16:$AN$198,2*(ROWS($R$437:$R461)-1)+1))),INDEX('M04-S04'!$AH$16:$AH$198,2*(ROWS($AN$437:$AN461)-1)+1),"")</f>
        <v/>
      </c>
      <c r="AO461" s="113"/>
      <c r="AU461"/>
    </row>
    <row r="462" spans="1:47">
      <c r="A462" s="57">
        <f t="shared" si="43"/>
        <v>0</v>
      </c>
      <c r="B462" s="183" t="str">
        <f t="shared" si="45"/>
        <v/>
      </c>
      <c r="C462" s="186" t="str">
        <f>IF(OR(R462&gt;0,V462&gt;0),INDEX('M04-S04'!$BC$16:$BC$198,2*(ROWS($C$437:C462)-1)+1),"")</f>
        <v/>
      </c>
      <c r="D462" t="s">
        <v>231</v>
      </c>
      <c r="E462" s="112"/>
      <c r="F462" s="112"/>
      <c r="G462" s="96"/>
      <c r="H462" s="96"/>
      <c r="I462" s="184">
        <f>IFERROR(ROUND(IF(ISNUMBER(INDEX('M04-S04'!$AN$16:$AN$198,2*(ROWS($R$437:$R462)-1)+1)),INDEX('M04-S04'!$AD$16:$AD$198,2*(ROWS($I$437:$I462)-1)+1),""),2),0)</f>
        <v>0</v>
      </c>
      <c r="J462" s="184">
        <f>IFERROR(ROUND(IF(ISNUMBER(INDEX('M04-S04'!$AN$16:$AN$198,2*(ROWS($R$437:$R462)-1)+1)),INDEX('M04-S04'!$AF$16:$AF$198,2*(ROWS($J$437:$J462)-1)+1),""),2),0)</f>
        <v>0</v>
      </c>
      <c r="K462" s="52">
        <f>IFERROR(ROUND(IF(ISNUMBER(INDEX('M04-S04'!$AN$16:$AN$198,2*(ROWS($R$437:$R462)-1)+1)),INDEX('M04-S04'!$AH$16:$AH$198,2*(ROWS($K$437:$K462)-1)+1),""),2),0)</f>
        <v>0</v>
      </c>
      <c r="M462" s="456" t="str">
        <f>IF(ISNUMBER(INDEX('M04-S04'!$AN$16:$AN$198,2*(ROWS($R$437:R462)-1)+1)),INDEX('M04-S04'!$X$16:$X$198,2*(ROWS($M$437:M462)-1)+1),"")</f>
        <v/>
      </c>
      <c r="N462" s="113"/>
      <c r="O462" s="459"/>
      <c r="P462" s="184" t="str">
        <f>IFERROR(IF(ISNUMBER(INDEX('M04-S04'!$AN$16:$AN$198,2*(ROWS($R$437:R462)-1)+1)),INDEX('M04-S04'!$AK$16:$AK$196,2*(ROWS($P$437:P462)-1)+1),""),"")</f>
        <v/>
      </c>
      <c r="Q462" s="184"/>
      <c r="R462" s="184">
        <f>IF(ISNUMBER(INDEX('M04-S04'!$AN$16:$AN$198,2*(ROWS($R$437:R462)-1)+1)),INDEX('M04-S04'!$AN$16:$AN$198,2*(ROWS($R$437:R462)-1)+1),0)</f>
        <v>0</v>
      </c>
      <c r="S462" s="23">
        <f>IF(NOT(ISNUMBER(INDEX('M04-S04'!$AN$16:$AN$198,2*(ROWS($R$437:R462)-1)+1))),INDEX('M04-S04'!$X$16:$X$198,2*(ROWS($S$437:S462)-1)+1),"")</f>
        <v>0</v>
      </c>
      <c r="T462" s="113"/>
      <c r="U462" s="459"/>
      <c r="V462" s="52" t="str">
        <f>IFERROR(IF(NOT(ISNUMBER(INDEX('M04-S04'!$AN$16:$AN$198,2*(ROWS($R$437:R462)-1)+1))),INDEX('M04-S04'!$AK$16:$AK$198,2*(ROWS($R$437:R462)-1)+1),0),0)</f>
        <v/>
      </c>
      <c r="W462" t="str">
        <f>IFERROR(IF(NOT(ISNUMBER(INDEX('M04-S04'!$AN$16:$AN$198,2*(ROWS($R$437:R462)-1)+1))),INDEX('M04-S04'!$BD$16:$BD$198,2*(ROWS($R$437:R462)-1)+1),""),"")</f>
        <v>Submit for Review</v>
      </c>
      <c r="X462" s="113"/>
      <c r="Y462" s="113"/>
      <c r="Z462" s="111">
        <f>INDEX('M04-S04'!$B$16:$B$198,2*(ROWS($Z$437:Z462)-1)+1)</f>
        <v>26</v>
      </c>
      <c r="AA462" s="112"/>
      <c r="AB462" s="111">
        <f>INDEX('M04-S04'!$F$16:$F$198,2*(ROWS($Z$437:AB462)-1)+1)</f>
        <v>0</v>
      </c>
      <c r="AC462">
        <f>INDEX('M04-S04'!$L$16:$L$198,2*(ROWS($AC$437:AC462)-1)+1)</f>
        <v>0</v>
      </c>
      <c r="AD462">
        <f>INDEX('M04-S04'!$T$16:$T$198,2*(ROWS($AD$437:AD462)-1)+1)</f>
        <v>0</v>
      </c>
      <c r="AE462" s="459"/>
      <c r="AF462" s="459"/>
      <c r="AG462" s="96"/>
      <c r="AH462" s="96"/>
      <c r="AI462" s="111">
        <f>INDEX('M04-S04'!$R$16:$R$198,2*(ROWS($AG$437:AI462)-1)+1)</f>
        <v>0</v>
      </c>
      <c r="AJ462" s="111">
        <f>INDEX('M04-S04'!$Z$16:$Z$198,2*(ROWS($AH$437:AJ462)-1)+1)</f>
        <v>0</v>
      </c>
      <c r="AK462" s="52" t="str">
        <f>INDEX('M04-S04'!$AV$16:$AV$198,2*(ROWS($AK$437:AK462)-1)+1)</f>
        <v/>
      </c>
      <c r="AL462" s="184">
        <f>IF(NOT(ISNUMBER(INDEX('M04-S04'!$AN$16:$AN$198,2*(ROWS($R$437:$R462)-1)+1))),INDEX('M04-S04'!$AD$16:$AD$198,2*(ROWS($AL$437:$AL462)-1)+1),"")</f>
        <v>0</v>
      </c>
      <c r="AM462" s="184" t="str">
        <f>IF(NOT(ISNUMBER(INDEX('M04-S04'!$AN$16:$AN$198,2*(ROWS($R$437:$R462)-1)+1))),INDEX('M04-S04'!$AF$16:$AF$198,2*(ROWS($AM$437:$AM462)-1)+1),"")</f>
        <v/>
      </c>
      <c r="AN462" s="52" t="str">
        <f>IF(NOT(ISNUMBER(INDEX('M04-S04'!$AN$16:$AN$198,2*(ROWS($R$437:$R462)-1)+1))),INDEX('M04-S04'!$AH$16:$AH$198,2*(ROWS($AN$437:$AN462)-1)+1),"")</f>
        <v/>
      </c>
      <c r="AO462" s="113"/>
      <c r="AU462"/>
    </row>
    <row r="463" spans="1:47">
      <c r="A463" s="57">
        <f t="shared" si="43"/>
        <v>0</v>
      </c>
      <c r="B463" s="183" t="str">
        <f t="shared" si="45"/>
        <v/>
      </c>
      <c r="C463" s="186" t="str">
        <f>IF(OR(R463&gt;0,V463&gt;0),INDEX('M04-S04'!$BC$16:$BC$198,2*(ROWS($C$437:C463)-1)+1),"")</f>
        <v/>
      </c>
      <c r="D463" t="s">
        <v>231</v>
      </c>
      <c r="E463" s="112"/>
      <c r="F463" s="112"/>
      <c r="G463" s="96"/>
      <c r="H463" s="96"/>
      <c r="I463" s="184">
        <f>IFERROR(ROUND(IF(ISNUMBER(INDEX('M04-S04'!$AN$16:$AN$198,2*(ROWS($R$437:$R463)-1)+1)),INDEX('M04-S04'!$AD$16:$AD$198,2*(ROWS($I$437:$I463)-1)+1),""),2),0)</f>
        <v>0</v>
      </c>
      <c r="J463" s="184">
        <f>IFERROR(ROUND(IF(ISNUMBER(INDEX('M04-S04'!$AN$16:$AN$198,2*(ROWS($R$437:$R463)-1)+1)),INDEX('M04-S04'!$AF$16:$AF$198,2*(ROWS($J$437:$J463)-1)+1),""),2),0)</f>
        <v>0</v>
      </c>
      <c r="K463" s="52">
        <f>IFERROR(ROUND(IF(ISNUMBER(INDEX('M04-S04'!$AN$16:$AN$198,2*(ROWS($R$437:$R463)-1)+1)),INDEX('M04-S04'!$AH$16:$AH$198,2*(ROWS($K$437:$K463)-1)+1),""),2),0)</f>
        <v>0</v>
      </c>
      <c r="M463" s="456" t="str">
        <f>IF(ISNUMBER(INDEX('M04-S04'!$AN$16:$AN$198,2*(ROWS($R$437:R463)-1)+1)),INDEX('M04-S04'!$X$16:$X$198,2*(ROWS($M$437:M463)-1)+1),"")</f>
        <v/>
      </c>
      <c r="N463" s="113"/>
      <c r="O463" s="459"/>
      <c r="P463" s="184" t="str">
        <f>IFERROR(IF(ISNUMBER(INDEX('M04-S04'!$AN$16:$AN$198,2*(ROWS($R$437:R463)-1)+1)),INDEX('M04-S04'!$AK$16:$AK$196,2*(ROWS($P$437:P463)-1)+1),""),"")</f>
        <v/>
      </c>
      <c r="Q463" s="184"/>
      <c r="R463" s="184">
        <f>IF(ISNUMBER(INDEX('M04-S04'!$AN$16:$AN$198,2*(ROWS($R$437:R463)-1)+1)),INDEX('M04-S04'!$AN$16:$AN$198,2*(ROWS($R$437:R463)-1)+1),0)</f>
        <v>0</v>
      </c>
      <c r="S463" s="23">
        <f>IF(NOT(ISNUMBER(INDEX('M04-S04'!$AN$16:$AN$198,2*(ROWS($R$437:R463)-1)+1))),INDEX('M04-S04'!$X$16:$X$198,2*(ROWS($S$437:S463)-1)+1),"")</f>
        <v>0</v>
      </c>
      <c r="T463" s="113"/>
      <c r="U463" s="459"/>
      <c r="V463" s="52" t="str">
        <f>IFERROR(IF(NOT(ISNUMBER(INDEX('M04-S04'!$AN$16:$AN$198,2*(ROWS($R$437:R463)-1)+1))),INDEX('M04-S04'!$AK$16:$AK$198,2*(ROWS($R$437:R463)-1)+1),0),0)</f>
        <v/>
      </c>
      <c r="W463" t="str">
        <f>IFERROR(IF(NOT(ISNUMBER(INDEX('M04-S04'!$AN$16:$AN$198,2*(ROWS($R$437:R463)-1)+1))),INDEX('M04-S04'!$BD$16:$BD$198,2*(ROWS($R$437:R463)-1)+1),""),"")</f>
        <v>Submit for Review</v>
      </c>
      <c r="X463" s="113"/>
      <c r="Y463" s="113"/>
      <c r="Z463" s="111">
        <f>INDEX('M04-S04'!$B$16:$B$198,2*(ROWS($Z$437:Z463)-1)+1)</f>
        <v>27</v>
      </c>
      <c r="AA463" s="112"/>
      <c r="AB463" s="111">
        <f>INDEX('M04-S04'!$F$16:$F$198,2*(ROWS($Z$437:AB463)-1)+1)</f>
        <v>0</v>
      </c>
      <c r="AC463">
        <f>INDEX('M04-S04'!$L$16:$L$198,2*(ROWS($AC$437:AC463)-1)+1)</f>
        <v>0</v>
      </c>
      <c r="AD463">
        <f>INDEX('M04-S04'!$T$16:$T$198,2*(ROWS($AD$437:AD463)-1)+1)</f>
        <v>0</v>
      </c>
      <c r="AE463" s="459"/>
      <c r="AF463" s="459"/>
      <c r="AG463" s="96"/>
      <c r="AH463" s="96"/>
      <c r="AI463" s="111">
        <f>INDEX('M04-S04'!$R$16:$R$198,2*(ROWS($AG$437:AI463)-1)+1)</f>
        <v>0</v>
      </c>
      <c r="AJ463" s="111">
        <f>INDEX('M04-S04'!$Z$16:$Z$198,2*(ROWS($AH$437:AJ463)-1)+1)</f>
        <v>0</v>
      </c>
      <c r="AK463" s="52" t="str">
        <f>INDEX('M04-S04'!$AV$16:$AV$198,2*(ROWS($AK$437:AK463)-1)+1)</f>
        <v/>
      </c>
      <c r="AL463" s="184">
        <f>IF(NOT(ISNUMBER(INDEX('M04-S04'!$AN$16:$AN$198,2*(ROWS($R$437:$R463)-1)+1))),INDEX('M04-S04'!$AD$16:$AD$198,2*(ROWS($AL$437:$AL463)-1)+1),"")</f>
        <v>0</v>
      </c>
      <c r="AM463" s="184" t="str">
        <f>IF(NOT(ISNUMBER(INDEX('M04-S04'!$AN$16:$AN$198,2*(ROWS($R$437:$R463)-1)+1))),INDEX('M04-S04'!$AF$16:$AF$198,2*(ROWS($AM$437:$AM463)-1)+1),"")</f>
        <v/>
      </c>
      <c r="AN463" s="52" t="str">
        <f>IF(NOT(ISNUMBER(INDEX('M04-S04'!$AN$16:$AN$198,2*(ROWS($R$437:$R463)-1)+1))),INDEX('M04-S04'!$AH$16:$AH$198,2*(ROWS($AN$437:$AN463)-1)+1),"")</f>
        <v/>
      </c>
      <c r="AO463" s="113"/>
      <c r="AU463"/>
    </row>
    <row r="464" spans="1:47">
      <c r="A464" s="57">
        <f t="shared" si="43"/>
        <v>0</v>
      </c>
      <c r="B464" s="183" t="str">
        <f t="shared" si="45"/>
        <v/>
      </c>
      <c r="C464" s="186" t="str">
        <f>IF(OR(R464&gt;0,V464&gt;0),INDEX('M04-S04'!$BC$16:$BC$198,2*(ROWS($C$437:C464)-1)+1),"")</f>
        <v/>
      </c>
      <c r="D464" t="s">
        <v>231</v>
      </c>
      <c r="E464" s="112"/>
      <c r="F464" s="112"/>
      <c r="G464" s="96"/>
      <c r="H464" s="96"/>
      <c r="I464" s="184">
        <f>IFERROR(ROUND(IF(ISNUMBER(INDEX('M04-S04'!$AN$16:$AN$198,2*(ROWS($R$437:$R464)-1)+1)),INDEX('M04-S04'!$AD$16:$AD$198,2*(ROWS($I$437:$I464)-1)+1),""),2),0)</f>
        <v>0</v>
      </c>
      <c r="J464" s="184">
        <f>IFERROR(ROUND(IF(ISNUMBER(INDEX('M04-S04'!$AN$16:$AN$198,2*(ROWS($R$437:$R464)-1)+1)),INDEX('M04-S04'!$AF$16:$AF$198,2*(ROWS($J$437:$J464)-1)+1),""),2),0)</f>
        <v>0</v>
      </c>
      <c r="K464" s="52">
        <f>IFERROR(ROUND(IF(ISNUMBER(INDEX('M04-S04'!$AN$16:$AN$198,2*(ROWS($R$437:$R464)-1)+1)),INDEX('M04-S04'!$AH$16:$AH$198,2*(ROWS($K$437:$K464)-1)+1),""),2),0)</f>
        <v>0</v>
      </c>
      <c r="M464" s="456" t="str">
        <f>IF(ISNUMBER(INDEX('M04-S04'!$AN$16:$AN$198,2*(ROWS($R$437:R464)-1)+1)),INDEX('M04-S04'!$X$16:$X$198,2*(ROWS($M$437:M464)-1)+1),"")</f>
        <v/>
      </c>
      <c r="N464" s="113"/>
      <c r="O464" s="459"/>
      <c r="P464" s="184" t="str">
        <f>IFERROR(IF(ISNUMBER(INDEX('M04-S04'!$AN$16:$AN$198,2*(ROWS($R$437:R464)-1)+1)),INDEX('M04-S04'!$AK$16:$AK$196,2*(ROWS($P$437:P464)-1)+1),""),"")</f>
        <v/>
      </c>
      <c r="Q464" s="184"/>
      <c r="R464" s="184">
        <f>IF(ISNUMBER(INDEX('M04-S04'!$AN$16:$AN$198,2*(ROWS($R$437:R464)-1)+1)),INDEX('M04-S04'!$AN$16:$AN$198,2*(ROWS($R$437:R464)-1)+1),0)</f>
        <v>0</v>
      </c>
      <c r="S464" s="23">
        <f>IF(NOT(ISNUMBER(INDEX('M04-S04'!$AN$16:$AN$198,2*(ROWS($R$437:R464)-1)+1))),INDEX('M04-S04'!$X$16:$X$198,2*(ROWS($S$437:S464)-1)+1),"")</f>
        <v>0</v>
      </c>
      <c r="T464" s="113"/>
      <c r="U464" s="459"/>
      <c r="V464" s="52" t="str">
        <f>IFERROR(IF(NOT(ISNUMBER(INDEX('M04-S04'!$AN$16:$AN$198,2*(ROWS($R$437:R464)-1)+1))),INDEX('M04-S04'!$AK$16:$AK$198,2*(ROWS($R$437:R464)-1)+1),0),0)</f>
        <v/>
      </c>
      <c r="W464" t="str">
        <f>IFERROR(IF(NOT(ISNUMBER(INDEX('M04-S04'!$AN$16:$AN$198,2*(ROWS($R$437:R464)-1)+1))),INDEX('M04-S04'!$BD$16:$BD$198,2*(ROWS($R$437:R464)-1)+1),""),"")</f>
        <v>Submit for Review</v>
      </c>
      <c r="X464" s="113"/>
      <c r="Y464" s="113"/>
      <c r="Z464" s="111">
        <f>INDEX('M04-S04'!$B$16:$B$198,2*(ROWS($Z$437:Z464)-1)+1)</f>
        <v>28</v>
      </c>
      <c r="AA464" s="112"/>
      <c r="AB464" s="111">
        <f>INDEX('M04-S04'!$F$16:$F$198,2*(ROWS($Z$437:AB464)-1)+1)</f>
        <v>0</v>
      </c>
      <c r="AC464">
        <f>INDEX('M04-S04'!$L$16:$L$198,2*(ROWS($AC$437:AC464)-1)+1)</f>
        <v>0</v>
      </c>
      <c r="AD464">
        <f>INDEX('M04-S04'!$T$16:$T$198,2*(ROWS($AD$437:AD464)-1)+1)</f>
        <v>0</v>
      </c>
      <c r="AE464" s="459"/>
      <c r="AF464" s="459"/>
      <c r="AG464" s="96"/>
      <c r="AH464" s="96"/>
      <c r="AI464" s="111">
        <f>INDEX('M04-S04'!$R$16:$R$198,2*(ROWS($AG$437:AI464)-1)+1)</f>
        <v>0</v>
      </c>
      <c r="AJ464" s="111">
        <f>INDEX('M04-S04'!$Z$16:$Z$198,2*(ROWS($AH$437:AJ464)-1)+1)</f>
        <v>0</v>
      </c>
      <c r="AK464" s="52" t="str">
        <f>INDEX('M04-S04'!$AV$16:$AV$198,2*(ROWS($AK$437:AK464)-1)+1)</f>
        <v/>
      </c>
      <c r="AL464" s="184">
        <f>IF(NOT(ISNUMBER(INDEX('M04-S04'!$AN$16:$AN$198,2*(ROWS($R$437:$R464)-1)+1))),INDEX('M04-S04'!$AD$16:$AD$198,2*(ROWS($AL$437:$AL464)-1)+1),"")</f>
        <v>0</v>
      </c>
      <c r="AM464" s="184" t="str">
        <f>IF(NOT(ISNUMBER(INDEX('M04-S04'!$AN$16:$AN$198,2*(ROWS($R$437:$R464)-1)+1))),INDEX('M04-S04'!$AF$16:$AF$198,2*(ROWS($AM$437:$AM464)-1)+1),"")</f>
        <v/>
      </c>
      <c r="AN464" s="52" t="str">
        <f>IF(NOT(ISNUMBER(INDEX('M04-S04'!$AN$16:$AN$198,2*(ROWS($R$437:$R464)-1)+1))),INDEX('M04-S04'!$AH$16:$AH$198,2*(ROWS($AN$437:$AN464)-1)+1),"")</f>
        <v/>
      </c>
      <c r="AO464" s="113"/>
      <c r="AU464"/>
    </row>
    <row r="465" spans="1:47">
      <c r="A465" s="57">
        <f t="shared" si="43"/>
        <v>0</v>
      </c>
      <c r="B465" s="183" t="str">
        <f t="shared" si="45"/>
        <v/>
      </c>
      <c r="C465" s="186" t="str">
        <f>IF(OR(R465&gt;0,V465&gt;0),INDEX('M04-S04'!$BC$16:$BC$198,2*(ROWS($C$437:C465)-1)+1),"")</f>
        <v/>
      </c>
      <c r="D465" t="s">
        <v>231</v>
      </c>
      <c r="E465" s="112"/>
      <c r="F465" s="112"/>
      <c r="G465" s="96"/>
      <c r="H465" s="96"/>
      <c r="I465" s="184">
        <f>IFERROR(ROUND(IF(ISNUMBER(INDEX('M04-S04'!$AN$16:$AN$198,2*(ROWS($R$437:$R465)-1)+1)),INDEX('M04-S04'!$AD$16:$AD$198,2*(ROWS($I$437:$I465)-1)+1),""),2),0)</f>
        <v>0</v>
      </c>
      <c r="J465" s="184">
        <f>IFERROR(ROUND(IF(ISNUMBER(INDEX('M04-S04'!$AN$16:$AN$198,2*(ROWS($R$437:$R465)-1)+1)),INDEX('M04-S04'!$AF$16:$AF$198,2*(ROWS($J$437:$J465)-1)+1),""),2),0)</f>
        <v>0</v>
      </c>
      <c r="K465" s="52">
        <f>IFERROR(ROUND(IF(ISNUMBER(INDEX('M04-S04'!$AN$16:$AN$198,2*(ROWS($R$437:$R465)-1)+1)),INDEX('M04-S04'!$AH$16:$AH$198,2*(ROWS($K$437:$K465)-1)+1),""),2),0)</f>
        <v>0</v>
      </c>
      <c r="M465" s="456" t="str">
        <f>IF(ISNUMBER(INDEX('M04-S04'!$AN$16:$AN$198,2*(ROWS($R$437:R465)-1)+1)),INDEX('M04-S04'!$X$16:$X$198,2*(ROWS($M$437:M465)-1)+1),"")</f>
        <v/>
      </c>
      <c r="N465" s="113"/>
      <c r="O465" s="459"/>
      <c r="P465" s="184" t="str">
        <f>IFERROR(IF(ISNUMBER(INDEX('M04-S04'!$AN$16:$AN$198,2*(ROWS($R$437:R465)-1)+1)),INDEX('M04-S04'!$AK$16:$AK$196,2*(ROWS($P$437:P465)-1)+1),""),"")</f>
        <v/>
      </c>
      <c r="Q465" s="184"/>
      <c r="R465" s="184">
        <f>IF(ISNUMBER(INDEX('M04-S04'!$AN$16:$AN$198,2*(ROWS($R$437:R465)-1)+1)),INDEX('M04-S04'!$AN$16:$AN$198,2*(ROWS($R$437:R465)-1)+1),0)</f>
        <v>0</v>
      </c>
      <c r="S465" s="23">
        <f>IF(NOT(ISNUMBER(INDEX('M04-S04'!$AN$16:$AN$198,2*(ROWS($R$437:R465)-1)+1))),INDEX('M04-S04'!$X$16:$X$198,2*(ROWS($S$437:S465)-1)+1),"")</f>
        <v>0</v>
      </c>
      <c r="T465" s="113"/>
      <c r="U465" s="459"/>
      <c r="V465" s="52" t="str">
        <f>IFERROR(IF(NOT(ISNUMBER(INDEX('M04-S04'!$AN$16:$AN$198,2*(ROWS($R$437:R465)-1)+1))),INDEX('M04-S04'!$AK$16:$AK$198,2*(ROWS($R$437:R465)-1)+1),0),0)</f>
        <v/>
      </c>
      <c r="W465" t="str">
        <f>IFERROR(IF(NOT(ISNUMBER(INDEX('M04-S04'!$AN$16:$AN$198,2*(ROWS($R$437:R465)-1)+1))),INDEX('M04-S04'!$BD$16:$BD$198,2*(ROWS($R$437:R465)-1)+1),""),"")</f>
        <v>Submit for Review</v>
      </c>
      <c r="X465" s="113"/>
      <c r="Y465" s="113"/>
      <c r="Z465" s="111">
        <f>INDEX('M04-S04'!$B$16:$B$198,2*(ROWS($Z$437:Z465)-1)+1)</f>
        <v>29</v>
      </c>
      <c r="AA465" s="112"/>
      <c r="AB465" s="111">
        <f>INDEX('M04-S04'!$F$16:$F$198,2*(ROWS($Z$437:AB465)-1)+1)</f>
        <v>0</v>
      </c>
      <c r="AC465">
        <f>INDEX('M04-S04'!$L$16:$L$198,2*(ROWS($AC$437:AC465)-1)+1)</f>
        <v>0</v>
      </c>
      <c r="AD465">
        <f>INDEX('M04-S04'!$T$16:$T$198,2*(ROWS($AD$437:AD465)-1)+1)</f>
        <v>0</v>
      </c>
      <c r="AE465" s="459"/>
      <c r="AF465" s="459"/>
      <c r="AG465" s="96"/>
      <c r="AH465" s="96"/>
      <c r="AI465" s="111">
        <f>INDEX('M04-S04'!$R$16:$R$198,2*(ROWS($AG$437:AI465)-1)+1)</f>
        <v>0</v>
      </c>
      <c r="AJ465" s="111">
        <f>INDEX('M04-S04'!$Z$16:$Z$198,2*(ROWS($AH$437:AJ465)-1)+1)</f>
        <v>0</v>
      </c>
      <c r="AK465" s="52" t="str">
        <f>INDEX('M04-S04'!$AV$16:$AV$198,2*(ROWS($AK$437:AK465)-1)+1)</f>
        <v/>
      </c>
      <c r="AL465" s="184">
        <f>IF(NOT(ISNUMBER(INDEX('M04-S04'!$AN$16:$AN$198,2*(ROWS($R$437:$R465)-1)+1))),INDEX('M04-S04'!$AD$16:$AD$198,2*(ROWS($AL$437:$AL465)-1)+1),"")</f>
        <v>0</v>
      </c>
      <c r="AM465" s="184" t="str">
        <f>IF(NOT(ISNUMBER(INDEX('M04-S04'!$AN$16:$AN$198,2*(ROWS($R$437:$R465)-1)+1))),INDEX('M04-S04'!$AF$16:$AF$198,2*(ROWS($AM$437:$AM465)-1)+1),"")</f>
        <v/>
      </c>
      <c r="AN465" s="52" t="str">
        <f>IF(NOT(ISNUMBER(INDEX('M04-S04'!$AN$16:$AN$198,2*(ROWS($R$437:$R465)-1)+1))),INDEX('M04-S04'!$AH$16:$AH$198,2*(ROWS($AN$437:$AN465)-1)+1),"")</f>
        <v/>
      </c>
      <c r="AO465" s="113"/>
      <c r="AU465"/>
    </row>
    <row r="466" spans="1:47">
      <c r="A466" s="57">
        <f t="shared" si="43"/>
        <v>0</v>
      </c>
      <c r="B466" s="183" t="str">
        <f t="shared" si="45"/>
        <v/>
      </c>
      <c r="C466" s="186" t="str">
        <f>IF(OR(R466&gt;0,V466&gt;0),INDEX('M04-S04'!$BC$16:$BC$198,2*(ROWS($C$437:C466)-1)+1),"")</f>
        <v/>
      </c>
      <c r="D466" t="s">
        <v>231</v>
      </c>
      <c r="E466" s="112"/>
      <c r="F466" s="112"/>
      <c r="G466" s="96"/>
      <c r="H466" s="96"/>
      <c r="I466" s="184">
        <f>IFERROR(ROUND(IF(ISNUMBER(INDEX('M04-S04'!$AN$16:$AN$198,2*(ROWS($R$437:$R466)-1)+1)),INDEX('M04-S04'!$AD$16:$AD$198,2*(ROWS($I$437:$I466)-1)+1),""),2),0)</f>
        <v>0</v>
      </c>
      <c r="J466" s="184">
        <f>IFERROR(ROUND(IF(ISNUMBER(INDEX('M04-S04'!$AN$16:$AN$198,2*(ROWS($R$437:$R466)-1)+1)),INDEX('M04-S04'!$AF$16:$AF$198,2*(ROWS($J$437:$J466)-1)+1),""),2),0)</f>
        <v>0</v>
      </c>
      <c r="K466" s="52">
        <f>IFERROR(ROUND(IF(ISNUMBER(INDEX('M04-S04'!$AN$16:$AN$198,2*(ROWS($R$437:$R466)-1)+1)),INDEX('M04-S04'!$AH$16:$AH$198,2*(ROWS($K$437:$K466)-1)+1),""),2),0)</f>
        <v>0</v>
      </c>
      <c r="M466" s="456" t="str">
        <f>IF(ISNUMBER(INDEX('M04-S04'!$AN$16:$AN$198,2*(ROWS($R$437:R466)-1)+1)),INDEX('M04-S04'!$X$16:$X$198,2*(ROWS($M$437:M466)-1)+1),"")</f>
        <v/>
      </c>
      <c r="N466" s="113"/>
      <c r="O466" s="459"/>
      <c r="P466" s="184" t="str">
        <f>IFERROR(IF(ISNUMBER(INDEX('M04-S04'!$AN$16:$AN$198,2*(ROWS($R$437:R466)-1)+1)),INDEX('M04-S04'!$AK$16:$AK$196,2*(ROWS($P$437:P466)-1)+1),""),"")</f>
        <v/>
      </c>
      <c r="Q466" s="184"/>
      <c r="R466" s="184">
        <f>IF(ISNUMBER(INDEX('M04-S04'!$AN$16:$AN$198,2*(ROWS($R$437:R466)-1)+1)),INDEX('M04-S04'!$AN$16:$AN$198,2*(ROWS($R$437:R466)-1)+1),0)</f>
        <v>0</v>
      </c>
      <c r="S466" s="23">
        <f>IF(NOT(ISNUMBER(INDEX('M04-S04'!$AN$16:$AN$198,2*(ROWS($R$437:R466)-1)+1))),INDEX('M04-S04'!$X$16:$X$198,2*(ROWS($S$437:S466)-1)+1),"")</f>
        <v>0</v>
      </c>
      <c r="T466" s="113"/>
      <c r="U466" s="459"/>
      <c r="V466" s="52" t="str">
        <f>IFERROR(IF(NOT(ISNUMBER(INDEX('M04-S04'!$AN$16:$AN$198,2*(ROWS($R$437:R466)-1)+1))),INDEX('M04-S04'!$AK$16:$AK$198,2*(ROWS($R$437:R466)-1)+1),0),0)</f>
        <v/>
      </c>
      <c r="W466" t="str">
        <f>IFERROR(IF(NOT(ISNUMBER(INDEX('M04-S04'!$AN$16:$AN$198,2*(ROWS($R$437:R466)-1)+1))),INDEX('M04-S04'!$BD$16:$BD$198,2*(ROWS($R$437:R466)-1)+1),""),"")</f>
        <v>Submit for Review</v>
      </c>
      <c r="X466" s="113"/>
      <c r="Y466" s="113"/>
      <c r="Z466" s="111">
        <f>INDEX('M04-S04'!$B$16:$B$198,2*(ROWS($Z$437:Z466)-1)+1)</f>
        <v>30</v>
      </c>
      <c r="AA466" s="112"/>
      <c r="AB466" s="111">
        <f>INDEX('M04-S04'!$F$16:$F$198,2*(ROWS($Z$437:AB466)-1)+1)</f>
        <v>0</v>
      </c>
      <c r="AC466">
        <f>INDEX('M04-S04'!$L$16:$L$198,2*(ROWS($AC$437:AC466)-1)+1)</f>
        <v>0</v>
      </c>
      <c r="AD466">
        <f>INDEX('M04-S04'!$T$16:$T$198,2*(ROWS($AD$437:AD466)-1)+1)</f>
        <v>0</v>
      </c>
      <c r="AE466" s="459"/>
      <c r="AF466" s="459"/>
      <c r="AG466" s="96"/>
      <c r="AH466" s="96"/>
      <c r="AI466" s="111">
        <f>INDEX('M04-S04'!$R$16:$R$198,2*(ROWS($AG$437:AI466)-1)+1)</f>
        <v>0</v>
      </c>
      <c r="AJ466" s="111">
        <f>INDEX('M04-S04'!$Z$16:$Z$198,2*(ROWS($AH$437:AJ466)-1)+1)</f>
        <v>0</v>
      </c>
      <c r="AK466" s="52" t="str">
        <f>INDEX('M04-S04'!$AV$16:$AV$198,2*(ROWS($AK$437:AK466)-1)+1)</f>
        <v/>
      </c>
      <c r="AL466" s="184">
        <f>IF(NOT(ISNUMBER(INDEX('M04-S04'!$AN$16:$AN$198,2*(ROWS($R$437:$R466)-1)+1))),INDEX('M04-S04'!$AD$16:$AD$198,2*(ROWS($AL$437:$AL466)-1)+1),"")</f>
        <v>0</v>
      </c>
      <c r="AM466" s="184" t="str">
        <f>IF(NOT(ISNUMBER(INDEX('M04-S04'!$AN$16:$AN$198,2*(ROWS($R$437:$R466)-1)+1))),INDEX('M04-S04'!$AF$16:$AF$198,2*(ROWS($AM$437:$AM466)-1)+1),"")</f>
        <v/>
      </c>
      <c r="AN466" s="52" t="str">
        <f>IF(NOT(ISNUMBER(INDEX('M04-S04'!$AN$16:$AN$198,2*(ROWS($R$437:$R466)-1)+1))),INDEX('M04-S04'!$AH$16:$AH$198,2*(ROWS($AN$437:$AN466)-1)+1),"")</f>
        <v/>
      </c>
      <c r="AO466" s="113"/>
      <c r="AU466"/>
    </row>
    <row r="467" spans="1:47">
      <c r="A467" s="57">
        <f t="shared" si="43"/>
        <v>0</v>
      </c>
      <c r="B467" s="183" t="str">
        <f t="shared" si="45"/>
        <v/>
      </c>
      <c r="C467" s="186" t="str">
        <f>IF(OR(R467&gt;0,V467&gt;0),INDEX('M04-S04'!$BC$16:$BC$198,2*(ROWS($C$437:C467)-1)+1),"")</f>
        <v/>
      </c>
      <c r="D467" t="s">
        <v>231</v>
      </c>
      <c r="E467" s="112"/>
      <c r="F467" s="112"/>
      <c r="G467" s="96"/>
      <c r="H467" s="96"/>
      <c r="I467" s="184">
        <f>IFERROR(ROUND(IF(ISNUMBER(INDEX('M04-S04'!$AN$16:$AN$198,2*(ROWS($R$437:$R467)-1)+1)),INDEX('M04-S04'!$AD$16:$AD$198,2*(ROWS($I$437:$I467)-1)+1),""),2),0)</f>
        <v>0</v>
      </c>
      <c r="J467" s="184">
        <f>IFERROR(ROUND(IF(ISNUMBER(INDEX('M04-S04'!$AN$16:$AN$198,2*(ROWS($R$437:$R467)-1)+1)),INDEX('M04-S04'!$AF$16:$AF$198,2*(ROWS($J$437:$J467)-1)+1),""),2),0)</f>
        <v>0</v>
      </c>
      <c r="K467" s="52">
        <f>IFERROR(ROUND(IF(ISNUMBER(INDEX('M04-S04'!$AN$16:$AN$198,2*(ROWS($R$437:$R467)-1)+1)),INDEX('M04-S04'!$AH$16:$AH$198,2*(ROWS($K$437:$K467)-1)+1),""),2),0)</f>
        <v>0</v>
      </c>
      <c r="M467" s="456" t="str">
        <f>IF(ISNUMBER(INDEX('M04-S04'!$AN$16:$AN$198,2*(ROWS($R$437:R467)-1)+1)),INDEX('M04-S04'!$X$16:$X$198,2*(ROWS($M$437:M467)-1)+1),"")</f>
        <v/>
      </c>
      <c r="N467" s="113"/>
      <c r="O467" s="459"/>
      <c r="P467" s="184" t="str">
        <f>IFERROR(IF(ISNUMBER(INDEX('M04-S04'!$AN$16:$AN$198,2*(ROWS($R$437:R467)-1)+1)),INDEX('M04-S04'!$AK$16:$AK$196,2*(ROWS($P$437:P467)-1)+1),""),"")</f>
        <v/>
      </c>
      <c r="Q467" s="184"/>
      <c r="R467" s="184">
        <f>IF(ISNUMBER(INDEX('M04-S04'!$AN$16:$AN$198,2*(ROWS($R$437:R467)-1)+1)),INDEX('M04-S04'!$AN$16:$AN$198,2*(ROWS($R$437:R467)-1)+1),0)</f>
        <v>0</v>
      </c>
      <c r="S467" s="23">
        <f>IF(NOT(ISNUMBER(INDEX('M04-S04'!$AN$16:$AN$198,2*(ROWS($R$437:R467)-1)+1))),INDEX('M04-S04'!$X$16:$X$198,2*(ROWS($S$437:S467)-1)+1),"")</f>
        <v>0</v>
      </c>
      <c r="T467" s="113"/>
      <c r="U467" s="459"/>
      <c r="V467" s="52" t="str">
        <f>IFERROR(IF(NOT(ISNUMBER(INDEX('M04-S04'!$AN$16:$AN$198,2*(ROWS($R$437:R467)-1)+1))),INDEX('M04-S04'!$AK$16:$AK$198,2*(ROWS($R$437:R467)-1)+1),0),0)</f>
        <v/>
      </c>
      <c r="W467" t="str">
        <f>IFERROR(IF(NOT(ISNUMBER(INDEX('M04-S04'!$AN$16:$AN$198,2*(ROWS($R$437:R467)-1)+1))),INDEX('M04-S04'!$BD$16:$BD$198,2*(ROWS($R$437:R467)-1)+1),""),"")</f>
        <v>Submit for Review</v>
      </c>
      <c r="X467" s="113"/>
      <c r="Y467" s="113"/>
      <c r="Z467" s="111">
        <f>INDEX('M04-S04'!$B$16:$B$198,2*(ROWS($Z$437:Z467)-1)+1)</f>
        <v>31</v>
      </c>
      <c r="AA467" s="112"/>
      <c r="AB467" s="111">
        <f>INDEX('M04-S04'!$F$16:$F$198,2*(ROWS($Z$437:AB467)-1)+1)</f>
        <v>0</v>
      </c>
      <c r="AC467">
        <f>INDEX('M04-S04'!$L$16:$L$198,2*(ROWS($AC$437:AC467)-1)+1)</f>
        <v>0</v>
      </c>
      <c r="AD467">
        <f>INDEX('M04-S04'!$T$16:$T$198,2*(ROWS($AD$437:AD467)-1)+1)</f>
        <v>0</v>
      </c>
      <c r="AE467" s="459"/>
      <c r="AF467" s="459"/>
      <c r="AG467" s="96"/>
      <c r="AH467" s="96"/>
      <c r="AI467" s="111">
        <f>INDEX('M04-S04'!$R$16:$R$198,2*(ROWS($AG$437:AI467)-1)+1)</f>
        <v>0</v>
      </c>
      <c r="AJ467" s="111">
        <f>INDEX('M04-S04'!$Z$16:$Z$198,2*(ROWS($AH$437:AJ467)-1)+1)</f>
        <v>0</v>
      </c>
      <c r="AK467" s="52" t="str">
        <f>INDEX('M04-S04'!$AV$16:$AV$198,2*(ROWS($AK$437:AK467)-1)+1)</f>
        <v/>
      </c>
      <c r="AL467" s="184">
        <f>IF(NOT(ISNUMBER(INDEX('M04-S04'!$AN$16:$AN$198,2*(ROWS($R$437:$R467)-1)+1))),INDEX('M04-S04'!$AD$16:$AD$198,2*(ROWS($AL$437:$AL467)-1)+1),"")</f>
        <v>0</v>
      </c>
      <c r="AM467" s="184" t="str">
        <f>IF(NOT(ISNUMBER(INDEX('M04-S04'!$AN$16:$AN$198,2*(ROWS($R$437:$R467)-1)+1))),INDEX('M04-S04'!$AF$16:$AF$198,2*(ROWS($AM$437:$AM467)-1)+1),"")</f>
        <v/>
      </c>
      <c r="AN467" s="52" t="str">
        <f>IF(NOT(ISNUMBER(INDEX('M04-S04'!$AN$16:$AN$198,2*(ROWS($R$437:$R467)-1)+1))),INDEX('M04-S04'!$AH$16:$AH$198,2*(ROWS($AN$437:$AN467)-1)+1),"")</f>
        <v/>
      </c>
      <c r="AO467" s="113"/>
      <c r="AU467"/>
    </row>
    <row r="468" spans="1:47">
      <c r="A468" s="57">
        <f t="shared" si="43"/>
        <v>0</v>
      </c>
      <c r="B468" s="183" t="str">
        <f t="shared" si="45"/>
        <v/>
      </c>
      <c r="C468" s="186" t="str">
        <f>IF(OR(R468&gt;0,V468&gt;0),INDEX('M04-S04'!$BC$16:$BC$198,2*(ROWS($C$437:C468)-1)+1),"")</f>
        <v/>
      </c>
      <c r="D468" t="s">
        <v>231</v>
      </c>
      <c r="E468" s="112"/>
      <c r="F468" s="112"/>
      <c r="G468" s="96"/>
      <c r="H468" s="96"/>
      <c r="I468" s="184">
        <f>IFERROR(ROUND(IF(ISNUMBER(INDEX('M04-S04'!$AN$16:$AN$198,2*(ROWS($R$437:$R468)-1)+1)),INDEX('M04-S04'!$AD$16:$AD$198,2*(ROWS($I$437:$I468)-1)+1),""),2),0)</f>
        <v>0</v>
      </c>
      <c r="J468" s="184">
        <f>IFERROR(ROUND(IF(ISNUMBER(INDEX('M04-S04'!$AN$16:$AN$198,2*(ROWS($R$437:$R468)-1)+1)),INDEX('M04-S04'!$AF$16:$AF$198,2*(ROWS($J$437:$J468)-1)+1),""),2),0)</f>
        <v>0</v>
      </c>
      <c r="K468" s="52">
        <f>IFERROR(ROUND(IF(ISNUMBER(INDEX('M04-S04'!$AN$16:$AN$198,2*(ROWS($R$437:$R468)-1)+1)),INDEX('M04-S04'!$AH$16:$AH$198,2*(ROWS($K$437:$K468)-1)+1),""),2),0)</f>
        <v>0</v>
      </c>
      <c r="M468" s="456" t="str">
        <f>IF(ISNUMBER(INDEX('M04-S04'!$AN$16:$AN$198,2*(ROWS($R$437:R468)-1)+1)),INDEX('M04-S04'!$X$16:$X$198,2*(ROWS($M$437:M468)-1)+1),"")</f>
        <v/>
      </c>
      <c r="N468" s="113"/>
      <c r="O468" s="459"/>
      <c r="P468" s="184" t="str">
        <f>IFERROR(IF(ISNUMBER(INDEX('M04-S04'!$AN$16:$AN$198,2*(ROWS($R$437:R468)-1)+1)),INDEX('M04-S04'!$AK$16:$AK$196,2*(ROWS($P$437:P468)-1)+1),""),"")</f>
        <v/>
      </c>
      <c r="Q468" s="184"/>
      <c r="R468" s="184">
        <f>IF(ISNUMBER(INDEX('M04-S04'!$AN$16:$AN$198,2*(ROWS($R$437:R468)-1)+1)),INDEX('M04-S04'!$AN$16:$AN$198,2*(ROWS($R$437:R468)-1)+1),0)</f>
        <v>0</v>
      </c>
      <c r="S468" s="23">
        <f>IF(NOT(ISNUMBER(INDEX('M04-S04'!$AN$16:$AN$198,2*(ROWS($R$437:R468)-1)+1))),INDEX('M04-S04'!$X$16:$X$198,2*(ROWS($S$437:S468)-1)+1),"")</f>
        <v>0</v>
      </c>
      <c r="T468" s="113"/>
      <c r="U468" s="459"/>
      <c r="V468" s="52" t="str">
        <f>IFERROR(IF(NOT(ISNUMBER(INDEX('M04-S04'!$AN$16:$AN$198,2*(ROWS($R$437:R468)-1)+1))),INDEX('M04-S04'!$AK$16:$AK$198,2*(ROWS($R$437:R468)-1)+1),0),0)</f>
        <v/>
      </c>
      <c r="W468" t="str">
        <f>IFERROR(IF(NOT(ISNUMBER(INDEX('M04-S04'!$AN$16:$AN$198,2*(ROWS($R$437:R468)-1)+1))),INDEX('M04-S04'!$BD$16:$BD$198,2*(ROWS($R$437:R468)-1)+1),""),"")</f>
        <v>Submit for Review</v>
      </c>
      <c r="X468" s="113"/>
      <c r="Y468" s="113"/>
      <c r="Z468" s="111">
        <f>INDEX('M04-S04'!$B$16:$B$198,2*(ROWS($Z$437:Z468)-1)+1)</f>
        <v>32</v>
      </c>
      <c r="AA468" s="112"/>
      <c r="AB468" s="111">
        <f>INDEX('M04-S04'!$F$16:$F$198,2*(ROWS($Z$437:AB468)-1)+1)</f>
        <v>0</v>
      </c>
      <c r="AC468">
        <f>INDEX('M04-S04'!$L$16:$L$198,2*(ROWS($AC$437:AC468)-1)+1)</f>
        <v>0</v>
      </c>
      <c r="AD468">
        <f>INDEX('M04-S04'!$T$16:$T$198,2*(ROWS($AD$437:AD468)-1)+1)</f>
        <v>0</v>
      </c>
      <c r="AE468" s="459"/>
      <c r="AF468" s="459"/>
      <c r="AG468" s="96"/>
      <c r="AH468" s="96"/>
      <c r="AI468" s="111">
        <f>INDEX('M04-S04'!$R$16:$R$198,2*(ROWS($AG$437:AI468)-1)+1)</f>
        <v>0</v>
      </c>
      <c r="AJ468" s="111">
        <f>INDEX('M04-S04'!$Z$16:$Z$198,2*(ROWS($AH$437:AJ468)-1)+1)</f>
        <v>0</v>
      </c>
      <c r="AK468" s="52" t="str">
        <f>INDEX('M04-S04'!$AV$16:$AV$198,2*(ROWS($AK$437:AK468)-1)+1)</f>
        <v/>
      </c>
      <c r="AL468" s="184">
        <f>IF(NOT(ISNUMBER(INDEX('M04-S04'!$AN$16:$AN$198,2*(ROWS($R$437:$R468)-1)+1))),INDEX('M04-S04'!$AD$16:$AD$198,2*(ROWS($AL$437:$AL468)-1)+1),"")</f>
        <v>0</v>
      </c>
      <c r="AM468" s="184" t="str">
        <f>IF(NOT(ISNUMBER(INDEX('M04-S04'!$AN$16:$AN$198,2*(ROWS($R$437:$R468)-1)+1))),INDEX('M04-S04'!$AF$16:$AF$198,2*(ROWS($AM$437:$AM468)-1)+1),"")</f>
        <v/>
      </c>
      <c r="AN468" s="52" t="str">
        <f>IF(NOT(ISNUMBER(INDEX('M04-S04'!$AN$16:$AN$198,2*(ROWS($R$437:$R468)-1)+1))),INDEX('M04-S04'!$AH$16:$AH$198,2*(ROWS($AN$437:$AN468)-1)+1),"")</f>
        <v/>
      </c>
      <c r="AO468" s="113"/>
      <c r="AU468"/>
    </row>
    <row r="469" spans="1:47">
      <c r="A469" s="57">
        <f t="shared" si="43"/>
        <v>0</v>
      </c>
      <c r="B469" s="183" t="str">
        <f t="shared" si="45"/>
        <v/>
      </c>
      <c r="C469" s="186" t="str">
        <f>IF(OR(R469&gt;0,V469&gt;0),INDEX('M04-S04'!$BC$16:$BC$198,2*(ROWS($C$437:C469)-1)+1),"")</f>
        <v/>
      </c>
      <c r="D469" t="s">
        <v>231</v>
      </c>
      <c r="E469" s="112"/>
      <c r="F469" s="112"/>
      <c r="G469" s="96"/>
      <c r="H469" s="96"/>
      <c r="I469" s="184">
        <f>IFERROR(ROUND(IF(ISNUMBER(INDEX('M04-S04'!$AN$16:$AN$198,2*(ROWS($R$437:$R469)-1)+1)),INDEX('M04-S04'!$AD$16:$AD$198,2*(ROWS($I$437:$I469)-1)+1),""),2),0)</f>
        <v>0</v>
      </c>
      <c r="J469" s="184">
        <f>IFERROR(ROUND(IF(ISNUMBER(INDEX('M04-S04'!$AN$16:$AN$198,2*(ROWS($R$437:$R469)-1)+1)),INDEX('M04-S04'!$AF$16:$AF$198,2*(ROWS($J$437:$J469)-1)+1),""),2),0)</f>
        <v>0</v>
      </c>
      <c r="K469" s="52">
        <f>IFERROR(ROUND(IF(ISNUMBER(INDEX('M04-S04'!$AN$16:$AN$198,2*(ROWS($R$437:$R469)-1)+1)),INDEX('M04-S04'!$AH$16:$AH$198,2*(ROWS($K$437:$K469)-1)+1),""),2),0)</f>
        <v>0</v>
      </c>
      <c r="M469" s="456" t="str">
        <f>IF(ISNUMBER(INDEX('M04-S04'!$AN$16:$AN$198,2*(ROWS($R$437:R469)-1)+1)),INDEX('M04-S04'!$X$16:$X$198,2*(ROWS($M$437:M469)-1)+1),"")</f>
        <v/>
      </c>
      <c r="N469" s="113"/>
      <c r="O469" s="459"/>
      <c r="P469" s="184" t="str">
        <f>IFERROR(IF(ISNUMBER(INDEX('M04-S04'!$AN$16:$AN$198,2*(ROWS($R$437:R469)-1)+1)),INDEX('M04-S04'!$AK$16:$AK$196,2*(ROWS($P$437:P469)-1)+1),""),"")</f>
        <v/>
      </c>
      <c r="Q469" s="184"/>
      <c r="R469" s="184">
        <f>IF(ISNUMBER(INDEX('M04-S04'!$AN$16:$AN$198,2*(ROWS($R$437:R469)-1)+1)),INDEX('M04-S04'!$AN$16:$AN$198,2*(ROWS($R$437:R469)-1)+1),0)</f>
        <v>0</v>
      </c>
      <c r="S469" s="23">
        <f>IF(NOT(ISNUMBER(INDEX('M04-S04'!$AN$16:$AN$198,2*(ROWS($R$437:R469)-1)+1))),INDEX('M04-S04'!$X$16:$X$198,2*(ROWS($S$437:S469)-1)+1),"")</f>
        <v>0</v>
      </c>
      <c r="T469" s="113"/>
      <c r="U469" s="459"/>
      <c r="V469" s="52" t="str">
        <f>IFERROR(IF(NOT(ISNUMBER(INDEX('M04-S04'!$AN$16:$AN$198,2*(ROWS($R$437:R469)-1)+1))),INDEX('M04-S04'!$AK$16:$AK$198,2*(ROWS($R$437:R469)-1)+1),0),0)</f>
        <v/>
      </c>
      <c r="W469" t="str">
        <f>IFERROR(IF(NOT(ISNUMBER(INDEX('M04-S04'!$AN$16:$AN$198,2*(ROWS($R$437:R469)-1)+1))),INDEX('M04-S04'!$BD$16:$BD$198,2*(ROWS($R$437:R469)-1)+1),""),"")</f>
        <v>Submit for Review</v>
      </c>
      <c r="X469" s="113"/>
      <c r="Y469" s="113"/>
      <c r="Z469" s="111">
        <f>INDEX('M04-S04'!$B$16:$B$198,2*(ROWS($Z$437:Z469)-1)+1)</f>
        <v>33</v>
      </c>
      <c r="AA469" s="112"/>
      <c r="AB469" s="111">
        <f>INDEX('M04-S04'!$F$16:$F$198,2*(ROWS($Z$437:AB469)-1)+1)</f>
        <v>0</v>
      </c>
      <c r="AC469">
        <f>INDEX('M04-S04'!$L$16:$L$198,2*(ROWS($AC$437:AC469)-1)+1)</f>
        <v>0</v>
      </c>
      <c r="AD469">
        <f>INDEX('M04-S04'!$T$16:$T$198,2*(ROWS($AD$437:AD469)-1)+1)</f>
        <v>0</v>
      </c>
      <c r="AE469" s="459"/>
      <c r="AF469" s="459"/>
      <c r="AG469" s="96"/>
      <c r="AH469" s="96"/>
      <c r="AI469" s="111">
        <f>INDEX('M04-S04'!$R$16:$R$198,2*(ROWS($AG$437:AI469)-1)+1)</f>
        <v>0</v>
      </c>
      <c r="AJ469" s="111">
        <f>INDEX('M04-S04'!$Z$16:$Z$198,2*(ROWS($AH$437:AJ469)-1)+1)</f>
        <v>0</v>
      </c>
      <c r="AK469" s="52" t="str">
        <f>INDEX('M04-S04'!$AV$16:$AV$198,2*(ROWS($AK$437:AK469)-1)+1)</f>
        <v/>
      </c>
      <c r="AL469" s="184">
        <f>IF(NOT(ISNUMBER(INDEX('M04-S04'!$AN$16:$AN$198,2*(ROWS($R$437:$R469)-1)+1))),INDEX('M04-S04'!$AD$16:$AD$198,2*(ROWS($AL$437:$AL469)-1)+1),"")</f>
        <v>0</v>
      </c>
      <c r="AM469" s="184" t="str">
        <f>IF(NOT(ISNUMBER(INDEX('M04-S04'!$AN$16:$AN$198,2*(ROWS($R$437:$R469)-1)+1))),INDEX('M04-S04'!$AF$16:$AF$198,2*(ROWS($AM$437:$AM469)-1)+1),"")</f>
        <v/>
      </c>
      <c r="AN469" s="52" t="str">
        <f>IF(NOT(ISNUMBER(INDEX('M04-S04'!$AN$16:$AN$198,2*(ROWS($R$437:$R469)-1)+1))),INDEX('M04-S04'!$AH$16:$AH$198,2*(ROWS($AN$437:$AN469)-1)+1),"")</f>
        <v/>
      </c>
      <c r="AO469" s="113"/>
      <c r="AU469"/>
    </row>
    <row r="470" spans="1:47">
      <c r="A470" s="57">
        <f t="shared" si="43"/>
        <v>0</v>
      </c>
      <c r="B470" s="183" t="str">
        <f t="shared" si="45"/>
        <v/>
      </c>
      <c r="C470" s="186" t="str">
        <f>IF(OR(R470&gt;0,V470&gt;0),INDEX('M04-S04'!$BC$16:$BC$198,2*(ROWS($C$437:C470)-1)+1),"")</f>
        <v/>
      </c>
      <c r="D470" t="s">
        <v>231</v>
      </c>
      <c r="E470" s="112"/>
      <c r="F470" s="112"/>
      <c r="G470" s="96"/>
      <c r="H470" s="96"/>
      <c r="I470" s="184">
        <f>IFERROR(ROUND(IF(ISNUMBER(INDEX('M04-S04'!$AN$16:$AN$198,2*(ROWS($R$437:$R470)-1)+1)),INDEX('M04-S04'!$AD$16:$AD$198,2*(ROWS($I$437:$I470)-1)+1),""),2),0)</f>
        <v>0</v>
      </c>
      <c r="J470" s="184">
        <f>IFERROR(ROUND(IF(ISNUMBER(INDEX('M04-S04'!$AN$16:$AN$198,2*(ROWS($R$437:$R470)-1)+1)),INDEX('M04-S04'!$AF$16:$AF$198,2*(ROWS($J$437:$J470)-1)+1),""),2),0)</f>
        <v>0</v>
      </c>
      <c r="K470" s="52">
        <f>IFERROR(ROUND(IF(ISNUMBER(INDEX('M04-S04'!$AN$16:$AN$198,2*(ROWS($R$437:$R470)-1)+1)),INDEX('M04-S04'!$AH$16:$AH$198,2*(ROWS($K$437:$K470)-1)+1),""),2),0)</f>
        <v>0</v>
      </c>
      <c r="M470" s="456" t="str">
        <f>IF(ISNUMBER(INDEX('M04-S04'!$AN$16:$AN$198,2*(ROWS($R$437:R470)-1)+1)),INDEX('M04-S04'!$X$16:$X$198,2*(ROWS($M$437:M470)-1)+1),"")</f>
        <v/>
      </c>
      <c r="N470" s="113"/>
      <c r="O470" s="459"/>
      <c r="P470" s="184" t="str">
        <f>IFERROR(IF(ISNUMBER(INDEX('M04-S04'!$AN$16:$AN$198,2*(ROWS($R$437:R470)-1)+1)),INDEX('M04-S04'!$AK$16:$AK$196,2*(ROWS($P$437:P470)-1)+1),""),"")</f>
        <v/>
      </c>
      <c r="Q470" s="184"/>
      <c r="R470" s="184">
        <f>IF(ISNUMBER(INDEX('M04-S04'!$AN$16:$AN$198,2*(ROWS($R$437:R470)-1)+1)),INDEX('M04-S04'!$AN$16:$AN$198,2*(ROWS($R$437:R470)-1)+1),0)</f>
        <v>0</v>
      </c>
      <c r="S470" s="23">
        <f>IF(NOT(ISNUMBER(INDEX('M04-S04'!$AN$16:$AN$198,2*(ROWS($R$437:R470)-1)+1))),INDEX('M04-S04'!$X$16:$X$198,2*(ROWS($S$437:S470)-1)+1),"")</f>
        <v>0</v>
      </c>
      <c r="T470" s="113"/>
      <c r="U470" s="459"/>
      <c r="V470" s="52" t="str">
        <f>IFERROR(IF(NOT(ISNUMBER(INDEX('M04-S04'!$AN$16:$AN$198,2*(ROWS($R$437:R470)-1)+1))),INDEX('M04-S04'!$AK$16:$AK$198,2*(ROWS($R$437:R470)-1)+1),0),0)</f>
        <v/>
      </c>
      <c r="W470" t="str">
        <f>IFERROR(IF(NOT(ISNUMBER(INDEX('M04-S04'!$AN$16:$AN$198,2*(ROWS($R$437:R470)-1)+1))),INDEX('M04-S04'!$BD$16:$BD$198,2*(ROWS($R$437:R470)-1)+1),""),"")</f>
        <v>Submit for Review</v>
      </c>
      <c r="X470" s="113"/>
      <c r="Y470" s="113"/>
      <c r="Z470" s="111">
        <f>INDEX('M04-S04'!$B$16:$B$198,2*(ROWS($Z$437:Z470)-1)+1)</f>
        <v>34</v>
      </c>
      <c r="AA470" s="112"/>
      <c r="AB470" s="111">
        <f>INDEX('M04-S04'!$F$16:$F$198,2*(ROWS($Z$437:AB470)-1)+1)</f>
        <v>0</v>
      </c>
      <c r="AC470">
        <f>INDEX('M04-S04'!$L$16:$L$198,2*(ROWS($AC$437:AC470)-1)+1)</f>
        <v>0</v>
      </c>
      <c r="AD470">
        <f>INDEX('M04-S04'!$T$16:$T$198,2*(ROWS($AD$437:AD470)-1)+1)</f>
        <v>0</v>
      </c>
      <c r="AE470" s="459"/>
      <c r="AF470" s="459"/>
      <c r="AG470" s="96"/>
      <c r="AH470" s="96"/>
      <c r="AI470" s="111">
        <f>INDEX('M04-S04'!$R$16:$R$198,2*(ROWS($AG$437:AI470)-1)+1)</f>
        <v>0</v>
      </c>
      <c r="AJ470" s="111">
        <f>INDEX('M04-S04'!$Z$16:$Z$198,2*(ROWS($AH$437:AJ470)-1)+1)</f>
        <v>0</v>
      </c>
      <c r="AK470" s="52" t="str">
        <f>INDEX('M04-S04'!$AV$16:$AV$198,2*(ROWS($AK$437:AK470)-1)+1)</f>
        <v/>
      </c>
      <c r="AL470" s="184">
        <f>IF(NOT(ISNUMBER(INDEX('M04-S04'!$AN$16:$AN$198,2*(ROWS($R$437:$R470)-1)+1))),INDEX('M04-S04'!$AD$16:$AD$198,2*(ROWS($AL$437:$AL470)-1)+1),"")</f>
        <v>0</v>
      </c>
      <c r="AM470" s="184" t="str">
        <f>IF(NOT(ISNUMBER(INDEX('M04-S04'!$AN$16:$AN$198,2*(ROWS($R$437:$R470)-1)+1))),INDEX('M04-S04'!$AF$16:$AF$198,2*(ROWS($AM$437:$AM470)-1)+1),"")</f>
        <v/>
      </c>
      <c r="AN470" s="52" t="str">
        <f>IF(NOT(ISNUMBER(INDEX('M04-S04'!$AN$16:$AN$198,2*(ROWS($R$437:$R470)-1)+1))),INDEX('M04-S04'!$AH$16:$AH$198,2*(ROWS($AN$437:$AN470)-1)+1),"")</f>
        <v/>
      </c>
      <c r="AO470" s="113"/>
      <c r="AU470"/>
    </row>
    <row r="471" spans="1:47">
      <c r="A471" s="57">
        <f t="shared" si="43"/>
        <v>0</v>
      </c>
      <c r="B471" s="183" t="str">
        <f t="shared" si="45"/>
        <v/>
      </c>
      <c r="C471" s="186" t="str">
        <f>IF(OR(R471&gt;0,V471&gt;0),INDEX('M04-S04'!$BC$16:$BC$198,2*(ROWS($C$437:C471)-1)+1),"")</f>
        <v/>
      </c>
      <c r="D471" t="s">
        <v>231</v>
      </c>
      <c r="E471" s="112"/>
      <c r="F471" s="112"/>
      <c r="G471" s="96"/>
      <c r="H471" s="96"/>
      <c r="I471" s="184">
        <f>IFERROR(ROUND(IF(ISNUMBER(INDEX('M04-S04'!$AN$16:$AN$198,2*(ROWS($R$437:$R471)-1)+1)),INDEX('M04-S04'!$AD$16:$AD$198,2*(ROWS($I$437:$I471)-1)+1),""),2),0)</f>
        <v>0</v>
      </c>
      <c r="J471" s="184">
        <f>IFERROR(ROUND(IF(ISNUMBER(INDEX('M04-S04'!$AN$16:$AN$198,2*(ROWS($R$437:$R471)-1)+1)),INDEX('M04-S04'!$AF$16:$AF$198,2*(ROWS($J$437:$J471)-1)+1),""),2),0)</f>
        <v>0</v>
      </c>
      <c r="K471" s="52">
        <f>IFERROR(ROUND(IF(ISNUMBER(INDEX('M04-S04'!$AN$16:$AN$198,2*(ROWS($R$437:$R471)-1)+1)),INDEX('M04-S04'!$AH$16:$AH$198,2*(ROWS($K$437:$K471)-1)+1),""),2),0)</f>
        <v>0</v>
      </c>
      <c r="M471" s="456" t="str">
        <f>IF(ISNUMBER(INDEX('M04-S04'!$AN$16:$AN$198,2*(ROWS($R$437:R471)-1)+1)),INDEX('M04-S04'!$X$16:$X$198,2*(ROWS($M$437:M471)-1)+1),"")</f>
        <v/>
      </c>
      <c r="N471" s="113"/>
      <c r="O471" s="459"/>
      <c r="P471" s="184" t="str">
        <f>IFERROR(IF(ISNUMBER(INDEX('M04-S04'!$AN$16:$AN$198,2*(ROWS($R$437:R471)-1)+1)),INDEX('M04-S04'!$AK$16:$AK$196,2*(ROWS($P$437:P471)-1)+1),""),"")</f>
        <v/>
      </c>
      <c r="Q471" s="184"/>
      <c r="R471" s="184">
        <f>IF(ISNUMBER(INDEX('M04-S04'!$AN$16:$AN$198,2*(ROWS($R$437:R471)-1)+1)),INDEX('M04-S04'!$AN$16:$AN$198,2*(ROWS($R$437:R471)-1)+1),0)</f>
        <v>0</v>
      </c>
      <c r="S471" s="23">
        <f>IF(NOT(ISNUMBER(INDEX('M04-S04'!$AN$16:$AN$198,2*(ROWS($R$437:R471)-1)+1))),INDEX('M04-S04'!$X$16:$X$198,2*(ROWS($S$437:S471)-1)+1),"")</f>
        <v>0</v>
      </c>
      <c r="T471" s="113"/>
      <c r="U471" s="459"/>
      <c r="V471" s="52" t="str">
        <f>IFERROR(IF(NOT(ISNUMBER(INDEX('M04-S04'!$AN$16:$AN$198,2*(ROWS($R$437:R471)-1)+1))),INDEX('M04-S04'!$AK$16:$AK$198,2*(ROWS($R$437:R471)-1)+1),0),0)</f>
        <v/>
      </c>
      <c r="W471" t="str">
        <f>IFERROR(IF(NOT(ISNUMBER(INDEX('M04-S04'!$AN$16:$AN$198,2*(ROWS($R$437:R471)-1)+1))),INDEX('M04-S04'!$BD$16:$BD$198,2*(ROWS($R$437:R471)-1)+1),""),"")</f>
        <v>Submit for Review</v>
      </c>
      <c r="X471" s="113"/>
      <c r="Y471" s="113"/>
      <c r="Z471" s="111">
        <f>INDEX('M04-S04'!$B$16:$B$198,2*(ROWS($Z$437:Z471)-1)+1)</f>
        <v>35</v>
      </c>
      <c r="AA471" s="112"/>
      <c r="AB471" s="111">
        <f>INDEX('M04-S04'!$F$16:$F$198,2*(ROWS($Z$437:AB471)-1)+1)</f>
        <v>0</v>
      </c>
      <c r="AC471">
        <f>INDEX('M04-S04'!$L$16:$L$198,2*(ROWS($AC$437:AC471)-1)+1)</f>
        <v>0</v>
      </c>
      <c r="AD471">
        <f>INDEX('M04-S04'!$T$16:$T$198,2*(ROWS($AD$437:AD471)-1)+1)</f>
        <v>0</v>
      </c>
      <c r="AE471" s="459"/>
      <c r="AF471" s="459"/>
      <c r="AG471" s="96"/>
      <c r="AH471" s="96"/>
      <c r="AI471" s="111">
        <f>INDEX('M04-S04'!$R$16:$R$198,2*(ROWS($AG$437:AI471)-1)+1)</f>
        <v>0</v>
      </c>
      <c r="AJ471" s="111">
        <f>INDEX('M04-S04'!$Z$16:$Z$198,2*(ROWS($AH$437:AJ471)-1)+1)</f>
        <v>0</v>
      </c>
      <c r="AK471" s="52" t="str">
        <f>INDEX('M04-S04'!$AV$16:$AV$198,2*(ROWS($AK$437:AK471)-1)+1)</f>
        <v/>
      </c>
      <c r="AL471" s="184">
        <f>IF(NOT(ISNUMBER(INDEX('M04-S04'!$AN$16:$AN$198,2*(ROWS($R$437:$R471)-1)+1))),INDEX('M04-S04'!$AD$16:$AD$198,2*(ROWS($AL$437:$AL471)-1)+1),"")</f>
        <v>0</v>
      </c>
      <c r="AM471" s="184" t="str">
        <f>IF(NOT(ISNUMBER(INDEX('M04-S04'!$AN$16:$AN$198,2*(ROWS($R$437:$R471)-1)+1))),INDEX('M04-S04'!$AF$16:$AF$198,2*(ROWS($AM$437:$AM471)-1)+1),"")</f>
        <v/>
      </c>
      <c r="AN471" s="52" t="str">
        <f>IF(NOT(ISNUMBER(INDEX('M04-S04'!$AN$16:$AN$198,2*(ROWS($R$437:$R471)-1)+1))),INDEX('M04-S04'!$AH$16:$AH$198,2*(ROWS($AN$437:$AN471)-1)+1),"")</f>
        <v/>
      </c>
      <c r="AO471" s="113"/>
      <c r="AU471"/>
    </row>
    <row r="472" spans="1:47">
      <c r="A472" s="57">
        <f t="shared" si="43"/>
        <v>0</v>
      </c>
      <c r="B472" s="183" t="str">
        <f t="shared" si="45"/>
        <v/>
      </c>
      <c r="C472" s="186" t="str">
        <f>IF(OR(R472&gt;0,V472&gt;0),INDEX('M04-S04'!$BC$16:$BC$198,2*(ROWS($C$437:C472)-1)+1),"")</f>
        <v/>
      </c>
      <c r="D472" t="s">
        <v>231</v>
      </c>
      <c r="E472" s="112"/>
      <c r="F472" s="112"/>
      <c r="G472" s="96"/>
      <c r="H472" s="96"/>
      <c r="I472" s="184">
        <f>IFERROR(ROUND(IF(ISNUMBER(INDEX('M04-S04'!$AN$16:$AN$198,2*(ROWS($R$437:$R472)-1)+1)),INDEX('M04-S04'!$AD$16:$AD$198,2*(ROWS($I$437:$I472)-1)+1),""),2),0)</f>
        <v>0</v>
      </c>
      <c r="J472" s="184">
        <f>IFERROR(ROUND(IF(ISNUMBER(INDEX('M04-S04'!$AN$16:$AN$198,2*(ROWS($R$437:$R472)-1)+1)),INDEX('M04-S04'!$AF$16:$AF$198,2*(ROWS($J$437:$J472)-1)+1),""),2),0)</f>
        <v>0</v>
      </c>
      <c r="K472" s="52">
        <f>IFERROR(ROUND(IF(ISNUMBER(INDEX('M04-S04'!$AN$16:$AN$198,2*(ROWS($R$437:$R472)-1)+1)),INDEX('M04-S04'!$AH$16:$AH$198,2*(ROWS($K$437:$K472)-1)+1),""),2),0)</f>
        <v>0</v>
      </c>
      <c r="M472" s="456" t="str">
        <f>IF(ISNUMBER(INDEX('M04-S04'!$AN$16:$AN$198,2*(ROWS($R$437:R472)-1)+1)),INDEX('M04-S04'!$X$16:$X$198,2*(ROWS($M$437:M472)-1)+1),"")</f>
        <v/>
      </c>
      <c r="N472" s="113"/>
      <c r="O472" s="459"/>
      <c r="P472" s="184" t="str">
        <f>IFERROR(IF(ISNUMBER(INDEX('M04-S04'!$AN$16:$AN$198,2*(ROWS($R$437:R472)-1)+1)),INDEX('M04-S04'!$AK$16:$AK$196,2*(ROWS($P$437:P472)-1)+1),""),"")</f>
        <v/>
      </c>
      <c r="Q472" s="184"/>
      <c r="R472" s="184">
        <f>IF(ISNUMBER(INDEX('M04-S04'!$AN$16:$AN$198,2*(ROWS($R$437:R472)-1)+1)),INDEX('M04-S04'!$AN$16:$AN$198,2*(ROWS($R$437:R472)-1)+1),0)</f>
        <v>0</v>
      </c>
      <c r="S472" s="23">
        <f>IF(NOT(ISNUMBER(INDEX('M04-S04'!$AN$16:$AN$198,2*(ROWS($R$437:R472)-1)+1))),INDEX('M04-S04'!$X$16:$X$198,2*(ROWS($S$437:S472)-1)+1),"")</f>
        <v>0</v>
      </c>
      <c r="T472" s="113"/>
      <c r="U472" s="459"/>
      <c r="V472" s="52" t="str">
        <f>IFERROR(IF(NOT(ISNUMBER(INDEX('M04-S04'!$AN$16:$AN$198,2*(ROWS($R$437:R472)-1)+1))),INDEX('M04-S04'!$AK$16:$AK$198,2*(ROWS($R$437:R472)-1)+1),0),0)</f>
        <v/>
      </c>
      <c r="W472" t="str">
        <f>IFERROR(IF(NOT(ISNUMBER(INDEX('M04-S04'!$AN$16:$AN$198,2*(ROWS($R$437:R472)-1)+1))),INDEX('M04-S04'!$BD$16:$BD$198,2*(ROWS($R$437:R472)-1)+1),""),"")</f>
        <v>Submit for Review</v>
      </c>
      <c r="X472" s="113"/>
      <c r="Y472" s="113"/>
      <c r="Z472" s="111">
        <f>INDEX('M04-S04'!$B$16:$B$198,2*(ROWS($Z$437:Z472)-1)+1)</f>
        <v>36</v>
      </c>
      <c r="AA472" s="112"/>
      <c r="AB472" s="111">
        <f>INDEX('M04-S04'!$F$16:$F$198,2*(ROWS($Z$437:AB472)-1)+1)</f>
        <v>0</v>
      </c>
      <c r="AC472">
        <f>INDEX('M04-S04'!$L$16:$L$198,2*(ROWS($AC$437:AC472)-1)+1)</f>
        <v>0</v>
      </c>
      <c r="AD472">
        <f>INDEX('M04-S04'!$T$16:$T$198,2*(ROWS($AD$437:AD472)-1)+1)</f>
        <v>0</v>
      </c>
      <c r="AE472" s="459"/>
      <c r="AF472" s="459"/>
      <c r="AG472" s="96"/>
      <c r="AH472" s="96"/>
      <c r="AI472" s="111">
        <f>INDEX('M04-S04'!$R$16:$R$198,2*(ROWS($AG$437:AI472)-1)+1)</f>
        <v>0</v>
      </c>
      <c r="AJ472" s="111">
        <f>INDEX('M04-S04'!$Z$16:$Z$198,2*(ROWS($AH$437:AJ472)-1)+1)</f>
        <v>0</v>
      </c>
      <c r="AK472" s="52" t="str">
        <f>INDEX('M04-S04'!$AV$16:$AV$198,2*(ROWS($AK$437:AK472)-1)+1)</f>
        <v/>
      </c>
      <c r="AL472" s="184">
        <f>IF(NOT(ISNUMBER(INDEX('M04-S04'!$AN$16:$AN$198,2*(ROWS($R$437:$R472)-1)+1))),INDEX('M04-S04'!$AD$16:$AD$198,2*(ROWS($AL$437:$AL472)-1)+1),"")</f>
        <v>0</v>
      </c>
      <c r="AM472" s="184" t="str">
        <f>IF(NOT(ISNUMBER(INDEX('M04-S04'!$AN$16:$AN$198,2*(ROWS($R$437:$R472)-1)+1))),INDEX('M04-S04'!$AF$16:$AF$198,2*(ROWS($AM$437:$AM472)-1)+1),"")</f>
        <v/>
      </c>
      <c r="AN472" s="52" t="str">
        <f>IF(NOT(ISNUMBER(INDEX('M04-S04'!$AN$16:$AN$198,2*(ROWS($R$437:$R472)-1)+1))),INDEX('M04-S04'!$AH$16:$AH$198,2*(ROWS($AN$437:$AN472)-1)+1),"")</f>
        <v/>
      </c>
      <c r="AO472" s="113"/>
      <c r="AU472"/>
    </row>
    <row r="473" spans="1:47">
      <c r="A473" s="57">
        <f t="shared" si="43"/>
        <v>0</v>
      </c>
      <c r="B473" s="183" t="str">
        <f t="shared" si="44"/>
        <v/>
      </c>
      <c r="C473" s="186" t="str">
        <f>IF(OR(R473&gt;0,V473&gt;0),INDEX('M04-S04'!$BC$16:$BC$198,2*(ROWS($C$437:C473)-1)+1),"")</f>
        <v/>
      </c>
      <c r="D473" t="s">
        <v>231</v>
      </c>
      <c r="E473" s="112"/>
      <c r="F473" s="112"/>
      <c r="G473" s="96"/>
      <c r="H473" s="96"/>
      <c r="I473" s="184">
        <f>IFERROR(ROUND(IF(ISNUMBER(INDEX('M04-S04'!$AN$16:$AN$198,2*(ROWS($R$437:$R473)-1)+1)),INDEX('M04-S04'!$AD$16:$AD$198,2*(ROWS($I$437:$I473)-1)+1),""),2),0)</f>
        <v>0</v>
      </c>
      <c r="J473" s="184">
        <f>IFERROR(ROUND(IF(ISNUMBER(INDEX('M04-S04'!$AN$16:$AN$198,2*(ROWS($R$437:$R473)-1)+1)),INDEX('M04-S04'!$AF$16:$AF$198,2*(ROWS($J$437:$J473)-1)+1),""),2),0)</f>
        <v>0</v>
      </c>
      <c r="K473" s="52">
        <f>IFERROR(ROUND(IF(ISNUMBER(INDEX('M04-S04'!$AN$16:$AN$198,2*(ROWS($R$437:$R473)-1)+1)),INDEX('M04-S04'!$AH$16:$AH$198,2*(ROWS($K$437:$K473)-1)+1),""),2),0)</f>
        <v>0</v>
      </c>
      <c r="M473" s="456" t="str">
        <f>IF(ISNUMBER(INDEX('M04-S04'!$AN$16:$AN$198,2*(ROWS($R$437:R473)-1)+1)),INDEX('M04-S04'!$X$16:$X$198,2*(ROWS($M$437:M473)-1)+1),"")</f>
        <v/>
      </c>
      <c r="N473" s="113"/>
      <c r="O473" s="459"/>
      <c r="P473" s="184" t="str">
        <f>IFERROR(IF(ISNUMBER(INDEX('M04-S04'!$AN$16:$AN$198,2*(ROWS($R$437:R473)-1)+1)),INDEX('M04-S04'!$AK$16:$AK$196,2*(ROWS($P$437:P473)-1)+1),""),"")</f>
        <v/>
      </c>
      <c r="Q473" s="184"/>
      <c r="R473" s="184">
        <f>IF(ISNUMBER(INDEX('M04-S04'!$AN$16:$AN$198,2*(ROWS($R$437:R473)-1)+1)),INDEX('M04-S04'!$AN$16:$AN$198,2*(ROWS($R$437:R473)-1)+1),0)</f>
        <v>0</v>
      </c>
      <c r="S473" s="23">
        <f>IF(NOT(ISNUMBER(INDEX('M04-S04'!$AN$16:$AN$198,2*(ROWS($R$437:R473)-1)+1))),INDEX('M04-S04'!$X$16:$X$198,2*(ROWS($S$437:S473)-1)+1),"")</f>
        <v>0</v>
      </c>
      <c r="T473" s="113"/>
      <c r="U473" s="459"/>
      <c r="V473" s="52" t="str">
        <f>IFERROR(IF(NOT(ISNUMBER(INDEX('M04-S04'!$AN$16:$AN$198,2*(ROWS($R$437:R473)-1)+1))),INDEX('M04-S04'!$AK$16:$AK$198,2*(ROWS($R$437:R473)-1)+1),0),0)</f>
        <v/>
      </c>
      <c r="W473" t="str">
        <f>IFERROR(IF(NOT(ISNUMBER(INDEX('M04-S04'!$AN$16:$AN$198,2*(ROWS($R$437:R473)-1)+1))),INDEX('M04-S04'!$BD$16:$BD$198,2*(ROWS($R$437:R473)-1)+1),""),"")</f>
        <v>Submit for Review</v>
      </c>
      <c r="X473" s="113"/>
      <c r="Y473" s="113"/>
      <c r="Z473" s="111">
        <f>INDEX('M04-S04'!$B$16:$B$198,2*(ROWS($Z$437:Z473)-1)+1)</f>
        <v>37</v>
      </c>
      <c r="AA473" s="112"/>
      <c r="AB473" s="111">
        <f>INDEX('M04-S04'!$F$16:$F$198,2*(ROWS($Z$437:AB473)-1)+1)</f>
        <v>0</v>
      </c>
      <c r="AC473">
        <f>INDEX('M04-S04'!$L$16:$L$198,2*(ROWS($AC$437:AC473)-1)+1)</f>
        <v>0</v>
      </c>
      <c r="AD473">
        <f>INDEX('M04-S04'!$T$16:$T$198,2*(ROWS($AD$437:AD473)-1)+1)</f>
        <v>0</v>
      </c>
      <c r="AE473" s="459"/>
      <c r="AF473" s="459"/>
      <c r="AG473" s="96"/>
      <c r="AH473" s="96"/>
      <c r="AI473" s="111">
        <f>INDEX('M04-S04'!$R$16:$R$198,2*(ROWS($AG$437:AI473)-1)+1)</f>
        <v>0</v>
      </c>
      <c r="AJ473" s="111">
        <f>INDEX('M04-S04'!$Z$16:$Z$198,2*(ROWS($AH$437:AJ473)-1)+1)</f>
        <v>0</v>
      </c>
      <c r="AK473" s="52" t="str">
        <f>INDEX('M04-S04'!$AV$16:$AV$198,2*(ROWS($AK$437:AK473)-1)+1)</f>
        <v/>
      </c>
      <c r="AL473" s="184">
        <f>IF(NOT(ISNUMBER(INDEX('M04-S04'!$AN$16:$AN$198,2*(ROWS($R$437:$R473)-1)+1))),INDEX('M04-S04'!$AD$16:$AD$198,2*(ROWS($AL$437:$AL473)-1)+1),"")</f>
        <v>0</v>
      </c>
      <c r="AM473" s="184" t="str">
        <f>IF(NOT(ISNUMBER(INDEX('M04-S04'!$AN$16:$AN$198,2*(ROWS($R$437:$R473)-1)+1))),INDEX('M04-S04'!$AF$16:$AF$198,2*(ROWS($AM$437:$AM473)-1)+1),"")</f>
        <v/>
      </c>
      <c r="AN473" s="52" t="str">
        <f>IF(NOT(ISNUMBER(INDEX('M04-S04'!$AN$16:$AN$198,2*(ROWS($R$437:$R473)-1)+1))),INDEX('M04-S04'!$AH$16:$AH$198,2*(ROWS($AN$437:$AN473)-1)+1),"")</f>
        <v/>
      </c>
      <c r="AO473" s="113"/>
      <c r="AU473"/>
    </row>
    <row r="474" spans="1:47">
      <c r="A474" s="57">
        <f t="shared" si="43"/>
        <v>0</v>
      </c>
      <c r="B474" s="183" t="str">
        <f t="shared" si="44"/>
        <v/>
      </c>
      <c r="C474" s="186" t="str">
        <f>IF(OR(R474&gt;0,V474&gt;0),INDEX('M04-S04'!$BC$16:$BC$198,2*(ROWS($C$437:C474)-1)+1),"")</f>
        <v/>
      </c>
      <c r="D474" t="s">
        <v>231</v>
      </c>
      <c r="E474" s="112"/>
      <c r="F474" s="112"/>
      <c r="G474" s="96"/>
      <c r="H474" s="96"/>
      <c r="I474" s="184">
        <f>IFERROR(ROUND(IF(ISNUMBER(INDEX('M04-S04'!$AN$16:$AN$198,2*(ROWS($R$437:$R474)-1)+1)),INDEX('M04-S04'!$AD$16:$AD$198,2*(ROWS($I$437:$I474)-1)+1),""),2),0)</f>
        <v>0</v>
      </c>
      <c r="J474" s="184">
        <f>IFERROR(ROUND(IF(ISNUMBER(INDEX('M04-S04'!$AN$16:$AN$198,2*(ROWS($R$437:$R474)-1)+1)),INDEX('M04-S04'!$AF$16:$AF$198,2*(ROWS($J$437:$J474)-1)+1),""),2),0)</f>
        <v>0</v>
      </c>
      <c r="K474" s="52">
        <f>IFERROR(ROUND(IF(ISNUMBER(INDEX('M04-S04'!$AN$16:$AN$198,2*(ROWS($R$437:$R474)-1)+1)),INDEX('M04-S04'!$AH$16:$AH$198,2*(ROWS($K$437:$K474)-1)+1),""),2),0)</f>
        <v>0</v>
      </c>
      <c r="M474" s="456" t="str">
        <f>IF(ISNUMBER(INDEX('M04-S04'!$AN$16:$AN$198,2*(ROWS($R$437:R474)-1)+1)),INDEX('M04-S04'!$X$16:$X$198,2*(ROWS($M$437:M474)-1)+1),"")</f>
        <v/>
      </c>
      <c r="N474" s="113"/>
      <c r="O474" s="459"/>
      <c r="P474" s="184" t="str">
        <f>IFERROR(IF(ISNUMBER(INDEX('M04-S04'!$AN$16:$AN$198,2*(ROWS($R$437:R474)-1)+1)),INDEX('M04-S04'!$AK$16:$AK$196,2*(ROWS($P$437:P474)-1)+1),""),"")</f>
        <v/>
      </c>
      <c r="Q474" s="184"/>
      <c r="R474" s="184">
        <f>IF(ISNUMBER(INDEX('M04-S04'!$AN$16:$AN$198,2*(ROWS($R$437:R474)-1)+1)),INDEX('M04-S04'!$AN$16:$AN$198,2*(ROWS($R$437:R474)-1)+1),0)</f>
        <v>0</v>
      </c>
      <c r="S474" s="23">
        <f>IF(NOT(ISNUMBER(INDEX('M04-S04'!$AN$16:$AN$198,2*(ROWS($R$437:R474)-1)+1))),INDEX('M04-S04'!$X$16:$X$198,2*(ROWS($S$437:S474)-1)+1),"")</f>
        <v>0</v>
      </c>
      <c r="T474" s="113"/>
      <c r="U474" s="459"/>
      <c r="V474" s="52" t="str">
        <f>IFERROR(IF(NOT(ISNUMBER(INDEX('M04-S04'!$AN$16:$AN$198,2*(ROWS($R$437:R474)-1)+1))),INDEX('M04-S04'!$AK$16:$AK$198,2*(ROWS($R$437:R474)-1)+1),0),0)</f>
        <v/>
      </c>
      <c r="W474" t="str">
        <f>IFERROR(IF(NOT(ISNUMBER(INDEX('M04-S04'!$AN$16:$AN$198,2*(ROWS($R$437:R474)-1)+1))),INDEX('M04-S04'!$BD$16:$BD$198,2*(ROWS($R$437:R474)-1)+1),""),"")</f>
        <v>Submit for Review</v>
      </c>
      <c r="X474" s="113"/>
      <c r="Y474" s="113"/>
      <c r="Z474" s="111">
        <f>INDEX('M04-S04'!$B$16:$B$198,2*(ROWS($Z$437:Z474)-1)+1)</f>
        <v>38</v>
      </c>
      <c r="AA474" s="112"/>
      <c r="AB474" s="111">
        <f>INDEX('M04-S04'!$F$16:$F$198,2*(ROWS($Z$437:AB474)-1)+1)</f>
        <v>0</v>
      </c>
      <c r="AC474">
        <f>INDEX('M04-S04'!$L$16:$L$198,2*(ROWS($AC$437:AC474)-1)+1)</f>
        <v>0</v>
      </c>
      <c r="AD474">
        <f>INDEX('M04-S04'!$T$16:$T$198,2*(ROWS($AD$437:AD474)-1)+1)</f>
        <v>0</v>
      </c>
      <c r="AE474" s="459"/>
      <c r="AF474" s="459"/>
      <c r="AG474" s="96"/>
      <c r="AH474" s="96"/>
      <c r="AI474" s="111">
        <f>INDEX('M04-S04'!$R$16:$R$198,2*(ROWS($AG$437:AI474)-1)+1)</f>
        <v>0</v>
      </c>
      <c r="AJ474" s="111">
        <f>INDEX('M04-S04'!$Z$16:$Z$198,2*(ROWS($AH$437:AJ474)-1)+1)</f>
        <v>0</v>
      </c>
      <c r="AK474" s="52" t="str">
        <f>INDEX('M04-S04'!$AV$16:$AV$198,2*(ROWS($AK$437:AK474)-1)+1)</f>
        <v/>
      </c>
      <c r="AL474" s="184">
        <f>IF(NOT(ISNUMBER(INDEX('M04-S04'!$AN$16:$AN$198,2*(ROWS($R$437:$R474)-1)+1))),INDEX('M04-S04'!$AD$16:$AD$198,2*(ROWS($AL$437:$AL474)-1)+1),"")</f>
        <v>0</v>
      </c>
      <c r="AM474" s="184" t="str">
        <f>IF(NOT(ISNUMBER(INDEX('M04-S04'!$AN$16:$AN$198,2*(ROWS($R$437:$R474)-1)+1))),INDEX('M04-S04'!$AF$16:$AF$198,2*(ROWS($AM$437:$AM474)-1)+1),"")</f>
        <v/>
      </c>
      <c r="AN474" s="52" t="str">
        <f>IF(NOT(ISNUMBER(INDEX('M04-S04'!$AN$16:$AN$198,2*(ROWS($R$437:$R474)-1)+1))),INDEX('M04-S04'!$AH$16:$AH$198,2*(ROWS($AN$437:$AN474)-1)+1),"")</f>
        <v/>
      </c>
      <c r="AO474" s="113"/>
      <c r="AU474"/>
    </row>
    <row r="475" spans="1:47">
      <c r="A475" s="57">
        <f t="shared" si="43"/>
        <v>0</v>
      </c>
      <c r="B475" s="183" t="str">
        <f t="shared" si="44"/>
        <v/>
      </c>
      <c r="C475" s="186" t="str">
        <f>IF(OR(R475&gt;0,V475&gt;0),INDEX('M04-S04'!$BC$16:$BC$198,2*(ROWS($C$437:C475)-1)+1),"")</f>
        <v/>
      </c>
      <c r="D475" t="s">
        <v>231</v>
      </c>
      <c r="E475" s="112"/>
      <c r="F475" s="112"/>
      <c r="G475" s="96"/>
      <c r="H475" s="96"/>
      <c r="I475" s="184">
        <f>IFERROR(ROUND(IF(ISNUMBER(INDEX('M04-S04'!$AN$16:$AN$198,2*(ROWS($R$437:$R475)-1)+1)),INDEX('M04-S04'!$AD$16:$AD$198,2*(ROWS($I$437:$I475)-1)+1),""),2),0)</f>
        <v>0</v>
      </c>
      <c r="J475" s="184">
        <f>IFERROR(ROUND(IF(ISNUMBER(INDEX('M04-S04'!$AN$16:$AN$198,2*(ROWS($R$437:$R475)-1)+1)),INDEX('M04-S04'!$AF$16:$AF$198,2*(ROWS($J$437:$J475)-1)+1),""),2),0)</f>
        <v>0</v>
      </c>
      <c r="K475" s="52">
        <f>IFERROR(ROUND(IF(ISNUMBER(INDEX('M04-S04'!$AN$16:$AN$198,2*(ROWS($R$437:$R475)-1)+1)),INDEX('M04-S04'!$AH$16:$AH$198,2*(ROWS($K$437:$K475)-1)+1),""),2),0)</f>
        <v>0</v>
      </c>
      <c r="M475" s="456" t="str">
        <f>IF(ISNUMBER(INDEX('M04-S04'!$AN$16:$AN$198,2*(ROWS($R$437:R475)-1)+1)),INDEX('M04-S04'!$X$16:$X$198,2*(ROWS($M$437:M475)-1)+1),"")</f>
        <v/>
      </c>
      <c r="N475" s="113"/>
      <c r="O475" s="459"/>
      <c r="P475" s="184" t="str">
        <f>IFERROR(IF(ISNUMBER(INDEX('M04-S04'!$AN$16:$AN$198,2*(ROWS($R$437:R475)-1)+1)),INDEX('M04-S04'!$AK$16:$AK$196,2*(ROWS($P$437:P475)-1)+1),""),"")</f>
        <v/>
      </c>
      <c r="Q475" s="184"/>
      <c r="R475" s="184">
        <f>IF(ISNUMBER(INDEX('M04-S04'!$AN$16:$AN$198,2*(ROWS($R$437:R475)-1)+1)),INDEX('M04-S04'!$AN$16:$AN$198,2*(ROWS($R$437:R475)-1)+1),0)</f>
        <v>0</v>
      </c>
      <c r="S475" s="23">
        <f>IF(NOT(ISNUMBER(INDEX('M04-S04'!$AN$16:$AN$198,2*(ROWS($R$437:R475)-1)+1))),INDEX('M04-S04'!$X$16:$X$198,2*(ROWS($S$437:S475)-1)+1),"")</f>
        <v>0</v>
      </c>
      <c r="T475" s="113"/>
      <c r="U475" s="459"/>
      <c r="V475" s="52" t="str">
        <f>IFERROR(IF(NOT(ISNUMBER(INDEX('M04-S04'!$AN$16:$AN$198,2*(ROWS($R$437:R475)-1)+1))),INDEX('M04-S04'!$AK$16:$AK$198,2*(ROWS($R$437:R475)-1)+1),0),0)</f>
        <v/>
      </c>
      <c r="W475" t="str">
        <f>IFERROR(IF(NOT(ISNUMBER(INDEX('M04-S04'!$AN$16:$AN$198,2*(ROWS($R$437:R475)-1)+1))),INDEX('M04-S04'!$BD$16:$BD$198,2*(ROWS($R$437:R475)-1)+1),""),"")</f>
        <v>Submit for Review</v>
      </c>
      <c r="X475" s="113"/>
      <c r="Y475" s="113"/>
      <c r="Z475" s="111">
        <f>INDEX('M04-S04'!$B$16:$B$198,2*(ROWS($Z$437:Z475)-1)+1)</f>
        <v>39</v>
      </c>
      <c r="AA475" s="112"/>
      <c r="AB475" s="111">
        <f>INDEX('M04-S04'!$F$16:$F$198,2*(ROWS($Z$437:AB475)-1)+1)</f>
        <v>0</v>
      </c>
      <c r="AC475">
        <f>INDEX('M04-S04'!$L$16:$L$198,2*(ROWS($AC$437:AC475)-1)+1)</f>
        <v>0</v>
      </c>
      <c r="AD475">
        <f>INDEX('M04-S04'!$T$16:$T$198,2*(ROWS($AD$437:AD475)-1)+1)</f>
        <v>0</v>
      </c>
      <c r="AE475" s="459"/>
      <c r="AF475" s="459"/>
      <c r="AG475" s="96"/>
      <c r="AH475" s="96"/>
      <c r="AI475" s="111">
        <f>INDEX('M04-S04'!$R$16:$R$198,2*(ROWS($AG$437:AI475)-1)+1)</f>
        <v>0</v>
      </c>
      <c r="AJ475" s="111">
        <f>INDEX('M04-S04'!$Z$16:$Z$198,2*(ROWS($AH$437:AJ475)-1)+1)</f>
        <v>0</v>
      </c>
      <c r="AK475" s="52" t="str">
        <f>INDEX('M04-S04'!$AV$16:$AV$198,2*(ROWS($AK$437:AK475)-1)+1)</f>
        <v/>
      </c>
      <c r="AL475" s="184">
        <f>IF(NOT(ISNUMBER(INDEX('M04-S04'!$AN$16:$AN$198,2*(ROWS($R$437:$R475)-1)+1))),INDEX('M04-S04'!$AD$16:$AD$198,2*(ROWS($AL$437:$AL475)-1)+1),"")</f>
        <v>0</v>
      </c>
      <c r="AM475" s="184" t="str">
        <f>IF(NOT(ISNUMBER(INDEX('M04-S04'!$AN$16:$AN$198,2*(ROWS($R$437:$R475)-1)+1))),INDEX('M04-S04'!$AF$16:$AF$198,2*(ROWS($AM$437:$AM475)-1)+1),"")</f>
        <v/>
      </c>
      <c r="AN475" s="52" t="str">
        <f>IF(NOT(ISNUMBER(INDEX('M04-S04'!$AN$16:$AN$198,2*(ROWS($R$437:$R475)-1)+1))),INDEX('M04-S04'!$AH$16:$AH$198,2*(ROWS($AN$437:$AN475)-1)+1),"")</f>
        <v/>
      </c>
      <c r="AO475" s="113"/>
      <c r="AU475"/>
    </row>
    <row r="476" spans="1:47">
      <c r="A476" s="57">
        <f t="shared" si="43"/>
        <v>0</v>
      </c>
      <c r="B476" s="183" t="str">
        <f t="shared" si="44"/>
        <v/>
      </c>
      <c r="C476" s="186" t="str">
        <f>IF(OR(R476&gt;0,V476&gt;0),INDEX('M04-S04'!$BC$16:$BC$198,2*(ROWS($C$437:C476)-1)+1),"")</f>
        <v/>
      </c>
      <c r="D476" t="s">
        <v>231</v>
      </c>
      <c r="E476" s="112"/>
      <c r="F476" s="112"/>
      <c r="G476" s="96"/>
      <c r="H476" s="96"/>
      <c r="I476" s="184">
        <f>IFERROR(ROUND(IF(ISNUMBER(INDEX('M04-S04'!$AN$16:$AN$198,2*(ROWS($R$437:$R476)-1)+1)),INDEX('M04-S04'!$AD$16:$AD$198,2*(ROWS($I$437:$I476)-1)+1),""),2),0)</f>
        <v>0</v>
      </c>
      <c r="J476" s="184">
        <f>IFERROR(ROUND(IF(ISNUMBER(INDEX('M04-S04'!$AN$16:$AN$198,2*(ROWS($R$437:$R476)-1)+1)),INDEX('M04-S04'!$AF$16:$AF$198,2*(ROWS($J$437:$J476)-1)+1),""),2),0)</f>
        <v>0</v>
      </c>
      <c r="K476" s="52">
        <f>IFERROR(ROUND(IF(ISNUMBER(INDEX('M04-S04'!$AN$16:$AN$198,2*(ROWS($R$437:$R476)-1)+1)),INDEX('M04-S04'!$AH$16:$AH$198,2*(ROWS($K$437:$K476)-1)+1),""),2),0)</f>
        <v>0</v>
      </c>
      <c r="M476" s="456" t="str">
        <f>IF(ISNUMBER(INDEX('M04-S04'!$AN$16:$AN$198,2*(ROWS($R$437:R476)-1)+1)),INDEX('M04-S04'!$X$16:$X$198,2*(ROWS($M$437:M476)-1)+1),"")</f>
        <v/>
      </c>
      <c r="N476" s="113"/>
      <c r="O476" s="459"/>
      <c r="P476" s="184" t="str">
        <f>IFERROR(IF(ISNUMBER(INDEX('M04-S04'!$AN$16:$AN$198,2*(ROWS($R$437:R476)-1)+1)),INDEX('M04-S04'!$AK$16:$AK$196,2*(ROWS($P$437:P476)-1)+1),""),"")</f>
        <v/>
      </c>
      <c r="Q476" s="184"/>
      <c r="R476" s="184">
        <f>IF(ISNUMBER(INDEX('M04-S04'!$AN$16:$AN$198,2*(ROWS($R$437:R476)-1)+1)),INDEX('M04-S04'!$AN$16:$AN$198,2*(ROWS($R$437:R476)-1)+1),0)</f>
        <v>0</v>
      </c>
      <c r="S476" s="23">
        <f>IF(NOT(ISNUMBER(INDEX('M04-S04'!$AN$16:$AN$198,2*(ROWS($R$437:R476)-1)+1))),INDEX('M04-S04'!$X$16:$X$198,2*(ROWS($S$437:S476)-1)+1),"")</f>
        <v>0</v>
      </c>
      <c r="T476" s="113"/>
      <c r="U476" s="459"/>
      <c r="V476" s="52" t="str">
        <f>IFERROR(IF(NOT(ISNUMBER(INDEX('M04-S04'!$AN$16:$AN$198,2*(ROWS($R$437:R476)-1)+1))),INDEX('M04-S04'!$AK$16:$AK$198,2*(ROWS($R$437:R476)-1)+1),0),0)</f>
        <v/>
      </c>
      <c r="W476" t="str">
        <f>IFERROR(IF(NOT(ISNUMBER(INDEX('M04-S04'!$AN$16:$AN$198,2*(ROWS($R$437:R476)-1)+1))),INDEX('M04-S04'!$BD$16:$BD$198,2*(ROWS($R$437:R476)-1)+1),""),"")</f>
        <v>Submit for Review</v>
      </c>
      <c r="X476" s="113"/>
      <c r="Y476" s="113"/>
      <c r="Z476" s="111">
        <f>INDEX('M04-S04'!$B$16:$B$198,2*(ROWS($Z$437:Z476)-1)+1)</f>
        <v>40</v>
      </c>
      <c r="AA476" s="112"/>
      <c r="AB476" s="111">
        <f>INDEX('M04-S04'!$F$16:$F$198,2*(ROWS($Z$437:AB476)-1)+1)</f>
        <v>0</v>
      </c>
      <c r="AC476">
        <f>INDEX('M04-S04'!$L$16:$L$198,2*(ROWS($AC$437:AC476)-1)+1)</f>
        <v>0</v>
      </c>
      <c r="AD476">
        <f>INDEX('M04-S04'!$T$16:$T$198,2*(ROWS($AD$437:AD476)-1)+1)</f>
        <v>0</v>
      </c>
      <c r="AE476" s="459"/>
      <c r="AF476" s="459"/>
      <c r="AG476" s="96"/>
      <c r="AH476" s="96"/>
      <c r="AI476" s="111">
        <f>INDEX('M04-S04'!$R$16:$R$198,2*(ROWS($AG$437:AI476)-1)+1)</f>
        <v>0</v>
      </c>
      <c r="AJ476" s="111">
        <f>INDEX('M04-S04'!$Z$16:$Z$198,2*(ROWS($AH$437:AJ476)-1)+1)</f>
        <v>0</v>
      </c>
      <c r="AK476" s="52" t="str">
        <f>INDEX('M04-S04'!$AV$16:$AV$198,2*(ROWS($AK$437:AK476)-1)+1)</f>
        <v/>
      </c>
      <c r="AL476" s="184">
        <f>IF(NOT(ISNUMBER(INDEX('M04-S04'!$AN$16:$AN$198,2*(ROWS($R$437:$R476)-1)+1))),INDEX('M04-S04'!$AD$16:$AD$198,2*(ROWS($AL$437:$AL476)-1)+1),"")</f>
        <v>0</v>
      </c>
      <c r="AM476" s="184" t="str">
        <f>IF(NOT(ISNUMBER(INDEX('M04-S04'!$AN$16:$AN$198,2*(ROWS($R$437:$R476)-1)+1))),INDEX('M04-S04'!$AF$16:$AF$198,2*(ROWS($AM$437:$AM476)-1)+1),"")</f>
        <v/>
      </c>
      <c r="AN476" s="52" t="str">
        <f>IF(NOT(ISNUMBER(INDEX('M04-S04'!$AN$16:$AN$198,2*(ROWS($R$437:$R476)-1)+1))),INDEX('M04-S04'!$AH$16:$AH$198,2*(ROWS($AN$437:$AN476)-1)+1),"")</f>
        <v/>
      </c>
      <c r="AO476" s="113"/>
      <c r="AU476"/>
    </row>
    <row r="477" spans="1:47">
      <c r="A477" s="57">
        <f t="shared" si="43"/>
        <v>0</v>
      </c>
      <c r="B477" s="183" t="str">
        <f t="shared" si="44"/>
        <v/>
      </c>
      <c r="C477" s="186" t="str">
        <f>IF(OR(R477&gt;0,V477&gt;0),INDEX('M04-S04'!$BC$16:$BC$198,2*(ROWS($C$437:C477)-1)+1),"")</f>
        <v/>
      </c>
      <c r="D477" t="s">
        <v>231</v>
      </c>
      <c r="E477" s="112"/>
      <c r="F477" s="112"/>
      <c r="G477" s="96"/>
      <c r="H477" s="96"/>
      <c r="I477" s="184">
        <f>IFERROR(ROUND(IF(ISNUMBER(INDEX('M04-S04'!$AN$16:$AN$198,2*(ROWS($R$437:$R477)-1)+1)),INDEX('M04-S04'!$AD$16:$AD$198,2*(ROWS($I$437:$I477)-1)+1),""),2),0)</f>
        <v>0</v>
      </c>
      <c r="J477" s="184">
        <f>IFERROR(ROUND(IF(ISNUMBER(INDEX('M04-S04'!$AN$16:$AN$198,2*(ROWS($R$437:$R477)-1)+1)),INDEX('M04-S04'!$AF$16:$AF$198,2*(ROWS($J$437:$J477)-1)+1),""),2),0)</f>
        <v>0</v>
      </c>
      <c r="K477" s="52">
        <f>IFERROR(ROUND(IF(ISNUMBER(INDEX('M04-S04'!$AN$16:$AN$198,2*(ROWS($R$437:$R477)-1)+1)),INDEX('M04-S04'!$AH$16:$AH$198,2*(ROWS($K$437:$K477)-1)+1),""),2),0)</f>
        <v>0</v>
      </c>
      <c r="M477" s="456" t="str">
        <f>IF(ISNUMBER(INDEX('M04-S04'!$AN$16:$AN$198,2*(ROWS($R$437:R477)-1)+1)),INDEX('M04-S04'!$X$16:$X$198,2*(ROWS($M$437:M477)-1)+1),"")</f>
        <v/>
      </c>
      <c r="N477" s="113"/>
      <c r="O477" s="459"/>
      <c r="P477" s="184" t="str">
        <f>IFERROR(IF(ISNUMBER(INDEX('M04-S04'!$AN$16:$AN$198,2*(ROWS($R$437:R477)-1)+1)),INDEX('M04-S04'!$AK$16:$AK$196,2*(ROWS($P$437:P477)-1)+1),""),"")</f>
        <v/>
      </c>
      <c r="Q477" s="184"/>
      <c r="R477" s="184">
        <f>IF(ISNUMBER(INDEX('M04-S04'!$AN$16:$AN$198,2*(ROWS($R$437:R477)-1)+1)),INDEX('M04-S04'!$AN$16:$AN$198,2*(ROWS($R$437:R477)-1)+1),0)</f>
        <v>0</v>
      </c>
      <c r="S477" s="23">
        <f>IF(NOT(ISNUMBER(INDEX('M04-S04'!$AN$16:$AN$198,2*(ROWS($R$437:R477)-1)+1))),INDEX('M04-S04'!$X$16:$X$198,2*(ROWS($S$437:S477)-1)+1),"")</f>
        <v>0</v>
      </c>
      <c r="T477" s="113"/>
      <c r="U477" s="459"/>
      <c r="V477" s="52" t="str">
        <f>IFERROR(IF(NOT(ISNUMBER(INDEX('M04-S04'!$AN$16:$AN$198,2*(ROWS($R$437:R477)-1)+1))),INDEX('M04-S04'!$AK$16:$AK$198,2*(ROWS($R$437:R477)-1)+1),0),0)</f>
        <v/>
      </c>
      <c r="W477" t="str">
        <f>IFERROR(IF(NOT(ISNUMBER(INDEX('M04-S04'!$AN$16:$AN$198,2*(ROWS($R$437:R477)-1)+1))),INDEX('M04-S04'!$BD$16:$BD$198,2*(ROWS($R$437:R477)-1)+1),""),"")</f>
        <v>Submit for Review</v>
      </c>
      <c r="X477" s="113"/>
      <c r="Y477" s="113"/>
      <c r="Z477" s="111">
        <f>INDEX('M04-S04'!$B$16:$B$198,2*(ROWS($Z$437:Z477)-1)+1)</f>
        <v>41</v>
      </c>
      <c r="AA477" s="112"/>
      <c r="AB477" s="111">
        <f>INDEX('M04-S04'!$F$16:$F$198,2*(ROWS($Z$437:AB477)-1)+1)</f>
        <v>0</v>
      </c>
      <c r="AC477">
        <f>INDEX('M04-S04'!$L$16:$L$198,2*(ROWS($AC$437:AC477)-1)+1)</f>
        <v>0</v>
      </c>
      <c r="AD477">
        <f>INDEX('M04-S04'!$T$16:$T$198,2*(ROWS($AD$437:AD477)-1)+1)</f>
        <v>0</v>
      </c>
      <c r="AE477" s="459"/>
      <c r="AF477" s="459"/>
      <c r="AG477" s="96"/>
      <c r="AH477" s="96"/>
      <c r="AI477" s="111">
        <f>INDEX('M04-S04'!$R$16:$R$198,2*(ROWS($AG$437:AI477)-1)+1)</f>
        <v>0</v>
      </c>
      <c r="AJ477" s="111">
        <f>INDEX('M04-S04'!$Z$16:$Z$198,2*(ROWS($AH$437:AJ477)-1)+1)</f>
        <v>0</v>
      </c>
      <c r="AK477" s="52" t="str">
        <f>INDEX('M04-S04'!$AV$16:$AV$198,2*(ROWS($AK$437:AK477)-1)+1)</f>
        <v/>
      </c>
      <c r="AL477" s="184">
        <f>IF(NOT(ISNUMBER(INDEX('M04-S04'!$AN$16:$AN$198,2*(ROWS($R$437:$R477)-1)+1))),INDEX('M04-S04'!$AD$16:$AD$198,2*(ROWS($AL$437:$AL477)-1)+1),"")</f>
        <v>0</v>
      </c>
      <c r="AM477" s="184" t="str">
        <f>IF(NOT(ISNUMBER(INDEX('M04-S04'!$AN$16:$AN$198,2*(ROWS($R$437:$R477)-1)+1))),INDEX('M04-S04'!$AF$16:$AF$198,2*(ROWS($AM$437:$AM477)-1)+1),"")</f>
        <v/>
      </c>
      <c r="AN477" s="52" t="str">
        <f>IF(NOT(ISNUMBER(INDEX('M04-S04'!$AN$16:$AN$198,2*(ROWS($R$437:$R477)-1)+1))),INDEX('M04-S04'!$AH$16:$AH$198,2*(ROWS($AN$437:$AN477)-1)+1),"")</f>
        <v/>
      </c>
      <c r="AO477" s="113"/>
      <c r="AU477"/>
    </row>
    <row r="478" spans="1:47">
      <c r="A478" s="57">
        <f t="shared" si="43"/>
        <v>0</v>
      </c>
      <c r="B478" s="183" t="str">
        <f t="shared" si="44"/>
        <v/>
      </c>
      <c r="C478" s="186" t="str">
        <f>IF(OR(R478&gt;0,V478&gt;0),INDEX('M04-S04'!$BC$16:$BC$198,2*(ROWS($C$437:C478)-1)+1),"")</f>
        <v/>
      </c>
      <c r="D478" t="s">
        <v>231</v>
      </c>
      <c r="E478" s="112"/>
      <c r="F478" s="112"/>
      <c r="G478" s="96"/>
      <c r="H478" s="96"/>
      <c r="I478" s="184">
        <f>IFERROR(ROUND(IF(ISNUMBER(INDEX('M04-S04'!$AN$16:$AN$198,2*(ROWS($R$437:$R478)-1)+1)),INDEX('M04-S04'!$AD$16:$AD$198,2*(ROWS($I$437:$I478)-1)+1),""),2),0)</f>
        <v>0</v>
      </c>
      <c r="J478" s="184">
        <f>IFERROR(ROUND(IF(ISNUMBER(INDEX('M04-S04'!$AN$16:$AN$198,2*(ROWS($R$437:$R478)-1)+1)),INDEX('M04-S04'!$AF$16:$AF$198,2*(ROWS($J$437:$J478)-1)+1),""),2),0)</f>
        <v>0</v>
      </c>
      <c r="K478" s="52">
        <f>IFERROR(ROUND(IF(ISNUMBER(INDEX('M04-S04'!$AN$16:$AN$198,2*(ROWS($R$437:$R478)-1)+1)),INDEX('M04-S04'!$AH$16:$AH$198,2*(ROWS($K$437:$K478)-1)+1),""),2),0)</f>
        <v>0</v>
      </c>
      <c r="M478" s="456" t="str">
        <f>IF(ISNUMBER(INDEX('M04-S04'!$AN$16:$AN$198,2*(ROWS($R$437:R478)-1)+1)),INDEX('M04-S04'!$X$16:$X$198,2*(ROWS($M$437:M478)-1)+1),"")</f>
        <v/>
      </c>
      <c r="N478" s="113"/>
      <c r="O478" s="459"/>
      <c r="P478" s="184" t="str">
        <f>IFERROR(IF(ISNUMBER(INDEX('M04-S04'!$AN$16:$AN$198,2*(ROWS($R$437:R478)-1)+1)),INDEX('M04-S04'!$AK$16:$AK$196,2*(ROWS($P$437:P478)-1)+1),""),"")</f>
        <v/>
      </c>
      <c r="Q478" s="184"/>
      <c r="R478" s="184">
        <f>IF(ISNUMBER(INDEX('M04-S04'!$AN$16:$AN$198,2*(ROWS($R$437:R478)-1)+1)),INDEX('M04-S04'!$AN$16:$AN$198,2*(ROWS($R$437:R478)-1)+1),0)</f>
        <v>0</v>
      </c>
      <c r="S478" s="23">
        <f>IF(NOT(ISNUMBER(INDEX('M04-S04'!$AN$16:$AN$198,2*(ROWS($R$437:R478)-1)+1))),INDEX('M04-S04'!$X$16:$X$198,2*(ROWS($S$437:S478)-1)+1),"")</f>
        <v>0</v>
      </c>
      <c r="T478" s="113"/>
      <c r="U478" s="459"/>
      <c r="V478" s="52" t="str">
        <f>IFERROR(IF(NOT(ISNUMBER(INDEX('M04-S04'!$AN$16:$AN$198,2*(ROWS($R$437:R478)-1)+1))),INDEX('M04-S04'!$AK$16:$AK$198,2*(ROWS($R$437:R478)-1)+1),0),0)</f>
        <v/>
      </c>
      <c r="W478" t="str">
        <f>IFERROR(IF(NOT(ISNUMBER(INDEX('M04-S04'!$AN$16:$AN$198,2*(ROWS($R$437:R478)-1)+1))),INDEX('M04-S04'!$BD$16:$BD$198,2*(ROWS($R$437:R478)-1)+1),""),"")</f>
        <v>Submit for Review</v>
      </c>
      <c r="X478" s="113"/>
      <c r="Y478" s="113"/>
      <c r="Z478" s="111">
        <f>INDEX('M04-S04'!$B$16:$B$198,2*(ROWS($Z$437:Z478)-1)+1)</f>
        <v>42</v>
      </c>
      <c r="AA478" s="112"/>
      <c r="AB478" s="111">
        <f>INDEX('M04-S04'!$F$16:$F$198,2*(ROWS($Z$437:AB478)-1)+1)</f>
        <v>0</v>
      </c>
      <c r="AC478">
        <f>INDEX('M04-S04'!$L$16:$L$198,2*(ROWS($AC$437:AC478)-1)+1)</f>
        <v>0</v>
      </c>
      <c r="AD478">
        <f>INDEX('M04-S04'!$T$16:$T$198,2*(ROWS($AD$437:AD478)-1)+1)</f>
        <v>0</v>
      </c>
      <c r="AE478" s="459"/>
      <c r="AF478" s="459"/>
      <c r="AG478" s="96"/>
      <c r="AH478" s="96"/>
      <c r="AI478" s="111">
        <f>INDEX('M04-S04'!$R$16:$R$198,2*(ROWS($AG$437:AI478)-1)+1)</f>
        <v>0</v>
      </c>
      <c r="AJ478" s="111">
        <f>INDEX('M04-S04'!$Z$16:$Z$198,2*(ROWS($AH$437:AJ478)-1)+1)</f>
        <v>0</v>
      </c>
      <c r="AK478" s="52" t="str">
        <f>INDEX('M04-S04'!$AV$16:$AV$198,2*(ROWS($AK$437:AK478)-1)+1)</f>
        <v/>
      </c>
      <c r="AL478" s="184">
        <f>IF(NOT(ISNUMBER(INDEX('M04-S04'!$AN$16:$AN$198,2*(ROWS($R$437:$R478)-1)+1))),INDEX('M04-S04'!$AD$16:$AD$198,2*(ROWS($AL$437:$AL478)-1)+1),"")</f>
        <v>0</v>
      </c>
      <c r="AM478" s="184" t="str">
        <f>IF(NOT(ISNUMBER(INDEX('M04-S04'!$AN$16:$AN$198,2*(ROWS($R$437:$R478)-1)+1))),INDEX('M04-S04'!$AF$16:$AF$198,2*(ROWS($AM$437:$AM478)-1)+1),"")</f>
        <v/>
      </c>
      <c r="AN478" s="52" t="str">
        <f>IF(NOT(ISNUMBER(INDEX('M04-S04'!$AN$16:$AN$198,2*(ROWS($R$437:$R478)-1)+1))),INDEX('M04-S04'!$AH$16:$AH$198,2*(ROWS($AN$437:$AN478)-1)+1),"")</f>
        <v/>
      </c>
      <c r="AO478" s="113"/>
      <c r="AU478"/>
    </row>
    <row r="479" spans="1:47">
      <c r="A479" s="57">
        <f t="shared" si="43"/>
        <v>0</v>
      </c>
      <c r="B479" s="183" t="str">
        <f t="shared" si="44"/>
        <v/>
      </c>
      <c r="C479" s="186" t="str">
        <f>IF(OR(R479&gt;0,V479&gt;0),INDEX('M04-S04'!$BC$16:$BC$198,2*(ROWS($C$437:C479)-1)+1),"")</f>
        <v/>
      </c>
      <c r="D479" t="s">
        <v>231</v>
      </c>
      <c r="E479" s="112"/>
      <c r="F479" s="112"/>
      <c r="G479" s="96"/>
      <c r="H479" s="96"/>
      <c r="I479" s="184">
        <f>IFERROR(ROUND(IF(ISNUMBER(INDEX('M04-S04'!$AN$16:$AN$198,2*(ROWS($R$437:$R479)-1)+1)),INDEX('M04-S04'!$AD$16:$AD$198,2*(ROWS($I$437:$I479)-1)+1),""),2),0)</f>
        <v>0</v>
      </c>
      <c r="J479" s="184">
        <f>IFERROR(ROUND(IF(ISNUMBER(INDEX('M04-S04'!$AN$16:$AN$198,2*(ROWS($R$437:$R479)-1)+1)),INDEX('M04-S04'!$AF$16:$AF$198,2*(ROWS($J$437:$J479)-1)+1),""),2),0)</f>
        <v>0</v>
      </c>
      <c r="K479" s="52">
        <f>IFERROR(ROUND(IF(ISNUMBER(INDEX('M04-S04'!$AN$16:$AN$198,2*(ROWS($R$437:$R479)-1)+1)),INDEX('M04-S04'!$AH$16:$AH$198,2*(ROWS($K$437:$K479)-1)+1),""),2),0)</f>
        <v>0</v>
      </c>
      <c r="M479" s="456" t="str">
        <f>IF(ISNUMBER(INDEX('M04-S04'!$AN$16:$AN$198,2*(ROWS($R$437:R479)-1)+1)),INDEX('M04-S04'!$X$16:$X$198,2*(ROWS($M$437:M479)-1)+1),"")</f>
        <v/>
      </c>
      <c r="N479" s="113"/>
      <c r="O479" s="459"/>
      <c r="P479" s="184" t="str">
        <f>IFERROR(IF(ISNUMBER(INDEX('M04-S04'!$AN$16:$AN$198,2*(ROWS($R$437:R479)-1)+1)),INDEX('M04-S04'!$AK$16:$AK$196,2*(ROWS($P$437:P479)-1)+1),""),"")</f>
        <v/>
      </c>
      <c r="Q479" s="184"/>
      <c r="R479" s="184">
        <f>IF(ISNUMBER(INDEX('M04-S04'!$AN$16:$AN$198,2*(ROWS($R$437:R479)-1)+1)),INDEX('M04-S04'!$AN$16:$AN$198,2*(ROWS($R$437:R479)-1)+1),0)</f>
        <v>0</v>
      </c>
      <c r="S479" s="23">
        <f>IF(NOT(ISNUMBER(INDEX('M04-S04'!$AN$16:$AN$198,2*(ROWS($R$437:R479)-1)+1))),INDEX('M04-S04'!$X$16:$X$198,2*(ROWS($S$437:S479)-1)+1),"")</f>
        <v>0</v>
      </c>
      <c r="T479" s="113"/>
      <c r="U479" s="459"/>
      <c r="V479" s="52" t="str">
        <f>IFERROR(IF(NOT(ISNUMBER(INDEX('M04-S04'!$AN$16:$AN$198,2*(ROWS($R$437:R479)-1)+1))),INDEX('M04-S04'!$AK$16:$AK$198,2*(ROWS($R$437:R479)-1)+1),0),0)</f>
        <v/>
      </c>
      <c r="W479" t="str">
        <f>IFERROR(IF(NOT(ISNUMBER(INDEX('M04-S04'!$AN$16:$AN$198,2*(ROWS($R$437:R479)-1)+1))),INDEX('M04-S04'!$BD$16:$BD$198,2*(ROWS($R$437:R479)-1)+1),""),"")</f>
        <v>Submit for Review</v>
      </c>
      <c r="X479" s="113"/>
      <c r="Y479" s="113"/>
      <c r="Z479" s="111">
        <f>INDEX('M04-S04'!$B$16:$B$198,2*(ROWS($Z$437:Z479)-1)+1)</f>
        <v>43</v>
      </c>
      <c r="AA479" s="112"/>
      <c r="AB479" s="111">
        <f>INDEX('M04-S04'!$F$16:$F$198,2*(ROWS($Z$437:AB479)-1)+1)</f>
        <v>0</v>
      </c>
      <c r="AC479">
        <f>INDEX('M04-S04'!$L$16:$L$198,2*(ROWS($AC$437:AC479)-1)+1)</f>
        <v>0</v>
      </c>
      <c r="AD479">
        <f>INDEX('M04-S04'!$T$16:$T$198,2*(ROWS($AD$437:AD479)-1)+1)</f>
        <v>0</v>
      </c>
      <c r="AE479" s="459"/>
      <c r="AF479" s="459"/>
      <c r="AG479" s="96"/>
      <c r="AH479" s="96"/>
      <c r="AI479" s="111">
        <f>INDEX('M04-S04'!$R$16:$R$198,2*(ROWS($AG$437:AI479)-1)+1)</f>
        <v>0</v>
      </c>
      <c r="AJ479" s="111">
        <f>INDEX('M04-S04'!$Z$16:$Z$198,2*(ROWS($AH$437:AJ479)-1)+1)</f>
        <v>0</v>
      </c>
      <c r="AK479" s="52" t="str">
        <f>INDEX('M04-S04'!$AV$16:$AV$198,2*(ROWS($AK$437:AK479)-1)+1)</f>
        <v/>
      </c>
      <c r="AL479" s="184">
        <f>IF(NOT(ISNUMBER(INDEX('M04-S04'!$AN$16:$AN$198,2*(ROWS($R$437:$R479)-1)+1))),INDEX('M04-S04'!$AD$16:$AD$198,2*(ROWS($AL$437:$AL479)-1)+1),"")</f>
        <v>0</v>
      </c>
      <c r="AM479" s="184" t="str">
        <f>IF(NOT(ISNUMBER(INDEX('M04-S04'!$AN$16:$AN$198,2*(ROWS($R$437:$R479)-1)+1))),INDEX('M04-S04'!$AF$16:$AF$198,2*(ROWS($AM$437:$AM479)-1)+1),"")</f>
        <v/>
      </c>
      <c r="AN479" s="52" t="str">
        <f>IF(NOT(ISNUMBER(INDEX('M04-S04'!$AN$16:$AN$198,2*(ROWS($R$437:$R479)-1)+1))),INDEX('M04-S04'!$AH$16:$AH$198,2*(ROWS($AN$437:$AN479)-1)+1),"")</f>
        <v/>
      </c>
      <c r="AO479" s="113"/>
      <c r="AU479"/>
    </row>
    <row r="480" spans="1:47">
      <c r="A480" s="57">
        <f t="shared" si="43"/>
        <v>0</v>
      </c>
      <c r="B480" s="183" t="str">
        <f t="shared" si="44"/>
        <v/>
      </c>
      <c r="C480" s="186" t="str">
        <f>IF(OR(R480&gt;0,V480&gt;0),INDEX('M04-S04'!$BC$16:$BC$198,2*(ROWS($C$437:C480)-1)+1),"")</f>
        <v/>
      </c>
      <c r="D480" t="s">
        <v>231</v>
      </c>
      <c r="E480" s="112"/>
      <c r="F480" s="112"/>
      <c r="G480" s="96"/>
      <c r="H480" s="96"/>
      <c r="I480" s="184">
        <f>IFERROR(ROUND(IF(ISNUMBER(INDEX('M04-S04'!$AN$16:$AN$198,2*(ROWS($R$437:$R480)-1)+1)),INDEX('M04-S04'!$AD$16:$AD$198,2*(ROWS($I$437:$I480)-1)+1),""),2),0)</f>
        <v>0</v>
      </c>
      <c r="J480" s="184">
        <f>IFERROR(ROUND(IF(ISNUMBER(INDEX('M04-S04'!$AN$16:$AN$198,2*(ROWS($R$437:$R480)-1)+1)),INDEX('M04-S04'!$AF$16:$AF$198,2*(ROWS($J$437:$J480)-1)+1),""),2),0)</f>
        <v>0</v>
      </c>
      <c r="K480" s="52">
        <f>IFERROR(ROUND(IF(ISNUMBER(INDEX('M04-S04'!$AN$16:$AN$198,2*(ROWS($R$437:$R480)-1)+1)),INDEX('M04-S04'!$AH$16:$AH$198,2*(ROWS($K$437:$K480)-1)+1),""),2),0)</f>
        <v>0</v>
      </c>
      <c r="M480" s="456" t="str">
        <f>IF(ISNUMBER(INDEX('M04-S04'!$AN$16:$AN$198,2*(ROWS($R$437:R480)-1)+1)),INDEX('M04-S04'!$X$16:$X$198,2*(ROWS($M$437:M480)-1)+1),"")</f>
        <v/>
      </c>
      <c r="N480" s="113"/>
      <c r="O480" s="459"/>
      <c r="P480" s="184" t="str">
        <f>IFERROR(IF(ISNUMBER(INDEX('M04-S04'!$AN$16:$AN$198,2*(ROWS($R$437:R480)-1)+1)),INDEX('M04-S04'!$AK$16:$AK$196,2*(ROWS($P$437:P480)-1)+1),""),"")</f>
        <v/>
      </c>
      <c r="Q480" s="184"/>
      <c r="R480" s="184">
        <f>IF(ISNUMBER(INDEX('M04-S04'!$AN$16:$AN$198,2*(ROWS($R$437:R480)-1)+1)),INDEX('M04-S04'!$AN$16:$AN$198,2*(ROWS($R$437:R480)-1)+1),0)</f>
        <v>0</v>
      </c>
      <c r="S480" s="23">
        <f>IF(NOT(ISNUMBER(INDEX('M04-S04'!$AN$16:$AN$198,2*(ROWS($R$437:R480)-1)+1))),INDEX('M04-S04'!$X$16:$X$198,2*(ROWS($S$437:S480)-1)+1),"")</f>
        <v>0</v>
      </c>
      <c r="T480" s="113"/>
      <c r="U480" s="459"/>
      <c r="V480" s="52" t="str">
        <f>IFERROR(IF(NOT(ISNUMBER(INDEX('M04-S04'!$AN$16:$AN$198,2*(ROWS($R$437:R480)-1)+1))),INDEX('M04-S04'!$AK$16:$AK$198,2*(ROWS($R$437:R480)-1)+1),0),0)</f>
        <v/>
      </c>
      <c r="W480" t="str">
        <f>IFERROR(IF(NOT(ISNUMBER(INDEX('M04-S04'!$AN$16:$AN$198,2*(ROWS($R$437:R480)-1)+1))),INDEX('M04-S04'!$BD$16:$BD$198,2*(ROWS($R$437:R480)-1)+1),""),"")</f>
        <v>Submit for Review</v>
      </c>
      <c r="X480" s="113"/>
      <c r="Y480" s="113"/>
      <c r="Z480" s="111">
        <f>INDEX('M04-S04'!$B$16:$B$198,2*(ROWS($Z$437:Z480)-1)+1)</f>
        <v>44</v>
      </c>
      <c r="AA480" s="112"/>
      <c r="AB480" s="111">
        <f>INDEX('M04-S04'!$F$16:$F$198,2*(ROWS($Z$437:AB480)-1)+1)</f>
        <v>0</v>
      </c>
      <c r="AC480">
        <f>INDEX('M04-S04'!$L$16:$L$198,2*(ROWS($AC$437:AC480)-1)+1)</f>
        <v>0</v>
      </c>
      <c r="AD480">
        <f>INDEX('M04-S04'!$T$16:$T$198,2*(ROWS($AD$437:AD480)-1)+1)</f>
        <v>0</v>
      </c>
      <c r="AE480" s="459"/>
      <c r="AF480" s="459"/>
      <c r="AG480" s="96"/>
      <c r="AH480" s="96"/>
      <c r="AI480" s="111">
        <f>INDEX('M04-S04'!$R$16:$R$198,2*(ROWS($AG$437:AI480)-1)+1)</f>
        <v>0</v>
      </c>
      <c r="AJ480" s="111">
        <f>INDEX('M04-S04'!$Z$16:$Z$198,2*(ROWS($AH$437:AJ480)-1)+1)</f>
        <v>0</v>
      </c>
      <c r="AK480" s="52" t="str">
        <f>INDEX('M04-S04'!$AV$16:$AV$198,2*(ROWS($AK$437:AK480)-1)+1)</f>
        <v/>
      </c>
      <c r="AL480" s="184">
        <f>IF(NOT(ISNUMBER(INDEX('M04-S04'!$AN$16:$AN$198,2*(ROWS($R$437:$R480)-1)+1))),INDEX('M04-S04'!$AD$16:$AD$198,2*(ROWS($AL$437:$AL480)-1)+1),"")</f>
        <v>0</v>
      </c>
      <c r="AM480" s="184" t="str">
        <f>IF(NOT(ISNUMBER(INDEX('M04-S04'!$AN$16:$AN$198,2*(ROWS($R$437:$R480)-1)+1))),INDEX('M04-S04'!$AF$16:$AF$198,2*(ROWS($AM$437:$AM480)-1)+1),"")</f>
        <v/>
      </c>
      <c r="AN480" s="52" t="str">
        <f>IF(NOT(ISNUMBER(INDEX('M04-S04'!$AN$16:$AN$198,2*(ROWS($R$437:$R480)-1)+1))),INDEX('M04-S04'!$AH$16:$AH$198,2*(ROWS($AN$437:$AN480)-1)+1),"")</f>
        <v/>
      </c>
      <c r="AO480" s="113"/>
      <c r="AU480"/>
    </row>
    <row r="481" spans="1:47">
      <c r="A481" s="57">
        <f t="shared" si="43"/>
        <v>0</v>
      </c>
      <c r="B481" s="183" t="str">
        <f t="shared" si="44"/>
        <v/>
      </c>
      <c r="C481" s="186" t="str">
        <f>IF(OR(R481&gt;0,V481&gt;0),INDEX('M04-S04'!$BC$16:$BC$198,2*(ROWS($C$437:C481)-1)+1),"")</f>
        <v/>
      </c>
      <c r="D481" t="s">
        <v>231</v>
      </c>
      <c r="E481" s="112"/>
      <c r="F481" s="112"/>
      <c r="G481" s="96"/>
      <c r="H481" s="96"/>
      <c r="I481" s="184">
        <f>IFERROR(ROUND(IF(ISNUMBER(INDEX('M04-S04'!$AN$16:$AN$198,2*(ROWS($R$437:$R481)-1)+1)),INDEX('M04-S04'!$AD$16:$AD$198,2*(ROWS($I$437:$I481)-1)+1),""),2),0)</f>
        <v>0</v>
      </c>
      <c r="J481" s="184">
        <f>IFERROR(ROUND(IF(ISNUMBER(INDEX('M04-S04'!$AN$16:$AN$198,2*(ROWS($R$437:$R481)-1)+1)),INDEX('M04-S04'!$AF$16:$AF$198,2*(ROWS($J$437:$J481)-1)+1),""),2),0)</f>
        <v>0</v>
      </c>
      <c r="K481" s="52">
        <f>IFERROR(ROUND(IF(ISNUMBER(INDEX('M04-S04'!$AN$16:$AN$198,2*(ROWS($R$437:$R481)-1)+1)),INDEX('M04-S04'!$AH$16:$AH$198,2*(ROWS($K$437:$K481)-1)+1),""),2),0)</f>
        <v>0</v>
      </c>
      <c r="M481" s="456" t="str">
        <f>IF(ISNUMBER(INDEX('M04-S04'!$AN$16:$AN$198,2*(ROWS($R$437:R481)-1)+1)),INDEX('M04-S04'!$X$16:$X$198,2*(ROWS($M$437:M481)-1)+1),"")</f>
        <v/>
      </c>
      <c r="N481" s="113"/>
      <c r="O481" s="459"/>
      <c r="P481" s="184" t="str">
        <f>IFERROR(IF(ISNUMBER(INDEX('M04-S04'!$AN$16:$AN$198,2*(ROWS($R$437:R481)-1)+1)),INDEX('M04-S04'!$AK$16:$AK$196,2*(ROWS($P$437:P481)-1)+1),""),"")</f>
        <v/>
      </c>
      <c r="Q481" s="184"/>
      <c r="R481" s="184">
        <f>IF(ISNUMBER(INDEX('M04-S04'!$AN$16:$AN$198,2*(ROWS($R$437:R481)-1)+1)),INDEX('M04-S04'!$AN$16:$AN$198,2*(ROWS($R$437:R481)-1)+1),0)</f>
        <v>0</v>
      </c>
      <c r="S481" s="23">
        <f>IF(NOT(ISNUMBER(INDEX('M04-S04'!$AN$16:$AN$198,2*(ROWS($R$437:R481)-1)+1))),INDEX('M04-S04'!$X$16:$X$198,2*(ROWS($S$437:S481)-1)+1),"")</f>
        <v>0</v>
      </c>
      <c r="T481" s="113"/>
      <c r="U481" s="459"/>
      <c r="V481" s="52" t="str">
        <f>IFERROR(IF(NOT(ISNUMBER(INDEX('M04-S04'!$AN$16:$AN$198,2*(ROWS($R$437:R481)-1)+1))),INDEX('M04-S04'!$AK$16:$AK$198,2*(ROWS($R$437:R481)-1)+1),0),0)</f>
        <v/>
      </c>
      <c r="W481" t="str">
        <f>IFERROR(IF(NOT(ISNUMBER(INDEX('M04-S04'!$AN$16:$AN$198,2*(ROWS($R$437:R481)-1)+1))),INDEX('M04-S04'!$BD$16:$BD$198,2*(ROWS($R$437:R481)-1)+1),""),"")</f>
        <v>Submit for Review</v>
      </c>
      <c r="X481" s="113"/>
      <c r="Y481" s="113"/>
      <c r="Z481" s="111">
        <f>INDEX('M04-S04'!$B$16:$B$198,2*(ROWS($Z$437:Z481)-1)+1)</f>
        <v>45</v>
      </c>
      <c r="AA481" s="112"/>
      <c r="AB481" s="111">
        <f>INDEX('M04-S04'!$F$16:$F$198,2*(ROWS($Z$437:AB481)-1)+1)</f>
        <v>0</v>
      </c>
      <c r="AC481">
        <f>INDEX('M04-S04'!$L$16:$L$198,2*(ROWS($AC$437:AC481)-1)+1)</f>
        <v>0</v>
      </c>
      <c r="AD481">
        <f>INDEX('M04-S04'!$T$16:$T$198,2*(ROWS($AD$437:AD481)-1)+1)</f>
        <v>0</v>
      </c>
      <c r="AE481" s="459"/>
      <c r="AF481" s="459"/>
      <c r="AG481" s="96"/>
      <c r="AH481" s="96"/>
      <c r="AI481" s="111">
        <f>INDEX('M04-S04'!$R$16:$R$198,2*(ROWS($AG$437:AI481)-1)+1)</f>
        <v>0</v>
      </c>
      <c r="AJ481" s="111">
        <f>INDEX('M04-S04'!$Z$16:$Z$198,2*(ROWS($AH$437:AJ481)-1)+1)</f>
        <v>0</v>
      </c>
      <c r="AK481" s="52" t="str">
        <f>INDEX('M04-S04'!$AV$16:$AV$198,2*(ROWS($AK$437:AK481)-1)+1)</f>
        <v/>
      </c>
      <c r="AL481" s="184">
        <f>IF(NOT(ISNUMBER(INDEX('M04-S04'!$AN$16:$AN$198,2*(ROWS($R$437:$R481)-1)+1))),INDEX('M04-S04'!$AD$16:$AD$198,2*(ROWS($AL$437:$AL481)-1)+1),"")</f>
        <v>0</v>
      </c>
      <c r="AM481" s="184" t="str">
        <f>IF(NOT(ISNUMBER(INDEX('M04-S04'!$AN$16:$AN$198,2*(ROWS($R$437:$R481)-1)+1))),INDEX('M04-S04'!$AF$16:$AF$198,2*(ROWS($AM$437:$AM481)-1)+1),"")</f>
        <v/>
      </c>
      <c r="AN481" s="52" t="str">
        <f>IF(NOT(ISNUMBER(INDEX('M04-S04'!$AN$16:$AN$198,2*(ROWS($R$437:$R481)-1)+1))),INDEX('M04-S04'!$AH$16:$AH$198,2*(ROWS($AN$437:$AN481)-1)+1),"")</f>
        <v/>
      </c>
      <c r="AO481" s="113"/>
      <c r="AU481"/>
    </row>
    <row r="482" spans="1:47">
      <c r="A482" s="57">
        <f t="shared" si="43"/>
        <v>0</v>
      </c>
      <c r="B482" s="183" t="str">
        <f t="shared" si="44"/>
        <v/>
      </c>
      <c r="C482" s="186" t="str">
        <f>IF(OR(R482&gt;0,V482&gt;0),INDEX('M04-S04'!$BC$16:$BC$198,2*(ROWS($C$437:C482)-1)+1),"")</f>
        <v/>
      </c>
      <c r="D482" t="s">
        <v>231</v>
      </c>
      <c r="E482" s="112"/>
      <c r="F482" s="112"/>
      <c r="G482" s="96"/>
      <c r="H482" s="96"/>
      <c r="I482" s="184">
        <f>IFERROR(ROUND(IF(ISNUMBER(INDEX('M04-S04'!$AN$16:$AN$198,2*(ROWS($R$437:$R482)-1)+1)),INDEX('M04-S04'!$AD$16:$AD$198,2*(ROWS($I$437:$I482)-1)+1),""),2),0)</f>
        <v>0</v>
      </c>
      <c r="J482" s="184">
        <f>IFERROR(ROUND(IF(ISNUMBER(INDEX('M04-S04'!$AN$16:$AN$198,2*(ROWS($R$437:$R482)-1)+1)),INDEX('M04-S04'!$AF$16:$AF$198,2*(ROWS($J$437:$J482)-1)+1),""),2),0)</f>
        <v>0</v>
      </c>
      <c r="K482" s="52">
        <f>IFERROR(ROUND(IF(ISNUMBER(INDEX('M04-S04'!$AN$16:$AN$198,2*(ROWS($R$437:$R482)-1)+1)),INDEX('M04-S04'!$AH$16:$AH$198,2*(ROWS($K$437:$K482)-1)+1),""),2),0)</f>
        <v>0</v>
      </c>
      <c r="M482" s="456" t="str">
        <f>IF(ISNUMBER(INDEX('M04-S04'!$AN$16:$AN$198,2*(ROWS($R$437:R482)-1)+1)),INDEX('M04-S04'!$X$16:$X$198,2*(ROWS($M$437:M482)-1)+1),"")</f>
        <v/>
      </c>
      <c r="N482" s="113"/>
      <c r="O482" s="459"/>
      <c r="P482" s="184" t="str">
        <f>IFERROR(IF(ISNUMBER(INDEX('M04-S04'!$AN$16:$AN$198,2*(ROWS($R$437:R482)-1)+1)),INDEX('M04-S04'!$AK$16:$AK$196,2*(ROWS($P$437:P482)-1)+1),""),"")</f>
        <v/>
      </c>
      <c r="Q482" s="184"/>
      <c r="R482" s="184">
        <f>IF(ISNUMBER(INDEX('M04-S04'!$AN$16:$AN$198,2*(ROWS($R$437:R482)-1)+1)),INDEX('M04-S04'!$AN$16:$AN$198,2*(ROWS($R$437:R482)-1)+1),0)</f>
        <v>0</v>
      </c>
      <c r="S482" s="23">
        <f>IF(NOT(ISNUMBER(INDEX('M04-S04'!$AN$16:$AN$198,2*(ROWS($R$437:R482)-1)+1))),INDEX('M04-S04'!$X$16:$X$198,2*(ROWS($S$437:S482)-1)+1),"")</f>
        <v>0</v>
      </c>
      <c r="T482" s="113"/>
      <c r="U482" s="459"/>
      <c r="V482" s="52" t="str">
        <f>IFERROR(IF(NOT(ISNUMBER(INDEX('M04-S04'!$AN$16:$AN$198,2*(ROWS($R$437:R482)-1)+1))),INDEX('M04-S04'!$AK$16:$AK$198,2*(ROWS($R$437:R482)-1)+1),0),0)</f>
        <v/>
      </c>
      <c r="W482" t="str">
        <f>IFERROR(IF(NOT(ISNUMBER(INDEX('M04-S04'!$AN$16:$AN$198,2*(ROWS($R$437:R482)-1)+1))),INDEX('M04-S04'!$BD$16:$BD$198,2*(ROWS($R$437:R482)-1)+1),""),"")</f>
        <v>Submit for Review</v>
      </c>
      <c r="X482" s="113"/>
      <c r="Y482" s="113"/>
      <c r="Z482" s="111">
        <f>INDEX('M04-S04'!$B$16:$B$198,2*(ROWS($Z$437:Z482)-1)+1)</f>
        <v>46</v>
      </c>
      <c r="AA482" s="112"/>
      <c r="AB482" s="111">
        <f>INDEX('M04-S04'!$F$16:$F$198,2*(ROWS($Z$437:AB482)-1)+1)</f>
        <v>0</v>
      </c>
      <c r="AC482">
        <f>INDEX('M04-S04'!$L$16:$L$198,2*(ROWS($AC$437:AC482)-1)+1)</f>
        <v>0</v>
      </c>
      <c r="AD482">
        <f>INDEX('M04-S04'!$T$16:$T$198,2*(ROWS($AD$437:AD482)-1)+1)</f>
        <v>0</v>
      </c>
      <c r="AE482" s="459"/>
      <c r="AF482" s="459"/>
      <c r="AG482" s="96"/>
      <c r="AH482" s="96"/>
      <c r="AI482" s="111">
        <f>INDEX('M04-S04'!$R$16:$R$198,2*(ROWS($AG$437:AI482)-1)+1)</f>
        <v>0</v>
      </c>
      <c r="AJ482" s="111">
        <f>INDEX('M04-S04'!$Z$16:$Z$198,2*(ROWS($AH$437:AJ482)-1)+1)</f>
        <v>0</v>
      </c>
      <c r="AK482" s="52" t="str">
        <f>INDEX('M04-S04'!$AV$16:$AV$198,2*(ROWS($AK$437:AK482)-1)+1)</f>
        <v/>
      </c>
      <c r="AL482" s="184">
        <f>IF(NOT(ISNUMBER(INDEX('M04-S04'!$AN$16:$AN$198,2*(ROWS($R$437:$R482)-1)+1))),INDEX('M04-S04'!$AD$16:$AD$198,2*(ROWS($AL$437:$AL482)-1)+1),"")</f>
        <v>0</v>
      </c>
      <c r="AM482" s="184" t="str">
        <f>IF(NOT(ISNUMBER(INDEX('M04-S04'!$AN$16:$AN$198,2*(ROWS($R$437:$R482)-1)+1))),INDEX('M04-S04'!$AF$16:$AF$198,2*(ROWS($AM$437:$AM482)-1)+1),"")</f>
        <v/>
      </c>
      <c r="AN482" s="52" t="str">
        <f>IF(NOT(ISNUMBER(INDEX('M04-S04'!$AN$16:$AN$198,2*(ROWS($R$437:$R482)-1)+1))),INDEX('M04-S04'!$AH$16:$AH$198,2*(ROWS($AN$437:$AN482)-1)+1),"")</f>
        <v/>
      </c>
      <c r="AO482" s="113"/>
      <c r="AU482"/>
    </row>
    <row r="483" spans="1:47">
      <c r="A483" s="57">
        <f t="shared" si="43"/>
        <v>0</v>
      </c>
      <c r="B483" s="183" t="str">
        <f t="shared" si="44"/>
        <v/>
      </c>
      <c r="C483" s="186" t="str">
        <f>IF(OR(R483&gt;0,V483&gt;0),INDEX('M04-S04'!$BC$16:$BC$198,2*(ROWS($C$437:C483)-1)+1),"")</f>
        <v/>
      </c>
      <c r="D483" t="s">
        <v>231</v>
      </c>
      <c r="E483" s="112"/>
      <c r="F483" s="112"/>
      <c r="G483" s="96"/>
      <c r="H483" s="96"/>
      <c r="I483" s="184">
        <f>IFERROR(ROUND(IF(ISNUMBER(INDEX('M04-S04'!$AN$16:$AN$198,2*(ROWS($R$437:$R483)-1)+1)),INDEX('M04-S04'!$AD$16:$AD$198,2*(ROWS($I$437:$I483)-1)+1),""),2),0)</f>
        <v>0</v>
      </c>
      <c r="J483" s="184">
        <f>IFERROR(ROUND(IF(ISNUMBER(INDEX('M04-S04'!$AN$16:$AN$198,2*(ROWS($R$437:$R483)-1)+1)),INDEX('M04-S04'!$AF$16:$AF$198,2*(ROWS($J$437:$J483)-1)+1),""),2),0)</f>
        <v>0</v>
      </c>
      <c r="K483" s="52">
        <f>IFERROR(ROUND(IF(ISNUMBER(INDEX('M04-S04'!$AN$16:$AN$198,2*(ROWS($R$437:$R483)-1)+1)),INDEX('M04-S04'!$AH$16:$AH$198,2*(ROWS($K$437:$K483)-1)+1),""),2),0)</f>
        <v>0</v>
      </c>
      <c r="M483" s="456" t="str">
        <f>IF(ISNUMBER(INDEX('M04-S04'!$AN$16:$AN$198,2*(ROWS($R$437:R483)-1)+1)),INDEX('M04-S04'!$X$16:$X$198,2*(ROWS($M$437:M483)-1)+1),"")</f>
        <v/>
      </c>
      <c r="N483" s="113"/>
      <c r="O483" s="459"/>
      <c r="P483" s="184" t="str">
        <f>IFERROR(IF(ISNUMBER(INDEX('M04-S04'!$AN$16:$AN$198,2*(ROWS($R$437:R483)-1)+1)),INDEX('M04-S04'!$AK$16:$AK$196,2*(ROWS($P$437:P483)-1)+1),""),"")</f>
        <v/>
      </c>
      <c r="Q483" s="184"/>
      <c r="R483" s="184">
        <f>IF(ISNUMBER(INDEX('M04-S04'!$AN$16:$AN$198,2*(ROWS($R$437:R483)-1)+1)),INDEX('M04-S04'!$AN$16:$AN$198,2*(ROWS($R$437:R483)-1)+1),0)</f>
        <v>0</v>
      </c>
      <c r="S483" s="23">
        <f>IF(NOT(ISNUMBER(INDEX('M04-S04'!$AN$16:$AN$198,2*(ROWS($R$437:R483)-1)+1))),INDEX('M04-S04'!$X$16:$X$198,2*(ROWS($S$437:S483)-1)+1),"")</f>
        <v>0</v>
      </c>
      <c r="T483" s="113"/>
      <c r="U483" s="459"/>
      <c r="V483" s="52" t="str">
        <f>IFERROR(IF(NOT(ISNUMBER(INDEX('M04-S04'!$AN$16:$AN$198,2*(ROWS($R$437:R483)-1)+1))),INDEX('M04-S04'!$AK$16:$AK$198,2*(ROWS($R$437:R483)-1)+1),0),0)</f>
        <v/>
      </c>
      <c r="W483" t="str">
        <f>IFERROR(IF(NOT(ISNUMBER(INDEX('M04-S04'!$AN$16:$AN$198,2*(ROWS($R$437:R483)-1)+1))),INDEX('M04-S04'!$BD$16:$BD$198,2*(ROWS($R$437:R483)-1)+1),""),"")</f>
        <v>Submit for Review</v>
      </c>
      <c r="X483" s="113"/>
      <c r="Y483" s="113"/>
      <c r="Z483" s="111">
        <f>INDEX('M04-S04'!$B$16:$B$198,2*(ROWS($Z$437:Z483)-1)+1)</f>
        <v>47</v>
      </c>
      <c r="AA483" s="112"/>
      <c r="AB483" s="111">
        <f>INDEX('M04-S04'!$F$16:$F$198,2*(ROWS($Z$437:AB483)-1)+1)</f>
        <v>0</v>
      </c>
      <c r="AC483">
        <f>INDEX('M04-S04'!$L$16:$L$198,2*(ROWS($AC$437:AC483)-1)+1)</f>
        <v>0</v>
      </c>
      <c r="AD483">
        <f>INDEX('M04-S04'!$T$16:$T$198,2*(ROWS($AD$437:AD483)-1)+1)</f>
        <v>0</v>
      </c>
      <c r="AE483" s="459"/>
      <c r="AF483" s="459"/>
      <c r="AG483" s="96"/>
      <c r="AH483" s="96"/>
      <c r="AI483" s="111">
        <f>INDEX('M04-S04'!$R$16:$R$198,2*(ROWS($AG$437:AI483)-1)+1)</f>
        <v>0</v>
      </c>
      <c r="AJ483" s="111">
        <f>INDEX('M04-S04'!$Z$16:$Z$198,2*(ROWS($AH$437:AJ483)-1)+1)</f>
        <v>0</v>
      </c>
      <c r="AK483" s="52" t="str">
        <f>INDEX('M04-S04'!$AV$16:$AV$198,2*(ROWS($AK$437:AK483)-1)+1)</f>
        <v/>
      </c>
      <c r="AL483" s="184">
        <f>IF(NOT(ISNUMBER(INDEX('M04-S04'!$AN$16:$AN$198,2*(ROWS($R$437:$R483)-1)+1))),INDEX('M04-S04'!$AD$16:$AD$198,2*(ROWS($AL$437:$AL483)-1)+1),"")</f>
        <v>0</v>
      </c>
      <c r="AM483" s="184" t="str">
        <f>IF(NOT(ISNUMBER(INDEX('M04-S04'!$AN$16:$AN$198,2*(ROWS($R$437:$R483)-1)+1))),INDEX('M04-S04'!$AF$16:$AF$198,2*(ROWS($AM$437:$AM483)-1)+1),"")</f>
        <v/>
      </c>
      <c r="AN483" s="52" t="str">
        <f>IF(NOT(ISNUMBER(INDEX('M04-S04'!$AN$16:$AN$198,2*(ROWS($R$437:$R483)-1)+1))),INDEX('M04-S04'!$AH$16:$AH$198,2*(ROWS($AN$437:$AN483)-1)+1),"")</f>
        <v/>
      </c>
      <c r="AO483" s="113"/>
      <c r="AU483"/>
    </row>
    <row r="484" spans="1:47">
      <c r="A484" s="57">
        <f t="shared" si="43"/>
        <v>0</v>
      </c>
      <c r="B484" s="183" t="str">
        <f t="shared" si="44"/>
        <v/>
      </c>
      <c r="C484" s="186" t="str">
        <f>IF(OR(R484&gt;0,V484&gt;0),INDEX('M04-S04'!$BC$16:$BC$198,2*(ROWS($C$437:C484)-1)+1),"")</f>
        <v/>
      </c>
      <c r="D484" t="s">
        <v>231</v>
      </c>
      <c r="E484" s="112"/>
      <c r="F484" s="112"/>
      <c r="G484" s="96"/>
      <c r="H484" s="96"/>
      <c r="I484" s="184">
        <f>IFERROR(ROUND(IF(ISNUMBER(INDEX('M04-S04'!$AN$16:$AN$198,2*(ROWS($R$437:$R484)-1)+1)),INDEX('M04-S04'!$AD$16:$AD$198,2*(ROWS($I$437:$I484)-1)+1),""),2),0)</f>
        <v>0</v>
      </c>
      <c r="J484" s="184">
        <f>IFERROR(ROUND(IF(ISNUMBER(INDEX('M04-S04'!$AN$16:$AN$198,2*(ROWS($R$437:$R484)-1)+1)),INDEX('M04-S04'!$AF$16:$AF$198,2*(ROWS($J$437:$J484)-1)+1),""),2),0)</f>
        <v>0</v>
      </c>
      <c r="K484" s="52">
        <f>IFERROR(ROUND(IF(ISNUMBER(INDEX('M04-S04'!$AN$16:$AN$198,2*(ROWS($R$437:$R484)-1)+1)),INDEX('M04-S04'!$AH$16:$AH$198,2*(ROWS($K$437:$K484)-1)+1),""),2),0)</f>
        <v>0</v>
      </c>
      <c r="M484" s="456" t="str">
        <f>IF(ISNUMBER(INDEX('M04-S04'!$AN$16:$AN$198,2*(ROWS($R$437:R484)-1)+1)),INDEX('M04-S04'!$X$16:$X$198,2*(ROWS($M$437:M484)-1)+1),"")</f>
        <v/>
      </c>
      <c r="N484" s="113"/>
      <c r="O484" s="459"/>
      <c r="P484" s="184" t="str">
        <f>IFERROR(IF(ISNUMBER(INDEX('M04-S04'!$AN$16:$AN$198,2*(ROWS($R$437:R484)-1)+1)),INDEX('M04-S04'!$AK$16:$AK$196,2*(ROWS($P$437:P484)-1)+1),""),"")</f>
        <v/>
      </c>
      <c r="Q484" s="184"/>
      <c r="R484" s="184">
        <f>IF(ISNUMBER(INDEX('M04-S04'!$AN$16:$AN$198,2*(ROWS($R$437:R484)-1)+1)),INDEX('M04-S04'!$AN$16:$AN$198,2*(ROWS($R$437:R484)-1)+1),0)</f>
        <v>0</v>
      </c>
      <c r="S484" s="23">
        <f>IF(NOT(ISNUMBER(INDEX('M04-S04'!$AN$16:$AN$198,2*(ROWS($R$437:R484)-1)+1))),INDEX('M04-S04'!$X$16:$X$198,2*(ROWS($S$437:S484)-1)+1),"")</f>
        <v>0</v>
      </c>
      <c r="T484" s="113"/>
      <c r="U484" s="459"/>
      <c r="V484" s="52" t="str">
        <f>IFERROR(IF(NOT(ISNUMBER(INDEX('M04-S04'!$AN$16:$AN$198,2*(ROWS($R$437:R484)-1)+1))),INDEX('M04-S04'!$AK$16:$AK$198,2*(ROWS($R$437:R484)-1)+1),0),0)</f>
        <v/>
      </c>
      <c r="W484" t="str">
        <f>IFERROR(IF(NOT(ISNUMBER(INDEX('M04-S04'!$AN$16:$AN$198,2*(ROWS($R$437:R484)-1)+1))),INDEX('M04-S04'!$BD$16:$BD$198,2*(ROWS($R$437:R484)-1)+1),""),"")</f>
        <v>Submit for Review</v>
      </c>
      <c r="X484" s="113"/>
      <c r="Y484" s="113"/>
      <c r="Z484" s="111">
        <f>INDEX('M04-S04'!$B$16:$B$198,2*(ROWS($Z$437:Z484)-1)+1)</f>
        <v>48</v>
      </c>
      <c r="AA484" s="112"/>
      <c r="AB484" s="111">
        <f>INDEX('M04-S04'!$F$16:$F$198,2*(ROWS($Z$437:AB484)-1)+1)</f>
        <v>0</v>
      </c>
      <c r="AC484">
        <f>INDEX('M04-S04'!$L$16:$L$198,2*(ROWS($AC$437:AC484)-1)+1)</f>
        <v>0</v>
      </c>
      <c r="AD484">
        <f>INDEX('M04-S04'!$T$16:$T$198,2*(ROWS($AD$437:AD484)-1)+1)</f>
        <v>0</v>
      </c>
      <c r="AE484" s="459"/>
      <c r="AF484" s="459"/>
      <c r="AG484" s="96"/>
      <c r="AH484" s="96"/>
      <c r="AI484" s="111">
        <f>INDEX('M04-S04'!$R$16:$R$198,2*(ROWS($AG$437:AI484)-1)+1)</f>
        <v>0</v>
      </c>
      <c r="AJ484" s="111">
        <f>INDEX('M04-S04'!$Z$16:$Z$198,2*(ROWS($AH$437:AJ484)-1)+1)</f>
        <v>0</v>
      </c>
      <c r="AK484" s="52" t="str">
        <f>INDEX('M04-S04'!$AV$16:$AV$198,2*(ROWS($AK$437:AK484)-1)+1)</f>
        <v/>
      </c>
      <c r="AL484" s="184">
        <f>IF(NOT(ISNUMBER(INDEX('M04-S04'!$AN$16:$AN$198,2*(ROWS($R$437:$R484)-1)+1))),INDEX('M04-S04'!$AD$16:$AD$198,2*(ROWS($AL$437:$AL484)-1)+1),"")</f>
        <v>0</v>
      </c>
      <c r="AM484" s="184" t="str">
        <f>IF(NOT(ISNUMBER(INDEX('M04-S04'!$AN$16:$AN$198,2*(ROWS($R$437:$R484)-1)+1))),INDEX('M04-S04'!$AF$16:$AF$198,2*(ROWS($AM$437:$AM484)-1)+1),"")</f>
        <v/>
      </c>
      <c r="AN484" s="52" t="str">
        <f>IF(NOT(ISNUMBER(INDEX('M04-S04'!$AN$16:$AN$198,2*(ROWS($R$437:$R484)-1)+1))),INDEX('M04-S04'!$AH$16:$AH$198,2*(ROWS($AN$437:$AN484)-1)+1),"")</f>
        <v/>
      </c>
      <c r="AO484" s="113"/>
      <c r="AU484"/>
    </row>
    <row r="485" spans="1:47">
      <c r="A485" s="57">
        <f t="shared" si="43"/>
        <v>0</v>
      </c>
      <c r="B485" s="183" t="str">
        <f t="shared" si="44"/>
        <v/>
      </c>
      <c r="C485" s="186" t="str">
        <f>IF(OR(R485&gt;0,V485&gt;0),INDEX('M04-S04'!$BC$16:$BC$198,2*(ROWS($C$437:C485)-1)+1),"")</f>
        <v/>
      </c>
      <c r="D485" t="s">
        <v>231</v>
      </c>
      <c r="E485" s="112"/>
      <c r="F485" s="112"/>
      <c r="G485" s="96"/>
      <c r="H485" s="96"/>
      <c r="I485" s="184">
        <f>IFERROR(ROUND(IF(ISNUMBER(INDEX('M04-S04'!$AN$16:$AN$198,2*(ROWS($R$437:$R485)-1)+1)),INDEX('M04-S04'!$AD$16:$AD$198,2*(ROWS($I$437:$I485)-1)+1),""),2),0)</f>
        <v>0</v>
      </c>
      <c r="J485" s="184">
        <f>IFERROR(ROUND(IF(ISNUMBER(INDEX('M04-S04'!$AN$16:$AN$198,2*(ROWS($R$437:$R485)-1)+1)),INDEX('M04-S04'!$AF$16:$AF$198,2*(ROWS($J$437:$J485)-1)+1),""),2),0)</f>
        <v>0</v>
      </c>
      <c r="K485" s="52">
        <f>IFERROR(ROUND(IF(ISNUMBER(INDEX('M04-S04'!$AN$16:$AN$198,2*(ROWS($R$437:$R485)-1)+1)),INDEX('M04-S04'!$AH$16:$AH$198,2*(ROWS($K$437:$K485)-1)+1),""),2),0)</f>
        <v>0</v>
      </c>
      <c r="M485" s="456" t="str">
        <f>IF(ISNUMBER(INDEX('M04-S04'!$AN$16:$AN$198,2*(ROWS($R$437:R485)-1)+1)),INDEX('M04-S04'!$X$16:$X$198,2*(ROWS($M$437:M485)-1)+1),"")</f>
        <v/>
      </c>
      <c r="N485" s="113"/>
      <c r="O485" s="459"/>
      <c r="P485" s="184" t="str">
        <f>IFERROR(IF(ISNUMBER(INDEX('M04-S04'!$AN$16:$AN$198,2*(ROWS($R$437:R485)-1)+1)),INDEX('M04-S04'!$AK$16:$AK$196,2*(ROWS($P$437:P485)-1)+1),""),"")</f>
        <v/>
      </c>
      <c r="Q485" s="184"/>
      <c r="R485" s="184">
        <f>IF(ISNUMBER(INDEX('M04-S04'!$AN$16:$AN$198,2*(ROWS($R$437:R485)-1)+1)),INDEX('M04-S04'!$AN$16:$AN$198,2*(ROWS($R$437:R485)-1)+1),0)</f>
        <v>0</v>
      </c>
      <c r="S485" s="23">
        <f>IF(NOT(ISNUMBER(INDEX('M04-S04'!$AN$16:$AN$198,2*(ROWS($R$437:R485)-1)+1))),INDEX('M04-S04'!$X$16:$X$198,2*(ROWS($S$437:S485)-1)+1),"")</f>
        <v>0</v>
      </c>
      <c r="T485" s="113"/>
      <c r="U485" s="459"/>
      <c r="V485" s="52" t="str">
        <f>IFERROR(IF(NOT(ISNUMBER(INDEX('M04-S04'!$AN$16:$AN$198,2*(ROWS($R$437:R485)-1)+1))),INDEX('M04-S04'!$AK$16:$AK$198,2*(ROWS($R$437:R485)-1)+1),0),0)</f>
        <v/>
      </c>
      <c r="W485" t="str">
        <f>IFERROR(IF(NOT(ISNUMBER(INDEX('M04-S04'!$AN$16:$AN$198,2*(ROWS($R$437:R485)-1)+1))),INDEX('M04-S04'!$BD$16:$BD$198,2*(ROWS($R$437:R485)-1)+1),""),"")</f>
        <v>Submit for Review</v>
      </c>
      <c r="X485" s="113"/>
      <c r="Y485" s="113"/>
      <c r="Z485" s="111">
        <f>INDEX('M04-S04'!$B$16:$B$198,2*(ROWS($Z$437:Z485)-1)+1)</f>
        <v>49</v>
      </c>
      <c r="AA485" s="112"/>
      <c r="AB485" s="111">
        <f>INDEX('M04-S04'!$F$16:$F$198,2*(ROWS($Z$437:AB485)-1)+1)</f>
        <v>0</v>
      </c>
      <c r="AC485">
        <f>INDEX('M04-S04'!$L$16:$L$198,2*(ROWS($AC$437:AC485)-1)+1)</f>
        <v>0</v>
      </c>
      <c r="AD485">
        <f>INDEX('M04-S04'!$T$16:$T$198,2*(ROWS($AD$437:AD485)-1)+1)</f>
        <v>0</v>
      </c>
      <c r="AE485" s="459"/>
      <c r="AF485" s="459"/>
      <c r="AG485" s="96"/>
      <c r="AH485" s="96"/>
      <c r="AI485" s="111">
        <f>INDEX('M04-S04'!$R$16:$R$198,2*(ROWS($AG$437:AI485)-1)+1)</f>
        <v>0</v>
      </c>
      <c r="AJ485" s="111">
        <f>INDEX('M04-S04'!$Z$16:$Z$198,2*(ROWS($AH$437:AJ485)-1)+1)</f>
        <v>0</v>
      </c>
      <c r="AK485" s="52" t="str">
        <f>INDEX('M04-S04'!$AV$16:$AV$198,2*(ROWS($AK$437:AK485)-1)+1)</f>
        <v/>
      </c>
      <c r="AL485" s="184">
        <f>IF(NOT(ISNUMBER(INDEX('M04-S04'!$AN$16:$AN$198,2*(ROWS($R$437:$R485)-1)+1))),INDEX('M04-S04'!$AD$16:$AD$198,2*(ROWS($AL$437:$AL485)-1)+1),"")</f>
        <v>0</v>
      </c>
      <c r="AM485" s="184" t="str">
        <f>IF(NOT(ISNUMBER(INDEX('M04-S04'!$AN$16:$AN$198,2*(ROWS($R$437:$R485)-1)+1))),INDEX('M04-S04'!$AF$16:$AF$198,2*(ROWS($AM$437:$AM485)-1)+1),"")</f>
        <v/>
      </c>
      <c r="AN485" s="52" t="str">
        <f>IF(NOT(ISNUMBER(INDEX('M04-S04'!$AN$16:$AN$198,2*(ROWS($R$437:$R485)-1)+1))),INDEX('M04-S04'!$AH$16:$AH$198,2*(ROWS($AN$437:$AN485)-1)+1),"")</f>
        <v/>
      </c>
      <c r="AO485" s="113"/>
      <c r="AU485"/>
    </row>
    <row r="486" spans="1:47">
      <c r="A486" s="57">
        <f t="shared" si="43"/>
        <v>0</v>
      </c>
      <c r="B486" s="183" t="str">
        <f t="shared" si="44"/>
        <v/>
      </c>
      <c r="C486" s="186" t="str">
        <f>IF(OR(R486&gt;0,V486&gt;0),INDEX('M04-S04'!$BC$16:$BC$198,2*(ROWS($C$437:C486)-1)+1),"")</f>
        <v/>
      </c>
      <c r="D486" t="s">
        <v>231</v>
      </c>
      <c r="E486" s="112"/>
      <c r="F486" s="112"/>
      <c r="G486" s="96"/>
      <c r="H486" s="96"/>
      <c r="I486" s="184">
        <f>IFERROR(ROUND(IF(ISNUMBER(INDEX('M04-S04'!$AN$16:$AN$198,2*(ROWS($R$437:$R486)-1)+1)),INDEX('M04-S04'!$AD$16:$AD$198,2*(ROWS($I$437:$I486)-1)+1),""),2),0)</f>
        <v>0</v>
      </c>
      <c r="J486" s="184">
        <f>IFERROR(ROUND(IF(ISNUMBER(INDEX('M04-S04'!$AN$16:$AN$198,2*(ROWS($R$437:$R486)-1)+1)),INDEX('M04-S04'!$AF$16:$AF$198,2*(ROWS($J$437:$J486)-1)+1),""),2),0)</f>
        <v>0</v>
      </c>
      <c r="K486" s="52">
        <f>IFERROR(ROUND(IF(ISNUMBER(INDEX('M04-S04'!$AN$16:$AN$198,2*(ROWS($R$437:$R486)-1)+1)),INDEX('M04-S04'!$AH$16:$AH$198,2*(ROWS($K$437:$K486)-1)+1),""),2),0)</f>
        <v>0</v>
      </c>
      <c r="M486" s="456" t="str">
        <f>IF(ISNUMBER(INDEX('M04-S04'!$AN$16:$AN$198,2*(ROWS($R$437:R486)-1)+1)),INDEX('M04-S04'!$X$16:$X$198,2*(ROWS($M$437:M486)-1)+1),"")</f>
        <v/>
      </c>
      <c r="N486" s="113"/>
      <c r="O486" s="459"/>
      <c r="P486" s="184" t="str">
        <f>IFERROR(IF(ISNUMBER(INDEX('M04-S04'!$AN$16:$AN$198,2*(ROWS($R$437:R486)-1)+1)),INDEX('M04-S04'!$AK$16:$AK$196,2*(ROWS($P$437:P486)-1)+1),""),"")</f>
        <v/>
      </c>
      <c r="Q486" s="184"/>
      <c r="R486" s="184">
        <f>IF(ISNUMBER(INDEX('M04-S04'!$AN$16:$AN$198,2*(ROWS($R$437:R486)-1)+1)),INDEX('M04-S04'!$AN$16:$AN$198,2*(ROWS($R$437:R486)-1)+1),0)</f>
        <v>0</v>
      </c>
      <c r="S486" s="23">
        <f>IF(NOT(ISNUMBER(INDEX('M04-S04'!$AN$16:$AN$198,2*(ROWS($R$437:R486)-1)+1))),INDEX('M04-S04'!$X$16:$X$198,2*(ROWS($S$437:S486)-1)+1),"")</f>
        <v>0</v>
      </c>
      <c r="T486" s="113"/>
      <c r="U486" s="459"/>
      <c r="V486" s="52" t="str">
        <f>IFERROR(IF(NOT(ISNUMBER(INDEX('M04-S04'!$AN$16:$AN$198,2*(ROWS($R$437:R486)-1)+1))),INDEX('M04-S04'!$AK$16:$AK$198,2*(ROWS($R$437:R486)-1)+1),0),0)</f>
        <v/>
      </c>
      <c r="W486" t="str">
        <f>IFERROR(IF(NOT(ISNUMBER(INDEX('M04-S04'!$AN$16:$AN$198,2*(ROWS($R$437:R486)-1)+1))),INDEX('M04-S04'!$BD$16:$BD$198,2*(ROWS($R$437:R486)-1)+1),""),"")</f>
        <v>Submit for Review</v>
      </c>
      <c r="X486" s="113"/>
      <c r="Y486" s="113"/>
      <c r="Z486" s="111">
        <f>INDEX('M04-S04'!$B$16:$B$198,2*(ROWS($Z$437:Z486)-1)+1)</f>
        <v>50</v>
      </c>
      <c r="AA486" s="112"/>
      <c r="AB486" s="111">
        <f>INDEX('M04-S04'!$F$16:$F$198,2*(ROWS($Z$437:AB486)-1)+1)</f>
        <v>0</v>
      </c>
      <c r="AC486">
        <f>INDEX('M04-S04'!$L$16:$L$198,2*(ROWS($AC$437:AC486)-1)+1)</f>
        <v>0</v>
      </c>
      <c r="AD486">
        <f>INDEX('M04-S04'!$T$16:$T$198,2*(ROWS($AD$437:AD486)-1)+1)</f>
        <v>0</v>
      </c>
      <c r="AE486" s="459"/>
      <c r="AF486" s="459"/>
      <c r="AG486" s="96"/>
      <c r="AH486" s="96"/>
      <c r="AI486" s="111">
        <f>INDEX('M04-S04'!$R$16:$R$198,2*(ROWS($AG$437:AI486)-1)+1)</f>
        <v>0</v>
      </c>
      <c r="AJ486" s="111">
        <f>INDEX('M04-S04'!$Z$16:$Z$198,2*(ROWS($AH$437:AJ486)-1)+1)</f>
        <v>0</v>
      </c>
      <c r="AK486" s="52" t="str">
        <f>INDEX('M04-S04'!$AV$16:$AV$198,2*(ROWS($AK$437:AK486)-1)+1)</f>
        <v/>
      </c>
      <c r="AL486" s="184">
        <f>IF(NOT(ISNUMBER(INDEX('M04-S04'!$AN$16:$AN$198,2*(ROWS($R$437:$R486)-1)+1))),INDEX('M04-S04'!$AD$16:$AD$198,2*(ROWS($AL$437:$AL486)-1)+1),"")</f>
        <v>0</v>
      </c>
      <c r="AM486" s="184" t="str">
        <f>IF(NOT(ISNUMBER(INDEX('M04-S04'!$AN$16:$AN$198,2*(ROWS($R$437:$R486)-1)+1))),INDEX('M04-S04'!$AF$16:$AF$198,2*(ROWS($AM$437:$AM486)-1)+1),"")</f>
        <v/>
      </c>
      <c r="AN486" s="52" t="str">
        <f>IF(NOT(ISNUMBER(INDEX('M04-S04'!$AN$16:$AN$198,2*(ROWS($R$437:$R486)-1)+1))),INDEX('M04-S04'!$AH$16:$AH$198,2*(ROWS($AN$437:$AN486)-1)+1),"")</f>
        <v/>
      </c>
      <c r="AO486" s="113"/>
      <c r="AU486"/>
    </row>
    <row r="487" spans="1:47">
      <c r="A487" s="130"/>
      <c r="B487" s="130"/>
      <c r="C487" s="130"/>
      <c r="D487" s="130"/>
      <c r="E487" s="130"/>
      <c r="F487" s="130"/>
      <c r="G487" s="130"/>
      <c r="H487" s="130"/>
      <c r="I487" s="130"/>
      <c r="J487" s="130"/>
      <c r="K487" s="130"/>
      <c r="L487" s="130"/>
      <c r="M487" s="458"/>
      <c r="N487" s="131"/>
      <c r="O487" s="458"/>
      <c r="P487" s="131"/>
      <c r="Q487" s="131"/>
      <c r="R487" s="130"/>
      <c r="S487" s="458"/>
      <c r="T487" s="131"/>
      <c r="U487" s="458"/>
      <c r="V487" s="131"/>
      <c r="W487" s="130"/>
      <c r="X487" s="131"/>
      <c r="Y487" s="131"/>
      <c r="Z487" s="130"/>
      <c r="AA487" s="130"/>
      <c r="AB487" s="130"/>
      <c r="AC487" s="130"/>
      <c r="AD487" s="130"/>
      <c r="AE487" s="458"/>
      <c r="AF487" s="458"/>
      <c r="AG487" s="130"/>
      <c r="AH487" s="130"/>
      <c r="AI487" s="130"/>
      <c r="AJ487" s="130"/>
      <c r="AK487" s="130"/>
      <c r="AL487" s="130"/>
      <c r="AM487" s="130"/>
      <c r="AN487" s="130"/>
      <c r="AO487" s="130"/>
      <c r="AU487"/>
    </row>
    <row r="488" spans="1:47">
      <c r="U488" s="23"/>
      <c r="AL488"/>
      <c r="AM488"/>
      <c r="AN488"/>
      <c r="AO488"/>
      <c r="AP488"/>
      <c r="AQ488"/>
      <c r="AR488"/>
      <c r="AS488"/>
      <c r="AT488"/>
      <c r="AU488"/>
    </row>
    <row r="489" spans="1:47">
      <c r="U489" s="23"/>
      <c r="AL489"/>
      <c r="AM489"/>
      <c r="AN489"/>
      <c r="AO489"/>
      <c r="AP489"/>
      <c r="AQ489"/>
      <c r="AR489"/>
      <c r="AS489"/>
      <c r="AT489"/>
      <c r="AU489"/>
    </row>
    <row r="490" spans="1:47">
      <c r="U490" s="23"/>
      <c r="AL490"/>
      <c r="AM490"/>
      <c r="AN490"/>
      <c r="AO490"/>
      <c r="AP490"/>
      <c r="AQ490"/>
      <c r="AR490"/>
      <c r="AS490"/>
      <c r="AT490"/>
      <c r="AU490"/>
    </row>
    <row r="491" spans="1:47">
      <c r="U491" s="23"/>
      <c r="AL491"/>
      <c r="AM491"/>
      <c r="AN491"/>
      <c r="AO491"/>
      <c r="AP491"/>
      <c r="AQ491"/>
      <c r="AR491"/>
      <c r="AS491"/>
      <c r="AT491"/>
      <c r="AU491"/>
    </row>
    <row r="492" spans="1:47">
      <c r="U492" s="23"/>
      <c r="AL492"/>
      <c r="AM492"/>
      <c r="AN492"/>
      <c r="AO492"/>
      <c r="AP492"/>
      <c r="AQ492"/>
      <c r="AR492"/>
      <c r="AS492"/>
      <c r="AT492"/>
      <c r="AU492"/>
    </row>
    <row r="493" spans="1:47">
      <c r="U493" s="23"/>
      <c r="AL493"/>
      <c r="AM493"/>
      <c r="AN493"/>
      <c r="AO493"/>
      <c r="AP493"/>
      <c r="AQ493"/>
      <c r="AR493"/>
      <c r="AS493"/>
      <c r="AT493"/>
      <c r="AU493"/>
    </row>
    <row r="494" spans="1:47">
      <c r="U494" s="23"/>
      <c r="AL494"/>
      <c r="AM494"/>
      <c r="AN494"/>
      <c r="AO494"/>
      <c r="AP494"/>
      <c r="AQ494"/>
      <c r="AR494"/>
      <c r="AS494"/>
      <c r="AT494"/>
      <c r="AU494"/>
    </row>
    <row r="495" spans="1:47">
      <c r="U495" s="23"/>
      <c r="AL495"/>
      <c r="AM495"/>
      <c r="AN495"/>
      <c r="AO495"/>
      <c r="AP495"/>
      <c r="AQ495"/>
      <c r="AR495"/>
      <c r="AS495"/>
      <c r="AT495"/>
      <c r="AU495"/>
    </row>
    <row r="496" spans="1:47">
      <c r="U496" s="23"/>
      <c r="AL496"/>
      <c r="AM496"/>
      <c r="AN496"/>
      <c r="AO496"/>
      <c r="AP496"/>
      <c r="AQ496"/>
      <c r="AR496"/>
      <c r="AS496"/>
      <c r="AT496"/>
      <c r="AU496"/>
    </row>
    <row r="497" spans="21:47">
      <c r="U497" s="23"/>
      <c r="AL497"/>
      <c r="AM497"/>
      <c r="AN497"/>
      <c r="AO497"/>
      <c r="AP497"/>
      <c r="AQ497"/>
      <c r="AR497"/>
      <c r="AS497"/>
      <c r="AT497"/>
      <c r="AU497"/>
    </row>
    <row r="498" spans="21:47">
      <c r="U498" s="23"/>
      <c r="AL498"/>
      <c r="AM498"/>
      <c r="AN498"/>
      <c r="AO498"/>
      <c r="AP498"/>
      <c r="AQ498"/>
      <c r="AR498"/>
      <c r="AS498"/>
      <c r="AT498"/>
      <c r="AU498"/>
    </row>
    <row r="499" spans="21:47">
      <c r="U499" s="23"/>
      <c r="AL499"/>
      <c r="AM499"/>
      <c r="AN499"/>
      <c r="AO499"/>
      <c r="AP499"/>
      <c r="AQ499"/>
      <c r="AR499"/>
      <c r="AS499"/>
      <c r="AT499"/>
      <c r="AU499"/>
    </row>
    <row r="500" spans="21:47">
      <c r="U500" s="23"/>
      <c r="AL500"/>
      <c r="AM500"/>
      <c r="AN500"/>
      <c r="AO500"/>
      <c r="AP500"/>
      <c r="AQ500"/>
      <c r="AR500"/>
      <c r="AS500"/>
      <c r="AT500"/>
      <c r="AU500"/>
    </row>
    <row r="501" spans="21:47">
      <c r="U501" s="23"/>
      <c r="AL501"/>
      <c r="AM501"/>
      <c r="AN501"/>
      <c r="AO501"/>
      <c r="AP501"/>
      <c r="AQ501"/>
      <c r="AR501"/>
      <c r="AS501"/>
      <c r="AT501"/>
      <c r="AU501"/>
    </row>
    <row r="502" spans="21:47">
      <c r="U502" s="23"/>
      <c r="AL502"/>
      <c r="AM502"/>
      <c r="AN502"/>
      <c r="AO502"/>
      <c r="AP502"/>
      <c r="AQ502"/>
      <c r="AR502"/>
      <c r="AS502"/>
      <c r="AT502"/>
      <c r="AU502"/>
    </row>
    <row r="503" spans="21:47">
      <c r="U503" s="23"/>
      <c r="AL503"/>
      <c r="AM503"/>
      <c r="AN503"/>
      <c r="AO503"/>
      <c r="AP503"/>
      <c r="AQ503"/>
      <c r="AR503"/>
      <c r="AS503"/>
      <c r="AT503"/>
      <c r="AU503"/>
    </row>
    <row r="504" spans="21:47">
      <c r="U504" s="23"/>
      <c r="AL504"/>
      <c r="AM504"/>
      <c r="AN504"/>
      <c r="AO504"/>
      <c r="AP504"/>
      <c r="AQ504"/>
      <c r="AR504"/>
      <c r="AS504"/>
      <c r="AT504"/>
      <c r="AU504"/>
    </row>
    <row r="505" spans="21:47">
      <c r="U505" s="23"/>
      <c r="AL505"/>
      <c r="AM505"/>
      <c r="AN505"/>
      <c r="AO505"/>
      <c r="AP505"/>
      <c r="AQ505"/>
      <c r="AR505"/>
      <c r="AS505"/>
      <c r="AT505"/>
      <c r="AU505"/>
    </row>
    <row r="506" spans="21:47">
      <c r="U506" s="23"/>
      <c r="AL506"/>
      <c r="AM506"/>
      <c r="AN506"/>
      <c r="AO506"/>
      <c r="AP506"/>
      <c r="AQ506"/>
      <c r="AR506"/>
      <c r="AS506"/>
      <c r="AT506"/>
      <c r="AU506"/>
    </row>
    <row r="507" spans="21:47">
      <c r="U507" s="23"/>
      <c r="AL507"/>
      <c r="AM507"/>
      <c r="AN507"/>
      <c r="AO507"/>
      <c r="AP507"/>
      <c r="AQ507"/>
      <c r="AR507"/>
      <c r="AS507"/>
      <c r="AT507"/>
      <c r="AU507"/>
    </row>
    <row r="508" spans="21:47">
      <c r="U508" s="23"/>
      <c r="AL508"/>
      <c r="AM508"/>
      <c r="AN508"/>
      <c r="AO508"/>
      <c r="AP508"/>
      <c r="AQ508"/>
      <c r="AR508"/>
      <c r="AS508"/>
      <c r="AT508"/>
      <c r="AU508"/>
    </row>
    <row r="509" spans="21:47">
      <c r="U509" s="23"/>
      <c r="AL509"/>
      <c r="AM509"/>
      <c r="AN509"/>
      <c r="AO509"/>
      <c r="AP509"/>
      <c r="AQ509"/>
      <c r="AR509"/>
      <c r="AS509"/>
      <c r="AT509"/>
      <c r="AU509"/>
    </row>
    <row r="510" spans="21:47">
      <c r="U510" s="23"/>
      <c r="AL510"/>
      <c r="AM510"/>
      <c r="AN510"/>
      <c r="AO510"/>
      <c r="AP510"/>
      <c r="AQ510"/>
      <c r="AR510"/>
      <c r="AS510"/>
      <c r="AT510"/>
      <c r="AU510"/>
    </row>
    <row r="511" spans="21:47">
      <c r="U511" s="23"/>
      <c r="AL511"/>
      <c r="AM511"/>
      <c r="AN511"/>
      <c r="AO511"/>
      <c r="AP511"/>
      <c r="AQ511"/>
      <c r="AR511"/>
      <c r="AS511"/>
      <c r="AT511"/>
      <c r="AU511"/>
    </row>
    <row r="512" spans="21:47">
      <c r="U512" s="23"/>
      <c r="AL512"/>
      <c r="AM512"/>
      <c r="AN512"/>
      <c r="AO512"/>
      <c r="AP512"/>
      <c r="AQ512"/>
      <c r="AR512"/>
      <c r="AS512"/>
      <c r="AT512"/>
      <c r="AU512"/>
    </row>
    <row r="513" spans="21:47">
      <c r="U513" s="23"/>
      <c r="AL513"/>
      <c r="AM513"/>
      <c r="AN513"/>
      <c r="AO513"/>
      <c r="AP513"/>
      <c r="AQ513"/>
      <c r="AR513"/>
      <c r="AS513"/>
      <c r="AT513"/>
      <c r="AU513"/>
    </row>
    <row r="514" spans="21:47">
      <c r="U514" s="23"/>
      <c r="AL514"/>
      <c r="AM514"/>
      <c r="AN514"/>
      <c r="AO514"/>
      <c r="AP514"/>
      <c r="AQ514"/>
      <c r="AR514"/>
      <c r="AS514"/>
      <c r="AT514"/>
      <c r="AU514"/>
    </row>
    <row r="515" spans="21:47">
      <c r="U515" s="23"/>
      <c r="AL515"/>
      <c r="AM515"/>
      <c r="AN515"/>
      <c r="AO515"/>
      <c r="AP515"/>
      <c r="AQ515"/>
      <c r="AR515"/>
      <c r="AS515"/>
      <c r="AT515"/>
      <c r="AU515"/>
    </row>
    <row r="516" spans="21:47">
      <c r="U516" s="23"/>
      <c r="AL516"/>
      <c r="AM516"/>
      <c r="AN516"/>
      <c r="AO516"/>
      <c r="AP516"/>
      <c r="AQ516"/>
      <c r="AR516"/>
      <c r="AS516"/>
      <c r="AT516"/>
      <c r="AU516"/>
    </row>
    <row r="517" spans="21:47">
      <c r="U517" s="23"/>
      <c r="AL517"/>
      <c r="AM517"/>
      <c r="AN517"/>
      <c r="AO517"/>
      <c r="AP517"/>
      <c r="AQ517"/>
      <c r="AR517"/>
      <c r="AS517"/>
      <c r="AT517"/>
      <c r="AU517"/>
    </row>
    <row r="518" spans="21:47">
      <c r="U518" s="23"/>
      <c r="AL518"/>
      <c r="AM518"/>
      <c r="AN518"/>
      <c r="AO518"/>
      <c r="AP518"/>
      <c r="AQ518"/>
      <c r="AR518"/>
      <c r="AS518"/>
      <c r="AT518"/>
      <c r="AU518"/>
    </row>
    <row r="519" spans="21:47">
      <c r="U519" s="23"/>
      <c r="AL519"/>
      <c r="AM519"/>
      <c r="AN519"/>
      <c r="AO519"/>
      <c r="AP519"/>
      <c r="AQ519"/>
      <c r="AR519"/>
      <c r="AS519"/>
      <c r="AT519"/>
      <c r="AU519"/>
    </row>
    <row r="520" spans="21:47">
      <c r="U520" s="23"/>
      <c r="AL520"/>
      <c r="AM520"/>
      <c r="AN520"/>
      <c r="AO520"/>
      <c r="AP520"/>
      <c r="AQ520"/>
      <c r="AR520"/>
      <c r="AS520"/>
      <c r="AT520"/>
      <c r="AU520"/>
    </row>
    <row r="521" spans="21:47">
      <c r="U521" s="23"/>
      <c r="AL521"/>
      <c r="AM521"/>
      <c r="AN521"/>
      <c r="AO521"/>
      <c r="AP521"/>
      <c r="AQ521"/>
      <c r="AR521"/>
      <c r="AS521"/>
      <c r="AT521"/>
      <c r="AU521"/>
    </row>
    <row r="522" spans="21:47">
      <c r="U522" s="23"/>
      <c r="AL522"/>
      <c r="AM522"/>
      <c r="AN522"/>
      <c r="AO522"/>
      <c r="AP522"/>
      <c r="AQ522"/>
      <c r="AR522"/>
      <c r="AS522"/>
      <c r="AT522"/>
      <c r="AU522"/>
    </row>
    <row r="523" spans="21:47">
      <c r="U523" s="23"/>
      <c r="AL523"/>
      <c r="AM523"/>
      <c r="AN523"/>
      <c r="AO523"/>
      <c r="AP523"/>
      <c r="AQ523"/>
      <c r="AR523"/>
      <c r="AS523"/>
      <c r="AT523"/>
      <c r="AU523"/>
    </row>
    <row r="524" spans="21:47">
      <c r="U524" s="23"/>
      <c r="AL524"/>
      <c r="AM524"/>
      <c r="AN524"/>
      <c r="AO524"/>
      <c r="AP524"/>
      <c r="AQ524"/>
      <c r="AR524"/>
      <c r="AS524"/>
      <c r="AT524"/>
      <c r="AU524"/>
    </row>
    <row r="525" spans="21:47">
      <c r="U525" s="23"/>
      <c r="AL525"/>
      <c r="AM525"/>
      <c r="AN525"/>
      <c r="AO525"/>
      <c r="AP525"/>
      <c r="AQ525"/>
      <c r="AR525"/>
      <c r="AS525"/>
      <c r="AT525"/>
      <c r="AU525"/>
    </row>
    <row r="526" spans="21:47">
      <c r="U526" s="23"/>
      <c r="AL526"/>
      <c r="AM526"/>
      <c r="AN526"/>
      <c r="AO526"/>
      <c r="AP526"/>
      <c r="AQ526"/>
      <c r="AR526"/>
      <c r="AS526"/>
      <c r="AT526"/>
      <c r="AU526"/>
    </row>
    <row r="527" spans="21:47">
      <c r="U527" s="23"/>
      <c r="AL527"/>
      <c r="AM527"/>
      <c r="AN527"/>
      <c r="AO527"/>
      <c r="AP527"/>
      <c r="AQ527"/>
      <c r="AR527"/>
      <c r="AS527"/>
      <c r="AT527"/>
      <c r="AU527"/>
    </row>
    <row r="528" spans="21:47">
      <c r="U528" s="23"/>
      <c r="AL528"/>
      <c r="AM528"/>
      <c r="AN528"/>
      <c r="AO528"/>
      <c r="AP528"/>
      <c r="AQ528"/>
      <c r="AR528"/>
      <c r="AS528"/>
      <c r="AT528"/>
      <c r="AU528"/>
    </row>
    <row r="529" spans="21:47">
      <c r="U529" s="23"/>
      <c r="AL529"/>
      <c r="AM529"/>
      <c r="AN529"/>
      <c r="AO529"/>
      <c r="AP529"/>
      <c r="AQ529"/>
      <c r="AR529"/>
      <c r="AS529"/>
      <c r="AT529"/>
      <c r="AU529"/>
    </row>
    <row r="530" spans="21:47">
      <c r="U530" s="23"/>
      <c r="AL530"/>
      <c r="AM530"/>
      <c r="AN530"/>
      <c r="AO530"/>
      <c r="AP530"/>
      <c r="AQ530"/>
      <c r="AR530"/>
      <c r="AS530"/>
      <c r="AT530"/>
      <c r="AU530"/>
    </row>
    <row r="531" spans="21:47">
      <c r="U531" s="23"/>
      <c r="AL531"/>
      <c r="AM531"/>
      <c r="AN531"/>
      <c r="AO531"/>
      <c r="AP531"/>
      <c r="AQ531"/>
      <c r="AR531"/>
      <c r="AS531"/>
      <c r="AT531"/>
      <c r="AU531"/>
    </row>
    <row r="532" spans="21:47">
      <c r="U532" s="23"/>
      <c r="AL532"/>
      <c r="AM532"/>
      <c r="AN532"/>
      <c r="AO532"/>
      <c r="AP532"/>
      <c r="AQ532"/>
      <c r="AR532"/>
      <c r="AS532"/>
      <c r="AT532"/>
      <c r="AU532"/>
    </row>
    <row r="533" spans="21:47">
      <c r="U533" s="23"/>
    </row>
    <row r="534" spans="21:47">
      <c r="U534" s="23"/>
    </row>
    <row r="535" spans="21:47">
      <c r="U535" s="23"/>
    </row>
    <row r="536" spans="21:47">
      <c r="U536" s="23"/>
    </row>
    <row r="537" spans="21:47">
      <c r="U537" s="23"/>
    </row>
    <row r="538" spans="21:47">
      <c r="U538" s="23"/>
    </row>
    <row r="539" spans="21:47">
      <c r="U539" s="23"/>
    </row>
    <row r="540" spans="21:47">
      <c r="U540" s="23"/>
    </row>
    <row r="541" spans="21:47">
      <c r="U541" s="23"/>
    </row>
    <row r="542" spans="21:47">
      <c r="U542" s="23"/>
    </row>
    <row r="543" spans="21:47">
      <c r="U543" s="23"/>
    </row>
    <row r="544" spans="21:47">
      <c r="U544" s="23"/>
    </row>
    <row r="545" spans="21:21">
      <c r="U545" s="23"/>
    </row>
    <row r="546" spans="21:21">
      <c r="U546" s="23"/>
    </row>
    <row r="547" spans="21:21">
      <c r="U547" s="23"/>
    </row>
    <row r="548" spans="21:21">
      <c r="U548" s="23"/>
    </row>
    <row r="549" spans="21:21">
      <c r="U549" s="23"/>
    </row>
    <row r="550" spans="21:21">
      <c r="U550" s="23"/>
    </row>
    <row r="551" spans="21:21">
      <c r="U551" s="23"/>
    </row>
    <row r="552" spans="21:21">
      <c r="U552" s="23"/>
    </row>
    <row r="553" spans="21:21">
      <c r="U553" s="23"/>
    </row>
    <row r="554" spans="21:21">
      <c r="U554" s="23"/>
    </row>
    <row r="555" spans="21:21">
      <c r="U555" s="23"/>
    </row>
    <row r="556" spans="21:21">
      <c r="U556" s="23"/>
    </row>
    <row r="557" spans="21:21">
      <c r="U557" s="23"/>
    </row>
    <row r="558" spans="21:21">
      <c r="U558" s="23"/>
    </row>
    <row r="559" spans="21:21">
      <c r="U559" s="23"/>
    </row>
    <row r="560" spans="21:21">
      <c r="U560" s="23"/>
    </row>
    <row r="561" spans="21:21">
      <c r="U561" s="23"/>
    </row>
    <row r="562" spans="21:21">
      <c r="U562" s="23"/>
    </row>
    <row r="563" spans="21:21">
      <c r="U563" s="23"/>
    </row>
    <row r="564" spans="21:21">
      <c r="U564" s="23"/>
    </row>
    <row r="565" spans="21:21">
      <c r="U565" s="23"/>
    </row>
    <row r="566" spans="21:21">
      <c r="U566" s="23"/>
    </row>
    <row r="567" spans="21:21">
      <c r="U567" s="23"/>
    </row>
    <row r="568" spans="21:21">
      <c r="U568" s="23"/>
    </row>
    <row r="569" spans="21:21">
      <c r="U569" s="23"/>
    </row>
    <row r="570" spans="21:21">
      <c r="U570" s="23"/>
    </row>
    <row r="571" spans="21:21">
      <c r="U571" s="23"/>
    </row>
    <row r="572" spans="21:21">
      <c r="U572" s="23"/>
    </row>
    <row r="573" spans="21:21">
      <c r="U573" s="23"/>
    </row>
    <row r="574" spans="21:21">
      <c r="U574" s="23"/>
    </row>
    <row r="575" spans="21:21">
      <c r="U575" s="23"/>
    </row>
    <row r="576" spans="21:21">
      <c r="U576" s="23"/>
    </row>
    <row r="577" spans="21:21">
      <c r="U577" s="23"/>
    </row>
    <row r="578" spans="21:21">
      <c r="U578" s="23"/>
    </row>
    <row r="579" spans="21:21">
      <c r="U579" s="23"/>
    </row>
    <row r="580" spans="21:21">
      <c r="U580" s="23"/>
    </row>
    <row r="581" spans="21:21">
      <c r="U581" s="23"/>
    </row>
    <row r="582" spans="21:21">
      <c r="U582" s="23"/>
    </row>
    <row r="583" spans="21:21">
      <c r="U583" s="23"/>
    </row>
    <row r="584" spans="21:21">
      <c r="U584" s="23"/>
    </row>
    <row r="585" spans="21:21">
      <c r="U585" s="23"/>
    </row>
    <row r="586" spans="21:21">
      <c r="U586" s="23"/>
    </row>
    <row r="587" spans="21:21">
      <c r="U587" s="23"/>
    </row>
    <row r="588" spans="21:21">
      <c r="U588" s="23"/>
    </row>
    <row r="589" spans="21:21">
      <c r="U589" s="23"/>
    </row>
    <row r="590" spans="21:21">
      <c r="U590" s="23"/>
    </row>
    <row r="591" spans="21:21">
      <c r="U591" s="23"/>
    </row>
    <row r="592" spans="21:21">
      <c r="U592" s="23"/>
    </row>
    <row r="593" spans="21:21">
      <c r="U593" s="23"/>
    </row>
    <row r="594" spans="21:21">
      <c r="U594" s="23"/>
    </row>
    <row r="595" spans="21:21">
      <c r="U595" s="23"/>
    </row>
    <row r="596" spans="21:21">
      <c r="U596" s="23"/>
    </row>
    <row r="597" spans="21:21">
      <c r="U597" s="23"/>
    </row>
    <row r="598" spans="21:21">
      <c r="U598" s="23"/>
    </row>
    <row r="599" spans="21:21">
      <c r="U599" s="23"/>
    </row>
    <row r="600" spans="21:21">
      <c r="U600" s="23"/>
    </row>
    <row r="601" spans="21:21">
      <c r="U601" s="23"/>
    </row>
    <row r="602" spans="21:21">
      <c r="U602" s="23"/>
    </row>
    <row r="603" spans="21:21">
      <c r="U603" s="23"/>
    </row>
    <row r="604" spans="21:21">
      <c r="U604" s="23"/>
    </row>
    <row r="605" spans="21:21">
      <c r="U605" s="23"/>
    </row>
    <row r="606" spans="21:21">
      <c r="U606" s="23"/>
    </row>
    <row r="607" spans="21:21">
      <c r="U607" s="23"/>
    </row>
    <row r="608" spans="21:21">
      <c r="U608" s="23"/>
    </row>
    <row r="609" spans="21:21">
      <c r="U609" s="23"/>
    </row>
    <row r="610" spans="21:21">
      <c r="U610" s="23"/>
    </row>
    <row r="611" spans="21:21">
      <c r="U611" s="23"/>
    </row>
    <row r="612" spans="21:21">
      <c r="U612" s="23"/>
    </row>
    <row r="613" spans="21:21">
      <c r="U613" s="23"/>
    </row>
    <row r="614" spans="21:21">
      <c r="U614" s="23"/>
    </row>
    <row r="615" spans="21:21">
      <c r="U615" s="23"/>
    </row>
    <row r="616" spans="21:21">
      <c r="U616" s="23"/>
    </row>
    <row r="617" spans="21:21">
      <c r="U617" s="23"/>
    </row>
    <row r="618" spans="21:21">
      <c r="U618" s="23"/>
    </row>
    <row r="619" spans="21:21">
      <c r="U619" s="23"/>
    </row>
    <row r="620" spans="21:21">
      <c r="U620" s="23"/>
    </row>
    <row r="621" spans="21:21">
      <c r="U621" s="23"/>
    </row>
    <row r="622" spans="21:21" ht="12.75" customHeight="1">
      <c r="U622" s="23"/>
    </row>
    <row r="623" spans="21:21">
      <c r="U623" s="23"/>
    </row>
    <row r="624" spans="21:21">
      <c r="U624" s="23"/>
    </row>
    <row r="625" spans="21:21">
      <c r="U625" s="23"/>
    </row>
    <row r="626" spans="21:21">
      <c r="U626" s="23"/>
    </row>
    <row r="627" spans="21:21">
      <c r="U627" s="23"/>
    </row>
    <row r="628" spans="21:21">
      <c r="U628" s="23"/>
    </row>
    <row r="629" spans="21:21">
      <c r="U629" s="23"/>
    </row>
    <row r="630" spans="21:21">
      <c r="U630" s="23"/>
    </row>
    <row r="631" spans="21:21">
      <c r="U631" s="23"/>
    </row>
    <row r="632" spans="21:21">
      <c r="U632" s="23"/>
    </row>
    <row r="633" spans="21:21">
      <c r="U633" s="23"/>
    </row>
    <row r="634" spans="21:21">
      <c r="U634" s="23"/>
    </row>
    <row r="635" spans="21:21">
      <c r="U635" s="23"/>
    </row>
    <row r="636" spans="21:21">
      <c r="U636" s="23"/>
    </row>
    <row r="637" spans="21:21">
      <c r="U637" s="23"/>
    </row>
    <row r="638" spans="21:21">
      <c r="U638" s="23"/>
    </row>
    <row r="639" spans="21:21">
      <c r="U639" s="23"/>
    </row>
    <row r="640" spans="21:21">
      <c r="U640" s="23"/>
    </row>
    <row r="641" spans="21:21">
      <c r="U641" s="23"/>
    </row>
    <row r="642" spans="21:21">
      <c r="U642" s="23"/>
    </row>
    <row r="643" spans="21:21">
      <c r="U643" s="23"/>
    </row>
    <row r="644" spans="21:21">
      <c r="U644" s="23"/>
    </row>
    <row r="645" spans="21:21">
      <c r="U645" s="23"/>
    </row>
    <row r="646" spans="21:21">
      <c r="U646" s="23"/>
    </row>
    <row r="647" spans="21:21">
      <c r="U647" s="23"/>
    </row>
    <row r="648" spans="21:21">
      <c r="U648" s="23"/>
    </row>
    <row r="649" spans="21:21">
      <c r="U649" s="23"/>
    </row>
    <row r="650" spans="21:21">
      <c r="U650" s="23"/>
    </row>
    <row r="651" spans="21:21">
      <c r="U651" s="23"/>
    </row>
    <row r="652" spans="21:21">
      <c r="U652" s="23"/>
    </row>
    <row r="653" spans="21:21">
      <c r="U653" s="23"/>
    </row>
    <row r="654" spans="21:21">
      <c r="U654" s="23"/>
    </row>
    <row r="655" spans="21:21">
      <c r="U655" s="23"/>
    </row>
    <row r="656" spans="21:21">
      <c r="U656" s="23"/>
    </row>
    <row r="657" spans="21:21">
      <c r="U657" s="23"/>
    </row>
    <row r="658" spans="21:21">
      <c r="U658" s="23"/>
    </row>
    <row r="659" spans="21:21">
      <c r="U659" s="23"/>
    </row>
    <row r="660" spans="21:21">
      <c r="U660" s="23"/>
    </row>
    <row r="661" spans="21:21">
      <c r="U661" s="23"/>
    </row>
    <row r="662" spans="21:21">
      <c r="U662" s="23"/>
    </row>
    <row r="663" spans="21:21">
      <c r="U663" s="23"/>
    </row>
    <row r="664" spans="21:21">
      <c r="U664" s="23"/>
    </row>
    <row r="665" spans="21:21">
      <c r="U665" s="23"/>
    </row>
    <row r="666" spans="21:21">
      <c r="U666" s="23"/>
    </row>
    <row r="667" spans="21:21">
      <c r="U667" s="23"/>
    </row>
    <row r="668" spans="21:21">
      <c r="U668" s="23"/>
    </row>
    <row r="669" spans="21:21">
      <c r="U669" s="23"/>
    </row>
    <row r="670" spans="21:21">
      <c r="U670" s="23"/>
    </row>
    <row r="671" spans="21:21">
      <c r="U671" s="23"/>
    </row>
    <row r="672" spans="21:21">
      <c r="U672" s="23"/>
    </row>
    <row r="673" spans="21:21">
      <c r="U673" s="23"/>
    </row>
    <row r="674" spans="21:21">
      <c r="U674" s="23"/>
    </row>
    <row r="675" spans="21:21">
      <c r="U675" s="23"/>
    </row>
    <row r="676" spans="21:21">
      <c r="U676" s="23"/>
    </row>
    <row r="677" spans="21:21">
      <c r="U677" s="23"/>
    </row>
    <row r="678" spans="21:21">
      <c r="U678" s="23"/>
    </row>
    <row r="679" spans="21:21">
      <c r="U679" s="23"/>
    </row>
    <row r="680" spans="21:21">
      <c r="U680" s="23"/>
    </row>
    <row r="681" spans="21:21">
      <c r="U681" s="23"/>
    </row>
    <row r="682" spans="21:21">
      <c r="U682" s="23"/>
    </row>
    <row r="683" spans="21:21">
      <c r="U683" s="23"/>
    </row>
    <row r="684" spans="21:21">
      <c r="U684" s="23"/>
    </row>
    <row r="685" spans="21:21">
      <c r="U685" s="23"/>
    </row>
    <row r="686" spans="21:21">
      <c r="U686" s="23"/>
    </row>
    <row r="687" spans="21:21">
      <c r="U687" s="23"/>
    </row>
    <row r="688" spans="21:21">
      <c r="U688" s="23"/>
    </row>
    <row r="689" spans="21:21">
      <c r="U689" s="23"/>
    </row>
    <row r="690" spans="21:21">
      <c r="U690" s="23"/>
    </row>
    <row r="691" spans="21:21">
      <c r="U691" s="23"/>
    </row>
    <row r="692" spans="21:21">
      <c r="U692" s="23"/>
    </row>
    <row r="693" spans="21:21">
      <c r="U693" s="23"/>
    </row>
    <row r="694" spans="21:21">
      <c r="U694" s="23"/>
    </row>
    <row r="695" spans="21:21">
      <c r="U695" s="23"/>
    </row>
    <row r="696" spans="21:21">
      <c r="U696" s="23"/>
    </row>
    <row r="697" spans="21:21">
      <c r="U697" s="23"/>
    </row>
    <row r="698" spans="21:21">
      <c r="U698" s="23"/>
    </row>
    <row r="699" spans="21:21">
      <c r="U699" s="23"/>
    </row>
    <row r="700" spans="21:21">
      <c r="U700" s="23"/>
    </row>
    <row r="701" spans="21:21">
      <c r="U701" s="23"/>
    </row>
    <row r="702" spans="21:21">
      <c r="U702" s="23"/>
    </row>
    <row r="703" spans="21:21">
      <c r="U703" s="23"/>
    </row>
    <row r="704" spans="21:21">
      <c r="U704" s="23"/>
    </row>
    <row r="705" spans="21:21">
      <c r="U705" s="23"/>
    </row>
    <row r="706" spans="21:21">
      <c r="U706" s="23"/>
    </row>
    <row r="707" spans="21:21">
      <c r="U707" s="23"/>
    </row>
    <row r="708" spans="21:21">
      <c r="U708" s="23"/>
    </row>
    <row r="709" spans="21:21">
      <c r="U709" s="23"/>
    </row>
    <row r="710" spans="21:21">
      <c r="U710" s="23"/>
    </row>
    <row r="711" spans="21:21">
      <c r="U711" s="23"/>
    </row>
    <row r="712" spans="21:21">
      <c r="U712" s="23"/>
    </row>
    <row r="713" spans="21:21">
      <c r="U713" s="23"/>
    </row>
    <row r="714" spans="21:21">
      <c r="U714" s="23"/>
    </row>
    <row r="715" spans="21:21">
      <c r="U715" s="23"/>
    </row>
    <row r="716" spans="21:21">
      <c r="U716" s="23"/>
    </row>
    <row r="717" spans="21:21">
      <c r="U717" s="23"/>
    </row>
    <row r="718" spans="21:21">
      <c r="U718" s="23"/>
    </row>
    <row r="719" spans="21:21">
      <c r="U719" s="23"/>
    </row>
    <row r="720" spans="21:21">
      <c r="U720" s="23"/>
    </row>
    <row r="721" spans="21:21">
      <c r="U721" s="23"/>
    </row>
    <row r="722" spans="21:21">
      <c r="U722" s="23"/>
    </row>
    <row r="723" spans="21:21">
      <c r="U723" s="23"/>
    </row>
    <row r="724" spans="21:21">
      <c r="U724" s="23"/>
    </row>
    <row r="725" spans="21:21">
      <c r="U725" s="23"/>
    </row>
    <row r="726" spans="21:21">
      <c r="U726" s="23"/>
    </row>
    <row r="727" spans="21:21">
      <c r="U727" s="23"/>
    </row>
    <row r="728" spans="21:21">
      <c r="U728" s="23"/>
    </row>
    <row r="729" spans="21:21">
      <c r="U729" s="23"/>
    </row>
    <row r="730" spans="21:21">
      <c r="U730" s="23"/>
    </row>
    <row r="731" spans="21:21">
      <c r="U731" s="23"/>
    </row>
    <row r="732" spans="21:21">
      <c r="U732" s="23"/>
    </row>
    <row r="733" spans="21:21">
      <c r="U733" s="23"/>
    </row>
    <row r="734" spans="21:21">
      <c r="U734" s="23"/>
    </row>
    <row r="735" spans="21:21">
      <c r="U735" s="23"/>
    </row>
    <row r="736" spans="21:21">
      <c r="U736" s="23"/>
    </row>
    <row r="737" spans="21:21">
      <c r="U737" s="23"/>
    </row>
    <row r="738" spans="21:21">
      <c r="U738" s="23"/>
    </row>
    <row r="739" spans="21:21">
      <c r="U739" s="23"/>
    </row>
    <row r="740" spans="21:21">
      <c r="U740" s="23"/>
    </row>
    <row r="741" spans="21:21">
      <c r="U741" s="23"/>
    </row>
    <row r="742" spans="21:21">
      <c r="U742" s="23"/>
    </row>
    <row r="743" spans="21:21">
      <c r="U743" s="23"/>
    </row>
    <row r="744" spans="21:21">
      <c r="U744" s="23"/>
    </row>
    <row r="745" spans="21:21">
      <c r="U745" s="23"/>
    </row>
    <row r="746" spans="21:21">
      <c r="U746" s="23"/>
    </row>
    <row r="747" spans="21:21">
      <c r="U747" s="23"/>
    </row>
    <row r="748" spans="21:21">
      <c r="U748" s="23"/>
    </row>
    <row r="749" spans="21:21">
      <c r="U749" s="23"/>
    </row>
    <row r="750" spans="21:21">
      <c r="U750" s="23"/>
    </row>
    <row r="751" spans="21:21">
      <c r="U751" s="23"/>
    </row>
    <row r="752" spans="21:21">
      <c r="U752" s="23"/>
    </row>
    <row r="753" spans="21:21">
      <c r="U753" s="23"/>
    </row>
    <row r="754" spans="21:21">
      <c r="U754" s="23"/>
    </row>
    <row r="755" spans="21:21">
      <c r="U755" s="23"/>
    </row>
    <row r="756" spans="21:21">
      <c r="U756" s="23"/>
    </row>
    <row r="757" spans="21:21">
      <c r="U757" s="23"/>
    </row>
    <row r="758" spans="21:21">
      <c r="U758" s="23"/>
    </row>
    <row r="759" spans="21:21">
      <c r="U759" s="23"/>
    </row>
    <row r="760" spans="21:21">
      <c r="U760" s="23"/>
    </row>
    <row r="761" spans="21:21">
      <c r="U761" s="23"/>
    </row>
    <row r="762" spans="21:21">
      <c r="U762" s="23"/>
    </row>
    <row r="763" spans="21:21">
      <c r="U763" s="23"/>
    </row>
    <row r="764" spans="21:21">
      <c r="U764" s="23"/>
    </row>
    <row r="765" spans="21:21">
      <c r="U765" s="23"/>
    </row>
    <row r="766" spans="21:21">
      <c r="U766" s="23"/>
    </row>
    <row r="767" spans="21:21">
      <c r="U767" s="23"/>
    </row>
    <row r="768" spans="21:21">
      <c r="U768" s="23"/>
    </row>
  </sheetData>
  <sheetProtection algorithmName="SHA-512" hashValue="d6GkhZWfZ6YoZXC4c6o6ySfbbpzGfv1x8A9i5/QWIgy+RpGqdDrTk6xhjS9+t3Tl6tQyg2UqSfGY9BSdMJvS8w==" saltValue="yhyRScY8XCEsfIrvYrqCpQ==" spinCount="100000" sheet="1" objects="1" scenarios="1"/>
  <hyperlinks>
    <hyperlink ref="A54" location="'M03-S02'!A1" display="P-Electric Lighting Controls" xr:uid="{00000000-0004-0000-0400-000000000000}"/>
    <hyperlink ref="A105" location="'M03-S03'!A1" display="P-Electric Refrigeration" xr:uid="{00000000-0004-0000-0400-000001000000}"/>
    <hyperlink ref="A156" location="'M03-S04'!A1" display="P-Electric Kitchen" xr:uid="{00000000-0004-0000-0400-000002000000}"/>
    <hyperlink ref="A173" location="'M03-S05'!A1" display="P-Electric Motor" xr:uid="{00000000-0004-0000-0400-000003000000}"/>
    <hyperlink ref="A308" location="'M04-S01'!A1" display="NP-Electric Light" xr:uid="{00000000-0004-0000-0400-000004000000}"/>
    <hyperlink ref="A359" location="'M04-S02'!A1" display="NP-Electric" xr:uid="{00000000-0004-0000-0400-000005000000}"/>
    <hyperlink ref="A436" location="'M04-S04'!A1" display="NP-Gas" xr:uid="{00000000-0004-0000-0400-000007000000}"/>
    <hyperlink ref="A385" location="'M04-S03'!A1" display="CM-Lighting Controls" xr:uid="{00000000-0004-0000-0400-000008000000}"/>
    <hyperlink ref="A3" location="'M03-S01'!A1" display="P-Electric Lighting" xr:uid="{00000000-0004-0000-0400-000009000000}"/>
    <hyperlink ref="A214" location="'M03-S06'!A1" display="'M03-S06'!A1" xr:uid="{00000000-0004-0000-0400-000006000000}"/>
  </hyperlinks>
  <pageMargins left="0.7" right="0.7" top="0.75" bottom="0.75" header="0.3" footer="0.3"/>
  <pageSetup orientation="portrait" r:id="rId1"/>
  <ignoredErrors>
    <ignoredError sqref="A105 A156 A214 A308 A359 A385 A436 A3 A54" formula="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2">
    <tabColor theme="7" tint="0.39997558519241921"/>
  </sheetPr>
  <dimension ref="A3:AU371"/>
  <sheetViews>
    <sheetView topLeftCell="F56" zoomScale="85" zoomScaleNormal="85" workbookViewId="0">
      <selection activeCell="P67" sqref="P67:U67"/>
    </sheetView>
  </sheetViews>
  <sheetFormatPr defaultRowHeight="15"/>
  <cols>
    <col min="1" max="1" width="23.85546875" customWidth="1"/>
    <col min="2" max="2" width="28" bestFit="1" customWidth="1"/>
    <col min="6" max="6" width="9.5703125" customWidth="1"/>
    <col min="9" max="9" width="24.42578125" hidden="1" customWidth="1"/>
    <col min="10" max="10" width="41.42578125" customWidth="1"/>
    <col min="11" max="11" width="26.5703125" hidden="1" customWidth="1"/>
    <col min="12" max="12" width="21.85546875" customWidth="1"/>
    <col min="13" max="13" width="19.85546875" hidden="1" customWidth="1"/>
    <col min="14" max="14" width="17" customWidth="1"/>
    <col min="15" max="15" width="15.28515625" customWidth="1"/>
    <col min="16" max="19" width="16.28515625" customWidth="1"/>
    <col min="20" max="20" width="11.5703125" customWidth="1"/>
    <col min="22" max="22" width="33" customWidth="1"/>
    <col min="23" max="23" width="21.140625" customWidth="1"/>
    <col min="24" max="24" width="32.140625" customWidth="1"/>
    <col min="25" max="25" width="42" customWidth="1"/>
    <col min="26" max="26" width="42.28515625" customWidth="1"/>
    <col min="41" max="41" width="41.42578125" customWidth="1"/>
    <col min="42" max="42" width="65" bestFit="1" customWidth="1"/>
  </cols>
  <sheetData>
    <row r="3" spans="1:47">
      <c r="AO3" t="s">
        <v>313</v>
      </c>
      <c r="AP3" t="s">
        <v>1324</v>
      </c>
    </row>
    <row r="4" spans="1:47">
      <c r="A4" t="s">
        <v>313</v>
      </c>
      <c r="B4" t="s">
        <v>1221</v>
      </c>
      <c r="E4" t="s">
        <v>329</v>
      </c>
      <c r="F4" t="s">
        <v>430</v>
      </c>
      <c r="J4" t="s">
        <v>431</v>
      </c>
      <c r="K4" t="s">
        <v>438</v>
      </c>
      <c r="O4" t="s">
        <v>446</v>
      </c>
      <c r="P4" t="s">
        <v>135</v>
      </c>
      <c r="Q4" t="s">
        <v>442</v>
      </c>
      <c r="R4" t="s">
        <v>443</v>
      </c>
      <c r="S4" t="s">
        <v>2357</v>
      </c>
      <c r="T4" t="s">
        <v>236</v>
      </c>
      <c r="U4" t="s">
        <v>118</v>
      </c>
      <c r="V4" t="s">
        <v>81</v>
      </c>
      <c r="W4" t="s">
        <v>82</v>
      </c>
      <c r="X4" t="s">
        <v>130</v>
      </c>
      <c r="Y4" t="s">
        <v>445</v>
      </c>
      <c r="Z4" t="s">
        <v>897</v>
      </c>
      <c r="AO4" t="s">
        <v>1538</v>
      </c>
      <c r="AP4" t="s">
        <v>1651</v>
      </c>
    </row>
    <row r="5" spans="1:47">
      <c r="A5" t="s">
        <v>1538</v>
      </c>
      <c r="B5" s="52">
        <v>0.79</v>
      </c>
      <c r="E5" t="s">
        <v>330</v>
      </c>
      <c r="F5" t="s">
        <v>331</v>
      </c>
      <c r="J5" t="s">
        <v>434</v>
      </c>
      <c r="O5" t="s">
        <v>135</v>
      </c>
      <c r="P5">
        <f>M02S02F01</f>
        <v>0</v>
      </c>
      <c r="Q5">
        <f>M02S02F02</f>
        <v>0</v>
      </c>
      <c r="R5">
        <f>M02S02F03</f>
        <v>0</v>
      </c>
      <c r="S5">
        <f>M02S02F05</f>
        <v>0</v>
      </c>
      <c r="T5">
        <f>M02S02F07</f>
        <v>0</v>
      </c>
      <c r="U5">
        <f>M02S02F08</f>
        <v>0</v>
      </c>
      <c r="V5">
        <f>M02S02F09</f>
        <v>0</v>
      </c>
      <c r="W5">
        <f>M02S02F10</f>
        <v>0</v>
      </c>
      <c r="X5">
        <f>M02S02F11</f>
        <v>0</v>
      </c>
      <c r="Y5" t="s">
        <v>1092</v>
      </c>
      <c r="Z5" t="s">
        <v>444</v>
      </c>
      <c r="AO5" t="s">
        <v>1538</v>
      </c>
      <c r="AP5" t="s">
        <v>1656</v>
      </c>
    </row>
    <row r="6" spans="1:47">
      <c r="A6" t="s">
        <v>314</v>
      </c>
      <c r="B6" s="52">
        <v>0.76</v>
      </c>
      <c r="E6" t="s">
        <v>334</v>
      </c>
      <c r="F6" t="s">
        <v>335</v>
      </c>
      <c r="J6" t="s">
        <v>435</v>
      </c>
      <c r="O6" t="s">
        <v>444</v>
      </c>
      <c r="P6">
        <f>M02S02F01</f>
        <v>0</v>
      </c>
      <c r="Q6" t="str">
        <f>M02S02F16</f>
        <v/>
      </c>
      <c r="R6" t="str">
        <f>M02S02F17</f>
        <v/>
      </c>
      <c r="S6" t="str">
        <f>M02S02F19</f>
        <v/>
      </c>
      <c r="T6" t="str">
        <f>M02S02F21</f>
        <v/>
      </c>
      <c r="U6" t="str">
        <f>M02S02F22</f>
        <v/>
      </c>
      <c r="V6" t="str">
        <f>M02S02F23</f>
        <v/>
      </c>
      <c r="W6" t="str">
        <f>M02S02F24</f>
        <v>IN</v>
      </c>
      <c r="X6" t="str">
        <f>M02S02F25</f>
        <v/>
      </c>
      <c r="Y6" t="s">
        <v>1093</v>
      </c>
      <c r="Z6" t="s">
        <v>444</v>
      </c>
      <c r="AO6" t="s">
        <v>1538</v>
      </c>
      <c r="AP6" t="s">
        <v>1655</v>
      </c>
    </row>
    <row r="7" spans="1:47">
      <c r="A7" t="s">
        <v>315</v>
      </c>
      <c r="B7" s="52">
        <v>0.5</v>
      </c>
      <c r="E7" t="s">
        <v>338</v>
      </c>
      <c r="F7" t="s">
        <v>339</v>
      </c>
      <c r="J7" t="s">
        <v>161</v>
      </c>
      <c r="O7" t="s">
        <v>881</v>
      </c>
      <c r="P7">
        <f>M02S03F02</f>
        <v>0</v>
      </c>
      <c r="Q7">
        <f>M02S03F03</f>
        <v>0</v>
      </c>
      <c r="R7">
        <f>M02S03F04</f>
        <v>0</v>
      </c>
      <c r="S7">
        <f>M02S03F06</f>
        <v>0</v>
      </c>
      <c r="T7">
        <f>M02S03F08</f>
        <v>0</v>
      </c>
      <c r="U7">
        <f>M02S03F09</f>
        <v>0</v>
      </c>
      <c r="V7">
        <f>M02S03F10</f>
        <v>0</v>
      </c>
      <c r="W7">
        <f>M02S03F11</f>
        <v>0</v>
      </c>
      <c r="X7">
        <f>M02S03F12</f>
        <v>0</v>
      </c>
      <c r="Y7" t="s">
        <v>1094</v>
      </c>
      <c r="Z7" t="s">
        <v>891</v>
      </c>
      <c r="AO7" t="s">
        <v>1538</v>
      </c>
      <c r="AP7" t="s">
        <v>1652</v>
      </c>
    </row>
    <row r="8" spans="1:47">
      <c r="A8" t="s">
        <v>1539</v>
      </c>
      <c r="B8" s="52">
        <v>0.65</v>
      </c>
      <c r="E8" t="s">
        <v>342</v>
      </c>
      <c r="F8" t="s">
        <v>343</v>
      </c>
      <c r="J8" t="s">
        <v>436</v>
      </c>
      <c r="O8" t="s">
        <v>163</v>
      </c>
      <c r="P8" t="str">
        <f>""</f>
        <v/>
      </c>
      <c r="Q8" t="str">
        <f>""</f>
        <v/>
      </c>
      <c r="R8" t="str">
        <f>""</f>
        <v/>
      </c>
      <c r="S8" t="str">
        <f>""</f>
        <v/>
      </c>
      <c r="T8" t="str">
        <f>""</f>
        <v/>
      </c>
      <c r="U8" t="str">
        <f>""</f>
        <v/>
      </c>
      <c r="V8" t="str">
        <f>""</f>
        <v/>
      </c>
      <c r="W8" t="str">
        <f>""</f>
        <v/>
      </c>
      <c r="X8" t="str">
        <f>""</f>
        <v/>
      </c>
      <c r="Y8" t="s">
        <v>1093</v>
      </c>
      <c r="Z8" t="s">
        <v>163</v>
      </c>
      <c r="AO8" t="s">
        <v>1538</v>
      </c>
      <c r="AP8" t="s">
        <v>1653</v>
      </c>
    </row>
    <row r="9" spans="1:47">
      <c r="A9" t="s">
        <v>316</v>
      </c>
      <c r="B9" s="52">
        <v>0.65</v>
      </c>
      <c r="E9" t="s">
        <v>346</v>
      </c>
      <c r="F9" t="s">
        <v>347</v>
      </c>
      <c r="J9" t="s">
        <v>437</v>
      </c>
      <c r="AO9" t="s">
        <v>1538</v>
      </c>
      <c r="AP9" t="s">
        <v>1654</v>
      </c>
      <c r="AU9" t="s">
        <v>2237</v>
      </c>
    </row>
    <row r="10" spans="1:47">
      <c r="A10" t="s">
        <v>317</v>
      </c>
      <c r="B10" s="52">
        <v>0.83</v>
      </c>
      <c r="E10" t="s">
        <v>350</v>
      </c>
      <c r="F10" t="s">
        <v>351</v>
      </c>
      <c r="J10" t="s">
        <v>1277</v>
      </c>
      <c r="AO10" t="s">
        <v>1538</v>
      </c>
      <c r="AP10" t="s">
        <v>1689</v>
      </c>
    </row>
    <row r="11" spans="1:47">
      <c r="A11" t="s">
        <v>318</v>
      </c>
      <c r="B11" s="52">
        <v>0.64</v>
      </c>
      <c r="E11" t="s">
        <v>354</v>
      </c>
      <c r="F11" t="s">
        <v>355</v>
      </c>
      <c r="AO11" t="s">
        <v>1538</v>
      </c>
      <c r="AP11" t="s">
        <v>1688</v>
      </c>
    </row>
    <row r="12" spans="1:47">
      <c r="A12" t="s">
        <v>319</v>
      </c>
      <c r="B12" s="52">
        <v>0.64</v>
      </c>
      <c r="E12" t="s">
        <v>358</v>
      </c>
      <c r="F12" t="s">
        <v>359</v>
      </c>
      <c r="J12" t="s">
        <v>1223</v>
      </c>
      <c r="K12" t="s">
        <v>1221</v>
      </c>
      <c r="N12" t="s">
        <v>1699</v>
      </c>
      <c r="AO12" t="s">
        <v>1538</v>
      </c>
      <c r="AP12" t="s">
        <v>968</v>
      </c>
      <c r="AU12" t="s">
        <v>2240</v>
      </c>
    </row>
    <row r="13" spans="1:47">
      <c r="A13" t="s">
        <v>320</v>
      </c>
      <c r="B13" s="52">
        <v>0.92</v>
      </c>
      <c r="E13" t="s">
        <v>362</v>
      </c>
      <c r="F13" t="s">
        <v>363</v>
      </c>
      <c r="J13" s="9" t="s">
        <v>1226</v>
      </c>
      <c r="K13" s="52">
        <v>0.74</v>
      </c>
      <c r="N13" t="s">
        <v>2150</v>
      </c>
      <c r="AO13" t="s">
        <v>1538</v>
      </c>
      <c r="AP13" t="s">
        <v>1504</v>
      </c>
    </row>
    <row r="14" spans="1:47">
      <c r="A14" t="s">
        <v>321</v>
      </c>
      <c r="B14" s="52">
        <v>0.78</v>
      </c>
      <c r="E14" t="s">
        <v>366</v>
      </c>
      <c r="F14" t="s">
        <v>367</v>
      </c>
      <c r="J14" s="9" t="s">
        <v>1224</v>
      </c>
      <c r="K14" s="52">
        <v>0.84</v>
      </c>
      <c r="N14" t="s">
        <v>1700</v>
      </c>
      <c r="AO14" t="s">
        <v>1538</v>
      </c>
      <c r="AP14" t="s">
        <v>1505</v>
      </c>
    </row>
    <row r="15" spans="1:47">
      <c r="A15" t="s">
        <v>322</v>
      </c>
      <c r="B15" s="52">
        <v>0.76</v>
      </c>
      <c r="E15" t="s">
        <v>370</v>
      </c>
      <c r="F15" t="s">
        <v>371</v>
      </c>
      <c r="J15" s="9" t="s">
        <v>164</v>
      </c>
      <c r="K15" s="52">
        <v>0.38</v>
      </c>
      <c r="N15" t="s">
        <v>1625</v>
      </c>
      <c r="AO15" t="s">
        <v>1538</v>
      </c>
      <c r="AP15" t="s">
        <v>1206</v>
      </c>
    </row>
    <row r="16" spans="1:47">
      <c r="A16" t="s">
        <v>323</v>
      </c>
      <c r="B16" s="52">
        <v>0.65</v>
      </c>
      <c r="E16" t="s">
        <v>374</v>
      </c>
      <c r="F16" t="s">
        <v>375</v>
      </c>
      <c r="J16" s="9" t="s">
        <v>1183</v>
      </c>
      <c r="K16" s="52">
        <v>0.74</v>
      </c>
      <c r="AO16" t="s">
        <v>1538</v>
      </c>
      <c r="AP16" t="s">
        <v>990</v>
      </c>
    </row>
    <row r="17" spans="1:47">
      <c r="A17" t="s">
        <v>324</v>
      </c>
      <c r="B17" s="52">
        <v>0.37</v>
      </c>
      <c r="E17" t="s">
        <v>378</v>
      </c>
      <c r="F17" t="s">
        <v>379</v>
      </c>
      <c r="J17" t="s">
        <v>160</v>
      </c>
      <c r="K17" s="52">
        <v>0.91300000000000003</v>
      </c>
      <c r="AO17" t="s">
        <v>1538</v>
      </c>
      <c r="AP17" t="s">
        <v>993</v>
      </c>
      <c r="AU17" t="s">
        <v>2239</v>
      </c>
    </row>
    <row r="18" spans="1:47">
      <c r="A18" t="s">
        <v>325</v>
      </c>
      <c r="B18" s="52">
        <v>0.76</v>
      </c>
      <c r="E18" t="s">
        <v>382</v>
      </c>
      <c r="F18" t="s">
        <v>383</v>
      </c>
      <c r="J18" s="9" t="s">
        <v>1185</v>
      </c>
      <c r="K18" s="52">
        <v>0.65</v>
      </c>
      <c r="AO18" t="s">
        <v>1538</v>
      </c>
      <c r="AP18" t="s">
        <v>994</v>
      </c>
    </row>
    <row r="19" spans="1:47">
      <c r="A19" t="s">
        <v>326</v>
      </c>
      <c r="B19" s="52">
        <v>1</v>
      </c>
      <c r="E19" t="s">
        <v>386</v>
      </c>
      <c r="F19" t="s">
        <v>387</v>
      </c>
      <c r="J19" s="9" t="s">
        <v>1191</v>
      </c>
      <c r="K19" s="52">
        <v>0.15</v>
      </c>
      <c r="AO19" t="s">
        <v>1538</v>
      </c>
      <c r="AP19" t="s">
        <v>1691</v>
      </c>
    </row>
    <row r="20" spans="1:47">
      <c r="A20" t="s">
        <v>327</v>
      </c>
      <c r="B20" s="52">
        <v>0.84</v>
      </c>
      <c r="E20" t="s">
        <v>390</v>
      </c>
      <c r="F20" t="s">
        <v>391</v>
      </c>
      <c r="J20" s="9" t="s">
        <v>1163</v>
      </c>
      <c r="K20" s="52">
        <v>0.78</v>
      </c>
      <c r="AO20" t="s">
        <v>1538</v>
      </c>
      <c r="AP20" t="s">
        <v>1595</v>
      </c>
    </row>
    <row r="21" spans="1:47">
      <c r="A21" t="s">
        <v>328</v>
      </c>
      <c r="B21" s="52">
        <v>0.79</v>
      </c>
      <c r="E21" t="s">
        <v>394</v>
      </c>
      <c r="F21" t="s">
        <v>395</v>
      </c>
      <c r="J21" s="9" t="s">
        <v>230</v>
      </c>
      <c r="K21" s="52">
        <v>0.75</v>
      </c>
      <c r="AO21" t="s">
        <v>1538</v>
      </c>
      <c r="AP21" t="s">
        <v>328</v>
      </c>
    </row>
    <row r="22" spans="1:47">
      <c r="B22" s="52"/>
      <c r="E22" t="s">
        <v>398</v>
      </c>
      <c r="F22" t="s">
        <v>399</v>
      </c>
      <c r="J22" s="9" t="s">
        <v>1225</v>
      </c>
      <c r="K22" s="52">
        <v>0.78</v>
      </c>
      <c r="AO22" t="s">
        <v>314</v>
      </c>
      <c r="AP22" t="s">
        <v>1658</v>
      </c>
      <c r="AU22" t="s">
        <v>2238</v>
      </c>
    </row>
    <row r="23" spans="1:47">
      <c r="E23" t="s">
        <v>402</v>
      </c>
      <c r="F23" t="s">
        <v>403</v>
      </c>
      <c r="J23" s="9" t="s">
        <v>162</v>
      </c>
      <c r="K23">
        <v>0.92</v>
      </c>
      <c r="AO23" t="s">
        <v>314</v>
      </c>
      <c r="AP23" t="s">
        <v>1689</v>
      </c>
    </row>
    <row r="24" spans="1:47">
      <c r="A24" t="s">
        <v>232</v>
      </c>
      <c r="E24" t="s">
        <v>406</v>
      </c>
      <c r="F24" t="s">
        <v>407</v>
      </c>
      <c r="K24" s="222"/>
      <c r="AO24" t="s">
        <v>314</v>
      </c>
      <c r="AP24" t="s">
        <v>1688</v>
      </c>
    </row>
    <row r="25" spans="1:47">
      <c r="A25" t="s">
        <v>432</v>
      </c>
      <c r="E25" t="s">
        <v>410</v>
      </c>
      <c r="F25" t="s">
        <v>411</v>
      </c>
      <c r="K25" s="222"/>
      <c r="AO25" t="s">
        <v>314</v>
      </c>
      <c r="AP25" t="s">
        <v>968</v>
      </c>
    </row>
    <row r="26" spans="1:47" ht="16.5" customHeight="1">
      <c r="A26" t="s">
        <v>154</v>
      </c>
      <c r="E26" t="s">
        <v>414</v>
      </c>
      <c r="F26" t="s">
        <v>415</v>
      </c>
      <c r="AO26" t="s">
        <v>314</v>
      </c>
      <c r="AP26" t="s">
        <v>1504</v>
      </c>
    </row>
    <row r="27" spans="1:47">
      <c r="A27" t="s">
        <v>433</v>
      </c>
      <c r="E27" t="s">
        <v>418</v>
      </c>
      <c r="F27" t="s">
        <v>419</v>
      </c>
      <c r="AO27" t="s">
        <v>314</v>
      </c>
      <c r="AP27" t="s">
        <v>1505</v>
      </c>
    </row>
    <row r="28" spans="1:47">
      <c r="A28" t="s">
        <v>501</v>
      </c>
      <c r="E28" t="s">
        <v>422</v>
      </c>
      <c r="F28" t="s">
        <v>423</v>
      </c>
      <c r="J28" t="s">
        <v>820</v>
      </c>
      <c r="K28" t="s">
        <v>821</v>
      </c>
      <c r="AO28" t="s">
        <v>314</v>
      </c>
      <c r="AP28" t="s">
        <v>1206</v>
      </c>
    </row>
    <row r="29" spans="1:47">
      <c r="A29" t="s">
        <v>502</v>
      </c>
      <c r="E29" t="s">
        <v>426</v>
      </c>
      <c r="F29" t="s">
        <v>427</v>
      </c>
      <c r="J29" t="s">
        <v>836</v>
      </c>
      <c r="K29" t="s">
        <v>839</v>
      </c>
      <c r="M29" t="s">
        <v>929</v>
      </c>
      <c r="AO29" t="s">
        <v>314</v>
      </c>
      <c r="AP29" t="s">
        <v>990</v>
      </c>
    </row>
    <row r="30" spans="1:47">
      <c r="A30" t="s">
        <v>163</v>
      </c>
      <c r="E30" t="s">
        <v>332</v>
      </c>
      <c r="F30" t="s">
        <v>333</v>
      </c>
      <c r="J30" t="s">
        <v>823</v>
      </c>
      <c r="K30" t="s">
        <v>839</v>
      </c>
      <c r="AO30" t="s">
        <v>314</v>
      </c>
      <c r="AP30" t="s">
        <v>993</v>
      </c>
    </row>
    <row r="31" spans="1:47">
      <c r="A31" t="s">
        <v>793</v>
      </c>
      <c r="E31" t="s">
        <v>336</v>
      </c>
      <c r="F31" t="s">
        <v>337</v>
      </c>
      <c r="J31" t="s">
        <v>824</v>
      </c>
      <c r="K31" t="s">
        <v>838</v>
      </c>
      <c r="AO31" t="s">
        <v>314</v>
      </c>
      <c r="AP31" t="s">
        <v>994</v>
      </c>
    </row>
    <row r="32" spans="1:47">
      <c r="E32" t="s">
        <v>340</v>
      </c>
      <c r="F32" t="s">
        <v>341</v>
      </c>
      <c r="J32" t="s">
        <v>825</v>
      </c>
      <c r="K32" t="s">
        <v>837</v>
      </c>
      <c r="AO32" t="s">
        <v>314</v>
      </c>
      <c r="AP32" t="s">
        <v>1691</v>
      </c>
    </row>
    <row r="33" spans="1:42">
      <c r="A33" t="s">
        <v>0</v>
      </c>
      <c r="E33" t="s">
        <v>344</v>
      </c>
      <c r="F33" t="s">
        <v>345</v>
      </c>
      <c r="J33" t="s">
        <v>826</v>
      </c>
      <c r="K33" t="s">
        <v>839</v>
      </c>
      <c r="AO33" t="s">
        <v>314</v>
      </c>
      <c r="AP33" t="s">
        <v>1595</v>
      </c>
    </row>
    <row r="34" spans="1:42">
      <c r="A34" t="s">
        <v>944</v>
      </c>
      <c r="E34" t="s">
        <v>348</v>
      </c>
      <c r="F34" t="s">
        <v>349</v>
      </c>
      <c r="J34" t="s">
        <v>872</v>
      </c>
      <c r="K34" t="s">
        <v>839</v>
      </c>
      <c r="AO34" t="s">
        <v>315</v>
      </c>
      <c r="AP34" t="s">
        <v>1659</v>
      </c>
    </row>
    <row r="35" spans="1:42">
      <c r="A35" t="s">
        <v>195</v>
      </c>
      <c r="E35" t="s">
        <v>352</v>
      </c>
      <c r="F35" t="s">
        <v>353</v>
      </c>
      <c r="J35" t="s">
        <v>930</v>
      </c>
      <c r="K35" t="s">
        <v>839</v>
      </c>
      <c r="AO35" t="s">
        <v>315</v>
      </c>
      <c r="AP35" t="s">
        <v>1342</v>
      </c>
    </row>
    <row r="36" spans="1:42">
      <c r="A36" t="s">
        <v>1041</v>
      </c>
      <c r="E36" t="s">
        <v>356</v>
      </c>
      <c r="F36" t="s">
        <v>357</v>
      </c>
      <c r="J36" s="9" t="s">
        <v>2040</v>
      </c>
      <c r="K36" t="s">
        <v>839</v>
      </c>
      <c r="AO36" t="s">
        <v>315</v>
      </c>
      <c r="AP36" t="s">
        <v>1662</v>
      </c>
    </row>
    <row r="37" spans="1:42">
      <c r="E37" t="s">
        <v>360</v>
      </c>
      <c r="F37" t="s">
        <v>361</v>
      </c>
      <c r="J37" s="160" t="s">
        <v>931</v>
      </c>
      <c r="K37" s="160" t="s">
        <v>839</v>
      </c>
      <c r="AO37" t="s">
        <v>315</v>
      </c>
      <c r="AP37" t="s">
        <v>1689</v>
      </c>
    </row>
    <row r="38" spans="1:42">
      <c r="A38" t="s">
        <v>441</v>
      </c>
      <c r="E38" t="s">
        <v>364</v>
      </c>
      <c r="F38" t="s">
        <v>365</v>
      </c>
      <c r="AO38" t="s">
        <v>315</v>
      </c>
      <c r="AP38" t="s">
        <v>1688</v>
      </c>
    </row>
    <row r="39" spans="1:42">
      <c r="A39" t="s">
        <v>439</v>
      </c>
      <c r="E39" t="s">
        <v>368</v>
      </c>
      <c r="F39" t="s">
        <v>369</v>
      </c>
      <c r="J39" t="s">
        <v>827</v>
      </c>
      <c r="K39" t="s">
        <v>828</v>
      </c>
      <c r="AO39" t="s">
        <v>315</v>
      </c>
      <c r="AP39" t="s">
        <v>968</v>
      </c>
    </row>
    <row r="40" spans="1:42">
      <c r="A40" t="s">
        <v>440</v>
      </c>
      <c r="E40" t="s">
        <v>372</v>
      </c>
      <c r="F40" t="s">
        <v>373</v>
      </c>
      <c r="J40" s="160" t="s">
        <v>829</v>
      </c>
      <c r="K40" s="160">
        <v>0.10392999999999999</v>
      </c>
      <c r="AO40" t="s">
        <v>315</v>
      </c>
      <c r="AP40" t="s">
        <v>1504</v>
      </c>
    </row>
    <row r="41" spans="1:42">
      <c r="E41" t="s">
        <v>376</v>
      </c>
      <c r="F41" t="s">
        <v>377</v>
      </c>
      <c r="J41" s="160" t="s">
        <v>830</v>
      </c>
      <c r="K41" s="160">
        <v>9.2289999999999997E-2</v>
      </c>
      <c r="AO41" t="s">
        <v>315</v>
      </c>
      <c r="AP41" t="s">
        <v>1505</v>
      </c>
    </row>
    <row r="42" spans="1:42">
      <c r="E42" t="s">
        <v>380</v>
      </c>
      <c r="F42" t="s">
        <v>381</v>
      </c>
      <c r="J42" s="160" t="s">
        <v>831</v>
      </c>
      <c r="K42" s="160">
        <v>8.0189999999999997E-2</v>
      </c>
      <c r="AO42" t="s">
        <v>315</v>
      </c>
      <c r="AP42" t="s">
        <v>1206</v>
      </c>
    </row>
    <row r="43" spans="1:42">
      <c r="A43" t="s">
        <v>900</v>
      </c>
      <c r="E43" t="s">
        <v>384</v>
      </c>
      <c r="F43" t="s">
        <v>385</v>
      </c>
      <c r="J43" s="160" t="s">
        <v>832</v>
      </c>
      <c r="K43" s="160">
        <v>6.1600000000000002E-2</v>
      </c>
      <c r="AO43" t="s">
        <v>315</v>
      </c>
      <c r="AP43" t="s">
        <v>990</v>
      </c>
    </row>
    <row r="44" spans="1:42">
      <c r="A44" t="s">
        <v>1638</v>
      </c>
      <c r="E44" t="s">
        <v>388</v>
      </c>
      <c r="F44" t="s">
        <v>389</v>
      </c>
      <c r="J44" s="160" t="s">
        <v>833</v>
      </c>
      <c r="K44" s="160" t="str">
        <f>""</f>
        <v/>
      </c>
      <c r="AO44" t="s">
        <v>315</v>
      </c>
      <c r="AP44" t="s">
        <v>993</v>
      </c>
    </row>
    <row r="45" spans="1:42">
      <c r="A45" t="s">
        <v>2422</v>
      </c>
      <c r="E45" t="s">
        <v>392</v>
      </c>
      <c r="F45" t="s">
        <v>393</v>
      </c>
      <c r="AO45" t="s">
        <v>315</v>
      </c>
      <c r="AP45" t="s">
        <v>994</v>
      </c>
    </row>
    <row r="46" spans="1:42">
      <c r="A46" t="s">
        <v>1318</v>
      </c>
      <c r="E46" t="s">
        <v>396</v>
      </c>
      <c r="F46" t="s">
        <v>397</v>
      </c>
      <c r="AO46" t="s">
        <v>315</v>
      </c>
      <c r="AP46" t="s">
        <v>1668</v>
      </c>
    </row>
    <row r="47" spans="1:42">
      <c r="A47" t="s">
        <v>1928</v>
      </c>
      <c r="E47" t="s">
        <v>400</v>
      </c>
      <c r="F47" t="s">
        <v>401</v>
      </c>
      <c r="J47" t="s">
        <v>447</v>
      </c>
      <c r="K47" t="s">
        <v>848</v>
      </c>
      <c r="AO47" t="s">
        <v>315</v>
      </c>
      <c r="AP47" t="s">
        <v>1595</v>
      </c>
    </row>
    <row r="48" spans="1:42">
      <c r="E48" t="s">
        <v>404</v>
      </c>
      <c r="F48" t="s">
        <v>405</v>
      </c>
      <c r="J48" t="s">
        <v>465</v>
      </c>
      <c r="K48" t="s">
        <v>465</v>
      </c>
      <c r="AO48" t="s">
        <v>1539</v>
      </c>
      <c r="AP48" t="s">
        <v>1689</v>
      </c>
    </row>
    <row r="49" spans="1:42">
      <c r="E49" t="s">
        <v>408</v>
      </c>
      <c r="F49" t="s">
        <v>409</v>
      </c>
      <c r="J49" t="s">
        <v>466</v>
      </c>
      <c r="K49" t="s">
        <v>466</v>
      </c>
      <c r="AO49" t="s">
        <v>1539</v>
      </c>
      <c r="AP49" t="s">
        <v>1688</v>
      </c>
    </row>
    <row r="50" spans="1:42" ht="15" customHeight="1">
      <c r="A50" t="s">
        <v>488</v>
      </c>
      <c r="E50" t="s">
        <v>412</v>
      </c>
      <c r="F50" t="s">
        <v>413</v>
      </c>
      <c r="J50" t="s">
        <v>468</v>
      </c>
      <c r="K50" t="s">
        <v>468</v>
      </c>
      <c r="AO50" t="s">
        <v>1539</v>
      </c>
      <c r="AP50" t="s">
        <v>968</v>
      </c>
    </row>
    <row r="51" spans="1:42">
      <c r="A51" t="s">
        <v>1512</v>
      </c>
      <c r="E51" t="s">
        <v>416</v>
      </c>
      <c r="F51" t="s">
        <v>417</v>
      </c>
      <c r="J51" t="s">
        <v>467</v>
      </c>
      <c r="K51" t="s">
        <v>467</v>
      </c>
      <c r="AO51" t="s">
        <v>1539</v>
      </c>
      <c r="AP51" t="s">
        <v>1504</v>
      </c>
    </row>
    <row r="52" spans="1:42">
      <c r="A52" t="s">
        <v>1050</v>
      </c>
      <c r="E52" t="s">
        <v>420</v>
      </c>
      <c r="F52" t="s">
        <v>421</v>
      </c>
      <c r="J52" t="s">
        <v>1537</v>
      </c>
      <c r="K52" t="s">
        <v>1537</v>
      </c>
      <c r="AO52" t="s">
        <v>1539</v>
      </c>
      <c r="AP52" t="s">
        <v>1505</v>
      </c>
    </row>
    <row r="53" spans="1:42" ht="15" customHeight="1">
      <c r="A53" t="s">
        <v>1543</v>
      </c>
      <c r="E53" t="s">
        <v>424</v>
      </c>
      <c r="F53" t="s">
        <v>425</v>
      </c>
      <c r="J53" t="s">
        <v>469</v>
      </c>
      <c r="K53" t="s">
        <v>469</v>
      </c>
      <c r="AO53" t="s">
        <v>1539</v>
      </c>
      <c r="AP53" t="s">
        <v>1206</v>
      </c>
    </row>
    <row r="54" spans="1:42">
      <c r="A54" t="s">
        <v>1929</v>
      </c>
      <c r="E54" t="s">
        <v>428</v>
      </c>
      <c r="F54" t="s">
        <v>429</v>
      </c>
      <c r="AO54" t="s">
        <v>1539</v>
      </c>
      <c r="AP54" t="s">
        <v>990</v>
      </c>
    </row>
    <row r="55" spans="1:42">
      <c r="AO55" t="s">
        <v>1539</v>
      </c>
      <c r="AP55" t="s">
        <v>993</v>
      </c>
    </row>
    <row r="56" spans="1:42">
      <c r="AO56" t="s">
        <v>1539</v>
      </c>
      <c r="AP56" t="s">
        <v>994</v>
      </c>
    </row>
    <row r="57" spans="1:42">
      <c r="AO57" t="s">
        <v>1539</v>
      </c>
      <c r="AP57" t="s">
        <v>1664</v>
      </c>
    </row>
    <row r="58" spans="1:42">
      <c r="A58" s="9" t="s">
        <v>811</v>
      </c>
      <c r="AO58" t="s">
        <v>1539</v>
      </c>
      <c r="AP58" t="s">
        <v>1665</v>
      </c>
    </row>
    <row r="59" spans="1:42">
      <c r="A59" t="s">
        <v>2095</v>
      </c>
      <c r="J59" t="s">
        <v>2569</v>
      </c>
      <c r="AK59" t="s">
        <v>2400</v>
      </c>
      <c r="AO59" t="s">
        <v>1539</v>
      </c>
      <c r="AP59" t="s">
        <v>1677</v>
      </c>
    </row>
    <row r="60" spans="1:42" ht="30.75" customHeight="1">
      <c r="A60" t="s">
        <v>2096</v>
      </c>
      <c r="J60" s="9" t="s">
        <v>966</v>
      </c>
      <c r="K60" s="9" t="s">
        <v>2242</v>
      </c>
      <c r="L60" s="9" t="s">
        <v>1221</v>
      </c>
      <c r="M60" s="9" t="s">
        <v>1340</v>
      </c>
      <c r="N60" s="9" t="s">
        <v>1644</v>
      </c>
      <c r="O60" s="9" t="s">
        <v>1645</v>
      </c>
      <c r="P60" s="9" t="s">
        <v>1646</v>
      </c>
      <c r="Q60" s="9" t="s">
        <v>1647</v>
      </c>
      <c r="R60" s="9" t="s">
        <v>1648</v>
      </c>
      <c r="S60" s="9" t="s">
        <v>1649</v>
      </c>
      <c r="T60" s="9" t="s">
        <v>1694</v>
      </c>
      <c r="U60" s="9" t="s">
        <v>1650</v>
      </c>
      <c r="W60" t="s">
        <v>1643</v>
      </c>
      <c r="X60" t="s">
        <v>996</v>
      </c>
      <c r="Y60" t="s">
        <v>1644</v>
      </c>
      <c r="Z60" t="s">
        <v>1645</v>
      </c>
      <c r="AA60" t="s">
        <v>1646</v>
      </c>
      <c r="AB60" t="s">
        <v>1647</v>
      </c>
      <c r="AC60" t="s">
        <v>1648</v>
      </c>
      <c r="AD60" t="s">
        <v>1649</v>
      </c>
      <c r="AE60" t="s">
        <v>1694</v>
      </c>
      <c r="AF60" t="s">
        <v>1650</v>
      </c>
      <c r="AG60" t="s">
        <v>1900</v>
      </c>
      <c r="AH60" t="s">
        <v>1901</v>
      </c>
      <c r="AI60" t="s">
        <v>1954</v>
      </c>
      <c r="AJ60" t="s">
        <v>1955</v>
      </c>
      <c r="AK60" t="s">
        <v>2399</v>
      </c>
      <c r="AO60" t="s">
        <v>1539</v>
      </c>
      <c r="AP60" t="s">
        <v>1676</v>
      </c>
    </row>
    <row r="61" spans="1:42">
      <c r="A61" t="s">
        <v>2097</v>
      </c>
      <c r="J61" t="s">
        <v>967</v>
      </c>
      <c r="K61">
        <v>0.71</v>
      </c>
      <c r="L61">
        <v>0.97</v>
      </c>
      <c r="M61" t="s">
        <v>1331</v>
      </c>
      <c r="N61">
        <v>4099</v>
      </c>
      <c r="O61">
        <v>2935</v>
      </c>
      <c r="P61">
        <v>1.1599999999999999</v>
      </c>
      <c r="Q61">
        <v>1.24</v>
      </c>
      <c r="R61">
        <v>0.97</v>
      </c>
      <c r="S61">
        <v>1.2999999999999999E-2</v>
      </c>
      <c r="T61">
        <v>0.315</v>
      </c>
      <c r="U61">
        <v>0.13700000000000001</v>
      </c>
      <c r="W61" t="s">
        <v>1651</v>
      </c>
      <c r="Y61">
        <v>4914</v>
      </c>
      <c r="Z61">
        <v>4914</v>
      </c>
      <c r="AA61">
        <v>1</v>
      </c>
      <c r="AB61">
        <v>1</v>
      </c>
      <c r="AC61">
        <v>0.95</v>
      </c>
      <c r="AD61">
        <v>0</v>
      </c>
      <c r="AE61">
        <v>0</v>
      </c>
      <c r="AF61">
        <v>0</v>
      </c>
      <c r="AG61">
        <v>0</v>
      </c>
      <c r="AH61">
        <v>0</v>
      </c>
      <c r="AI61">
        <v>0</v>
      </c>
      <c r="AJ61">
        <v>0</v>
      </c>
      <c r="AK61">
        <v>0</v>
      </c>
      <c r="AO61" t="s">
        <v>1539</v>
      </c>
      <c r="AP61" t="s">
        <v>1690</v>
      </c>
    </row>
    <row r="62" spans="1:42">
      <c r="A62" t="s">
        <v>812</v>
      </c>
      <c r="J62" t="s">
        <v>969</v>
      </c>
      <c r="K62">
        <v>0.76</v>
      </c>
      <c r="L62">
        <v>0.67</v>
      </c>
      <c r="M62" t="s">
        <v>1330</v>
      </c>
      <c r="N62">
        <v>3379</v>
      </c>
      <c r="O62">
        <v>3612</v>
      </c>
      <c r="P62">
        <v>1.08</v>
      </c>
      <c r="Q62">
        <v>1.3</v>
      </c>
      <c r="R62">
        <v>0.67</v>
      </c>
      <c r="S62">
        <v>1.4999999999999999E-2</v>
      </c>
      <c r="T62">
        <v>0.35399999999999998</v>
      </c>
      <c r="U62">
        <v>0.154</v>
      </c>
      <c r="W62" t="s">
        <v>1656</v>
      </c>
      <c r="Y62">
        <v>6205</v>
      </c>
      <c r="Z62">
        <v>6205</v>
      </c>
      <c r="AA62">
        <v>1</v>
      </c>
      <c r="AB62">
        <v>1</v>
      </c>
      <c r="AC62">
        <v>0.95</v>
      </c>
      <c r="AD62">
        <v>0</v>
      </c>
      <c r="AE62">
        <v>0</v>
      </c>
      <c r="AF62">
        <v>0</v>
      </c>
      <c r="AG62">
        <v>0</v>
      </c>
      <c r="AH62">
        <v>0</v>
      </c>
      <c r="AI62">
        <v>0</v>
      </c>
      <c r="AJ62">
        <v>0</v>
      </c>
      <c r="AK62">
        <v>0</v>
      </c>
      <c r="AO62" t="s">
        <v>1539</v>
      </c>
      <c r="AP62" t="s">
        <v>1678</v>
      </c>
    </row>
    <row r="63" spans="1:42">
      <c r="A63" t="s">
        <v>2098</v>
      </c>
      <c r="J63" t="s">
        <v>970</v>
      </c>
      <c r="K63">
        <v>0.9</v>
      </c>
      <c r="L63">
        <v>0.67</v>
      </c>
      <c r="M63" t="s">
        <v>1330</v>
      </c>
      <c r="N63">
        <v>3379</v>
      </c>
      <c r="O63">
        <v>3612</v>
      </c>
      <c r="P63">
        <v>1.08</v>
      </c>
      <c r="Q63">
        <v>1.3</v>
      </c>
      <c r="R63">
        <v>0.67</v>
      </c>
      <c r="S63">
        <v>1.4999999999999999E-2</v>
      </c>
      <c r="T63">
        <v>0.35399999999999998</v>
      </c>
      <c r="U63">
        <v>0.154</v>
      </c>
      <c r="W63" t="s">
        <v>1655</v>
      </c>
      <c r="Y63">
        <v>5446</v>
      </c>
      <c r="Z63">
        <v>5446</v>
      </c>
      <c r="AA63">
        <v>1</v>
      </c>
      <c r="AB63">
        <v>1</v>
      </c>
      <c r="AC63">
        <v>0.95</v>
      </c>
      <c r="AD63">
        <v>0</v>
      </c>
      <c r="AE63">
        <v>0</v>
      </c>
      <c r="AF63">
        <v>0</v>
      </c>
      <c r="AG63">
        <v>0</v>
      </c>
      <c r="AH63">
        <v>0</v>
      </c>
      <c r="AI63">
        <v>0</v>
      </c>
      <c r="AJ63">
        <v>0</v>
      </c>
      <c r="AK63">
        <v>0</v>
      </c>
      <c r="AO63" t="s">
        <v>1539</v>
      </c>
      <c r="AP63" t="s">
        <v>1685</v>
      </c>
    </row>
    <row r="64" spans="1:42">
      <c r="A64" t="s">
        <v>2099</v>
      </c>
      <c r="J64" t="s">
        <v>971</v>
      </c>
      <c r="K64">
        <v>0.9</v>
      </c>
      <c r="L64">
        <v>1</v>
      </c>
      <c r="M64" t="s">
        <v>1332</v>
      </c>
      <c r="N64">
        <v>5571</v>
      </c>
      <c r="O64">
        <v>4787</v>
      </c>
      <c r="P64">
        <v>1.08</v>
      </c>
      <c r="Q64">
        <v>1.1000000000000001</v>
      </c>
      <c r="R64">
        <v>1</v>
      </c>
      <c r="S64">
        <v>8.9999999999999993E-3</v>
      </c>
      <c r="T64">
        <v>0.20799999999999999</v>
      </c>
      <c r="U64">
        <v>0.09</v>
      </c>
      <c r="W64" t="s">
        <v>1652</v>
      </c>
      <c r="Y64">
        <v>2231</v>
      </c>
      <c r="Z64">
        <v>2231</v>
      </c>
      <c r="AA64">
        <v>1</v>
      </c>
      <c r="AB64">
        <v>1</v>
      </c>
      <c r="AC64">
        <v>0.76</v>
      </c>
      <c r="AD64">
        <v>0</v>
      </c>
      <c r="AE64">
        <v>0</v>
      </c>
      <c r="AF64">
        <v>0</v>
      </c>
      <c r="AG64">
        <v>0</v>
      </c>
      <c r="AH64">
        <v>0</v>
      </c>
      <c r="AI64">
        <v>0</v>
      </c>
      <c r="AJ64">
        <v>0</v>
      </c>
      <c r="AK64">
        <v>0</v>
      </c>
      <c r="AO64" t="s">
        <v>1539</v>
      </c>
      <c r="AP64" t="s">
        <v>1686</v>
      </c>
    </row>
    <row r="65" spans="1:42">
      <c r="A65" t="s">
        <v>793</v>
      </c>
      <c r="G65" t="s">
        <v>1538</v>
      </c>
      <c r="J65" t="s">
        <v>972</v>
      </c>
      <c r="K65">
        <v>0.79</v>
      </c>
      <c r="L65">
        <v>1</v>
      </c>
      <c r="M65" t="s">
        <v>1332</v>
      </c>
      <c r="N65">
        <v>5571</v>
      </c>
      <c r="O65">
        <v>4787</v>
      </c>
      <c r="P65">
        <v>1.08</v>
      </c>
      <c r="Q65">
        <v>1.1000000000000001</v>
      </c>
      <c r="R65">
        <v>1</v>
      </c>
      <c r="S65">
        <v>8.9999999999999993E-3</v>
      </c>
      <c r="T65">
        <v>0.20799999999999999</v>
      </c>
      <c r="U65">
        <v>0.09</v>
      </c>
      <c r="W65" t="s">
        <v>1653</v>
      </c>
      <c r="Y65">
        <v>5351</v>
      </c>
      <c r="Z65">
        <v>5351</v>
      </c>
      <c r="AA65">
        <v>1</v>
      </c>
      <c r="AB65">
        <v>1</v>
      </c>
      <c r="AC65">
        <v>0.95</v>
      </c>
      <c r="AD65">
        <v>0</v>
      </c>
      <c r="AE65">
        <v>0</v>
      </c>
      <c r="AF65">
        <v>0</v>
      </c>
      <c r="AG65">
        <v>0</v>
      </c>
      <c r="AH65">
        <v>0</v>
      </c>
      <c r="AI65">
        <v>0</v>
      </c>
      <c r="AJ65">
        <v>0</v>
      </c>
      <c r="AK65">
        <v>0</v>
      </c>
      <c r="AO65" t="s">
        <v>1539</v>
      </c>
      <c r="AP65" t="s">
        <v>1687</v>
      </c>
    </row>
    <row r="66" spans="1:42">
      <c r="G66" t="s">
        <v>314</v>
      </c>
      <c r="J66" t="s">
        <v>973</v>
      </c>
      <c r="K66">
        <v>0.78</v>
      </c>
      <c r="L66">
        <v>1</v>
      </c>
      <c r="M66" t="s">
        <v>1332</v>
      </c>
      <c r="N66">
        <v>5571</v>
      </c>
      <c r="O66">
        <v>4787</v>
      </c>
      <c r="P66">
        <v>1.08</v>
      </c>
      <c r="Q66">
        <v>1.1000000000000001</v>
      </c>
      <c r="R66">
        <v>1</v>
      </c>
      <c r="S66">
        <v>8.9999999999999993E-3</v>
      </c>
      <c r="T66">
        <v>0.20799999999999999</v>
      </c>
      <c r="U66">
        <v>0.09</v>
      </c>
      <c r="W66" t="s">
        <v>1654</v>
      </c>
      <c r="Y66">
        <v>4396</v>
      </c>
      <c r="Z66">
        <v>4396</v>
      </c>
      <c r="AA66">
        <v>1</v>
      </c>
      <c r="AB66">
        <v>1</v>
      </c>
      <c r="AC66">
        <v>0.95</v>
      </c>
      <c r="AD66">
        <v>0</v>
      </c>
      <c r="AE66">
        <v>0</v>
      </c>
      <c r="AF66">
        <v>0</v>
      </c>
      <c r="AG66">
        <v>0</v>
      </c>
      <c r="AH66">
        <v>0</v>
      </c>
      <c r="AI66">
        <v>0</v>
      </c>
      <c r="AJ66">
        <v>0</v>
      </c>
      <c r="AK66">
        <v>0</v>
      </c>
      <c r="AO66" t="s">
        <v>1539</v>
      </c>
      <c r="AP66" t="s">
        <v>1595</v>
      </c>
    </row>
    <row r="67" spans="1:42">
      <c r="G67" t="s">
        <v>315</v>
      </c>
      <c r="J67" t="s">
        <v>974</v>
      </c>
      <c r="K67">
        <v>0.61</v>
      </c>
      <c r="L67">
        <v>0.46</v>
      </c>
      <c r="M67" t="s">
        <v>1342</v>
      </c>
      <c r="N67">
        <v>2390</v>
      </c>
      <c r="O67">
        <v>777</v>
      </c>
      <c r="P67">
        <v>1.17</v>
      </c>
      <c r="Q67">
        <v>1.21</v>
      </c>
      <c r="R67">
        <v>0.46</v>
      </c>
      <c r="S67">
        <v>0.02</v>
      </c>
      <c r="T67">
        <v>0.46800000000000003</v>
      </c>
      <c r="U67">
        <v>0.20399999999999999</v>
      </c>
      <c r="W67" t="s">
        <v>1657</v>
      </c>
      <c r="X67">
        <v>1.1000000000000001</v>
      </c>
      <c r="Y67">
        <v>7862</v>
      </c>
      <c r="Z67">
        <v>5950</v>
      </c>
      <c r="AA67">
        <v>1.1399999999999999</v>
      </c>
      <c r="AB67">
        <v>1.3</v>
      </c>
      <c r="AC67">
        <v>0.66</v>
      </c>
      <c r="AD67">
        <v>3.5000000000000003E-2</v>
      </c>
      <c r="AE67">
        <v>0.82299999999999995</v>
      </c>
      <c r="AF67">
        <v>0.35799999999999998</v>
      </c>
      <c r="AG67">
        <v>4711</v>
      </c>
      <c r="AH67">
        <v>4373</v>
      </c>
      <c r="AI67">
        <v>1646</v>
      </c>
      <c r="AJ67">
        <v>1457</v>
      </c>
      <c r="AK67">
        <v>8760</v>
      </c>
      <c r="AO67" t="s">
        <v>316</v>
      </c>
      <c r="AP67" t="s">
        <v>1689</v>
      </c>
    </row>
    <row r="68" spans="1:42">
      <c r="A68" t="s">
        <v>813</v>
      </c>
      <c r="G68" t="s">
        <v>1539</v>
      </c>
      <c r="J68" t="s">
        <v>975</v>
      </c>
      <c r="K68">
        <v>0.65</v>
      </c>
      <c r="L68">
        <v>0.67</v>
      </c>
      <c r="M68" t="s">
        <v>1337</v>
      </c>
      <c r="N68">
        <v>3379</v>
      </c>
      <c r="O68">
        <v>3612</v>
      </c>
      <c r="P68">
        <v>1.08</v>
      </c>
      <c r="Q68">
        <v>1.3</v>
      </c>
      <c r="R68">
        <v>0.67</v>
      </c>
      <c r="S68">
        <v>1.4999999999999999E-2</v>
      </c>
      <c r="T68">
        <v>0.35399999999999998</v>
      </c>
      <c r="U68">
        <v>0.154</v>
      </c>
      <c r="W68" t="s">
        <v>1658</v>
      </c>
      <c r="X68" s="114">
        <v>0.9</v>
      </c>
      <c r="Y68">
        <v>4099</v>
      </c>
      <c r="Z68">
        <v>2935</v>
      </c>
      <c r="AA68">
        <v>1.1599999999999999</v>
      </c>
      <c r="AB68">
        <v>1.24</v>
      </c>
      <c r="AC68">
        <v>0.97</v>
      </c>
      <c r="AD68">
        <v>1.2999999999999999E-2</v>
      </c>
      <c r="AE68">
        <v>0.315</v>
      </c>
      <c r="AF68">
        <v>0.13700000000000001</v>
      </c>
      <c r="AG68">
        <v>5270</v>
      </c>
      <c r="AH68">
        <v>1605</v>
      </c>
      <c r="AI68">
        <v>2981</v>
      </c>
      <c r="AJ68">
        <v>1051</v>
      </c>
      <c r="AK68">
        <v>7451</v>
      </c>
      <c r="AO68" t="s">
        <v>316</v>
      </c>
      <c r="AP68" t="s">
        <v>1688</v>
      </c>
    </row>
    <row r="69" spans="1:42">
      <c r="A69" t="s">
        <v>814</v>
      </c>
      <c r="G69" t="s">
        <v>316</v>
      </c>
      <c r="J69" t="s">
        <v>968</v>
      </c>
      <c r="K69">
        <v>0.4</v>
      </c>
      <c r="L69">
        <v>0</v>
      </c>
      <c r="M69" t="s">
        <v>1339</v>
      </c>
      <c r="N69">
        <v>4303</v>
      </c>
      <c r="O69">
        <v>4303</v>
      </c>
      <c r="P69">
        <v>1</v>
      </c>
      <c r="Q69">
        <v>1</v>
      </c>
      <c r="R69">
        <v>0</v>
      </c>
      <c r="S69">
        <v>0</v>
      </c>
      <c r="T69">
        <v>0</v>
      </c>
      <c r="U69">
        <v>0</v>
      </c>
      <c r="W69" t="s">
        <v>1659</v>
      </c>
      <c r="X69" s="114">
        <v>1.2</v>
      </c>
      <c r="Y69">
        <v>2860</v>
      </c>
      <c r="Z69">
        <v>2860</v>
      </c>
      <c r="AA69">
        <v>1.17</v>
      </c>
      <c r="AB69">
        <v>1.29</v>
      </c>
      <c r="AC69">
        <v>0.72</v>
      </c>
      <c r="AD69">
        <v>1.7999999999999999E-2</v>
      </c>
      <c r="AE69">
        <v>0.42</v>
      </c>
      <c r="AF69">
        <v>0.183</v>
      </c>
      <c r="AG69">
        <v>5038</v>
      </c>
      <c r="AH69">
        <v>2987</v>
      </c>
      <c r="AI69">
        <v>1603</v>
      </c>
      <c r="AJ69">
        <v>837</v>
      </c>
      <c r="AK69">
        <v>3765</v>
      </c>
      <c r="AO69" t="s">
        <v>316</v>
      </c>
      <c r="AP69" t="s">
        <v>968</v>
      </c>
    </row>
    <row r="70" spans="1:42">
      <c r="A70" t="s">
        <v>82</v>
      </c>
      <c r="G70" t="s">
        <v>317</v>
      </c>
      <c r="J70" t="s">
        <v>2246</v>
      </c>
      <c r="K70">
        <v>0.113</v>
      </c>
      <c r="L70">
        <v>0</v>
      </c>
      <c r="M70" t="s">
        <v>1339</v>
      </c>
      <c r="N70">
        <v>4303</v>
      </c>
      <c r="O70">
        <v>4303</v>
      </c>
      <c r="P70">
        <v>1</v>
      </c>
      <c r="Q70">
        <v>1</v>
      </c>
      <c r="R70">
        <v>0</v>
      </c>
      <c r="S70">
        <v>0</v>
      </c>
      <c r="T70">
        <v>0</v>
      </c>
      <c r="U70">
        <v>0</v>
      </c>
      <c r="W70" t="s">
        <v>1342</v>
      </c>
      <c r="X70" s="114">
        <v>1.2</v>
      </c>
      <c r="Y70">
        <v>3395</v>
      </c>
      <c r="Z70">
        <v>2588</v>
      </c>
      <c r="AA70">
        <v>1.02</v>
      </c>
      <c r="AB70">
        <v>1.54</v>
      </c>
      <c r="AC70">
        <v>0.63</v>
      </c>
      <c r="AD70">
        <v>2.3E-2</v>
      </c>
      <c r="AE70">
        <v>0.54800000000000004</v>
      </c>
      <c r="AF70">
        <v>0.23799999999999999</v>
      </c>
      <c r="AG70">
        <v>7005</v>
      </c>
      <c r="AH70">
        <v>4065</v>
      </c>
      <c r="AI70">
        <v>1293</v>
      </c>
      <c r="AJ70">
        <v>564</v>
      </c>
      <c r="AK70">
        <v>3460</v>
      </c>
      <c r="AO70" t="s">
        <v>316</v>
      </c>
      <c r="AP70" t="s">
        <v>1504</v>
      </c>
    </row>
    <row r="71" spans="1:42">
      <c r="A71" t="s">
        <v>815</v>
      </c>
      <c r="G71" t="s">
        <v>318</v>
      </c>
      <c r="J71" t="s">
        <v>1505</v>
      </c>
      <c r="K71" s="9">
        <v>0.35</v>
      </c>
      <c r="L71">
        <v>0</v>
      </c>
      <c r="M71" t="s">
        <v>1339</v>
      </c>
      <c r="N71">
        <v>4303</v>
      </c>
      <c r="O71">
        <v>4303</v>
      </c>
      <c r="P71">
        <v>1</v>
      </c>
      <c r="Q71">
        <v>1</v>
      </c>
      <c r="R71">
        <v>0</v>
      </c>
      <c r="S71">
        <v>0</v>
      </c>
      <c r="T71">
        <v>0</v>
      </c>
      <c r="U71">
        <v>0</v>
      </c>
      <c r="W71" t="s">
        <v>1660</v>
      </c>
      <c r="X71" s="114">
        <v>1.5</v>
      </c>
      <c r="Y71">
        <v>4672</v>
      </c>
      <c r="Z71">
        <v>3650</v>
      </c>
      <c r="AA71">
        <v>1.0900000000000001</v>
      </c>
      <c r="AB71">
        <v>1.26</v>
      </c>
      <c r="AC71">
        <v>0.76</v>
      </c>
      <c r="AD71">
        <v>3.5000000000000003E-2</v>
      </c>
      <c r="AE71">
        <v>0.82799999999999996</v>
      </c>
      <c r="AF71">
        <v>0.36</v>
      </c>
      <c r="AG71">
        <v>4136</v>
      </c>
      <c r="AH71">
        <v>2084</v>
      </c>
      <c r="AI71">
        <v>1368</v>
      </c>
      <c r="AJ71">
        <v>1067</v>
      </c>
      <c r="AK71">
        <v>7004</v>
      </c>
      <c r="AO71" t="s">
        <v>316</v>
      </c>
      <c r="AP71" t="s">
        <v>1505</v>
      </c>
    </row>
    <row r="72" spans="1:42">
      <c r="A72" t="s">
        <v>816</v>
      </c>
      <c r="G72" t="s">
        <v>319</v>
      </c>
      <c r="J72" t="s">
        <v>1206</v>
      </c>
      <c r="K72">
        <v>0.06</v>
      </c>
      <c r="L72">
        <v>0</v>
      </c>
      <c r="M72" t="s">
        <v>1339</v>
      </c>
      <c r="N72">
        <v>4303</v>
      </c>
      <c r="O72">
        <v>4303</v>
      </c>
      <c r="P72">
        <v>1</v>
      </c>
      <c r="Q72">
        <v>1</v>
      </c>
      <c r="R72">
        <v>0</v>
      </c>
      <c r="S72">
        <v>0</v>
      </c>
      <c r="T72">
        <v>0</v>
      </c>
      <c r="U72">
        <v>0</v>
      </c>
      <c r="W72" t="s">
        <v>1661</v>
      </c>
      <c r="X72" s="114">
        <v>1.2</v>
      </c>
      <c r="Y72">
        <v>4093</v>
      </c>
      <c r="Z72">
        <v>2935</v>
      </c>
      <c r="AA72">
        <v>1.05</v>
      </c>
      <c r="AB72">
        <v>1.34</v>
      </c>
      <c r="AC72">
        <v>1</v>
      </c>
      <c r="AD72">
        <v>1.7000000000000001E-2</v>
      </c>
      <c r="AE72">
        <v>0.39400000000000002</v>
      </c>
      <c r="AF72">
        <v>0.17100000000000001</v>
      </c>
      <c r="AG72">
        <v>4940</v>
      </c>
      <c r="AH72">
        <v>1708</v>
      </c>
      <c r="AI72">
        <v>2947</v>
      </c>
      <c r="AJ72">
        <v>943</v>
      </c>
      <c r="AK72">
        <v>7156</v>
      </c>
      <c r="AO72" t="s">
        <v>316</v>
      </c>
      <c r="AP72" t="s">
        <v>1206</v>
      </c>
    </row>
    <row r="73" spans="1:42">
      <c r="G73" t="s">
        <v>320</v>
      </c>
      <c r="J73" t="s">
        <v>990</v>
      </c>
      <c r="K73">
        <v>0.7</v>
      </c>
      <c r="L73">
        <v>0</v>
      </c>
      <c r="M73" t="s">
        <v>1339</v>
      </c>
      <c r="N73">
        <v>4303</v>
      </c>
      <c r="O73">
        <v>4303</v>
      </c>
      <c r="P73">
        <v>1</v>
      </c>
      <c r="Q73">
        <v>1</v>
      </c>
      <c r="R73">
        <v>0</v>
      </c>
      <c r="S73">
        <v>0</v>
      </c>
      <c r="T73">
        <v>0</v>
      </c>
      <c r="U73">
        <v>0</v>
      </c>
      <c r="W73" t="s">
        <v>1662</v>
      </c>
      <c r="X73" s="114">
        <v>1.2</v>
      </c>
      <c r="Y73">
        <v>3038</v>
      </c>
      <c r="Z73">
        <v>2118</v>
      </c>
      <c r="AA73">
        <v>1.04</v>
      </c>
      <c r="AB73">
        <v>1.51</v>
      </c>
      <c r="AC73">
        <v>0.65</v>
      </c>
      <c r="AD73">
        <v>1.9E-2</v>
      </c>
      <c r="AE73">
        <v>0.45500000000000002</v>
      </c>
      <c r="AF73">
        <v>0.19800000000000001</v>
      </c>
      <c r="AG73">
        <v>6028</v>
      </c>
      <c r="AH73">
        <v>2649</v>
      </c>
      <c r="AI73">
        <v>1603</v>
      </c>
      <c r="AJ73">
        <v>837</v>
      </c>
      <c r="AK73">
        <v>3765</v>
      </c>
      <c r="AO73" t="s">
        <v>316</v>
      </c>
      <c r="AP73" t="s">
        <v>990</v>
      </c>
    </row>
    <row r="74" spans="1:42">
      <c r="G74" t="s">
        <v>321</v>
      </c>
      <c r="J74" t="s">
        <v>993</v>
      </c>
      <c r="K74">
        <v>0.6</v>
      </c>
      <c r="L74">
        <v>0</v>
      </c>
      <c r="M74" t="s">
        <v>1339</v>
      </c>
      <c r="N74">
        <v>4303</v>
      </c>
      <c r="O74">
        <v>4303</v>
      </c>
      <c r="P74">
        <v>1</v>
      </c>
      <c r="Q74">
        <v>1</v>
      </c>
      <c r="R74">
        <v>0</v>
      </c>
      <c r="S74">
        <v>0</v>
      </c>
      <c r="T74">
        <v>0</v>
      </c>
      <c r="U74">
        <v>0</v>
      </c>
      <c r="W74" t="s">
        <v>1663</v>
      </c>
      <c r="X74" s="114">
        <v>1.2</v>
      </c>
      <c r="Y74">
        <v>2698</v>
      </c>
      <c r="Z74">
        <v>3088</v>
      </c>
      <c r="AA74">
        <v>1.06</v>
      </c>
      <c r="AB74">
        <v>1.0900000000000001</v>
      </c>
      <c r="AC74">
        <v>0.65</v>
      </c>
      <c r="AD74">
        <v>1E-3</v>
      </c>
      <c r="AE74">
        <v>1.4E-2</v>
      </c>
      <c r="AF74">
        <v>6.0000000000000001E-3</v>
      </c>
      <c r="AG74">
        <v>3936</v>
      </c>
      <c r="AH74">
        <v>3277</v>
      </c>
      <c r="AI74">
        <v>2670</v>
      </c>
      <c r="AJ74">
        <v>3009</v>
      </c>
      <c r="AK74">
        <v>8760</v>
      </c>
      <c r="AO74" t="s">
        <v>316</v>
      </c>
      <c r="AP74" t="s">
        <v>993</v>
      </c>
    </row>
    <row r="75" spans="1:42">
      <c r="A75" t="s">
        <v>472</v>
      </c>
      <c r="G75" t="s">
        <v>322</v>
      </c>
      <c r="J75" t="s">
        <v>994</v>
      </c>
      <c r="K75">
        <v>0.11</v>
      </c>
      <c r="L75">
        <v>0</v>
      </c>
      <c r="M75" t="s">
        <v>1339</v>
      </c>
      <c r="N75">
        <v>4303</v>
      </c>
      <c r="O75">
        <v>4303</v>
      </c>
      <c r="P75">
        <v>1</v>
      </c>
      <c r="Q75">
        <v>1</v>
      </c>
      <c r="R75">
        <v>0</v>
      </c>
      <c r="S75">
        <v>0</v>
      </c>
      <c r="T75">
        <v>0</v>
      </c>
      <c r="U75">
        <v>0</v>
      </c>
      <c r="W75" t="s">
        <v>1689</v>
      </c>
      <c r="X75">
        <v>0.15</v>
      </c>
      <c r="Y75">
        <v>1200</v>
      </c>
      <c r="Z75">
        <v>1200</v>
      </c>
      <c r="AA75">
        <v>1</v>
      </c>
      <c r="AB75">
        <v>1</v>
      </c>
      <c r="AC75">
        <v>0</v>
      </c>
      <c r="AD75">
        <v>0</v>
      </c>
      <c r="AE75">
        <v>0</v>
      </c>
      <c r="AF75">
        <v>0</v>
      </c>
      <c r="AG75">
        <v>0</v>
      </c>
      <c r="AH75">
        <v>0</v>
      </c>
      <c r="AI75">
        <v>0</v>
      </c>
      <c r="AJ75">
        <v>0</v>
      </c>
      <c r="AK75">
        <v>0</v>
      </c>
      <c r="AO75" t="s">
        <v>316</v>
      </c>
      <c r="AP75" t="s">
        <v>994</v>
      </c>
    </row>
    <row r="76" spans="1:42">
      <c r="A76" t="s">
        <v>822</v>
      </c>
      <c r="G76" t="s">
        <v>323</v>
      </c>
      <c r="J76" t="s">
        <v>2243</v>
      </c>
      <c r="K76">
        <v>0.53</v>
      </c>
      <c r="L76" s="52">
        <f>LPDWATT[[#This Row],[Coincidence Factor CF]]</f>
        <v>0.65</v>
      </c>
      <c r="N76" s="597">
        <v>2698</v>
      </c>
      <c r="O76">
        <v>3088</v>
      </c>
      <c r="P76">
        <v>1.06</v>
      </c>
      <c r="Q76">
        <v>1.0900000000000001</v>
      </c>
      <c r="R76">
        <v>0.65</v>
      </c>
      <c r="S76">
        <v>1E-3</v>
      </c>
      <c r="T76">
        <v>1.4E-2</v>
      </c>
      <c r="U76">
        <v>6.0000000000000001E-3</v>
      </c>
      <c r="W76" t="s">
        <v>1688</v>
      </c>
      <c r="X76">
        <v>0.15</v>
      </c>
      <c r="Y76">
        <v>4300</v>
      </c>
      <c r="Z76">
        <v>4300</v>
      </c>
      <c r="AA76">
        <v>1</v>
      </c>
      <c r="AB76">
        <v>1</v>
      </c>
      <c r="AC76">
        <v>0</v>
      </c>
      <c r="AD76">
        <v>0</v>
      </c>
      <c r="AE76">
        <v>0</v>
      </c>
      <c r="AF76">
        <v>0</v>
      </c>
      <c r="AG76">
        <v>0</v>
      </c>
      <c r="AH76">
        <v>0</v>
      </c>
      <c r="AI76">
        <v>0</v>
      </c>
      <c r="AJ76">
        <v>0</v>
      </c>
      <c r="AK76">
        <v>0</v>
      </c>
      <c r="AO76" t="s">
        <v>316</v>
      </c>
      <c r="AP76" t="s">
        <v>988</v>
      </c>
    </row>
    <row r="77" spans="1:42">
      <c r="A77" t="s">
        <v>1033</v>
      </c>
      <c r="G77" t="s">
        <v>324</v>
      </c>
      <c r="J77" t="s">
        <v>976</v>
      </c>
      <c r="K77">
        <v>0.68</v>
      </c>
      <c r="L77" s="52">
        <f>LPDWATT[[#This Row],[Coincidence Factor CF]]</f>
        <v>0.67</v>
      </c>
      <c r="M77">
        <v>3612</v>
      </c>
      <c r="N77">
        <v>3379</v>
      </c>
      <c r="O77">
        <v>3612</v>
      </c>
      <c r="P77">
        <v>1.08</v>
      </c>
      <c r="Q77">
        <v>1.3</v>
      </c>
      <c r="R77">
        <v>0.67</v>
      </c>
      <c r="S77">
        <v>1.4999999999999999E-2</v>
      </c>
      <c r="T77">
        <v>0.35399999999999998</v>
      </c>
      <c r="U77">
        <v>0.154</v>
      </c>
      <c r="W77" t="s">
        <v>968</v>
      </c>
      <c r="X77">
        <v>1.25</v>
      </c>
      <c r="Y77">
        <v>4300</v>
      </c>
      <c r="Z77">
        <v>4300</v>
      </c>
      <c r="AA77">
        <v>1</v>
      </c>
      <c r="AB77">
        <v>1</v>
      </c>
      <c r="AC77">
        <v>0</v>
      </c>
      <c r="AD77">
        <v>0</v>
      </c>
      <c r="AE77">
        <v>0</v>
      </c>
      <c r="AF77">
        <v>0</v>
      </c>
      <c r="AG77">
        <v>0</v>
      </c>
      <c r="AH77">
        <v>0</v>
      </c>
      <c r="AI77">
        <v>0</v>
      </c>
      <c r="AJ77">
        <v>0</v>
      </c>
      <c r="AK77">
        <v>0</v>
      </c>
      <c r="AO77" t="s">
        <v>316</v>
      </c>
      <c r="AP77" t="s">
        <v>1595</v>
      </c>
    </row>
    <row r="78" spans="1:42">
      <c r="A78" t="s">
        <v>1034</v>
      </c>
      <c r="G78" t="s">
        <v>325</v>
      </c>
      <c r="J78" t="s">
        <v>977</v>
      </c>
      <c r="K78">
        <v>0.82</v>
      </c>
      <c r="L78" s="52">
        <f>LPDWATT[[#This Row],[Coincidence Factor CF]]</f>
        <v>0.67</v>
      </c>
      <c r="M78" t="s">
        <v>1333</v>
      </c>
      <c r="N78">
        <v>3890</v>
      </c>
      <c r="O78">
        <v>4207</v>
      </c>
      <c r="P78">
        <v>1.1399999999999999</v>
      </c>
      <c r="Q78">
        <v>1.04</v>
      </c>
      <c r="R78">
        <v>0.67</v>
      </c>
      <c r="S78">
        <v>0.02</v>
      </c>
      <c r="T78">
        <v>0.46300000000000002</v>
      </c>
      <c r="U78">
        <v>0.20100000000000001</v>
      </c>
      <c r="W78" t="s">
        <v>1504</v>
      </c>
      <c r="X78" s="114">
        <v>5</v>
      </c>
      <c r="Y78">
        <v>4300</v>
      </c>
      <c r="Z78">
        <v>4300</v>
      </c>
      <c r="AA78">
        <v>1</v>
      </c>
      <c r="AB78">
        <v>1</v>
      </c>
      <c r="AC78">
        <v>0</v>
      </c>
      <c r="AD78">
        <v>0</v>
      </c>
      <c r="AE78">
        <v>0</v>
      </c>
      <c r="AF78">
        <v>0</v>
      </c>
      <c r="AG78">
        <v>0</v>
      </c>
      <c r="AH78">
        <v>0</v>
      </c>
      <c r="AI78">
        <v>0</v>
      </c>
      <c r="AJ78">
        <v>0</v>
      </c>
      <c r="AK78">
        <v>0</v>
      </c>
      <c r="AO78" t="s">
        <v>317</v>
      </c>
      <c r="AP78" t="s">
        <v>1660</v>
      </c>
    </row>
    <row r="79" spans="1:42">
      <c r="A79" t="s">
        <v>1035</v>
      </c>
      <c r="G79" t="s">
        <v>326</v>
      </c>
      <c r="J79" t="s">
        <v>978</v>
      </c>
      <c r="K79">
        <v>1.05</v>
      </c>
      <c r="L79" s="52">
        <f>LPDWATT[[#This Row],[Coincidence Factor CF]]</f>
        <v>0.56000000000000005</v>
      </c>
      <c r="M79" t="s">
        <v>1333</v>
      </c>
      <c r="N79">
        <v>7616</v>
      </c>
      <c r="O79">
        <v>4207</v>
      </c>
      <c r="P79">
        <v>1.1299999999999999</v>
      </c>
      <c r="Q79">
        <v>1.35</v>
      </c>
      <c r="R79">
        <v>0.56000000000000005</v>
      </c>
      <c r="S79">
        <v>6.0000000000000001E-3</v>
      </c>
      <c r="T79">
        <v>0.14799999999999999</v>
      </c>
      <c r="U79">
        <v>6.4000000000000001E-2</v>
      </c>
      <c r="W79" t="s">
        <v>1505</v>
      </c>
      <c r="X79">
        <v>0.5</v>
      </c>
      <c r="Y79">
        <v>4300</v>
      </c>
      <c r="Z79">
        <v>4300</v>
      </c>
      <c r="AA79">
        <v>1</v>
      </c>
      <c r="AB79">
        <v>1</v>
      </c>
      <c r="AC79">
        <v>0</v>
      </c>
      <c r="AD79">
        <v>0</v>
      </c>
      <c r="AE79">
        <v>0</v>
      </c>
      <c r="AF79">
        <v>0</v>
      </c>
      <c r="AG79">
        <v>0</v>
      </c>
      <c r="AH79">
        <v>0</v>
      </c>
      <c r="AI79">
        <v>0</v>
      </c>
      <c r="AJ79">
        <v>0</v>
      </c>
      <c r="AK79">
        <v>0</v>
      </c>
      <c r="AO79" t="s">
        <v>317</v>
      </c>
      <c r="AP79" t="s">
        <v>1661</v>
      </c>
    </row>
    <row r="80" spans="1:42">
      <c r="A80" t="s">
        <v>835</v>
      </c>
      <c r="G80" t="s">
        <v>327</v>
      </c>
      <c r="J80" t="s">
        <v>979</v>
      </c>
      <c r="K80">
        <v>0.75</v>
      </c>
      <c r="L80" s="52">
        <f>LPDWATT[[#This Row],[Coincidence Factor CF]]</f>
        <v>8.5000000000000006E-2</v>
      </c>
      <c r="M80" t="s">
        <v>1334</v>
      </c>
      <c r="N80">
        <v>6138</v>
      </c>
      <c r="O80">
        <v>4542</v>
      </c>
      <c r="P80">
        <v>1.0900000000000001</v>
      </c>
      <c r="Q80">
        <v>1.26</v>
      </c>
      <c r="R80">
        <v>8.5000000000000006E-2</v>
      </c>
      <c r="S80">
        <v>1.7000000000000001E-2</v>
      </c>
      <c r="T80">
        <v>0.40600000000000003</v>
      </c>
      <c r="U80">
        <v>0.17599999999999999</v>
      </c>
      <c r="W80" t="s">
        <v>1206</v>
      </c>
      <c r="X80">
        <v>0.15</v>
      </c>
      <c r="Y80">
        <v>4300</v>
      </c>
      <c r="Z80">
        <v>4300</v>
      </c>
      <c r="AA80">
        <v>1</v>
      </c>
      <c r="AB80">
        <v>1</v>
      </c>
      <c r="AC80">
        <v>0</v>
      </c>
      <c r="AD80">
        <v>0</v>
      </c>
      <c r="AE80">
        <v>0</v>
      </c>
      <c r="AF80">
        <v>0</v>
      </c>
      <c r="AG80">
        <v>0</v>
      </c>
      <c r="AH80">
        <v>0</v>
      </c>
      <c r="AI80">
        <v>0</v>
      </c>
      <c r="AJ80">
        <v>0</v>
      </c>
      <c r="AK80">
        <v>0</v>
      </c>
      <c r="AO80" t="s">
        <v>317</v>
      </c>
      <c r="AP80" t="s">
        <v>1689</v>
      </c>
    </row>
    <row r="81" spans="1:42">
      <c r="A81" t="s">
        <v>834</v>
      </c>
      <c r="G81" t="s">
        <v>328</v>
      </c>
      <c r="J81" t="s">
        <v>980</v>
      </c>
      <c r="K81">
        <v>1.19</v>
      </c>
      <c r="L81" s="52">
        <f>LPDWATT[[#This Row],[Coincidence Factor CF]]</f>
        <v>0.67</v>
      </c>
      <c r="M81" t="s">
        <v>1337</v>
      </c>
      <c r="N81">
        <v>3379</v>
      </c>
      <c r="O81">
        <v>3612</v>
      </c>
      <c r="P81">
        <v>1.08</v>
      </c>
      <c r="Q81">
        <v>1.3</v>
      </c>
      <c r="R81">
        <v>0.67</v>
      </c>
      <c r="S81">
        <v>1.4999999999999999E-2</v>
      </c>
      <c r="T81">
        <v>0.35399999999999998</v>
      </c>
      <c r="U81">
        <v>0.154</v>
      </c>
      <c r="W81" t="s">
        <v>990</v>
      </c>
      <c r="X81" s="114">
        <v>1</v>
      </c>
      <c r="Y81">
        <v>4300</v>
      </c>
      <c r="Z81">
        <v>4300</v>
      </c>
      <c r="AA81">
        <v>1</v>
      </c>
      <c r="AB81">
        <v>1</v>
      </c>
      <c r="AC81">
        <v>0</v>
      </c>
      <c r="AD81">
        <v>0</v>
      </c>
      <c r="AE81">
        <v>0</v>
      </c>
      <c r="AF81">
        <v>0</v>
      </c>
      <c r="AG81">
        <v>0</v>
      </c>
      <c r="AH81">
        <v>0</v>
      </c>
      <c r="AI81">
        <v>0</v>
      </c>
      <c r="AJ81">
        <v>0</v>
      </c>
      <c r="AK81">
        <v>0</v>
      </c>
      <c r="AO81" t="s">
        <v>317</v>
      </c>
      <c r="AP81" t="s">
        <v>1688</v>
      </c>
    </row>
    <row r="82" spans="1:42">
      <c r="A82" t="s">
        <v>839</v>
      </c>
      <c r="J82" t="s">
        <v>1673</v>
      </c>
      <c r="K82">
        <v>0.9</v>
      </c>
      <c r="L82" s="52">
        <f>LPDWATT[[#This Row],[Coincidence Factor CF]]</f>
        <v>0.81</v>
      </c>
      <c r="M82" t="s">
        <v>1331</v>
      </c>
      <c r="N82">
        <v>4618</v>
      </c>
      <c r="O82">
        <v>2629</v>
      </c>
      <c r="P82">
        <v>1.02</v>
      </c>
      <c r="Q82">
        <v>1.04</v>
      </c>
      <c r="R82">
        <v>0.81</v>
      </c>
      <c r="S82">
        <v>1.2E-2</v>
      </c>
      <c r="T82">
        <v>0.27</v>
      </c>
      <c r="U82">
        <v>0.11700000000000001</v>
      </c>
      <c r="W82" t="s">
        <v>993</v>
      </c>
      <c r="X82" s="114">
        <v>1</v>
      </c>
      <c r="Y82">
        <v>4300</v>
      </c>
      <c r="Z82">
        <v>4300</v>
      </c>
      <c r="AA82">
        <v>1</v>
      </c>
      <c r="AB82">
        <v>1</v>
      </c>
      <c r="AC82">
        <v>0</v>
      </c>
      <c r="AD82">
        <v>0</v>
      </c>
      <c r="AE82">
        <v>0</v>
      </c>
      <c r="AF82">
        <v>0</v>
      </c>
      <c r="AG82">
        <v>0</v>
      </c>
      <c r="AH82">
        <v>0</v>
      </c>
      <c r="AI82">
        <v>0</v>
      </c>
      <c r="AJ82">
        <v>0</v>
      </c>
      <c r="AK82">
        <v>0</v>
      </c>
      <c r="AO82" t="s">
        <v>317</v>
      </c>
      <c r="AP82" t="s">
        <v>968</v>
      </c>
    </row>
    <row r="83" spans="1:42">
      <c r="A83" t="s">
        <v>906</v>
      </c>
      <c r="J83" t="s">
        <v>981</v>
      </c>
      <c r="K83">
        <v>0.75</v>
      </c>
      <c r="L83" s="52">
        <f>LPDWATT[[#This Row],[Coincidence Factor CF]]</f>
        <v>8.5000000000000006E-2</v>
      </c>
      <c r="M83" t="s">
        <v>1334</v>
      </c>
      <c r="N83">
        <v>6138</v>
      </c>
      <c r="O83">
        <v>4542</v>
      </c>
      <c r="P83">
        <v>1.0900000000000001</v>
      </c>
      <c r="Q83">
        <v>1.26</v>
      </c>
      <c r="R83">
        <v>8.5000000000000006E-2</v>
      </c>
      <c r="S83">
        <v>1.7000000000000001E-2</v>
      </c>
      <c r="T83">
        <v>0.40600000000000003</v>
      </c>
      <c r="U83">
        <v>0.17599999999999999</v>
      </c>
      <c r="W83" t="s">
        <v>994</v>
      </c>
      <c r="X83">
        <v>0.2</v>
      </c>
      <c r="Y83">
        <v>4300</v>
      </c>
      <c r="Z83">
        <v>4300</v>
      </c>
      <c r="AA83">
        <v>1</v>
      </c>
      <c r="AB83">
        <v>1</v>
      </c>
      <c r="AC83">
        <v>0</v>
      </c>
      <c r="AD83">
        <v>0</v>
      </c>
      <c r="AE83">
        <v>0</v>
      </c>
      <c r="AF83">
        <v>0</v>
      </c>
      <c r="AG83">
        <v>0</v>
      </c>
      <c r="AH83">
        <v>0</v>
      </c>
      <c r="AI83">
        <v>0</v>
      </c>
      <c r="AJ83">
        <v>0</v>
      </c>
      <c r="AK83">
        <v>0</v>
      </c>
      <c r="AO83" t="s">
        <v>317</v>
      </c>
      <c r="AP83" t="s">
        <v>1504</v>
      </c>
    </row>
    <row r="84" spans="1:42">
      <c r="A84" t="s">
        <v>2139</v>
      </c>
      <c r="J84" t="s">
        <v>982</v>
      </c>
      <c r="K84">
        <v>0.83</v>
      </c>
      <c r="L84" s="52">
        <f>LPDWATT[[#This Row],[Coincidence Factor CF]]</f>
        <v>0.53</v>
      </c>
      <c r="M84" t="s">
        <v>1337</v>
      </c>
      <c r="N84">
        <v>3506</v>
      </c>
      <c r="O84">
        <v>5475</v>
      </c>
      <c r="P84">
        <v>1.1100000000000001</v>
      </c>
      <c r="Q84">
        <v>1.38</v>
      </c>
      <c r="R84">
        <v>0.53</v>
      </c>
      <c r="S84">
        <v>2.9000000000000001E-2</v>
      </c>
      <c r="T84">
        <v>0.67300000000000004</v>
      </c>
      <c r="U84">
        <v>0.29299999999999998</v>
      </c>
      <c r="W84" t="s">
        <v>1693</v>
      </c>
      <c r="Y84">
        <v>5802</v>
      </c>
      <c r="AA84">
        <v>1.5</v>
      </c>
      <c r="AB84">
        <v>1.5</v>
      </c>
      <c r="AC84">
        <v>1</v>
      </c>
      <c r="AD84">
        <v>0</v>
      </c>
      <c r="AE84">
        <v>0</v>
      </c>
      <c r="AF84">
        <v>0</v>
      </c>
      <c r="AG84">
        <v>0</v>
      </c>
      <c r="AH84">
        <v>0</v>
      </c>
      <c r="AI84">
        <v>0</v>
      </c>
      <c r="AJ84">
        <v>0</v>
      </c>
      <c r="AK84">
        <v>0</v>
      </c>
      <c r="AO84" t="s">
        <v>317</v>
      </c>
      <c r="AP84" t="s">
        <v>1505</v>
      </c>
    </row>
    <row r="85" spans="1:42">
      <c r="J85" t="s">
        <v>983</v>
      </c>
      <c r="K85">
        <v>0.63</v>
      </c>
      <c r="L85" s="52">
        <f>LPDWATT[[#This Row],[Coincidence Factor CF]]</f>
        <v>0.62</v>
      </c>
      <c r="M85" t="s">
        <v>1333</v>
      </c>
      <c r="N85">
        <v>5216</v>
      </c>
      <c r="O85">
        <v>5950</v>
      </c>
      <c r="P85">
        <v>1.1100000000000001</v>
      </c>
      <c r="Q85">
        <v>1.1599999999999999</v>
      </c>
      <c r="R85">
        <v>0.62</v>
      </c>
      <c r="S85">
        <v>2.1000000000000001E-2</v>
      </c>
      <c r="T85">
        <v>0.48399999999999999</v>
      </c>
      <c r="U85">
        <v>0.21099999999999999</v>
      </c>
      <c r="W85" t="s">
        <v>1664</v>
      </c>
      <c r="X85" s="114">
        <v>0.3</v>
      </c>
      <c r="Y85">
        <v>3401</v>
      </c>
      <c r="Z85">
        <v>3540</v>
      </c>
      <c r="AA85">
        <v>1</v>
      </c>
      <c r="AB85">
        <v>1</v>
      </c>
      <c r="AC85">
        <v>0.92</v>
      </c>
      <c r="AD85">
        <v>0</v>
      </c>
      <c r="AE85">
        <v>0</v>
      </c>
      <c r="AF85">
        <v>0</v>
      </c>
      <c r="AG85">
        <v>4849</v>
      </c>
      <c r="AH85">
        <v>2102</v>
      </c>
      <c r="AI85">
        <v>969</v>
      </c>
      <c r="AJ85">
        <v>974</v>
      </c>
      <c r="AK85">
        <v>7357</v>
      </c>
      <c r="AO85" t="s">
        <v>317</v>
      </c>
      <c r="AP85" t="s">
        <v>1206</v>
      </c>
    </row>
    <row r="86" spans="1:42">
      <c r="A86" t="s">
        <v>1090</v>
      </c>
      <c r="J86" t="s">
        <v>984</v>
      </c>
      <c r="K86">
        <v>1.06</v>
      </c>
      <c r="L86" s="52">
        <f>LPDWATT[[#This Row],[Coincidence Factor CF]]</f>
        <v>0.67</v>
      </c>
      <c r="M86" t="s">
        <v>1330</v>
      </c>
      <c r="N86">
        <v>3379</v>
      </c>
      <c r="O86">
        <v>3612</v>
      </c>
      <c r="P86">
        <v>1.08</v>
      </c>
      <c r="Q86">
        <v>1.3</v>
      </c>
      <c r="R86">
        <v>0.67</v>
      </c>
      <c r="S86">
        <v>1.4999999999999999E-2</v>
      </c>
      <c r="T86">
        <v>0.35399999999999998</v>
      </c>
      <c r="U86">
        <v>0.154</v>
      </c>
      <c r="W86" t="s">
        <v>1665</v>
      </c>
      <c r="X86" s="114">
        <v>0.3</v>
      </c>
      <c r="Y86">
        <v>8766</v>
      </c>
      <c r="Z86">
        <v>8766</v>
      </c>
      <c r="AA86">
        <v>1</v>
      </c>
      <c r="AB86">
        <v>1</v>
      </c>
      <c r="AC86">
        <v>1</v>
      </c>
      <c r="AD86">
        <v>0</v>
      </c>
      <c r="AE86">
        <v>0</v>
      </c>
      <c r="AF86">
        <v>0</v>
      </c>
      <c r="AG86">
        <v>4849</v>
      </c>
      <c r="AH86">
        <v>2102</v>
      </c>
      <c r="AI86">
        <v>969</v>
      </c>
      <c r="AJ86">
        <v>974</v>
      </c>
      <c r="AK86">
        <v>7357</v>
      </c>
      <c r="AO86" t="s">
        <v>317</v>
      </c>
      <c r="AP86" t="s">
        <v>990</v>
      </c>
    </row>
    <row r="87" spans="1:42">
      <c r="A87" t="s">
        <v>1551</v>
      </c>
      <c r="J87" t="s">
        <v>325</v>
      </c>
      <c r="K87">
        <v>0.79</v>
      </c>
      <c r="L87" s="52">
        <f>LPDWATT[[#This Row],[Coincidence Factor CF]]</f>
        <v>0.6</v>
      </c>
      <c r="M87" t="s">
        <v>1335</v>
      </c>
      <c r="N87">
        <v>3266</v>
      </c>
      <c r="O87">
        <v>3088</v>
      </c>
      <c r="P87">
        <v>1.1000000000000001</v>
      </c>
      <c r="Q87">
        <v>1.36</v>
      </c>
      <c r="R87">
        <v>0.6</v>
      </c>
      <c r="S87">
        <v>1.6E-2</v>
      </c>
      <c r="T87">
        <v>0.378</v>
      </c>
      <c r="U87">
        <v>0.16400000000000001</v>
      </c>
      <c r="W87" t="s">
        <v>1666</v>
      </c>
      <c r="X87" s="114">
        <v>1.5</v>
      </c>
      <c r="Y87">
        <v>8468</v>
      </c>
      <c r="Z87">
        <v>3650</v>
      </c>
      <c r="AA87">
        <v>1.05</v>
      </c>
      <c r="AB87">
        <v>1.22</v>
      </c>
      <c r="AC87">
        <v>0.82</v>
      </c>
      <c r="AD87">
        <v>0.01</v>
      </c>
      <c r="AE87">
        <v>0.23</v>
      </c>
      <c r="AF87">
        <v>0.1</v>
      </c>
      <c r="AG87">
        <v>7452</v>
      </c>
      <c r="AH87">
        <v>5470</v>
      </c>
      <c r="AI87">
        <v>1551</v>
      </c>
      <c r="AJ87">
        <v>914</v>
      </c>
      <c r="AK87">
        <v>8543</v>
      </c>
      <c r="AO87" t="s">
        <v>317</v>
      </c>
      <c r="AP87" t="s">
        <v>993</v>
      </c>
    </row>
    <row r="88" spans="1:42">
      <c r="A88" t="s">
        <v>1552</v>
      </c>
      <c r="J88" t="s">
        <v>326</v>
      </c>
      <c r="K88">
        <v>0.15</v>
      </c>
      <c r="L88" s="52">
        <f>LPDWATT[[#This Row],[Coincidence Factor CF]]</f>
        <v>0</v>
      </c>
      <c r="M88" t="s">
        <v>1337</v>
      </c>
      <c r="N88">
        <v>4303</v>
      </c>
      <c r="O88">
        <v>4303</v>
      </c>
      <c r="P88">
        <v>1</v>
      </c>
      <c r="Q88">
        <v>1</v>
      </c>
      <c r="R88">
        <v>0</v>
      </c>
      <c r="S88">
        <v>0</v>
      </c>
      <c r="T88">
        <v>0</v>
      </c>
      <c r="U88">
        <v>0</v>
      </c>
      <c r="W88" t="s">
        <v>1667</v>
      </c>
      <c r="X88" s="114">
        <v>1.2</v>
      </c>
      <c r="Y88">
        <v>3890</v>
      </c>
      <c r="Z88">
        <v>4207</v>
      </c>
      <c r="AA88">
        <v>1.1399999999999999</v>
      </c>
      <c r="AB88">
        <v>1.04</v>
      </c>
      <c r="AC88">
        <v>0.67</v>
      </c>
      <c r="AD88">
        <v>0.02</v>
      </c>
      <c r="AE88">
        <v>0.46300000000000002</v>
      </c>
      <c r="AF88">
        <v>0.20100000000000001</v>
      </c>
      <c r="AG88">
        <v>8760</v>
      </c>
      <c r="AH88">
        <v>5470</v>
      </c>
      <c r="AI88">
        <v>1526</v>
      </c>
      <c r="AJ88">
        <v>1294</v>
      </c>
      <c r="AK88">
        <v>4314</v>
      </c>
      <c r="AO88" t="s">
        <v>317</v>
      </c>
      <c r="AP88" t="s">
        <v>994</v>
      </c>
    </row>
    <row r="89" spans="1:42">
      <c r="A89" t="s">
        <v>1553</v>
      </c>
      <c r="J89" t="s">
        <v>985</v>
      </c>
      <c r="K89">
        <v>0.75</v>
      </c>
      <c r="L89" s="52">
        <f>LPDWATT[[#This Row],[Coincidence Factor CF]]</f>
        <v>0.67</v>
      </c>
      <c r="M89" t="s">
        <v>1337</v>
      </c>
      <c r="N89">
        <v>3379</v>
      </c>
      <c r="O89">
        <v>3612</v>
      </c>
      <c r="P89">
        <v>1.08</v>
      </c>
      <c r="Q89">
        <v>1.3</v>
      </c>
      <c r="R89">
        <v>0.67</v>
      </c>
      <c r="S89">
        <v>1.4999999999999999E-2</v>
      </c>
      <c r="T89">
        <v>0.35399999999999998</v>
      </c>
      <c r="U89">
        <v>0.154</v>
      </c>
      <c r="W89" t="s">
        <v>1668</v>
      </c>
      <c r="X89" s="114">
        <v>1.2</v>
      </c>
      <c r="Y89">
        <v>3038</v>
      </c>
      <c r="Z89">
        <v>2327</v>
      </c>
      <c r="AA89">
        <v>1.1499999999999999</v>
      </c>
      <c r="AB89">
        <v>1.4</v>
      </c>
      <c r="AC89">
        <v>0.65</v>
      </c>
      <c r="AD89">
        <v>1.0999999999999999E-2</v>
      </c>
      <c r="AE89">
        <v>0.249</v>
      </c>
      <c r="AF89">
        <v>0.108</v>
      </c>
      <c r="AG89">
        <v>5480</v>
      </c>
      <c r="AH89">
        <v>3141</v>
      </c>
      <c r="AI89">
        <v>1855</v>
      </c>
      <c r="AJ89">
        <v>883</v>
      </c>
      <c r="AK89">
        <v>3460</v>
      </c>
      <c r="AO89" t="s">
        <v>317</v>
      </c>
      <c r="AP89" t="s">
        <v>1693</v>
      </c>
    </row>
    <row r="90" spans="1:42">
      <c r="A90" t="s">
        <v>1554</v>
      </c>
      <c r="J90" t="s">
        <v>986</v>
      </c>
      <c r="K90">
        <v>1.18</v>
      </c>
      <c r="L90" s="52">
        <f>LPDWATT[[#This Row],[Coincidence Factor CF]]</f>
        <v>0.53</v>
      </c>
      <c r="M90" t="s">
        <v>1330</v>
      </c>
      <c r="N90">
        <v>3506</v>
      </c>
      <c r="O90">
        <v>5475</v>
      </c>
      <c r="P90">
        <v>1.1100000000000001</v>
      </c>
      <c r="Q90">
        <v>1.38</v>
      </c>
      <c r="R90">
        <v>0.53</v>
      </c>
      <c r="S90">
        <v>2.9000000000000001E-2</v>
      </c>
      <c r="T90">
        <v>0.67300000000000004</v>
      </c>
      <c r="U90">
        <v>0.29299999999999998</v>
      </c>
      <c r="W90" t="s">
        <v>1670</v>
      </c>
      <c r="X90" s="114">
        <v>1.2</v>
      </c>
      <c r="Y90">
        <v>7616</v>
      </c>
      <c r="Z90">
        <v>4207</v>
      </c>
      <c r="AA90">
        <v>1.1399999999999999</v>
      </c>
      <c r="AB90">
        <v>1.27</v>
      </c>
      <c r="AC90">
        <v>0.56000000000000005</v>
      </c>
      <c r="AD90">
        <v>8.9999999999999993E-3</v>
      </c>
      <c r="AE90">
        <v>0.20499999999999999</v>
      </c>
      <c r="AF90">
        <v>8.8999999999999996E-2</v>
      </c>
      <c r="AG90">
        <v>3045</v>
      </c>
      <c r="AH90">
        <v>2336</v>
      </c>
      <c r="AI90">
        <v>1398</v>
      </c>
      <c r="AJ90">
        <v>1302</v>
      </c>
      <c r="AK90">
        <v>8021</v>
      </c>
      <c r="AO90" t="s">
        <v>317</v>
      </c>
      <c r="AP90" t="s">
        <v>1664</v>
      </c>
    </row>
    <row r="91" spans="1:42">
      <c r="A91" t="s">
        <v>1555</v>
      </c>
      <c r="J91" t="s">
        <v>2244</v>
      </c>
      <c r="K91">
        <v>0.8</v>
      </c>
      <c r="L91" s="52">
        <f>LPDWATT[[#This Row],[Coincidence Factor CF]]</f>
        <v>0.65</v>
      </c>
      <c r="N91">
        <v>2698</v>
      </c>
      <c r="O91">
        <v>3088</v>
      </c>
      <c r="P91">
        <v>1.06</v>
      </c>
      <c r="Q91">
        <v>1.0900000000000001</v>
      </c>
      <c r="R91">
        <v>0.65</v>
      </c>
      <c r="S91">
        <v>1E-3</v>
      </c>
      <c r="T91">
        <v>1.4E-2</v>
      </c>
      <c r="U91">
        <v>6.0000000000000001E-3</v>
      </c>
      <c r="W91" t="s">
        <v>1669</v>
      </c>
      <c r="X91" s="114">
        <v>1.2</v>
      </c>
      <c r="Y91">
        <v>7616</v>
      </c>
      <c r="Z91">
        <v>4207</v>
      </c>
      <c r="AA91">
        <v>1.17</v>
      </c>
      <c r="AB91">
        <v>1.32</v>
      </c>
      <c r="AC91">
        <v>0.56000000000000005</v>
      </c>
      <c r="AD91">
        <v>8.9999999999999993E-3</v>
      </c>
      <c r="AE91">
        <v>0.21099999999999999</v>
      </c>
      <c r="AF91">
        <v>9.1999999999999998E-2</v>
      </c>
      <c r="AG91">
        <v>2927</v>
      </c>
      <c r="AH91">
        <v>4948</v>
      </c>
      <c r="AI91">
        <v>1220</v>
      </c>
      <c r="AJ91">
        <v>1799</v>
      </c>
      <c r="AK91">
        <v>7924</v>
      </c>
      <c r="AO91" t="s">
        <v>317</v>
      </c>
      <c r="AP91" t="s">
        <v>1665</v>
      </c>
    </row>
    <row r="92" spans="1:42">
      <c r="A92" t="s">
        <v>1556</v>
      </c>
      <c r="J92" t="s">
        <v>987</v>
      </c>
      <c r="K92">
        <v>0.67</v>
      </c>
      <c r="L92" s="52">
        <f>LPDWATT[[#This Row],[Coincidence Factor CF]]</f>
        <v>0.53</v>
      </c>
      <c r="M92" t="s">
        <v>1337</v>
      </c>
      <c r="N92">
        <v>3506</v>
      </c>
      <c r="O92">
        <v>5475</v>
      </c>
      <c r="P92">
        <v>1.1100000000000001</v>
      </c>
      <c r="Q92">
        <v>1.38</v>
      </c>
      <c r="R92">
        <v>0.53</v>
      </c>
      <c r="S92">
        <v>2.9000000000000001E-2</v>
      </c>
      <c r="T92">
        <v>0.67300000000000004</v>
      </c>
      <c r="U92">
        <v>0.29299999999999998</v>
      </c>
      <c r="W92" t="s">
        <v>1672</v>
      </c>
      <c r="X92" s="114">
        <v>1.2</v>
      </c>
      <c r="Y92">
        <v>7616</v>
      </c>
      <c r="Z92">
        <v>2629</v>
      </c>
      <c r="AA92">
        <v>1.1599999999999999</v>
      </c>
      <c r="AB92">
        <v>1.42</v>
      </c>
      <c r="AC92">
        <v>0.56000000000000005</v>
      </c>
      <c r="AD92">
        <v>0</v>
      </c>
      <c r="AE92">
        <v>0</v>
      </c>
      <c r="AF92">
        <v>0</v>
      </c>
      <c r="AG92">
        <v>4371</v>
      </c>
      <c r="AH92">
        <v>8760</v>
      </c>
      <c r="AI92">
        <v>1571</v>
      </c>
      <c r="AJ92">
        <v>1562</v>
      </c>
      <c r="AK92">
        <v>4055</v>
      </c>
      <c r="AO92" t="s">
        <v>317</v>
      </c>
      <c r="AP92" t="s">
        <v>1666</v>
      </c>
    </row>
    <row r="93" spans="1:42">
      <c r="A93" t="s">
        <v>1557</v>
      </c>
      <c r="J93" t="s">
        <v>988</v>
      </c>
      <c r="K93">
        <v>0.94</v>
      </c>
      <c r="L93" s="52">
        <f>LPDWATT[[#This Row],[Coincidence Factor CF]]</f>
        <v>0.48</v>
      </c>
      <c r="M93" t="s">
        <v>1337</v>
      </c>
      <c r="N93">
        <v>2085</v>
      </c>
      <c r="O93">
        <v>1664</v>
      </c>
      <c r="P93">
        <v>1.1200000000000001</v>
      </c>
      <c r="Q93">
        <v>1.37</v>
      </c>
      <c r="R93">
        <v>0.48</v>
      </c>
      <c r="S93">
        <v>1.4999999999999999E-2</v>
      </c>
      <c r="T93">
        <v>0.35599999999999998</v>
      </c>
      <c r="U93">
        <v>0.155</v>
      </c>
      <c r="W93" t="s">
        <v>1671</v>
      </c>
      <c r="X93" s="114">
        <v>1.2</v>
      </c>
      <c r="Y93">
        <v>7616</v>
      </c>
      <c r="Z93">
        <v>4207</v>
      </c>
      <c r="AA93">
        <v>1.1299999999999999</v>
      </c>
      <c r="AB93">
        <v>1.35</v>
      </c>
      <c r="AC93">
        <v>0.56000000000000005</v>
      </c>
      <c r="AD93">
        <v>6.0000000000000001E-3</v>
      </c>
      <c r="AE93">
        <v>0.14799999999999999</v>
      </c>
      <c r="AF93">
        <v>6.4000000000000001E-2</v>
      </c>
      <c r="AG93">
        <v>8107</v>
      </c>
      <c r="AH93">
        <v>8707</v>
      </c>
      <c r="AI93">
        <v>697</v>
      </c>
      <c r="AJ93">
        <v>3332</v>
      </c>
      <c r="AK93">
        <v>4666</v>
      </c>
      <c r="AO93" t="s">
        <v>317</v>
      </c>
      <c r="AP93" t="s">
        <v>1690</v>
      </c>
    </row>
    <row r="94" spans="1:42">
      <c r="A94" t="s">
        <v>1558</v>
      </c>
      <c r="J94" t="s">
        <v>327</v>
      </c>
      <c r="K94">
        <v>1.06</v>
      </c>
      <c r="L94" s="52">
        <f>LPDWATT[[#This Row],[Coincidence Factor CF]]</f>
        <v>0.71</v>
      </c>
      <c r="M94" t="s">
        <v>1336</v>
      </c>
      <c r="N94">
        <v>4093</v>
      </c>
      <c r="O94">
        <v>2935</v>
      </c>
      <c r="P94">
        <v>1.1200000000000001</v>
      </c>
      <c r="Q94">
        <v>1.29</v>
      </c>
      <c r="R94">
        <v>0.71</v>
      </c>
      <c r="S94">
        <v>1.9E-2</v>
      </c>
      <c r="T94">
        <v>0.45</v>
      </c>
      <c r="U94">
        <v>0.19600000000000001</v>
      </c>
      <c r="W94" t="s">
        <v>1677</v>
      </c>
      <c r="X94" s="114">
        <v>1</v>
      </c>
      <c r="Y94">
        <v>6138</v>
      </c>
      <c r="Z94">
        <v>5475</v>
      </c>
      <c r="AA94">
        <v>1.0900000000000001</v>
      </c>
      <c r="AB94">
        <v>1.26</v>
      </c>
      <c r="AC94">
        <v>0.85</v>
      </c>
      <c r="AD94">
        <v>1.7000000000000001E-2</v>
      </c>
      <c r="AE94">
        <v>0.40600000000000003</v>
      </c>
      <c r="AF94">
        <v>0.17599999999999999</v>
      </c>
      <c r="AG94">
        <v>6340</v>
      </c>
      <c r="AH94">
        <v>6227</v>
      </c>
      <c r="AI94">
        <v>1733</v>
      </c>
      <c r="AJ94">
        <v>1168</v>
      </c>
      <c r="AK94">
        <v>8683</v>
      </c>
      <c r="AO94" t="s">
        <v>317</v>
      </c>
      <c r="AP94" t="s">
        <v>1692</v>
      </c>
    </row>
    <row r="95" spans="1:42">
      <c r="A95" t="s">
        <v>1559</v>
      </c>
      <c r="J95" t="s">
        <v>2245</v>
      </c>
      <c r="K95">
        <v>0.81</v>
      </c>
      <c r="L95" s="52">
        <f>LPDWATT[[#This Row],[Coincidence Factor CF]]</f>
        <v>0.65</v>
      </c>
      <c r="M95" t="s">
        <v>1341</v>
      </c>
      <c r="N95">
        <v>3038</v>
      </c>
      <c r="O95">
        <v>2327</v>
      </c>
      <c r="P95">
        <v>1.1499999999999999</v>
      </c>
      <c r="Q95">
        <v>1.4</v>
      </c>
      <c r="R95">
        <v>0.65</v>
      </c>
      <c r="S95">
        <v>1.0999999999999999E-2</v>
      </c>
      <c r="T95">
        <v>0.249</v>
      </c>
      <c r="U95">
        <v>0.108</v>
      </c>
      <c r="W95" t="s">
        <v>1676</v>
      </c>
      <c r="X95" s="114">
        <v>1.1000000000000001</v>
      </c>
      <c r="Y95">
        <v>2390</v>
      </c>
      <c r="Z95">
        <v>4542</v>
      </c>
      <c r="AA95">
        <v>1.17</v>
      </c>
      <c r="AB95">
        <v>1.21</v>
      </c>
      <c r="AC95">
        <v>0.46</v>
      </c>
      <c r="AD95">
        <v>0.02</v>
      </c>
      <c r="AE95">
        <v>0.46800000000000003</v>
      </c>
      <c r="AF95">
        <v>0.20399999999999999</v>
      </c>
      <c r="AG95">
        <v>5632</v>
      </c>
      <c r="AH95">
        <v>4155</v>
      </c>
      <c r="AI95">
        <v>1597</v>
      </c>
      <c r="AJ95">
        <v>1106</v>
      </c>
      <c r="AK95">
        <v>2409</v>
      </c>
      <c r="AO95" t="s">
        <v>317</v>
      </c>
      <c r="AP95" t="s">
        <v>1685</v>
      </c>
    </row>
    <row r="96" spans="1:42">
      <c r="A96" t="s">
        <v>1560</v>
      </c>
      <c r="J96" t="s">
        <v>989</v>
      </c>
      <c r="K96">
        <v>0.87</v>
      </c>
      <c r="L96" s="52">
        <f>LPDWATT[[#This Row],[Coincidence Factor CF]]</f>
        <v>0.67</v>
      </c>
      <c r="M96" t="s">
        <v>1337</v>
      </c>
      <c r="N96">
        <v>3379</v>
      </c>
      <c r="O96">
        <v>3612</v>
      </c>
      <c r="P96">
        <v>1.08</v>
      </c>
      <c r="Q96">
        <v>1.3</v>
      </c>
      <c r="R96">
        <v>0.67</v>
      </c>
      <c r="S96">
        <v>1.4999999999999999E-2</v>
      </c>
      <c r="T96">
        <v>0.35399999999999998</v>
      </c>
      <c r="U96">
        <v>0.154</v>
      </c>
      <c r="W96" t="s">
        <v>1690</v>
      </c>
      <c r="X96" s="114">
        <v>1</v>
      </c>
      <c r="Y96">
        <v>2954</v>
      </c>
      <c r="Z96">
        <v>2954</v>
      </c>
      <c r="AA96">
        <v>1.31</v>
      </c>
      <c r="AB96">
        <v>1.53</v>
      </c>
      <c r="AC96">
        <v>0.66</v>
      </c>
      <c r="AD96">
        <v>2.3E-2</v>
      </c>
      <c r="AE96">
        <v>0.52400000000000002</v>
      </c>
      <c r="AF96">
        <v>0.26200000000000001</v>
      </c>
      <c r="AG96">
        <v>5038</v>
      </c>
      <c r="AH96">
        <v>2987</v>
      </c>
      <c r="AI96">
        <v>1678</v>
      </c>
      <c r="AJ96">
        <v>1019</v>
      </c>
      <c r="AK96">
        <v>6241</v>
      </c>
      <c r="AO96" t="s">
        <v>317</v>
      </c>
      <c r="AP96" t="s">
        <v>1687</v>
      </c>
    </row>
    <row r="97" spans="1:42">
      <c r="J97" t="s">
        <v>991</v>
      </c>
      <c r="K97">
        <v>0.8</v>
      </c>
      <c r="L97" s="52">
        <f>LPDWATT[[#This Row],[Coincidence Factor CF]]</f>
        <v>0.67</v>
      </c>
      <c r="M97" t="s">
        <v>1337</v>
      </c>
      <c r="N97">
        <v>3379</v>
      </c>
      <c r="O97">
        <v>3612</v>
      </c>
      <c r="P97">
        <v>1.08</v>
      </c>
      <c r="Q97">
        <v>1.3</v>
      </c>
      <c r="R97">
        <v>0.67</v>
      </c>
      <c r="S97">
        <v>1.4999999999999999E-2</v>
      </c>
      <c r="T97">
        <v>0.35399999999999998</v>
      </c>
      <c r="U97">
        <v>0.154</v>
      </c>
      <c r="W97" t="s">
        <v>1673</v>
      </c>
      <c r="X97" s="114">
        <v>1.3</v>
      </c>
      <c r="Y97">
        <v>4618</v>
      </c>
      <c r="Z97">
        <v>5950</v>
      </c>
      <c r="AA97">
        <v>1.02</v>
      </c>
      <c r="AB97">
        <v>1.04</v>
      </c>
      <c r="AC97">
        <v>0.81</v>
      </c>
      <c r="AD97">
        <v>1.2E-2</v>
      </c>
      <c r="AE97">
        <v>0.27</v>
      </c>
      <c r="AF97">
        <v>0.11700000000000001</v>
      </c>
      <c r="AG97">
        <v>3821</v>
      </c>
      <c r="AH97">
        <v>2805</v>
      </c>
      <c r="AI97">
        <v>1013</v>
      </c>
      <c r="AJ97">
        <v>1055</v>
      </c>
      <c r="AK97">
        <v>8706</v>
      </c>
      <c r="AO97" t="s">
        <v>317</v>
      </c>
      <c r="AP97" t="s">
        <v>1595</v>
      </c>
    </row>
    <row r="98" spans="1:42">
      <c r="J98" t="s">
        <v>992</v>
      </c>
      <c r="K98">
        <v>0.61</v>
      </c>
      <c r="L98" s="52">
        <f>LPDWATT[[#This Row],[Coincidence Factor CF]]</f>
        <v>0.67</v>
      </c>
      <c r="M98" t="s">
        <v>1337</v>
      </c>
      <c r="N98">
        <v>3379</v>
      </c>
      <c r="O98">
        <v>3612</v>
      </c>
      <c r="P98">
        <v>1.08</v>
      </c>
      <c r="Q98">
        <v>1.3</v>
      </c>
      <c r="R98">
        <v>0.67</v>
      </c>
      <c r="S98">
        <v>1.4999999999999999E-2</v>
      </c>
      <c r="T98">
        <v>0.35399999999999998</v>
      </c>
      <c r="U98">
        <v>0.154</v>
      </c>
      <c r="W98" t="s">
        <v>1674</v>
      </c>
      <c r="X98" s="114">
        <v>0.7</v>
      </c>
      <c r="Y98">
        <v>6138</v>
      </c>
      <c r="Z98">
        <v>5950</v>
      </c>
      <c r="AA98">
        <v>1.2</v>
      </c>
      <c r="AB98">
        <v>1.24</v>
      </c>
      <c r="AC98">
        <v>0.9</v>
      </c>
      <c r="AD98">
        <v>5.0000000000000001E-3</v>
      </c>
      <c r="AE98">
        <v>0.109</v>
      </c>
      <c r="AF98">
        <v>4.7E-2</v>
      </c>
      <c r="AG98">
        <v>5168</v>
      </c>
      <c r="AH98">
        <v>6823</v>
      </c>
      <c r="AI98">
        <v>558</v>
      </c>
      <c r="AJ98">
        <v>1383</v>
      </c>
      <c r="AK98">
        <v>8760</v>
      </c>
      <c r="AO98" t="s">
        <v>318</v>
      </c>
      <c r="AP98" t="s">
        <v>1660</v>
      </c>
    </row>
    <row r="99" spans="1:42">
      <c r="A99" t="s">
        <v>1699</v>
      </c>
      <c r="J99" t="s">
        <v>328</v>
      </c>
      <c r="K99">
        <v>0.48</v>
      </c>
      <c r="L99" s="52">
        <f>LPDWATT[[#This Row],[Coincidence Factor CF]]</f>
        <v>0.85</v>
      </c>
      <c r="M99" t="s">
        <v>1338</v>
      </c>
      <c r="N99">
        <v>3135</v>
      </c>
      <c r="O99">
        <v>4293</v>
      </c>
      <c r="P99">
        <v>1.02</v>
      </c>
      <c r="Q99">
        <v>1.17</v>
      </c>
      <c r="R99">
        <v>0.85</v>
      </c>
      <c r="S99">
        <v>1.6E-2</v>
      </c>
      <c r="T99">
        <v>0.378</v>
      </c>
      <c r="U99">
        <v>0.16400000000000001</v>
      </c>
      <c r="W99" t="s">
        <v>1675</v>
      </c>
      <c r="X99" s="114">
        <v>0.7</v>
      </c>
      <c r="Y99">
        <v>5216</v>
      </c>
      <c r="Z99">
        <v>777</v>
      </c>
      <c r="AA99">
        <v>1.1100000000000001</v>
      </c>
      <c r="AB99">
        <v>1.1599999999999999</v>
      </c>
      <c r="AC99">
        <v>0.62</v>
      </c>
      <c r="AD99">
        <v>2.1000000000000001E-2</v>
      </c>
      <c r="AE99">
        <v>0.48399999999999999</v>
      </c>
      <c r="AF99">
        <v>0.21099999999999999</v>
      </c>
      <c r="AG99">
        <v>6011</v>
      </c>
      <c r="AH99">
        <v>4996</v>
      </c>
      <c r="AI99">
        <v>558</v>
      </c>
      <c r="AJ99">
        <v>1383</v>
      </c>
      <c r="AK99">
        <v>8760</v>
      </c>
      <c r="AO99" t="s">
        <v>318</v>
      </c>
      <c r="AP99" t="s">
        <v>1689</v>
      </c>
    </row>
    <row r="100" spans="1:42">
      <c r="A100" t="s">
        <v>2150</v>
      </c>
      <c r="J100" t="s">
        <v>995</v>
      </c>
      <c r="K100">
        <v>0.9</v>
      </c>
      <c r="L100" s="52">
        <v>0.67</v>
      </c>
      <c r="M100" t="s">
        <v>1337</v>
      </c>
      <c r="N100">
        <v>3379</v>
      </c>
      <c r="O100">
        <v>3612</v>
      </c>
      <c r="P100">
        <v>1.08</v>
      </c>
      <c r="Q100">
        <v>1.3</v>
      </c>
      <c r="R100">
        <v>0.67</v>
      </c>
      <c r="S100">
        <v>1.4999999999999999E-2</v>
      </c>
      <c r="T100">
        <v>0.35399999999999998</v>
      </c>
      <c r="U100">
        <v>0.154</v>
      </c>
      <c r="W100" t="s">
        <v>1678</v>
      </c>
      <c r="X100" s="114">
        <v>1.2</v>
      </c>
      <c r="Y100">
        <v>3506</v>
      </c>
      <c r="Z100">
        <v>3088</v>
      </c>
      <c r="AA100">
        <v>1.1100000000000001</v>
      </c>
      <c r="AB100">
        <v>1.38</v>
      </c>
      <c r="AC100">
        <v>0.53</v>
      </c>
      <c r="AD100">
        <v>2.9000000000000001E-2</v>
      </c>
      <c r="AE100">
        <v>0.67300000000000004</v>
      </c>
      <c r="AF100">
        <v>0.29299999999999998</v>
      </c>
      <c r="AG100">
        <v>5063</v>
      </c>
      <c r="AH100">
        <v>2120</v>
      </c>
      <c r="AI100">
        <v>1036</v>
      </c>
      <c r="AJ100">
        <v>745</v>
      </c>
      <c r="AK100">
        <v>7505</v>
      </c>
      <c r="AO100" t="s">
        <v>318</v>
      </c>
      <c r="AP100" t="s">
        <v>1688</v>
      </c>
    </row>
    <row r="101" spans="1:42">
      <c r="A101" t="s">
        <v>1700</v>
      </c>
      <c r="W101" t="s">
        <v>1682</v>
      </c>
      <c r="X101" s="114">
        <v>1</v>
      </c>
      <c r="Y101">
        <v>2886</v>
      </c>
      <c r="Z101">
        <v>3088</v>
      </c>
      <c r="AA101">
        <v>1</v>
      </c>
      <c r="AB101">
        <v>1.07</v>
      </c>
      <c r="AC101">
        <v>0.56999999999999995</v>
      </c>
      <c r="AD101">
        <v>3.9E-2</v>
      </c>
      <c r="AE101">
        <v>0.90500000000000003</v>
      </c>
      <c r="AF101">
        <v>0.39400000000000002</v>
      </c>
      <c r="AG101">
        <v>5361</v>
      </c>
      <c r="AH101">
        <v>4849</v>
      </c>
      <c r="AI101">
        <v>1432</v>
      </c>
      <c r="AJ101">
        <v>937</v>
      </c>
      <c r="AK101">
        <v>2279</v>
      </c>
      <c r="AO101" t="s">
        <v>318</v>
      </c>
      <c r="AP101" t="s">
        <v>968</v>
      </c>
    </row>
    <row r="102" spans="1:42">
      <c r="A102" t="s">
        <v>1625</v>
      </c>
      <c r="W102" t="s">
        <v>1679</v>
      </c>
      <c r="X102" s="114">
        <v>1</v>
      </c>
      <c r="Y102">
        <v>2886</v>
      </c>
      <c r="Z102">
        <v>3088</v>
      </c>
      <c r="AA102">
        <v>1.22</v>
      </c>
      <c r="AB102">
        <v>1.3</v>
      </c>
      <c r="AC102">
        <v>0.6</v>
      </c>
      <c r="AD102">
        <v>6.0000000000000001E-3</v>
      </c>
      <c r="AE102">
        <v>0.14899999999999999</v>
      </c>
      <c r="AF102">
        <v>6.5000000000000002E-2</v>
      </c>
      <c r="AG102">
        <v>4202</v>
      </c>
      <c r="AH102">
        <v>6049</v>
      </c>
      <c r="AI102">
        <v>1051</v>
      </c>
      <c r="AJ102">
        <v>1404</v>
      </c>
      <c r="AK102">
        <v>5303</v>
      </c>
      <c r="AO102" t="s">
        <v>318</v>
      </c>
      <c r="AP102" t="s">
        <v>1504</v>
      </c>
    </row>
    <row r="103" spans="1:42">
      <c r="H103" t="s">
        <v>2570</v>
      </c>
      <c r="W103" t="s">
        <v>1680</v>
      </c>
      <c r="X103" s="114">
        <v>1</v>
      </c>
      <c r="Y103">
        <v>2886</v>
      </c>
      <c r="Z103">
        <v>3088</v>
      </c>
      <c r="AA103">
        <v>1.21</v>
      </c>
      <c r="AB103">
        <v>1.17</v>
      </c>
      <c r="AC103">
        <v>0.6</v>
      </c>
      <c r="AD103">
        <v>7.0000000000000001E-3</v>
      </c>
      <c r="AE103">
        <v>0.153</v>
      </c>
      <c r="AF103">
        <v>3.6999999999999998E-2</v>
      </c>
      <c r="AG103">
        <v>4600</v>
      </c>
      <c r="AH103">
        <v>5341</v>
      </c>
      <c r="AI103">
        <v>2625</v>
      </c>
      <c r="AJ103">
        <v>1116</v>
      </c>
      <c r="AK103">
        <v>1648</v>
      </c>
      <c r="AO103" t="s">
        <v>318</v>
      </c>
      <c r="AP103" t="s">
        <v>1505</v>
      </c>
    </row>
    <row r="104" spans="1:42" ht="69" customHeight="1">
      <c r="A104" s="569" t="s">
        <v>2107</v>
      </c>
      <c r="H104" s="645" t="s">
        <v>2549</v>
      </c>
      <c r="I104" s="647" t="s">
        <v>2550</v>
      </c>
      <c r="J104" s="646" t="s">
        <v>2551</v>
      </c>
      <c r="K104" s="647" t="s">
        <v>2552</v>
      </c>
      <c r="L104" s="647" t="s">
        <v>2554</v>
      </c>
      <c r="M104" s="647" t="s">
        <v>2553</v>
      </c>
      <c r="N104" s="9" t="s">
        <v>1221</v>
      </c>
      <c r="O104" s="9" t="s">
        <v>1644</v>
      </c>
      <c r="P104" s="9" t="s">
        <v>1646</v>
      </c>
      <c r="Q104" s="9" t="s">
        <v>1647</v>
      </c>
      <c r="R104" s="9" t="s">
        <v>1648</v>
      </c>
      <c r="S104" s="9" t="s">
        <v>1649</v>
      </c>
      <c r="T104" s="9" t="s">
        <v>1694</v>
      </c>
      <c r="U104" s="9" t="s">
        <v>1650</v>
      </c>
      <c r="W104" t="s">
        <v>1681</v>
      </c>
      <c r="X104" s="114">
        <v>1</v>
      </c>
      <c r="Y104">
        <v>2886</v>
      </c>
      <c r="Z104">
        <v>3088</v>
      </c>
      <c r="AA104">
        <v>1.06</v>
      </c>
      <c r="AB104">
        <v>1.65</v>
      </c>
      <c r="AC104">
        <v>0.6</v>
      </c>
      <c r="AD104">
        <v>1.4999999999999999E-2</v>
      </c>
      <c r="AE104">
        <v>0.34499999999999997</v>
      </c>
      <c r="AF104">
        <v>0.15</v>
      </c>
      <c r="AG104">
        <v>5646</v>
      </c>
      <c r="AH104">
        <v>6414</v>
      </c>
      <c r="AI104">
        <v>993</v>
      </c>
      <c r="AJ104">
        <v>887</v>
      </c>
      <c r="AK104">
        <v>2369</v>
      </c>
      <c r="AO104" t="s">
        <v>318</v>
      </c>
      <c r="AP104" t="s">
        <v>1206</v>
      </c>
    </row>
    <row r="105" spans="1:42">
      <c r="A105" s="560" t="s">
        <v>2108</v>
      </c>
      <c r="H105" s="643" t="s">
        <v>2550</v>
      </c>
      <c r="I105" t="s">
        <v>967</v>
      </c>
      <c r="J105" t="s">
        <v>2436</v>
      </c>
      <c r="K105">
        <v>0.03</v>
      </c>
      <c r="L105">
        <v>0.71</v>
      </c>
      <c r="N105">
        <v>0.67</v>
      </c>
      <c r="O105">
        <v>3379</v>
      </c>
      <c r="P105">
        <v>1.08</v>
      </c>
      <c r="Q105">
        <v>1.3</v>
      </c>
      <c r="R105">
        <v>0.67</v>
      </c>
      <c r="S105">
        <v>1.4999999999999999E-2</v>
      </c>
      <c r="T105">
        <v>0.35399999999999998</v>
      </c>
      <c r="U105">
        <v>0.154</v>
      </c>
      <c r="W105" t="s">
        <v>1683</v>
      </c>
      <c r="X105" s="114">
        <v>1</v>
      </c>
      <c r="Y105">
        <v>2698</v>
      </c>
      <c r="Z105">
        <v>3088</v>
      </c>
      <c r="AA105">
        <v>1.1000000000000001</v>
      </c>
      <c r="AB105">
        <v>1.26</v>
      </c>
      <c r="AC105">
        <v>0.52</v>
      </c>
      <c r="AD105">
        <v>0.01</v>
      </c>
      <c r="AE105">
        <v>0.23100000000000001</v>
      </c>
      <c r="AF105">
        <v>0.1</v>
      </c>
      <c r="AG105">
        <v>3834</v>
      </c>
      <c r="AH105">
        <v>3835</v>
      </c>
      <c r="AI105">
        <v>1629</v>
      </c>
      <c r="AJ105">
        <v>1796</v>
      </c>
      <c r="AK105">
        <v>6345</v>
      </c>
      <c r="AO105" t="s">
        <v>318</v>
      </c>
      <c r="AP105" t="s">
        <v>990</v>
      </c>
    </row>
    <row r="106" spans="1:42">
      <c r="A106" s="570" t="s">
        <v>2109</v>
      </c>
      <c r="H106" s="644" t="s">
        <v>2551</v>
      </c>
      <c r="I106" t="s">
        <v>969</v>
      </c>
      <c r="J106" t="s">
        <v>2435</v>
      </c>
      <c r="K106">
        <v>0.4</v>
      </c>
      <c r="L106">
        <v>0.76</v>
      </c>
      <c r="N106">
        <v>0.67</v>
      </c>
      <c r="O106">
        <v>3379</v>
      </c>
      <c r="P106">
        <v>1.08</v>
      </c>
      <c r="Q106">
        <v>1.3</v>
      </c>
      <c r="R106">
        <v>0.67</v>
      </c>
      <c r="S106">
        <v>1.4999999999999999E-2</v>
      </c>
      <c r="T106">
        <v>0.35399999999999998</v>
      </c>
      <c r="U106">
        <v>0.154</v>
      </c>
      <c r="W106" t="s">
        <v>1684</v>
      </c>
      <c r="X106" s="114">
        <v>1</v>
      </c>
      <c r="Y106">
        <v>3266</v>
      </c>
      <c r="Z106">
        <v>3088</v>
      </c>
      <c r="AA106">
        <v>1.1000000000000001</v>
      </c>
      <c r="AB106">
        <v>1.36</v>
      </c>
      <c r="AC106">
        <v>0.6</v>
      </c>
      <c r="AD106">
        <v>1.6E-2</v>
      </c>
      <c r="AE106">
        <v>0.378</v>
      </c>
      <c r="AF106">
        <v>0.16400000000000001</v>
      </c>
      <c r="AG106">
        <v>6119</v>
      </c>
      <c r="AH106">
        <v>3040</v>
      </c>
      <c r="AI106">
        <v>1328</v>
      </c>
      <c r="AJ106">
        <v>1128</v>
      </c>
      <c r="AK106">
        <v>3440</v>
      </c>
      <c r="AO106" t="s">
        <v>318</v>
      </c>
      <c r="AP106" t="s">
        <v>993</v>
      </c>
    </row>
    <row r="107" spans="1:42">
      <c r="I107" t="s">
        <v>970</v>
      </c>
      <c r="J107" t="s">
        <v>2444</v>
      </c>
      <c r="K107">
        <v>0.43</v>
      </c>
      <c r="L107">
        <v>0.9</v>
      </c>
      <c r="N107">
        <v>0.67</v>
      </c>
      <c r="O107">
        <v>3379</v>
      </c>
      <c r="P107">
        <v>1.08</v>
      </c>
      <c r="Q107">
        <v>1.3</v>
      </c>
      <c r="R107">
        <v>0.67</v>
      </c>
      <c r="S107">
        <v>1.4999999999999999E-2</v>
      </c>
      <c r="T107">
        <v>0.35399999999999998</v>
      </c>
      <c r="U107">
        <v>0.154</v>
      </c>
      <c r="W107" t="s">
        <v>1692</v>
      </c>
      <c r="Y107">
        <v>5802</v>
      </c>
      <c r="AA107">
        <v>1.29</v>
      </c>
      <c r="AB107">
        <v>1.29</v>
      </c>
      <c r="AC107">
        <v>1</v>
      </c>
      <c r="AD107">
        <v>0</v>
      </c>
      <c r="AE107">
        <v>0</v>
      </c>
      <c r="AF107">
        <v>0</v>
      </c>
      <c r="AG107">
        <v>0</v>
      </c>
      <c r="AH107">
        <v>0</v>
      </c>
      <c r="AI107">
        <v>0</v>
      </c>
      <c r="AJ107">
        <v>0</v>
      </c>
      <c r="AK107">
        <v>0</v>
      </c>
      <c r="AO107" t="s">
        <v>318</v>
      </c>
      <c r="AP107" t="s">
        <v>994</v>
      </c>
    </row>
    <row r="108" spans="1:42">
      <c r="I108" t="s">
        <v>971</v>
      </c>
      <c r="J108" t="s">
        <v>2437</v>
      </c>
      <c r="K108">
        <v>0.63</v>
      </c>
      <c r="L108">
        <v>0.9</v>
      </c>
      <c r="N108">
        <v>0.67</v>
      </c>
      <c r="O108">
        <v>3379</v>
      </c>
      <c r="P108">
        <v>1.08</v>
      </c>
      <c r="Q108">
        <v>1.3</v>
      </c>
      <c r="R108">
        <v>0.67</v>
      </c>
      <c r="S108">
        <v>1.4999999999999999E-2</v>
      </c>
      <c r="T108">
        <v>0.35399999999999998</v>
      </c>
      <c r="U108">
        <v>0.154</v>
      </c>
      <c r="W108" t="s">
        <v>988</v>
      </c>
      <c r="X108">
        <v>1.3</v>
      </c>
      <c r="Y108">
        <v>2085</v>
      </c>
      <c r="Z108">
        <v>1664</v>
      </c>
      <c r="AA108">
        <v>1.1200000000000001</v>
      </c>
      <c r="AB108">
        <v>1.37</v>
      </c>
      <c r="AC108">
        <v>0.48</v>
      </c>
      <c r="AD108">
        <v>1.4999999999999999E-2</v>
      </c>
      <c r="AE108">
        <v>0.35599999999999998</v>
      </c>
      <c r="AF108">
        <v>0.155</v>
      </c>
      <c r="AG108">
        <v>5199</v>
      </c>
      <c r="AH108">
        <v>2830</v>
      </c>
      <c r="AI108">
        <v>1504</v>
      </c>
      <c r="AJ108">
        <v>817</v>
      </c>
      <c r="AK108">
        <v>7380</v>
      </c>
      <c r="AO108" t="s">
        <v>318</v>
      </c>
      <c r="AP108" t="s">
        <v>1693</v>
      </c>
    </row>
    <row r="109" spans="1:42">
      <c r="I109" t="s">
        <v>972</v>
      </c>
      <c r="J109" t="s">
        <v>2438</v>
      </c>
      <c r="K109">
        <v>0.82</v>
      </c>
      <c r="L109">
        <v>0.79</v>
      </c>
      <c r="N109">
        <v>0.67</v>
      </c>
      <c r="O109">
        <v>3379</v>
      </c>
      <c r="P109">
        <v>1.08</v>
      </c>
      <c r="Q109">
        <v>1.3</v>
      </c>
      <c r="R109">
        <v>0.67</v>
      </c>
      <c r="S109">
        <v>1.4999999999999999E-2</v>
      </c>
      <c r="T109">
        <v>0.35399999999999998</v>
      </c>
      <c r="U109">
        <v>0.154</v>
      </c>
      <c r="W109" t="s">
        <v>1685</v>
      </c>
      <c r="X109">
        <v>1.6</v>
      </c>
      <c r="Y109">
        <v>5571</v>
      </c>
      <c r="Z109">
        <v>4784</v>
      </c>
      <c r="AA109">
        <v>1.08</v>
      </c>
      <c r="AB109">
        <v>1.1000000000000001</v>
      </c>
      <c r="AC109">
        <v>1</v>
      </c>
      <c r="AD109">
        <v>8.9999999999999993E-3</v>
      </c>
      <c r="AE109">
        <v>0.20799999999999999</v>
      </c>
      <c r="AF109">
        <v>0.09</v>
      </c>
      <c r="AG109">
        <v>3476</v>
      </c>
      <c r="AH109">
        <v>2305</v>
      </c>
      <c r="AI109">
        <v>1328</v>
      </c>
      <c r="AJ109">
        <v>1021</v>
      </c>
      <c r="AK109">
        <v>7302</v>
      </c>
      <c r="AO109" t="s">
        <v>318</v>
      </c>
      <c r="AP109" t="s">
        <v>1666</v>
      </c>
    </row>
    <row r="110" spans="1:42">
      <c r="I110" t="s">
        <v>973</v>
      </c>
      <c r="J110" t="s">
        <v>2439</v>
      </c>
      <c r="K110">
        <v>0.65</v>
      </c>
      <c r="L110">
        <v>0.78</v>
      </c>
      <c r="N110">
        <v>0.67</v>
      </c>
      <c r="O110">
        <v>3379</v>
      </c>
      <c r="P110">
        <v>1.08</v>
      </c>
      <c r="Q110">
        <v>1.3</v>
      </c>
      <c r="R110">
        <v>0.67</v>
      </c>
      <c r="S110">
        <v>1.4999999999999999E-2</v>
      </c>
      <c r="T110">
        <v>0.35399999999999998</v>
      </c>
      <c r="U110">
        <v>0.154</v>
      </c>
      <c r="W110" t="s">
        <v>1686</v>
      </c>
      <c r="X110">
        <v>1.5</v>
      </c>
      <c r="Y110">
        <v>4099</v>
      </c>
      <c r="Z110">
        <v>2935</v>
      </c>
      <c r="AA110">
        <v>1.06</v>
      </c>
      <c r="AB110">
        <v>1.06</v>
      </c>
      <c r="AC110">
        <v>0.94</v>
      </c>
      <c r="AD110">
        <v>1.4999999999999999E-2</v>
      </c>
      <c r="AE110">
        <v>0.34599999999999997</v>
      </c>
      <c r="AF110">
        <v>0.15</v>
      </c>
      <c r="AG110">
        <v>4249</v>
      </c>
      <c r="AH110">
        <v>2528</v>
      </c>
      <c r="AI110">
        <v>1322</v>
      </c>
      <c r="AJ110">
        <v>640</v>
      </c>
      <c r="AK110">
        <v>7155</v>
      </c>
      <c r="AO110" t="s">
        <v>318</v>
      </c>
      <c r="AP110" t="s">
        <v>1690</v>
      </c>
    </row>
    <row r="111" spans="1:42">
      <c r="I111" t="s">
        <v>974</v>
      </c>
      <c r="J111" t="s">
        <v>2440</v>
      </c>
      <c r="K111">
        <v>1.1399999999999999</v>
      </c>
      <c r="L111">
        <v>0.61</v>
      </c>
      <c r="N111">
        <v>0.67</v>
      </c>
      <c r="O111">
        <v>3379</v>
      </c>
      <c r="P111">
        <v>1.08</v>
      </c>
      <c r="Q111">
        <v>1.3</v>
      </c>
      <c r="R111">
        <v>0.67</v>
      </c>
      <c r="S111">
        <v>1.4999999999999999E-2</v>
      </c>
      <c r="T111">
        <v>0.35399999999999998</v>
      </c>
      <c r="U111">
        <v>0.154</v>
      </c>
      <c r="W111" t="s">
        <v>1687</v>
      </c>
      <c r="X111">
        <v>1.5</v>
      </c>
      <c r="Y111">
        <v>4093</v>
      </c>
      <c r="Z111">
        <v>2935</v>
      </c>
      <c r="AA111">
        <v>1.1200000000000001</v>
      </c>
      <c r="AB111">
        <v>1.29</v>
      </c>
      <c r="AC111">
        <v>0.71</v>
      </c>
      <c r="AD111">
        <v>1.9E-2</v>
      </c>
      <c r="AE111">
        <v>0.45</v>
      </c>
      <c r="AF111">
        <v>0.19600000000000001</v>
      </c>
      <c r="AG111">
        <v>4475</v>
      </c>
      <c r="AH111">
        <v>2266</v>
      </c>
      <c r="AI111">
        <v>1325</v>
      </c>
      <c r="AJ111">
        <v>720</v>
      </c>
      <c r="AK111">
        <v>6921</v>
      </c>
      <c r="AO111" t="s">
        <v>318</v>
      </c>
      <c r="AP111" t="s">
        <v>1692</v>
      </c>
    </row>
    <row r="112" spans="1:42">
      <c r="I112" t="s">
        <v>975</v>
      </c>
      <c r="J112" t="s">
        <v>2445</v>
      </c>
      <c r="K112">
        <v>0.43</v>
      </c>
      <c r="L112" s="9">
        <v>0.65</v>
      </c>
      <c r="N112">
        <v>0.67</v>
      </c>
      <c r="O112">
        <v>3379</v>
      </c>
      <c r="P112">
        <v>1.08</v>
      </c>
      <c r="Q112">
        <v>1.3</v>
      </c>
      <c r="R112">
        <v>0.67</v>
      </c>
      <c r="S112">
        <v>1.4999999999999999E-2</v>
      </c>
      <c r="T112">
        <v>0.35399999999999998</v>
      </c>
      <c r="U112">
        <v>0.154</v>
      </c>
      <c r="W112" t="s">
        <v>1691</v>
      </c>
      <c r="X112" s="114">
        <v>0.8</v>
      </c>
      <c r="Y112">
        <v>3135</v>
      </c>
      <c r="AA112">
        <v>1</v>
      </c>
      <c r="AB112">
        <v>1</v>
      </c>
      <c r="AC112">
        <v>0.66</v>
      </c>
      <c r="AD112">
        <v>1.4E-2</v>
      </c>
      <c r="AE112">
        <v>0.32</v>
      </c>
      <c r="AF112">
        <v>0.16</v>
      </c>
      <c r="AG112">
        <v>0</v>
      </c>
      <c r="AH112">
        <v>0</v>
      </c>
      <c r="AI112">
        <v>0</v>
      </c>
      <c r="AJ112">
        <v>0</v>
      </c>
      <c r="AK112">
        <v>0</v>
      </c>
      <c r="AO112" t="s">
        <v>318</v>
      </c>
      <c r="AP112" t="s">
        <v>1686</v>
      </c>
    </row>
    <row r="113" spans="9:42">
      <c r="I113" t="s">
        <v>968</v>
      </c>
      <c r="J113" t="s">
        <v>2441</v>
      </c>
      <c r="K113">
        <v>0.28000000000000003</v>
      </c>
      <c r="L113">
        <v>0.4</v>
      </c>
      <c r="N113">
        <v>0.67</v>
      </c>
      <c r="O113">
        <v>3379</v>
      </c>
      <c r="P113">
        <v>1.08</v>
      </c>
      <c r="Q113">
        <v>1.3</v>
      </c>
      <c r="R113">
        <v>0.67</v>
      </c>
      <c r="S113">
        <v>1.4999999999999999E-2</v>
      </c>
      <c r="T113">
        <v>0.35399999999999998</v>
      </c>
      <c r="U113">
        <v>0.154</v>
      </c>
      <c r="W113" t="s">
        <v>1595</v>
      </c>
      <c r="X113">
        <v>0.8</v>
      </c>
      <c r="Y113">
        <v>3379</v>
      </c>
      <c r="Z113">
        <v>3612</v>
      </c>
      <c r="AA113">
        <v>1.08</v>
      </c>
      <c r="AB113">
        <v>1.3</v>
      </c>
      <c r="AC113">
        <v>0.67</v>
      </c>
      <c r="AD113">
        <v>1.4999999999999999E-2</v>
      </c>
      <c r="AE113">
        <v>0.35399999999999998</v>
      </c>
      <c r="AF113">
        <v>0.154</v>
      </c>
      <c r="AG113">
        <v>5038</v>
      </c>
      <c r="AH113">
        <v>2987</v>
      </c>
      <c r="AI113">
        <v>1678</v>
      </c>
      <c r="AJ113">
        <v>1019</v>
      </c>
      <c r="AK113">
        <v>6241</v>
      </c>
      <c r="AO113" t="s">
        <v>318</v>
      </c>
      <c r="AP113" t="s">
        <v>1687</v>
      </c>
    </row>
    <row r="114" spans="9:42">
      <c r="I114" t="s">
        <v>2246</v>
      </c>
      <c r="J114" t="s">
        <v>2442</v>
      </c>
      <c r="K114">
        <v>2.0299999999999998</v>
      </c>
      <c r="L114">
        <v>0.113</v>
      </c>
      <c r="N114">
        <v>0.67</v>
      </c>
      <c r="O114">
        <v>3379</v>
      </c>
      <c r="P114">
        <v>1.08</v>
      </c>
      <c r="Q114">
        <v>1.3</v>
      </c>
      <c r="R114">
        <v>0.67</v>
      </c>
      <c r="S114">
        <v>1.4999999999999999E-2</v>
      </c>
      <c r="T114">
        <v>0.35399999999999998</v>
      </c>
      <c r="U114">
        <v>0.154</v>
      </c>
      <c r="W114" t="s">
        <v>328</v>
      </c>
      <c r="X114">
        <v>0.8</v>
      </c>
      <c r="Y114">
        <v>3135</v>
      </c>
      <c r="Z114">
        <v>4293</v>
      </c>
      <c r="AA114">
        <v>1.02</v>
      </c>
      <c r="AB114">
        <v>1.17</v>
      </c>
      <c r="AC114">
        <v>0.85</v>
      </c>
      <c r="AD114">
        <v>1.6E-2</v>
      </c>
      <c r="AE114">
        <v>0.378</v>
      </c>
      <c r="AF114">
        <v>0.16400000000000001</v>
      </c>
      <c r="AG114">
        <v>4606</v>
      </c>
      <c r="AH114">
        <v>770</v>
      </c>
      <c r="AI114">
        <v>1286</v>
      </c>
      <c r="AJ114">
        <v>265</v>
      </c>
      <c r="AK114">
        <v>6832</v>
      </c>
      <c r="AO114" t="s">
        <v>318</v>
      </c>
      <c r="AP114" t="s">
        <v>1595</v>
      </c>
    </row>
    <row r="115" spans="9:42">
      <c r="I115" t="s">
        <v>1505</v>
      </c>
      <c r="J115" t="s">
        <v>2443</v>
      </c>
      <c r="K115">
        <v>1.53</v>
      </c>
      <c r="L115">
        <v>0.35</v>
      </c>
      <c r="N115">
        <v>0.67</v>
      </c>
      <c r="O115">
        <v>3379</v>
      </c>
      <c r="P115">
        <v>1.08</v>
      </c>
      <c r="Q115">
        <v>1.3</v>
      </c>
      <c r="R115">
        <v>0.67</v>
      </c>
      <c r="S115">
        <v>1.4999999999999999E-2</v>
      </c>
      <c r="T115">
        <v>0.35399999999999998</v>
      </c>
      <c r="U115">
        <v>0.154</v>
      </c>
      <c r="AO115" t="s">
        <v>319</v>
      </c>
      <c r="AP115" t="s">
        <v>1663</v>
      </c>
    </row>
    <row r="116" spans="9:42">
      <c r="I116" t="s">
        <v>1206</v>
      </c>
      <c r="J116" t="s">
        <v>2446</v>
      </c>
      <c r="K116">
        <v>0.86</v>
      </c>
      <c r="L116">
        <v>0.06</v>
      </c>
      <c r="N116">
        <v>0.6</v>
      </c>
      <c r="O116">
        <v>3266</v>
      </c>
      <c r="P116">
        <v>1.1000000000000001</v>
      </c>
      <c r="Q116">
        <v>1.36</v>
      </c>
      <c r="R116">
        <v>0.6</v>
      </c>
      <c r="S116">
        <v>1.6E-2</v>
      </c>
      <c r="T116">
        <v>0.378</v>
      </c>
      <c r="U116">
        <v>0.16400000000000001</v>
      </c>
      <c r="AO116" t="s">
        <v>319</v>
      </c>
      <c r="AP116" t="s">
        <v>1689</v>
      </c>
    </row>
    <row r="117" spans="9:42">
      <c r="I117" t="s">
        <v>990</v>
      </c>
      <c r="J117" t="s">
        <v>2448</v>
      </c>
      <c r="K117">
        <v>0.96</v>
      </c>
      <c r="L117">
        <v>0.7</v>
      </c>
      <c r="N117">
        <v>0.65</v>
      </c>
      <c r="O117">
        <v>3308</v>
      </c>
      <c r="P117">
        <v>1.1499999999999999</v>
      </c>
      <c r="Q117">
        <v>1.4</v>
      </c>
      <c r="R117">
        <v>0.65</v>
      </c>
      <c r="S117">
        <v>1.0999999999999999E-2</v>
      </c>
      <c r="T117">
        <v>0.249</v>
      </c>
      <c r="U117">
        <v>0.108</v>
      </c>
      <c r="AO117" t="s">
        <v>319</v>
      </c>
      <c r="AP117" t="s">
        <v>1688</v>
      </c>
    </row>
    <row r="118" spans="9:42">
      <c r="I118" t="s">
        <v>993</v>
      </c>
      <c r="J118" t="s">
        <v>2447</v>
      </c>
      <c r="K118">
        <v>1.34</v>
      </c>
      <c r="L118">
        <v>0.6</v>
      </c>
      <c r="N118">
        <v>0.65</v>
      </c>
      <c r="O118">
        <v>3308</v>
      </c>
      <c r="P118">
        <v>1.1499999999999999</v>
      </c>
      <c r="Q118">
        <v>1.4</v>
      </c>
      <c r="R118">
        <v>0.65</v>
      </c>
      <c r="S118">
        <v>1.0999999999999999E-2</v>
      </c>
      <c r="T118">
        <v>0.249</v>
      </c>
      <c r="U118">
        <v>0.108</v>
      </c>
      <c r="AO118" t="s">
        <v>319</v>
      </c>
      <c r="AP118" t="s">
        <v>968</v>
      </c>
    </row>
    <row r="119" spans="9:42">
      <c r="I119" t="s">
        <v>994</v>
      </c>
      <c r="J119" t="s">
        <v>2449</v>
      </c>
      <c r="K119">
        <v>1.33</v>
      </c>
      <c r="L119">
        <v>0.11</v>
      </c>
      <c r="N119">
        <v>0.67</v>
      </c>
      <c r="O119">
        <v>3379</v>
      </c>
      <c r="P119">
        <v>1.08</v>
      </c>
      <c r="Q119">
        <v>1.3</v>
      </c>
      <c r="R119">
        <v>0.67</v>
      </c>
      <c r="S119">
        <v>1.4999999999999999E-2</v>
      </c>
      <c r="T119">
        <v>0.35399999999999998</v>
      </c>
      <c r="U119">
        <v>0.154</v>
      </c>
      <c r="AO119" t="s">
        <v>319</v>
      </c>
      <c r="AP119" t="s">
        <v>1504</v>
      </c>
    </row>
    <row r="120" spans="9:42">
      <c r="I120" t="s">
        <v>2243</v>
      </c>
      <c r="J120" t="s">
        <v>2450</v>
      </c>
      <c r="K120">
        <v>1.08</v>
      </c>
      <c r="L120">
        <v>0.53</v>
      </c>
      <c r="N120">
        <v>0.6</v>
      </c>
      <c r="O120">
        <v>3266</v>
      </c>
      <c r="P120">
        <v>1.1000000000000001</v>
      </c>
      <c r="Q120">
        <v>1.36</v>
      </c>
      <c r="R120">
        <v>0.6</v>
      </c>
      <c r="S120">
        <v>1.6E-2</v>
      </c>
      <c r="T120">
        <v>0.378</v>
      </c>
      <c r="U120">
        <v>0.16400000000000001</v>
      </c>
      <c r="AO120" t="s">
        <v>319</v>
      </c>
      <c r="AP120" t="s">
        <v>1505</v>
      </c>
    </row>
    <row r="121" spans="9:42">
      <c r="I121" t="s">
        <v>976</v>
      </c>
      <c r="J121" t="s">
        <v>2490</v>
      </c>
      <c r="K121">
        <v>0.88</v>
      </c>
      <c r="L121">
        <v>0.68</v>
      </c>
      <c r="N121">
        <v>0.67</v>
      </c>
      <c r="O121">
        <v>3379</v>
      </c>
      <c r="P121">
        <v>1.08</v>
      </c>
      <c r="Q121">
        <v>1.3</v>
      </c>
      <c r="R121">
        <v>0.67</v>
      </c>
      <c r="S121">
        <v>1.4999999999999999E-2</v>
      </c>
      <c r="T121">
        <v>0.35399999999999998</v>
      </c>
      <c r="U121">
        <v>0.154</v>
      </c>
      <c r="AO121" t="s">
        <v>319</v>
      </c>
      <c r="AP121" t="s">
        <v>1206</v>
      </c>
    </row>
    <row r="122" spans="9:42">
      <c r="I122" t="s">
        <v>977</v>
      </c>
      <c r="J122" t="s">
        <v>2451</v>
      </c>
      <c r="K122">
        <v>0.56000000000000005</v>
      </c>
      <c r="L122">
        <v>0.82</v>
      </c>
      <c r="N122">
        <v>0.6</v>
      </c>
      <c r="O122">
        <v>3266</v>
      </c>
      <c r="P122">
        <v>1.1000000000000001</v>
      </c>
      <c r="Q122">
        <v>1.36</v>
      </c>
      <c r="R122">
        <v>0.6</v>
      </c>
      <c r="S122">
        <v>1.6E-2</v>
      </c>
      <c r="T122">
        <v>0.378</v>
      </c>
      <c r="U122">
        <v>0.16400000000000001</v>
      </c>
      <c r="AO122" t="s">
        <v>319</v>
      </c>
      <c r="AP122" t="s">
        <v>990</v>
      </c>
    </row>
    <row r="123" spans="9:42">
      <c r="I123" t="s">
        <v>978</v>
      </c>
      <c r="J123" t="s">
        <v>2452</v>
      </c>
      <c r="K123">
        <v>0.92</v>
      </c>
      <c r="L123">
        <v>1.05</v>
      </c>
      <c r="N123">
        <v>0.67</v>
      </c>
      <c r="O123">
        <v>3379</v>
      </c>
      <c r="P123">
        <v>1.08</v>
      </c>
      <c r="Q123">
        <v>1.3</v>
      </c>
      <c r="R123">
        <v>0.67</v>
      </c>
      <c r="S123">
        <v>1.4999999999999999E-2</v>
      </c>
      <c r="T123">
        <v>0.35399999999999998</v>
      </c>
      <c r="U123">
        <v>0.154</v>
      </c>
      <c r="AO123" t="s">
        <v>319</v>
      </c>
      <c r="AP123" t="s">
        <v>993</v>
      </c>
    </row>
    <row r="124" spans="9:42">
      <c r="I124" t="s">
        <v>979</v>
      </c>
      <c r="J124" t="s">
        <v>2454</v>
      </c>
      <c r="K124">
        <v>0.92</v>
      </c>
      <c r="L124">
        <v>0.75</v>
      </c>
      <c r="N124">
        <v>0.67</v>
      </c>
      <c r="O124">
        <v>3379</v>
      </c>
      <c r="P124">
        <v>1.08</v>
      </c>
      <c r="Q124">
        <v>1.3</v>
      </c>
      <c r="R124">
        <v>0.67</v>
      </c>
      <c r="S124">
        <v>1.4999999999999999E-2</v>
      </c>
      <c r="T124">
        <v>0.35399999999999998</v>
      </c>
      <c r="U124">
        <v>0.154</v>
      </c>
      <c r="AO124" t="s">
        <v>319</v>
      </c>
      <c r="AP124" t="s">
        <v>994</v>
      </c>
    </row>
    <row r="125" spans="9:42">
      <c r="I125" t="s">
        <v>980</v>
      </c>
      <c r="J125" t="s">
        <v>2455</v>
      </c>
      <c r="K125">
        <v>0.28999999999999998</v>
      </c>
      <c r="L125">
        <v>1.19</v>
      </c>
      <c r="N125">
        <v>0.67</v>
      </c>
      <c r="O125">
        <v>3379</v>
      </c>
      <c r="P125">
        <v>1.08</v>
      </c>
      <c r="Q125">
        <v>1.3</v>
      </c>
      <c r="R125">
        <v>0.67</v>
      </c>
      <c r="S125">
        <v>1.4999999999999999E-2</v>
      </c>
      <c r="T125">
        <v>0.35399999999999998</v>
      </c>
      <c r="U125">
        <v>0.154</v>
      </c>
      <c r="AO125" t="s">
        <v>319</v>
      </c>
      <c r="AP125" t="s">
        <v>1667</v>
      </c>
    </row>
    <row r="126" spans="9:42">
      <c r="I126" t="s">
        <v>1673</v>
      </c>
      <c r="J126" t="s">
        <v>2453</v>
      </c>
      <c r="K126">
        <v>0.66</v>
      </c>
      <c r="L126">
        <v>0.9</v>
      </c>
      <c r="N126">
        <v>0.67</v>
      </c>
      <c r="O126">
        <v>3379</v>
      </c>
      <c r="P126">
        <v>1.08</v>
      </c>
      <c r="Q126">
        <v>1.3</v>
      </c>
      <c r="R126">
        <v>0.67</v>
      </c>
      <c r="S126">
        <v>1.4999999999999999E-2</v>
      </c>
      <c r="T126">
        <v>0.35399999999999998</v>
      </c>
      <c r="U126">
        <v>0.154</v>
      </c>
      <c r="AO126" t="s">
        <v>319</v>
      </c>
      <c r="AP126" t="s">
        <v>1674</v>
      </c>
    </row>
    <row r="127" spans="9:42">
      <c r="I127" t="s">
        <v>981</v>
      </c>
      <c r="J127" t="s">
        <v>2456</v>
      </c>
      <c r="K127">
        <v>1.39</v>
      </c>
      <c r="L127">
        <v>0.75</v>
      </c>
      <c r="N127">
        <v>0.67</v>
      </c>
      <c r="O127">
        <v>3379</v>
      </c>
      <c r="P127">
        <v>1.08</v>
      </c>
      <c r="Q127">
        <v>1.3</v>
      </c>
      <c r="R127">
        <v>0.67</v>
      </c>
      <c r="S127">
        <v>1.4999999999999999E-2</v>
      </c>
      <c r="T127">
        <v>0.35399999999999998</v>
      </c>
      <c r="U127">
        <v>0.154</v>
      </c>
      <c r="AO127" t="s">
        <v>319</v>
      </c>
      <c r="AP127" t="s">
        <v>1675</v>
      </c>
    </row>
    <row r="128" spans="9:42">
      <c r="I128" t="s">
        <v>982</v>
      </c>
      <c r="J128" t="s">
        <v>2457</v>
      </c>
      <c r="K128">
        <v>0.93</v>
      </c>
      <c r="L128">
        <v>0.83</v>
      </c>
      <c r="N128">
        <v>1</v>
      </c>
      <c r="O128">
        <v>5571</v>
      </c>
      <c r="P128">
        <v>1.08</v>
      </c>
      <c r="Q128">
        <v>1.1000000000000001</v>
      </c>
      <c r="R128">
        <v>1</v>
      </c>
      <c r="S128">
        <v>8.9999999999999993E-3</v>
      </c>
      <c r="T128">
        <v>0.20799999999999999</v>
      </c>
      <c r="U128">
        <v>0.09</v>
      </c>
      <c r="AO128" t="s">
        <v>319</v>
      </c>
      <c r="AP128" t="s">
        <v>1682</v>
      </c>
    </row>
    <row r="129" spans="9:42">
      <c r="I129" t="s">
        <v>983</v>
      </c>
      <c r="J129" t="s">
        <v>2458</v>
      </c>
      <c r="K129">
        <v>0.63</v>
      </c>
      <c r="L129">
        <v>0.63</v>
      </c>
      <c r="N129">
        <v>1</v>
      </c>
      <c r="O129">
        <v>5571</v>
      </c>
      <c r="P129">
        <v>1.08</v>
      </c>
      <c r="Q129">
        <v>1.1000000000000001</v>
      </c>
      <c r="R129">
        <v>1</v>
      </c>
      <c r="S129">
        <v>8.9999999999999993E-3</v>
      </c>
      <c r="T129">
        <v>0.20799999999999999</v>
      </c>
      <c r="U129">
        <v>0.09</v>
      </c>
      <c r="AO129" t="s">
        <v>319</v>
      </c>
      <c r="AP129" t="s">
        <v>1679</v>
      </c>
    </row>
    <row r="130" spans="9:42">
      <c r="I130" t="s">
        <v>984</v>
      </c>
      <c r="J130" t="s">
        <v>2460</v>
      </c>
      <c r="K130">
        <v>0.71</v>
      </c>
      <c r="L130">
        <v>1.06</v>
      </c>
      <c r="N130">
        <v>1</v>
      </c>
      <c r="O130">
        <v>5571</v>
      </c>
      <c r="P130">
        <v>1.08</v>
      </c>
      <c r="Q130">
        <v>1.1000000000000001</v>
      </c>
      <c r="R130">
        <v>1</v>
      </c>
      <c r="S130">
        <v>8.9999999999999993E-3</v>
      </c>
      <c r="T130">
        <v>0.20799999999999999</v>
      </c>
      <c r="U130">
        <v>0.09</v>
      </c>
      <c r="AO130" t="s">
        <v>319</v>
      </c>
      <c r="AP130" t="s">
        <v>1680</v>
      </c>
    </row>
    <row r="131" spans="9:42">
      <c r="I131" t="s">
        <v>325</v>
      </c>
      <c r="J131" t="s">
        <v>2462</v>
      </c>
      <c r="K131">
        <v>0.63</v>
      </c>
      <c r="L131">
        <v>0.79</v>
      </c>
      <c r="N131">
        <v>1</v>
      </c>
      <c r="O131">
        <v>5571</v>
      </c>
      <c r="P131">
        <v>1.08</v>
      </c>
      <c r="Q131">
        <v>1.1000000000000001</v>
      </c>
      <c r="R131">
        <v>1</v>
      </c>
      <c r="S131">
        <v>8.9999999999999993E-3</v>
      </c>
      <c r="T131">
        <v>0.20799999999999999</v>
      </c>
      <c r="U131">
        <v>0.09</v>
      </c>
      <c r="AO131" t="s">
        <v>319</v>
      </c>
      <c r="AP131" t="s">
        <v>1681</v>
      </c>
    </row>
    <row r="132" spans="9:42">
      <c r="I132" t="s">
        <v>326</v>
      </c>
      <c r="J132" t="s">
        <v>2461</v>
      </c>
      <c r="K132">
        <v>0.96</v>
      </c>
      <c r="L132">
        <v>0.15</v>
      </c>
      <c r="N132">
        <v>1</v>
      </c>
      <c r="O132">
        <v>5571</v>
      </c>
      <c r="P132">
        <v>1.08</v>
      </c>
      <c r="Q132">
        <v>1.1000000000000001</v>
      </c>
      <c r="R132">
        <v>1</v>
      </c>
      <c r="S132">
        <v>8.9999999999999993E-3</v>
      </c>
      <c r="T132">
        <v>0.20799999999999999</v>
      </c>
      <c r="U132">
        <v>0.09</v>
      </c>
      <c r="AO132" t="s">
        <v>319</v>
      </c>
      <c r="AP132" t="s">
        <v>1683</v>
      </c>
    </row>
    <row r="133" spans="9:42">
      <c r="I133" t="s">
        <v>985</v>
      </c>
      <c r="J133" t="s">
        <v>2459</v>
      </c>
      <c r="K133">
        <v>2</v>
      </c>
      <c r="L133">
        <v>0.75</v>
      </c>
      <c r="N133">
        <v>1</v>
      </c>
      <c r="O133">
        <v>5571</v>
      </c>
      <c r="P133">
        <v>1.08</v>
      </c>
      <c r="Q133">
        <v>1.1000000000000001</v>
      </c>
      <c r="R133">
        <v>1</v>
      </c>
      <c r="S133">
        <v>8.9999999999999993E-3</v>
      </c>
      <c r="T133">
        <v>0.20799999999999999</v>
      </c>
      <c r="U133">
        <v>0.09</v>
      </c>
      <c r="AO133" t="s">
        <v>319</v>
      </c>
      <c r="AP133" t="s">
        <v>1684</v>
      </c>
    </row>
    <row r="134" spans="9:42">
      <c r="I134" t="s">
        <v>986</v>
      </c>
      <c r="J134" t="s">
        <v>2491</v>
      </c>
      <c r="K134">
        <v>0.54</v>
      </c>
      <c r="L134">
        <v>1.18</v>
      </c>
      <c r="N134">
        <v>0.46</v>
      </c>
      <c r="O134">
        <v>2390</v>
      </c>
      <c r="P134">
        <v>1.17</v>
      </c>
      <c r="Q134">
        <v>1.21</v>
      </c>
      <c r="R134">
        <v>0.46</v>
      </c>
      <c r="S134">
        <v>0.02</v>
      </c>
      <c r="T134">
        <v>0.46800000000000003</v>
      </c>
      <c r="U134">
        <v>0.20399999999999999</v>
      </c>
      <c r="AO134" t="s">
        <v>319</v>
      </c>
      <c r="AP134" t="s">
        <v>1691</v>
      </c>
    </row>
    <row r="135" spans="9:42">
      <c r="I135" t="s">
        <v>2244</v>
      </c>
      <c r="J135" t="s">
        <v>2463</v>
      </c>
      <c r="K135">
        <v>0.43</v>
      </c>
      <c r="L135">
        <v>0.8</v>
      </c>
      <c r="N135">
        <v>0.67</v>
      </c>
      <c r="O135">
        <v>3379</v>
      </c>
      <c r="P135">
        <v>1.08</v>
      </c>
      <c r="Q135">
        <v>1.3</v>
      </c>
      <c r="R135">
        <v>0.67</v>
      </c>
      <c r="S135">
        <v>1.4999999999999999E-2</v>
      </c>
      <c r="T135">
        <v>0.35399999999999998</v>
      </c>
      <c r="U135">
        <v>0.154</v>
      </c>
      <c r="AO135" t="s">
        <v>319</v>
      </c>
      <c r="AP135" t="s">
        <v>1595</v>
      </c>
    </row>
    <row r="136" spans="9:42">
      <c r="I136" t="s">
        <v>987</v>
      </c>
      <c r="J136" t="s">
        <v>2464</v>
      </c>
      <c r="K136">
        <v>0.41</v>
      </c>
      <c r="L136">
        <v>0.67</v>
      </c>
      <c r="N136">
        <v>0.67</v>
      </c>
      <c r="O136">
        <v>3379</v>
      </c>
      <c r="P136">
        <v>1.08</v>
      </c>
      <c r="Q136">
        <v>1.3</v>
      </c>
      <c r="R136">
        <v>0.67</v>
      </c>
      <c r="S136">
        <v>1.4999999999999999E-2</v>
      </c>
      <c r="T136">
        <v>0.35399999999999998</v>
      </c>
      <c r="U136">
        <v>0.154</v>
      </c>
      <c r="AO136" t="s">
        <v>319</v>
      </c>
      <c r="AP136" t="s">
        <v>328</v>
      </c>
    </row>
    <row r="137" spans="9:42">
      <c r="I137" t="s">
        <v>988</v>
      </c>
      <c r="J137" t="s">
        <v>2546</v>
      </c>
      <c r="K137">
        <f>135+45</f>
        <v>180</v>
      </c>
      <c r="L137">
        <v>0.94</v>
      </c>
      <c r="N137">
        <v>0</v>
      </c>
      <c r="O137">
        <v>4303</v>
      </c>
      <c r="P137">
        <v>1</v>
      </c>
      <c r="Q137">
        <v>1</v>
      </c>
      <c r="R137">
        <v>0</v>
      </c>
      <c r="S137">
        <v>0</v>
      </c>
      <c r="T137">
        <v>0</v>
      </c>
      <c r="U137">
        <v>0</v>
      </c>
      <c r="AO137" t="s">
        <v>320</v>
      </c>
      <c r="AP137" t="s">
        <v>1660</v>
      </c>
    </row>
    <row r="138" spans="9:42">
      <c r="I138" t="s">
        <v>327</v>
      </c>
      <c r="J138" t="s">
        <v>2543</v>
      </c>
      <c r="K138">
        <v>0.113</v>
      </c>
      <c r="L138">
        <v>1.06</v>
      </c>
      <c r="N138">
        <v>0</v>
      </c>
      <c r="O138">
        <v>4303</v>
      </c>
      <c r="P138">
        <v>1</v>
      </c>
      <c r="Q138">
        <v>1</v>
      </c>
      <c r="R138">
        <v>0</v>
      </c>
      <c r="S138">
        <v>0</v>
      </c>
      <c r="T138">
        <v>0</v>
      </c>
      <c r="U138">
        <v>0</v>
      </c>
      <c r="AO138" t="s">
        <v>320</v>
      </c>
      <c r="AP138" t="s">
        <v>1661</v>
      </c>
    </row>
    <row r="139" spans="9:42">
      <c r="I139" t="s">
        <v>2245</v>
      </c>
      <c r="J139" t="s">
        <v>2532</v>
      </c>
      <c r="K139">
        <v>0.75</v>
      </c>
      <c r="L139">
        <v>0.81</v>
      </c>
      <c r="N139">
        <v>0</v>
      </c>
      <c r="O139">
        <v>4303</v>
      </c>
      <c r="P139">
        <v>1</v>
      </c>
      <c r="Q139">
        <v>1</v>
      </c>
      <c r="R139">
        <v>0</v>
      </c>
      <c r="S139">
        <v>0</v>
      </c>
      <c r="T139">
        <v>0</v>
      </c>
      <c r="U139">
        <v>0</v>
      </c>
      <c r="AO139" t="s">
        <v>320</v>
      </c>
      <c r="AP139" t="s">
        <v>1689</v>
      </c>
    </row>
    <row r="140" spans="9:42">
      <c r="I140" t="s">
        <v>989</v>
      </c>
      <c r="J140" t="s">
        <v>2547</v>
      </c>
      <c r="K140">
        <v>200</v>
      </c>
      <c r="L140">
        <v>0.87</v>
      </c>
      <c r="N140">
        <v>0</v>
      </c>
      <c r="O140">
        <v>4303</v>
      </c>
      <c r="P140">
        <v>1</v>
      </c>
      <c r="Q140">
        <v>1</v>
      </c>
      <c r="R140">
        <v>0</v>
      </c>
      <c r="S140">
        <v>0</v>
      </c>
      <c r="T140">
        <v>0</v>
      </c>
      <c r="U140">
        <v>0</v>
      </c>
      <c r="AO140" t="s">
        <v>320</v>
      </c>
      <c r="AP140" t="s">
        <v>1688</v>
      </c>
    </row>
    <row r="141" spans="9:42">
      <c r="I141" t="s">
        <v>991</v>
      </c>
      <c r="J141" t="s">
        <v>2536</v>
      </c>
      <c r="K141">
        <v>0.4</v>
      </c>
      <c r="L141">
        <v>0.8</v>
      </c>
      <c r="N141">
        <v>0</v>
      </c>
      <c r="O141">
        <v>4303</v>
      </c>
      <c r="P141">
        <v>1</v>
      </c>
      <c r="Q141">
        <v>1</v>
      </c>
      <c r="R141">
        <v>0</v>
      </c>
      <c r="S141">
        <v>0</v>
      </c>
      <c r="T141">
        <v>0</v>
      </c>
      <c r="U141">
        <v>0</v>
      </c>
      <c r="AO141" t="s">
        <v>320</v>
      </c>
      <c r="AP141" t="s">
        <v>968</v>
      </c>
    </row>
    <row r="142" spans="9:42">
      <c r="I142" t="s">
        <v>992</v>
      </c>
      <c r="J142" t="s">
        <v>2541</v>
      </c>
      <c r="K142">
        <v>21</v>
      </c>
      <c r="L142">
        <v>0.61</v>
      </c>
      <c r="N142">
        <v>0</v>
      </c>
      <c r="O142">
        <v>4303</v>
      </c>
      <c r="P142">
        <v>1</v>
      </c>
      <c r="Q142">
        <v>1</v>
      </c>
      <c r="R142">
        <v>0</v>
      </c>
      <c r="S142">
        <v>0</v>
      </c>
      <c r="T142">
        <v>0</v>
      </c>
      <c r="U142">
        <v>0</v>
      </c>
      <c r="AO142" t="s">
        <v>320</v>
      </c>
      <c r="AP142" t="s">
        <v>1504</v>
      </c>
    </row>
    <row r="143" spans="9:42">
      <c r="I143" t="s">
        <v>328</v>
      </c>
      <c r="J143" t="s">
        <v>2538</v>
      </c>
      <c r="K143">
        <v>0.6</v>
      </c>
      <c r="L143">
        <v>0.48</v>
      </c>
      <c r="N143">
        <v>0</v>
      </c>
      <c r="O143">
        <v>4303</v>
      </c>
      <c r="P143">
        <v>1</v>
      </c>
      <c r="Q143">
        <v>1</v>
      </c>
      <c r="R143">
        <v>0</v>
      </c>
      <c r="S143">
        <v>0</v>
      </c>
      <c r="T143">
        <v>0</v>
      </c>
      <c r="U143">
        <v>0</v>
      </c>
      <c r="AO143" t="s">
        <v>320</v>
      </c>
      <c r="AP143" t="s">
        <v>1505</v>
      </c>
    </row>
    <row r="144" spans="9:42">
      <c r="I144" t="s">
        <v>995</v>
      </c>
      <c r="J144" t="s">
        <v>2535</v>
      </c>
      <c r="K144">
        <v>0.04</v>
      </c>
      <c r="L144">
        <v>0.9</v>
      </c>
      <c r="N144">
        <v>0</v>
      </c>
      <c r="O144">
        <v>4303</v>
      </c>
      <c r="P144">
        <v>1</v>
      </c>
      <c r="Q144">
        <v>1</v>
      </c>
      <c r="R144">
        <v>0</v>
      </c>
      <c r="S144">
        <v>0</v>
      </c>
      <c r="T144">
        <v>0</v>
      </c>
      <c r="U144">
        <v>0</v>
      </c>
      <c r="AO144" t="s">
        <v>320</v>
      </c>
      <c r="AP144" t="s">
        <v>1206</v>
      </c>
    </row>
    <row r="145" spans="9:42">
      <c r="I145" t="s">
        <v>2244</v>
      </c>
      <c r="J145" t="s">
        <v>2537</v>
      </c>
      <c r="K145">
        <v>0.35</v>
      </c>
      <c r="L145">
        <v>0.8</v>
      </c>
      <c r="N145">
        <v>0</v>
      </c>
      <c r="O145">
        <v>4303</v>
      </c>
      <c r="P145">
        <v>1</v>
      </c>
      <c r="Q145">
        <v>1</v>
      </c>
      <c r="R145">
        <v>0</v>
      </c>
      <c r="S145">
        <v>0</v>
      </c>
      <c r="T145">
        <v>0</v>
      </c>
      <c r="U145">
        <v>0</v>
      </c>
      <c r="AO145" t="s">
        <v>320</v>
      </c>
      <c r="AP145" t="s">
        <v>990</v>
      </c>
    </row>
    <row r="146" spans="9:42">
      <c r="I146" t="s">
        <v>987</v>
      </c>
      <c r="J146" t="s">
        <v>2539</v>
      </c>
      <c r="K146">
        <v>0.35</v>
      </c>
      <c r="L146">
        <v>0.67</v>
      </c>
      <c r="N146">
        <v>0</v>
      </c>
      <c r="O146">
        <v>4303</v>
      </c>
      <c r="P146">
        <v>1</v>
      </c>
      <c r="Q146">
        <v>1</v>
      </c>
      <c r="R146">
        <v>0</v>
      </c>
      <c r="S146">
        <v>0</v>
      </c>
      <c r="T146">
        <v>0</v>
      </c>
      <c r="U146">
        <v>0</v>
      </c>
      <c r="AO146" t="s">
        <v>320</v>
      </c>
      <c r="AP146" t="s">
        <v>993</v>
      </c>
    </row>
    <row r="147" spans="9:42">
      <c r="I147" t="s">
        <v>988</v>
      </c>
      <c r="J147" t="s">
        <v>2548</v>
      </c>
      <c r="K147">
        <v>400</v>
      </c>
      <c r="L147">
        <v>0.94</v>
      </c>
      <c r="N147">
        <v>0</v>
      </c>
      <c r="O147">
        <v>4303</v>
      </c>
      <c r="P147">
        <v>1</v>
      </c>
      <c r="Q147">
        <v>1</v>
      </c>
      <c r="R147">
        <v>0</v>
      </c>
      <c r="S147">
        <v>0</v>
      </c>
      <c r="T147">
        <v>0</v>
      </c>
      <c r="U147">
        <v>0</v>
      </c>
      <c r="AO147" t="s">
        <v>320</v>
      </c>
      <c r="AP147" t="s">
        <v>994</v>
      </c>
    </row>
    <row r="148" spans="9:42">
      <c r="I148" t="s">
        <v>327</v>
      </c>
      <c r="J148" t="s">
        <v>2530</v>
      </c>
      <c r="K148">
        <v>0.06</v>
      </c>
      <c r="L148">
        <v>1.06</v>
      </c>
      <c r="N148">
        <v>0</v>
      </c>
      <c r="O148">
        <v>4303</v>
      </c>
      <c r="P148">
        <v>1</v>
      </c>
      <c r="Q148">
        <v>1</v>
      </c>
      <c r="R148">
        <v>0</v>
      </c>
      <c r="S148">
        <v>0</v>
      </c>
      <c r="T148">
        <v>0</v>
      </c>
      <c r="U148">
        <v>0</v>
      </c>
      <c r="AO148" t="s">
        <v>320</v>
      </c>
      <c r="AP148" t="s">
        <v>1693</v>
      </c>
    </row>
    <row r="149" spans="9:42">
      <c r="I149" t="s">
        <v>2245</v>
      </c>
      <c r="J149" t="s">
        <v>2534</v>
      </c>
      <c r="K149">
        <v>0.14000000000000001</v>
      </c>
      <c r="L149">
        <v>0.81</v>
      </c>
      <c r="N149">
        <v>0</v>
      </c>
      <c r="O149">
        <v>4303</v>
      </c>
      <c r="P149">
        <v>1</v>
      </c>
      <c r="Q149">
        <v>1</v>
      </c>
      <c r="R149">
        <v>0</v>
      </c>
      <c r="S149">
        <v>0</v>
      </c>
      <c r="T149">
        <v>0</v>
      </c>
      <c r="U149">
        <v>0</v>
      </c>
      <c r="AO149" t="s">
        <v>320</v>
      </c>
      <c r="AP149" t="s">
        <v>1664</v>
      </c>
    </row>
    <row r="150" spans="9:42">
      <c r="I150" t="s">
        <v>989</v>
      </c>
      <c r="J150" t="s">
        <v>2533</v>
      </c>
      <c r="K150">
        <v>0.7</v>
      </c>
      <c r="L150">
        <v>0.87</v>
      </c>
      <c r="N150">
        <v>0</v>
      </c>
      <c r="O150">
        <v>4303</v>
      </c>
      <c r="P150">
        <v>1</v>
      </c>
      <c r="Q150">
        <v>1</v>
      </c>
      <c r="R150">
        <v>0</v>
      </c>
      <c r="S150">
        <v>0</v>
      </c>
      <c r="T150">
        <v>0</v>
      </c>
      <c r="U150">
        <v>0</v>
      </c>
      <c r="AO150" t="s">
        <v>320</v>
      </c>
      <c r="AP150" t="s">
        <v>1665</v>
      </c>
    </row>
    <row r="151" spans="9:42">
      <c r="I151" t="s">
        <v>991</v>
      </c>
      <c r="J151" t="s">
        <v>2542</v>
      </c>
      <c r="K151">
        <v>7</v>
      </c>
      <c r="L151">
        <v>0.8</v>
      </c>
      <c r="N151">
        <v>0</v>
      </c>
      <c r="O151">
        <v>4303</v>
      </c>
      <c r="P151">
        <v>1</v>
      </c>
      <c r="Q151">
        <v>1</v>
      </c>
      <c r="R151">
        <v>0</v>
      </c>
      <c r="S151">
        <v>0</v>
      </c>
      <c r="T151">
        <v>0</v>
      </c>
      <c r="U151">
        <v>0</v>
      </c>
      <c r="AO151" t="s">
        <v>320</v>
      </c>
      <c r="AP151" t="s">
        <v>1666</v>
      </c>
    </row>
    <row r="152" spans="9:42">
      <c r="I152" t="s">
        <v>328</v>
      </c>
      <c r="J152" t="s">
        <v>2544</v>
      </c>
      <c r="K152">
        <v>0.5</v>
      </c>
      <c r="L152">
        <v>0.48</v>
      </c>
      <c r="N152">
        <v>0</v>
      </c>
      <c r="O152">
        <v>4303</v>
      </c>
      <c r="P152">
        <v>1</v>
      </c>
      <c r="Q152">
        <v>1</v>
      </c>
      <c r="R152">
        <v>0</v>
      </c>
      <c r="S152">
        <v>0</v>
      </c>
      <c r="T152">
        <v>0</v>
      </c>
      <c r="U152">
        <v>0</v>
      </c>
      <c r="AO152" t="s">
        <v>320</v>
      </c>
      <c r="AP152" t="s">
        <v>1692</v>
      </c>
    </row>
    <row r="153" spans="9:42">
      <c r="I153" t="s">
        <v>995</v>
      </c>
      <c r="J153" t="s">
        <v>2545</v>
      </c>
      <c r="K153">
        <v>0.35</v>
      </c>
      <c r="L153">
        <v>0.9</v>
      </c>
      <c r="N153">
        <v>0</v>
      </c>
      <c r="O153">
        <v>4303</v>
      </c>
      <c r="P153">
        <v>1</v>
      </c>
      <c r="Q153">
        <v>1</v>
      </c>
      <c r="R153">
        <v>0</v>
      </c>
      <c r="S153">
        <v>0</v>
      </c>
      <c r="T153">
        <v>0</v>
      </c>
      <c r="U153">
        <v>0</v>
      </c>
      <c r="AO153" t="s">
        <v>320</v>
      </c>
      <c r="AP153" t="s">
        <v>1685</v>
      </c>
    </row>
    <row r="154" spans="9:42">
      <c r="I154" t="s">
        <v>992</v>
      </c>
      <c r="J154" t="s">
        <v>2540</v>
      </c>
      <c r="K154">
        <v>0.6</v>
      </c>
      <c r="L154">
        <v>0.61</v>
      </c>
      <c r="N154">
        <v>0</v>
      </c>
      <c r="O154">
        <v>4303</v>
      </c>
      <c r="P154">
        <v>1</v>
      </c>
      <c r="Q154">
        <v>1</v>
      </c>
      <c r="R154">
        <v>0</v>
      </c>
      <c r="S154">
        <v>0</v>
      </c>
      <c r="T154">
        <v>0</v>
      </c>
      <c r="U154">
        <v>0</v>
      </c>
      <c r="AO154" t="s">
        <v>320</v>
      </c>
      <c r="AP154" t="s">
        <v>1686</v>
      </c>
    </row>
    <row r="155" spans="9:42">
      <c r="J155" t="s">
        <v>2531</v>
      </c>
      <c r="K155">
        <v>0.11</v>
      </c>
      <c r="N155">
        <v>0</v>
      </c>
      <c r="O155">
        <v>4303</v>
      </c>
      <c r="P155">
        <v>1</v>
      </c>
      <c r="Q155">
        <v>1</v>
      </c>
      <c r="R155">
        <v>0</v>
      </c>
      <c r="S155">
        <v>0</v>
      </c>
      <c r="T155">
        <v>0</v>
      </c>
      <c r="U155">
        <v>0</v>
      </c>
      <c r="AO155" t="s">
        <v>320</v>
      </c>
      <c r="AP155" t="s">
        <v>1687</v>
      </c>
    </row>
    <row r="156" spans="9:42">
      <c r="J156" t="s">
        <v>2494</v>
      </c>
      <c r="K156">
        <v>0.2</v>
      </c>
      <c r="N156">
        <v>0.65</v>
      </c>
      <c r="O156">
        <v>2698</v>
      </c>
      <c r="P156">
        <v>1.06</v>
      </c>
      <c r="Q156">
        <v>1.0900000000000001</v>
      </c>
      <c r="R156">
        <v>0.65</v>
      </c>
      <c r="S156">
        <v>1E-3</v>
      </c>
      <c r="T156">
        <v>1.4E-2</v>
      </c>
      <c r="U156">
        <v>6.0000000000000001E-3</v>
      </c>
      <c r="AO156" t="s">
        <v>320</v>
      </c>
      <c r="AP156" t="s">
        <v>1691</v>
      </c>
    </row>
    <row r="157" spans="9:42">
      <c r="J157" t="s">
        <v>2465</v>
      </c>
      <c r="K157">
        <v>1.06</v>
      </c>
      <c r="N157">
        <v>0.67</v>
      </c>
      <c r="O157">
        <v>3379</v>
      </c>
      <c r="P157">
        <v>1.08</v>
      </c>
      <c r="Q157">
        <v>1.3</v>
      </c>
      <c r="R157">
        <v>0.67</v>
      </c>
      <c r="S157">
        <v>1.4999999999999999E-2</v>
      </c>
      <c r="T157">
        <v>0.35399999999999998</v>
      </c>
      <c r="U157">
        <v>0.154</v>
      </c>
      <c r="AO157" t="s">
        <v>320</v>
      </c>
      <c r="AP157" t="s">
        <v>1595</v>
      </c>
    </row>
    <row r="158" spans="9:42">
      <c r="J158" t="s">
        <v>2466</v>
      </c>
      <c r="K158">
        <v>0.77</v>
      </c>
      <c r="N158">
        <v>0.67</v>
      </c>
      <c r="O158">
        <v>3379</v>
      </c>
      <c r="P158">
        <v>1.08</v>
      </c>
      <c r="Q158">
        <v>1.3</v>
      </c>
      <c r="R158">
        <v>0.67</v>
      </c>
      <c r="S158">
        <v>1.4999999999999999E-2</v>
      </c>
      <c r="T158">
        <v>0.35399999999999998</v>
      </c>
      <c r="U158">
        <v>0.154</v>
      </c>
      <c r="AO158" t="s">
        <v>320</v>
      </c>
      <c r="AP158" t="s">
        <v>328</v>
      </c>
    </row>
    <row r="159" spans="9:42">
      <c r="J159" t="s">
        <v>2495</v>
      </c>
      <c r="K159">
        <v>0.5</v>
      </c>
      <c r="N159">
        <v>0.67</v>
      </c>
      <c r="O159">
        <v>3379</v>
      </c>
      <c r="P159">
        <v>1.08</v>
      </c>
      <c r="Q159">
        <v>1.3</v>
      </c>
      <c r="R159">
        <v>0.67</v>
      </c>
      <c r="S159">
        <v>1.4999999999999999E-2</v>
      </c>
      <c r="T159">
        <v>0.35399999999999998</v>
      </c>
      <c r="U159">
        <v>0.154</v>
      </c>
      <c r="AO159" t="s">
        <v>321</v>
      </c>
      <c r="AP159" t="s">
        <v>1661</v>
      </c>
    </row>
    <row r="160" spans="9:42">
      <c r="J160" t="s">
        <v>2496</v>
      </c>
      <c r="K160">
        <v>0.82</v>
      </c>
      <c r="N160">
        <v>0.67</v>
      </c>
      <c r="O160">
        <v>3379</v>
      </c>
      <c r="P160">
        <v>1.08</v>
      </c>
      <c r="Q160">
        <v>1.3</v>
      </c>
      <c r="R160">
        <v>0.67</v>
      </c>
      <c r="S160">
        <v>1.4999999999999999E-2</v>
      </c>
      <c r="T160">
        <v>0.35399999999999998</v>
      </c>
      <c r="U160">
        <v>0.154</v>
      </c>
      <c r="AO160" t="s">
        <v>321</v>
      </c>
      <c r="AP160" t="s">
        <v>1663</v>
      </c>
    </row>
    <row r="161" spans="10:42">
      <c r="J161" t="s">
        <v>2497</v>
      </c>
      <c r="K161">
        <v>1.68</v>
      </c>
      <c r="N161">
        <v>0.67</v>
      </c>
      <c r="O161">
        <v>3890</v>
      </c>
      <c r="P161">
        <v>1.1399999999999999</v>
      </c>
      <c r="Q161">
        <v>1.04</v>
      </c>
      <c r="R161">
        <v>0.67</v>
      </c>
      <c r="S161">
        <v>0.02</v>
      </c>
      <c r="T161">
        <v>0.46300000000000002</v>
      </c>
      <c r="U161">
        <v>0.20100000000000001</v>
      </c>
      <c r="AO161" t="s">
        <v>321</v>
      </c>
      <c r="AP161" t="s">
        <v>1689</v>
      </c>
    </row>
    <row r="162" spans="10:42">
      <c r="J162" t="s">
        <v>2498</v>
      </c>
      <c r="K162">
        <v>1.06</v>
      </c>
      <c r="N162">
        <v>0.67</v>
      </c>
      <c r="O162">
        <v>3890</v>
      </c>
      <c r="P162">
        <v>1.1399999999999999</v>
      </c>
      <c r="Q162">
        <v>1.04</v>
      </c>
      <c r="R162">
        <v>0.67</v>
      </c>
      <c r="S162">
        <v>0.02</v>
      </c>
      <c r="T162">
        <v>0.46300000000000002</v>
      </c>
      <c r="U162">
        <v>0.20100000000000001</v>
      </c>
      <c r="AO162" t="s">
        <v>321</v>
      </c>
      <c r="AP162" t="s">
        <v>1688</v>
      </c>
    </row>
    <row r="163" spans="10:42">
      <c r="J163" t="s">
        <v>2500</v>
      </c>
      <c r="K163">
        <v>1</v>
      </c>
      <c r="N163">
        <v>0.67</v>
      </c>
      <c r="O163">
        <v>3890</v>
      </c>
      <c r="P163">
        <v>1.1399999999999999</v>
      </c>
      <c r="Q163">
        <v>1.04</v>
      </c>
      <c r="R163">
        <v>0.67</v>
      </c>
      <c r="S163">
        <v>0.02</v>
      </c>
      <c r="T163">
        <v>0.46300000000000002</v>
      </c>
      <c r="U163">
        <v>0.20100000000000001</v>
      </c>
      <c r="AO163" t="s">
        <v>321</v>
      </c>
      <c r="AP163" t="s">
        <v>968</v>
      </c>
    </row>
    <row r="164" spans="10:42">
      <c r="J164" t="s">
        <v>2501</v>
      </c>
      <c r="K164">
        <v>0.81</v>
      </c>
      <c r="N164">
        <v>0.67</v>
      </c>
      <c r="O164">
        <v>3890</v>
      </c>
      <c r="P164">
        <v>1.1399999999999999</v>
      </c>
      <c r="Q164">
        <v>1.04</v>
      </c>
      <c r="R164">
        <v>0.67</v>
      </c>
      <c r="S164">
        <v>0.02</v>
      </c>
      <c r="T164">
        <v>0.46300000000000002</v>
      </c>
      <c r="U164">
        <v>0.20100000000000001</v>
      </c>
      <c r="AO164" t="s">
        <v>321</v>
      </c>
      <c r="AP164" t="s">
        <v>1504</v>
      </c>
    </row>
    <row r="165" spans="10:42">
      <c r="J165" t="s">
        <v>2502</v>
      </c>
      <c r="K165">
        <v>2.17</v>
      </c>
      <c r="N165">
        <v>0.67</v>
      </c>
      <c r="O165">
        <v>3890</v>
      </c>
      <c r="P165">
        <v>1.1399999999999999</v>
      </c>
      <c r="Q165">
        <v>1.04</v>
      </c>
      <c r="R165">
        <v>0.67</v>
      </c>
      <c r="S165">
        <v>0.02</v>
      </c>
      <c r="T165">
        <v>0.46300000000000002</v>
      </c>
      <c r="U165">
        <v>0.20100000000000001</v>
      </c>
      <c r="AO165" t="s">
        <v>321</v>
      </c>
      <c r="AP165" t="s">
        <v>1505</v>
      </c>
    </row>
    <row r="166" spans="10:42">
      <c r="J166" t="s">
        <v>2503</v>
      </c>
      <c r="K166">
        <v>0.62</v>
      </c>
      <c r="N166">
        <v>0.67</v>
      </c>
      <c r="O166">
        <v>3890</v>
      </c>
      <c r="P166">
        <v>1.1399999999999999</v>
      </c>
      <c r="Q166">
        <v>1.04</v>
      </c>
      <c r="R166">
        <v>0.67</v>
      </c>
      <c r="S166">
        <v>0.02</v>
      </c>
      <c r="T166">
        <v>0.46300000000000002</v>
      </c>
      <c r="U166">
        <v>0.20100000000000001</v>
      </c>
      <c r="AO166" t="s">
        <v>321</v>
      </c>
      <c r="AP166" t="s">
        <v>1206</v>
      </c>
    </row>
    <row r="167" spans="10:42">
      <c r="J167" t="s">
        <v>2504</v>
      </c>
      <c r="K167">
        <v>0.84</v>
      </c>
      <c r="N167">
        <v>0.67</v>
      </c>
      <c r="O167">
        <v>3890</v>
      </c>
      <c r="P167">
        <v>1.1399999999999999</v>
      </c>
      <c r="Q167">
        <v>1.04</v>
      </c>
      <c r="R167">
        <v>0.67</v>
      </c>
      <c r="S167">
        <v>0.02</v>
      </c>
      <c r="T167">
        <v>0.46300000000000002</v>
      </c>
      <c r="U167">
        <v>0.20100000000000001</v>
      </c>
      <c r="AO167" t="s">
        <v>321</v>
      </c>
      <c r="AP167" t="s">
        <v>990</v>
      </c>
    </row>
    <row r="168" spans="10:42">
      <c r="J168" t="s">
        <v>2505</v>
      </c>
      <c r="K168">
        <v>1.03</v>
      </c>
      <c r="N168">
        <v>0.67</v>
      </c>
      <c r="O168">
        <v>3890</v>
      </c>
      <c r="P168">
        <v>1.1399999999999999</v>
      </c>
      <c r="Q168">
        <v>1.04</v>
      </c>
      <c r="R168">
        <v>0.67</v>
      </c>
      <c r="S168">
        <v>0.02</v>
      </c>
      <c r="T168">
        <v>0.46300000000000002</v>
      </c>
      <c r="U168">
        <v>0.20100000000000001</v>
      </c>
      <c r="AO168" t="s">
        <v>321</v>
      </c>
      <c r="AP168" t="s">
        <v>993</v>
      </c>
    </row>
    <row r="169" spans="10:42">
      <c r="J169" t="s">
        <v>2499</v>
      </c>
      <c r="K169">
        <v>0.54</v>
      </c>
      <c r="N169">
        <v>0.67</v>
      </c>
      <c r="O169">
        <v>3890</v>
      </c>
      <c r="P169">
        <v>1.1399999999999999</v>
      </c>
      <c r="Q169">
        <v>1.04</v>
      </c>
      <c r="R169">
        <v>0.67</v>
      </c>
      <c r="S169">
        <v>0.02</v>
      </c>
      <c r="T169">
        <v>0.46300000000000002</v>
      </c>
      <c r="U169">
        <v>0.20100000000000001</v>
      </c>
      <c r="AO169" t="s">
        <v>321</v>
      </c>
      <c r="AP169" t="s">
        <v>994</v>
      </c>
    </row>
    <row r="170" spans="10:42">
      <c r="J170" t="s">
        <v>2467</v>
      </c>
      <c r="K170">
        <v>1.2</v>
      </c>
      <c r="N170">
        <v>0.65</v>
      </c>
      <c r="O170">
        <v>3308</v>
      </c>
      <c r="P170">
        <v>1.1499999999999999</v>
      </c>
      <c r="Q170">
        <v>1.4</v>
      </c>
      <c r="R170">
        <v>0.65</v>
      </c>
      <c r="S170">
        <v>1.0999999999999999E-2</v>
      </c>
      <c r="T170">
        <v>0.249</v>
      </c>
      <c r="U170">
        <v>0.108</v>
      </c>
      <c r="AO170" t="s">
        <v>321</v>
      </c>
      <c r="AP170" t="s">
        <v>1664</v>
      </c>
    </row>
    <row r="171" spans="10:42">
      <c r="J171" t="s">
        <v>2468</v>
      </c>
      <c r="K171">
        <v>1.45</v>
      </c>
      <c r="N171">
        <v>0.67</v>
      </c>
      <c r="O171">
        <v>3379</v>
      </c>
      <c r="P171">
        <v>1.08</v>
      </c>
      <c r="Q171">
        <v>1.3</v>
      </c>
      <c r="R171">
        <v>0.67</v>
      </c>
      <c r="S171">
        <v>1.4999999999999999E-2</v>
      </c>
      <c r="T171">
        <v>0.35399999999999998</v>
      </c>
      <c r="U171">
        <v>0.154</v>
      </c>
      <c r="AO171" t="s">
        <v>321</v>
      </c>
      <c r="AP171" t="s">
        <v>1665</v>
      </c>
    </row>
    <row r="172" spans="10:42">
      <c r="J172" t="s">
        <v>2469</v>
      </c>
      <c r="K172">
        <v>0.43</v>
      </c>
      <c r="N172">
        <v>0.67</v>
      </c>
      <c r="O172">
        <v>3379</v>
      </c>
      <c r="P172">
        <v>1.08</v>
      </c>
      <c r="Q172">
        <v>1.3</v>
      </c>
      <c r="R172">
        <v>0.67</v>
      </c>
      <c r="S172">
        <v>1.4999999999999999E-2</v>
      </c>
      <c r="T172">
        <v>0.35399999999999998</v>
      </c>
      <c r="U172">
        <v>0.154</v>
      </c>
      <c r="V172" t="s">
        <v>2571</v>
      </c>
      <c r="AO172" t="s">
        <v>321</v>
      </c>
      <c r="AP172" t="s">
        <v>1667</v>
      </c>
    </row>
    <row r="173" spans="10:42">
      <c r="J173" t="s">
        <v>2506</v>
      </c>
      <c r="K173">
        <v>0.82</v>
      </c>
      <c r="N173">
        <v>0.67</v>
      </c>
      <c r="O173">
        <v>3379</v>
      </c>
      <c r="P173">
        <v>1.08</v>
      </c>
      <c r="Q173">
        <v>1.3</v>
      </c>
      <c r="R173">
        <v>0.67</v>
      </c>
      <c r="S173">
        <v>1.4999999999999999E-2</v>
      </c>
      <c r="T173">
        <v>0.35399999999999998</v>
      </c>
      <c r="U173">
        <v>0.154</v>
      </c>
      <c r="AO173" t="s">
        <v>321</v>
      </c>
      <c r="AP173" t="s">
        <v>1670</v>
      </c>
    </row>
    <row r="174" spans="10:42">
      <c r="J174" t="s">
        <v>2507</v>
      </c>
      <c r="K174">
        <v>1.2</v>
      </c>
      <c r="N174">
        <v>0.67</v>
      </c>
      <c r="O174">
        <v>3379</v>
      </c>
      <c r="P174">
        <v>1.08</v>
      </c>
      <c r="Q174">
        <v>1.3</v>
      </c>
      <c r="R174">
        <v>0.67</v>
      </c>
      <c r="S174">
        <v>1.4999999999999999E-2</v>
      </c>
      <c r="T174">
        <v>0.35399999999999998</v>
      </c>
      <c r="U174">
        <v>0.154</v>
      </c>
      <c r="AO174" t="s">
        <v>321</v>
      </c>
      <c r="AP174" t="s">
        <v>1669</v>
      </c>
    </row>
    <row r="175" spans="10:42">
      <c r="J175" t="s">
        <v>2470</v>
      </c>
      <c r="K175">
        <v>0.57999999999999996</v>
      </c>
      <c r="N175">
        <v>0.67</v>
      </c>
      <c r="O175">
        <v>3379</v>
      </c>
      <c r="P175">
        <v>1.08</v>
      </c>
      <c r="Q175">
        <v>1.3</v>
      </c>
      <c r="R175">
        <v>0.67</v>
      </c>
      <c r="S175">
        <v>1.4999999999999999E-2</v>
      </c>
      <c r="T175">
        <v>0.35399999999999998</v>
      </c>
      <c r="U175">
        <v>0.154</v>
      </c>
      <c r="AO175" t="s">
        <v>321</v>
      </c>
      <c r="AP175" t="s">
        <v>1672</v>
      </c>
    </row>
    <row r="176" spans="10:42">
      <c r="J176" t="s">
        <v>2471</v>
      </c>
      <c r="K176">
        <v>0.68</v>
      </c>
      <c r="N176">
        <v>0.81</v>
      </c>
      <c r="O176">
        <v>6138</v>
      </c>
      <c r="P176">
        <v>1.0900000000000001</v>
      </c>
      <c r="Q176">
        <v>1.26</v>
      </c>
      <c r="R176">
        <v>8.5000000000000006E-2</v>
      </c>
      <c r="S176">
        <v>1.7000000000000001E-2</v>
      </c>
      <c r="T176">
        <v>0.40600000000000003</v>
      </c>
      <c r="U176">
        <v>0.17599999999999999</v>
      </c>
      <c r="AO176" t="s">
        <v>321</v>
      </c>
      <c r="AP176" t="s">
        <v>1671</v>
      </c>
    </row>
    <row r="177" spans="10:42">
      <c r="J177" t="s">
        <v>2473</v>
      </c>
      <c r="K177">
        <v>1.06</v>
      </c>
      <c r="N177">
        <v>0.81</v>
      </c>
      <c r="O177">
        <v>6138</v>
      </c>
      <c r="P177">
        <v>1.0900000000000001</v>
      </c>
      <c r="Q177">
        <v>1.26</v>
      </c>
      <c r="R177">
        <v>8.5000000000000006E-2</v>
      </c>
      <c r="S177">
        <v>1.7000000000000001E-2</v>
      </c>
      <c r="T177">
        <v>0.40600000000000003</v>
      </c>
      <c r="U177">
        <v>0.17599999999999999</v>
      </c>
      <c r="AO177" t="s">
        <v>321</v>
      </c>
      <c r="AP177" t="s">
        <v>1682</v>
      </c>
    </row>
    <row r="178" spans="10:42">
      <c r="J178" t="s">
        <v>2474</v>
      </c>
      <c r="K178">
        <v>0.45</v>
      </c>
      <c r="N178">
        <v>0.81</v>
      </c>
      <c r="O178">
        <v>6138</v>
      </c>
      <c r="P178">
        <v>1.0900000000000001</v>
      </c>
      <c r="Q178">
        <v>1.26</v>
      </c>
      <c r="R178">
        <v>8.5000000000000006E-2</v>
      </c>
      <c r="S178">
        <v>1.7000000000000001E-2</v>
      </c>
      <c r="T178">
        <v>0.40600000000000003</v>
      </c>
      <c r="U178">
        <v>0.17599999999999999</v>
      </c>
      <c r="AO178" t="s">
        <v>321</v>
      </c>
      <c r="AP178" t="s">
        <v>1679</v>
      </c>
    </row>
    <row r="179" spans="10:42">
      <c r="J179" t="s">
        <v>2476</v>
      </c>
      <c r="K179">
        <v>1</v>
      </c>
      <c r="N179">
        <v>0.81</v>
      </c>
      <c r="O179">
        <v>6138</v>
      </c>
      <c r="P179">
        <v>1.0900000000000001</v>
      </c>
      <c r="Q179">
        <v>1.26</v>
      </c>
      <c r="R179">
        <v>8.5000000000000006E-2</v>
      </c>
      <c r="S179">
        <v>1.7000000000000001E-2</v>
      </c>
      <c r="T179">
        <v>0.40600000000000003</v>
      </c>
      <c r="U179">
        <v>0.17599999999999999</v>
      </c>
      <c r="AO179" t="s">
        <v>321</v>
      </c>
      <c r="AP179" t="s">
        <v>1680</v>
      </c>
    </row>
    <row r="180" spans="10:42">
      <c r="J180" t="s">
        <v>2475</v>
      </c>
      <c r="K180">
        <v>1.7</v>
      </c>
      <c r="N180">
        <v>0.81</v>
      </c>
      <c r="O180">
        <v>6138</v>
      </c>
      <c r="P180">
        <v>1.0900000000000001</v>
      </c>
      <c r="Q180">
        <v>1.26</v>
      </c>
      <c r="R180">
        <v>8.5000000000000006E-2</v>
      </c>
      <c r="S180">
        <v>1.7000000000000001E-2</v>
      </c>
      <c r="T180">
        <v>0.40600000000000003</v>
      </c>
      <c r="U180">
        <v>0.17599999999999999</v>
      </c>
      <c r="AO180" t="s">
        <v>321</v>
      </c>
      <c r="AP180" t="s">
        <v>1681</v>
      </c>
    </row>
    <row r="181" spans="10:42">
      <c r="J181" t="s">
        <v>2472</v>
      </c>
      <c r="K181">
        <v>2.0299999999999998</v>
      </c>
      <c r="N181">
        <v>0.81</v>
      </c>
      <c r="O181">
        <v>6138</v>
      </c>
      <c r="P181">
        <v>1.0900000000000001</v>
      </c>
      <c r="Q181">
        <v>1.26</v>
      </c>
      <c r="R181">
        <v>8.5000000000000006E-2</v>
      </c>
      <c r="S181">
        <v>1.7000000000000001E-2</v>
      </c>
      <c r="T181">
        <v>0.40600000000000003</v>
      </c>
      <c r="U181">
        <v>0.17599999999999999</v>
      </c>
      <c r="AO181" t="s">
        <v>321</v>
      </c>
      <c r="AP181" t="s">
        <v>1683</v>
      </c>
    </row>
    <row r="182" spans="10:42">
      <c r="J182" t="s">
        <v>2477</v>
      </c>
      <c r="K182">
        <v>0.48</v>
      </c>
      <c r="N182">
        <v>0.67</v>
      </c>
      <c r="O182">
        <v>3379</v>
      </c>
      <c r="P182">
        <v>1.08</v>
      </c>
      <c r="Q182">
        <v>1.3</v>
      </c>
      <c r="R182">
        <v>0.67</v>
      </c>
      <c r="S182">
        <v>1.4999999999999999E-2</v>
      </c>
      <c r="T182">
        <v>0.35399999999999998</v>
      </c>
      <c r="U182">
        <v>0.154</v>
      </c>
      <c r="AO182" t="s">
        <v>321</v>
      </c>
      <c r="AP182" t="s">
        <v>1684</v>
      </c>
    </row>
    <row r="183" spans="10:42">
      <c r="J183" t="s">
        <v>2478</v>
      </c>
      <c r="K183">
        <v>0.78</v>
      </c>
      <c r="N183">
        <v>0.67</v>
      </c>
      <c r="O183">
        <v>3379</v>
      </c>
      <c r="P183">
        <v>1.08</v>
      </c>
      <c r="Q183">
        <v>1.3</v>
      </c>
      <c r="R183">
        <v>0.67</v>
      </c>
      <c r="S183">
        <v>1.4999999999999999E-2</v>
      </c>
      <c r="T183">
        <v>0.35399999999999998</v>
      </c>
      <c r="U183">
        <v>0.154</v>
      </c>
      <c r="AO183" t="s">
        <v>321</v>
      </c>
      <c r="AP183" t="s">
        <v>1595</v>
      </c>
    </row>
    <row r="184" spans="10:42">
      <c r="J184" t="s">
        <v>2479</v>
      </c>
      <c r="K184">
        <v>0.62</v>
      </c>
      <c r="N184">
        <v>0.67</v>
      </c>
      <c r="O184">
        <v>3379</v>
      </c>
      <c r="P184">
        <v>1.08</v>
      </c>
      <c r="Q184">
        <v>1.3</v>
      </c>
      <c r="R184">
        <v>0.67</v>
      </c>
      <c r="S184">
        <v>1.4999999999999999E-2</v>
      </c>
      <c r="T184">
        <v>0.35399999999999998</v>
      </c>
      <c r="U184">
        <v>0.154</v>
      </c>
      <c r="AO184" t="s">
        <v>322</v>
      </c>
      <c r="AP184" t="s">
        <v>1689</v>
      </c>
    </row>
    <row r="185" spans="10:42">
      <c r="J185" t="s">
        <v>2508</v>
      </c>
      <c r="K185">
        <v>0.93</v>
      </c>
      <c r="N185">
        <v>0.81</v>
      </c>
      <c r="O185">
        <v>4618</v>
      </c>
      <c r="P185">
        <v>1.02</v>
      </c>
      <c r="Q185">
        <v>1.04</v>
      </c>
      <c r="R185">
        <v>0.81</v>
      </c>
      <c r="S185">
        <v>1.2E-2</v>
      </c>
      <c r="T185">
        <v>0.27</v>
      </c>
      <c r="U185">
        <v>0.11700000000000001</v>
      </c>
      <c r="AO185" t="s">
        <v>322</v>
      </c>
      <c r="AP185" t="s">
        <v>1688</v>
      </c>
    </row>
    <row r="186" spans="10:42">
      <c r="J186" t="s">
        <v>2509</v>
      </c>
      <c r="K186">
        <v>0.65</v>
      </c>
      <c r="N186">
        <v>0.81</v>
      </c>
      <c r="O186">
        <v>4618</v>
      </c>
      <c r="P186">
        <v>1.02</v>
      </c>
      <c r="Q186">
        <v>1.04</v>
      </c>
      <c r="R186">
        <v>0.81</v>
      </c>
      <c r="S186">
        <v>1.2E-2</v>
      </c>
      <c r="T186">
        <v>0.27</v>
      </c>
      <c r="U186">
        <v>0.11700000000000001</v>
      </c>
      <c r="AO186" t="s">
        <v>322</v>
      </c>
      <c r="AP186" t="s">
        <v>968</v>
      </c>
    </row>
    <row r="187" spans="10:42">
      <c r="J187" t="s">
        <v>2510</v>
      </c>
      <c r="K187">
        <v>1.05</v>
      </c>
      <c r="N187">
        <v>0.81</v>
      </c>
      <c r="O187">
        <v>4618</v>
      </c>
      <c r="P187">
        <v>1.02</v>
      </c>
      <c r="Q187">
        <v>1.04</v>
      </c>
      <c r="R187">
        <v>0.81</v>
      </c>
      <c r="S187">
        <v>1.2E-2</v>
      </c>
      <c r="T187">
        <v>0.27</v>
      </c>
      <c r="U187">
        <v>0.11700000000000001</v>
      </c>
      <c r="AO187" t="s">
        <v>322</v>
      </c>
      <c r="AP187" t="s">
        <v>1504</v>
      </c>
    </row>
    <row r="188" spans="10:42">
      <c r="J188" t="s">
        <v>2511</v>
      </c>
      <c r="K188">
        <v>0.75</v>
      </c>
      <c r="N188">
        <v>0.81</v>
      </c>
      <c r="O188">
        <v>4618</v>
      </c>
      <c r="P188">
        <v>1.02</v>
      </c>
      <c r="Q188">
        <v>1.04</v>
      </c>
      <c r="R188">
        <v>0.81</v>
      </c>
      <c r="S188">
        <v>1.2E-2</v>
      </c>
      <c r="T188">
        <v>0.27</v>
      </c>
      <c r="U188">
        <v>0.11700000000000001</v>
      </c>
      <c r="AO188" t="s">
        <v>322</v>
      </c>
      <c r="AP188" t="s">
        <v>1505</v>
      </c>
    </row>
    <row r="189" spans="10:42">
      <c r="J189" t="s">
        <v>2512</v>
      </c>
      <c r="K189">
        <v>0.96</v>
      </c>
      <c r="N189">
        <v>0.81</v>
      </c>
      <c r="O189">
        <v>4618</v>
      </c>
      <c r="P189">
        <v>1.02</v>
      </c>
      <c r="Q189">
        <v>1.04</v>
      </c>
      <c r="R189">
        <v>0.81</v>
      </c>
      <c r="S189">
        <v>1.2E-2</v>
      </c>
      <c r="T189">
        <v>0.27</v>
      </c>
      <c r="U189">
        <v>0.11700000000000001</v>
      </c>
      <c r="AO189" t="s">
        <v>322</v>
      </c>
      <c r="AP189" t="s">
        <v>1206</v>
      </c>
    </row>
    <row r="190" spans="10:42">
      <c r="J190" t="s">
        <v>2513</v>
      </c>
      <c r="K190">
        <v>1.05</v>
      </c>
      <c r="N190">
        <v>0.67</v>
      </c>
      <c r="O190">
        <v>3379</v>
      </c>
      <c r="P190">
        <v>1.08</v>
      </c>
      <c r="Q190">
        <v>1.3</v>
      </c>
      <c r="R190">
        <v>0.67</v>
      </c>
      <c r="S190">
        <v>1.4999999999999999E-2</v>
      </c>
      <c r="T190">
        <v>0.35399999999999998</v>
      </c>
      <c r="U190">
        <v>0.154</v>
      </c>
      <c r="AO190" t="s">
        <v>322</v>
      </c>
      <c r="AP190" t="s">
        <v>990</v>
      </c>
    </row>
    <row r="191" spans="10:42">
      <c r="J191" t="s">
        <v>2514</v>
      </c>
      <c r="K191">
        <v>0.85</v>
      </c>
      <c r="N191">
        <v>0.67</v>
      </c>
      <c r="O191">
        <v>3379</v>
      </c>
      <c r="P191">
        <v>1.08</v>
      </c>
      <c r="Q191">
        <v>1.3</v>
      </c>
      <c r="R191">
        <v>0.67</v>
      </c>
      <c r="S191">
        <v>1.4999999999999999E-2</v>
      </c>
      <c r="T191">
        <v>0.35399999999999998</v>
      </c>
      <c r="U191">
        <v>0.154</v>
      </c>
      <c r="AO191" t="s">
        <v>322</v>
      </c>
      <c r="AP191" t="s">
        <v>993</v>
      </c>
    </row>
    <row r="192" spans="10:42">
      <c r="J192" t="s">
        <v>2480</v>
      </c>
      <c r="K192">
        <v>0.93</v>
      </c>
      <c r="N192">
        <v>0.79</v>
      </c>
      <c r="O192">
        <v>3266</v>
      </c>
      <c r="P192">
        <v>1.1000000000000001</v>
      </c>
      <c r="Q192">
        <v>1.36</v>
      </c>
      <c r="R192">
        <v>0.6</v>
      </c>
      <c r="S192">
        <v>1.6E-2</v>
      </c>
      <c r="T192">
        <v>0.378</v>
      </c>
      <c r="U192">
        <v>0.16400000000000001</v>
      </c>
      <c r="AO192" t="s">
        <v>322</v>
      </c>
      <c r="AP192" t="s">
        <v>994</v>
      </c>
    </row>
    <row r="193" spans="10:42">
      <c r="J193" t="s">
        <v>2481</v>
      </c>
      <c r="K193">
        <v>0.81</v>
      </c>
      <c r="N193">
        <v>0.79</v>
      </c>
      <c r="O193">
        <v>3266</v>
      </c>
      <c r="P193">
        <v>1.1000000000000001</v>
      </c>
      <c r="Q193">
        <v>1.36</v>
      </c>
      <c r="R193">
        <v>0.6</v>
      </c>
      <c r="S193">
        <v>1.6E-2</v>
      </c>
      <c r="T193">
        <v>0.378</v>
      </c>
      <c r="U193">
        <v>0.16400000000000001</v>
      </c>
      <c r="AO193" t="s">
        <v>322</v>
      </c>
      <c r="AP193" t="s">
        <v>1664</v>
      </c>
    </row>
    <row r="194" spans="10:42">
      <c r="J194" t="s">
        <v>2482</v>
      </c>
      <c r="K194">
        <v>0.14000000000000001</v>
      </c>
      <c r="N194">
        <v>0</v>
      </c>
      <c r="O194">
        <v>4303</v>
      </c>
      <c r="P194">
        <v>1</v>
      </c>
      <c r="Q194">
        <v>1</v>
      </c>
      <c r="R194">
        <v>0</v>
      </c>
      <c r="S194">
        <v>0</v>
      </c>
      <c r="T194">
        <v>0</v>
      </c>
      <c r="U194">
        <v>0</v>
      </c>
      <c r="AO194" t="s">
        <v>322</v>
      </c>
      <c r="AP194" t="s">
        <v>1665</v>
      </c>
    </row>
    <row r="195" spans="10:42">
      <c r="J195" t="s">
        <v>2515</v>
      </c>
      <c r="K195">
        <v>0.36</v>
      </c>
      <c r="N195">
        <v>0.53</v>
      </c>
      <c r="O195">
        <v>3506</v>
      </c>
      <c r="P195">
        <v>1.1100000000000001</v>
      </c>
      <c r="Q195">
        <v>1.38</v>
      </c>
      <c r="R195">
        <v>0.53</v>
      </c>
      <c r="S195">
        <v>2.9000000000000001E-2</v>
      </c>
      <c r="T195">
        <v>0.67300000000000004</v>
      </c>
      <c r="U195">
        <v>0.29299999999999998</v>
      </c>
      <c r="AO195" t="s">
        <v>322</v>
      </c>
      <c r="AP195" t="s">
        <v>1673</v>
      </c>
    </row>
    <row r="196" spans="10:42">
      <c r="J196" t="s">
        <v>2516</v>
      </c>
      <c r="K196">
        <v>0.68</v>
      </c>
      <c r="N196">
        <v>0.53</v>
      </c>
      <c r="O196">
        <v>3506</v>
      </c>
      <c r="P196">
        <v>1.1100000000000001</v>
      </c>
      <c r="Q196">
        <v>1.38</v>
      </c>
      <c r="R196">
        <v>0.53</v>
      </c>
      <c r="S196">
        <v>2.9000000000000001E-2</v>
      </c>
      <c r="T196">
        <v>0.67300000000000004</v>
      </c>
      <c r="U196">
        <v>0.29299999999999998</v>
      </c>
      <c r="AO196" t="s">
        <v>322</v>
      </c>
      <c r="AP196" t="s">
        <v>1682</v>
      </c>
    </row>
    <row r="197" spans="10:42">
      <c r="J197" t="s">
        <v>2517</v>
      </c>
      <c r="K197">
        <v>0.55000000000000004</v>
      </c>
      <c r="N197">
        <v>0.48</v>
      </c>
      <c r="O197">
        <v>2085</v>
      </c>
      <c r="P197">
        <v>1.1200000000000001</v>
      </c>
      <c r="Q197">
        <v>1.37</v>
      </c>
      <c r="R197">
        <v>0.48</v>
      </c>
      <c r="S197">
        <v>1.4999999999999999E-2</v>
      </c>
      <c r="T197">
        <v>0.35599999999999998</v>
      </c>
      <c r="U197">
        <v>0.155</v>
      </c>
      <c r="AO197" t="s">
        <v>322</v>
      </c>
      <c r="AP197" t="s">
        <v>1679</v>
      </c>
    </row>
    <row r="198" spans="10:42">
      <c r="J198" t="s">
        <v>2518</v>
      </c>
      <c r="K198">
        <v>1.53</v>
      </c>
      <c r="N198">
        <v>0.48</v>
      </c>
      <c r="O198">
        <v>2085</v>
      </c>
      <c r="P198">
        <v>1.1200000000000001</v>
      </c>
      <c r="Q198">
        <v>1.37</v>
      </c>
      <c r="R198">
        <v>0.48</v>
      </c>
      <c r="S198">
        <v>1.4999999999999999E-2</v>
      </c>
      <c r="T198">
        <v>0.35599999999999998</v>
      </c>
      <c r="U198">
        <v>0.155</v>
      </c>
      <c r="AO198" t="s">
        <v>322</v>
      </c>
      <c r="AP198" t="s">
        <v>1680</v>
      </c>
    </row>
    <row r="199" spans="10:42">
      <c r="J199" t="s">
        <v>2484</v>
      </c>
      <c r="K199">
        <v>0.85</v>
      </c>
      <c r="N199">
        <v>0.48</v>
      </c>
      <c r="O199">
        <v>2085</v>
      </c>
      <c r="P199">
        <v>1.1200000000000001</v>
      </c>
      <c r="Q199">
        <v>1.37</v>
      </c>
      <c r="R199">
        <v>0.48</v>
      </c>
      <c r="S199">
        <v>1.4999999999999999E-2</v>
      </c>
      <c r="T199">
        <v>0.35599999999999998</v>
      </c>
      <c r="U199">
        <v>0.155</v>
      </c>
      <c r="AO199" t="s">
        <v>322</v>
      </c>
      <c r="AP199" t="s">
        <v>1681</v>
      </c>
    </row>
    <row r="200" spans="10:42">
      <c r="J200" t="s">
        <v>2483</v>
      </c>
      <c r="K200">
        <v>0.96</v>
      </c>
      <c r="N200">
        <v>0.48</v>
      </c>
      <c r="O200">
        <v>2085</v>
      </c>
      <c r="P200">
        <v>1.1200000000000001</v>
      </c>
      <c r="Q200">
        <v>1.37</v>
      </c>
      <c r="R200">
        <v>0.48</v>
      </c>
      <c r="S200">
        <v>1.4999999999999999E-2</v>
      </c>
      <c r="T200">
        <v>0.35599999999999998</v>
      </c>
      <c r="U200">
        <v>0.155</v>
      </c>
      <c r="AO200" t="s">
        <v>322</v>
      </c>
      <c r="AP200" t="s">
        <v>1683</v>
      </c>
    </row>
    <row r="201" spans="10:42">
      <c r="J201" t="s">
        <v>2519</v>
      </c>
      <c r="K201">
        <v>0.5</v>
      </c>
      <c r="N201">
        <v>0.71</v>
      </c>
      <c r="O201">
        <v>4093</v>
      </c>
      <c r="P201">
        <v>1.1200000000000001</v>
      </c>
      <c r="Q201">
        <v>1.29</v>
      </c>
      <c r="R201">
        <v>0.71</v>
      </c>
      <c r="S201">
        <v>1.9E-2</v>
      </c>
      <c r="T201">
        <v>0.45</v>
      </c>
      <c r="U201">
        <v>0.19600000000000001</v>
      </c>
      <c r="AO201" t="s">
        <v>322</v>
      </c>
      <c r="AP201" t="s">
        <v>1684</v>
      </c>
    </row>
    <row r="202" spans="10:42">
      <c r="J202" t="s">
        <v>2520</v>
      </c>
      <c r="K202">
        <v>0.9</v>
      </c>
      <c r="N202">
        <v>0.71</v>
      </c>
      <c r="O202">
        <v>4093</v>
      </c>
      <c r="P202">
        <v>1.1200000000000001</v>
      </c>
      <c r="Q202">
        <v>1.29</v>
      </c>
      <c r="R202">
        <v>0.71</v>
      </c>
      <c r="S202">
        <v>1.9E-2</v>
      </c>
      <c r="T202">
        <v>0.45</v>
      </c>
      <c r="U202">
        <v>0.19600000000000001</v>
      </c>
      <c r="AO202" t="s">
        <v>322</v>
      </c>
      <c r="AP202" t="s">
        <v>1691</v>
      </c>
    </row>
    <row r="203" spans="10:42">
      <c r="J203" t="s">
        <v>2485</v>
      </c>
      <c r="K203">
        <v>1.22</v>
      </c>
      <c r="N203">
        <v>0.71</v>
      </c>
      <c r="O203">
        <v>4093</v>
      </c>
      <c r="P203">
        <v>1.1200000000000001</v>
      </c>
      <c r="Q203">
        <v>1.29</v>
      </c>
      <c r="R203">
        <v>0.71</v>
      </c>
      <c r="S203">
        <v>1.9E-2</v>
      </c>
      <c r="T203">
        <v>0.45</v>
      </c>
      <c r="U203">
        <v>0.19600000000000001</v>
      </c>
      <c r="AO203" t="s">
        <v>322</v>
      </c>
      <c r="AP203" t="s">
        <v>1595</v>
      </c>
    </row>
    <row r="204" spans="10:42">
      <c r="J204" t="s">
        <v>2486</v>
      </c>
      <c r="K204">
        <v>0.42</v>
      </c>
      <c r="N204">
        <v>0.67</v>
      </c>
      <c r="O204">
        <v>3379</v>
      </c>
      <c r="P204">
        <v>1.08</v>
      </c>
      <c r="Q204">
        <v>1.3</v>
      </c>
      <c r="R204">
        <v>0.67</v>
      </c>
      <c r="S204">
        <v>1.4999999999999999E-2</v>
      </c>
      <c r="T204">
        <v>0.35399999999999998</v>
      </c>
      <c r="U204">
        <v>0.154</v>
      </c>
      <c r="AO204" t="s">
        <v>322</v>
      </c>
      <c r="AP204" t="s">
        <v>328</v>
      </c>
    </row>
    <row r="205" spans="10:42">
      <c r="J205" t="s">
        <v>2521</v>
      </c>
      <c r="K205">
        <v>2.4700000000000002</v>
      </c>
      <c r="N205">
        <v>0.67</v>
      </c>
      <c r="O205">
        <v>3379</v>
      </c>
      <c r="P205">
        <v>1.08</v>
      </c>
      <c r="Q205">
        <v>1.3</v>
      </c>
      <c r="R205">
        <v>0.67</v>
      </c>
      <c r="S205">
        <v>1.4999999999999999E-2</v>
      </c>
      <c r="T205">
        <v>0.35399999999999998</v>
      </c>
      <c r="U205">
        <v>0.154</v>
      </c>
      <c r="AO205" t="s">
        <v>323</v>
      </c>
      <c r="AP205" t="s">
        <v>1682</v>
      </c>
    </row>
    <row r="206" spans="10:42">
      <c r="J206" t="s">
        <v>2522</v>
      </c>
      <c r="K206">
        <v>1.96</v>
      </c>
      <c r="N206">
        <v>0.67</v>
      </c>
      <c r="O206">
        <v>3379</v>
      </c>
      <c r="P206">
        <v>1.08</v>
      </c>
      <c r="Q206">
        <v>1.3</v>
      </c>
      <c r="R206">
        <v>0.67</v>
      </c>
      <c r="S206">
        <v>1.4999999999999999E-2</v>
      </c>
      <c r="T206">
        <v>0.35399999999999998</v>
      </c>
      <c r="U206">
        <v>0.154</v>
      </c>
      <c r="AO206" t="s">
        <v>323</v>
      </c>
      <c r="AP206" t="s">
        <v>1679</v>
      </c>
    </row>
    <row r="207" spans="10:42">
      <c r="J207" t="s">
        <v>2523</v>
      </c>
      <c r="K207">
        <v>1.7</v>
      </c>
      <c r="N207">
        <v>0.67</v>
      </c>
      <c r="O207">
        <v>3379</v>
      </c>
      <c r="P207">
        <v>1.08</v>
      </c>
      <c r="Q207">
        <v>1.3</v>
      </c>
      <c r="R207">
        <v>0.67</v>
      </c>
      <c r="S207">
        <v>1.4999999999999999E-2</v>
      </c>
      <c r="T207">
        <v>0.35399999999999998</v>
      </c>
      <c r="U207">
        <v>0.154</v>
      </c>
      <c r="AO207" t="s">
        <v>323</v>
      </c>
      <c r="AP207" t="s">
        <v>1680</v>
      </c>
    </row>
    <row r="208" spans="10:42">
      <c r="J208" t="s">
        <v>2524</v>
      </c>
      <c r="K208">
        <v>1.1299999999999999</v>
      </c>
      <c r="N208">
        <v>0.67</v>
      </c>
      <c r="O208">
        <v>3379</v>
      </c>
      <c r="P208">
        <v>1.08</v>
      </c>
      <c r="Q208">
        <v>1.3</v>
      </c>
      <c r="R208">
        <v>0.67</v>
      </c>
      <c r="S208">
        <v>1.4999999999999999E-2</v>
      </c>
      <c r="T208">
        <v>0.35399999999999998</v>
      </c>
      <c r="U208">
        <v>0.154</v>
      </c>
      <c r="AO208" t="s">
        <v>323</v>
      </c>
      <c r="AP208" t="s">
        <v>1681</v>
      </c>
    </row>
    <row r="209" spans="10:42">
      <c r="J209" t="s">
        <v>2487</v>
      </c>
      <c r="K209">
        <v>0.57999999999999996</v>
      </c>
      <c r="N209">
        <v>0.67</v>
      </c>
      <c r="O209">
        <v>3379</v>
      </c>
      <c r="P209">
        <v>1.08</v>
      </c>
      <c r="Q209">
        <v>1.3</v>
      </c>
      <c r="R209">
        <v>0.67</v>
      </c>
      <c r="S209">
        <v>1.4999999999999999E-2</v>
      </c>
      <c r="T209">
        <v>0.35399999999999998</v>
      </c>
      <c r="U209">
        <v>0.154</v>
      </c>
      <c r="AO209" t="s">
        <v>323</v>
      </c>
      <c r="AP209" t="s">
        <v>1683</v>
      </c>
    </row>
    <row r="210" spans="10:42">
      <c r="J210" t="s">
        <v>2488</v>
      </c>
      <c r="K210">
        <v>0.46</v>
      </c>
      <c r="N210">
        <v>0.67</v>
      </c>
      <c r="O210">
        <v>3379</v>
      </c>
      <c r="P210">
        <v>1.08</v>
      </c>
      <c r="Q210">
        <v>1.3</v>
      </c>
      <c r="R210">
        <v>0.67</v>
      </c>
      <c r="S210">
        <v>1.4999999999999999E-2</v>
      </c>
      <c r="T210">
        <v>0.35399999999999998</v>
      </c>
      <c r="U210">
        <v>0.154</v>
      </c>
      <c r="AO210" t="s">
        <v>323</v>
      </c>
      <c r="AP210" t="s">
        <v>1684</v>
      </c>
    </row>
    <row r="211" spans="10:42">
      <c r="J211" t="s">
        <v>2526</v>
      </c>
      <c r="K211">
        <v>0.31</v>
      </c>
      <c r="N211">
        <v>0.67</v>
      </c>
      <c r="O211">
        <v>3379</v>
      </c>
      <c r="P211">
        <v>1.08</v>
      </c>
      <c r="Q211">
        <v>1.3</v>
      </c>
      <c r="R211">
        <v>0.67</v>
      </c>
      <c r="S211">
        <v>1.4999999999999999E-2</v>
      </c>
      <c r="T211">
        <v>0.35399999999999998</v>
      </c>
      <c r="U211">
        <v>0.154</v>
      </c>
      <c r="AO211" t="s">
        <v>323</v>
      </c>
      <c r="AP211" t="s">
        <v>1595</v>
      </c>
    </row>
    <row r="212" spans="10:42">
      <c r="J212" t="s">
        <v>2525</v>
      </c>
      <c r="K212">
        <v>0.45</v>
      </c>
      <c r="N212">
        <v>0.67</v>
      </c>
      <c r="O212">
        <v>3379</v>
      </c>
      <c r="P212">
        <v>1.08</v>
      </c>
      <c r="Q212">
        <v>1.3</v>
      </c>
      <c r="R212">
        <v>0.67</v>
      </c>
      <c r="S212">
        <v>1.4999999999999999E-2</v>
      </c>
      <c r="T212">
        <v>0.35399999999999998</v>
      </c>
      <c r="U212">
        <v>0.154</v>
      </c>
      <c r="AO212" t="s">
        <v>323</v>
      </c>
      <c r="AP212" t="s">
        <v>328</v>
      </c>
    </row>
    <row r="213" spans="10:42">
      <c r="J213" t="s">
        <v>2527</v>
      </c>
      <c r="K213">
        <v>0.62</v>
      </c>
      <c r="N213">
        <v>0.67</v>
      </c>
      <c r="O213">
        <v>3379</v>
      </c>
      <c r="P213">
        <v>1.08</v>
      </c>
      <c r="Q213">
        <v>1.3</v>
      </c>
      <c r="R213">
        <v>0.67</v>
      </c>
      <c r="S213">
        <v>1.4999999999999999E-2</v>
      </c>
      <c r="T213">
        <v>0.35399999999999998</v>
      </c>
      <c r="U213">
        <v>0.154</v>
      </c>
      <c r="AO213" t="s">
        <v>324</v>
      </c>
      <c r="AP213" t="s">
        <v>1657</v>
      </c>
    </row>
    <row r="214" spans="10:42">
      <c r="J214" t="s">
        <v>2489</v>
      </c>
      <c r="K214">
        <v>0.56000000000000005</v>
      </c>
      <c r="N214">
        <v>0.97</v>
      </c>
      <c r="O214">
        <v>4099</v>
      </c>
      <c r="P214">
        <v>1.1599999999999999</v>
      </c>
      <c r="Q214">
        <v>1.24</v>
      </c>
      <c r="R214">
        <v>0.97</v>
      </c>
      <c r="S214">
        <v>1.2999999999999999E-2</v>
      </c>
      <c r="T214">
        <v>0.315</v>
      </c>
      <c r="U214">
        <v>0.13700000000000001</v>
      </c>
      <c r="AO214" t="s">
        <v>324</v>
      </c>
      <c r="AP214" t="s">
        <v>1689</v>
      </c>
    </row>
    <row r="215" spans="10:42">
      <c r="J215" t="s">
        <v>2492</v>
      </c>
      <c r="K215">
        <v>1.06</v>
      </c>
      <c r="N215">
        <v>0.48</v>
      </c>
      <c r="O215">
        <v>2085</v>
      </c>
      <c r="P215">
        <v>1.1200000000000001</v>
      </c>
      <c r="Q215">
        <v>1.37</v>
      </c>
      <c r="R215">
        <v>0.48</v>
      </c>
      <c r="S215">
        <v>1.4999999999999999E-2</v>
      </c>
      <c r="T215">
        <v>0.35599999999999998</v>
      </c>
      <c r="U215">
        <v>0.155</v>
      </c>
      <c r="AO215" t="s">
        <v>324</v>
      </c>
      <c r="AP215" t="s">
        <v>1688</v>
      </c>
    </row>
    <row r="216" spans="10:42">
      <c r="J216" t="s">
        <v>2493</v>
      </c>
      <c r="K216">
        <v>1.8</v>
      </c>
      <c r="N216">
        <v>0.67</v>
      </c>
      <c r="O216">
        <v>3379</v>
      </c>
      <c r="P216">
        <v>1.08</v>
      </c>
      <c r="Q216">
        <v>1.3</v>
      </c>
      <c r="R216">
        <v>0.67</v>
      </c>
      <c r="S216">
        <v>1.4999999999999999E-2</v>
      </c>
      <c r="T216">
        <v>0.35399999999999998</v>
      </c>
      <c r="U216">
        <v>0.154</v>
      </c>
      <c r="AO216" t="s">
        <v>324</v>
      </c>
      <c r="AP216" t="s">
        <v>968</v>
      </c>
    </row>
    <row r="217" spans="10:42">
      <c r="J217" t="s">
        <v>2529</v>
      </c>
      <c r="K217">
        <v>0.69</v>
      </c>
      <c r="N217">
        <v>0.85</v>
      </c>
      <c r="O217">
        <v>3135</v>
      </c>
      <c r="P217">
        <v>1.02</v>
      </c>
      <c r="Q217">
        <v>1.17</v>
      </c>
      <c r="R217">
        <v>0.85</v>
      </c>
      <c r="S217">
        <v>1.6E-2</v>
      </c>
      <c r="T217">
        <v>0.378</v>
      </c>
      <c r="U217">
        <v>0.16400000000000001</v>
      </c>
      <c r="AO217" t="s">
        <v>324</v>
      </c>
      <c r="AP217" t="s">
        <v>1504</v>
      </c>
    </row>
    <row r="218" spans="10:42">
      <c r="J218" t="s">
        <v>2528</v>
      </c>
      <c r="K218">
        <v>0.35</v>
      </c>
      <c r="N218">
        <v>0.85</v>
      </c>
      <c r="O218">
        <v>3135</v>
      </c>
      <c r="P218">
        <v>1.02</v>
      </c>
      <c r="Q218">
        <v>1.17</v>
      </c>
      <c r="R218">
        <v>0.85</v>
      </c>
      <c r="S218">
        <v>1.6E-2</v>
      </c>
      <c r="T218">
        <v>0.378</v>
      </c>
      <c r="U218">
        <v>0.16400000000000001</v>
      </c>
      <c r="AO218" t="s">
        <v>324</v>
      </c>
      <c r="AP218" t="s">
        <v>1505</v>
      </c>
    </row>
    <row r="219" spans="10:42">
      <c r="J219" t="s">
        <v>995</v>
      </c>
      <c r="K219">
        <v>1.1399999999999999</v>
      </c>
      <c r="N219">
        <v>0.67</v>
      </c>
      <c r="O219">
        <v>3379</v>
      </c>
      <c r="P219">
        <v>1.08</v>
      </c>
      <c r="Q219">
        <v>1.3</v>
      </c>
      <c r="R219">
        <v>0.67</v>
      </c>
      <c r="S219">
        <v>1.4999999999999999E-2</v>
      </c>
      <c r="T219">
        <v>0.35399999999999998</v>
      </c>
      <c r="U219">
        <v>0.154</v>
      </c>
      <c r="AO219" t="s">
        <v>324</v>
      </c>
      <c r="AP219" t="s">
        <v>1206</v>
      </c>
    </row>
    <row r="220" spans="10:42">
      <c r="AO220" t="s">
        <v>324</v>
      </c>
      <c r="AP220" t="s">
        <v>990</v>
      </c>
    </row>
    <row r="221" spans="10:42">
      <c r="AO221" t="s">
        <v>324</v>
      </c>
      <c r="AP221" t="s">
        <v>993</v>
      </c>
    </row>
    <row r="222" spans="10:42">
      <c r="AO222" t="s">
        <v>324</v>
      </c>
      <c r="AP222" t="s">
        <v>994</v>
      </c>
    </row>
    <row r="223" spans="10:42">
      <c r="AO223" t="s">
        <v>324</v>
      </c>
      <c r="AP223" t="s">
        <v>1664</v>
      </c>
    </row>
    <row r="224" spans="10:42">
      <c r="AO224" t="s">
        <v>324</v>
      </c>
      <c r="AP224" t="s">
        <v>1665</v>
      </c>
    </row>
    <row r="225" spans="41:42">
      <c r="AO225" t="s">
        <v>324</v>
      </c>
      <c r="AP225" t="s">
        <v>1677</v>
      </c>
    </row>
    <row r="226" spans="41:42">
      <c r="AO226" t="s">
        <v>324</v>
      </c>
      <c r="AP226" t="s">
        <v>1676</v>
      </c>
    </row>
    <row r="227" spans="41:42">
      <c r="AO227" t="s">
        <v>324</v>
      </c>
      <c r="AP227" t="s">
        <v>1690</v>
      </c>
    </row>
    <row r="228" spans="41:42">
      <c r="AO228" t="s">
        <v>324</v>
      </c>
      <c r="AP228" t="s">
        <v>1674</v>
      </c>
    </row>
    <row r="229" spans="41:42">
      <c r="AO229" t="s">
        <v>324</v>
      </c>
      <c r="AP229" t="s">
        <v>1675</v>
      </c>
    </row>
    <row r="230" spans="41:42">
      <c r="AO230" t="s">
        <v>324</v>
      </c>
      <c r="AP230" t="s">
        <v>1682</v>
      </c>
    </row>
    <row r="231" spans="41:42">
      <c r="AO231" t="s">
        <v>324</v>
      </c>
      <c r="AP231" t="s">
        <v>1679</v>
      </c>
    </row>
    <row r="232" spans="41:42">
      <c r="AO232" t="s">
        <v>324</v>
      </c>
      <c r="AP232" t="s">
        <v>1680</v>
      </c>
    </row>
    <row r="233" spans="41:42">
      <c r="AO233" t="s">
        <v>324</v>
      </c>
      <c r="AP233" t="s">
        <v>1681</v>
      </c>
    </row>
    <row r="234" spans="41:42">
      <c r="AO234" t="s">
        <v>324</v>
      </c>
      <c r="AP234" t="s">
        <v>1683</v>
      </c>
    </row>
    <row r="235" spans="41:42">
      <c r="AO235" t="s">
        <v>324</v>
      </c>
      <c r="AP235" t="s">
        <v>1684</v>
      </c>
    </row>
    <row r="236" spans="41:42">
      <c r="AO236" t="s">
        <v>324</v>
      </c>
      <c r="AP236" t="s">
        <v>1595</v>
      </c>
    </row>
    <row r="237" spans="41:42">
      <c r="AO237" t="s">
        <v>325</v>
      </c>
      <c r="AP237" t="s">
        <v>1689</v>
      </c>
    </row>
    <row r="238" spans="41:42">
      <c r="AO238" t="s">
        <v>325</v>
      </c>
      <c r="AP238" t="s">
        <v>1688</v>
      </c>
    </row>
    <row r="239" spans="41:42">
      <c r="AO239" t="s">
        <v>325</v>
      </c>
      <c r="AP239" t="s">
        <v>968</v>
      </c>
    </row>
    <row r="240" spans="41:42">
      <c r="AO240" t="s">
        <v>325</v>
      </c>
      <c r="AP240" t="s">
        <v>1504</v>
      </c>
    </row>
    <row r="241" spans="41:42">
      <c r="AO241" t="s">
        <v>325</v>
      </c>
      <c r="AP241" t="s">
        <v>1505</v>
      </c>
    </row>
    <row r="242" spans="41:42">
      <c r="AO242" t="s">
        <v>325</v>
      </c>
      <c r="AP242" t="s">
        <v>1206</v>
      </c>
    </row>
    <row r="243" spans="41:42">
      <c r="AO243" t="s">
        <v>325</v>
      </c>
      <c r="AP243" t="s">
        <v>990</v>
      </c>
    </row>
    <row r="244" spans="41:42">
      <c r="AO244" t="s">
        <v>325</v>
      </c>
      <c r="AP244" t="s">
        <v>993</v>
      </c>
    </row>
    <row r="245" spans="41:42">
      <c r="AO245" t="s">
        <v>325</v>
      </c>
      <c r="AP245" t="s">
        <v>994</v>
      </c>
    </row>
    <row r="246" spans="41:42">
      <c r="AO246" t="s">
        <v>325</v>
      </c>
      <c r="AP246" t="s">
        <v>1664</v>
      </c>
    </row>
    <row r="247" spans="41:42">
      <c r="AO247" t="s">
        <v>325</v>
      </c>
      <c r="AP247" t="s">
        <v>1665</v>
      </c>
    </row>
    <row r="248" spans="41:42">
      <c r="AO248" t="s">
        <v>325</v>
      </c>
      <c r="AP248" t="s">
        <v>1682</v>
      </c>
    </row>
    <row r="249" spans="41:42">
      <c r="AO249" t="s">
        <v>325</v>
      </c>
      <c r="AP249" t="s">
        <v>1679</v>
      </c>
    </row>
    <row r="250" spans="41:42">
      <c r="AO250" t="s">
        <v>325</v>
      </c>
      <c r="AP250" t="s">
        <v>1680</v>
      </c>
    </row>
    <row r="251" spans="41:42">
      <c r="AO251" t="s">
        <v>325</v>
      </c>
      <c r="AP251" t="s">
        <v>1681</v>
      </c>
    </row>
    <row r="252" spans="41:42">
      <c r="AO252" t="s">
        <v>325</v>
      </c>
      <c r="AP252" t="s">
        <v>1683</v>
      </c>
    </row>
    <row r="253" spans="41:42">
      <c r="AO253" t="s">
        <v>325</v>
      </c>
      <c r="AP253" t="s">
        <v>1684</v>
      </c>
    </row>
    <row r="254" spans="41:42">
      <c r="AO254" t="s">
        <v>325</v>
      </c>
      <c r="AP254" t="s">
        <v>1595</v>
      </c>
    </row>
    <row r="255" spans="41:42">
      <c r="AO255" t="s">
        <v>326</v>
      </c>
      <c r="AP255" t="s">
        <v>1689</v>
      </c>
    </row>
    <row r="256" spans="41:42">
      <c r="AO256" t="s">
        <v>326</v>
      </c>
      <c r="AP256" t="s">
        <v>1688</v>
      </c>
    </row>
    <row r="257" spans="41:42">
      <c r="AO257" t="s">
        <v>326</v>
      </c>
      <c r="AP257" t="s">
        <v>968</v>
      </c>
    </row>
    <row r="258" spans="41:42">
      <c r="AO258" t="s">
        <v>326</v>
      </c>
      <c r="AP258" t="s">
        <v>1504</v>
      </c>
    </row>
    <row r="259" spans="41:42">
      <c r="AO259" t="s">
        <v>326</v>
      </c>
      <c r="AP259" t="s">
        <v>1505</v>
      </c>
    </row>
    <row r="260" spans="41:42">
      <c r="AO260" t="s">
        <v>326</v>
      </c>
      <c r="AP260" t="s">
        <v>1206</v>
      </c>
    </row>
    <row r="261" spans="41:42">
      <c r="AO261" t="s">
        <v>326</v>
      </c>
      <c r="AP261" t="s">
        <v>990</v>
      </c>
    </row>
    <row r="262" spans="41:42">
      <c r="AO262" t="s">
        <v>326</v>
      </c>
      <c r="AP262" t="s">
        <v>993</v>
      </c>
    </row>
    <row r="263" spans="41:42">
      <c r="AO263" t="s">
        <v>326</v>
      </c>
      <c r="AP263" t="s">
        <v>994</v>
      </c>
    </row>
    <row r="264" spans="41:42">
      <c r="AO264" t="s">
        <v>326</v>
      </c>
      <c r="AP264" t="s">
        <v>1664</v>
      </c>
    </row>
    <row r="265" spans="41:42">
      <c r="AO265" t="s">
        <v>326</v>
      </c>
      <c r="AP265" t="s">
        <v>1665</v>
      </c>
    </row>
    <row r="266" spans="41:42">
      <c r="AO266" t="s">
        <v>326</v>
      </c>
      <c r="AP266" t="s">
        <v>1691</v>
      </c>
    </row>
    <row r="267" spans="41:42">
      <c r="AO267" t="s">
        <v>326</v>
      </c>
      <c r="AP267" t="s">
        <v>1595</v>
      </c>
    </row>
    <row r="268" spans="41:42">
      <c r="AO268" t="s">
        <v>327</v>
      </c>
      <c r="AP268" t="s">
        <v>1660</v>
      </c>
    </row>
    <row r="269" spans="41:42">
      <c r="AO269" t="s">
        <v>327</v>
      </c>
      <c r="AP269" t="s">
        <v>1661</v>
      </c>
    </row>
    <row r="270" spans="41:42">
      <c r="AO270" t="s">
        <v>327</v>
      </c>
      <c r="AP270" t="s">
        <v>1689</v>
      </c>
    </row>
    <row r="271" spans="41:42">
      <c r="AO271" t="s">
        <v>327</v>
      </c>
      <c r="AP271" t="s">
        <v>1688</v>
      </c>
    </row>
    <row r="272" spans="41:42">
      <c r="AO272" t="s">
        <v>327</v>
      </c>
      <c r="AP272" t="s">
        <v>968</v>
      </c>
    </row>
    <row r="273" spans="41:42">
      <c r="AO273" t="s">
        <v>327</v>
      </c>
      <c r="AP273" t="s">
        <v>1504</v>
      </c>
    </row>
    <row r="274" spans="41:42">
      <c r="AO274" t="s">
        <v>327</v>
      </c>
      <c r="AP274" t="s">
        <v>1505</v>
      </c>
    </row>
    <row r="275" spans="41:42">
      <c r="AO275" t="s">
        <v>327</v>
      </c>
      <c r="AP275" t="s">
        <v>1206</v>
      </c>
    </row>
    <row r="276" spans="41:42">
      <c r="AO276" t="s">
        <v>327</v>
      </c>
      <c r="AP276" t="s">
        <v>990</v>
      </c>
    </row>
    <row r="277" spans="41:42">
      <c r="AO277" t="s">
        <v>327</v>
      </c>
      <c r="AP277" t="s">
        <v>993</v>
      </c>
    </row>
    <row r="278" spans="41:42">
      <c r="AO278" t="s">
        <v>327</v>
      </c>
      <c r="AP278" t="s">
        <v>994</v>
      </c>
    </row>
    <row r="279" spans="41:42">
      <c r="AO279" t="s">
        <v>327</v>
      </c>
      <c r="AP279" t="s">
        <v>1693</v>
      </c>
    </row>
    <row r="280" spans="41:42">
      <c r="AO280" t="s">
        <v>327</v>
      </c>
      <c r="AP280" t="s">
        <v>1664</v>
      </c>
    </row>
    <row r="281" spans="41:42">
      <c r="AO281" t="s">
        <v>327</v>
      </c>
      <c r="AP281" t="s">
        <v>1665</v>
      </c>
    </row>
    <row r="282" spans="41:42">
      <c r="AO282" t="s">
        <v>327</v>
      </c>
      <c r="AP282" t="s">
        <v>1666</v>
      </c>
    </row>
    <row r="283" spans="41:42">
      <c r="AO283" t="s">
        <v>327</v>
      </c>
      <c r="AP283" t="s">
        <v>1690</v>
      </c>
    </row>
    <row r="284" spans="41:42">
      <c r="AO284" t="s">
        <v>327</v>
      </c>
      <c r="AP284" t="s">
        <v>1678</v>
      </c>
    </row>
    <row r="285" spans="41:42">
      <c r="AO285" t="s">
        <v>327</v>
      </c>
      <c r="AP285" t="s">
        <v>1682</v>
      </c>
    </row>
    <row r="286" spans="41:42">
      <c r="AO286" t="s">
        <v>327</v>
      </c>
      <c r="AP286" t="s">
        <v>1679</v>
      </c>
    </row>
    <row r="287" spans="41:42">
      <c r="AO287" t="s">
        <v>327</v>
      </c>
      <c r="AP287" t="s">
        <v>1680</v>
      </c>
    </row>
    <row r="288" spans="41:42">
      <c r="AO288" t="s">
        <v>327</v>
      </c>
      <c r="AP288" t="s">
        <v>1681</v>
      </c>
    </row>
    <row r="289" spans="41:42">
      <c r="AO289" t="s">
        <v>327</v>
      </c>
      <c r="AP289" t="s">
        <v>1683</v>
      </c>
    </row>
    <row r="290" spans="41:42">
      <c r="AO290" t="s">
        <v>327</v>
      </c>
      <c r="AP290" t="s">
        <v>1684</v>
      </c>
    </row>
    <row r="291" spans="41:42">
      <c r="AO291" t="s">
        <v>327</v>
      </c>
      <c r="AP291" t="s">
        <v>1692</v>
      </c>
    </row>
    <row r="292" spans="41:42">
      <c r="AO292" t="s">
        <v>327</v>
      </c>
      <c r="AP292" t="s">
        <v>1685</v>
      </c>
    </row>
    <row r="293" spans="41:42">
      <c r="AO293" t="s">
        <v>327</v>
      </c>
      <c r="AP293" t="s">
        <v>1686</v>
      </c>
    </row>
    <row r="294" spans="41:42">
      <c r="AO294" t="s">
        <v>327</v>
      </c>
      <c r="AP294" t="s">
        <v>1687</v>
      </c>
    </row>
    <row r="295" spans="41:42">
      <c r="AO295" t="s">
        <v>327</v>
      </c>
      <c r="AP295" t="s">
        <v>1691</v>
      </c>
    </row>
    <row r="296" spans="41:42">
      <c r="AO296" t="s">
        <v>327</v>
      </c>
      <c r="AP296" t="s">
        <v>1595</v>
      </c>
    </row>
    <row r="297" spans="41:42">
      <c r="AO297" t="s">
        <v>328</v>
      </c>
      <c r="AP297" t="s">
        <v>1689</v>
      </c>
    </row>
    <row r="298" spans="41:42">
      <c r="AO298" t="s">
        <v>328</v>
      </c>
      <c r="AP298" t="s">
        <v>1688</v>
      </c>
    </row>
    <row r="299" spans="41:42">
      <c r="AO299" t="s">
        <v>328</v>
      </c>
      <c r="AP299" t="s">
        <v>968</v>
      </c>
    </row>
    <row r="300" spans="41:42">
      <c r="AO300" t="s">
        <v>328</v>
      </c>
      <c r="AP300" t="s">
        <v>1504</v>
      </c>
    </row>
    <row r="301" spans="41:42">
      <c r="AO301" t="s">
        <v>328</v>
      </c>
      <c r="AP301" t="s">
        <v>1505</v>
      </c>
    </row>
    <row r="302" spans="41:42">
      <c r="AO302" t="s">
        <v>328</v>
      </c>
      <c r="AP302" t="s">
        <v>1206</v>
      </c>
    </row>
    <row r="303" spans="41:42">
      <c r="AO303" t="s">
        <v>328</v>
      </c>
      <c r="AP303" t="s">
        <v>990</v>
      </c>
    </row>
    <row r="304" spans="41:42">
      <c r="AO304" t="s">
        <v>328</v>
      </c>
      <c r="AP304" t="s">
        <v>993</v>
      </c>
    </row>
    <row r="305" spans="41:42">
      <c r="AO305" t="s">
        <v>328</v>
      </c>
      <c r="AP305" t="s">
        <v>994</v>
      </c>
    </row>
    <row r="306" spans="41:42">
      <c r="AO306" t="s">
        <v>328</v>
      </c>
      <c r="AP306" t="s">
        <v>1664</v>
      </c>
    </row>
    <row r="307" spans="41:42">
      <c r="AO307" t="s">
        <v>328</v>
      </c>
      <c r="AP307" t="s">
        <v>1665</v>
      </c>
    </row>
    <row r="308" spans="41:42">
      <c r="AO308" t="s">
        <v>328</v>
      </c>
      <c r="AP308" t="s">
        <v>1673</v>
      </c>
    </row>
    <row r="309" spans="41:42">
      <c r="AO309" t="s">
        <v>328</v>
      </c>
      <c r="AP309" t="s">
        <v>1682</v>
      </c>
    </row>
    <row r="310" spans="41:42">
      <c r="AO310" t="s">
        <v>328</v>
      </c>
      <c r="AP310" t="s">
        <v>1679</v>
      </c>
    </row>
    <row r="311" spans="41:42">
      <c r="AO311" t="s">
        <v>328</v>
      </c>
      <c r="AP311" t="s">
        <v>1680</v>
      </c>
    </row>
    <row r="312" spans="41:42">
      <c r="AO312" t="s">
        <v>328</v>
      </c>
      <c r="AP312" t="s">
        <v>1681</v>
      </c>
    </row>
    <row r="313" spans="41:42">
      <c r="AO313" t="s">
        <v>328</v>
      </c>
      <c r="AP313" t="s">
        <v>1683</v>
      </c>
    </row>
    <row r="314" spans="41:42">
      <c r="AO314" t="s">
        <v>328</v>
      </c>
      <c r="AP314" t="s">
        <v>1684</v>
      </c>
    </row>
    <row r="315" spans="41:42">
      <c r="AO315" t="s">
        <v>328</v>
      </c>
      <c r="AP315" t="s">
        <v>1691</v>
      </c>
    </row>
    <row r="316" spans="41:42">
      <c r="AO316" t="s">
        <v>328</v>
      </c>
      <c r="AP316" t="s">
        <v>1595</v>
      </c>
    </row>
    <row r="317" spans="41:42">
      <c r="AO317" t="s">
        <v>328</v>
      </c>
      <c r="AP317" t="s">
        <v>328</v>
      </c>
    </row>
    <row r="318" spans="41:42">
      <c r="AO318" t="s">
        <v>2241</v>
      </c>
      <c r="AP318" t="s">
        <v>1651</v>
      </c>
    </row>
    <row r="319" spans="41:42">
      <c r="AO319" t="s">
        <v>2241</v>
      </c>
      <c r="AP319" t="s">
        <v>1656</v>
      </c>
    </row>
    <row r="320" spans="41:42">
      <c r="AO320" t="s">
        <v>2241</v>
      </c>
      <c r="AP320" t="s">
        <v>1655</v>
      </c>
    </row>
    <row r="321" spans="41:42">
      <c r="AO321" t="s">
        <v>2241</v>
      </c>
      <c r="AP321" t="s">
        <v>1652</v>
      </c>
    </row>
    <row r="322" spans="41:42">
      <c r="AO322" t="s">
        <v>2241</v>
      </c>
      <c r="AP322" t="s">
        <v>1653</v>
      </c>
    </row>
    <row r="323" spans="41:42">
      <c r="AO323" t="s">
        <v>2241</v>
      </c>
      <c r="AP323" t="s">
        <v>1654</v>
      </c>
    </row>
    <row r="324" spans="41:42">
      <c r="AO324" t="s">
        <v>2241</v>
      </c>
      <c r="AP324" t="s">
        <v>1657</v>
      </c>
    </row>
    <row r="325" spans="41:42">
      <c r="AO325" t="s">
        <v>2241</v>
      </c>
      <c r="AP325" t="s">
        <v>1658</v>
      </c>
    </row>
    <row r="326" spans="41:42">
      <c r="AO326" t="s">
        <v>2241</v>
      </c>
      <c r="AP326" t="s">
        <v>1659</v>
      </c>
    </row>
    <row r="327" spans="41:42">
      <c r="AO327" t="s">
        <v>2241</v>
      </c>
      <c r="AP327" t="s">
        <v>1342</v>
      </c>
    </row>
    <row r="328" spans="41:42">
      <c r="AO328" t="s">
        <v>2241</v>
      </c>
      <c r="AP328" t="s">
        <v>1660</v>
      </c>
    </row>
    <row r="329" spans="41:42">
      <c r="AO329" t="s">
        <v>2241</v>
      </c>
      <c r="AP329" t="s">
        <v>1661</v>
      </c>
    </row>
    <row r="330" spans="41:42">
      <c r="AO330" t="s">
        <v>2241</v>
      </c>
      <c r="AP330" t="s">
        <v>1662</v>
      </c>
    </row>
    <row r="331" spans="41:42">
      <c r="AO331" t="s">
        <v>2241</v>
      </c>
      <c r="AP331" t="s">
        <v>1663</v>
      </c>
    </row>
    <row r="332" spans="41:42">
      <c r="AO332" t="s">
        <v>2241</v>
      </c>
      <c r="AP332" t="s">
        <v>1689</v>
      </c>
    </row>
    <row r="333" spans="41:42">
      <c r="AO333" t="s">
        <v>2241</v>
      </c>
      <c r="AP333" t="s">
        <v>1688</v>
      </c>
    </row>
    <row r="334" spans="41:42">
      <c r="AO334" t="s">
        <v>2241</v>
      </c>
      <c r="AP334" t="s">
        <v>968</v>
      </c>
    </row>
    <row r="335" spans="41:42">
      <c r="AO335" t="s">
        <v>2241</v>
      </c>
      <c r="AP335" t="s">
        <v>1504</v>
      </c>
    </row>
    <row r="336" spans="41:42">
      <c r="AO336" t="s">
        <v>2241</v>
      </c>
      <c r="AP336" t="s">
        <v>1505</v>
      </c>
    </row>
    <row r="337" spans="41:42">
      <c r="AO337" t="s">
        <v>2241</v>
      </c>
      <c r="AP337" t="s">
        <v>1206</v>
      </c>
    </row>
    <row r="338" spans="41:42">
      <c r="AO338" t="s">
        <v>2241</v>
      </c>
      <c r="AP338" t="s">
        <v>990</v>
      </c>
    </row>
    <row r="339" spans="41:42">
      <c r="AO339" t="s">
        <v>2241</v>
      </c>
      <c r="AP339" t="s">
        <v>993</v>
      </c>
    </row>
    <row r="340" spans="41:42">
      <c r="AO340" t="s">
        <v>2241</v>
      </c>
      <c r="AP340" t="s">
        <v>994</v>
      </c>
    </row>
    <row r="341" spans="41:42">
      <c r="AO341" t="s">
        <v>2241</v>
      </c>
      <c r="AP341" t="s">
        <v>1693</v>
      </c>
    </row>
    <row r="342" spans="41:42">
      <c r="AO342" t="s">
        <v>2241</v>
      </c>
      <c r="AP342" t="s">
        <v>1664</v>
      </c>
    </row>
    <row r="343" spans="41:42">
      <c r="AO343" t="s">
        <v>2241</v>
      </c>
      <c r="AP343" t="s">
        <v>1665</v>
      </c>
    </row>
    <row r="344" spans="41:42">
      <c r="AO344" t="s">
        <v>2241</v>
      </c>
      <c r="AP344" t="s">
        <v>1666</v>
      </c>
    </row>
    <row r="345" spans="41:42">
      <c r="AO345" t="s">
        <v>2241</v>
      </c>
      <c r="AP345" t="s">
        <v>1667</v>
      </c>
    </row>
    <row r="346" spans="41:42">
      <c r="AO346" t="s">
        <v>2241</v>
      </c>
      <c r="AP346" t="s">
        <v>1668</v>
      </c>
    </row>
    <row r="347" spans="41:42">
      <c r="AO347" t="s">
        <v>2241</v>
      </c>
      <c r="AP347" t="s">
        <v>1670</v>
      </c>
    </row>
    <row r="348" spans="41:42">
      <c r="AO348" t="s">
        <v>2241</v>
      </c>
      <c r="AP348" t="s">
        <v>1669</v>
      </c>
    </row>
    <row r="349" spans="41:42">
      <c r="AO349" t="s">
        <v>2241</v>
      </c>
      <c r="AP349" t="s">
        <v>1672</v>
      </c>
    </row>
    <row r="350" spans="41:42">
      <c r="AO350" t="s">
        <v>2241</v>
      </c>
      <c r="AP350" t="s">
        <v>1671</v>
      </c>
    </row>
    <row r="351" spans="41:42">
      <c r="AO351" t="s">
        <v>2241</v>
      </c>
      <c r="AP351" t="s">
        <v>1677</v>
      </c>
    </row>
    <row r="352" spans="41:42">
      <c r="AO352" t="s">
        <v>2241</v>
      </c>
      <c r="AP352" t="s">
        <v>1676</v>
      </c>
    </row>
    <row r="353" spans="41:42">
      <c r="AO353" t="s">
        <v>2241</v>
      </c>
      <c r="AP353" t="s">
        <v>1690</v>
      </c>
    </row>
    <row r="354" spans="41:42">
      <c r="AO354" t="s">
        <v>2241</v>
      </c>
      <c r="AP354" t="s">
        <v>1673</v>
      </c>
    </row>
    <row r="355" spans="41:42">
      <c r="AO355" t="s">
        <v>2241</v>
      </c>
      <c r="AP355" t="s">
        <v>1674</v>
      </c>
    </row>
    <row r="356" spans="41:42">
      <c r="AO356" t="s">
        <v>2241</v>
      </c>
      <c r="AP356" t="s">
        <v>1675</v>
      </c>
    </row>
    <row r="357" spans="41:42">
      <c r="AO357" t="s">
        <v>2241</v>
      </c>
      <c r="AP357" t="s">
        <v>1678</v>
      </c>
    </row>
    <row r="358" spans="41:42">
      <c r="AO358" t="s">
        <v>2241</v>
      </c>
      <c r="AP358" t="s">
        <v>1682</v>
      </c>
    </row>
    <row r="359" spans="41:42">
      <c r="AO359" t="s">
        <v>2241</v>
      </c>
      <c r="AP359" t="s">
        <v>1679</v>
      </c>
    </row>
    <row r="360" spans="41:42">
      <c r="AO360" t="s">
        <v>2241</v>
      </c>
      <c r="AP360" t="s">
        <v>1680</v>
      </c>
    </row>
    <row r="361" spans="41:42">
      <c r="AO361" t="s">
        <v>2241</v>
      </c>
      <c r="AP361" t="s">
        <v>1681</v>
      </c>
    </row>
    <row r="362" spans="41:42">
      <c r="AO362" t="s">
        <v>2241</v>
      </c>
      <c r="AP362" t="s">
        <v>1683</v>
      </c>
    </row>
    <row r="363" spans="41:42">
      <c r="AO363" t="s">
        <v>2241</v>
      </c>
      <c r="AP363" t="s">
        <v>1684</v>
      </c>
    </row>
    <row r="364" spans="41:42">
      <c r="AO364" t="s">
        <v>2241</v>
      </c>
      <c r="AP364" t="s">
        <v>1692</v>
      </c>
    </row>
    <row r="365" spans="41:42">
      <c r="AO365" t="s">
        <v>2241</v>
      </c>
      <c r="AP365" t="s">
        <v>988</v>
      </c>
    </row>
    <row r="366" spans="41:42">
      <c r="AO366" t="s">
        <v>2241</v>
      </c>
      <c r="AP366" t="s">
        <v>1685</v>
      </c>
    </row>
    <row r="367" spans="41:42">
      <c r="AO367" t="s">
        <v>2241</v>
      </c>
      <c r="AP367" t="s">
        <v>1686</v>
      </c>
    </row>
    <row r="368" spans="41:42">
      <c r="AO368" t="s">
        <v>2241</v>
      </c>
      <c r="AP368" t="s">
        <v>1687</v>
      </c>
    </row>
    <row r="369" spans="41:42">
      <c r="AO369" t="s">
        <v>2241</v>
      </c>
      <c r="AP369" t="s">
        <v>1691</v>
      </c>
    </row>
    <row r="370" spans="41:42">
      <c r="AO370" t="s">
        <v>2241</v>
      </c>
      <c r="AP370" t="s">
        <v>1595</v>
      </c>
    </row>
    <row r="371" spans="41:42">
      <c r="AO371" t="s">
        <v>2241</v>
      </c>
      <c r="AP371" t="s">
        <v>328</v>
      </c>
    </row>
  </sheetData>
  <sheetProtection algorithmName="SHA-512" hashValue="gGwwXPepgZqbRnttAOoFCEJvdyvp1LDd/EuHm1I3H/CuhG5jhQ3PGDqAumN6eNlRnHxlfvhEBy4+m5tPkF3ziQ==" saltValue="7ZBY2w2E7zR6iGS5YxRVpg==" spinCount="100000" sheet="1" objects="1" scenarios="1"/>
  <phoneticPr fontId="150" type="noConversion"/>
  <pageMargins left="0.7" right="0.7" top="0.75" bottom="0.75" header="0.3" footer="0.3"/>
  <pageSetup orientation="portrait" r:id="rId1"/>
  <tableParts count="23">
    <tablePart r:id="rId2"/>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 r:id="rId23"/>
    <tablePart r:id="rId24"/>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4">
    <tabColor theme="4" tint="-0.249977111117893"/>
  </sheetPr>
  <dimension ref="A1:BV246"/>
  <sheetViews>
    <sheetView topLeftCell="A128" zoomScale="80" zoomScaleNormal="80" workbookViewId="0">
      <pane xSplit="2" topLeftCell="R1" activePane="topRight" state="frozen"/>
      <selection activeCell="A37" sqref="A37"/>
      <selection pane="topRight" activeCell="AA147" sqref="AA147"/>
    </sheetView>
  </sheetViews>
  <sheetFormatPr defaultRowHeight="15"/>
  <cols>
    <col min="1" max="1" width="15.140625" style="349" customWidth="1"/>
    <col min="2" max="2" width="80.140625" style="311" bestFit="1" customWidth="1"/>
    <col min="3" max="3" width="78.28515625" style="310" bestFit="1" customWidth="1"/>
    <col min="4" max="4" width="17.28515625" style="310" customWidth="1"/>
    <col min="5" max="5" width="27.85546875" style="310" customWidth="1"/>
    <col min="6" max="6" width="32.85546875" style="310" customWidth="1"/>
    <col min="7" max="7" width="20" style="310" customWidth="1"/>
    <col min="8" max="8" width="27" style="310" customWidth="1"/>
    <col min="9" max="9" width="23.28515625" style="310" customWidth="1"/>
    <col min="10" max="10" width="23" style="310" customWidth="1"/>
    <col min="11" max="11" width="25.28515625" style="311" customWidth="1"/>
    <col min="12" max="12" width="18" style="310" customWidth="1"/>
    <col min="13" max="13" width="16.28515625" style="312" customWidth="1"/>
    <col min="14" max="14" width="27.85546875" style="310" customWidth="1"/>
    <col min="15" max="15" width="28.42578125" style="310" customWidth="1"/>
    <col min="16" max="16" width="18.28515625" style="310" customWidth="1"/>
    <col min="17" max="17" width="29.42578125" style="310" customWidth="1"/>
    <col min="18" max="18" width="25.7109375" style="310" customWidth="1"/>
    <col min="19" max="19" width="19.140625" style="310" customWidth="1"/>
    <col min="20" max="20" width="19.28515625" style="310" customWidth="1"/>
    <col min="21" max="21" width="17.28515625" style="310" customWidth="1"/>
    <col min="22" max="22" width="13" style="310" customWidth="1"/>
    <col min="23" max="23" width="30.5703125" style="310" customWidth="1"/>
    <col min="24" max="24" width="10.85546875" style="310" customWidth="1"/>
    <col min="25" max="25" width="12" style="310" customWidth="1"/>
    <col min="26" max="26" width="15.28515625" style="310" customWidth="1"/>
    <col min="27" max="27" width="22.42578125" style="310" customWidth="1"/>
    <col min="28" max="28" width="22.28515625" style="310" customWidth="1"/>
    <col min="29" max="29" width="25.5703125" style="310" customWidth="1"/>
    <col min="30" max="30" width="47.140625" style="310" bestFit="1" customWidth="1"/>
    <col min="31" max="31" width="19.5703125" style="310" customWidth="1"/>
    <col min="32" max="32" width="14.85546875" style="310" customWidth="1"/>
    <col min="33" max="33" width="56.28515625" style="310" customWidth="1"/>
    <col min="34" max="34" width="70.28515625" style="310" customWidth="1"/>
    <col min="35" max="35" width="48" style="310" customWidth="1"/>
    <col min="36" max="36" width="16.5703125" style="310" customWidth="1"/>
    <col min="37" max="37" width="15.7109375" style="310" customWidth="1"/>
    <col min="38" max="38" width="9.140625" style="310" customWidth="1"/>
    <col min="39" max="39" width="9.7109375" style="310" customWidth="1"/>
    <col min="40" max="40" width="23.140625" style="310" customWidth="1"/>
    <col min="41" max="41" width="48.7109375" style="310" bestFit="1" customWidth="1"/>
    <col min="42" max="45" width="9.140625" style="310"/>
    <col min="46" max="46" width="19.140625" style="310" customWidth="1"/>
    <col min="47" max="47" width="13.5703125" style="310" customWidth="1"/>
    <col min="48" max="48" width="14.5703125" style="310" customWidth="1"/>
    <col min="49" max="16384" width="9.140625" style="310"/>
  </cols>
  <sheetData>
    <row r="1" spans="1:54" s="315" customFormat="1" ht="12.75" customHeight="1">
      <c r="A1" s="349" t="s">
        <v>852</v>
      </c>
      <c r="B1" s="311" t="s">
        <v>853</v>
      </c>
      <c r="C1" s="310" t="s">
        <v>854</v>
      </c>
      <c r="D1" s="310" t="s">
        <v>855</v>
      </c>
      <c r="E1" s="310" t="s">
        <v>856</v>
      </c>
      <c r="F1" s="310" t="s">
        <v>144</v>
      </c>
      <c r="G1" s="310" t="s">
        <v>857</v>
      </c>
      <c r="H1" s="310" t="s">
        <v>858</v>
      </c>
      <c r="I1" s="310" t="s">
        <v>145</v>
      </c>
      <c r="J1" s="374" t="s">
        <v>1450</v>
      </c>
      <c r="K1" s="311" t="s">
        <v>859</v>
      </c>
      <c r="L1" s="310" t="s">
        <v>148</v>
      </c>
      <c r="M1" s="312" t="s">
        <v>860</v>
      </c>
      <c r="N1" s="310" t="s">
        <v>153</v>
      </c>
      <c r="O1" s="313" t="s">
        <v>687</v>
      </c>
      <c r="P1" s="313" t="s">
        <v>147</v>
      </c>
      <c r="Q1" s="310" t="s">
        <v>150</v>
      </c>
      <c r="R1" s="310" t="s">
        <v>861</v>
      </c>
      <c r="S1" s="310" t="s">
        <v>862</v>
      </c>
      <c r="T1" s="310" t="s">
        <v>863</v>
      </c>
      <c r="U1" s="310" t="s">
        <v>142</v>
      </c>
      <c r="V1" s="310" t="s">
        <v>0</v>
      </c>
      <c r="W1" s="310" t="s">
        <v>864</v>
      </c>
      <c r="X1" s="310" t="s">
        <v>489</v>
      </c>
      <c r="Y1" s="310" t="s">
        <v>152</v>
      </c>
      <c r="Z1" s="310" t="s">
        <v>817</v>
      </c>
      <c r="AA1" s="310" t="s">
        <v>151</v>
      </c>
      <c r="AB1" s="310" t="s">
        <v>865</v>
      </c>
      <c r="AC1" s="310" t="s">
        <v>100</v>
      </c>
      <c r="AD1" s="314" t="s">
        <v>169</v>
      </c>
      <c r="AE1" s="314" t="s">
        <v>170</v>
      </c>
      <c r="AF1" s="314" t="s">
        <v>173</v>
      </c>
      <c r="AG1" s="314" t="s">
        <v>220</v>
      </c>
      <c r="AH1" s="314" t="s">
        <v>171</v>
      </c>
      <c r="AI1" s="314" t="s">
        <v>172</v>
      </c>
      <c r="AJ1" s="314" t="s">
        <v>174</v>
      </c>
      <c r="AK1" s="314" t="s">
        <v>188</v>
      </c>
      <c r="AL1" s="314" t="s">
        <v>909</v>
      </c>
      <c r="AM1" s="314" t="s">
        <v>590</v>
      </c>
      <c r="AO1" s="316" t="s">
        <v>169</v>
      </c>
      <c r="AP1" s="316" t="s">
        <v>1397</v>
      </c>
      <c r="AQ1" s="316" t="s">
        <v>173</v>
      </c>
      <c r="AR1" s="316" t="s">
        <v>794</v>
      </c>
      <c r="AS1" s="316" t="s">
        <v>590</v>
      </c>
      <c r="AU1" s="317" t="s">
        <v>923</v>
      </c>
      <c r="AV1" s="317" t="s">
        <v>852</v>
      </c>
      <c r="AW1" s="317" t="s">
        <v>147</v>
      </c>
      <c r="AX1" s="317" t="s">
        <v>186</v>
      </c>
      <c r="AY1" s="317" t="s">
        <v>187</v>
      </c>
      <c r="AZ1" s="317" t="s">
        <v>909</v>
      </c>
      <c r="BA1" s="317" t="s">
        <v>910</v>
      </c>
      <c r="BB1" s="317" t="s">
        <v>687</v>
      </c>
    </row>
    <row r="2" spans="1:54" ht="30">
      <c r="A2" s="350">
        <v>810146</v>
      </c>
      <c r="B2" s="318" t="s">
        <v>1740</v>
      </c>
      <c r="C2" s="83" t="s">
        <v>1724</v>
      </c>
      <c r="D2" s="318" t="s">
        <v>155</v>
      </c>
      <c r="E2" s="83" t="s">
        <v>156</v>
      </c>
      <c r="F2" s="83" t="s">
        <v>1752</v>
      </c>
      <c r="G2" s="318" t="s">
        <v>155</v>
      </c>
      <c r="H2" s="355" t="s">
        <v>1280</v>
      </c>
      <c r="I2" s="83" t="s">
        <v>1762</v>
      </c>
      <c r="J2" s="318" t="s">
        <v>2158</v>
      </c>
      <c r="K2" s="319"/>
      <c r="L2" s="83">
        <v>15</v>
      </c>
      <c r="M2" s="320"/>
      <c r="N2" s="355"/>
      <c r="O2" s="321"/>
      <c r="P2" s="83">
        <v>2</v>
      </c>
      <c r="Q2" s="318">
        <v>15.7</v>
      </c>
      <c r="R2" s="397">
        <v>6.0000000000000001E-3</v>
      </c>
      <c r="S2" s="318">
        <v>6.3694267515923567E-2</v>
      </c>
      <c r="T2" s="318">
        <v>166.66666666666666</v>
      </c>
      <c r="U2" s="356" t="s">
        <v>154</v>
      </c>
      <c r="V2" s="310" t="s">
        <v>947</v>
      </c>
      <c r="W2" s="318"/>
      <c r="X2" s="318" t="s">
        <v>1002</v>
      </c>
      <c r="Y2" s="318" t="s">
        <v>1032</v>
      </c>
      <c r="Z2" s="318"/>
      <c r="AA2" s="322">
        <v>13</v>
      </c>
      <c r="AB2" s="355">
        <v>1</v>
      </c>
      <c r="AC2" s="83" t="s">
        <v>1112</v>
      </c>
      <c r="AD2" t="s">
        <v>2102</v>
      </c>
      <c r="AE2" s="318"/>
      <c r="AF2" s="318"/>
      <c r="AG2" s="318"/>
      <c r="AH2" s="9" t="s">
        <v>2373</v>
      </c>
      <c r="AI2" s="318"/>
      <c r="AJ2" s="83"/>
      <c r="AK2" s="83">
        <v>9999</v>
      </c>
      <c r="AL2" s="318">
        <v>1000</v>
      </c>
      <c r="AM2" s="318">
        <v>4</v>
      </c>
      <c r="AO2" s="383" t="s">
        <v>1378</v>
      </c>
      <c r="AP2" s="380"/>
      <c r="AQ2" s="380"/>
      <c r="AR2" s="380"/>
      <c r="AS2" s="380">
        <v>1</v>
      </c>
      <c r="AU2" s="323"/>
      <c r="AV2" s="323"/>
      <c r="AW2" s="323"/>
      <c r="AX2" s="318"/>
      <c r="AY2" s="318"/>
      <c r="AZ2" s="318"/>
      <c r="BA2" s="318"/>
      <c r="BB2" s="318"/>
    </row>
    <row r="3" spans="1:54">
      <c r="A3" s="350">
        <v>810157</v>
      </c>
      <c r="B3" s="318" t="s">
        <v>1751</v>
      </c>
      <c r="C3" s="83" t="s">
        <v>1733</v>
      </c>
      <c r="D3" s="318" t="s">
        <v>155</v>
      </c>
      <c r="E3" s="83" t="s">
        <v>1102</v>
      </c>
      <c r="F3" s="83" t="s">
        <v>1756</v>
      </c>
      <c r="G3" s="318" t="s">
        <v>155</v>
      </c>
      <c r="H3" s="355" t="s">
        <v>168</v>
      </c>
      <c r="I3" s="83" t="s">
        <v>1761</v>
      </c>
      <c r="J3" s="318" t="s">
        <v>2158</v>
      </c>
      <c r="K3" s="319"/>
      <c r="L3" s="83">
        <v>11</v>
      </c>
      <c r="M3" s="320"/>
      <c r="N3" s="355"/>
      <c r="O3" s="321"/>
      <c r="P3" s="83">
        <v>2</v>
      </c>
      <c r="Q3" s="318">
        <v>91.6</v>
      </c>
      <c r="R3" s="397">
        <v>2.1999999999999999E-2</v>
      </c>
      <c r="S3" s="318">
        <v>2.1834061135371181E-2</v>
      </c>
      <c r="T3" s="318">
        <v>90.909090909090921</v>
      </c>
      <c r="U3" s="356" t="s">
        <v>154</v>
      </c>
      <c r="V3" s="310" t="s">
        <v>947</v>
      </c>
      <c r="W3" s="318"/>
      <c r="X3" s="318" t="s">
        <v>1002</v>
      </c>
      <c r="Y3" s="318" t="s">
        <v>1032</v>
      </c>
      <c r="Z3" s="318"/>
      <c r="AA3" s="322">
        <v>12</v>
      </c>
      <c r="AB3" s="355">
        <v>1</v>
      </c>
      <c r="AC3" t="s">
        <v>1775</v>
      </c>
      <c r="AD3" s="83" t="s">
        <v>1778</v>
      </c>
      <c r="AE3" s="318"/>
      <c r="AF3" s="318"/>
      <c r="AG3" s="318"/>
      <c r="AH3" t="s">
        <v>1756</v>
      </c>
      <c r="AI3" s="318"/>
      <c r="AJ3" s="83"/>
      <c r="AK3" s="83">
        <v>9999</v>
      </c>
      <c r="AL3" s="318">
        <v>1000</v>
      </c>
      <c r="AM3" s="318">
        <v>15</v>
      </c>
      <c r="AO3" s="373" t="s">
        <v>1036</v>
      </c>
      <c r="AP3" s="382">
        <v>210</v>
      </c>
      <c r="AQ3" s="373">
        <v>1</v>
      </c>
      <c r="AR3" s="373">
        <v>300</v>
      </c>
      <c r="AS3" s="380">
        <v>2</v>
      </c>
      <c r="AU3" s="323"/>
      <c r="AV3" s="323"/>
      <c r="AW3" s="323"/>
      <c r="AX3" s="318"/>
      <c r="AY3" s="318"/>
      <c r="AZ3" s="318"/>
      <c r="BA3" s="318"/>
      <c r="BB3" s="318"/>
    </row>
    <row r="4" spans="1:54">
      <c r="A4" s="350">
        <v>810140</v>
      </c>
      <c r="B4" s="318" t="s">
        <v>1734</v>
      </c>
      <c r="C4" s="318" t="s">
        <v>1719</v>
      </c>
      <c r="D4" s="318" t="s">
        <v>155</v>
      </c>
      <c r="E4" s="318" t="s">
        <v>156</v>
      </c>
      <c r="F4" s="318" t="s">
        <v>1602</v>
      </c>
      <c r="G4" s="318" t="s">
        <v>155</v>
      </c>
      <c r="H4" s="385" t="s">
        <v>159</v>
      </c>
      <c r="I4" s="318" t="s">
        <v>1758</v>
      </c>
      <c r="J4" s="318" t="s">
        <v>2158</v>
      </c>
      <c r="K4" s="319"/>
      <c r="L4" s="83">
        <v>15</v>
      </c>
      <c r="M4" s="320"/>
      <c r="N4" s="385"/>
      <c r="O4" s="321"/>
      <c r="P4" s="83">
        <v>2</v>
      </c>
      <c r="Q4" s="318">
        <v>24.29</v>
      </c>
      <c r="R4" s="397">
        <v>8.9999999999999993E-3</v>
      </c>
      <c r="S4" s="318">
        <v>8.2338410868670234E-2</v>
      </c>
      <c r="T4" s="318">
        <v>222.22222222222223</v>
      </c>
      <c r="U4" s="356" t="s">
        <v>154</v>
      </c>
      <c r="V4" s="310" t="s">
        <v>947</v>
      </c>
      <c r="W4" s="318"/>
      <c r="X4" s="318" t="s">
        <v>1002</v>
      </c>
      <c r="Y4" s="318" t="s">
        <v>1032</v>
      </c>
      <c r="Z4" s="318"/>
      <c r="AA4" s="322">
        <v>22</v>
      </c>
      <c r="AB4" s="385">
        <v>1</v>
      </c>
      <c r="AC4" s="83" t="s">
        <v>157</v>
      </c>
      <c r="AD4" s="318" t="s">
        <v>1778</v>
      </c>
      <c r="AE4" s="318"/>
      <c r="AF4" s="318"/>
      <c r="AG4" s="318"/>
      <c r="AH4" s="9" t="s">
        <v>1602</v>
      </c>
      <c r="AI4" s="318"/>
      <c r="AJ4" s="318"/>
      <c r="AK4" s="318">
        <v>9999</v>
      </c>
      <c r="AL4" s="318">
        <v>1000</v>
      </c>
      <c r="AM4" s="318">
        <v>33</v>
      </c>
      <c r="AO4" s="372" t="s">
        <v>1362</v>
      </c>
      <c r="AP4" s="382">
        <v>295</v>
      </c>
      <c r="AQ4" s="372">
        <v>176</v>
      </c>
      <c r="AR4" s="372">
        <v>350</v>
      </c>
      <c r="AS4" s="380">
        <v>3</v>
      </c>
      <c r="AU4" s="323"/>
      <c r="AV4" s="323"/>
      <c r="AW4" s="323"/>
      <c r="AX4" s="318"/>
      <c r="AY4" s="318"/>
      <c r="AZ4" s="318"/>
      <c r="BA4" s="318"/>
      <c r="BB4" s="318"/>
    </row>
    <row r="5" spans="1:54">
      <c r="A5" s="350">
        <v>810143</v>
      </c>
      <c r="B5" s="318" t="s">
        <v>1737</v>
      </c>
      <c r="C5" s="83" t="s">
        <v>1722</v>
      </c>
      <c r="D5" s="318" t="s">
        <v>155</v>
      </c>
      <c r="E5" s="83" t="s">
        <v>156</v>
      </c>
      <c r="F5" s="83" t="s">
        <v>1752</v>
      </c>
      <c r="G5" s="318" t="s">
        <v>155</v>
      </c>
      <c r="H5" s="355" t="s">
        <v>159</v>
      </c>
      <c r="I5" s="83" t="s">
        <v>1761</v>
      </c>
      <c r="J5" s="318" t="s">
        <v>2158</v>
      </c>
      <c r="K5" s="319"/>
      <c r="L5" s="83">
        <v>15</v>
      </c>
      <c r="M5" s="320"/>
      <c r="N5" s="355"/>
      <c r="O5" s="321"/>
      <c r="P5" s="83">
        <v>4</v>
      </c>
      <c r="Q5" s="318">
        <v>35.57</v>
      </c>
      <c r="R5" s="397">
        <v>1.2999999999999999E-2</v>
      </c>
      <c r="S5" s="318">
        <v>5.6227157717177394E-2</v>
      </c>
      <c r="T5" s="318">
        <v>153.84615384615384</v>
      </c>
      <c r="U5" s="356" t="s">
        <v>154</v>
      </c>
      <c r="V5" s="310" t="s">
        <v>947</v>
      </c>
      <c r="W5" s="318"/>
      <c r="X5" s="318" t="s">
        <v>1002</v>
      </c>
      <c r="Y5" s="318" t="s">
        <v>1032</v>
      </c>
      <c r="Z5" s="318"/>
      <c r="AA5" s="322">
        <v>15</v>
      </c>
      <c r="AB5" s="355">
        <v>1</v>
      </c>
      <c r="AC5" s="83" t="s">
        <v>1772</v>
      </c>
      <c r="AD5" s="83" t="s">
        <v>1778</v>
      </c>
      <c r="AE5" s="318"/>
      <c r="AF5" s="318"/>
      <c r="AG5" s="318"/>
      <c r="AH5" t="s">
        <v>2374</v>
      </c>
      <c r="AI5" s="318"/>
      <c r="AJ5" s="83"/>
      <c r="AK5" s="83">
        <v>9999</v>
      </c>
      <c r="AL5" s="318">
        <v>1000</v>
      </c>
      <c r="AM5" s="318">
        <v>1</v>
      </c>
      <c r="AO5" s="373" t="s">
        <v>1111</v>
      </c>
      <c r="AP5" s="382">
        <v>458</v>
      </c>
      <c r="AQ5" s="373">
        <v>251</v>
      </c>
      <c r="AR5" s="373">
        <v>500</v>
      </c>
      <c r="AS5" s="380">
        <v>4</v>
      </c>
      <c r="AU5" s="324"/>
      <c r="AV5" s="323"/>
      <c r="AW5" s="323"/>
      <c r="AX5" s="318"/>
      <c r="AY5" s="318"/>
      <c r="AZ5" s="318"/>
      <c r="BA5" s="318"/>
      <c r="BB5" s="318"/>
    </row>
    <row r="6" spans="1:54" ht="30">
      <c r="A6" s="350">
        <v>810147</v>
      </c>
      <c r="B6" s="318" t="s">
        <v>1741</v>
      </c>
      <c r="C6" s="83" t="s">
        <v>1725</v>
      </c>
      <c r="D6" s="318" t="s">
        <v>155</v>
      </c>
      <c r="E6" s="83" t="s">
        <v>156</v>
      </c>
      <c r="F6" s="83" t="s">
        <v>1752</v>
      </c>
      <c r="G6" s="318" t="s">
        <v>155</v>
      </c>
      <c r="H6" s="355" t="s">
        <v>1281</v>
      </c>
      <c r="I6" s="83" t="s">
        <v>1763</v>
      </c>
      <c r="J6" s="318" t="s">
        <v>2158</v>
      </c>
      <c r="K6" s="319"/>
      <c r="L6" s="83">
        <v>15</v>
      </c>
      <c r="M6" s="320"/>
      <c r="N6" s="355"/>
      <c r="O6" s="321"/>
      <c r="P6" s="83">
        <v>5</v>
      </c>
      <c r="Q6" s="318">
        <v>41.95</v>
      </c>
      <c r="R6" s="397">
        <v>1.4999999999999999E-2</v>
      </c>
      <c r="S6" s="318">
        <v>7.1513706793802145E-2</v>
      </c>
      <c r="T6" s="318">
        <v>200</v>
      </c>
      <c r="U6" s="356" t="s">
        <v>154</v>
      </c>
      <c r="V6" s="310" t="s">
        <v>947</v>
      </c>
      <c r="W6" s="318"/>
      <c r="X6" s="318" t="s">
        <v>1002</v>
      </c>
      <c r="Y6" s="318" t="s">
        <v>1032</v>
      </c>
      <c r="Z6" s="318"/>
      <c r="AA6" s="322">
        <v>13</v>
      </c>
      <c r="AB6" s="355">
        <v>1</v>
      </c>
      <c r="AC6" s="83" t="s">
        <v>1112</v>
      </c>
      <c r="AD6" t="s">
        <v>1779</v>
      </c>
      <c r="AE6" s="318"/>
      <c r="AF6" s="318"/>
      <c r="AG6" s="318"/>
      <c r="AH6" s="9" t="s">
        <v>2375</v>
      </c>
      <c r="AI6" s="318"/>
      <c r="AJ6" s="83"/>
      <c r="AK6" s="83">
        <v>9999</v>
      </c>
      <c r="AL6" s="318">
        <v>1000</v>
      </c>
      <c r="AM6" s="318">
        <v>5</v>
      </c>
      <c r="AO6" s="373" t="s">
        <v>948</v>
      </c>
      <c r="AP6" s="382">
        <v>1080</v>
      </c>
      <c r="AQ6" s="373">
        <v>950</v>
      </c>
      <c r="AR6" s="373">
        <v>1200</v>
      </c>
      <c r="AS6" s="380">
        <v>5</v>
      </c>
      <c r="AU6" s="323"/>
      <c r="AV6" s="323"/>
      <c r="AW6" s="323"/>
      <c r="AX6" s="318"/>
      <c r="AY6" s="318"/>
      <c r="AZ6" s="318"/>
      <c r="BA6" s="318"/>
      <c r="BB6" s="318"/>
    </row>
    <row r="7" spans="1:54">
      <c r="A7" s="350">
        <v>810156</v>
      </c>
      <c r="B7" s="318" t="s">
        <v>1750</v>
      </c>
      <c r="C7" s="83" t="s">
        <v>1732</v>
      </c>
      <c r="D7" s="318" t="s">
        <v>155</v>
      </c>
      <c r="E7" s="83" t="s">
        <v>1102</v>
      </c>
      <c r="F7" s="83" t="s">
        <v>1755</v>
      </c>
      <c r="G7" s="318" t="s">
        <v>155</v>
      </c>
      <c r="H7" s="355" t="s">
        <v>1282</v>
      </c>
      <c r="I7" s="83" t="s">
        <v>1759</v>
      </c>
      <c r="J7" s="318" t="s">
        <v>2158</v>
      </c>
      <c r="K7" s="319"/>
      <c r="L7" s="83">
        <v>11</v>
      </c>
      <c r="M7" s="320"/>
      <c r="N7" s="355"/>
      <c r="O7" s="321"/>
      <c r="P7" s="83">
        <v>3</v>
      </c>
      <c r="Q7" s="318">
        <v>172.61</v>
      </c>
      <c r="R7" s="397">
        <v>4.1000000000000002E-2</v>
      </c>
      <c r="S7" s="318">
        <v>1.7380221308151322E-2</v>
      </c>
      <c r="T7" s="318">
        <v>73.170731707317074</v>
      </c>
      <c r="U7" s="356" t="s">
        <v>154</v>
      </c>
      <c r="V7" s="310" t="s">
        <v>947</v>
      </c>
      <c r="W7" s="318"/>
      <c r="X7" s="318" t="s">
        <v>1002</v>
      </c>
      <c r="Y7" s="318" t="s">
        <v>1032</v>
      </c>
      <c r="Z7" s="318"/>
      <c r="AA7" s="322">
        <v>16</v>
      </c>
      <c r="AB7" s="355">
        <v>1</v>
      </c>
      <c r="AC7" s="83" t="s">
        <v>1774</v>
      </c>
      <c r="AD7" s="83" t="s">
        <v>1777</v>
      </c>
      <c r="AE7" s="318"/>
      <c r="AF7" s="318"/>
      <c r="AG7" s="318"/>
      <c r="AH7" t="s">
        <v>1755</v>
      </c>
      <c r="AI7" s="318"/>
      <c r="AJ7" s="83">
        <v>1</v>
      </c>
      <c r="AK7" s="83">
        <v>9999</v>
      </c>
      <c r="AL7" s="318">
        <v>1000</v>
      </c>
      <c r="AM7" s="318">
        <v>14</v>
      </c>
      <c r="AO7" s="383" t="s">
        <v>1379</v>
      </c>
      <c r="AP7" s="380"/>
      <c r="AQ7" s="380"/>
      <c r="AR7" s="380"/>
      <c r="AS7" s="380">
        <v>6</v>
      </c>
      <c r="AU7" s="323"/>
      <c r="AV7" s="323"/>
      <c r="AW7" s="323"/>
      <c r="AX7" s="318"/>
      <c r="AY7" s="318"/>
      <c r="AZ7" s="318"/>
      <c r="BA7" s="318"/>
      <c r="BB7" s="318"/>
    </row>
    <row r="8" spans="1:54">
      <c r="A8" s="350">
        <v>810141</v>
      </c>
      <c r="B8" s="318" t="s">
        <v>1735</v>
      </c>
      <c r="C8" s="318" t="s">
        <v>1720</v>
      </c>
      <c r="D8" s="318" t="s">
        <v>155</v>
      </c>
      <c r="E8" s="318" t="s">
        <v>156</v>
      </c>
      <c r="F8" s="318" t="s">
        <v>1752</v>
      </c>
      <c r="G8" s="318" t="s">
        <v>155</v>
      </c>
      <c r="H8" s="385" t="s">
        <v>159</v>
      </c>
      <c r="I8" s="318" t="s">
        <v>1759</v>
      </c>
      <c r="J8" s="318" t="s">
        <v>2158</v>
      </c>
      <c r="K8" s="319"/>
      <c r="L8" s="83">
        <v>15</v>
      </c>
      <c r="M8" s="320"/>
      <c r="N8" s="385"/>
      <c r="O8" s="321"/>
      <c r="P8" s="83">
        <v>8</v>
      </c>
      <c r="Q8" s="318">
        <v>71.14</v>
      </c>
      <c r="R8" s="397">
        <v>2.5000000000000001E-2</v>
      </c>
      <c r="S8" s="318">
        <v>4.9198763002530219E-2</v>
      </c>
      <c r="T8" s="318">
        <v>140</v>
      </c>
      <c r="U8" s="356" t="s">
        <v>154</v>
      </c>
      <c r="V8" s="310" t="s">
        <v>947</v>
      </c>
      <c r="W8" s="318"/>
      <c r="X8" s="318" t="s">
        <v>1002</v>
      </c>
      <c r="Y8" s="318" t="s">
        <v>1032</v>
      </c>
      <c r="Z8" s="318"/>
      <c r="AA8" s="322">
        <v>30</v>
      </c>
      <c r="AB8" s="385">
        <v>1</v>
      </c>
      <c r="AC8" s="83" t="s">
        <v>1773</v>
      </c>
      <c r="AD8" s="318" t="s">
        <v>1777</v>
      </c>
      <c r="AE8" s="318"/>
      <c r="AF8" s="318"/>
      <c r="AG8" s="318"/>
      <c r="AH8" s="9" t="s">
        <v>2376</v>
      </c>
      <c r="AI8" s="318"/>
      <c r="AJ8" s="318"/>
      <c r="AK8" s="318">
        <v>9999</v>
      </c>
      <c r="AL8" s="318">
        <v>1000</v>
      </c>
      <c r="AM8" s="318">
        <v>34</v>
      </c>
      <c r="AO8" s="471" t="s">
        <v>950</v>
      </c>
      <c r="AP8" s="381" t="s">
        <v>1698</v>
      </c>
      <c r="AQ8" s="381">
        <v>1</v>
      </c>
      <c r="AR8" s="380">
        <v>9999</v>
      </c>
      <c r="AS8" s="380">
        <v>17</v>
      </c>
      <c r="AU8" s="323"/>
      <c r="AV8" s="323"/>
      <c r="AW8" s="323"/>
      <c r="AX8" s="318"/>
      <c r="AY8" s="318"/>
      <c r="AZ8" s="318"/>
      <c r="BA8" s="318"/>
      <c r="BB8" s="318"/>
    </row>
    <row r="9" spans="1:54">
      <c r="A9" s="350">
        <v>810148</v>
      </c>
      <c r="B9" s="318" t="s">
        <v>1742</v>
      </c>
      <c r="C9" s="83" t="s">
        <v>1603</v>
      </c>
      <c r="D9" s="318" t="s">
        <v>155</v>
      </c>
      <c r="E9" s="83" t="s">
        <v>156</v>
      </c>
      <c r="F9" t="s">
        <v>1602</v>
      </c>
      <c r="G9" s="318" t="s">
        <v>155</v>
      </c>
      <c r="H9" s="355" t="s">
        <v>1280</v>
      </c>
      <c r="I9" t="s">
        <v>1606</v>
      </c>
      <c r="J9" s="318" t="s">
        <v>2158</v>
      </c>
      <c r="K9" s="319"/>
      <c r="L9" s="83">
        <v>15</v>
      </c>
      <c r="M9" s="320"/>
      <c r="N9" s="355"/>
      <c r="O9" s="321"/>
      <c r="P9" s="83">
        <v>6</v>
      </c>
      <c r="Q9" s="318">
        <v>64.27</v>
      </c>
      <c r="R9" s="397">
        <v>2.3E-2</v>
      </c>
      <c r="S9" s="318">
        <v>9.3356153726466481E-2</v>
      </c>
      <c r="T9" s="318"/>
      <c r="U9" s="356" t="s">
        <v>154</v>
      </c>
      <c r="V9" s="310" t="s">
        <v>947</v>
      </c>
      <c r="W9" s="318"/>
      <c r="X9" s="318" t="s">
        <v>1002</v>
      </c>
      <c r="Y9" s="318" t="s">
        <v>1032</v>
      </c>
      <c r="Z9" s="318"/>
      <c r="AA9" s="322">
        <v>75</v>
      </c>
      <c r="AB9" s="355">
        <v>1</v>
      </c>
      <c r="AC9" s="83" t="s">
        <v>1112</v>
      </c>
      <c r="AD9" s="318" t="s">
        <v>1780</v>
      </c>
      <c r="AE9" s="318"/>
      <c r="AF9" s="318"/>
      <c r="AG9" s="318"/>
      <c r="AH9" s="9" t="s">
        <v>1767</v>
      </c>
      <c r="AI9" s="318"/>
      <c r="AJ9" s="83"/>
      <c r="AK9" s="83">
        <v>9999</v>
      </c>
      <c r="AL9" s="318">
        <v>1000</v>
      </c>
      <c r="AM9" s="318">
        <v>6</v>
      </c>
      <c r="AO9" s="472" t="s">
        <v>1776</v>
      </c>
      <c r="AP9" s="381"/>
      <c r="AQ9" s="381"/>
      <c r="AR9" s="380"/>
      <c r="AS9" s="380">
        <v>18</v>
      </c>
      <c r="AU9" s="324"/>
      <c r="AV9" s="323"/>
      <c r="AW9" s="323"/>
      <c r="AX9" s="318"/>
      <c r="AY9" s="318"/>
      <c r="AZ9" s="318"/>
      <c r="BA9" s="318"/>
      <c r="BB9" s="318"/>
    </row>
    <row r="10" spans="1:54">
      <c r="A10" s="384">
        <v>810171</v>
      </c>
      <c r="B10" s="495" t="s">
        <v>2249</v>
      </c>
      <c r="C10" s="318" t="s">
        <v>2250</v>
      </c>
      <c r="D10" s="318" t="s">
        <v>155</v>
      </c>
      <c r="E10" s="83" t="s">
        <v>156</v>
      </c>
      <c r="F10" s="318" t="s">
        <v>2161</v>
      </c>
      <c r="G10" s="318" t="s">
        <v>155</v>
      </c>
      <c r="H10" s="385" t="s">
        <v>159</v>
      </c>
      <c r="I10" s="83" t="s">
        <v>1606</v>
      </c>
      <c r="J10" s="318" t="s">
        <v>2158</v>
      </c>
      <c r="K10" s="319"/>
      <c r="L10" s="83">
        <v>15</v>
      </c>
      <c r="M10" s="320"/>
      <c r="N10" s="385"/>
      <c r="O10" s="321"/>
      <c r="P10" s="321">
        <v>10</v>
      </c>
      <c r="Q10" s="318">
        <v>79.7</v>
      </c>
      <c r="R10" s="398">
        <v>4.1000000000000002E-2</v>
      </c>
      <c r="S10" s="318">
        <v>0.12547051442910914</v>
      </c>
      <c r="T10" s="318">
        <v>243.90243902439025</v>
      </c>
      <c r="U10" s="356" t="s">
        <v>154</v>
      </c>
      <c r="V10" s="310" t="s">
        <v>947</v>
      </c>
      <c r="W10" s="318"/>
      <c r="X10" s="318" t="s">
        <v>1002</v>
      </c>
      <c r="Y10" s="318" t="s">
        <v>1032</v>
      </c>
      <c r="Z10" s="318"/>
      <c r="AA10" s="386">
        <v>115</v>
      </c>
      <c r="AB10" s="355">
        <v>1</v>
      </c>
      <c r="AC10" s="83" t="s">
        <v>1112</v>
      </c>
      <c r="AD10" s="318" t="s">
        <v>1780</v>
      </c>
      <c r="AE10" s="318"/>
      <c r="AF10" s="318"/>
      <c r="AG10" s="318"/>
      <c r="AH10" s="318" t="s">
        <v>2161</v>
      </c>
      <c r="AI10" s="318"/>
      <c r="AJ10" s="318"/>
      <c r="AK10" s="318">
        <v>9999</v>
      </c>
      <c r="AL10" s="318">
        <v>1000</v>
      </c>
      <c r="AM10" s="318">
        <v>31</v>
      </c>
      <c r="AO10" s="323" t="s">
        <v>2102</v>
      </c>
      <c r="AP10" s="381">
        <v>16</v>
      </c>
      <c r="AQ10" s="381">
        <v>1</v>
      </c>
      <c r="AR10" s="380">
        <v>75</v>
      </c>
      <c r="AS10" s="380">
        <v>19</v>
      </c>
    </row>
    <row r="11" spans="1:54">
      <c r="A11" s="384">
        <v>810178</v>
      </c>
      <c r="B11" s="495" t="s">
        <v>2255</v>
      </c>
      <c r="C11" s="318" t="s">
        <v>2256</v>
      </c>
      <c r="D11" s="318" t="s">
        <v>155</v>
      </c>
      <c r="E11" s="83" t="s">
        <v>156</v>
      </c>
      <c r="F11" s="318" t="s">
        <v>2164</v>
      </c>
      <c r="G11" s="318" t="s">
        <v>155</v>
      </c>
      <c r="H11" s="385" t="s">
        <v>159</v>
      </c>
      <c r="I11" s="83" t="s">
        <v>1606</v>
      </c>
      <c r="J11" s="318" t="s">
        <v>2158</v>
      </c>
      <c r="K11" s="319"/>
      <c r="L11" s="83">
        <v>15</v>
      </c>
      <c r="M11" s="320"/>
      <c r="N11" s="385"/>
      <c r="O11" s="321"/>
      <c r="P11" s="321">
        <v>15</v>
      </c>
      <c r="Q11" s="318">
        <v>103.48</v>
      </c>
      <c r="R11" s="398">
        <v>4.1000000000000002E-2</v>
      </c>
      <c r="S11" s="318">
        <v>0.1449555469655972</v>
      </c>
      <c r="T11" s="318">
        <v>365.85365853658533</v>
      </c>
      <c r="U11" s="356" t="s">
        <v>154</v>
      </c>
      <c r="V11" s="310" t="s">
        <v>947</v>
      </c>
      <c r="W11" s="318"/>
      <c r="X11" s="318" t="s">
        <v>1002</v>
      </c>
      <c r="Y11" s="318" t="s">
        <v>1032</v>
      </c>
      <c r="Z11" s="318"/>
      <c r="AA11" s="386">
        <v>131</v>
      </c>
      <c r="AB11" s="355">
        <v>1</v>
      </c>
      <c r="AC11" s="83" t="s">
        <v>1112</v>
      </c>
      <c r="AD11" s="318" t="s">
        <v>1780</v>
      </c>
      <c r="AE11" s="318"/>
      <c r="AF11" s="318"/>
      <c r="AG11" s="318"/>
      <c r="AH11" s="318" t="s">
        <v>2164</v>
      </c>
      <c r="AI11" s="318"/>
      <c r="AJ11" s="318"/>
      <c r="AK11" s="318">
        <v>9999</v>
      </c>
      <c r="AL11" s="318">
        <v>1000</v>
      </c>
      <c r="AM11" s="318">
        <v>38</v>
      </c>
      <c r="AO11" s="471" t="s">
        <v>1778</v>
      </c>
      <c r="AP11" s="471">
        <v>32</v>
      </c>
      <c r="AQ11" s="471">
        <v>1</v>
      </c>
      <c r="AR11" s="380">
        <v>100</v>
      </c>
      <c r="AS11" s="380">
        <v>20</v>
      </c>
    </row>
    <row r="12" spans="1:54">
      <c r="A12" s="350">
        <v>810155</v>
      </c>
      <c r="B12" s="318" t="s">
        <v>1749</v>
      </c>
      <c r="C12" s="83" t="s">
        <v>1604</v>
      </c>
      <c r="D12" s="318" t="s">
        <v>155</v>
      </c>
      <c r="E12" s="83" t="s">
        <v>156</v>
      </c>
      <c r="F12" s="83" t="s">
        <v>1061</v>
      </c>
      <c r="G12" s="318" t="s">
        <v>155</v>
      </c>
      <c r="H12" s="355" t="s">
        <v>1282</v>
      </c>
      <c r="I12" s="83" t="s">
        <v>1606</v>
      </c>
      <c r="J12" s="318" t="s">
        <v>2158</v>
      </c>
      <c r="K12" s="319"/>
      <c r="L12" s="83">
        <v>15</v>
      </c>
      <c r="M12" s="320"/>
      <c r="N12" s="355"/>
      <c r="O12" s="321"/>
      <c r="P12" s="83">
        <v>10</v>
      </c>
      <c r="Q12" s="318">
        <v>84.88</v>
      </c>
      <c r="R12" s="397">
        <v>0.03</v>
      </c>
      <c r="S12" s="318">
        <v>0.11781338360037701</v>
      </c>
      <c r="T12" s="318">
        <v>333.33333333333337</v>
      </c>
      <c r="U12" s="356" t="s">
        <v>154</v>
      </c>
      <c r="V12" s="310" t="s">
        <v>947</v>
      </c>
      <c r="W12" s="318"/>
      <c r="X12" s="318" t="s">
        <v>1002</v>
      </c>
      <c r="Y12" s="318" t="s">
        <v>1032</v>
      </c>
      <c r="Z12" s="318"/>
      <c r="AA12" s="322">
        <v>53</v>
      </c>
      <c r="AB12" s="355">
        <v>1</v>
      </c>
      <c r="AC12" s="83" t="s">
        <v>1112</v>
      </c>
      <c r="AD12" s="318" t="s">
        <v>1780</v>
      </c>
      <c r="AE12" s="318"/>
      <c r="AF12" s="318"/>
      <c r="AG12" s="318"/>
      <c r="AH12" t="s">
        <v>1607</v>
      </c>
      <c r="AI12" s="318"/>
      <c r="AJ12" s="83">
        <v>1</v>
      </c>
      <c r="AK12" s="83">
        <v>9999</v>
      </c>
      <c r="AL12" s="318">
        <v>1000</v>
      </c>
      <c r="AM12" s="318">
        <v>13</v>
      </c>
      <c r="AO12" s="471" t="s">
        <v>1777</v>
      </c>
      <c r="AP12" s="471">
        <v>58</v>
      </c>
      <c r="AQ12" s="471">
        <v>1</v>
      </c>
      <c r="AR12" s="380">
        <v>200</v>
      </c>
      <c r="AS12" s="380">
        <v>21</v>
      </c>
    </row>
    <row r="13" spans="1:54">
      <c r="A13" s="384">
        <v>810174</v>
      </c>
      <c r="B13" s="495" t="s">
        <v>2251</v>
      </c>
      <c r="C13" s="318" t="s">
        <v>2252</v>
      </c>
      <c r="D13" s="318" t="s">
        <v>155</v>
      </c>
      <c r="E13" s="83" t="s">
        <v>156</v>
      </c>
      <c r="F13" s="318" t="s">
        <v>2162</v>
      </c>
      <c r="G13" s="318" t="s">
        <v>155</v>
      </c>
      <c r="H13" s="385" t="s">
        <v>159</v>
      </c>
      <c r="I13" s="83" t="s">
        <v>1606</v>
      </c>
      <c r="J13" s="318" t="s">
        <v>2158</v>
      </c>
      <c r="K13" s="319"/>
      <c r="L13" s="83">
        <v>15</v>
      </c>
      <c r="M13" s="320"/>
      <c r="N13" s="385"/>
      <c r="O13" s="321"/>
      <c r="P13" s="321">
        <v>15</v>
      </c>
      <c r="Q13" s="318">
        <v>105.25</v>
      </c>
      <c r="R13" s="398">
        <v>5.3999999999999999E-2</v>
      </c>
      <c r="S13" s="318">
        <v>0.14251781472684086</v>
      </c>
      <c r="T13" s="318">
        <v>277.77777777777777</v>
      </c>
      <c r="U13" s="356" t="s">
        <v>154</v>
      </c>
      <c r="V13" s="310" t="s">
        <v>947</v>
      </c>
      <c r="W13" s="318"/>
      <c r="X13" s="318" t="s">
        <v>1002</v>
      </c>
      <c r="Y13" s="318" t="s">
        <v>1032</v>
      </c>
      <c r="Z13" s="318"/>
      <c r="AA13" s="386">
        <v>93</v>
      </c>
      <c r="AB13" s="355">
        <v>1</v>
      </c>
      <c r="AC13" s="83" t="s">
        <v>1112</v>
      </c>
      <c r="AD13" s="318" t="s">
        <v>1780</v>
      </c>
      <c r="AE13" s="318"/>
      <c r="AF13" s="318"/>
      <c r="AG13" s="318"/>
      <c r="AH13" s="318" t="s">
        <v>2169</v>
      </c>
      <c r="AI13" s="318"/>
      <c r="AJ13" s="318"/>
      <c r="AK13" s="318">
        <v>9999</v>
      </c>
      <c r="AL13" s="318">
        <v>1000</v>
      </c>
      <c r="AM13" s="318">
        <v>34</v>
      </c>
      <c r="AO13" s="471" t="s">
        <v>1779</v>
      </c>
      <c r="AP13" s="381">
        <v>62</v>
      </c>
      <c r="AQ13" s="381">
        <v>1</v>
      </c>
      <c r="AR13" s="380">
        <v>100</v>
      </c>
      <c r="AS13" s="380">
        <v>22</v>
      </c>
    </row>
    <row r="14" spans="1:54">
      <c r="A14" s="384">
        <v>810181</v>
      </c>
      <c r="B14" s="495" t="s">
        <v>2257</v>
      </c>
      <c r="C14" s="318" t="s">
        <v>2258</v>
      </c>
      <c r="D14" s="318" t="s">
        <v>155</v>
      </c>
      <c r="E14" s="83" t="s">
        <v>156</v>
      </c>
      <c r="F14" s="318" t="s">
        <v>2165</v>
      </c>
      <c r="G14" s="318" t="s">
        <v>155</v>
      </c>
      <c r="H14" s="385" t="s">
        <v>159</v>
      </c>
      <c r="I14" s="83" t="s">
        <v>1606</v>
      </c>
      <c r="J14" s="318" t="s">
        <v>2158</v>
      </c>
      <c r="K14" s="319"/>
      <c r="L14" s="83">
        <v>15</v>
      </c>
      <c r="M14" s="320"/>
      <c r="N14" s="385"/>
      <c r="O14" s="321"/>
      <c r="P14" s="321">
        <v>17</v>
      </c>
      <c r="Q14" s="318">
        <v>136.66</v>
      </c>
      <c r="R14" s="398">
        <v>5.3999999999999999E-2</v>
      </c>
      <c r="S14" s="318">
        <v>0.12439631201522026</v>
      </c>
      <c r="T14" s="318">
        <v>314.81481481481484</v>
      </c>
      <c r="U14" s="356" t="s">
        <v>154</v>
      </c>
      <c r="V14" s="310" t="s">
        <v>947</v>
      </c>
      <c r="W14" s="318"/>
      <c r="X14" s="318" t="s">
        <v>1002</v>
      </c>
      <c r="Y14" s="318" t="s">
        <v>1032</v>
      </c>
      <c r="Z14" s="318"/>
      <c r="AA14" s="386">
        <v>109</v>
      </c>
      <c r="AB14" s="355">
        <v>1</v>
      </c>
      <c r="AC14" s="83" t="s">
        <v>1112</v>
      </c>
      <c r="AD14" s="318" t="s">
        <v>1780</v>
      </c>
      <c r="AE14" s="318"/>
      <c r="AF14" s="318"/>
      <c r="AG14" s="318"/>
      <c r="AH14" s="318" t="s">
        <v>2173</v>
      </c>
      <c r="AI14" s="318"/>
      <c r="AJ14" s="318"/>
      <c r="AK14" s="318">
        <v>9999</v>
      </c>
      <c r="AL14" s="318">
        <v>1000</v>
      </c>
      <c r="AM14" s="318">
        <v>41</v>
      </c>
      <c r="AO14" s="472" t="s">
        <v>1780</v>
      </c>
      <c r="AP14" s="381">
        <v>59</v>
      </c>
      <c r="AQ14" s="381">
        <v>1</v>
      </c>
      <c r="AR14" s="380">
        <v>200</v>
      </c>
      <c r="AS14" s="380">
        <v>23</v>
      </c>
    </row>
    <row r="15" spans="1:54" ht="30">
      <c r="A15" s="350">
        <v>810145</v>
      </c>
      <c r="B15" s="318" t="s">
        <v>1739</v>
      </c>
      <c r="C15" s="83" t="s">
        <v>1605</v>
      </c>
      <c r="D15" s="318" t="s">
        <v>155</v>
      </c>
      <c r="E15" s="83" t="s">
        <v>156</v>
      </c>
      <c r="F15" s="83" t="s">
        <v>1062</v>
      </c>
      <c r="G15" s="318" t="s">
        <v>155</v>
      </c>
      <c r="H15" s="355" t="s">
        <v>1281</v>
      </c>
      <c r="I15" s="83" t="s">
        <v>1606</v>
      </c>
      <c r="J15" s="318" t="s">
        <v>2158</v>
      </c>
      <c r="K15" s="319"/>
      <c r="L15" s="83">
        <v>15</v>
      </c>
      <c r="M15" s="320"/>
      <c r="N15" s="355"/>
      <c r="O15" s="321"/>
      <c r="P15" s="83">
        <v>10</v>
      </c>
      <c r="Q15" s="318">
        <v>66.48</v>
      </c>
      <c r="R15" s="397">
        <v>2.4E-2</v>
      </c>
      <c r="S15" s="318">
        <v>0.15042117930204571</v>
      </c>
      <c r="T15" s="318">
        <v>416.66666666666669</v>
      </c>
      <c r="U15" s="356" t="s">
        <v>154</v>
      </c>
      <c r="V15" s="310" t="s">
        <v>947</v>
      </c>
      <c r="W15" s="318"/>
      <c r="X15" s="318" t="s">
        <v>1002</v>
      </c>
      <c r="Y15" s="318" t="s">
        <v>1032</v>
      </c>
      <c r="Z15" s="318"/>
      <c r="AA15" s="322">
        <v>55</v>
      </c>
      <c r="AB15" s="355">
        <v>1</v>
      </c>
      <c r="AC15" s="83" t="s">
        <v>1112</v>
      </c>
      <c r="AD15" s="318" t="s">
        <v>1780</v>
      </c>
      <c r="AE15" s="318"/>
      <c r="AF15" s="318"/>
      <c r="AG15" s="318"/>
      <c r="AH15" s="9" t="s">
        <v>1380</v>
      </c>
      <c r="AI15" s="318"/>
      <c r="AJ15" s="83"/>
      <c r="AK15" s="83">
        <v>9999</v>
      </c>
      <c r="AL15" s="318">
        <v>1000</v>
      </c>
      <c r="AM15" s="318">
        <v>3</v>
      </c>
      <c r="AO15" s="472" t="s">
        <v>1781</v>
      </c>
      <c r="AP15" s="381">
        <v>89</v>
      </c>
      <c r="AQ15" s="381">
        <v>1</v>
      </c>
      <c r="AR15" s="380">
        <v>300</v>
      </c>
      <c r="AS15" s="380">
        <v>24</v>
      </c>
    </row>
    <row r="16" spans="1:54" ht="30">
      <c r="A16" s="384">
        <v>810170</v>
      </c>
      <c r="B16" s="495" t="s">
        <v>2247</v>
      </c>
      <c r="C16" s="318" t="s">
        <v>2248</v>
      </c>
      <c r="D16" s="318" t="s">
        <v>155</v>
      </c>
      <c r="E16" s="83" t="s">
        <v>156</v>
      </c>
      <c r="F16" s="318" t="s">
        <v>2159</v>
      </c>
      <c r="G16" s="318" t="s">
        <v>155</v>
      </c>
      <c r="H16" s="385" t="s">
        <v>159</v>
      </c>
      <c r="I16" s="83" t="s">
        <v>1606</v>
      </c>
      <c r="J16" s="318" t="s">
        <v>2158</v>
      </c>
      <c r="K16" s="319"/>
      <c r="L16" s="83">
        <v>15</v>
      </c>
      <c r="M16" s="320"/>
      <c r="N16" s="385"/>
      <c r="O16" s="321"/>
      <c r="P16" s="321">
        <v>15</v>
      </c>
      <c r="Q16" s="318">
        <v>82.44</v>
      </c>
      <c r="R16" s="398">
        <v>4.2000000000000003E-2</v>
      </c>
      <c r="S16" s="318">
        <v>0.18195050946142649</v>
      </c>
      <c r="T16" s="318">
        <v>357.14285714285711</v>
      </c>
      <c r="U16" s="356" t="s">
        <v>154</v>
      </c>
      <c r="V16" s="310" t="s">
        <v>947</v>
      </c>
      <c r="W16" s="318"/>
      <c r="X16" s="318" t="s">
        <v>1002</v>
      </c>
      <c r="Y16" s="318" t="s">
        <v>1032</v>
      </c>
      <c r="Z16" s="318"/>
      <c r="AA16" s="386">
        <v>95</v>
      </c>
      <c r="AB16" s="355">
        <v>1</v>
      </c>
      <c r="AC16" s="83" t="s">
        <v>1112</v>
      </c>
      <c r="AD16" s="318" t="s">
        <v>1780</v>
      </c>
      <c r="AE16" s="318"/>
      <c r="AF16" s="318"/>
      <c r="AG16" s="318"/>
      <c r="AH16" s="586" t="s">
        <v>2167</v>
      </c>
      <c r="AI16" s="318"/>
      <c r="AJ16" s="318"/>
      <c r="AK16" s="318">
        <v>9999</v>
      </c>
      <c r="AL16" s="318">
        <v>1000</v>
      </c>
      <c r="AM16" s="318">
        <v>30</v>
      </c>
      <c r="AO16" s="472" t="s">
        <v>1782</v>
      </c>
      <c r="AP16" s="381">
        <v>113</v>
      </c>
      <c r="AQ16" s="382">
        <v>1</v>
      </c>
      <c r="AR16" s="380">
        <v>400</v>
      </c>
      <c r="AS16" s="380">
        <v>25</v>
      </c>
    </row>
    <row r="17" spans="1:45" ht="30">
      <c r="A17" s="384">
        <v>810177</v>
      </c>
      <c r="B17" s="495" t="s">
        <v>2253</v>
      </c>
      <c r="C17" s="318" t="s">
        <v>2254</v>
      </c>
      <c r="D17" s="318" t="s">
        <v>155</v>
      </c>
      <c r="E17" s="83" t="s">
        <v>156</v>
      </c>
      <c r="F17" s="318" t="s">
        <v>2163</v>
      </c>
      <c r="G17" s="318" t="s">
        <v>155</v>
      </c>
      <c r="H17" s="385" t="s">
        <v>159</v>
      </c>
      <c r="I17" s="83" t="s">
        <v>1606</v>
      </c>
      <c r="J17" s="318" t="s">
        <v>2158</v>
      </c>
      <c r="K17" s="319"/>
      <c r="L17" s="83">
        <v>15</v>
      </c>
      <c r="M17" s="320"/>
      <c r="N17" s="385"/>
      <c r="O17" s="321"/>
      <c r="P17" s="321">
        <v>20</v>
      </c>
      <c r="Q17" s="318">
        <v>107.03</v>
      </c>
      <c r="R17" s="398">
        <v>4.2000000000000003E-2</v>
      </c>
      <c r="S17" s="318">
        <v>0.1868634962160142</v>
      </c>
      <c r="T17" s="318">
        <v>476.19047619047615</v>
      </c>
      <c r="U17" s="356" t="s">
        <v>154</v>
      </c>
      <c r="V17" s="310" t="s">
        <v>947</v>
      </c>
      <c r="W17" s="318"/>
      <c r="X17" s="318" t="s">
        <v>1002</v>
      </c>
      <c r="Y17" s="318" t="s">
        <v>1032</v>
      </c>
      <c r="Z17" s="318"/>
      <c r="AA17" s="386">
        <v>111</v>
      </c>
      <c r="AB17" s="355">
        <v>1</v>
      </c>
      <c r="AC17" s="83" t="s">
        <v>1112</v>
      </c>
      <c r="AD17" s="318" t="s">
        <v>1780</v>
      </c>
      <c r="AE17" s="318"/>
      <c r="AF17" s="318"/>
      <c r="AG17" s="318"/>
      <c r="AH17" s="586" t="s">
        <v>2171</v>
      </c>
      <c r="AI17" s="318"/>
      <c r="AJ17" s="318"/>
      <c r="AK17" s="318">
        <v>9999</v>
      </c>
      <c r="AL17" s="318">
        <v>1000</v>
      </c>
      <c r="AM17" s="318">
        <v>37</v>
      </c>
      <c r="AO17" s="471" t="s">
        <v>1783</v>
      </c>
      <c r="AP17" s="381">
        <v>175</v>
      </c>
      <c r="AQ17" s="381">
        <v>1</v>
      </c>
      <c r="AR17" s="380">
        <v>600</v>
      </c>
      <c r="AS17" s="380">
        <v>26</v>
      </c>
    </row>
    <row r="18" spans="1:45" ht="30">
      <c r="A18" s="350">
        <v>810149</v>
      </c>
      <c r="B18" s="318" t="s">
        <v>1743</v>
      </c>
      <c r="C18" s="83" t="s">
        <v>1726</v>
      </c>
      <c r="D18" s="318" t="s">
        <v>155</v>
      </c>
      <c r="E18" s="83" t="s">
        <v>156</v>
      </c>
      <c r="F18" t="s">
        <v>1602</v>
      </c>
      <c r="G18" s="318" t="s">
        <v>155</v>
      </c>
      <c r="H18" s="355" t="s">
        <v>1281</v>
      </c>
      <c r="I18" t="s">
        <v>1764</v>
      </c>
      <c r="J18" s="318" t="s">
        <v>2158</v>
      </c>
      <c r="K18" s="319"/>
      <c r="L18" s="83">
        <v>15</v>
      </c>
      <c r="M18" s="320"/>
      <c r="N18" s="355"/>
      <c r="O18" s="321"/>
      <c r="P18" s="83">
        <v>8</v>
      </c>
      <c r="Q18" s="318">
        <v>108.67</v>
      </c>
      <c r="R18" s="397">
        <v>3.9E-2</v>
      </c>
      <c r="S18" s="318">
        <v>7.361737370019325E-2</v>
      </c>
      <c r="T18" s="318">
        <v>205.12820512820514</v>
      </c>
      <c r="U18" s="356" t="s">
        <v>154</v>
      </c>
      <c r="V18" s="310" t="s">
        <v>947</v>
      </c>
      <c r="W18" s="318"/>
      <c r="X18" s="318" t="s">
        <v>1002</v>
      </c>
      <c r="Y18" s="318" t="s">
        <v>1032</v>
      </c>
      <c r="Z18" s="318"/>
      <c r="AA18" s="322">
        <v>83</v>
      </c>
      <c r="AB18" s="355">
        <v>1</v>
      </c>
      <c r="AC18" s="83" t="s">
        <v>1112</v>
      </c>
      <c r="AD18" s="318" t="s">
        <v>1781</v>
      </c>
      <c r="AE18" s="318"/>
      <c r="AF18" s="318"/>
      <c r="AG18" s="318"/>
      <c r="AH18" s="9" t="s">
        <v>1768</v>
      </c>
      <c r="AI18" s="318"/>
      <c r="AJ18" s="83"/>
      <c r="AK18" s="83">
        <v>9999</v>
      </c>
      <c r="AL18" s="318">
        <v>1000</v>
      </c>
      <c r="AM18" s="318">
        <v>7</v>
      </c>
      <c r="AO18" s="382" t="s">
        <v>1784</v>
      </c>
      <c r="AP18" s="446">
        <v>224</v>
      </c>
      <c r="AQ18" s="446">
        <v>1</v>
      </c>
      <c r="AR18" s="380">
        <v>800</v>
      </c>
      <c r="AS18" s="380">
        <v>27</v>
      </c>
    </row>
    <row r="19" spans="1:45">
      <c r="A19" s="384">
        <v>810172</v>
      </c>
      <c r="B19" s="495" t="s">
        <v>2261</v>
      </c>
      <c r="C19" s="318" t="s">
        <v>2262</v>
      </c>
      <c r="D19" s="318" t="s">
        <v>155</v>
      </c>
      <c r="E19" s="83" t="s">
        <v>156</v>
      </c>
      <c r="F19" s="318" t="s">
        <v>2161</v>
      </c>
      <c r="G19" s="318" t="s">
        <v>155</v>
      </c>
      <c r="H19" s="385" t="s">
        <v>159</v>
      </c>
      <c r="I19" s="83" t="s">
        <v>1764</v>
      </c>
      <c r="J19" s="318" t="s">
        <v>2158</v>
      </c>
      <c r="K19" s="319"/>
      <c r="L19" s="83">
        <v>15</v>
      </c>
      <c r="M19" s="320"/>
      <c r="N19" s="385"/>
      <c r="O19" s="321"/>
      <c r="P19" s="321">
        <v>12</v>
      </c>
      <c r="Q19" s="318">
        <v>134.76</v>
      </c>
      <c r="R19" s="398">
        <v>6.9000000000000006E-2</v>
      </c>
      <c r="S19" s="318">
        <v>8.9047195013357089E-2</v>
      </c>
      <c r="T19" s="318">
        <v>173.91304347826085</v>
      </c>
      <c r="U19" s="356" t="s">
        <v>154</v>
      </c>
      <c r="V19" s="310" t="s">
        <v>947</v>
      </c>
      <c r="W19" s="318"/>
      <c r="X19" s="318" t="s">
        <v>1002</v>
      </c>
      <c r="Y19" s="318" t="s">
        <v>1032</v>
      </c>
      <c r="Z19" s="318"/>
      <c r="AA19" s="386">
        <v>123</v>
      </c>
      <c r="AB19" s="355">
        <v>1</v>
      </c>
      <c r="AC19" s="83" t="s">
        <v>1112</v>
      </c>
      <c r="AD19" s="318" t="s">
        <v>1781</v>
      </c>
      <c r="AE19" s="318"/>
      <c r="AF19" s="318"/>
      <c r="AG19" s="318"/>
      <c r="AH19" s="318" t="s">
        <v>2168</v>
      </c>
      <c r="AI19" s="318"/>
      <c r="AJ19" s="318"/>
      <c r="AK19" s="318">
        <v>9999</v>
      </c>
      <c r="AL19" s="318">
        <v>1000</v>
      </c>
      <c r="AM19" s="318">
        <v>32</v>
      </c>
      <c r="AS19" s="83"/>
    </row>
    <row r="20" spans="1:45">
      <c r="A20" s="384">
        <v>810179</v>
      </c>
      <c r="B20" s="495" t="s">
        <v>2267</v>
      </c>
      <c r="C20" s="318" t="s">
        <v>2268</v>
      </c>
      <c r="D20" s="318" t="s">
        <v>155</v>
      </c>
      <c r="E20" s="83" t="s">
        <v>156</v>
      </c>
      <c r="F20" s="318" t="s">
        <v>2164</v>
      </c>
      <c r="G20" s="318" t="s">
        <v>155</v>
      </c>
      <c r="H20" s="385" t="s">
        <v>159</v>
      </c>
      <c r="I20" s="83" t="s">
        <v>1764</v>
      </c>
      <c r="J20" s="318" t="s">
        <v>2158</v>
      </c>
      <c r="K20" s="319"/>
      <c r="L20" s="83">
        <v>15</v>
      </c>
      <c r="M20" s="320"/>
      <c r="N20" s="385"/>
      <c r="O20" s="321"/>
      <c r="P20" s="321">
        <v>15</v>
      </c>
      <c r="Q20" s="318">
        <v>174.97</v>
      </c>
      <c r="R20" s="398">
        <v>6.9000000000000006E-2</v>
      </c>
      <c r="S20" s="318">
        <v>8.5728982111219071E-2</v>
      </c>
      <c r="T20" s="318">
        <v>217.39130434782606</v>
      </c>
      <c r="U20" s="356" t="s">
        <v>154</v>
      </c>
      <c r="V20" s="310" t="s">
        <v>947</v>
      </c>
      <c r="W20" s="318"/>
      <c r="X20" s="318" t="s">
        <v>1002</v>
      </c>
      <c r="Y20" s="318" t="s">
        <v>1032</v>
      </c>
      <c r="Z20" s="318"/>
      <c r="AA20" s="386">
        <v>139</v>
      </c>
      <c r="AB20" s="355">
        <v>1</v>
      </c>
      <c r="AC20" s="83" t="s">
        <v>1112</v>
      </c>
      <c r="AD20" s="318" t="s">
        <v>1781</v>
      </c>
      <c r="AE20" s="318"/>
      <c r="AF20" s="318"/>
      <c r="AG20" s="318"/>
      <c r="AH20" s="318" t="s">
        <v>2172</v>
      </c>
      <c r="AI20" s="318"/>
      <c r="AJ20" s="318"/>
      <c r="AK20" s="318">
        <v>9999</v>
      </c>
      <c r="AL20" s="318">
        <v>1000</v>
      </c>
      <c r="AM20" s="318">
        <v>39</v>
      </c>
      <c r="AS20" s="83"/>
    </row>
    <row r="21" spans="1:45">
      <c r="A21" s="350">
        <v>810153</v>
      </c>
      <c r="B21" s="318" t="s">
        <v>1747</v>
      </c>
      <c r="C21" s="83" t="s">
        <v>1730</v>
      </c>
      <c r="D21" s="318" t="s">
        <v>155</v>
      </c>
      <c r="E21" s="83" t="s">
        <v>156</v>
      </c>
      <c r="F21" s="83" t="s">
        <v>1061</v>
      </c>
      <c r="G21" s="318" t="s">
        <v>155</v>
      </c>
      <c r="H21" s="355" t="s">
        <v>1282</v>
      </c>
      <c r="I21" s="83" t="s">
        <v>1764</v>
      </c>
      <c r="J21" s="318" t="s">
        <v>2158</v>
      </c>
      <c r="K21" s="319"/>
      <c r="L21" s="83">
        <v>15</v>
      </c>
      <c r="M21" s="320"/>
      <c r="N21" s="355"/>
      <c r="O21" s="321"/>
      <c r="P21" s="83">
        <v>17</v>
      </c>
      <c r="Q21" s="318">
        <v>123.39</v>
      </c>
      <c r="R21" s="397">
        <v>4.3999999999999997E-2</v>
      </c>
      <c r="S21" s="318">
        <v>0.13777453602398898</v>
      </c>
      <c r="T21" s="318">
        <v>386.36363636363637</v>
      </c>
      <c r="U21" s="356" t="s">
        <v>154</v>
      </c>
      <c r="V21" s="310" t="s">
        <v>947</v>
      </c>
      <c r="W21" s="318"/>
      <c r="X21" s="318" t="s">
        <v>1002</v>
      </c>
      <c r="Y21" s="318" t="s">
        <v>1032</v>
      </c>
      <c r="Z21" s="318"/>
      <c r="AA21" s="322">
        <v>69</v>
      </c>
      <c r="AB21" s="355">
        <v>1</v>
      </c>
      <c r="AC21" s="83" t="s">
        <v>1112</v>
      </c>
      <c r="AD21" s="318" t="s">
        <v>1781</v>
      </c>
      <c r="AE21" s="318"/>
      <c r="AF21" s="318"/>
      <c r="AG21" s="318"/>
      <c r="AH21" t="s">
        <v>1061</v>
      </c>
      <c r="AI21" s="318"/>
      <c r="AJ21" s="83">
        <v>1</v>
      </c>
      <c r="AK21" s="83">
        <v>9999</v>
      </c>
      <c r="AL21" s="318">
        <v>1000</v>
      </c>
      <c r="AM21" s="318">
        <v>11</v>
      </c>
      <c r="AS21" s="83"/>
    </row>
    <row r="22" spans="1:45">
      <c r="A22" s="384">
        <v>810173</v>
      </c>
      <c r="B22" s="495" t="s">
        <v>2263</v>
      </c>
      <c r="C22" s="318" t="s">
        <v>2264</v>
      </c>
      <c r="D22" s="318" t="s">
        <v>155</v>
      </c>
      <c r="E22" s="83" t="s">
        <v>156</v>
      </c>
      <c r="F22" s="318" t="s">
        <v>2162</v>
      </c>
      <c r="G22" s="318" t="s">
        <v>155</v>
      </c>
      <c r="H22" s="385" t="s">
        <v>159</v>
      </c>
      <c r="I22" s="83" t="s">
        <v>1764</v>
      </c>
      <c r="J22" s="318" t="s">
        <v>2158</v>
      </c>
      <c r="K22" s="319"/>
      <c r="L22" s="83">
        <v>15</v>
      </c>
      <c r="M22" s="320"/>
      <c r="N22" s="385"/>
      <c r="O22" s="321"/>
      <c r="P22" s="321">
        <v>25</v>
      </c>
      <c r="Q22" s="318">
        <v>153.01</v>
      </c>
      <c r="R22" s="398">
        <v>7.8E-2</v>
      </c>
      <c r="S22" s="318">
        <v>0.16338801385530358</v>
      </c>
      <c r="T22" s="318">
        <v>320.5128205128205</v>
      </c>
      <c r="U22" s="356" t="s">
        <v>154</v>
      </c>
      <c r="V22" s="310" t="s">
        <v>947</v>
      </c>
      <c r="W22" s="318"/>
      <c r="X22" s="318" t="s">
        <v>1002</v>
      </c>
      <c r="Y22" s="318" t="s">
        <v>1032</v>
      </c>
      <c r="Z22" s="318"/>
      <c r="AA22" s="386">
        <v>109</v>
      </c>
      <c r="AB22" s="355">
        <v>1</v>
      </c>
      <c r="AC22" s="83" t="s">
        <v>1112</v>
      </c>
      <c r="AD22" s="318" t="s">
        <v>1781</v>
      </c>
      <c r="AE22" s="318"/>
      <c r="AF22" s="318"/>
      <c r="AG22" s="318"/>
      <c r="AH22" s="318" t="s">
        <v>2162</v>
      </c>
      <c r="AI22" s="318"/>
      <c r="AJ22" s="318"/>
      <c r="AK22" s="318">
        <v>9999</v>
      </c>
      <c r="AL22" s="318">
        <v>1000</v>
      </c>
      <c r="AM22" s="318">
        <v>33</v>
      </c>
      <c r="AS22" s="83"/>
    </row>
    <row r="23" spans="1:45">
      <c r="A23" s="384">
        <v>810180</v>
      </c>
      <c r="B23" s="495" t="s">
        <v>2269</v>
      </c>
      <c r="C23" s="318" t="s">
        <v>2270</v>
      </c>
      <c r="D23" s="318" t="s">
        <v>155</v>
      </c>
      <c r="E23" s="83" t="s">
        <v>156</v>
      </c>
      <c r="F23" s="318" t="s">
        <v>2165</v>
      </c>
      <c r="G23" s="318" t="s">
        <v>155</v>
      </c>
      <c r="H23" s="385" t="s">
        <v>159</v>
      </c>
      <c r="I23" s="83" t="s">
        <v>1764</v>
      </c>
      <c r="J23" s="318" t="s">
        <v>2158</v>
      </c>
      <c r="K23" s="319"/>
      <c r="L23" s="83">
        <v>15</v>
      </c>
      <c r="M23" s="320"/>
      <c r="N23" s="385"/>
      <c r="O23" s="321"/>
      <c r="P23" s="321">
        <v>27</v>
      </c>
      <c r="Q23" s="318">
        <v>198.66</v>
      </c>
      <c r="R23" s="398">
        <v>7.8E-2</v>
      </c>
      <c r="S23" s="318">
        <v>0.1359106010268801</v>
      </c>
      <c r="T23" s="318">
        <v>346.15384615384613</v>
      </c>
      <c r="U23" s="356" t="s">
        <v>154</v>
      </c>
      <c r="V23" s="310" t="s">
        <v>947</v>
      </c>
      <c r="W23" s="318"/>
      <c r="X23" s="318" t="s">
        <v>1002</v>
      </c>
      <c r="Y23" s="318" t="s">
        <v>1032</v>
      </c>
      <c r="Z23" s="318"/>
      <c r="AA23" s="386">
        <v>125</v>
      </c>
      <c r="AB23" s="355">
        <v>1</v>
      </c>
      <c r="AC23" s="83" t="s">
        <v>1112</v>
      </c>
      <c r="AD23" s="318" t="s">
        <v>1781</v>
      </c>
      <c r="AE23" s="318"/>
      <c r="AF23" s="318"/>
      <c r="AG23" s="318"/>
      <c r="AH23" s="318" t="s">
        <v>2165</v>
      </c>
      <c r="AI23" s="318"/>
      <c r="AJ23" s="318"/>
      <c r="AK23" s="318">
        <v>9999</v>
      </c>
      <c r="AL23" s="318">
        <v>1000</v>
      </c>
      <c r="AM23" s="318">
        <v>40</v>
      </c>
      <c r="AS23" s="83"/>
    </row>
    <row r="24" spans="1:45">
      <c r="A24" s="350">
        <v>810144</v>
      </c>
      <c r="B24" s="318" t="s">
        <v>1738</v>
      </c>
      <c r="C24" s="83" t="s">
        <v>1723</v>
      </c>
      <c r="D24" s="318" t="s">
        <v>155</v>
      </c>
      <c r="E24" s="83" t="s">
        <v>156</v>
      </c>
      <c r="F24" s="83" t="s">
        <v>1062</v>
      </c>
      <c r="G24" s="318" t="s">
        <v>155</v>
      </c>
      <c r="H24" s="355" t="s">
        <v>1280</v>
      </c>
      <c r="I24" s="83" t="s">
        <v>1606</v>
      </c>
      <c r="J24" s="318" t="s">
        <v>2158</v>
      </c>
      <c r="K24" s="319"/>
      <c r="L24" s="83">
        <v>15</v>
      </c>
      <c r="M24" s="320"/>
      <c r="N24" s="355"/>
      <c r="O24" s="321"/>
      <c r="P24" s="83">
        <v>17</v>
      </c>
      <c r="Q24" s="318">
        <v>104.01</v>
      </c>
      <c r="R24" s="397">
        <v>3.6999999999999998E-2</v>
      </c>
      <c r="S24" s="318">
        <v>0.16344582251706566</v>
      </c>
      <c r="T24" s="318"/>
      <c r="U24" s="356" t="s">
        <v>154</v>
      </c>
      <c r="V24" s="310" t="s">
        <v>947</v>
      </c>
      <c r="W24" s="318"/>
      <c r="X24" s="318" t="s">
        <v>1002</v>
      </c>
      <c r="Y24" s="318" t="s">
        <v>1032</v>
      </c>
      <c r="Z24" s="318"/>
      <c r="AA24" s="322">
        <v>76</v>
      </c>
      <c r="AB24" s="355">
        <v>1</v>
      </c>
      <c r="AC24" s="83" t="s">
        <v>1112</v>
      </c>
      <c r="AD24" s="318" t="s">
        <v>1781</v>
      </c>
      <c r="AE24" s="318"/>
      <c r="AF24" s="318"/>
      <c r="AG24" s="318"/>
      <c r="AH24" s="9" t="s">
        <v>1381</v>
      </c>
      <c r="AI24" s="318"/>
      <c r="AJ24" s="83"/>
      <c r="AK24" s="83">
        <v>9999</v>
      </c>
      <c r="AL24" s="318">
        <v>1000</v>
      </c>
      <c r="AM24" s="318">
        <v>2</v>
      </c>
      <c r="AS24" s="83"/>
    </row>
    <row r="25" spans="1:45">
      <c r="A25" s="384">
        <v>810169</v>
      </c>
      <c r="B25" s="495" t="s">
        <v>2259</v>
      </c>
      <c r="C25" s="318" t="s">
        <v>2260</v>
      </c>
      <c r="D25" s="318" t="s">
        <v>155</v>
      </c>
      <c r="E25" s="83" t="s">
        <v>156</v>
      </c>
      <c r="F25" s="318" t="s">
        <v>2160</v>
      </c>
      <c r="G25" s="318" t="s">
        <v>155</v>
      </c>
      <c r="H25" s="385" t="s">
        <v>159</v>
      </c>
      <c r="I25" s="83" t="s">
        <v>1764</v>
      </c>
      <c r="J25" s="318" t="s">
        <v>2158</v>
      </c>
      <c r="K25" s="319"/>
      <c r="L25" s="83">
        <v>15</v>
      </c>
      <c r="M25" s="320"/>
      <c r="N25" s="385"/>
      <c r="O25" s="321"/>
      <c r="P25" s="321">
        <v>22</v>
      </c>
      <c r="Q25" s="318">
        <v>128.97999999999999</v>
      </c>
      <c r="R25" s="398">
        <v>6.6000000000000003E-2</v>
      </c>
      <c r="S25" s="318">
        <v>0.17056908047759345</v>
      </c>
      <c r="T25" s="318">
        <v>333.33333333333331</v>
      </c>
      <c r="U25" s="356" t="s">
        <v>154</v>
      </c>
      <c r="V25" s="310" t="s">
        <v>947</v>
      </c>
      <c r="W25" s="318"/>
      <c r="X25" s="318" t="s">
        <v>1002</v>
      </c>
      <c r="Y25" s="318" t="s">
        <v>1032</v>
      </c>
      <c r="Z25" s="318"/>
      <c r="AA25" s="386">
        <v>116</v>
      </c>
      <c r="AB25" s="355">
        <v>1</v>
      </c>
      <c r="AC25" s="83" t="s">
        <v>1112</v>
      </c>
      <c r="AD25" s="318" t="s">
        <v>1781</v>
      </c>
      <c r="AE25" s="318"/>
      <c r="AF25" s="318"/>
      <c r="AG25" s="318"/>
      <c r="AH25" s="318" t="s">
        <v>2166</v>
      </c>
      <c r="AI25" s="318"/>
      <c r="AJ25" s="318"/>
      <c r="AK25" s="318">
        <v>9999</v>
      </c>
      <c r="AL25" s="318">
        <v>1000</v>
      </c>
      <c r="AM25" s="318">
        <v>29</v>
      </c>
      <c r="AS25" s="83"/>
    </row>
    <row r="26" spans="1:45">
      <c r="A26" s="384">
        <v>810176</v>
      </c>
      <c r="B26" s="495" t="s">
        <v>2265</v>
      </c>
      <c r="C26" s="318" t="s">
        <v>2266</v>
      </c>
      <c r="D26" s="318" t="s">
        <v>155</v>
      </c>
      <c r="E26" s="83" t="s">
        <v>156</v>
      </c>
      <c r="F26" s="318" t="s">
        <v>2163</v>
      </c>
      <c r="G26" s="318" t="s">
        <v>155</v>
      </c>
      <c r="H26" s="385" t="s">
        <v>159</v>
      </c>
      <c r="I26" s="83" t="s">
        <v>1764</v>
      </c>
      <c r="J26" s="318" t="s">
        <v>2158</v>
      </c>
      <c r="K26" s="319"/>
      <c r="L26" s="83">
        <v>15</v>
      </c>
      <c r="M26" s="320"/>
      <c r="N26" s="385"/>
      <c r="O26" s="321"/>
      <c r="P26" s="321">
        <v>25</v>
      </c>
      <c r="Q26" s="318">
        <v>167.46</v>
      </c>
      <c r="R26" s="398">
        <v>6.6000000000000003E-2</v>
      </c>
      <c r="S26" s="318">
        <v>0.14928938253911381</v>
      </c>
      <c r="T26" s="318">
        <v>378.78787878787875</v>
      </c>
      <c r="U26" s="356" t="s">
        <v>154</v>
      </c>
      <c r="V26" s="310" t="s">
        <v>947</v>
      </c>
      <c r="W26" s="318"/>
      <c r="X26" s="318" t="s">
        <v>1002</v>
      </c>
      <c r="Y26" s="318" t="s">
        <v>1032</v>
      </c>
      <c r="Z26" s="318"/>
      <c r="AA26" s="386">
        <v>132</v>
      </c>
      <c r="AB26" s="355">
        <v>1</v>
      </c>
      <c r="AC26" s="83" t="s">
        <v>1112</v>
      </c>
      <c r="AD26" s="318" t="s">
        <v>1781</v>
      </c>
      <c r="AE26" s="318"/>
      <c r="AF26" s="318"/>
      <c r="AG26" s="318"/>
      <c r="AH26" s="318" t="s">
        <v>2170</v>
      </c>
      <c r="AI26" s="318"/>
      <c r="AJ26" s="318"/>
      <c r="AK26" s="318">
        <v>9999</v>
      </c>
      <c r="AL26" s="318">
        <v>1000</v>
      </c>
      <c r="AM26" s="318">
        <v>36</v>
      </c>
      <c r="AS26" s="83"/>
    </row>
    <row r="27" spans="1:45">
      <c r="A27" s="350">
        <v>810154</v>
      </c>
      <c r="B27" s="318" t="s">
        <v>1748</v>
      </c>
      <c r="C27" s="83" t="s">
        <v>1731</v>
      </c>
      <c r="D27" s="318" t="s">
        <v>155</v>
      </c>
      <c r="E27" s="83" t="s">
        <v>156</v>
      </c>
      <c r="F27" s="83" t="s">
        <v>1754</v>
      </c>
      <c r="G27" s="318" t="s">
        <v>155</v>
      </c>
      <c r="H27" s="355" t="s">
        <v>1282</v>
      </c>
      <c r="I27" s="83" t="s">
        <v>1606</v>
      </c>
      <c r="J27" s="318" t="s">
        <v>2158</v>
      </c>
      <c r="K27" s="319"/>
      <c r="L27" s="83">
        <v>15</v>
      </c>
      <c r="M27" s="320"/>
      <c r="N27" s="355"/>
      <c r="O27" s="321"/>
      <c r="P27" s="83">
        <v>33</v>
      </c>
      <c r="Q27" s="318">
        <v>258.07</v>
      </c>
      <c r="R27" s="397">
        <v>9.1999999999999998E-2</v>
      </c>
      <c r="S27" s="318">
        <v>0.12787228271399234</v>
      </c>
      <c r="T27" s="318">
        <v>358.69565217391306</v>
      </c>
      <c r="U27" s="356" t="s">
        <v>154</v>
      </c>
      <c r="V27" s="310" t="s">
        <v>947</v>
      </c>
      <c r="W27" s="318"/>
      <c r="X27" s="318" t="s">
        <v>1002</v>
      </c>
      <c r="Y27" s="318" t="s">
        <v>1032</v>
      </c>
      <c r="Z27" s="318"/>
      <c r="AA27" s="322">
        <v>42.88</v>
      </c>
      <c r="AB27" s="355">
        <v>1</v>
      </c>
      <c r="AC27" s="83" t="s">
        <v>1112</v>
      </c>
      <c r="AD27" s="318" t="s">
        <v>1781</v>
      </c>
      <c r="AE27" s="318"/>
      <c r="AF27" s="318"/>
      <c r="AG27" s="318"/>
      <c r="AH27" t="s">
        <v>1786</v>
      </c>
      <c r="AI27" s="318"/>
      <c r="AJ27" s="83">
        <v>1</v>
      </c>
      <c r="AK27" s="83">
        <v>9999</v>
      </c>
      <c r="AL27" s="318">
        <v>1000</v>
      </c>
      <c r="AM27" s="318">
        <v>12</v>
      </c>
      <c r="AS27" s="83"/>
    </row>
    <row r="28" spans="1:45">
      <c r="A28" s="350">
        <v>810142</v>
      </c>
      <c r="B28" s="318" t="s">
        <v>1736</v>
      </c>
      <c r="C28" s="318" t="s">
        <v>1721</v>
      </c>
      <c r="D28" s="318" t="s">
        <v>155</v>
      </c>
      <c r="E28" s="318" t="s">
        <v>156</v>
      </c>
      <c r="F28" s="318" t="s">
        <v>1062</v>
      </c>
      <c r="G28" s="318" t="s">
        <v>155</v>
      </c>
      <c r="H28" s="385" t="s">
        <v>159</v>
      </c>
      <c r="I28" s="318" t="s">
        <v>1760</v>
      </c>
      <c r="J28" s="318" t="s">
        <v>2158</v>
      </c>
      <c r="K28" s="319"/>
      <c r="L28" s="83">
        <v>15</v>
      </c>
      <c r="M28" s="320"/>
      <c r="N28" s="385"/>
      <c r="O28" s="321"/>
      <c r="P28" s="83">
        <v>25</v>
      </c>
      <c r="Q28" s="318">
        <v>149.88999999999999</v>
      </c>
      <c r="R28" s="397">
        <v>5.2999999999999999E-2</v>
      </c>
      <c r="S28" s="318">
        <v>0.16678897858429517</v>
      </c>
      <c r="T28" s="318">
        <v>471.69811320754718</v>
      </c>
      <c r="U28" s="356" t="s">
        <v>154</v>
      </c>
      <c r="V28" s="310" t="s">
        <v>947</v>
      </c>
      <c r="W28" s="318"/>
      <c r="X28" s="318" t="s">
        <v>1002</v>
      </c>
      <c r="Y28" s="318" t="s">
        <v>1032</v>
      </c>
      <c r="Z28" s="318"/>
      <c r="AA28" s="322">
        <v>104</v>
      </c>
      <c r="AB28" s="385">
        <v>1</v>
      </c>
      <c r="AC28" s="83" t="s">
        <v>157</v>
      </c>
      <c r="AD28" s="318" t="s">
        <v>1782</v>
      </c>
      <c r="AE28" s="318"/>
      <c r="AF28" s="318"/>
      <c r="AG28" s="318"/>
      <c r="AH28" s="9" t="s">
        <v>1062</v>
      </c>
      <c r="AI28" s="318"/>
      <c r="AJ28" s="318"/>
      <c r="AK28" s="318">
        <v>9999</v>
      </c>
      <c r="AL28" s="318">
        <v>1000</v>
      </c>
      <c r="AM28" s="318">
        <v>32</v>
      </c>
      <c r="AO28" s="310" t="s">
        <v>1013</v>
      </c>
      <c r="AP28" s="310" t="s">
        <v>1014</v>
      </c>
      <c r="AQ28" s="310" t="s">
        <v>1015</v>
      </c>
      <c r="AR28" s="310" t="s">
        <v>955</v>
      </c>
      <c r="AS28" s="310" t="s">
        <v>1012</v>
      </c>
    </row>
    <row r="29" spans="1:45">
      <c r="A29" s="384">
        <v>810168</v>
      </c>
      <c r="B29" s="495" t="s">
        <v>2271</v>
      </c>
      <c r="C29" s="318" t="s">
        <v>2272</v>
      </c>
      <c r="D29" s="318" t="s">
        <v>155</v>
      </c>
      <c r="E29" s="83" t="s">
        <v>156</v>
      </c>
      <c r="F29" s="318" t="s">
        <v>2159</v>
      </c>
      <c r="G29" s="318" t="s">
        <v>155</v>
      </c>
      <c r="H29" s="385" t="s">
        <v>159</v>
      </c>
      <c r="I29" s="318" t="s">
        <v>1760</v>
      </c>
      <c r="J29" s="318" t="s">
        <v>2158</v>
      </c>
      <c r="K29" s="319"/>
      <c r="L29" s="83">
        <v>15</v>
      </c>
      <c r="M29" s="320"/>
      <c r="N29" s="385"/>
      <c r="O29" s="321"/>
      <c r="P29" s="321">
        <v>30</v>
      </c>
      <c r="Q29" s="318">
        <v>185.86</v>
      </c>
      <c r="R29" s="398">
        <v>9.5000000000000001E-2</v>
      </c>
      <c r="S29" s="318">
        <v>0.16141181534488325</v>
      </c>
      <c r="T29" s="318">
        <v>315.78947368421052</v>
      </c>
      <c r="U29" s="356" t="s">
        <v>154</v>
      </c>
      <c r="V29" s="310" t="s">
        <v>947</v>
      </c>
      <c r="W29" s="318"/>
      <c r="X29" s="318" t="s">
        <v>1002</v>
      </c>
      <c r="Y29" s="318" t="s">
        <v>1032</v>
      </c>
      <c r="Z29" s="318"/>
      <c r="AA29" s="386">
        <v>144</v>
      </c>
      <c r="AB29" s="355">
        <v>1</v>
      </c>
      <c r="AC29" s="83" t="s">
        <v>1112</v>
      </c>
      <c r="AD29" s="318" t="s">
        <v>1782</v>
      </c>
      <c r="AE29" s="318"/>
      <c r="AF29" s="318"/>
      <c r="AG29" s="318"/>
      <c r="AH29" s="318" t="s">
        <v>2159</v>
      </c>
      <c r="AI29" s="318"/>
      <c r="AJ29" s="318"/>
      <c r="AK29" s="318">
        <v>9999</v>
      </c>
      <c r="AL29" s="318">
        <v>1000</v>
      </c>
      <c r="AM29" s="318">
        <v>28</v>
      </c>
      <c r="AO29" s="310" t="s">
        <v>1022</v>
      </c>
      <c r="AP29" s="310" t="s">
        <v>1023</v>
      </c>
      <c r="AQ29" s="310" t="s">
        <v>960</v>
      </c>
      <c r="AR29" s="310" t="s">
        <v>955</v>
      </c>
      <c r="AS29" s="310" t="s">
        <v>1024</v>
      </c>
    </row>
    <row r="30" spans="1:45">
      <c r="A30" s="384">
        <v>810175</v>
      </c>
      <c r="B30" s="495" t="s">
        <v>2273</v>
      </c>
      <c r="C30" s="318" t="s">
        <v>2274</v>
      </c>
      <c r="D30" s="318" t="s">
        <v>155</v>
      </c>
      <c r="E30" s="83" t="s">
        <v>156</v>
      </c>
      <c r="F30" s="318" t="s">
        <v>2163</v>
      </c>
      <c r="G30" s="318" t="s">
        <v>155</v>
      </c>
      <c r="H30" s="385" t="s">
        <v>159</v>
      </c>
      <c r="I30" s="318" t="s">
        <v>1760</v>
      </c>
      <c r="J30" s="318" t="s">
        <v>2158</v>
      </c>
      <c r="K30" s="319"/>
      <c r="L30" s="83">
        <v>15</v>
      </c>
      <c r="M30" s="320"/>
      <c r="N30" s="385"/>
      <c r="O30" s="321"/>
      <c r="P30" s="321">
        <v>35</v>
      </c>
      <c r="Q30" s="318">
        <v>241.32</v>
      </c>
      <c r="R30" s="398">
        <v>9.5000000000000001E-2</v>
      </c>
      <c r="S30" s="318">
        <v>0.14503563732802918</v>
      </c>
      <c r="T30" s="318">
        <v>368.42105263157896</v>
      </c>
      <c r="U30" s="356" t="s">
        <v>154</v>
      </c>
      <c r="V30" s="310" t="s">
        <v>947</v>
      </c>
      <c r="W30" s="318"/>
      <c r="X30" s="318" t="s">
        <v>1002</v>
      </c>
      <c r="Y30" s="318" t="s">
        <v>1032</v>
      </c>
      <c r="Z30" s="318"/>
      <c r="AA30" s="386">
        <v>160</v>
      </c>
      <c r="AB30" s="355">
        <v>1</v>
      </c>
      <c r="AC30" s="83" t="s">
        <v>1112</v>
      </c>
      <c r="AD30" s="318" t="s">
        <v>1782</v>
      </c>
      <c r="AE30" s="318"/>
      <c r="AF30" s="318"/>
      <c r="AG30" s="318"/>
      <c r="AH30" s="318" t="s">
        <v>2163</v>
      </c>
      <c r="AI30" s="318"/>
      <c r="AJ30" s="318"/>
      <c r="AK30" s="318">
        <v>9999</v>
      </c>
      <c r="AL30" s="318">
        <v>1000</v>
      </c>
      <c r="AM30" s="318">
        <v>35</v>
      </c>
      <c r="AO30" s="310" t="s">
        <v>1026</v>
      </c>
      <c r="AP30" s="310" t="s">
        <v>1027</v>
      </c>
      <c r="AQ30" s="310" t="s">
        <v>961</v>
      </c>
      <c r="AR30" s="310" t="s">
        <v>955</v>
      </c>
      <c r="AS30" s="310" t="s">
        <v>1024</v>
      </c>
    </row>
    <row r="31" spans="1:45" ht="30">
      <c r="A31" s="350">
        <v>810151</v>
      </c>
      <c r="B31" s="318" t="s">
        <v>1745</v>
      </c>
      <c r="C31" s="83" t="s">
        <v>1728</v>
      </c>
      <c r="D31" s="318" t="s">
        <v>155</v>
      </c>
      <c r="E31" s="83" t="s">
        <v>156</v>
      </c>
      <c r="F31" s="83" t="s">
        <v>1753</v>
      </c>
      <c r="G31" s="318" t="s">
        <v>155</v>
      </c>
      <c r="H31" s="355" t="s">
        <v>1281</v>
      </c>
      <c r="I31" s="83" t="s">
        <v>1760</v>
      </c>
      <c r="J31" s="318" t="s">
        <v>2158</v>
      </c>
      <c r="K31" s="319"/>
      <c r="L31" s="83">
        <v>15</v>
      </c>
      <c r="M31" s="320"/>
      <c r="N31" s="355"/>
      <c r="O31" s="321"/>
      <c r="P31" s="83">
        <v>28</v>
      </c>
      <c r="Q31" s="318">
        <v>262</v>
      </c>
      <c r="R31" s="397">
        <v>9.2999999999999999E-2</v>
      </c>
      <c r="S31" s="318">
        <v>0.10687022900763359</v>
      </c>
      <c r="T31" s="318">
        <v>301.07526881720429</v>
      </c>
      <c r="U31" s="356" t="s">
        <v>154</v>
      </c>
      <c r="V31" s="310" t="s">
        <v>947</v>
      </c>
      <c r="W31" s="318"/>
      <c r="X31" s="318" t="s">
        <v>1002</v>
      </c>
      <c r="Y31" s="318" t="s">
        <v>1032</v>
      </c>
      <c r="Z31" s="318"/>
      <c r="AA31" s="322">
        <v>31.94</v>
      </c>
      <c r="AB31" s="355">
        <v>1</v>
      </c>
      <c r="AC31" s="83" t="s">
        <v>1112</v>
      </c>
      <c r="AD31" s="318" t="s">
        <v>1782</v>
      </c>
      <c r="AE31" s="318"/>
      <c r="AF31" s="318"/>
      <c r="AG31" s="318"/>
      <c r="AH31" s="9" t="s">
        <v>1770</v>
      </c>
      <c r="AI31" s="318"/>
      <c r="AJ31" s="83"/>
      <c r="AK31" s="83">
        <v>9999</v>
      </c>
      <c r="AL31" s="318">
        <v>1000</v>
      </c>
      <c r="AM31" s="318">
        <v>9</v>
      </c>
      <c r="AO31" s="310" t="s">
        <v>1028</v>
      </c>
      <c r="AP31" s="310" t="s">
        <v>1029</v>
      </c>
      <c r="AQ31" s="310" t="s">
        <v>959</v>
      </c>
      <c r="AR31" s="310" t="s">
        <v>955</v>
      </c>
      <c r="AS31" s="310" t="s">
        <v>1024</v>
      </c>
    </row>
    <row r="32" spans="1:45" ht="30">
      <c r="A32" s="350">
        <v>810152</v>
      </c>
      <c r="B32" s="318" t="s">
        <v>1746</v>
      </c>
      <c r="C32" s="83" t="s">
        <v>1729</v>
      </c>
      <c r="D32" s="318" t="s">
        <v>155</v>
      </c>
      <c r="E32" s="83" t="s">
        <v>156</v>
      </c>
      <c r="F32" s="83" t="s">
        <v>1753</v>
      </c>
      <c r="G32" s="318" t="s">
        <v>155</v>
      </c>
      <c r="H32" s="355" t="s">
        <v>1282</v>
      </c>
      <c r="I32" s="83" t="s">
        <v>1766</v>
      </c>
      <c r="J32" s="318" t="s">
        <v>2158</v>
      </c>
      <c r="K32" s="319"/>
      <c r="L32" s="83">
        <v>15</v>
      </c>
      <c r="M32" s="320"/>
      <c r="N32" s="355"/>
      <c r="O32" s="321"/>
      <c r="P32" s="83">
        <v>55</v>
      </c>
      <c r="Q32" s="318">
        <v>430.53</v>
      </c>
      <c r="R32" s="397">
        <v>0.153</v>
      </c>
      <c r="S32" s="318">
        <v>0.12774951803590923</v>
      </c>
      <c r="T32" s="318">
        <v>359.47712418300654</v>
      </c>
      <c r="U32" s="356" t="s">
        <v>154</v>
      </c>
      <c r="V32" s="310" t="s">
        <v>947</v>
      </c>
      <c r="W32" s="318"/>
      <c r="X32" s="318" t="s">
        <v>1002</v>
      </c>
      <c r="Y32" s="318" t="s">
        <v>1032</v>
      </c>
      <c r="Z32" s="318"/>
      <c r="AA32" s="322">
        <v>61.17</v>
      </c>
      <c r="AB32" s="355">
        <v>1</v>
      </c>
      <c r="AC32" s="83" t="s">
        <v>1112</v>
      </c>
      <c r="AD32" s="318" t="s">
        <v>1783</v>
      </c>
      <c r="AE32" s="318"/>
      <c r="AF32" s="318"/>
      <c r="AG32" s="318"/>
      <c r="AH32" s="9" t="s">
        <v>1771</v>
      </c>
      <c r="AI32" s="318"/>
      <c r="AJ32" s="83">
        <v>1</v>
      </c>
      <c r="AK32" s="83">
        <v>9999</v>
      </c>
      <c r="AL32" s="318">
        <v>1000</v>
      </c>
      <c r="AM32" s="318">
        <v>10</v>
      </c>
    </row>
    <row r="33" spans="1:39">
      <c r="A33" s="350">
        <v>810150</v>
      </c>
      <c r="B33" s="318" t="s">
        <v>1744</v>
      </c>
      <c r="C33" s="83" t="s">
        <v>1727</v>
      </c>
      <c r="D33" s="318" t="s">
        <v>155</v>
      </c>
      <c r="E33" s="83" t="s">
        <v>156</v>
      </c>
      <c r="F33" s="83" t="s">
        <v>1753</v>
      </c>
      <c r="G33" s="318" t="s">
        <v>155</v>
      </c>
      <c r="H33" s="355" t="s">
        <v>1280</v>
      </c>
      <c r="I33" s="83" t="s">
        <v>1765</v>
      </c>
      <c r="J33" s="318" t="s">
        <v>2158</v>
      </c>
      <c r="K33" s="319"/>
      <c r="L33" s="83">
        <v>15</v>
      </c>
      <c r="M33" s="320"/>
      <c r="N33" s="355"/>
      <c r="O33" s="321"/>
      <c r="P33" s="83">
        <v>45</v>
      </c>
      <c r="Q33" s="318">
        <v>541.16999999999996</v>
      </c>
      <c r="R33" s="397">
        <v>0.192</v>
      </c>
      <c r="S33" s="318">
        <v>8.3153168135705974E-2</v>
      </c>
      <c r="T33" s="318"/>
      <c r="U33" s="356" t="s">
        <v>154</v>
      </c>
      <c r="V33" s="310" t="s">
        <v>947</v>
      </c>
      <c r="W33" s="318"/>
      <c r="X33" s="318" t="s">
        <v>1002</v>
      </c>
      <c r="Y33" s="318" t="s">
        <v>1032</v>
      </c>
      <c r="Z33" s="318"/>
      <c r="AA33" s="322">
        <v>51.11</v>
      </c>
      <c r="AB33" s="355">
        <v>1</v>
      </c>
      <c r="AC33" s="83" t="s">
        <v>1112</v>
      </c>
      <c r="AD33" s="318" t="s">
        <v>1784</v>
      </c>
      <c r="AE33" s="318"/>
      <c r="AF33" s="318"/>
      <c r="AG33" s="318"/>
      <c r="AH33" s="9" t="s">
        <v>1769</v>
      </c>
      <c r="AI33" s="318"/>
      <c r="AJ33" s="83"/>
      <c r="AK33" s="83">
        <v>9999</v>
      </c>
      <c r="AL33" s="318">
        <v>1000</v>
      </c>
      <c r="AM33" s="318">
        <v>8</v>
      </c>
    </row>
    <row r="34" spans="1:39">
      <c r="A34" s="493">
        <v>810121</v>
      </c>
      <c r="B34" s="494" t="s">
        <v>1095</v>
      </c>
      <c r="C34" s="495" t="s">
        <v>949</v>
      </c>
      <c r="D34" s="495" t="s">
        <v>155</v>
      </c>
      <c r="E34" s="495" t="s">
        <v>156</v>
      </c>
      <c r="F34" s="495" t="s">
        <v>949</v>
      </c>
      <c r="G34" s="495" t="s">
        <v>155</v>
      </c>
      <c r="H34" s="496" t="s">
        <v>1279</v>
      </c>
      <c r="I34" s="495" t="s">
        <v>950</v>
      </c>
      <c r="J34" s="318" t="s">
        <v>2158</v>
      </c>
      <c r="K34" s="494"/>
      <c r="L34" s="83">
        <v>5</v>
      </c>
      <c r="M34" s="497"/>
      <c r="N34" s="496"/>
      <c r="O34" s="498"/>
      <c r="P34" s="83">
        <v>2</v>
      </c>
      <c r="Q34" s="318">
        <v>31.8</v>
      </c>
      <c r="R34" s="397">
        <v>7.0000000000000001E-3</v>
      </c>
      <c r="S34" s="495">
        <v>0.41666666666666669</v>
      </c>
      <c r="T34" s="495">
        <v>537.63440860215053</v>
      </c>
      <c r="U34" s="496" t="s">
        <v>154</v>
      </c>
      <c r="V34" s="495" t="s">
        <v>947</v>
      </c>
      <c r="W34" s="495"/>
      <c r="X34" s="495" t="s">
        <v>1002</v>
      </c>
      <c r="Y34" s="495" t="s">
        <v>1032</v>
      </c>
      <c r="Z34" s="495"/>
      <c r="AA34" s="322">
        <v>32.5</v>
      </c>
      <c r="AB34" s="496">
        <v>1</v>
      </c>
      <c r="AC34" s="495" t="s">
        <v>157</v>
      </c>
      <c r="AD34" s="495" t="s">
        <v>950</v>
      </c>
      <c r="AE34" s="495"/>
      <c r="AF34" s="495"/>
      <c r="AG34" s="495"/>
      <c r="AH34" s="495" t="s">
        <v>949</v>
      </c>
      <c r="AI34" s="495"/>
      <c r="AJ34" s="495"/>
      <c r="AK34" s="495">
        <v>9999</v>
      </c>
      <c r="AL34" s="495">
        <v>1000</v>
      </c>
      <c r="AM34" s="495">
        <v>1</v>
      </c>
    </row>
    <row r="35" spans="1:39">
      <c r="A35" s="350">
        <v>810110</v>
      </c>
      <c r="B35" t="s">
        <v>1096</v>
      </c>
      <c r="C35" t="s">
        <v>1103</v>
      </c>
      <c r="D35" s="318" t="s">
        <v>155</v>
      </c>
      <c r="E35" s="83" t="s">
        <v>156</v>
      </c>
      <c r="F35" t="s">
        <v>1103</v>
      </c>
      <c r="G35" s="318" t="s">
        <v>155</v>
      </c>
      <c r="H35" s="403" t="s">
        <v>1280</v>
      </c>
      <c r="I35" s="318" t="s">
        <v>1036</v>
      </c>
      <c r="J35" s="318" t="s">
        <v>2158</v>
      </c>
      <c r="K35" s="319"/>
      <c r="L35" s="83">
        <v>12</v>
      </c>
      <c r="M35" s="320"/>
      <c r="N35" s="355"/>
      <c r="O35" s="321"/>
      <c r="P35" s="83">
        <v>45</v>
      </c>
      <c r="Q35" s="318">
        <v>608.01</v>
      </c>
      <c r="R35" s="397">
        <v>0</v>
      </c>
      <c r="S35" s="318">
        <v>7.5885328836424959E-2</v>
      </c>
      <c r="T35" s="318"/>
      <c r="U35" s="356" t="s">
        <v>154</v>
      </c>
      <c r="V35" s="310" t="s">
        <v>947</v>
      </c>
      <c r="W35" s="318"/>
      <c r="X35" s="318" t="s">
        <v>1002</v>
      </c>
      <c r="Y35" s="318" t="s">
        <v>1032</v>
      </c>
      <c r="Z35" s="318"/>
      <c r="AA35" s="322">
        <v>123.81</v>
      </c>
      <c r="AB35" s="355">
        <v>1</v>
      </c>
      <c r="AC35" s="83" t="s">
        <v>1112</v>
      </c>
      <c r="AD35" t="s">
        <v>1036</v>
      </c>
      <c r="AE35" s="318"/>
      <c r="AF35" s="318"/>
      <c r="AG35" s="318"/>
      <c r="AH35" s="9" t="s">
        <v>1103</v>
      </c>
      <c r="AI35" s="318"/>
      <c r="AJ35" s="83"/>
      <c r="AK35" s="83">
        <v>9999</v>
      </c>
      <c r="AL35" s="318">
        <v>1000</v>
      </c>
      <c r="AM35" s="318">
        <v>2</v>
      </c>
    </row>
    <row r="36" spans="1:39">
      <c r="A36" s="350">
        <v>810114</v>
      </c>
      <c r="B36" s="83" t="s">
        <v>1099</v>
      </c>
      <c r="C36" s="83" t="s">
        <v>1107</v>
      </c>
      <c r="D36" s="318" t="s">
        <v>155</v>
      </c>
      <c r="E36" s="83" t="s">
        <v>156</v>
      </c>
      <c r="F36" s="83" t="s">
        <v>1107</v>
      </c>
      <c r="G36" s="318" t="s">
        <v>155</v>
      </c>
      <c r="H36" s="355" t="s">
        <v>1281</v>
      </c>
      <c r="I36" s="318" t="s">
        <v>1036</v>
      </c>
      <c r="J36" s="318" t="s">
        <v>2158</v>
      </c>
      <c r="K36" s="319"/>
      <c r="L36" s="83">
        <v>15</v>
      </c>
      <c r="M36" s="320"/>
      <c r="N36" s="355"/>
      <c r="O36" s="321"/>
      <c r="P36" s="83">
        <v>50</v>
      </c>
      <c r="Q36" s="318">
        <v>330.93</v>
      </c>
      <c r="R36" s="397">
        <v>0.11700000000000001</v>
      </c>
      <c r="S36" s="318">
        <v>0.17667844522968199</v>
      </c>
      <c r="T36" s="318">
        <v>847.45762711864415</v>
      </c>
      <c r="U36" s="356" t="s">
        <v>154</v>
      </c>
      <c r="V36" s="310" t="s">
        <v>947</v>
      </c>
      <c r="W36" s="318"/>
      <c r="X36" s="318" t="s">
        <v>1002</v>
      </c>
      <c r="Y36" s="318" t="s">
        <v>1032</v>
      </c>
      <c r="Z36" s="318"/>
      <c r="AA36" s="322">
        <v>60</v>
      </c>
      <c r="AB36" s="355">
        <v>1</v>
      </c>
      <c r="AC36" t="s">
        <v>1112</v>
      </c>
      <c r="AD36" t="s">
        <v>1036</v>
      </c>
      <c r="AE36" s="318"/>
      <c r="AF36" s="318"/>
      <c r="AG36" s="318"/>
      <c r="AH36" s="9" t="s">
        <v>1107</v>
      </c>
      <c r="AI36" s="9"/>
      <c r="AJ36" s="83"/>
      <c r="AK36" s="83">
        <v>9999</v>
      </c>
      <c r="AL36" s="318">
        <v>1000</v>
      </c>
      <c r="AM36" s="318">
        <v>3</v>
      </c>
    </row>
    <row r="37" spans="1:39">
      <c r="A37" s="350">
        <v>810113</v>
      </c>
      <c r="B37" s="83" t="s">
        <v>1098</v>
      </c>
      <c r="C37" s="83" t="s">
        <v>1106</v>
      </c>
      <c r="D37" s="318" t="s">
        <v>155</v>
      </c>
      <c r="E37" s="83" t="s">
        <v>156</v>
      </c>
      <c r="F37" s="83" t="s">
        <v>1106</v>
      </c>
      <c r="G37" s="318" t="s">
        <v>155</v>
      </c>
      <c r="H37" s="355" t="s">
        <v>1280</v>
      </c>
      <c r="I37" s="318" t="s">
        <v>948</v>
      </c>
      <c r="J37" s="318" t="s">
        <v>2158</v>
      </c>
      <c r="K37" s="319"/>
      <c r="L37" s="83">
        <v>12</v>
      </c>
      <c r="M37" s="320"/>
      <c r="N37" s="355"/>
      <c r="O37" s="321"/>
      <c r="P37" s="83">
        <v>280</v>
      </c>
      <c r="Q37" s="318">
        <v>3272</v>
      </c>
      <c r="R37" s="397">
        <v>0</v>
      </c>
      <c r="S37" s="318">
        <v>0.15209125475285171</v>
      </c>
      <c r="T37" s="318"/>
      <c r="U37" s="356" t="s">
        <v>154</v>
      </c>
      <c r="V37" s="310" t="s">
        <v>947</v>
      </c>
      <c r="W37" s="318"/>
      <c r="X37" s="318" t="s">
        <v>1002</v>
      </c>
      <c r="Y37" s="318" t="s">
        <v>1032</v>
      </c>
      <c r="Z37" s="318"/>
      <c r="AA37" s="322">
        <v>319.31</v>
      </c>
      <c r="AB37" s="355">
        <v>1</v>
      </c>
      <c r="AC37" s="83" t="s">
        <v>1112</v>
      </c>
      <c r="AD37" t="s">
        <v>948</v>
      </c>
      <c r="AE37" s="318"/>
      <c r="AF37" s="318"/>
      <c r="AG37" s="318"/>
      <c r="AH37" s="9" t="s">
        <v>1106</v>
      </c>
      <c r="AI37" s="318"/>
      <c r="AJ37" s="83"/>
      <c r="AK37" s="83">
        <v>9999</v>
      </c>
      <c r="AL37" s="318">
        <v>1000</v>
      </c>
      <c r="AM37" s="318">
        <v>4</v>
      </c>
    </row>
    <row r="38" spans="1:39">
      <c r="A38" s="350">
        <v>810118</v>
      </c>
      <c r="B38" s="83" t="s">
        <v>1101</v>
      </c>
      <c r="C38" s="83" t="s">
        <v>1110</v>
      </c>
      <c r="D38" s="318" t="s">
        <v>155</v>
      </c>
      <c r="E38" s="83" t="s">
        <v>156</v>
      </c>
      <c r="F38" s="83" t="s">
        <v>1110</v>
      </c>
      <c r="G38" s="318" t="s">
        <v>155</v>
      </c>
      <c r="H38" s="355" t="s">
        <v>1281</v>
      </c>
      <c r="I38" s="318" t="s">
        <v>948</v>
      </c>
      <c r="J38" s="318" t="s">
        <v>2158</v>
      </c>
      <c r="K38" s="319"/>
      <c r="L38" s="83">
        <v>15</v>
      </c>
      <c r="M38" s="320"/>
      <c r="N38" s="355"/>
      <c r="O38" s="321"/>
      <c r="P38" s="83">
        <v>145</v>
      </c>
      <c r="Q38" s="318">
        <v>1898.25</v>
      </c>
      <c r="R38" s="397">
        <v>0.67400000000000004</v>
      </c>
      <c r="S38" s="318">
        <v>6.25E-2</v>
      </c>
      <c r="T38" s="318">
        <v>302.74059910771189</v>
      </c>
      <c r="U38" s="356" t="s">
        <v>154</v>
      </c>
      <c r="V38" s="310" t="s">
        <v>947</v>
      </c>
      <c r="W38" s="318"/>
      <c r="X38" s="318" t="s">
        <v>1002</v>
      </c>
      <c r="Y38" s="318" t="s">
        <v>1032</v>
      </c>
      <c r="Z38" s="318"/>
      <c r="AA38" s="322">
        <v>166.55</v>
      </c>
      <c r="AB38" s="355">
        <v>1</v>
      </c>
      <c r="AC38" s="83" t="s">
        <v>1112</v>
      </c>
      <c r="AD38" t="s">
        <v>948</v>
      </c>
      <c r="AE38" s="318"/>
      <c r="AF38" s="318"/>
      <c r="AG38" s="318"/>
      <c r="AH38" t="s">
        <v>1110</v>
      </c>
      <c r="AI38" s="318"/>
      <c r="AJ38" s="83"/>
      <c r="AK38" s="83">
        <v>9999</v>
      </c>
      <c r="AL38" s="318">
        <v>1000</v>
      </c>
      <c r="AM38" s="318">
        <v>5</v>
      </c>
    </row>
    <row r="39" spans="1:39">
      <c r="A39" s="350">
        <v>810111</v>
      </c>
      <c r="B39" s="83" t="s">
        <v>1458</v>
      </c>
      <c r="C39" s="83" t="s">
        <v>1104</v>
      </c>
      <c r="D39" s="318" t="s">
        <v>155</v>
      </c>
      <c r="E39" s="83" t="s">
        <v>156</v>
      </c>
      <c r="F39" s="83" t="s">
        <v>1364</v>
      </c>
      <c r="G39" s="318" t="s">
        <v>155</v>
      </c>
      <c r="H39" s="355" t="s">
        <v>1280</v>
      </c>
      <c r="I39" s="318" t="s">
        <v>1362</v>
      </c>
      <c r="J39" s="318" t="s">
        <v>2158</v>
      </c>
      <c r="K39" s="319"/>
      <c r="L39" s="83">
        <v>12</v>
      </c>
      <c r="M39" s="320"/>
      <c r="N39" s="355"/>
      <c r="O39" s="321"/>
      <c r="P39" s="83">
        <v>50</v>
      </c>
      <c r="Q39" s="318">
        <v>814.13</v>
      </c>
      <c r="R39" s="397">
        <v>0</v>
      </c>
      <c r="S39" s="318">
        <v>8.6859688195991089E-2</v>
      </c>
      <c r="T39" s="318"/>
      <c r="U39" s="356" t="s">
        <v>154</v>
      </c>
      <c r="V39" s="310" t="s">
        <v>947</v>
      </c>
      <c r="W39" s="318"/>
      <c r="X39" s="318" t="s">
        <v>1002</v>
      </c>
      <c r="Y39" s="318" t="s">
        <v>1032</v>
      </c>
      <c r="Z39" s="318"/>
      <c r="AA39" s="322">
        <v>134.55000000000001</v>
      </c>
      <c r="AB39" s="355">
        <v>1</v>
      </c>
      <c r="AC39" t="s">
        <v>1112</v>
      </c>
      <c r="AD39" t="s">
        <v>1362</v>
      </c>
      <c r="AE39" s="318"/>
      <c r="AF39" s="318"/>
      <c r="AG39" s="318"/>
      <c r="AH39" s="9" t="s">
        <v>1364</v>
      </c>
      <c r="AI39" s="318"/>
      <c r="AJ39" s="83"/>
      <c r="AK39" s="83">
        <v>9999</v>
      </c>
      <c r="AL39" s="318">
        <v>1000</v>
      </c>
      <c r="AM39" s="318">
        <v>6</v>
      </c>
    </row>
    <row r="40" spans="1:39">
      <c r="A40" s="493">
        <v>810116</v>
      </c>
      <c r="B40" s="494" t="s">
        <v>1459</v>
      </c>
      <c r="C40" s="495" t="s">
        <v>1108</v>
      </c>
      <c r="D40" s="495" t="s">
        <v>155</v>
      </c>
      <c r="E40" s="495" t="s">
        <v>156</v>
      </c>
      <c r="F40" s="495" t="s">
        <v>1363</v>
      </c>
      <c r="G40" s="495" t="s">
        <v>155</v>
      </c>
      <c r="H40" s="496" t="s">
        <v>1281</v>
      </c>
      <c r="I40" s="318" t="s">
        <v>1362</v>
      </c>
      <c r="J40" s="318" t="s">
        <v>2158</v>
      </c>
      <c r="K40" s="494"/>
      <c r="L40" s="83">
        <v>15</v>
      </c>
      <c r="M40" s="497"/>
      <c r="N40" s="496"/>
      <c r="O40" s="498"/>
      <c r="P40" s="83">
        <v>62.5</v>
      </c>
      <c r="Q40" s="318">
        <v>449.17</v>
      </c>
      <c r="R40" s="397">
        <v>0.159</v>
      </c>
      <c r="S40" s="495">
        <v>8.9541547277936964E-2</v>
      </c>
      <c r="T40" s="495">
        <v>434.02777777777783</v>
      </c>
      <c r="U40" s="496" t="s">
        <v>154</v>
      </c>
      <c r="V40" s="495" t="s">
        <v>947</v>
      </c>
      <c r="W40" s="495"/>
      <c r="X40" s="495" t="s">
        <v>1002</v>
      </c>
      <c r="Y40" s="495" t="s">
        <v>1032</v>
      </c>
      <c r="Z40" s="495"/>
      <c r="AA40" s="322">
        <v>129</v>
      </c>
      <c r="AB40" s="496">
        <v>1</v>
      </c>
      <c r="AC40" s="495" t="s">
        <v>1112</v>
      </c>
      <c r="AD40" s="495" t="s">
        <v>1362</v>
      </c>
      <c r="AE40" s="495"/>
      <c r="AF40" s="495"/>
      <c r="AG40" s="495"/>
      <c r="AH40" s="495" t="s">
        <v>1363</v>
      </c>
      <c r="AI40" s="495"/>
      <c r="AJ40" s="495"/>
      <c r="AK40" s="495">
        <v>9999</v>
      </c>
      <c r="AL40" s="495">
        <v>1000</v>
      </c>
      <c r="AM40" s="495">
        <v>7</v>
      </c>
    </row>
    <row r="41" spans="1:39">
      <c r="A41" s="493">
        <v>810112</v>
      </c>
      <c r="B41" s="494" t="s">
        <v>1097</v>
      </c>
      <c r="C41" s="495" t="s">
        <v>1105</v>
      </c>
      <c r="D41" s="495" t="s">
        <v>155</v>
      </c>
      <c r="E41" s="495" t="s">
        <v>156</v>
      </c>
      <c r="F41" s="495" t="s">
        <v>1105</v>
      </c>
      <c r="G41" s="495" t="s">
        <v>155</v>
      </c>
      <c r="H41" s="496" t="s">
        <v>1280</v>
      </c>
      <c r="I41" s="318" t="s">
        <v>1111</v>
      </c>
      <c r="J41" s="318" t="s">
        <v>2158</v>
      </c>
      <c r="K41" s="494"/>
      <c r="L41" s="83">
        <v>12</v>
      </c>
      <c r="M41" s="497"/>
      <c r="N41" s="496"/>
      <c r="O41" s="498"/>
      <c r="P41" s="83">
        <v>125</v>
      </c>
      <c r="Q41" s="318">
        <v>1261.21</v>
      </c>
      <c r="R41" s="397">
        <v>0</v>
      </c>
      <c r="S41" s="495">
        <v>0.10016025641025642</v>
      </c>
      <c r="T41" s="495"/>
      <c r="U41" s="496" t="s">
        <v>154</v>
      </c>
      <c r="V41" s="495" t="s">
        <v>947</v>
      </c>
      <c r="W41" s="495"/>
      <c r="X41" s="495" t="s">
        <v>1002</v>
      </c>
      <c r="Y41" s="495" t="s">
        <v>1032</v>
      </c>
      <c r="Z41" s="495"/>
      <c r="AA41" s="322">
        <v>196.16</v>
      </c>
      <c r="AB41" s="496">
        <v>1</v>
      </c>
      <c r="AC41" s="495" t="s">
        <v>1112</v>
      </c>
      <c r="AD41" s="495" t="s">
        <v>1111</v>
      </c>
      <c r="AE41" s="495"/>
      <c r="AF41" s="495"/>
      <c r="AG41" s="495"/>
      <c r="AH41" s="495" t="s">
        <v>1105</v>
      </c>
      <c r="AI41" s="495"/>
      <c r="AJ41" s="495"/>
      <c r="AK41" s="495">
        <v>9999</v>
      </c>
      <c r="AL41" s="495">
        <v>1000</v>
      </c>
      <c r="AM41" s="495">
        <v>8</v>
      </c>
    </row>
    <row r="42" spans="1:39">
      <c r="A42" s="350">
        <v>810117</v>
      </c>
      <c r="B42" s="494" t="s">
        <v>1100</v>
      </c>
      <c r="C42" s="83" t="s">
        <v>1109</v>
      </c>
      <c r="D42" s="318" t="s">
        <v>155</v>
      </c>
      <c r="E42" s="83" t="s">
        <v>156</v>
      </c>
      <c r="F42" s="83" t="s">
        <v>1109</v>
      </c>
      <c r="G42" s="318" t="s">
        <v>155</v>
      </c>
      <c r="H42" s="355" t="s">
        <v>1281</v>
      </c>
      <c r="I42" s="318" t="s">
        <v>1111</v>
      </c>
      <c r="J42" s="318" t="s">
        <v>2158</v>
      </c>
      <c r="K42" s="319"/>
      <c r="L42" s="83">
        <v>15</v>
      </c>
      <c r="M42" s="320"/>
      <c r="N42" s="355"/>
      <c r="O42" s="321"/>
      <c r="P42" s="83">
        <v>100</v>
      </c>
      <c r="Q42" s="318">
        <v>769.06</v>
      </c>
      <c r="R42" s="397">
        <v>0.27300000000000002</v>
      </c>
      <c r="S42" s="318">
        <v>8.9047195013357075E-2</v>
      </c>
      <c r="T42" s="318">
        <v>431.03448275862064</v>
      </c>
      <c r="U42" s="356" t="s">
        <v>154</v>
      </c>
      <c r="V42" s="310" t="s">
        <v>947</v>
      </c>
      <c r="W42" s="318"/>
      <c r="X42" s="318" t="s">
        <v>1002</v>
      </c>
      <c r="Y42" s="318" t="s">
        <v>1032</v>
      </c>
      <c r="Z42" s="318"/>
      <c r="AA42" s="322">
        <v>156</v>
      </c>
      <c r="AB42" s="355">
        <v>1</v>
      </c>
      <c r="AC42" s="83" t="s">
        <v>1112</v>
      </c>
      <c r="AD42" s="83" t="s">
        <v>1111</v>
      </c>
      <c r="AE42" s="318"/>
      <c r="AF42" s="318"/>
      <c r="AG42" s="318"/>
      <c r="AH42" s="9" t="s">
        <v>1109</v>
      </c>
      <c r="AI42" s="318"/>
      <c r="AJ42" s="83"/>
      <c r="AK42" s="83">
        <v>9999</v>
      </c>
      <c r="AL42" s="318">
        <v>1000</v>
      </c>
      <c r="AM42" s="318">
        <v>9</v>
      </c>
    </row>
    <row r="43" spans="1:39">
      <c r="A43" s="384"/>
      <c r="B43" s="319"/>
      <c r="C43" s="318"/>
      <c r="D43" s="318"/>
      <c r="E43" s="318"/>
      <c r="F43" s="318"/>
      <c r="G43" s="318"/>
      <c r="H43" s="385"/>
      <c r="I43" s="318"/>
      <c r="J43" s="318"/>
      <c r="K43" s="319"/>
      <c r="L43" s="318"/>
      <c r="M43" s="320"/>
      <c r="N43" s="385"/>
      <c r="O43" s="321"/>
      <c r="P43" s="321"/>
      <c r="Q43" s="318"/>
      <c r="R43" s="398"/>
      <c r="S43" s="321"/>
      <c r="T43" s="318"/>
      <c r="U43" s="385"/>
      <c r="V43" s="318"/>
      <c r="W43" s="318"/>
      <c r="X43" s="318"/>
      <c r="Y43" s="318"/>
      <c r="Z43" s="318"/>
      <c r="AA43" s="386"/>
      <c r="AB43" s="385"/>
      <c r="AC43" s="318"/>
      <c r="AD43" s="318"/>
      <c r="AE43" s="318"/>
      <c r="AF43" s="318"/>
      <c r="AG43" s="318"/>
      <c r="AH43" s="318"/>
      <c r="AI43" s="318"/>
      <c r="AJ43" s="318"/>
      <c r="AK43" s="318"/>
      <c r="AL43" s="318"/>
      <c r="AM43" s="318"/>
    </row>
    <row r="44" spans="1:39" ht="12.75" customHeight="1">
      <c r="A44" s="351"/>
      <c r="B44" s="319"/>
      <c r="C44" s="318"/>
      <c r="D44" s="318"/>
      <c r="E44" s="318"/>
      <c r="F44" s="318"/>
      <c r="G44" s="318"/>
      <c r="H44" s="318"/>
      <c r="I44" s="318"/>
      <c r="J44" s="318"/>
      <c r="K44" s="319"/>
      <c r="L44" s="318"/>
      <c r="M44" s="320"/>
      <c r="N44" s="318"/>
      <c r="O44" s="321"/>
      <c r="P44" s="321"/>
      <c r="Q44" s="318"/>
      <c r="R44" s="398"/>
      <c r="S44" s="318"/>
      <c r="T44" s="318"/>
      <c r="U44" s="318"/>
      <c r="V44" s="318"/>
      <c r="W44" s="318"/>
      <c r="X44" s="318"/>
      <c r="Y44" s="318"/>
      <c r="Z44" s="318"/>
      <c r="AA44" s="318"/>
      <c r="AB44" s="318"/>
      <c r="AC44" s="318"/>
      <c r="AD44" s="318"/>
      <c r="AE44" s="318"/>
      <c r="AF44" s="318"/>
      <c r="AG44" s="318"/>
      <c r="AH44" s="318"/>
      <c r="AI44" s="318"/>
      <c r="AJ44" s="324"/>
      <c r="AK44" s="318"/>
      <c r="AL44" s="318"/>
      <c r="AM44" s="318"/>
    </row>
    <row r="45" spans="1:39" ht="12.75" customHeight="1">
      <c r="O45" s="313"/>
      <c r="P45" s="313"/>
      <c r="R45" s="399"/>
    </row>
    <row r="46" spans="1:39" ht="12.75" customHeight="1">
      <c r="A46" s="352" t="s">
        <v>852</v>
      </c>
      <c r="B46" s="326" t="s">
        <v>853</v>
      </c>
      <c r="C46" s="314" t="s">
        <v>854</v>
      </c>
      <c r="D46" s="314" t="s">
        <v>855</v>
      </c>
      <c r="E46" s="314" t="s">
        <v>856</v>
      </c>
      <c r="F46" s="314" t="s">
        <v>144</v>
      </c>
      <c r="G46" s="314" t="s">
        <v>857</v>
      </c>
      <c r="H46" s="314" t="s">
        <v>858</v>
      </c>
      <c r="I46" s="314" t="s">
        <v>145</v>
      </c>
      <c r="J46" s="374" t="s">
        <v>1450</v>
      </c>
      <c r="K46" s="326" t="s">
        <v>859</v>
      </c>
      <c r="L46" s="314" t="s">
        <v>148</v>
      </c>
      <c r="M46" s="327" t="s">
        <v>860</v>
      </c>
      <c r="N46" s="314" t="s">
        <v>153</v>
      </c>
      <c r="O46" s="314" t="s">
        <v>687</v>
      </c>
      <c r="P46" s="314" t="s">
        <v>147</v>
      </c>
      <c r="Q46" s="314" t="s">
        <v>150</v>
      </c>
      <c r="R46" s="400" t="s">
        <v>861</v>
      </c>
      <c r="S46" s="314" t="s">
        <v>862</v>
      </c>
      <c r="T46" s="314" t="s">
        <v>863</v>
      </c>
      <c r="U46" s="314" t="s">
        <v>142</v>
      </c>
      <c r="V46" s="314" t="s">
        <v>0</v>
      </c>
      <c r="W46" s="314" t="s">
        <v>864</v>
      </c>
      <c r="X46" s="314" t="s">
        <v>489</v>
      </c>
      <c r="Y46" s="314" t="s">
        <v>152</v>
      </c>
      <c r="Z46" s="314" t="s">
        <v>817</v>
      </c>
      <c r="AA46" s="314" t="s">
        <v>151</v>
      </c>
      <c r="AB46" s="314" t="s">
        <v>865</v>
      </c>
      <c r="AC46" s="314" t="s">
        <v>100</v>
      </c>
      <c r="AD46" s="314" t="s">
        <v>169</v>
      </c>
      <c r="AE46" s="314" t="s">
        <v>170</v>
      </c>
      <c r="AF46" s="314" t="s">
        <v>173</v>
      </c>
      <c r="AG46" s="314" t="s">
        <v>220</v>
      </c>
      <c r="AH46" s="314" t="s">
        <v>171</v>
      </c>
      <c r="AI46" s="314" t="s">
        <v>172</v>
      </c>
      <c r="AJ46" s="314" t="s">
        <v>174</v>
      </c>
      <c r="AK46" s="314" t="s">
        <v>188</v>
      </c>
      <c r="AL46" s="314"/>
      <c r="AM46" s="314"/>
    </row>
    <row r="47" spans="1:39" ht="12.75" customHeight="1">
      <c r="A47" s="349">
        <v>810503</v>
      </c>
      <c r="B47" s="310" t="s">
        <v>1791</v>
      </c>
      <c r="C47" s="310" t="s">
        <v>1787</v>
      </c>
      <c r="D47" s="310" t="s">
        <v>155</v>
      </c>
      <c r="E47" s="310" t="s">
        <v>1010</v>
      </c>
      <c r="F47" s="310" t="s">
        <v>1787</v>
      </c>
      <c r="G47" s="310" t="s">
        <v>155</v>
      </c>
      <c r="H47" s="310" t="s">
        <v>1010</v>
      </c>
      <c r="I47" s="310" t="s">
        <v>1063</v>
      </c>
      <c r="J47" s="318" t="s">
        <v>2158</v>
      </c>
      <c r="K47" s="310" t="s">
        <v>2231</v>
      </c>
      <c r="L47" s="357">
        <v>10</v>
      </c>
      <c r="O47" s="313"/>
      <c r="P47" s="310">
        <v>0.2</v>
      </c>
      <c r="Q47" s="310">
        <v>1.02</v>
      </c>
      <c r="R47" s="399">
        <v>1E-3</v>
      </c>
      <c r="S47" s="310">
        <v>0.19607843137254902</v>
      </c>
      <c r="T47" s="310">
        <v>200</v>
      </c>
      <c r="U47" s="356" t="s">
        <v>154</v>
      </c>
      <c r="V47" s="310" t="s">
        <v>947</v>
      </c>
      <c r="X47" s="310" t="s">
        <v>1002</v>
      </c>
      <c r="Y47" s="310" t="s">
        <v>1032</v>
      </c>
      <c r="AA47" s="329">
        <v>0.27</v>
      </c>
      <c r="AB47" s="356">
        <v>2</v>
      </c>
      <c r="AC47" s="310" t="s">
        <v>101</v>
      </c>
      <c r="AD47" s="506" t="s">
        <v>1076</v>
      </c>
      <c r="AF47" s="83"/>
      <c r="AH47" s="374" t="s">
        <v>1787</v>
      </c>
      <c r="AI47" s="310">
        <v>0.28000000000000003</v>
      </c>
      <c r="AJ47" s="83"/>
      <c r="AK47" s="83"/>
    </row>
    <row r="48" spans="1:39" ht="12.75" customHeight="1">
      <c r="A48" s="56">
        <v>810507</v>
      </c>
      <c r="B48" s="310" t="s">
        <v>2128</v>
      </c>
      <c r="C48" s="83" t="s">
        <v>1788</v>
      </c>
      <c r="D48" s="310" t="s">
        <v>155</v>
      </c>
      <c r="E48" s="310" t="s">
        <v>1010</v>
      </c>
      <c r="F48" s="83" t="s">
        <v>1788</v>
      </c>
      <c r="G48" s="310" t="s">
        <v>155</v>
      </c>
      <c r="H48" s="310" t="s">
        <v>1010</v>
      </c>
      <c r="I48" s="310" t="s">
        <v>1063</v>
      </c>
      <c r="J48" s="318" t="s">
        <v>2158</v>
      </c>
      <c r="K48" s="310" t="s">
        <v>2231</v>
      </c>
      <c r="L48" s="357">
        <v>10</v>
      </c>
      <c r="N48" s="83"/>
      <c r="O48" s="313"/>
      <c r="P48" s="310">
        <v>0.25</v>
      </c>
      <c r="Q48" s="310">
        <v>1.39</v>
      </c>
      <c r="R48" s="399">
        <v>1E-3</v>
      </c>
      <c r="S48" s="310">
        <v>0.17985611510791369</v>
      </c>
      <c r="T48" s="310">
        <v>250</v>
      </c>
      <c r="U48" s="356" t="s">
        <v>154</v>
      </c>
      <c r="V48" s="310" t="s">
        <v>947</v>
      </c>
      <c r="X48" s="310" t="s">
        <v>1002</v>
      </c>
      <c r="Y48" s="310" t="s">
        <v>1032</v>
      </c>
      <c r="AA48" s="329">
        <v>1.01</v>
      </c>
      <c r="AB48" s="355">
        <v>1</v>
      </c>
      <c r="AC48" s="310" t="s">
        <v>101</v>
      </c>
      <c r="AD48" s="506" t="s">
        <v>1076</v>
      </c>
      <c r="AF48" s="315"/>
      <c r="AH48" s="374" t="s">
        <v>1788</v>
      </c>
      <c r="AI48" s="83">
        <v>0.38</v>
      </c>
      <c r="AJ48" s="330"/>
      <c r="AK48" s="330"/>
    </row>
    <row r="49" spans="1:74" ht="12.75" customHeight="1">
      <c r="A49" s="350">
        <v>810506</v>
      </c>
      <c r="B49" s="310" t="s">
        <v>1793</v>
      </c>
      <c r="C49" s="83" t="s">
        <v>1790</v>
      </c>
      <c r="D49" s="310" t="s">
        <v>155</v>
      </c>
      <c r="E49" s="310" t="s">
        <v>1010</v>
      </c>
      <c r="F49" s="83" t="s">
        <v>1790</v>
      </c>
      <c r="G49" s="310" t="s">
        <v>155</v>
      </c>
      <c r="H49" s="310" t="s">
        <v>1010</v>
      </c>
      <c r="I49" s="310" t="s">
        <v>1063</v>
      </c>
      <c r="J49" s="318" t="s">
        <v>2158</v>
      </c>
      <c r="K49" s="310" t="s">
        <v>2231</v>
      </c>
      <c r="L49" s="357">
        <v>10</v>
      </c>
      <c r="N49" s="83"/>
      <c r="O49" s="313"/>
      <c r="P49" s="329">
        <v>9.240000000000001E-2</v>
      </c>
      <c r="Q49" s="310">
        <v>1.76</v>
      </c>
      <c r="R49" s="399">
        <v>0</v>
      </c>
      <c r="S49" s="310">
        <v>5.2500000000000005E-2</v>
      </c>
      <c r="T49" s="310">
        <v>0</v>
      </c>
      <c r="U49" s="356" t="s">
        <v>154</v>
      </c>
      <c r="V49" s="310" t="s">
        <v>947</v>
      </c>
      <c r="X49" s="310" t="s">
        <v>1002</v>
      </c>
      <c r="Y49" s="310" t="s">
        <v>1032</v>
      </c>
      <c r="AA49" s="329">
        <v>0.95000000000000007</v>
      </c>
      <c r="AB49" s="355">
        <v>1</v>
      </c>
      <c r="AC49" s="310" t="s">
        <v>101</v>
      </c>
      <c r="AD49" s="506" t="s">
        <v>1076</v>
      </c>
      <c r="AF49" s="83"/>
      <c r="AH49" s="374" t="s">
        <v>1790</v>
      </c>
      <c r="AI49" s="83">
        <v>0.41</v>
      </c>
      <c r="AJ49" s="83"/>
      <c r="AK49" s="83"/>
    </row>
    <row r="50" spans="1:74" ht="12.75" customHeight="1">
      <c r="A50" s="499">
        <v>810505</v>
      </c>
      <c r="B50" s="310" t="s">
        <v>1792</v>
      </c>
      <c r="C50" s="501" t="s">
        <v>1789</v>
      </c>
      <c r="D50" s="501" t="s">
        <v>155</v>
      </c>
      <c r="E50" s="501" t="s">
        <v>1010</v>
      </c>
      <c r="F50" s="501" t="s">
        <v>1789</v>
      </c>
      <c r="G50" s="501" t="s">
        <v>155</v>
      </c>
      <c r="H50" s="501" t="s">
        <v>1010</v>
      </c>
      <c r="I50" s="310" t="s">
        <v>1063</v>
      </c>
      <c r="J50" s="318" t="s">
        <v>2158</v>
      </c>
      <c r="K50" s="310" t="s">
        <v>2231</v>
      </c>
      <c r="L50" s="357">
        <v>10</v>
      </c>
      <c r="M50" s="502"/>
      <c r="N50" s="501"/>
      <c r="O50" s="503"/>
      <c r="P50" s="310">
        <v>0.13</v>
      </c>
      <c r="Q50" s="310">
        <v>0.88</v>
      </c>
      <c r="R50" s="399">
        <v>1E-3</v>
      </c>
      <c r="S50" s="501">
        <v>0.14772727272727273</v>
      </c>
      <c r="T50" s="310">
        <v>130</v>
      </c>
      <c r="U50" s="505" t="s">
        <v>154</v>
      </c>
      <c r="V50" s="501" t="s">
        <v>947</v>
      </c>
      <c r="W50" s="501"/>
      <c r="X50" s="501" t="s">
        <v>1002</v>
      </c>
      <c r="Y50" s="310" t="s">
        <v>1032</v>
      </c>
      <c r="Z50" s="501"/>
      <c r="AA50" s="329">
        <v>0.65</v>
      </c>
      <c r="AB50" s="505">
        <v>1</v>
      </c>
      <c r="AC50" s="310" t="s">
        <v>101</v>
      </c>
      <c r="AD50" s="506" t="s">
        <v>1076</v>
      </c>
      <c r="AE50" s="501"/>
      <c r="AF50" s="507"/>
      <c r="AG50" s="501"/>
      <c r="AH50" s="374" t="s">
        <v>2377</v>
      </c>
      <c r="AI50" s="508">
        <v>0.24</v>
      </c>
      <c r="AJ50" s="506"/>
      <c r="AK50" s="506"/>
    </row>
    <row r="51" spans="1:74" ht="12.75" customHeight="1">
      <c r="I51" s="311"/>
      <c r="K51" s="310"/>
      <c r="L51" s="328"/>
      <c r="O51" s="313"/>
      <c r="R51" s="399"/>
      <c r="AL51" s="315"/>
    </row>
    <row r="52" spans="1:74" ht="12.75" customHeight="1">
      <c r="O52" s="313"/>
      <c r="P52" s="313"/>
      <c r="R52" s="399"/>
      <c r="AK52" s="315"/>
    </row>
    <row r="53" spans="1:74" ht="12.75" customHeight="1">
      <c r="A53" s="349" t="s">
        <v>852</v>
      </c>
      <c r="B53" s="310" t="s">
        <v>853</v>
      </c>
      <c r="C53" s="310" t="s">
        <v>854</v>
      </c>
      <c r="D53" s="310" t="s">
        <v>855</v>
      </c>
      <c r="E53" s="310" t="s">
        <v>856</v>
      </c>
      <c r="F53" s="310" t="s">
        <v>144</v>
      </c>
      <c r="G53" s="310" t="s">
        <v>857</v>
      </c>
      <c r="H53" s="310" t="s">
        <v>858</v>
      </c>
      <c r="I53" s="310" t="s">
        <v>145</v>
      </c>
      <c r="J53" s="374" t="s">
        <v>1450</v>
      </c>
      <c r="K53" s="311" t="s">
        <v>859</v>
      </c>
      <c r="L53" s="310" t="s">
        <v>148</v>
      </c>
      <c r="M53" s="312" t="s">
        <v>860</v>
      </c>
      <c r="N53" s="310" t="s">
        <v>153</v>
      </c>
      <c r="O53" s="310" t="s">
        <v>687</v>
      </c>
      <c r="P53" s="310" t="s">
        <v>147</v>
      </c>
      <c r="Q53" s="310" t="s">
        <v>150</v>
      </c>
      <c r="R53" s="399" t="s">
        <v>861</v>
      </c>
      <c r="S53" s="310" t="s">
        <v>862</v>
      </c>
      <c r="T53" s="310" t="s">
        <v>863</v>
      </c>
      <c r="U53" s="310" t="s">
        <v>142</v>
      </c>
      <c r="V53" s="310" t="s">
        <v>0</v>
      </c>
      <c r="W53" s="310" t="s">
        <v>864</v>
      </c>
      <c r="X53" s="310" t="s">
        <v>489</v>
      </c>
      <c r="Y53" s="310" t="s">
        <v>152</v>
      </c>
      <c r="Z53" s="310" t="s">
        <v>817</v>
      </c>
      <c r="AA53" s="310" t="s">
        <v>151</v>
      </c>
      <c r="AB53" s="310" t="s">
        <v>865</v>
      </c>
      <c r="AC53" s="310" t="s">
        <v>100</v>
      </c>
      <c r="AD53" s="315" t="s">
        <v>169</v>
      </c>
      <c r="AE53" s="315" t="s">
        <v>170</v>
      </c>
      <c r="AF53" s="315" t="s">
        <v>173</v>
      </c>
      <c r="AG53" s="315" t="s">
        <v>220</v>
      </c>
      <c r="AH53" s="315" t="s">
        <v>171</v>
      </c>
      <c r="AI53" s="315" t="s">
        <v>172</v>
      </c>
      <c r="AJ53" s="315" t="s">
        <v>174</v>
      </c>
      <c r="AK53" s="315" t="s">
        <v>188</v>
      </c>
    </row>
    <row r="54" spans="1:74" ht="12.75" customHeight="1">
      <c r="A54" s="56">
        <v>830849</v>
      </c>
      <c r="B54" s="83" t="s">
        <v>2232</v>
      </c>
      <c r="C54" s="325" t="s">
        <v>1124</v>
      </c>
      <c r="D54" s="325" t="s">
        <v>162</v>
      </c>
      <c r="E54" s="325" t="s">
        <v>1010</v>
      </c>
      <c r="F54" s="325" t="s">
        <v>999</v>
      </c>
      <c r="G54" s="325" t="s">
        <v>162</v>
      </c>
      <c r="H54" s="325" t="s">
        <v>1010</v>
      </c>
      <c r="I54" s="325" t="s">
        <v>1076</v>
      </c>
      <c r="J54" s="318" t="s">
        <v>2158</v>
      </c>
      <c r="K54" s="83" t="s">
        <v>2179</v>
      </c>
      <c r="L54" s="332">
        <v>12</v>
      </c>
      <c r="M54" s="83"/>
      <c r="N54" s="359"/>
      <c r="O54" s="83"/>
      <c r="P54" s="333">
        <v>45</v>
      </c>
      <c r="Q54" s="334">
        <v>920.47</v>
      </c>
      <c r="R54" s="445">
        <v>1.4E-2</v>
      </c>
      <c r="S54" s="83">
        <v>4.8888068052190724E-2</v>
      </c>
      <c r="T54" s="83">
        <v>3214.2857142857142</v>
      </c>
      <c r="U54" s="356" t="s">
        <v>154</v>
      </c>
      <c r="V54" s="310" t="s">
        <v>947</v>
      </c>
      <c r="X54" s="83" t="s">
        <v>1002</v>
      </c>
      <c r="Y54" s="310" t="s">
        <v>1032</v>
      </c>
      <c r="AA54" s="333">
        <v>68.78</v>
      </c>
      <c r="AB54" s="358">
        <v>1</v>
      </c>
      <c r="AC54" s="325" t="s">
        <v>954</v>
      </c>
      <c r="AD54" s="325" t="s">
        <v>1076</v>
      </c>
      <c r="AH54" s="325" t="s">
        <v>999</v>
      </c>
      <c r="AI54" s="325"/>
      <c r="AT54" s="310" t="s">
        <v>1004</v>
      </c>
      <c r="AU54" s="310" t="s">
        <v>1006</v>
      </c>
      <c r="AV54" s="310" t="s">
        <v>164</v>
      </c>
      <c r="AW54" s="310" t="s">
        <v>1007</v>
      </c>
      <c r="AX54" s="310" t="s">
        <v>1004</v>
      </c>
      <c r="AY54" s="310" t="s">
        <v>1001</v>
      </c>
      <c r="AZ54" s="310">
        <v>15</v>
      </c>
      <c r="BD54" s="310">
        <v>12.5</v>
      </c>
      <c r="BE54" s="310">
        <v>1346.64</v>
      </c>
      <c r="BF54" s="310">
        <v>0.51100000000000001</v>
      </c>
      <c r="BJ54" s="310" t="s">
        <v>1000</v>
      </c>
      <c r="BL54" s="310" t="s">
        <v>1002</v>
      </c>
      <c r="BM54" s="310" t="s">
        <v>1032</v>
      </c>
      <c r="BO54" s="310">
        <v>14</v>
      </c>
      <c r="BQ54" s="310" t="s">
        <v>1005</v>
      </c>
      <c r="BR54" s="310" t="s">
        <v>1007</v>
      </c>
      <c r="BV54" s="310" t="s">
        <v>1004</v>
      </c>
    </row>
    <row r="55" spans="1:74" ht="12.75" customHeight="1">
      <c r="A55" s="56">
        <v>830850</v>
      </c>
      <c r="B55" s="83" t="s">
        <v>2233</v>
      </c>
      <c r="C55" s="325" t="s">
        <v>1125</v>
      </c>
      <c r="D55" s="325" t="s">
        <v>162</v>
      </c>
      <c r="E55" s="325" t="s">
        <v>1010</v>
      </c>
      <c r="F55" s="325" t="s">
        <v>1003</v>
      </c>
      <c r="G55" s="325" t="s">
        <v>162</v>
      </c>
      <c r="H55" s="325" t="s">
        <v>1010</v>
      </c>
      <c r="I55" s="325" t="s">
        <v>1076</v>
      </c>
      <c r="J55" s="318" t="s">
        <v>2158</v>
      </c>
      <c r="K55" s="83" t="s">
        <v>2179</v>
      </c>
      <c r="L55" s="332">
        <v>12</v>
      </c>
      <c r="M55" s="83"/>
      <c r="N55" s="359"/>
      <c r="O55" s="83"/>
      <c r="P55" s="333">
        <v>50</v>
      </c>
      <c r="Q55" s="334">
        <v>1189.2</v>
      </c>
      <c r="R55" s="397">
        <v>2.9000000000000001E-2</v>
      </c>
      <c r="S55" s="83">
        <v>4.2045072317524385E-2</v>
      </c>
      <c r="T55" s="83">
        <v>1724.1379310344826</v>
      </c>
      <c r="U55" s="356" t="s">
        <v>154</v>
      </c>
      <c r="V55" s="310" t="s">
        <v>947</v>
      </c>
      <c r="X55" s="83" t="s">
        <v>1002</v>
      </c>
      <c r="Y55" s="310" t="s">
        <v>1032</v>
      </c>
      <c r="AA55" s="333">
        <v>68.78</v>
      </c>
      <c r="AB55" s="358">
        <v>1</v>
      </c>
      <c r="AC55" s="325" t="s">
        <v>954</v>
      </c>
      <c r="AD55" s="325" t="s">
        <v>1076</v>
      </c>
      <c r="AH55" s="325" t="s">
        <v>1003</v>
      </c>
      <c r="AI55" s="325"/>
      <c r="AT55" s="310" t="s">
        <v>1008</v>
      </c>
      <c r="AU55" s="310" t="s">
        <v>1009</v>
      </c>
      <c r="AV55" s="310" t="s">
        <v>164</v>
      </c>
      <c r="AW55" s="310" t="s">
        <v>1007</v>
      </c>
      <c r="AX55" s="310" t="s">
        <v>1008</v>
      </c>
      <c r="AY55" s="310" t="s">
        <v>1001</v>
      </c>
      <c r="AZ55" s="310">
        <v>15</v>
      </c>
      <c r="BD55" s="310">
        <v>12.5</v>
      </c>
      <c r="BE55" s="310">
        <v>429.78</v>
      </c>
      <c r="BF55" s="310">
        <v>0.16300000000000001</v>
      </c>
      <c r="BJ55" s="310" t="s">
        <v>1000</v>
      </c>
      <c r="BL55" s="310" t="s">
        <v>1002</v>
      </c>
      <c r="BM55" s="310" t="s">
        <v>1032</v>
      </c>
      <c r="BO55" s="310">
        <v>14</v>
      </c>
      <c r="BQ55" s="310" t="s">
        <v>1005</v>
      </c>
      <c r="BR55" s="310" t="s">
        <v>1007</v>
      </c>
      <c r="BV55" s="310" t="s">
        <v>1008</v>
      </c>
    </row>
    <row r="56" spans="1:74" ht="12.75" customHeight="1">
      <c r="A56" s="516">
        <v>830857</v>
      </c>
      <c r="B56" s="469" t="s">
        <v>2275</v>
      </c>
      <c r="C56" s="83" t="s">
        <v>2276</v>
      </c>
      <c r="D56" s="587"/>
      <c r="E56" s="83" t="s">
        <v>162</v>
      </c>
      <c r="F56" s="83" t="s">
        <v>2276</v>
      </c>
      <c r="G56" s="469" t="s">
        <v>162</v>
      </c>
      <c r="H56" s="374" t="s">
        <v>162</v>
      </c>
      <c r="I56" s="83" t="s">
        <v>2277</v>
      </c>
      <c r="J56" s="318" t="s">
        <v>2158</v>
      </c>
      <c r="K56" s="83" t="s">
        <v>2179</v>
      </c>
      <c r="L56" s="332">
        <v>8</v>
      </c>
      <c r="M56" s="518"/>
      <c r="N56" s="589"/>
      <c r="O56" s="519"/>
      <c r="P56" s="333">
        <v>110</v>
      </c>
      <c r="Q56" s="334">
        <v>2399</v>
      </c>
      <c r="R56" s="397">
        <v>0.621</v>
      </c>
      <c r="S56" s="83">
        <v>4.5852438516048352E-2</v>
      </c>
      <c r="T56" s="83">
        <v>177.13365539452496</v>
      </c>
      <c r="U56" s="356" t="s">
        <v>154</v>
      </c>
      <c r="V56" s="310" t="s">
        <v>947</v>
      </c>
      <c r="W56" s="374"/>
      <c r="X56" s="83" t="s">
        <v>1002</v>
      </c>
      <c r="Y56" s="310" t="s">
        <v>1032</v>
      </c>
      <c r="Z56" s="374"/>
      <c r="AA56" s="333">
        <v>502</v>
      </c>
      <c r="AB56" s="591">
        <v>1</v>
      </c>
      <c r="AC56" s="83" t="s">
        <v>954</v>
      </c>
      <c r="AD56" s="83" t="s">
        <v>2277</v>
      </c>
      <c r="AE56" s="374"/>
      <c r="AF56" s="374"/>
      <c r="AG56" s="374"/>
      <c r="AH56" s="83" t="s">
        <v>2276</v>
      </c>
      <c r="AI56" s="587"/>
      <c r="AJ56" s="374"/>
      <c r="AK56" s="374"/>
      <c r="AT56" s="310" t="s">
        <v>1016</v>
      </c>
      <c r="AU56" s="310" t="s">
        <v>160</v>
      </c>
      <c r="AV56" s="310" t="s">
        <v>955</v>
      </c>
      <c r="AW56" s="310" t="s">
        <v>1017</v>
      </c>
      <c r="AX56" s="310" t="s">
        <v>1016</v>
      </c>
      <c r="AY56" s="310" t="s">
        <v>1018</v>
      </c>
      <c r="AZ56" s="310">
        <v>20</v>
      </c>
      <c r="BD56" s="310">
        <v>70</v>
      </c>
      <c r="BE56" s="310">
        <v>720</v>
      </c>
      <c r="BF56" s="310">
        <v>7.0000000000000007E-2</v>
      </c>
      <c r="BJ56" s="310" t="s">
        <v>1000</v>
      </c>
      <c r="BL56" s="310" t="s">
        <v>1002</v>
      </c>
      <c r="BM56" s="310" t="s">
        <v>1032</v>
      </c>
      <c r="BO56" s="310">
        <v>250</v>
      </c>
      <c r="BQ56" s="310" t="s">
        <v>955</v>
      </c>
      <c r="BR56" s="310" t="s">
        <v>1017</v>
      </c>
      <c r="BV56" s="310" t="s">
        <v>1016</v>
      </c>
    </row>
    <row r="57" spans="1:74" ht="12.75" customHeight="1">
      <c r="A57" s="516">
        <v>830858</v>
      </c>
      <c r="B57" s="469" t="s">
        <v>2278</v>
      </c>
      <c r="C57" s="83" t="s">
        <v>2279</v>
      </c>
      <c r="D57" s="587" t="s">
        <v>162</v>
      </c>
      <c r="E57" s="83" t="s">
        <v>162</v>
      </c>
      <c r="F57" s="83" t="s">
        <v>2279</v>
      </c>
      <c r="G57" s="374" t="s">
        <v>162</v>
      </c>
      <c r="H57" s="374" t="s">
        <v>162</v>
      </c>
      <c r="I57" s="83" t="s">
        <v>2277</v>
      </c>
      <c r="J57" s="318" t="s">
        <v>2158</v>
      </c>
      <c r="K57" s="83" t="s">
        <v>2179</v>
      </c>
      <c r="L57" s="332">
        <v>8</v>
      </c>
      <c r="M57" s="518"/>
      <c r="N57" s="589"/>
      <c r="O57" s="519"/>
      <c r="P57" s="333">
        <v>130</v>
      </c>
      <c r="Q57" s="334">
        <v>6949</v>
      </c>
      <c r="R57" s="397">
        <v>1.3</v>
      </c>
      <c r="S57" s="374">
        <v>1.870772773060872E-2</v>
      </c>
      <c r="T57" s="83">
        <v>100</v>
      </c>
      <c r="U57" s="374" t="s">
        <v>154</v>
      </c>
      <c r="V57" s="374" t="s">
        <v>947</v>
      </c>
      <c r="W57" s="374"/>
      <c r="X57" s="374" t="s">
        <v>1002</v>
      </c>
      <c r="Y57" s="374" t="s">
        <v>1032</v>
      </c>
      <c r="Z57" s="374"/>
      <c r="AA57" s="333">
        <v>502</v>
      </c>
      <c r="AB57" s="591">
        <v>1</v>
      </c>
      <c r="AC57" s="83" t="s">
        <v>954</v>
      </c>
      <c r="AD57" s="83" t="s">
        <v>2277</v>
      </c>
      <c r="AE57" s="374"/>
      <c r="AF57" s="374"/>
      <c r="AG57" s="374"/>
      <c r="AH57" s="83" t="s">
        <v>2279</v>
      </c>
      <c r="AI57" s="587"/>
      <c r="AJ57" s="374"/>
      <c r="AK57" s="374"/>
      <c r="AT57" s="310" t="s">
        <v>960</v>
      </c>
      <c r="AU57" s="310" t="s">
        <v>1025</v>
      </c>
      <c r="AV57" s="310" t="s">
        <v>955</v>
      </c>
      <c r="AW57" s="310" t="s">
        <v>1011</v>
      </c>
      <c r="AX57" s="310" t="s">
        <v>960</v>
      </c>
      <c r="AY57" s="310" t="s">
        <v>1001</v>
      </c>
      <c r="AZ57" s="310">
        <v>15</v>
      </c>
      <c r="BD57" s="310">
        <v>75</v>
      </c>
      <c r="BE57" s="310">
        <v>4100</v>
      </c>
      <c r="BF57" s="310">
        <v>0.159</v>
      </c>
      <c r="BJ57" s="310" t="s">
        <v>1000</v>
      </c>
      <c r="BL57" s="310" t="s">
        <v>1002</v>
      </c>
      <c r="BM57" s="310" t="s">
        <v>1032</v>
      </c>
      <c r="BO57" s="310">
        <v>203</v>
      </c>
      <c r="BQ57" s="310" t="s">
        <v>958</v>
      </c>
      <c r="BR57" s="310" t="s">
        <v>1011</v>
      </c>
      <c r="BV57" s="310" t="s">
        <v>960</v>
      </c>
    </row>
    <row r="58" spans="1:74" ht="12.75" customHeight="1">
      <c r="A58" s="56">
        <v>830828</v>
      </c>
      <c r="B58" s="325" t="s">
        <v>2574</v>
      </c>
      <c r="C58" s="325" t="s">
        <v>2576</v>
      </c>
      <c r="D58" s="325" t="s">
        <v>162</v>
      </c>
      <c r="E58" s="325" t="s">
        <v>1012</v>
      </c>
      <c r="F58" s="325" t="s">
        <v>2578</v>
      </c>
      <c r="G58" s="325" t="s">
        <v>162</v>
      </c>
      <c r="H58" s="325" t="s">
        <v>1012</v>
      </c>
      <c r="I58" s="325" t="s">
        <v>1132</v>
      </c>
      <c r="J58" s="318" t="s">
        <v>2158</v>
      </c>
      <c r="K58" s="83" t="s">
        <v>2179</v>
      </c>
      <c r="L58" s="332">
        <v>15</v>
      </c>
      <c r="M58" s="83"/>
      <c r="N58" s="359"/>
      <c r="O58" s="83"/>
      <c r="P58" s="333">
        <v>125</v>
      </c>
      <c r="Q58" s="334">
        <v>1586</v>
      </c>
      <c r="R58" s="397">
        <v>0.18099999999999999</v>
      </c>
      <c r="S58" s="83">
        <v>7.8814627994955866E-2</v>
      </c>
      <c r="T58" s="83">
        <v>552.4861878453039</v>
      </c>
      <c r="U58" s="356" t="s">
        <v>154</v>
      </c>
      <c r="V58" s="310" t="s">
        <v>947</v>
      </c>
      <c r="X58" s="83" t="s">
        <v>1002</v>
      </c>
      <c r="Y58" s="310" t="s">
        <v>1032</v>
      </c>
      <c r="AA58" s="333">
        <v>304.58999999999997</v>
      </c>
      <c r="AB58" s="358">
        <v>1</v>
      </c>
      <c r="AC58" s="325" t="s">
        <v>955</v>
      </c>
      <c r="AD58" s="325" t="s">
        <v>1132</v>
      </c>
      <c r="AH58" s="325" t="s">
        <v>2578</v>
      </c>
      <c r="AI58" s="325"/>
      <c r="AT58" s="310" t="s">
        <v>959</v>
      </c>
      <c r="AU58" s="310" t="s">
        <v>160</v>
      </c>
      <c r="AV58" s="310" t="s">
        <v>955</v>
      </c>
      <c r="AW58" s="310" t="s">
        <v>1011</v>
      </c>
      <c r="AX58" s="310" t="s">
        <v>959</v>
      </c>
      <c r="AY58" s="310" t="s">
        <v>1001</v>
      </c>
      <c r="AZ58" s="310">
        <v>15</v>
      </c>
      <c r="BD58" s="310">
        <v>75</v>
      </c>
      <c r="BE58" s="310">
        <v>1560</v>
      </c>
      <c r="BF58" s="310">
        <v>0.27500000000000002</v>
      </c>
      <c r="BJ58" s="310" t="s">
        <v>1000</v>
      </c>
      <c r="BL58" s="310" t="s">
        <v>1002</v>
      </c>
      <c r="BM58" s="310" t="s">
        <v>1032</v>
      </c>
      <c r="BO58" s="310">
        <v>203</v>
      </c>
      <c r="BQ58" s="310" t="s">
        <v>958</v>
      </c>
      <c r="BR58" s="310" t="s">
        <v>1011</v>
      </c>
      <c r="BV58" s="310" t="s">
        <v>959</v>
      </c>
    </row>
    <row r="59" spans="1:74" ht="12.75" customHeight="1">
      <c r="A59" s="56">
        <v>830827</v>
      </c>
      <c r="B59" s="325" t="s">
        <v>2575</v>
      </c>
      <c r="C59" s="325" t="s">
        <v>2577</v>
      </c>
      <c r="D59" s="325" t="s">
        <v>162</v>
      </c>
      <c r="E59" s="325" t="s">
        <v>1012</v>
      </c>
      <c r="F59" s="325" t="s">
        <v>2579</v>
      </c>
      <c r="G59" s="325" t="s">
        <v>162</v>
      </c>
      <c r="H59" s="325" t="s">
        <v>1012</v>
      </c>
      <c r="I59" s="325" t="s">
        <v>1132</v>
      </c>
      <c r="J59" s="318" t="s">
        <v>2158</v>
      </c>
      <c r="K59" s="83" t="s">
        <v>2179</v>
      </c>
      <c r="L59" s="332">
        <v>15</v>
      </c>
      <c r="M59" s="83"/>
      <c r="N59" s="359"/>
      <c r="O59" s="83"/>
      <c r="P59" s="333">
        <v>150</v>
      </c>
      <c r="Q59" s="334">
        <v>1586</v>
      </c>
      <c r="R59" s="397">
        <v>0.18099999999999999</v>
      </c>
      <c r="S59" s="83">
        <v>9.4577553593947039E-2</v>
      </c>
      <c r="T59" s="83">
        <v>690.60773480662988</v>
      </c>
      <c r="U59" s="356" t="s">
        <v>154</v>
      </c>
      <c r="V59" s="310" t="s">
        <v>947</v>
      </c>
      <c r="X59" s="83" t="s">
        <v>1002</v>
      </c>
      <c r="Y59" s="310" t="s">
        <v>1032</v>
      </c>
      <c r="AA59" s="333">
        <v>304.58999999999997</v>
      </c>
      <c r="AB59" s="358">
        <v>1</v>
      </c>
      <c r="AC59" s="325" t="s">
        <v>955</v>
      </c>
      <c r="AD59" s="325" t="s">
        <v>1132</v>
      </c>
      <c r="AH59" s="325" t="s">
        <v>2579</v>
      </c>
      <c r="AI59" s="325"/>
      <c r="AT59" s="310" t="s">
        <v>957</v>
      </c>
      <c r="AU59" s="310" t="s">
        <v>1030</v>
      </c>
      <c r="AV59" s="310" t="s">
        <v>955</v>
      </c>
      <c r="AW59" s="310" t="s">
        <v>1031</v>
      </c>
      <c r="AX59" s="310" t="s">
        <v>957</v>
      </c>
      <c r="AY59" s="310" t="s">
        <v>1001</v>
      </c>
      <c r="AZ59" s="310">
        <v>15</v>
      </c>
      <c r="BD59" s="310">
        <v>75</v>
      </c>
      <c r="BE59" s="310">
        <v>1076</v>
      </c>
      <c r="BF59" s="310">
        <v>0.2286</v>
      </c>
      <c r="BJ59" s="310" t="s">
        <v>1000</v>
      </c>
      <c r="BL59" s="310" t="s">
        <v>1002</v>
      </c>
      <c r="BM59" s="310" t="s">
        <v>1032</v>
      </c>
      <c r="BO59" s="310">
        <v>116.77</v>
      </c>
      <c r="BQ59" s="310" t="s">
        <v>958</v>
      </c>
      <c r="BR59" s="310" t="s">
        <v>1031</v>
      </c>
      <c r="BV59" s="310" t="s">
        <v>957</v>
      </c>
    </row>
    <row r="60" spans="1:74" ht="12.75" customHeight="1">
      <c r="A60" s="578">
        <v>830851</v>
      </c>
      <c r="B60" s="587" t="s">
        <v>2572</v>
      </c>
      <c r="C60" s="579" t="s">
        <v>2144</v>
      </c>
      <c r="D60" s="579" t="s">
        <v>162</v>
      </c>
      <c r="E60" s="579" t="s">
        <v>1012</v>
      </c>
      <c r="F60" s="579" t="s">
        <v>2144</v>
      </c>
      <c r="G60" s="579" t="s">
        <v>162</v>
      </c>
      <c r="H60" s="579" t="s">
        <v>1012</v>
      </c>
      <c r="I60" s="579" t="s">
        <v>2145</v>
      </c>
      <c r="J60" s="318" t="s">
        <v>2158</v>
      </c>
      <c r="K60" s="83" t="s">
        <v>2179</v>
      </c>
      <c r="L60" s="332">
        <v>13</v>
      </c>
      <c r="M60" s="580"/>
      <c r="N60" s="581"/>
      <c r="O60" s="582"/>
      <c r="P60" s="333">
        <v>300</v>
      </c>
      <c r="Q60" s="334">
        <v>1879</v>
      </c>
      <c r="R60" s="583">
        <v>0.214</v>
      </c>
      <c r="S60" s="83">
        <v>0.15965939329430548</v>
      </c>
      <c r="T60" s="83">
        <v>1168.2242990654206</v>
      </c>
      <c r="U60" s="584" t="s">
        <v>154</v>
      </c>
      <c r="V60" s="584" t="s">
        <v>947</v>
      </c>
      <c r="W60" s="584"/>
      <c r="X60" s="584" t="s">
        <v>1002</v>
      </c>
      <c r="Y60" s="584" t="s">
        <v>1032</v>
      </c>
      <c r="Z60" s="584"/>
      <c r="AA60" s="333">
        <v>466.34</v>
      </c>
      <c r="AB60" s="585">
        <v>1</v>
      </c>
      <c r="AC60" s="579" t="s">
        <v>955</v>
      </c>
      <c r="AD60" s="579" t="s">
        <v>2145</v>
      </c>
      <c r="AE60" s="584"/>
      <c r="AF60" s="584"/>
      <c r="AG60" s="584"/>
      <c r="AH60" s="587" t="s">
        <v>2573</v>
      </c>
      <c r="AI60" s="579"/>
      <c r="AJ60" s="584"/>
      <c r="AK60" s="584"/>
    </row>
    <row r="61" spans="1:74" ht="12.75" customHeight="1">
      <c r="A61" s="56">
        <v>830812</v>
      </c>
      <c r="B61" s="325" t="s">
        <v>2017</v>
      </c>
      <c r="C61" s="325" t="s">
        <v>1123</v>
      </c>
      <c r="D61" s="325" t="s">
        <v>162</v>
      </c>
      <c r="E61" s="325" t="s">
        <v>1126</v>
      </c>
      <c r="F61" s="325" t="s">
        <v>1131</v>
      </c>
      <c r="G61" s="325" t="s">
        <v>162</v>
      </c>
      <c r="H61" s="325" t="s">
        <v>1126</v>
      </c>
      <c r="I61" s="325" t="s">
        <v>1064</v>
      </c>
      <c r="J61" s="318" t="s">
        <v>2158</v>
      </c>
      <c r="K61" s="83" t="s">
        <v>2179</v>
      </c>
      <c r="L61" s="332">
        <v>9</v>
      </c>
      <c r="M61" s="83"/>
      <c r="N61" s="359"/>
      <c r="O61" s="83"/>
      <c r="P61" s="333">
        <v>70</v>
      </c>
      <c r="Q61" s="334">
        <v>1046.95</v>
      </c>
      <c r="R61" s="397">
        <v>0.19600000000000001</v>
      </c>
      <c r="S61" s="83">
        <v>6.6860881608481776E-2</v>
      </c>
      <c r="T61" s="83">
        <v>357.14285714285711</v>
      </c>
      <c r="U61" s="356" t="s">
        <v>154</v>
      </c>
      <c r="V61" s="310" t="s">
        <v>947</v>
      </c>
      <c r="X61" s="83" t="s">
        <v>1002</v>
      </c>
      <c r="Y61" s="310" t="s">
        <v>1032</v>
      </c>
      <c r="AA61" s="333">
        <v>200</v>
      </c>
      <c r="AB61" s="358">
        <v>1</v>
      </c>
      <c r="AC61" s="325" t="s">
        <v>956</v>
      </c>
      <c r="AD61" s="325" t="s">
        <v>1064</v>
      </c>
      <c r="AH61" s="57" t="s">
        <v>2066</v>
      </c>
      <c r="AI61" s="325"/>
    </row>
    <row r="62" spans="1:74" ht="12.75" customHeight="1">
      <c r="A62" s="56">
        <v>830811</v>
      </c>
      <c r="B62" s="325" t="s">
        <v>2018</v>
      </c>
      <c r="C62" s="325" t="s">
        <v>1122</v>
      </c>
      <c r="D62" s="325" t="s">
        <v>162</v>
      </c>
      <c r="E62" s="325" t="s">
        <v>1126</v>
      </c>
      <c r="F62" s="325" t="s">
        <v>1130</v>
      </c>
      <c r="G62" s="325" t="s">
        <v>162</v>
      </c>
      <c r="H62" s="325" t="s">
        <v>1126</v>
      </c>
      <c r="I62" s="325" t="s">
        <v>1064</v>
      </c>
      <c r="J62" s="318" t="s">
        <v>2158</v>
      </c>
      <c r="K62" s="83" t="s">
        <v>2179</v>
      </c>
      <c r="L62" s="332">
        <v>9</v>
      </c>
      <c r="M62" s="83"/>
      <c r="N62" s="359"/>
      <c r="O62" s="83"/>
      <c r="P62" s="333">
        <v>53</v>
      </c>
      <c r="Q62" s="334">
        <v>640.19000000000005</v>
      </c>
      <c r="R62" s="397">
        <v>0.12</v>
      </c>
      <c r="S62" s="83">
        <v>8.2787922335556624E-2</v>
      </c>
      <c r="T62" s="83">
        <v>441.66666666666669</v>
      </c>
      <c r="U62" s="356" t="s">
        <v>154</v>
      </c>
      <c r="V62" s="310" t="s">
        <v>947</v>
      </c>
      <c r="X62" s="83" t="s">
        <v>1002</v>
      </c>
      <c r="Y62" s="310" t="s">
        <v>1032</v>
      </c>
      <c r="AA62" s="333">
        <v>200</v>
      </c>
      <c r="AB62" s="358">
        <v>1</v>
      </c>
      <c r="AC62" s="325" t="s">
        <v>956</v>
      </c>
      <c r="AD62" s="325" t="s">
        <v>1064</v>
      </c>
      <c r="AH62" s="57" t="s">
        <v>1130</v>
      </c>
      <c r="AI62" s="325"/>
    </row>
    <row r="63" spans="1:74" ht="12.75" customHeight="1">
      <c r="A63" s="349">
        <v>830844</v>
      </c>
      <c r="B63" s="501" t="s">
        <v>2280</v>
      </c>
      <c r="C63" s="325" t="s">
        <v>1795</v>
      </c>
      <c r="D63" s="325" t="s">
        <v>162</v>
      </c>
      <c r="E63" s="500" t="s">
        <v>925</v>
      </c>
      <c r="F63" s="325" t="s">
        <v>1795</v>
      </c>
      <c r="G63" s="325" t="s">
        <v>1818</v>
      </c>
      <c r="H63" s="500" t="s">
        <v>162</v>
      </c>
      <c r="I63" s="500" t="s">
        <v>1796</v>
      </c>
      <c r="J63" s="318" t="s">
        <v>2158</v>
      </c>
      <c r="K63" s="83" t="s">
        <v>2179</v>
      </c>
      <c r="L63" s="332">
        <v>12</v>
      </c>
      <c r="M63" s="83"/>
      <c r="N63" s="359"/>
      <c r="O63" s="83"/>
      <c r="P63" s="333">
        <v>15</v>
      </c>
      <c r="Q63" s="334">
        <v>427.34</v>
      </c>
      <c r="R63" s="397">
        <v>4.5999999999999999E-2</v>
      </c>
      <c r="S63" s="83">
        <v>3.5100856460897646E-2</v>
      </c>
      <c r="T63" s="83">
        <v>326.08695652173913</v>
      </c>
      <c r="U63" s="356" t="s">
        <v>154</v>
      </c>
      <c r="V63" s="310" t="s">
        <v>947</v>
      </c>
      <c r="X63" s="83" t="s">
        <v>1002</v>
      </c>
      <c r="Y63" s="310" t="s">
        <v>1032</v>
      </c>
      <c r="AA63" s="333">
        <v>19</v>
      </c>
      <c r="AB63" s="510">
        <v>1</v>
      </c>
      <c r="AC63" s="500" t="s">
        <v>146</v>
      </c>
      <c r="AD63" s="325" t="s">
        <v>1796</v>
      </c>
      <c r="AH63" s="57" t="s">
        <v>1795</v>
      </c>
      <c r="AI63" s="325"/>
    </row>
    <row r="64" spans="1:74" ht="12.75" customHeight="1">
      <c r="A64" s="349">
        <v>830841</v>
      </c>
      <c r="B64" s="501" t="s">
        <v>2281</v>
      </c>
      <c r="C64" s="325" t="s">
        <v>1797</v>
      </c>
      <c r="D64" s="325" t="s">
        <v>162</v>
      </c>
      <c r="E64" s="500" t="s">
        <v>925</v>
      </c>
      <c r="F64" s="325" t="s">
        <v>1797</v>
      </c>
      <c r="G64" s="325" t="s">
        <v>1820</v>
      </c>
      <c r="H64" s="500" t="s">
        <v>162</v>
      </c>
      <c r="I64" s="500" t="s">
        <v>1796</v>
      </c>
      <c r="J64" s="318" t="s">
        <v>2158</v>
      </c>
      <c r="K64" s="83" t="s">
        <v>2179</v>
      </c>
      <c r="L64" s="332">
        <v>12</v>
      </c>
      <c r="M64" s="83"/>
      <c r="N64" s="359"/>
      <c r="O64" s="83"/>
      <c r="P64" s="333">
        <v>175</v>
      </c>
      <c r="Q64" s="334">
        <v>1592.49</v>
      </c>
      <c r="R64" s="397">
        <v>0.17</v>
      </c>
      <c r="S64" s="83">
        <v>0.10989079994222883</v>
      </c>
      <c r="T64" s="83">
        <v>1029.4117647058822</v>
      </c>
      <c r="U64" s="356" t="s">
        <v>154</v>
      </c>
      <c r="V64" s="310" t="s">
        <v>947</v>
      </c>
      <c r="X64" s="83" t="s">
        <v>1002</v>
      </c>
      <c r="Y64" s="310" t="s">
        <v>1032</v>
      </c>
      <c r="AA64" s="333">
        <v>201</v>
      </c>
      <c r="AB64" s="510">
        <v>1</v>
      </c>
      <c r="AC64" s="500" t="s">
        <v>146</v>
      </c>
      <c r="AD64" s="325" t="s">
        <v>1796</v>
      </c>
      <c r="AH64" s="57" t="s">
        <v>1797</v>
      </c>
      <c r="AI64" s="325"/>
    </row>
    <row r="65" spans="1:47" ht="12.75" customHeight="1">
      <c r="A65" s="349">
        <v>830839</v>
      </c>
      <c r="B65" s="501" t="s">
        <v>2282</v>
      </c>
      <c r="C65" s="325" t="s">
        <v>1798</v>
      </c>
      <c r="D65" s="325" t="s">
        <v>162</v>
      </c>
      <c r="E65" s="500" t="s">
        <v>925</v>
      </c>
      <c r="F65" s="325" t="s">
        <v>1798</v>
      </c>
      <c r="G65" s="325" t="s">
        <v>1799</v>
      </c>
      <c r="H65" s="500" t="s">
        <v>162</v>
      </c>
      <c r="I65" s="500" t="s">
        <v>1796</v>
      </c>
      <c r="J65" s="318" t="s">
        <v>2158</v>
      </c>
      <c r="K65" s="83" t="s">
        <v>2179</v>
      </c>
      <c r="L65" s="332">
        <v>12</v>
      </c>
      <c r="M65" s="83"/>
      <c r="N65" s="359"/>
      <c r="O65" s="83"/>
      <c r="P65" s="333">
        <v>50</v>
      </c>
      <c r="Q65" s="334">
        <v>639.19000000000005</v>
      </c>
      <c r="R65" s="397">
        <v>6.8000000000000005E-2</v>
      </c>
      <c r="S65" s="83">
        <v>7.8224002252851255E-2</v>
      </c>
      <c r="T65" s="83">
        <v>735.29411764705878</v>
      </c>
      <c r="U65" s="356" t="s">
        <v>154</v>
      </c>
      <c r="V65" s="310" t="s">
        <v>947</v>
      </c>
      <c r="X65" s="83" t="s">
        <v>1002</v>
      </c>
      <c r="Y65" s="310" t="s">
        <v>1032</v>
      </c>
      <c r="AA65" s="333">
        <v>56</v>
      </c>
      <c r="AB65" s="510">
        <v>1</v>
      </c>
      <c r="AC65" s="500" t="s">
        <v>146</v>
      </c>
      <c r="AD65" s="325" t="s">
        <v>1796</v>
      </c>
      <c r="AH65" s="57" t="s">
        <v>1798</v>
      </c>
      <c r="AI65" s="325"/>
    </row>
    <row r="66" spans="1:47" ht="12.75" customHeight="1">
      <c r="A66" s="349">
        <v>830843</v>
      </c>
      <c r="B66" s="501" t="s">
        <v>2283</v>
      </c>
      <c r="C66" s="325" t="s">
        <v>1800</v>
      </c>
      <c r="D66" s="325" t="s">
        <v>162</v>
      </c>
      <c r="E66" s="500" t="s">
        <v>925</v>
      </c>
      <c r="F66" s="325" t="s">
        <v>1800</v>
      </c>
      <c r="G66" s="325" t="s">
        <v>1801</v>
      </c>
      <c r="H66" s="500" t="s">
        <v>162</v>
      </c>
      <c r="I66" s="500" t="s">
        <v>1796</v>
      </c>
      <c r="J66" s="318" t="s">
        <v>2158</v>
      </c>
      <c r="K66" s="83" t="s">
        <v>2179</v>
      </c>
      <c r="L66" s="332">
        <v>12</v>
      </c>
      <c r="M66" s="83"/>
      <c r="N66" s="359"/>
      <c r="O66" s="83"/>
      <c r="P66" s="333">
        <v>110</v>
      </c>
      <c r="Q66" s="334">
        <v>1062.8800000000001</v>
      </c>
      <c r="R66" s="397">
        <v>0.114</v>
      </c>
      <c r="S66" s="83">
        <v>0.10349239801294595</v>
      </c>
      <c r="T66" s="83">
        <v>964.9122807017543</v>
      </c>
      <c r="U66" s="356" t="s">
        <v>154</v>
      </c>
      <c r="V66" s="310" t="s">
        <v>947</v>
      </c>
      <c r="X66" s="83" t="s">
        <v>1002</v>
      </c>
      <c r="Y66" s="310" t="s">
        <v>1032</v>
      </c>
      <c r="AA66" s="333">
        <v>114</v>
      </c>
      <c r="AB66" s="510">
        <v>1</v>
      </c>
      <c r="AC66" s="500" t="s">
        <v>146</v>
      </c>
      <c r="AD66" s="325" t="s">
        <v>1796</v>
      </c>
      <c r="AH66" s="57" t="s">
        <v>1800</v>
      </c>
      <c r="AI66" s="325"/>
    </row>
    <row r="67" spans="1:47" ht="12.75" customHeight="1">
      <c r="A67" s="349">
        <v>830831</v>
      </c>
      <c r="B67" s="501" t="s">
        <v>2284</v>
      </c>
      <c r="C67" s="500" t="s">
        <v>1802</v>
      </c>
      <c r="D67" s="325" t="s">
        <v>162</v>
      </c>
      <c r="E67" s="500" t="s">
        <v>953</v>
      </c>
      <c r="F67" s="500" t="s">
        <v>1802</v>
      </c>
      <c r="G67" s="500" t="s">
        <v>1818</v>
      </c>
      <c r="H67" s="500" t="s">
        <v>162</v>
      </c>
      <c r="I67" s="500" t="s">
        <v>1803</v>
      </c>
      <c r="J67" s="318" t="s">
        <v>2158</v>
      </c>
      <c r="K67" s="83" t="s">
        <v>2179</v>
      </c>
      <c r="L67" s="332">
        <v>12</v>
      </c>
      <c r="M67" s="502"/>
      <c r="N67" s="509"/>
      <c r="O67" s="503"/>
      <c r="P67" s="333">
        <v>25</v>
      </c>
      <c r="Q67" s="334">
        <v>169.84</v>
      </c>
      <c r="R67" s="504">
        <v>1.7999999999999999E-2</v>
      </c>
      <c r="S67" s="83">
        <v>0.14719736222326896</v>
      </c>
      <c r="T67" s="83">
        <v>1388.8888888888889</v>
      </c>
      <c r="U67" s="356" t="s">
        <v>154</v>
      </c>
      <c r="V67" s="310" t="s">
        <v>947</v>
      </c>
      <c r="W67" s="501"/>
      <c r="X67" s="83" t="s">
        <v>1002</v>
      </c>
      <c r="Y67" s="310" t="s">
        <v>1032</v>
      </c>
      <c r="Z67" s="501"/>
      <c r="AA67" s="333">
        <v>51</v>
      </c>
      <c r="AB67" s="510">
        <v>1</v>
      </c>
      <c r="AC67" s="500" t="s">
        <v>146</v>
      </c>
      <c r="AD67" s="500" t="s">
        <v>1803</v>
      </c>
      <c r="AE67" s="501"/>
      <c r="AF67" s="501"/>
      <c r="AG67" s="501"/>
      <c r="AH67" s="500" t="s">
        <v>1802</v>
      </c>
      <c r="AI67" s="500"/>
      <c r="AJ67" s="501"/>
      <c r="AK67" s="501"/>
    </row>
    <row r="68" spans="1:47" ht="12.75" customHeight="1">
      <c r="A68" s="349">
        <v>830840</v>
      </c>
      <c r="B68" s="501" t="s">
        <v>2285</v>
      </c>
      <c r="C68" s="325" t="s">
        <v>1804</v>
      </c>
      <c r="D68" s="325" t="s">
        <v>162</v>
      </c>
      <c r="E68" s="500" t="s">
        <v>953</v>
      </c>
      <c r="F68" s="325" t="s">
        <v>1804</v>
      </c>
      <c r="G68" s="325" t="s">
        <v>1819</v>
      </c>
      <c r="H68" s="500" t="s">
        <v>162</v>
      </c>
      <c r="I68" s="500" t="s">
        <v>1803</v>
      </c>
      <c r="J68" s="318" t="s">
        <v>2158</v>
      </c>
      <c r="K68" s="83" t="s">
        <v>2179</v>
      </c>
      <c r="L68" s="332">
        <v>12</v>
      </c>
      <c r="M68" s="83"/>
      <c r="N68" s="359"/>
      <c r="O68" s="83"/>
      <c r="P68" s="333">
        <v>70</v>
      </c>
      <c r="Q68" s="334">
        <v>601.20000000000005</v>
      </c>
      <c r="R68" s="397">
        <v>6.4000000000000001E-2</v>
      </c>
      <c r="S68" s="83">
        <v>0.1164337990685296</v>
      </c>
      <c r="T68" s="83">
        <v>1093.75</v>
      </c>
      <c r="U68" s="356" t="s">
        <v>154</v>
      </c>
      <c r="V68" s="310" t="s">
        <v>947</v>
      </c>
      <c r="X68" s="83" t="s">
        <v>1002</v>
      </c>
      <c r="Y68" s="310" t="s">
        <v>1032</v>
      </c>
      <c r="AA68" s="333">
        <v>420</v>
      </c>
      <c r="AB68" s="510">
        <v>1</v>
      </c>
      <c r="AC68" s="500" t="s">
        <v>146</v>
      </c>
      <c r="AD68" s="325" t="s">
        <v>1803</v>
      </c>
      <c r="AH68" s="57" t="s">
        <v>1804</v>
      </c>
      <c r="AI68" s="325"/>
      <c r="AT68" s="310" t="s">
        <v>2044</v>
      </c>
      <c r="AU68" s="310" t="e">
        <f>_xlfn.CONCAT(PMEHVAC[[#This Row],[Measure '#]],"-HVAC-",AT68)</f>
        <v>#VALUE!</v>
      </c>
    </row>
    <row r="69" spans="1:47" ht="12.75" customHeight="1">
      <c r="A69" s="349">
        <v>830833</v>
      </c>
      <c r="B69" s="501" t="s">
        <v>2286</v>
      </c>
      <c r="C69" s="500" t="s">
        <v>1805</v>
      </c>
      <c r="D69" s="325" t="s">
        <v>162</v>
      </c>
      <c r="E69" s="500" t="s">
        <v>953</v>
      </c>
      <c r="F69" s="500" t="s">
        <v>1805</v>
      </c>
      <c r="G69" s="500" t="s">
        <v>1799</v>
      </c>
      <c r="H69" s="500" t="s">
        <v>162</v>
      </c>
      <c r="I69" s="500" t="s">
        <v>1803</v>
      </c>
      <c r="J69" s="318" t="s">
        <v>2158</v>
      </c>
      <c r="K69" s="83" t="s">
        <v>2179</v>
      </c>
      <c r="L69" s="332">
        <v>12</v>
      </c>
      <c r="M69" s="502"/>
      <c r="N69" s="509"/>
      <c r="O69" s="503"/>
      <c r="P69" s="333">
        <v>41</v>
      </c>
      <c r="Q69" s="334">
        <v>270.29000000000002</v>
      </c>
      <c r="R69" s="504">
        <v>2.9000000000000001E-2</v>
      </c>
      <c r="S69" s="83">
        <v>0.15168892670835027</v>
      </c>
      <c r="T69" s="83">
        <v>1413.7931034482758</v>
      </c>
      <c r="U69" s="356" t="s">
        <v>154</v>
      </c>
      <c r="V69" s="310" t="s">
        <v>947</v>
      </c>
      <c r="W69" s="501"/>
      <c r="X69" s="83" t="s">
        <v>1002</v>
      </c>
      <c r="Y69" s="310" t="s">
        <v>1032</v>
      </c>
      <c r="Z69" s="501"/>
      <c r="AA69" s="333">
        <v>125</v>
      </c>
      <c r="AB69" s="510">
        <v>1</v>
      </c>
      <c r="AC69" s="500" t="s">
        <v>146</v>
      </c>
      <c r="AD69" s="500" t="s">
        <v>1803</v>
      </c>
      <c r="AE69" s="501"/>
      <c r="AF69" s="501"/>
      <c r="AG69" s="501"/>
      <c r="AH69" s="500" t="s">
        <v>1805</v>
      </c>
      <c r="AI69" s="500"/>
      <c r="AJ69" s="501"/>
      <c r="AK69" s="501"/>
      <c r="AT69" s="554" t="s">
        <v>2021</v>
      </c>
      <c r="AU69" s="310" t="e">
        <f>_xlfn.CONCAT(PMEHVAC[[#This Row],[Measure '#]],"-HVAC-",AT69)</f>
        <v>#VALUE!</v>
      </c>
    </row>
    <row r="70" spans="1:47" ht="12.75" customHeight="1">
      <c r="A70" s="349">
        <v>830836</v>
      </c>
      <c r="B70" s="501" t="s">
        <v>2287</v>
      </c>
      <c r="C70" s="500" t="s">
        <v>1806</v>
      </c>
      <c r="D70" s="325" t="s">
        <v>162</v>
      </c>
      <c r="E70" s="500" t="s">
        <v>953</v>
      </c>
      <c r="F70" s="500" t="s">
        <v>1806</v>
      </c>
      <c r="G70" s="500" t="s">
        <v>1801</v>
      </c>
      <c r="H70" s="500" t="s">
        <v>162</v>
      </c>
      <c r="I70" s="500" t="s">
        <v>1803</v>
      </c>
      <c r="J70" s="318" t="s">
        <v>2158</v>
      </c>
      <c r="K70" s="83" t="s">
        <v>2179</v>
      </c>
      <c r="L70" s="332">
        <v>12</v>
      </c>
      <c r="M70" s="502"/>
      <c r="N70" s="509"/>
      <c r="O70" s="503"/>
      <c r="P70" s="333">
        <v>65</v>
      </c>
      <c r="Q70" s="334">
        <v>540.57000000000005</v>
      </c>
      <c r="R70" s="504">
        <v>5.8000000000000003E-2</v>
      </c>
      <c r="S70" s="83">
        <v>0.12024344673215309</v>
      </c>
      <c r="T70" s="83">
        <v>1120.6896551724137</v>
      </c>
      <c r="U70" s="356" t="s">
        <v>154</v>
      </c>
      <c r="V70" s="310" t="s">
        <v>947</v>
      </c>
      <c r="W70" s="501"/>
      <c r="X70" s="83" t="s">
        <v>1002</v>
      </c>
      <c r="Y70" s="310" t="s">
        <v>1032</v>
      </c>
      <c r="Z70" s="501"/>
      <c r="AA70" s="333">
        <v>252</v>
      </c>
      <c r="AB70" s="510">
        <v>1</v>
      </c>
      <c r="AC70" s="500" t="s">
        <v>146</v>
      </c>
      <c r="AD70" s="500" t="s">
        <v>1803</v>
      </c>
      <c r="AE70" s="501"/>
      <c r="AF70" s="501"/>
      <c r="AG70" s="501"/>
      <c r="AH70" s="500" t="s">
        <v>1806</v>
      </c>
      <c r="AI70" s="500"/>
      <c r="AJ70" s="501"/>
      <c r="AK70" s="501"/>
      <c r="AT70" s="310" t="s">
        <v>2022</v>
      </c>
      <c r="AU70" s="310" t="e">
        <f>_xlfn.CONCAT(PMEHVAC[[#This Row],[Measure '#]],"-HVAC-",AT70)</f>
        <v>#VALUE!</v>
      </c>
    </row>
    <row r="71" spans="1:47" ht="12.75" customHeight="1">
      <c r="A71" s="349">
        <v>830830</v>
      </c>
      <c r="B71" s="501" t="s">
        <v>2288</v>
      </c>
      <c r="C71" s="500" t="s">
        <v>1807</v>
      </c>
      <c r="D71" s="325" t="s">
        <v>162</v>
      </c>
      <c r="E71" s="500" t="s">
        <v>925</v>
      </c>
      <c r="F71" s="500" t="s">
        <v>1807</v>
      </c>
      <c r="G71" s="500" t="s">
        <v>1818</v>
      </c>
      <c r="H71" s="500" t="s">
        <v>162</v>
      </c>
      <c r="I71" s="500" t="s">
        <v>1796</v>
      </c>
      <c r="J71" s="318" t="s">
        <v>2158</v>
      </c>
      <c r="K71" s="83" t="s">
        <v>2179</v>
      </c>
      <c r="L71" s="332">
        <v>12</v>
      </c>
      <c r="M71" s="502"/>
      <c r="N71" s="509"/>
      <c r="O71" s="503"/>
      <c r="P71" s="333">
        <v>25</v>
      </c>
      <c r="Q71" s="334">
        <v>211.85</v>
      </c>
      <c r="R71" s="504">
        <v>2.3E-2</v>
      </c>
      <c r="S71" s="83">
        <v>0.11800802454566911</v>
      </c>
      <c r="T71" s="83">
        <v>1086.9565217391305</v>
      </c>
      <c r="U71" s="356" t="s">
        <v>154</v>
      </c>
      <c r="V71" s="310" t="s">
        <v>947</v>
      </c>
      <c r="W71" s="501"/>
      <c r="X71" s="83" t="s">
        <v>1002</v>
      </c>
      <c r="Y71" s="310" t="s">
        <v>1032</v>
      </c>
      <c r="Z71" s="501"/>
      <c r="AA71" s="333">
        <v>27</v>
      </c>
      <c r="AB71" s="510">
        <v>1</v>
      </c>
      <c r="AC71" s="500" t="s">
        <v>146</v>
      </c>
      <c r="AD71" s="500" t="s">
        <v>1796</v>
      </c>
      <c r="AE71" s="501"/>
      <c r="AF71" s="501"/>
      <c r="AG71" s="501"/>
      <c r="AH71" s="500" t="s">
        <v>1807</v>
      </c>
      <c r="AI71" s="500"/>
      <c r="AJ71" s="501"/>
      <c r="AK71" s="501"/>
      <c r="AL71" s="315"/>
      <c r="AT71" s="310" t="s">
        <v>2023</v>
      </c>
      <c r="AU71" s="310" t="e">
        <f>_xlfn.CONCAT(PMEHVAC[[#This Row],[Measure '#]],"-HVAC-",AT71)</f>
        <v>#VALUE!</v>
      </c>
    </row>
    <row r="72" spans="1:47" ht="12.75" customHeight="1">
      <c r="A72" s="349">
        <v>830832</v>
      </c>
      <c r="B72" s="501" t="s">
        <v>2289</v>
      </c>
      <c r="C72" s="500" t="s">
        <v>1808</v>
      </c>
      <c r="D72" s="325" t="s">
        <v>162</v>
      </c>
      <c r="E72" s="500" t="s">
        <v>925</v>
      </c>
      <c r="F72" s="500" t="s">
        <v>1808</v>
      </c>
      <c r="G72" s="500" t="s">
        <v>1819</v>
      </c>
      <c r="H72" s="500" t="s">
        <v>162</v>
      </c>
      <c r="I72" s="500" t="s">
        <v>1796</v>
      </c>
      <c r="J72" s="318" t="s">
        <v>2158</v>
      </c>
      <c r="K72" s="83" t="s">
        <v>2179</v>
      </c>
      <c r="L72" s="332">
        <v>12</v>
      </c>
      <c r="M72" s="502"/>
      <c r="N72" s="509"/>
      <c r="O72" s="503"/>
      <c r="P72" s="333">
        <v>82.5</v>
      </c>
      <c r="Q72" s="334">
        <v>942.34</v>
      </c>
      <c r="R72" s="504">
        <v>0.10100000000000001</v>
      </c>
      <c r="S72" s="83">
        <v>8.7548018761805721E-2</v>
      </c>
      <c r="T72" s="83">
        <v>816.83168316831677</v>
      </c>
      <c r="U72" s="356" t="s">
        <v>154</v>
      </c>
      <c r="V72" s="310" t="s">
        <v>947</v>
      </c>
      <c r="W72" s="501"/>
      <c r="X72" s="83" t="s">
        <v>1002</v>
      </c>
      <c r="Y72" s="310" t="s">
        <v>1032</v>
      </c>
      <c r="Z72" s="501"/>
      <c r="AA72" s="333">
        <v>196</v>
      </c>
      <c r="AB72" s="510">
        <v>1</v>
      </c>
      <c r="AC72" s="500" t="s">
        <v>146</v>
      </c>
      <c r="AD72" s="500" t="s">
        <v>1796</v>
      </c>
      <c r="AE72" s="501"/>
      <c r="AF72" s="501"/>
      <c r="AG72" s="501"/>
      <c r="AH72" s="500" t="s">
        <v>1808</v>
      </c>
      <c r="AI72" s="500"/>
      <c r="AJ72" s="501"/>
      <c r="AK72" s="501"/>
      <c r="AT72" s="310" t="s">
        <v>2045</v>
      </c>
      <c r="AU72" s="310" t="e">
        <f>_xlfn.CONCAT(PMEHVAC[[#This Row],[Measure '#]],"-HVAC-",AT72)</f>
        <v>#VALUE!</v>
      </c>
    </row>
    <row r="73" spans="1:47" ht="12.75" customHeight="1">
      <c r="A73" s="349">
        <v>830842</v>
      </c>
      <c r="B73" s="501" t="s">
        <v>2290</v>
      </c>
      <c r="C73" s="325" t="s">
        <v>1809</v>
      </c>
      <c r="D73" s="325" t="s">
        <v>162</v>
      </c>
      <c r="E73" s="500" t="s">
        <v>925</v>
      </c>
      <c r="F73" s="325" t="s">
        <v>1809</v>
      </c>
      <c r="G73" s="325" t="s">
        <v>1799</v>
      </c>
      <c r="H73" s="500" t="s">
        <v>162</v>
      </c>
      <c r="I73" s="500" t="s">
        <v>1796</v>
      </c>
      <c r="J73" s="318" t="s">
        <v>2158</v>
      </c>
      <c r="K73" s="83" t="s">
        <v>2179</v>
      </c>
      <c r="L73" s="332">
        <v>12</v>
      </c>
      <c r="M73" s="83"/>
      <c r="N73" s="359"/>
      <c r="O73" s="83"/>
      <c r="P73" s="333">
        <v>45</v>
      </c>
      <c r="Q73" s="334">
        <v>413.46</v>
      </c>
      <c r="R73" s="397">
        <v>4.3999999999999997E-2</v>
      </c>
      <c r="S73" s="83">
        <v>0.108837614279495</v>
      </c>
      <c r="T73" s="83">
        <v>1022.7272727272727</v>
      </c>
      <c r="U73" s="356" t="s">
        <v>154</v>
      </c>
      <c r="V73" s="310" t="s">
        <v>947</v>
      </c>
      <c r="X73" s="83" t="s">
        <v>1002</v>
      </c>
      <c r="Y73" s="310" t="s">
        <v>1032</v>
      </c>
      <c r="AA73" s="333">
        <v>57</v>
      </c>
      <c r="AB73" s="510">
        <v>1</v>
      </c>
      <c r="AC73" s="500" t="s">
        <v>146</v>
      </c>
      <c r="AD73" s="325" t="s">
        <v>1796</v>
      </c>
      <c r="AH73" s="325" t="s">
        <v>1809</v>
      </c>
      <c r="AI73" s="325"/>
      <c r="AT73" s="310" t="s">
        <v>2024</v>
      </c>
      <c r="AU73" s="310" t="e">
        <f>_xlfn.CONCAT(PMEHVAC[[#This Row],[Measure '#]],"-HVAC-",AT73)</f>
        <v>#VALUE!</v>
      </c>
    </row>
    <row r="74" spans="1:47" ht="12.75" customHeight="1">
      <c r="A74" s="349">
        <v>830845</v>
      </c>
      <c r="B74" s="501" t="s">
        <v>2291</v>
      </c>
      <c r="C74" s="325" t="s">
        <v>1810</v>
      </c>
      <c r="D74" s="325" t="s">
        <v>162</v>
      </c>
      <c r="E74" s="500" t="s">
        <v>925</v>
      </c>
      <c r="F74" s="325" t="s">
        <v>1810</v>
      </c>
      <c r="G74" s="325" t="s">
        <v>1801</v>
      </c>
      <c r="H74" s="500" t="s">
        <v>162</v>
      </c>
      <c r="I74" s="500" t="s">
        <v>1796</v>
      </c>
      <c r="J74" s="318" t="s">
        <v>2158</v>
      </c>
      <c r="K74" s="83" t="s">
        <v>2179</v>
      </c>
      <c r="L74" s="332">
        <v>12</v>
      </c>
      <c r="M74" s="83"/>
      <c r="N74" s="359"/>
      <c r="O74" s="83"/>
      <c r="P74" s="333">
        <v>58</v>
      </c>
      <c r="Q74" s="334">
        <v>640.65</v>
      </c>
      <c r="R74" s="397">
        <v>6.8000000000000005E-2</v>
      </c>
      <c r="S74" s="83">
        <v>9.0533052368688055E-2</v>
      </c>
      <c r="T74" s="83">
        <v>852.94117647058818</v>
      </c>
      <c r="U74" s="356" t="s">
        <v>154</v>
      </c>
      <c r="V74" s="310" t="s">
        <v>947</v>
      </c>
      <c r="X74" s="83" t="s">
        <v>1002</v>
      </c>
      <c r="Y74" s="310" t="s">
        <v>1032</v>
      </c>
      <c r="AA74" s="333">
        <v>119</v>
      </c>
      <c r="AB74" s="510">
        <v>1</v>
      </c>
      <c r="AC74" s="500" t="s">
        <v>146</v>
      </c>
      <c r="AD74" s="325" t="s">
        <v>1796</v>
      </c>
      <c r="AH74" s="325" t="s">
        <v>1810</v>
      </c>
      <c r="AI74" s="325"/>
      <c r="AT74" s="310" t="s">
        <v>2025</v>
      </c>
      <c r="AU74" s="310" t="e">
        <f>_xlfn.CONCAT(PMEHVAC[[#This Row],[Measure '#]],"-HVAC-",AT74)</f>
        <v>#VALUE!</v>
      </c>
    </row>
    <row r="75" spans="1:47" ht="12.75" customHeight="1">
      <c r="A75" s="349">
        <v>830835</v>
      </c>
      <c r="B75" s="501" t="s">
        <v>2292</v>
      </c>
      <c r="C75" s="500" t="s">
        <v>1811</v>
      </c>
      <c r="D75" s="325" t="s">
        <v>162</v>
      </c>
      <c r="E75" s="500" t="s">
        <v>953</v>
      </c>
      <c r="F75" s="500" t="s">
        <v>1811</v>
      </c>
      <c r="G75" s="500" t="s">
        <v>1818</v>
      </c>
      <c r="H75" s="500" t="s">
        <v>162</v>
      </c>
      <c r="I75" s="500" t="s">
        <v>1803</v>
      </c>
      <c r="J75" s="318" t="s">
        <v>2158</v>
      </c>
      <c r="K75" s="83" t="s">
        <v>2179</v>
      </c>
      <c r="L75" s="332">
        <v>12</v>
      </c>
      <c r="M75" s="502"/>
      <c r="N75" s="509"/>
      <c r="O75" s="503"/>
      <c r="P75" s="333">
        <v>29</v>
      </c>
      <c r="Q75" s="334">
        <v>289.64</v>
      </c>
      <c r="R75" s="504">
        <v>3.1E-2</v>
      </c>
      <c r="S75" s="83">
        <v>0.10012429222483082</v>
      </c>
      <c r="T75" s="83">
        <v>935.48387096774195</v>
      </c>
      <c r="U75" s="356" t="s">
        <v>154</v>
      </c>
      <c r="V75" s="310" t="s">
        <v>947</v>
      </c>
      <c r="W75" s="501"/>
      <c r="X75" s="83" t="s">
        <v>1002</v>
      </c>
      <c r="Y75" s="310" t="s">
        <v>1032</v>
      </c>
      <c r="Z75" s="501"/>
      <c r="AA75" s="333">
        <v>53</v>
      </c>
      <c r="AB75" s="510">
        <v>1</v>
      </c>
      <c r="AC75" s="500" t="s">
        <v>146</v>
      </c>
      <c r="AD75" s="500" t="s">
        <v>1803</v>
      </c>
      <c r="AE75" s="501"/>
      <c r="AF75" s="501"/>
      <c r="AG75" s="501"/>
      <c r="AH75" s="500" t="s">
        <v>1811</v>
      </c>
      <c r="AI75" s="500"/>
      <c r="AJ75" s="501"/>
      <c r="AK75" s="501"/>
      <c r="AT75" s="310" t="s">
        <v>2026</v>
      </c>
      <c r="AU75" s="310" t="e">
        <f>_xlfn.CONCAT(PMEHVAC[[#This Row],[Measure '#]],"-HVAC-",AT75)</f>
        <v>#VALUE!</v>
      </c>
    </row>
    <row r="76" spans="1:47">
      <c r="A76" s="349">
        <v>830837</v>
      </c>
      <c r="B76" s="501" t="s">
        <v>2293</v>
      </c>
      <c r="C76" s="500" t="s">
        <v>1812</v>
      </c>
      <c r="D76" s="325" t="s">
        <v>162</v>
      </c>
      <c r="E76" s="500" t="s">
        <v>953</v>
      </c>
      <c r="F76" s="500" t="s">
        <v>1812</v>
      </c>
      <c r="G76" s="500" t="s">
        <v>1820</v>
      </c>
      <c r="H76" s="500" t="s">
        <v>162</v>
      </c>
      <c r="I76" s="500" t="s">
        <v>1803</v>
      </c>
      <c r="J76" s="318" t="s">
        <v>2158</v>
      </c>
      <c r="K76" s="83" t="s">
        <v>2179</v>
      </c>
      <c r="L76" s="332">
        <v>12</v>
      </c>
      <c r="M76" s="502"/>
      <c r="N76" s="509"/>
      <c r="O76" s="503"/>
      <c r="P76" s="333">
        <v>46.5</v>
      </c>
      <c r="Q76" s="334">
        <v>460.18</v>
      </c>
      <c r="R76" s="504">
        <v>4.9000000000000002E-2</v>
      </c>
      <c r="S76" s="83">
        <v>0.10104741622843236</v>
      </c>
      <c r="T76" s="83">
        <v>948.9795918367347</v>
      </c>
      <c r="U76" s="356" t="s">
        <v>154</v>
      </c>
      <c r="V76" s="310" t="s">
        <v>947</v>
      </c>
      <c r="W76" s="501"/>
      <c r="X76" s="83" t="s">
        <v>1002</v>
      </c>
      <c r="Y76" s="310" t="s">
        <v>1032</v>
      </c>
      <c r="Z76" s="501"/>
      <c r="AA76" s="333">
        <v>401</v>
      </c>
      <c r="AB76" s="510">
        <v>1</v>
      </c>
      <c r="AC76" s="500" t="s">
        <v>146</v>
      </c>
      <c r="AD76" s="500" t="s">
        <v>1803</v>
      </c>
      <c r="AE76" s="501"/>
      <c r="AF76" s="501"/>
      <c r="AG76" s="501"/>
      <c r="AH76" s="500" t="s">
        <v>1812</v>
      </c>
      <c r="AI76" s="500"/>
      <c r="AJ76" s="501"/>
      <c r="AK76" s="501"/>
      <c r="AT76" s="310" t="s">
        <v>2027</v>
      </c>
      <c r="AU76" s="310" t="e">
        <f>_xlfn.CONCAT(PMEHVAC[[#This Row],[Measure '#]],"-HVAC-",AT76)</f>
        <v>#VALUE!</v>
      </c>
    </row>
    <row r="77" spans="1:47">
      <c r="A77" s="349">
        <v>830838</v>
      </c>
      <c r="B77" s="501" t="s">
        <v>2294</v>
      </c>
      <c r="C77" s="500" t="s">
        <v>1813</v>
      </c>
      <c r="D77" s="325" t="s">
        <v>162</v>
      </c>
      <c r="E77" s="500" t="s">
        <v>953</v>
      </c>
      <c r="F77" s="500" t="s">
        <v>1813</v>
      </c>
      <c r="G77" s="500" t="s">
        <v>1799</v>
      </c>
      <c r="H77" s="500" t="s">
        <v>162</v>
      </c>
      <c r="I77" s="500" t="s">
        <v>1803</v>
      </c>
      <c r="J77" s="318" t="s">
        <v>2158</v>
      </c>
      <c r="K77" s="83" t="s">
        <v>2179</v>
      </c>
      <c r="L77" s="332">
        <v>12</v>
      </c>
      <c r="M77" s="502"/>
      <c r="N77" s="509"/>
      <c r="O77" s="503"/>
      <c r="P77" s="333">
        <v>31</v>
      </c>
      <c r="Q77" s="334">
        <v>332.38</v>
      </c>
      <c r="R77" s="504">
        <v>3.5999999999999997E-2</v>
      </c>
      <c r="S77" s="83">
        <v>9.3266742884650103E-2</v>
      </c>
      <c r="T77" s="83">
        <v>861.1111111111112</v>
      </c>
      <c r="U77" s="356" t="s">
        <v>154</v>
      </c>
      <c r="V77" s="310" t="s">
        <v>947</v>
      </c>
      <c r="W77" s="501"/>
      <c r="X77" s="83" t="s">
        <v>1002</v>
      </c>
      <c r="Y77" s="310" t="s">
        <v>1032</v>
      </c>
      <c r="Z77" s="501"/>
      <c r="AA77" s="333">
        <v>121</v>
      </c>
      <c r="AB77" s="510">
        <v>1</v>
      </c>
      <c r="AC77" s="500" t="s">
        <v>146</v>
      </c>
      <c r="AD77" s="500" t="s">
        <v>1803</v>
      </c>
      <c r="AE77" s="501"/>
      <c r="AF77" s="501"/>
      <c r="AG77" s="501"/>
      <c r="AH77" s="500" t="s">
        <v>1813</v>
      </c>
      <c r="AI77" s="500"/>
      <c r="AJ77" s="501"/>
      <c r="AK77" s="501"/>
      <c r="AT77" s="310" t="s">
        <v>2028</v>
      </c>
      <c r="AU77" s="310" t="e">
        <f>_xlfn.CONCAT(PMEHVAC[[#This Row],[Measure '#]],"-HVAC-",AT77)</f>
        <v>#VALUE!</v>
      </c>
    </row>
    <row r="78" spans="1:47">
      <c r="A78" s="349">
        <v>830834</v>
      </c>
      <c r="B78" s="501" t="s">
        <v>2295</v>
      </c>
      <c r="C78" s="500" t="s">
        <v>1814</v>
      </c>
      <c r="D78" s="325" t="s">
        <v>162</v>
      </c>
      <c r="E78" s="500" t="s">
        <v>953</v>
      </c>
      <c r="F78" s="500" t="s">
        <v>1814</v>
      </c>
      <c r="G78" s="500" t="s">
        <v>1801</v>
      </c>
      <c r="H78" s="500" t="s">
        <v>162</v>
      </c>
      <c r="I78" s="500" t="s">
        <v>1803</v>
      </c>
      <c r="J78" s="318" t="s">
        <v>2158</v>
      </c>
      <c r="K78" s="83" t="s">
        <v>2179</v>
      </c>
      <c r="L78" s="332">
        <v>12</v>
      </c>
      <c r="M78" s="502"/>
      <c r="N78" s="509"/>
      <c r="O78" s="503"/>
      <c r="P78" s="333">
        <v>33</v>
      </c>
      <c r="Q78" s="334">
        <v>421.86</v>
      </c>
      <c r="R78" s="504">
        <v>4.4999999999999998E-2</v>
      </c>
      <c r="S78" s="83">
        <v>7.8225003555681974E-2</v>
      </c>
      <c r="T78" s="83">
        <v>733.33333333333337</v>
      </c>
      <c r="U78" s="356" t="s">
        <v>154</v>
      </c>
      <c r="V78" s="310" t="s">
        <v>947</v>
      </c>
      <c r="W78" s="501"/>
      <c r="X78" s="83" t="s">
        <v>1002</v>
      </c>
      <c r="Y78" s="310" t="s">
        <v>1032</v>
      </c>
      <c r="Z78" s="501"/>
      <c r="AA78" s="333">
        <v>247</v>
      </c>
      <c r="AB78" s="510">
        <v>1</v>
      </c>
      <c r="AC78" s="500" t="s">
        <v>146</v>
      </c>
      <c r="AD78" s="500" t="s">
        <v>1803</v>
      </c>
      <c r="AE78" s="501"/>
      <c r="AF78" s="501"/>
      <c r="AG78" s="501"/>
      <c r="AH78" s="500" t="s">
        <v>1814</v>
      </c>
      <c r="AI78" s="500"/>
      <c r="AJ78" s="501"/>
      <c r="AK78" s="501"/>
      <c r="AT78" s="310" t="s">
        <v>2039</v>
      </c>
      <c r="AU78" s="310" t="e">
        <f>_xlfn.CONCAT(PMEHVAC[[#This Row],[Measure '#]],"-HVAC-",AT78)</f>
        <v>#VALUE!</v>
      </c>
    </row>
    <row r="79" spans="1:47">
      <c r="A79" s="555">
        <v>830855</v>
      </c>
      <c r="B79" s="469" t="s">
        <v>2296</v>
      </c>
      <c r="C79" s="83" t="s">
        <v>2184</v>
      </c>
      <c r="D79" s="331" t="s">
        <v>162</v>
      </c>
      <c r="E79" s="83" t="s">
        <v>162</v>
      </c>
      <c r="F79" s="83" t="s">
        <v>2184</v>
      </c>
      <c r="G79" s="469" t="s">
        <v>162</v>
      </c>
      <c r="H79" s="83" t="s">
        <v>162</v>
      </c>
      <c r="I79" s="83" t="s">
        <v>2297</v>
      </c>
      <c r="J79" s="318" t="s">
        <v>2158</v>
      </c>
      <c r="K79" s="83" t="s">
        <v>2179</v>
      </c>
      <c r="L79" s="332">
        <v>13</v>
      </c>
      <c r="M79" s="83"/>
      <c r="N79" s="359"/>
      <c r="O79" s="83"/>
      <c r="P79" s="333">
        <v>90</v>
      </c>
      <c r="Q79" s="334">
        <v>293</v>
      </c>
      <c r="R79" s="397">
        <v>3.3000000000000002E-2</v>
      </c>
      <c r="S79" s="83">
        <v>0.30716723549488056</v>
      </c>
      <c r="T79" s="83">
        <v>2727.272727272727</v>
      </c>
      <c r="U79" s="356" t="s">
        <v>154</v>
      </c>
      <c r="V79" s="310" t="s">
        <v>947</v>
      </c>
      <c r="X79" s="83" t="s">
        <v>1002</v>
      </c>
      <c r="Y79" s="310" t="s">
        <v>1032</v>
      </c>
      <c r="AA79" s="333">
        <v>161.75</v>
      </c>
      <c r="AB79" s="358">
        <v>1</v>
      </c>
      <c r="AC79" s="83" t="s">
        <v>2298</v>
      </c>
      <c r="AD79" s="83" t="s">
        <v>2297</v>
      </c>
      <c r="AH79" s="83" t="s">
        <v>2184</v>
      </c>
      <c r="AI79" s="325"/>
      <c r="AT79" s="310" t="s">
        <v>2029</v>
      </c>
      <c r="AU79" s="310" t="e">
        <f>_xlfn.CONCAT(PMEHVAC[[#This Row],[Measure '#]],"-HVAC-",AT79)</f>
        <v>#VALUE!</v>
      </c>
    </row>
    <row r="80" spans="1:47">
      <c r="A80" s="555">
        <v>831301</v>
      </c>
      <c r="B80" s="331" t="s">
        <v>1117</v>
      </c>
      <c r="C80" s="325" t="s">
        <v>1119</v>
      </c>
      <c r="D80" s="331" t="s">
        <v>162</v>
      </c>
      <c r="E80" s="325" t="s">
        <v>953</v>
      </c>
      <c r="F80" s="325" t="s">
        <v>1127</v>
      </c>
      <c r="G80" s="331" t="s">
        <v>162</v>
      </c>
      <c r="H80" s="325" t="s">
        <v>953</v>
      </c>
      <c r="I80" s="325" t="s">
        <v>1074</v>
      </c>
      <c r="J80" s="318" t="s">
        <v>2158</v>
      </c>
      <c r="K80" s="83" t="s">
        <v>2179</v>
      </c>
      <c r="L80" s="332">
        <v>9</v>
      </c>
      <c r="M80" s="83"/>
      <c r="N80" s="359"/>
      <c r="O80" s="83"/>
      <c r="P80" s="333">
        <v>10</v>
      </c>
      <c r="Q80" s="334">
        <v>511.74</v>
      </c>
      <c r="R80" s="397">
        <v>8.7999999999999995E-2</v>
      </c>
      <c r="S80" s="83">
        <v>1.9541173252042052E-2</v>
      </c>
      <c r="T80" s="83">
        <v>113.63636363636364</v>
      </c>
      <c r="U80" s="356" t="s">
        <v>154</v>
      </c>
      <c r="V80" s="310" t="s">
        <v>947</v>
      </c>
      <c r="X80" s="83" t="s">
        <v>1002</v>
      </c>
      <c r="Y80" s="310" t="s">
        <v>1032</v>
      </c>
      <c r="AA80" s="333">
        <v>44</v>
      </c>
      <c r="AB80" s="358">
        <v>1</v>
      </c>
      <c r="AC80" s="325" t="s">
        <v>954</v>
      </c>
      <c r="AD80" s="325" t="s">
        <v>1074</v>
      </c>
      <c r="AH80" s="57" t="s">
        <v>1127</v>
      </c>
      <c r="AI80" s="325"/>
      <c r="AT80" s="310" t="s">
        <v>2030</v>
      </c>
      <c r="AU80" s="310" t="e">
        <f>_xlfn.CONCAT(PMEHVAC[[#This Row],[Measure '#]],"-HVAC-",AT80)</f>
        <v>#VALUE!</v>
      </c>
    </row>
    <row r="81" spans="1:40">
      <c r="A81" s="555">
        <v>831303</v>
      </c>
      <c r="B81" s="331" t="s">
        <v>2138</v>
      </c>
      <c r="C81" s="325" t="s">
        <v>1120</v>
      </c>
      <c r="D81" s="331" t="s">
        <v>162</v>
      </c>
      <c r="E81" s="325" t="s">
        <v>953</v>
      </c>
      <c r="F81" s="325" t="s">
        <v>1128</v>
      </c>
      <c r="G81" s="331" t="s">
        <v>162</v>
      </c>
      <c r="H81" s="325" t="s">
        <v>953</v>
      </c>
      <c r="I81" s="325" t="s">
        <v>1074</v>
      </c>
      <c r="J81" s="318" t="s">
        <v>2158</v>
      </c>
      <c r="K81" s="83" t="s">
        <v>2179</v>
      </c>
      <c r="L81" s="332">
        <v>9</v>
      </c>
      <c r="M81" s="83"/>
      <c r="N81" s="359"/>
      <c r="O81" s="83"/>
      <c r="P81" s="333">
        <v>8</v>
      </c>
      <c r="Q81" s="334">
        <v>335.31</v>
      </c>
      <c r="R81" s="397">
        <v>5.8000000000000003E-2</v>
      </c>
      <c r="S81" s="83">
        <v>2.3858518982434164E-2</v>
      </c>
      <c r="T81" s="83">
        <v>137.93103448275861</v>
      </c>
      <c r="U81" s="356" t="s">
        <v>154</v>
      </c>
      <c r="V81" s="310" t="s">
        <v>947</v>
      </c>
      <c r="X81" s="83" t="s">
        <v>1002</v>
      </c>
      <c r="Y81" s="310" t="s">
        <v>1032</v>
      </c>
      <c r="AA81" s="333">
        <v>44</v>
      </c>
      <c r="AB81" s="358">
        <v>1</v>
      </c>
      <c r="AC81" s="325" t="s">
        <v>954</v>
      </c>
      <c r="AD81" s="325" t="s">
        <v>1074</v>
      </c>
      <c r="AH81" s="325" t="s">
        <v>2062</v>
      </c>
      <c r="AI81" s="325"/>
    </row>
    <row r="82" spans="1:40">
      <c r="A82" s="555">
        <v>831201</v>
      </c>
      <c r="B82" s="331" t="s">
        <v>1118</v>
      </c>
      <c r="C82" s="325" t="s">
        <v>1121</v>
      </c>
      <c r="D82" s="331" t="s">
        <v>162</v>
      </c>
      <c r="E82" s="325" t="s">
        <v>1010</v>
      </c>
      <c r="F82" s="325" t="s">
        <v>1129</v>
      </c>
      <c r="G82" s="331" t="s">
        <v>162</v>
      </c>
      <c r="H82" s="325" t="s">
        <v>1010</v>
      </c>
      <c r="I82" s="325" t="s">
        <v>1063</v>
      </c>
      <c r="J82" s="318" t="s">
        <v>2158</v>
      </c>
      <c r="K82" s="83" t="s">
        <v>2179</v>
      </c>
      <c r="L82" s="332">
        <v>8</v>
      </c>
      <c r="M82" s="83"/>
      <c r="N82" s="359"/>
      <c r="O82" s="83"/>
      <c r="P82" s="333">
        <v>10</v>
      </c>
      <c r="Q82" s="334">
        <v>62.13</v>
      </c>
      <c r="R82" s="397">
        <v>7.0000000000000001E-3</v>
      </c>
      <c r="S82" s="83">
        <v>0.16095284081764041</v>
      </c>
      <c r="T82" s="83">
        <v>1428.5714285714284</v>
      </c>
      <c r="U82" s="356" t="s">
        <v>154</v>
      </c>
      <c r="V82" s="310" t="s">
        <v>947</v>
      </c>
      <c r="X82" s="83" t="s">
        <v>1002</v>
      </c>
      <c r="Y82" s="310" t="s">
        <v>1032</v>
      </c>
      <c r="AA82" s="333">
        <v>37.92</v>
      </c>
      <c r="AB82" s="358">
        <v>1</v>
      </c>
      <c r="AC82" s="325" t="s">
        <v>954</v>
      </c>
      <c r="AD82" s="325" t="s">
        <v>1063</v>
      </c>
      <c r="AH82" s="325" t="s">
        <v>2065</v>
      </c>
      <c r="AI82" s="325"/>
    </row>
    <row r="83" spans="1:40">
      <c r="A83" s="555">
        <v>830854</v>
      </c>
      <c r="B83" s="469" t="s">
        <v>2299</v>
      </c>
      <c r="C83" s="83" t="s">
        <v>2300</v>
      </c>
      <c r="D83" s="331" t="s">
        <v>162</v>
      </c>
      <c r="E83" s="83" t="s">
        <v>162</v>
      </c>
      <c r="F83" s="83" t="s">
        <v>2300</v>
      </c>
      <c r="G83" s="469" t="s">
        <v>162</v>
      </c>
      <c r="H83" s="83" t="s">
        <v>162</v>
      </c>
      <c r="I83" s="83" t="s">
        <v>2301</v>
      </c>
      <c r="J83" s="318" t="s">
        <v>2158</v>
      </c>
      <c r="K83" s="83" t="s">
        <v>2179</v>
      </c>
      <c r="L83" s="332">
        <v>5</v>
      </c>
      <c r="M83" s="83"/>
      <c r="N83" s="359"/>
      <c r="O83" s="83"/>
      <c r="P83" s="333">
        <v>10</v>
      </c>
      <c r="Q83" s="334">
        <v>168.29</v>
      </c>
      <c r="R83" s="397">
        <v>0</v>
      </c>
      <c r="S83" s="83">
        <v>5.9421237150157472E-2</v>
      </c>
      <c r="T83" s="83">
        <v>0</v>
      </c>
      <c r="U83" s="356" t="s">
        <v>154</v>
      </c>
      <c r="V83" s="310" t="s">
        <v>947</v>
      </c>
      <c r="X83" s="83" t="s">
        <v>1002</v>
      </c>
      <c r="Y83" s="310" t="s">
        <v>1032</v>
      </c>
      <c r="AA83" s="333">
        <v>42</v>
      </c>
      <c r="AB83" s="358">
        <v>1</v>
      </c>
      <c r="AC83" s="83" t="s">
        <v>1021</v>
      </c>
      <c r="AD83" s="83" t="s">
        <v>2301</v>
      </c>
      <c r="AH83" s="83" t="s">
        <v>2300</v>
      </c>
      <c r="AI83" s="325"/>
    </row>
    <row r="84" spans="1:40">
      <c r="A84" s="555">
        <v>830856</v>
      </c>
      <c r="B84" s="469" t="s">
        <v>2302</v>
      </c>
      <c r="C84" s="83" t="s">
        <v>2303</v>
      </c>
      <c r="D84" s="331" t="s">
        <v>162</v>
      </c>
      <c r="E84" s="83" t="s">
        <v>162</v>
      </c>
      <c r="F84" s="83" t="s">
        <v>2303</v>
      </c>
      <c r="G84" s="469" t="s">
        <v>162</v>
      </c>
      <c r="H84" s="83" t="s">
        <v>162</v>
      </c>
      <c r="I84" s="83" t="s">
        <v>1984</v>
      </c>
      <c r="J84" s="318" t="s">
        <v>2158</v>
      </c>
      <c r="K84" s="83" t="s">
        <v>2179</v>
      </c>
      <c r="L84" s="332">
        <v>15</v>
      </c>
      <c r="M84" s="83"/>
      <c r="N84" s="359"/>
      <c r="O84" s="83"/>
      <c r="P84" s="333">
        <v>125</v>
      </c>
      <c r="Q84" s="334">
        <v>1500</v>
      </c>
      <c r="R84" s="397">
        <v>0</v>
      </c>
      <c r="S84" s="83">
        <v>8.3333333333333329E-2</v>
      </c>
      <c r="T84" s="83">
        <v>0</v>
      </c>
      <c r="U84" s="356" t="s">
        <v>154</v>
      </c>
      <c r="V84" s="310" t="s">
        <v>947</v>
      </c>
      <c r="X84" s="83" t="s">
        <v>1002</v>
      </c>
      <c r="Y84" s="310" t="s">
        <v>1032</v>
      </c>
      <c r="AA84" s="333">
        <v>1170</v>
      </c>
      <c r="AB84" s="358">
        <v>1</v>
      </c>
      <c r="AC84" s="83" t="s">
        <v>958</v>
      </c>
      <c r="AD84" s="83" t="s">
        <v>1984</v>
      </c>
      <c r="AH84" s="83" t="s">
        <v>2303</v>
      </c>
      <c r="AI84" s="325"/>
    </row>
    <row r="85" spans="1:40">
      <c r="A85" s="555">
        <v>830859</v>
      </c>
      <c r="B85" s="469" t="s">
        <v>2304</v>
      </c>
      <c r="C85" s="83" t="s">
        <v>2185</v>
      </c>
      <c r="D85" s="331" t="s">
        <v>162</v>
      </c>
      <c r="E85" s="83" t="s">
        <v>1010</v>
      </c>
      <c r="F85" s="83" t="s">
        <v>2185</v>
      </c>
      <c r="G85" s="469" t="s">
        <v>162</v>
      </c>
      <c r="H85" s="83" t="s">
        <v>1010</v>
      </c>
      <c r="I85" s="83" t="s">
        <v>1076</v>
      </c>
      <c r="J85" s="318" t="s">
        <v>2158</v>
      </c>
      <c r="K85" s="83" t="s">
        <v>2179</v>
      </c>
      <c r="L85" s="332">
        <v>5</v>
      </c>
      <c r="M85" s="83"/>
      <c r="N85" s="359"/>
      <c r="O85" s="83"/>
      <c r="P85" s="333">
        <v>100</v>
      </c>
      <c r="Q85" s="334">
        <v>370.18</v>
      </c>
      <c r="R85" s="397">
        <v>0</v>
      </c>
      <c r="S85" s="83">
        <v>0.27013885136960397</v>
      </c>
      <c r="T85" s="83">
        <v>0</v>
      </c>
      <c r="U85" s="356" t="s">
        <v>154</v>
      </c>
      <c r="V85" s="310" t="s">
        <v>947</v>
      </c>
      <c r="X85" s="83" t="s">
        <v>1002</v>
      </c>
      <c r="Y85" s="310" t="s">
        <v>1032</v>
      </c>
      <c r="AA85" s="333">
        <v>239</v>
      </c>
      <c r="AB85" s="358">
        <v>1</v>
      </c>
      <c r="AC85" s="83" t="s">
        <v>2305</v>
      </c>
      <c r="AD85" s="83" t="s">
        <v>1076</v>
      </c>
      <c r="AH85" s="83" t="s">
        <v>2185</v>
      </c>
      <c r="AI85" s="325"/>
    </row>
    <row r="86" spans="1:40">
      <c r="A86" s="555">
        <v>830860</v>
      </c>
      <c r="B86" s="469" t="s">
        <v>2306</v>
      </c>
      <c r="C86" s="83" t="s">
        <v>2186</v>
      </c>
      <c r="D86" s="331" t="s">
        <v>162</v>
      </c>
      <c r="E86" s="83" t="s">
        <v>162</v>
      </c>
      <c r="F86" s="83" t="s">
        <v>2186</v>
      </c>
      <c r="G86" s="469" t="s">
        <v>162</v>
      </c>
      <c r="H86" s="83" t="s">
        <v>162</v>
      </c>
      <c r="I86" s="83" t="s">
        <v>2307</v>
      </c>
      <c r="J86" s="318" t="s">
        <v>2158</v>
      </c>
      <c r="K86" s="83" t="s">
        <v>2179</v>
      </c>
      <c r="L86" s="332">
        <v>4</v>
      </c>
      <c r="M86" s="83"/>
      <c r="N86" s="359"/>
      <c r="O86" s="83"/>
      <c r="P86" s="333">
        <v>70</v>
      </c>
      <c r="Q86" s="334">
        <v>1688.4</v>
      </c>
      <c r="R86" s="397">
        <v>0.193</v>
      </c>
      <c r="S86" s="83">
        <v>4.1459369817578771E-2</v>
      </c>
      <c r="T86" s="83">
        <v>362.6943005181347</v>
      </c>
      <c r="U86" s="356" t="s">
        <v>154</v>
      </c>
      <c r="V86" s="310" t="s">
        <v>947</v>
      </c>
      <c r="X86" s="83" t="s">
        <v>1002</v>
      </c>
      <c r="Y86" s="310" t="s">
        <v>1032</v>
      </c>
      <c r="AA86" s="333">
        <v>214.62</v>
      </c>
      <c r="AB86" s="358">
        <v>1</v>
      </c>
      <c r="AC86" s="83" t="s">
        <v>2308</v>
      </c>
      <c r="AD86" s="83" t="s">
        <v>2307</v>
      </c>
      <c r="AH86" s="83" t="s">
        <v>2186</v>
      </c>
      <c r="AI86" s="325"/>
    </row>
    <row r="87" spans="1:40">
      <c r="A87" s="555">
        <v>830852</v>
      </c>
      <c r="B87" s="469" t="s">
        <v>2309</v>
      </c>
      <c r="C87" s="83" t="s">
        <v>2310</v>
      </c>
      <c r="D87" s="331" t="s">
        <v>162</v>
      </c>
      <c r="E87" s="83" t="s">
        <v>162</v>
      </c>
      <c r="F87" s="83" t="s">
        <v>2310</v>
      </c>
      <c r="G87" s="469" t="s">
        <v>162</v>
      </c>
      <c r="H87" s="83" t="s">
        <v>162</v>
      </c>
      <c r="I87" s="83" t="s">
        <v>2307</v>
      </c>
      <c r="J87" s="318" t="s">
        <v>2158</v>
      </c>
      <c r="K87" s="83" t="s">
        <v>2179</v>
      </c>
      <c r="L87" s="332">
        <v>4</v>
      </c>
      <c r="M87" s="83"/>
      <c r="N87" s="359"/>
      <c r="O87" s="83"/>
      <c r="P87" s="333">
        <v>50</v>
      </c>
      <c r="Q87" s="334">
        <v>307.64999999999998</v>
      </c>
      <c r="R87" s="397">
        <v>3.5000000000000003E-2</v>
      </c>
      <c r="S87" s="83">
        <v>0.16252234682268812</v>
      </c>
      <c r="T87" s="83">
        <v>1428.5714285714284</v>
      </c>
      <c r="U87" s="356" t="s">
        <v>154</v>
      </c>
      <c r="V87" s="310" t="s">
        <v>947</v>
      </c>
      <c r="X87" s="83" t="s">
        <v>1002</v>
      </c>
      <c r="Y87" s="310" t="s">
        <v>1032</v>
      </c>
      <c r="AA87" s="333">
        <v>214.62</v>
      </c>
      <c r="AB87" s="358">
        <v>1</v>
      </c>
      <c r="AC87" s="83" t="s">
        <v>2308</v>
      </c>
      <c r="AD87" s="83" t="s">
        <v>2307</v>
      </c>
      <c r="AH87" s="83" t="s">
        <v>2310</v>
      </c>
      <c r="AI87" s="325"/>
    </row>
    <row r="88" spans="1:40">
      <c r="A88" s="555">
        <v>830853</v>
      </c>
      <c r="B88" s="469" t="s">
        <v>2311</v>
      </c>
      <c r="C88" s="83" t="s">
        <v>2312</v>
      </c>
      <c r="D88" s="331" t="s">
        <v>162</v>
      </c>
      <c r="E88" s="83" t="s">
        <v>162</v>
      </c>
      <c r="F88" s="83" t="s">
        <v>2312</v>
      </c>
      <c r="G88" s="469" t="s">
        <v>162</v>
      </c>
      <c r="H88" s="83" t="s">
        <v>162</v>
      </c>
      <c r="I88" s="83" t="s">
        <v>2307</v>
      </c>
      <c r="J88" s="318" t="s">
        <v>2158</v>
      </c>
      <c r="K88" s="83" t="s">
        <v>2179</v>
      </c>
      <c r="L88" s="332">
        <v>4</v>
      </c>
      <c r="M88" s="83"/>
      <c r="N88" s="359"/>
      <c r="O88" s="83"/>
      <c r="P88" s="333">
        <v>125</v>
      </c>
      <c r="Q88" s="334">
        <v>995.4</v>
      </c>
      <c r="R88" s="397">
        <v>0.114</v>
      </c>
      <c r="S88" s="83">
        <v>0.12557765722322684</v>
      </c>
      <c r="T88" s="83">
        <v>1096.4912280701753</v>
      </c>
      <c r="U88" s="356" t="s">
        <v>154</v>
      </c>
      <c r="V88" s="310" t="s">
        <v>947</v>
      </c>
      <c r="X88" s="83" t="s">
        <v>1002</v>
      </c>
      <c r="Y88" s="310" t="s">
        <v>1032</v>
      </c>
      <c r="AA88" s="333">
        <v>214.62</v>
      </c>
      <c r="AB88" s="358">
        <v>1</v>
      </c>
      <c r="AC88" s="83" t="s">
        <v>925</v>
      </c>
      <c r="AD88" s="83" t="s">
        <v>2307</v>
      </c>
      <c r="AH88" s="83" t="s">
        <v>2312</v>
      </c>
      <c r="AI88" s="325"/>
    </row>
    <row r="89" spans="1:40" ht="12.75" customHeight="1">
      <c r="A89" s="555">
        <v>830861</v>
      </c>
      <c r="B89" s="469" t="s">
        <v>2313</v>
      </c>
      <c r="C89" s="83" t="s">
        <v>2314</v>
      </c>
      <c r="D89" s="331" t="s">
        <v>162</v>
      </c>
      <c r="E89" s="83" t="s">
        <v>162</v>
      </c>
      <c r="F89" s="83" t="s">
        <v>2315</v>
      </c>
      <c r="G89" s="469" t="s">
        <v>162</v>
      </c>
      <c r="H89" s="83" t="s">
        <v>162</v>
      </c>
      <c r="I89" s="83" t="s">
        <v>2307</v>
      </c>
      <c r="J89" s="318" t="s">
        <v>2158</v>
      </c>
      <c r="K89" s="83" t="s">
        <v>2179</v>
      </c>
      <c r="L89" s="332">
        <v>4</v>
      </c>
      <c r="M89" s="83"/>
      <c r="N89" s="359"/>
      <c r="O89" s="83"/>
      <c r="P89" s="333">
        <v>175</v>
      </c>
      <c r="Q89" s="334">
        <v>10374</v>
      </c>
      <c r="R89" s="397">
        <v>1.1830000000000001</v>
      </c>
      <c r="S89" s="83">
        <v>1.6869095816464237E-2</v>
      </c>
      <c r="T89" s="83">
        <v>147.92899408284023</v>
      </c>
      <c r="U89" s="356" t="s">
        <v>154</v>
      </c>
      <c r="V89" s="310" t="s">
        <v>947</v>
      </c>
      <c r="X89" s="83" t="s">
        <v>1002</v>
      </c>
      <c r="Y89" s="310" t="s">
        <v>1032</v>
      </c>
      <c r="AA89" s="333">
        <v>214.62</v>
      </c>
      <c r="AB89" s="358">
        <v>1</v>
      </c>
      <c r="AC89" s="83" t="s">
        <v>925</v>
      </c>
      <c r="AD89" s="83" t="s">
        <v>2307</v>
      </c>
      <c r="AH89" s="83" t="s">
        <v>2315</v>
      </c>
      <c r="AI89" s="325"/>
    </row>
    <row r="90" spans="1:40" ht="12.75" customHeight="1">
      <c r="A90" s="516"/>
      <c r="B90" s="587"/>
      <c r="C90" s="587"/>
      <c r="D90" s="587"/>
      <c r="E90" s="587"/>
      <c r="F90" s="587"/>
      <c r="G90" s="587"/>
      <c r="H90" s="587"/>
      <c r="I90" s="587"/>
      <c r="J90" s="318"/>
      <c r="K90" s="587"/>
      <c r="L90" s="588"/>
      <c r="M90" s="518"/>
      <c r="N90" s="589"/>
      <c r="O90" s="519"/>
      <c r="P90" s="519"/>
      <c r="Q90" s="590"/>
      <c r="R90" s="520"/>
      <c r="S90" s="374"/>
      <c r="T90" s="374"/>
      <c r="U90" s="374"/>
      <c r="V90" s="374"/>
      <c r="W90" s="374"/>
      <c r="X90" s="374"/>
      <c r="Y90" s="374"/>
      <c r="Z90" s="374"/>
      <c r="AA90" s="519"/>
      <c r="AB90" s="591"/>
      <c r="AC90" s="587"/>
      <c r="AD90" s="587"/>
      <c r="AE90" s="374"/>
      <c r="AF90" s="374"/>
      <c r="AG90" s="374"/>
      <c r="AH90" s="587"/>
      <c r="AI90" s="587"/>
      <c r="AJ90" s="374"/>
      <c r="AK90" s="374"/>
    </row>
    <row r="91" spans="1:40" ht="12.75" customHeight="1"/>
    <row r="92" spans="1:40">
      <c r="A92" s="349" t="s">
        <v>852</v>
      </c>
      <c r="B92" s="310" t="s">
        <v>853</v>
      </c>
      <c r="C92" s="310" t="s">
        <v>854</v>
      </c>
      <c r="D92" s="310" t="s">
        <v>855</v>
      </c>
      <c r="E92" s="310" t="s">
        <v>856</v>
      </c>
      <c r="F92" s="310" t="s">
        <v>144</v>
      </c>
      <c r="G92" s="310" t="s">
        <v>857</v>
      </c>
      <c r="H92" s="310" t="s">
        <v>858</v>
      </c>
      <c r="I92" s="310" t="s">
        <v>145</v>
      </c>
      <c r="J92" s="374" t="s">
        <v>1450</v>
      </c>
      <c r="K92" s="311" t="s">
        <v>859</v>
      </c>
      <c r="L92" s="310" t="s">
        <v>148</v>
      </c>
      <c r="M92" s="312" t="s">
        <v>860</v>
      </c>
      <c r="N92" s="310" t="s">
        <v>153</v>
      </c>
      <c r="O92" s="310" t="s">
        <v>687</v>
      </c>
      <c r="P92" s="310" t="s">
        <v>147</v>
      </c>
      <c r="Q92" s="310" t="s">
        <v>150</v>
      </c>
      <c r="R92" s="399" t="s">
        <v>861</v>
      </c>
      <c r="S92" s="310" t="s">
        <v>862</v>
      </c>
      <c r="T92" s="310" t="s">
        <v>863</v>
      </c>
      <c r="U92" s="310" t="s">
        <v>142</v>
      </c>
      <c r="V92" s="310" t="s">
        <v>0</v>
      </c>
      <c r="W92" s="310" t="s">
        <v>864</v>
      </c>
      <c r="X92" s="310" t="s">
        <v>489</v>
      </c>
      <c r="Y92" s="310" t="s">
        <v>152</v>
      </c>
      <c r="Z92" s="310" t="s">
        <v>817</v>
      </c>
      <c r="AA92" s="310" t="s">
        <v>151</v>
      </c>
      <c r="AB92" s="310" t="s">
        <v>865</v>
      </c>
      <c r="AC92" s="310" t="s">
        <v>100</v>
      </c>
      <c r="AD92" s="315" t="s">
        <v>169</v>
      </c>
      <c r="AE92" s="315" t="s">
        <v>170</v>
      </c>
      <c r="AF92" s="315" t="s">
        <v>173</v>
      </c>
      <c r="AG92" s="315" t="s">
        <v>220</v>
      </c>
      <c r="AH92" s="315" t="s">
        <v>171</v>
      </c>
      <c r="AI92" s="315" t="s">
        <v>172</v>
      </c>
      <c r="AJ92" s="315" t="s">
        <v>174</v>
      </c>
      <c r="AK92" s="315" t="s">
        <v>188</v>
      </c>
      <c r="AL92" s="507" t="s">
        <v>1849</v>
      </c>
      <c r="AM92" s="507" t="s">
        <v>1850</v>
      </c>
      <c r="AN92" s="315" t="s">
        <v>2201</v>
      </c>
    </row>
    <row r="93" spans="1:40" ht="12.75" customHeight="1">
      <c r="A93" s="56">
        <v>820745</v>
      </c>
      <c r="B93" s="83" t="s">
        <v>2316</v>
      </c>
      <c r="C93" s="83" t="s">
        <v>2183</v>
      </c>
      <c r="D93" s="83" t="s">
        <v>160</v>
      </c>
      <c r="E93" s="83" t="s">
        <v>160</v>
      </c>
      <c r="F93" s="83" t="s">
        <v>2183</v>
      </c>
      <c r="G93" s="83" t="s">
        <v>1841</v>
      </c>
      <c r="H93" s="83" t="s">
        <v>160</v>
      </c>
      <c r="I93" s="83" t="s">
        <v>2176</v>
      </c>
      <c r="J93" s="318" t="s">
        <v>2158</v>
      </c>
      <c r="K93" s="311" t="s">
        <v>2179</v>
      </c>
      <c r="L93" s="332">
        <v>23</v>
      </c>
      <c r="O93" s="313" t="s">
        <v>160</v>
      </c>
      <c r="P93" s="333">
        <v>5</v>
      </c>
      <c r="Q93" s="333">
        <v>177</v>
      </c>
      <c r="R93" s="333">
        <v>0.09</v>
      </c>
      <c r="S93" s="310">
        <v>2.8248587570621469E-2</v>
      </c>
      <c r="T93" s="310">
        <v>55.555555555555557</v>
      </c>
      <c r="U93" s="356" t="s">
        <v>154</v>
      </c>
      <c r="V93" s="310" t="s">
        <v>947</v>
      </c>
      <c r="W93" s="310" t="s">
        <v>1842</v>
      </c>
      <c r="X93" s="310" t="s">
        <v>1002</v>
      </c>
      <c r="Y93" s="325" t="s">
        <v>1032</v>
      </c>
      <c r="AA93" s="333">
        <v>424</v>
      </c>
      <c r="AC93" s="522" t="s">
        <v>2230</v>
      </c>
      <c r="AD93" t="s">
        <v>2207</v>
      </c>
      <c r="AE93" s="310">
        <v>13.7</v>
      </c>
      <c r="AF93" s="310" t="s">
        <v>2387</v>
      </c>
      <c r="AG93" s="310">
        <v>10.1</v>
      </c>
      <c r="AH93" s="379" t="s">
        <v>2183</v>
      </c>
      <c r="AI93" s="379" t="s">
        <v>2183</v>
      </c>
      <c r="AJ93" s="514">
        <v>0</v>
      </c>
      <c r="AK93" s="514">
        <v>150</v>
      </c>
      <c r="AL93" s="501">
        <v>1019</v>
      </c>
      <c r="AM93" s="501">
        <v>1508</v>
      </c>
      <c r="AN93" s="374"/>
    </row>
    <row r="94" spans="1:40" ht="12.75" customHeight="1">
      <c r="A94" s="56">
        <v>820738</v>
      </c>
      <c r="B94" s="83" t="s">
        <v>2133</v>
      </c>
      <c r="C94" s="325" t="s">
        <v>2044</v>
      </c>
      <c r="D94" s="325" t="s">
        <v>160</v>
      </c>
      <c r="E94" s="325" t="s">
        <v>160</v>
      </c>
      <c r="F94" s="325" t="s">
        <v>2044</v>
      </c>
      <c r="G94" s="325" t="s">
        <v>1841</v>
      </c>
      <c r="H94" s="325" t="s">
        <v>160</v>
      </c>
      <c r="I94" s="325" t="s">
        <v>2177</v>
      </c>
      <c r="J94" s="318" t="s">
        <v>2158</v>
      </c>
      <c r="K94" s="311" t="s">
        <v>2179</v>
      </c>
      <c r="L94" s="332">
        <v>16</v>
      </c>
      <c r="O94" s="313" t="s">
        <v>160</v>
      </c>
      <c r="P94" s="333">
        <v>22</v>
      </c>
      <c r="Q94" s="333">
        <v>2175.54</v>
      </c>
      <c r="R94" s="333">
        <v>0.20100000000000001</v>
      </c>
      <c r="S94" s="310">
        <v>1.0112431855998971E-2</v>
      </c>
      <c r="T94" s="310">
        <v>109.45273631840796</v>
      </c>
      <c r="U94" s="356" t="s">
        <v>154</v>
      </c>
      <c r="V94" s="310" t="s">
        <v>947</v>
      </c>
      <c r="W94" s="310" t="s">
        <v>1842</v>
      </c>
      <c r="X94" s="310" t="s">
        <v>1002</v>
      </c>
      <c r="Y94" s="325" t="s">
        <v>1032</v>
      </c>
      <c r="AA94" s="333">
        <v>100</v>
      </c>
      <c r="AC94" s="325" t="s">
        <v>1843</v>
      </c>
      <c r="AD94" s="512" t="s">
        <v>2118</v>
      </c>
      <c r="AE94" s="512">
        <v>13.4</v>
      </c>
      <c r="AF94" s="512" t="s">
        <v>2119</v>
      </c>
      <c r="AG94" s="512">
        <v>6.7</v>
      </c>
      <c r="AH94" s="556" t="s">
        <v>2046</v>
      </c>
      <c r="AI94" s="556" t="s">
        <v>2046</v>
      </c>
      <c r="AJ94" s="514">
        <v>0</v>
      </c>
      <c r="AK94" s="547">
        <v>5.41</v>
      </c>
      <c r="AL94" s="501">
        <v>1019</v>
      </c>
      <c r="AM94" s="501">
        <v>1508</v>
      </c>
      <c r="AN94" s="374"/>
    </row>
    <row r="95" spans="1:40" ht="12.75" customHeight="1">
      <c r="A95" s="56">
        <v>820719</v>
      </c>
      <c r="B95" s="83" t="s">
        <v>2032</v>
      </c>
      <c r="C95" s="325" t="s">
        <v>2022</v>
      </c>
      <c r="D95" s="325" t="s">
        <v>160</v>
      </c>
      <c r="E95" s="325" t="s">
        <v>160</v>
      </c>
      <c r="F95" s="325" t="s">
        <v>2022</v>
      </c>
      <c r="G95" s="325" t="s">
        <v>1841</v>
      </c>
      <c r="H95" s="325" t="s">
        <v>160</v>
      </c>
      <c r="I95" s="325" t="s">
        <v>2177</v>
      </c>
      <c r="J95" s="318" t="s">
        <v>2158</v>
      </c>
      <c r="K95" s="311" t="s">
        <v>2179</v>
      </c>
      <c r="L95" s="332">
        <v>16</v>
      </c>
      <c r="O95" s="313" t="s">
        <v>160</v>
      </c>
      <c r="P95" s="333">
        <v>26</v>
      </c>
      <c r="Q95" s="333">
        <v>1241.55</v>
      </c>
      <c r="R95" s="333">
        <v>0.41099999999999998</v>
      </c>
      <c r="S95" s="310">
        <v>2.0941564979259798E-2</v>
      </c>
      <c r="T95" s="310">
        <v>63.260340632603409</v>
      </c>
      <c r="U95" s="356" t="s">
        <v>154</v>
      </c>
      <c r="V95" s="310" t="s">
        <v>947</v>
      </c>
      <c r="W95" s="310" t="s">
        <v>1842</v>
      </c>
      <c r="X95" s="310" t="s">
        <v>1002</v>
      </c>
      <c r="Y95" s="325" t="s">
        <v>1032</v>
      </c>
      <c r="AA95" s="333">
        <v>100</v>
      </c>
      <c r="AC95" s="511" t="s">
        <v>1844</v>
      </c>
      <c r="AD95" s="515" t="s">
        <v>1847</v>
      </c>
      <c r="AE95" s="595">
        <v>12.3</v>
      </c>
      <c r="AF95" s="515" t="s">
        <v>1848</v>
      </c>
      <c r="AG95" s="515">
        <v>3.2</v>
      </c>
      <c r="AH95" s="557" t="s">
        <v>2009</v>
      </c>
      <c r="AI95" s="557" t="s">
        <v>2009</v>
      </c>
      <c r="AJ95" s="514">
        <v>20</v>
      </c>
      <c r="AK95" s="514">
        <v>100</v>
      </c>
      <c r="AL95" s="501">
        <v>1019</v>
      </c>
      <c r="AM95" s="501">
        <v>1508</v>
      </c>
      <c r="AN95" s="374"/>
    </row>
    <row r="96" spans="1:40" ht="12.75" customHeight="1">
      <c r="A96" s="56">
        <v>820718</v>
      </c>
      <c r="B96" s="83" t="s">
        <v>2031</v>
      </c>
      <c r="C96" s="325" t="s">
        <v>2021</v>
      </c>
      <c r="D96" s="325" t="s">
        <v>160</v>
      </c>
      <c r="E96" s="325" t="s">
        <v>160</v>
      </c>
      <c r="F96" s="325" t="s">
        <v>2021</v>
      </c>
      <c r="G96" s="325" t="s">
        <v>1841</v>
      </c>
      <c r="H96" s="325" t="s">
        <v>160</v>
      </c>
      <c r="I96" s="325" t="s">
        <v>2177</v>
      </c>
      <c r="J96" s="318" t="s">
        <v>2158</v>
      </c>
      <c r="K96" s="311" t="s">
        <v>2179</v>
      </c>
      <c r="L96" s="332">
        <v>16</v>
      </c>
      <c r="O96" s="313" t="s">
        <v>160</v>
      </c>
      <c r="P96" s="333">
        <v>26</v>
      </c>
      <c r="Q96" s="333">
        <v>2633.24</v>
      </c>
      <c r="R96" s="333">
        <v>1.823</v>
      </c>
      <c r="S96" s="310">
        <v>9.8737676778417466E-3</v>
      </c>
      <c r="T96" s="310">
        <v>14.26220515633571</v>
      </c>
      <c r="U96" s="356" t="s">
        <v>154</v>
      </c>
      <c r="V96" s="310" t="s">
        <v>947</v>
      </c>
      <c r="W96" s="310" t="s">
        <v>1842</v>
      </c>
      <c r="X96" s="310" t="s">
        <v>1002</v>
      </c>
      <c r="Y96" s="325" t="s">
        <v>1032</v>
      </c>
      <c r="AA96" s="333">
        <v>100</v>
      </c>
      <c r="AC96" s="511" t="s">
        <v>1844</v>
      </c>
      <c r="AD96" s="512" t="s">
        <v>1847</v>
      </c>
      <c r="AE96" s="512">
        <v>13.3</v>
      </c>
      <c r="AF96" s="512" t="s">
        <v>1848</v>
      </c>
      <c r="AG96" s="512">
        <v>3.3</v>
      </c>
      <c r="AH96" s="556" t="s">
        <v>2014</v>
      </c>
      <c r="AI96" s="556" t="s">
        <v>2014</v>
      </c>
      <c r="AJ96" s="514">
        <v>11.25</v>
      </c>
      <c r="AK96" s="514">
        <v>19.999999899999999</v>
      </c>
      <c r="AL96" s="501">
        <v>1019</v>
      </c>
      <c r="AM96" s="501"/>
      <c r="AN96" s="374"/>
    </row>
    <row r="97" spans="1:40" ht="12.75" customHeight="1">
      <c r="A97" s="56">
        <v>820717</v>
      </c>
      <c r="B97" s="83" t="s">
        <v>2033</v>
      </c>
      <c r="C97" s="325" t="s">
        <v>2023</v>
      </c>
      <c r="D97" s="325" t="s">
        <v>160</v>
      </c>
      <c r="E97" s="325" t="s">
        <v>160</v>
      </c>
      <c r="F97" s="325" t="s">
        <v>2023</v>
      </c>
      <c r="G97" s="325" t="s">
        <v>1841</v>
      </c>
      <c r="H97" s="325" t="s">
        <v>160</v>
      </c>
      <c r="I97" s="325" t="s">
        <v>2177</v>
      </c>
      <c r="J97" s="318" t="s">
        <v>2158</v>
      </c>
      <c r="K97" s="311" t="s">
        <v>2179</v>
      </c>
      <c r="L97" s="332">
        <v>16</v>
      </c>
      <c r="O97" s="313" t="s">
        <v>160</v>
      </c>
      <c r="P97" s="333">
        <v>26</v>
      </c>
      <c r="Q97" s="333">
        <v>1267.58</v>
      </c>
      <c r="R97" s="333">
        <v>1.1950000000000001</v>
      </c>
      <c r="S97" s="310">
        <v>2.0511525899745975E-2</v>
      </c>
      <c r="T97" s="310">
        <v>21.757322175732217</v>
      </c>
      <c r="U97" s="356" t="s">
        <v>154</v>
      </c>
      <c r="V97" s="310" t="s">
        <v>947</v>
      </c>
      <c r="W97" s="310" t="s">
        <v>1842</v>
      </c>
      <c r="X97" s="310" t="s">
        <v>1002</v>
      </c>
      <c r="Y97" s="325" t="s">
        <v>1032</v>
      </c>
      <c r="AA97" s="333">
        <v>100</v>
      </c>
      <c r="AC97" s="511" t="s">
        <v>1844</v>
      </c>
      <c r="AD97" s="512" t="s">
        <v>1847</v>
      </c>
      <c r="AE97" s="512">
        <v>13.9</v>
      </c>
      <c r="AF97" s="512" t="s">
        <v>1848</v>
      </c>
      <c r="AG97" s="512">
        <v>3.4</v>
      </c>
      <c r="AH97" s="556" t="s">
        <v>2008</v>
      </c>
      <c r="AI97" s="556" t="s">
        <v>2008</v>
      </c>
      <c r="AJ97" s="514">
        <v>5.416666666666667</v>
      </c>
      <c r="AK97" s="514">
        <v>11.24</v>
      </c>
      <c r="AL97" s="501">
        <v>1019</v>
      </c>
      <c r="AM97" s="501">
        <v>1508</v>
      </c>
      <c r="AN97" s="374"/>
    </row>
    <row r="98" spans="1:40" ht="12.75" customHeight="1">
      <c r="A98" s="56">
        <v>820739</v>
      </c>
      <c r="B98" s="83" t="s">
        <v>2134</v>
      </c>
      <c r="C98" s="325" t="s">
        <v>2045</v>
      </c>
      <c r="D98" s="325" t="s">
        <v>160</v>
      </c>
      <c r="E98" s="325" t="s">
        <v>160</v>
      </c>
      <c r="F98" s="325" t="s">
        <v>2045</v>
      </c>
      <c r="G98" s="325" t="s">
        <v>1841</v>
      </c>
      <c r="H98" s="325" t="s">
        <v>160</v>
      </c>
      <c r="I98" s="349" t="s">
        <v>2178</v>
      </c>
      <c r="J98" s="318" t="s">
        <v>2158</v>
      </c>
      <c r="K98" s="311" t="s">
        <v>2179</v>
      </c>
      <c r="L98" s="332">
        <v>15</v>
      </c>
      <c r="O98" s="313" t="s">
        <v>160</v>
      </c>
      <c r="P98" s="333">
        <v>20</v>
      </c>
      <c r="Q98" s="333">
        <v>196.14</v>
      </c>
      <c r="R98" s="333">
        <v>0.14000000000000001</v>
      </c>
      <c r="S98" s="310">
        <v>0.10196798205363516</v>
      </c>
      <c r="T98" s="310">
        <v>142.85714285714283</v>
      </c>
      <c r="U98" s="356" t="s">
        <v>154</v>
      </c>
      <c r="V98" s="310" t="s">
        <v>947</v>
      </c>
      <c r="W98" s="310" t="s">
        <v>1842</v>
      </c>
      <c r="X98" s="310" t="s">
        <v>1002</v>
      </c>
      <c r="Y98" s="325" t="s">
        <v>1032</v>
      </c>
      <c r="AA98" s="333">
        <v>63</v>
      </c>
      <c r="AC98" s="325" t="s">
        <v>1843</v>
      </c>
      <c r="AD98" t="s">
        <v>2118</v>
      </c>
      <c r="AE98" s="310">
        <v>13.4</v>
      </c>
      <c r="AF98" s="310" t="s">
        <v>1846</v>
      </c>
      <c r="AG98" s="310">
        <v>11.180000000000003</v>
      </c>
      <c r="AH98" s="379" t="s">
        <v>2047</v>
      </c>
      <c r="AI98" s="379" t="s">
        <v>2047</v>
      </c>
      <c r="AJ98" s="514">
        <v>0</v>
      </c>
      <c r="AK98" s="514">
        <v>5.41</v>
      </c>
      <c r="AL98" s="501">
        <v>1019</v>
      </c>
      <c r="AM98" s="501">
        <v>0</v>
      </c>
      <c r="AN98" s="374"/>
    </row>
    <row r="99" spans="1:40" ht="12.75" customHeight="1">
      <c r="A99" s="56">
        <v>820728</v>
      </c>
      <c r="B99" s="83" t="s">
        <v>2034</v>
      </c>
      <c r="C99" s="325" t="s">
        <v>2027</v>
      </c>
      <c r="D99" s="325" t="s">
        <v>160</v>
      </c>
      <c r="E99" s="325" t="s">
        <v>160</v>
      </c>
      <c r="F99" s="325" t="s">
        <v>2027</v>
      </c>
      <c r="G99" s="325" t="s">
        <v>1841</v>
      </c>
      <c r="H99" s="325" t="s">
        <v>160</v>
      </c>
      <c r="I99" s="349" t="s">
        <v>2178</v>
      </c>
      <c r="J99" s="318" t="s">
        <v>2158</v>
      </c>
      <c r="K99" s="311" t="s">
        <v>2179</v>
      </c>
      <c r="L99" s="332">
        <v>15</v>
      </c>
      <c r="O99" s="313" t="s">
        <v>160</v>
      </c>
      <c r="P99" s="333">
        <v>26</v>
      </c>
      <c r="Q99" s="333">
        <v>4852.38</v>
      </c>
      <c r="R99" s="333">
        <v>6.2110000000000003</v>
      </c>
      <c r="S99" s="310">
        <v>5.3581953598028182E-3</v>
      </c>
      <c r="T99" s="310">
        <v>4.1861213975205276</v>
      </c>
      <c r="U99" s="356" t="s">
        <v>154</v>
      </c>
      <c r="V99" s="310" t="s">
        <v>947</v>
      </c>
      <c r="W99" s="310" t="s">
        <v>1842</v>
      </c>
      <c r="X99" s="310" t="s">
        <v>1002</v>
      </c>
      <c r="Y99" s="325" t="s">
        <v>1032</v>
      </c>
      <c r="AA99" s="333">
        <v>19</v>
      </c>
      <c r="AC99" s="511" t="s">
        <v>1845</v>
      </c>
      <c r="AD99" s="512" t="s">
        <v>1847</v>
      </c>
      <c r="AE99" s="512">
        <v>11.2</v>
      </c>
      <c r="AF99" s="512" t="s">
        <v>1846</v>
      </c>
      <c r="AG99" s="512">
        <v>9.5</v>
      </c>
      <c r="AH99" s="393" t="s">
        <v>2013</v>
      </c>
      <c r="AI99" s="393" t="s">
        <v>2013</v>
      </c>
      <c r="AJ99" s="514">
        <v>63.333333333333336</v>
      </c>
      <c r="AK99" s="514">
        <v>150</v>
      </c>
      <c r="AL99" s="501">
        <v>1019</v>
      </c>
      <c r="AM99" s="501">
        <v>0</v>
      </c>
      <c r="AN99" s="374"/>
    </row>
    <row r="100" spans="1:40" ht="12.75" customHeight="1">
      <c r="A100" s="56">
        <v>820740</v>
      </c>
      <c r="B100" s="83" t="s">
        <v>2135</v>
      </c>
      <c r="C100" s="325" t="s">
        <v>2024</v>
      </c>
      <c r="D100" s="325" t="s">
        <v>160</v>
      </c>
      <c r="E100" s="325" t="s">
        <v>160</v>
      </c>
      <c r="F100" s="325" t="s">
        <v>2024</v>
      </c>
      <c r="G100" s="325" t="s">
        <v>1841</v>
      </c>
      <c r="H100" s="325" t="s">
        <v>160</v>
      </c>
      <c r="I100" s="349" t="s">
        <v>2178</v>
      </c>
      <c r="J100" s="318" t="s">
        <v>2158</v>
      </c>
      <c r="K100" s="311" t="s">
        <v>2179</v>
      </c>
      <c r="L100" s="332">
        <v>15</v>
      </c>
      <c r="O100" s="313" t="s">
        <v>160</v>
      </c>
      <c r="P100" s="333">
        <v>22</v>
      </c>
      <c r="Q100" s="333">
        <v>742.48</v>
      </c>
      <c r="R100" s="333">
        <v>0.95</v>
      </c>
      <c r="S100" s="310">
        <v>2.9630427755629782E-2</v>
      </c>
      <c r="T100" s="310">
        <v>23.157894736842106</v>
      </c>
      <c r="U100" s="356" t="s">
        <v>154</v>
      </c>
      <c r="V100" s="310" t="s">
        <v>947</v>
      </c>
      <c r="W100" s="310" t="s">
        <v>1842</v>
      </c>
      <c r="X100" s="310" t="s">
        <v>1002</v>
      </c>
      <c r="Y100" s="325" t="s">
        <v>1032</v>
      </c>
      <c r="AA100" s="333">
        <v>63</v>
      </c>
      <c r="AC100" s="511" t="s">
        <v>1845</v>
      </c>
      <c r="AD100" s="512" t="s">
        <v>1847</v>
      </c>
      <c r="AE100" s="514">
        <v>14.2</v>
      </c>
      <c r="AF100" s="512" t="s">
        <v>1846</v>
      </c>
      <c r="AG100" s="512">
        <v>10.8</v>
      </c>
      <c r="AH100" s="556" t="s">
        <v>2010</v>
      </c>
      <c r="AI100" s="556" t="s">
        <v>2010</v>
      </c>
      <c r="AJ100" s="514">
        <v>11.25</v>
      </c>
      <c r="AK100" s="514">
        <v>19.999999899999999</v>
      </c>
      <c r="AL100" s="501">
        <v>1019</v>
      </c>
      <c r="AM100" s="501">
        <v>0</v>
      </c>
      <c r="AN100" s="374"/>
    </row>
    <row r="101" spans="1:40" ht="12.75" customHeight="1">
      <c r="A101" s="56">
        <v>820741</v>
      </c>
      <c r="B101" s="83" t="s">
        <v>2136</v>
      </c>
      <c r="C101" s="325" t="s">
        <v>2025</v>
      </c>
      <c r="D101" s="325" t="s">
        <v>160</v>
      </c>
      <c r="E101" s="325" t="s">
        <v>160</v>
      </c>
      <c r="F101" s="325" t="s">
        <v>2025</v>
      </c>
      <c r="G101" s="325" t="s">
        <v>1841</v>
      </c>
      <c r="H101" s="325" t="s">
        <v>160</v>
      </c>
      <c r="I101" s="349" t="s">
        <v>2178</v>
      </c>
      <c r="J101" s="318" t="s">
        <v>2158</v>
      </c>
      <c r="K101" s="311" t="s">
        <v>2179</v>
      </c>
      <c r="L101" s="332">
        <v>15</v>
      </c>
      <c r="O101" s="313" t="s">
        <v>160</v>
      </c>
      <c r="P101" s="333">
        <v>22</v>
      </c>
      <c r="Q101" s="333">
        <v>3751.77</v>
      </c>
      <c r="R101" s="333">
        <v>4.8019999999999996</v>
      </c>
      <c r="S101" s="310">
        <v>5.8638989063828544E-3</v>
      </c>
      <c r="T101" s="310">
        <v>4.5814244064972929</v>
      </c>
      <c r="U101" s="356" t="s">
        <v>154</v>
      </c>
      <c r="V101" s="310" t="s">
        <v>947</v>
      </c>
      <c r="W101" s="310" t="s">
        <v>1842</v>
      </c>
      <c r="X101" s="310" t="s">
        <v>1002</v>
      </c>
      <c r="Y101" s="325" t="s">
        <v>1032</v>
      </c>
      <c r="AA101" s="333">
        <v>19</v>
      </c>
      <c r="AC101" s="511" t="s">
        <v>1845</v>
      </c>
      <c r="AD101" s="512" t="s">
        <v>1847</v>
      </c>
      <c r="AE101" s="512">
        <v>13.2</v>
      </c>
      <c r="AF101" s="512" t="s">
        <v>1846</v>
      </c>
      <c r="AG101" s="512">
        <v>9.8000000000000007</v>
      </c>
      <c r="AH101" s="393" t="s">
        <v>2011</v>
      </c>
      <c r="AI101" s="393" t="s">
        <v>2011</v>
      </c>
      <c r="AJ101" s="514">
        <v>20</v>
      </c>
      <c r="AK101" s="514">
        <v>63.2</v>
      </c>
      <c r="AL101" s="501">
        <v>1019</v>
      </c>
      <c r="AM101" s="501">
        <v>0</v>
      </c>
      <c r="AN101" s="374"/>
    </row>
    <row r="102" spans="1:40" ht="15" customHeight="1">
      <c r="A102" s="56">
        <v>820742</v>
      </c>
      <c r="B102" s="83" t="s">
        <v>2137</v>
      </c>
      <c r="C102" s="325" t="s">
        <v>2026</v>
      </c>
      <c r="D102" s="325" t="s">
        <v>160</v>
      </c>
      <c r="E102" s="325" t="s">
        <v>160</v>
      </c>
      <c r="F102" s="325" t="s">
        <v>2026</v>
      </c>
      <c r="G102" s="325" t="s">
        <v>1841</v>
      </c>
      <c r="H102" s="325" t="s">
        <v>160</v>
      </c>
      <c r="I102" s="349" t="s">
        <v>2178</v>
      </c>
      <c r="J102" s="318" t="s">
        <v>2158</v>
      </c>
      <c r="K102" s="311" t="s">
        <v>2179</v>
      </c>
      <c r="L102" s="332">
        <v>15</v>
      </c>
      <c r="O102" s="313" t="s">
        <v>160</v>
      </c>
      <c r="P102" s="333">
        <v>20</v>
      </c>
      <c r="Q102" s="333">
        <v>177.56</v>
      </c>
      <c r="R102" s="333">
        <v>0.22700000000000001</v>
      </c>
      <c r="S102" s="310">
        <v>0.11263798152737103</v>
      </c>
      <c r="T102" s="310">
        <v>88.105726872246692</v>
      </c>
      <c r="U102" s="356" t="s">
        <v>154</v>
      </c>
      <c r="V102" s="310" t="s">
        <v>947</v>
      </c>
      <c r="W102" s="310" t="s">
        <v>1842</v>
      </c>
      <c r="X102" s="310" t="s">
        <v>1002</v>
      </c>
      <c r="Y102" s="325" t="s">
        <v>1032</v>
      </c>
      <c r="AA102" s="333">
        <v>63</v>
      </c>
      <c r="AC102" s="511" t="s">
        <v>1845</v>
      </c>
      <c r="AD102" s="512" t="s">
        <v>1847</v>
      </c>
      <c r="AE102" s="512">
        <v>14.8</v>
      </c>
      <c r="AF102" s="512" t="s">
        <v>1846</v>
      </c>
      <c r="AG102" s="514">
        <v>11</v>
      </c>
      <c r="AH102" s="556" t="s">
        <v>2012</v>
      </c>
      <c r="AI102" s="556" t="s">
        <v>2012</v>
      </c>
      <c r="AJ102" s="514">
        <v>5.416666666666667</v>
      </c>
      <c r="AK102" s="514">
        <v>11.24</v>
      </c>
      <c r="AL102" s="501">
        <v>1019</v>
      </c>
      <c r="AM102" s="501">
        <v>0</v>
      </c>
      <c r="AN102" s="374"/>
    </row>
    <row r="103" spans="1:40" ht="12.75" customHeight="1">
      <c r="A103" s="56">
        <v>820721</v>
      </c>
      <c r="B103" s="83" t="s">
        <v>2035</v>
      </c>
      <c r="C103" s="325" t="s">
        <v>2358</v>
      </c>
      <c r="D103" s="325" t="s">
        <v>160</v>
      </c>
      <c r="E103" s="325" t="s">
        <v>160</v>
      </c>
      <c r="F103" s="325" t="s">
        <v>2358</v>
      </c>
      <c r="G103" s="325" t="s">
        <v>1841</v>
      </c>
      <c r="H103" s="325" t="s">
        <v>160</v>
      </c>
      <c r="I103" s="325" t="s">
        <v>2177</v>
      </c>
      <c r="J103" s="318" t="s">
        <v>2158</v>
      </c>
      <c r="K103" s="311" t="s">
        <v>2179</v>
      </c>
      <c r="L103" s="332">
        <v>25</v>
      </c>
      <c r="O103" s="313" t="s">
        <v>160</v>
      </c>
      <c r="P103" s="333">
        <v>18.5</v>
      </c>
      <c r="Q103" s="333">
        <v>801.01</v>
      </c>
      <c r="R103" s="333">
        <v>0.224</v>
      </c>
      <c r="S103" s="310">
        <v>2.3095841500106115E-2</v>
      </c>
      <c r="T103" s="310">
        <v>82.589285714285708</v>
      </c>
      <c r="U103" s="356" t="s">
        <v>154</v>
      </c>
      <c r="V103" s="310" t="s">
        <v>947</v>
      </c>
      <c r="W103" s="310" t="s">
        <v>1842</v>
      </c>
      <c r="X103" s="310" t="s">
        <v>1002</v>
      </c>
      <c r="Y103" s="325" t="s">
        <v>1032</v>
      </c>
      <c r="AA103" s="333">
        <v>3761</v>
      </c>
      <c r="AC103" s="325" t="s">
        <v>1844</v>
      </c>
      <c r="AD103" s="9" t="s">
        <v>1846</v>
      </c>
      <c r="AE103" s="310">
        <v>16.3</v>
      </c>
      <c r="AF103" s="310" t="s">
        <v>1848</v>
      </c>
      <c r="AG103" s="310">
        <v>3.7</v>
      </c>
      <c r="AH103" s="379" t="s">
        <v>2363</v>
      </c>
      <c r="AI103" s="379" t="s">
        <v>2363</v>
      </c>
      <c r="AJ103" s="514">
        <v>0</v>
      </c>
      <c r="AK103" s="514">
        <v>11.24</v>
      </c>
      <c r="AL103" s="501">
        <v>1019</v>
      </c>
      <c r="AM103" s="501">
        <v>1508</v>
      </c>
      <c r="AN103" s="374"/>
    </row>
    <row r="104" spans="1:40" ht="12.75" customHeight="1">
      <c r="A104" s="56">
        <v>820720</v>
      </c>
      <c r="B104" s="83" t="s">
        <v>2038</v>
      </c>
      <c r="C104" s="325" t="s">
        <v>2039</v>
      </c>
      <c r="D104" s="325" t="s">
        <v>160</v>
      </c>
      <c r="E104" s="325" t="s">
        <v>160</v>
      </c>
      <c r="F104" s="325" t="s">
        <v>2039</v>
      </c>
      <c r="G104" s="325" t="s">
        <v>1841</v>
      </c>
      <c r="H104" s="325" t="s">
        <v>160</v>
      </c>
      <c r="I104" s="325" t="s">
        <v>2177</v>
      </c>
      <c r="J104" s="318" t="s">
        <v>2158</v>
      </c>
      <c r="K104" s="311" t="s">
        <v>2179</v>
      </c>
      <c r="L104" s="332">
        <v>25</v>
      </c>
      <c r="O104" s="313" t="s">
        <v>160</v>
      </c>
      <c r="P104" s="333">
        <v>17.5</v>
      </c>
      <c r="Q104" s="333">
        <v>2383.3000000000002</v>
      </c>
      <c r="R104" s="333">
        <v>0.377</v>
      </c>
      <c r="S104" s="310">
        <v>7.3427600386019379E-3</v>
      </c>
      <c r="T104" s="310">
        <v>46.419098143236077</v>
      </c>
      <c r="U104" s="356" t="s">
        <v>154</v>
      </c>
      <c r="V104" s="310" t="s">
        <v>947</v>
      </c>
      <c r="W104" s="310" t="s">
        <v>1842</v>
      </c>
      <c r="X104" s="310" t="s">
        <v>1002</v>
      </c>
      <c r="Y104" s="325" t="s">
        <v>1032</v>
      </c>
      <c r="AA104" s="333">
        <v>3761</v>
      </c>
      <c r="AC104" s="325" t="s">
        <v>1844</v>
      </c>
      <c r="AD104" t="s">
        <v>1846</v>
      </c>
      <c r="AE104" s="310">
        <v>14.1</v>
      </c>
      <c r="AF104" s="310" t="s">
        <v>1848</v>
      </c>
      <c r="AG104" s="310">
        <v>3.2</v>
      </c>
      <c r="AH104" s="379" t="s">
        <v>2055</v>
      </c>
      <c r="AI104" s="379" t="s">
        <v>2055</v>
      </c>
      <c r="AJ104" s="514">
        <v>0</v>
      </c>
      <c r="AK104" s="514">
        <v>11.24</v>
      </c>
      <c r="AL104" s="501">
        <v>1019</v>
      </c>
      <c r="AM104" s="501">
        <v>1508</v>
      </c>
      <c r="AN104" s="374"/>
    </row>
    <row r="105" spans="1:40" ht="12.75" customHeight="1">
      <c r="A105" s="56">
        <v>820808</v>
      </c>
      <c r="B105" s="83" t="s">
        <v>2317</v>
      </c>
      <c r="C105" s="83" t="s">
        <v>2202</v>
      </c>
      <c r="D105" s="83" t="s">
        <v>160</v>
      </c>
      <c r="E105" s="83" t="s">
        <v>1010</v>
      </c>
      <c r="F105" s="83" t="s">
        <v>2202</v>
      </c>
      <c r="G105" s="83" t="s">
        <v>1841</v>
      </c>
      <c r="H105" s="83" t="s">
        <v>160</v>
      </c>
      <c r="I105" s="83" t="s">
        <v>2199</v>
      </c>
      <c r="J105" s="318" t="s">
        <v>2158</v>
      </c>
      <c r="K105" s="311" t="s">
        <v>2179</v>
      </c>
      <c r="L105" s="332">
        <v>11</v>
      </c>
      <c r="O105" s="313" t="s">
        <v>160</v>
      </c>
      <c r="P105" s="333">
        <v>120</v>
      </c>
      <c r="Q105" s="333">
        <v>909.62</v>
      </c>
      <c r="R105" s="333">
        <v>0.35299999999999998</v>
      </c>
      <c r="S105" s="310">
        <v>0.131923220685561</v>
      </c>
      <c r="T105" s="310">
        <v>339.94334277620396</v>
      </c>
      <c r="U105" s="356" t="s">
        <v>154</v>
      </c>
      <c r="V105" s="310" t="s">
        <v>947</v>
      </c>
      <c r="W105" s="310" t="s">
        <v>1842</v>
      </c>
      <c r="X105" s="310" t="s">
        <v>1002</v>
      </c>
      <c r="Y105" s="325" t="s">
        <v>1032</v>
      </c>
      <c r="AA105" s="333">
        <v>40.506109117262078</v>
      </c>
      <c r="AC105" s="83" t="s">
        <v>2200</v>
      </c>
      <c r="AD105" t="s">
        <v>2180</v>
      </c>
      <c r="AE105" s="593" t="s">
        <v>2180</v>
      </c>
      <c r="AF105" s="310" t="s">
        <v>2180</v>
      </c>
      <c r="AG105" s="593" t="s">
        <v>2180</v>
      </c>
      <c r="AH105" s="379" t="s">
        <v>2202</v>
      </c>
      <c r="AI105" s="379" t="s">
        <v>2202</v>
      </c>
      <c r="AJ105" s="594">
        <v>0</v>
      </c>
      <c r="AK105" s="594">
        <v>50</v>
      </c>
      <c r="AL105" s="501">
        <v>1019</v>
      </c>
      <c r="AM105" s="501">
        <v>1508</v>
      </c>
      <c r="AN105" s="374">
        <v>103.08257142857141</v>
      </c>
    </row>
    <row r="106" spans="1:40" ht="12.75" customHeight="1">
      <c r="A106" s="56">
        <v>820809</v>
      </c>
      <c r="B106" s="83" t="s">
        <v>2318</v>
      </c>
      <c r="C106" s="83" t="s">
        <v>2203</v>
      </c>
      <c r="D106" s="83" t="s">
        <v>160</v>
      </c>
      <c r="E106" s="83" t="s">
        <v>1010</v>
      </c>
      <c r="F106" s="83" t="s">
        <v>2203</v>
      </c>
      <c r="G106" s="83" t="s">
        <v>1841</v>
      </c>
      <c r="H106" s="83" t="s">
        <v>160</v>
      </c>
      <c r="I106" s="83" t="s">
        <v>2199</v>
      </c>
      <c r="J106" s="318" t="s">
        <v>2158</v>
      </c>
      <c r="K106" s="311" t="s">
        <v>2179</v>
      </c>
      <c r="L106" s="332">
        <v>11</v>
      </c>
      <c r="O106" s="313" t="s">
        <v>160</v>
      </c>
      <c r="P106" s="333">
        <v>85</v>
      </c>
      <c r="Q106" s="333">
        <v>2255.7199999999998</v>
      </c>
      <c r="R106" s="333">
        <v>0.35299999999999998</v>
      </c>
      <c r="S106" s="310">
        <v>3.7681981806252554E-2</v>
      </c>
      <c r="T106" s="310">
        <v>254.49101796407183</v>
      </c>
      <c r="U106" s="356" t="s">
        <v>154</v>
      </c>
      <c r="V106" s="310" t="s">
        <v>947</v>
      </c>
      <c r="W106" s="310" t="s">
        <v>1842</v>
      </c>
      <c r="X106" s="310" t="s">
        <v>1002</v>
      </c>
      <c r="Y106" s="325" t="s">
        <v>1032</v>
      </c>
      <c r="AA106" s="333">
        <v>175</v>
      </c>
      <c r="AC106" s="83" t="s">
        <v>2200</v>
      </c>
      <c r="AD106" t="s">
        <v>2180</v>
      </c>
      <c r="AE106" s="593" t="s">
        <v>2180</v>
      </c>
      <c r="AF106" s="310" t="s">
        <v>2180</v>
      </c>
      <c r="AG106" s="593" t="s">
        <v>2180</v>
      </c>
      <c r="AH106" s="379" t="s">
        <v>2203</v>
      </c>
      <c r="AI106" s="379" t="s">
        <v>2203</v>
      </c>
      <c r="AJ106" s="594">
        <v>0</v>
      </c>
      <c r="AK106" s="594">
        <v>50</v>
      </c>
      <c r="AL106" s="501">
        <v>1019</v>
      </c>
      <c r="AM106" s="501">
        <v>1508</v>
      </c>
      <c r="AN106" s="374"/>
    </row>
    <row r="107" spans="1:40" ht="12.75" customHeight="1">
      <c r="A107" s="349">
        <v>820810</v>
      </c>
      <c r="B107" s="83" t="s">
        <v>2319</v>
      </c>
      <c r="C107" s="83" t="s">
        <v>2320</v>
      </c>
      <c r="D107" s="83" t="s">
        <v>160</v>
      </c>
      <c r="E107" s="83" t="s">
        <v>1010</v>
      </c>
      <c r="F107" s="83" t="s">
        <v>2320</v>
      </c>
      <c r="G107" s="83" t="s">
        <v>1841</v>
      </c>
      <c r="H107" s="83" t="s">
        <v>160</v>
      </c>
      <c r="I107" s="83" t="s">
        <v>2199</v>
      </c>
      <c r="J107" s="318" t="s">
        <v>2158</v>
      </c>
      <c r="K107" s="311" t="s">
        <v>2179</v>
      </c>
      <c r="L107" s="332">
        <v>11</v>
      </c>
      <c r="M107" s="518"/>
      <c r="N107" s="374"/>
      <c r="O107" s="519" t="s">
        <v>160</v>
      </c>
      <c r="P107" s="333">
        <v>65</v>
      </c>
      <c r="Q107" s="333">
        <v>677.05</v>
      </c>
      <c r="R107" s="333">
        <v>0.35299999999999998</v>
      </c>
      <c r="S107" s="310">
        <v>9.6004726386529807E-2</v>
      </c>
      <c r="T107" s="310">
        <v>194.61077844311376</v>
      </c>
      <c r="U107" s="356" t="s">
        <v>154</v>
      </c>
      <c r="V107" s="310" t="s">
        <v>947</v>
      </c>
      <c r="W107" s="310" t="s">
        <v>1842</v>
      </c>
      <c r="X107" s="310" t="s">
        <v>1002</v>
      </c>
      <c r="Y107" s="325" t="s">
        <v>1032</v>
      </c>
      <c r="AA107" s="333">
        <v>175</v>
      </c>
      <c r="AB107" s="374"/>
      <c r="AC107" s="83" t="s">
        <v>2200</v>
      </c>
      <c r="AD107" t="s">
        <v>2180</v>
      </c>
      <c r="AE107" s="593" t="s">
        <v>2180</v>
      </c>
      <c r="AF107" s="310" t="s">
        <v>2180</v>
      </c>
      <c r="AG107" s="593" t="s">
        <v>2180</v>
      </c>
      <c r="AH107" s="379" t="s">
        <v>2320</v>
      </c>
      <c r="AI107" s="379" t="s">
        <v>2320</v>
      </c>
      <c r="AJ107" s="594">
        <v>0</v>
      </c>
      <c r="AK107" s="594">
        <v>50</v>
      </c>
      <c r="AL107" s="501">
        <v>1019</v>
      </c>
      <c r="AM107" s="501">
        <v>1508</v>
      </c>
      <c r="AN107" s="374"/>
    </row>
    <row r="108" spans="1:40" ht="12.75" customHeight="1">
      <c r="A108" s="56">
        <v>820812</v>
      </c>
      <c r="B108" s="83" t="s">
        <v>2321</v>
      </c>
      <c r="C108" s="83" t="s">
        <v>2205</v>
      </c>
      <c r="D108" s="83" t="s">
        <v>160</v>
      </c>
      <c r="E108" s="83" t="s">
        <v>1010</v>
      </c>
      <c r="F108" s="83" t="s">
        <v>2205</v>
      </c>
      <c r="G108" s="83" t="s">
        <v>1841</v>
      </c>
      <c r="H108" s="83" t="s">
        <v>160</v>
      </c>
      <c r="I108" s="83" t="s">
        <v>2199</v>
      </c>
      <c r="J108" s="318" t="s">
        <v>2158</v>
      </c>
      <c r="K108" s="311" t="s">
        <v>2179</v>
      </c>
      <c r="L108" s="332">
        <v>11</v>
      </c>
      <c r="O108" s="313" t="s">
        <v>160</v>
      </c>
      <c r="P108" s="333">
        <v>40</v>
      </c>
      <c r="Q108" s="333">
        <v>1578.66</v>
      </c>
      <c r="R108" s="333">
        <v>0</v>
      </c>
      <c r="S108" s="310">
        <v>2.5337944839294083E-2</v>
      </c>
      <c r="T108" s="310">
        <v>0</v>
      </c>
      <c r="U108" s="356" t="s">
        <v>154</v>
      </c>
      <c r="V108" s="310" t="s">
        <v>947</v>
      </c>
      <c r="W108" s="310" t="s">
        <v>1842</v>
      </c>
      <c r="X108" s="310" t="s">
        <v>1002</v>
      </c>
      <c r="Y108" s="325" t="s">
        <v>1032</v>
      </c>
      <c r="AA108" s="333">
        <v>175</v>
      </c>
      <c r="AC108" s="83" t="s">
        <v>2200</v>
      </c>
      <c r="AD108" t="s">
        <v>2180</v>
      </c>
      <c r="AE108" s="593" t="s">
        <v>2180</v>
      </c>
      <c r="AF108" s="310" t="s">
        <v>2180</v>
      </c>
      <c r="AG108" s="593" t="s">
        <v>2180</v>
      </c>
      <c r="AH108" s="379" t="s">
        <v>2205</v>
      </c>
      <c r="AI108" s="379" t="s">
        <v>2205</v>
      </c>
      <c r="AJ108" s="594">
        <v>0</v>
      </c>
      <c r="AK108" s="594">
        <v>50</v>
      </c>
      <c r="AL108" s="501">
        <v>1019</v>
      </c>
      <c r="AM108" s="501">
        <v>1508</v>
      </c>
      <c r="AN108" s="374"/>
    </row>
    <row r="109" spans="1:40" ht="12.75" customHeight="1">
      <c r="A109" s="56">
        <v>820811</v>
      </c>
      <c r="B109" s="83" t="s">
        <v>2322</v>
      </c>
      <c r="C109" s="83" t="s">
        <v>2204</v>
      </c>
      <c r="D109" s="83" t="s">
        <v>160</v>
      </c>
      <c r="E109" s="83" t="s">
        <v>1010</v>
      </c>
      <c r="F109" s="83" t="s">
        <v>2204</v>
      </c>
      <c r="G109" s="83" t="s">
        <v>1841</v>
      </c>
      <c r="H109" s="83" t="s">
        <v>160</v>
      </c>
      <c r="I109" s="83" t="s">
        <v>2199</v>
      </c>
      <c r="J109" s="318" t="s">
        <v>2158</v>
      </c>
      <c r="K109" s="311" t="s">
        <v>2179</v>
      </c>
      <c r="L109" s="332">
        <v>11</v>
      </c>
      <c r="O109" s="313" t="s">
        <v>160</v>
      </c>
      <c r="P109" s="333">
        <v>40</v>
      </c>
      <c r="Q109" s="333">
        <v>2255.7199999999998</v>
      </c>
      <c r="R109" s="333">
        <v>0.35299999999999998</v>
      </c>
      <c r="S109" s="310">
        <v>1.7732697320589436E-2</v>
      </c>
      <c r="T109" s="310">
        <v>119.76047904191616</v>
      </c>
      <c r="U109" s="356" t="s">
        <v>154</v>
      </c>
      <c r="V109" s="310" t="s">
        <v>947</v>
      </c>
      <c r="W109" s="310" t="s">
        <v>1842</v>
      </c>
      <c r="X109" s="310" t="s">
        <v>1002</v>
      </c>
      <c r="Y109" s="325" t="s">
        <v>1032</v>
      </c>
      <c r="AA109" s="333">
        <v>175</v>
      </c>
      <c r="AC109" s="83" t="s">
        <v>2200</v>
      </c>
      <c r="AD109" t="s">
        <v>2180</v>
      </c>
      <c r="AE109" s="593" t="s">
        <v>2180</v>
      </c>
      <c r="AF109" s="310" t="s">
        <v>2180</v>
      </c>
      <c r="AG109" s="593" t="s">
        <v>2180</v>
      </c>
      <c r="AH109" s="379" t="s">
        <v>2204</v>
      </c>
      <c r="AI109" s="379" t="s">
        <v>2204</v>
      </c>
      <c r="AJ109" s="594">
        <v>0</v>
      </c>
      <c r="AK109" s="594">
        <v>50</v>
      </c>
      <c r="AL109" s="501">
        <v>1019</v>
      </c>
      <c r="AM109" s="501">
        <v>1508</v>
      </c>
      <c r="AN109" s="374"/>
    </row>
    <row r="110" spans="1:40" ht="12.75" customHeight="1">
      <c r="A110" s="56">
        <v>820743</v>
      </c>
      <c r="B110" s="83" t="s">
        <v>2323</v>
      </c>
      <c r="C110" s="83" t="s">
        <v>2181</v>
      </c>
      <c r="D110" s="83" t="s">
        <v>160</v>
      </c>
      <c r="E110" s="83" t="s">
        <v>160</v>
      </c>
      <c r="F110" s="83" t="s">
        <v>2181</v>
      </c>
      <c r="G110" s="83" t="s">
        <v>1841</v>
      </c>
      <c r="H110" s="83" t="s">
        <v>160</v>
      </c>
      <c r="I110" s="83" t="s">
        <v>2174</v>
      </c>
      <c r="J110" s="318" t="s">
        <v>2158</v>
      </c>
      <c r="K110" s="311" t="s">
        <v>2179</v>
      </c>
      <c r="L110" s="332">
        <v>23</v>
      </c>
      <c r="O110" s="313" t="s">
        <v>160</v>
      </c>
      <c r="P110" s="333">
        <v>4</v>
      </c>
      <c r="Q110" s="333">
        <v>50</v>
      </c>
      <c r="R110" s="333">
        <v>8.9999999999999993E-3</v>
      </c>
      <c r="S110" s="310">
        <v>0.08</v>
      </c>
      <c r="T110" s="310">
        <v>444.44444444444446</v>
      </c>
      <c r="U110" s="356" t="s">
        <v>154</v>
      </c>
      <c r="V110" s="310" t="s">
        <v>947</v>
      </c>
      <c r="W110" s="310" t="s">
        <v>1842</v>
      </c>
      <c r="X110" s="310" t="s">
        <v>1002</v>
      </c>
      <c r="Y110" s="325" t="s">
        <v>1032</v>
      </c>
      <c r="AA110" s="333">
        <v>66</v>
      </c>
      <c r="AC110" s="522" t="s">
        <v>2229</v>
      </c>
      <c r="AD110" t="s">
        <v>2208</v>
      </c>
      <c r="AE110" s="310">
        <v>0.55000000000000004</v>
      </c>
      <c r="AF110" s="310" t="s">
        <v>2206</v>
      </c>
      <c r="AG110" s="310">
        <v>0.61</v>
      </c>
      <c r="AH110" s="379" t="s">
        <v>2181</v>
      </c>
      <c r="AI110" s="379" t="s">
        <v>2181</v>
      </c>
      <c r="AJ110" s="514">
        <v>0</v>
      </c>
      <c r="AK110" s="514">
        <v>150</v>
      </c>
      <c r="AL110" s="501">
        <v>1019</v>
      </c>
      <c r="AM110" s="501">
        <v>1508</v>
      </c>
      <c r="AN110" s="374"/>
    </row>
    <row r="111" spans="1:40" ht="12.75" customHeight="1">
      <c r="A111" s="56">
        <v>820744</v>
      </c>
      <c r="B111" s="83" t="s">
        <v>2324</v>
      </c>
      <c r="C111" s="83" t="s">
        <v>2182</v>
      </c>
      <c r="D111" s="83" t="s">
        <v>160</v>
      </c>
      <c r="E111" s="83" t="s">
        <v>160</v>
      </c>
      <c r="F111" s="83" t="s">
        <v>2182</v>
      </c>
      <c r="G111" s="83" t="s">
        <v>1841</v>
      </c>
      <c r="H111" s="83" t="s">
        <v>160</v>
      </c>
      <c r="I111" s="83" t="s">
        <v>2175</v>
      </c>
      <c r="J111" s="318" t="s">
        <v>2158</v>
      </c>
      <c r="K111" s="311" t="s">
        <v>2179</v>
      </c>
      <c r="L111" s="332">
        <v>23</v>
      </c>
      <c r="O111" s="313" t="s">
        <v>160</v>
      </c>
      <c r="P111" s="333">
        <v>4</v>
      </c>
      <c r="Q111" s="333">
        <v>27</v>
      </c>
      <c r="R111" s="333">
        <v>9.0999999999999998E-2</v>
      </c>
      <c r="S111" s="310">
        <v>0.14814814814814814</v>
      </c>
      <c r="T111" s="310">
        <v>43.956043956043956</v>
      </c>
      <c r="U111" s="356" t="s">
        <v>154</v>
      </c>
      <c r="V111" s="310" t="s">
        <v>947</v>
      </c>
      <c r="W111" s="310" t="s">
        <v>1842</v>
      </c>
      <c r="X111" s="310" t="s">
        <v>1002</v>
      </c>
      <c r="Y111" s="325" t="s">
        <v>1032</v>
      </c>
      <c r="AA111" s="333">
        <v>120.5</v>
      </c>
      <c r="AC111" s="522" t="s">
        <v>2229</v>
      </c>
      <c r="AD111" t="s">
        <v>2208</v>
      </c>
      <c r="AE111" s="310">
        <v>0.6</v>
      </c>
      <c r="AF111" s="310" t="s">
        <v>2206</v>
      </c>
      <c r="AG111" s="310">
        <v>0.75</v>
      </c>
      <c r="AH111" s="379" t="s">
        <v>2182</v>
      </c>
      <c r="AI111" s="379" t="s">
        <v>2182</v>
      </c>
      <c r="AJ111" s="514">
        <v>0</v>
      </c>
      <c r="AK111" s="514">
        <v>75</v>
      </c>
      <c r="AL111" s="501">
        <v>1019</v>
      </c>
      <c r="AM111" s="501">
        <v>1508</v>
      </c>
      <c r="AN111" s="374"/>
    </row>
    <row r="112" spans="1:40" ht="12.75" customHeight="1">
      <c r="A112" s="56">
        <v>820722</v>
      </c>
      <c r="B112" s="83" t="s">
        <v>2036</v>
      </c>
      <c r="C112" s="325" t="s">
        <v>2359</v>
      </c>
      <c r="D112" s="325" t="s">
        <v>160</v>
      </c>
      <c r="E112" s="325" t="s">
        <v>160</v>
      </c>
      <c r="F112" s="325" t="s">
        <v>2359</v>
      </c>
      <c r="G112" s="325" t="s">
        <v>1841</v>
      </c>
      <c r="H112" s="325" t="s">
        <v>160</v>
      </c>
      <c r="I112" s="325" t="s">
        <v>2177</v>
      </c>
      <c r="J112" s="318" t="s">
        <v>2158</v>
      </c>
      <c r="K112" s="311" t="s">
        <v>2179</v>
      </c>
      <c r="L112" s="332">
        <v>16</v>
      </c>
      <c r="O112" s="313" t="s">
        <v>160</v>
      </c>
      <c r="P112" s="333">
        <v>14</v>
      </c>
      <c r="Q112" s="333">
        <v>302.39</v>
      </c>
      <c r="R112" s="333">
        <v>0.21</v>
      </c>
      <c r="S112" s="310">
        <v>4.6297827309104138E-2</v>
      </c>
      <c r="T112" s="310">
        <v>66.666666666666671</v>
      </c>
      <c r="U112" s="356" t="s">
        <v>154</v>
      </c>
      <c r="V112" s="310" t="s">
        <v>947</v>
      </c>
      <c r="W112" s="310" t="s">
        <v>1842</v>
      </c>
      <c r="X112" s="310" t="s">
        <v>1002</v>
      </c>
      <c r="Y112" s="325" t="s">
        <v>1032</v>
      </c>
      <c r="AA112" s="333">
        <v>125</v>
      </c>
      <c r="AC112" s="325" t="s">
        <v>1844</v>
      </c>
      <c r="AD112" s="9" t="s">
        <v>1846</v>
      </c>
      <c r="AE112" s="310">
        <v>12.2</v>
      </c>
      <c r="AF112" s="310" t="s">
        <v>1848</v>
      </c>
      <c r="AG112" s="310">
        <v>4.3</v>
      </c>
      <c r="AH112" s="379" t="s">
        <v>2361</v>
      </c>
      <c r="AI112" s="379" t="s">
        <v>2361</v>
      </c>
      <c r="AJ112" s="514">
        <v>0</v>
      </c>
      <c r="AK112" s="514">
        <v>1.415</v>
      </c>
      <c r="AL112" s="501">
        <v>1019</v>
      </c>
      <c r="AM112" s="501">
        <v>1508</v>
      </c>
      <c r="AN112" s="374"/>
    </row>
    <row r="113" spans="1:45" ht="12.75" customHeight="1">
      <c r="A113" s="56">
        <v>820723</v>
      </c>
      <c r="B113" s="83" t="s">
        <v>2037</v>
      </c>
      <c r="C113" s="325" t="s">
        <v>2360</v>
      </c>
      <c r="D113" s="325" t="s">
        <v>160</v>
      </c>
      <c r="E113" s="325" t="s">
        <v>160</v>
      </c>
      <c r="F113" s="325" t="s">
        <v>2360</v>
      </c>
      <c r="G113" s="325" t="s">
        <v>1841</v>
      </c>
      <c r="H113" s="325" t="s">
        <v>160</v>
      </c>
      <c r="I113" s="325" t="s">
        <v>2177</v>
      </c>
      <c r="J113" s="318" t="s">
        <v>2158</v>
      </c>
      <c r="K113" s="311" t="s">
        <v>2179</v>
      </c>
      <c r="L113" s="332">
        <v>16</v>
      </c>
      <c r="O113" s="313" t="s">
        <v>160</v>
      </c>
      <c r="P113" s="333">
        <v>19</v>
      </c>
      <c r="Q113" s="333">
        <v>1424.91</v>
      </c>
      <c r="R113" s="333">
        <v>0.90800000000000003</v>
      </c>
      <c r="S113" s="310">
        <v>1.3334175491785446E-2</v>
      </c>
      <c r="T113" s="310">
        <v>20.92511013215859</v>
      </c>
      <c r="U113" s="356" t="s">
        <v>154</v>
      </c>
      <c r="V113" s="310" t="s">
        <v>947</v>
      </c>
      <c r="W113" s="310" t="s">
        <v>1842</v>
      </c>
      <c r="X113" s="310" t="s">
        <v>1002</v>
      </c>
      <c r="Y113" s="325" t="s">
        <v>1032</v>
      </c>
      <c r="AA113" s="333">
        <v>808.33</v>
      </c>
      <c r="AC113" s="325" t="s">
        <v>1844</v>
      </c>
      <c r="AD113" t="s">
        <v>1846</v>
      </c>
      <c r="AE113" s="310">
        <v>13</v>
      </c>
      <c r="AF113" s="310" t="s">
        <v>1848</v>
      </c>
      <c r="AG113" s="310">
        <v>4.3</v>
      </c>
      <c r="AH113" s="379" t="s">
        <v>2362</v>
      </c>
      <c r="AI113" s="379" t="s">
        <v>2362</v>
      </c>
      <c r="AJ113" s="514">
        <v>1.4166666666666667</v>
      </c>
      <c r="AK113" s="514">
        <v>11.24</v>
      </c>
      <c r="AL113" s="501">
        <v>1019</v>
      </c>
      <c r="AM113" s="501">
        <v>1508</v>
      </c>
      <c r="AN113" s="374"/>
    </row>
    <row r="114" spans="1:45" ht="12.75" customHeight="1">
      <c r="A114" s="350"/>
      <c r="O114" s="313"/>
      <c r="P114" s="313"/>
      <c r="R114" s="399"/>
    </row>
    <row r="115" spans="1:45" ht="12.75" customHeight="1">
      <c r="O115" s="313"/>
      <c r="P115" s="313"/>
      <c r="R115" s="399"/>
    </row>
    <row r="116" spans="1:45" ht="12.75" customHeight="1">
      <c r="A116" s="349" t="s">
        <v>852</v>
      </c>
      <c r="B116" s="310" t="s">
        <v>853</v>
      </c>
      <c r="C116" s="310" t="s">
        <v>854</v>
      </c>
      <c r="D116" s="310" t="s">
        <v>855</v>
      </c>
      <c r="E116" s="310" t="s">
        <v>856</v>
      </c>
      <c r="F116" s="310" t="s">
        <v>144</v>
      </c>
      <c r="G116" s="310" t="s">
        <v>857</v>
      </c>
      <c r="H116" s="310" t="s">
        <v>858</v>
      </c>
      <c r="I116" s="310" t="s">
        <v>145</v>
      </c>
      <c r="J116" s="374" t="s">
        <v>1450</v>
      </c>
      <c r="K116" s="311" t="s">
        <v>859</v>
      </c>
      <c r="L116" s="310" t="s">
        <v>148</v>
      </c>
      <c r="M116" s="312" t="s">
        <v>860</v>
      </c>
      <c r="N116" s="310" t="s">
        <v>153</v>
      </c>
      <c r="O116" s="310" t="s">
        <v>687</v>
      </c>
      <c r="P116" s="310" t="s">
        <v>147</v>
      </c>
      <c r="Q116" s="310" t="s">
        <v>150</v>
      </c>
      <c r="R116" s="399" t="s">
        <v>861</v>
      </c>
      <c r="S116" s="310" t="s">
        <v>862</v>
      </c>
      <c r="T116" s="310" t="s">
        <v>863</v>
      </c>
      <c r="U116" s="310" t="s">
        <v>142</v>
      </c>
      <c r="V116" s="310" t="s">
        <v>0</v>
      </c>
      <c r="W116" s="310" t="s">
        <v>864</v>
      </c>
      <c r="X116" s="310" t="s">
        <v>489</v>
      </c>
      <c r="Y116" s="310" t="s">
        <v>152</v>
      </c>
      <c r="Z116" s="310" t="s">
        <v>817</v>
      </c>
      <c r="AA116" s="310" t="s">
        <v>151</v>
      </c>
      <c r="AB116" s="310" t="s">
        <v>865</v>
      </c>
      <c r="AC116" s="310" t="s">
        <v>100</v>
      </c>
      <c r="AD116" s="315" t="s">
        <v>169</v>
      </c>
      <c r="AE116" s="315" t="s">
        <v>170</v>
      </c>
      <c r="AF116" s="315" t="s">
        <v>173</v>
      </c>
      <c r="AG116" s="315" t="s">
        <v>220</v>
      </c>
      <c r="AH116" s="315" t="s">
        <v>171</v>
      </c>
      <c r="AI116" s="315" t="s">
        <v>172</v>
      </c>
      <c r="AJ116" s="315" t="s">
        <v>174</v>
      </c>
      <c r="AK116" s="315" t="s">
        <v>188</v>
      </c>
      <c r="AO116" s="83"/>
      <c r="AP116" s="83"/>
      <c r="AQ116" s="83"/>
      <c r="AR116" s="83"/>
      <c r="AS116" s="83"/>
    </row>
    <row r="117" spans="1:45" ht="12.75" customHeight="1">
      <c r="A117" s="56">
        <v>851028</v>
      </c>
      <c r="B117" s="83" t="s">
        <v>2325</v>
      </c>
      <c r="C117" s="83" t="s">
        <v>2194</v>
      </c>
      <c r="D117" s="310" t="s">
        <v>1019</v>
      </c>
      <c r="E117" s="325" t="s">
        <v>963</v>
      </c>
      <c r="F117" s="83" t="s">
        <v>2194</v>
      </c>
      <c r="G117" s="310" t="s">
        <v>1019</v>
      </c>
      <c r="H117" s="325" t="s">
        <v>963</v>
      </c>
      <c r="I117" s="325" t="s">
        <v>1149</v>
      </c>
      <c r="J117" s="318" t="s">
        <v>2158</v>
      </c>
      <c r="K117" s="311" t="s">
        <v>2179</v>
      </c>
      <c r="L117" s="332">
        <v>20</v>
      </c>
      <c r="P117" s="333">
        <v>750</v>
      </c>
      <c r="Q117" s="334">
        <v>20513</v>
      </c>
      <c r="R117" s="397">
        <v>1.274</v>
      </c>
      <c r="S117" s="310">
        <v>3.6562180080924295E-2</v>
      </c>
      <c r="T117" s="310">
        <v>588.69701726844585</v>
      </c>
      <c r="U117" s="356" t="s">
        <v>154</v>
      </c>
      <c r="V117" s="310" t="s">
        <v>947</v>
      </c>
      <c r="W117" s="310" t="s">
        <v>1842</v>
      </c>
      <c r="X117" s="310" t="s">
        <v>1002</v>
      </c>
      <c r="Y117" s="310" t="s">
        <v>1032</v>
      </c>
      <c r="AA117" s="333">
        <v>970</v>
      </c>
      <c r="AC117" s="325" t="s">
        <v>963</v>
      </c>
      <c r="AD117" s="83" t="s">
        <v>1064</v>
      </c>
      <c r="AH117" s="83" t="s">
        <v>2194</v>
      </c>
      <c r="AI117" s="310" t="s">
        <v>2194</v>
      </c>
      <c r="AO117" s="83"/>
      <c r="AP117" s="83"/>
      <c r="AQ117" s="83"/>
      <c r="AR117" s="83"/>
      <c r="AS117" s="83"/>
    </row>
    <row r="118" spans="1:45" ht="12.75" customHeight="1">
      <c r="A118" s="56">
        <v>851029</v>
      </c>
      <c r="B118" s="83" t="s">
        <v>2326</v>
      </c>
      <c r="C118" s="83" t="s">
        <v>2195</v>
      </c>
      <c r="D118" s="310" t="s">
        <v>1019</v>
      </c>
      <c r="E118" s="325" t="s">
        <v>963</v>
      </c>
      <c r="F118" s="83" t="s">
        <v>2195</v>
      </c>
      <c r="G118" s="310" t="s">
        <v>1019</v>
      </c>
      <c r="H118" s="325" t="s">
        <v>963</v>
      </c>
      <c r="I118" s="325" t="s">
        <v>1149</v>
      </c>
      <c r="J118" s="318" t="s">
        <v>2158</v>
      </c>
      <c r="K118" s="311" t="s">
        <v>2179</v>
      </c>
      <c r="L118" s="332">
        <v>10</v>
      </c>
      <c r="P118" s="333">
        <v>50</v>
      </c>
      <c r="Q118" s="334">
        <v>2547</v>
      </c>
      <c r="R118" s="397">
        <v>0.158</v>
      </c>
      <c r="S118" s="310">
        <v>1.9630938358853552E-2</v>
      </c>
      <c r="T118" s="310">
        <v>316.45569620253167</v>
      </c>
      <c r="U118" s="356" t="s">
        <v>154</v>
      </c>
      <c r="V118" s="310" t="s">
        <v>947</v>
      </c>
      <c r="W118" s="310" t="s">
        <v>1842</v>
      </c>
      <c r="X118" s="310" t="s">
        <v>1002</v>
      </c>
      <c r="Y118" s="310" t="s">
        <v>1032</v>
      </c>
      <c r="AA118" s="333">
        <v>1710</v>
      </c>
      <c r="AC118" s="325" t="s">
        <v>963</v>
      </c>
      <c r="AD118" s="83" t="s">
        <v>1064</v>
      </c>
      <c r="AH118" s="83" t="s">
        <v>2195</v>
      </c>
      <c r="AI118" s="310" t="s">
        <v>2195</v>
      </c>
      <c r="AO118" s="83"/>
      <c r="AP118" s="83"/>
      <c r="AQ118" s="83"/>
      <c r="AR118" s="83"/>
      <c r="AS118" s="83"/>
    </row>
    <row r="119" spans="1:45" ht="12.75" customHeight="1">
      <c r="A119" s="56">
        <v>851026</v>
      </c>
      <c r="B119" s="83" t="s">
        <v>2327</v>
      </c>
      <c r="C119" s="83" t="s">
        <v>2192</v>
      </c>
      <c r="D119" s="310" t="s">
        <v>1019</v>
      </c>
      <c r="E119" s="325" t="s">
        <v>963</v>
      </c>
      <c r="F119" s="83" t="s">
        <v>2192</v>
      </c>
      <c r="G119" s="310" t="s">
        <v>1019</v>
      </c>
      <c r="H119" s="325" t="s">
        <v>963</v>
      </c>
      <c r="I119" s="325" t="s">
        <v>1149</v>
      </c>
      <c r="J119" s="318" t="s">
        <v>2158</v>
      </c>
      <c r="K119" s="311" t="s">
        <v>2179</v>
      </c>
      <c r="L119" s="332">
        <v>15</v>
      </c>
      <c r="P119" s="333">
        <v>750</v>
      </c>
      <c r="Q119" s="334">
        <v>8586</v>
      </c>
      <c r="R119" s="397">
        <v>0.53300000000000003</v>
      </c>
      <c r="S119" s="310">
        <v>8.7351502445842069E-2</v>
      </c>
      <c r="T119" s="310">
        <v>1407.1294559099435</v>
      </c>
      <c r="U119" s="356" t="s">
        <v>154</v>
      </c>
      <c r="V119" s="310" t="s">
        <v>947</v>
      </c>
      <c r="W119" s="310" t="s">
        <v>1842</v>
      </c>
      <c r="X119" s="310" t="s">
        <v>1002</v>
      </c>
      <c r="Y119" s="310" t="s">
        <v>1032</v>
      </c>
      <c r="AA119" s="333">
        <v>995</v>
      </c>
      <c r="AC119" s="325" t="s">
        <v>963</v>
      </c>
      <c r="AD119" s="83" t="s">
        <v>1064</v>
      </c>
      <c r="AH119" s="83" t="s">
        <v>2192</v>
      </c>
      <c r="AI119" s="310" t="s">
        <v>2192</v>
      </c>
      <c r="AO119" s="83"/>
      <c r="AP119" s="83"/>
      <c r="AQ119" s="83"/>
      <c r="AR119" s="83"/>
      <c r="AS119" s="83"/>
    </row>
    <row r="120" spans="1:45" ht="12.75" customHeight="1">
      <c r="A120" s="56">
        <v>851027</v>
      </c>
      <c r="B120" s="83" t="s">
        <v>2328</v>
      </c>
      <c r="C120" s="83" t="s">
        <v>2193</v>
      </c>
      <c r="D120" s="310" t="s">
        <v>1019</v>
      </c>
      <c r="E120" s="325" t="s">
        <v>963</v>
      </c>
      <c r="F120" s="83" t="s">
        <v>2193</v>
      </c>
      <c r="G120" s="310" t="s">
        <v>1019</v>
      </c>
      <c r="H120" s="325" t="s">
        <v>963</v>
      </c>
      <c r="I120" s="325" t="s">
        <v>1149</v>
      </c>
      <c r="J120" s="318" t="s">
        <v>2158</v>
      </c>
      <c r="K120" s="311" t="s">
        <v>2179</v>
      </c>
      <c r="L120" s="332">
        <v>20</v>
      </c>
      <c r="P120" s="333">
        <v>1200</v>
      </c>
      <c r="Q120" s="334">
        <v>8533</v>
      </c>
      <c r="R120" s="397">
        <v>0.53</v>
      </c>
      <c r="S120" s="310">
        <v>0.14063049337864761</v>
      </c>
      <c r="T120" s="310">
        <v>2264.1509433962265</v>
      </c>
      <c r="U120" s="356" t="s">
        <v>154</v>
      </c>
      <c r="V120" s="310" t="s">
        <v>947</v>
      </c>
      <c r="W120" s="310" t="s">
        <v>1842</v>
      </c>
      <c r="X120" s="310" t="s">
        <v>1002</v>
      </c>
      <c r="Y120" s="310" t="s">
        <v>1032</v>
      </c>
      <c r="AA120" s="333">
        <v>2050</v>
      </c>
      <c r="AC120" s="325" t="s">
        <v>963</v>
      </c>
      <c r="AD120" s="83" t="s">
        <v>1064</v>
      </c>
      <c r="AH120" s="83" t="s">
        <v>2193</v>
      </c>
      <c r="AI120" s="310" t="s">
        <v>2193</v>
      </c>
      <c r="AO120" s="83"/>
      <c r="AP120" s="83"/>
      <c r="AQ120" s="83"/>
      <c r="AR120" s="83"/>
      <c r="AS120" s="83"/>
    </row>
    <row r="121" spans="1:45" ht="12.75" customHeight="1">
      <c r="A121" s="56">
        <v>851025</v>
      </c>
      <c r="B121" s="83" t="s">
        <v>2329</v>
      </c>
      <c r="C121" s="83" t="s">
        <v>2191</v>
      </c>
      <c r="D121" s="310" t="s">
        <v>1019</v>
      </c>
      <c r="E121" s="325" t="s">
        <v>963</v>
      </c>
      <c r="F121" s="83" t="s">
        <v>2191</v>
      </c>
      <c r="G121" s="310" t="s">
        <v>1019</v>
      </c>
      <c r="H121" s="325" t="s">
        <v>963</v>
      </c>
      <c r="I121" s="325" t="s">
        <v>1149</v>
      </c>
      <c r="J121" s="318" t="s">
        <v>2158</v>
      </c>
      <c r="K121" s="311" t="s">
        <v>2179</v>
      </c>
      <c r="L121" s="332">
        <v>10</v>
      </c>
      <c r="P121" s="333">
        <v>350</v>
      </c>
      <c r="Q121" s="334">
        <v>3687</v>
      </c>
      <c r="R121" s="397">
        <v>0.22900000000000001</v>
      </c>
      <c r="S121" s="310">
        <v>9.4928125847572556E-2</v>
      </c>
      <c r="T121" s="310">
        <v>1528.3842794759826</v>
      </c>
      <c r="U121" s="356" t="s">
        <v>154</v>
      </c>
      <c r="V121" s="310" t="s">
        <v>947</v>
      </c>
      <c r="W121" s="310" t="s">
        <v>1842</v>
      </c>
      <c r="X121" s="310" t="s">
        <v>1002</v>
      </c>
      <c r="Y121" s="310" t="s">
        <v>1032</v>
      </c>
      <c r="AA121" s="333">
        <v>2025</v>
      </c>
      <c r="AC121" s="325" t="s">
        <v>963</v>
      </c>
      <c r="AD121" s="83" t="s">
        <v>1064</v>
      </c>
      <c r="AH121" s="83" t="s">
        <v>2191</v>
      </c>
      <c r="AI121" s="310" t="s">
        <v>2191</v>
      </c>
      <c r="AO121" s="83"/>
      <c r="AP121" s="83"/>
      <c r="AQ121" s="83"/>
      <c r="AR121" s="83"/>
      <c r="AS121" s="83"/>
    </row>
    <row r="122" spans="1:45" ht="12.75" customHeight="1">
      <c r="A122" s="56">
        <v>851024</v>
      </c>
      <c r="B122" s="83" t="s">
        <v>2330</v>
      </c>
      <c r="C122" s="83" t="s">
        <v>2190</v>
      </c>
      <c r="D122" s="310" t="s">
        <v>1019</v>
      </c>
      <c r="E122" s="325" t="s">
        <v>963</v>
      </c>
      <c r="F122" s="83" t="s">
        <v>2190</v>
      </c>
      <c r="G122" s="310" t="s">
        <v>1019</v>
      </c>
      <c r="H122" s="325" t="s">
        <v>963</v>
      </c>
      <c r="I122" s="325" t="s">
        <v>1149</v>
      </c>
      <c r="J122" s="318" t="s">
        <v>2158</v>
      </c>
      <c r="K122" s="311" t="s">
        <v>2179</v>
      </c>
      <c r="L122" s="332">
        <v>20</v>
      </c>
      <c r="P122" s="333">
        <v>700</v>
      </c>
      <c r="Q122" s="334">
        <v>24303</v>
      </c>
      <c r="R122" s="397">
        <v>1.5089999999999999</v>
      </c>
      <c r="S122" s="310">
        <v>2.880302843270378E-2</v>
      </c>
      <c r="T122" s="310">
        <v>463.88336646785956</v>
      </c>
      <c r="U122" s="356" t="s">
        <v>154</v>
      </c>
      <c r="V122" s="310" t="s">
        <v>947</v>
      </c>
      <c r="W122" s="310" t="s">
        <v>1842</v>
      </c>
      <c r="X122" s="310" t="s">
        <v>1002</v>
      </c>
      <c r="Y122" s="310" t="s">
        <v>1032</v>
      </c>
      <c r="AA122" s="333">
        <v>970</v>
      </c>
      <c r="AC122" s="325" t="s">
        <v>963</v>
      </c>
      <c r="AD122" s="83" t="s">
        <v>1064</v>
      </c>
      <c r="AH122" s="83" t="s">
        <v>2190</v>
      </c>
      <c r="AI122" s="310" t="s">
        <v>2190</v>
      </c>
      <c r="AO122" s="83"/>
      <c r="AP122" s="83"/>
      <c r="AQ122" s="83"/>
      <c r="AR122" s="83"/>
      <c r="AS122" s="83"/>
    </row>
    <row r="123" spans="1:45" ht="12.75" customHeight="1">
      <c r="A123" s="56">
        <v>851023</v>
      </c>
      <c r="B123" s="83" t="s">
        <v>2331</v>
      </c>
      <c r="C123" s="83" t="s">
        <v>2189</v>
      </c>
      <c r="D123" s="310" t="s">
        <v>1019</v>
      </c>
      <c r="E123" s="325" t="s">
        <v>963</v>
      </c>
      <c r="F123" s="83" t="s">
        <v>2189</v>
      </c>
      <c r="G123" s="310" t="s">
        <v>1019</v>
      </c>
      <c r="H123" s="325" t="s">
        <v>963</v>
      </c>
      <c r="I123" s="325" t="s">
        <v>1149</v>
      </c>
      <c r="J123" s="318" t="s">
        <v>2158</v>
      </c>
      <c r="K123" s="311" t="s">
        <v>2179</v>
      </c>
      <c r="L123" s="332">
        <v>15</v>
      </c>
      <c r="P123" s="333">
        <v>450</v>
      </c>
      <c r="Q123" s="334">
        <v>17369</v>
      </c>
      <c r="R123" s="397">
        <v>1.079</v>
      </c>
      <c r="S123" s="310">
        <v>2.5908227301514191E-2</v>
      </c>
      <c r="T123" s="310">
        <v>417.05282669138091</v>
      </c>
      <c r="U123" s="356" t="s">
        <v>154</v>
      </c>
      <c r="V123" s="310" t="s">
        <v>947</v>
      </c>
      <c r="W123" s="310" t="s">
        <v>1842</v>
      </c>
      <c r="X123" s="310" t="s">
        <v>1002</v>
      </c>
      <c r="Y123" s="310" t="s">
        <v>1032</v>
      </c>
      <c r="AA123" s="333">
        <v>662</v>
      </c>
      <c r="AC123" s="325" t="s">
        <v>963</v>
      </c>
      <c r="AD123" s="83" t="s">
        <v>1064</v>
      </c>
      <c r="AH123" s="83" t="s">
        <v>2189</v>
      </c>
      <c r="AI123" s="310" t="s">
        <v>2189</v>
      </c>
      <c r="AO123" s="83"/>
      <c r="AP123" s="83"/>
      <c r="AQ123" s="83"/>
      <c r="AR123" s="83"/>
      <c r="AS123" s="83"/>
    </row>
    <row r="124" spans="1:45" ht="12.75" customHeight="1">
      <c r="A124" s="56">
        <v>851022</v>
      </c>
      <c r="B124" s="83" t="s">
        <v>2332</v>
      </c>
      <c r="C124" s="83" t="s">
        <v>2188</v>
      </c>
      <c r="D124" s="310" t="s">
        <v>1019</v>
      </c>
      <c r="E124" s="325" t="s">
        <v>963</v>
      </c>
      <c r="F124" s="83" t="s">
        <v>2188</v>
      </c>
      <c r="G124" s="310" t="s">
        <v>1019</v>
      </c>
      <c r="H124" s="325" t="s">
        <v>963</v>
      </c>
      <c r="I124" s="325" t="s">
        <v>1149</v>
      </c>
      <c r="J124" s="318" t="s">
        <v>2158</v>
      </c>
      <c r="K124" s="311" t="s">
        <v>2179</v>
      </c>
      <c r="L124" s="332">
        <v>10</v>
      </c>
      <c r="P124" s="333">
        <v>150</v>
      </c>
      <c r="Q124" s="334">
        <v>3957</v>
      </c>
      <c r="R124" s="397">
        <v>0.246</v>
      </c>
      <c r="S124" s="310">
        <v>3.7907505686125852E-2</v>
      </c>
      <c r="T124" s="310">
        <v>609.7560975609756</v>
      </c>
      <c r="U124" s="356" t="s">
        <v>154</v>
      </c>
      <c r="V124" s="310" t="s">
        <v>947</v>
      </c>
      <c r="W124" s="310" t="s">
        <v>1842</v>
      </c>
      <c r="X124" s="310" t="s">
        <v>1002</v>
      </c>
      <c r="Y124" s="310" t="s">
        <v>1032</v>
      </c>
      <c r="AA124" s="333">
        <v>234</v>
      </c>
      <c r="AC124" s="325" t="s">
        <v>963</v>
      </c>
      <c r="AD124" s="83" t="s">
        <v>1064</v>
      </c>
      <c r="AH124" s="83" t="s">
        <v>2188</v>
      </c>
      <c r="AI124" s="310" t="s">
        <v>2188</v>
      </c>
      <c r="AL124" s="83"/>
      <c r="AM124" s="83"/>
      <c r="AO124" s="83"/>
      <c r="AP124" s="83"/>
      <c r="AQ124" s="83"/>
      <c r="AR124" s="83"/>
      <c r="AS124" s="83"/>
    </row>
    <row r="125" spans="1:45" ht="12.75" customHeight="1">
      <c r="A125" s="56">
        <v>851008</v>
      </c>
      <c r="B125" s="325" t="s">
        <v>1135</v>
      </c>
      <c r="C125" s="325" t="s">
        <v>1141</v>
      </c>
      <c r="D125" s="310" t="s">
        <v>1019</v>
      </c>
      <c r="E125" s="325" t="s">
        <v>962</v>
      </c>
      <c r="F125" s="325" t="s">
        <v>1065</v>
      </c>
      <c r="G125" s="310" t="s">
        <v>1019</v>
      </c>
      <c r="H125" s="325" t="s">
        <v>962</v>
      </c>
      <c r="I125" s="325" t="s">
        <v>1149</v>
      </c>
      <c r="J125" s="318" t="s">
        <v>2158</v>
      </c>
      <c r="K125" s="311" t="s">
        <v>2179</v>
      </c>
      <c r="L125" s="332">
        <v>12</v>
      </c>
      <c r="O125" s="313"/>
      <c r="P125" s="333">
        <v>175</v>
      </c>
      <c r="Q125" s="334">
        <v>3274.22</v>
      </c>
      <c r="R125" s="397">
        <v>0.504</v>
      </c>
      <c r="S125" s="310">
        <v>5.2293909701864955E-2</v>
      </c>
      <c r="T125" s="310">
        <v>747.86324786324781</v>
      </c>
      <c r="U125" s="356" t="s">
        <v>154</v>
      </c>
      <c r="V125" s="310" t="s">
        <v>947</v>
      </c>
      <c r="W125" s="310" t="s">
        <v>1842</v>
      </c>
      <c r="X125" s="310" t="s">
        <v>1002</v>
      </c>
      <c r="Y125" s="310" t="s">
        <v>1032</v>
      </c>
      <c r="AA125" s="333">
        <v>1500</v>
      </c>
      <c r="AC125" s="325" t="s">
        <v>962</v>
      </c>
      <c r="AD125" s="83" t="s">
        <v>1064</v>
      </c>
      <c r="AH125" s="83" t="s">
        <v>1065</v>
      </c>
      <c r="AI125" s="310" t="s">
        <v>1065</v>
      </c>
      <c r="AL125" s="83"/>
      <c r="AM125" s="83"/>
      <c r="AO125" s="83"/>
      <c r="AP125" s="83"/>
      <c r="AQ125" s="83"/>
      <c r="AR125" s="83"/>
      <c r="AS125" s="83"/>
    </row>
    <row r="126" spans="1:45" ht="12.75" customHeight="1">
      <c r="A126" s="56">
        <v>851013</v>
      </c>
      <c r="B126" s="325" t="s">
        <v>1136</v>
      </c>
      <c r="C126" s="325" t="s">
        <v>1142</v>
      </c>
      <c r="D126" s="310" t="s">
        <v>1019</v>
      </c>
      <c r="E126" s="325" t="s">
        <v>1146</v>
      </c>
      <c r="F126" s="325" t="s">
        <v>1147</v>
      </c>
      <c r="G126" s="310" t="s">
        <v>1019</v>
      </c>
      <c r="H126" s="325" t="s">
        <v>1146</v>
      </c>
      <c r="I126" s="325" t="s">
        <v>1149</v>
      </c>
      <c r="J126" s="318" t="s">
        <v>2158</v>
      </c>
      <c r="K126" s="311" t="s">
        <v>2179</v>
      </c>
      <c r="L126" s="332">
        <v>12</v>
      </c>
      <c r="O126" s="313"/>
      <c r="P126" s="333">
        <v>300</v>
      </c>
      <c r="Q126" s="334">
        <v>335.07</v>
      </c>
      <c r="R126" s="397">
        <v>9.1999999999999998E-2</v>
      </c>
      <c r="S126" s="310">
        <v>0.89533530307100007</v>
      </c>
      <c r="T126" s="310">
        <v>7142.8571428571422</v>
      </c>
      <c r="U126" s="356" t="s">
        <v>154</v>
      </c>
      <c r="V126" s="310" t="s">
        <v>947</v>
      </c>
      <c r="W126" s="310" t="s">
        <v>1842</v>
      </c>
      <c r="X126" s="310" t="s">
        <v>1002</v>
      </c>
      <c r="Y126" s="310" t="s">
        <v>1032</v>
      </c>
      <c r="AA126" s="333">
        <v>1000</v>
      </c>
      <c r="AC126" s="325" t="s">
        <v>926</v>
      </c>
      <c r="AD126" s="83" t="s">
        <v>1064</v>
      </c>
      <c r="AH126" s="83" t="s">
        <v>2067</v>
      </c>
      <c r="AI126" s="310" t="s">
        <v>2063</v>
      </c>
      <c r="AL126" s="83"/>
      <c r="AM126" s="83"/>
      <c r="AO126" s="83"/>
      <c r="AP126" s="83"/>
      <c r="AQ126" s="83"/>
      <c r="AR126" s="83"/>
      <c r="AS126" s="83"/>
    </row>
    <row r="127" spans="1:45" ht="12.75" customHeight="1">
      <c r="A127" s="56">
        <v>851020</v>
      </c>
      <c r="B127" s="83" t="s">
        <v>2333</v>
      </c>
      <c r="C127" s="83" t="s">
        <v>2187</v>
      </c>
      <c r="D127" s="310" t="s">
        <v>1019</v>
      </c>
      <c r="E127" s="325" t="s">
        <v>1146</v>
      </c>
      <c r="F127" s="83" t="s">
        <v>2187</v>
      </c>
      <c r="G127" s="310" t="s">
        <v>1019</v>
      </c>
      <c r="H127" s="325" t="s">
        <v>1146</v>
      </c>
      <c r="I127" s="325" t="s">
        <v>1149</v>
      </c>
      <c r="J127" s="318" t="s">
        <v>2158</v>
      </c>
      <c r="K127" s="311" t="s">
        <v>2179</v>
      </c>
      <c r="L127" s="332">
        <v>12</v>
      </c>
      <c r="P127" s="333">
        <v>325</v>
      </c>
      <c r="Q127" s="334">
        <v>1005.21</v>
      </c>
      <c r="R127" s="397">
        <v>0.27500000000000002</v>
      </c>
      <c r="S127" s="310">
        <v>0.32331552610897224</v>
      </c>
      <c r="T127" s="310">
        <v>2600</v>
      </c>
      <c r="U127" s="356" t="s">
        <v>154</v>
      </c>
      <c r="V127" s="310" t="s">
        <v>947</v>
      </c>
      <c r="W127" s="310" t="s">
        <v>1842</v>
      </c>
      <c r="X127" s="310" t="s">
        <v>1002</v>
      </c>
      <c r="Y127" s="310" t="s">
        <v>1032</v>
      </c>
      <c r="AA127" s="333">
        <v>1000</v>
      </c>
      <c r="AC127" s="325" t="s">
        <v>1146</v>
      </c>
      <c r="AD127" s="83" t="s">
        <v>1064</v>
      </c>
      <c r="AH127" s="83" t="s">
        <v>2187</v>
      </c>
      <c r="AI127" s="310" t="s">
        <v>2187</v>
      </c>
      <c r="AL127" s="83"/>
      <c r="AM127" s="83"/>
      <c r="AO127" s="83"/>
      <c r="AP127" s="83"/>
      <c r="AQ127" s="83"/>
      <c r="AR127" s="83"/>
      <c r="AS127" s="83"/>
    </row>
    <row r="128" spans="1:45" ht="12.75" customHeight="1">
      <c r="A128" s="56">
        <v>851018</v>
      </c>
      <c r="B128" s="83" t="s">
        <v>1992</v>
      </c>
      <c r="C128" s="325" t="s">
        <v>1143</v>
      </c>
      <c r="D128" s="310" t="s">
        <v>1019</v>
      </c>
      <c r="E128" s="325" t="s">
        <v>1146</v>
      </c>
      <c r="F128" s="325" t="s">
        <v>1148</v>
      </c>
      <c r="G128" s="310" t="s">
        <v>1019</v>
      </c>
      <c r="H128" s="325" t="s">
        <v>1146</v>
      </c>
      <c r="I128" s="325" t="s">
        <v>1149</v>
      </c>
      <c r="J128" s="318" t="s">
        <v>2158</v>
      </c>
      <c r="K128" s="311" t="s">
        <v>2179</v>
      </c>
      <c r="L128" s="332">
        <v>12</v>
      </c>
      <c r="O128" s="313"/>
      <c r="P128" s="333">
        <v>350</v>
      </c>
      <c r="Q128" s="334">
        <v>2343.85</v>
      </c>
      <c r="R128" s="397">
        <v>0.64200000000000002</v>
      </c>
      <c r="S128" s="310">
        <v>0.14932696204961923</v>
      </c>
      <c r="T128" s="310">
        <v>1202.7491408934709</v>
      </c>
      <c r="U128" s="356" t="s">
        <v>154</v>
      </c>
      <c r="V128" s="310" t="s">
        <v>947</v>
      </c>
      <c r="W128" s="310" t="s">
        <v>1842</v>
      </c>
      <c r="X128" s="310" t="s">
        <v>1002</v>
      </c>
      <c r="Y128" s="310" t="s">
        <v>1032</v>
      </c>
      <c r="AA128" s="333">
        <v>1000</v>
      </c>
      <c r="AC128" s="325" t="s">
        <v>926</v>
      </c>
      <c r="AD128" s="83" t="s">
        <v>1064</v>
      </c>
      <c r="AH128" s="83" t="s">
        <v>2068</v>
      </c>
      <c r="AI128" s="310" t="s">
        <v>2064</v>
      </c>
      <c r="AL128" s="83"/>
      <c r="AM128" s="83"/>
      <c r="AO128" s="83"/>
      <c r="AP128" s="83"/>
      <c r="AQ128" s="83"/>
      <c r="AR128" s="83"/>
      <c r="AS128" s="83"/>
    </row>
    <row r="129" spans="1:45" ht="12.75" customHeight="1">
      <c r="A129" s="56">
        <v>851017</v>
      </c>
      <c r="B129" s="83" t="s">
        <v>1993</v>
      </c>
      <c r="C129" s="325" t="s">
        <v>1144</v>
      </c>
      <c r="D129" s="310" t="s">
        <v>1019</v>
      </c>
      <c r="E129" s="325" t="s">
        <v>1067</v>
      </c>
      <c r="F129" s="325" t="s">
        <v>1066</v>
      </c>
      <c r="G129" s="310" t="s">
        <v>1019</v>
      </c>
      <c r="H129" s="325" t="s">
        <v>1067</v>
      </c>
      <c r="I129" s="325" t="s">
        <v>1149</v>
      </c>
      <c r="J129" s="318" t="s">
        <v>2158</v>
      </c>
      <c r="K129" s="311" t="s">
        <v>2179</v>
      </c>
      <c r="L129" s="332">
        <v>12</v>
      </c>
      <c r="O129" s="313"/>
      <c r="P129" s="333">
        <v>750</v>
      </c>
      <c r="Q129" s="334">
        <v>18739.78</v>
      </c>
      <c r="R129" s="397">
        <v>3.851</v>
      </c>
      <c r="S129" s="310">
        <v>4.0021814557054565E-2</v>
      </c>
      <c r="T129" s="310">
        <v>429.30738408700626</v>
      </c>
      <c r="U129" s="356" t="s">
        <v>154</v>
      </c>
      <c r="V129" s="310" t="s">
        <v>947</v>
      </c>
      <c r="W129" s="310" t="s">
        <v>1842</v>
      </c>
      <c r="X129" s="310" t="s">
        <v>1002</v>
      </c>
      <c r="Y129" s="310" t="s">
        <v>1032</v>
      </c>
      <c r="AA129" s="333">
        <v>2281</v>
      </c>
      <c r="AC129" s="325" t="s">
        <v>1067</v>
      </c>
      <c r="AD129" s="83" t="s">
        <v>1064</v>
      </c>
      <c r="AH129" s="83" t="s">
        <v>1066</v>
      </c>
      <c r="AI129" s="310" t="s">
        <v>1066</v>
      </c>
      <c r="AL129" s="83"/>
      <c r="AM129" s="83"/>
      <c r="AO129" s="83"/>
      <c r="AP129" s="83"/>
      <c r="AQ129" s="83"/>
      <c r="AR129" s="83"/>
      <c r="AS129" s="83"/>
    </row>
    <row r="130" spans="1:45" ht="12.75" customHeight="1">
      <c r="A130" s="56">
        <v>851014</v>
      </c>
      <c r="B130" s="83" t="s">
        <v>1994</v>
      </c>
      <c r="C130" s="325" t="s">
        <v>1145</v>
      </c>
      <c r="D130" s="310" t="s">
        <v>1019</v>
      </c>
      <c r="E130" s="325" t="s">
        <v>1067</v>
      </c>
      <c r="F130" s="325" t="s">
        <v>1068</v>
      </c>
      <c r="G130" s="310" t="s">
        <v>1019</v>
      </c>
      <c r="H130" s="325" t="s">
        <v>1067</v>
      </c>
      <c r="I130" s="325" t="s">
        <v>1149</v>
      </c>
      <c r="J130" s="318" t="s">
        <v>2158</v>
      </c>
      <c r="K130" s="311" t="s">
        <v>2179</v>
      </c>
      <c r="L130" s="332">
        <v>12</v>
      </c>
      <c r="O130" s="313"/>
      <c r="P130" s="333">
        <v>275</v>
      </c>
      <c r="Q130" s="334">
        <v>1546.14</v>
      </c>
      <c r="R130" s="397">
        <v>0.317</v>
      </c>
      <c r="S130" s="310">
        <v>0.17786228931403364</v>
      </c>
      <c r="T130" s="310">
        <v>1909.7222222222224</v>
      </c>
      <c r="U130" s="356" t="s">
        <v>154</v>
      </c>
      <c r="V130" s="310" t="s">
        <v>947</v>
      </c>
      <c r="W130" s="310" t="s">
        <v>1842</v>
      </c>
      <c r="X130" s="310" t="s">
        <v>1002</v>
      </c>
      <c r="Y130" s="310" t="s">
        <v>1032</v>
      </c>
      <c r="AA130" s="333">
        <v>960</v>
      </c>
      <c r="AC130" s="325" t="s">
        <v>1067</v>
      </c>
      <c r="AD130" s="83" t="s">
        <v>1064</v>
      </c>
      <c r="AH130" s="83" t="s">
        <v>1068</v>
      </c>
      <c r="AI130" s="310" t="s">
        <v>1068</v>
      </c>
      <c r="AL130" s="83"/>
      <c r="AM130" s="83"/>
      <c r="AO130" s="83"/>
      <c r="AP130" s="83"/>
      <c r="AQ130" s="83"/>
      <c r="AR130" s="83"/>
      <c r="AS130" s="83"/>
    </row>
    <row r="131" spans="1:45" ht="12.75" customHeight="1">
      <c r="A131" s="56">
        <v>851001</v>
      </c>
      <c r="B131" s="325" t="s">
        <v>1133</v>
      </c>
      <c r="C131" s="325" t="s">
        <v>1137</v>
      </c>
      <c r="D131" s="310" t="s">
        <v>1019</v>
      </c>
      <c r="E131" s="325" t="s">
        <v>1070</v>
      </c>
      <c r="F131" s="325" t="s">
        <v>1069</v>
      </c>
      <c r="G131" s="310" t="s">
        <v>1019</v>
      </c>
      <c r="H131" s="325" t="s">
        <v>1070</v>
      </c>
      <c r="I131" s="325" t="s">
        <v>1149</v>
      </c>
      <c r="J131" s="318" t="s">
        <v>2158</v>
      </c>
      <c r="K131" s="311" t="s">
        <v>2179</v>
      </c>
      <c r="L131" s="332">
        <v>12</v>
      </c>
      <c r="P131" s="333">
        <v>440.00000000000006</v>
      </c>
      <c r="Q131" s="334">
        <v>13645.09</v>
      </c>
      <c r="R131" s="397">
        <v>2.54</v>
      </c>
      <c r="S131" s="310">
        <v>3.2576328558926879E-2</v>
      </c>
      <c r="T131" s="310">
        <v>174.95029821073561</v>
      </c>
      <c r="U131" s="356" t="s">
        <v>154</v>
      </c>
      <c r="V131" s="310" t="s">
        <v>947</v>
      </c>
      <c r="W131" s="310" t="s">
        <v>1842</v>
      </c>
      <c r="X131" s="310" t="s">
        <v>1002</v>
      </c>
      <c r="Y131" s="310" t="s">
        <v>1032</v>
      </c>
      <c r="AA131" s="333">
        <v>2758</v>
      </c>
      <c r="AC131" s="325" t="s">
        <v>1070</v>
      </c>
      <c r="AD131" s="83" t="s">
        <v>1064</v>
      </c>
      <c r="AH131" s="83" t="s">
        <v>1069</v>
      </c>
      <c r="AI131" s="310" t="s">
        <v>1069</v>
      </c>
      <c r="AL131" s="83"/>
      <c r="AM131" s="83"/>
      <c r="AO131" s="83"/>
      <c r="AP131" s="83"/>
      <c r="AQ131" s="83"/>
      <c r="AR131" s="83"/>
      <c r="AS131" s="83"/>
    </row>
    <row r="132" spans="1:45" ht="12.75" customHeight="1">
      <c r="A132" s="56">
        <v>851002</v>
      </c>
      <c r="B132" s="325" t="s">
        <v>1134</v>
      </c>
      <c r="C132" s="325" t="s">
        <v>1138</v>
      </c>
      <c r="D132" s="310" t="s">
        <v>1019</v>
      </c>
      <c r="E132" s="325" t="s">
        <v>1070</v>
      </c>
      <c r="F132" s="325" t="s">
        <v>1071</v>
      </c>
      <c r="G132" s="310" t="s">
        <v>1019</v>
      </c>
      <c r="H132" s="325" t="s">
        <v>1070</v>
      </c>
      <c r="I132" s="325" t="s">
        <v>1149</v>
      </c>
      <c r="J132" s="318" t="s">
        <v>2158</v>
      </c>
      <c r="K132" s="311" t="s">
        <v>2179</v>
      </c>
      <c r="L132" s="332">
        <v>12</v>
      </c>
      <c r="P132" s="333">
        <v>780</v>
      </c>
      <c r="Q132" s="334">
        <v>18633.5</v>
      </c>
      <c r="R132" s="397">
        <v>3.4689999999999999</v>
      </c>
      <c r="S132" s="310">
        <v>4.2277156026554387E-2</v>
      </c>
      <c r="T132" s="310">
        <v>227.07423580786025</v>
      </c>
      <c r="U132" s="356" t="s">
        <v>154</v>
      </c>
      <c r="V132" s="310" t="s">
        <v>947</v>
      </c>
      <c r="W132" s="310" t="s">
        <v>1842</v>
      </c>
      <c r="X132" s="310" t="s">
        <v>1002</v>
      </c>
      <c r="Y132" s="310" t="s">
        <v>1032</v>
      </c>
      <c r="AA132" s="333">
        <v>2758</v>
      </c>
      <c r="AC132" s="325" t="s">
        <v>1070</v>
      </c>
      <c r="AD132" s="83" t="s">
        <v>1064</v>
      </c>
      <c r="AH132" s="83" t="s">
        <v>1071</v>
      </c>
      <c r="AI132" s="310" t="s">
        <v>1071</v>
      </c>
      <c r="AL132" s="83"/>
      <c r="AM132" s="83"/>
      <c r="AO132" s="83"/>
      <c r="AP132" s="83"/>
      <c r="AQ132" s="83"/>
      <c r="AR132" s="83"/>
      <c r="AS132" s="83"/>
    </row>
    <row r="133" spans="1:45" ht="12.75" customHeight="1">
      <c r="A133" s="56">
        <v>851015</v>
      </c>
      <c r="B133" s="83" t="s">
        <v>1995</v>
      </c>
      <c r="C133" s="325" t="s">
        <v>1139</v>
      </c>
      <c r="D133" s="310" t="s">
        <v>1019</v>
      </c>
      <c r="E133" s="325" t="s">
        <v>1070</v>
      </c>
      <c r="F133" s="325" t="s">
        <v>1072</v>
      </c>
      <c r="G133" s="310" t="s">
        <v>1019</v>
      </c>
      <c r="H133" s="325" t="s">
        <v>1070</v>
      </c>
      <c r="I133" s="325" t="s">
        <v>1149</v>
      </c>
      <c r="J133" s="318" t="s">
        <v>2158</v>
      </c>
      <c r="K133" s="311" t="s">
        <v>2179</v>
      </c>
      <c r="L133" s="332">
        <v>12</v>
      </c>
      <c r="P133" s="333">
        <v>895</v>
      </c>
      <c r="Q133" s="334">
        <v>23838.18</v>
      </c>
      <c r="R133" s="397">
        <v>4.4379999999999997</v>
      </c>
      <c r="S133" s="310">
        <v>3.7912531764982965E-2</v>
      </c>
      <c r="T133" s="310">
        <v>203.64050056882823</v>
      </c>
      <c r="U133" s="356" t="s">
        <v>154</v>
      </c>
      <c r="V133" s="310" t="s">
        <v>947</v>
      </c>
      <c r="W133" s="310" t="s">
        <v>1842</v>
      </c>
      <c r="X133" s="310" t="s">
        <v>1002</v>
      </c>
      <c r="Y133" s="310" t="s">
        <v>1032</v>
      </c>
      <c r="AA133" s="333">
        <v>2758</v>
      </c>
      <c r="AC133" s="325" t="s">
        <v>1070</v>
      </c>
      <c r="AD133" s="83" t="s">
        <v>1064</v>
      </c>
      <c r="AH133" s="83" t="s">
        <v>1072</v>
      </c>
      <c r="AI133" s="310" t="s">
        <v>1072</v>
      </c>
      <c r="AL133" s="83"/>
      <c r="AM133" s="83"/>
      <c r="AO133" s="83"/>
      <c r="AP133" s="83"/>
      <c r="AQ133" s="83"/>
      <c r="AR133" s="83"/>
      <c r="AS133" s="83"/>
    </row>
    <row r="134" spans="1:45" ht="12.75" customHeight="1">
      <c r="A134" s="56">
        <v>851016</v>
      </c>
      <c r="B134" s="83" t="s">
        <v>1996</v>
      </c>
      <c r="C134" s="325" t="s">
        <v>1140</v>
      </c>
      <c r="D134" s="310" t="s">
        <v>1019</v>
      </c>
      <c r="E134" s="325" t="s">
        <v>1070</v>
      </c>
      <c r="F134" s="325" t="s">
        <v>1073</v>
      </c>
      <c r="G134" s="310" t="s">
        <v>1019</v>
      </c>
      <c r="H134" s="325" t="s">
        <v>1070</v>
      </c>
      <c r="I134" s="325" t="s">
        <v>1149</v>
      </c>
      <c r="J134" s="318" t="s">
        <v>2158</v>
      </c>
      <c r="K134" s="311" t="s">
        <v>2179</v>
      </c>
      <c r="L134" s="332">
        <v>12</v>
      </c>
      <c r="P134" s="333">
        <v>945</v>
      </c>
      <c r="Q134" s="334">
        <v>28827.23</v>
      </c>
      <c r="R134" s="397">
        <v>5.367</v>
      </c>
      <c r="S134" s="310">
        <v>3.3099187231069103E-2</v>
      </c>
      <c r="T134" s="310">
        <v>177.79868297271869</v>
      </c>
      <c r="U134" s="356" t="s">
        <v>154</v>
      </c>
      <c r="V134" s="310" t="s">
        <v>947</v>
      </c>
      <c r="W134" s="310" t="s">
        <v>1842</v>
      </c>
      <c r="X134" s="310" t="s">
        <v>1002</v>
      </c>
      <c r="Y134" s="310" t="s">
        <v>1032</v>
      </c>
      <c r="AA134" s="333">
        <v>2758</v>
      </c>
      <c r="AC134" s="325" t="s">
        <v>1070</v>
      </c>
      <c r="AD134" s="83" t="s">
        <v>1064</v>
      </c>
      <c r="AH134" s="83" t="s">
        <v>1073</v>
      </c>
      <c r="AI134" s="310" t="s">
        <v>1073</v>
      </c>
      <c r="AL134" s="83"/>
      <c r="AM134" s="83"/>
      <c r="AO134" s="83"/>
      <c r="AP134" s="83"/>
      <c r="AQ134" s="83"/>
      <c r="AR134" s="83"/>
      <c r="AS134" s="83"/>
    </row>
    <row r="135" spans="1:45" ht="12.75" customHeight="1">
      <c r="A135" s="350"/>
      <c r="B135" s="83"/>
      <c r="C135" s="83"/>
      <c r="D135" s="83"/>
      <c r="E135" s="83"/>
      <c r="F135" s="83"/>
      <c r="G135" s="83"/>
      <c r="H135" s="83"/>
      <c r="I135" s="83"/>
      <c r="J135" s="83"/>
      <c r="K135" s="83"/>
      <c r="L135" s="83"/>
      <c r="M135" s="83"/>
      <c r="N135" s="83"/>
      <c r="O135" s="83"/>
      <c r="P135" s="83"/>
      <c r="Q135" s="83"/>
      <c r="R135" s="397"/>
      <c r="S135" s="83"/>
      <c r="T135" s="83"/>
      <c r="U135" s="83"/>
      <c r="V135" s="83"/>
      <c r="W135" s="83"/>
      <c r="X135" s="83"/>
      <c r="Y135" s="83"/>
      <c r="Z135" s="83"/>
      <c r="AA135" s="83"/>
      <c r="AB135" s="83"/>
      <c r="AC135" s="83"/>
      <c r="AD135" s="83"/>
      <c r="AE135" s="83"/>
      <c r="AF135" s="83"/>
      <c r="AG135" s="83"/>
      <c r="AH135" s="83"/>
      <c r="AI135" s="83"/>
      <c r="AJ135" s="83"/>
      <c r="AK135" s="83"/>
      <c r="AL135" s="83"/>
      <c r="AM135" s="83"/>
      <c r="AO135" s="83"/>
      <c r="AP135" s="83"/>
      <c r="AQ135" s="83"/>
      <c r="AR135" s="83"/>
      <c r="AS135" s="83"/>
    </row>
    <row r="136" spans="1:45" ht="12.75" customHeight="1">
      <c r="A136" s="353" t="s">
        <v>852</v>
      </c>
      <c r="B136" s="335" t="s">
        <v>853</v>
      </c>
      <c r="C136" s="335" t="s">
        <v>854</v>
      </c>
      <c r="D136" s="335" t="s">
        <v>855</v>
      </c>
      <c r="E136" s="335" t="s">
        <v>856</v>
      </c>
      <c r="F136" s="335" t="s">
        <v>144</v>
      </c>
      <c r="G136" s="335" t="s">
        <v>857</v>
      </c>
      <c r="H136" s="335" t="s">
        <v>858</v>
      </c>
      <c r="I136" s="335" t="s">
        <v>145</v>
      </c>
      <c r="J136" s="374" t="s">
        <v>1450</v>
      </c>
      <c r="K136" s="336" t="s">
        <v>859</v>
      </c>
      <c r="L136" s="337" t="s">
        <v>148</v>
      </c>
      <c r="M136" s="338" t="s">
        <v>860</v>
      </c>
      <c r="N136" s="335" t="s">
        <v>153</v>
      </c>
      <c r="O136" s="335" t="s">
        <v>687</v>
      </c>
      <c r="P136" s="335" t="s">
        <v>147</v>
      </c>
      <c r="Q136" s="335" t="s">
        <v>1203</v>
      </c>
      <c r="R136" s="401" t="s">
        <v>165</v>
      </c>
      <c r="S136" s="335" t="s">
        <v>1204</v>
      </c>
      <c r="T136" s="335" t="s">
        <v>1205</v>
      </c>
      <c r="U136" s="335" t="s">
        <v>142</v>
      </c>
      <c r="V136" s="335" t="s">
        <v>0</v>
      </c>
      <c r="W136" s="335" t="s">
        <v>864</v>
      </c>
      <c r="X136" s="335" t="s">
        <v>489</v>
      </c>
      <c r="Y136" s="335" t="s">
        <v>152</v>
      </c>
      <c r="Z136" s="335" t="s">
        <v>817</v>
      </c>
      <c r="AA136" s="335" t="s">
        <v>151</v>
      </c>
      <c r="AB136" s="335" t="s">
        <v>865</v>
      </c>
      <c r="AC136" s="335" t="s">
        <v>100</v>
      </c>
      <c r="AD136" s="339" t="s">
        <v>169</v>
      </c>
      <c r="AE136" s="339" t="s">
        <v>170</v>
      </c>
      <c r="AF136" s="339" t="s">
        <v>173</v>
      </c>
      <c r="AG136" s="339" t="s">
        <v>220</v>
      </c>
      <c r="AH136" s="339" t="s">
        <v>171</v>
      </c>
      <c r="AI136" s="339" t="s">
        <v>172</v>
      </c>
      <c r="AJ136" s="339" t="s">
        <v>174</v>
      </c>
      <c r="AK136" s="339" t="s">
        <v>188</v>
      </c>
      <c r="AL136" s="83"/>
      <c r="AM136" s="83"/>
      <c r="AO136" s="83"/>
      <c r="AP136" s="83"/>
      <c r="AQ136" s="83"/>
      <c r="AR136" s="83"/>
      <c r="AS136" s="83"/>
    </row>
    <row r="137" spans="1:45" ht="12.75" customHeight="1">
      <c r="A137" s="403">
        <v>910127</v>
      </c>
      <c r="B137" s="545" t="s">
        <v>1989</v>
      </c>
      <c r="C137" s="543" t="s">
        <v>1953</v>
      </c>
      <c r="D137" s="376" t="s">
        <v>160</v>
      </c>
      <c r="E137" s="376" t="s">
        <v>1155</v>
      </c>
      <c r="F137" s="543" t="s">
        <v>1957</v>
      </c>
      <c r="G137" s="376" t="s">
        <v>160</v>
      </c>
      <c r="H137" s="376" t="s">
        <v>1155</v>
      </c>
      <c r="I137" s="543" t="s">
        <v>1961</v>
      </c>
      <c r="J137" s="318" t="s">
        <v>1757</v>
      </c>
      <c r="K137" s="311" t="s">
        <v>2179</v>
      </c>
      <c r="L137" s="343">
        <v>16</v>
      </c>
      <c r="M137" s="544"/>
      <c r="N137" s="543"/>
      <c r="O137" s="545"/>
      <c r="P137" s="345">
        <v>1.2</v>
      </c>
      <c r="Q137" s="346">
        <v>2.61</v>
      </c>
      <c r="R137" s="546"/>
      <c r="S137" s="545"/>
      <c r="T137" s="545"/>
      <c r="U137" s="340" t="s">
        <v>166</v>
      </c>
      <c r="V137" s="341" t="s">
        <v>947</v>
      </c>
      <c r="W137" s="545" t="s">
        <v>1842</v>
      </c>
      <c r="X137" s="341" t="s">
        <v>1002</v>
      </c>
      <c r="Y137" s="341" t="s">
        <v>1032</v>
      </c>
      <c r="Z137" s="545"/>
      <c r="AA137" s="345">
        <v>1.44</v>
      </c>
      <c r="AB137" s="345">
        <v>200</v>
      </c>
      <c r="AC137" s="345" t="s">
        <v>1075</v>
      </c>
      <c r="AD137" s="543" t="s">
        <v>2582</v>
      </c>
      <c r="AE137" s="545"/>
      <c r="AF137" s="545"/>
      <c r="AG137" s="545"/>
      <c r="AH137" s="543" t="s">
        <v>1953</v>
      </c>
      <c r="AI137" s="545"/>
      <c r="AJ137" s="545">
        <v>0</v>
      </c>
      <c r="AK137" s="545">
        <v>225</v>
      </c>
      <c r="AL137" s="83"/>
      <c r="AM137" s="83"/>
      <c r="AO137" s="83"/>
      <c r="AP137" s="83"/>
      <c r="AQ137" s="83"/>
      <c r="AR137" s="83"/>
      <c r="AS137" s="83"/>
    </row>
    <row r="138" spans="1:45" ht="12.75" customHeight="1">
      <c r="A138" s="403">
        <v>910133</v>
      </c>
      <c r="B138" s="592" t="s">
        <v>2334</v>
      </c>
      <c r="C138" s="592" t="s">
        <v>1150</v>
      </c>
      <c r="D138" s="592" t="s">
        <v>160</v>
      </c>
      <c r="E138" s="592" t="s">
        <v>160</v>
      </c>
      <c r="F138" s="592" t="s">
        <v>1150</v>
      </c>
      <c r="G138" s="340" t="s">
        <v>160</v>
      </c>
      <c r="H138" s="340" t="s">
        <v>1078</v>
      </c>
      <c r="I138" s="592" t="s">
        <v>2335</v>
      </c>
      <c r="J138" s="318" t="s">
        <v>2158</v>
      </c>
      <c r="K138" s="311" t="s">
        <v>2179</v>
      </c>
      <c r="L138" s="343">
        <v>16</v>
      </c>
      <c r="M138" s="344"/>
      <c r="N138" s="340"/>
      <c r="O138" s="341"/>
      <c r="P138" s="345">
        <v>1.5</v>
      </c>
      <c r="Q138" s="346">
        <v>1.21</v>
      </c>
      <c r="R138" s="402"/>
      <c r="S138" s="341"/>
      <c r="T138" s="341"/>
      <c r="U138" s="340" t="s">
        <v>166</v>
      </c>
      <c r="V138" s="341" t="s">
        <v>947</v>
      </c>
      <c r="W138" s="545" t="s">
        <v>1842</v>
      </c>
      <c r="X138" s="341" t="s">
        <v>1002</v>
      </c>
      <c r="Y138" s="341" t="s">
        <v>1032</v>
      </c>
      <c r="Z138" s="341"/>
      <c r="AA138" s="345">
        <v>10.199999999999999</v>
      </c>
      <c r="AB138" s="345">
        <v>500</v>
      </c>
      <c r="AC138" s="345" t="s">
        <v>1956</v>
      </c>
      <c r="AD138" s="592" t="s">
        <v>2335</v>
      </c>
      <c r="AE138" s="341"/>
      <c r="AF138" s="341"/>
      <c r="AG138" s="341"/>
      <c r="AH138" s="181" t="s">
        <v>1150</v>
      </c>
      <c r="AI138" s="341"/>
      <c r="AJ138" s="341">
        <v>0</v>
      </c>
      <c r="AK138" s="341">
        <v>9999</v>
      </c>
      <c r="AL138" s="83"/>
      <c r="AM138" s="83"/>
      <c r="AO138" s="83"/>
      <c r="AP138" s="83"/>
      <c r="AQ138" s="83"/>
      <c r="AR138" s="83"/>
      <c r="AS138" s="83"/>
    </row>
    <row r="139" spans="1:45" ht="12.75" customHeight="1">
      <c r="A139" s="403">
        <v>910114</v>
      </c>
      <c r="B139" s="340" t="s">
        <v>1151</v>
      </c>
      <c r="C139" s="340" t="s">
        <v>1153</v>
      </c>
      <c r="D139" s="340" t="s">
        <v>160</v>
      </c>
      <c r="E139" s="340" t="s">
        <v>1078</v>
      </c>
      <c r="F139" s="340" t="s">
        <v>1152</v>
      </c>
      <c r="G139" s="340" t="s">
        <v>160</v>
      </c>
      <c r="H139" s="340" t="s">
        <v>1078</v>
      </c>
      <c r="I139" s="340" t="s">
        <v>1082</v>
      </c>
      <c r="J139" s="318" t="s">
        <v>1757</v>
      </c>
      <c r="K139" s="311" t="s">
        <v>2179</v>
      </c>
      <c r="L139" s="343">
        <v>6</v>
      </c>
      <c r="M139" s="344"/>
      <c r="N139" s="340"/>
      <c r="O139" s="341"/>
      <c r="P139" s="345">
        <v>70</v>
      </c>
      <c r="Q139" s="346">
        <v>169.56</v>
      </c>
      <c r="R139" s="402"/>
      <c r="S139" s="341"/>
      <c r="T139" s="341"/>
      <c r="U139" s="340" t="s">
        <v>166</v>
      </c>
      <c r="V139" s="341" t="s">
        <v>947</v>
      </c>
      <c r="W139" s="545" t="s">
        <v>1842</v>
      </c>
      <c r="X139" s="341" t="s">
        <v>1002</v>
      </c>
      <c r="Y139" s="341" t="s">
        <v>1032</v>
      </c>
      <c r="Z139" s="341"/>
      <c r="AA139" s="345">
        <v>77</v>
      </c>
      <c r="AB139" s="345">
        <v>10</v>
      </c>
      <c r="AC139" s="345" t="s">
        <v>1083</v>
      </c>
      <c r="AD139" s="340" t="s">
        <v>1082</v>
      </c>
      <c r="AE139" s="341"/>
      <c r="AF139" s="341"/>
      <c r="AG139" s="341"/>
      <c r="AH139" s="376" t="s">
        <v>1152</v>
      </c>
      <c r="AI139" s="341"/>
      <c r="AJ139" s="341">
        <v>0</v>
      </c>
      <c r="AK139" s="341">
        <v>9999</v>
      </c>
      <c r="AL139" s="83"/>
      <c r="AM139" s="83"/>
      <c r="AO139" s="83"/>
      <c r="AP139" s="83"/>
      <c r="AQ139" s="83"/>
      <c r="AR139" s="83"/>
      <c r="AS139" s="83"/>
    </row>
    <row r="140" spans="1:45" ht="12.75" customHeight="1">
      <c r="A140" s="403">
        <v>910122</v>
      </c>
      <c r="B140" s="545" t="s">
        <v>2583</v>
      </c>
      <c r="C140" s="340" t="s">
        <v>2056</v>
      </c>
      <c r="D140" s="340" t="s">
        <v>1617</v>
      </c>
      <c r="E140" s="340" t="s">
        <v>1617</v>
      </c>
      <c r="F140" s="340" t="s">
        <v>2056</v>
      </c>
      <c r="G140" s="340" t="s">
        <v>164</v>
      </c>
      <c r="H140" s="340" t="s">
        <v>1617</v>
      </c>
      <c r="I140" s="340" t="s">
        <v>1959</v>
      </c>
      <c r="J140" s="318" t="s">
        <v>1757</v>
      </c>
      <c r="K140" s="311" t="s">
        <v>2179</v>
      </c>
      <c r="L140" s="343">
        <v>15</v>
      </c>
      <c r="M140" s="344"/>
      <c r="N140" s="340"/>
      <c r="O140" s="341"/>
      <c r="P140" s="345">
        <v>60.500000000000007</v>
      </c>
      <c r="Q140" s="346">
        <v>65.13</v>
      </c>
      <c r="R140" s="402"/>
      <c r="S140" s="341"/>
      <c r="T140" s="341"/>
      <c r="U140" s="340" t="s">
        <v>166</v>
      </c>
      <c r="V140" s="341" t="s">
        <v>947</v>
      </c>
      <c r="W140" s="545" t="s">
        <v>1842</v>
      </c>
      <c r="X140" s="341" t="s">
        <v>1002</v>
      </c>
      <c r="Y140" s="341" t="s">
        <v>1032</v>
      </c>
      <c r="Z140" s="341"/>
      <c r="AA140" s="345">
        <v>80</v>
      </c>
      <c r="AB140" s="345">
        <v>20</v>
      </c>
      <c r="AC140" s="345" t="s">
        <v>958</v>
      </c>
      <c r="AD140" s="340" t="s">
        <v>1963</v>
      </c>
      <c r="AE140" s="341"/>
      <c r="AF140" s="341"/>
      <c r="AG140" s="341"/>
      <c r="AH140" s="376" t="s">
        <v>2056</v>
      </c>
      <c r="AI140" s="341"/>
      <c r="AJ140" s="341">
        <v>0</v>
      </c>
      <c r="AK140" s="341">
        <v>100</v>
      </c>
      <c r="AL140" s="83"/>
      <c r="AM140" s="83"/>
      <c r="AO140" s="83"/>
      <c r="AP140" s="83"/>
      <c r="AQ140" s="83"/>
      <c r="AR140" s="83"/>
      <c r="AS140" s="83"/>
    </row>
    <row r="141" spans="1:45" ht="12.75" customHeight="1">
      <c r="A141" s="403">
        <v>910121</v>
      </c>
      <c r="B141" s="340" t="s">
        <v>2000</v>
      </c>
      <c r="C141" s="376" t="s">
        <v>1399</v>
      </c>
      <c r="D141" s="340" t="s">
        <v>160</v>
      </c>
      <c r="E141" s="340" t="s">
        <v>1078</v>
      </c>
      <c r="F141" s="376" t="s">
        <v>1081</v>
      </c>
      <c r="G141" s="340" t="s">
        <v>160</v>
      </c>
      <c r="H141" s="340" t="s">
        <v>1078</v>
      </c>
      <c r="I141" s="340" t="s">
        <v>1082</v>
      </c>
      <c r="J141" s="318" t="s">
        <v>1757</v>
      </c>
      <c r="K141" s="311" t="s">
        <v>2179</v>
      </c>
      <c r="L141" s="343">
        <v>6</v>
      </c>
      <c r="M141" s="344"/>
      <c r="N141" s="340"/>
      <c r="O141" s="341"/>
      <c r="P141" s="345">
        <v>70</v>
      </c>
      <c r="Q141" s="346">
        <v>174.96</v>
      </c>
      <c r="R141" s="402"/>
      <c r="S141" s="341"/>
      <c r="T141" s="341"/>
      <c r="U141" s="340" t="s">
        <v>166</v>
      </c>
      <c r="V141" s="341" t="s">
        <v>947</v>
      </c>
      <c r="W141" s="545" t="s">
        <v>1842</v>
      </c>
      <c r="X141" s="341" t="s">
        <v>1002</v>
      </c>
      <c r="Y141" s="341" t="s">
        <v>1032</v>
      </c>
      <c r="Z141" s="341"/>
      <c r="AA141" s="345">
        <v>77</v>
      </c>
      <c r="AB141" s="345">
        <v>10</v>
      </c>
      <c r="AC141" s="345" t="s">
        <v>1083</v>
      </c>
      <c r="AD141" s="340" t="s">
        <v>1082</v>
      </c>
      <c r="AE141" s="341"/>
      <c r="AF141" s="341"/>
      <c r="AG141" s="341"/>
      <c r="AH141" s="376" t="s">
        <v>1081</v>
      </c>
      <c r="AI141" s="341"/>
      <c r="AJ141" s="341">
        <v>0</v>
      </c>
      <c r="AK141" s="341">
        <v>9999</v>
      </c>
      <c r="AL141" s="83"/>
      <c r="AM141" s="83"/>
      <c r="AO141" s="83"/>
      <c r="AP141" s="83"/>
      <c r="AQ141" s="83"/>
      <c r="AR141" s="83"/>
      <c r="AS141" s="83"/>
    </row>
    <row r="142" spans="1:45" s="83" customFormat="1" ht="12.75" customHeight="1">
      <c r="A142" s="403">
        <v>910126</v>
      </c>
      <c r="B142" s="545" t="s">
        <v>2059</v>
      </c>
      <c r="C142" s="543" t="s">
        <v>1966</v>
      </c>
      <c r="D142" s="376" t="s">
        <v>160</v>
      </c>
      <c r="E142" s="376" t="s">
        <v>1078</v>
      </c>
      <c r="F142" s="543" t="s">
        <v>1966</v>
      </c>
      <c r="G142" s="376" t="s">
        <v>160</v>
      </c>
      <c r="H142" s="376" t="s">
        <v>1078</v>
      </c>
      <c r="I142" s="543" t="s">
        <v>1960</v>
      </c>
      <c r="J142" s="318" t="s">
        <v>1757</v>
      </c>
      <c r="K142" s="311" t="s">
        <v>2179</v>
      </c>
      <c r="L142" s="343">
        <v>25</v>
      </c>
      <c r="M142" s="544"/>
      <c r="N142" s="543"/>
      <c r="O142" s="545"/>
      <c r="P142" s="345">
        <v>1.6500000000000001</v>
      </c>
      <c r="Q142" s="346">
        <v>2.15</v>
      </c>
      <c r="R142" s="546"/>
      <c r="S142" s="545"/>
      <c r="T142" s="545"/>
      <c r="U142" s="340" t="s">
        <v>166</v>
      </c>
      <c r="V142" s="341" t="s">
        <v>947</v>
      </c>
      <c r="W142" s="545" t="s">
        <v>1842</v>
      </c>
      <c r="X142" s="341" t="s">
        <v>1002</v>
      </c>
      <c r="Y142" s="341" t="s">
        <v>1032</v>
      </c>
      <c r="Z142" s="545"/>
      <c r="AA142" s="345">
        <v>12.17</v>
      </c>
      <c r="AB142" s="345">
        <v>200</v>
      </c>
      <c r="AC142" s="345" t="s">
        <v>1075</v>
      </c>
      <c r="AD142" s="543" t="s">
        <v>2584</v>
      </c>
      <c r="AE142" s="545"/>
      <c r="AF142" s="545"/>
      <c r="AG142" s="545"/>
      <c r="AH142" s="543" t="s">
        <v>1966</v>
      </c>
      <c r="AI142" s="545"/>
      <c r="AJ142" s="545">
        <v>0</v>
      </c>
      <c r="AK142" s="545">
        <v>299</v>
      </c>
      <c r="AN142" s="310"/>
    </row>
    <row r="143" spans="1:45" s="83" customFormat="1" ht="12.75" customHeight="1">
      <c r="A143" s="403">
        <v>910123</v>
      </c>
      <c r="B143" s="545" t="s">
        <v>2060</v>
      </c>
      <c r="C143" s="543" t="s">
        <v>1967</v>
      </c>
      <c r="D143" s="376" t="s">
        <v>160</v>
      </c>
      <c r="E143" s="376" t="s">
        <v>1078</v>
      </c>
      <c r="F143" s="543" t="s">
        <v>1967</v>
      </c>
      <c r="G143" s="376"/>
      <c r="H143" s="376" t="s">
        <v>1078</v>
      </c>
      <c r="I143" s="543" t="s">
        <v>1960</v>
      </c>
      <c r="J143" s="318" t="s">
        <v>1757</v>
      </c>
      <c r="K143" s="311" t="s">
        <v>2179</v>
      </c>
      <c r="L143" s="343">
        <v>25</v>
      </c>
      <c r="M143" s="544"/>
      <c r="N143" s="543"/>
      <c r="O143" s="545"/>
      <c r="P143" s="345">
        <v>1.6500000000000001</v>
      </c>
      <c r="Q143" s="346">
        <v>2.2599999999999998</v>
      </c>
      <c r="R143" s="546"/>
      <c r="S143" s="545"/>
      <c r="T143" s="545"/>
      <c r="U143" s="340" t="s">
        <v>166</v>
      </c>
      <c r="V143" s="341" t="s">
        <v>947</v>
      </c>
      <c r="W143" s="545" t="s">
        <v>1842</v>
      </c>
      <c r="X143" s="341" t="s">
        <v>1002</v>
      </c>
      <c r="Y143" s="341" t="s">
        <v>1032</v>
      </c>
      <c r="Z143" s="545"/>
      <c r="AA143" s="345">
        <v>12.17</v>
      </c>
      <c r="AB143" s="345">
        <v>1000</v>
      </c>
      <c r="AC143" s="345" t="s">
        <v>1075</v>
      </c>
      <c r="AD143" s="543" t="s">
        <v>1965</v>
      </c>
      <c r="AE143" s="545"/>
      <c r="AF143" s="545"/>
      <c r="AG143" s="545"/>
      <c r="AH143" s="543" t="s">
        <v>1967</v>
      </c>
      <c r="AI143" s="545"/>
      <c r="AJ143" s="545">
        <v>300</v>
      </c>
      <c r="AK143" s="545">
        <v>2500</v>
      </c>
      <c r="AN143" s="310"/>
    </row>
    <row r="144" spans="1:45" s="83" customFormat="1" ht="12.75" customHeight="1">
      <c r="A144" s="403">
        <v>910128</v>
      </c>
      <c r="B144" s="340" t="s">
        <v>2001</v>
      </c>
      <c r="C144" s="340" t="s">
        <v>1154</v>
      </c>
      <c r="D144" s="340" t="s">
        <v>160</v>
      </c>
      <c r="E144" s="340" t="s">
        <v>1078</v>
      </c>
      <c r="F144" s="340" t="s">
        <v>1084</v>
      </c>
      <c r="G144" s="340" t="s">
        <v>160</v>
      </c>
      <c r="H144" s="340" t="s">
        <v>1078</v>
      </c>
      <c r="I144" s="340" t="s">
        <v>1082</v>
      </c>
      <c r="J144" s="318" t="s">
        <v>1757</v>
      </c>
      <c r="K144" s="311" t="s">
        <v>2179</v>
      </c>
      <c r="L144" s="343">
        <v>6</v>
      </c>
      <c r="M144" s="344"/>
      <c r="N144" s="340"/>
      <c r="O144" s="341"/>
      <c r="P144" s="345">
        <v>180</v>
      </c>
      <c r="Q144" s="346">
        <v>116.72</v>
      </c>
      <c r="R144" s="402"/>
      <c r="S144" s="341"/>
      <c r="T144" s="341"/>
      <c r="U144" s="340" t="s">
        <v>166</v>
      </c>
      <c r="V144" s="341" t="s">
        <v>947</v>
      </c>
      <c r="W144" s="545" t="s">
        <v>1842</v>
      </c>
      <c r="X144" s="341" t="s">
        <v>1002</v>
      </c>
      <c r="Y144" s="341" t="s">
        <v>1032</v>
      </c>
      <c r="Z144" s="341"/>
      <c r="AA144" s="345">
        <v>180</v>
      </c>
      <c r="AB144" s="345">
        <v>10</v>
      </c>
      <c r="AC144" s="345" t="s">
        <v>1083</v>
      </c>
      <c r="AD144" s="340" t="s">
        <v>1082</v>
      </c>
      <c r="AE144" s="341"/>
      <c r="AF144" s="341"/>
      <c r="AG144" s="341"/>
      <c r="AH144" s="376" t="s">
        <v>1084</v>
      </c>
      <c r="AI144" s="341"/>
      <c r="AJ144" s="341">
        <v>0</v>
      </c>
      <c r="AK144" s="341">
        <v>9999</v>
      </c>
      <c r="AN144" s="310"/>
    </row>
    <row r="145" spans="1:45" s="83" customFormat="1" ht="12.75" customHeight="1">
      <c r="A145" s="403">
        <v>910129</v>
      </c>
      <c r="B145" s="340" t="s">
        <v>2002</v>
      </c>
      <c r="C145" s="340" t="s">
        <v>1157</v>
      </c>
      <c r="D145" s="340" t="s">
        <v>160</v>
      </c>
      <c r="E145" s="340" t="s">
        <v>1080</v>
      </c>
      <c r="F145" s="340" t="s">
        <v>1079</v>
      </c>
      <c r="G145" s="340" t="s">
        <v>160</v>
      </c>
      <c r="H145" s="340" t="s">
        <v>1080</v>
      </c>
      <c r="I145" s="340" t="s">
        <v>1156</v>
      </c>
      <c r="J145" s="318" t="s">
        <v>1757</v>
      </c>
      <c r="K145" s="311" t="s">
        <v>2179</v>
      </c>
      <c r="L145" s="343">
        <v>15</v>
      </c>
      <c r="M145" s="344"/>
      <c r="N145" s="340"/>
      <c r="O145" s="341"/>
      <c r="P145" s="345">
        <v>2.7</v>
      </c>
      <c r="Q145" s="346">
        <v>2.66</v>
      </c>
      <c r="R145" s="402"/>
      <c r="S145" s="341"/>
      <c r="T145" s="341"/>
      <c r="U145" s="340" t="s">
        <v>166</v>
      </c>
      <c r="V145" s="341" t="s">
        <v>947</v>
      </c>
      <c r="W145" s="545" t="s">
        <v>1842</v>
      </c>
      <c r="X145" s="341" t="s">
        <v>1002</v>
      </c>
      <c r="Y145" s="341" t="s">
        <v>1032</v>
      </c>
      <c r="Z145" s="341"/>
      <c r="AA145" s="345">
        <v>2.7</v>
      </c>
      <c r="AB145" s="345">
        <v>1</v>
      </c>
      <c r="AC145" s="345" t="s">
        <v>1075</v>
      </c>
      <c r="AD145" s="340" t="s">
        <v>1156</v>
      </c>
      <c r="AE145" s="341"/>
      <c r="AF145" s="341"/>
      <c r="AG145" s="341"/>
      <c r="AH145" s="376" t="s">
        <v>1079</v>
      </c>
      <c r="AI145" s="341"/>
      <c r="AJ145" s="341">
        <v>0</v>
      </c>
      <c r="AK145" s="341">
        <v>9999</v>
      </c>
      <c r="AN145" s="310"/>
    </row>
    <row r="146" spans="1:45" s="83" customFormat="1" ht="12.75" customHeight="1">
      <c r="A146" s="403">
        <v>910134</v>
      </c>
      <c r="B146" s="592" t="s">
        <v>2336</v>
      </c>
      <c r="C146" s="592" t="s">
        <v>2196</v>
      </c>
      <c r="D146" s="592" t="s">
        <v>160</v>
      </c>
      <c r="E146" s="592" t="s">
        <v>160</v>
      </c>
      <c r="F146" s="592" t="s">
        <v>2196</v>
      </c>
      <c r="G146" s="340" t="s">
        <v>160</v>
      </c>
      <c r="H146" s="340" t="s">
        <v>1078</v>
      </c>
      <c r="I146" s="592" t="s">
        <v>1077</v>
      </c>
      <c r="J146" s="318" t="s">
        <v>2158</v>
      </c>
      <c r="K146" s="311" t="s">
        <v>2179</v>
      </c>
      <c r="L146" s="343">
        <v>15</v>
      </c>
      <c r="M146" s="344"/>
      <c r="N146" s="340"/>
      <c r="O146" s="341"/>
      <c r="P146" s="345">
        <v>2.5</v>
      </c>
      <c r="Q146" s="346">
        <v>0.28999999999999998</v>
      </c>
      <c r="R146" s="402"/>
      <c r="S146" s="341"/>
      <c r="T146" s="341"/>
      <c r="U146" s="340" t="s">
        <v>166</v>
      </c>
      <c r="V146" s="341" t="s">
        <v>947</v>
      </c>
      <c r="W146" s="545" t="s">
        <v>1842</v>
      </c>
      <c r="X146" s="341" t="s">
        <v>1002</v>
      </c>
      <c r="Y146" s="341" t="s">
        <v>1032</v>
      </c>
      <c r="Z146" s="341"/>
      <c r="AA146" s="345">
        <v>4.1500000000000004</v>
      </c>
      <c r="AB146" s="345">
        <v>50</v>
      </c>
      <c r="AC146" s="345" t="s">
        <v>1021</v>
      </c>
      <c r="AD146" s="592" t="s">
        <v>1077</v>
      </c>
      <c r="AE146" s="341"/>
      <c r="AF146" s="341"/>
      <c r="AG146" s="341"/>
      <c r="AH146" s="181" t="s">
        <v>2196</v>
      </c>
      <c r="AI146" s="341"/>
      <c r="AJ146" s="341">
        <v>0</v>
      </c>
      <c r="AK146" s="341">
        <v>9999</v>
      </c>
      <c r="AN146" s="310"/>
    </row>
    <row r="147" spans="1:45" s="83" customFormat="1" ht="12.75" customHeight="1">
      <c r="A147" s="403">
        <v>910136</v>
      </c>
      <c r="B147" s="592" t="s">
        <v>2337</v>
      </c>
      <c r="C147" s="592" t="s">
        <v>2197</v>
      </c>
      <c r="D147" s="592" t="s">
        <v>160</v>
      </c>
      <c r="E147" s="592" t="s">
        <v>160</v>
      </c>
      <c r="F147" s="592" t="s">
        <v>2197</v>
      </c>
      <c r="G147" s="340" t="s">
        <v>160</v>
      </c>
      <c r="H147" s="340" t="s">
        <v>1078</v>
      </c>
      <c r="I147" s="592" t="s">
        <v>1077</v>
      </c>
      <c r="J147" s="318" t="s">
        <v>2158</v>
      </c>
      <c r="K147" s="311" t="s">
        <v>2179</v>
      </c>
      <c r="L147" s="343">
        <v>15</v>
      </c>
      <c r="M147" s="344"/>
      <c r="N147" s="340"/>
      <c r="O147" s="341"/>
      <c r="P147" s="345">
        <v>2.5</v>
      </c>
      <c r="Q147" s="346">
        <v>0.36</v>
      </c>
      <c r="R147" s="402"/>
      <c r="S147" s="341"/>
      <c r="T147" s="341"/>
      <c r="U147" s="340" t="s">
        <v>166</v>
      </c>
      <c r="V147" s="341" t="s">
        <v>947</v>
      </c>
      <c r="W147" s="545" t="s">
        <v>1842</v>
      </c>
      <c r="X147" s="341" t="s">
        <v>1002</v>
      </c>
      <c r="Y147" s="341" t="s">
        <v>1032</v>
      </c>
      <c r="Z147" s="341"/>
      <c r="AA147" s="345">
        <v>4.45</v>
      </c>
      <c r="AB147" s="345">
        <v>50</v>
      </c>
      <c r="AC147" s="345" t="s">
        <v>1021</v>
      </c>
      <c r="AD147" s="592" t="s">
        <v>1077</v>
      </c>
      <c r="AE147" s="341"/>
      <c r="AF147" s="341"/>
      <c r="AG147" s="341"/>
      <c r="AH147" s="181" t="s">
        <v>2197</v>
      </c>
      <c r="AI147" s="341"/>
      <c r="AJ147" s="341">
        <v>0</v>
      </c>
      <c r="AK147" s="341">
        <v>9999</v>
      </c>
      <c r="AN147" s="310"/>
    </row>
    <row r="148" spans="1:45" s="83" customFormat="1" ht="12.75" customHeight="1">
      <c r="A148" s="403">
        <v>910138</v>
      </c>
      <c r="B148" s="592" t="s">
        <v>2338</v>
      </c>
      <c r="C148" s="592" t="s">
        <v>2198</v>
      </c>
      <c r="D148" s="592" t="s">
        <v>1010</v>
      </c>
      <c r="E148" s="592" t="s">
        <v>160</v>
      </c>
      <c r="F148" s="592" t="s">
        <v>2198</v>
      </c>
      <c r="G148" s="340" t="s">
        <v>160</v>
      </c>
      <c r="H148" s="340" t="s">
        <v>1010</v>
      </c>
      <c r="I148" s="592" t="s">
        <v>2199</v>
      </c>
      <c r="J148" s="318" t="s">
        <v>2158</v>
      </c>
      <c r="K148" s="311" t="s">
        <v>2179</v>
      </c>
      <c r="L148" s="343">
        <v>11</v>
      </c>
      <c r="M148" s="344"/>
      <c r="N148" s="340"/>
      <c r="O148" s="341"/>
      <c r="P148" s="345">
        <v>50</v>
      </c>
      <c r="Q148" s="346">
        <v>103.08</v>
      </c>
      <c r="R148" s="402"/>
      <c r="S148" s="341"/>
      <c r="T148" s="341"/>
      <c r="U148" s="340" t="s">
        <v>166</v>
      </c>
      <c r="V148" s="341" t="s">
        <v>947</v>
      </c>
      <c r="W148" s="545" t="s">
        <v>1842</v>
      </c>
      <c r="X148" s="341" t="s">
        <v>1002</v>
      </c>
      <c r="Y148" s="341" t="s">
        <v>1032</v>
      </c>
      <c r="Z148" s="341"/>
      <c r="AA148" s="345">
        <v>175</v>
      </c>
      <c r="AB148" s="345">
        <v>1</v>
      </c>
      <c r="AC148" s="345" t="s">
        <v>146</v>
      </c>
      <c r="AD148" s="592" t="s">
        <v>2199</v>
      </c>
      <c r="AE148" s="341"/>
      <c r="AF148" s="341"/>
      <c r="AG148" s="341"/>
      <c r="AH148" s="181" t="s">
        <v>2198</v>
      </c>
      <c r="AI148" s="341"/>
      <c r="AJ148" s="341">
        <v>0</v>
      </c>
      <c r="AK148" s="341">
        <v>9999</v>
      </c>
    </row>
    <row r="149" spans="1:45" s="83" customFormat="1" ht="12.75" customHeight="1">
      <c r="A149" s="403">
        <v>910130</v>
      </c>
      <c r="B149" s="545" t="s">
        <v>1990</v>
      </c>
      <c r="C149" s="340" t="s">
        <v>1948</v>
      </c>
      <c r="D149" s="340" t="s">
        <v>160</v>
      </c>
      <c r="E149" s="340" t="s">
        <v>1078</v>
      </c>
      <c r="F149" s="340" t="s">
        <v>1948</v>
      </c>
      <c r="G149" s="340" t="s">
        <v>160</v>
      </c>
      <c r="H149" s="340" t="s">
        <v>1078</v>
      </c>
      <c r="I149" s="340" t="s">
        <v>1958</v>
      </c>
      <c r="J149" s="318" t="s">
        <v>1757</v>
      </c>
      <c r="K149" s="311" t="s">
        <v>2179</v>
      </c>
      <c r="L149" s="343">
        <v>3</v>
      </c>
      <c r="M149" s="344"/>
      <c r="N149" s="340"/>
      <c r="O149" s="341"/>
      <c r="P149" s="345">
        <v>0.65</v>
      </c>
      <c r="Q149" s="346">
        <v>0.43</v>
      </c>
      <c r="R149" s="402"/>
      <c r="S149" s="341"/>
      <c r="T149" s="341"/>
      <c r="U149" s="340" t="s">
        <v>166</v>
      </c>
      <c r="V149" s="341" t="s">
        <v>947</v>
      </c>
      <c r="W149" s="545" t="s">
        <v>1842</v>
      </c>
      <c r="X149" s="341" t="s">
        <v>1002</v>
      </c>
      <c r="Y149" s="341" t="s">
        <v>1032</v>
      </c>
      <c r="Z149" s="341"/>
      <c r="AA149" s="345">
        <v>0.83</v>
      </c>
      <c r="AB149" s="345">
        <v>500</v>
      </c>
      <c r="AC149" s="345" t="s">
        <v>1075</v>
      </c>
      <c r="AD149" s="340" t="s">
        <v>1962</v>
      </c>
      <c r="AE149" s="341"/>
      <c r="AF149" s="341"/>
      <c r="AG149" s="341"/>
      <c r="AH149" s="376" t="s">
        <v>1948</v>
      </c>
      <c r="AI149" s="341"/>
      <c r="AJ149" s="341">
        <v>0</v>
      </c>
      <c r="AK149" s="341">
        <v>9999</v>
      </c>
    </row>
    <row r="150" spans="1:45" s="83" customFormat="1" ht="12.75" customHeight="1">
      <c r="A150" s="403">
        <v>910131</v>
      </c>
      <c r="B150" s="545" t="s">
        <v>1991</v>
      </c>
      <c r="C150" s="340" t="s">
        <v>1949</v>
      </c>
      <c r="D150" s="340" t="s">
        <v>160</v>
      </c>
      <c r="E150" s="340" t="s">
        <v>1155</v>
      </c>
      <c r="F150" s="340" t="s">
        <v>1949</v>
      </c>
      <c r="G150" s="340" t="s">
        <v>160</v>
      </c>
      <c r="H150" s="340" t="s">
        <v>1155</v>
      </c>
      <c r="I150" s="340" t="s">
        <v>1958</v>
      </c>
      <c r="J150" s="318" t="s">
        <v>1757</v>
      </c>
      <c r="K150" s="311" t="s">
        <v>2179</v>
      </c>
      <c r="L150" s="343">
        <v>3</v>
      </c>
      <c r="M150" s="344"/>
      <c r="N150" s="340"/>
      <c r="O150" s="341"/>
      <c r="P150" s="345">
        <v>0.65</v>
      </c>
      <c r="Q150" s="346">
        <v>0.33</v>
      </c>
      <c r="R150" s="402"/>
      <c r="S150" s="341"/>
      <c r="T150" s="341"/>
      <c r="U150" s="340" t="s">
        <v>166</v>
      </c>
      <c r="V150" s="341" t="s">
        <v>947</v>
      </c>
      <c r="W150" s="545" t="s">
        <v>1842</v>
      </c>
      <c r="X150" s="341" t="s">
        <v>1002</v>
      </c>
      <c r="Y150" s="341" t="s">
        <v>1032</v>
      </c>
      <c r="Z150" s="341"/>
      <c r="AA150" s="345">
        <v>2.12</v>
      </c>
      <c r="AB150" s="345">
        <v>500</v>
      </c>
      <c r="AC150" s="345" t="s">
        <v>1075</v>
      </c>
      <c r="AD150" s="340" t="s">
        <v>1962</v>
      </c>
      <c r="AE150" s="341"/>
      <c r="AF150" s="341"/>
      <c r="AG150" s="341"/>
      <c r="AH150" s="376" t="s">
        <v>1949</v>
      </c>
      <c r="AI150" s="341"/>
      <c r="AJ150" s="341">
        <v>0</v>
      </c>
      <c r="AK150" s="341">
        <v>9999</v>
      </c>
    </row>
    <row r="151" spans="1:45" s="83" customFormat="1" ht="12.75" customHeight="1">
      <c r="A151" s="403">
        <v>910124</v>
      </c>
      <c r="B151" s="545" t="s">
        <v>2057</v>
      </c>
      <c r="C151" s="340" t="s">
        <v>1968</v>
      </c>
      <c r="D151" s="340" t="s">
        <v>160</v>
      </c>
      <c r="E151" s="340" t="s">
        <v>1078</v>
      </c>
      <c r="F151" s="340" t="s">
        <v>1968</v>
      </c>
      <c r="G151" s="340" t="s">
        <v>160</v>
      </c>
      <c r="H151" s="340" t="s">
        <v>1078</v>
      </c>
      <c r="I151" s="543" t="s">
        <v>1960</v>
      </c>
      <c r="J151" s="318" t="s">
        <v>1757</v>
      </c>
      <c r="K151" s="311" t="s">
        <v>2179</v>
      </c>
      <c r="L151" s="343">
        <v>25</v>
      </c>
      <c r="M151" s="344"/>
      <c r="N151" s="340"/>
      <c r="O151" s="341"/>
      <c r="P151" s="345">
        <v>1.6500000000000001</v>
      </c>
      <c r="Q151" s="346">
        <v>1.84</v>
      </c>
      <c r="R151" s="402"/>
      <c r="S151" s="341"/>
      <c r="T151" s="341"/>
      <c r="U151" s="340" t="s">
        <v>166</v>
      </c>
      <c r="V151" s="341" t="s">
        <v>947</v>
      </c>
      <c r="W151" s="545" t="s">
        <v>1842</v>
      </c>
      <c r="X151" s="341" t="s">
        <v>1002</v>
      </c>
      <c r="Y151" s="341" t="s">
        <v>1032</v>
      </c>
      <c r="Z151" s="341"/>
      <c r="AA151" s="345">
        <v>4.3499999999999996</v>
      </c>
      <c r="AB151" s="345">
        <v>200</v>
      </c>
      <c r="AC151" s="345" t="s">
        <v>1075</v>
      </c>
      <c r="AD151" s="340" t="s">
        <v>1964</v>
      </c>
      <c r="AE151" s="341"/>
      <c r="AF151" s="341"/>
      <c r="AG151" s="341"/>
      <c r="AH151" s="376" t="s">
        <v>1968</v>
      </c>
      <c r="AI151" s="341"/>
      <c r="AJ151" s="341">
        <v>0</v>
      </c>
      <c r="AK151" s="341">
        <v>299</v>
      </c>
    </row>
    <row r="152" spans="1:45" s="83" customFormat="1" ht="12.75" customHeight="1">
      <c r="A152" s="403">
        <v>910125</v>
      </c>
      <c r="B152" s="545" t="s">
        <v>2058</v>
      </c>
      <c r="C152" s="543" t="s">
        <v>2061</v>
      </c>
      <c r="D152" s="376" t="s">
        <v>160</v>
      </c>
      <c r="E152" s="376" t="s">
        <v>1078</v>
      </c>
      <c r="F152" s="543" t="s">
        <v>2061</v>
      </c>
      <c r="G152" s="376" t="s">
        <v>160</v>
      </c>
      <c r="H152" s="376" t="s">
        <v>1078</v>
      </c>
      <c r="I152" s="543" t="s">
        <v>1960</v>
      </c>
      <c r="J152" s="318" t="s">
        <v>1757</v>
      </c>
      <c r="K152" s="311" t="s">
        <v>2179</v>
      </c>
      <c r="L152" s="343">
        <v>25</v>
      </c>
      <c r="M152" s="544"/>
      <c r="N152" s="543"/>
      <c r="O152" s="545"/>
      <c r="P152" s="345">
        <v>1.6500000000000001</v>
      </c>
      <c r="Q152" s="346">
        <v>2.48</v>
      </c>
      <c r="R152" s="546"/>
      <c r="S152" s="545"/>
      <c r="T152" s="545"/>
      <c r="U152" s="340" t="s">
        <v>166</v>
      </c>
      <c r="V152" s="341" t="s">
        <v>947</v>
      </c>
      <c r="W152" s="545" t="s">
        <v>1842</v>
      </c>
      <c r="X152" s="341" t="s">
        <v>1002</v>
      </c>
      <c r="Y152" s="341" t="s">
        <v>1032</v>
      </c>
      <c r="Z152" s="545"/>
      <c r="AA152" s="345">
        <v>4.3499999999999996</v>
      </c>
      <c r="AB152" s="345">
        <v>1000</v>
      </c>
      <c r="AC152" s="345" t="s">
        <v>1075</v>
      </c>
      <c r="AD152" s="543" t="s">
        <v>1965</v>
      </c>
      <c r="AE152" s="545"/>
      <c r="AF152" s="545"/>
      <c r="AG152" s="545"/>
      <c r="AH152" s="543" t="s">
        <v>2061</v>
      </c>
      <c r="AI152" s="545"/>
      <c r="AJ152" s="545">
        <v>300</v>
      </c>
      <c r="AK152" s="545">
        <v>2500</v>
      </c>
    </row>
    <row r="153" spans="1:45" s="83" customFormat="1" ht="12.75" customHeight="1">
      <c r="A153" s="354"/>
      <c r="B153" s="341"/>
      <c r="C153" s="341"/>
      <c r="D153" s="341"/>
      <c r="E153" s="341"/>
      <c r="F153" s="341"/>
      <c r="G153" s="341"/>
      <c r="H153" s="341"/>
      <c r="I153" s="341"/>
      <c r="J153" s="341"/>
      <c r="K153" s="341"/>
      <c r="L153" s="348"/>
      <c r="M153" s="344"/>
      <c r="N153" s="341"/>
      <c r="O153" s="341"/>
      <c r="P153" s="341"/>
      <c r="Q153" s="341"/>
      <c r="R153" s="402"/>
      <c r="S153" s="341"/>
      <c r="T153" s="341"/>
      <c r="U153" s="341"/>
      <c r="V153" s="341"/>
      <c r="W153" s="341"/>
      <c r="X153" s="341"/>
      <c r="Y153" s="341"/>
      <c r="Z153" s="341"/>
      <c r="AA153" s="341"/>
      <c r="AB153" s="341"/>
      <c r="AC153" s="341"/>
      <c r="AD153" s="341"/>
      <c r="AE153" s="341"/>
      <c r="AF153" s="341"/>
      <c r="AG153" s="341"/>
      <c r="AH153" s="341"/>
      <c r="AI153" s="341"/>
      <c r="AJ153" s="341"/>
      <c r="AK153" s="341"/>
      <c r="AO153" t="s">
        <v>1598</v>
      </c>
      <c r="AP153" t="s">
        <v>1328</v>
      </c>
      <c r="AQ153" t="s">
        <v>1587</v>
      </c>
      <c r="AR153" t="s">
        <v>1588</v>
      </c>
      <c r="AS153" t="s">
        <v>1701</v>
      </c>
    </row>
    <row r="154" spans="1:45" s="83" customFormat="1" ht="12.75" customHeight="1">
      <c r="A154" s="354"/>
      <c r="B154" s="342"/>
      <c r="C154" s="341"/>
      <c r="D154" s="341"/>
      <c r="E154" s="341"/>
      <c r="F154" s="341"/>
      <c r="G154" s="341"/>
      <c r="H154" s="341"/>
      <c r="I154" s="341"/>
      <c r="J154" s="341"/>
      <c r="K154" s="342"/>
      <c r="L154" s="348"/>
      <c r="M154" s="344"/>
      <c r="N154" s="341"/>
      <c r="O154" s="341"/>
      <c r="P154" s="341"/>
      <c r="Q154" s="341"/>
      <c r="R154" s="402"/>
      <c r="S154" s="341"/>
      <c r="T154" s="341"/>
      <c r="U154" s="341"/>
      <c r="V154" s="341"/>
      <c r="W154" s="341"/>
      <c r="X154" s="341"/>
      <c r="Y154" s="341"/>
      <c r="Z154" s="341"/>
      <c r="AA154" s="341"/>
      <c r="AB154" s="341"/>
      <c r="AC154" s="341"/>
      <c r="AD154" s="341"/>
      <c r="AE154" s="341"/>
      <c r="AF154" s="341"/>
      <c r="AG154" s="341"/>
      <c r="AH154" s="341"/>
      <c r="AI154" s="341"/>
      <c r="AJ154" s="341"/>
      <c r="AK154" s="341"/>
      <c r="AO154" s="374" t="s">
        <v>2053</v>
      </c>
      <c r="AP154" s="83" t="s">
        <v>1872</v>
      </c>
      <c r="AS154" s="397">
        <v>0.14000000000000001</v>
      </c>
    </row>
    <row r="155" spans="1:45" s="83" customFormat="1" ht="12.75" customHeight="1">
      <c r="A155" s="353" t="s">
        <v>852</v>
      </c>
      <c r="B155" s="335" t="s">
        <v>853</v>
      </c>
      <c r="C155" s="335" t="s">
        <v>854</v>
      </c>
      <c r="D155" s="335" t="s">
        <v>855</v>
      </c>
      <c r="E155" s="335" t="s">
        <v>856</v>
      </c>
      <c r="F155" s="335" t="s">
        <v>144</v>
      </c>
      <c r="G155" s="335" t="s">
        <v>857</v>
      </c>
      <c r="H155" s="335" t="s">
        <v>858</v>
      </c>
      <c r="I155" s="335" t="s">
        <v>145</v>
      </c>
      <c r="J155" s="374" t="s">
        <v>1450</v>
      </c>
      <c r="K155" s="336" t="s">
        <v>859</v>
      </c>
      <c r="L155" s="337" t="s">
        <v>148</v>
      </c>
      <c r="M155" s="338" t="s">
        <v>860</v>
      </c>
      <c r="N155" s="335" t="s">
        <v>153</v>
      </c>
      <c r="O155" s="335" t="s">
        <v>687</v>
      </c>
      <c r="P155" s="335" t="s">
        <v>147</v>
      </c>
      <c r="Q155" s="335" t="s">
        <v>1203</v>
      </c>
      <c r="R155" s="401" t="s">
        <v>165</v>
      </c>
      <c r="S155" s="335" t="s">
        <v>1204</v>
      </c>
      <c r="T155" s="335" t="s">
        <v>1205</v>
      </c>
      <c r="U155" s="335" t="s">
        <v>142</v>
      </c>
      <c r="V155" s="335" t="s">
        <v>0</v>
      </c>
      <c r="W155" s="335" t="s">
        <v>864</v>
      </c>
      <c r="X155" s="335" t="s">
        <v>489</v>
      </c>
      <c r="Y155" s="335" t="s">
        <v>152</v>
      </c>
      <c r="Z155" s="335" t="s">
        <v>817</v>
      </c>
      <c r="AA155" s="335" t="s">
        <v>151</v>
      </c>
      <c r="AB155" s="335" t="s">
        <v>865</v>
      </c>
      <c r="AC155" s="335" t="s">
        <v>100</v>
      </c>
      <c r="AD155" s="339" t="s">
        <v>169</v>
      </c>
      <c r="AE155" s="339" t="s">
        <v>170</v>
      </c>
      <c r="AF155" s="339" t="s">
        <v>173</v>
      </c>
      <c r="AG155" s="339" t="s">
        <v>220</v>
      </c>
      <c r="AH155" s="339" t="s">
        <v>171</v>
      </c>
      <c r="AI155" s="339" t="s">
        <v>172</v>
      </c>
      <c r="AJ155" s="339" t="s">
        <v>174</v>
      </c>
      <c r="AK155" s="339" t="s">
        <v>188</v>
      </c>
      <c r="AO155" s="374" t="s">
        <v>2053</v>
      </c>
      <c r="AP155" s="83" t="s">
        <v>1873</v>
      </c>
      <c r="AS155" s="397">
        <v>0.18</v>
      </c>
    </row>
    <row r="156" spans="1:45" s="83" customFormat="1" ht="12.75" customHeight="1">
      <c r="A156" s="403">
        <v>930803</v>
      </c>
      <c r="B156" s="340" t="s">
        <v>1997</v>
      </c>
      <c r="C156" s="340" t="s">
        <v>1998</v>
      </c>
      <c r="D156" s="340" t="s">
        <v>1158</v>
      </c>
      <c r="E156" s="592" t="s">
        <v>1158</v>
      </c>
      <c r="F156" s="340" t="s">
        <v>1999</v>
      </c>
      <c r="G156" s="340" t="s">
        <v>1158</v>
      </c>
      <c r="H156" s="340" t="s">
        <v>1158</v>
      </c>
      <c r="I156" s="340" t="s">
        <v>1971</v>
      </c>
      <c r="J156" s="318" t="s">
        <v>2158</v>
      </c>
      <c r="K156" s="545" t="s">
        <v>2179</v>
      </c>
      <c r="L156" s="347">
        <v>15</v>
      </c>
      <c r="M156" s="344"/>
      <c r="N156" s="340"/>
      <c r="O156" s="341"/>
      <c r="P156" s="333">
        <v>2.5</v>
      </c>
      <c r="Q156" s="346">
        <v>2.44</v>
      </c>
      <c r="R156" s="402"/>
      <c r="S156" s="341"/>
      <c r="T156" s="341"/>
      <c r="U156" s="340" t="s">
        <v>166</v>
      </c>
      <c r="V156" s="341" t="s">
        <v>947</v>
      </c>
      <c r="W156" s="341" t="s">
        <v>1842</v>
      </c>
      <c r="X156" s="341" t="s">
        <v>1002</v>
      </c>
      <c r="Y156" s="341" t="s">
        <v>1032</v>
      </c>
      <c r="Z156" s="341"/>
      <c r="AA156" s="347">
        <v>3.8199999999999994</v>
      </c>
      <c r="AB156" s="347">
        <v>1</v>
      </c>
      <c r="AC156" s="340" t="s">
        <v>1086</v>
      </c>
      <c r="AD156" s="340" t="s">
        <v>1971</v>
      </c>
      <c r="AE156" s="341"/>
      <c r="AF156" s="341"/>
      <c r="AG156" s="341"/>
      <c r="AH156" s="376" t="s">
        <v>2369</v>
      </c>
      <c r="AI156" s="341"/>
      <c r="AJ156" s="341"/>
      <c r="AK156" s="341"/>
      <c r="AO156" s="374" t="s">
        <v>2053</v>
      </c>
      <c r="AP156" s="83" t="s">
        <v>1874</v>
      </c>
      <c r="AS156" s="397">
        <v>0.15</v>
      </c>
    </row>
    <row r="157" spans="1:45" s="83" customFormat="1" ht="12.75" customHeight="1">
      <c r="A157" s="403">
        <v>930809</v>
      </c>
      <c r="B157" s="545" t="s">
        <v>2350</v>
      </c>
      <c r="C157" s="592" t="s">
        <v>2222</v>
      </c>
      <c r="D157" s="340" t="s">
        <v>1158</v>
      </c>
      <c r="E157" s="592" t="s">
        <v>1158</v>
      </c>
      <c r="F157" s="592" t="s">
        <v>2222</v>
      </c>
      <c r="G157" s="592" t="s">
        <v>1158</v>
      </c>
      <c r="H157" s="340" t="s">
        <v>1158</v>
      </c>
      <c r="I157" s="592" t="s">
        <v>2351</v>
      </c>
      <c r="J157" s="318" t="s">
        <v>2158</v>
      </c>
      <c r="K157" s="545" t="s">
        <v>2179</v>
      </c>
      <c r="L157" s="347">
        <v>15</v>
      </c>
      <c r="M157" s="344"/>
      <c r="N157" s="340"/>
      <c r="O157" s="341"/>
      <c r="P157" s="333">
        <v>220</v>
      </c>
      <c r="Q157" s="346">
        <v>103.39</v>
      </c>
      <c r="R157" s="402"/>
      <c r="S157" s="341"/>
      <c r="T157" s="341"/>
      <c r="U157" s="340" t="s">
        <v>166</v>
      </c>
      <c r="V157" s="341" t="s">
        <v>947</v>
      </c>
      <c r="W157" s="341" t="s">
        <v>1842</v>
      </c>
      <c r="X157" s="341" t="s">
        <v>1002</v>
      </c>
      <c r="Y157" s="341" t="s">
        <v>1032</v>
      </c>
      <c r="Z157" s="341"/>
      <c r="AA157" s="347">
        <v>220</v>
      </c>
      <c r="AB157" s="347">
        <v>1</v>
      </c>
      <c r="AC157" s="347" t="s">
        <v>146</v>
      </c>
      <c r="AD157" s="181" t="s">
        <v>2351</v>
      </c>
      <c r="AE157" s="341"/>
      <c r="AF157" s="341"/>
      <c r="AG157" s="341"/>
      <c r="AH157" s="181" t="s">
        <v>2222</v>
      </c>
      <c r="AI157" s="341"/>
      <c r="AJ157" s="341"/>
      <c r="AK157" s="341"/>
      <c r="AO157" s="374" t="s">
        <v>2053</v>
      </c>
      <c r="AP157" s="83" t="s">
        <v>1875</v>
      </c>
      <c r="AS157" s="23">
        <v>0.15</v>
      </c>
    </row>
    <row r="158" spans="1:45" s="83" customFormat="1" ht="12.75" customHeight="1">
      <c r="A158" s="403">
        <v>930811</v>
      </c>
      <c r="B158" s="545" t="s">
        <v>2352</v>
      </c>
      <c r="C158" s="592" t="s">
        <v>1951</v>
      </c>
      <c r="D158" s="340" t="s">
        <v>1158</v>
      </c>
      <c r="E158" s="592" t="s">
        <v>1158</v>
      </c>
      <c r="F158" s="592" t="s">
        <v>1951</v>
      </c>
      <c r="G158" s="592" t="s">
        <v>1158</v>
      </c>
      <c r="H158" s="340" t="s">
        <v>1158</v>
      </c>
      <c r="I158" s="592" t="s">
        <v>2351</v>
      </c>
      <c r="J158" s="318" t="s">
        <v>2158</v>
      </c>
      <c r="K158" s="545" t="s">
        <v>2179</v>
      </c>
      <c r="L158" s="347">
        <v>15</v>
      </c>
      <c r="M158" s="344"/>
      <c r="N158" s="340"/>
      <c r="O158" s="341"/>
      <c r="P158" s="333">
        <v>55.000000000000007</v>
      </c>
      <c r="Q158" s="346">
        <v>13.67</v>
      </c>
      <c r="R158" s="402"/>
      <c r="S158" s="341"/>
      <c r="T158" s="341"/>
      <c r="U158" s="340" t="s">
        <v>166</v>
      </c>
      <c r="V158" s="341" t="s">
        <v>947</v>
      </c>
      <c r="W158" s="341" t="s">
        <v>1842</v>
      </c>
      <c r="X158" s="341" t="s">
        <v>1002</v>
      </c>
      <c r="Y158" s="341" t="s">
        <v>1032</v>
      </c>
      <c r="Z158" s="341"/>
      <c r="AA158" s="347">
        <v>440</v>
      </c>
      <c r="AB158" s="347">
        <v>1</v>
      </c>
      <c r="AC158" s="347" t="s">
        <v>146</v>
      </c>
      <c r="AD158" s="181" t="s">
        <v>2351</v>
      </c>
      <c r="AE158" s="341"/>
      <c r="AF158" s="341"/>
      <c r="AG158" s="341"/>
      <c r="AH158" s="181" t="s">
        <v>1951</v>
      </c>
      <c r="AI158" s="341"/>
      <c r="AJ158" s="341"/>
      <c r="AK158" s="341"/>
      <c r="AO158" s="374" t="s">
        <v>2053</v>
      </c>
      <c r="AP158" s="83" t="s">
        <v>1876</v>
      </c>
      <c r="AS158" s="23">
        <v>0.18</v>
      </c>
    </row>
    <row r="159" spans="1:45" s="83" customFormat="1" ht="12.75" customHeight="1">
      <c r="A159" s="403">
        <v>930806</v>
      </c>
      <c r="B159" s="545" t="s">
        <v>1987</v>
      </c>
      <c r="C159" s="539" t="s">
        <v>1952</v>
      </c>
      <c r="D159" s="340" t="s">
        <v>1158</v>
      </c>
      <c r="E159" s="592" t="s">
        <v>1158</v>
      </c>
      <c r="F159" s="539" t="s">
        <v>1952</v>
      </c>
      <c r="G159" s="340" t="s">
        <v>1158</v>
      </c>
      <c r="H159" s="340" t="s">
        <v>1158</v>
      </c>
      <c r="I159" s="538" t="s">
        <v>1972</v>
      </c>
      <c r="J159" s="495" t="s">
        <v>1757</v>
      </c>
      <c r="K159" s="545" t="s">
        <v>2179</v>
      </c>
      <c r="L159" s="347">
        <v>15</v>
      </c>
      <c r="M159" s="540"/>
      <c r="N159" s="538"/>
      <c r="O159" s="541"/>
      <c r="P159" s="333">
        <v>82</v>
      </c>
      <c r="Q159" s="346">
        <v>55.01</v>
      </c>
      <c r="R159" s="542"/>
      <c r="S159" s="541"/>
      <c r="T159" s="541"/>
      <c r="U159" s="340" t="s">
        <v>166</v>
      </c>
      <c r="V159" s="341" t="s">
        <v>947</v>
      </c>
      <c r="W159" s="341" t="s">
        <v>1842</v>
      </c>
      <c r="X159" s="341" t="s">
        <v>1002</v>
      </c>
      <c r="Y159" s="341" t="s">
        <v>1032</v>
      </c>
      <c r="Z159" s="541"/>
      <c r="AA159" s="347">
        <v>440</v>
      </c>
      <c r="AB159" s="347">
        <v>1</v>
      </c>
      <c r="AC159" s="347" t="s">
        <v>146</v>
      </c>
      <c r="AD159" s="543" t="s">
        <v>1969</v>
      </c>
      <c r="AE159" s="541"/>
      <c r="AF159" s="541"/>
      <c r="AG159" s="541"/>
      <c r="AH159" s="538" t="s">
        <v>1952</v>
      </c>
      <c r="AI159" s="541"/>
      <c r="AJ159" s="541"/>
      <c r="AK159" s="541"/>
      <c r="AO159" s="374" t="s">
        <v>1852</v>
      </c>
      <c r="AP159" s="83" t="s">
        <v>1859</v>
      </c>
      <c r="AS159" s="397"/>
    </row>
    <row r="160" spans="1:45" s="83" customFormat="1" ht="12.75" customHeight="1">
      <c r="A160" s="403">
        <v>930810</v>
      </c>
      <c r="B160" s="545" t="s">
        <v>2353</v>
      </c>
      <c r="C160" s="592" t="s">
        <v>2223</v>
      </c>
      <c r="D160" s="340" t="s">
        <v>1158</v>
      </c>
      <c r="E160" s="592" t="s">
        <v>1158</v>
      </c>
      <c r="F160" s="592" t="s">
        <v>2223</v>
      </c>
      <c r="G160" s="592" t="s">
        <v>1158</v>
      </c>
      <c r="H160" s="340" t="s">
        <v>1158</v>
      </c>
      <c r="I160" s="592" t="s">
        <v>2351</v>
      </c>
      <c r="J160" s="318" t="s">
        <v>2158</v>
      </c>
      <c r="K160" s="545" t="s">
        <v>2179</v>
      </c>
      <c r="L160" s="347">
        <v>15</v>
      </c>
      <c r="M160" s="344"/>
      <c r="N160" s="340"/>
      <c r="O160" s="341"/>
      <c r="P160" s="333">
        <v>82</v>
      </c>
      <c r="Q160" s="346">
        <v>230.86</v>
      </c>
      <c r="R160" s="402"/>
      <c r="S160" s="341"/>
      <c r="T160" s="341"/>
      <c r="U160" s="340" t="s">
        <v>166</v>
      </c>
      <c r="V160" s="341" t="s">
        <v>947</v>
      </c>
      <c r="W160" s="341" t="s">
        <v>1842</v>
      </c>
      <c r="X160" s="341" t="s">
        <v>1002</v>
      </c>
      <c r="Y160" s="341" t="s">
        <v>1032</v>
      </c>
      <c r="Z160" s="341"/>
      <c r="AA160" s="347">
        <v>220</v>
      </c>
      <c r="AB160" s="347">
        <v>1</v>
      </c>
      <c r="AC160" s="347" t="s">
        <v>146</v>
      </c>
      <c r="AD160" s="181" t="s">
        <v>2351</v>
      </c>
      <c r="AE160" s="341"/>
      <c r="AF160" s="341"/>
      <c r="AG160" s="341"/>
      <c r="AH160" s="181" t="s">
        <v>2223</v>
      </c>
      <c r="AI160" s="341"/>
      <c r="AJ160" s="341"/>
      <c r="AK160" s="341"/>
      <c r="AO160" s="374" t="s">
        <v>2052</v>
      </c>
      <c r="AP160" s="83" t="s">
        <v>1881</v>
      </c>
      <c r="AS160" s="397">
        <v>0.14000000000000001</v>
      </c>
    </row>
    <row r="161" spans="1:50" s="83" customFormat="1" ht="12.75" customHeight="1">
      <c r="A161" s="403">
        <v>910135</v>
      </c>
      <c r="B161" s="545" t="s">
        <v>2354</v>
      </c>
      <c r="C161" s="592" t="s">
        <v>2224</v>
      </c>
      <c r="D161" s="340" t="s">
        <v>1158</v>
      </c>
      <c r="E161" s="592" t="s">
        <v>1158</v>
      </c>
      <c r="F161" s="592" t="s">
        <v>2211</v>
      </c>
      <c r="G161" s="592" t="s">
        <v>1158</v>
      </c>
      <c r="H161" s="340" t="s">
        <v>1158</v>
      </c>
      <c r="I161" s="592" t="s">
        <v>1077</v>
      </c>
      <c r="J161" s="318" t="s">
        <v>2158</v>
      </c>
      <c r="K161" s="545" t="s">
        <v>2179</v>
      </c>
      <c r="L161" s="347">
        <v>15</v>
      </c>
      <c r="M161" s="344"/>
      <c r="N161" s="340"/>
      <c r="O161" s="341"/>
      <c r="P161" s="333">
        <v>1</v>
      </c>
      <c r="Q161" s="346">
        <v>0.56999999999999995</v>
      </c>
      <c r="R161" s="402"/>
      <c r="S161" s="341"/>
      <c r="T161" s="341"/>
      <c r="U161" s="340" t="s">
        <v>166</v>
      </c>
      <c r="V161" s="341" t="s">
        <v>947</v>
      </c>
      <c r="W161" s="341" t="s">
        <v>1842</v>
      </c>
      <c r="X161" s="341" t="s">
        <v>1002</v>
      </c>
      <c r="Y161" s="341" t="s">
        <v>1032</v>
      </c>
      <c r="Z161" s="341"/>
      <c r="AA161" s="347">
        <v>4.1500000000000004</v>
      </c>
      <c r="AB161" s="347">
        <v>1</v>
      </c>
      <c r="AC161" s="347" t="s">
        <v>1021</v>
      </c>
      <c r="AD161" s="181" t="s">
        <v>1077</v>
      </c>
      <c r="AE161" s="341"/>
      <c r="AF161" s="341"/>
      <c r="AG161" s="341"/>
      <c r="AH161" s="181" t="s">
        <v>2224</v>
      </c>
      <c r="AI161" s="341"/>
      <c r="AJ161" s="341"/>
      <c r="AK161" s="341"/>
      <c r="AO161" s="374" t="s">
        <v>2052</v>
      </c>
      <c r="AP161" s="83" t="s">
        <v>1884</v>
      </c>
      <c r="AS161" s="397">
        <v>0.18</v>
      </c>
    </row>
    <row r="162" spans="1:50" s="83" customFormat="1" ht="12.75" customHeight="1">
      <c r="A162" s="403">
        <v>910137</v>
      </c>
      <c r="B162" s="545" t="s">
        <v>2355</v>
      </c>
      <c r="C162" s="592" t="s">
        <v>2225</v>
      </c>
      <c r="D162" s="340" t="s">
        <v>1158</v>
      </c>
      <c r="E162" s="592" t="s">
        <v>1158</v>
      </c>
      <c r="F162" s="592" t="s">
        <v>2211</v>
      </c>
      <c r="G162" s="592" t="s">
        <v>1158</v>
      </c>
      <c r="H162" s="340" t="s">
        <v>1158</v>
      </c>
      <c r="I162" s="592" t="s">
        <v>1077</v>
      </c>
      <c r="J162" s="318" t="s">
        <v>2158</v>
      </c>
      <c r="K162" s="545" t="s">
        <v>2179</v>
      </c>
      <c r="L162" s="347">
        <v>15</v>
      </c>
      <c r="M162" s="344"/>
      <c r="N162" s="340"/>
      <c r="O162" s="341"/>
      <c r="P162" s="333">
        <v>2</v>
      </c>
      <c r="Q162" s="346">
        <v>0.69</v>
      </c>
      <c r="R162" s="402"/>
      <c r="S162" s="341"/>
      <c r="T162" s="341"/>
      <c r="U162" s="340" t="s">
        <v>166</v>
      </c>
      <c r="V162" s="341" t="s">
        <v>947</v>
      </c>
      <c r="W162" s="341" t="s">
        <v>1842</v>
      </c>
      <c r="X162" s="341" t="s">
        <v>1002</v>
      </c>
      <c r="Y162" s="341" t="s">
        <v>1032</v>
      </c>
      <c r="Z162" s="341"/>
      <c r="AA162" s="347">
        <v>4.45</v>
      </c>
      <c r="AB162" s="347">
        <v>1</v>
      </c>
      <c r="AC162" s="347" t="s">
        <v>1021</v>
      </c>
      <c r="AD162" s="181" t="s">
        <v>1077</v>
      </c>
      <c r="AE162" s="341"/>
      <c r="AF162" s="341"/>
      <c r="AG162" s="341"/>
      <c r="AH162" s="181" t="s">
        <v>2225</v>
      </c>
      <c r="AI162" s="341"/>
      <c r="AJ162" s="341"/>
      <c r="AK162" s="341"/>
      <c r="AO162" s="374" t="s">
        <v>2052</v>
      </c>
      <c r="AP162" s="83" t="s">
        <v>1887</v>
      </c>
      <c r="AS162" s="397">
        <v>0.15</v>
      </c>
    </row>
    <row r="163" spans="1:50" s="83" customFormat="1" ht="12.75" customHeight="1">
      <c r="A163" s="403">
        <v>930804</v>
      </c>
      <c r="B163" s="545" t="s">
        <v>1988</v>
      </c>
      <c r="C163" s="340" t="s">
        <v>1950</v>
      </c>
      <c r="D163" s="340" t="s">
        <v>1158</v>
      </c>
      <c r="E163" s="592" t="s">
        <v>1158</v>
      </c>
      <c r="F163" s="340" t="s">
        <v>1950</v>
      </c>
      <c r="G163" s="340" t="s">
        <v>1158</v>
      </c>
      <c r="H163" s="340" t="s">
        <v>1158</v>
      </c>
      <c r="I163" s="340" t="s">
        <v>1972</v>
      </c>
      <c r="J163" s="318" t="s">
        <v>1757</v>
      </c>
      <c r="K163" s="545" t="s">
        <v>2179</v>
      </c>
      <c r="L163" s="347">
        <v>13</v>
      </c>
      <c r="M163" s="344"/>
      <c r="N163" s="340"/>
      <c r="O163" s="341"/>
      <c r="P163" s="333">
        <v>148.5</v>
      </c>
      <c r="Q163" s="346">
        <v>126</v>
      </c>
      <c r="R163" s="402"/>
      <c r="S163" s="341"/>
      <c r="T163" s="341"/>
      <c r="U163" s="340" t="s">
        <v>166</v>
      </c>
      <c r="V163" s="341" t="s">
        <v>947</v>
      </c>
      <c r="W163" s="341" t="s">
        <v>1842</v>
      </c>
      <c r="X163" s="341" t="s">
        <v>1002</v>
      </c>
      <c r="Y163" s="341" t="s">
        <v>1032</v>
      </c>
      <c r="Z163" s="341"/>
      <c r="AA163" s="347">
        <v>220</v>
      </c>
      <c r="AB163" s="347">
        <v>1</v>
      </c>
      <c r="AC163" s="347" t="s">
        <v>146</v>
      </c>
      <c r="AD163" s="376" t="s">
        <v>1970</v>
      </c>
      <c r="AE163" s="341"/>
      <c r="AF163" s="341"/>
      <c r="AG163" s="341"/>
      <c r="AH163" s="376" t="s">
        <v>1950</v>
      </c>
      <c r="AI163" s="341"/>
      <c r="AJ163" s="341"/>
      <c r="AK163" s="341"/>
      <c r="AO163" s="374" t="s">
        <v>2052</v>
      </c>
      <c r="AP163" s="83" t="s">
        <v>1888</v>
      </c>
      <c r="AS163" s="23">
        <v>0.15</v>
      </c>
    </row>
    <row r="164" spans="1:50" s="83" customFormat="1" ht="12.75" customHeight="1">
      <c r="A164" s="350"/>
      <c r="AO164" s="374" t="s">
        <v>2052</v>
      </c>
      <c r="AP164" s="83" t="s">
        <v>1889</v>
      </c>
      <c r="AS164" s="23">
        <v>0.18</v>
      </c>
    </row>
    <row r="165" spans="1:50" s="83" customFormat="1" ht="12.75" customHeight="1">
      <c r="A165" s="352" t="s">
        <v>852</v>
      </c>
      <c r="B165" s="326" t="s">
        <v>853</v>
      </c>
      <c r="C165" s="314" t="s">
        <v>854</v>
      </c>
      <c r="D165" s="314" t="s">
        <v>855</v>
      </c>
      <c r="E165" s="314" t="s">
        <v>856</v>
      </c>
      <c r="F165" s="314" t="s">
        <v>144</v>
      </c>
      <c r="G165" s="314" t="s">
        <v>857</v>
      </c>
      <c r="H165" s="314" t="s">
        <v>858</v>
      </c>
      <c r="I165" s="314" t="s">
        <v>145</v>
      </c>
      <c r="J165" s="374" t="s">
        <v>1450</v>
      </c>
      <c r="K165" s="326" t="s">
        <v>859</v>
      </c>
      <c r="L165" s="314" t="s">
        <v>148</v>
      </c>
      <c r="M165" s="327" t="s">
        <v>860</v>
      </c>
      <c r="N165" s="314" t="s">
        <v>153</v>
      </c>
      <c r="O165" s="314" t="s">
        <v>687</v>
      </c>
      <c r="P165" s="314" t="s">
        <v>147</v>
      </c>
      <c r="Q165" s="314" t="s">
        <v>150</v>
      </c>
      <c r="R165" s="400" t="s">
        <v>861</v>
      </c>
      <c r="S165" s="314" t="s">
        <v>862</v>
      </c>
      <c r="T165" s="314" t="s">
        <v>863</v>
      </c>
      <c r="U165" s="314" t="s">
        <v>142</v>
      </c>
      <c r="V165" s="314" t="s">
        <v>0</v>
      </c>
      <c r="W165" s="314" t="s">
        <v>864</v>
      </c>
      <c r="X165" s="314" t="s">
        <v>489</v>
      </c>
      <c r="Y165" s="314" t="s">
        <v>152</v>
      </c>
      <c r="Z165" s="314" t="s">
        <v>817</v>
      </c>
      <c r="AA165" s="314" t="s">
        <v>151</v>
      </c>
      <c r="AB165" s="314" t="s">
        <v>865</v>
      </c>
      <c r="AC165" s="314" t="s">
        <v>100</v>
      </c>
      <c r="AD165" s="314" t="s">
        <v>169</v>
      </c>
      <c r="AE165" s="314" t="s">
        <v>170</v>
      </c>
      <c r="AF165" s="314" t="s">
        <v>173</v>
      </c>
      <c r="AG165" s="314" t="s">
        <v>220</v>
      </c>
      <c r="AH165" s="314" t="s">
        <v>171</v>
      </c>
      <c r="AI165" s="314" t="s">
        <v>172</v>
      </c>
      <c r="AJ165" s="314" t="s">
        <v>174</v>
      </c>
      <c r="AK165" s="314" t="s">
        <v>188</v>
      </c>
      <c r="AO165" s="374" t="s">
        <v>1856</v>
      </c>
      <c r="AP165" s="9" t="s">
        <v>1885</v>
      </c>
      <c r="AS165" s="23">
        <v>70.2</v>
      </c>
    </row>
    <row r="166" spans="1:50" s="83" customFormat="1" ht="12.75" customHeight="1">
      <c r="A166" s="516">
        <v>840916</v>
      </c>
      <c r="B166" s="374" t="s">
        <v>2054</v>
      </c>
      <c r="C166" s="374" t="s">
        <v>2053</v>
      </c>
      <c r="D166" s="374" t="s">
        <v>1024</v>
      </c>
      <c r="E166" s="310" t="s">
        <v>1617</v>
      </c>
      <c r="F166" s="374" t="s">
        <v>2053</v>
      </c>
      <c r="G166" s="310" t="s">
        <v>164</v>
      </c>
      <c r="H166" s="310" t="s">
        <v>1617</v>
      </c>
      <c r="I166" s="374" t="s">
        <v>1985</v>
      </c>
      <c r="J166" s="318" t="s">
        <v>1757</v>
      </c>
      <c r="K166" s="374"/>
      <c r="L166" s="517">
        <v>15</v>
      </c>
      <c r="M166" s="518"/>
      <c r="N166" s="374"/>
      <c r="O166" s="519"/>
      <c r="P166" s="374">
        <v>3.75</v>
      </c>
      <c r="Q166" s="374">
        <v>65.8</v>
      </c>
      <c r="R166" s="520">
        <v>1.0999999999999999E-2</v>
      </c>
      <c r="S166" s="310">
        <v>5.6990881458966566E-2</v>
      </c>
      <c r="T166" s="310">
        <v>340.90909090909093</v>
      </c>
      <c r="U166" s="356" t="s">
        <v>154</v>
      </c>
      <c r="V166" s="310" t="s">
        <v>947</v>
      </c>
      <c r="W166" s="310" t="s">
        <v>1842</v>
      </c>
      <c r="X166" s="310" t="s">
        <v>1002</v>
      </c>
      <c r="Y166" s="310" t="s">
        <v>1032</v>
      </c>
      <c r="Z166" s="374"/>
      <c r="AA166" s="521">
        <v>12</v>
      </c>
      <c r="AB166" s="451"/>
      <c r="AC166" s="374" t="s">
        <v>1579</v>
      </c>
      <c r="AD166" t="s">
        <v>1865</v>
      </c>
      <c r="AE166" s="374">
        <v>0.02</v>
      </c>
      <c r="AF166">
        <v>1.2999999999999999E-2</v>
      </c>
      <c r="AG166" s="374">
        <v>3.0000000000000001E-3</v>
      </c>
      <c r="AH166" s="374" t="s">
        <v>2053</v>
      </c>
      <c r="AI166" s="374" t="s">
        <v>1871</v>
      </c>
      <c r="AJ166">
        <v>0</v>
      </c>
      <c r="AK166">
        <v>9999</v>
      </c>
      <c r="AO166" s="374" t="s">
        <v>1856</v>
      </c>
      <c r="AP166" s="9" t="s">
        <v>1882</v>
      </c>
      <c r="AS166" s="23">
        <v>74.8</v>
      </c>
    </row>
    <row r="167" spans="1:50" s="83" customFormat="1" ht="12.75" customHeight="1">
      <c r="A167" s="516">
        <v>840911</v>
      </c>
      <c r="B167" s="374" t="s">
        <v>1930</v>
      </c>
      <c r="C167" s="374" t="s">
        <v>1852</v>
      </c>
      <c r="D167" s="374" t="s">
        <v>1024</v>
      </c>
      <c r="E167" s="310" t="s">
        <v>1617</v>
      </c>
      <c r="F167" s="374" t="s">
        <v>1852</v>
      </c>
      <c r="G167" s="310" t="s">
        <v>164</v>
      </c>
      <c r="H167" s="310" t="s">
        <v>1617</v>
      </c>
      <c r="I167" s="374" t="s">
        <v>1859</v>
      </c>
      <c r="J167" s="318" t="s">
        <v>1757</v>
      </c>
      <c r="K167" s="374"/>
      <c r="L167" s="517">
        <v>13</v>
      </c>
      <c r="M167" s="518"/>
      <c r="N167" s="374"/>
      <c r="O167" s="519"/>
      <c r="P167" s="374">
        <v>2</v>
      </c>
      <c r="Q167" s="374">
        <v>302.92</v>
      </c>
      <c r="R167" s="520">
        <v>0.19400000000000001</v>
      </c>
      <c r="S167" s="310">
        <v>6.6024032747920239E-3</v>
      </c>
      <c r="T167" s="310">
        <v>10.309278350515463</v>
      </c>
      <c r="U167" s="356" t="s">
        <v>154</v>
      </c>
      <c r="V167" s="310" t="s">
        <v>947</v>
      </c>
      <c r="W167" s="310" t="s">
        <v>1842</v>
      </c>
      <c r="X167" s="310" t="s">
        <v>1002</v>
      </c>
      <c r="Y167" s="310" t="s">
        <v>1032</v>
      </c>
      <c r="Z167" s="374"/>
      <c r="AA167" s="521">
        <v>6</v>
      </c>
      <c r="AB167" s="451"/>
      <c r="AC167" s="374" t="s">
        <v>1579</v>
      </c>
      <c r="AD167" t="s">
        <v>1865</v>
      </c>
      <c r="AE167" s="374">
        <v>0.84299999999999997</v>
      </c>
      <c r="AF167">
        <v>0.55100000000000005</v>
      </c>
      <c r="AG167" s="374"/>
      <c r="AH167" s="374" t="s">
        <v>1852</v>
      </c>
      <c r="AI167" s="374" t="s">
        <v>1861</v>
      </c>
      <c r="AJ167">
        <v>0</v>
      </c>
      <c r="AK167">
        <v>9999</v>
      </c>
      <c r="AO167" s="374" t="s">
        <v>1856</v>
      </c>
      <c r="AP167" s="9" t="s">
        <v>1890</v>
      </c>
      <c r="AS167" s="23">
        <v>82.3</v>
      </c>
    </row>
    <row r="168" spans="1:50" s="83" customFormat="1" ht="12.75" customHeight="1">
      <c r="A168" s="516">
        <v>840914</v>
      </c>
      <c r="B168" s="374" t="s">
        <v>2051</v>
      </c>
      <c r="C168" s="374" t="s">
        <v>2052</v>
      </c>
      <c r="D168" s="374" t="s">
        <v>1024</v>
      </c>
      <c r="E168" s="310" t="s">
        <v>1617</v>
      </c>
      <c r="F168" s="374" t="s">
        <v>2052</v>
      </c>
      <c r="G168" s="310" t="s">
        <v>164</v>
      </c>
      <c r="H168" s="310" t="s">
        <v>1617</v>
      </c>
      <c r="I168" s="374" t="s">
        <v>1985</v>
      </c>
      <c r="J168" s="318" t="s">
        <v>1757</v>
      </c>
      <c r="K168" s="374"/>
      <c r="L168" s="517">
        <v>15</v>
      </c>
      <c r="M168" s="518"/>
      <c r="N168" s="374"/>
      <c r="O168" s="519"/>
      <c r="P168" s="374">
        <v>3</v>
      </c>
      <c r="Q168" s="374">
        <v>79.290000000000006</v>
      </c>
      <c r="R168" s="520">
        <v>1.2999999999999999E-2</v>
      </c>
      <c r="S168" s="310">
        <v>3.7835792659856218E-2</v>
      </c>
      <c r="T168" s="310">
        <v>230.76923076923077</v>
      </c>
      <c r="U168" s="356" t="s">
        <v>154</v>
      </c>
      <c r="V168" s="310" t="s">
        <v>947</v>
      </c>
      <c r="W168" s="310" t="s">
        <v>1842</v>
      </c>
      <c r="X168" s="310" t="s">
        <v>1002</v>
      </c>
      <c r="Y168" s="310" t="s">
        <v>1032</v>
      </c>
      <c r="Z168" s="374"/>
      <c r="AA168" s="521">
        <v>3</v>
      </c>
      <c r="AB168" s="451"/>
      <c r="AC168" s="374" t="s">
        <v>1579</v>
      </c>
      <c r="AD168" t="s">
        <v>1865</v>
      </c>
      <c r="AE168" s="374">
        <v>7.4999999999999997E-2</v>
      </c>
      <c r="AF168">
        <v>7.0000000000000001E-3</v>
      </c>
      <c r="AG168" s="374">
        <v>0</v>
      </c>
      <c r="AH168" s="374" t="s">
        <v>2052</v>
      </c>
      <c r="AI168" s="374" t="s">
        <v>1870</v>
      </c>
      <c r="AJ168">
        <v>0</v>
      </c>
      <c r="AK168">
        <v>9999</v>
      </c>
      <c r="AO168" s="374" t="s">
        <v>1856</v>
      </c>
      <c r="AP168" s="9" t="s">
        <v>1891</v>
      </c>
      <c r="AS168" s="23">
        <v>82.5</v>
      </c>
    </row>
    <row r="169" spans="1:50" s="83" customFormat="1" ht="12.75" customHeight="1">
      <c r="A169" s="349">
        <v>840908</v>
      </c>
      <c r="B169" s="310" t="s">
        <v>1616</v>
      </c>
      <c r="C169" s="310" t="s">
        <v>1172</v>
      </c>
      <c r="D169" s="310" t="s">
        <v>1024</v>
      </c>
      <c r="E169" s="310" t="s">
        <v>1617</v>
      </c>
      <c r="F169" s="310" t="s">
        <v>1172</v>
      </c>
      <c r="G169" s="310" t="s">
        <v>164</v>
      </c>
      <c r="H169" s="310" t="s">
        <v>1617</v>
      </c>
      <c r="I169" s="310" t="s">
        <v>2407</v>
      </c>
      <c r="J169" s="318" t="s">
        <v>1757</v>
      </c>
      <c r="K169" s="310"/>
      <c r="L169" s="517">
        <v>1</v>
      </c>
      <c r="M169" s="312"/>
      <c r="N169" s="310"/>
      <c r="O169" s="313"/>
      <c r="P169" s="374">
        <v>50</v>
      </c>
      <c r="Q169" s="374">
        <v>19.829999999999998</v>
      </c>
      <c r="R169" s="520">
        <v>3.0000000000000001E-3</v>
      </c>
      <c r="S169" s="310">
        <v>0.30257186081694404</v>
      </c>
      <c r="T169" s="310">
        <v>2000</v>
      </c>
      <c r="U169" s="356" t="s">
        <v>154</v>
      </c>
      <c r="V169" s="310" t="s">
        <v>947</v>
      </c>
      <c r="W169" s="310" t="s">
        <v>1842</v>
      </c>
      <c r="X169" s="310" t="s">
        <v>1002</v>
      </c>
      <c r="Y169" s="310" t="s">
        <v>1032</v>
      </c>
      <c r="Z169" s="310"/>
      <c r="AA169" s="521">
        <v>75</v>
      </c>
      <c r="AB169" s="356">
        <v>20</v>
      </c>
      <c r="AC169" s="374" t="s">
        <v>2402</v>
      </c>
      <c r="AD169" s="83" t="s">
        <v>2401</v>
      </c>
      <c r="AE169" s="310"/>
      <c r="AG169" s="310"/>
      <c r="AH169" s="374" t="s">
        <v>1576</v>
      </c>
      <c r="AI169" s="310" t="s">
        <v>1596</v>
      </c>
      <c r="AJ169" s="83">
        <v>0</v>
      </c>
      <c r="AK169" s="83">
        <v>9999</v>
      </c>
      <c r="AO169" s="374" t="s">
        <v>1856</v>
      </c>
      <c r="AP169" s="9" t="s">
        <v>1910</v>
      </c>
      <c r="AS169" s="23">
        <v>82.5</v>
      </c>
    </row>
    <row r="170" spans="1:50" s="83" customFormat="1" ht="12.75" customHeight="1">
      <c r="A170" s="516">
        <v>840917</v>
      </c>
      <c r="B170" s="374" t="s">
        <v>1934</v>
      </c>
      <c r="C170" s="374" t="s">
        <v>1856</v>
      </c>
      <c r="D170" s="374" t="s">
        <v>1024</v>
      </c>
      <c r="E170" s="310" t="s">
        <v>1617</v>
      </c>
      <c r="F170" s="374" t="s">
        <v>1856</v>
      </c>
      <c r="G170" s="310" t="s">
        <v>164</v>
      </c>
      <c r="H170" s="310" t="s">
        <v>1617</v>
      </c>
      <c r="I170" s="374" t="s">
        <v>1982</v>
      </c>
      <c r="J170" s="318" t="s">
        <v>1757</v>
      </c>
      <c r="K170" s="374"/>
      <c r="L170" s="517">
        <v>10</v>
      </c>
      <c r="M170" s="518"/>
      <c r="N170" s="374"/>
      <c r="O170" s="519"/>
      <c r="P170" s="374">
        <v>3.5</v>
      </c>
      <c r="Q170" s="374">
        <v>44.25</v>
      </c>
      <c r="R170" s="520">
        <v>7.0000000000000001E-3</v>
      </c>
      <c r="S170" s="310">
        <v>7.909604519774012E-2</v>
      </c>
      <c r="T170" s="310">
        <v>500</v>
      </c>
      <c r="U170" s="356" t="s">
        <v>154</v>
      </c>
      <c r="V170" s="310" t="s">
        <v>947</v>
      </c>
      <c r="W170" s="310" t="s">
        <v>1842</v>
      </c>
      <c r="X170" s="310" t="s">
        <v>1002</v>
      </c>
      <c r="Y170" s="310" t="s">
        <v>1032</v>
      </c>
      <c r="Z170" s="374"/>
      <c r="AA170" s="521">
        <v>10</v>
      </c>
      <c r="AB170" s="451"/>
      <c r="AC170" s="374" t="s">
        <v>958</v>
      </c>
      <c r="AD170" t="s">
        <v>1867</v>
      </c>
      <c r="AE170" s="374"/>
      <c r="AF170"/>
      <c r="AG170" s="374"/>
      <c r="AH170" s="374" t="s">
        <v>1856</v>
      </c>
      <c r="AI170" s="374" t="s">
        <v>1877</v>
      </c>
      <c r="AJ170">
        <v>0</v>
      </c>
      <c r="AK170">
        <v>9999</v>
      </c>
      <c r="AL170" s="469"/>
      <c r="AM170" s="469"/>
      <c r="AO170" s="374" t="s">
        <v>1856</v>
      </c>
      <c r="AP170" s="9" t="s">
        <v>1892</v>
      </c>
      <c r="AS170" s="23">
        <v>73.2</v>
      </c>
    </row>
    <row r="171" spans="1:50" s="83" customFormat="1" ht="12.75" customHeight="1">
      <c r="A171" s="516">
        <v>840918</v>
      </c>
      <c r="B171" s="374" t="s">
        <v>1935</v>
      </c>
      <c r="C171" s="374" t="s">
        <v>1857</v>
      </c>
      <c r="D171" s="374" t="s">
        <v>1024</v>
      </c>
      <c r="E171" s="310" t="s">
        <v>1617</v>
      </c>
      <c r="F171" s="374" t="s">
        <v>1857</v>
      </c>
      <c r="G171" s="310" t="s">
        <v>164</v>
      </c>
      <c r="H171" s="310" t="s">
        <v>1617</v>
      </c>
      <c r="I171" s="374" t="s">
        <v>1878</v>
      </c>
      <c r="J171" s="318" t="s">
        <v>1757</v>
      </c>
      <c r="K171" s="374"/>
      <c r="L171" s="517">
        <v>10</v>
      </c>
      <c r="M171" s="518"/>
      <c r="N171" s="374"/>
      <c r="O171" s="519"/>
      <c r="P171" s="374">
        <v>100</v>
      </c>
      <c r="Q171" s="374">
        <v>1969.66</v>
      </c>
      <c r="R171" s="520">
        <v>0.25700000000000001</v>
      </c>
      <c r="S171" s="310">
        <v>5.0770183686524577E-2</v>
      </c>
      <c r="T171" s="310">
        <v>327.86885245901641</v>
      </c>
      <c r="U171" s="356" t="s">
        <v>154</v>
      </c>
      <c r="V171" s="310" t="s">
        <v>947</v>
      </c>
      <c r="W171" s="310" t="s">
        <v>1842</v>
      </c>
      <c r="X171" s="310" t="s">
        <v>1002</v>
      </c>
      <c r="Y171" s="310" t="s">
        <v>1032</v>
      </c>
      <c r="Z171" s="374"/>
      <c r="AA171" s="521">
        <v>244</v>
      </c>
      <c r="AB171" s="451"/>
      <c r="AC171" s="374" t="s">
        <v>1879</v>
      </c>
      <c r="AD171" t="s">
        <v>1868</v>
      </c>
      <c r="AE171" s="374"/>
      <c r="AF171"/>
      <c r="AG171" s="374"/>
      <c r="AH171" s="374" t="s">
        <v>1857</v>
      </c>
      <c r="AI171" s="374" t="s">
        <v>1878</v>
      </c>
      <c r="AJ171">
        <v>0</v>
      </c>
      <c r="AK171">
        <v>9999</v>
      </c>
      <c r="AO171" s="374" t="s">
        <v>1856</v>
      </c>
      <c r="AP171" s="9" t="s">
        <v>1893</v>
      </c>
      <c r="AS171" s="23">
        <v>70.8</v>
      </c>
    </row>
    <row r="172" spans="1:50" s="469" customFormat="1" ht="12.75" customHeight="1">
      <c r="A172" s="516">
        <v>840915</v>
      </c>
      <c r="B172" s="374" t="s">
        <v>1933</v>
      </c>
      <c r="C172" s="374" t="s">
        <v>1855</v>
      </c>
      <c r="D172" s="374" t="s">
        <v>1024</v>
      </c>
      <c r="E172" s="310" t="s">
        <v>1617</v>
      </c>
      <c r="F172" s="374" t="s">
        <v>1855</v>
      </c>
      <c r="G172" s="310" t="s">
        <v>164</v>
      </c>
      <c r="H172" s="310" t="s">
        <v>1617</v>
      </c>
      <c r="I172" s="374" t="s">
        <v>1860</v>
      </c>
      <c r="J172" s="318" t="s">
        <v>1757</v>
      </c>
      <c r="K172" s="374"/>
      <c r="L172" s="517">
        <v>15</v>
      </c>
      <c r="M172" s="518"/>
      <c r="N172" s="374"/>
      <c r="O172" s="519"/>
      <c r="P172" s="374">
        <v>20</v>
      </c>
      <c r="Q172" s="374">
        <v>2523.14</v>
      </c>
      <c r="R172" s="520">
        <v>0.39400000000000002</v>
      </c>
      <c r="S172" s="310">
        <v>7.9266311025151196E-3</v>
      </c>
      <c r="T172" s="310">
        <v>50.761421319796952</v>
      </c>
      <c r="U172" s="356" t="s">
        <v>154</v>
      </c>
      <c r="V172" s="310" t="s">
        <v>947</v>
      </c>
      <c r="W172" s="310" t="s">
        <v>1842</v>
      </c>
      <c r="X172" s="310" t="s">
        <v>1002</v>
      </c>
      <c r="Y172" s="310" t="s">
        <v>1032</v>
      </c>
      <c r="Z172" s="374"/>
      <c r="AA172" s="521">
        <v>76.75</v>
      </c>
      <c r="AB172" s="451"/>
      <c r="AC172" s="374" t="s">
        <v>1005</v>
      </c>
      <c r="AD172" t="s">
        <v>1866</v>
      </c>
      <c r="AE172" s="374">
        <v>58</v>
      </c>
      <c r="AF172"/>
      <c r="AG172" s="374"/>
      <c r="AH172" s="374" t="s">
        <v>1855</v>
      </c>
      <c r="AI172" s="374" t="s">
        <v>1005</v>
      </c>
      <c r="AJ172">
        <v>0</v>
      </c>
      <c r="AK172">
        <v>9999</v>
      </c>
      <c r="AL172" s="83"/>
      <c r="AM172" s="83"/>
      <c r="AN172" s="83"/>
      <c r="AO172" s="374" t="s">
        <v>1856</v>
      </c>
      <c r="AP172" s="9" t="s">
        <v>1894</v>
      </c>
      <c r="AQ172" s="83"/>
      <c r="AR172" s="83"/>
      <c r="AS172" s="23">
        <v>77.599999999999994</v>
      </c>
      <c r="AT172" s="83"/>
      <c r="AV172" t="s">
        <v>1593</v>
      </c>
      <c r="AW172" t="s">
        <v>911</v>
      </c>
      <c r="AX172" t="s">
        <v>1594</v>
      </c>
    </row>
    <row r="173" spans="1:50" s="83" customFormat="1" ht="12.75" customHeight="1">
      <c r="A173" s="516">
        <v>840913</v>
      </c>
      <c r="B173" s="374" t="s">
        <v>1932</v>
      </c>
      <c r="C173" s="374" t="s">
        <v>1854</v>
      </c>
      <c r="D173" s="374" t="s">
        <v>1024</v>
      </c>
      <c r="E173" s="310" t="s">
        <v>1617</v>
      </c>
      <c r="F173" s="374" t="s">
        <v>1854</v>
      </c>
      <c r="G173" s="310" t="s">
        <v>164</v>
      </c>
      <c r="H173" s="310" t="s">
        <v>1617</v>
      </c>
      <c r="I173" s="374" t="s">
        <v>1859</v>
      </c>
      <c r="J173" s="318" t="s">
        <v>1757</v>
      </c>
      <c r="K173" s="374"/>
      <c r="L173" s="517">
        <v>13</v>
      </c>
      <c r="M173" s="518"/>
      <c r="N173" s="374"/>
      <c r="O173" s="519"/>
      <c r="P173" s="374">
        <v>0.8</v>
      </c>
      <c r="Q173" s="374">
        <v>118.26</v>
      </c>
      <c r="R173" s="520">
        <v>7.5999999999999998E-2</v>
      </c>
      <c r="S173" s="310">
        <v>6.7647556232031123E-3</v>
      </c>
      <c r="T173" s="310">
        <v>10.526315789473685</v>
      </c>
      <c r="U173" s="356" t="s">
        <v>154</v>
      </c>
      <c r="V173" s="310" t="s">
        <v>947</v>
      </c>
      <c r="W173" s="310" t="s">
        <v>1842</v>
      </c>
      <c r="X173" s="310" t="s">
        <v>1002</v>
      </c>
      <c r="Y173" s="310" t="s">
        <v>1032</v>
      </c>
      <c r="Z173" s="374"/>
      <c r="AA173" s="521">
        <v>6.0000000000000009</v>
      </c>
      <c r="AB173" s="451"/>
      <c r="AC173" s="374" t="s">
        <v>1579</v>
      </c>
      <c r="AD173" t="s">
        <v>1865</v>
      </c>
      <c r="AE173" s="374">
        <v>0.84299999999999997</v>
      </c>
      <c r="AF173">
        <v>0.72899999999999998</v>
      </c>
      <c r="AG173" s="374"/>
      <c r="AH173" s="374" t="s">
        <v>1854</v>
      </c>
      <c r="AI173" s="374" t="s">
        <v>1863</v>
      </c>
      <c r="AJ173">
        <v>0</v>
      </c>
      <c r="AK173">
        <v>9999</v>
      </c>
      <c r="AO173" s="374" t="s">
        <v>1857</v>
      </c>
      <c r="AP173" s="9" t="s">
        <v>1886</v>
      </c>
      <c r="AS173" s="23">
        <v>0.184</v>
      </c>
      <c r="AV173" s="56">
        <v>1</v>
      </c>
      <c r="AW173">
        <v>1976</v>
      </c>
      <c r="AX173">
        <v>0.59</v>
      </c>
    </row>
    <row r="174" spans="1:50" s="83" customFormat="1" ht="12.75" customHeight="1">
      <c r="A174" s="516">
        <v>840912</v>
      </c>
      <c r="B174" s="374" t="s">
        <v>1931</v>
      </c>
      <c r="C174" s="374" t="s">
        <v>1853</v>
      </c>
      <c r="D174" s="374" t="s">
        <v>1024</v>
      </c>
      <c r="E174" s="310" t="s">
        <v>1617</v>
      </c>
      <c r="F174" s="374" t="s">
        <v>1853</v>
      </c>
      <c r="G174" s="310" t="s">
        <v>164</v>
      </c>
      <c r="H174" s="310" t="s">
        <v>1617</v>
      </c>
      <c r="I174" s="374" t="s">
        <v>1859</v>
      </c>
      <c r="J174" s="318" t="s">
        <v>1757</v>
      </c>
      <c r="K174" s="374"/>
      <c r="L174" s="517">
        <v>13</v>
      </c>
      <c r="M174" s="518"/>
      <c r="N174" s="374"/>
      <c r="O174" s="519"/>
      <c r="P174" s="374">
        <v>2.25</v>
      </c>
      <c r="Q174" s="374">
        <v>354.79</v>
      </c>
      <c r="R174" s="520">
        <v>0.22700000000000001</v>
      </c>
      <c r="S174" s="310">
        <v>6.3417796442966261E-3</v>
      </c>
      <c r="T174" s="310">
        <v>9.9118942731277535</v>
      </c>
      <c r="U174" s="356" t="s">
        <v>154</v>
      </c>
      <c r="V174" s="310" t="s">
        <v>947</v>
      </c>
      <c r="W174" s="310" t="s">
        <v>1842</v>
      </c>
      <c r="X174" s="310" t="s">
        <v>1002</v>
      </c>
      <c r="Y174" s="310" t="s">
        <v>1032</v>
      </c>
      <c r="Z174" s="374"/>
      <c r="AA174" s="521">
        <v>6</v>
      </c>
      <c r="AB174" s="451"/>
      <c r="AC174" s="374" t="s">
        <v>1579</v>
      </c>
      <c r="AD174" t="s">
        <v>1865</v>
      </c>
      <c r="AE174" s="374">
        <v>0.84299999999999997</v>
      </c>
      <c r="AF174">
        <v>0.501</v>
      </c>
      <c r="AG174" s="374"/>
      <c r="AH174" s="374" t="s">
        <v>1869</v>
      </c>
      <c r="AI174" s="374" t="s">
        <v>1862</v>
      </c>
      <c r="AJ174">
        <v>0</v>
      </c>
      <c r="AK174">
        <v>9999</v>
      </c>
      <c r="AO174" s="374" t="s">
        <v>1857</v>
      </c>
      <c r="AP174" s="9" t="s">
        <v>1883</v>
      </c>
      <c r="AS174" s="23">
        <v>0.13600000000000001</v>
      </c>
      <c r="AT174" s="469"/>
      <c r="AV174" s="56">
        <v>2</v>
      </c>
      <c r="AW174">
        <v>3952</v>
      </c>
      <c r="AX174">
        <v>0.95</v>
      </c>
    </row>
    <row r="175" spans="1:50" s="83" customFormat="1" ht="12.75" customHeight="1">
      <c r="A175" s="516">
        <v>840919</v>
      </c>
      <c r="B175" s="374" t="s">
        <v>1986</v>
      </c>
      <c r="C175" s="374" t="s">
        <v>1858</v>
      </c>
      <c r="D175" s="374" t="s">
        <v>1158</v>
      </c>
      <c r="E175" s="374" t="s">
        <v>1158</v>
      </c>
      <c r="F175" s="374" t="s">
        <v>1858</v>
      </c>
      <c r="G175" s="374" t="s">
        <v>1158</v>
      </c>
      <c r="H175" s="374" t="s">
        <v>1158</v>
      </c>
      <c r="I175" s="374" t="s">
        <v>1983</v>
      </c>
      <c r="J175" s="318" t="s">
        <v>1757</v>
      </c>
      <c r="K175" s="374"/>
      <c r="L175" s="517">
        <v>5</v>
      </c>
      <c r="M175" s="518"/>
      <c r="N175" s="374"/>
      <c r="O175" s="519"/>
      <c r="P175" s="374">
        <v>65</v>
      </c>
      <c r="Q175" s="374">
        <v>95.58</v>
      </c>
      <c r="R175" s="520">
        <v>1.4E-2</v>
      </c>
      <c r="S175" s="310">
        <v>0.6800585896631095</v>
      </c>
      <c r="T175" s="310">
        <v>4642.8571428571431</v>
      </c>
      <c r="U175" s="356" t="s">
        <v>154</v>
      </c>
      <c r="V175" s="310" t="s">
        <v>947</v>
      </c>
      <c r="W175" s="310" t="s">
        <v>1842</v>
      </c>
      <c r="X175" s="310" t="s">
        <v>1002</v>
      </c>
      <c r="Y175" s="310" t="s">
        <v>1032</v>
      </c>
      <c r="Z175" s="374"/>
      <c r="AA175" s="521">
        <v>1050</v>
      </c>
      <c r="AB175" s="451"/>
      <c r="AC175" s="374" t="s">
        <v>146</v>
      </c>
      <c r="AD175" t="s">
        <v>1864</v>
      </c>
      <c r="AE175" s="374"/>
      <c r="AF175"/>
      <c r="AG175" s="374"/>
      <c r="AH175" s="374" t="s">
        <v>1858</v>
      </c>
      <c r="AI175" s="374" t="s">
        <v>1858</v>
      </c>
      <c r="AJ175">
        <v>0</v>
      </c>
      <c r="AK175">
        <v>9999</v>
      </c>
      <c r="AO175" s="374" t="s">
        <v>1857</v>
      </c>
      <c r="AP175" s="9" t="s">
        <v>1895</v>
      </c>
      <c r="AS175" s="23">
        <v>0.152</v>
      </c>
      <c r="AV175" s="56">
        <v>3</v>
      </c>
      <c r="AW175">
        <v>5928</v>
      </c>
      <c r="AX175">
        <v>0.95</v>
      </c>
    </row>
    <row r="176" spans="1:50" s="83" customFormat="1" ht="12.75" customHeight="1">
      <c r="A176" s="516">
        <v>840923</v>
      </c>
      <c r="B176" s="374" t="s">
        <v>2226</v>
      </c>
      <c r="C176" s="374" t="s">
        <v>2227</v>
      </c>
      <c r="D176" s="310" t="s">
        <v>1024</v>
      </c>
      <c r="E176" s="374" t="s">
        <v>1158</v>
      </c>
      <c r="F176" s="374" t="s">
        <v>2227</v>
      </c>
      <c r="G176" s="374" t="s">
        <v>1158</v>
      </c>
      <c r="H176" s="374" t="s">
        <v>1158</v>
      </c>
      <c r="I176" s="374" t="s">
        <v>2228</v>
      </c>
      <c r="J176" s="318" t="s">
        <v>2158</v>
      </c>
      <c r="K176" s="374"/>
      <c r="L176" s="517">
        <v>12</v>
      </c>
      <c r="M176" s="518"/>
      <c r="N176" s="374"/>
      <c r="O176" s="519"/>
      <c r="P176" s="374">
        <v>100</v>
      </c>
      <c r="Q176" s="374">
        <v>1425</v>
      </c>
      <c r="R176" s="520">
        <v>0.19800000000000001</v>
      </c>
      <c r="S176" s="310">
        <v>7.0175438596491224E-2</v>
      </c>
      <c r="T176" s="310">
        <v>505.05050505050502</v>
      </c>
      <c r="U176" s="356" t="s">
        <v>154</v>
      </c>
      <c r="V176" s="310" t="s">
        <v>947</v>
      </c>
      <c r="W176" s="310" t="s">
        <v>1842</v>
      </c>
      <c r="X176" s="310" t="s">
        <v>1002</v>
      </c>
      <c r="Y176" s="310" t="s">
        <v>1032</v>
      </c>
      <c r="Z176" s="374"/>
      <c r="AA176" s="521">
        <v>200</v>
      </c>
      <c r="AB176" s="451">
        <v>25</v>
      </c>
      <c r="AC176" s="374" t="s">
        <v>958</v>
      </c>
      <c r="AD176" s="374" t="s">
        <v>1601</v>
      </c>
      <c r="AE176" s="374"/>
      <c r="AF176" s="374"/>
      <c r="AG176" s="374"/>
      <c r="AH176" s="374" t="s">
        <v>2227</v>
      </c>
      <c r="AI176" s="374" t="s">
        <v>1597</v>
      </c>
      <c r="AJ176" s="374">
        <v>0</v>
      </c>
      <c r="AK176" s="374">
        <v>200</v>
      </c>
      <c r="AO176" s="374" t="s">
        <v>1857</v>
      </c>
      <c r="AP176" s="9" t="s">
        <v>1896</v>
      </c>
      <c r="AS176" s="23">
        <v>5.5E-2</v>
      </c>
      <c r="AV176" s="56">
        <v>4</v>
      </c>
      <c r="AW176">
        <v>8320</v>
      </c>
      <c r="AX176">
        <v>0.95</v>
      </c>
    </row>
    <row r="177" spans="1:50" s="83" customFormat="1" ht="12.75" customHeight="1">
      <c r="A177" s="349">
        <v>840920</v>
      </c>
      <c r="B177" s="374" t="s">
        <v>2125</v>
      </c>
      <c r="C177" s="374" t="s">
        <v>1851</v>
      </c>
      <c r="D177" s="374" t="s">
        <v>160</v>
      </c>
      <c r="E177" s="374" t="s">
        <v>160</v>
      </c>
      <c r="F177" s="374" t="s">
        <v>1851</v>
      </c>
      <c r="G177" s="374" t="s">
        <v>160</v>
      </c>
      <c r="H177" s="374" t="s">
        <v>160</v>
      </c>
      <c r="I177" s="374" t="s">
        <v>1984</v>
      </c>
      <c r="J177" s="318" t="s">
        <v>2126</v>
      </c>
      <c r="K177" s="374"/>
      <c r="L177" s="517">
        <v>15</v>
      </c>
      <c r="M177" s="518"/>
      <c r="N177" s="374"/>
      <c r="O177" s="519" t="s">
        <v>160</v>
      </c>
      <c r="P177" s="374">
        <v>85</v>
      </c>
      <c r="Q177" s="374">
        <v>260.16000000000003</v>
      </c>
      <c r="R177" s="520">
        <v>0.438</v>
      </c>
      <c r="S177" s="310">
        <v>0.32672201722017219</v>
      </c>
      <c r="T177" s="310">
        <v>194.06392694063928</v>
      </c>
      <c r="U177" s="451" t="s">
        <v>154</v>
      </c>
      <c r="V177" s="374" t="s">
        <v>947</v>
      </c>
      <c r="W177" s="310" t="s">
        <v>1842</v>
      </c>
      <c r="X177" s="374" t="s">
        <v>1002</v>
      </c>
      <c r="Y177" s="374" t="s">
        <v>1032</v>
      </c>
      <c r="Z177" s="374"/>
      <c r="AA177" s="521">
        <v>2068</v>
      </c>
      <c r="AB177" s="451"/>
      <c r="AC177" s="374" t="s">
        <v>958</v>
      </c>
      <c r="AD177" t="s">
        <v>1867</v>
      </c>
      <c r="AE177" s="374">
        <v>0.40699999999999997</v>
      </c>
      <c r="AF177"/>
      <c r="AG177" s="374"/>
      <c r="AH177" s="374" t="s">
        <v>1851</v>
      </c>
      <c r="AI177" s="374" t="s">
        <v>1597</v>
      </c>
      <c r="AJ177">
        <v>0</v>
      </c>
      <c r="AK177">
        <v>9999</v>
      </c>
      <c r="AO177" s="374" t="s">
        <v>1857</v>
      </c>
      <c r="AP177" s="9" t="s">
        <v>1908</v>
      </c>
      <c r="AS177" s="23">
        <v>5.5E-2</v>
      </c>
      <c r="AV177" s="56" t="s">
        <v>1595</v>
      </c>
      <c r="AW177">
        <v>5702</v>
      </c>
      <c r="AX177">
        <v>0.89</v>
      </c>
    </row>
    <row r="178" spans="1:50" s="83" customFormat="1" ht="12.75" customHeight="1">
      <c r="A178" s="349">
        <v>840921</v>
      </c>
      <c r="B178" s="374" t="s">
        <v>2383</v>
      </c>
      <c r="C178" s="374" t="s">
        <v>2384</v>
      </c>
      <c r="D178" s="374" t="s">
        <v>160</v>
      </c>
      <c r="E178" s="374" t="s">
        <v>160</v>
      </c>
      <c r="F178" s="374" t="s">
        <v>2384</v>
      </c>
      <c r="G178" s="374" t="s">
        <v>160</v>
      </c>
      <c r="H178" s="374" t="s">
        <v>160</v>
      </c>
      <c r="I178" s="374" t="s">
        <v>1984</v>
      </c>
      <c r="J178" s="318" t="s">
        <v>1757</v>
      </c>
      <c r="K178" s="374"/>
      <c r="L178" s="517">
        <v>15</v>
      </c>
      <c r="M178" s="518"/>
      <c r="N178" s="374"/>
      <c r="O178" s="519" t="s">
        <v>160</v>
      </c>
      <c r="P178" s="374">
        <v>99.000000000000014</v>
      </c>
      <c r="Q178" s="374">
        <v>2579.9699999999998</v>
      </c>
      <c r="R178" s="520">
        <v>0.41299999999999998</v>
      </c>
      <c r="S178" s="310">
        <v>3.8372539215572279E-2</v>
      </c>
      <c r="T178" s="310">
        <v>239.70944309927364</v>
      </c>
      <c r="U178" s="451" t="s">
        <v>154</v>
      </c>
      <c r="V178" s="374" t="s">
        <v>947</v>
      </c>
      <c r="W178" s="310" t="s">
        <v>1842</v>
      </c>
      <c r="X178" s="374" t="s">
        <v>1002</v>
      </c>
      <c r="Y178" s="374" t="s">
        <v>1032</v>
      </c>
      <c r="Z178" s="374"/>
      <c r="AA178" s="521">
        <v>2068</v>
      </c>
      <c r="AB178" s="451"/>
      <c r="AC178" s="374" t="s">
        <v>958</v>
      </c>
      <c r="AD178" t="s">
        <v>1867</v>
      </c>
      <c r="AE178" s="374"/>
      <c r="AF178"/>
      <c r="AG178" s="374"/>
      <c r="AH178" s="374" t="s">
        <v>2384</v>
      </c>
      <c r="AI178" s="374" t="s">
        <v>1597</v>
      </c>
      <c r="AJ178">
        <v>0</v>
      </c>
      <c r="AK178">
        <v>75</v>
      </c>
      <c r="AN178" s="469"/>
      <c r="AO178" s="374" t="s">
        <v>1857</v>
      </c>
      <c r="AP178" s="9" t="s">
        <v>1897</v>
      </c>
      <c r="AS178" s="23">
        <v>0.153</v>
      </c>
      <c r="AV178" s="56"/>
      <c r="AW178"/>
      <c r="AX178"/>
    </row>
    <row r="179" spans="1:50" s="83" customFormat="1" ht="12.75" customHeight="1">
      <c r="A179" s="56">
        <v>840922</v>
      </c>
      <c r="B179" s="83" t="s">
        <v>2127</v>
      </c>
      <c r="C179" s="83" t="s">
        <v>1615</v>
      </c>
      <c r="D179" s="310" t="s">
        <v>1024</v>
      </c>
      <c r="E179" s="310" t="s">
        <v>1617</v>
      </c>
      <c r="F179" s="83" t="s">
        <v>1615</v>
      </c>
      <c r="G179" s="310" t="s">
        <v>164</v>
      </c>
      <c r="H179" s="310" t="s">
        <v>1617</v>
      </c>
      <c r="I179" s="83" t="s">
        <v>1984</v>
      </c>
      <c r="J179" s="318" t="s">
        <v>1757</v>
      </c>
      <c r="K179" s="310"/>
      <c r="L179" s="517">
        <v>13</v>
      </c>
      <c r="M179" s="312"/>
      <c r="O179" s="313"/>
      <c r="P179" s="374">
        <v>55.000000000000007</v>
      </c>
      <c r="Q179" s="374">
        <v>917.31</v>
      </c>
      <c r="R179" s="520">
        <v>0.14299999999999999</v>
      </c>
      <c r="S179" s="310">
        <v>5.9957920441290308E-2</v>
      </c>
      <c r="T179" s="310">
        <v>384.6153846153847</v>
      </c>
      <c r="U179" s="356" t="s">
        <v>154</v>
      </c>
      <c r="V179" s="310" t="s">
        <v>947</v>
      </c>
      <c r="W179" s="310" t="s">
        <v>1842</v>
      </c>
      <c r="X179" s="310" t="s">
        <v>1002</v>
      </c>
      <c r="Y179" s="310" t="s">
        <v>1032</v>
      </c>
      <c r="Z179" s="310"/>
      <c r="AA179" s="521">
        <v>1950.5199999999998</v>
      </c>
      <c r="AB179" s="355">
        <v>25</v>
      </c>
      <c r="AC179" s="374" t="s">
        <v>958</v>
      </c>
      <c r="AD179" s="330" t="s">
        <v>1601</v>
      </c>
      <c r="AE179" s="310"/>
      <c r="AF179" s="315"/>
      <c r="AG179" s="310"/>
      <c r="AH179" s="374" t="s">
        <v>1578</v>
      </c>
      <c r="AI179" s="83" t="s">
        <v>1597</v>
      </c>
      <c r="AJ179" s="330">
        <v>0</v>
      </c>
      <c r="AK179" s="330">
        <v>200</v>
      </c>
      <c r="AN179" s="469"/>
      <c r="AO179" s="374" t="s">
        <v>1857</v>
      </c>
      <c r="AP179" s="9" t="s">
        <v>1898</v>
      </c>
      <c r="AS179" s="23">
        <v>0.17799999999999999</v>
      </c>
      <c r="AV179" s="56"/>
      <c r="AW179"/>
      <c r="AX179"/>
    </row>
    <row r="180" spans="1:50" s="83" customFormat="1" ht="12.75" customHeight="1">
      <c r="A180" s="350"/>
      <c r="AN180" s="469"/>
      <c r="AO180" s="374" t="s">
        <v>1857</v>
      </c>
      <c r="AP180" s="9" t="s">
        <v>1899</v>
      </c>
      <c r="AS180" s="23">
        <v>0.107</v>
      </c>
      <c r="AV180" s="56"/>
      <c r="AW180"/>
      <c r="AX180"/>
    </row>
    <row r="181" spans="1:50" s="83" customFormat="1" ht="12.75" customHeight="1">
      <c r="A181" s="482" t="s">
        <v>852</v>
      </c>
      <c r="B181" s="483" t="s">
        <v>853</v>
      </c>
      <c r="C181" s="483" t="s">
        <v>854</v>
      </c>
      <c r="D181" s="483" t="s">
        <v>855</v>
      </c>
      <c r="E181" s="483" t="s">
        <v>856</v>
      </c>
      <c r="F181" s="483" t="s">
        <v>144</v>
      </c>
      <c r="G181" s="483" t="s">
        <v>857</v>
      </c>
      <c r="H181" s="483" t="s">
        <v>858</v>
      </c>
      <c r="I181" s="483" t="s">
        <v>145</v>
      </c>
      <c r="J181" s="483" t="s">
        <v>1450</v>
      </c>
      <c r="K181" s="484" t="s">
        <v>859</v>
      </c>
      <c r="L181" s="483" t="s">
        <v>148</v>
      </c>
      <c r="M181" s="485" t="s">
        <v>860</v>
      </c>
      <c r="N181" s="483" t="s">
        <v>153</v>
      </c>
      <c r="O181" s="483" t="s">
        <v>687</v>
      </c>
      <c r="P181" s="483" t="s">
        <v>147</v>
      </c>
      <c r="Q181" s="483" t="s">
        <v>150</v>
      </c>
      <c r="R181" s="486" t="s">
        <v>861</v>
      </c>
      <c r="S181" s="483" t="s">
        <v>862</v>
      </c>
      <c r="T181" s="483" t="s">
        <v>863</v>
      </c>
      <c r="U181" s="483" t="s">
        <v>142</v>
      </c>
      <c r="V181" s="483" t="s">
        <v>0</v>
      </c>
      <c r="W181" s="483" t="s">
        <v>864</v>
      </c>
      <c r="X181" s="483" t="s">
        <v>489</v>
      </c>
      <c r="Y181" s="483" t="s">
        <v>152</v>
      </c>
      <c r="Z181" s="483" t="s">
        <v>817</v>
      </c>
      <c r="AA181" s="483" t="s">
        <v>151</v>
      </c>
      <c r="AB181" s="483" t="s">
        <v>865</v>
      </c>
      <c r="AC181" s="483" t="s">
        <v>100</v>
      </c>
      <c r="AD181" s="487" t="s">
        <v>169</v>
      </c>
      <c r="AE181" s="487" t="s">
        <v>170</v>
      </c>
      <c r="AF181" s="487" t="s">
        <v>173</v>
      </c>
      <c r="AG181" s="487" t="s">
        <v>220</v>
      </c>
      <c r="AH181" s="487" t="s">
        <v>171</v>
      </c>
      <c r="AI181" s="487" t="s">
        <v>172</v>
      </c>
      <c r="AJ181" s="487" t="s">
        <v>174</v>
      </c>
      <c r="AK181" s="487" t="s">
        <v>188</v>
      </c>
      <c r="AN181" s="469"/>
      <c r="AO181" s="374" t="s">
        <v>1855</v>
      </c>
      <c r="AP181" s="522" t="s">
        <v>1912</v>
      </c>
      <c r="AS181" s="23">
        <v>0.184</v>
      </c>
      <c r="AV181" s="56"/>
      <c r="AW181"/>
      <c r="AX181"/>
    </row>
    <row r="182" spans="1:50" s="83" customFormat="1" ht="12.75" customHeight="1">
      <c r="A182" s="558">
        <v>84</v>
      </c>
      <c r="B182" s="639" t="s">
        <v>2417</v>
      </c>
      <c r="C182" t="s">
        <v>2413</v>
      </c>
      <c r="D182" s="57" t="s">
        <v>2425</v>
      </c>
      <c r="E182" s="57" t="s">
        <v>2425</v>
      </c>
      <c r="F182" s="57" t="s">
        <v>2413</v>
      </c>
      <c r="G182" s="57"/>
      <c r="H182" s="57"/>
      <c r="I182" s="57"/>
      <c r="J182" s="481" t="s">
        <v>2412</v>
      </c>
      <c r="K182"/>
      <c r="L182" s="561">
        <v>1</v>
      </c>
      <c r="M182"/>
      <c r="N182" s="562"/>
      <c r="O182"/>
      <c r="P182" s="563">
        <v>2</v>
      </c>
      <c r="Q182" s="564"/>
      <c r="R182" s="23"/>
      <c r="S182"/>
      <c r="T182"/>
      <c r="U182" t="s">
        <v>154</v>
      </c>
      <c r="V182" s="374" t="s">
        <v>947</v>
      </c>
      <c r="W182" s="374"/>
      <c r="X182" s="478" t="s">
        <v>1002</v>
      </c>
      <c r="Y182" s="491" t="s">
        <v>1032</v>
      </c>
      <c r="Z182" s="480"/>
      <c r="AA182" s="479"/>
      <c r="AB182" s="565">
        <v>1</v>
      </c>
      <c r="AC182" s="57" t="s">
        <v>892</v>
      </c>
      <c r="AD182" s="57" t="s">
        <v>1630</v>
      </c>
      <c r="AE182" s="374"/>
      <c r="AF182" s="374"/>
      <c r="AG182" s="374"/>
      <c r="AH182" s="57" t="s">
        <v>2413</v>
      </c>
      <c r="AI182" s="57" t="s">
        <v>2413</v>
      </c>
      <c r="AJ182" s="57"/>
      <c r="AK182" s="57"/>
      <c r="AN182" s="469"/>
      <c r="AO182" s="374" t="s">
        <v>1855</v>
      </c>
      <c r="AP182" s="522" t="s">
        <v>1903</v>
      </c>
      <c r="AS182" s="23">
        <v>0.13600000000000001</v>
      </c>
      <c r="AV182" s="641" t="s">
        <v>2406</v>
      </c>
    </row>
    <row r="183" spans="1:50" s="83" customFormat="1" ht="12.75" customHeight="1">
      <c r="A183" s="558">
        <v>86</v>
      </c>
      <c r="B183" s="639" t="s">
        <v>2418</v>
      </c>
      <c r="C183" t="s">
        <v>2414</v>
      </c>
      <c r="D183" s="57" t="s">
        <v>2425</v>
      </c>
      <c r="E183" s="57" t="s">
        <v>2425</v>
      </c>
      <c r="F183" s="57" t="s">
        <v>2414</v>
      </c>
      <c r="G183" s="57"/>
      <c r="H183" s="57"/>
      <c r="I183" s="57"/>
      <c r="J183" s="481" t="s">
        <v>2412</v>
      </c>
      <c r="K183"/>
      <c r="L183" s="561">
        <v>1</v>
      </c>
      <c r="M183"/>
      <c r="N183" s="562"/>
      <c r="O183"/>
      <c r="P183" s="563">
        <v>0.4</v>
      </c>
      <c r="Q183" s="564"/>
      <c r="R183" s="23"/>
      <c r="S183"/>
      <c r="T183"/>
      <c r="U183" t="s">
        <v>154</v>
      </c>
      <c r="V183" s="374" t="s">
        <v>947</v>
      </c>
      <c r="W183" s="374"/>
      <c r="X183" s="491" t="s">
        <v>1002</v>
      </c>
      <c r="Y183" s="491" t="s">
        <v>1032</v>
      </c>
      <c r="Z183" s="374"/>
      <c r="AA183" s="563"/>
      <c r="AB183" s="565">
        <v>1</v>
      </c>
      <c r="AC183" s="57" t="s">
        <v>892</v>
      </c>
      <c r="AD183" s="57" t="s">
        <v>1630</v>
      </c>
      <c r="AE183" s="374"/>
      <c r="AF183" s="374"/>
      <c r="AG183" s="374"/>
      <c r="AH183" s="57" t="s">
        <v>2414</v>
      </c>
      <c r="AI183" s="57" t="s">
        <v>2414</v>
      </c>
      <c r="AJ183" s="57"/>
      <c r="AK183" s="57"/>
      <c r="AO183" s="374" t="s">
        <v>1855</v>
      </c>
      <c r="AP183" s="522" t="s">
        <v>1904</v>
      </c>
      <c r="AS183" s="23">
        <v>0.152</v>
      </c>
      <c r="AV183" s="83" t="s">
        <v>2053</v>
      </c>
    </row>
    <row r="184" spans="1:50" s="83" customFormat="1" ht="12.75" customHeight="1">
      <c r="A184" s="558">
        <v>89</v>
      </c>
      <c r="B184" s="639" t="s">
        <v>2419</v>
      </c>
      <c r="C184" t="s">
        <v>2415</v>
      </c>
      <c r="D184" s="57" t="s">
        <v>2425</v>
      </c>
      <c r="E184" s="57" t="s">
        <v>2425</v>
      </c>
      <c r="F184" s="57" t="s">
        <v>2415</v>
      </c>
      <c r="G184" s="57"/>
      <c r="H184" s="57"/>
      <c r="I184" s="57"/>
      <c r="J184" s="481" t="s">
        <v>2412</v>
      </c>
      <c r="K184"/>
      <c r="L184" s="561">
        <v>1</v>
      </c>
      <c r="M184"/>
      <c r="N184" s="562"/>
      <c r="O184"/>
      <c r="P184" s="563">
        <v>0.2</v>
      </c>
      <c r="Q184" s="564"/>
      <c r="R184" s="23"/>
      <c r="S184"/>
      <c r="T184"/>
      <c r="U184" t="s">
        <v>154</v>
      </c>
      <c r="V184" s="374" t="s">
        <v>947</v>
      </c>
      <c r="W184" s="374"/>
      <c r="X184" s="489" t="s">
        <v>1002</v>
      </c>
      <c r="Y184" s="491" t="s">
        <v>1032</v>
      </c>
      <c r="Z184" s="374"/>
      <c r="AA184" s="563"/>
      <c r="AB184" s="565">
        <v>1</v>
      </c>
      <c r="AC184" s="57" t="s">
        <v>892</v>
      </c>
      <c r="AD184" s="57" t="s">
        <v>1630</v>
      </c>
      <c r="AE184" s="374"/>
      <c r="AF184" s="374"/>
      <c r="AG184" s="374"/>
      <c r="AH184" s="57" t="s">
        <v>2415</v>
      </c>
      <c r="AI184" s="57" t="s">
        <v>2415</v>
      </c>
      <c r="AJ184" s="57"/>
      <c r="AK184" s="57"/>
      <c r="AO184" s="374" t="s">
        <v>1855</v>
      </c>
      <c r="AP184" s="522" t="s">
        <v>1905</v>
      </c>
      <c r="AS184" s="23">
        <v>5.5E-2</v>
      </c>
      <c r="AV184" s="83" t="s">
        <v>1852</v>
      </c>
    </row>
    <row r="185" spans="1:50" s="83" customFormat="1" ht="12.75" customHeight="1">
      <c r="A185" s="558">
        <v>90</v>
      </c>
      <c r="B185" s="639" t="s">
        <v>2420</v>
      </c>
      <c r="C185" t="s">
        <v>2416</v>
      </c>
      <c r="D185" s="57" t="s">
        <v>2425</v>
      </c>
      <c r="E185" s="57" t="s">
        <v>2425</v>
      </c>
      <c r="F185" s="57" t="s">
        <v>2416</v>
      </c>
      <c r="G185" s="57"/>
      <c r="H185" s="57"/>
      <c r="I185" s="57"/>
      <c r="J185" s="481" t="s">
        <v>2412</v>
      </c>
      <c r="K185"/>
      <c r="L185" s="561">
        <v>1</v>
      </c>
      <c r="M185"/>
      <c r="N185" s="562"/>
      <c r="O185"/>
      <c r="P185" s="563">
        <v>0.2</v>
      </c>
      <c r="Q185" s="564"/>
      <c r="R185" s="23"/>
      <c r="S185"/>
      <c r="T185"/>
      <c r="U185" t="s">
        <v>154</v>
      </c>
      <c r="V185" s="374" t="s">
        <v>231</v>
      </c>
      <c r="W185" s="374"/>
      <c r="X185" s="489" t="s">
        <v>1002</v>
      </c>
      <c r="Y185" s="491" t="s">
        <v>1032</v>
      </c>
      <c r="Z185" s="374"/>
      <c r="AA185" s="563"/>
      <c r="AB185" s="565">
        <v>1</v>
      </c>
      <c r="AC185" s="57" t="s">
        <v>892</v>
      </c>
      <c r="AD185" s="57" t="s">
        <v>1630</v>
      </c>
      <c r="AE185" s="374"/>
      <c r="AF185" s="374"/>
      <c r="AG185" s="374"/>
      <c r="AH185" s="57" t="s">
        <v>2416</v>
      </c>
      <c r="AI185" s="57" t="s">
        <v>2416</v>
      </c>
      <c r="AJ185" s="57"/>
      <c r="AK185" s="57"/>
      <c r="AO185" s="374" t="s">
        <v>1855</v>
      </c>
      <c r="AP185" s="522" t="s">
        <v>1909</v>
      </c>
      <c r="AS185" s="23">
        <v>5.5E-2</v>
      </c>
      <c r="AV185" s="83" t="s">
        <v>2052</v>
      </c>
    </row>
    <row r="186" spans="1:50" s="83" customFormat="1" ht="12.75" customHeight="1">
      <c r="A186" s="558">
        <v>93</v>
      </c>
      <c r="B186" s="639" t="s">
        <v>2423</v>
      </c>
      <c r="C186" t="s">
        <v>2424</v>
      </c>
      <c r="D186" s="57" t="s">
        <v>2425</v>
      </c>
      <c r="E186" s="57" t="s">
        <v>2425</v>
      </c>
      <c r="F186" s="57" t="s">
        <v>2416</v>
      </c>
      <c r="G186" s="57"/>
      <c r="H186" s="57"/>
      <c r="I186" s="57"/>
      <c r="J186" s="481" t="s">
        <v>2412</v>
      </c>
      <c r="K186"/>
      <c r="L186" s="561">
        <v>1</v>
      </c>
      <c r="M186"/>
      <c r="N186" s="562"/>
      <c r="O186"/>
      <c r="P186" s="563">
        <v>0.2</v>
      </c>
      <c r="Q186" s="564"/>
      <c r="R186" s="23"/>
      <c r="S186"/>
      <c r="T186"/>
      <c r="U186" t="s">
        <v>166</v>
      </c>
      <c r="V186" s="374" t="s">
        <v>947</v>
      </c>
      <c r="W186" s="374"/>
      <c r="X186" s="478" t="s">
        <v>1002</v>
      </c>
      <c r="Y186" s="491" t="s">
        <v>1032</v>
      </c>
      <c r="Z186" s="480"/>
      <c r="AA186" s="479"/>
      <c r="AB186" s="565">
        <v>1</v>
      </c>
      <c r="AC186" s="57" t="s">
        <v>892</v>
      </c>
      <c r="AD186" s="57" t="s">
        <v>1630</v>
      </c>
      <c r="AE186" s="374"/>
      <c r="AF186" s="374"/>
      <c r="AG186" s="374"/>
      <c r="AH186" t="s">
        <v>2424</v>
      </c>
      <c r="AI186" t="s">
        <v>2424</v>
      </c>
      <c r="AJ186" s="57"/>
      <c r="AK186" s="57"/>
      <c r="AO186" s="374" t="s">
        <v>1855</v>
      </c>
      <c r="AP186" s="522" t="s">
        <v>1906</v>
      </c>
      <c r="AS186" s="23">
        <v>0.153</v>
      </c>
      <c r="AV186" s="83" t="s">
        <v>1856</v>
      </c>
    </row>
    <row r="187" spans="1:50" s="83" customFormat="1" ht="12.75" customHeight="1">
      <c r="A187" s="558">
        <v>95</v>
      </c>
      <c r="B187" s="639" t="s">
        <v>2426</v>
      </c>
      <c r="C187" t="s">
        <v>2427</v>
      </c>
      <c r="D187" s="57" t="s">
        <v>2425</v>
      </c>
      <c r="E187" s="57" t="s">
        <v>2425</v>
      </c>
      <c r="F187" t="s">
        <v>2427</v>
      </c>
      <c r="G187" s="57"/>
      <c r="H187" s="57"/>
      <c r="I187" s="57"/>
      <c r="J187" s="481" t="s">
        <v>2428</v>
      </c>
      <c r="K187"/>
      <c r="L187" s="561">
        <v>1</v>
      </c>
      <c r="M187"/>
      <c r="N187" s="562"/>
      <c r="O187"/>
      <c r="P187" s="563">
        <v>1</v>
      </c>
      <c r="Q187" s="564"/>
      <c r="R187" s="23"/>
      <c r="S187"/>
      <c r="T187"/>
      <c r="U187" t="s">
        <v>154</v>
      </c>
      <c r="V187" s="374" t="s">
        <v>947</v>
      </c>
      <c r="W187" s="374"/>
      <c r="X187" s="491" t="s">
        <v>1002</v>
      </c>
      <c r="Y187" s="491" t="s">
        <v>1032</v>
      </c>
      <c r="Z187" s="374"/>
      <c r="AA187" s="563"/>
      <c r="AB187" s="565">
        <v>1</v>
      </c>
      <c r="AC187" s="57" t="s">
        <v>892</v>
      </c>
      <c r="AD187" s="57" t="s">
        <v>1630</v>
      </c>
      <c r="AE187" s="374"/>
      <c r="AF187" s="374"/>
      <c r="AG187" s="374"/>
      <c r="AH187" s="57" t="s">
        <v>2427</v>
      </c>
      <c r="AI187" s="57" t="s">
        <v>2427</v>
      </c>
      <c r="AJ187" s="57"/>
      <c r="AK187" s="57"/>
      <c r="AO187" s="374" t="s">
        <v>1855</v>
      </c>
      <c r="AP187" s="522" t="s">
        <v>1907</v>
      </c>
      <c r="AS187" s="23">
        <v>0.17799999999999999</v>
      </c>
      <c r="AV187" s="83" t="s">
        <v>1857</v>
      </c>
    </row>
    <row r="188" spans="1:50" s="83" customFormat="1" ht="12.75" customHeight="1">
      <c r="A188" s="558"/>
      <c r="B188"/>
      <c r="C188"/>
      <c r="D188" s="57"/>
      <c r="E188" s="57"/>
      <c r="F188" s="57"/>
      <c r="G188" s="57"/>
      <c r="H188" s="57"/>
      <c r="I188" s="57"/>
      <c r="J188" s="481"/>
      <c r="K188"/>
      <c r="L188" s="561"/>
      <c r="M188"/>
      <c r="N188" s="562"/>
      <c r="O188"/>
      <c r="P188" s="563"/>
      <c r="Q188" s="564"/>
      <c r="R188" s="23"/>
      <c r="S188"/>
      <c r="T188"/>
      <c r="U188"/>
      <c r="V188" s="374"/>
      <c r="W188" s="374"/>
      <c r="X188" s="489"/>
      <c r="Y188" s="491"/>
      <c r="Z188" s="374"/>
      <c r="AA188" s="563"/>
      <c r="AB188" s="565"/>
      <c r="AC188" s="57"/>
      <c r="AD188" s="57"/>
      <c r="AE188" s="374"/>
      <c r="AF188" s="374"/>
      <c r="AG188" s="374"/>
      <c r="AH188" s="57"/>
      <c r="AI188" s="57"/>
      <c r="AJ188" s="374"/>
      <c r="AK188" s="374"/>
      <c r="AO188" s="374" t="s">
        <v>1855</v>
      </c>
      <c r="AP188" s="522" t="s">
        <v>1907</v>
      </c>
      <c r="AS188" s="23">
        <v>0.17799999999999999</v>
      </c>
      <c r="AV188" s="83" t="s">
        <v>1857</v>
      </c>
    </row>
    <row r="189" spans="1:50" s="83" customFormat="1" ht="12.75" customHeight="1">
      <c r="A189" s="558"/>
      <c r="B189"/>
      <c r="C189"/>
      <c r="D189" s="57"/>
      <c r="E189" s="57"/>
      <c r="F189" s="57"/>
      <c r="G189" s="57"/>
      <c r="H189" s="57"/>
      <c r="I189" s="57"/>
      <c r="J189" s="481"/>
      <c r="K189"/>
      <c r="L189" s="561"/>
      <c r="M189"/>
      <c r="N189" s="562"/>
      <c r="O189"/>
      <c r="P189" s="563"/>
      <c r="Q189" s="564"/>
      <c r="R189" s="23"/>
      <c r="S189"/>
      <c r="T189"/>
      <c r="U189"/>
      <c r="V189" s="374"/>
      <c r="W189" s="374"/>
      <c r="X189" s="489"/>
      <c r="Y189" s="491"/>
      <c r="Z189" s="374"/>
      <c r="AA189" s="563"/>
      <c r="AB189" s="565"/>
      <c r="AC189" s="57"/>
      <c r="AD189" s="57"/>
      <c r="AE189" s="374"/>
      <c r="AF189" s="374"/>
      <c r="AG189" s="374"/>
      <c r="AH189" s="57"/>
      <c r="AI189" s="57"/>
      <c r="AJ189" s="374"/>
      <c r="AK189" s="374"/>
      <c r="AO189" s="374" t="s">
        <v>1855</v>
      </c>
      <c r="AP189" s="522" t="s">
        <v>1905</v>
      </c>
      <c r="AS189" s="23">
        <v>5.5E-2</v>
      </c>
      <c r="AV189" s="83" t="s">
        <v>1852</v>
      </c>
    </row>
    <row r="190" spans="1:50" s="83" customFormat="1" ht="12.75" customHeight="1">
      <c r="A190" s="558"/>
      <c r="B190"/>
      <c r="C190"/>
      <c r="D190" s="57"/>
      <c r="E190" s="57"/>
      <c r="F190" s="57"/>
      <c r="G190" s="57"/>
      <c r="H190" s="57"/>
      <c r="I190" s="57"/>
      <c r="J190" s="481"/>
      <c r="K190"/>
      <c r="L190" s="561"/>
      <c r="M190"/>
      <c r="N190" s="562"/>
      <c r="O190"/>
      <c r="P190" s="563"/>
      <c r="Q190" s="564"/>
      <c r="R190" s="23"/>
      <c r="S190"/>
      <c r="T190"/>
      <c r="U190"/>
      <c r="V190" s="374"/>
      <c r="W190" s="374"/>
      <c r="X190" s="489"/>
      <c r="Y190" s="491"/>
      <c r="Z190" s="374"/>
      <c r="AA190" s="563"/>
      <c r="AB190" s="565"/>
      <c r="AC190" s="57"/>
      <c r="AD190" s="57"/>
      <c r="AE190" s="374"/>
      <c r="AF190" s="374"/>
      <c r="AG190" s="374"/>
      <c r="AH190" s="57"/>
      <c r="AI190" s="57"/>
      <c r="AJ190" s="374"/>
      <c r="AK190" s="374"/>
      <c r="AO190" s="374" t="s">
        <v>1869</v>
      </c>
      <c r="AP190" s="9" t="s">
        <v>1880</v>
      </c>
      <c r="AQ190"/>
      <c r="AR190"/>
      <c r="AS190" s="23"/>
      <c r="AV190" s="83" t="s">
        <v>1869</v>
      </c>
    </row>
    <row r="191" spans="1:50" s="83" customFormat="1" ht="12.75" customHeight="1">
      <c r="A191" s="638"/>
      <c r="B191"/>
      <c r="C191"/>
      <c r="D191" s="57"/>
      <c r="E191" s="488"/>
      <c r="F191" s="488"/>
      <c r="G191" s="57"/>
      <c r="H191" s="57"/>
      <c r="I191" s="57"/>
      <c r="J191" s="481"/>
      <c r="K191"/>
      <c r="L191" s="561"/>
      <c r="M191"/>
      <c r="N191" s="562"/>
      <c r="O191"/>
      <c r="P191" s="563"/>
      <c r="Q191" s="564"/>
      <c r="R191" s="23"/>
      <c r="S191"/>
      <c r="T191"/>
      <c r="U191"/>
      <c r="V191" s="374"/>
      <c r="W191" s="374"/>
      <c r="X191" s="489"/>
      <c r="Y191" s="491"/>
      <c r="Z191" s="374"/>
      <c r="AA191" s="563"/>
      <c r="AB191" s="565"/>
      <c r="AC191" s="57"/>
      <c r="AD191" s="57"/>
      <c r="AE191" s="374"/>
      <c r="AF191" s="374"/>
      <c r="AG191" s="374"/>
      <c r="AH191"/>
      <c r="AI191"/>
      <c r="AJ191" s="374"/>
      <c r="AK191" s="374"/>
      <c r="AO191" s="374" t="s">
        <v>1858</v>
      </c>
      <c r="AP191" s="83" t="s">
        <v>1911</v>
      </c>
      <c r="AS191" s="23"/>
      <c r="AV191" s="83" t="s">
        <v>1858</v>
      </c>
    </row>
    <row r="192" spans="1:50" s="83" customFormat="1" ht="12.75" customHeight="1">
      <c r="A192" s="638"/>
      <c r="B192" s="489"/>
      <c r="C192"/>
      <c r="D192" s="57"/>
      <c r="E192" s="488"/>
      <c r="F192" s="488"/>
      <c r="G192" s="57"/>
      <c r="H192" s="57"/>
      <c r="I192" s="57"/>
      <c r="J192" s="481"/>
      <c r="K192"/>
      <c r="L192" s="561"/>
      <c r="M192"/>
      <c r="N192" s="562"/>
      <c r="O192"/>
      <c r="P192" s="563"/>
      <c r="Q192" s="564"/>
      <c r="R192" s="23"/>
      <c r="S192"/>
      <c r="T192"/>
      <c r="U192"/>
      <c r="V192" s="374"/>
      <c r="W192" s="374"/>
      <c r="X192" s="489"/>
      <c r="Y192" s="491"/>
      <c r="Z192" s="374"/>
      <c r="AA192" s="563"/>
      <c r="AB192" s="565"/>
      <c r="AC192" s="57"/>
      <c r="AD192" s="57"/>
      <c r="AE192" s="374"/>
      <c r="AF192" s="374"/>
      <c r="AG192" s="374"/>
      <c r="AH192"/>
      <c r="AI192"/>
      <c r="AJ192" s="374"/>
      <c r="AK192" s="374"/>
      <c r="AO192" s="374" t="s">
        <v>2227</v>
      </c>
      <c r="AP192" s="83" t="s">
        <v>2228</v>
      </c>
      <c r="AS192" s="23"/>
      <c r="AV192" s="83" t="s">
        <v>2227</v>
      </c>
    </row>
    <row r="193" spans="1:51" s="83" customFormat="1" ht="12.75" customHeight="1">
      <c r="A193" s="638"/>
      <c r="B193" s="489"/>
      <c r="C193"/>
      <c r="D193" s="57"/>
      <c r="E193" s="488"/>
      <c r="F193"/>
      <c r="G193" s="57"/>
      <c r="H193" s="57"/>
      <c r="I193" s="57"/>
      <c r="J193" s="481"/>
      <c r="K193"/>
      <c r="L193" s="561"/>
      <c r="M193"/>
      <c r="N193" s="562"/>
      <c r="O193"/>
      <c r="P193" s="563"/>
      <c r="Q193" s="564"/>
      <c r="R193" s="23"/>
      <c r="S193"/>
      <c r="T193"/>
      <c r="U193"/>
      <c r="V193" s="374"/>
      <c r="W193" s="374"/>
      <c r="X193" s="489"/>
      <c r="Y193" s="491"/>
      <c r="Z193" s="374"/>
      <c r="AA193" s="563"/>
      <c r="AB193" s="565"/>
      <c r="AC193" s="57"/>
      <c r="AD193" s="57"/>
      <c r="AE193" s="374"/>
      <c r="AF193" s="374"/>
      <c r="AG193" s="374"/>
      <c r="AH193"/>
      <c r="AI193"/>
      <c r="AJ193" s="374"/>
      <c r="AK193" s="374"/>
      <c r="AO193" s="83" t="s">
        <v>1851</v>
      </c>
      <c r="AP193" s="83" t="s">
        <v>1114</v>
      </c>
      <c r="AS193" s="23">
        <v>0.249</v>
      </c>
      <c r="AV193" s="83" t="s">
        <v>1851</v>
      </c>
    </row>
    <row r="194" spans="1:51" s="83" customFormat="1" ht="12.75" customHeight="1">
      <c r="A194" s="638"/>
      <c r="B194" s="489"/>
      <c r="C194"/>
      <c r="D194" s="57"/>
      <c r="E194" s="488"/>
      <c r="F194"/>
      <c r="G194" s="57"/>
      <c r="H194" s="57"/>
      <c r="I194" s="57"/>
      <c r="J194" s="481"/>
      <c r="K194"/>
      <c r="L194" s="561"/>
      <c r="M194"/>
      <c r="N194" s="562"/>
      <c r="O194"/>
      <c r="P194" s="563"/>
      <c r="Q194" s="564"/>
      <c r="R194" s="23"/>
      <c r="S194"/>
      <c r="T194"/>
      <c r="U194"/>
      <c r="V194" s="374"/>
      <c r="W194" s="374"/>
      <c r="X194" s="489"/>
      <c r="Y194" s="491"/>
      <c r="Z194" s="374"/>
      <c r="AA194" s="563"/>
      <c r="AB194" s="565"/>
      <c r="AC194" s="57"/>
      <c r="AD194" s="57"/>
      <c r="AE194" s="374"/>
      <c r="AF194" s="374"/>
      <c r="AG194" s="374"/>
      <c r="AH194"/>
      <c r="AI194"/>
      <c r="AJ194" s="374"/>
      <c r="AK194" s="374"/>
      <c r="AO194" s="83" t="s">
        <v>1851</v>
      </c>
      <c r="AP194" s="83" t="s">
        <v>1115</v>
      </c>
      <c r="AS194" s="23">
        <v>8.1000000000000003E-2</v>
      </c>
      <c r="AV194" s="83" t="s">
        <v>2384</v>
      </c>
    </row>
    <row r="195" spans="1:51" s="83" customFormat="1" ht="12.75" customHeight="1">
      <c r="A195" s="638"/>
      <c r="B195" s="489"/>
      <c r="C195"/>
      <c r="D195" s="57"/>
      <c r="E195" s="488"/>
      <c r="F195"/>
      <c r="G195" s="57"/>
      <c r="H195" s="57"/>
      <c r="I195" s="57"/>
      <c r="J195" s="481"/>
      <c r="K195"/>
      <c r="L195" s="561"/>
      <c r="M195"/>
      <c r="N195" s="562"/>
      <c r="O195"/>
      <c r="P195" s="563"/>
      <c r="Q195" s="564"/>
      <c r="R195" s="23"/>
      <c r="S195"/>
      <c r="T195"/>
      <c r="U195" s="490"/>
      <c r="V195" s="374"/>
      <c r="W195" s="374"/>
      <c r="X195" s="489"/>
      <c r="Y195" s="491"/>
      <c r="Z195" s="374"/>
      <c r="AA195" s="563"/>
      <c r="AB195" s="565"/>
      <c r="AC195" s="57"/>
      <c r="AD195" s="57"/>
      <c r="AE195" s="374"/>
      <c r="AF195" s="374"/>
      <c r="AG195" s="374"/>
      <c r="AH195"/>
      <c r="AI195"/>
      <c r="AJ195" s="374"/>
      <c r="AK195" s="374"/>
      <c r="AO195" s="83" t="s">
        <v>1851</v>
      </c>
      <c r="AP195" s="83" t="s">
        <v>1902</v>
      </c>
      <c r="AS195" s="23">
        <v>0.502</v>
      </c>
      <c r="AV195" s="83" t="s">
        <v>1578</v>
      </c>
    </row>
    <row r="196" spans="1:51" s="83" customFormat="1" ht="12" customHeight="1">
      <c r="A196" s="638"/>
      <c r="B196" s="489"/>
      <c r="C196"/>
      <c r="D196" s="57"/>
      <c r="E196" s="488"/>
      <c r="F196"/>
      <c r="G196" s="57"/>
      <c r="H196" s="57"/>
      <c r="I196" s="57"/>
      <c r="J196" s="481"/>
      <c r="K196"/>
      <c r="L196" s="561"/>
      <c r="M196"/>
      <c r="N196" s="562"/>
      <c r="O196"/>
      <c r="P196" s="563"/>
      <c r="Q196" s="564"/>
      <c r="R196" s="23"/>
      <c r="S196"/>
      <c r="T196"/>
      <c r="U196" s="490"/>
      <c r="V196" s="374"/>
      <c r="W196" s="374"/>
      <c r="X196" s="489"/>
      <c r="Y196" s="491"/>
      <c r="Z196" s="374"/>
      <c r="AA196" s="563"/>
      <c r="AB196" s="565"/>
      <c r="AC196" s="57"/>
      <c r="AD196" s="57"/>
      <c r="AE196" s="374"/>
      <c r="AF196" s="374"/>
      <c r="AG196" s="374"/>
      <c r="AH196"/>
      <c r="AI196"/>
      <c r="AJ196" s="374"/>
      <c r="AK196" s="374"/>
      <c r="AO196" s="83" t="s">
        <v>2384</v>
      </c>
      <c r="AP196" s="83" t="s">
        <v>2390</v>
      </c>
      <c r="AR196" s="83">
        <v>1</v>
      </c>
      <c r="AS196" s="23">
        <v>1</v>
      </c>
    </row>
    <row r="197" spans="1:51" s="83" customFormat="1" ht="12.75" customHeight="1">
      <c r="A197" s="638"/>
      <c r="B197" s="489"/>
      <c r="C197"/>
      <c r="D197" s="57"/>
      <c r="E197" s="488"/>
      <c r="F197"/>
      <c r="G197" s="57"/>
      <c r="H197" s="57"/>
      <c r="I197" s="57"/>
      <c r="J197" s="481"/>
      <c r="K197"/>
      <c r="L197" s="561"/>
      <c r="M197"/>
      <c r="N197" s="562"/>
      <c r="O197"/>
      <c r="P197" s="563"/>
      <c r="Q197" s="564"/>
      <c r="R197" s="23"/>
      <c r="S197"/>
      <c r="T197"/>
      <c r="U197" s="490"/>
      <c r="V197" s="374"/>
      <c r="W197" s="374"/>
      <c r="X197" s="489"/>
      <c r="Y197" s="491"/>
      <c r="Z197" s="374"/>
      <c r="AA197" s="563"/>
      <c r="AB197" s="565"/>
      <c r="AC197" s="57"/>
      <c r="AD197" s="57"/>
      <c r="AE197" s="374"/>
      <c r="AF197" s="374"/>
      <c r="AG197" s="374"/>
      <c r="AH197"/>
      <c r="AI197"/>
      <c r="AJ197" s="374"/>
      <c r="AK197" s="374"/>
      <c r="AO197" s="83" t="s">
        <v>2384</v>
      </c>
      <c r="AP197" s="83" t="s">
        <v>2391</v>
      </c>
      <c r="AR197" s="83">
        <v>1</v>
      </c>
      <c r="AS197" s="23">
        <v>0.8</v>
      </c>
    </row>
    <row r="198" spans="1:51" s="83" customFormat="1" ht="12.75" customHeight="1">
      <c r="A198" s="638"/>
      <c r="B198" s="489"/>
      <c r="C198"/>
      <c r="D198" s="57"/>
      <c r="E198" s="488"/>
      <c r="F198"/>
      <c r="G198" s="57"/>
      <c r="H198" s="57"/>
      <c r="I198" s="57"/>
      <c r="J198" s="481"/>
      <c r="K198"/>
      <c r="L198" s="561"/>
      <c r="M198"/>
      <c r="N198" s="562"/>
      <c r="O198"/>
      <c r="P198" s="563"/>
      <c r="Q198" s="564"/>
      <c r="R198" s="23"/>
      <c r="S198"/>
      <c r="T198"/>
      <c r="U198" s="490"/>
      <c r="V198" s="374"/>
      <c r="W198" s="374"/>
      <c r="X198" s="489"/>
      <c r="Y198" s="491"/>
      <c r="Z198" s="374"/>
      <c r="AA198" s="563"/>
      <c r="AB198" s="565"/>
      <c r="AC198" s="57"/>
      <c r="AD198" s="57"/>
      <c r="AE198" s="374"/>
      <c r="AF198" s="374"/>
      <c r="AG198" s="374"/>
      <c r="AH198"/>
      <c r="AI198"/>
      <c r="AJ198" s="374"/>
      <c r="AK198" s="374"/>
      <c r="AO198" s="83" t="s">
        <v>2384</v>
      </c>
      <c r="AP198" s="83" t="s">
        <v>2392</v>
      </c>
      <c r="AR198" s="83">
        <v>1.05</v>
      </c>
      <c r="AS198" s="23">
        <v>0.78</v>
      </c>
    </row>
    <row r="199" spans="1:51" s="83" customFormat="1" ht="12.75" customHeight="1">
      <c r="A199" s="638"/>
      <c r="B199" s="489"/>
      <c r="C199"/>
      <c r="D199" s="57"/>
      <c r="E199" s="488"/>
      <c r="F199"/>
      <c r="G199" s="57"/>
      <c r="H199" s="57"/>
      <c r="I199" s="57"/>
      <c r="J199" s="481"/>
      <c r="K199"/>
      <c r="L199" s="561"/>
      <c r="M199"/>
      <c r="N199" s="562"/>
      <c r="O199"/>
      <c r="P199" s="563"/>
      <c r="Q199" s="564"/>
      <c r="R199" s="23"/>
      <c r="S199"/>
      <c r="T199"/>
      <c r="U199" s="490"/>
      <c r="V199" s="374"/>
      <c r="W199" s="374"/>
      <c r="X199" s="489"/>
      <c r="Y199" s="491"/>
      <c r="Z199" s="374"/>
      <c r="AA199" s="563"/>
      <c r="AB199" s="565"/>
      <c r="AC199" s="57"/>
      <c r="AD199" s="57"/>
      <c r="AE199" s="374"/>
      <c r="AF199" s="374"/>
      <c r="AG199" s="374"/>
      <c r="AH199"/>
      <c r="AI199"/>
      <c r="AJ199" s="374"/>
      <c r="AK199" s="374"/>
      <c r="AO199" s="83" t="s">
        <v>2384</v>
      </c>
      <c r="AP199" s="83" t="s">
        <v>2393</v>
      </c>
      <c r="AR199" s="83">
        <v>1.07</v>
      </c>
      <c r="AS199" s="23">
        <v>0.69</v>
      </c>
    </row>
    <row r="200" spans="1:51" s="83" customFormat="1" ht="12.75" customHeight="1">
      <c r="A200" s="638"/>
      <c r="B200"/>
      <c r="C200"/>
      <c r="D200" s="57"/>
      <c r="E200" s="488"/>
      <c r="F200"/>
      <c r="G200" s="57"/>
      <c r="H200" s="57"/>
      <c r="I200" s="57"/>
      <c r="J200" s="481"/>
      <c r="K200"/>
      <c r="L200" s="561"/>
      <c r="M200"/>
      <c r="N200" s="562"/>
      <c r="O200"/>
      <c r="P200" s="563"/>
      <c r="Q200" s="564"/>
      <c r="R200" s="23"/>
      <c r="S200"/>
      <c r="T200"/>
      <c r="U200" s="490"/>
      <c r="V200" s="374"/>
      <c r="W200" s="374"/>
      <c r="X200" s="489"/>
      <c r="Y200" s="491"/>
      <c r="Z200" s="374"/>
      <c r="AA200" s="563"/>
      <c r="AB200" s="565"/>
      <c r="AC200" s="57"/>
      <c r="AD200" s="57"/>
      <c r="AE200" s="374"/>
      <c r="AF200" s="374"/>
      <c r="AG200" s="374"/>
      <c r="AH200"/>
      <c r="AI200"/>
      <c r="AJ200" s="374"/>
      <c r="AK200" s="374"/>
      <c r="AO200" s="83" t="s">
        <v>2384</v>
      </c>
      <c r="AP200" s="83" t="s">
        <v>2394</v>
      </c>
      <c r="AR200" s="83">
        <v>1</v>
      </c>
      <c r="AS200" s="23">
        <v>0.63</v>
      </c>
    </row>
    <row r="201" spans="1:51" s="83" customFormat="1" ht="12.75" customHeight="1">
      <c r="A201" s="350"/>
      <c r="AO201" s="83" t="s">
        <v>2384</v>
      </c>
      <c r="AP201" s="83" t="s">
        <v>2395</v>
      </c>
      <c r="AR201" s="83">
        <v>0.99</v>
      </c>
      <c r="AS201" s="23">
        <v>0.53</v>
      </c>
    </row>
    <row r="202" spans="1:51" s="83" customFormat="1" ht="12.75" customHeight="1">
      <c r="A202" s="350"/>
      <c r="AO202" s="83" t="s">
        <v>2384</v>
      </c>
      <c r="AP202" s="83" t="s">
        <v>2396</v>
      </c>
      <c r="AR202" s="83">
        <v>1.06</v>
      </c>
      <c r="AS202" s="23">
        <v>0.53</v>
      </c>
      <c r="AY202" s="83" t="s">
        <v>1623</v>
      </c>
    </row>
    <row r="203" spans="1:51" s="83" customFormat="1" ht="12.75" customHeight="1">
      <c r="A203" s="523" t="s">
        <v>852</v>
      </c>
      <c r="B203" s="524" t="s">
        <v>853</v>
      </c>
      <c r="C203" s="524" t="s">
        <v>854</v>
      </c>
      <c r="D203" s="524" t="s">
        <v>855</v>
      </c>
      <c r="E203" s="524" t="s">
        <v>856</v>
      </c>
      <c r="F203" s="524" t="s">
        <v>144</v>
      </c>
      <c r="G203" s="524" t="s">
        <v>857</v>
      </c>
      <c r="H203" s="524" t="s">
        <v>858</v>
      </c>
      <c r="I203" s="524" t="s">
        <v>145</v>
      </c>
      <c r="J203" s="524" t="s">
        <v>1450</v>
      </c>
      <c r="K203" s="525" t="s">
        <v>859</v>
      </c>
      <c r="L203" s="524" t="s">
        <v>148</v>
      </c>
      <c r="M203" s="526" t="s">
        <v>860</v>
      </c>
      <c r="N203" s="524" t="s">
        <v>153</v>
      </c>
      <c r="O203" s="524" t="s">
        <v>687</v>
      </c>
      <c r="P203" s="524" t="s">
        <v>147</v>
      </c>
      <c r="Q203" s="524" t="s">
        <v>150</v>
      </c>
      <c r="R203" s="527" t="s">
        <v>861</v>
      </c>
      <c r="S203" s="524" t="s">
        <v>862</v>
      </c>
      <c r="T203" s="524" t="s">
        <v>863</v>
      </c>
      <c r="U203" s="524" t="s">
        <v>142</v>
      </c>
      <c r="V203" s="524" t="s">
        <v>0</v>
      </c>
      <c r="W203" s="524" t="s">
        <v>864</v>
      </c>
      <c r="X203" s="524" t="s">
        <v>489</v>
      </c>
      <c r="Y203" s="524" t="s">
        <v>152</v>
      </c>
      <c r="Z203" s="524" t="s">
        <v>817</v>
      </c>
      <c r="AA203" s="524" t="s">
        <v>151</v>
      </c>
      <c r="AB203" s="524" t="s">
        <v>865</v>
      </c>
      <c r="AC203" s="524" t="s">
        <v>100</v>
      </c>
      <c r="AD203" s="528" t="s">
        <v>169</v>
      </c>
      <c r="AE203" s="528" t="s">
        <v>170</v>
      </c>
      <c r="AF203" s="528" t="s">
        <v>173</v>
      </c>
      <c r="AG203" s="528" t="s">
        <v>220</v>
      </c>
      <c r="AH203" s="528" t="s">
        <v>171</v>
      </c>
      <c r="AI203" s="528" t="s">
        <v>172</v>
      </c>
      <c r="AJ203" s="528" t="s">
        <v>174</v>
      </c>
      <c r="AK203" s="529" t="s">
        <v>188</v>
      </c>
      <c r="AO203" s="83" t="s">
        <v>2384</v>
      </c>
      <c r="AP203" s="83" t="s">
        <v>2397</v>
      </c>
      <c r="AR203" s="83">
        <v>1.04</v>
      </c>
      <c r="AS203" s="23">
        <v>0.49</v>
      </c>
    </row>
    <row r="204" spans="1:51" s="83" customFormat="1" ht="12.75" customHeight="1">
      <c r="A204" s="350">
        <v>860000</v>
      </c>
      <c r="B204" s="83" t="s">
        <v>1936</v>
      </c>
      <c r="C204" s="83" t="s">
        <v>1706</v>
      </c>
      <c r="D204" s="83" t="s">
        <v>1704</v>
      </c>
      <c r="E204" s="83" t="s">
        <v>1704</v>
      </c>
      <c r="F204" s="83" t="s">
        <v>1706</v>
      </c>
      <c r="G204" s="83" t="s">
        <v>1704</v>
      </c>
      <c r="H204" s="83" t="s">
        <v>1704</v>
      </c>
      <c r="I204" s="83" t="s">
        <v>1913</v>
      </c>
      <c r="J204" s="83" t="s">
        <v>1757</v>
      </c>
      <c r="L204" s="83">
        <v>15</v>
      </c>
      <c r="O204" s="83" t="s">
        <v>1704</v>
      </c>
      <c r="P204" s="83">
        <v>3500</v>
      </c>
      <c r="Q204" s="83">
        <v>7646.55</v>
      </c>
      <c r="R204" s="83">
        <v>0</v>
      </c>
      <c r="S204" s="83">
        <v>0.45772276386082611</v>
      </c>
      <c r="T204" s="83">
        <v>0</v>
      </c>
      <c r="U204" s="83" t="s">
        <v>154</v>
      </c>
      <c r="V204" s="83" t="s">
        <v>947</v>
      </c>
      <c r="W204" s="83" t="s">
        <v>1842</v>
      </c>
      <c r="X204" s="83" t="s">
        <v>1002</v>
      </c>
      <c r="Y204" s="83" t="s">
        <v>1032</v>
      </c>
      <c r="AA204" s="83">
        <v>4353</v>
      </c>
      <c r="AC204" s="83" t="s">
        <v>146</v>
      </c>
      <c r="AD204" s="83" t="s">
        <v>1913</v>
      </c>
      <c r="AE204" s="83" t="s">
        <v>146</v>
      </c>
      <c r="AF204" s="83" t="s">
        <v>146</v>
      </c>
      <c r="AG204" s="83">
        <v>101</v>
      </c>
      <c r="AH204" s="83" t="s">
        <v>1706</v>
      </c>
      <c r="AO204" s="83" t="s">
        <v>2384</v>
      </c>
      <c r="AP204" s="83" t="s">
        <v>2398</v>
      </c>
      <c r="AR204" s="83">
        <v>1.04</v>
      </c>
      <c r="AS204" s="23">
        <v>0.39</v>
      </c>
    </row>
    <row r="205" spans="1:51" s="83" customFormat="1" ht="12.75" customHeight="1">
      <c r="A205" s="350">
        <v>860011</v>
      </c>
      <c r="B205" s="83" t="s">
        <v>1944</v>
      </c>
      <c r="C205" s="83" t="s">
        <v>1717</v>
      </c>
      <c r="D205" s="83" t="s">
        <v>1704</v>
      </c>
      <c r="E205" s="83" t="s">
        <v>1704</v>
      </c>
      <c r="F205" s="83" t="s">
        <v>1717</v>
      </c>
      <c r="G205" s="83" t="s">
        <v>1704</v>
      </c>
      <c r="H205" s="83" t="s">
        <v>1704</v>
      </c>
      <c r="I205" s="83" t="s">
        <v>1923</v>
      </c>
      <c r="J205" s="83" t="s">
        <v>1757</v>
      </c>
      <c r="L205" s="83">
        <v>3</v>
      </c>
      <c r="O205" s="83" t="s">
        <v>1704</v>
      </c>
      <c r="P205" s="83">
        <v>10</v>
      </c>
      <c r="Q205" s="83">
        <v>402.14</v>
      </c>
      <c r="R205" s="83">
        <v>0</v>
      </c>
      <c r="S205" s="83">
        <v>1.7503019270824215E-2</v>
      </c>
      <c r="T205" s="83">
        <v>0</v>
      </c>
      <c r="U205" s="83" t="s">
        <v>154</v>
      </c>
      <c r="V205" s="83" t="s">
        <v>947</v>
      </c>
      <c r="W205" s="83" t="s">
        <v>1842</v>
      </c>
      <c r="X205" s="83" t="s">
        <v>1002</v>
      </c>
      <c r="Y205" s="83" t="s">
        <v>1032</v>
      </c>
      <c r="AA205" s="83">
        <v>10.19</v>
      </c>
      <c r="AC205" s="83" t="s">
        <v>1917</v>
      </c>
      <c r="AD205" s="83" t="s">
        <v>1923</v>
      </c>
      <c r="AH205" s="83" t="s">
        <v>1717</v>
      </c>
      <c r="AO205" s="374" t="s">
        <v>1577</v>
      </c>
      <c r="AP205" t="s">
        <v>1589</v>
      </c>
      <c r="AQ205">
        <v>0.89</v>
      </c>
      <c r="AR205">
        <v>0.86299999999999999</v>
      </c>
      <c r="AS205" s="23"/>
    </row>
    <row r="206" spans="1:51" s="83" customFormat="1" ht="12.75" customHeight="1">
      <c r="A206" s="350">
        <v>860008</v>
      </c>
      <c r="B206" s="83" t="s">
        <v>1942</v>
      </c>
      <c r="C206" s="83" t="s">
        <v>1714</v>
      </c>
      <c r="D206" s="83" t="s">
        <v>1704</v>
      </c>
      <c r="E206" s="83" t="s">
        <v>1704</v>
      </c>
      <c r="F206" s="83" t="s">
        <v>1714</v>
      </c>
      <c r="G206" s="83" t="s">
        <v>1704</v>
      </c>
      <c r="H206" s="83" t="s">
        <v>1704</v>
      </c>
      <c r="I206" s="83" t="s">
        <v>1922</v>
      </c>
      <c r="J206" s="83" t="s">
        <v>1757</v>
      </c>
      <c r="L206" s="83">
        <v>10</v>
      </c>
      <c r="O206" s="83" t="s">
        <v>1704</v>
      </c>
      <c r="P206" s="83">
        <v>39</v>
      </c>
      <c r="Q206" s="83">
        <v>548.28</v>
      </c>
      <c r="R206" s="83">
        <v>0.17499999999999999</v>
      </c>
      <c r="S206" s="83">
        <v>0.21869567655470193</v>
      </c>
      <c r="T206" s="83">
        <v>222.85714285714286</v>
      </c>
      <c r="U206" s="83" t="s">
        <v>154</v>
      </c>
      <c r="V206" s="83" t="s">
        <v>947</v>
      </c>
      <c r="W206" s="83" t="s">
        <v>1842</v>
      </c>
      <c r="X206" s="83" t="s">
        <v>1002</v>
      </c>
      <c r="Y206" s="83" t="s">
        <v>1032</v>
      </c>
      <c r="AA206" s="83">
        <v>150</v>
      </c>
      <c r="AC206" s="83" t="s">
        <v>1921</v>
      </c>
      <c r="AD206" s="83" t="s">
        <v>1922</v>
      </c>
      <c r="AH206" s="83" t="s">
        <v>1714</v>
      </c>
      <c r="AO206" s="374" t="s">
        <v>1577</v>
      </c>
      <c r="AP206" t="s">
        <v>1620</v>
      </c>
      <c r="AQ206">
        <v>0.80600000000000005</v>
      </c>
      <c r="AR206">
        <v>0.78600000000000003</v>
      </c>
      <c r="AS206" s="23"/>
    </row>
    <row r="207" spans="1:51" s="83" customFormat="1" ht="12.75" customHeight="1">
      <c r="A207" s="350">
        <v>860009</v>
      </c>
      <c r="B207" s="83" t="s">
        <v>1941</v>
      </c>
      <c r="C207" s="83" t="s">
        <v>1713</v>
      </c>
      <c r="D207" s="83" t="s">
        <v>1704</v>
      </c>
      <c r="E207" s="83" t="s">
        <v>1704</v>
      </c>
      <c r="F207" s="83" t="s">
        <v>1713</v>
      </c>
      <c r="G207" s="83" t="s">
        <v>1704</v>
      </c>
      <c r="H207" s="83" t="s">
        <v>1704</v>
      </c>
      <c r="I207" s="83" t="s">
        <v>1922</v>
      </c>
      <c r="J207" s="83" t="s">
        <v>1757</v>
      </c>
      <c r="L207" s="83">
        <v>10</v>
      </c>
      <c r="O207" s="83" t="s">
        <v>1704</v>
      </c>
      <c r="P207" s="83">
        <v>65</v>
      </c>
      <c r="Q207" s="83">
        <v>880.37</v>
      </c>
      <c r="R207" s="83">
        <v>0.28100000000000003</v>
      </c>
      <c r="S207" s="83">
        <v>0.22700286372843476</v>
      </c>
      <c r="T207" s="83">
        <v>231.31672597864767</v>
      </c>
      <c r="U207" s="83" t="s">
        <v>154</v>
      </c>
      <c r="V207" s="83" t="s">
        <v>947</v>
      </c>
      <c r="W207" s="83" t="s">
        <v>1842</v>
      </c>
      <c r="X207" s="83" t="s">
        <v>1002</v>
      </c>
      <c r="Y207" s="83" t="s">
        <v>1032</v>
      </c>
      <c r="AA207" s="83">
        <v>150</v>
      </c>
      <c r="AC207" s="83" t="s">
        <v>1921</v>
      </c>
      <c r="AD207" s="83" t="s">
        <v>1922</v>
      </c>
      <c r="AH207" s="83" t="s">
        <v>1713</v>
      </c>
      <c r="AO207" s="374" t="s">
        <v>1577</v>
      </c>
      <c r="AP207" s="83" t="s">
        <v>163</v>
      </c>
      <c r="AQ207" s="83">
        <v>0.89</v>
      </c>
      <c r="AR207" s="83">
        <v>0.86299999999999999</v>
      </c>
      <c r="AS207" s="397"/>
      <c r="AU207" s="83" t="s">
        <v>1578</v>
      </c>
      <c r="AV207" s="83" t="s">
        <v>1590</v>
      </c>
      <c r="AW207" s="83">
        <v>0.90900000000000003</v>
      </c>
      <c r="AX207" s="83">
        <v>0.88700000000000001</v>
      </c>
    </row>
    <row r="208" spans="1:51" s="83" customFormat="1" ht="12.75" customHeight="1">
      <c r="A208" s="56">
        <v>860010</v>
      </c>
      <c r="B208" s="83" t="s">
        <v>1943</v>
      </c>
      <c r="C208" s="83" t="s">
        <v>1715</v>
      </c>
      <c r="D208" s="83" t="s">
        <v>1704</v>
      </c>
      <c r="E208" s="83" t="s">
        <v>1704</v>
      </c>
      <c r="F208" s="83" t="s">
        <v>1715</v>
      </c>
      <c r="G208" s="83" t="s">
        <v>1704</v>
      </c>
      <c r="H208" s="83" t="s">
        <v>1704</v>
      </c>
      <c r="I208" s="83" t="s">
        <v>1922</v>
      </c>
      <c r="J208" s="83" t="s">
        <v>1757</v>
      </c>
      <c r="L208" s="83">
        <v>10</v>
      </c>
      <c r="O208" s="83" t="s">
        <v>1704</v>
      </c>
      <c r="P208" s="83">
        <v>110.00000000000001</v>
      </c>
      <c r="Q208" s="83">
        <v>1143.55</v>
      </c>
      <c r="R208" s="83">
        <v>0.36499999999999999</v>
      </c>
      <c r="S208" s="83">
        <v>0.29574662579986022</v>
      </c>
      <c r="T208" s="83">
        <v>301.36986301369865</v>
      </c>
      <c r="U208" s="83" t="s">
        <v>154</v>
      </c>
      <c r="V208" s="83" t="s">
        <v>947</v>
      </c>
      <c r="W208" s="83" t="s">
        <v>1842</v>
      </c>
      <c r="X208" s="83" t="s">
        <v>1002</v>
      </c>
      <c r="Y208" s="83" t="s">
        <v>1032</v>
      </c>
      <c r="AA208" s="83">
        <v>150</v>
      </c>
      <c r="AC208" s="83" t="s">
        <v>1921</v>
      </c>
      <c r="AD208" s="83" t="s">
        <v>1922</v>
      </c>
      <c r="AH208" s="83" t="s">
        <v>1715</v>
      </c>
      <c r="AU208" s="83" t="s">
        <v>1578</v>
      </c>
      <c r="AV208" s="83" t="s">
        <v>1591</v>
      </c>
      <c r="AW208" s="83">
        <v>0.83099999999999996</v>
      </c>
      <c r="AX208" s="83">
        <v>0.877</v>
      </c>
    </row>
    <row r="209" spans="1:50" s="83" customFormat="1" ht="12.75" customHeight="1">
      <c r="A209" s="56">
        <v>860014</v>
      </c>
      <c r="B209" s="83" t="s">
        <v>2370</v>
      </c>
      <c r="C209" s="83" t="s">
        <v>2367</v>
      </c>
      <c r="D209" s="83" t="s">
        <v>1704</v>
      </c>
      <c r="E209" s="83" t="s">
        <v>1704</v>
      </c>
      <c r="F209" s="83" t="s">
        <v>2367</v>
      </c>
      <c r="G209" s="83" t="s">
        <v>1704</v>
      </c>
      <c r="H209" s="83" t="s">
        <v>1704</v>
      </c>
      <c r="I209" s="83" t="s">
        <v>1920</v>
      </c>
      <c r="J209" s="83" t="s">
        <v>1757</v>
      </c>
      <c r="L209" s="83">
        <v>10</v>
      </c>
      <c r="O209" s="83" t="s">
        <v>1704</v>
      </c>
      <c r="P209" s="83">
        <v>900</v>
      </c>
      <c r="Q209" s="83">
        <v>13771.1</v>
      </c>
      <c r="R209" s="83">
        <v>4.3959999999999999</v>
      </c>
      <c r="S209" s="83">
        <v>5.192032589989181E-2</v>
      </c>
      <c r="T209" s="83">
        <v>162.64786169244772</v>
      </c>
      <c r="U209" s="83" t="s">
        <v>154</v>
      </c>
      <c r="V209" s="83" t="s">
        <v>947</v>
      </c>
      <c r="W209" s="83" t="s">
        <v>1842</v>
      </c>
      <c r="X209" s="83" t="s">
        <v>1002</v>
      </c>
      <c r="Y209" s="83" t="s">
        <v>1032</v>
      </c>
      <c r="AA209" s="83">
        <v>4160</v>
      </c>
      <c r="AC209" s="83" t="s">
        <v>1921</v>
      </c>
      <c r="AD209" s="83" t="s">
        <v>1920</v>
      </c>
      <c r="AH209" s="83" t="s">
        <v>2367</v>
      </c>
      <c r="AO209" s="310"/>
      <c r="AP209" s="310"/>
      <c r="AU209" s="83" t="s">
        <v>1578</v>
      </c>
      <c r="AV209" s="83" t="s">
        <v>1592</v>
      </c>
      <c r="AW209" s="83">
        <v>0.80600000000000005</v>
      </c>
      <c r="AX209" s="83">
        <v>0.78600000000000003</v>
      </c>
    </row>
    <row r="210" spans="1:50" s="83" customFormat="1" ht="12.75" customHeight="1">
      <c r="A210" s="56">
        <v>860013</v>
      </c>
      <c r="B210" s="83" t="s">
        <v>2371</v>
      </c>
      <c r="C210" s="83" t="s">
        <v>2366</v>
      </c>
      <c r="D210" s="83" t="s">
        <v>1704</v>
      </c>
      <c r="E210" s="83" t="s">
        <v>1704</v>
      </c>
      <c r="F210" s="83" t="s">
        <v>2366</v>
      </c>
      <c r="G210" s="83" t="s">
        <v>1704</v>
      </c>
      <c r="H210" s="83" t="s">
        <v>1704</v>
      </c>
      <c r="I210" s="83" t="s">
        <v>1920</v>
      </c>
      <c r="J210" s="83" t="s">
        <v>1757</v>
      </c>
      <c r="L210" s="83">
        <v>10</v>
      </c>
      <c r="O210" s="83" t="s">
        <v>1704</v>
      </c>
      <c r="P210" s="83">
        <v>715</v>
      </c>
      <c r="Q210" s="83">
        <v>11704.89</v>
      </c>
      <c r="R210" s="83">
        <v>3.7360000000000002</v>
      </c>
      <c r="S210" s="83">
        <v>7.6890940453092679E-2</v>
      </c>
      <c r="T210" s="83">
        <v>240.89935760171304</v>
      </c>
      <c r="U210" s="83" t="s">
        <v>154</v>
      </c>
      <c r="V210" s="83" t="s">
        <v>947</v>
      </c>
      <c r="W210" s="83" t="s">
        <v>1842</v>
      </c>
      <c r="X210" s="83" t="s">
        <v>1002</v>
      </c>
      <c r="Y210" s="83" t="s">
        <v>1032</v>
      </c>
      <c r="AA210" s="83">
        <v>4100</v>
      </c>
      <c r="AC210" s="83" t="s">
        <v>1921</v>
      </c>
      <c r="AD210" s="83" t="s">
        <v>1920</v>
      </c>
      <c r="AH210" s="83" t="s">
        <v>2366</v>
      </c>
      <c r="AO210" s="310"/>
      <c r="AP210" s="310"/>
    </row>
    <row r="211" spans="1:50" s="83" customFormat="1" ht="12.75" customHeight="1">
      <c r="A211" s="56">
        <v>860015</v>
      </c>
      <c r="B211" s="83" t="s">
        <v>2372</v>
      </c>
      <c r="C211" s="83" t="s">
        <v>2368</v>
      </c>
      <c r="D211" s="83" t="s">
        <v>1704</v>
      </c>
      <c r="E211" s="83" t="s">
        <v>1704</v>
      </c>
      <c r="F211" s="83" t="s">
        <v>2368</v>
      </c>
      <c r="G211" s="83" t="s">
        <v>1704</v>
      </c>
      <c r="H211" s="83" t="s">
        <v>1704</v>
      </c>
      <c r="I211" s="83" t="s">
        <v>1920</v>
      </c>
      <c r="J211" s="83" t="s">
        <v>1757</v>
      </c>
      <c r="L211" s="83">
        <v>10</v>
      </c>
      <c r="O211" s="83" t="s">
        <v>1704</v>
      </c>
      <c r="P211" s="83">
        <v>1000</v>
      </c>
      <c r="Q211" s="83">
        <v>17212.7</v>
      </c>
      <c r="R211" s="83">
        <v>5.4939999999999998</v>
      </c>
      <c r="S211" s="83">
        <v>5.8096637947561973E-2</v>
      </c>
      <c r="T211" s="83">
        <v>182.01674554058974</v>
      </c>
      <c r="U211" s="83" t="s">
        <v>154</v>
      </c>
      <c r="V211" s="83" t="s">
        <v>947</v>
      </c>
      <c r="W211" s="83" t="s">
        <v>1842</v>
      </c>
      <c r="X211" s="83" t="s">
        <v>1002</v>
      </c>
      <c r="Y211" s="83" t="s">
        <v>1032</v>
      </c>
      <c r="AA211" s="83">
        <v>2090</v>
      </c>
      <c r="AC211" s="83" t="s">
        <v>1921</v>
      </c>
      <c r="AD211" s="83" t="s">
        <v>1920</v>
      </c>
      <c r="AH211" s="83" t="s">
        <v>2368</v>
      </c>
      <c r="AO211" s="310"/>
      <c r="AP211" s="310"/>
      <c r="AV211" t="s">
        <v>1619</v>
      </c>
      <c r="AW211" s="83">
        <f>AVERAGE(AW207:AW209)</f>
        <v>0.84866666666666679</v>
      </c>
      <c r="AX211" s="83">
        <f>AVERAGE(AX207:AX209)</f>
        <v>0.85</v>
      </c>
    </row>
    <row r="212" spans="1:50" s="83" customFormat="1" ht="12.75" customHeight="1">
      <c r="A212" s="350">
        <v>860002</v>
      </c>
      <c r="B212" s="83" t="s">
        <v>1938</v>
      </c>
      <c r="C212" s="83" t="s">
        <v>1708</v>
      </c>
      <c r="D212" s="83" t="s">
        <v>1704</v>
      </c>
      <c r="E212" s="83" t="s">
        <v>1704</v>
      </c>
      <c r="F212" s="83" t="s">
        <v>1708</v>
      </c>
      <c r="G212" s="83" t="s">
        <v>1704</v>
      </c>
      <c r="H212" s="83" t="s">
        <v>1704</v>
      </c>
      <c r="I212" s="83" t="s">
        <v>1981</v>
      </c>
      <c r="J212" s="83" t="s">
        <v>1757</v>
      </c>
      <c r="L212" s="83">
        <v>5</v>
      </c>
      <c r="O212" s="83" t="s">
        <v>1704</v>
      </c>
      <c r="P212" s="83">
        <v>1.1000000000000001</v>
      </c>
      <c r="Q212" s="83">
        <v>4.0599999999999996</v>
      </c>
      <c r="R212" s="83">
        <v>2E-3</v>
      </c>
      <c r="S212" s="83">
        <v>0.27093596059113306</v>
      </c>
      <c r="T212" s="83">
        <v>550</v>
      </c>
      <c r="U212" s="83" t="s">
        <v>154</v>
      </c>
      <c r="V212" s="83" t="s">
        <v>947</v>
      </c>
      <c r="W212" s="83" t="s">
        <v>1842</v>
      </c>
      <c r="X212" s="83" t="s">
        <v>1002</v>
      </c>
      <c r="Y212" s="83" t="s">
        <v>1032</v>
      </c>
      <c r="AA212" s="83">
        <v>1.74</v>
      </c>
      <c r="AC212" s="83" t="s">
        <v>1916</v>
      </c>
      <c r="AD212" t="s">
        <v>1915</v>
      </c>
      <c r="AF212" s="83" t="s">
        <v>146</v>
      </c>
      <c r="AH212" s="83" t="s">
        <v>1708</v>
      </c>
      <c r="AO212" s="310"/>
      <c r="AP212" s="310"/>
    </row>
    <row r="213" spans="1:50" s="83" customFormat="1" ht="12.75" customHeight="1">
      <c r="A213" s="350">
        <v>860004</v>
      </c>
      <c r="B213" s="83" t="s">
        <v>1940</v>
      </c>
      <c r="C213" s="83" t="s">
        <v>1710</v>
      </c>
      <c r="D213" s="83" t="s">
        <v>1704</v>
      </c>
      <c r="E213" s="83" t="s">
        <v>1704</v>
      </c>
      <c r="F213" s="83" t="s">
        <v>1710</v>
      </c>
      <c r="G213" s="83" t="s">
        <v>1704</v>
      </c>
      <c r="H213" s="83" t="s">
        <v>1704</v>
      </c>
      <c r="I213" s="83" t="s">
        <v>1919</v>
      </c>
      <c r="J213" s="83" t="s">
        <v>1757</v>
      </c>
      <c r="L213" s="83">
        <v>15</v>
      </c>
      <c r="O213" s="83" t="s">
        <v>1704</v>
      </c>
      <c r="P213" s="83">
        <v>1550</v>
      </c>
      <c r="Q213" s="83">
        <v>8742.5300000000007</v>
      </c>
      <c r="R213" s="83">
        <v>0.47899999999999998</v>
      </c>
      <c r="S213" s="83">
        <v>0.17729421574761539</v>
      </c>
      <c r="T213" s="83">
        <v>3235.9081419624217</v>
      </c>
      <c r="U213" s="83" t="s">
        <v>154</v>
      </c>
      <c r="V213" s="83" t="s">
        <v>947</v>
      </c>
      <c r="W213" s="83" t="s">
        <v>1842</v>
      </c>
      <c r="X213" s="83" t="s">
        <v>1002</v>
      </c>
      <c r="Y213" s="83" t="s">
        <v>1032</v>
      </c>
      <c r="AA213" s="83">
        <v>3444</v>
      </c>
      <c r="AC213" s="83" t="s">
        <v>146</v>
      </c>
      <c r="AD213" s="83" t="s">
        <v>1919</v>
      </c>
      <c r="AH213" s="83" t="s">
        <v>1710</v>
      </c>
    </row>
    <row r="214" spans="1:50" s="83" customFormat="1" ht="12.75" customHeight="1">
      <c r="A214" s="350">
        <v>860003</v>
      </c>
      <c r="B214" s="83" t="s">
        <v>1939</v>
      </c>
      <c r="C214" s="83" t="s">
        <v>1709</v>
      </c>
      <c r="D214" s="83" t="s">
        <v>1704</v>
      </c>
      <c r="E214" s="83" t="s">
        <v>1704</v>
      </c>
      <c r="F214" s="83" t="s">
        <v>1709</v>
      </c>
      <c r="G214" s="83" t="s">
        <v>1704</v>
      </c>
      <c r="H214" s="83" t="s">
        <v>1704</v>
      </c>
      <c r="I214" s="83" t="s">
        <v>1918</v>
      </c>
      <c r="J214" s="83" t="s">
        <v>1757</v>
      </c>
      <c r="L214" s="83">
        <v>15</v>
      </c>
      <c r="O214" s="83" t="s">
        <v>1704</v>
      </c>
      <c r="P214" s="83">
        <v>350</v>
      </c>
      <c r="Q214" s="83">
        <v>1728.08</v>
      </c>
      <c r="R214" s="83">
        <v>0.20100000000000001</v>
      </c>
      <c r="S214" s="83">
        <v>0.20253691958705616</v>
      </c>
      <c r="T214" s="83">
        <v>1741.2935323383083</v>
      </c>
      <c r="U214" s="83" t="s">
        <v>154</v>
      </c>
      <c r="V214" s="83" t="s">
        <v>947</v>
      </c>
      <c r="W214" s="83" t="s">
        <v>1842</v>
      </c>
      <c r="X214" s="83" t="s">
        <v>1002</v>
      </c>
      <c r="Y214" s="83" t="s">
        <v>1032</v>
      </c>
      <c r="AA214" s="83">
        <v>400</v>
      </c>
      <c r="AC214" s="83" t="s">
        <v>146</v>
      </c>
      <c r="AD214" s="83" t="s">
        <v>1918</v>
      </c>
      <c r="AH214" s="83" t="s">
        <v>1709</v>
      </c>
    </row>
    <row r="215" spans="1:50" s="83" customFormat="1" ht="12.75" customHeight="1">
      <c r="A215" s="350">
        <v>860001</v>
      </c>
      <c r="B215" s="83" t="s">
        <v>1937</v>
      </c>
      <c r="C215" s="83" t="s">
        <v>1707</v>
      </c>
      <c r="D215" s="83" t="s">
        <v>1704</v>
      </c>
      <c r="E215" s="83" t="s">
        <v>1704</v>
      </c>
      <c r="F215" s="83" t="s">
        <v>1707</v>
      </c>
      <c r="G215" s="83" t="s">
        <v>1704</v>
      </c>
      <c r="H215" s="83" t="s">
        <v>1704</v>
      </c>
      <c r="I215" s="83" t="s">
        <v>1914</v>
      </c>
      <c r="J215" s="83" t="s">
        <v>1757</v>
      </c>
      <c r="L215" s="83">
        <v>15</v>
      </c>
      <c r="O215" s="83" t="s">
        <v>1704</v>
      </c>
      <c r="P215" s="83">
        <v>1600</v>
      </c>
      <c r="Q215" s="83">
        <v>3409.59</v>
      </c>
      <c r="R215" s="83">
        <v>0</v>
      </c>
      <c r="S215" s="83">
        <v>0.46926463299106341</v>
      </c>
      <c r="T215" s="83">
        <v>0</v>
      </c>
      <c r="U215" s="83" t="s">
        <v>154</v>
      </c>
      <c r="V215" s="83" t="s">
        <v>947</v>
      </c>
      <c r="W215" s="83" t="s">
        <v>1842</v>
      </c>
      <c r="X215" s="83" t="s">
        <v>1002</v>
      </c>
      <c r="Y215" s="83" t="s">
        <v>1032</v>
      </c>
      <c r="AA215" s="83">
        <v>5048</v>
      </c>
      <c r="AC215" s="83" t="s">
        <v>146</v>
      </c>
      <c r="AD215" s="83" t="s">
        <v>1914</v>
      </c>
      <c r="AH215" s="83" t="s">
        <v>1707</v>
      </c>
    </row>
    <row r="216" spans="1:50" s="83" customFormat="1" ht="12.75" customHeight="1">
      <c r="A216" s="350"/>
    </row>
    <row r="217" spans="1:50" s="83" customFormat="1" ht="15" customHeight="1">
      <c r="A217" s="350"/>
    </row>
    <row r="218" spans="1:50" s="83" customFormat="1" ht="15" customHeight="1">
      <c r="A218" s="350"/>
    </row>
    <row r="219" spans="1:50" s="83" customFormat="1" ht="15" customHeight="1">
      <c r="A219" s="350"/>
    </row>
    <row r="220" spans="1:50" s="83" customFormat="1" ht="15" customHeight="1">
      <c r="A220" s="350"/>
      <c r="AL220" s="310"/>
      <c r="AM220" s="310"/>
    </row>
    <row r="221" spans="1:50" s="83" customFormat="1" ht="15" customHeight="1">
      <c r="A221" t="s">
        <v>852</v>
      </c>
      <c r="B221" t="s">
        <v>853</v>
      </c>
      <c r="C221" t="s">
        <v>854</v>
      </c>
      <c r="D221" t="s">
        <v>1450</v>
      </c>
      <c r="E221" t="s">
        <v>1828</v>
      </c>
      <c r="F221" t="s">
        <v>1829</v>
      </c>
      <c r="G221" t="s">
        <v>1830</v>
      </c>
      <c r="H221" t="s">
        <v>1831</v>
      </c>
      <c r="I221" t="s">
        <v>1832</v>
      </c>
      <c r="J221" t="s">
        <v>1833</v>
      </c>
      <c r="K221" t="s">
        <v>1834</v>
      </c>
      <c r="L221" t="s">
        <v>1835</v>
      </c>
      <c r="M221" t="s">
        <v>1836</v>
      </c>
      <c r="N221" t="s">
        <v>1837</v>
      </c>
      <c r="O221" t="s">
        <v>1838</v>
      </c>
      <c r="P221" t="s">
        <v>169</v>
      </c>
      <c r="Q221" t="s">
        <v>100</v>
      </c>
      <c r="R221" t="s">
        <v>147</v>
      </c>
      <c r="S221" t="s">
        <v>151</v>
      </c>
      <c r="AL221" s="310"/>
      <c r="AM221" s="310"/>
    </row>
    <row r="222" spans="1:50" s="83" customFormat="1" ht="15" customHeight="1">
      <c r="A222" s="56">
        <v>830846</v>
      </c>
      <c r="B222" t="s">
        <v>1978</v>
      </c>
      <c r="C222" t="s">
        <v>1815</v>
      </c>
      <c r="D222" t="s">
        <v>1757</v>
      </c>
      <c r="E222" t="s">
        <v>1815</v>
      </c>
      <c r="F222">
        <v>0.06</v>
      </c>
      <c r="G222">
        <v>0.68500000000000005</v>
      </c>
      <c r="H222">
        <v>1.1000000000000001</v>
      </c>
      <c r="I222">
        <v>1.6</v>
      </c>
      <c r="J222">
        <v>1</v>
      </c>
      <c r="K222">
        <f>((5.9*7.5+60*3)/(3600*1))</f>
        <v>6.2291666666666669E-2</v>
      </c>
      <c r="L222">
        <f>5.9*7.5/3600*1</f>
        <v>1.2291666666666666E-2</v>
      </c>
      <c r="M222">
        <v>0.85</v>
      </c>
      <c r="N222">
        <v>0</v>
      </c>
      <c r="O222">
        <v>2959</v>
      </c>
      <c r="P222" t="s">
        <v>1822</v>
      </c>
      <c r="Q222" t="s">
        <v>1975</v>
      </c>
      <c r="R222">
        <v>25</v>
      </c>
      <c r="S222">
        <v>150</v>
      </c>
      <c r="AL222" s="310"/>
      <c r="AM222" s="310"/>
    </row>
    <row r="223" spans="1:50" s="83" customFormat="1" ht="15" customHeight="1">
      <c r="A223" s="56">
        <v>830847</v>
      </c>
      <c r="B223" t="s">
        <v>1979</v>
      </c>
      <c r="C223" t="s">
        <v>1816</v>
      </c>
      <c r="D223" t="s">
        <v>1757</v>
      </c>
      <c r="E223" t="s">
        <v>1816</v>
      </c>
      <c r="F223">
        <v>0.06</v>
      </c>
      <c r="G223">
        <v>0.68500000000000005</v>
      </c>
      <c r="H223">
        <v>1.1000000000000001</v>
      </c>
      <c r="I223">
        <v>1.6</v>
      </c>
      <c r="J223">
        <v>1</v>
      </c>
      <c r="K223">
        <f>((5.9*7.5+60*3)/(3600*1))</f>
        <v>6.2291666666666669E-2</v>
      </c>
      <c r="L223">
        <f>5.9*7.5/3600*1</f>
        <v>1.2291666666666666E-2</v>
      </c>
      <c r="M223">
        <v>0.85</v>
      </c>
      <c r="N223">
        <v>0</v>
      </c>
      <c r="O223">
        <v>2959</v>
      </c>
      <c r="P223" t="s">
        <v>1822</v>
      </c>
      <c r="Q223" t="s">
        <v>1975</v>
      </c>
      <c r="R223">
        <v>25</v>
      </c>
      <c r="S223">
        <v>150</v>
      </c>
      <c r="AL223" s="310"/>
      <c r="AM223" s="310"/>
      <c r="AO223" s="310"/>
    </row>
    <row r="224" spans="1:50" s="83" customFormat="1" ht="15" customHeight="1">
      <c r="A224" s="56">
        <v>830848</v>
      </c>
      <c r="B224" t="s">
        <v>1980</v>
      </c>
      <c r="C224" t="s">
        <v>1817</v>
      </c>
      <c r="D224" t="s">
        <v>1757</v>
      </c>
      <c r="E224" t="s">
        <v>1817</v>
      </c>
      <c r="F224">
        <v>0.5</v>
      </c>
      <c r="G224">
        <v>0.73</v>
      </c>
      <c r="H224">
        <v>0.8</v>
      </c>
      <c r="I224">
        <v>2.4</v>
      </c>
      <c r="J224">
        <v>1</v>
      </c>
      <c r="K224">
        <f>((5.9*7.5+60*3)/(3600*1))</f>
        <v>6.2291666666666669E-2</v>
      </c>
      <c r="L224">
        <f>5.9*7.5/3600*1</f>
        <v>1.2291666666666666E-2</v>
      </c>
      <c r="M224">
        <v>0.85</v>
      </c>
      <c r="N224">
        <v>0</v>
      </c>
      <c r="O224">
        <v>2959</v>
      </c>
      <c r="P224" t="s">
        <v>1822</v>
      </c>
      <c r="Q224" t="s">
        <v>1975</v>
      </c>
      <c r="R224">
        <v>40</v>
      </c>
      <c r="S224">
        <v>150</v>
      </c>
      <c r="AL224" s="310"/>
      <c r="AM224" s="310"/>
      <c r="AO224" s="310"/>
    </row>
    <row r="225" spans="1:48" ht="15" customHeight="1">
      <c r="A225" s="350"/>
      <c r="B225" s="83"/>
      <c r="C225" s="83"/>
      <c r="D225" s="83"/>
      <c r="E225" s="83"/>
      <c r="F225" s="83"/>
      <c r="G225" s="83"/>
      <c r="H225" s="83"/>
      <c r="I225" s="83"/>
      <c r="J225" s="83"/>
      <c r="K225" s="83"/>
      <c r="L225" s="83"/>
      <c r="M225" s="83"/>
      <c r="N225" s="83"/>
      <c r="O225" s="83"/>
      <c r="P225" s="83"/>
      <c r="Q225" s="83"/>
      <c r="R225" s="83"/>
      <c r="S225" s="83"/>
      <c r="T225" s="83"/>
      <c r="U225" s="83"/>
      <c r="V225"/>
      <c r="W225" s="83"/>
      <c r="X225" s="83"/>
      <c r="Y225" s="83"/>
      <c r="Z225" s="83"/>
      <c r="AA225" s="83"/>
      <c r="AB225" s="83"/>
      <c r="AC225" s="83"/>
      <c r="AD225" s="83"/>
      <c r="AE225" s="83"/>
      <c r="AF225" s="83"/>
      <c r="AG225" s="83"/>
      <c r="AH225" s="83"/>
      <c r="AI225" s="83"/>
      <c r="AJ225" s="83"/>
      <c r="AK225" s="83"/>
      <c r="AN225" s="83"/>
      <c r="AP225" s="83"/>
      <c r="AQ225" s="83"/>
      <c r="AR225" s="83"/>
      <c r="AS225" s="83"/>
      <c r="AT225" s="83"/>
      <c r="AU225" s="83"/>
      <c r="AV225" s="83"/>
    </row>
    <row r="226" spans="1:48" ht="15" customHeight="1">
      <c r="A226" s="350"/>
      <c r="B226" s="83"/>
      <c r="C226" s="83"/>
      <c r="D226" s="83"/>
      <c r="E226" s="83"/>
      <c r="F226" s="83"/>
      <c r="G226" s="83"/>
      <c r="H226" s="83"/>
      <c r="I226" s="83"/>
      <c r="J226" s="83"/>
      <c r="K226" s="83"/>
      <c r="L226" s="83"/>
      <c r="M226" s="83"/>
      <c r="N226" s="83"/>
      <c r="O226" s="83"/>
      <c r="P226" s="83"/>
      <c r="Q226" s="83"/>
      <c r="R226" s="83"/>
      <c r="S226" s="83"/>
      <c r="T226" s="83"/>
      <c r="U226" s="83"/>
      <c r="V226"/>
      <c r="W226" s="83"/>
      <c r="X226" s="83"/>
      <c r="Y226" s="83"/>
      <c r="Z226" s="83"/>
      <c r="AA226" s="83"/>
      <c r="AB226" s="83"/>
      <c r="AC226" s="83"/>
      <c r="AD226" s="83"/>
      <c r="AE226" s="83"/>
      <c r="AF226" s="83"/>
      <c r="AG226" s="83"/>
      <c r="AH226" s="83"/>
      <c r="AI226" s="83"/>
      <c r="AJ226" s="83"/>
      <c r="AK226" s="83"/>
      <c r="AN226" s="83"/>
      <c r="AP226" s="83"/>
      <c r="AQ226" s="83"/>
      <c r="AR226" s="83"/>
      <c r="AS226" s="83"/>
      <c r="AT226" s="83"/>
      <c r="AU226" s="83"/>
      <c r="AV226" s="83"/>
    </row>
    <row r="227" spans="1:48" ht="15" customHeight="1">
      <c r="A227" s="523" t="s">
        <v>852</v>
      </c>
      <c r="B227" s="524" t="s">
        <v>853</v>
      </c>
      <c r="C227" s="524" t="s">
        <v>854</v>
      </c>
      <c r="D227" s="524" t="s">
        <v>855</v>
      </c>
      <c r="E227" s="524" t="s">
        <v>856</v>
      </c>
      <c r="F227" s="524" t="s">
        <v>144</v>
      </c>
      <c r="G227" s="524" t="s">
        <v>857</v>
      </c>
      <c r="H227" s="524" t="s">
        <v>858</v>
      </c>
      <c r="I227" s="524" t="s">
        <v>145</v>
      </c>
      <c r="J227" s="524" t="s">
        <v>1450</v>
      </c>
      <c r="K227" s="525" t="s">
        <v>859</v>
      </c>
      <c r="L227" s="524" t="s">
        <v>148</v>
      </c>
      <c r="M227" s="526" t="s">
        <v>860</v>
      </c>
      <c r="N227" s="524" t="s">
        <v>153</v>
      </c>
      <c r="O227" s="524" t="s">
        <v>687</v>
      </c>
      <c r="P227" s="524" t="s">
        <v>147</v>
      </c>
      <c r="Q227" s="524" t="s">
        <v>1203</v>
      </c>
      <c r="R227" s="527" t="s">
        <v>165</v>
      </c>
      <c r="S227" s="524" t="s">
        <v>1204</v>
      </c>
      <c r="T227" s="524" t="s">
        <v>1205</v>
      </c>
      <c r="U227" s="524" t="s">
        <v>142</v>
      </c>
      <c r="V227" s="524" t="s">
        <v>0</v>
      </c>
      <c r="W227" s="524" t="s">
        <v>864</v>
      </c>
      <c r="X227" s="524" t="s">
        <v>489</v>
      </c>
      <c r="Y227" s="524" t="s">
        <v>152</v>
      </c>
      <c r="Z227" s="524" t="s">
        <v>817</v>
      </c>
      <c r="AA227" s="524" t="s">
        <v>151</v>
      </c>
      <c r="AB227" s="524" t="s">
        <v>865</v>
      </c>
      <c r="AC227" s="524" t="s">
        <v>100</v>
      </c>
      <c r="AD227" s="528" t="s">
        <v>169</v>
      </c>
      <c r="AE227" s="528" t="s">
        <v>170</v>
      </c>
      <c r="AF227" s="528" t="s">
        <v>173</v>
      </c>
      <c r="AG227" s="528" t="s">
        <v>220</v>
      </c>
      <c r="AH227" s="528" t="s">
        <v>171</v>
      </c>
      <c r="AI227" s="528" t="s">
        <v>172</v>
      </c>
      <c r="AJ227" s="528" t="s">
        <v>174</v>
      </c>
      <c r="AK227" s="529" t="s">
        <v>188</v>
      </c>
      <c r="AN227" s="83"/>
      <c r="AO227" s="83"/>
      <c r="AP227" s="83"/>
      <c r="AQ227" s="83"/>
      <c r="AR227" s="83"/>
    </row>
    <row r="228" spans="1:48" ht="15" customHeight="1">
      <c r="A228" s="530">
        <v>960000</v>
      </c>
      <c r="B228" s="531" t="s">
        <v>1945</v>
      </c>
      <c r="C228" s="531" t="s">
        <v>1711</v>
      </c>
      <c r="D228" s="531" t="s">
        <v>1704</v>
      </c>
      <c r="E228" s="531" t="s">
        <v>1704</v>
      </c>
      <c r="F228" s="531" t="s">
        <v>1711</v>
      </c>
      <c r="G228" s="531" t="s">
        <v>1704</v>
      </c>
      <c r="H228" s="531" t="s">
        <v>1704</v>
      </c>
      <c r="I228" s="531" t="s">
        <v>1913</v>
      </c>
      <c r="J228" s="531" t="s">
        <v>2158</v>
      </c>
      <c r="K228" s="531"/>
      <c r="L228" s="531">
        <v>15</v>
      </c>
      <c r="M228" s="531"/>
      <c r="N228" s="531"/>
      <c r="O228" s="531" t="s">
        <v>1704</v>
      </c>
      <c r="P228" s="531">
        <v>121</v>
      </c>
      <c r="Q228" s="531">
        <v>397.98</v>
      </c>
      <c r="R228" s="531">
        <v>0</v>
      </c>
      <c r="S228" s="531"/>
      <c r="T228" s="531"/>
      <c r="U228" s="531" t="s">
        <v>166</v>
      </c>
      <c r="V228" s="531" t="s">
        <v>947</v>
      </c>
      <c r="W228" s="531" t="s">
        <v>1842</v>
      </c>
      <c r="X228" s="531" t="s">
        <v>1002</v>
      </c>
      <c r="Y228" s="531" t="s">
        <v>1032</v>
      </c>
      <c r="Z228" s="531"/>
      <c r="AA228" s="531">
        <v>4353</v>
      </c>
      <c r="AB228" s="531"/>
      <c r="AC228" s="531" t="s">
        <v>146</v>
      </c>
      <c r="AD228" s="531" t="s">
        <v>1913</v>
      </c>
      <c r="AE228" s="531"/>
      <c r="AF228" s="531" t="s">
        <v>146</v>
      </c>
      <c r="AG228" s="531"/>
      <c r="AH228" s="531" t="s">
        <v>1711</v>
      </c>
      <c r="AI228" s="531"/>
      <c r="AJ228" s="531"/>
      <c r="AK228" s="532"/>
      <c r="AL228" s="83"/>
      <c r="AM228" s="83"/>
      <c r="AN228" s="83"/>
    </row>
    <row r="229" spans="1:48" ht="15" customHeight="1">
      <c r="A229" s="350">
        <v>960001</v>
      </c>
      <c r="B229" s="533" t="s">
        <v>1946</v>
      </c>
      <c r="C229" s="533" t="s">
        <v>1712</v>
      </c>
      <c r="D229" s="533" t="s">
        <v>1704</v>
      </c>
      <c r="E229" s="533" t="s">
        <v>1704</v>
      </c>
      <c r="F229" s="533" t="s">
        <v>1712</v>
      </c>
      <c r="G229" s="533" t="s">
        <v>1704</v>
      </c>
      <c r="H229" s="533" t="s">
        <v>1704</v>
      </c>
      <c r="I229" s="533" t="s">
        <v>1926</v>
      </c>
      <c r="J229" s="533" t="s">
        <v>2158</v>
      </c>
      <c r="K229" s="533"/>
      <c r="L229" s="533">
        <v>5</v>
      </c>
      <c r="M229" s="533"/>
      <c r="N229" s="533"/>
      <c r="O229" s="533" t="s">
        <v>1704</v>
      </c>
      <c r="P229" s="533">
        <v>0.55000000000000004</v>
      </c>
      <c r="Q229" s="533">
        <v>0.33</v>
      </c>
      <c r="R229" s="533">
        <v>0</v>
      </c>
      <c r="S229" s="533"/>
      <c r="T229" s="533"/>
      <c r="U229" s="533" t="s">
        <v>166</v>
      </c>
      <c r="V229" s="533" t="s">
        <v>947</v>
      </c>
      <c r="W229" s="533" t="s">
        <v>1842</v>
      </c>
      <c r="X229" s="533" t="s">
        <v>1002</v>
      </c>
      <c r="Y229" s="533" t="s">
        <v>1032</v>
      </c>
      <c r="Z229" s="533"/>
      <c r="AA229" s="533">
        <v>1.5</v>
      </c>
      <c r="AB229" s="533"/>
      <c r="AC229" s="533" t="s">
        <v>1821</v>
      </c>
      <c r="AD229" s="533" t="s">
        <v>1926</v>
      </c>
      <c r="AE229" s="533"/>
      <c r="AF229" s="533"/>
      <c r="AG229" s="533"/>
      <c r="AH229" s="533" t="s">
        <v>1712</v>
      </c>
      <c r="AI229" s="533"/>
      <c r="AJ229" s="533"/>
      <c r="AK229" s="534"/>
      <c r="AL229" s="83"/>
      <c r="AM229" s="83"/>
      <c r="AN229" s="83"/>
    </row>
    <row r="230" spans="1:48" ht="15" customHeight="1">
      <c r="A230" s="530">
        <v>960002</v>
      </c>
      <c r="B230" s="535" t="s">
        <v>1947</v>
      </c>
      <c r="C230" s="536" t="s">
        <v>1716</v>
      </c>
      <c r="D230" s="536" t="s">
        <v>1704</v>
      </c>
      <c r="E230" s="536" t="s">
        <v>1704</v>
      </c>
      <c r="F230" s="536" t="s">
        <v>1716</v>
      </c>
      <c r="G230" s="536" t="s">
        <v>1704</v>
      </c>
      <c r="H230" s="536" t="s">
        <v>1704</v>
      </c>
      <c r="I230" s="536" t="s">
        <v>1927</v>
      </c>
      <c r="J230" s="536" t="s">
        <v>2158</v>
      </c>
      <c r="K230" s="536"/>
      <c r="L230" s="531">
        <v>5</v>
      </c>
      <c r="M230" s="536"/>
      <c r="N230" s="536"/>
      <c r="O230" s="536" t="s">
        <v>1704</v>
      </c>
      <c r="P230" s="531">
        <v>0.02</v>
      </c>
      <c r="Q230" s="531">
        <v>0.21</v>
      </c>
      <c r="R230" s="536">
        <v>0</v>
      </c>
      <c r="S230" s="536"/>
      <c r="T230" s="536"/>
      <c r="U230" s="536" t="s">
        <v>166</v>
      </c>
      <c r="V230" s="536" t="s">
        <v>947</v>
      </c>
      <c r="W230" s="536" t="s">
        <v>1842</v>
      </c>
      <c r="X230" s="536" t="s">
        <v>1002</v>
      </c>
      <c r="Y230" s="536" t="s">
        <v>1032</v>
      </c>
      <c r="Z230" s="536"/>
      <c r="AA230" s="531">
        <v>0.02</v>
      </c>
      <c r="AB230" s="536"/>
      <c r="AC230" s="536" t="s">
        <v>1821</v>
      </c>
      <c r="AD230" s="536" t="s">
        <v>1927</v>
      </c>
      <c r="AE230" s="536"/>
      <c r="AF230" s="536"/>
      <c r="AG230" s="536"/>
      <c r="AH230" s="536" t="s">
        <v>1716</v>
      </c>
      <c r="AI230" s="536"/>
      <c r="AJ230" s="536"/>
      <c r="AK230" s="537"/>
      <c r="AL230" s="83"/>
      <c r="AM230" s="83"/>
      <c r="AN230" s="83"/>
    </row>
    <row r="231" spans="1:48" ht="15" customHeight="1">
      <c r="AL231" s="83"/>
      <c r="AM231" s="83"/>
    </row>
    <row r="232" spans="1:48" ht="15" customHeight="1"/>
    <row r="233" spans="1:48" ht="15" customHeight="1">
      <c r="A233" s="618" t="s">
        <v>852</v>
      </c>
      <c r="B233" s="619" t="s">
        <v>853</v>
      </c>
      <c r="C233" s="619" t="s">
        <v>854</v>
      </c>
      <c r="D233" s="619" t="s">
        <v>855</v>
      </c>
      <c r="E233" s="619" t="s">
        <v>856</v>
      </c>
      <c r="F233" s="619" t="s">
        <v>144</v>
      </c>
      <c r="G233" s="619" t="s">
        <v>857</v>
      </c>
      <c r="H233" s="619" t="s">
        <v>858</v>
      </c>
      <c r="I233" s="619" t="s">
        <v>145</v>
      </c>
      <c r="J233" s="620" t="s">
        <v>1450</v>
      </c>
      <c r="K233" s="621" t="s">
        <v>859</v>
      </c>
      <c r="L233" s="622" t="s">
        <v>148</v>
      </c>
      <c r="M233" s="623" t="s">
        <v>860</v>
      </c>
      <c r="N233" s="619" t="s">
        <v>153</v>
      </c>
      <c r="O233" s="619" t="s">
        <v>687</v>
      </c>
      <c r="P233" s="619" t="s">
        <v>147</v>
      </c>
      <c r="Q233" s="619" t="s">
        <v>1203</v>
      </c>
      <c r="R233" s="624" t="s">
        <v>165</v>
      </c>
      <c r="S233" s="619" t="s">
        <v>1204</v>
      </c>
      <c r="T233" s="619" t="s">
        <v>1205</v>
      </c>
      <c r="U233" s="619" t="s">
        <v>142</v>
      </c>
      <c r="V233" s="619" t="s">
        <v>0</v>
      </c>
      <c r="W233" s="619" t="s">
        <v>864</v>
      </c>
      <c r="X233" s="619" t="s">
        <v>489</v>
      </c>
      <c r="Y233" s="619" t="s">
        <v>152</v>
      </c>
      <c r="Z233" s="619" t="s">
        <v>817</v>
      </c>
      <c r="AA233" s="619" t="s">
        <v>151</v>
      </c>
      <c r="AB233" s="619" t="s">
        <v>865</v>
      </c>
      <c r="AC233" s="619" t="s">
        <v>100</v>
      </c>
      <c r="AD233" s="625" t="s">
        <v>169</v>
      </c>
      <c r="AE233" s="625" t="s">
        <v>170</v>
      </c>
      <c r="AF233" s="625" t="s">
        <v>173</v>
      </c>
      <c r="AG233" s="625" t="s">
        <v>220</v>
      </c>
      <c r="AH233" s="625" t="s">
        <v>171</v>
      </c>
      <c r="AI233" s="625" t="s">
        <v>172</v>
      </c>
      <c r="AJ233" s="625" t="s">
        <v>174</v>
      </c>
      <c r="AK233" s="625" t="s">
        <v>188</v>
      </c>
    </row>
    <row r="234" spans="1:48" ht="15" customHeight="1">
      <c r="A234" s="614">
        <v>851035</v>
      </c>
      <c r="B234" s="600" t="s">
        <v>2339</v>
      </c>
      <c r="C234" s="601" t="s">
        <v>2212</v>
      </c>
      <c r="D234" s="600" t="s">
        <v>1019</v>
      </c>
      <c r="E234" s="600" t="s">
        <v>1158</v>
      </c>
      <c r="F234" s="601" t="s">
        <v>2212</v>
      </c>
      <c r="G234" s="600" t="s">
        <v>1019</v>
      </c>
      <c r="H234" s="602" t="s">
        <v>1158</v>
      </c>
      <c r="I234" s="601" t="s">
        <v>1064</v>
      </c>
      <c r="J234" s="603" t="s">
        <v>2158</v>
      </c>
      <c r="K234" s="600" t="s">
        <v>2179</v>
      </c>
      <c r="L234" s="604">
        <v>20</v>
      </c>
      <c r="M234" s="600"/>
      <c r="N234" s="600"/>
      <c r="O234" s="600"/>
      <c r="P234" s="605">
        <v>750</v>
      </c>
      <c r="Q234" s="606">
        <v>1064</v>
      </c>
      <c r="R234" s="600"/>
      <c r="S234" s="600"/>
      <c r="T234" s="600"/>
      <c r="U234" s="602" t="s">
        <v>166</v>
      </c>
      <c r="V234" s="600" t="s">
        <v>947</v>
      </c>
      <c r="W234" s="600" t="s">
        <v>1842</v>
      </c>
      <c r="X234" s="600" t="s">
        <v>1002</v>
      </c>
      <c r="Y234" s="600" t="s">
        <v>1032</v>
      </c>
      <c r="Z234" s="600"/>
      <c r="AA234" s="604">
        <v>970</v>
      </c>
      <c r="AB234" s="604">
        <v>1</v>
      </c>
      <c r="AC234" s="604" t="s">
        <v>963</v>
      </c>
      <c r="AD234" s="601" t="s">
        <v>1064</v>
      </c>
      <c r="AE234" s="600"/>
      <c r="AF234" s="600"/>
      <c r="AG234" s="600"/>
      <c r="AH234" s="601" t="s">
        <v>2212</v>
      </c>
      <c r="AI234" s="600"/>
      <c r="AJ234" s="600"/>
      <c r="AK234" s="600"/>
      <c r="AL234" s="83"/>
    </row>
    <row r="235" spans="1:48" ht="15" customHeight="1">
      <c r="A235" s="615">
        <v>851033</v>
      </c>
      <c r="B235" s="607" t="s">
        <v>2340</v>
      </c>
      <c r="C235" s="608" t="s">
        <v>2213</v>
      </c>
      <c r="D235" s="607" t="s">
        <v>1019</v>
      </c>
      <c r="E235" s="607" t="s">
        <v>1158</v>
      </c>
      <c r="F235" s="608" t="s">
        <v>2213</v>
      </c>
      <c r="G235" s="607" t="s">
        <v>1019</v>
      </c>
      <c r="H235" s="609" t="s">
        <v>1158</v>
      </c>
      <c r="I235" s="608" t="s">
        <v>1064</v>
      </c>
      <c r="J235" s="610" t="s">
        <v>2158</v>
      </c>
      <c r="K235" s="607" t="s">
        <v>2179</v>
      </c>
      <c r="L235" s="611">
        <v>15</v>
      </c>
      <c r="M235" s="607"/>
      <c r="N235" s="607"/>
      <c r="O235" s="607"/>
      <c r="P235" s="612">
        <v>750</v>
      </c>
      <c r="Q235" s="613">
        <v>462</v>
      </c>
      <c r="R235" s="607"/>
      <c r="S235" s="607"/>
      <c r="T235" s="607"/>
      <c r="U235" s="609" t="s">
        <v>166</v>
      </c>
      <c r="V235" s="607" t="s">
        <v>947</v>
      </c>
      <c r="W235" s="607" t="s">
        <v>1842</v>
      </c>
      <c r="X235" s="607" t="s">
        <v>1002</v>
      </c>
      <c r="Y235" s="607" t="s">
        <v>1032</v>
      </c>
      <c r="Z235" s="607"/>
      <c r="AA235" s="611">
        <v>995</v>
      </c>
      <c r="AB235" s="611">
        <v>1</v>
      </c>
      <c r="AC235" s="611" t="s">
        <v>963</v>
      </c>
      <c r="AD235" s="608" t="s">
        <v>1064</v>
      </c>
      <c r="AE235" s="607"/>
      <c r="AF235" s="607"/>
      <c r="AG235" s="607"/>
      <c r="AH235" s="608" t="s">
        <v>2213</v>
      </c>
      <c r="AI235" s="607"/>
      <c r="AJ235" s="607"/>
      <c r="AK235" s="607"/>
      <c r="AL235" s="83"/>
    </row>
    <row r="236" spans="1:48" ht="15" customHeight="1">
      <c r="A236" s="614">
        <v>851034</v>
      </c>
      <c r="B236" s="600" t="s">
        <v>2341</v>
      </c>
      <c r="C236" s="601" t="s">
        <v>2214</v>
      </c>
      <c r="D236" s="600" t="s">
        <v>1019</v>
      </c>
      <c r="E236" s="600" t="s">
        <v>1158</v>
      </c>
      <c r="F236" s="601" t="s">
        <v>2214</v>
      </c>
      <c r="G236" s="600" t="s">
        <v>1019</v>
      </c>
      <c r="H236" s="602" t="s">
        <v>1158</v>
      </c>
      <c r="I236" s="601" t="s">
        <v>1064</v>
      </c>
      <c r="J236" s="603" t="s">
        <v>2158</v>
      </c>
      <c r="K236" s="600" t="s">
        <v>2179</v>
      </c>
      <c r="L236" s="604">
        <v>20</v>
      </c>
      <c r="M236" s="600"/>
      <c r="N236" s="600"/>
      <c r="O236" s="600"/>
      <c r="P236" s="605">
        <v>250</v>
      </c>
      <c r="Q236" s="606">
        <v>280</v>
      </c>
      <c r="R236" s="600"/>
      <c r="S236" s="600"/>
      <c r="T236" s="600"/>
      <c r="U236" s="602" t="s">
        <v>166</v>
      </c>
      <c r="V236" s="600" t="s">
        <v>947</v>
      </c>
      <c r="W236" s="600" t="s">
        <v>1842</v>
      </c>
      <c r="X236" s="600" t="s">
        <v>1002</v>
      </c>
      <c r="Y236" s="600" t="s">
        <v>1032</v>
      </c>
      <c r="Z236" s="600"/>
      <c r="AA236" s="604">
        <v>2050</v>
      </c>
      <c r="AB236" s="604">
        <v>1</v>
      </c>
      <c r="AC236" s="604" t="s">
        <v>963</v>
      </c>
      <c r="AD236" s="601" t="s">
        <v>1064</v>
      </c>
      <c r="AE236" s="600"/>
      <c r="AF236" s="600"/>
      <c r="AG236" s="600"/>
      <c r="AH236" s="601" t="s">
        <v>2214</v>
      </c>
      <c r="AI236" s="600"/>
      <c r="AJ236" s="600"/>
      <c r="AK236" s="600"/>
      <c r="AL236" s="83"/>
    </row>
    <row r="237" spans="1:48" ht="15" customHeight="1">
      <c r="A237" s="615">
        <v>851032</v>
      </c>
      <c r="B237" s="607" t="s">
        <v>2342</v>
      </c>
      <c r="C237" s="608" t="s">
        <v>2215</v>
      </c>
      <c r="D237" s="607" t="s">
        <v>1019</v>
      </c>
      <c r="E237" s="607" t="s">
        <v>1158</v>
      </c>
      <c r="F237" s="608" t="s">
        <v>2215</v>
      </c>
      <c r="G237" s="607" t="s">
        <v>1019</v>
      </c>
      <c r="H237" s="609" t="s">
        <v>1158</v>
      </c>
      <c r="I237" s="608" t="s">
        <v>1064</v>
      </c>
      <c r="J237" s="610" t="s">
        <v>2158</v>
      </c>
      <c r="K237" s="607" t="s">
        <v>2179</v>
      </c>
      <c r="L237" s="611">
        <v>20</v>
      </c>
      <c r="M237" s="607"/>
      <c r="N237" s="607"/>
      <c r="O237" s="607"/>
      <c r="P237" s="612">
        <v>780</v>
      </c>
      <c r="Q237" s="613">
        <v>787</v>
      </c>
      <c r="R237" s="607"/>
      <c r="S237" s="607"/>
      <c r="T237" s="607"/>
      <c r="U237" s="609" t="s">
        <v>166</v>
      </c>
      <c r="V237" s="607" t="s">
        <v>947</v>
      </c>
      <c r="W237" s="607" t="s">
        <v>1842</v>
      </c>
      <c r="X237" s="607" t="s">
        <v>1002</v>
      </c>
      <c r="Y237" s="607" t="s">
        <v>1032</v>
      </c>
      <c r="Z237" s="607"/>
      <c r="AA237" s="611">
        <v>970</v>
      </c>
      <c r="AB237" s="611">
        <v>1</v>
      </c>
      <c r="AC237" s="611" t="s">
        <v>963</v>
      </c>
      <c r="AD237" s="608" t="s">
        <v>1064</v>
      </c>
      <c r="AE237" s="607"/>
      <c r="AF237" s="607"/>
      <c r="AG237" s="607"/>
      <c r="AH237" s="608" t="s">
        <v>2215</v>
      </c>
      <c r="AI237" s="607"/>
      <c r="AJ237" s="607"/>
      <c r="AK237" s="607"/>
      <c r="AL237" s="83"/>
    </row>
    <row r="238" spans="1:48" ht="15" customHeight="1">
      <c r="A238" s="614">
        <v>851031</v>
      </c>
      <c r="B238" s="600" t="s">
        <v>2343</v>
      </c>
      <c r="C238" s="601" t="s">
        <v>2210</v>
      </c>
      <c r="D238" s="600" t="s">
        <v>1019</v>
      </c>
      <c r="E238" s="600" t="s">
        <v>1158</v>
      </c>
      <c r="F238" s="601" t="s">
        <v>2210</v>
      </c>
      <c r="G238" s="600" t="s">
        <v>1019</v>
      </c>
      <c r="H238" s="602" t="s">
        <v>1158</v>
      </c>
      <c r="I238" s="601" t="s">
        <v>1064</v>
      </c>
      <c r="J238" s="603" t="s">
        <v>2158</v>
      </c>
      <c r="K238" s="600" t="s">
        <v>2179</v>
      </c>
      <c r="L238" s="604">
        <v>15</v>
      </c>
      <c r="M238" s="600"/>
      <c r="N238" s="600"/>
      <c r="O238" s="600"/>
      <c r="P238" s="605">
        <v>525</v>
      </c>
      <c r="Q238" s="606">
        <v>676</v>
      </c>
      <c r="R238" s="600"/>
      <c r="S238" s="600"/>
      <c r="T238" s="600"/>
      <c r="U238" s="602" t="s">
        <v>166</v>
      </c>
      <c r="V238" s="600" t="s">
        <v>947</v>
      </c>
      <c r="W238" s="600" t="s">
        <v>1842</v>
      </c>
      <c r="X238" s="600" t="s">
        <v>1002</v>
      </c>
      <c r="Y238" s="600" t="s">
        <v>1032</v>
      </c>
      <c r="Z238" s="600"/>
      <c r="AA238" s="604">
        <v>662</v>
      </c>
      <c r="AB238" s="604">
        <v>1</v>
      </c>
      <c r="AC238" s="604" t="s">
        <v>963</v>
      </c>
      <c r="AD238" s="601" t="s">
        <v>1064</v>
      </c>
      <c r="AE238" s="600"/>
      <c r="AF238" s="600"/>
      <c r="AG238" s="600"/>
      <c r="AH238" s="601" t="s">
        <v>2210</v>
      </c>
      <c r="AI238" s="600"/>
      <c r="AJ238" s="600"/>
      <c r="AK238" s="600"/>
    </row>
    <row r="239" spans="1:48" ht="15" customHeight="1">
      <c r="A239" s="615">
        <v>851030</v>
      </c>
      <c r="B239" s="607" t="s">
        <v>2344</v>
      </c>
      <c r="C239" s="608" t="s">
        <v>2216</v>
      </c>
      <c r="D239" s="607" t="s">
        <v>1019</v>
      </c>
      <c r="E239" s="607" t="s">
        <v>1158</v>
      </c>
      <c r="F239" s="608" t="s">
        <v>2216</v>
      </c>
      <c r="G239" s="607" t="s">
        <v>1019</v>
      </c>
      <c r="H239" s="609" t="s">
        <v>1158</v>
      </c>
      <c r="I239" s="608" t="s">
        <v>1064</v>
      </c>
      <c r="J239" s="610" t="s">
        <v>2158</v>
      </c>
      <c r="K239" s="607" t="s">
        <v>2179</v>
      </c>
      <c r="L239" s="611">
        <v>10</v>
      </c>
      <c r="M239" s="607"/>
      <c r="N239" s="607"/>
      <c r="O239" s="607"/>
      <c r="P239" s="612">
        <v>50</v>
      </c>
      <c r="Q239" s="613">
        <v>106</v>
      </c>
      <c r="R239" s="607"/>
      <c r="S239" s="607"/>
      <c r="T239" s="607"/>
      <c r="U239" s="609" t="s">
        <v>166</v>
      </c>
      <c r="V239" s="607" t="s">
        <v>947</v>
      </c>
      <c r="W239" s="607" t="s">
        <v>1842</v>
      </c>
      <c r="X239" s="607" t="s">
        <v>1002</v>
      </c>
      <c r="Y239" s="607" t="s">
        <v>1032</v>
      </c>
      <c r="Z239" s="607"/>
      <c r="AA239" s="611">
        <v>234</v>
      </c>
      <c r="AB239" s="611">
        <v>1</v>
      </c>
      <c r="AC239" s="611" t="s">
        <v>963</v>
      </c>
      <c r="AD239" s="608" t="s">
        <v>1064</v>
      </c>
      <c r="AE239" s="607"/>
      <c r="AF239" s="607"/>
      <c r="AG239" s="607"/>
      <c r="AH239" s="608" t="s">
        <v>2216</v>
      </c>
      <c r="AI239" s="607"/>
      <c r="AJ239" s="607"/>
      <c r="AK239" s="607"/>
    </row>
    <row r="240" spans="1:48" ht="15" customHeight="1">
      <c r="A240" s="616">
        <v>851019</v>
      </c>
      <c r="B240" s="600" t="s">
        <v>2345</v>
      </c>
      <c r="C240" s="601" t="s">
        <v>2217</v>
      </c>
      <c r="D240" s="600" t="s">
        <v>1019</v>
      </c>
      <c r="E240" s="600" t="s">
        <v>962</v>
      </c>
      <c r="F240" s="601" t="s">
        <v>2217</v>
      </c>
      <c r="G240" s="600" t="s">
        <v>1019</v>
      </c>
      <c r="H240" s="602" t="s">
        <v>962</v>
      </c>
      <c r="I240" s="601" t="s">
        <v>1064</v>
      </c>
      <c r="J240" s="603" t="s">
        <v>2158</v>
      </c>
      <c r="K240" s="600" t="s">
        <v>2179</v>
      </c>
      <c r="L240" s="604">
        <v>12</v>
      </c>
      <c r="M240" s="600"/>
      <c r="N240" s="600"/>
      <c r="O240" s="600"/>
      <c r="P240" s="605">
        <v>250</v>
      </c>
      <c r="Q240" s="606">
        <v>9634.58</v>
      </c>
      <c r="R240" s="600"/>
      <c r="S240" s="600"/>
      <c r="T240" s="600"/>
      <c r="U240" s="602" t="s">
        <v>166</v>
      </c>
      <c r="V240" s="600" t="s">
        <v>947</v>
      </c>
      <c r="W240" s="600" t="s">
        <v>1842</v>
      </c>
      <c r="X240" s="600" t="s">
        <v>1002</v>
      </c>
      <c r="Y240" s="600" t="s">
        <v>1032</v>
      </c>
      <c r="Z240" s="600"/>
      <c r="AA240" s="604">
        <v>1000</v>
      </c>
      <c r="AB240" s="604">
        <v>1</v>
      </c>
      <c r="AC240" s="604" t="s">
        <v>962</v>
      </c>
      <c r="AD240" s="601" t="s">
        <v>1064</v>
      </c>
      <c r="AE240" s="600"/>
      <c r="AF240" s="600"/>
      <c r="AG240" s="600"/>
      <c r="AH240" s="601" t="s">
        <v>2217</v>
      </c>
      <c r="AI240" s="600"/>
      <c r="AJ240" s="600"/>
      <c r="AK240" s="600"/>
    </row>
    <row r="241" spans="1:37" ht="15" customHeight="1">
      <c r="A241" s="617">
        <v>851021</v>
      </c>
      <c r="B241" s="607" t="s">
        <v>2346</v>
      </c>
      <c r="C241" s="608" t="s">
        <v>2218</v>
      </c>
      <c r="D241" s="607" t="s">
        <v>1019</v>
      </c>
      <c r="E241" s="607" t="s">
        <v>1020</v>
      </c>
      <c r="F241" s="608" t="s">
        <v>2218</v>
      </c>
      <c r="G241" s="607" t="s">
        <v>1019</v>
      </c>
      <c r="H241" s="609" t="s">
        <v>1020</v>
      </c>
      <c r="I241" s="608" t="s">
        <v>1064</v>
      </c>
      <c r="J241" s="610" t="s">
        <v>2158</v>
      </c>
      <c r="K241" s="607" t="s">
        <v>2179</v>
      </c>
      <c r="L241" s="611">
        <v>12</v>
      </c>
      <c r="M241" s="607"/>
      <c r="N241" s="607"/>
      <c r="O241" s="607"/>
      <c r="P241" s="612">
        <v>50</v>
      </c>
      <c r="Q241" s="613">
        <v>148.88999999999999</v>
      </c>
      <c r="R241" s="607"/>
      <c r="S241" s="607"/>
      <c r="T241" s="607"/>
      <c r="U241" s="609" t="s">
        <v>166</v>
      </c>
      <c r="V241" s="607" t="s">
        <v>947</v>
      </c>
      <c r="W241" s="607" t="s">
        <v>1842</v>
      </c>
      <c r="X241" s="607" t="s">
        <v>1002</v>
      </c>
      <c r="Y241" s="607" t="s">
        <v>1032</v>
      </c>
      <c r="Z241" s="607"/>
      <c r="AA241" s="611">
        <v>60</v>
      </c>
      <c r="AB241" s="611">
        <v>1</v>
      </c>
      <c r="AC241" s="611" t="s">
        <v>1020</v>
      </c>
      <c r="AD241" s="608" t="s">
        <v>1064</v>
      </c>
      <c r="AE241" s="607"/>
      <c r="AF241" s="607"/>
      <c r="AG241" s="607"/>
      <c r="AH241" s="608" t="s">
        <v>2218</v>
      </c>
      <c r="AI241" s="607"/>
      <c r="AJ241" s="607"/>
      <c r="AK241" s="607"/>
    </row>
    <row r="242" spans="1:37" ht="15" customHeight="1">
      <c r="A242" s="614">
        <v>851038</v>
      </c>
      <c r="B242" s="600" t="s">
        <v>2347</v>
      </c>
      <c r="C242" s="601" t="s">
        <v>2219</v>
      </c>
      <c r="D242" s="600" t="s">
        <v>1019</v>
      </c>
      <c r="E242" s="600" t="s">
        <v>1067</v>
      </c>
      <c r="F242" s="601" t="s">
        <v>2219</v>
      </c>
      <c r="G242" s="600" t="s">
        <v>1019</v>
      </c>
      <c r="H242" s="602" t="s">
        <v>1067</v>
      </c>
      <c r="I242" s="601" t="s">
        <v>1064</v>
      </c>
      <c r="J242" s="603" t="s">
        <v>2158</v>
      </c>
      <c r="K242" s="600" t="s">
        <v>2179</v>
      </c>
      <c r="L242" s="604">
        <v>12</v>
      </c>
      <c r="M242" s="600"/>
      <c r="N242" s="600"/>
      <c r="O242" s="600"/>
      <c r="P242" s="605">
        <v>200</v>
      </c>
      <c r="Q242" s="606">
        <v>300.17</v>
      </c>
      <c r="R242" s="600"/>
      <c r="S242" s="600"/>
      <c r="T242" s="600"/>
      <c r="U242" s="602" t="s">
        <v>166</v>
      </c>
      <c r="V242" s="600" t="s">
        <v>947</v>
      </c>
      <c r="W242" s="600" t="s">
        <v>1842</v>
      </c>
      <c r="X242" s="600" t="s">
        <v>1002</v>
      </c>
      <c r="Y242" s="600" t="s">
        <v>1032</v>
      </c>
      <c r="Z242" s="600"/>
      <c r="AA242" s="604">
        <v>2374</v>
      </c>
      <c r="AB242" s="604">
        <v>1</v>
      </c>
      <c r="AC242" s="604" t="s">
        <v>1067</v>
      </c>
      <c r="AD242" s="601" t="s">
        <v>1064</v>
      </c>
      <c r="AE242" s="600"/>
      <c r="AF242" s="600"/>
      <c r="AG242" s="600"/>
      <c r="AH242" s="601" t="s">
        <v>2219</v>
      </c>
      <c r="AI242" s="600"/>
      <c r="AJ242" s="600"/>
      <c r="AK242" s="600"/>
    </row>
    <row r="243" spans="1:37" ht="15" customHeight="1">
      <c r="A243" s="615">
        <v>851036</v>
      </c>
      <c r="B243" s="607" t="s">
        <v>2348</v>
      </c>
      <c r="C243" s="608" t="s">
        <v>2220</v>
      </c>
      <c r="D243" s="607" t="s">
        <v>1019</v>
      </c>
      <c r="E243" s="607" t="s">
        <v>1070</v>
      </c>
      <c r="F243" s="608" t="s">
        <v>2220</v>
      </c>
      <c r="G243" s="607" t="s">
        <v>1019</v>
      </c>
      <c r="H243" s="609" t="s">
        <v>1070</v>
      </c>
      <c r="I243" s="608" t="s">
        <v>1064</v>
      </c>
      <c r="J243" s="610" t="s">
        <v>2158</v>
      </c>
      <c r="K243" s="607" t="s">
        <v>2179</v>
      </c>
      <c r="L243" s="611">
        <v>12</v>
      </c>
      <c r="M243" s="607"/>
      <c r="N243" s="607"/>
      <c r="O243" s="607"/>
      <c r="P243" s="612">
        <v>750</v>
      </c>
      <c r="Q243" s="613">
        <v>1256.1099999999999</v>
      </c>
      <c r="R243" s="607"/>
      <c r="S243" s="607"/>
      <c r="T243" s="607"/>
      <c r="U243" s="609" t="s">
        <v>166</v>
      </c>
      <c r="V243" s="607" t="s">
        <v>947</v>
      </c>
      <c r="W243" s="607" t="s">
        <v>1842</v>
      </c>
      <c r="X243" s="607" t="s">
        <v>1002</v>
      </c>
      <c r="Y243" s="607" t="s">
        <v>1032</v>
      </c>
      <c r="Z243" s="607"/>
      <c r="AA243" s="611">
        <v>2059</v>
      </c>
      <c r="AB243" s="611">
        <v>1</v>
      </c>
      <c r="AC243" s="611" t="s">
        <v>1070</v>
      </c>
      <c r="AD243" s="608" t="s">
        <v>1064</v>
      </c>
      <c r="AE243" s="607"/>
      <c r="AF243" s="607"/>
      <c r="AG243" s="607"/>
      <c r="AH243" s="608" t="s">
        <v>2220</v>
      </c>
      <c r="AI243" s="607"/>
      <c r="AJ243" s="607"/>
      <c r="AK243" s="607"/>
    </row>
    <row r="244" spans="1:37" ht="15" customHeight="1">
      <c r="A244" s="626">
        <v>851037</v>
      </c>
      <c r="B244" s="627" t="s">
        <v>2349</v>
      </c>
      <c r="C244" s="628" t="s">
        <v>2221</v>
      </c>
      <c r="D244" s="627" t="s">
        <v>1019</v>
      </c>
      <c r="E244" s="627" t="s">
        <v>1070</v>
      </c>
      <c r="F244" s="628" t="s">
        <v>2221</v>
      </c>
      <c r="G244" s="627" t="s">
        <v>1019</v>
      </c>
      <c r="H244" s="629" t="s">
        <v>1070</v>
      </c>
      <c r="I244" s="628" t="s">
        <v>1064</v>
      </c>
      <c r="J244" s="630" t="s">
        <v>2158</v>
      </c>
      <c r="K244" s="627" t="s">
        <v>2179</v>
      </c>
      <c r="L244" s="631">
        <v>12</v>
      </c>
      <c r="M244" s="627"/>
      <c r="N244" s="627"/>
      <c r="O244" s="627"/>
      <c r="P244" s="632">
        <v>800</v>
      </c>
      <c r="Q244" s="633">
        <v>1514.66</v>
      </c>
      <c r="R244" s="627"/>
      <c r="S244" s="627"/>
      <c r="T244" s="627"/>
      <c r="U244" s="629" t="s">
        <v>166</v>
      </c>
      <c r="V244" s="627" t="s">
        <v>947</v>
      </c>
      <c r="W244" s="627" t="s">
        <v>1842</v>
      </c>
      <c r="X244" s="627" t="s">
        <v>1002</v>
      </c>
      <c r="Y244" s="627" t="s">
        <v>1032</v>
      </c>
      <c r="Z244" s="627"/>
      <c r="AA244" s="631">
        <v>2059</v>
      </c>
      <c r="AB244" s="631">
        <v>1</v>
      </c>
      <c r="AC244" s="631" t="s">
        <v>1070</v>
      </c>
      <c r="AD244" s="628" t="s">
        <v>1064</v>
      </c>
      <c r="AE244" s="627"/>
      <c r="AF244" s="627"/>
      <c r="AG244" s="627"/>
      <c r="AH244" s="628" t="s">
        <v>2221</v>
      </c>
      <c r="AI244" s="627"/>
      <c r="AJ244" s="627"/>
      <c r="AK244" s="627"/>
    </row>
    <row r="245" spans="1:37" ht="15" customHeight="1"/>
    <row r="246" spans="1:37" ht="15" customHeight="1"/>
  </sheetData>
  <sheetProtection algorithmName="SHA-512" hashValue="mNFKjFvbWHh5YbQH+KMssjpfUzFoaNSs9beKtqepZAOaEC0+D14T4ufM4IPZ97DxTkB1QGYfOTH+NqNShbr/9Q==" saltValue="a7gTLaVk8trrDYADpe8u1A==" spinCount="100000" sheet="1" objects="1" scenarios="1"/>
  <phoneticPr fontId="150" type="noConversion"/>
  <pageMargins left="0.7" right="0.7" top="0.75" bottom="0.75" header="0.3" footer="0.3"/>
  <pageSetup orientation="portrait" r:id="rId1"/>
  <tableParts count="17">
    <tablePart r:id="rId2"/>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6">
    <tabColor theme="5"/>
  </sheetPr>
  <dimension ref="A1:AE95"/>
  <sheetViews>
    <sheetView zoomScale="70" zoomScaleNormal="70" workbookViewId="0">
      <selection activeCell="S43" sqref="S43"/>
    </sheetView>
  </sheetViews>
  <sheetFormatPr defaultRowHeight="14.25"/>
  <cols>
    <col min="1" max="1" width="10.5703125" style="188" customWidth="1"/>
    <col min="2" max="2" width="23.42578125" style="59" customWidth="1"/>
    <col min="3" max="3" width="40.42578125" style="59" bestFit="1" customWidth="1"/>
    <col min="4" max="4" width="13.85546875" style="59" customWidth="1"/>
    <col min="5" max="5" width="6.85546875" style="59" customWidth="1"/>
    <col min="6" max="6" width="33.5703125" style="59" bestFit="1" customWidth="1"/>
    <col min="7" max="7" width="28.28515625" style="59" bestFit="1" customWidth="1"/>
    <col min="8" max="8" width="28.7109375" style="59" bestFit="1" customWidth="1"/>
    <col min="9" max="9" width="11.140625" style="59" customWidth="1"/>
    <col min="10" max="10" width="6.140625" style="59" customWidth="1"/>
    <col min="11" max="11" width="13.28515625" style="59" customWidth="1"/>
    <col min="12" max="12" width="7" style="59" customWidth="1"/>
    <col min="13" max="13" width="8.5703125" style="59" customWidth="1"/>
    <col min="14" max="14" width="10.42578125" style="188" customWidth="1"/>
    <col min="15" max="15" width="30.7109375" style="59" bestFit="1" customWidth="1"/>
    <col min="16" max="17" width="29.28515625" style="59" customWidth="1"/>
    <col min="18" max="18" width="12.140625" style="59" customWidth="1"/>
    <col min="19" max="19" width="4.5703125" style="59" customWidth="1"/>
    <col min="20" max="20" width="26.85546875" style="59" bestFit="1" customWidth="1"/>
    <col min="21" max="21" width="24" style="59" bestFit="1" customWidth="1"/>
    <col min="22" max="22" width="16" style="59" hidden="1" customWidth="1"/>
    <col min="23" max="23" width="11" style="59" customWidth="1"/>
    <col min="24" max="24" width="6.7109375" style="59" customWidth="1"/>
    <col min="25" max="25" width="10.7109375" style="59" customWidth="1"/>
    <col min="26" max="26" width="8.85546875" style="59" customWidth="1"/>
    <col min="27" max="27" width="15.42578125" style="59" customWidth="1"/>
    <col min="28" max="28" width="14" style="59" customWidth="1"/>
    <col min="29" max="29" width="19.42578125" style="59" customWidth="1"/>
    <col min="30" max="30" width="35.140625" style="59" customWidth="1"/>
    <col min="31" max="31" width="14" style="59" customWidth="1"/>
    <col min="32" max="32" width="18.85546875" style="59" customWidth="1"/>
    <col min="33" max="33" width="22.85546875" style="59" customWidth="1"/>
    <col min="34" max="35" width="15.42578125" style="59" customWidth="1"/>
    <col min="36" max="36" width="7" style="59" customWidth="1"/>
    <col min="37" max="39" width="10.28515625" style="59" customWidth="1"/>
    <col min="40" max="40" width="14.28515625" style="59" customWidth="1"/>
    <col min="41" max="41" width="24" style="59" customWidth="1"/>
    <col min="42" max="42" width="10.85546875" style="59" customWidth="1"/>
    <col min="43" max="43" width="15.42578125" style="59" customWidth="1"/>
    <col min="44" max="44" width="6.5703125" style="59" customWidth="1"/>
    <col min="45" max="48" width="9.140625" style="59" customWidth="1"/>
    <col min="49" max="49" width="9.140625" style="59"/>
    <col min="50" max="50" width="24.28515625" style="59" bestFit="1" customWidth="1"/>
    <col min="51" max="51" width="37.7109375" style="59" bestFit="1" customWidth="1"/>
    <col min="52" max="52" width="24" style="59" bestFit="1" customWidth="1"/>
    <col min="53" max="53" width="12.85546875" style="59" customWidth="1"/>
    <col min="54" max="54" width="10.28515625" style="59" customWidth="1"/>
    <col min="55" max="55" width="9.5703125" style="59" bestFit="1" customWidth="1"/>
    <col min="56" max="56" width="14.5703125" style="59" customWidth="1"/>
    <col min="57" max="58" width="13.140625" style="59" customWidth="1"/>
    <col min="59" max="59" width="10.7109375" style="59" customWidth="1"/>
    <col min="60" max="60" width="11.42578125" style="59" customWidth="1"/>
    <col min="61" max="61" width="14.5703125" style="59" customWidth="1"/>
    <col min="62" max="62" width="12.42578125" style="59" customWidth="1"/>
    <col min="63" max="63" width="16.85546875" style="59" customWidth="1"/>
    <col min="64" max="64" width="25.7109375" style="59" bestFit="1" customWidth="1"/>
    <col min="65" max="16384" width="9.140625" style="59"/>
  </cols>
  <sheetData>
    <row r="1" spans="1:31" ht="75">
      <c r="A1" s="190" t="s">
        <v>141</v>
      </c>
      <c r="B1" s="189" t="s">
        <v>169</v>
      </c>
      <c r="C1" s="189" t="s">
        <v>170</v>
      </c>
      <c r="D1" s="189" t="s">
        <v>186</v>
      </c>
      <c r="E1" s="189" t="s">
        <v>220</v>
      </c>
      <c r="F1" s="191" t="s">
        <v>143</v>
      </c>
      <c r="G1" s="191" t="s">
        <v>584</v>
      </c>
      <c r="H1" s="191" t="s">
        <v>585</v>
      </c>
      <c r="I1" s="189" t="s">
        <v>146</v>
      </c>
      <c r="J1" s="189" t="s">
        <v>590</v>
      </c>
      <c r="K1" s="189" t="s">
        <v>726</v>
      </c>
      <c r="L1" s="189" t="s">
        <v>810</v>
      </c>
      <c r="N1" s="190" t="s">
        <v>141</v>
      </c>
      <c r="O1" s="189" t="s">
        <v>171</v>
      </c>
      <c r="P1" s="189" t="s">
        <v>172</v>
      </c>
      <c r="Q1" s="189" t="s">
        <v>1496</v>
      </c>
      <c r="R1" s="189" t="s">
        <v>187</v>
      </c>
      <c r="S1" s="189" t="s">
        <v>188</v>
      </c>
      <c r="T1" s="189" t="s">
        <v>143</v>
      </c>
      <c r="U1" s="189" t="s">
        <v>584</v>
      </c>
      <c r="V1" s="189" t="s">
        <v>585</v>
      </c>
      <c r="W1" s="189" t="s">
        <v>146</v>
      </c>
      <c r="X1" s="189" t="s">
        <v>590</v>
      </c>
      <c r="Y1" s="189" t="s">
        <v>726</v>
      </c>
      <c r="Z1" s="189" t="s">
        <v>810</v>
      </c>
      <c r="AA1" s="189"/>
      <c r="AC1" s="59" t="s">
        <v>1609</v>
      </c>
      <c r="AD1" s="59" t="s">
        <v>1611</v>
      </c>
    </row>
    <row r="2" spans="1:31">
      <c r="A2" s="390"/>
      <c r="B2" s="134" t="s">
        <v>1395</v>
      </c>
      <c r="C2" s="134"/>
      <c r="D2" s="134" t="s">
        <v>689</v>
      </c>
      <c r="E2" s="134"/>
      <c r="F2" s="134"/>
      <c r="G2" s="134"/>
      <c r="H2" s="134"/>
      <c r="I2" s="134" t="s">
        <v>157</v>
      </c>
      <c r="J2" s="134">
        <v>1</v>
      </c>
      <c r="K2" s="134"/>
      <c r="L2" s="134"/>
      <c r="N2" s="392"/>
      <c r="O2" s="134" t="s">
        <v>1396</v>
      </c>
      <c r="P2" s="134" t="s">
        <v>1396</v>
      </c>
      <c r="Q2" s="134" t="s">
        <v>1396</v>
      </c>
      <c r="R2" s="134" t="s">
        <v>689</v>
      </c>
      <c r="S2" s="393"/>
      <c r="T2" s="393"/>
      <c r="U2" s="393"/>
      <c r="V2" s="393"/>
      <c r="W2" s="393"/>
      <c r="X2" s="393">
        <v>1</v>
      </c>
      <c r="Y2" s="393"/>
      <c r="Z2" s="393"/>
      <c r="AC2" s="59">
        <v>0.2</v>
      </c>
      <c r="AD2" s="59">
        <v>1.31</v>
      </c>
    </row>
    <row r="3" spans="1:31">
      <c r="A3" s="134">
        <v>10</v>
      </c>
      <c r="B3" s="134" t="s">
        <v>591</v>
      </c>
      <c r="C3" s="134"/>
      <c r="D3" s="134" t="str">
        <f>""</f>
        <v/>
      </c>
      <c r="E3" s="134"/>
      <c r="F3" s="134" t="s">
        <v>654</v>
      </c>
      <c r="G3" s="134"/>
      <c r="H3" s="134"/>
      <c r="I3" s="134" t="s">
        <v>157</v>
      </c>
      <c r="J3" s="134">
        <v>2</v>
      </c>
      <c r="K3" s="134"/>
      <c r="L3" s="134"/>
      <c r="N3" s="134">
        <v>2310</v>
      </c>
      <c r="O3" s="134" t="s">
        <v>952</v>
      </c>
      <c r="P3" s="134"/>
      <c r="Q3" s="134" t="s">
        <v>952</v>
      </c>
      <c r="R3" s="134" t="str">
        <f>""</f>
        <v/>
      </c>
      <c r="S3" s="134"/>
      <c r="T3" s="134" t="s">
        <v>156</v>
      </c>
      <c r="U3" s="134"/>
      <c r="V3" s="134"/>
      <c r="W3" s="134" t="s">
        <v>157</v>
      </c>
      <c r="X3" s="134">
        <v>3</v>
      </c>
      <c r="Y3" s="134"/>
      <c r="Z3" s="393">
        <v>0.1</v>
      </c>
      <c r="AC3" s="59">
        <v>0.3</v>
      </c>
      <c r="AD3" s="59">
        <v>1.42</v>
      </c>
    </row>
    <row r="4" spans="1:31">
      <c r="A4" s="134">
        <v>10</v>
      </c>
      <c r="B4" s="134" t="s">
        <v>797</v>
      </c>
      <c r="C4" s="134"/>
      <c r="D4" s="134" t="str">
        <f>""</f>
        <v/>
      </c>
      <c r="E4" s="134"/>
      <c r="F4" s="134"/>
      <c r="G4" s="134"/>
      <c r="H4" s="134"/>
      <c r="I4" s="134" t="s">
        <v>157</v>
      </c>
      <c r="J4" s="134">
        <v>3</v>
      </c>
      <c r="K4" s="134"/>
      <c r="L4" s="134"/>
      <c r="N4" s="134">
        <v>2311</v>
      </c>
      <c r="O4" s="134" t="s">
        <v>951</v>
      </c>
      <c r="P4" s="134" t="s">
        <v>951</v>
      </c>
      <c r="Q4" s="134"/>
      <c r="R4" s="134" t="str">
        <f>""</f>
        <v/>
      </c>
      <c r="S4" s="134"/>
      <c r="T4" s="134" t="s">
        <v>156</v>
      </c>
      <c r="U4" s="134"/>
      <c r="V4" s="134"/>
      <c r="W4" s="134" t="s">
        <v>157</v>
      </c>
      <c r="X4" s="134">
        <v>4</v>
      </c>
      <c r="Y4" s="134"/>
      <c r="Z4" s="393">
        <v>0.1</v>
      </c>
      <c r="AC4" s="59">
        <v>0.4</v>
      </c>
      <c r="AD4" s="59">
        <v>1.28</v>
      </c>
    </row>
    <row r="5" spans="1:31">
      <c r="A5" s="134">
        <v>10</v>
      </c>
      <c r="B5" s="134" t="s">
        <v>592</v>
      </c>
      <c r="C5" s="134"/>
      <c r="D5" s="134" t="str">
        <f>""</f>
        <v/>
      </c>
      <c r="E5" s="134"/>
      <c r="F5" s="134" t="s">
        <v>655</v>
      </c>
      <c r="G5" s="134"/>
      <c r="H5" s="134"/>
      <c r="I5" s="134" t="s">
        <v>157</v>
      </c>
      <c r="J5" s="134">
        <v>4</v>
      </c>
      <c r="K5" s="134"/>
      <c r="L5" s="134"/>
      <c r="N5" s="390"/>
      <c r="O5" s="134"/>
      <c r="P5" s="134"/>
      <c r="Q5" s="134"/>
      <c r="R5" s="134"/>
      <c r="S5" s="134"/>
      <c r="T5" s="134"/>
      <c r="U5" s="134"/>
      <c r="V5" s="134"/>
      <c r="W5" s="134"/>
      <c r="X5" s="393"/>
      <c r="Y5" s="134"/>
      <c r="Z5" s="134"/>
      <c r="AC5" s="59" t="s">
        <v>1280</v>
      </c>
      <c r="AD5" s="59">
        <v>220</v>
      </c>
      <c r="AE5" s="59" t="s">
        <v>1612</v>
      </c>
    </row>
    <row r="6" spans="1:31">
      <c r="A6" s="391"/>
      <c r="B6" s="134" t="s">
        <v>1388</v>
      </c>
      <c r="C6" s="134"/>
      <c r="D6" s="134" t="s">
        <v>689</v>
      </c>
      <c r="E6" s="134"/>
      <c r="F6" s="134"/>
      <c r="G6" s="134"/>
      <c r="H6" s="134"/>
      <c r="I6" s="134" t="s">
        <v>157</v>
      </c>
      <c r="J6" s="134">
        <v>5</v>
      </c>
      <c r="K6" s="134"/>
      <c r="L6" s="134"/>
      <c r="N6" s="134"/>
      <c r="O6" s="134"/>
      <c r="P6" s="134"/>
      <c r="Q6" s="134"/>
      <c r="R6" s="134"/>
      <c r="S6" s="134"/>
      <c r="T6" s="134"/>
      <c r="U6" s="134"/>
      <c r="V6" s="134"/>
      <c r="W6" s="134"/>
      <c r="X6" s="393"/>
      <c r="Y6" s="134"/>
      <c r="Z6" s="393"/>
    </row>
    <row r="7" spans="1:31">
      <c r="A7" s="134">
        <v>10</v>
      </c>
      <c r="B7" s="134" t="s">
        <v>593</v>
      </c>
      <c r="C7" s="134" t="s">
        <v>1405</v>
      </c>
      <c r="D7" s="395">
        <v>28</v>
      </c>
      <c r="E7" s="134"/>
      <c r="F7" s="134" t="s">
        <v>168</v>
      </c>
      <c r="G7" s="134" t="s">
        <v>583</v>
      </c>
      <c r="H7" s="134" t="s">
        <v>586</v>
      </c>
      <c r="I7" s="134" t="s">
        <v>157</v>
      </c>
      <c r="J7" s="134">
        <v>6</v>
      </c>
      <c r="K7" s="134"/>
      <c r="L7" s="134"/>
      <c r="N7" s="134"/>
      <c r="O7" s="134"/>
      <c r="P7" s="134"/>
      <c r="Q7" s="134"/>
      <c r="R7" s="134"/>
      <c r="S7" s="134"/>
      <c r="T7" s="134"/>
      <c r="U7" s="134"/>
      <c r="V7" s="134"/>
      <c r="W7" s="134"/>
      <c r="X7" s="134"/>
      <c r="Y7" s="134"/>
      <c r="Z7" s="393"/>
    </row>
    <row r="8" spans="1:31">
      <c r="A8" s="134">
        <v>10</v>
      </c>
      <c r="B8" s="134" t="s">
        <v>594</v>
      </c>
      <c r="C8" s="134" t="s">
        <v>1406</v>
      </c>
      <c r="D8" s="395">
        <v>56</v>
      </c>
      <c r="E8" s="134"/>
      <c r="F8" s="134" t="s">
        <v>168</v>
      </c>
      <c r="G8" s="134" t="s">
        <v>583</v>
      </c>
      <c r="H8" s="134" t="s">
        <v>656</v>
      </c>
      <c r="I8" s="134" t="s">
        <v>157</v>
      </c>
      <c r="J8" s="134">
        <v>7</v>
      </c>
      <c r="K8" s="134"/>
      <c r="L8" s="134"/>
      <c r="N8" s="134"/>
      <c r="O8" s="134"/>
      <c r="P8" s="134"/>
      <c r="Q8" s="134"/>
      <c r="R8" s="134"/>
      <c r="S8" s="134"/>
      <c r="T8" s="134"/>
      <c r="U8" s="134"/>
      <c r="V8" s="134"/>
      <c r="W8" s="134"/>
      <c r="X8" s="134"/>
      <c r="Y8" s="134"/>
      <c r="Z8" s="393"/>
    </row>
    <row r="9" spans="1:31">
      <c r="A9" s="134">
        <v>10</v>
      </c>
      <c r="B9" s="134" t="s">
        <v>595</v>
      </c>
      <c r="C9" s="134" t="s">
        <v>1407</v>
      </c>
      <c r="D9" s="395">
        <v>37</v>
      </c>
      <c r="E9" s="134"/>
      <c r="F9" s="134" t="s">
        <v>168</v>
      </c>
      <c r="G9" s="134" t="s">
        <v>657</v>
      </c>
      <c r="H9" s="134" t="s">
        <v>586</v>
      </c>
      <c r="I9" s="134" t="s">
        <v>157</v>
      </c>
      <c r="J9" s="134">
        <v>8</v>
      </c>
      <c r="K9" s="134"/>
      <c r="L9" s="134"/>
      <c r="N9" s="134"/>
      <c r="O9" s="134"/>
      <c r="P9" s="134"/>
      <c r="Q9" s="134"/>
      <c r="R9" s="134"/>
      <c r="S9" s="134"/>
      <c r="T9" s="134"/>
      <c r="U9" s="134"/>
      <c r="V9" s="134"/>
      <c r="W9" s="134"/>
      <c r="X9" s="393"/>
      <c r="Y9" s="134"/>
      <c r="Z9" s="393"/>
    </row>
    <row r="10" spans="1:31">
      <c r="A10" s="134">
        <v>10</v>
      </c>
      <c r="B10" s="134" t="s">
        <v>596</v>
      </c>
      <c r="C10" s="134" t="s">
        <v>1408</v>
      </c>
      <c r="D10" s="395">
        <v>74</v>
      </c>
      <c r="E10" s="134"/>
      <c r="F10" s="134" t="s">
        <v>168</v>
      </c>
      <c r="G10" s="134" t="s">
        <v>657</v>
      </c>
      <c r="H10" s="134" t="s">
        <v>656</v>
      </c>
      <c r="I10" s="134" t="s">
        <v>157</v>
      </c>
      <c r="J10" s="134">
        <v>9</v>
      </c>
      <c r="K10" s="134"/>
      <c r="L10" s="134"/>
      <c r="N10" s="390"/>
      <c r="O10" s="134"/>
      <c r="P10" s="134"/>
      <c r="Q10" s="134"/>
      <c r="R10" s="134"/>
      <c r="S10" s="134"/>
      <c r="T10" s="134"/>
      <c r="U10" s="134"/>
      <c r="V10" s="134"/>
      <c r="W10" s="134"/>
      <c r="X10" s="134"/>
      <c r="Y10" s="134"/>
      <c r="Z10" s="134"/>
    </row>
    <row r="11" spans="1:31">
      <c r="A11" s="134">
        <v>10</v>
      </c>
      <c r="B11" s="134" t="s">
        <v>597</v>
      </c>
      <c r="C11" s="134" t="s">
        <v>1409</v>
      </c>
      <c r="D11" s="395">
        <v>40</v>
      </c>
      <c r="E11" s="134"/>
      <c r="F11" s="134" t="s">
        <v>168</v>
      </c>
      <c r="G11" s="134" t="s">
        <v>658</v>
      </c>
      <c r="H11" s="134" t="s">
        <v>586</v>
      </c>
      <c r="I11" s="134" t="s">
        <v>157</v>
      </c>
      <c r="J11" s="134">
        <v>10</v>
      </c>
      <c r="K11" s="134"/>
      <c r="L11" s="134"/>
      <c r="N11" s="134"/>
      <c r="O11" s="134"/>
      <c r="P11" s="134"/>
      <c r="Q11" s="134"/>
      <c r="R11" s="134"/>
      <c r="S11" s="134"/>
      <c r="T11" s="134"/>
      <c r="U11" s="134"/>
      <c r="V11" s="134"/>
      <c r="W11" s="134"/>
      <c r="X11" s="134"/>
      <c r="Y11" s="134"/>
      <c r="Z11" s="393"/>
    </row>
    <row r="12" spans="1:31">
      <c r="A12" s="134">
        <v>10</v>
      </c>
      <c r="B12" s="134" t="s">
        <v>598</v>
      </c>
      <c r="C12" s="134" t="s">
        <v>1410</v>
      </c>
      <c r="D12" s="395">
        <v>68</v>
      </c>
      <c r="E12" s="134"/>
      <c r="F12" s="134" t="s">
        <v>168</v>
      </c>
      <c r="G12" s="134" t="s">
        <v>658</v>
      </c>
      <c r="H12" s="134" t="s">
        <v>656</v>
      </c>
      <c r="I12" s="134" t="s">
        <v>157</v>
      </c>
      <c r="J12" s="134">
        <v>11</v>
      </c>
      <c r="K12" s="134"/>
      <c r="L12" s="134"/>
      <c r="N12" s="134"/>
      <c r="O12" s="134"/>
      <c r="P12" s="134"/>
      <c r="Q12" s="134"/>
      <c r="R12" s="134"/>
      <c r="S12" s="134"/>
      <c r="T12" s="134"/>
      <c r="U12" s="134"/>
      <c r="V12" s="134"/>
      <c r="W12" s="134"/>
      <c r="X12" s="134"/>
      <c r="Y12" s="134"/>
      <c r="Z12" s="393"/>
    </row>
    <row r="13" spans="1:31">
      <c r="A13" s="134">
        <v>10</v>
      </c>
      <c r="B13" s="134" t="s">
        <v>599</v>
      </c>
      <c r="C13" s="134" t="s">
        <v>1411</v>
      </c>
      <c r="D13" s="395">
        <v>110</v>
      </c>
      <c r="E13" s="134"/>
      <c r="F13" s="134" t="s">
        <v>168</v>
      </c>
      <c r="G13" s="134" t="s">
        <v>658</v>
      </c>
      <c r="H13" s="134" t="s">
        <v>659</v>
      </c>
      <c r="I13" s="134" t="s">
        <v>157</v>
      </c>
      <c r="J13" s="134">
        <v>12</v>
      </c>
      <c r="K13" s="134"/>
      <c r="L13" s="134"/>
      <c r="N13" s="390"/>
      <c r="O13" s="134"/>
      <c r="P13" s="134"/>
      <c r="Q13" s="134"/>
      <c r="R13" s="134"/>
      <c r="S13" s="134"/>
      <c r="T13" s="134"/>
      <c r="U13" s="134"/>
      <c r="V13" s="134"/>
      <c r="W13" s="134"/>
      <c r="X13" s="134"/>
      <c r="Y13" s="134"/>
      <c r="Z13" s="134"/>
    </row>
    <row r="14" spans="1:31">
      <c r="A14" s="134">
        <v>10</v>
      </c>
      <c r="B14" s="134" t="s">
        <v>600</v>
      </c>
      <c r="C14" s="134" t="s">
        <v>1412</v>
      </c>
      <c r="D14" s="395">
        <v>139</v>
      </c>
      <c r="E14" s="134"/>
      <c r="F14" s="134" t="s">
        <v>168</v>
      </c>
      <c r="G14" s="134" t="s">
        <v>658</v>
      </c>
      <c r="H14" s="134" t="s">
        <v>660</v>
      </c>
      <c r="I14" s="134" t="s">
        <v>157</v>
      </c>
      <c r="J14" s="134">
        <v>13</v>
      </c>
      <c r="K14" s="134"/>
      <c r="L14" s="134"/>
      <c r="N14" s="134"/>
      <c r="O14" s="134"/>
      <c r="P14" s="134"/>
      <c r="Q14" s="134"/>
      <c r="R14" s="134"/>
      <c r="S14" s="134"/>
      <c r="T14" s="134"/>
      <c r="U14" s="134"/>
      <c r="V14" s="134"/>
      <c r="W14" s="134"/>
      <c r="X14" s="134"/>
      <c r="Y14" s="134"/>
      <c r="Z14" s="393"/>
    </row>
    <row r="15" spans="1:31">
      <c r="A15" s="134">
        <v>10</v>
      </c>
      <c r="B15" s="134" t="s">
        <v>601</v>
      </c>
      <c r="C15" s="134" t="s">
        <v>1413</v>
      </c>
      <c r="D15" s="395">
        <v>91</v>
      </c>
      <c r="E15" s="134"/>
      <c r="F15" s="134" t="s">
        <v>168</v>
      </c>
      <c r="G15" s="134" t="s">
        <v>661</v>
      </c>
      <c r="H15" s="134" t="s">
        <v>586</v>
      </c>
      <c r="I15" s="134" t="s">
        <v>157</v>
      </c>
      <c r="J15" s="134">
        <v>14</v>
      </c>
      <c r="K15" s="134"/>
      <c r="L15" s="134"/>
      <c r="N15" s="134"/>
      <c r="O15" s="134"/>
      <c r="P15" s="134"/>
      <c r="Q15" s="134"/>
      <c r="R15" s="134"/>
      <c r="S15" s="134"/>
      <c r="T15" s="134"/>
      <c r="U15" s="134"/>
      <c r="V15" s="134"/>
      <c r="W15" s="134"/>
      <c r="X15" s="134"/>
      <c r="Y15" s="134"/>
      <c r="Z15" s="393"/>
    </row>
    <row r="16" spans="1:31">
      <c r="A16" s="134">
        <v>10</v>
      </c>
      <c r="B16" s="134" t="s">
        <v>602</v>
      </c>
      <c r="C16" s="134" t="s">
        <v>1414</v>
      </c>
      <c r="D16" s="395">
        <v>158</v>
      </c>
      <c r="E16" s="134"/>
      <c r="F16" s="134" t="s">
        <v>168</v>
      </c>
      <c r="G16" s="134" t="s">
        <v>661</v>
      </c>
      <c r="H16" s="134" t="s">
        <v>656</v>
      </c>
      <c r="I16" s="134" t="s">
        <v>157</v>
      </c>
      <c r="J16" s="134">
        <v>15</v>
      </c>
      <c r="K16" s="134"/>
      <c r="L16" s="134"/>
      <c r="N16" s="134"/>
      <c r="O16" s="134"/>
      <c r="P16" s="134"/>
      <c r="Q16" s="134"/>
      <c r="R16" s="134"/>
      <c r="S16" s="134"/>
      <c r="T16" s="134"/>
      <c r="U16" s="134"/>
      <c r="V16" s="134"/>
      <c r="W16" s="134"/>
      <c r="X16" s="393"/>
      <c r="Y16" s="134"/>
      <c r="Z16" s="393"/>
    </row>
    <row r="17" spans="1:26">
      <c r="A17" s="134">
        <v>10</v>
      </c>
      <c r="B17" s="134" t="s">
        <v>603</v>
      </c>
      <c r="C17" s="134" t="s">
        <v>1426</v>
      </c>
      <c r="D17" s="395">
        <v>237</v>
      </c>
      <c r="E17" s="134"/>
      <c r="F17" s="134" t="s">
        <v>168</v>
      </c>
      <c r="G17" s="134" t="s">
        <v>661</v>
      </c>
      <c r="H17" s="134" t="s">
        <v>659</v>
      </c>
      <c r="I17" s="134" t="s">
        <v>157</v>
      </c>
      <c r="J17" s="134">
        <v>16</v>
      </c>
      <c r="K17" s="134"/>
      <c r="L17" s="134"/>
      <c r="N17" s="134"/>
      <c r="O17" s="134"/>
      <c r="P17" s="134"/>
      <c r="Q17" s="134"/>
      <c r="R17" s="134"/>
      <c r="S17" s="134"/>
      <c r="T17" s="134"/>
      <c r="U17" s="134"/>
      <c r="V17" s="134"/>
      <c r="W17" s="134"/>
      <c r="X17" s="393"/>
      <c r="Y17" s="134"/>
      <c r="Z17" s="393"/>
    </row>
    <row r="18" spans="1:26">
      <c r="A18" s="134">
        <v>10</v>
      </c>
      <c r="B18" s="134" t="s">
        <v>604</v>
      </c>
      <c r="C18" s="134" t="s">
        <v>1415</v>
      </c>
      <c r="D18" s="395">
        <v>316</v>
      </c>
      <c r="E18" s="134"/>
      <c r="F18" s="134" t="s">
        <v>168</v>
      </c>
      <c r="G18" s="134" t="s">
        <v>661</v>
      </c>
      <c r="H18" s="134" t="s">
        <v>660</v>
      </c>
      <c r="I18" s="134" t="s">
        <v>157</v>
      </c>
      <c r="J18" s="134">
        <v>17</v>
      </c>
      <c r="K18" s="134"/>
      <c r="L18" s="134"/>
      <c r="N18" s="134"/>
      <c r="O18" s="134"/>
      <c r="P18" s="134"/>
      <c r="Q18" s="134"/>
      <c r="R18" s="134"/>
      <c r="S18" s="134"/>
      <c r="T18" s="134"/>
      <c r="U18" s="134"/>
      <c r="V18" s="134"/>
      <c r="W18" s="134"/>
      <c r="X18" s="393"/>
      <c r="Y18" s="134"/>
      <c r="Z18" s="393"/>
    </row>
    <row r="19" spans="1:26">
      <c r="A19" s="134">
        <v>10</v>
      </c>
      <c r="B19" s="134" t="s">
        <v>605</v>
      </c>
      <c r="C19" s="134" t="s">
        <v>1416</v>
      </c>
      <c r="D19" s="395">
        <v>104</v>
      </c>
      <c r="E19" s="134"/>
      <c r="F19" s="134" t="s">
        <v>662</v>
      </c>
      <c r="G19" s="134" t="s">
        <v>661</v>
      </c>
      <c r="H19" s="134" t="s">
        <v>586</v>
      </c>
      <c r="I19" s="134" t="s">
        <v>157</v>
      </c>
      <c r="J19" s="134">
        <v>18</v>
      </c>
      <c r="K19" s="134"/>
      <c r="L19" s="134"/>
    </row>
    <row r="20" spans="1:26">
      <c r="A20" s="134">
        <v>10</v>
      </c>
      <c r="B20" s="134" t="s">
        <v>606</v>
      </c>
      <c r="C20" s="134" t="s">
        <v>1417</v>
      </c>
      <c r="D20" s="395">
        <v>207</v>
      </c>
      <c r="E20" s="134"/>
      <c r="F20" s="134" t="s">
        <v>662</v>
      </c>
      <c r="G20" s="134" t="s">
        <v>661</v>
      </c>
      <c r="H20" s="134" t="s">
        <v>656</v>
      </c>
      <c r="I20" s="134" t="s">
        <v>157</v>
      </c>
      <c r="J20" s="134">
        <v>19</v>
      </c>
      <c r="K20" s="134"/>
      <c r="L20" s="134"/>
    </row>
    <row r="21" spans="1:26">
      <c r="A21" s="134">
        <v>10</v>
      </c>
      <c r="B21" s="134" t="s">
        <v>607</v>
      </c>
      <c r="C21" s="134" t="s">
        <v>1418</v>
      </c>
      <c r="D21" s="395">
        <v>311</v>
      </c>
      <c r="E21" s="134"/>
      <c r="F21" s="134" t="s">
        <v>662</v>
      </c>
      <c r="G21" s="134" t="s">
        <v>661</v>
      </c>
      <c r="H21" s="134" t="s">
        <v>659</v>
      </c>
      <c r="I21" s="134" t="s">
        <v>157</v>
      </c>
      <c r="J21" s="134">
        <v>20</v>
      </c>
      <c r="K21" s="134"/>
      <c r="L21" s="134"/>
    </row>
    <row r="22" spans="1:26">
      <c r="A22" s="134">
        <v>10</v>
      </c>
      <c r="B22" s="134" t="s">
        <v>608</v>
      </c>
      <c r="C22" s="134" t="s">
        <v>1419</v>
      </c>
      <c r="D22" s="395">
        <v>414</v>
      </c>
      <c r="E22" s="134"/>
      <c r="F22" s="134" t="s">
        <v>662</v>
      </c>
      <c r="G22" s="134" t="s">
        <v>661</v>
      </c>
      <c r="H22" s="134" t="s">
        <v>660</v>
      </c>
      <c r="I22" s="134" t="s">
        <v>157</v>
      </c>
      <c r="J22" s="134">
        <v>21</v>
      </c>
      <c r="K22" s="134"/>
      <c r="L22" s="134"/>
    </row>
    <row r="23" spans="1:26">
      <c r="A23" s="134">
        <v>10</v>
      </c>
      <c r="B23" s="134" t="s">
        <v>609</v>
      </c>
      <c r="C23" s="134" t="s">
        <v>1420</v>
      </c>
      <c r="D23" s="395">
        <v>205</v>
      </c>
      <c r="E23" s="134"/>
      <c r="F23" s="134" t="s">
        <v>663</v>
      </c>
      <c r="G23" s="134" t="s">
        <v>661</v>
      </c>
      <c r="H23" s="134" t="s">
        <v>586</v>
      </c>
      <c r="I23" s="134" t="s">
        <v>157</v>
      </c>
      <c r="J23" s="134">
        <v>22</v>
      </c>
      <c r="K23" s="134"/>
      <c r="L23" s="134"/>
    </row>
    <row r="24" spans="1:26">
      <c r="A24" s="134">
        <v>10</v>
      </c>
      <c r="B24" s="134" t="s">
        <v>610</v>
      </c>
      <c r="C24" s="134" t="s">
        <v>1421</v>
      </c>
      <c r="D24" s="395">
        <v>380</v>
      </c>
      <c r="E24" s="134"/>
      <c r="F24" s="134" t="s">
        <v>663</v>
      </c>
      <c r="G24" s="134" t="s">
        <v>661</v>
      </c>
      <c r="H24" s="134" t="s">
        <v>656</v>
      </c>
      <c r="I24" s="134" t="s">
        <v>157</v>
      </c>
      <c r="J24" s="134">
        <v>23</v>
      </c>
      <c r="K24" s="134"/>
      <c r="L24" s="134"/>
    </row>
    <row r="25" spans="1:26">
      <c r="A25" s="134">
        <v>10</v>
      </c>
      <c r="B25" s="134" t="s">
        <v>611</v>
      </c>
      <c r="C25" s="134" t="s">
        <v>1422</v>
      </c>
      <c r="D25" s="395">
        <v>585</v>
      </c>
      <c r="E25" s="134"/>
      <c r="F25" s="134" t="s">
        <v>663</v>
      </c>
      <c r="G25" s="134" t="s">
        <v>661</v>
      </c>
      <c r="H25" s="134" t="s">
        <v>659</v>
      </c>
      <c r="I25" s="134" t="s">
        <v>157</v>
      </c>
      <c r="J25" s="134">
        <v>24</v>
      </c>
      <c r="K25" s="134"/>
      <c r="L25" s="134"/>
    </row>
    <row r="26" spans="1:26">
      <c r="A26" s="134">
        <v>10</v>
      </c>
      <c r="B26" s="134" t="s">
        <v>587</v>
      </c>
      <c r="C26" s="134" t="s">
        <v>1423</v>
      </c>
      <c r="D26" s="395">
        <v>760</v>
      </c>
      <c r="E26" s="134"/>
      <c r="F26" s="134" t="s">
        <v>663</v>
      </c>
      <c r="G26" s="134" t="s">
        <v>661</v>
      </c>
      <c r="H26" s="134" t="s">
        <v>660</v>
      </c>
      <c r="I26" s="134" t="s">
        <v>157</v>
      </c>
      <c r="J26" s="134">
        <v>25</v>
      </c>
      <c r="K26" s="134"/>
      <c r="L26" s="134"/>
    </row>
    <row r="27" spans="1:26">
      <c r="A27" s="134">
        <v>10</v>
      </c>
      <c r="B27" s="134" t="s">
        <v>180</v>
      </c>
      <c r="C27" s="134" t="s">
        <v>1424</v>
      </c>
      <c r="D27" s="395">
        <v>43</v>
      </c>
      <c r="E27" s="134"/>
      <c r="F27" s="134" t="s">
        <v>168</v>
      </c>
      <c r="G27" s="134" t="s">
        <v>664</v>
      </c>
      <c r="H27" s="134" t="s">
        <v>586</v>
      </c>
      <c r="I27" s="134" t="s">
        <v>157</v>
      </c>
      <c r="J27" s="134">
        <v>26</v>
      </c>
      <c r="K27" s="134"/>
      <c r="L27" s="134"/>
    </row>
    <row r="28" spans="1:26">
      <c r="A28" s="134">
        <v>10</v>
      </c>
      <c r="B28" s="134" t="s">
        <v>181</v>
      </c>
      <c r="C28" s="134" t="s">
        <v>1425</v>
      </c>
      <c r="D28" s="395">
        <v>72</v>
      </c>
      <c r="E28" s="134"/>
      <c r="F28" s="134" t="s">
        <v>168</v>
      </c>
      <c r="G28" s="134" t="s">
        <v>664</v>
      </c>
      <c r="H28" s="134" t="s">
        <v>656</v>
      </c>
      <c r="I28" s="134" t="s">
        <v>157</v>
      </c>
      <c r="J28" s="134">
        <v>27</v>
      </c>
      <c r="K28" s="134"/>
      <c r="L28" s="134"/>
    </row>
    <row r="29" spans="1:26">
      <c r="A29" s="390"/>
      <c r="B29" s="134" t="s">
        <v>1389</v>
      </c>
      <c r="C29" s="134"/>
      <c r="D29" s="134" t="s">
        <v>689</v>
      </c>
      <c r="E29" s="134"/>
      <c r="F29" s="134"/>
      <c r="G29" s="134"/>
      <c r="H29" s="134"/>
      <c r="I29" s="134"/>
      <c r="J29" s="134">
        <v>28</v>
      </c>
      <c r="K29" s="134"/>
      <c r="L29" s="134"/>
    </row>
    <row r="30" spans="1:26">
      <c r="A30" s="134">
        <v>10</v>
      </c>
      <c r="B30" s="134" t="s">
        <v>612</v>
      </c>
      <c r="C30" s="134" t="s">
        <v>690</v>
      </c>
      <c r="D30" s="395">
        <v>16</v>
      </c>
      <c r="E30" s="134"/>
      <c r="F30" s="134" t="s">
        <v>159</v>
      </c>
      <c r="G30" s="134" t="s">
        <v>583</v>
      </c>
      <c r="H30" s="134" t="s">
        <v>586</v>
      </c>
      <c r="I30" s="134" t="s">
        <v>157</v>
      </c>
      <c r="J30" s="134">
        <v>29</v>
      </c>
      <c r="K30" s="134"/>
      <c r="L30" s="134"/>
    </row>
    <row r="31" spans="1:26">
      <c r="A31" s="134">
        <v>10</v>
      </c>
      <c r="B31" s="134" t="s">
        <v>613</v>
      </c>
      <c r="C31" s="134" t="s">
        <v>691</v>
      </c>
      <c r="D31" s="395">
        <v>32</v>
      </c>
      <c r="E31" s="134"/>
      <c r="F31" s="134" t="s">
        <v>159</v>
      </c>
      <c r="G31" s="134" t="s">
        <v>583</v>
      </c>
      <c r="H31" s="134" t="s">
        <v>656</v>
      </c>
      <c r="I31" s="134" t="s">
        <v>157</v>
      </c>
      <c r="J31" s="134">
        <v>30</v>
      </c>
      <c r="K31" s="134"/>
      <c r="L31" s="134"/>
    </row>
    <row r="32" spans="1:26">
      <c r="A32" s="134">
        <v>10</v>
      </c>
      <c r="B32" s="134" t="s">
        <v>614</v>
      </c>
      <c r="C32" s="134" t="s">
        <v>692</v>
      </c>
      <c r="D32" s="395">
        <v>23</v>
      </c>
      <c r="E32" s="134"/>
      <c r="F32" s="134" t="s">
        <v>159</v>
      </c>
      <c r="G32" s="134" t="s">
        <v>657</v>
      </c>
      <c r="H32" s="134" t="s">
        <v>586</v>
      </c>
      <c r="I32" s="134" t="s">
        <v>157</v>
      </c>
      <c r="J32" s="134">
        <v>31</v>
      </c>
      <c r="K32" s="134"/>
      <c r="L32" s="134"/>
    </row>
    <row r="33" spans="1:12">
      <c r="A33" s="134">
        <v>10</v>
      </c>
      <c r="B33" s="134" t="s">
        <v>615</v>
      </c>
      <c r="C33" s="134" t="s">
        <v>693</v>
      </c>
      <c r="D33" s="395">
        <v>46</v>
      </c>
      <c r="E33" s="134"/>
      <c r="F33" s="134" t="s">
        <v>159</v>
      </c>
      <c r="G33" s="134" t="s">
        <v>657</v>
      </c>
      <c r="H33" s="134" t="s">
        <v>656</v>
      </c>
      <c r="I33" s="134" t="s">
        <v>157</v>
      </c>
      <c r="J33" s="134">
        <v>32</v>
      </c>
      <c r="K33" s="134"/>
      <c r="L33" s="134"/>
    </row>
    <row r="34" spans="1:12">
      <c r="A34" s="134">
        <v>10</v>
      </c>
      <c r="B34" s="134" t="s">
        <v>616</v>
      </c>
      <c r="C34" s="134" t="s">
        <v>182</v>
      </c>
      <c r="D34" s="395">
        <v>32</v>
      </c>
      <c r="E34" s="134"/>
      <c r="F34" s="134" t="s">
        <v>159</v>
      </c>
      <c r="G34" s="134" t="s">
        <v>658</v>
      </c>
      <c r="H34" s="134" t="s">
        <v>586</v>
      </c>
      <c r="I34" s="134" t="s">
        <v>157</v>
      </c>
      <c r="J34" s="134">
        <v>33</v>
      </c>
      <c r="K34" s="134"/>
      <c r="L34" s="134"/>
    </row>
    <row r="35" spans="1:12">
      <c r="A35" s="134">
        <v>10</v>
      </c>
      <c r="B35" s="134" t="s">
        <v>617</v>
      </c>
      <c r="C35" s="134" t="s">
        <v>183</v>
      </c>
      <c r="D35" s="395">
        <v>59</v>
      </c>
      <c r="E35" s="134"/>
      <c r="F35" s="134" t="s">
        <v>159</v>
      </c>
      <c r="G35" s="134" t="s">
        <v>658</v>
      </c>
      <c r="H35" s="134" t="s">
        <v>656</v>
      </c>
      <c r="I35" s="134" t="s">
        <v>157</v>
      </c>
      <c r="J35" s="134">
        <v>34</v>
      </c>
      <c r="K35" s="134"/>
      <c r="L35" s="134"/>
    </row>
    <row r="36" spans="1:12">
      <c r="A36" s="134">
        <v>10</v>
      </c>
      <c r="B36" s="134" t="s">
        <v>618</v>
      </c>
      <c r="C36" s="134" t="s">
        <v>184</v>
      </c>
      <c r="D36" s="395">
        <v>88</v>
      </c>
      <c r="E36" s="134"/>
      <c r="F36" s="134" t="s">
        <v>159</v>
      </c>
      <c r="G36" s="134" t="s">
        <v>658</v>
      </c>
      <c r="H36" s="134" t="s">
        <v>659</v>
      </c>
      <c r="I36" s="134" t="s">
        <v>157</v>
      </c>
      <c r="J36" s="134">
        <v>35</v>
      </c>
      <c r="K36" s="134"/>
      <c r="L36" s="134"/>
    </row>
    <row r="37" spans="1:12">
      <c r="A37" s="134">
        <v>10</v>
      </c>
      <c r="B37" s="134" t="s">
        <v>619</v>
      </c>
      <c r="C37" s="134" t="s">
        <v>185</v>
      </c>
      <c r="D37" s="395">
        <v>114</v>
      </c>
      <c r="E37" s="134"/>
      <c r="F37" s="134" t="s">
        <v>159</v>
      </c>
      <c r="G37" s="134" t="s">
        <v>658</v>
      </c>
      <c r="H37" s="134" t="s">
        <v>660</v>
      </c>
      <c r="I37" s="134" t="s">
        <v>157</v>
      </c>
      <c r="J37" s="134">
        <v>36</v>
      </c>
      <c r="K37" s="134"/>
      <c r="L37" s="134"/>
    </row>
    <row r="38" spans="1:12">
      <c r="A38" s="134">
        <v>10</v>
      </c>
      <c r="B38" s="134" t="s">
        <v>1520</v>
      </c>
      <c r="C38" s="134" t="s">
        <v>1522</v>
      </c>
      <c r="D38" s="395">
        <v>175</v>
      </c>
      <c r="E38" s="134"/>
      <c r="F38" s="134" t="s">
        <v>159</v>
      </c>
      <c r="G38" s="134" t="s">
        <v>658</v>
      </c>
      <c r="H38" s="134" t="s">
        <v>1524</v>
      </c>
      <c r="I38" s="134" t="s">
        <v>157</v>
      </c>
      <c r="J38" s="134">
        <v>37</v>
      </c>
      <c r="K38" s="134"/>
      <c r="L38" s="134"/>
    </row>
    <row r="39" spans="1:12">
      <c r="A39" s="134">
        <v>10</v>
      </c>
      <c r="B39" s="134" t="s">
        <v>1521</v>
      </c>
      <c r="C39" s="134" t="s">
        <v>1523</v>
      </c>
      <c r="D39" s="395">
        <v>224</v>
      </c>
      <c r="E39" s="134"/>
      <c r="F39" s="134" t="s">
        <v>159</v>
      </c>
      <c r="G39" s="134" t="s">
        <v>658</v>
      </c>
      <c r="H39" s="134" t="s">
        <v>1525</v>
      </c>
      <c r="I39" s="134" t="s">
        <v>157</v>
      </c>
      <c r="J39" s="134">
        <v>38</v>
      </c>
      <c r="K39" s="134"/>
      <c r="L39" s="134"/>
    </row>
    <row r="40" spans="1:12">
      <c r="A40" s="134">
        <v>10</v>
      </c>
      <c r="B40" s="134" t="s">
        <v>1528</v>
      </c>
      <c r="C40" s="134" t="s">
        <v>1526</v>
      </c>
      <c r="D40" s="455">
        <v>338</v>
      </c>
      <c r="E40" s="454"/>
      <c r="F40" s="134" t="s">
        <v>159</v>
      </c>
      <c r="G40" s="134" t="s">
        <v>658</v>
      </c>
      <c r="H40" s="134" t="s">
        <v>1527</v>
      </c>
      <c r="I40" s="134" t="s">
        <v>157</v>
      </c>
      <c r="J40" s="134">
        <v>39</v>
      </c>
      <c r="K40" s="454"/>
      <c r="L40" s="454"/>
    </row>
    <row r="41" spans="1:12">
      <c r="A41" s="134">
        <v>10</v>
      </c>
      <c r="B41" s="134" t="s">
        <v>620</v>
      </c>
      <c r="C41" s="134" t="s">
        <v>694</v>
      </c>
      <c r="D41" s="395">
        <v>62</v>
      </c>
      <c r="E41" s="134"/>
      <c r="F41" s="134" t="s">
        <v>159</v>
      </c>
      <c r="G41" s="134" t="s">
        <v>661</v>
      </c>
      <c r="H41" s="134" t="s">
        <v>586</v>
      </c>
      <c r="I41" s="134" t="s">
        <v>157</v>
      </c>
      <c r="J41" s="134">
        <v>40</v>
      </c>
      <c r="K41" s="134"/>
      <c r="L41" s="134"/>
    </row>
    <row r="42" spans="1:12">
      <c r="A42" s="134">
        <v>10</v>
      </c>
      <c r="B42" s="134" t="s">
        <v>621</v>
      </c>
      <c r="C42" s="134" t="s">
        <v>695</v>
      </c>
      <c r="D42" s="395">
        <v>124</v>
      </c>
      <c r="E42" s="134"/>
      <c r="F42" s="134" t="s">
        <v>159</v>
      </c>
      <c r="G42" s="134" t="s">
        <v>661</v>
      </c>
      <c r="H42" s="134" t="s">
        <v>656</v>
      </c>
      <c r="I42" s="134" t="s">
        <v>157</v>
      </c>
      <c r="J42" s="134">
        <v>41</v>
      </c>
      <c r="K42" s="134"/>
      <c r="L42" s="134"/>
    </row>
    <row r="43" spans="1:12">
      <c r="A43" s="134">
        <v>10</v>
      </c>
      <c r="B43" s="134" t="s">
        <v>622</v>
      </c>
      <c r="C43" s="134" t="s">
        <v>696</v>
      </c>
      <c r="D43" s="395">
        <v>186</v>
      </c>
      <c r="E43" s="134"/>
      <c r="F43" s="134" t="s">
        <v>159</v>
      </c>
      <c r="G43" s="134" t="s">
        <v>661</v>
      </c>
      <c r="H43" s="134" t="s">
        <v>659</v>
      </c>
      <c r="I43" s="134" t="s">
        <v>157</v>
      </c>
      <c r="J43" s="134">
        <v>42</v>
      </c>
      <c r="K43" s="134"/>
      <c r="L43" s="134"/>
    </row>
    <row r="44" spans="1:12">
      <c r="A44" s="134">
        <v>10</v>
      </c>
      <c r="B44" s="134" t="s">
        <v>623</v>
      </c>
      <c r="C44" s="134" t="s">
        <v>697</v>
      </c>
      <c r="D44" s="395">
        <v>248</v>
      </c>
      <c r="E44" s="134"/>
      <c r="F44" s="134" t="s">
        <v>159</v>
      </c>
      <c r="G44" s="134" t="s">
        <v>661</v>
      </c>
      <c r="H44" s="134" t="s">
        <v>660</v>
      </c>
      <c r="I44" s="134" t="s">
        <v>157</v>
      </c>
      <c r="J44" s="134">
        <v>43</v>
      </c>
      <c r="K44" s="134"/>
      <c r="L44" s="134"/>
    </row>
    <row r="45" spans="1:12">
      <c r="A45" s="134">
        <v>10</v>
      </c>
      <c r="B45" s="134" t="s">
        <v>624</v>
      </c>
      <c r="C45" s="134" t="s">
        <v>698</v>
      </c>
      <c r="D45" s="395">
        <v>85</v>
      </c>
      <c r="E45" s="134"/>
      <c r="F45" s="134" t="s">
        <v>665</v>
      </c>
      <c r="G45" s="134" t="s">
        <v>661</v>
      </c>
      <c r="H45" s="134" t="s">
        <v>586</v>
      </c>
      <c r="I45" s="134" t="s">
        <v>157</v>
      </c>
      <c r="J45" s="134">
        <v>44</v>
      </c>
      <c r="K45" s="134"/>
      <c r="L45" s="134"/>
    </row>
    <row r="46" spans="1:12">
      <c r="A46" s="134">
        <v>10</v>
      </c>
      <c r="B46" s="134" t="s">
        <v>625</v>
      </c>
      <c r="C46" s="134" t="s">
        <v>699</v>
      </c>
      <c r="D46" s="395">
        <v>160</v>
      </c>
      <c r="E46" s="134"/>
      <c r="F46" s="134" t="s">
        <v>665</v>
      </c>
      <c r="G46" s="134" t="s">
        <v>661</v>
      </c>
      <c r="H46" s="134" t="s">
        <v>656</v>
      </c>
      <c r="I46" s="134" t="s">
        <v>157</v>
      </c>
      <c r="J46" s="134">
        <v>45</v>
      </c>
      <c r="K46" s="134"/>
      <c r="L46" s="134"/>
    </row>
    <row r="47" spans="1:12">
      <c r="A47" s="134">
        <v>10</v>
      </c>
      <c r="B47" s="134" t="s">
        <v>626</v>
      </c>
      <c r="C47" s="134" t="s">
        <v>700</v>
      </c>
      <c r="D47" s="134">
        <v>285</v>
      </c>
      <c r="E47" s="134"/>
      <c r="F47" s="134" t="s">
        <v>665</v>
      </c>
      <c r="G47" s="134" t="s">
        <v>661</v>
      </c>
      <c r="H47" s="134" t="s">
        <v>659</v>
      </c>
      <c r="I47" s="134" t="s">
        <v>157</v>
      </c>
      <c r="J47" s="134">
        <v>46</v>
      </c>
      <c r="K47" s="134"/>
      <c r="L47" s="134"/>
    </row>
    <row r="48" spans="1:12">
      <c r="A48" s="134">
        <v>10</v>
      </c>
      <c r="B48" s="134" t="s">
        <v>627</v>
      </c>
      <c r="C48" s="134" t="s">
        <v>701</v>
      </c>
      <c r="D48" s="395">
        <v>320</v>
      </c>
      <c r="E48" s="134"/>
      <c r="F48" s="134" t="s">
        <v>665</v>
      </c>
      <c r="G48" s="134" t="s">
        <v>661</v>
      </c>
      <c r="H48" s="134" t="s">
        <v>660</v>
      </c>
      <c r="I48" s="134" t="s">
        <v>157</v>
      </c>
      <c r="J48" s="134">
        <v>47</v>
      </c>
      <c r="K48" s="134"/>
      <c r="L48" s="134"/>
    </row>
    <row r="49" spans="1:12">
      <c r="A49" s="134">
        <v>10</v>
      </c>
      <c r="B49" s="134" t="s">
        <v>628</v>
      </c>
      <c r="C49" s="134" t="s">
        <v>702</v>
      </c>
      <c r="D49" s="395">
        <v>28</v>
      </c>
      <c r="E49" s="134"/>
      <c r="F49" s="134" t="s">
        <v>159</v>
      </c>
      <c r="G49" s="134" t="s">
        <v>664</v>
      </c>
      <c r="H49" s="134" t="s">
        <v>586</v>
      </c>
      <c r="I49" s="134" t="s">
        <v>157</v>
      </c>
      <c r="J49" s="134">
        <v>48</v>
      </c>
      <c r="K49" s="134"/>
      <c r="L49" s="134"/>
    </row>
    <row r="50" spans="1:12" ht="12.75" customHeight="1">
      <c r="A50" s="134">
        <v>10</v>
      </c>
      <c r="B50" s="134" t="s">
        <v>629</v>
      </c>
      <c r="C50" s="134" t="s">
        <v>703</v>
      </c>
      <c r="D50" s="395">
        <v>56</v>
      </c>
      <c r="E50" s="134"/>
      <c r="F50" s="134" t="s">
        <v>159</v>
      </c>
      <c r="G50" s="134" t="s">
        <v>664</v>
      </c>
      <c r="H50" s="134" t="s">
        <v>656</v>
      </c>
      <c r="I50" s="134" t="s">
        <v>157</v>
      </c>
      <c r="J50" s="134">
        <v>49</v>
      </c>
      <c r="K50" s="134"/>
      <c r="L50" s="134"/>
    </row>
    <row r="51" spans="1:12">
      <c r="A51" s="390"/>
      <c r="B51" s="134" t="s">
        <v>1390</v>
      </c>
      <c r="C51" s="134"/>
      <c r="D51" s="134" t="s">
        <v>689</v>
      </c>
      <c r="E51" s="134"/>
      <c r="F51" s="134"/>
      <c r="G51" s="134"/>
      <c r="H51" s="134"/>
      <c r="I51" s="134"/>
      <c r="J51" s="134">
        <v>50</v>
      </c>
      <c r="K51" s="134"/>
      <c r="L51" s="134"/>
    </row>
    <row r="52" spans="1:12">
      <c r="A52" s="134">
        <v>10</v>
      </c>
      <c r="B52" s="134" t="s">
        <v>798</v>
      </c>
      <c r="C52" s="134"/>
      <c r="D52" s="395">
        <v>32</v>
      </c>
      <c r="E52" s="134"/>
      <c r="F52" s="134" t="s">
        <v>158</v>
      </c>
      <c r="G52" s="134" t="s">
        <v>658</v>
      </c>
      <c r="H52" s="134" t="s">
        <v>586</v>
      </c>
      <c r="I52" s="134" t="s">
        <v>157</v>
      </c>
      <c r="J52" s="134">
        <v>51</v>
      </c>
      <c r="K52" s="134"/>
      <c r="L52" s="134"/>
    </row>
    <row r="53" spans="1:12">
      <c r="A53" s="134">
        <v>10</v>
      </c>
      <c r="B53" s="134" t="s">
        <v>799</v>
      </c>
      <c r="C53" s="134"/>
      <c r="D53" s="395">
        <v>64</v>
      </c>
      <c r="E53" s="134"/>
      <c r="F53" s="134" t="s">
        <v>158</v>
      </c>
      <c r="G53" s="134" t="s">
        <v>658</v>
      </c>
      <c r="H53" s="134" t="s">
        <v>656</v>
      </c>
      <c r="I53" s="134" t="s">
        <v>157</v>
      </c>
      <c r="J53" s="134">
        <v>52</v>
      </c>
      <c r="K53" s="134"/>
      <c r="L53" s="134"/>
    </row>
    <row r="54" spans="1:12">
      <c r="A54" s="134">
        <v>10</v>
      </c>
      <c r="B54" s="134" t="s">
        <v>800</v>
      </c>
      <c r="C54" s="134"/>
      <c r="D54" s="395">
        <v>128</v>
      </c>
      <c r="E54" s="134"/>
      <c r="F54" s="134" t="s">
        <v>158</v>
      </c>
      <c r="G54" s="134" t="s">
        <v>658</v>
      </c>
      <c r="H54" s="134" t="s">
        <v>660</v>
      </c>
      <c r="I54" s="134" t="s">
        <v>157</v>
      </c>
      <c r="J54" s="134">
        <v>53</v>
      </c>
      <c r="K54" s="134"/>
      <c r="L54" s="134"/>
    </row>
    <row r="55" spans="1:12">
      <c r="A55" s="134">
        <v>10</v>
      </c>
      <c r="B55" s="134" t="s">
        <v>801</v>
      </c>
      <c r="C55" s="134"/>
      <c r="D55" s="395">
        <v>192</v>
      </c>
      <c r="E55" s="134"/>
      <c r="F55" s="134" t="s">
        <v>158</v>
      </c>
      <c r="G55" s="134" t="s">
        <v>658</v>
      </c>
      <c r="H55" s="134" t="s">
        <v>666</v>
      </c>
      <c r="I55" s="134" t="s">
        <v>157</v>
      </c>
      <c r="J55" s="134">
        <v>54</v>
      </c>
      <c r="K55" s="134"/>
      <c r="L55" s="134"/>
    </row>
    <row r="56" spans="1:12">
      <c r="A56" s="134">
        <v>10</v>
      </c>
      <c r="B56" s="134" t="s">
        <v>727</v>
      </c>
      <c r="C56" s="134" t="s">
        <v>189</v>
      </c>
      <c r="D56" s="395">
        <v>62</v>
      </c>
      <c r="E56" s="134"/>
      <c r="F56" s="134" t="s">
        <v>733</v>
      </c>
      <c r="G56" s="134" t="s">
        <v>658</v>
      </c>
      <c r="H56" s="134" t="s">
        <v>586</v>
      </c>
      <c r="I56" s="134" t="s">
        <v>157</v>
      </c>
      <c r="J56" s="134">
        <v>55</v>
      </c>
      <c r="K56" s="134"/>
      <c r="L56" s="134"/>
    </row>
    <row r="57" spans="1:12">
      <c r="A57" s="134">
        <v>10</v>
      </c>
      <c r="B57" s="134" t="s">
        <v>728</v>
      </c>
      <c r="C57" s="134" t="s">
        <v>190</v>
      </c>
      <c r="D57" s="395">
        <v>117</v>
      </c>
      <c r="E57" s="134"/>
      <c r="F57" s="134" t="s">
        <v>733</v>
      </c>
      <c r="G57" s="134" t="s">
        <v>658</v>
      </c>
      <c r="H57" s="134" t="s">
        <v>656</v>
      </c>
      <c r="I57" s="134" t="s">
        <v>157</v>
      </c>
      <c r="J57" s="134">
        <v>56</v>
      </c>
      <c r="K57" s="134"/>
      <c r="L57" s="134"/>
    </row>
    <row r="58" spans="1:12">
      <c r="A58" s="134">
        <v>10</v>
      </c>
      <c r="B58" s="134" t="s">
        <v>729</v>
      </c>
      <c r="C58" s="134" t="s">
        <v>191</v>
      </c>
      <c r="D58" s="395">
        <v>240</v>
      </c>
      <c r="E58" s="134"/>
      <c r="F58" s="134" t="s">
        <v>733</v>
      </c>
      <c r="G58" s="134" t="s">
        <v>658</v>
      </c>
      <c r="H58" s="134" t="s">
        <v>660</v>
      </c>
      <c r="I58" s="134" t="s">
        <v>157</v>
      </c>
      <c r="J58" s="134">
        <v>57</v>
      </c>
      <c r="K58" s="134"/>
      <c r="L58" s="134"/>
    </row>
    <row r="59" spans="1:12">
      <c r="A59" s="134">
        <v>10</v>
      </c>
      <c r="B59" s="134" t="s">
        <v>730</v>
      </c>
      <c r="C59" s="134" t="s">
        <v>192</v>
      </c>
      <c r="D59" s="395">
        <v>360</v>
      </c>
      <c r="E59" s="134"/>
      <c r="F59" s="134" t="s">
        <v>733</v>
      </c>
      <c r="G59" s="134" t="s">
        <v>658</v>
      </c>
      <c r="H59" s="134" t="s">
        <v>666</v>
      </c>
      <c r="I59" s="134" t="s">
        <v>157</v>
      </c>
      <c r="J59" s="134">
        <v>58</v>
      </c>
      <c r="K59" s="134"/>
      <c r="L59" s="134"/>
    </row>
    <row r="60" spans="1:12">
      <c r="A60" s="134">
        <v>10</v>
      </c>
      <c r="B60" s="134" t="s">
        <v>731</v>
      </c>
      <c r="C60" s="134" t="s">
        <v>193</v>
      </c>
      <c r="D60" s="395">
        <v>468</v>
      </c>
      <c r="E60" s="134"/>
      <c r="F60" s="134" t="s">
        <v>733</v>
      </c>
      <c r="G60" s="134" t="s">
        <v>658</v>
      </c>
      <c r="H60" s="134" t="s">
        <v>667</v>
      </c>
      <c r="I60" s="134" t="s">
        <v>157</v>
      </c>
      <c r="J60" s="134">
        <v>59</v>
      </c>
      <c r="K60" s="134"/>
      <c r="L60" s="134"/>
    </row>
    <row r="61" spans="1:12">
      <c r="A61" s="134">
        <v>10</v>
      </c>
      <c r="B61" s="134" t="s">
        <v>732</v>
      </c>
      <c r="C61" s="134" t="s">
        <v>194</v>
      </c>
      <c r="D61" s="134">
        <v>577</v>
      </c>
      <c r="E61" s="134"/>
      <c r="F61" s="134" t="s">
        <v>733</v>
      </c>
      <c r="G61" s="134" t="s">
        <v>658</v>
      </c>
      <c r="H61" s="134" t="s">
        <v>668</v>
      </c>
      <c r="I61" s="134" t="s">
        <v>157</v>
      </c>
      <c r="J61" s="134">
        <v>60</v>
      </c>
      <c r="K61" s="134"/>
      <c r="L61" s="134"/>
    </row>
    <row r="62" spans="1:12">
      <c r="A62" s="390"/>
      <c r="B62" s="134" t="s">
        <v>1392</v>
      </c>
      <c r="C62" s="134"/>
      <c r="D62" s="134" t="s">
        <v>689</v>
      </c>
      <c r="E62" s="134"/>
      <c r="F62" s="134"/>
      <c r="G62" s="134"/>
      <c r="H62" s="134"/>
      <c r="I62" s="134"/>
      <c r="J62" s="134">
        <v>61</v>
      </c>
      <c r="K62" s="134"/>
      <c r="L62" s="134"/>
    </row>
    <row r="63" spans="1:12">
      <c r="A63" s="134">
        <v>10</v>
      </c>
      <c r="B63" s="134" t="s">
        <v>630</v>
      </c>
      <c r="C63" s="134" t="s">
        <v>720</v>
      </c>
      <c r="D63" s="395">
        <v>94</v>
      </c>
      <c r="E63" s="134"/>
      <c r="F63" s="134" t="s">
        <v>669</v>
      </c>
      <c r="G63" s="134" t="s">
        <v>670</v>
      </c>
      <c r="H63" s="134"/>
      <c r="I63" s="134" t="s">
        <v>157</v>
      </c>
      <c r="J63" s="134">
        <v>62</v>
      </c>
      <c r="K63" s="134"/>
      <c r="L63" s="134"/>
    </row>
    <row r="64" spans="1:12">
      <c r="A64" s="134">
        <v>10</v>
      </c>
      <c r="B64" s="134" t="s">
        <v>631</v>
      </c>
      <c r="C64" s="134" t="s">
        <v>721</v>
      </c>
      <c r="D64" s="395">
        <v>127</v>
      </c>
      <c r="E64" s="134"/>
      <c r="F64" s="134" t="s">
        <v>669</v>
      </c>
      <c r="G64" s="134" t="s">
        <v>671</v>
      </c>
      <c r="H64" s="134"/>
      <c r="I64" s="134" t="s">
        <v>157</v>
      </c>
      <c r="J64" s="134">
        <v>63</v>
      </c>
      <c r="K64" s="134"/>
      <c r="L64" s="134"/>
    </row>
    <row r="65" spans="1:12">
      <c r="A65" s="134">
        <v>10</v>
      </c>
      <c r="B65" s="134" t="s">
        <v>632</v>
      </c>
      <c r="C65" s="134" t="s">
        <v>722</v>
      </c>
      <c r="D65" s="395">
        <v>210</v>
      </c>
      <c r="E65" s="134"/>
      <c r="F65" s="134" t="s">
        <v>669</v>
      </c>
      <c r="G65" s="134" t="s">
        <v>672</v>
      </c>
      <c r="H65" s="134"/>
      <c r="I65" s="134" t="s">
        <v>157</v>
      </c>
      <c r="J65" s="134">
        <v>64</v>
      </c>
      <c r="K65" s="134"/>
      <c r="L65" s="134"/>
    </row>
    <row r="66" spans="1:12">
      <c r="A66" s="134">
        <v>10</v>
      </c>
      <c r="B66" s="134" t="s">
        <v>633</v>
      </c>
      <c r="C66" s="134" t="s">
        <v>723</v>
      </c>
      <c r="D66" s="395">
        <v>295</v>
      </c>
      <c r="E66" s="134"/>
      <c r="F66" s="134" t="s">
        <v>669</v>
      </c>
      <c r="G66" s="134" t="s">
        <v>673</v>
      </c>
      <c r="H66" s="134"/>
      <c r="I66" s="134" t="s">
        <v>157</v>
      </c>
      <c r="J66" s="134">
        <v>65</v>
      </c>
      <c r="K66" s="134"/>
      <c r="L66" s="134"/>
    </row>
    <row r="67" spans="1:12">
      <c r="A67" s="134">
        <v>10</v>
      </c>
      <c r="B67" s="134" t="s">
        <v>634</v>
      </c>
      <c r="C67" s="134" t="s">
        <v>724</v>
      </c>
      <c r="D67" s="395">
        <v>458</v>
      </c>
      <c r="E67" s="134"/>
      <c r="F67" s="134" t="s">
        <v>669</v>
      </c>
      <c r="G67" s="134" t="s">
        <v>674</v>
      </c>
      <c r="H67" s="134"/>
      <c r="I67" s="134" t="s">
        <v>157</v>
      </c>
      <c r="J67" s="134">
        <v>66</v>
      </c>
      <c r="K67" s="134"/>
      <c r="L67" s="134"/>
    </row>
    <row r="68" spans="1:12">
      <c r="A68" s="134">
        <v>10</v>
      </c>
      <c r="B68" s="134" t="s">
        <v>635</v>
      </c>
      <c r="C68" s="134" t="s">
        <v>725</v>
      </c>
      <c r="D68" s="395">
        <v>1080</v>
      </c>
      <c r="E68" s="134"/>
      <c r="F68" s="134" t="s">
        <v>669</v>
      </c>
      <c r="G68" s="134" t="s">
        <v>675</v>
      </c>
      <c r="H68" s="134"/>
      <c r="I68" s="134" t="s">
        <v>157</v>
      </c>
      <c r="J68" s="134">
        <v>67</v>
      </c>
      <c r="K68" s="134"/>
      <c r="L68" s="134"/>
    </row>
    <row r="69" spans="1:12">
      <c r="A69" s="134">
        <v>10</v>
      </c>
      <c r="B69" s="134" t="s">
        <v>589</v>
      </c>
      <c r="C69" s="134"/>
      <c r="D69" s="395">
        <v>232</v>
      </c>
      <c r="E69" s="134"/>
      <c r="F69" s="134" t="s">
        <v>676</v>
      </c>
      <c r="G69" s="134" t="s">
        <v>677</v>
      </c>
      <c r="H69" s="134"/>
      <c r="I69" s="134" t="s">
        <v>157</v>
      </c>
      <c r="J69" s="134">
        <v>68</v>
      </c>
      <c r="K69" s="134"/>
      <c r="L69" s="134"/>
    </row>
    <row r="70" spans="1:12">
      <c r="A70" s="134">
        <v>10</v>
      </c>
      <c r="B70" s="134" t="s">
        <v>636</v>
      </c>
      <c r="C70" s="134"/>
      <c r="D70" s="134">
        <v>350</v>
      </c>
      <c r="E70" s="134"/>
      <c r="F70" s="134" t="s">
        <v>676</v>
      </c>
      <c r="G70" s="134" t="s">
        <v>678</v>
      </c>
      <c r="H70" s="134"/>
      <c r="I70" s="134" t="s">
        <v>157</v>
      </c>
      <c r="J70" s="134">
        <v>69</v>
      </c>
      <c r="K70" s="134"/>
      <c r="L70" s="134"/>
    </row>
    <row r="71" spans="1:12">
      <c r="A71" s="134">
        <v>10</v>
      </c>
      <c r="B71" s="134" t="s">
        <v>637</v>
      </c>
      <c r="C71" s="134"/>
      <c r="D71" s="395">
        <v>456</v>
      </c>
      <c r="E71" s="134"/>
      <c r="F71" s="134" t="s">
        <v>676</v>
      </c>
      <c r="G71" s="134" t="s">
        <v>674</v>
      </c>
      <c r="H71" s="134"/>
      <c r="I71" s="134" t="s">
        <v>157</v>
      </c>
      <c r="J71" s="134">
        <v>70</v>
      </c>
      <c r="K71" s="134"/>
      <c r="L71" s="134"/>
    </row>
    <row r="72" spans="1:12">
      <c r="A72" s="390"/>
      <c r="B72" s="134" t="s">
        <v>1393</v>
      </c>
      <c r="C72" s="134"/>
      <c r="D72" s="134" t="s">
        <v>689</v>
      </c>
      <c r="E72" s="134"/>
      <c r="F72" s="134"/>
      <c r="G72" s="134"/>
      <c r="H72" s="134"/>
      <c r="I72" s="134"/>
      <c r="J72" s="134">
        <v>71</v>
      </c>
      <c r="K72" s="134"/>
      <c r="L72" s="134"/>
    </row>
    <row r="73" spans="1:12">
      <c r="A73" s="134">
        <v>10</v>
      </c>
      <c r="B73" s="134" t="s">
        <v>638</v>
      </c>
      <c r="C73" s="134" t="s">
        <v>711</v>
      </c>
      <c r="D73" s="134">
        <v>46</v>
      </c>
      <c r="E73" s="134"/>
      <c r="F73" s="134" t="s">
        <v>679</v>
      </c>
      <c r="G73" s="134" t="s">
        <v>680</v>
      </c>
      <c r="H73" s="134"/>
      <c r="I73" s="134" t="s">
        <v>157</v>
      </c>
      <c r="J73" s="134">
        <v>72</v>
      </c>
      <c r="K73" s="134"/>
      <c r="L73" s="134"/>
    </row>
    <row r="74" spans="1:12">
      <c r="A74" s="134">
        <v>10</v>
      </c>
      <c r="B74" s="134" t="s">
        <v>639</v>
      </c>
      <c r="C74" s="134" t="s">
        <v>712</v>
      </c>
      <c r="D74" s="395">
        <v>66</v>
      </c>
      <c r="E74" s="134"/>
      <c r="F74" s="134" t="s">
        <v>679</v>
      </c>
      <c r="G74" s="134" t="s">
        <v>681</v>
      </c>
      <c r="H74" s="134"/>
      <c r="I74" s="134" t="s">
        <v>157</v>
      </c>
      <c r="J74" s="134">
        <v>73</v>
      </c>
      <c r="K74" s="134"/>
      <c r="L74" s="134"/>
    </row>
    <row r="75" spans="1:12">
      <c r="A75" s="134">
        <v>10</v>
      </c>
      <c r="B75" s="134" t="s">
        <v>640</v>
      </c>
      <c r="C75" s="134" t="s">
        <v>713</v>
      </c>
      <c r="D75" s="395">
        <v>95</v>
      </c>
      <c r="E75" s="134"/>
      <c r="F75" s="134" t="s">
        <v>679</v>
      </c>
      <c r="G75" s="134" t="s">
        <v>682</v>
      </c>
      <c r="H75" s="134"/>
      <c r="I75" s="134" t="s">
        <v>157</v>
      </c>
      <c r="J75" s="134">
        <v>74</v>
      </c>
      <c r="K75" s="134"/>
      <c r="L75" s="134"/>
    </row>
    <row r="76" spans="1:12">
      <c r="A76" s="134">
        <v>10</v>
      </c>
      <c r="B76" s="134" t="s">
        <v>641</v>
      </c>
      <c r="C76" s="134" t="s">
        <v>714</v>
      </c>
      <c r="D76" s="395">
        <v>138</v>
      </c>
      <c r="E76" s="134"/>
      <c r="F76" s="134" t="s">
        <v>679</v>
      </c>
      <c r="G76" s="134" t="s">
        <v>671</v>
      </c>
      <c r="H76" s="134"/>
      <c r="I76" s="134" t="s">
        <v>157</v>
      </c>
      <c r="J76" s="134">
        <v>75</v>
      </c>
      <c r="K76" s="134"/>
      <c r="L76" s="134"/>
    </row>
    <row r="77" spans="1:12">
      <c r="A77" s="134">
        <v>10</v>
      </c>
      <c r="B77" s="134" t="s">
        <v>642</v>
      </c>
      <c r="C77" s="134" t="s">
        <v>715</v>
      </c>
      <c r="D77" s="395">
        <v>188</v>
      </c>
      <c r="E77" s="134"/>
      <c r="F77" s="134" t="s">
        <v>679</v>
      </c>
      <c r="G77" s="134" t="s">
        <v>683</v>
      </c>
      <c r="H77" s="134"/>
      <c r="I77" s="134" t="s">
        <v>157</v>
      </c>
      <c r="J77" s="134">
        <v>76</v>
      </c>
      <c r="K77" s="134"/>
      <c r="L77" s="134"/>
    </row>
    <row r="78" spans="1:12">
      <c r="A78" s="134">
        <v>10</v>
      </c>
      <c r="B78" s="134" t="s">
        <v>643</v>
      </c>
      <c r="C78" s="134" t="s">
        <v>716</v>
      </c>
      <c r="D78" s="395">
        <v>250</v>
      </c>
      <c r="E78" s="134"/>
      <c r="F78" s="134" t="s">
        <v>679</v>
      </c>
      <c r="G78" s="134" t="s">
        <v>677</v>
      </c>
      <c r="H78" s="134"/>
      <c r="I78" s="134" t="s">
        <v>157</v>
      </c>
      <c r="J78" s="134">
        <v>77</v>
      </c>
      <c r="K78" s="134"/>
      <c r="L78" s="134"/>
    </row>
    <row r="79" spans="1:12">
      <c r="A79" s="134">
        <v>10</v>
      </c>
      <c r="B79" s="134" t="s">
        <v>644</v>
      </c>
      <c r="C79" s="134" t="s">
        <v>717</v>
      </c>
      <c r="D79" s="395">
        <v>295</v>
      </c>
      <c r="E79" s="134"/>
      <c r="F79" s="134" t="s">
        <v>679</v>
      </c>
      <c r="G79" s="134" t="s">
        <v>673</v>
      </c>
      <c r="H79" s="134"/>
      <c r="I79" s="134" t="s">
        <v>157</v>
      </c>
      <c r="J79" s="134">
        <v>78</v>
      </c>
      <c r="K79" s="134"/>
      <c r="L79" s="134"/>
    </row>
    <row r="80" spans="1:12">
      <c r="A80" s="134">
        <v>10</v>
      </c>
      <c r="B80" s="134" t="s">
        <v>645</v>
      </c>
      <c r="C80" s="134" t="s">
        <v>718</v>
      </c>
      <c r="D80" s="395">
        <v>465</v>
      </c>
      <c r="E80" s="134"/>
      <c r="F80" s="134" t="s">
        <v>679</v>
      </c>
      <c r="G80" s="134" t="s">
        <v>674</v>
      </c>
      <c r="H80" s="134"/>
      <c r="I80" s="134" t="s">
        <v>157</v>
      </c>
      <c r="J80" s="134">
        <v>79</v>
      </c>
      <c r="K80" s="134"/>
      <c r="L80" s="134"/>
    </row>
    <row r="81" spans="1:12">
      <c r="A81" s="134">
        <v>10</v>
      </c>
      <c r="B81" s="134" t="s">
        <v>646</v>
      </c>
      <c r="C81" s="134" t="s">
        <v>719</v>
      </c>
      <c r="D81" s="395">
        <v>1100</v>
      </c>
      <c r="E81" s="134"/>
      <c r="F81" s="134" t="s">
        <v>679</v>
      </c>
      <c r="G81" s="134" t="s">
        <v>675</v>
      </c>
      <c r="H81" s="134"/>
      <c r="I81" s="134" t="s">
        <v>157</v>
      </c>
      <c r="J81" s="134">
        <v>80</v>
      </c>
      <c r="K81" s="134"/>
      <c r="L81" s="134"/>
    </row>
    <row r="82" spans="1:12">
      <c r="A82" s="390"/>
      <c r="B82" s="134" t="s">
        <v>1391</v>
      </c>
      <c r="C82" s="134"/>
      <c r="D82" s="134" t="s">
        <v>689</v>
      </c>
      <c r="E82" s="134"/>
      <c r="F82" s="134"/>
      <c r="G82" s="134"/>
      <c r="H82" s="134"/>
      <c r="I82" s="134" t="s">
        <v>157</v>
      </c>
      <c r="J82" s="134">
        <v>81</v>
      </c>
      <c r="K82" s="134"/>
      <c r="L82" s="134"/>
    </row>
    <row r="83" spans="1:12">
      <c r="A83" s="134">
        <v>10</v>
      </c>
      <c r="B83" s="134" t="s">
        <v>647</v>
      </c>
      <c r="C83" s="134" t="s">
        <v>704</v>
      </c>
      <c r="D83" s="134">
        <v>50</v>
      </c>
      <c r="E83" s="134"/>
      <c r="F83" s="134" t="s">
        <v>684</v>
      </c>
      <c r="G83" s="134" t="s">
        <v>685</v>
      </c>
      <c r="H83" s="134"/>
      <c r="I83" s="134" t="s">
        <v>157</v>
      </c>
      <c r="J83" s="134">
        <v>82</v>
      </c>
      <c r="K83" s="134"/>
      <c r="L83" s="134"/>
    </row>
    <row r="84" spans="1:12">
      <c r="A84" s="134">
        <v>10</v>
      </c>
      <c r="B84" s="134" t="s">
        <v>648</v>
      </c>
      <c r="C84" s="134" t="s">
        <v>705</v>
      </c>
      <c r="D84" s="395">
        <v>74</v>
      </c>
      <c r="E84" s="134"/>
      <c r="F84" s="134" t="s">
        <v>684</v>
      </c>
      <c r="G84" s="134" t="s">
        <v>681</v>
      </c>
      <c r="H84" s="134"/>
      <c r="I84" s="134" t="s">
        <v>157</v>
      </c>
      <c r="J84" s="134">
        <v>83</v>
      </c>
      <c r="K84" s="134"/>
      <c r="L84" s="134"/>
    </row>
    <row r="85" spans="1:12">
      <c r="A85" s="134">
        <v>10</v>
      </c>
      <c r="B85" s="134" t="s">
        <v>649</v>
      </c>
      <c r="C85" s="134" t="s">
        <v>706</v>
      </c>
      <c r="D85" s="395">
        <v>93</v>
      </c>
      <c r="E85" s="134"/>
      <c r="F85" s="134" t="s">
        <v>684</v>
      </c>
      <c r="G85" s="134" t="s">
        <v>686</v>
      </c>
      <c r="H85" s="134"/>
      <c r="I85" s="134" t="s">
        <v>157</v>
      </c>
      <c r="J85" s="134">
        <v>84</v>
      </c>
      <c r="K85" s="134"/>
      <c r="L85" s="134"/>
    </row>
    <row r="86" spans="1:12">
      <c r="A86" s="134">
        <v>10</v>
      </c>
      <c r="B86" s="134" t="s">
        <v>650</v>
      </c>
      <c r="C86" s="134" t="s">
        <v>707</v>
      </c>
      <c r="D86" s="395">
        <v>125</v>
      </c>
      <c r="E86" s="134"/>
      <c r="F86" s="134" t="s">
        <v>684</v>
      </c>
      <c r="G86" s="134" t="s">
        <v>671</v>
      </c>
      <c r="H86" s="134"/>
      <c r="I86" s="134" t="s">
        <v>157</v>
      </c>
      <c r="J86" s="134">
        <v>85</v>
      </c>
      <c r="K86" s="134"/>
      <c r="L86" s="134"/>
    </row>
    <row r="87" spans="1:12">
      <c r="A87" s="134">
        <v>10</v>
      </c>
      <c r="B87" s="134" t="s">
        <v>651</v>
      </c>
      <c r="C87" s="134" t="s">
        <v>708</v>
      </c>
      <c r="D87" s="395">
        <v>205</v>
      </c>
      <c r="E87" s="134"/>
      <c r="F87" s="134" t="s">
        <v>684</v>
      </c>
      <c r="G87" s="134" t="s">
        <v>672</v>
      </c>
      <c r="H87" s="134"/>
      <c r="I87" s="134" t="s">
        <v>157</v>
      </c>
      <c r="J87" s="134">
        <v>86</v>
      </c>
      <c r="K87" s="134"/>
      <c r="L87" s="134"/>
    </row>
    <row r="88" spans="1:12">
      <c r="A88" s="134">
        <v>10</v>
      </c>
      <c r="B88" s="134" t="s">
        <v>652</v>
      </c>
      <c r="C88" s="134" t="s">
        <v>709</v>
      </c>
      <c r="D88" s="395">
        <v>290</v>
      </c>
      <c r="E88" s="134"/>
      <c r="F88" s="134" t="s">
        <v>684</v>
      </c>
      <c r="G88" s="134" t="s">
        <v>673</v>
      </c>
      <c r="H88" s="134"/>
      <c r="I88" s="134" t="s">
        <v>157</v>
      </c>
      <c r="J88" s="134">
        <v>87</v>
      </c>
      <c r="K88" s="134"/>
      <c r="L88" s="134"/>
    </row>
    <row r="89" spans="1:12">
      <c r="A89" s="134">
        <v>10</v>
      </c>
      <c r="B89" s="134" t="s">
        <v>653</v>
      </c>
      <c r="C89" s="134" t="s">
        <v>710</v>
      </c>
      <c r="D89" s="395">
        <v>455</v>
      </c>
      <c r="E89" s="134"/>
      <c r="F89" s="134" t="s">
        <v>684</v>
      </c>
      <c r="G89" s="134" t="s">
        <v>674</v>
      </c>
      <c r="H89" s="134"/>
      <c r="I89" s="134" t="s">
        <v>157</v>
      </c>
      <c r="J89" s="134">
        <v>88</v>
      </c>
      <c r="K89" s="134"/>
      <c r="L89" s="134"/>
    </row>
    <row r="90" spans="1:12">
      <c r="A90" s="390"/>
      <c r="B90" s="134" t="s">
        <v>1394</v>
      </c>
      <c r="C90" s="134"/>
      <c r="D90" s="134" t="s">
        <v>689</v>
      </c>
      <c r="E90" s="134"/>
      <c r="F90" s="134"/>
      <c r="G90" s="134"/>
      <c r="H90" s="134"/>
      <c r="I90" s="134"/>
      <c r="J90" s="134">
        <v>89</v>
      </c>
      <c r="K90" s="134"/>
      <c r="L90" s="134"/>
    </row>
    <row r="91" spans="1:12">
      <c r="A91" s="134">
        <v>10</v>
      </c>
      <c r="B91" s="134" t="s">
        <v>802</v>
      </c>
      <c r="C91" s="134"/>
      <c r="D91" s="134" t="str">
        <f>""</f>
        <v/>
      </c>
      <c r="E91" s="134"/>
      <c r="F91" s="134" t="s">
        <v>805</v>
      </c>
      <c r="G91" s="134"/>
      <c r="H91" s="134"/>
      <c r="I91" s="134" t="s">
        <v>157</v>
      </c>
      <c r="J91" s="134">
        <v>90</v>
      </c>
      <c r="K91" s="134"/>
      <c r="L91" s="134"/>
    </row>
    <row r="92" spans="1:12">
      <c r="A92" s="134">
        <v>10</v>
      </c>
      <c r="B92" s="134" t="s">
        <v>803</v>
      </c>
      <c r="C92" s="134"/>
      <c r="D92" s="134" t="str">
        <f>""</f>
        <v/>
      </c>
      <c r="E92" s="134"/>
      <c r="F92" s="134" t="s">
        <v>806</v>
      </c>
      <c r="G92" s="134"/>
      <c r="H92" s="134"/>
      <c r="I92" s="134" t="s">
        <v>157</v>
      </c>
      <c r="J92" s="134">
        <v>91</v>
      </c>
      <c r="K92" s="134"/>
      <c r="L92" s="134"/>
    </row>
    <row r="93" spans="1:12">
      <c r="A93" s="134">
        <v>10</v>
      </c>
      <c r="B93" s="134" t="s">
        <v>804</v>
      </c>
      <c r="C93" s="134"/>
      <c r="D93" s="134" t="str">
        <f>""</f>
        <v/>
      </c>
      <c r="E93" s="134"/>
      <c r="F93" s="134" t="s">
        <v>807</v>
      </c>
      <c r="G93" s="134"/>
      <c r="H93" s="134"/>
      <c r="I93" s="134" t="s">
        <v>157</v>
      </c>
      <c r="J93" s="134">
        <v>92</v>
      </c>
      <c r="K93" s="134"/>
      <c r="L93" s="134"/>
    </row>
    <row r="94" spans="1:12">
      <c r="A94" s="134">
        <v>10</v>
      </c>
      <c r="B94" s="134" t="s">
        <v>1492</v>
      </c>
      <c r="C94" s="134"/>
      <c r="D94" s="134" t="str">
        <f>""</f>
        <v/>
      </c>
      <c r="E94" s="134"/>
      <c r="F94" s="134" t="s">
        <v>818</v>
      </c>
      <c r="G94" s="134" t="s">
        <v>1494</v>
      </c>
      <c r="H94" s="134"/>
      <c r="I94" s="134" t="s">
        <v>157</v>
      </c>
      <c r="J94" s="134">
        <v>93</v>
      </c>
      <c r="K94" s="134"/>
      <c r="L94" s="134"/>
    </row>
    <row r="95" spans="1:12">
      <c r="A95" s="134">
        <v>10</v>
      </c>
      <c r="B95" s="134" t="s">
        <v>1493</v>
      </c>
      <c r="C95" s="134"/>
      <c r="D95" s="134" t="str">
        <f>""</f>
        <v/>
      </c>
      <c r="E95" s="134"/>
      <c r="F95" s="134" t="s">
        <v>818</v>
      </c>
      <c r="G95" s="134" t="s">
        <v>1495</v>
      </c>
      <c r="H95" s="134"/>
      <c r="I95" s="134" t="s">
        <v>157</v>
      </c>
      <c r="J95" s="134">
        <v>94</v>
      </c>
      <c r="K95" s="447"/>
      <c r="L95" s="447"/>
    </row>
  </sheetData>
  <sheetProtection algorithmName="SHA-512" hashValue="ogK8ykl5WLZos+iv9hyW0hAMAPnMaaAyuD28qMC1QOf7tnRrGPRD4gh+irnV4nnJlS4gWxm0j7ZuPWGOIts+1g==" saltValue="4mvOwLLz1mjYE/aaDfFt4A==" spinCount="100000" sheet="1" objects="1" scenarios="1"/>
  <pageMargins left="0.7" right="0.7" top="0.75" bottom="0.75" header="0.3" footer="0.3"/>
  <pageSetup orientation="portrait" r:id="rId1"/>
  <tableParts count="3">
    <tablePart r:id="rId2"/>
    <tablePart r:id="rId3"/>
    <tablePart r:id="rId4"/>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
    <tabColor rgb="FFC00000"/>
  </sheetPr>
  <dimension ref="A1:S48"/>
  <sheetViews>
    <sheetView zoomScale="85" zoomScaleNormal="85" workbookViewId="0">
      <selection activeCell="D31" sqref="D31"/>
    </sheetView>
  </sheetViews>
  <sheetFormatPr defaultRowHeight="15"/>
  <cols>
    <col min="1" max="1" width="18" bestFit="1" customWidth="1"/>
    <col min="2" max="2" width="11.28515625" bestFit="1" customWidth="1"/>
    <col min="3" max="3" width="7.85546875" bestFit="1" customWidth="1"/>
    <col min="5" max="5" width="15" bestFit="1" customWidth="1"/>
    <col min="6" max="6" width="24.28515625" bestFit="1" customWidth="1"/>
    <col min="7" max="7" width="34.85546875" bestFit="1" customWidth="1"/>
    <col min="8" max="8" width="19" bestFit="1" customWidth="1"/>
    <col min="10" max="10" width="7" bestFit="1" customWidth="1"/>
    <col min="12" max="12" width="18" bestFit="1" customWidth="1"/>
    <col min="13" max="13" width="27.140625" bestFit="1" customWidth="1"/>
  </cols>
  <sheetData>
    <row r="1" spans="1:19">
      <c r="A1" s="84" t="s">
        <v>0</v>
      </c>
      <c r="B1" s="84"/>
      <c r="C1" s="84"/>
      <c r="D1" s="25"/>
      <c r="E1" s="25" t="s">
        <v>0</v>
      </c>
      <c r="F1" s="25" t="s">
        <v>228</v>
      </c>
      <c r="G1" s="25" t="s">
        <v>229</v>
      </c>
      <c r="H1" s="25" t="s">
        <v>141</v>
      </c>
      <c r="I1" s="25" t="s">
        <v>146</v>
      </c>
      <c r="J1" s="25" t="s">
        <v>149</v>
      </c>
      <c r="K1" s="25" t="s">
        <v>1221</v>
      </c>
      <c r="L1" s="25"/>
      <c r="M1" s="25" t="s">
        <v>0</v>
      </c>
      <c r="N1" s="25" t="s">
        <v>228</v>
      </c>
      <c r="O1" s="25" t="s">
        <v>229</v>
      </c>
      <c r="P1" s="25" t="s">
        <v>141</v>
      </c>
      <c r="Q1" s="25" t="s">
        <v>146</v>
      </c>
      <c r="R1" s="25" t="s">
        <v>149</v>
      </c>
      <c r="S1" s="83"/>
    </row>
    <row r="2" spans="1:19">
      <c r="A2" s="175" t="s">
        <v>231</v>
      </c>
      <c r="B2" s="175"/>
      <c r="C2" s="175"/>
      <c r="D2" s="25"/>
      <c r="E2" s="175" t="s">
        <v>231</v>
      </c>
      <c r="F2" s="175" t="s">
        <v>164</v>
      </c>
      <c r="G2" s="175" t="s">
        <v>164</v>
      </c>
      <c r="H2" s="175">
        <v>110002</v>
      </c>
      <c r="I2" s="175" t="s">
        <v>958</v>
      </c>
      <c r="J2" s="175">
        <v>15</v>
      </c>
      <c r="K2" s="221">
        <v>0.38</v>
      </c>
      <c r="L2" s="25"/>
      <c r="M2" s="175" t="s">
        <v>231</v>
      </c>
      <c r="N2" s="175" t="s">
        <v>1183</v>
      </c>
      <c r="O2" s="175"/>
      <c r="P2" s="175">
        <v>120003</v>
      </c>
      <c r="Q2" s="175" t="s">
        <v>1116</v>
      </c>
      <c r="R2" s="175">
        <v>15</v>
      </c>
      <c r="S2" s="83"/>
    </row>
    <row r="3" spans="1:19">
      <c r="A3" s="175" t="s">
        <v>195</v>
      </c>
      <c r="B3" s="175"/>
      <c r="C3" s="175"/>
      <c r="D3" s="25"/>
      <c r="E3" s="175" t="s">
        <v>231</v>
      </c>
      <c r="F3" s="175" t="s">
        <v>1183</v>
      </c>
      <c r="G3" s="175" t="s">
        <v>1183</v>
      </c>
      <c r="H3" s="175">
        <v>110003</v>
      </c>
      <c r="I3" s="175" t="s">
        <v>1116</v>
      </c>
      <c r="J3" s="175">
        <v>15</v>
      </c>
      <c r="K3" s="221">
        <v>0.74</v>
      </c>
      <c r="L3" s="25"/>
      <c r="M3" s="175" t="s">
        <v>231</v>
      </c>
      <c r="N3" s="175" t="s">
        <v>230</v>
      </c>
      <c r="O3" s="175"/>
      <c r="P3" s="175">
        <v>120006</v>
      </c>
      <c r="Q3" s="175" t="s">
        <v>1075</v>
      </c>
      <c r="R3" s="175">
        <v>15</v>
      </c>
      <c r="S3" s="83"/>
    </row>
    <row r="4" spans="1:19">
      <c r="A4" s="175" t="s">
        <v>222</v>
      </c>
      <c r="B4" s="175"/>
      <c r="C4" s="175"/>
      <c r="D4" s="25"/>
      <c r="E4" s="175" t="s">
        <v>231</v>
      </c>
      <c r="F4" s="175" t="s">
        <v>160</v>
      </c>
      <c r="G4" s="175" t="s">
        <v>160</v>
      </c>
      <c r="H4" s="175">
        <v>110004</v>
      </c>
      <c r="I4" s="175" t="s">
        <v>1490</v>
      </c>
      <c r="J4" s="175">
        <v>15</v>
      </c>
      <c r="K4" s="221">
        <v>0.74</v>
      </c>
      <c r="L4" s="25"/>
      <c r="M4" s="175" t="s">
        <v>231</v>
      </c>
      <c r="N4" s="175" t="s">
        <v>1180</v>
      </c>
      <c r="O4" s="175"/>
      <c r="P4" s="175">
        <v>120016</v>
      </c>
      <c r="Q4" s="175" t="s">
        <v>1086</v>
      </c>
      <c r="R4" s="175">
        <v>20</v>
      </c>
      <c r="S4" s="83"/>
    </row>
    <row r="5" spans="1:19">
      <c r="A5" s="175"/>
      <c r="B5" s="175"/>
      <c r="C5" s="175"/>
      <c r="D5" s="25"/>
      <c r="E5" s="175" t="s">
        <v>231</v>
      </c>
      <c r="F5" s="175" t="s">
        <v>1163</v>
      </c>
      <c r="G5" s="175" t="s">
        <v>1163</v>
      </c>
      <c r="H5" s="175">
        <v>110005</v>
      </c>
      <c r="I5" s="175" t="s">
        <v>958</v>
      </c>
      <c r="J5" s="175">
        <v>15</v>
      </c>
      <c r="K5" s="221">
        <v>0.78</v>
      </c>
      <c r="L5" s="25"/>
      <c r="M5" s="175" t="s">
        <v>231</v>
      </c>
      <c r="N5" s="175" t="s">
        <v>1181</v>
      </c>
      <c r="O5" s="175"/>
      <c r="P5" s="175">
        <v>120017</v>
      </c>
      <c r="Q5" s="175" t="s">
        <v>1086</v>
      </c>
      <c r="R5" s="175">
        <v>15</v>
      </c>
      <c r="S5" s="83"/>
    </row>
    <row r="6" spans="1:19">
      <c r="A6" s="25"/>
      <c r="B6" s="25"/>
      <c r="C6" s="25"/>
      <c r="D6" s="25"/>
      <c r="E6" s="175" t="s">
        <v>231</v>
      </c>
      <c r="F6" s="175" t="s">
        <v>230</v>
      </c>
      <c r="G6" s="175" t="s">
        <v>230</v>
      </c>
      <c r="H6" s="175">
        <v>110006</v>
      </c>
      <c r="I6" s="175" t="s">
        <v>892</v>
      </c>
      <c r="J6" s="175">
        <v>15</v>
      </c>
      <c r="K6" s="221">
        <v>0.75</v>
      </c>
      <c r="L6" s="25"/>
      <c r="M6" s="175" t="s">
        <v>231</v>
      </c>
      <c r="N6" s="175" t="s">
        <v>1278</v>
      </c>
      <c r="O6" s="175"/>
      <c r="P6" s="175">
        <v>120021</v>
      </c>
      <c r="Q6" s="175" t="s">
        <v>1021</v>
      </c>
      <c r="R6" s="175">
        <v>10</v>
      </c>
      <c r="S6" s="83"/>
    </row>
    <row r="7" spans="1:19">
      <c r="A7" s="25"/>
      <c r="B7" s="25"/>
      <c r="C7" s="25"/>
      <c r="D7" s="25"/>
      <c r="E7" s="175" t="s">
        <v>231</v>
      </c>
      <c r="F7" s="175" t="s">
        <v>162</v>
      </c>
      <c r="G7" s="175" t="s">
        <v>162</v>
      </c>
      <c r="H7" s="175">
        <v>110007</v>
      </c>
      <c r="I7" s="175" t="s">
        <v>892</v>
      </c>
      <c r="J7" s="175">
        <v>15</v>
      </c>
      <c r="K7" s="221">
        <v>0.92</v>
      </c>
      <c r="L7" s="25"/>
      <c r="M7" s="175" t="s">
        <v>231</v>
      </c>
      <c r="N7" s="175" t="s">
        <v>232</v>
      </c>
      <c r="O7" s="175"/>
      <c r="P7" s="175">
        <v>120018</v>
      </c>
      <c r="Q7" s="175" t="s">
        <v>1085</v>
      </c>
      <c r="R7" s="175">
        <v>15</v>
      </c>
      <c r="S7" s="83"/>
    </row>
    <row r="8" spans="1:19">
      <c r="A8" s="25"/>
      <c r="B8" s="25"/>
      <c r="C8" s="25"/>
      <c r="D8" s="25"/>
      <c r="E8" s="175" t="s">
        <v>231</v>
      </c>
      <c r="F8" s="175" t="s">
        <v>1184</v>
      </c>
      <c r="G8" s="175" t="s">
        <v>1184</v>
      </c>
      <c r="H8" s="175">
        <v>110008</v>
      </c>
      <c r="I8" s="175" t="s">
        <v>958</v>
      </c>
      <c r="J8" s="175">
        <v>15</v>
      </c>
      <c r="K8" s="221">
        <v>0.78</v>
      </c>
      <c r="L8" s="25"/>
      <c r="M8" s="175" t="s">
        <v>231</v>
      </c>
      <c r="N8" s="175" t="s">
        <v>1182</v>
      </c>
      <c r="O8" s="175"/>
      <c r="P8" s="175">
        <v>120019</v>
      </c>
      <c r="Q8" s="175" t="s">
        <v>1116</v>
      </c>
      <c r="R8" s="175">
        <v>15</v>
      </c>
      <c r="S8" s="83"/>
    </row>
    <row r="9" spans="1:19">
      <c r="A9" s="83" t="s">
        <v>221</v>
      </c>
      <c r="B9" s="83" t="s">
        <v>154</v>
      </c>
      <c r="C9" s="83" t="s">
        <v>166</v>
      </c>
      <c r="D9" s="25"/>
      <c r="E9" s="175" t="s">
        <v>231</v>
      </c>
      <c r="F9" s="175" t="s">
        <v>1222</v>
      </c>
      <c r="G9" s="175" t="s">
        <v>1222</v>
      </c>
      <c r="H9" s="175">
        <v>110001</v>
      </c>
      <c r="I9" s="175" t="s">
        <v>892</v>
      </c>
      <c r="J9" s="175">
        <v>15</v>
      </c>
      <c r="K9" s="221">
        <v>0.65</v>
      </c>
      <c r="L9" s="25"/>
      <c r="M9" s="175" t="s">
        <v>231</v>
      </c>
      <c r="N9" s="175" t="s">
        <v>1019</v>
      </c>
      <c r="O9" s="175"/>
      <c r="P9" s="175">
        <v>120020</v>
      </c>
      <c r="Q9" s="175" t="s">
        <v>1491</v>
      </c>
      <c r="R9" s="175">
        <v>15</v>
      </c>
      <c r="S9" s="83"/>
    </row>
    <row r="10" spans="1:19">
      <c r="A10" s="178" t="s">
        <v>223</v>
      </c>
      <c r="B10" s="178">
        <v>0.1</v>
      </c>
      <c r="C10" s="178" t="s">
        <v>165</v>
      </c>
      <c r="D10" s="25"/>
      <c r="E10" s="175" t="s">
        <v>195</v>
      </c>
      <c r="F10" s="175" t="s">
        <v>1164</v>
      </c>
      <c r="G10" s="175" t="s">
        <v>1164</v>
      </c>
      <c r="H10" s="175">
        <v>710011</v>
      </c>
      <c r="I10" s="175" t="s">
        <v>892</v>
      </c>
      <c r="J10" s="175">
        <v>15</v>
      </c>
      <c r="K10" s="221">
        <v>0.65</v>
      </c>
      <c r="L10" s="25"/>
      <c r="M10" s="175" t="s">
        <v>231</v>
      </c>
      <c r="N10" s="175" t="s">
        <v>163</v>
      </c>
      <c r="O10" s="175"/>
      <c r="P10" s="175">
        <v>120001</v>
      </c>
      <c r="Q10" s="175" t="s">
        <v>892</v>
      </c>
      <c r="R10" s="175">
        <v>15</v>
      </c>
      <c r="S10" s="83"/>
    </row>
    <row r="11" spans="1:19">
      <c r="A11" s="178" t="s">
        <v>224</v>
      </c>
      <c r="B11" s="178">
        <v>0.15</v>
      </c>
      <c r="C11" s="178">
        <v>1</v>
      </c>
      <c r="D11" s="25"/>
      <c r="E11" s="175" t="s">
        <v>195</v>
      </c>
      <c r="F11" s="175" t="s">
        <v>1186</v>
      </c>
      <c r="G11" s="175" t="s">
        <v>1186</v>
      </c>
      <c r="H11" s="175">
        <v>710002</v>
      </c>
      <c r="I11" s="175" t="s">
        <v>958</v>
      </c>
      <c r="J11" s="175">
        <v>15</v>
      </c>
      <c r="K11" s="221">
        <v>0.8</v>
      </c>
      <c r="L11" s="25"/>
      <c r="M11" s="175" t="s">
        <v>195</v>
      </c>
      <c r="N11" s="175" t="s">
        <v>1164</v>
      </c>
      <c r="O11" s="175"/>
      <c r="P11" s="175">
        <v>720010</v>
      </c>
      <c r="Q11" s="175" t="s">
        <v>892</v>
      </c>
      <c r="R11" s="175">
        <v>15</v>
      </c>
      <c r="S11" s="83"/>
    </row>
    <row r="12" spans="1:19">
      <c r="A12" s="178" t="s">
        <v>225</v>
      </c>
      <c r="B12" s="178">
        <v>0.1</v>
      </c>
      <c r="C12" s="178" t="s">
        <v>165</v>
      </c>
      <c r="D12" s="25"/>
      <c r="E12" s="175" t="s">
        <v>195</v>
      </c>
      <c r="F12" s="175" t="s">
        <v>1190</v>
      </c>
      <c r="G12" s="175" t="s">
        <v>1190</v>
      </c>
      <c r="H12" s="175">
        <v>710003</v>
      </c>
      <c r="I12" s="175" t="s">
        <v>1116</v>
      </c>
      <c r="J12" s="175">
        <v>15</v>
      </c>
      <c r="K12" s="221">
        <v>0.74</v>
      </c>
      <c r="L12" s="25"/>
      <c r="M12" s="175" t="s">
        <v>195</v>
      </c>
      <c r="N12" s="175" t="s">
        <v>1190</v>
      </c>
      <c r="O12" s="175"/>
      <c r="P12" s="175">
        <v>720003</v>
      </c>
      <c r="Q12" s="175" t="s">
        <v>1116</v>
      </c>
      <c r="R12" s="175">
        <v>15</v>
      </c>
      <c r="S12" s="83"/>
    </row>
    <row r="13" spans="1:19">
      <c r="A13" s="178" t="s">
        <v>227</v>
      </c>
      <c r="B13" s="178">
        <v>0.15</v>
      </c>
      <c r="C13" s="178">
        <v>1</v>
      </c>
      <c r="D13" s="25"/>
      <c r="E13" s="175" t="s">
        <v>195</v>
      </c>
      <c r="F13" s="175" t="s">
        <v>1165</v>
      </c>
      <c r="G13" s="175" t="s">
        <v>1165</v>
      </c>
      <c r="H13" s="175">
        <v>710004</v>
      </c>
      <c r="I13" s="175" t="s">
        <v>892</v>
      </c>
      <c r="J13" s="175">
        <v>15</v>
      </c>
      <c r="K13" s="221">
        <v>0.74</v>
      </c>
      <c r="L13" s="25"/>
      <c r="M13" s="175" t="s">
        <v>195</v>
      </c>
      <c r="N13" s="175" t="s">
        <v>1169</v>
      </c>
      <c r="O13" s="175"/>
      <c r="P13" s="175">
        <v>720006</v>
      </c>
      <c r="Q13" s="175" t="s">
        <v>892</v>
      </c>
      <c r="R13" s="175">
        <v>15</v>
      </c>
      <c r="S13" s="83"/>
    </row>
    <row r="14" spans="1:19" ht="13.5" customHeight="1">
      <c r="A14" s="178" t="s">
        <v>226</v>
      </c>
      <c r="B14" s="178">
        <v>0.15</v>
      </c>
      <c r="C14" s="178">
        <v>1</v>
      </c>
      <c r="D14" s="25"/>
      <c r="E14" s="175" t="s">
        <v>195</v>
      </c>
      <c r="F14" s="175" t="s">
        <v>1167</v>
      </c>
      <c r="G14" s="175" t="s">
        <v>1167</v>
      </c>
      <c r="H14" s="175">
        <v>710005</v>
      </c>
      <c r="I14" s="175" t="s">
        <v>958</v>
      </c>
      <c r="J14" s="175">
        <v>15</v>
      </c>
      <c r="K14" s="221">
        <v>0.78</v>
      </c>
      <c r="L14" s="25"/>
      <c r="M14" s="175" t="s">
        <v>195</v>
      </c>
      <c r="N14" s="175" t="s">
        <v>1365</v>
      </c>
      <c r="O14" s="175"/>
      <c r="P14" s="175">
        <v>720016</v>
      </c>
      <c r="Q14" s="175" t="s">
        <v>1086</v>
      </c>
      <c r="R14" s="175">
        <v>20</v>
      </c>
      <c r="S14" s="83"/>
    </row>
    <row r="15" spans="1:19">
      <c r="A15" s="178" t="s">
        <v>2103</v>
      </c>
      <c r="B15" s="568">
        <v>0.01</v>
      </c>
      <c r="C15" s="178" t="s">
        <v>165</v>
      </c>
      <c r="D15" s="25"/>
      <c r="E15" s="175" t="s">
        <v>195</v>
      </c>
      <c r="F15" s="175" t="s">
        <v>1169</v>
      </c>
      <c r="G15" s="175" t="s">
        <v>1169</v>
      </c>
      <c r="H15" s="175">
        <v>710006</v>
      </c>
      <c r="I15" s="175" t="s">
        <v>892</v>
      </c>
      <c r="J15" s="175">
        <v>15</v>
      </c>
      <c r="K15" s="221">
        <v>0.75</v>
      </c>
      <c r="L15" s="25"/>
      <c r="M15" s="175" t="s">
        <v>195</v>
      </c>
      <c r="N15" s="175" t="s">
        <v>1366</v>
      </c>
      <c r="O15" s="175"/>
      <c r="P15" s="175">
        <v>720017</v>
      </c>
      <c r="Q15" s="175" t="s">
        <v>1086</v>
      </c>
      <c r="R15" s="175">
        <v>15</v>
      </c>
      <c r="S15" s="83"/>
    </row>
    <row r="16" spans="1:19">
      <c r="A16" s="25"/>
      <c r="B16" s="25"/>
      <c r="C16" s="25"/>
      <c r="D16" s="25"/>
      <c r="E16" s="175" t="s">
        <v>195</v>
      </c>
      <c r="F16" s="175" t="s">
        <v>1166</v>
      </c>
      <c r="G16" s="175" t="s">
        <v>1166</v>
      </c>
      <c r="H16" s="175">
        <v>710007</v>
      </c>
      <c r="I16" s="175" t="s">
        <v>892</v>
      </c>
      <c r="J16" s="175">
        <v>15</v>
      </c>
      <c r="K16" s="221">
        <v>0.92</v>
      </c>
      <c r="L16" s="25"/>
      <c r="M16" s="175" t="s">
        <v>195</v>
      </c>
      <c r="N16" s="175" t="s">
        <v>1367</v>
      </c>
      <c r="O16" s="175"/>
      <c r="P16" s="175">
        <v>720018</v>
      </c>
      <c r="Q16" s="175" t="s">
        <v>1086</v>
      </c>
      <c r="R16" s="175">
        <v>15</v>
      </c>
      <c r="S16" s="83"/>
    </row>
    <row r="17" spans="1:19">
      <c r="A17" s="25"/>
      <c r="B17" s="25"/>
      <c r="C17" s="25"/>
      <c r="D17" s="25"/>
      <c r="E17" s="175" t="s">
        <v>195</v>
      </c>
      <c r="F17" s="175" t="s">
        <v>1187</v>
      </c>
      <c r="G17" s="175" t="s">
        <v>1187</v>
      </c>
      <c r="H17" s="175">
        <v>710008</v>
      </c>
      <c r="I17" s="175" t="s">
        <v>958</v>
      </c>
      <c r="J17" s="175">
        <v>15</v>
      </c>
      <c r="K17" s="221">
        <v>0.78</v>
      </c>
      <c r="L17" s="25"/>
      <c r="M17" s="175" t="s">
        <v>195</v>
      </c>
      <c r="N17" s="175" t="s">
        <v>1189</v>
      </c>
      <c r="O17" s="175"/>
      <c r="P17" s="175">
        <v>720001</v>
      </c>
      <c r="Q17" s="175" t="s">
        <v>892</v>
      </c>
      <c r="R17" s="175">
        <v>15</v>
      </c>
      <c r="S17" s="83"/>
    </row>
    <row r="18" spans="1:19">
      <c r="A18" s="25"/>
      <c r="B18" s="25"/>
      <c r="C18" s="25"/>
      <c r="D18" s="25"/>
      <c r="E18" s="175" t="s">
        <v>195</v>
      </c>
      <c r="F18" s="175" t="s">
        <v>1168</v>
      </c>
      <c r="G18" s="175" t="s">
        <v>1168</v>
      </c>
      <c r="H18" s="175">
        <v>710010</v>
      </c>
      <c r="I18" s="175" t="s">
        <v>892</v>
      </c>
      <c r="J18" s="175">
        <v>15</v>
      </c>
      <c r="K18" s="221">
        <v>0.74</v>
      </c>
      <c r="L18" s="25"/>
      <c r="M18" s="175" t="s">
        <v>222</v>
      </c>
      <c r="N18" s="175" t="s">
        <v>1351</v>
      </c>
      <c r="O18" s="175"/>
      <c r="P18" s="175">
        <v>320003</v>
      </c>
      <c r="Q18" s="175" t="s">
        <v>892</v>
      </c>
      <c r="R18" s="175">
        <v>8</v>
      </c>
      <c r="S18" s="83"/>
    </row>
    <row r="19" spans="1:19">
      <c r="A19" s="25"/>
      <c r="B19" s="25"/>
      <c r="C19" s="25"/>
      <c r="D19" s="25"/>
      <c r="E19" s="175" t="s">
        <v>195</v>
      </c>
      <c r="F19" s="175" t="s">
        <v>1189</v>
      </c>
      <c r="G19" s="175" t="s">
        <v>1189</v>
      </c>
      <c r="H19" s="175">
        <v>710001</v>
      </c>
      <c r="I19" s="175" t="s">
        <v>892</v>
      </c>
      <c r="J19" s="175">
        <v>15</v>
      </c>
      <c r="K19" s="221">
        <v>0.65</v>
      </c>
      <c r="L19" s="25"/>
      <c r="M19" s="175" t="s">
        <v>222</v>
      </c>
      <c r="N19" s="175" t="s">
        <v>1368</v>
      </c>
      <c r="O19" s="175"/>
      <c r="P19" s="175">
        <v>320016</v>
      </c>
      <c r="Q19" s="175" t="s">
        <v>892</v>
      </c>
      <c r="R19" s="175">
        <v>8</v>
      </c>
      <c r="S19" s="83"/>
    </row>
    <row r="20" spans="1:19">
      <c r="A20" s="25"/>
      <c r="B20" s="25"/>
      <c r="C20" s="25"/>
      <c r="D20" s="85"/>
      <c r="E20" s="176" t="s">
        <v>222</v>
      </c>
      <c r="F20" s="177" t="s">
        <v>1170</v>
      </c>
      <c r="G20" s="177" t="s">
        <v>1171</v>
      </c>
      <c r="H20" s="175">
        <v>310013</v>
      </c>
      <c r="I20" s="175" t="s">
        <v>892</v>
      </c>
      <c r="J20" s="175">
        <v>8</v>
      </c>
      <c r="K20" s="221">
        <v>0.15</v>
      </c>
      <c r="L20" s="25"/>
      <c r="M20" s="175" t="s">
        <v>222</v>
      </c>
      <c r="N20" s="175" t="s">
        <v>1369</v>
      </c>
      <c r="O20" s="175"/>
      <c r="P20" s="175">
        <v>320017</v>
      </c>
      <c r="Q20" s="175" t="s">
        <v>892</v>
      </c>
      <c r="R20" s="175">
        <v>8</v>
      </c>
      <c r="S20" s="83"/>
    </row>
    <row r="21" spans="1:19">
      <c r="A21" s="25"/>
      <c r="B21" s="25"/>
      <c r="C21" s="25"/>
      <c r="D21" s="25"/>
      <c r="E21" s="175" t="s">
        <v>222</v>
      </c>
      <c r="F21" s="175" t="s">
        <v>1349</v>
      </c>
      <c r="G21" s="175" t="s">
        <v>1172</v>
      </c>
      <c r="H21" s="175">
        <v>310015</v>
      </c>
      <c r="I21" s="175" t="s">
        <v>892</v>
      </c>
      <c r="J21" s="175">
        <v>8</v>
      </c>
      <c r="K21" s="221">
        <v>0.8</v>
      </c>
      <c r="L21" s="25"/>
      <c r="M21" s="175" t="s">
        <v>222</v>
      </c>
      <c r="N21" s="175" t="s">
        <v>1357</v>
      </c>
      <c r="O21" s="175"/>
      <c r="P21" s="175">
        <v>320001</v>
      </c>
      <c r="Q21" s="175" t="s">
        <v>892</v>
      </c>
      <c r="R21" s="175">
        <v>8</v>
      </c>
      <c r="S21" s="83"/>
    </row>
    <row r="22" spans="1:19">
      <c r="A22" s="25"/>
      <c r="B22" s="25"/>
      <c r="C22" s="25"/>
      <c r="D22" s="25"/>
      <c r="E22" s="175" t="s">
        <v>222</v>
      </c>
      <c r="F22" s="175" t="s">
        <v>1350</v>
      </c>
      <c r="G22" s="175" t="s">
        <v>1176</v>
      </c>
      <c r="H22" s="175">
        <v>310002</v>
      </c>
      <c r="I22" s="175" t="s">
        <v>892</v>
      </c>
      <c r="J22" s="175">
        <v>8</v>
      </c>
      <c r="K22" s="221">
        <v>0.8</v>
      </c>
      <c r="L22" s="25"/>
      <c r="M22" s="25"/>
      <c r="N22" s="25"/>
      <c r="O22" s="25"/>
      <c r="P22" s="25"/>
      <c r="Q22" s="25"/>
      <c r="R22" s="83"/>
    </row>
    <row r="23" spans="1:19">
      <c r="A23" s="25"/>
      <c r="B23" s="25"/>
      <c r="C23" s="25"/>
      <c r="D23" s="25"/>
      <c r="E23" s="175" t="s">
        <v>222</v>
      </c>
      <c r="F23" s="175" t="s">
        <v>1351</v>
      </c>
      <c r="G23" s="175" t="s">
        <v>1177</v>
      </c>
      <c r="H23" s="179">
        <v>310003</v>
      </c>
      <c r="I23" s="175" t="s">
        <v>892</v>
      </c>
      <c r="J23" s="175">
        <v>8</v>
      </c>
      <c r="K23" s="221">
        <v>0.74</v>
      </c>
      <c r="L23" s="25"/>
      <c r="M23" s="25"/>
      <c r="N23" s="25"/>
      <c r="O23" s="25"/>
      <c r="P23" s="25"/>
      <c r="Q23" s="25"/>
      <c r="R23" s="83"/>
    </row>
    <row r="24" spans="1:19">
      <c r="A24" s="25"/>
      <c r="B24" s="25"/>
      <c r="C24" s="25"/>
      <c r="D24" s="25"/>
      <c r="E24" s="176" t="s">
        <v>222</v>
      </c>
      <c r="F24" s="177" t="s">
        <v>1352</v>
      </c>
      <c r="G24" s="177" t="s">
        <v>1173</v>
      </c>
      <c r="H24" s="175">
        <v>310004</v>
      </c>
      <c r="I24" s="175" t="s">
        <v>892</v>
      </c>
      <c r="J24" s="175">
        <v>8</v>
      </c>
      <c r="K24" s="221">
        <v>0.74</v>
      </c>
      <c r="L24" s="25"/>
      <c r="M24" s="25"/>
      <c r="N24" s="25"/>
      <c r="O24" s="25"/>
      <c r="P24" s="25"/>
      <c r="Q24" s="25"/>
      <c r="R24" s="83"/>
    </row>
    <row r="25" spans="1:19">
      <c r="A25" s="25"/>
      <c r="B25" s="25"/>
      <c r="C25" s="25"/>
      <c r="D25" s="25"/>
      <c r="E25" s="175" t="s">
        <v>222</v>
      </c>
      <c r="F25" s="175" t="s">
        <v>1353</v>
      </c>
      <c r="G25" s="175" t="s">
        <v>1175</v>
      </c>
      <c r="H25" s="179">
        <v>310005</v>
      </c>
      <c r="I25" s="175" t="s">
        <v>892</v>
      </c>
      <c r="J25" s="175">
        <v>8</v>
      </c>
      <c r="K25" s="221">
        <v>0.78</v>
      </c>
      <c r="L25" s="25"/>
      <c r="M25" s="25"/>
      <c r="N25" s="25"/>
      <c r="O25" s="25"/>
      <c r="P25" s="25"/>
      <c r="Q25" s="25"/>
      <c r="R25" s="83"/>
    </row>
    <row r="26" spans="1:19">
      <c r="A26" s="25"/>
      <c r="B26" s="25"/>
      <c r="C26" s="25"/>
      <c r="D26" s="25"/>
      <c r="E26" s="175" t="s">
        <v>222</v>
      </c>
      <c r="F26" s="175" t="s">
        <v>1354</v>
      </c>
      <c r="G26" s="175" t="s">
        <v>1178</v>
      </c>
      <c r="H26" s="175">
        <v>310006</v>
      </c>
      <c r="I26" s="175" t="s">
        <v>892</v>
      </c>
      <c r="J26" s="175">
        <v>8</v>
      </c>
      <c r="K26" s="221">
        <v>0.75</v>
      </c>
      <c r="L26" s="25"/>
      <c r="M26" s="25"/>
      <c r="N26" s="25"/>
      <c r="O26" s="25"/>
      <c r="P26" s="25"/>
      <c r="Q26" s="25"/>
      <c r="R26" s="83"/>
    </row>
    <row r="27" spans="1:19">
      <c r="A27" s="25"/>
      <c r="B27" s="25"/>
      <c r="C27" s="25"/>
      <c r="D27" s="25"/>
      <c r="E27" s="175" t="s">
        <v>222</v>
      </c>
      <c r="F27" s="175" t="s">
        <v>1355</v>
      </c>
      <c r="G27" s="175" t="s">
        <v>1174</v>
      </c>
      <c r="H27" s="179">
        <v>310007</v>
      </c>
      <c r="I27" s="175" t="s">
        <v>892</v>
      </c>
      <c r="J27" s="175">
        <v>8</v>
      </c>
      <c r="K27" s="221">
        <v>0.92</v>
      </c>
      <c r="L27" s="25"/>
      <c r="M27" s="25"/>
      <c r="N27" s="25"/>
      <c r="O27" s="25"/>
      <c r="P27" s="25"/>
      <c r="Q27" s="25"/>
      <c r="R27" s="83"/>
    </row>
    <row r="28" spans="1:19">
      <c r="A28" s="25"/>
      <c r="B28" s="25"/>
      <c r="C28" s="25"/>
      <c r="D28" s="25"/>
      <c r="E28" s="175" t="s">
        <v>222</v>
      </c>
      <c r="F28" s="175" t="s">
        <v>1356</v>
      </c>
      <c r="G28" s="175" t="s">
        <v>1188</v>
      </c>
      <c r="H28" s="175">
        <v>310008</v>
      </c>
      <c r="I28" s="175" t="s">
        <v>892</v>
      </c>
      <c r="J28" s="175">
        <v>8</v>
      </c>
      <c r="K28" s="221">
        <v>0.78</v>
      </c>
      <c r="L28" s="25"/>
      <c r="M28" s="25"/>
      <c r="N28" s="25"/>
      <c r="O28" s="25"/>
      <c r="P28" s="25"/>
      <c r="Q28" s="25"/>
      <c r="R28" s="83"/>
    </row>
    <row r="29" spans="1:19">
      <c r="A29" s="25"/>
      <c r="B29" s="25"/>
      <c r="C29" s="25"/>
      <c r="D29" s="25"/>
      <c r="E29" s="175" t="s">
        <v>222</v>
      </c>
      <c r="F29" s="175" t="s">
        <v>1357</v>
      </c>
      <c r="G29" s="175" t="s">
        <v>1179</v>
      </c>
      <c r="H29" s="179">
        <v>310001</v>
      </c>
      <c r="I29" s="175" t="s">
        <v>892</v>
      </c>
      <c r="J29" s="175">
        <v>8</v>
      </c>
      <c r="K29" s="221">
        <v>0.65</v>
      </c>
      <c r="L29" s="25"/>
      <c r="M29" s="25"/>
      <c r="N29" s="25"/>
      <c r="O29" s="25"/>
      <c r="P29" s="25"/>
      <c r="Q29" s="25"/>
      <c r="R29" s="83"/>
    </row>
    <row r="30" spans="1:19">
      <c r="A30" s="25"/>
      <c r="B30" s="25"/>
      <c r="C30" s="25"/>
      <c r="D30" s="25"/>
      <c r="E30" s="175" t="s">
        <v>222</v>
      </c>
      <c r="F30" s="175" t="s">
        <v>2104</v>
      </c>
      <c r="G30" s="175" t="s">
        <v>2105</v>
      </c>
      <c r="H30" s="175">
        <v>310016</v>
      </c>
      <c r="I30" s="175" t="s">
        <v>892</v>
      </c>
      <c r="J30" s="175">
        <v>3</v>
      </c>
      <c r="K30" s="221">
        <v>0</v>
      </c>
      <c r="L30" s="25"/>
      <c r="M30" s="25"/>
      <c r="N30" s="25"/>
      <c r="O30" s="25"/>
      <c r="P30" s="25"/>
      <c r="Q30" s="25"/>
      <c r="R30" s="83"/>
    </row>
    <row r="31" spans="1:19">
      <c r="A31" s="25"/>
      <c r="B31" s="25"/>
      <c r="C31" s="25"/>
      <c r="D31" s="25"/>
      <c r="E31" s="25"/>
      <c r="F31" s="25"/>
      <c r="G31" s="25"/>
      <c r="H31" s="25"/>
      <c r="I31" s="25"/>
      <c r="J31" s="25"/>
      <c r="K31" s="25"/>
      <c r="L31" s="25"/>
      <c r="M31" s="25"/>
      <c r="N31" s="25"/>
      <c r="O31" s="25"/>
      <c r="P31" s="25"/>
      <c r="Q31" s="25"/>
      <c r="R31" s="83"/>
    </row>
    <row r="32" spans="1:19">
      <c r="A32" s="25"/>
      <c r="B32" s="25"/>
      <c r="C32" s="25"/>
      <c r="D32" s="25"/>
      <c r="E32" s="25"/>
      <c r="F32" s="25"/>
      <c r="G32" s="25"/>
      <c r="H32" s="25"/>
      <c r="I32" s="25"/>
      <c r="J32" s="25"/>
      <c r="K32" s="25"/>
      <c r="L32" s="25"/>
      <c r="M32" s="25"/>
      <c r="N32" s="25"/>
      <c r="O32" s="25"/>
      <c r="P32" s="25"/>
      <c r="Q32" s="25"/>
      <c r="R32" s="83"/>
    </row>
    <row r="33" spans="1:17">
      <c r="A33" s="25"/>
      <c r="B33" s="25"/>
      <c r="C33" s="25"/>
      <c r="D33" s="25"/>
      <c r="E33" s="25"/>
      <c r="F33" s="25"/>
      <c r="G33" s="25"/>
      <c r="H33" s="25"/>
      <c r="I33" s="25"/>
      <c r="J33" s="25"/>
      <c r="K33" s="25"/>
      <c r="L33" s="25"/>
      <c r="M33" s="25"/>
      <c r="N33" s="25"/>
      <c r="O33" s="25"/>
      <c r="P33" s="25"/>
      <c r="Q33" s="83"/>
    </row>
    <row r="34" spans="1:17">
      <c r="A34" s="25"/>
      <c r="B34" s="25"/>
      <c r="C34" s="25"/>
      <c r="D34" s="25"/>
      <c r="E34" s="25"/>
      <c r="F34" s="25"/>
      <c r="G34" s="25"/>
      <c r="H34" s="25"/>
      <c r="I34" s="25"/>
      <c r="J34" s="25"/>
      <c r="K34" s="25"/>
      <c r="L34" s="25"/>
      <c r="M34" s="25"/>
      <c r="N34" s="25"/>
      <c r="O34" s="25"/>
      <c r="P34" s="25"/>
      <c r="Q34" s="83"/>
    </row>
    <row r="35" spans="1:17">
      <c r="A35" s="25"/>
      <c r="B35" s="25"/>
      <c r="C35" s="25"/>
      <c r="D35" s="25"/>
      <c r="E35" s="25"/>
      <c r="F35" s="25"/>
      <c r="G35" s="25"/>
      <c r="H35" s="25"/>
      <c r="I35" s="25"/>
      <c r="J35" s="25"/>
      <c r="K35" s="25"/>
      <c r="L35" s="25"/>
      <c r="M35" s="25"/>
      <c r="N35" s="25"/>
      <c r="O35" s="25"/>
      <c r="P35" s="25"/>
      <c r="Q35" s="83"/>
    </row>
    <row r="36" spans="1:17">
      <c r="A36" s="25"/>
      <c r="B36" s="25"/>
      <c r="C36" s="25"/>
      <c r="D36" s="25"/>
      <c r="E36" s="25"/>
      <c r="F36" s="25"/>
      <c r="G36" s="25"/>
      <c r="H36" s="25"/>
      <c r="I36" s="25"/>
      <c r="J36" s="25"/>
      <c r="K36" s="25"/>
      <c r="L36" s="25"/>
      <c r="M36" s="25"/>
      <c r="N36" s="25"/>
      <c r="O36" s="25"/>
      <c r="P36" s="25"/>
      <c r="Q36" s="83"/>
    </row>
    <row r="37" spans="1:17">
      <c r="D37" s="25"/>
      <c r="E37" s="25"/>
      <c r="F37" s="25"/>
      <c r="G37" s="25"/>
      <c r="H37" s="25"/>
      <c r="I37" s="25"/>
      <c r="J37" s="25"/>
      <c r="K37" s="25"/>
      <c r="L37" s="25"/>
      <c r="M37" s="25"/>
      <c r="N37" s="25"/>
      <c r="O37" s="25"/>
      <c r="P37" s="25"/>
      <c r="Q37" s="83"/>
    </row>
    <row r="38" spans="1:17">
      <c r="D38" s="25"/>
      <c r="E38" s="25"/>
      <c r="F38" s="25"/>
      <c r="G38" s="25"/>
      <c r="H38" s="25"/>
      <c r="I38" s="25"/>
      <c r="J38" s="25"/>
      <c r="K38" s="25"/>
      <c r="L38" s="25"/>
      <c r="M38" s="25"/>
      <c r="N38" s="25"/>
      <c r="O38" s="25"/>
      <c r="P38" s="25"/>
      <c r="Q38" s="83"/>
    </row>
    <row r="39" spans="1:17">
      <c r="D39" s="25"/>
      <c r="E39" s="25"/>
      <c r="F39" s="25"/>
      <c r="G39" s="25"/>
      <c r="H39" s="25"/>
      <c r="I39" s="25"/>
      <c r="J39" s="25"/>
      <c r="K39" s="25"/>
      <c r="L39" s="25"/>
      <c r="M39" s="25"/>
      <c r="N39" s="25"/>
      <c r="O39" s="25"/>
      <c r="P39" s="25"/>
      <c r="Q39" s="83"/>
    </row>
    <row r="40" spans="1:17">
      <c r="D40" s="25"/>
      <c r="E40" s="25"/>
      <c r="F40" s="25"/>
      <c r="G40" s="25"/>
      <c r="H40" s="25"/>
      <c r="I40" s="25"/>
      <c r="J40" s="25"/>
      <c r="K40" s="25"/>
      <c r="L40" s="25"/>
      <c r="M40" s="25"/>
      <c r="N40" s="25"/>
      <c r="O40" s="25"/>
      <c r="P40" s="25"/>
      <c r="Q40" s="83"/>
    </row>
    <row r="41" spans="1:17">
      <c r="D41" s="25"/>
      <c r="K41" s="25"/>
      <c r="Q41" s="83"/>
    </row>
    <row r="42" spans="1:17">
      <c r="D42" s="25"/>
      <c r="K42" s="25"/>
      <c r="Q42" s="83"/>
    </row>
    <row r="43" spans="1:17">
      <c r="D43" s="25"/>
      <c r="K43" s="25"/>
      <c r="Q43" s="83"/>
    </row>
    <row r="44" spans="1:17">
      <c r="D44" s="25"/>
      <c r="K44" s="25"/>
      <c r="Q44" s="83"/>
    </row>
    <row r="45" spans="1:17">
      <c r="D45" s="25"/>
      <c r="K45" s="25"/>
      <c r="Q45" s="83"/>
    </row>
    <row r="46" spans="1:17">
      <c r="D46" s="25"/>
      <c r="K46" s="25"/>
      <c r="Q46" s="83"/>
    </row>
    <row r="47" spans="1:17">
      <c r="D47" s="25"/>
      <c r="Q47" s="83"/>
    </row>
    <row r="48" spans="1:17">
      <c r="D48" s="25"/>
      <c r="Q48" s="83"/>
    </row>
  </sheetData>
  <sheetProtection algorithmName="SHA-512" hashValue="w9uyVQ77XO4RtxM1qlgvcNXeA5CUmTwmZ8zDhkJjvgKxg16AdDF8JQ/iHAJ5PSBdDsi8mGjFT+ABzlpOXHvm+Q==" saltValue="E9tpjRXjJ2kiSToebLdxJA==" spinCount="100000" sheet="1" objects="1" scenarios="1"/>
  <pageMargins left="0.7" right="0.7" top="0.75" bottom="0.75" header="0.3" footer="0.3"/>
  <pageSetup orientation="portrait" r:id="rId1"/>
  <tableParts count="4">
    <tablePart r:id="rId2"/>
    <tablePart r:id="rId3"/>
    <tablePart r:id="rId4"/>
    <tablePart r:id="rId5"/>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5">
    <pageSetUpPr fitToPage="1"/>
  </sheetPr>
  <dimension ref="A1:AS202"/>
  <sheetViews>
    <sheetView showGridLines="0" showRowColHeaders="0" tabSelected="1" zoomScale="85" zoomScaleNormal="85" workbookViewId="0">
      <selection activeCell="C6" sqref="C6"/>
    </sheetView>
  </sheetViews>
  <sheetFormatPr defaultColWidth="0" defaultRowHeight="15" customHeight="1" zeroHeight="1"/>
  <cols>
    <col min="1" max="43" width="4.7109375" customWidth="1"/>
    <col min="44" max="44" width="4.85546875" customWidth="1"/>
    <col min="45" max="45" width="4.7109375" customWidth="1"/>
    <col min="46" max="78" width="9.140625" hidden="1" customWidth="1"/>
    <col min="79" max="16384" width="9.140625" hidden="1"/>
  </cols>
  <sheetData>
    <row r="1" spans="3:44" ht="15.95" customHeight="1">
      <c r="AH1" s="675" t="s">
        <v>471</v>
      </c>
      <c r="AI1" s="676"/>
      <c r="AJ1" s="676"/>
      <c r="AK1" s="677"/>
      <c r="AL1" s="669" t="s">
        <v>736</v>
      </c>
      <c r="AM1" s="670"/>
      <c r="AN1" s="670"/>
      <c r="AO1" s="670"/>
      <c r="AP1" s="671"/>
      <c r="AQ1" s="663" t="s">
        <v>474</v>
      </c>
      <c r="AR1" s="664"/>
    </row>
    <row r="2" spans="3:44" ht="15.95" customHeight="1">
      <c r="AH2" s="678" t="str">
        <f ca="1">INCENSTATUS</f>
        <v>---</v>
      </c>
      <c r="AI2" s="679"/>
      <c r="AJ2" s="679"/>
      <c r="AK2" s="679"/>
      <c r="AL2" s="672" t="str">
        <f ca="1">PROJSTATUS</f>
        <v>Enter Measures</v>
      </c>
      <c r="AM2" s="672"/>
      <c r="AN2" s="672"/>
      <c r="AO2" s="672"/>
      <c r="AP2" s="672"/>
      <c r="AQ2" s="665">
        <f ca="1">PROGRESSSTATUS</f>
        <v>2.8985507246376812E-2</v>
      </c>
      <c r="AR2" s="666"/>
    </row>
    <row r="3" spans="3:44" ht="15.95" customHeight="1">
      <c r="AH3" s="680"/>
      <c r="AI3" s="681"/>
      <c r="AJ3" s="681"/>
      <c r="AK3" s="681"/>
      <c r="AL3" s="673"/>
      <c r="AM3" s="673"/>
      <c r="AN3" s="673"/>
      <c r="AO3" s="673"/>
      <c r="AP3" s="673"/>
      <c r="AQ3" s="667"/>
      <c r="AR3" s="668"/>
    </row>
    <row r="4" spans="3:44" ht="15.95" customHeight="1">
      <c r="AR4" s="171"/>
    </row>
    <row r="5" spans="3:44" ht="15.95" customHeight="1"/>
    <row r="6" spans="3:44" ht="15.95" customHeight="1"/>
    <row r="7" spans="3:44" ht="15.95" customHeight="1"/>
    <row r="8" spans="3:44" ht="15.95" customHeight="1"/>
    <row r="9" spans="3:44" ht="15.95" customHeight="1"/>
    <row r="10" spans="3:44" ht="15.95" customHeight="1">
      <c r="C10" s="261"/>
      <c r="D10" s="682" t="str">
        <f ca="1">CONCATENATE(IF(I82=TODAY(),"APPLICATION EXPIRES TODAY!",""),IF(AND(I82&lt;=ABS(TODAY()+14),I82&gt;TODAY(),I82-TODAY()&lt;&gt;1),"APPLICATION EXPIRES IN "&amp;I82-TODAY()&amp;" DAYS!",IF(AND(I82&lt;=ABS(TODAY()+14),I82&gt;=TODAY(),I82-TODAY()=1),"APPLICATION EXPIRES IN "&amp;I82-TODAY()&amp;" DAY","")),IF(I82&lt;TODAY()," ",""),IF(I82&lt;TODAY(),"APPLICATION IS EXPIRED. DOWNLOAD CURRENT APPLICATION FROM",""),IF(I82&lt;TODAY()," ",""),IF(I82&lt;TODAY(),"NIPSCO.COM/SAVE-ENERGY/BUSINESS",""),IF(I82&lt;TODAY()," ",""),IF(I82&lt;TODAY(),"OR CONTACT A PROGRAM REPRESENTATIVE FOR ASSISTANCE.",""))</f>
        <v/>
      </c>
      <c r="E10" s="682"/>
      <c r="F10" s="682"/>
      <c r="G10" s="682"/>
      <c r="H10" s="682"/>
      <c r="I10" s="682"/>
      <c r="J10" s="682"/>
      <c r="K10" s="682"/>
      <c r="L10" s="682"/>
      <c r="M10" s="682"/>
      <c r="N10" s="682"/>
      <c r="O10" s="682"/>
      <c r="P10" s="682"/>
      <c r="Q10" s="682"/>
      <c r="R10" s="682"/>
      <c r="S10" s="682"/>
      <c r="T10" s="682"/>
      <c r="U10" s="682"/>
      <c r="V10" s="682"/>
      <c r="W10" s="682"/>
      <c r="X10" s="682"/>
      <c r="Y10" s="682"/>
      <c r="Z10" s="682"/>
      <c r="AA10" s="682"/>
      <c r="AB10" s="682"/>
      <c r="AC10" s="682"/>
      <c r="AD10" s="682"/>
      <c r="AE10" s="682"/>
      <c r="AF10" s="682"/>
      <c r="AG10" s="682"/>
      <c r="AH10" s="682"/>
      <c r="AI10" s="262"/>
      <c r="AJ10" s="262"/>
      <c r="AK10" s="262"/>
      <c r="AL10" s="262"/>
      <c r="AM10" s="262"/>
      <c r="AN10" s="262"/>
      <c r="AO10" s="262"/>
      <c r="AP10" s="262"/>
      <c r="AQ10" s="262"/>
    </row>
    <row r="11" spans="3:44" ht="15.95" customHeight="1">
      <c r="C11" s="262"/>
      <c r="D11" s="682"/>
      <c r="E11" s="682"/>
      <c r="F11" s="682"/>
      <c r="G11" s="682"/>
      <c r="H11" s="682"/>
      <c r="I11" s="682"/>
      <c r="J11" s="682"/>
      <c r="K11" s="682"/>
      <c r="L11" s="682"/>
      <c r="M11" s="682"/>
      <c r="N11" s="682"/>
      <c r="O11" s="682"/>
      <c r="P11" s="682"/>
      <c r="Q11" s="682"/>
      <c r="R11" s="682"/>
      <c r="S11" s="682"/>
      <c r="T11" s="682"/>
      <c r="U11" s="682"/>
      <c r="V11" s="682"/>
      <c r="W11" s="682"/>
      <c r="X11" s="682"/>
      <c r="Y11" s="682"/>
      <c r="Z11" s="682"/>
      <c r="AA11" s="682"/>
      <c r="AB11" s="682"/>
      <c r="AC11" s="682"/>
      <c r="AD11" s="682"/>
      <c r="AE11" s="682"/>
      <c r="AF11" s="682"/>
      <c r="AG11" s="682"/>
      <c r="AH11" s="682"/>
      <c r="AI11" s="262"/>
      <c r="AJ11" s="262"/>
      <c r="AK11" s="262"/>
      <c r="AL11" s="262"/>
      <c r="AM11" s="262"/>
      <c r="AN11" s="262"/>
      <c r="AO11" s="262"/>
      <c r="AP11" s="262"/>
      <c r="AQ11" s="262"/>
    </row>
    <row r="12" spans="3:44" ht="15.95" customHeight="1">
      <c r="C12" s="165"/>
      <c r="D12" s="674" t="str">
        <f ca="1">CONCATENATE(IF(V82&gt;TODAY(),"APPLICATIONS FOR BONUS PROJECTS WILL BE ACCEPTED THROUGH DECEMBER 6, 2022. ",""),IF(V82=TODAY()," BONUS EXPIRES TODAY!",""),IF(AND(V82&lt;=ABS(TODAY()+14),V82&gt;TODAY(),V82-TODAY()&lt;&gt;1),"BONUS EXPIRES IN "&amp;V82-TODAY()&amp;" DAYS!",IF(AND(V82&lt;=ABS(TODAY()+14),V82&gt;=TODAY(),V82-TODAY()=1),"BONUS EXPIRES IN "&amp;V82-TODAY()&amp;" DAY","")),IF(V82&lt;TODAY()," ",""),IF(V82&lt;TODAY(),"BONUS IS EXPIRED",""))</f>
        <v xml:space="preserve"> BONUS IS EXPIRED</v>
      </c>
      <c r="E12" s="674"/>
      <c r="F12" s="674"/>
      <c r="G12" s="674"/>
      <c r="H12" s="674"/>
      <c r="I12" s="674"/>
      <c r="J12" s="674"/>
      <c r="K12" s="674"/>
      <c r="L12" s="674"/>
      <c r="M12" s="674"/>
      <c r="N12" s="674"/>
      <c r="O12" s="674"/>
      <c r="P12" s="674"/>
      <c r="Q12" s="674"/>
      <c r="R12" s="674"/>
      <c r="S12" s="674"/>
      <c r="T12" s="674"/>
      <c r="U12" s="674"/>
      <c r="V12" s="674"/>
      <c r="W12" s="674"/>
      <c r="X12" s="674"/>
      <c r="Y12" s="674"/>
      <c r="Z12" s="674"/>
      <c r="AA12" s="674"/>
      <c r="AB12" s="674"/>
      <c r="AC12" s="674"/>
      <c r="AD12" s="674"/>
      <c r="AE12" s="674"/>
      <c r="AF12" s="674"/>
      <c r="AG12" s="674"/>
      <c r="AH12" s="674"/>
      <c r="AM12" s="164"/>
      <c r="AN12" s="163"/>
      <c r="AO12" s="163"/>
      <c r="AP12" s="163"/>
      <c r="AQ12" s="163"/>
      <c r="AR12" s="163"/>
    </row>
    <row r="13" spans="3:44" ht="15.95" customHeight="1"/>
    <row r="14" spans="3:44" ht="15.95" customHeight="1"/>
    <row r="15" spans="3:44" ht="15.95" customHeight="1"/>
    <row r="16" spans="3:44" ht="15.95" customHeight="1"/>
    <row r="17" spans="44:44" ht="15.95" customHeight="1"/>
    <row r="18" spans="44:44" ht="15.95" customHeight="1"/>
    <row r="19" spans="44:44" ht="15.95" customHeight="1"/>
    <row r="20" spans="44:44" ht="15.95" customHeight="1"/>
    <row r="21" spans="44:44" ht="15.95" customHeight="1"/>
    <row r="22" spans="44:44" ht="15.95" customHeight="1"/>
    <row r="23" spans="44:44" ht="15.95" customHeight="1"/>
    <row r="24" spans="44:44" ht="15.95" customHeight="1"/>
    <row r="25" spans="44:44" ht="15.95" customHeight="1"/>
    <row r="26" spans="44:44" ht="15.95" customHeight="1"/>
    <row r="27" spans="44:44" ht="15.95" customHeight="1">
      <c r="AR27" s="163"/>
    </row>
    <row r="28" spans="44:44" ht="15.95" customHeight="1">
      <c r="AR28" s="163"/>
    </row>
    <row r="29" spans="44:44" ht="15.95" customHeight="1"/>
    <row r="30" spans="44:44" ht="15.95" customHeight="1"/>
    <row r="31" spans="44:44" ht="15.95" customHeight="1"/>
    <row r="32" spans="44:44" ht="15.95" customHeight="1"/>
    <row r="33" spans="4:43" ht="15.95" customHeight="1">
      <c r="D33" s="145"/>
      <c r="E33" s="145"/>
      <c r="F33" s="145"/>
      <c r="G33" s="145"/>
      <c r="H33" s="145"/>
      <c r="I33" s="145"/>
      <c r="J33" s="145"/>
      <c r="K33" s="145"/>
      <c r="L33" s="145"/>
      <c r="M33" s="145"/>
      <c r="N33" s="145"/>
      <c r="O33" s="145"/>
      <c r="P33" s="145"/>
      <c r="Q33" s="145"/>
      <c r="R33" s="145"/>
      <c r="S33" s="145"/>
      <c r="T33" s="145"/>
      <c r="U33" s="145"/>
      <c r="V33" s="145"/>
      <c r="W33" s="145"/>
      <c r="X33" s="145"/>
      <c r="Y33" s="145"/>
      <c r="Z33" s="145"/>
      <c r="AA33" s="145"/>
      <c r="AB33" s="145"/>
      <c r="AC33" s="145"/>
      <c r="AD33" s="145"/>
      <c r="AE33" s="145"/>
      <c r="AF33" s="145"/>
      <c r="AG33" s="145"/>
      <c r="AH33" s="145"/>
      <c r="AI33" s="145"/>
      <c r="AJ33" s="145"/>
      <c r="AK33" s="145"/>
      <c r="AL33" s="145"/>
      <c r="AM33" s="145"/>
      <c r="AN33" s="145"/>
      <c r="AO33" s="145"/>
      <c r="AP33" s="145"/>
      <c r="AQ33" s="145"/>
    </row>
    <row r="34" spans="4:43" ht="15.95" customHeight="1"/>
    <row r="35" spans="4:43" ht="15.95" customHeight="1"/>
    <row r="36" spans="4:43" ht="15.95" customHeight="1"/>
    <row r="37" spans="4:43" ht="15.95" customHeight="1"/>
    <row r="38" spans="4:43" ht="15.95" customHeight="1"/>
    <row r="39" spans="4:43" ht="15.95" customHeight="1"/>
    <row r="40" spans="4:43" ht="15.95" customHeight="1"/>
    <row r="41" spans="4:43" ht="15.95" customHeight="1"/>
    <row r="42" spans="4:43" ht="15.95" hidden="1" customHeight="1"/>
    <row r="43" spans="4:43" ht="15.95" hidden="1" customHeight="1"/>
    <row r="44" spans="4:43" ht="15.95" hidden="1" customHeight="1"/>
    <row r="45" spans="4:43" ht="15.95" hidden="1" customHeight="1"/>
    <row r="46" spans="4:43" ht="15.95" hidden="1" customHeight="1"/>
    <row r="47" spans="4:43" ht="15.95" hidden="1" customHeight="1"/>
    <row r="48" spans="4:43" ht="15.95" hidden="1" customHeight="1"/>
    <row r="49" spans="3:31" ht="15.95" hidden="1" customHeight="1"/>
    <row r="50" spans="3:31" ht="15.95" hidden="1" customHeight="1"/>
    <row r="51" spans="3:31" ht="15.95" hidden="1" customHeight="1"/>
    <row r="52" spans="3:31" ht="15.95" hidden="1" customHeight="1"/>
    <row r="53" spans="3:31" ht="15.95" hidden="1" customHeight="1"/>
    <row r="54" spans="3:31" ht="15.95" hidden="1" customHeight="1"/>
    <row r="55" spans="3:31" ht="15.95" hidden="1" customHeight="1"/>
    <row r="56" spans="3:31" ht="15.95" hidden="1" customHeight="1"/>
    <row r="57" spans="3:31" ht="15.95" hidden="1" customHeight="1"/>
    <row r="58" spans="3:31" ht="15.95" hidden="1" customHeight="1"/>
    <row r="59" spans="3:31" ht="15.95" hidden="1" customHeight="1"/>
    <row r="60" spans="3:31" ht="15.95" hidden="1" customHeight="1"/>
    <row r="61" spans="3:31" ht="15.95" hidden="1" customHeight="1"/>
    <row r="62" spans="3:31" ht="15.95" hidden="1" customHeight="1">
      <c r="X62" s="59"/>
      <c r="Y62" s="59"/>
      <c r="Z62" s="59"/>
      <c r="AA62" s="59"/>
      <c r="AB62" s="59"/>
      <c r="AC62" s="59"/>
      <c r="AD62" s="59"/>
      <c r="AE62" s="59"/>
    </row>
    <row r="63" spans="3:31" ht="15.95" hidden="1" customHeight="1">
      <c r="C63" s="53"/>
      <c r="D63" s="53"/>
      <c r="E63" s="53"/>
      <c r="F63" s="53"/>
      <c r="G63" s="53"/>
      <c r="H63" s="53"/>
      <c r="I63" s="54"/>
      <c r="J63" s="54"/>
      <c r="K63" s="54"/>
      <c r="L63" s="54"/>
      <c r="M63" s="54"/>
      <c r="N63" s="54"/>
      <c r="O63" s="55"/>
      <c r="P63" s="55"/>
      <c r="Q63" s="55"/>
      <c r="R63" s="55"/>
      <c r="S63" s="55"/>
    </row>
    <row r="64" spans="3:31" ht="15.95" hidden="1" customHeight="1">
      <c r="C64" s="53"/>
      <c r="D64" s="53"/>
      <c r="E64" s="53"/>
      <c r="F64" s="53"/>
      <c r="G64" s="53"/>
      <c r="H64" s="53"/>
      <c r="I64" s="54"/>
      <c r="J64" s="54"/>
      <c r="K64" s="54"/>
      <c r="L64" s="54"/>
      <c r="M64" s="54"/>
      <c r="N64" s="54"/>
      <c r="O64" s="55"/>
      <c r="P64" s="55"/>
      <c r="Q64" s="55"/>
      <c r="R64" s="55"/>
      <c r="S64" s="55"/>
    </row>
    <row r="65" spans="3:19" ht="15.95" hidden="1" customHeight="1">
      <c r="C65" s="53"/>
      <c r="D65" s="53"/>
      <c r="E65" s="53"/>
      <c r="F65" s="53"/>
      <c r="G65" s="53"/>
      <c r="H65" s="53"/>
      <c r="I65" s="54"/>
      <c r="J65" s="54"/>
      <c r="K65" s="54"/>
      <c r="L65" s="54"/>
      <c r="M65" s="54"/>
      <c r="N65" s="54"/>
      <c r="O65" s="55"/>
      <c r="P65" s="55"/>
      <c r="Q65" s="55"/>
      <c r="R65" s="55"/>
      <c r="S65" s="55"/>
    </row>
    <row r="66" spans="3:19" ht="15.95" hidden="1" customHeight="1">
      <c r="C66" s="53"/>
      <c r="D66" s="53"/>
      <c r="E66" s="53"/>
      <c r="F66" s="53"/>
      <c r="G66" s="53"/>
      <c r="H66" s="53"/>
      <c r="I66" s="54"/>
      <c r="J66" s="54"/>
      <c r="K66" s="54"/>
      <c r="L66" s="54"/>
      <c r="M66" s="54"/>
      <c r="N66" s="54"/>
      <c r="O66" s="55"/>
      <c r="P66" s="55"/>
      <c r="Q66" s="55"/>
      <c r="R66" s="55"/>
      <c r="S66" s="55"/>
    </row>
    <row r="67" spans="3:19" ht="15.95" hidden="1" customHeight="1">
      <c r="C67" s="53"/>
      <c r="D67" s="53"/>
      <c r="E67" s="53"/>
      <c r="F67" s="53"/>
      <c r="G67" s="53"/>
      <c r="H67" s="53"/>
      <c r="I67" s="54"/>
      <c r="J67" s="54"/>
      <c r="K67" s="54"/>
      <c r="L67" s="54"/>
      <c r="M67" s="54"/>
      <c r="N67" s="54"/>
      <c r="O67" s="55"/>
      <c r="P67" s="55"/>
      <c r="Q67" s="55"/>
      <c r="R67" s="55"/>
      <c r="S67" s="55"/>
    </row>
    <row r="68" spans="3:19" ht="15.95" hidden="1" customHeight="1">
      <c r="C68" s="53"/>
      <c r="D68" s="53"/>
      <c r="E68" s="53"/>
      <c r="F68" s="53"/>
      <c r="G68" s="53"/>
      <c r="H68" s="53"/>
      <c r="I68" s="54"/>
      <c r="J68" s="54"/>
      <c r="K68" s="54"/>
      <c r="L68" s="54"/>
      <c r="M68" s="54"/>
      <c r="N68" s="54"/>
      <c r="O68" s="55"/>
      <c r="P68" s="55"/>
      <c r="Q68" s="55"/>
      <c r="R68" s="55"/>
      <c r="S68" s="55"/>
    </row>
    <row r="69" spans="3:19" ht="15.95" hidden="1" customHeight="1">
      <c r="C69" s="53"/>
      <c r="D69" s="53"/>
      <c r="E69" s="53"/>
      <c r="F69" s="53"/>
      <c r="G69" s="53"/>
      <c r="H69" s="53"/>
      <c r="I69" s="54"/>
      <c r="J69" s="54"/>
      <c r="K69" s="54"/>
      <c r="L69" s="54"/>
      <c r="M69" s="54"/>
      <c r="N69" s="54"/>
      <c r="O69" s="55"/>
      <c r="P69" s="55"/>
      <c r="Q69" s="55"/>
      <c r="R69" s="55"/>
      <c r="S69" s="55"/>
    </row>
    <row r="70" spans="3:19" ht="15.95" hidden="1" customHeight="1">
      <c r="C70" s="53"/>
      <c r="D70" s="53"/>
      <c r="E70" s="53"/>
      <c r="F70" s="53"/>
      <c r="G70" s="53"/>
      <c r="H70" s="53"/>
      <c r="I70" s="54"/>
      <c r="J70" s="54"/>
      <c r="K70" s="54"/>
      <c r="L70" s="54"/>
      <c r="M70" s="54"/>
      <c r="N70" s="54"/>
      <c r="O70" s="55"/>
      <c r="P70" s="55"/>
      <c r="Q70" s="55"/>
      <c r="R70" s="55"/>
      <c r="S70" s="55"/>
    </row>
    <row r="71" spans="3:19" ht="15.95" hidden="1" customHeight="1">
      <c r="C71" s="53"/>
      <c r="D71" s="53"/>
      <c r="E71" s="53"/>
      <c r="F71" s="53"/>
      <c r="G71" s="53"/>
      <c r="H71" s="53"/>
      <c r="I71" s="54"/>
      <c r="J71" s="54"/>
      <c r="K71" s="54"/>
      <c r="L71" s="54"/>
      <c r="M71" s="54"/>
      <c r="N71" s="54"/>
      <c r="O71" s="55"/>
      <c r="P71" s="55"/>
      <c r="Q71" s="55"/>
      <c r="R71" s="55"/>
      <c r="S71" s="55"/>
    </row>
    <row r="72" spans="3:19" ht="15.95" hidden="1" customHeight="1">
      <c r="C72" s="53"/>
      <c r="D72" s="53"/>
      <c r="E72" s="53"/>
      <c r="F72" s="53"/>
      <c r="G72" s="53"/>
      <c r="H72" s="53"/>
      <c r="I72" s="54"/>
      <c r="J72" s="54"/>
      <c r="K72" s="54"/>
      <c r="L72" s="54"/>
      <c r="M72" s="54"/>
      <c r="N72" s="54"/>
      <c r="O72" s="55"/>
      <c r="P72" s="55"/>
      <c r="Q72" s="55"/>
      <c r="R72" s="55"/>
      <c r="S72" s="55"/>
    </row>
    <row r="73" spans="3:19" ht="15.95" hidden="1" customHeight="1">
      <c r="C73" s="53"/>
      <c r="D73" s="53"/>
      <c r="E73" s="53"/>
      <c r="F73" s="53"/>
      <c r="G73" s="53"/>
      <c r="H73" s="53"/>
      <c r="I73" s="54"/>
      <c r="J73" s="54"/>
      <c r="K73" s="54"/>
      <c r="L73" s="54"/>
      <c r="M73" s="54"/>
      <c r="N73" s="54"/>
      <c r="O73" s="55"/>
      <c r="P73" s="55"/>
      <c r="Q73" s="55"/>
      <c r="R73" s="55"/>
      <c r="S73" s="55"/>
    </row>
    <row r="74" spans="3:19" ht="15.95" hidden="1" customHeight="1">
      <c r="C74" s="53"/>
      <c r="D74" s="53"/>
      <c r="E74" s="53"/>
      <c r="F74" s="53"/>
      <c r="G74" s="53"/>
      <c r="H74" s="53"/>
      <c r="I74" s="54"/>
      <c r="J74" s="54"/>
      <c r="K74" s="54"/>
      <c r="L74" s="54"/>
      <c r="M74" s="54"/>
      <c r="N74" s="54"/>
      <c r="O74" s="55"/>
      <c r="P74" s="55"/>
      <c r="Q74" s="55"/>
      <c r="R74" s="55"/>
      <c r="S74" s="55"/>
    </row>
    <row r="75" spans="3:19" ht="15.95" hidden="1" customHeight="1">
      <c r="C75" s="53"/>
      <c r="D75" s="53"/>
      <c r="E75" s="53"/>
      <c r="F75" s="53"/>
      <c r="G75" s="53"/>
      <c r="H75" s="53"/>
      <c r="I75" s="54"/>
      <c r="J75" s="54"/>
      <c r="K75" s="54"/>
      <c r="L75" s="54"/>
      <c r="M75" s="54"/>
      <c r="N75" s="54"/>
      <c r="O75" s="55"/>
      <c r="P75" s="55"/>
      <c r="Q75" s="55"/>
      <c r="R75" s="55"/>
      <c r="S75" s="55"/>
    </row>
    <row r="76" spans="3:19" ht="15.95" hidden="1" customHeight="1">
      <c r="C76" s="53"/>
      <c r="D76" s="53"/>
      <c r="E76" s="53"/>
      <c r="F76" s="53"/>
      <c r="G76" s="53"/>
      <c r="H76" s="53"/>
      <c r="I76" s="54"/>
      <c r="J76" s="54"/>
      <c r="K76" s="54"/>
      <c r="L76" s="54"/>
      <c r="M76" s="54"/>
      <c r="N76" s="54"/>
      <c r="O76" s="55"/>
      <c r="P76" s="55"/>
      <c r="Q76" s="55"/>
      <c r="R76" s="55"/>
      <c r="S76" s="55"/>
    </row>
    <row r="77" spans="3:19" ht="15.95" hidden="1" customHeight="1">
      <c r="C77" s="53"/>
      <c r="D77" s="53"/>
      <c r="E77" s="53"/>
      <c r="F77" s="53"/>
      <c r="G77" s="53"/>
      <c r="H77" s="53"/>
      <c r="I77" s="54"/>
      <c r="J77" s="54"/>
      <c r="K77" s="54"/>
      <c r="L77" s="54"/>
      <c r="M77" s="54"/>
      <c r="N77" s="54"/>
      <c r="O77" s="55"/>
      <c r="P77" s="55"/>
      <c r="Q77" s="55"/>
      <c r="R77" s="55"/>
      <c r="S77" s="55"/>
    </row>
    <row r="78" spans="3:19" ht="15.95" hidden="1" customHeight="1">
      <c r="C78" s="53"/>
      <c r="D78" s="53"/>
      <c r="E78" s="53"/>
      <c r="F78" s="53"/>
      <c r="G78" s="53"/>
      <c r="H78" s="53"/>
      <c r="I78" s="54"/>
      <c r="J78" s="54"/>
      <c r="K78" s="54"/>
      <c r="L78" s="54"/>
      <c r="M78" s="54"/>
      <c r="N78" s="54"/>
      <c r="O78" s="55"/>
      <c r="P78" s="55"/>
      <c r="Q78" s="55"/>
      <c r="R78" s="55"/>
      <c r="S78" s="55"/>
    </row>
    <row r="79" spans="3:19" ht="15.95" hidden="1" customHeight="1">
      <c r="C79" s="53"/>
      <c r="D79" s="53"/>
      <c r="E79" s="53"/>
      <c r="F79" s="53"/>
      <c r="G79" s="53"/>
      <c r="H79" s="53"/>
      <c r="I79" s="54"/>
      <c r="J79" s="54"/>
      <c r="K79" s="54"/>
      <c r="L79" s="54"/>
      <c r="M79" s="54"/>
      <c r="N79" s="54"/>
      <c r="O79" s="55"/>
      <c r="P79" s="55"/>
      <c r="Q79" s="55"/>
      <c r="R79" s="55"/>
      <c r="S79" s="55"/>
    </row>
    <row r="80" spans="3:19" ht="15.95" hidden="1" customHeight="1">
      <c r="C80" s="53"/>
      <c r="D80" s="53"/>
      <c r="E80" s="53"/>
      <c r="F80" s="53"/>
      <c r="G80" s="53"/>
      <c r="H80" s="53"/>
      <c r="I80" s="54"/>
      <c r="J80" s="54"/>
      <c r="K80" s="54"/>
      <c r="L80" s="54"/>
      <c r="M80" s="54"/>
      <c r="N80" s="54"/>
      <c r="O80" s="55"/>
      <c r="P80" s="55"/>
      <c r="Q80" s="55"/>
      <c r="R80" s="55"/>
      <c r="S80" s="55"/>
    </row>
    <row r="81" spans="3:44" ht="15.95" customHeight="1"/>
    <row r="82" spans="3:44" ht="15.95" customHeight="1">
      <c r="C82" s="660" t="s">
        <v>76</v>
      </c>
      <c r="D82" s="660"/>
      <c r="E82" s="660"/>
      <c r="F82" s="660"/>
      <c r="G82" s="660"/>
      <c r="H82" s="660"/>
      <c r="I82" s="659">
        <v>45838</v>
      </c>
      <c r="J82" s="659"/>
      <c r="K82" s="659"/>
      <c r="L82" s="659"/>
      <c r="M82" s="659"/>
      <c r="N82" s="659"/>
      <c r="O82" s="659"/>
      <c r="P82" s="659"/>
      <c r="Q82" s="662" t="s">
        <v>2116</v>
      </c>
      <c r="R82" s="662"/>
      <c r="S82" s="662"/>
      <c r="T82" s="662"/>
      <c r="U82" s="662"/>
      <c r="V82" s="658">
        <v>45626</v>
      </c>
      <c r="W82" s="658"/>
      <c r="X82" s="658"/>
      <c r="Y82" s="658"/>
      <c r="Z82" s="658"/>
      <c r="AA82" s="658"/>
      <c r="AB82" s="658"/>
      <c r="AD82" s="59"/>
      <c r="AE82" s="660" t="s">
        <v>2041</v>
      </c>
      <c r="AF82" s="660"/>
      <c r="AG82" s="660"/>
      <c r="AH82" s="660"/>
      <c r="AI82" s="660"/>
      <c r="AJ82" s="659">
        <v>45658</v>
      </c>
      <c r="AK82" s="659"/>
      <c r="AL82" s="659"/>
      <c r="AM82" s="659"/>
      <c r="AN82" s="659"/>
      <c r="AO82" s="659"/>
      <c r="AP82" s="659"/>
      <c r="AQ82" s="574"/>
      <c r="AR82" s="574"/>
    </row>
    <row r="83" spans="3:44" ht="15.95" hidden="1" customHeight="1">
      <c r="C83" s="53"/>
      <c r="D83" s="53"/>
      <c r="E83" s="53"/>
      <c r="F83" s="53"/>
      <c r="G83" s="53"/>
      <c r="H83" s="53"/>
      <c r="I83" s="54"/>
      <c r="J83" s="54"/>
      <c r="K83" s="54"/>
      <c r="L83" s="54"/>
      <c r="M83" s="54"/>
      <c r="N83" s="54"/>
      <c r="O83" s="55"/>
      <c r="P83" s="55"/>
      <c r="Q83" s="55"/>
      <c r="R83" s="55"/>
      <c r="S83" s="55"/>
    </row>
    <row r="84" spans="3:44" ht="15.95" hidden="1" customHeight="1">
      <c r="C84" s="53"/>
      <c r="D84" s="53"/>
      <c r="E84" s="53"/>
      <c r="F84" s="53"/>
      <c r="G84" s="53"/>
      <c r="H84" s="53"/>
      <c r="I84" s="54"/>
      <c r="J84" s="54"/>
      <c r="K84" s="54"/>
      <c r="L84" s="54"/>
      <c r="M84" s="54"/>
      <c r="N84" s="54"/>
      <c r="O84" s="55"/>
      <c r="P84" s="55"/>
      <c r="Q84" s="55"/>
      <c r="R84" s="55"/>
      <c r="S84" s="55"/>
    </row>
    <row r="85" spans="3:44" ht="15.95" hidden="1" customHeight="1">
      <c r="C85" s="53"/>
      <c r="D85" s="53"/>
      <c r="E85" s="53"/>
      <c r="F85" s="53"/>
      <c r="G85" s="53"/>
      <c r="H85" s="53"/>
      <c r="I85" s="54"/>
      <c r="J85" s="54"/>
      <c r="K85" s="54"/>
      <c r="L85" s="54"/>
      <c r="M85" s="54"/>
      <c r="N85" s="54"/>
      <c r="O85" s="55"/>
      <c r="P85" s="55"/>
      <c r="Q85" s="55"/>
      <c r="R85" s="55"/>
      <c r="S85" s="55"/>
    </row>
    <row r="86" spans="3:44" ht="15.95" hidden="1" customHeight="1">
      <c r="C86" s="53"/>
      <c r="D86" s="53"/>
      <c r="E86" s="53"/>
      <c r="F86" s="53"/>
      <c r="G86" s="53"/>
      <c r="H86" s="53"/>
      <c r="I86" s="54"/>
      <c r="J86" s="54"/>
      <c r="K86" s="54"/>
      <c r="L86" s="54"/>
      <c r="M86" s="54"/>
      <c r="N86" s="54"/>
      <c r="O86" s="55"/>
      <c r="P86" s="55"/>
      <c r="Q86" s="55"/>
      <c r="R86" s="55"/>
      <c r="S86" s="55"/>
    </row>
    <row r="87" spans="3:44" ht="15.95" hidden="1" customHeight="1">
      <c r="C87" s="53"/>
      <c r="D87" s="53"/>
      <c r="E87" s="53"/>
      <c r="F87" s="53"/>
      <c r="G87" s="53"/>
      <c r="H87" s="53"/>
      <c r="I87" s="54"/>
      <c r="J87" s="54"/>
      <c r="K87" s="54"/>
      <c r="L87" s="54"/>
      <c r="M87" s="54"/>
      <c r="N87" s="54"/>
      <c r="O87" s="55"/>
      <c r="P87" s="55"/>
      <c r="Q87" s="55"/>
      <c r="R87" s="55"/>
      <c r="S87" s="55"/>
    </row>
    <row r="88" spans="3:44" ht="15.95" hidden="1" customHeight="1">
      <c r="C88" s="53"/>
      <c r="D88" s="53"/>
      <c r="E88" s="53"/>
      <c r="F88" s="53"/>
      <c r="G88" s="53"/>
      <c r="H88" s="53"/>
      <c r="I88" s="54"/>
      <c r="J88" s="54"/>
      <c r="K88" s="54"/>
      <c r="L88" s="54"/>
      <c r="M88" s="54"/>
      <c r="N88" s="54"/>
      <c r="O88" s="55"/>
      <c r="P88" s="55"/>
      <c r="Q88" s="55"/>
      <c r="R88" s="55"/>
      <c r="S88" s="55"/>
    </row>
    <row r="89" spans="3:44" ht="15.95" hidden="1" customHeight="1">
      <c r="C89" s="53"/>
      <c r="D89" s="53"/>
      <c r="E89" s="53"/>
      <c r="F89" s="53"/>
      <c r="G89" s="53"/>
      <c r="H89" s="53"/>
      <c r="I89" s="54"/>
      <c r="J89" s="54"/>
      <c r="K89" s="54"/>
      <c r="L89" s="54"/>
      <c r="M89" s="54"/>
      <c r="N89" s="54"/>
      <c r="O89" s="55"/>
      <c r="P89" s="55"/>
      <c r="Q89" s="55"/>
      <c r="R89" s="55"/>
      <c r="S89" s="55"/>
    </row>
    <row r="90" spans="3:44" ht="15.95" hidden="1" customHeight="1">
      <c r="C90" s="53"/>
      <c r="D90" s="53"/>
      <c r="E90" s="53"/>
      <c r="F90" s="53"/>
      <c r="G90" s="53"/>
      <c r="H90" s="53"/>
      <c r="I90" s="54"/>
      <c r="J90" s="54"/>
      <c r="K90" s="54"/>
      <c r="L90" s="54"/>
      <c r="M90" s="54"/>
      <c r="N90" s="54"/>
      <c r="O90" s="55"/>
      <c r="P90" s="55"/>
      <c r="Q90" s="55"/>
      <c r="R90" s="55"/>
      <c r="S90" s="55"/>
    </row>
    <row r="91" spans="3:44" ht="15.95" hidden="1" customHeight="1">
      <c r="C91" s="53"/>
      <c r="D91" s="53"/>
      <c r="E91" s="53"/>
      <c r="F91" s="53"/>
      <c r="G91" s="53"/>
      <c r="H91" s="53"/>
      <c r="I91" s="54"/>
      <c r="J91" s="54"/>
      <c r="K91" s="54"/>
      <c r="L91" s="54"/>
      <c r="M91" s="54"/>
      <c r="N91" s="54"/>
      <c r="O91" s="55"/>
      <c r="P91" s="55"/>
      <c r="Q91" s="55"/>
      <c r="R91" s="55"/>
      <c r="S91" s="55"/>
    </row>
    <row r="92" spans="3:44" ht="15.95" hidden="1" customHeight="1">
      <c r="C92" s="53"/>
      <c r="D92" s="53"/>
      <c r="E92" s="53"/>
      <c r="F92" s="53"/>
      <c r="G92" s="53"/>
      <c r="H92" s="53"/>
      <c r="I92" s="54"/>
      <c r="J92" s="54"/>
      <c r="K92" s="54"/>
      <c r="L92" s="54"/>
      <c r="M92" s="54"/>
      <c r="N92" s="54"/>
      <c r="O92" s="55"/>
      <c r="P92" s="55"/>
      <c r="Q92" s="55"/>
      <c r="R92" s="55"/>
      <c r="S92" s="55"/>
    </row>
    <row r="93" spans="3:44" ht="15.95" hidden="1" customHeight="1">
      <c r="C93" s="53"/>
      <c r="D93" s="53"/>
      <c r="E93" s="53"/>
      <c r="F93" s="53"/>
      <c r="G93" s="53"/>
      <c r="H93" s="53"/>
      <c r="I93" s="54"/>
      <c r="J93" s="54"/>
      <c r="K93" s="54"/>
      <c r="L93" s="54"/>
      <c r="M93" s="54"/>
      <c r="N93" s="54"/>
      <c r="O93" s="55"/>
      <c r="P93" s="55"/>
      <c r="Q93" s="55"/>
      <c r="R93" s="55"/>
      <c r="S93" s="55"/>
    </row>
    <row r="94" spans="3:44" ht="15.95" hidden="1" customHeight="1">
      <c r="C94" s="53"/>
      <c r="D94" s="53"/>
      <c r="E94" s="53"/>
      <c r="F94" s="53"/>
      <c r="G94" s="53"/>
      <c r="H94" s="53"/>
      <c r="I94" s="468"/>
      <c r="J94" s="54"/>
      <c r="K94" s="54"/>
      <c r="L94" s="54"/>
      <c r="M94" s="54"/>
      <c r="N94" s="54"/>
      <c r="O94" s="55"/>
      <c r="P94" s="55"/>
      <c r="Q94" s="55"/>
      <c r="R94" s="55"/>
      <c r="S94" s="55"/>
    </row>
    <row r="95" spans="3:44" ht="15.95" hidden="1" customHeight="1">
      <c r="C95" s="53"/>
      <c r="D95" s="53"/>
      <c r="E95" s="53"/>
      <c r="F95" s="53"/>
      <c r="G95" s="53"/>
      <c r="H95" s="53"/>
      <c r="I95" s="54"/>
      <c r="J95" s="54"/>
      <c r="K95" s="54"/>
      <c r="L95" s="54"/>
      <c r="M95" s="54"/>
      <c r="N95" s="54"/>
      <c r="O95" s="55"/>
      <c r="P95" s="55"/>
      <c r="Q95" s="55"/>
      <c r="R95" s="55"/>
      <c r="S95" s="55"/>
    </row>
    <row r="96" spans="3:44" ht="15.95" hidden="1" customHeight="1">
      <c r="C96" s="53"/>
      <c r="D96" s="53"/>
      <c r="E96" s="53"/>
      <c r="F96" s="53"/>
      <c r="G96" s="53"/>
      <c r="H96" s="53"/>
      <c r="I96" s="54"/>
      <c r="J96" s="54"/>
      <c r="K96" s="54"/>
      <c r="L96" s="54"/>
      <c r="M96" s="54"/>
      <c r="N96" s="54"/>
      <c r="O96" s="55"/>
      <c r="P96" s="55"/>
      <c r="Q96" s="55"/>
      <c r="R96" s="55"/>
      <c r="S96" s="55"/>
    </row>
    <row r="97" spans="3:19" ht="15.95" hidden="1" customHeight="1">
      <c r="C97" s="53"/>
      <c r="D97" s="53"/>
      <c r="E97" s="53"/>
      <c r="F97" s="53"/>
      <c r="G97" s="53"/>
      <c r="H97" s="53"/>
      <c r="I97" s="54"/>
      <c r="J97" s="54"/>
      <c r="K97" s="54"/>
      <c r="L97" s="54"/>
      <c r="M97" s="54"/>
      <c r="N97" s="54"/>
      <c r="O97" s="55"/>
      <c r="P97" s="55"/>
      <c r="Q97" s="55"/>
      <c r="R97" s="55"/>
      <c r="S97" s="55"/>
    </row>
    <row r="98" spans="3:19" ht="15.95" hidden="1" customHeight="1">
      <c r="C98" s="53"/>
      <c r="D98" s="53"/>
      <c r="E98" s="53"/>
      <c r="F98" s="53"/>
      <c r="G98" s="53"/>
      <c r="H98" s="53"/>
      <c r="I98" s="54"/>
      <c r="J98" s="54"/>
      <c r="K98" s="54"/>
      <c r="L98" s="54"/>
      <c r="M98" s="54"/>
      <c r="N98" s="54"/>
      <c r="O98" s="55"/>
      <c r="P98" s="55"/>
      <c r="Q98" s="55"/>
      <c r="R98" s="55"/>
      <c r="S98" s="55"/>
    </row>
    <row r="99" spans="3:19" ht="15.95" hidden="1" customHeight="1">
      <c r="C99" s="53"/>
      <c r="D99" s="53"/>
      <c r="E99" s="53"/>
      <c r="F99" s="53"/>
      <c r="G99" s="53"/>
      <c r="H99" s="53"/>
      <c r="I99" s="54"/>
      <c r="J99" s="54"/>
      <c r="K99" s="54"/>
      <c r="L99" s="54"/>
      <c r="M99" s="54"/>
      <c r="N99" s="54"/>
      <c r="O99" s="55"/>
      <c r="P99" s="55"/>
      <c r="Q99" s="55"/>
      <c r="R99" s="55"/>
      <c r="S99" s="55"/>
    </row>
    <row r="100" spans="3:19" ht="15.95" hidden="1" customHeight="1">
      <c r="C100" s="53"/>
      <c r="D100" s="53"/>
      <c r="E100" s="53"/>
      <c r="F100" s="53"/>
      <c r="G100" s="53"/>
      <c r="H100" s="53"/>
      <c r="I100" s="54"/>
      <c r="J100" s="54"/>
      <c r="K100" s="54"/>
      <c r="L100" s="54"/>
      <c r="M100" s="54"/>
      <c r="N100" s="54"/>
      <c r="O100" s="55"/>
      <c r="P100" s="55"/>
      <c r="Q100" s="55"/>
      <c r="R100" s="55"/>
      <c r="S100" s="55"/>
    </row>
    <row r="101" spans="3:19" ht="15.95" hidden="1" customHeight="1">
      <c r="C101" s="53"/>
      <c r="D101" s="53"/>
      <c r="E101" s="53"/>
      <c r="F101" s="53"/>
      <c r="G101" s="53"/>
      <c r="H101" s="53"/>
      <c r="I101" s="54"/>
      <c r="J101" s="54"/>
      <c r="K101" s="54"/>
      <c r="L101" s="54"/>
      <c r="M101" s="54"/>
      <c r="N101" s="54"/>
      <c r="O101" s="55"/>
      <c r="P101" s="55"/>
      <c r="Q101" s="55"/>
      <c r="R101" s="55"/>
      <c r="S101" s="55"/>
    </row>
    <row r="102" spans="3:19" ht="15.95" hidden="1" customHeight="1">
      <c r="C102" s="53"/>
      <c r="D102" s="53"/>
      <c r="E102" s="53"/>
      <c r="F102" s="53"/>
      <c r="G102" s="53"/>
      <c r="H102" s="53"/>
      <c r="I102" s="54"/>
      <c r="J102" s="54"/>
      <c r="K102" s="54"/>
      <c r="L102" s="54"/>
      <c r="M102" s="54"/>
      <c r="N102" s="54"/>
      <c r="O102" s="55"/>
      <c r="P102" s="55"/>
      <c r="Q102" s="55"/>
      <c r="R102" s="55"/>
      <c r="S102" s="55"/>
    </row>
    <row r="103" spans="3:19" ht="15.95" hidden="1" customHeight="1">
      <c r="C103" s="53"/>
      <c r="D103" s="53"/>
      <c r="E103" s="53"/>
      <c r="F103" s="53"/>
      <c r="G103" s="53"/>
      <c r="H103" s="53"/>
      <c r="I103" s="54"/>
      <c r="J103" s="54"/>
      <c r="K103" s="54"/>
      <c r="L103" s="54"/>
      <c r="M103" s="54"/>
      <c r="N103" s="54"/>
      <c r="O103" s="55"/>
      <c r="P103" s="55"/>
      <c r="Q103" s="55"/>
      <c r="R103" s="55"/>
      <c r="S103" s="55"/>
    </row>
    <row r="104" spans="3:19" ht="15.95" hidden="1" customHeight="1">
      <c r="C104" s="53"/>
      <c r="D104" s="53"/>
      <c r="E104" s="53"/>
      <c r="F104" s="53"/>
      <c r="G104" s="53"/>
      <c r="H104" s="53"/>
      <c r="I104" s="54"/>
      <c r="J104" s="54"/>
      <c r="K104" s="54"/>
      <c r="L104" s="54"/>
      <c r="M104" s="54"/>
      <c r="N104" s="54"/>
      <c r="O104" s="55"/>
      <c r="P104" s="55"/>
      <c r="Q104" s="55"/>
      <c r="R104" s="55"/>
      <c r="S104" s="55"/>
    </row>
    <row r="105" spans="3:19" ht="15.95" hidden="1" customHeight="1">
      <c r="C105" s="53"/>
      <c r="D105" s="53"/>
      <c r="E105" s="53"/>
      <c r="F105" s="53"/>
      <c r="G105" s="53"/>
      <c r="H105" s="53"/>
      <c r="I105" s="54"/>
      <c r="J105" s="54"/>
      <c r="K105" s="54"/>
      <c r="L105" s="54"/>
      <c r="M105" s="54"/>
      <c r="N105" s="54"/>
      <c r="O105" s="55"/>
      <c r="P105" s="55"/>
      <c r="Q105" s="55"/>
      <c r="R105" s="55"/>
      <c r="S105" s="55"/>
    </row>
    <row r="106" spans="3:19" ht="15.95" hidden="1" customHeight="1">
      <c r="C106" s="53"/>
      <c r="D106" s="53"/>
      <c r="E106" s="53"/>
      <c r="F106" s="53"/>
      <c r="G106" s="53"/>
      <c r="H106" s="53"/>
      <c r="I106" s="54"/>
      <c r="J106" s="54"/>
      <c r="K106" s="54"/>
      <c r="L106" s="54"/>
      <c r="M106" s="54"/>
      <c r="N106" s="54"/>
      <c r="O106" s="55"/>
      <c r="P106" s="55"/>
      <c r="Q106" s="55"/>
      <c r="R106" s="55"/>
      <c r="S106" s="55"/>
    </row>
    <row r="107" spans="3:19" ht="15.95" hidden="1" customHeight="1">
      <c r="C107" s="53"/>
      <c r="D107" s="53"/>
      <c r="E107" s="53"/>
      <c r="F107" s="53"/>
      <c r="G107" s="53"/>
      <c r="H107" s="53"/>
      <c r="I107" s="54"/>
      <c r="J107" s="54"/>
      <c r="K107" s="54"/>
      <c r="L107" s="54"/>
      <c r="M107" s="54"/>
      <c r="N107" s="54"/>
      <c r="O107" s="55"/>
      <c r="P107" s="55"/>
      <c r="Q107" s="55"/>
      <c r="R107" s="55"/>
      <c r="S107" s="55"/>
    </row>
    <row r="108" spans="3:19" ht="15.95" hidden="1" customHeight="1">
      <c r="C108" s="53"/>
      <c r="D108" s="53"/>
      <c r="E108" s="53"/>
      <c r="F108" s="53"/>
      <c r="G108" s="53"/>
      <c r="H108" s="53"/>
      <c r="I108" s="54"/>
      <c r="J108" s="54"/>
      <c r="K108" s="54"/>
      <c r="L108" s="54"/>
      <c r="M108" s="54"/>
      <c r="N108" s="54"/>
      <c r="O108" s="55"/>
      <c r="P108" s="55"/>
      <c r="Q108" s="55"/>
      <c r="R108" s="55"/>
      <c r="S108" s="55"/>
    </row>
    <row r="109" spans="3:19" ht="15.95" hidden="1" customHeight="1">
      <c r="C109" s="53"/>
      <c r="D109" s="53"/>
      <c r="E109" s="53"/>
      <c r="F109" s="53"/>
      <c r="G109" s="53"/>
      <c r="H109" s="53"/>
      <c r="I109" s="54"/>
      <c r="J109" s="54"/>
      <c r="K109" s="54"/>
      <c r="L109" s="54"/>
      <c r="M109" s="54"/>
      <c r="N109" s="54"/>
      <c r="O109" s="55"/>
      <c r="P109" s="55"/>
      <c r="Q109" s="55"/>
      <c r="R109" s="55"/>
      <c r="S109" s="55"/>
    </row>
    <row r="110" spans="3:19" ht="15.95" hidden="1" customHeight="1">
      <c r="C110" s="53"/>
      <c r="D110" s="53"/>
      <c r="E110" s="53"/>
      <c r="F110" s="53"/>
      <c r="G110" s="53"/>
      <c r="H110" s="53"/>
      <c r="I110" s="54"/>
      <c r="J110" s="54"/>
      <c r="K110" s="54"/>
      <c r="L110" s="54"/>
      <c r="M110" s="54"/>
      <c r="N110" s="54"/>
      <c r="O110" s="55"/>
      <c r="P110" s="55"/>
      <c r="Q110" s="55"/>
      <c r="R110" s="55"/>
      <c r="S110" s="55"/>
    </row>
    <row r="111" spans="3:19" ht="15.95" hidden="1" customHeight="1">
      <c r="C111" s="53"/>
      <c r="D111" s="53"/>
      <c r="E111" s="53"/>
      <c r="F111" s="53"/>
      <c r="G111" s="53"/>
      <c r="H111" s="53"/>
      <c r="I111" s="54"/>
      <c r="J111" s="54"/>
      <c r="K111" s="54"/>
      <c r="L111" s="54"/>
      <c r="M111" s="54"/>
      <c r="N111" s="54"/>
      <c r="O111" s="55"/>
      <c r="P111" s="55"/>
      <c r="Q111" s="55"/>
      <c r="R111" s="55"/>
      <c r="S111" s="55"/>
    </row>
    <row r="112" spans="3:19" ht="15.95" hidden="1" customHeight="1">
      <c r="C112" s="53"/>
      <c r="D112" s="53"/>
      <c r="E112" s="53"/>
      <c r="F112" s="53"/>
      <c r="G112" s="53"/>
      <c r="H112" s="53"/>
      <c r="I112" s="54"/>
      <c r="J112" s="54"/>
      <c r="K112" s="54"/>
      <c r="L112" s="54"/>
      <c r="M112" s="54"/>
      <c r="N112" s="54"/>
      <c r="O112" s="55"/>
      <c r="P112" s="55"/>
      <c r="Q112" s="55"/>
      <c r="R112" s="55"/>
      <c r="S112" s="55"/>
    </row>
    <row r="113" spans="3:19" ht="15.95" hidden="1" customHeight="1">
      <c r="C113" s="53"/>
      <c r="D113" s="53"/>
      <c r="E113" s="53"/>
      <c r="F113" s="53"/>
      <c r="G113" s="53"/>
      <c r="H113" s="53"/>
      <c r="I113" s="54"/>
      <c r="J113" s="54"/>
      <c r="K113" s="54"/>
      <c r="L113" s="54"/>
      <c r="M113" s="54"/>
      <c r="N113" s="54"/>
      <c r="O113" s="55"/>
      <c r="P113" s="55"/>
      <c r="Q113" s="55"/>
      <c r="R113" s="55"/>
      <c r="S113" s="55"/>
    </row>
    <row r="114" spans="3:19" ht="15.95" hidden="1" customHeight="1">
      <c r="C114" s="53"/>
      <c r="D114" s="53"/>
      <c r="E114" s="53"/>
      <c r="F114" s="53"/>
      <c r="G114" s="53"/>
      <c r="H114" s="53"/>
      <c r="I114" s="54"/>
      <c r="J114" s="54"/>
      <c r="K114" s="54"/>
      <c r="L114" s="54"/>
      <c r="M114" s="54"/>
      <c r="N114" s="54"/>
      <c r="O114" s="55"/>
      <c r="P114" s="55"/>
      <c r="Q114" s="55"/>
      <c r="R114" s="55"/>
      <c r="S114" s="55"/>
    </row>
    <row r="115" spans="3:19" ht="15.95" hidden="1" customHeight="1">
      <c r="C115" s="53"/>
      <c r="D115" s="53"/>
      <c r="E115" s="53"/>
      <c r="F115" s="53"/>
      <c r="G115" s="53"/>
      <c r="H115" s="53"/>
      <c r="I115" s="54"/>
      <c r="J115" s="54"/>
      <c r="K115" s="54"/>
      <c r="L115" s="54"/>
      <c r="M115" s="54"/>
      <c r="N115" s="54"/>
      <c r="O115" s="55"/>
      <c r="P115" s="55"/>
      <c r="Q115" s="55"/>
      <c r="R115" s="55"/>
      <c r="S115" s="55"/>
    </row>
    <row r="116" spans="3:19" ht="15.95" hidden="1" customHeight="1">
      <c r="C116" s="53"/>
      <c r="D116" s="53"/>
      <c r="E116" s="53"/>
      <c r="F116" s="53"/>
      <c r="G116" s="53"/>
      <c r="H116" s="53"/>
      <c r="I116" s="54"/>
      <c r="J116" s="54"/>
      <c r="K116" s="54"/>
      <c r="L116" s="54"/>
      <c r="M116" s="54"/>
      <c r="N116" s="54"/>
      <c r="O116" s="55"/>
      <c r="P116" s="55"/>
      <c r="Q116" s="55"/>
      <c r="R116" s="55"/>
      <c r="S116" s="55"/>
    </row>
    <row r="117" spans="3:19" ht="15.95" hidden="1" customHeight="1">
      <c r="C117" s="53"/>
      <c r="D117" s="53"/>
      <c r="E117" s="53"/>
      <c r="F117" s="53"/>
      <c r="G117" s="53"/>
      <c r="H117" s="53"/>
      <c r="I117" s="54"/>
      <c r="J117" s="54"/>
      <c r="K117" s="54"/>
      <c r="L117" s="54"/>
      <c r="M117" s="54"/>
      <c r="N117" s="54"/>
      <c r="O117" s="55"/>
      <c r="P117" s="55"/>
      <c r="Q117" s="55"/>
      <c r="R117" s="55"/>
      <c r="S117" s="55"/>
    </row>
    <row r="118" spans="3:19" ht="15.95" hidden="1" customHeight="1">
      <c r="C118" s="53"/>
      <c r="D118" s="53"/>
      <c r="E118" s="53"/>
      <c r="F118" s="53"/>
      <c r="G118" s="53"/>
      <c r="H118" s="53"/>
      <c r="I118" s="54"/>
      <c r="J118" s="54"/>
      <c r="K118" s="54"/>
      <c r="L118" s="54"/>
      <c r="M118" s="54"/>
      <c r="N118" s="54"/>
      <c r="O118" s="55"/>
      <c r="P118" s="55"/>
      <c r="Q118" s="55"/>
      <c r="R118" s="55"/>
      <c r="S118" s="55"/>
    </row>
    <row r="119" spans="3:19" ht="15.95" hidden="1" customHeight="1">
      <c r="C119" s="53"/>
      <c r="D119" s="53"/>
      <c r="E119" s="53"/>
      <c r="F119" s="53"/>
      <c r="G119" s="53"/>
      <c r="H119" s="53"/>
      <c r="I119" s="54"/>
      <c r="J119" s="54"/>
      <c r="K119" s="54"/>
      <c r="L119" s="54"/>
      <c r="M119" s="54"/>
      <c r="N119" s="54"/>
      <c r="O119" s="55"/>
      <c r="P119" s="55"/>
      <c r="Q119" s="55"/>
      <c r="R119" s="55"/>
      <c r="S119" s="55"/>
    </row>
    <row r="120" spans="3:19" ht="15.95" hidden="1" customHeight="1">
      <c r="C120" s="53"/>
      <c r="D120" s="53"/>
      <c r="E120" s="53"/>
      <c r="F120" s="53"/>
      <c r="G120" s="53"/>
      <c r="H120" s="53"/>
      <c r="I120" s="54"/>
      <c r="J120" s="54"/>
      <c r="K120" s="54"/>
      <c r="L120" s="54"/>
      <c r="M120" s="54"/>
      <c r="N120" s="54"/>
      <c r="O120" s="55"/>
      <c r="P120" s="55"/>
      <c r="Q120" s="55"/>
      <c r="R120" s="55"/>
      <c r="S120" s="55"/>
    </row>
    <row r="121" spans="3:19" ht="15.95" hidden="1" customHeight="1">
      <c r="C121" s="53"/>
      <c r="D121" s="53"/>
      <c r="E121" s="53"/>
      <c r="F121" s="53"/>
      <c r="G121" s="53"/>
      <c r="H121" s="53"/>
      <c r="I121" s="54"/>
      <c r="J121" s="54"/>
      <c r="K121" s="54"/>
      <c r="L121" s="54"/>
      <c r="M121" s="54"/>
      <c r="N121" s="54"/>
      <c r="O121" s="55"/>
      <c r="P121" s="55"/>
      <c r="Q121" s="55"/>
      <c r="R121" s="55"/>
      <c r="S121" s="55"/>
    </row>
    <row r="122" spans="3:19" ht="15.95" hidden="1" customHeight="1">
      <c r="C122" s="53"/>
      <c r="D122" s="53"/>
      <c r="E122" s="53"/>
      <c r="F122" s="53"/>
      <c r="G122" s="53"/>
      <c r="H122" s="53"/>
      <c r="I122" s="54"/>
      <c r="J122" s="54"/>
      <c r="K122" s="54"/>
      <c r="L122" s="54"/>
      <c r="M122" s="54"/>
      <c r="N122" s="54"/>
      <c r="O122" s="55"/>
      <c r="P122" s="55"/>
      <c r="Q122" s="55"/>
      <c r="R122" s="55"/>
      <c r="S122" s="55"/>
    </row>
    <row r="123" spans="3:19" ht="15.95" hidden="1" customHeight="1">
      <c r="C123" s="53"/>
      <c r="D123" s="53"/>
      <c r="E123" s="53"/>
      <c r="F123" s="53"/>
      <c r="G123" s="53"/>
      <c r="H123" s="53"/>
      <c r="I123" s="54"/>
      <c r="J123" s="54"/>
      <c r="K123" s="54"/>
      <c r="L123" s="54"/>
      <c r="M123" s="54"/>
      <c r="N123" s="54"/>
      <c r="O123" s="55"/>
      <c r="P123" s="55"/>
      <c r="Q123" s="55"/>
      <c r="R123" s="55"/>
      <c r="S123" s="55"/>
    </row>
    <row r="124" spans="3:19" ht="15.95" hidden="1" customHeight="1">
      <c r="C124" s="53"/>
      <c r="D124" s="53"/>
      <c r="E124" s="53"/>
      <c r="F124" s="53"/>
      <c r="G124" s="53"/>
      <c r="H124" s="53"/>
      <c r="I124" s="54"/>
      <c r="J124" s="54"/>
      <c r="K124" s="54"/>
      <c r="L124" s="54"/>
      <c r="M124" s="54"/>
      <c r="N124" s="54"/>
      <c r="O124" s="55"/>
      <c r="P124" s="55"/>
      <c r="Q124" s="55"/>
      <c r="R124" s="55"/>
      <c r="S124" s="55"/>
    </row>
    <row r="125" spans="3:19" ht="15.95" hidden="1" customHeight="1">
      <c r="C125" s="53"/>
      <c r="D125" s="53"/>
      <c r="E125" s="53"/>
      <c r="F125" s="53"/>
      <c r="G125" s="53"/>
      <c r="H125" s="53"/>
      <c r="I125" s="54"/>
      <c r="J125" s="54"/>
      <c r="K125" s="54"/>
      <c r="L125" s="54"/>
      <c r="M125" s="54"/>
      <c r="N125" s="54"/>
      <c r="O125" s="55"/>
      <c r="P125" s="55"/>
      <c r="Q125" s="55"/>
      <c r="R125" s="55"/>
      <c r="S125" s="55"/>
    </row>
    <row r="126" spans="3:19" ht="15.95" hidden="1" customHeight="1">
      <c r="C126" s="53"/>
      <c r="D126" s="53"/>
      <c r="E126" s="53"/>
      <c r="F126" s="53"/>
      <c r="G126" s="53"/>
      <c r="H126" s="53"/>
      <c r="I126" s="54"/>
      <c r="J126" s="54"/>
      <c r="K126" s="54"/>
      <c r="L126" s="54"/>
      <c r="M126" s="54"/>
      <c r="N126" s="54"/>
      <c r="O126" s="55"/>
      <c r="P126" s="55"/>
      <c r="Q126" s="55"/>
      <c r="R126" s="55"/>
      <c r="S126" s="55"/>
    </row>
    <row r="127" spans="3:19" ht="15.95" hidden="1" customHeight="1">
      <c r="C127" s="53"/>
      <c r="D127" s="53"/>
      <c r="E127" s="53"/>
      <c r="F127" s="53"/>
      <c r="G127" s="53"/>
      <c r="H127" s="53"/>
      <c r="I127" s="54"/>
      <c r="J127" s="54"/>
      <c r="K127" s="54"/>
      <c r="L127" s="54"/>
      <c r="M127" s="54"/>
      <c r="N127" s="54"/>
      <c r="O127" s="55"/>
      <c r="P127" s="55"/>
      <c r="Q127" s="55"/>
      <c r="R127" s="55"/>
      <c r="S127" s="55"/>
    </row>
    <row r="128" spans="3:19" ht="15.95" hidden="1" customHeight="1">
      <c r="C128" s="53"/>
      <c r="D128" s="53"/>
      <c r="E128" s="53"/>
      <c r="F128" s="53"/>
      <c r="G128" s="53"/>
      <c r="H128" s="53"/>
      <c r="I128" s="54"/>
      <c r="J128" s="54"/>
      <c r="K128" s="54"/>
      <c r="L128" s="54"/>
      <c r="M128" s="54"/>
      <c r="N128" s="54"/>
      <c r="O128" s="55"/>
      <c r="P128" s="55"/>
      <c r="Q128" s="55"/>
      <c r="R128" s="55"/>
      <c r="S128" s="55"/>
    </row>
    <row r="129" spans="3:19" ht="15.95" hidden="1" customHeight="1">
      <c r="C129" s="53"/>
      <c r="D129" s="53"/>
      <c r="E129" s="53"/>
      <c r="F129" s="53"/>
      <c r="G129" s="53"/>
      <c r="H129" s="53"/>
      <c r="I129" s="54"/>
      <c r="J129" s="54"/>
      <c r="K129" s="54"/>
      <c r="L129" s="54"/>
      <c r="M129" s="54"/>
      <c r="N129" s="54"/>
      <c r="O129" s="55"/>
      <c r="P129" s="55"/>
      <c r="Q129" s="55"/>
      <c r="R129" s="55"/>
      <c r="S129" s="55"/>
    </row>
    <row r="130" spans="3:19" ht="15.95" hidden="1" customHeight="1">
      <c r="C130" s="53"/>
      <c r="D130" s="53"/>
      <c r="E130" s="53"/>
      <c r="F130" s="53"/>
      <c r="G130" s="53"/>
      <c r="H130" s="53"/>
      <c r="I130" s="54"/>
      <c r="J130" s="54"/>
      <c r="K130" s="54"/>
      <c r="L130" s="54"/>
      <c r="M130" s="54"/>
      <c r="N130" s="54"/>
      <c r="O130" s="55"/>
      <c r="P130" s="55"/>
      <c r="Q130" s="55"/>
      <c r="R130" s="55"/>
      <c r="S130" s="55"/>
    </row>
    <row r="131" spans="3:19" ht="15.95" hidden="1" customHeight="1">
      <c r="C131" s="53"/>
      <c r="D131" s="53"/>
      <c r="E131" s="53"/>
      <c r="F131" s="53"/>
      <c r="G131" s="53"/>
      <c r="H131" s="53"/>
      <c r="I131" s="54"/>
      <c r="J131" s="54"/>
      <c r="K131" s="54"/>
      <c r="L131" s="54"/>
      <c r="M131" s="54"/>
      <c r="N131" s="54"/>
      <c r="O131" s="55"/>
      <c r="P131" s="55"/>
      <c r="Q131" s="55"/>
      <c r="R131" s="55"/>
      <c r="S131" s="55"/>
    </row>
    <row r="132" spans="3:19" ht="15.95" hidden="1" customHeight="1">
      <c r="C132" s="53"/>
      <c r="D132" s="53"/>
      <c r="E132" s="53"/>
      <c r="F132" s="53"/>
      <c r="G132" s="53"/>
      <c r="H132" s="53"/>
      <c r="I132" s="54"/>
      <c r="J132" s="54"/>
      <c r="K132" s="54"/>
      <c r="L132" s="54"/>
      <c r="M132" s="54"/>
      <c r="N132" s="54"/>
      <c r="O132" s="55"/>
      <c r="P132" s="55"/>
      <c r="Q132" s="55"/>
      <c r="R132" s="55"/>
      <c r="S132" s="55"/>
    </row>
    <row r="133" spans="3:19" ht="15.95" hidden="1" customHeight="1">
      <c r="C133" s="53"/>
      <c r="D133" s="53"/>
      <c r="E133" s="53"/>
      <c r="F133" s="53"/>
      <c r="G133" s="53"/>
      <c r="H133" s="53"/>
      <c r="I133" s="54"/>
      <c r="J133" s="54"/>
      <c r="K133" s="54"/>
      <c r="L133" s="54"/>
      <c r="M133" s="54"/>
      <c r="N133" s="54"/>
      <c r="O133" s="55"/>
      <c r="P133" s="55"/>
      <c r="Q133" s="55"/>
      <c r="R133" s="55"/>
      <c r="S133" s="55"/>
    </row>
    <row r="134" spans="3:19" ht="15.95" hidden="1" customHeight="1">
      <c r="C134" s="53"/>
      <c r="D134" s="53"/>
      <c r="E134" s="53"/>
      <c r="F134" s="53"/>
      <c r="G134" s="53"/>
      <c r="H134" s="53"/>
      <c r="I134" s="54"/>
      <c r="J134" s="54"/>
      <c r="K134" s="54"/>
      <c r="L134" s="54"/>
      <c r="M134" s="54"/>
      <c r="N134" s="54"/>
      <c r="O134" s="55"/>
      <c r="P134" s="55"/>
      <c r="Q134" s="55"/>
      <c r="R134" s="55"/>
      <c r="S134" s="55"/>
    </row>
    <row r="135" spans="3:19" ht="15.95" hidden="1" customHeight="1">
      <c r="C135" s="53"/>
      <c r="D135" s="53"/>
      <c r="E135" s="53"/>
      <c r="F135" s="53"/>
      <c r="G135" s="53"/>
      <c r="H135" s="53"/>
      <c r="I135" s="54"/>
      <c r="J135" s="54"/>
      <c r="K135" s="54"/>
      <c r="L135" s="54"/>
      <c r="M135" s="54"/>
      <c r="N135" s="54"/>
      <c r="O135" s="55"/>
      <c r="P135" s="55"/>
      <c r="Q135" s="55"/>
      <c r="R135" s="55"/>
      <c r="S135" s="55"/>
    </row>
    <row r="136" spans="3:19" ht="15.95" hidden="1" customHeight="1">
      <c r="C136" s="53"/>
      <c r="D136" s="53"/>
      <c r="E136" s="53"/>
      <c r="F136" s="53"/>
      <c r="G136" s="53"/>
      <c r="H136" s="53"/>
      <c r="I136" s="54"/>
      <c r="J136" s="54"/>
      <c r="K136" s="54"/>
      <c r="L136" s="54"/>
      <c r="M136" s="54"/>
      <c r="N136" s="54"/>
      <c r="O136" s="55"/>
      <c r="P136" s="55"/>
      <c r="Q136" s="55"/>
      <c r="R136" s="55"/>
      <c r="S136" s="55"/>
    </row>
    <row r="137" spans="3:19" ht="15.95" hidden="1" customHeight="1">
      <c r="C137" s="53"/>
      <c r="D137" s="53"/>
      <c r="E137" s="53"/>
      <c r="F137" s="53"/>
      <c r="G137" s="53"/>
      <c r="H137" s="53"/>
      <c r="I137" s="54"/>
      <c r="J137" s="54"/>
      <c r="K137" s="54"/>
      <c r="L137" s="54"/>
      <c r="M137" s="54"/>
      <c r="N137" s="54"/>
      <c r="O137" s="55"/>
      <c r="P137" s="55"/>
      <c r="Q137" s="55"/>
      <c r="R137" s="55"/>
      <c r="S137" s="55"/>
    </row>
    <row r="138" spans="3:19" ht="15.95" hidden="1" customHeight="1">
      <c r="C138" s="53"/>
      <c r="D138" s="53"/>
      <c r="E138" s="53"/>
      <c r="F138" s="53"/>
      <c r="G138" s="53"/>
      <c r="H138" s="53"/>
      <c r="I138" s="54"/>
      <c r="J138" s="54"/>
      <c r="K138" s="54"/>
      <c r="L138" s="54"/>
      <c r="M138" s="54"/>
      <c r="N138" s="54"/>
      <c r="O138" s="55"/>
      <c r="P138" s="55"/>
      <c r="Q138" s="55"/>
      <c r="R138" s="55"/>
      <c r="S138" s="55"/>
    </row>
    <row r="139" spans="3:19" ht="15.95" hidden="1" customHeight="1">
      <c r="C139" s="53"/>
      <c r="D139" s="53"/>
      <c r="E139" s="53"/>
      <c r="F139" s="53"/>
      <c r="G139" s="53"/>
      <c r="H139" s="53"/>
      <c r="I139" s="54"/>
      <c r="J139" s="54"/>
      <c r="K139" s="54"/>
      <c r="L139" s="54"/>
      <c r="M139" s="54"/>
      <c r="N139" s="54"/>
      <c r="O139" s="55"/>
      <c r="P139" s="55"/>
      <c r="Q139" s="55"/>
      <c r="R139" s="55"/>
      <c r="S139" s="55"/>
    </row>
    <row r="140" spans="3:19" ht="15.95" hidden="1" customHeight="1">
      <c r="C140" s="53"/>
      <c r="D140" s="53"/>
      <c r="E140" s="53"/>
      <c r="F140" s="53"/>
      <c r="G140" s="53"/>
      <c r="H140" s="53"/>
      <c r="I140" s="54"/>
      <c r="J140" s="54"/>
      <c r="K140" s="54"/>
      <c r="L140" s="54"/>
      <c r="M140" s="54"/>
      <c r="N140" s="54"/>
      <c r="O140" s="55"/>
      <c r="P140" s="55"/>
      <c r="Q140" s="55"/>
      <c r="R140" s="55"/>
      <c r="S140" s="55"/>
    </row>
    <row r="141" spans="3:19" ht="15.95" hidden="1" customHeight="1">
      <c r="C141" s="53"/>
      <c r="D141" s="53"/>
      <c r="E141" s="53"/>
      <c r="F141" s="53"/>
      <c r="G141" s="53"/>
      <c r="H141" s="53"/>
      <c r="I141" s="54"/>
      <c r="J141" s="54"/>
      <c r="K141" s="54"/>
      <c r="L141" s="54"/>
      <c r="M141" s="54"/>
      <c r="N141" s="54"/>
      <c r="O141" s="55"/>
      <c r="P141" s="55"/>
      <c r="Q141" s="55"/>
      <c r="R141" s="55"/>
      <c r="S141" s="55"/>
    </row>
    <row r="142" spans="3:19" ht="15.95" hidden="1" customHeight="1">
      <c r="C142" s="53"/>
      <c r="D142" s="53"/>
      <c r="E142" s="53"/>
      <c r="F142" s="53"/>
      <c r="G142" s="53"/>
      <c r="H142" s="53"/>
      <c r="I142" s="54"/>
      <c r="J142" s="54"/>
      <c r="K142" s="54"/>
      <c r="L142" s="54"/>
      <c r="M142" s="54"/>
      <c r="N142" s="54"/>
      <c r="O142" s="55"/>
      <c r="P142" s="55"/>
      <c r="Q142" s="55"/>
      <c r="R142" s="55"/>
      <c r="S142" s="55"/>
    </row>
    <row r="143" spans="3:19" ht="15.95" hidden="1" customHeight="1">
      <c r="C143" s="53"/>
      <c r="D143" s="53"/>
      <c r="E143" s="53"/>
      <c r="F143" s="53"/>
      <c r="G143" s="53"/>
      <c r="H143" s="53"/>
      <c r="I143" s="54"/>
      <c r="J143" s="54"/>
      <c r="K143" s="54"/>
      <c r="L143" s="54"/>
      <c r="M143" s="54"/>
      <c r="N143" s="54"/>
      <c r="O143" s="55"/>
      <c r="P143" s="55"/>
      <c r="Q143" s="55"/>
      <c r="R143" s="55"/>
      <c r="S143" s="55"/>
    </row>
    <row r="144" spans="3:19" ht="15.95" hidden="1" customHeight="1">
      <c r="C144" s="53"/>
      <c r="D144" s="53"/>
      <c r="E144" s="53"/>
      <c r="F144" s="53"/>
      <c r="G144" s="53"/>
      <c r="H144" s="53"/>
      <c r="I144" s="54"/>
      <c r="J144" s="54"/>
      <c r="K144" s="54"/>
      <c r="L144" s="54"/>
      <c r="M144" s="54"/>
      <c r="N144" s="54"/>
      <c r="O144" s="55"/>
      <c r="P144" s="55"/>
      <c r="Q144" s="55"/>
      <c r="R144" s="55"/>
      <c r="S144" s="55"/>
    </row>
    <row r="145" spans="3:19" ht="15.95" hidden="1" customHeight="1">
      <c r="C145" s="53"/>
      <c r="D145" s="53"/>
      <c r="E145" s="53"/>
      <c r="F145" s="53"/>
      <c r="G145" s="53"/>
      <c r="H145" s="53"/>
      <c r="I145" s="54"/>
      <c r="J145" s="54"/>
      <c r="K145" s="54"/>
      <c r="L145" s="54"/>
      <c r="M145" s="54"/>
      <c r="N145" s="54"/>
      <c r="O145" s="55"/>
      <c r="P145" s="55"/>
      <c r="Q145" s="55"/>
      <c r="R145" s="55"/>
      <c r="S145" s="55"/>
    </row>
    <row r="146" spans="3:19" ht="15.95" hidden="1" customHeight="1">
      <c r="C146" s="53"/>
      <c r="D146" s="53"/>
      <c r="E146" s="53"/>
      <c r="F146" s="53"/>
      <c r="G146" s="53"/>
      <c r="H146" s="53"/>
      <c r="I146" s="54"/>
      <c r="J146" s="54"/>
      <c r="K146" s="54"/>
      <c r="L146" s="54"/>
      <c r="M146" s="54"/>
      <c r="N146" s="54"/>
      <c r="O146" s="55"/>
      <c r="P146" s="55"/>
      <c r="Q146" s="55"/>
      <c r="R146" s="55"/>
      <c r="S146" s="55"/>
    </row>
    <row r="147" spans="3:19" ht="15.95" hidden="1" customHeight="1">
      <c r="C147" s="53"/>
      <c r="D147" s="53"/>
      <c r="E147" s="53"/>
      <c r="F147" s="53"/>
      <c r="G147" s="53"/>
      <c r="H147" s="53"/>
      <c r="I147" s="54"/>
      <c r="J147" s="54"/>
      <c r="K147" s="54"/>
      <c r="L147" s="54"/>
      <c r="M147" s="54"/>
      <c r="N147" s="54"/>
      <c r="O147" s="55"/>
      <c r="P147" s="55"/>
      <c r="Q147" s="55"/>
      <c r="R147" s="55"/>
      <c r="S147" s="55"/>
    </row>
    <row r="148" spans="3:19" ht="15.95" hidden="1" customHeight="1">
      <c r="C148" s="53"/>
      <c r="D148" s="53"/>
      <c r="E148" s="53"/>
      <c r="F148" s="53"/>
      <c r="G148" s="53"/>
      <c r="H148" s="53"/>
      <c r="I148" s="54"/>
      <c r="J148" s="54"/>
      <c r="K148" s="54"/>
      <c r="L148" s="54"/>
      <c r="M148" s="54"/>
      <c r="N148" s="54"/>
      <c r="O148" s="55"/>
      <c r="P148" s="55"/>
      <c r="Q148" s="55"/>
      <c r="R148" s="55"/>
      <c r="S148" s="55"/>
    </row>
    <row r="149" spans="3:19" ht="15.95" hidden="1" customHeight="1">
      <c r="C149" s="53"/>
      <c r="D149" s="53"/>
      <c r="E149" s="53"/>
      <c r="F149" s="53"/>
      <c r="G149" s="53"/>
      <c r="H149" s="53"/>
      <c r="I149" s="54"/>
      <c r="J149" s="54"/>
      <c r="K149" s="54"/>
      <c r="L149" s="54"/>
      <c r="M149" s="54"/>
      <c r="N149" s="54"/>
      <c r="O149" s="55"/>
      <c r="P149" s="55"/>
      <c r="Q149" s="55"/>
      <c r="R149" s="55"/>
      <c r="S149" s="55"/>
    </row>
    <row r="150" spans="3:19" ht="15.95" hidden="1" customHeight="1">
      <c r="C150" s="53"/>
      <c r="D150" s="53"/>
      <c r="E150" s="53"/>
      <c r="F150" s="53"/>
      <c r="G150" s="53"/>
      <c r="H150" s="53"/>
      <c r="I150" s="54"/>
      <c r="J150" s="54"/>
      <c r="K150" s="54"/>
      <c r="L150" s="54"/>
      <c r="M150" s="54"/>
      <c r="N150" s="54"/>
      <c r="O150" s="55"/>
      <c r="P150" s="55"/>
      <c r="Q150" s="55"/>
      <c r="R150" s="55"/>
      <c r="S150" s="55"/>
    </row>
    <row r="151" spans="3:19" ht="15.95" hidden="1" customHeight="1">
      <c r="C151" s="53"/>
      <c r="D151" s="53"/>
      <c r="E151" s="53"/>
      <c r="F151" s="53"/>
      <c r="G151" s="53"/>
      <c r="H151" s="53"/>
      <c r="I151" s="54"/>
      <c r="J151" s="54"/>
      <c r="K151" s="54"/>
      <c r="L151" s="54"/>
      <c r="M151" s="54"/>
      <c r="N151" s="54"/>
      <c r="O151" s="55"/>
      <c r="P151" s="55"/>
      <c r="Q151" s="55"/>
      <c r="R151" s="55"/>
      <c r="S151" s="55"/>
    </row>
    <row r="152" spans="3:19" ht="15.95" hidden="1" customHeight="1">
      <c r="C152" s="53"/>
      <c r="D152" s="53"/>
      <c r="E152" s="53"/>
      <c r="F152" s="53"/>
      <c r="G152" s="53"/>
      <c r="H152" s="53"/>
      <c r="I152" s="54"/>
      <c r="J152" s="54"/>
      <c r="K152" s="54"/>
      <c r="L152" s="54"/>
      <c r="M152" s="54"/>
      <c r="N152" s="54"/>
      <c r="O152" s="55"/>
      <c r="P152" s="55"/>
      <c r="Q152" s="55"/>
      <c r="R152" s="55"/>
      <c r="S152" s="55"/>
    </row>
    <row r="153" spans="3:19" ht="15.95" hidden="1" customHeight="1">
      <c r="C153" s="53"/>
      <c r="D153" s="53"/>
      <c r="E153" s="53"/>
      <c r="F153" s="53"/>
      <c r="G153" s="53"/>
      <c r="H153" s="53"/>
      <c r="I153" s="54"/>
      <c r="J153" s="54"/>
      <c r="K153" s="54"/>
      <c r="L153" s="54"/>
      <c r="M153" s="54"/>
      <c r="N153" s="54"/>
      <c r="O153" s="55"/>
      <c r="P153" s="55"/>
      <c r="Q153" s="55"/>
      <c r="R153" s="55"/>
      <c r="S153" s="55"/>
    </row>
    <row r="154" spans="3:19" ht="15.95" hidden="1" customHeight="1">
      <c r="C154" s="53"/>
      <c r="D154" s="53"/>
      <c r="E154" s="53"/>
      <c r="F154" s="53"/>
      <c r="G154" s="53"/>
      <c r="H154" s="53"/>
      <c r="I154" s="54"/>
      <c r="J154" s="54"/>
      <c r="K154" s="54"/>
      <c r="L154" s="54"/>
      <c r="M154" s="54"/>
      <c r="N154" s="54"/>
      <c r="O154" s="55"/>
      <c r="P154" s="55"/>
      <c r="Q154" s="55"/>
      <c r="R154" s="55"/>
      <c r="S154" s="55"/>
    </row>
    <row r="155" spans="3:19" ht="15.95" hidden="1" customHeight="1">
      <c r="C155" s="53"/>
      <c r="D155" s="53"/>
      <c r="E155" s="53"/>
      <c r="F155" s="53"/>
      <c r="G155" s="53"/>
      <c r="H155" s="53"/>
      <c r="I155" s="54"/>
      <c r="J155" s="54"/>
      <c r="K155" s="54"/>
      <c r="L155" s="54"/>
      <c r="M155" s="54"/>
      <c r="N155" s="54"/>
      <c r="O155" s="55"/>
      <c r="P155" s="55"/>
      <c r="Q155" s="55"/>
      <c r="R155" s="55"/>
      <c r="S155" s="55"/>
    </row>
    <row r="156" spans="3:19" ht="15.95" hidden="1" customHeight="1">
      <c r="C156" s="53"/>
      <c r="D156" s="53"/>
      <c r="E156" s="53"/>
      <c r="F156" s="53"/>
      <c r="G156" s="53"/>
      <c r="H156" s="53"/>
      <c r="I156" s="54"/>
      <c r="J156" s="54"/>
      <c r="K156" s="54"/>
      <c r="L156" s="54"/>
      <c r="M156" s="54"/>
      <c r="N156" s="54"/>
      <c r="O156" s="55"/>
      <c r="P156" s="55"/>
      <c r="Q156" s="55"/>
      <c r="R156" s="55"/>
      <c r="S156" s="55"/>
    </row>
    <row r="157" spans="3:19" ht="15.95" hidden="1" customHeight="1">
      <c r="C157" s="53"/>
      <c r="D157" s="53"/>
      <c r="E157" s="53"/>
      <c r="F157" s="53"/>
      <c r="G157" s="53"/>
      <c r="H157" s="53"/>
      <c r="I157" s="54"/>
      <c r="J157" s="54"/>
      <c r="K157" s="54"/>
      <c r="L157" s="54"/>
      <c r="M157" s="54"/>
      <c r="N157" s="54"/>
      <c r="O157" s="55"/>
      <c r="P157" s="55"/>
      <c r="Q157" s="55"/>
      <c r="R157" s="55"/>
      <c r="S157" s="55"/>
    </row>
    <row r="158" spans="3:19" ht="15.95" hidden="1" customHeight="1">
      <c r="C158" s="53"/>
      <c r="D158" s="53"/>
      <c r="E158" s="53"/>
      <c r="F158" s="53"/>
      <c r="G158" s="53"/>
      <c r="H158" s="53"/>
      <c r="I158" s="54"/>
      <c r="J158" s="54"/>
      <c r="K158" s="54"/>
      <c r="L158" s="54"/>
      <c r="M158" s="54"/>
      <c r="N158" s="54"/>
      <c r="O158" s="55"/>
      <c r="P158" s="55"/>
      <c r="Q158" s="55"/>
      <c r="R158" s="55"/>
      <c r="S158" s="55"/>
    </row>
    <row r="159" spans="3:19" ht="15.95" hidden="1" customHeight="1">
      <c r="C159" s="53"/>
      <c r="D159" s="53"/>
      <c r="E159" s="53"/>
      <c r="F159" s="53"/>
      <c r="G159" s="53"/>
      <c r="H159" s="53"/>
      <c r="I159" s="54"/>
      <c r="J159" s="54"/>
      <c r="K159" s="54"/>
      <c r="L159" s="54"/>
      <c r="M159" s="54"/>
      <c r="N159" s="54"/>
      <c r="O159" s="55"/>
      <c r="P159" s="55"/>
      <c r="Q159" s="55"/>
      <c r="R159" s="55"/>
      <c r="S159" s="55"/>
    </row>
    <row r="160" spans="3:19" ht="15.95" hidden="1" customHeight="1">
      <c r="C160" s="53"/>
      <c r="D160" s="53"/>
      <c r="E160" s="53"/>
      <c r="F160" s="53"/>
      <c r="G160" s="53"/>
      <c r="H160" s="53"/>
      <c r="I160" s="54"/>
      <c r="J160" s="54"/>
      <c r="K160" s="54"/>
      <c r="L160" s="54"/>
      <c r="M160" s="54"/>
      <c r="N160" s="54"/>
      <c r="O160" s="55"/>
      <c r="P160" s="55"/>
      <c r="Q160" s="55"/>
      <c r="R160" s="55"/>
      <c r="S160" s="55"/>
    </row>
    <row r="161" spans="3:19" ht="15.95" hidden="1" customHeight="1">
      <c r="C161" s="53"/>
      <c r="D161" s="53"/>
      <c r="E161" s="53"/>
      <c r="F161" s="53"/>
      <c r="G161" s="53"/>
      <c r="H161" s="53"/>
      <c r="I161" s="54"/>
      <c r="J161" s="54"/>
      <c r="K161" s="54"/>
      <c r="L161" s="54"/>
      <c r="M161" s="54"/>
      <c r="N161" s="54"/>
      <c r="O161" s="55"/>
      <c r="P161" s="55"/>
      <c r="Q161" s="55"/>
      <c r="R161" s="55"/>
      <c r="S161" s="55"/>
    </row>
    <row r="162" spans="3:19" ht="15.95" hidden="1" customHeight="1">
      <c r="C162" s="53"/>
      <c r="D162" s="53"/>
      <c r="E162" s="53"/>
      <c r="F162" s="53"/>
      <c r="G162" s="53"/>
      <c r="H162" s="53"/>
      <c r="I162" s="54"/>
      <c r="J162" s="54"/>
      <c r="K162" s="54"/>
      <c r="L162" s="54"/>
      <c r="M162" s="54"/>
      <c r="N162" s="54"/>
      <c r="O162" s="55"/>
      <c r="P162" s="55"/>
      <c r="Q162" s="55"/>
      <c r="R162" s="55"/>
      <c r="S162" s="55"/>
    </row>
    <row r="163" spans="3:19" ht="15.95" hidden="1" customHeight="1">
      <c r="C163" s="53"/>
      <c r="D163" s="53"/>
      <c r="E163" s="53"/>
      <c r="F163" s="53"/>
      <c r="G163" s="53"/>
      <c r="H163" s="53"/>
      <c r="I163" s="54"/>
      <c r="J163" s="54"/>
      <c r="K163" s="54"/>
      <c r="L163" s="54"/>
      <c r="M163" s="54"/>
      <c r="N163" s="54"/>
      <c r="O163" s="55"/>
      <c r="P163" s="55"/>
      <c r="Q163" s="55"/>
      <c r="R163" s="55"/>
      <c r="S163" s="55"/>
    </row>
    <row r="164" spans="3:19" ht="15.95" hidden="1" customHeight="1">
      <c r="C164" s="53"/>
      <c r="D164" s="53"/>
      <c r="E164" s="53"/>
      <c r="F164" s="53"/>
      <c r="G164" s="53"/>
      <c r="H164" s="53"/>
      <c r="I164" s="54"/>
      <c r="J164" s="54"/>
      <c r="K164" s="54"/>
      <c r="L164" s="54"/>
      <c r="M164" s="54"/>
      <c r="N164" s="54"/>
      <c r="O164" s="55"/>
      <c r="P164" s="55"/>
      <c r="Q164" s="55"/>
      <c r="R164" s="55"/>
      <c r="S164" s="55"/>
    </row>
    <row r="165" spans="3:19" ht="15.95" hidden="1" customHeight="1">
      <c r="C165" s="53"/>
      <c r="D165" s="53"/>
      <c r="E165" s="53"/>
      <c r="F165" s="53"/>
      <c r="G165" s="53"/>
      <c r="H165" s="53"/>
      <c r="I165" s="54"/>
      <c r="J165" s="54"/>
      <c r="K165" s="54"/>
      <c r="L165" s="54"/>
      <c r="M165" s="54"/>
      <c r="N165" s="54"/>
      <c r="O165" s="55"/>
      <c r="P165" s="55"/>
      <c r="Q165" s="55"/>
      <c r="R165" s="55"/>
      <c r="S165" s="55"/>
    </row>
    <row r="166" spans="3:19" ht="15.95" hidden="1" customHeight="1">
      <c r="C166" s="53"/>
      <c r="D166" s="53"/>
      <c r="E166" s="53"/>
      <c r="F166" s="53"/>
      <c r="G166" s="53"/>
      <c r="H166" s="53"/>
      <c r="I166" s="54"/>
      <c r="J166" s="54"/>
      <c r="K166" s="54"/>
      <c r="L166" s="54"/>
      <c r="M166" s="54"/>
      <c r="N166" s="54"/>
      <c r="O166" s="55"/>
      <c r="P166" s="55"/>
      <c r="Q166" s="55"/>
      <c r="R166" s="55"/>
      <c r="S166" s="55"/>
    </row>
    <row r="167" spans="3:19" ht="15.95" hidden="1" customHeight="1">
      <c r="C167" s="53"/>
      <c r="D167" s="53"/>
      <c r="E167" s="53"/>
      <c r="F167" s="53"/>
      <c r="G167" s="53"/>
      <c r="H167" s="53"/>
      <c r="I167" s="54"/>
      <c r="J167" s="54"/>
      <c r="K167" s="54"/>
      <c r="L167" s="54"/>
      <c r="M167" s="54"/>
      <c r="N167" s="54"/>
      <c r="O167" s="55"/>
      <c r="P167" s="55"/>
      <c r="Q167" s="55"/>
      <c r="R167" s="55"/>
      <c r="S167" s="55"/>
    </row>
    <row r="168" spans="3:19" ht="15.95" hidden="1" customHeight="1">
      <c r="C168" s="53"/>
      <c r="D168" s="53"/>
      <c r="E168" s="53"/>
      <c r="F168" s="53"/>
      <c r="G168" s="53"/>
      <c r="H168" s="53"/>
      <c r="I168" s="54"/>
      <c r="J168" s="54"/>
      <c r="K168" s="54"/>
      <c r="L168" s="54"/>
      <c r="M168" s="54"/>
      <c r="N168" s="54"/>
      <c r="O168" s="55"/>
      <c r="P168" s="55"/>
      <c r="Q168" s="55"/>
      <c r="R168" s="55"/>
      <c r="S168" s="55"/>
    </row>
    <row r="169" spans="3:19" ht="15.95" hidden="1" customHeight="1">
      <c r="C169" s="53"/>
      <c r="D169" s="53"/>
      <c r="E169" s="53"/>
      <c r="F169" s="53"/>
      <c r="G169" s="53"/>
      <c r="H169" s="53"/>
      <c r="I169" s="54"/>
      <c r="J169" s="54"/>
      <c r="K169" s="54"/>
      <c r="L169" s="54"/>
      <c r="M169" s="54"/>
      <c r="N169" s="54"/>
      <c r="O169" s="55"/>
      <c r="P169" s="55"/>
      <c r="Q169" s="55"/>
      <c r="R169" s="55"/>
      <c r="S169" s="55"/>
    </row>
    <row r="170" spans="3:19" ht="15.95" hidden="1" customHeight="1">
      <c r="C170" s="53"/>
      <c r="D170" s="53"/>
      <c r="E170" s="53"/>
      <c r="F170" s="53"/>
      <c r="G170" s="53"/>
      <c r="H170" s="53"/>
      <c r="I170" s="54"/>
      <c r="J170" s="54"/>
      <c r="K170" s="54"/>
      <c r="L170" s="54"/>
      <c r="M170" s="54"/>
      <c r="N170" s="54"/>
      <c r="O170" s="55"/>
      <c r="P170" s="55"/>
      <c r="Q170" s="55"/>
      <c r="R170" s="55"/>
      <c r="S170" s="55"/>
    </row>
    <row r="171" spans="3:19" ht="15.95" hidden="1" customHeight="1">
      <c r="C171" s="53"/>
      <c r="D171" s="53"/>
      <c r="E171" s="53"/>
      <c r="F171" s="53"/>
      <c r="G171" s="53"/>
      <c r="H171" s="53"/>
      <c r="I171" s="54"/>
      <c r="J171" s="54"/>
      <c r="K171" s="54"/>
      <c r="L171" s="54"/>
      <c r="M171" s="54"/>
      <c r="N171" s="54"/>
      <c r="O171" s="55"/>
      <c r="P171" s="55"/>
      <c r="Q171" s="55"/>
      <c r="R171" s="55"/>
      <c r="S171" s="55"/>
    </row>
    <row r="172" spans="3:19" ht="15.95" hidden="1" customHeight="1">
      <c r="C172" s="53"/>
      <c r="D172" s="53"/>
      <c r="E172" s="53"/>
      <c r="F172" s="53"/>
      <c r="G172" s="53"/>
      <c r="H172" s="53"/>
      <c r="I172" s="54"/>
      <c r="J172" s="54"/>
      <c r="K172" s="54"/>
      <c r="L172" s="54"/>
      <c r="M172" s="54"/>
      <c r="N172" s="54"/>
      <c r="O172" s="55"/>
      <c r="P172" s="55"/>
      <c r="Q172" s="55"/>
      <c r="R172" s="55"/>
      <c r="S172" s="55"/>
    </row>
    <row r="173" spans="3:19" ht="15.95" hidden="1" customHeight="1">
      <c r="C173" s="53"/>
      <c r="D173" s="53"/>
      <c r="E173" s="53"/>
      <c r="F173" s="53"/>
      <c r="G173" s="53"/>
      <c r="H173" s="53"/>
      <c r="I173" s="54"/>
      <c r="J173" s="54"/>
      <c r="K173" s="54"/>
      <c r="L173" s="54"/>
      <c r="M173" s="54"/>
      <c r="N173" s="54"/>
      <c r="O173" s="55"/>
      <c r="P173" s="55"/>
      <c r="Q173" s="55"/>
      <c r="R173" s="55"/>
      <c r="S173" s="55"/>
    </row>
    <row r="174" spans="3:19" ht="15.95" hidden="1" customHeight="1">
      <c r="C174" s="53"/>
      <c r="D174" s="53"/>
      <c r="E174" s="53"/>
      <c r="F174" s="53"/>
      <c r="G174" s="53"/>
      <c r="H174" s="53"/>
      <c r="I174" s="54"/>
      <c r="J174" s="54"/>
      <c r="K174" s="54"/>
      <c r="L174" s="54"/>
      <c r="M174" s="54"/>
      <c r="N174" s="54"/>
      <c r="O174" s="55"/>
      <c r="P174" s="55"/>
      <c r="Q174" s="55"/>
      <c r="R174" s="55"/>
      <c r="S174" s="55"/>
    </row>
    <row r="175" spans="3:19" ht="15.95" hidden="1" customHeight="1">
      <c r="C175" s="53"/>
      <c r="D175" s="53"/>
      <c r="E175" s="53"/>
      <c r="F175" s="53"/>
      <c r="G175" s="53"/>
      <c r="H175" s="53"/>
      <c r="I175" s="54"/>
      <c r="J175" s="54"/>
      <c r="K175" s="54"/>
      <c r="L175" s="54"/>
      <c r="M175" s="54"/>
      <c r="N175" s="54"/>
      <c r="O175" s="55"/>
      <c r="P175" s="55"/>
      <c r="Q175" s="55"/>
      <c r="R175" s="55"/>
      <c r="S175" s="55"/>
    </row>
    <row r="176" spans="3:19" ht="15.95" hidden="1" customHeight="1">
      <c r="C176" s="53"/>
      <c r="D176" s="53"/>
      <c r="E176" s="53"/>
      <c r="F176" s="53"/>
      <c r="G176" s="53"/>
      <c r="H176" s="53"/>
      <c r="I176" s="54"/>
      <c r="J176" s="54"/>
      <c r="K176" s="54"/>
      <c r="L176" s="54"/>
      <c r="M176" s="54"/>
      <c r="N176" s="54"/>
      <c r="O176" s="55"/>
      <c r="P176" s="55"/>
      <c r="Q176" s="55"/>
      <c r="R176" s="55"/>
      <c r="S176" s="55"/>
    </row>
    <row r="177" spans="3:19" ht="15.95" hidden="1" customHeight="1">
      <c r="C177" s="53"/>
      <c r="D177" s="53"/>
      <c r="E177" s="53"/>
      <c r="F177" s="53"/>
      <c r="G177" s="53"/>
      <c r="H177" s="53"/>
      <c r="I177" s="54"/>
      <c r="J177" s="54"/>
      <c r="K177" s="54"/>
      <c r="L177" s="54"/>
      <c r="M177" s="54"/>
      <c r="N177" s="54"/>
      <c r="O177" s="55"/>
      <c r="P177" s="55"/>
      <c r="Q177" s="55"/>
      <c r="R177" s="55"/>
      <c r="S177" s="55"/>
    </row>
    <row r="178" spans="3:19" ht="15.95" hidden="1" customHeight="1">
      <c r="C178" s="53"/>
      <c r="D178" s="53"/>
      <c r="E178" s="53"/>
      <c r="F178" s="53"/>
      <c r="G178" s="53"/>
      <c r="H178" s="53"/>
      <c r="I178" s="54"/>
      <c r="J178" s="54"/>
      <c r="K178" s="54"/>
      <c r="L178" s="54"/>
      <c r="M178" s="54"/>
      <c r="N178" s="54"/>
      <c r="O178" s="55"/>
      <c r="P178" s="55"/>
      <c r="Q178" s="55"/>
      <c r="R178" s="55"/>
      <c r="S178" s="55"/>
    </row>
    <row r="179" spans="3:19" ht="15.95" hidden="1" customHeight="1">
      <c r="C179" s="53"/>
      <c r="D179" s="53"/>
      <c r="E179" s="53"/>
      <c r="F179" s="53"/>
      <c r="G179" s="53"/>
      <c r="H179" s="53"/>
      <c r="I179" s="54"/>
      <c r="J179" s="54"/>
      <c r="K179" s="54"/>
      <c r="L179" s="54"/>
      <c r="M179" s="54"/>
      <c r="N179" s="54"/>
      <c r="O179" s="55"/>
      <c r="P179" s="55"/>
      <c r="Q179" s="55"/>
      <c r="R179" s="55"/>
      <c r="S179" s="55"/>
    </row>
    <row r="180" spans="3:19" ht="15.95" hidden="1" customHeight="1">
      <c r="C180" s="53"/>
      <c r="D180" s="53"/>
      <c r="E180" s="53"/>
      <c r="F180" s="53"/>
      <c r="G180" s="53"/>
      <c r="H180" s="53"/>
      <c r="I180" s="54"/>
      <c r="J180" s="54"/>
      <c r="K180" s="54"/>
      <c r="L180" s="54"/>
      <c r="M180" s="54"/>
      <c r="N180" s="54"/>
      <c r="O180" s="55"/>
      <c r="P180" s="55"/>
      <c r="Q180" s="55"/>
      <c r="R180" s="55"/>
      <c r="S180" s="55"/>
    </row>
    <row r="181" spans="3:19" ht="15.95" hidden="1" customHeight="1">
      <c r="C181" s="53"/>
      <c r="D181" s="53"/>
      <c r="E181" s="53"/>
      <c r="F181" s="53"/>
      <c r="G181" s="53"/>
      <c r="H181" s="53"/>
      <c r="I181" s="54"/>
      <c r="J181" s="54"/>
      <c r="K181" s="54"/>
      <c r="L181" s="54"/>
      <c r="M181" s="54"/>
      <c r="N181" s="54"/>
      <c r="O181" s="55"/>
      <c r="P181" s="55"/>
      <c r="Q181" s="55"/>
      <c r="R181" s="55"/>
      <c r="S181" s="55"/>
    </row>
    <row r="182" spans="3:19" ht="15.95" hidden="1" customHeight="1">
      <c r="C182" s="53"/>
      <c r="D182" s="53"/>
      <c r="E182" s="53"/>
      <c r="F182" s="53"/>
      <c r="G182" s="53"/>
      <c r="H182" s="53"/>
      <c r="I182" s="54"/>
      <c r="J182" s="54"/>
      <c r="K182" s="54"/>
      <c r="L182" s="54"/>
      <c r="M182" s="54"/>
      <c r="N182" s="54"/>
      <c r="O182" s="55"/>
      <c r="P182" s="55"/>
      <c r="Q182" s="55"/>
      <c r="R182" s="55"/>
      <c r="S182" s="55"/>
    </row>
    <row r="183" spans="3:19" ht="15.95" hidden="1" customHeight="1">
      <c r="C183" s="53"/>
      <c r="D183" s="53"/>
      <c r="E183" s="53"/>
      <c r="F183" s="53"/>
      <c r="G183" s="53"/>
      <c r="H183" s="53"/>
      <c r="I183" s="54"/>
      <c r="J183" s="54"/>
      <c r="K183" s="54"/>
      <c r="L183" s="54"/>
      <c r="M183" s="54"/>
      <c r="N183" s="54"/>
      <c r="O183" s="55"/>
      <c r="P183" s="55"/>
      <c r="Q183" s="55"/>
      <c r="R183" s="55"/>
      <c r="S183" s="55"/>
    </row>
    <row r="184" spans="3:19" ht="15.95" hidden="1" customHeight="1">
      <c r="C184" s="53"/>
      <c r="D184" s="53"/>
      <c r="E184" s="53"/>
      <c r="F184" s="53"/>
      <c r="G184" s="53"/>
      <c r="H184" s="53"/>
      <c r="I184" s="54"/>
      <c r="J184" s="54"/>
      <c r="K184" s="54"/>
      <c r="L184" s="54"/>
      <c r="M184" s="54"/>
      <c r="N184" s="54"/>
      <c r="O184" s="55"/>
      <c r="P184" s="55"/>
      <c r="Q184" s="55"/>
      <c r="R184" s="55"/>
      <c r="S184" s="55"/>
    </row>
    <row r="185" spans="3:19" ht="15.95" hidden="1" customHeight="1">
      <c r="C185" s="53"/>
      <c r="D185" s="53"/>
      <c r="E185" s="53"/>
      <c r="F185" s="53"/>
      <c r="G185" s="53"/>
      <c r="H185" s="53"/>
      <c r="I185" s="54"/>
      <c r="J185" s="54"/>
      <c r="K185" s="54"/>
      <c r="L185" s="54"/>
      <c r="M185" s="54"/>
      <c r="N185" s="54"/>
      <c r="O185" s="55"/>
      <c r="P185" s="55"/>
      <c r="Q185" s="55"/>
      <c r="R185" s="55"/>
      <c r="S185" s="55"/>
    </row>
    <row r="186" spans="3:19" ht="15.95" hidden="1" customHeight="1">
      <c r="C186" s="53"/>
      <c r="D186" s="53"/>
      <c r="E186" s="53"/>
      <c r="F186" s="53"/>
      <c r="G186" s="53"/>
      <c r="H186" s="53"/>
      <c r="I186" s="54"/>
      <c r="J186" s="54"/>
      <c r="K186" s="54"/>
      <c r="L186" s="54"/>
      <c r="M186" s="54"/>
      <c r="N186" s="54"/>
      <c r="O186" s="55"/>
      <c r="P186" s="55"/>
      <c r="Q186" s="55"/>
      <c r="R186" s="55"/>
      <c r="S186" s="55"/>
    </row>
    <row r="187" spans="3:19" ht="15.95" hidden="1" customHeight="1">
      <c r="C187" s="53"/>
      <c r="D187" s="53"/>
      <c r="E187" s="53"/>
      <c r="F187" s="53"/>
      <c r="G187" s="53"/>
      <c r="H187" s="53"/>
      <c r="I187" s="54"/>
      <c r="J187" s="54"/>
      <c r="K187" s="54"/>
      <c r="L187" s="54"/>
      <c r="M187" s="54"/>
      <c r="N187" s="54"/>
      <c r="O187" s="55"/>
      <c r="P187" s="55"/>
      <c r="Q187" s="55"/>
      <c r="R187" s="55"/>
      <c r="S187" s="55"/>
    </row>
    <row r="188" spans="3:19" ht="15.95" hidden="1" customHeight="1">
      <c r="C188" s="53"/>
      <c r="D188" s="53"/>
      <c r="E188" s="53"/>
      <c r="F188" s="53"/>
      <c r="G188" s="53"/>
      <c r="H188" s="53"/>
      <c r="I188" s="54"/>
      <c r="J188" s="54"/>
      <c r="K188" s="54"/>
      <c r="L188" s="54"/>
      <c r="M188" s="54"/>
      <c r="N188" s="54"/>
      <c r="O188" s="55"/>
      <c r="P188" s="55"/>
      <c r="Q188" s="55"/>
      <c r="R188" s="55"/>
      <c r="S188" s="55"/>
    </row>
    <row r="189" spans="3:19" ht="15.95" hidden="1" customHeight="1">
      <c r="C189" s="53"/>
      <c r="D189" s="53"/>
      <c r="E189" s="53"/>
      <c r="F189" s="53"/>
      <c r="G189" s="53"/>
      <c r="H189" s="53"/>
      <c r="I189" s="54"/>
      <c r="J189" s="54"/>
      <c r="K189" s="54"/>
      <c r="L189" s="54"/>
      <c r="M189" s="54"/>
      <c r="N189" s="54"/>
      <c r="O189" s="55"/>
      <c r="P189" s="55"/>
      <c r="Q189" s="55"/>
      <c r="R189" s="55"/>
      <c r="S189" s="55"/>
    </row>
    <row r="190" spans="3:19" ht="15.95" hidden="1" customHeight="1">
      <c r="C190" s="53"/>
      <c r="D190" s="53"/>
      <c r="E190" s="53"/>
      <c r="F190" s="53"/>
      <c r="G190" s="53"/>
      <c r="H190" s="53"/>
      <c r="I190" s="54"/>
      <c r="J190" s="54"/>
      <c r="K190" s="54"/>
      <c r="L190" s="54"/>
      <c r="M190" s="54"/>
      <c r="N190" s="54"/>
      <c r="O190" s="55"/>
      <c r="P190" s="55"/>
      <c r="Q190" s="55"/>
      <c r="R190" s="55"/>
      <c r="S190" s="55"/>
    </row>
    <row r="191" spans="3:19" ht="15.95" hidden="1" customHeight="1">
      <c r="C191" s="53"/>
      <c r="D191" s="53"/>
      <c r="E191" s="53"/>
      <c r="F191" s="53"/>
      <c r="G191" s="53"/>
      <c r="H191" s="53"/>
      <c r="I191" s="54"/>
      <c r="J191" s="54"/>
      <c r="K191" s="54"/>
      <c r="L191" s="54"/>
      <c r="M191" s="54"/>
      <c r="N191" s="54"/>
      <c r="O191" s="55"/>
      <c r="P191" s="55"/>
      <c r="Q191" s="55"/>
      <c r="R191" s="55"/>
      <c r="S191" s="55"/>
    </row>
    <row r="192" spans="3:19" ht="15.95" hidden="1" customHeight="1">
      <c r="C192" s="53"/>
      <c r="D192" s="53"/>
      <c r="E192" s="53"/>
      <c r="F192" s="53"/>
      <c r="G192" s="53"/>
      <c r="H192" s="53"/>
      <c r="I192" s="54"/>
      <c r="J192" s="54"/>
      <c r="K192" s="54"/>
      <c r="L192" s="54"/>
      <c r="M192" s="54"/>
      <c r="N192" s="54"/>
      <c r="O192" s="55"/>
      <c r="P192" s="55"/>
      <c r="Q192" s="55"/>
      <c r="R192" s="55"/>
      <c r="S192" s="55"/>
    </row>
    <row r="193" spans="2:44" ht="15.95" hidden="1" customHeight="1">
      <c r="C193" s="53"/>
      <c r="D193" s="53"/>
      <c r="E193" s="53"/>
      <c r="F193" s="53"/>
      <c r="G193" s="53"/>
      <c r="H193" s="53"/>
      <c r="I193" s="54"/>
      <c r="J193" s="54"/>
      <c r="K193" s="54"/>
      <c r="L193" s="54"/>
      <c r="M193" s="54"/>
      <c r="N193" s="54"/>
      <c r="O193" s="55"/>
      <c r="P193" s="55"/>
      <c r="Q193" s="55"/>
      <c r="R193" s="55"/>
      <c r="S193" s="55"/>
    </row>
    <row r="194" spans="2:44" ht="15.95" hidden="1" customHeight="1">
      <c r="C194" s="53"/>
      <c r="D194" s="53"/>
      <c r="E194" s="53"/>
      <c r="F194" s="53"/>
      <c r="G194" s="53"/>
      <c r="H194" s="53"/>
      <c r="I194" s="54"/>
      <c r="J194" s="54"/>
      <c r="K194" s="54"/>
      <c r="L194" s="54"/>
      <c r="M194" s="54"/>
      <c r="N194" s="54"/>
      <c r="O194" s="55"/>
      <c r="P194" s="55"/>
      <c r="Q194" s="55"/>
      <c r="R194" s="55"/>
      <c r="S194" s="55"/>
    </row>
    <row r="195" spans="2:44" ht="15.95" hidden="1" customHeight="1">
      <c r="C195" s="53"/>
      <c r="D195" s="53"/>
      <c r="E195" s="53"/>
      <c r="F195" s="53"/>
      <c r="G195" s="53"/>
      <c r="H195" s="53"/>
      <c r="I195" s="54"/>
      <c r="J195" s="54"/>
      <c r="K195" s="54"/>
      <c r="L195" s="54"/>
      <c r="M195" s="54"/>
      <c r="N195" s="54"/>
      <c r="O195" s="55"/>
      <c r="P195" s="55"/>
      <c r="Q195" s="55"/>
      <c r="R195" s="55"/>
      <c r="S195" s="55"/>
    </row>
    <row r="196" spans="2:44" ht="15.95" hidden="1" customHeight="1">
      <c r="C196" s="53"/>
      <c r="D196" s="53"/>
      <c r="E196" s="53"/>
      <c r="F196" s="53"/>
      <c r="G196" s="53"/>
      <c r="H196" s="53"/>
      <c r="I196" s="54"/>
      <c r="J196" s="54"/>
      <c r="K196" s="54"/>
      <c r="L196" s="54"/>
      <c r="M196" s="54"/>
      <c r="N196" s="54"/>
      <c r="O196" s="55"/>
      <c r="P196" s="55"/>
      <c r="Q196" s="55"/>
      <c r="R196" s="55"/>
      <c r="S196" s="55"/>
    </row>
    <row r="197" spans="2:44" ht="15.95" hidden="1" customHeight="1">
      <c r="C197" s="53"/>
      <c r="D197" s="53"/>
      <c r="E197" s="53"/>
      <c r="F197" s="53"/>
      <c r="G197" s="53"/>
      <c r="H197" s="53"/>
      <c r="I197" s="54"/>
      <c r="J197" s="54"/>
      <c r="K197" s="54"/>
      <c r="L197" s="54"/>
      <c r="M197" s="54"/>
      <c r="N197" s="54"/>
      <c r="O197" s="55"/>
      <c r="P197" s="55"/>
      <c r="Q197" s="55"/>
      <c r="R197" s="55"/>
      <c r="S197" s="55"/>
    </row>
    <row r="198" spans="2:44" ht="15.95" hidden="1" customHeight="1">
      <c r="C198" s="53"/>
      <c r="D198" s="53"/>
      <c r="E198" s="53"/>
      <c r="F198" s="53"/>
      <c r="G198" s="53"/>
      <c r="H198" s="53"/>
      <c r="I198" s="54"/>
      <c r="J198" s="54"/>
      <c r="K198" s="54"/>
      <c r="L198" s="54"/>
      <c r="M198" s="54"/>
      <c r="N198" s="54"/>
      <c r="O198" s="55"/>
      <c r="P198" s="55"/>
      <c r="Q198" s="55"/>
      <c r="R198" s="55"/>
      <c r="S198" s="55"/>
    </row>
    <row r="199" spans="2:44" ht="15.95" hidden="1" customHeight="1">
      <c r="C199" s="53"/>
      <c r="D199" s="53"/>
      <c r="E199" s="53"/>
      <c r="F199" s="53"/>
      <c r="G199" s="53"/>
      <c r="H199" s="53"/>
      <c r="I199" s="54"/>
      <c r="J199" s="54"/>
      <c r="K199" s="54"/>
      <c r="L199" s="54"/>
      <c r="M199" s="54"/>
      <c r="N199" s="54"/>
      <c r="O199" s="55"/>
      <c r="P199" s="55"/>
      <c r="Q199" s="55"/>
      <c r="R199" s="55"/>
      <c r="S199" s="55"/>
    </row>
    <row r="200" spans="2:44" ht="15.95" customHeight="1">
      <c r="B200" s="272" t="s">
        <v>1058</v>
      </c>
      <c r="C200" s="272"/>
      <c r="D200" s="272"/>
      <c r="E200" s="272"/>
      <c r="F200" s="272"/>
      <c r="G200" s="272"/>
      <c r="H200" s="272"/>
      <c r="I200" s="272"/>
      <c r="J200" s="272"/>
      <c r="K200" s="272"/>
      <c r="L200" s="272"/>
      <c r="M200" s="661" t="s">
        <v>1549</v>
      </c>
      <c r="N200" s="661"/>
      <c r="O200" s="661"/>
      <c r="P200" s="661"/>
      <c r="Q200" s="661"/>
      <c r="R200" s="661"/>
      <c r="S200" s="661"/>
      <c r="T200" s="661"/>
      <c r="U200" s="661"/>
      <c r="V200" s="661"/>
      <c r="W200" s="661"/>
      <c r="X200" s="661"/>
      <c r="Y200" s="661"/>
      <c r="Z200" s="661"/>
      <c r="AA200" s="661"/>
      <c r="AB200" s="661"/>
      <c r="AC200" s="661"/>
      <c r="AD200" s="661"/>
      <c r="AE200" s="661"/>
      <c r="AF200" s="661"/>
      <c r="AG200" s="661"/>
      <c r="AH200" s="272"/>
      <c r="AI200" s="272"/>
      <c r="AJ200" s="272"/>
      <c r="AK200" s="272"/>
      <c r="AL200" s="272"/>
      <c r="AM200" s="272"/>
      <c r="AN200" s="272"/>
      <c r="AO200" s="272"/>
      <c r="AP200" s="272"/>
      <c r="AQ200" s="272"/>
      <c r="AR200" s="273" t="str">
        <f>IF(PROJID=0,"",CONCATENATE("Project ",PROJID))</f>
        <v/>
      </c>
    </row>
    <row r="201" spans="2:44" ht="15.95" customHeight="1">
      <c r="B201" s="272" t="s">
        <v>1633</v>
      </c>
      <c r="C201" s="272"/>
      <c r="D201" s="272"/>
      <c r="E201" s="272"/>
      <c r="F201" s="272"/>
      <c r="G201" s="272"/>
      <c r="H201" s="272"/>
      <c r="I201" s="272"/>
      <c r="J201" s="272"/>
      <c r="K201" s="272"/>
      <c r="L201" s="272"/>
      <c r="M201" s="661"/>
      <c r="N201" s="661"/>
      <c r="O201" s="661"/>
      <c r="P201" s="661"/>
      <c r="Q201" s="661"/>
      <c r="R201" s="661"/>
      <c r="S201" s="661"/>
      <c r="T201" s="661"/>
      <c r="U201" s="661"/>
      <c r="V201" s="661"/>
      <c r="W201" s="661"/>
      <c r="X201" s="661"/>
      <c r="Y201" s="661"/>
      <c r="Z201" s="661"/>
      <c r="AA201" s="661"/>
      <c r="AB201" s="661"/>
      <c r="AC201" s="661"/>
      <c r="AD201" s="661"/>
      <c r="AE201" s="661"/>
      <c r="AF201" s="661"/>
      <c r="AG201" s="661"/>
      <c r="AH201" s="272"/>
      <c r="AI201" s="272"/>
      <c r="AJ201" s="272"/>
      <c r="AK201" s="272"/>
      <c r="AL201" s="272"/>
      <c r="AM201" s="272"/>
      <c r="AN201" s="272"/>
      <c r="AO201" s="272"/>
      <c r="AP201" s="272"/>
      <c r="AQ201" s="272"/>
      <c r="AR201" s="273" t="str">
        <f>""</f>
        <v/>
      </c>
    </row>
    <row r="202" spans="2:44" ht="15.95" customHeight="1">
      <c r="B202" s="281" t="s">
        <v>1547</v>
      </c>
      <c r="C202" s="272"/>
      <c r="D202" s="272"/>
      <c r="E202" s="272"/>
      <c r="F202" s="272"/>
      <c r="G202" s="272"/>
      <c r="H202" s="272"/>
      <c r="I202" s="272"/>
      <c r="J202" s="272"/>
      <c r="K202" s="272"/>
      <c r="L202" s="272"/>
      <c r="M202" s="274"/>
      <c r="N202" s="272"/>
      <c r="O202" s="272"/>
      <c r="P202" s="274"/>
      <c r="Q202" s="274"/>
      <c r="R202" s="274"/>
      <c r="S202" s="274"/>
      <c r="T202" s="274"/>
      <c r="U202" s="274"/>
      <c r="V202" s="274"/>
      <c r="W202" s="275" t="s">
        <v>2432</v>
      </c>
      <c r="X202" s="274"/>
      <c r="Y202" s="274"/>
      <c r="Z202" s="274"/>
      <c r="AA202" s="274"/>
      <c r="AB202" s="274"/>
      <c r="AC202" s="274"/>
      <c r="AD202" s="274"/>
      <c r="AE202" s="272"/>
      <c r="AF202" s="272"/>
      <c r="AG202" s="272"/>
      <c r="AH202" s="272"/>
      <c r="AI202" s="272"/>
      <c r="AJ202" s="272"/>
      <c r="AK202" s="272"/>
      <c r="AL202" s="272"/>
      <c r="AM202" s="272"/>
      <c r="AN202" s="272"/>
      <c r="AO202" s="272"/>
      <c r="AP202" s="272"/>
      <c r="AQ202" s="272"/>
      <c r="AR202" s="273" t="s">
        <v>1550</v>
      </c>
    </row>
  </sheetData>
  <sheetProtection algorithmName="SHA-512" hashValue="AQ+zaSqbTSKt/L6fLuXS6fySh8eZjtvqKTq2bBeKn/joQa5/JgaDN6yc2PT/VtbkZSx75F+R1l12vBCIPSOvgA==" saltValue="FfB1aTIyvWzdJUkJEiPimA==" spinCount="100000" sheet="1" objects="1" scenarios="1" selectLockedCells="1"/>
  <mergeCells count="15">
    <mergeCell ref="AQ1:AR1"/>
    <mergeCell ref="AQ2:AR3"/>
    <mergeCell ref="AL1:AP1"/>
    <mergeCell ref="AL2:AP3"/>
    <mergeCell ref="D12:AH12"/>
    <mergeCell ref="AH1:AK1"/>
    <mergeCell ref="AH2:AK3"/>
    <mergeCell ref="D10:AH11"/>
    <mergeCell ref="V82:AB82"/>
    <mergeCell ref="AJ82:AP82"/>
    <mergeCell ref="AE82:AI82"/>
    <mergeCell ref="M200:AG201"/>
    <mergeCell ref="C82:H82"/>
    <mergeCell ref="I82:P82"/>
    <mergeCell ref="Q82:U82"/>
  </mergeCells>
  <conditionalFormatting sqref="AH2 AL2">
    <cfRule type="expression" dxfId="304" priority="1">
      <formula>PROJSTATUS=PROJSTATELI</formula>
    </cfRule>
    <cfRule type="expression" dxfId="303" priority="2">
      <formula>PROJSTATUS=PROJSTATREVIEW</formula>
    </cfRule>
    <cfRule type="expression" dxfId="302" priority="6">
      <formula>PROJSTATUS=PROJSTATPREAPPROVE</formula>
    </cfRule>
    <cfRule type="expression" dxfId="301" priority="7">
      <formula>PROJSTATUS=PROJSTATSTANDARD</formula>
    </cfRule>
    <cfRule type="expression" dxfId="300" priority="8">
      <formula>PROJSTATUS=PROJSTATEXP</formula>
    </cfRule>
  </conditionalFormatting>
  <conditionalFormatting sqref="AQ2:AR3">
    <cfRule type="cellIs" dxfId="299" priority="3" operator="equal">
      <formula>1</formula>
    </cfRule>
    <cfRule type="cellIs" dxfId="298" priority="4" operator="between">
      <formula>0.51</formula>
      <formula>0.99</formula>
    </cfRule>
    <cfRule type="cellIs" dxfId="297" priority="5" operator="lessThanOrEqual">
      <formula>0.5</formula>
    </cfRule>
  </conditionalFormatting>
  <hyperlinks>
    <hyperlink ref="B202" r:id="rId1" xr:uid="{00000000-0004-0000-0900-000000000000}"/>
  </hyperlinks>
  <pageMargins left="0.25" right="0.25" top="0.25" bottom="0.25" header="0.25" footer="0.25"/>
  <pageSetup scale="62" fitToHeight="0" orientation="landscape" r:id="rId2"/>
  <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SIPLabel_TPPI xmlns="e48758e4-e8ca-4695-a9aa-4b3571cb74a7" xsi:nil="true"/>
    <TaxCatchAll xmlns="e48758e4-e8ca-4695-a9aa-4b3571cb74a7"/>
    <TaxKeywordTaxHTField xmlns="e48758e4-e8ca-4695-a9aa-4b3571cb74a7">
      <Terms xmlns="http://schemas.microsoft.com/office/infopath/2007/PartnerControls">
        <TermInfo xmlns="http://schemas.microsoft.com/office/infopath/2007/PartnerControls">
          <TermName xmlns="http://schemas.microsoft.com/office/infopath/2007/PartnerControls">Unrestricted</TermName>
          <TermId xmlns="http://schemas.microsoft.com/office/infopath/2007/PartnerControls">11111111-1111-1111-1111-111111111111</TermId>
        </TermInfo>
      </Terms>
    </TaxKeywordTaxHTField>
    <SIPLabel_ECICountry xmlns="e48758e4-e8ca-4695-a9aa-4b3571cb74a7"/>
    <SIPLabel_Specialty xmlns="e48758e4-e8ca-4695-a9aa-4b3571cb74a7"/>
    <SIPLabel xmlns="e48758e4-e8ca-4695-a9aa-4b3571cb74a7">
      <Value>Unrestricted</Value>
    </SIPLabel>
    <SIPLabel_OCI xmlns="e48758e4-e8ca-4695-a9aa-4b3571cb74a7"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05DC8466EDFADF4F93B9E058C5A5E505" ma:contentTypeVersion="11" ma:contentTypeDescription="Create a new document." ma:contentTypeScope="" ma:versionID="239d808a31785b7f5439b4cffabee72a">
  <xsd:schema xmlns:xsd="http://www.w3.org/2001/XMLSchema" xmlns:xs="http://www.w3.org/2001/XMLSchema" xmlns:p="http://schemas.microsoft.com/office/2006/metadata/properties" xmlns:ns2="e48758e4-e8ca-4695-a9aa-4b3571cb74a7" targetNamespace="http://schemas.microsoft.com/office/2006/metadata/properties" ma:root="true" ma:fieldsID="74de273ec19ff657b1aa332c149c9ce1" ns2:_="">
    <xsd:import namespace="e48758e4-e8ca-4695-a9aa-4b3571cb74a7"/>
    <xsd:element name="properties">
      <xsd:complexType>
        <xsd:sequence>
          <xsd:element name="documentManagement">
            <xsd:complexType>
              <xsd:all>
                <xsd:element ref="ns2:TaxKeywordTaxHTField" minOccurs="0"/>
                <xsd:element ref="ns2:TaxCatchAll" minOccurs="0"/>
                <xsd:element ref="ns2:SIPLabel" minOccurs="0"/>
                <xsd:element ref="ns2:SIPLabel_ECICountry" minOccurs="0"/>
                <xsd:element ref="ns2:SIPLabel_OCI" minOccurs="0"/>
                <xsd:element ref="ns2:SIPLabel_TPPI" minOccurs="0"/>
                <xsd:element ref="ns2:SIPLabel_Specialty"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48758e4-e8ca-4695-a9aa-4b3571cb74a7" elementFormDefault="qualified">
    <xsd:import namespace="http://schemas.microsoft.com/office/2006/documentManagement/types"/>
    <xsd:import namespace="http://schemas.microsoft.com/office/infopath/2007/PartnerControls"/>
    <xsd:element name="TaxKeywordTaxHTField" ma:index="9" nillable="true" ma:taxonomy="true" ma:internalName="TaxKeywordTaxHTField" ma:taxonomyFieldName="Enterprise_x0020_Keywords" ma:displayName="Enterprise Keywords" ma:fieldId="{23f27201-bee3-471e-b2e7-b64fd8b7ca38}" ma:taxonomyMulti="true" ma:sspId="5f68076a-9896-4f70-850d-4130ed0339a6" ma:termSetId="00000000-0000-0000-0000-000000000000" ma:anchorId="00000000-0000-0000-0000-000000000000" ma:open="true" ma:isKeyword="true">
      <xsd:complexType>
        <xsd:sequence>
          <xsd:element ref="pc:Terms" minOccurs="0" maxOccurs="1"/>
        </xsd:sequence>
      </xsd:complexType>
    </xsd:element>
    <xsd:element name="TaxCatchAll" ma:index="10" nillable="true" ma:displayName="Taxonomy Catch All Column" ma:description="" ma:hidden="true" ma:list="{0ea944af-f76c-4757-abf2-5a952d19f08a}" ma:internalName="TaxCatchAll" ma:showField="CatchAllData" ma:web="e48758e4-e8ca-4695-a9aa-4b3571cb74a7">
      <xsd:complexType>
        <xsd:complexContent>
          <xsd:extension base="dms:MultiChoiceLookup">
            <xsd:sequence>
              <xsd:element name="Value" type="dms:Lookup" maxOccurs="unbounded" minOccurs="0" nillable="true"/>
            </xsd:sequence>
          </xsd:extension>
        </xsd:complexContent>
      </xsd:complexType>
    </xsd:element>
    <xsd:element name="SIPLabel" ma:index="11" nillable="true" ma:displayName="Sensitive Information Protection (SIP) Label" ma:internalName="SIPLabel" ma:requiredMultiChoice="true">
      <xsd:complexType>
        <xsd:complexContent>
          <xsd:extension base="dms:MultiChoice">
            <xsd:sequence>
              <xsd:element name="Value" maxOccurs="unbounded" minOccurs="0" nillable="true">
                <xsd:simpleType>
                  <xsd:restriction base="dms:Choice">
                    <xsd:enumeration value="Unrestricted"/>
                    <xsd:enumeration value="Lockheed Martin Proprietary Information (LMPI)"/>
                    <xsd:enumeration value="Export Controlled Information (ECI)"/>
                    <xsd:enumeration value="Attorney-Client Privileged Information and/or Attorney Work Product"/>
                    <xsd:enumeration value="Protected Information"/>
                    <xsd:enumeration value="Personal Information"/>
                    <xsd:enumeration value="Third Party Proprietary Information"/>
                    <xsd:enumeration value="Organizational Conflict of Interest (OCI)"/>
                    <xsd:enumeration value="Specialty Label"/>
                  </xsd:restriction>
                </xsd:simpleType>
              </xsd:element>
            </xsd:sequence>
          </xsd:extension>
        </xsd:complexContent>
      </xsd:complexType>
    </xsd:element>
    <xsd:element name="SIPLabel_ECICountry" ma:index="12" nillable="true" ma:displayName="Export Control Country of Jurisdiction" ma:internalName="SIPLabel_ECICountry">
      <xsd:complexType>
        <xsd:complexContent>
          <xsd:extension base="dms:MultiChoice">
            <xsd:sequence>
              <xsd:element name="Value" maxOccurs="unbounded" minOccurs="0" nillable="true">
                <xsd:simpleType>
                  <xsd:restriction base="dms:Choice">
                    <xsd:enumeration value="United States (US)"/>
                    <xsd:enumeration value="Canada (CA)"/>
                    <xsd:enumeration value="United Kingdom (GB)"/>
                    <xsd:enumeration value="Australia (AU)"/>
                    <xsd:enumeration value="Albania (AL)"/>
                    <xsd:enumeration value="Argentina (AR)"/>
                    <xsd:enumeration value="Bahrain (BH)"/>
                    <xsd:enumeration value="Belgium (BE)"/>
                    <xsd:enumeration value="Brazil (BR)"/>
                    <xsd:enumeration value="China (CN)"/>
                    <xsd:enumeration value="Colombia (CO)"/>
                    <xsd:enumeration value="Croatia (HR)"/>
                    <xsd:enumeration value="Denmark (DK)"/>
                    <xsd:enumeration value="Egypt (EG)"/>
                    <xsd:enumeration value="Finland (FI)"/>
                    <xsd:enumeration value="France (FR)"/>
                    <xsd:enumeration value="Germany (DE)"/>
                    <xsd:enumeration value="Greece (GR)"/>
                    <xsd:enumeration value="Guam (GU)"/>
                    <xsd:enumeration value="Hong Kong (HK)"/>
                    <xsd:enumeration value="India (IN)"/>
                    <xsd:enumeration value="Israel (IL)"/>
                    <xsd:enumeration value="Italy (IT)"/>
                    <xsd:enumeration value="Japan (JP)"/>
                    <xsd:enumeration value="Korea, Republic of (KR)"/>
                    <xsd:enumeration value="Kuwait (KW)"/>
                    <xsd:enumeration value="Malaysia (MY)"/>
                    <xsd:enumeration value="Mauritius (MU)"/>
                    <xsd:enumeration value="Mexico (MX)"/>
                    <xsd:enumeration value="Netherlands (NL)"/>
                    <xsd:enumeration value="New Zealand (NZ)"/>
                    <xsd:enumeration value="Norway (NO)"/>
                    <xsd:enumeration value="Philippines (PH)"/>
                    <xsd:enumeration value="Poland (PL)"/>
                    <xsd:enumeration value="Portugal (PT)"/>
                    <xsd:enumeration value="Puerto Rico (PR)"/>
                    <xsd:enumeration value="Romania (RO)"/>
                    <xsd:enumeration value="Saudi Arabia (SA)"/>
                    <xsd:enumeration value="Singapore (SG)"/>
                    <xsd:enumeration value="South Africa (ZA)"/>
                    <xsd:enumeration value="Spain (ES)"/>
                    <xsd:enumeration value="Sweden (SE)"/>
                    <xsd:enumeration value="Switzerland (CH)"/>
                    <xsd:enumeration value="Taiwan, Province of China (TW)"/>
                    <xsd:enumeration value="Thailand (TH)"/>
                    <xsd:enumeration value="Turkey (TR)"/>
                    <xsd:enumeration value="United Arab Emirates (AE)"/>
                    <xsd:enumeration value="Venezuela (VE)"/>
                    <xsd:enumeration value="Viet Nam (VN)"/>
                  </xsd:restriction>
                </xsd:simpleType>
              </xsd:element>
            </xsd:sequence>
          </xsd:extension>
        </xsd:complexContent>
      </xsd:complexType>
    </xsd:element>
    <xsd:element name="SIPLabel_OCI" ma:index="13" nillable="true" ma:displayName="Organizational Conflict of Interest" ma:internalName="SIPLabel_OCI">
      <xsd:simpleType>
        <xsd:restriction base="dms:Text"/>
      </xsd:simpleType>
    </xsd:element>
    <xsd:element name="SIPLabel_TPPI" ma:index="14" nillable="true" ma:displayName="Third Party" ma:internalName="SIPLabel_TPPI">
      <xsd:simpleType>
        <xsd:restriction base="dms:Text"/>
      </xsd:simpleType>
    </xsd:element>
    <xsd:element name="SIPLabel_Specialty" ma:index="15" nillable="true" ma:displayName="Specialty Label" ma:internalName="SIPLabel_Specialty">
      <xsd:complexType>
        <xsd:complexContent>
          <xsd:extension base="dms:MultiChoice">
            <xsd:sequence>
              <xsd:element name="Value" maxOccurs="unbounded" minOccurs="0" nillable="true">
                <xsd:simpleType>
                  <xsd:restriction base="dms:Choice">
                    <xsd:enumeration value="For Official Use Only"/>
                    <xsd:enumeration value="NATO Restricted"/>
                    <xsd:enumeration value="UK OFFICIAL"/>
                    <xsd:enumeration value="UK OFFICIAL-SENSITIVE"/>
                  </xsd:restriction>
                </xsd:simple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2ABD2E76-EC1E-4939-8B59-E001DBDC8C9C}">
  <ds:schemaRefs>
    <ds:schemaRef ds:uri="http://schemas.microsoft.com/sharepoint/v3/contenttype/forms"/>
  </ds:schemaRefs>
</ds:datastoreItem>
</file>

<file path=customXml/itemProps2.xml><?xml version="1.0" encoding="utf-8"?>
<ds:datastoreItem xmlns:ds="http://schemas.openxmlformats.org/officeDocument/2006/customXml" ds:itemID="{1F1A09C2-D8B7-4ED9-BCBF-361E860FD8EE}">
  <ds:schemaRefs>
    <ds:schemaRef ds:uri="http://purl.org/dc/elements/1.1/"/>
    <ds:schemaRef ds:uri="http://purl.org/dc/terms/"/>
    <ds:schemaRef ds:uri="http://schemas.openxmlformats.org/package/2006/metadata/core-properties"/>
    <ds:schemaRef ds:uri="http://purl.org/dc/dcmitype/"/>
    <ds:schemaRef ds:uri="http://schemas.microsoft.com/office/infopath/2007/PartnerControls"/>
    <ds:schemaRef ds:uri="http://schemas.microsoft.com/office/2006/documentManagement/types"/>
    <ds:schemaRef ds:uri="e48758e4-e8ca-4695-a9aa-4b3571cb74a7"/>
    <ds:schemaRef ds:uri="http://schemas.microsoft.com/office/2006/metadata/properties"/>
    <ds:schemaRef ds:uri="http://www.w3.org/XML/1998/namespace"/>
  </ds:schemaRefs>
</ds:datastoreItem>
</file>

<file path=customXml/itemProps3.xml><?xml version="1.0" encoding="utf-8"?>
<ds:datastoreItem xmlns:ds="http://schemas.openxmlformats.org/officeDocument/2006/customXml" ds:itemID="{B3B14C56-FA47-419C-AFF5-40E6E33CFA4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48758e4-e8ca-4695-a9aa-4b3571cb74a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37</vt:i4>
      </vt:variant>
      <vt:variant>
        <vt:lpstr>Named Ranges</vt:lpstr>
      </vt:variant>
      <vt:variant>
        <vt:i4>353</vt:i4>
      </vt:variant>
    </vt:vector>
  </HeadingPairs>
  <TitlesOfParts>
    <vt:vector size="390" baseType="lpstr">
      <vt:lpstr>CHANGELOG</vt:lpstr>
      <vt:lpstr>CBDATA</vt:lpstr>
      <vt:lpstr>TEMPLATE</vt:lpstr>
      <vt:lpstr>EXPORT</vt:lpstr>
      <vt:lpstr>DATA TABLES</vt:lpstr>
      <vt:lpstr>PRESCRIPTIVE</vt:lpstr>
      <vt:lpstr>CUSTOMLIGHT</vt:lpstr>
      <vt:lpstr>CUSTOMNONLIGHT</vt:lpstr>
      <vt:lpstr>M01-S01</vt:lpstr>
      <vt:lpstr>M01-S02</vt:lpstr>
      <vt:lpstr>M01-S03</vt:lpstr>
      <vt:lpstr>M01-S04</vt:lpstr>
      <vt:lpstr>M01-S05</vt:lpstr>
      <vt:lpstr>M02-S01</vt:lpstr>
      <vt:lpstr>M02-S02</vt:lpstr>
      <vt:lpstr>M02-S03</vt:lpstr>
      <vt:lpstr>M02-S04</vt:lpstr>
      <vt:lpstr>M03-S01</vt:lpstr>
      <vt:lpstr>M03-S02</vt:lpstr>
      <vt:lpstr>M03-S03</vt:lpstr>
      <vt:lpstr>M03-S04</vt:lpstr>
      <vt:lpstr>M03-S05</vt:lpstr>
      <vt:lpstr>M03-S08</vt:lpstr>
      <vt:lpstr>M03-S09</vt:lpstr>
      <vt:lpstr>M03-S06</vt:lpstr>
      <vt:lpstr>M03-S07</vt:lpstr>
      <vt:lpstr>M04-S01</vt:lpstr>
      <vt:lpstr>M04-S02</vt:lpstr>
      <vt:lpstr>M04-S09</vt:lpstr>
      <vt:lpstr>M04-S03</vt:lpstr>
      <vt:lpstr>M04-S04</vt:lpstr>
      <vt:lpstr>M05-S01</vt:lpstr>
      <vt:lpstr>M05-S02</vt:lpstr>
      <vt:lpstr>M05-S04</vt:lpstr>
      <vt:lpstr>M05-S05</vt:lpstr>
      <vt:lpstr>M05-S06</vt:lpstr>
      <vt:lpstr>M05-S07</vt:lpstr>
      <vt:lpstr>APPTITLE</vt:lpstr>
      <vt:lpstr>BUILDING</vt:lpstr>
      <vt:lpstr>Building_Area_Method</vt:lpstr>
      <vt:lpstr>CAMeasureSelect</vt:lpstr>
      <vt:lpstr>CAShift</vt:lpstr>
      <vt:lpstr>CBALL</vt:lpstr>
      <vt:lpstr>CBCUSE</vt:lpstr>
      <vt:lpstr>CBCUSG</vt:lpstr>
      <vt:lpstr>CBPRESE</vt:lpstr>
      <vt:lpstr>CBPRESG</vt:lpstr>
      <vt:lpstr>CMELIGHTACTUALW</vt:lpstr>
      <vt:lpstr>CMELIGHTBASE1</vt:lpstr>
      <vt:lpstr>CMELIGHTBASEW</vt:lpstr>
      <vt:lpstr>CMELIGHTEFF1</vt:lpstr>
      <vt:lpstr>CMELIGHTEFF2</vt:lpstr>
      <vt:lpstr>CMELIGHTEFF3</vt:lpstr>
      <vt:lpstr>CMELIGHTEFFBASEW</vt:lpstr>
      <vt:lpstr>COSTTOTAL</vt:lpstr>
      <vt:lpstr>COSTTOTALCUSE</vt:lpstr>
      <vt:lpstr>COSTTOTALCUSG</vt:lpstr>
      <vt:lpstr>COSTTOTALPRESE</vt:lpstr>
      <vt:lpstr>COSTTOTALPRESG</vt:lpstr>
      <vt:lpstr>CUSTINFOLIST</vt:lpstr>
      <vt:lpstr>CUSTLIGHTUNIT</vt:lpstr>
      <vt:lpstr>CUSTNONLIGHTEUNIT</vt:lpstr>
      <vt:lpstr>CUSTNONLIGHTGUNIT</vt:lpstr>
      <vt:lpstr>DIVERSITYBUSTYPE</vt:lpstr>
      <vt:lpstr>DIVERSITYORG</vt:lpstr>
      <vt:lpstr>DTBuildingType</vt:lpstr>
      <vt:lpstr>DTSpaceType</vt:lpstr>
      <vt:lpstr>EDR</vt:lpstr>
      <vt:lpstr>ELOSS</vt:lpstr>
      <vt:lpstr>ELOSSKW</vt:lpstr>
      <vt:lpstr>ENDUSECAT</vt:lpstr>
      <vt:lpstr>ENGCALC</vt:lpstr>
      <vt:lpstr>ENGDATE</vt:lpstr>
      <vt:lpstr>ENGINEERZNAME</vt:lpstr>
      <vt:lpstr>ENGSIGN</vt:lpstr>
      <vt:lpstr>EXPIRATION</vt:lpstr>
      <vt:lpstr>FACILITYOPHOURS</vt:lpstr>
      <vt:lpstr>FOOT1</vt:lpstr>
      <vt:lpstr>FOOT2</vt:lpstr>
      <vt:lpstr>FOOT3</vt:lpstr>
      <vt:lpstr>FOOT4</vt:lpstr>
      <vt:lpstr>FOOT5</vt:lpstr>
      <vt:lpstr>FOOT6</vt:lpstr>
      <vt:lpstr>FOOTDISCLAIM</vt:lpstr>
      <vt:lpstr>GDR</vt:lpstr>
      <vt:lpstr>GLOSS</vt:lpstr>
      <vt:lpstr>HEAD4</vt:lpstr>
      <vt:lpstr>HP</vt:lpstr>
      <vt:lpstr>IMPLSPECNAME</vt:lpstr>
      <vt:lpstr>INCENSTATUS</vt:lpstr>
      <vt:lpstr>INCENTOTAL</vt:lpstr>
      <vt:lpstr>INCENTOTALCUSE</vt:lpstr>
      <vt:lpstr>INCENTOTALCUSG</vt:lpstr>
      <vt:lpstr>INCENTOTALPRESE</vt:lpstr>
      <vt:lpstr>INCENTOTALPRESG</vt:lpstr>
      <vt:lpstr>INSTALL</vt:lpstr>
      <vt:lpstr>KWHSTATUS</vt:lpstr>
      <vt:lpstr>KWHTOTAL</vt:lpstr>
      <vt:lpstr>KWHTOTALCUSE</vt:lpstr>
      <vt:lpstr>KWHTOTALPRESE</vt:lpstr>
      <vt:lpstr>KWTOTAL</vt:lpstr>
      <vt:lpstr>KWTOTALCUSE</vt:lpstr>
      <vt:lpstr>KWTOTALPRESE</vt:lpstr>
      <vt:lpstr>LPDMethod</vt:lpstr>
      <vt:lpstr>LPDOPHR</vt:lpstr>
      <vt:lpstr>LPDSPACE</vt:lpstr>
      <vt:lpstr>M02S02F01</vt:lpstr>
      <vt:lpstr>M02S02F02</vt:lpstr>
      <vt:lpstr>M02S02F03</vt:lpstr>
      <vt:lpstr>M02S02F04</vt:lpstr>
      <vt:lpstr>M02S02F05</vt:lpstr>
      <vt:lpstr>M02S02F06</vt:lpstr>
      <vt:lpstr>M02S02F07</vt:lpstr>
      <vt:lpstr>M02S02F08</vt:lpstr>
      <vt:lpstr>M02S02F09</vt:lpstr>
      <vt:lpstr>M02S02F10</vt:lpstr>
      <vt:lpstr>M02S02F11</vt:lpstr>
      <vt:lpstr>M02S02F11.1</vt:lpstr>
      <vt:lpstr>M02S02F12</vt:lpstr>
      <vt:lpstr>M02S02F13</vt:lpstr>
      <vt:lpstr>M02S02F14</vt:lpstr>
      <vt:lpstr>M02S02F15</vt:lpstr>
      <vt:lpstr>M02S02F16</vt:lpstr>
      <vt:lpstr>M02S02F17</vt:lpstr>
      <vt:lpstr>M02S02F18</vt:lpstr>
      <vt:lpstr>M02S02F19</vt:lpstr>
      <vt:lpstr>M02S02F20</vt:lpstr>
      <vt:lpstr>M02S02F21</vt:lpstr>
      <vt:lpstr>M02S02F22</vt:lpstr>
      <vt:lpstr>M02S02F23</vt:lpstr>
      <vt:lpstr>M02S02F24</vt:lpstr>
      <vt:lpstr>M02S02F25</vt:lpstr>
      <vt:lpstr>M02S02F26</vt:lpstr>
      <vt:lpstr>M02S02F27</vt:lpstr>
      <vt:lpstr>M02S02F28</vt:lpstr>
      <vt:lpstr>M02S02F29</vt:lpstr>
      <vt:lpstr>M02S02F30</vt:lpstr>
      <vt:lpstr>M02S02F31</vt:lpstr>
      <vt:lpstr>M02S02F32</vt:lpstr>
      <vt:lpstr>M02S02F33</vt:lpstr>
      <vt:lpstr>M02S02F34</vt:lpstr>
      <vt:lpstr>M02S02F35</vt:lpstr>
      <vt:lpstr>M02S02F36</vt:lpstr>
      <vt:lpstr>M02S02F37</vt:lpstr>
      <vt:lpstr>M02S02F38</vt:lpstr>
      <vt:lpstr>M02S02F39</vt:lpstr>
      <vt:lpstr>M02S02F40</vt:lpstr>
      <vt:lpstr>M02S02F45</vt:lpstr>
      <vt:lpstr>M02S02F46</vt:lpstr>
      <vt:lpstr>M02S02F47</vt:lpstr>
      <vt:lpstr>M02S02F48</vt:lpstr>
      <vt:lpstr>M02S02F49</vt:lpstr>
      <vt:lpstr>M02S02F50</vt:lpstr>
      <vt:lpstr>M02S02F51</vt:lpstr>
      <vt:lpstr>M02S02F52</vt:lpstr>
      <vt:lpstr>M02S03F01</vt:lpstr>
      <vt:lpstr>M02S03F02</vt:lpstr>
      <vt:lpstr>M02S03F03</vt:lpstr>
      <vt:lpstr>M02S03F04</vt:lpstr>
      <vt:lpstr>M02S03F05</vt:lpstr>
      <vt:lpstr>M02S03F06</vt:lpstr>
      <vt:lpstr>M02S03F07</vt:lpstr>
      <vt:lpstr>M02S03F08</vt:lpstr>
      <vt:lpstr>M02S03F09</vt:lpstr>
      <vt:lpstr>M02S03F10</vt:lpstr>
      <vt:lpstr>M02S03F11</vt:lpstr>
      <vt:lpstr>M02S03F12</vt:lpstr>
      <vt:lpstr>M02S03F13</vt:lpstr>
      <vt:lpstr>M02S03F14</vt:lpstr>
      <vt:lpstr>M02S03F15</vt:lpstr>
      <vt:lpstr>M02S03F16</vt:lpstr>
      <vt:lpstr>M02S03F17</vt:lpstr>
      <vt:lpstr>M02S04F01</vt:lpstr>
      <vt:lpstr>M02S04F02</vt:lpstr>
      <vt:lpstr>M02S04F03</vt:lpstr>
      <vt:lpstr>M02S04F04</vt:lpstr>
      <vt:lpstr>M02S04F05</vt:lpstr>
      <vt:lpstr>M02S04F06</vt:lpstr>
      <vt:lpstr>M02S04F06.1</vt:lpstr>
      <vt:lpstr>M02S04F07</vt:lpstr>
      <vt:lpstr>M02S04F08</vt:lpstr>
      <vt:lpstr>M02S04F09</vt:lpstr>
      <vt:lpstr>M02S04F10</vt:lpstr>
      <vt:lpstr>M02S04F11</vt:lpstr>
      <vt:lpstr>M02S04F12</vt:lpstr>
      <vt:lpstr>M02S04F12.1</vt:lpstr>
      <vt:lpstr>M04S09F01</vt:lpstr>
      <vt:lpstr>M04S09F02</vt:lpstr>
      <vt:lpstr>M04S09F03</vt:lpstr>
      <vt:lpstr>M04S09F04</vt:lpstr>
      <vt:lpstr>M04S09F05</vt:lpstr>
      <vt:lpstr>M04S09F06</vt:lpstr>
      <vt:lpstr>M04S09F07</vt:lpstr>
      <vt:lpstr>M04S09F08</vt:lpstr>
      <vt:lpstr>M04S09F09</vt:lpstr>
      <vt:lpstr>M04S09F10</vt:lpstr>
      <vt:lpstr>M04S09F11</vt:lpstr>
      <vt:lpstr>M04S09F12</vt:lpstr>
      <vt:lpstr>M04S09F13</vt:lpstr>
      <vt:lpstr>M04S09F14</vt:lpstr>
      <vt:lpstr>M04S09F15</vt:lpstr>
      <vt:lpstr>M04S09F16</vt:lpstr>
      <vt:lpstr>M04S09F17</vt:lpstr>
      <vt:lpstr>M04S09F18</vt:lpstr>
      <vt:lpstr>M04S09F19</vt:lpstr>
      <vt:lpstr>M04S09F20</vt:lpstr>
      <vt:lpstr>M04S09F21</vt:lpstr>
      <vt:lpstr>M04S09F22</vt:lpstr>
      <vt:lpstr>M04S09F23</vt:lpstr>
      <vt:lpstr>M04S09F24</vt:lpstr>
      <vt:lpstr>M04S09F25</vt:lpstr>
      <vt:lpstr>M04S09F26</vt:lpstr>
      <vt:lpstr>M04S09F27</vt:lpstr>
      <vt:lpstr>M04S09F28</vt:lpstr>
      <vt:lpstr>M04S09F29</vt:lpstr>
      <vt:lpstr>M04S09F30</vt:lpstr>
      <vt:lpstr>M04S09F31</vt:lpstr>
      <vt:lpstr>M04S09F32</vt:lpstr>
      <vt:lpstr>M04S09F33</vt:lpstr>
      <vt:lpstr>M04S09F34</vt:lpstr>
      <vt:lpstr>M04S09F35</vt:lpstr>
      <vt:lpstr>M04S09F36</vt:lpstr>
      <vt:lpstr>M04S09F37</vt:lpstr>
      <vt:lpstr>M04S09F38</vt:lpstr>
      <vt:lpstr>M04S09F39</vt:lpstr>
      <vt:lpstr>M04S09F40</vt:lpstr>
      <vt:lpstr>M05S02F01</vt:lpstr>
      <vt:lpstr>M05S02F02</vt:lpstr>
      <vt:lpstr>M05S02F03</vt:lpstr>
      <vt:lpstr>M05S02F04</vt:lpstr>
      <vt:lpstr>M05S02F06</vt:lpstr>
      <vt:lpstr>M05S02F07</vt:lpstr>
      <vt:lpstr>M05S03F01</vt:lpstr>
      <vt:lpstr>M05S05F01</vt:lpstr>
      <vt:lpstr>M05S05F02</vt:lpstr>
      <vt:lpstr>M05S07F02</vt:lpstr>
      <vt:lpstr>M05S07F03</vt:lpstr>
      <vt:lpstr>M05S07F04</vt:lpstr>
      <vt:lpstr>M05S07F05</vt:lpstr>
      <vt:lpstr>M05S07F06</vt:lpstr>
      <vt:lpstr>M05S07F08</vt:lpstr>
      <vt:lpstr>M05S07F09</vt:lpstr>
      <vt:lpstr>M05S07F10</vt:lpstr>
      <vt:lpstr>M05S07F11</vt:lpstr>
      <vt:lpstr>M05S07F12</vt:lpstr>
      <vt:lpstr>M1S1</vt:lpstr>
      <vt:lpstr>M1S2</vt:lpstr>
      <vt:lpstr>M1S3</vt:lpstr>
      <vt:lpstr>M1S4</vt:lpstr>
      <vt:lpstr>M1S5</vt:lpstr>
      <vt:lpstr>M1S6</vt:lpstr>
      <vt:lpstr>M1S7</vt:lpstr>
      <vt:lpstr>M1S8</vt:lpstr>
      <vt:lpstr>M2S1</vt:lpstr>
      <vt:lpstr>M2S2</vt:lpstr>
      <vt:lpstr>M2S3</vt:lpstr>
      <vt:lpstr>M2S4</vt:lpstr>
      <vt:lpstr>M2S5</vt:lpstr>
      <vt:lpstr>M2S6</vt:lpstr>
      <vt:lpstr>M2S7</vt:lpstr>
      <vt:lpstr>M2S8</vt:lpstr>
      <vt:lpstr>M3S1</vt:lpstr>
      <vt:lpstr>M3S2</vt:lpstr>
      <vt:lpstr>M3S3</vt:lpstr>
      <vt:lpstr>M3S4</vt:lpstr>
      <vt:lpstr>M3S5</vt:lpstr>
      <vt:lpstr>M3S6</vt:lpstr>
      <vt:lpstr>M3S7</vt:lpstr>
      <vt:lpstr>M3S8</vt:lpstr>
      <vt:lpstr>M3S9</vt:lpstr>
      <vt:lpstr>M4S1</vt:lpstr>
      <vt:lpstr>M4S2</vt:lpstr>
      <vt:lpstr>M4S3</vt:lpstr>
      <vt:lpstr>M4S4</vt:lpstr>
      <vt:lpstr>M4S5</vt:lpstr>
      <vt:lpstr>M4S6</vt:lpstr>
      <vt:lpstr>M4S7</vt:lpstr>
      <vt:lpstr>M4S8</vt:lpstr>
      <vt:lpstr>M5S1</vt:lpstr>
      <vt:lpstr>M5S2</vt:lpstr>
      <vt:lpstr>M5S3</vt:lpstr>
      <vt:lpstr>M5S4</vt:lpstr>
      <vt:lpstr>M5S5</vt:lpstr>
      <vt:lpstr>M5S6</vt:lpstr>
      <vt:lpstr>M5S7</vt:lpstr>
      <vt:lpstr>M5S8</vt:lpstr>
      <vt:lpstr>M6S1</vt:lpstr>
      <vt:lpstr>M6S2</vt:lpstr>
      <vt:lpstr>M6S3</vt:lpstr>
      <vt:lpstr>M6S4</vt:lpstr>
      <vt:lpstr>M6S5</vt:lpstr>
      <vt:lpstr>M6S6</vt:lpstr>
      <vt:lpstr>M6S7</vt:lpstr>
      <vt:lpstr>M6S8</vt:lpstr>
      <vt:lpstr>M7S1</vt:lpstr>
      <vt:lpstr>M7S2</vt:lpstr>
      <vt:lpstr>M7S3</vt:lpstr>
      <vt:lpstr>M7S4</vt:lpstr>
      <vt:lpstr>M7S5</vt:lpstr>
      <vt:lpstr>M7S6</vt:lpstr>
      <vt:lpstr>M7S7</vt:lpstr>
      <vt:lpstr>M7S8</vt:lpstr>
      <vt:lpstr>MAIN1</vt:lpstr>
      <vt:lpstr>MAIN2</vt:lpstr>
      <vt:lpstr>MAIN3</vt:lpstr>
      <vt:lpstr>MAIN4</vt:lpstr>
      <vt:lpstr>MAIN5</vt:lpstr>
      <vt:lpstr>MAIN6</vt:lpstr>
      <vt:lpstr>MAIN7</vt:lpstr>
      <vt:lpstr>MEASUREBLDG</vt:lpstr>
      <vt:lpstr>MEASURECB</vt:lpstr>
      <vt:lpstr>MEASUREELI</vt:lpstr>
      <vt:lpstr>MEASUREPAY</vt:lpstr>
      <vt:lpstr>MEASURERATE</vt:lpstr>
      <vt:lpstr>MEASURESAVE</vt:lpstr>
      <vt:lpstr>MEASURESUBMIT</vt:lpstr>
      <vt:lpstr>NONPRESCPROGRAM</vt:lpstr>
      <vt:lpstr>PAYALL</vt:lpstr>
      <vt:lpstr>PAYCUSE</vt:lpstr>
      <vt:lpstr>PAYCUSG</vt:lpstr>
      <vt:lpstr>PayeeChckBox</vt:lpstr>
      <vt:lpstr>PAYOPS</vt:lpstr>
      <vt:lpstr>PAYPRESE</vt:lpstr>
      <vt:lpstr>PAYPRESG</vt:lpstr>
      <vt:lpstr>PAYTO</vt:lpstr>
      <vt:lpstr>PEAKTD</vt:lpstr>
      <vt:lpstr>PMEAGGEFF1</vt:lpstr>
      <vt:lpstr>PMECAEFF2</vt:lpstr>
      <vt:lpstr>PMECAEFFW1</vt:lpstr>
      <vt:lpstr>PMECAEFFW2</vt:lpstr>
      <vt:lpstr>PMEHVACEFF1</vt:lpstr>
      <vt:lpstr>PMEHVACEFFW1</vt:lpstr>
      <vt:lpstr>PMEHVACEFFW2</vt:lpstr>
      <vt:lpstr>PMEKITCHENEFF1</vt:lpstr>
      <vt:lpstr>PMELIGHTBASE1</vt:lpstr>
      <vt:lpstr>PMELIGHTBASEAUTO</vt:lpstr>
      <vt:lpstr>PMELIGHTBASEW1</vt:lpstr>
      <vt:lpstr>PMELIGHTBASEW2</vt:lpstr>
      <vt:lpstr>PMELIGHTCONEFF1</vt:lpstr>
      <vt:lpstr>PMELIGHTCONEFFW1</vt:lpstr>
      <vt:lpstr>PMELIGHTCONEFFW2</vt:lpstr>
      <vt:lpstr>PMELIGHTEFFLIST</vt:lpstr>
      <vt:lpstr>PMELIGHTEFFW1</vt:lpstr>
      <vt:lpstr>PMELIGHTEFFW2</vt:lpstr>
      <vt:lpstr>PMELIGHTOPHR1</vt:lpstr>
      <vt:lpstr>PMELIGHTOPHR2</vt:lpstr>
      <vt:lpstr>PMEMOTOREFF1</vt:lpstr>
      <vt:lpstr>PMEMOTORLIM</vt:lpstr>
      <vt:lpstr>PMEMOTORLIM2</vt:lpstr>
      <vt:lpstr>PMEREFRIEFF1</vt:lpstr>
      <vt:lpstr>PMGAGGEFF1</vt:lpstr>
      <vt:lpstr>PMGHVACEFF1</vt:lpstr>
      <vt:lpstr>PMGHVACEFFW1</vt:lpstr>
      <vt:lpstr>PMGHVACEFFW2</vt:lpstr>
      <vt:lpstr>PMGKITCHENEFF1</vt:lpstr>
      <vt:lpstr>PMGWATEREFF1</vt:lpstr>
      <vt:lpstr>PNAME</vt:lpstr>
      <vt:lpstr>'M01-S04'!Print_Area</vt:lpstr>
      <vt:lpstr>'M04-S09'!Print_Area</vt:lpstr>
      <vt:lpstr>'M05-S01'!Print_Area</vt:lpstr>
      <vt:lpstr>'M05-S04'!Print_Area</vt:lpstr>
      <vt:lpstr>'M05-S05'!Print_Area</vt:lpstr>
      <vt:lpstr>'M05-S06'!Print_Area</vt:lpstr>
      <vt:lpstr>'M05-S07'!Print_Area</vt:lpstr>
      <vt:lpstr>PROGRAM</vt:lpstr>
      <vt:lpstr>PROGRESSSTATUS</vt:lpstr>
      <vt:lpstr>PROJID</vt:lpstr>
      <vt:lpstr>PROJSTATCAP</vt:lpstr>
      <vt:lpstr>PROJSTATELI</vt:lpstr>
      <vt:lpstr>PROJSTATEXP</vt:lpstr>
      <vt:lpstr>PROJSTATINSPECT</vt:lpstr>
      <vt:lpstr>PROJSTATMEASURE</vt:lpstr>
      <vt:lpstr>PROJSTATPREAPPROVE</vt:lpstr>
      <vt:lpstr>PROJSTATREVIEW</vt:lpstr>
      <vt:lpstr>PROJSTATSTANDARD</vt:lpstr>
      <vt:lpstr>PROJSTATUNDER</vt:lpstr>
      <vt:lpstr>PROJSTATUS</vt:lpstr>
      <vt:lpstr>RATECAT</vt:lpstr>
      <vt:lpstr>SHEAT</vt:lpstr>
      <vt:lpstr>Space_By_Space_Method</vt:lpstr>
      <vt:lpstr>STATESABBREV</vt:lpstr>
      <vt:lpstr>STDHVACEFFMIN</vt:lpstr>
      <vt:lpstr>STDHVACEFFMIN2</vt:lpstr>
      <vt:lpstr>TAX</vt:lpstr>
      <vt:lpstr>THERMSTATUS</vt:lpstr>
      <vt:lpstr>THERMTOTAL</vt:lpstr>
      <vt:lpstr>THERMTOTALCUSG</vt:lpstr>
      <vt:lpstr>THERMTOTALPRESG</vt:lpstr>
      <vt:lpstr>VERSION</vt:lpstr>
      <vt:lpstr>WHEAT</vt:lpstr>
    </vt:vector>
  </TitlesOfParts>
  <Company>Lockheed Martin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Gary Gao</dc:creator>
  <cp:keywords>Unrestricted</cp:keywords>
  <cp:lastModifiedBy>Flatt, Michael</cp:lastModifiedBy>
  <cp:lastPrinted>2018-12-20T18:12:46Z</cp:lastPrinted>
  <dcterms:created xsi:type="dcterms:W3CDTF">2015-10-07T20:52:11Z</dcterms:created>
  <dcterms:modified xsi:type="dcterms:W3CDTF">2025-01-15T16:20:17Z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0x01010005DC8466EDFADF4F93B9E058C5A5E505</vt:lpwstr>
  </property>
  <property fmtid="{D5CDD505-2E9C-101B-9397-08002B2CF9AE}" pid="3" name="sip_cache_lock_id">
    <vt:lpwstr>134636552633340000000</vt:lpwstr>
  </property>
  <property fmtid="{D5CDD505-2E9C-101B-9397-08002B2CF9AE}" pid="4" name="Enterprise_x0020_Keywords">
    <vt:lpwstr/>
  </property>
  <property fmtid="{D5CDD505-2E9C-101B-9397-08002B2CF9AE}" pid="5" name="Enterprise Keywords">
    <vt:lpwstr/>
  </property>
  <property fmtid="{D5CDD505-2E9C-101B-9397-08002B2CF9AE}" pid="6" name="lmss_lock_sip_cache">
    <vt:lpwstr>;#Unrestricted;#~#~#~#~#</vt:lpwstr>
  </property>
  <property fmtid="{D5CDD505-2E9C-101B-9397-08002B2CF9AE}" pid="7" name="office_lock_sip_cache">
    <vt:lpwstr>;#Unrestricted;#~#~#~#~#</vt:lpwstr>
  </property>
  <property fmtid="{D5CDD505-2E9C-101B-9397-08002B2CF9AE}" pid="8" name="checkedProgramsCount">
    <vt:i4>0</vt:i4>
  </property>
  <property fmtid="{D5CDD505-2E9C-101B-9397-08002B2CF9AE}" pid="9" name="LM SIP Document Sensitivity">
    <vt:lpwstr/>
  </property>
  <property fmtid="{D5CDD505-2E9C-101B-9397-08002B2CF9AE}" pid="10" name="Document Author">
    <vt:lpwstr>US\e346472</vt:lpwstr>
  </property>
  <property fmtid="{D5CDD505-2E9C-101B-9397-08002B2CF9AE}" pid="11" name="Document Sensitivity">
    <vt:lpwstr>1</vt:lpwstr>
  </property>
  <property fmtid="{D5CDD505-2E9C-101B-9397-08002B2CF9AE}" pid="12" name="ThirdParty">
    <vt:lpwstr/>
  </property>
  <property fmtid="{D5CDD505-2E9C-101B-9397-08002B2CF9AE}" pid="13" name="OCI Restriction">
    <vt:bool>false</vt:bool>
  </property>
  <property fmtid="{D5CDD505-2E9C-101B-9397-08002B2CF9AE}" pid="14" name="OCI Additional Info">
    <vt:lpwstr/>
  </property>
  <property fmtid="{D5CDD505-2E9C-101B-9397-08002B2CF9AE}" pid="15" name="Allow Header Overwrite">
    <vt:bool>false</vt:bool>
  </property>
  <property fmtid="{D5CDD505-2E9C-101B-9397-08002B2CF9AE}" pid="16" name="Allow Footer Overwrite">
    <vt:bool>false</vt:bool>
  </property>
  <property fmtid="{D5CDD505-2E9C-101B-9397-08002B2CF9AE}" pid="17" name="Multiple Selected">
    <vt:lpwstr>-1</vt:lpwstr>
  </property>
  <property fmtid="{D5CDD505-2E9C-101B-9397-08002B2CF9AE}" pid="18" name="SIPLongWording">
    <vt:lpwstr>_x000d_
_x000d_
</vt:lpwstr>
  </property>
  <property fmtid="{D5CDD505-2E9C-101B-9397-08002B2CF9AE}" pid="19" name="ExpCountry">
    <vt:lpwstr/>
  </property>
</Properties>
</file>